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5" sheetId="1" r:id="rId3"/>
    <sheet state="visible" name="MK.Testing" sheetId="2" r:id="rId4"/>
    <sheet state="visible" name="Copy of MK.Testing" sheetId="3" r:id="rId5"/>
    <sheet state="visible" name="Notes" sheetId="4" r:id="rId6"/>
    <sheet state="visible" name="Putting the lists together" sheetId="5" r:id="rId7"/>
    <sheet state="visible" name="LNAME, A-Z M20" sheetId="6" r:id="rId8"/>
    <sheet state="visible" name="LNAME, A-Z M19" sheetId="7" r:id="rId9"/>
    <sheet state="visible" name="LNAME, A-Z M18" sheetId="8" r:id="rId10"/>
    <sheet state="visible" name="LNAME, A-Z M17" sheetId="9" r:id="rId11"/>
    <sheet state="visible" name="work formating sheet" sheetId="10" r:id="rId12"/>
    <sheet state="visible" name="M20" sheetId="11" r:id="rId13"/>
    <sheet state="visible" name="M19" sheetId="12" r:id="rId14"/>
    <sheet state="visible" name="M18" sheetId="13" r:id="rId15"/>
    <sheet state="visible" name="M17" sheetId="14" r:id="rId16"/>
  </sheets>
  <definedNames>
    <definedName hidden="1" localSheetId="0" name="Z_5EA2F1EB_572B_4B07_BDA7_4097B69F3A23_.wvu.FilterData">Sheet15!$A$1:$H$2346</definedName>
  </definedNames>
  <calcPr/>
  <customWorkbookViews>
    <customWorkbookView activeSheetId="0" maximized="1" tabRatio="600" windowHeight="0" windowWidth="0" guid="{5EA2F1EB-572B-4B07-BDA7-4097B69F3A23}" name="Filter 1"/>
  </customWorkbookViews>
</workbook>
</file>

<file path=xl/sharedStrings.xml><?xml version="1.0" encoding="utf-8"?>
<sst xmlns="http://schemas.openxmlformats.org/spreadsheetml/2006/main" count="124328" uniqueCount="6452">
  <si>
    <t>Madden Year</t>
  </si>
  <si>
    <t>LNAME</t>
  </si>
  <si>
    <t>Weight</t>
  </si>
  <si>
    <t>FNAME</t>
  </si>
  <si>
    <t>POS</t>
  </si>
  <si>
    <t>AGE</t>
  </si>
  <si>
    <t>M17TM</t>
  </si>
  <si>
    <t>M17R</t>
  </si>
  <si>
    <t>M18TM</t>
  </si>
  <si>
    <t>M18R</t>
  </si>
  <si>
    <t>Vinatieri</t>
  </si>
  <si>
    <t>Adam</t>
  </si>
  <si>
    <t>K</t>
  </si>
  <si>
    <t>46</t>
  </si>
  <si>
    <t>Brady</t>
  </si>
  <si>
    <t>Tom</t>
  </si>
  <si>
    <t>QB</t>
  </si>
  <si>
    <t>This sheet is being used to adjust MK's formula to new data and information from the OP.</t>
  </si>
  <si>
    <t>42</t>
  </si>
  <si>
    <t>Brees</t>
  </si>
  <si>
    <t>Drew</t>
  </si>
  <si>
    <t>40</t>
  </si>
  <si>
    <t>Denney</t>
  </si>
  <si>
    <t>John</t>
  </si>
  <si>
    <t>TE</t>
  </si>
  <si>
    <t>LaDouceur</t>
  </si>
  <si>
    <t>LP</t>
  </si>
  <si>
    <t>38</t>
  </si>
  <si>
    <t>Manning</t>
  </si>
  <si>
    <t>Eli</t>
  </si>
  <si>
    <t>Muhlbach</t>
  </si>
  <si>
    <t>Don</t>
  </si>
  <si>
    <t>Schaub</t>
  </si>
  <si>
    <t>Matt</t>
  </si>
  <si>
    <t>Watson</t>
  </si>
  <si>
    <t>Benjamin</t>
  </si>
  <si>
    <t>Colquitt</t>
  </si>
  <si>
    <t>Dustin</t>
  </si>
  <si>
    <t>P</t>
  </si>
  <si>
    <t>37</t>
  </si>
  <si>
    <t>Koch</t>
  </si>
  <si>
    <t>Sam</t>
  </si>
  <si>
    <t>Lee</t>
  </si>
  <si>
    <t>Andy</t>
  </si>
  <si>
    <t>Peters</t>
  </si>
  <si>
    <t>Jason</t>
  </si>
  <si>
    <t>LT</t>
  </si>
  <si>
    <t>Rivers</t>
  </si>
  <si>
    <t>Philip</t>
  </si>
  <si>
    <t>Roethlisberger</t>
  </si>
  <si>
    <t>Ben</t>
  </si>
  <si>
    <t>Wake</t>
  </si>
  <si>
    <t>Cameron</t>
  </si>
  <si>
    <t>LOLB</t>
  </si>
  <si>
    <t>Whitworth</t>
  </si>
  <si>
    <t>Andrew</t>
  </si>
  <si>
    <t>Witten</t>
  </si>
  <si>
    <t>Alexander</t>
  </si>
  <si>
    <t>Lorenzo</t>
  </si>
  <si>
    <t>ROLB</t>
  </si>
  <si>
    <t>36</t>
  </si>
  <si>
    <t>Davis</t>
  </si>
  <si>
    <t>Thomas</t>
  </si>
  <si>
    <t>Fitzgerald</t>
  </si>
  <si>
    <t>Larry</t>
  </si>
  <si>
    <t>WR</t>
  </si>
  <si>
    <t>Fitzpatrick</t>
  </si>
  <si>
    <t>Ryan</t>
  </si>
  <si>
    <t>Gore</t>
  </si>
  <si>
    <t>Frank</t>
  </si>
  <si>
    <t>HB</t>
  </si>
  <si>
    <t>Gould</t>
  </si>
  <si>
    <t>Robbie</t>
  </si>
  <si>
    <t>Incognito</t>
  </si>
  <si>
    <t>Richie</t>
  </si>
  <si>
    <t>LG</t>
  </si>
  <si>
    <t>Suggs</t>
  </si>
  <si>
    <t>Terrell</t>
  </si>
  <si>
    <t>Williams</t>
  </si>
  <si>
    <t>Tramon</t>
  </si>
  <si>
    <t>FS</t>
  </si>
  <si>
    <t>Bethea</t>
  </si>
  <si>
    <t>Antoine</t>
  </si>
  <si>
    <t>35</t>
  </si>
  <si>
    <t>Vernon</t>
  </si>
  <si>
    <t>DeOssie</t>
  </si>
  <si>
    <t>Zak</t>
  </si>
  <si>
    <t>Gostkowski</t>
  </si>
  <si>
    <t>Stephen</t>
  </si>
  <si>
    <t>Harris</t>
  </si>
  <si>
    <t>Clark</t>
  </si>
  <si>
    <t>Joseph</t>
  </si>
  <si>
    <t>Johnathan</t>
  </si>
  <si>
    <t>CB</t>
  </si>
  <si>
    <t>Lewis</t>
  </si>
  <si>
    <t>Marcedes</t>
  </si>
  <si>
    <t>Prater</t>
  </si>
  <si>
    <t>Rodgers</t>
  </si>
  <si>
    <t>Aaron</t>
  </si>
  <si>
    <t>Smith</t>
  </si>
  <si>
    <t>Alex</t>
  </si>
  <si>
    <t>Staley</t>
  </si>
  <si>
    <t>Joe</t>
  </si>
  <si>
    <t>Stanton</t>
  </si>
  <si>
    <t>Walker</t>
  </si>
  <si>
    <t>Delanie</t>
  </si>
  <si>
    <t>Brown</t>
  </si>
  <si>
    <t>Duane</t>
  </si>
  <si>
    <t>34</t>
  </si>
  <si>
    <t>Britton</t>
  </si>
  <si>
    <t>Crosby</t>
  </si>
  <si>
    <t>Mason</t>
  </si>
  <si>
    <t>Flacco</t>
  </si>
  <si>
    <t>Ginn</t>
  </si>
  <si>
    <t>Ted</t>
  </si>
  <si>
    <t>Hauschka</t>
  </si>
  <si>
    <t>Henne</t>
  </si>
  <si>
    <t>Chad</t>
  </si>
  <si>
    <t>Huber</t>
  </si>
  <si>
    <t>Kevin</t>
  </si>
  <si>
    <t>Mebane</t>
  </si>
  <si>
    <t>Brandon</t>
  </si>
  <si>
    <t>DT</t>
  </si>
  <si>
    <t>Olsen</t>
  </si>
  <si>
    <t>Greg</t>
  </si>
  <si>
    <t>Overton</t>
  </si>
  <si>
    <t>Peterson</t>
  </si>
  <si>
    <t>Adrian</t>
  </si>
  <si>
    <t>Weddle</t>
  </si>
  <si>
    <t>Eric</t>
  </si>
  <si>
    <t>Yanda</t>
  </si>
  <si>
    <t>Marshal</t>
  </si>
  <si>
    <t>RG</t>
  </si>
  <si>
    <t>Amendola</t>
  </si>
  <si>
    <t>Danny</t>
  </si>
  <si>
    <t>33</t>
  </si>
  <si>
    <t>Bennett</t>
  </si>
  <si>
    <t>Michael</t>
  </si>
  <si>
    <t>LE</t>
  </si>
  <si>
    <t>Bergstrom</t>
  </si>
  <si>
    <t>Tony</t>
  </si>
  <si>
    <t>C</t>
  </si>
  <si>
    <t>Campbell</t>
  </si>
  <si>
    <t>Calais</t>
  </si>
  <si>
    <t>Carr</t>
  </si>
  <si>
    <t>Cox</t>
  </si>
  <si>
    <t>Morgan</t>
  </si>
  <si>
    <t>Dotson</t>
  </si>
  <si>
    <t>Demar</t>
  </si>
  <si>
    <t>RT</t>
  </si>
  <si>
    <t>Edelman</t>
  </si>
  <si>
    <t>Julian</t>
  </si>
  <si>
    <t>Fells</t>
  </si>
  <si>
    <t>Darren</t>
  </si>
  <si>
    <t>Foster</t>
  </si>
  <si>
    <t>Ramon</t>
  </si>
  <si>
    <t>Hoyer</t>
  </si>
  <si>
    <t>Brian</t>
  </si>
  <si>
    <t>Jansen</t>
  </si>
  <si>
    <t>JJ</t>
  </si>
  <si>
    <t>Kern</t>
  </si>
  <si>
    <t>Brett</t>
  </si>
  <si>
    <t>Sean</t>
  </si>
  <si>
    <t>Mack</t>
  </si>
  <si>
    <t>Matthews</t>
  </si>
  <si>
    <t>Clay</t>
  </si>
  <si>
    <t>McLendon</t>
  </si>
  <si>
    <t>Steve</t>
  </si>
  <si>
    <t>Morstead</t>
  </si>
  <si>
    <t>Nsekhe</t>
  </si>
  <si>
    <t>Ty</t>
  </si>
  <si>
    <t>Rodgers-Cromartie</t>
  </si>
  <si>
    <t>Dominique</t>
  </si>
  <si>
    <t>Shipley</t>
  </si>
  <si>
    <t>AQ</t>
  </si>
  <si>
    <t>Slater</t>
  </si>
  <si>
    <t>Matthew</t>
  </si>
  <si>
    <t>Evan</t>
  </si>
  <si>
    <t>Talib</t>
  </si>
  <si>
    <t>Aqib</t>
  </si>
  <si>
    <t>Weeks</t>
  </si>
  <si>
    <t>Jon</t>
  </si>
  <si>
    <t>Windt</t>
  </si>
  <si>
    <t>Mike</t>
  </si>
  <si>
    <t>Woodyard</t>
  </si>
  <si>
    <t>Wesley</t>
  </si>
  <si>
    <t>MLB</t>
  </si>
  <si>
    <t>Alualu</t>
  </si>
  <si>
    <t>Tyson</t>
  </si>
  <si>
    <t>32</t>
  </si>
  <si>
    <t>Bush</t>
  </si>
  <si>
    <t>Rafael</t>
  </si>
  <si>
    <t>SS</t>
  </si>
  <si>
    <t>Chung</t>
  </si>
  <si>
    <t>Patrick</t>
  </si>
  <si>
    <t>Cook</t>
  </si>
  <si>
    <t>Jared</t>
  </si>
  <si>
    <t>Daniel</t>
  </si>
  <si>
    <t>Chase</t>
  </si>
  <si>
    <t>DePaola</t>
  </si>
  <si>
    <t>Dickson</t>
  </si>
  <si>
    <t>Ed</t>
  </si>
  <si>
    <t>Gano</t>
  </si>
  <si>
    <t>Graham</t>
  </si>
  <si>
    <t>Jimmy</t>
  </si>
  <si>
    <t>Hunt</t>
  </si>
  <si>
    <t>Margus</t>
  </si>
  <si>
    <t>Iupati</t>
  </si>
  <si>
    <t>Jackson</t>
  </si>
  <si>
    <t>DeSean</t>
  </si>
  <si>
    <t>Larsen</t>
  </si>
  <si>
    <t>Levine</t>
  </si>
  <si>
    <t>Anthony</t>
  </si>
  <si>
    <t>Love</t>
  </si>
  <si>
    <t>Kyle</t>
  </si>
  <si>
    <t>RE</t>
  </si>
  <si>
    <t>McCourty</t>
  </si>
  <si>
    <t>Devin</t>
  </si>
  <si>
    <t>McCoy</t>
  </si>
  <si>
    <t>Colt</t>
  </si>
  <si>
    <t>Nelson</t>
  </si>
  <si>
    <t>Paulsen</t>
  </si>
  <si>
    <t>Logan</t>
  </si>
  <si>
    <t>Reed</t>
  </si>
  <si>
    <t>Brooks</t>
  </si>
  <si>
    <t>Sanders</t>
  </si>
  <si>
    <t>Emmanuel</t>
  </si>
  <si>
    <t>Succop</t>
  </si>
  <si>
    <t>Suh</t>
  </si>
  <si>
    <t>Ndamukong</t>
  </si>
  <si>
    <t>Sundberg</t>
  </si>
  <si>
    <t>Nick</t>
  </si>
  <si>
    <t>Webb</t>
  </si>
  <si>
    <t>Woods</t>
  </si>
  <si>
    <t>Al</t>
  </si>
  <si>
    <t>Addison</t>
  </si>
  <si>
    <t>Mario</t>
  </si>
  <si>
    <t>31</t>
  </si>
  <si>
    <t>Atkins</t>
  </si>
  <si>
    <t>Geno</t>
  </si>
  <si>
    <t>Bailey</t>
  </si>
  <si>
    <t>Dan</t>
  </si>
  <si>
    <t>Bosher</t>
  </si>
  <si>
    <t>Brock</t>
  </si>
  <si>
    <t>Tramaine</t>
  </si>
  <si>
    <t>Antonio</t>
  </si>
  <si>
    <t>Cannon</t>
  </si>
  <si>
    <t>Marcus</t>
  </si>
  <si>
    <t>Carter</t>
  </si>
  <si>
    <t>Bruce</t>
  </si>
  <si>
    <t>Castonzo</t>
  </si>
  <si>
    <t>Celek</t>
  </si>
  <si>
    <t>Garrett</t>
  </si>
  <si>
    <t>Clayborn</t>
  </si>
  <si>
    <t>Cousins</t>
  </si>
  <si>
    <t>Kirk</t>
  </si>
  <si>
    <t>Curry</t>
  </si>
  <si>
    <t>Vinny</t>
  </si>
  <si>
    <t>Dalton</t>
  </si>
  <si>
    <t>Develin</t>
  </si>
  <si>
    <t>James</t>
  </si>
  <si>
    <t>FB</t>
  </si>
  <si>
    <t>Devey</t>
  </si>
  <si>
    <t>Jordan</t>
  </si>
  <si>
    <t>Ducasse</t>
  </si>
  <si>
    <t>Vladimir</t>
  </si>
  <si>
    <t>Garland</t>
  </si>
  <si>
    <t>Gilbert</t>
  </si>
  <si>
    <t>Green</t>
  </si>
  <si>
    <t>AJ</t>
  </si>
  <si>
    <t>Virgil</t>
  </si>
  <si>
    <t>Griffen</t>
  </si>
  <si>
    <t>Everson</t>
  </si>
  <si>
    <t>Dwayne</t>
  </si>
  <si>
    <t>Hogan</t>
  </si>
  <si>
    <t>Chris</t>
  </si>
  <si>
    <t>Holmes</t>
  </si>
  <si>
    <t>Andre</t>
  </si>
  <si>
    <t>Hughes</t>
  </si>
  <si>
    <t>Jerry</t>
  </si>
  <si>
    <t>Irvin</t>
  </si>
  <si>
    <t>Kareem</t>
  </si>
  <si>
    <t>Jenkins</t>
  </si>
  <si>
    <t>Malcolm</t>
  </si>
  <si>
    <t>Jones</t>
  </si>
  <si>
    <t>Colin</t>
  </si>
  <si>
    <t>Reshad</t>
  </si>
  <si>
    <t>Taiwan</t>
  </si>
  <si>
    <t>Keenum</t>
  </si>
  <si>
    <t>Case</t>
  </si>
  <si>
    <t>Kelce</t>
  </si>
  <si>
    <t>Kerrigan</t>
  </si>
  <si>
    <t>Kilgore</t>
  </si>
  <si>
    <t>McClain</t>
  </si>
  <si>
    <t>Gerald</t>
  </si>
  <si>
    <t>LeSean</t>
  </si>
  <si>
    <t>McManis</t>
  </si>
  <si>
    <t>Sherrick</t>
  </si>
  <si>
    <t>McQuaide</t>
  </si>
  <si>
    <t>Jake</t>
  </si>
  <si>
    <t>Norman</t>
  </si>
  <si>
    <t>Josh</t>
  </si>
  <si>
    <t>Ola</t>
  </si>
  <si>
    <t>Person</t>
  </si>
  <si>
    <t>Corey</t>
  </si>
  <si>
    <t>Roberts</t>
  </si>
  <si>
    <t>Robertson</t>
  </si>
  <si>
    <t>Craig</t>
  </si>
  <si>
    <t>Robinson</t>
  </si>
  <si>
    <t>Saffold</t>
  </si>
  <si>
    <t>Rodger</t>
  </si>
  <si>
    <t>Scales</t>
  </si>
  <si>
    <t>Sendejo</t>
  </si>
  <si>
    <t>Sherels</t>
  </si>
  <si>
    <t>Sherman</t>
  </si>
  <si>
    <t>Richard</t>
  </si>
  <si>
    <t>Solder</t>
  </si>
  <si>
    <t>Nate</t>
  </si>
  <si>
    <t>Stafford</t>
  </si>
  <si>
    <t>Stocker</t>
  </si>
  <si>
    <t>Luke</t>
  </si>
  <si>
    <t>Stupar</t>
  </si>
  <si>
    <t>Nathan</t>
  </si>
  <si>
    <t>Tanney</t>
  </si>
  <si>
    <t>Tate</t>
  </si>
  <si>
    <t>Golden</t>
  </si>
  <si>
    <t>Tannehill</t>
  </si>
  <si>
    <t>Demaryius</t>
  </si>
  <si>
    <t>Thornton</t>
  </si>
  <si>
    <t>Cedric</t>
  </si>
  <si>
    <t>Dekoda</t>
  </si>
  <si>
    <t>JMarcus</t>
  </si>
  <si>
    <t>Wiggins</t>
  </si>
  <si>
    <t>Kenny</t>
  </si>
  <si>
    <t>Trent</t>
  </si>
  <si>
    <t>Zuerlein</t>
  </si>
  <si>
    <t>Alford</t>
  </si>
  <si>
    <t>Robert</t>
  </si>
  <si>
    <t>30</t>
  </si>
  <si>
    <t>Amukamara</t>
  </si>
  <si>
    <t>Prince</t>
  </si>
  <si>
    <t>Ansah</t>
  </si>
  <si>
    <t>Ezekiel</t>
  </si>
  <si>
    <t>Barclay</t>
  </si>
  <si>
    <t>Barner</t>
  </si>
  <si>
    <t>Kenjon</t>
  </si>
  <si>
    <t>Beachum</t>
  </si>
  <si>
    <t>Kelvin</t>
  </si>
  <si>
    <t>Beasley</t>
  </si>
  <si>
    <t>Cole</t>
  </si>
  <si>
    <t>Bellamy</t>
  </si>
  <si>
    <t>Boling</t>
  </si>
  <si>
    <t>Clint</t>
  </si>
  <si>
    <t>Bulaga</t>
  </si>
  <si>
    <t>Bryan</t>
  </si>
  <si>
    <t>Burnett</t>
  </si>
  <si>
    <t>Carpenter</t>
  </si>
  <si>
    <t>Charles</t>
  </si>
  <si>
    <t>Compton</t>
  </si>
  <si>
    <t>Crawford</t>
  </si>
  <si>
    <t>Jack</t>
  </si>
  <si>
    <t>Daniels</t>
  </si>
  <si>
    <t>Cody</t>
  </si>
  <si>
    <t>Demario</t>
  </si>
  <si>
    <t>DiMarco</t>
  </si>
  <si>
    <t>Dunlap</t>
  </si>
  <si>
    <t>Carlos</t>
  </si>
  <si>
    <t>Ebner</t>
  </si>
  <si>
    <t>Ellington</t>
  </si>
  <si>
    <t>Ellison</t>
  </si>
  <si>
    <t>Rhett</t>
  </si>
  <si>
    <t>Ferentz</t>
  </si>
  <si>
    <t>Foles</t>
  </si>
  <si>
    <t>Gettis</t>
  </si>
  <si>
    <t>Goode</t>
  </si>
  <si>
    <t>Najee</t>
  </si>
  <si>
    <t>Haden</t>
  </si>
  <si>
    <t>Harrison</t>
  </si>
  <si>
    <t>Damon</t>
  </si>
  <si>
    <t>Heyward</t>
  </si>
  <si>
    <t>Houston</t>
  </si>
  <si>
    <t>Justin</t>
  </si>
  <si>
    <t>Hudson</t>
  </si>
  <si>
    <t>Rodney</t>
  </si>
  <si>
    <t>Ingram</t>
  </si>
  <si>
    <t>Melvin</t>
  </si>
  <si>
    <t>Inman</t>
  </si>
  <si>
    <t>Dontrelle</t>
  </si>
  <si>
    <t>Janoris</t>
  </si>
  <si>
    <t>Johnson</t>
  </si>
  <si>
    <t>Julio</t>
  </si>
  <si>
    <t>Linval</t>
  </si>
  <si>
    <t>Kalil</t>
  </si>
  <si>
    <t>Leary</t>
  </si>
  <si>
    <t>Ron</t>
  </si>
  <si>
    <t>Long</t>
  </si>
  <si>
    <t>Martin</t>
  </si>
  <si>
    <t>Doug</t>
  </si>
  <si>
    <t>Massie</t>
  </si>
  <si>
    <t>Bobby</t>
  </si>
  <si>
    <t>McPhee</t>
  </si>
  <si>
    <t>Pernell</t>
  </si>
  <si>
    <t>Miller</t>
  </si>
  <si>
    <t>Von</t>
  </si>
  <si>
    <t>Newhouse</t>
  </si>
  <si>
    <t>Marshall</t>
  </si>
  <si>
    <t>Newton</t>
  </si>
  <si>
    <t>Cam</t>
  </si>
  <si>
    <t>Okung</t>
  </si>
  <si>
    <t>Russell</t>
  </si>
  <si>
    <t>Olawale</t>
  </si>
  <si>
    <t>Jamize</t>
  </si>
  <si>
    <t>Osemele</t>
  </si>
  <si>
    <t>Kelechi</t>
  </si>
  <si>
    <t>Pierre-Paul</t>
  </si>
  <si>
    <t>Pouncey</t>
  </si>
  <si>
    <t>Maurkice</t>
  </si>
  <si>
    <t>Pryor</t>
  </si>
  <si>
    <t>Terrelle</t>
  </si>
  <si>
    <t>Quick</t>
  </si>
  <si>
    <t>Reiff</t>
  </si>
  <si>
    <t>Riley</t>
  </si>
  <si>
    <t>Remmers</t>
  </si>
  <si>
    <t>Aldrick</t>
  </si>
  <si>
    <t>Sanu</t>
  </si>
  <si>
    <t>Mohamed</t>
  </si>
  <si>
    <t>Schwartz</t>
  </si>
  <si>
    <t>Mitchell</t>
  </si>
  <si>
    <t>Sheard</t>
  </si>
  <si>
    <t>Jabaal</t>
  </si>
  <si>
    <t>Short</t>
  </si>
  <si>
    <t>Kawann</t>
  </si>
  <si>
    <t>Skrine</t>
  </si>
  <si>
    <t>Buster</t>
  </si>
  <si>
    <t>Torrey</t>
  </si>
  <si>
    <t>Sowell</t>
  </si>
  <si>
    <t>Bradley</t>
  </si>
  <si>
    <t>Square</t>
  </si>
  <si>
    <t>Damion</t>
  </si>
  <si>
    <t>Sweezy</t>
  </si>
  <si>
    <t>JR</t>
  </si>
  <si>
    <t>Taylor</t>
  </si>
  <si>
    <t>Tyrod</t>
  </si>
  <si>
    <t>Earl</t>
  </si>
  <si>
    <t>Thompson</t>
  </si>
  <si>
    <t>Deonte</t>
  </si>
  <si>
    <t>Villanueva</t>
  </si>
  <si>
    <t>Alejandro</t>
  </si>
  <si>
    <t>Watt</t>
  </si>
  <si>
    <t>Wilber</t>
  </si>
  <si>
    <t>Sylvester</t>
  </si>
  <si>
    <t>Wilson</t>
  </si>
  <si>
    <t>Winchester</t>
  </si>
  <si>
    <t>Wisniewski</t>
  </si>
  <si>
    <t>Stefen</t>
  </si>
  <si>
    <t>Wright</t>
  </si>
  <si>
    <t>KJ</t>
  </si>
  <si>
    <t>Addae</t>
  </si>
  <si>
    <t>Jahleel</t>
  </si>
  <si>
    <t>29</t>
  </si>
  <si>
    <t>Allen</t>
  </si>
  <si>
    <t>Alonso</t>
  </si>
  <si>
    <t>Kiko</t>
  </si>
  <si>
    <t>Artis-Payne</t>
  </si>
  <si>
    <t>Austin</t>
  </si>
  <si>
    <t>Tavon</t>
  </si>
  <si>
    <t>Autry</t>
  </si>
  <si>
    <t>Denico</t>
  </si>
  <si>
    <t>Bademosi</t>
  </si>
  <si>
    <t>Banjo</t>
  </si>
  <si>
    <t>Barron</t>
  </si>
  <si>
    <t>Mark</t>
  </si>
  <si>
    <t>Travis</t>
  </si>
  <si>
    <t>Bethel</t>
  </si>
  <si>
    <t>Bolden</t>
  </si>
  <si>
    <t>Bradham</t>
  </si>
  <si>
    <t>Nigel</t>
  </si>
  <si>
    <t>Brewer</t>
  </si>
  <si>
    <t>Brinkley</t>
  </si>
  <si>
    <t>Beau</t>
  </si>
  <si>
    <t>Zach</t>
  </si>
  <si>
    <t>Jaron</t>
  </si>
  <si>
    <t>Bullock</t>
  </si>
  <si>
    <t>Randy</t>
  </si>
  <si>
    <t>Burkhead</t>
  </si>
  <si>
    <t>Rex</t>
  </si>
  <si>
    <t>Butler</t>
  </si>
  <si>
    <t>Brice</t>
  </si>
  <si>
    <t>Carradine</t>
  </si>
  <si>
    <t>Tank</t>
  </si>
  <si>
    <t>Carrie</t>
  </si>
  <si>
    <t>TJ</t>
  </si>
  <si>
    <t>Carrier</t>
  </si>
  <si>
    <t>Derek</t>
  </si>
  <si>
    <t>Casey</t>
  </si>
  <si>
    <t>Jurrell</t>
  </si>
  <si>
    <t>Cobb</t>
  </si>
  <si>
    <t>Randall</t>
  </si>
  <si>
    <t>Collins</t>
  </si>
  <si>
    <t>Jamie</t>
  </si>
  <si>
    <t>Cooper</t>
  </si>
  <si>
    <t>Tyrone</t>
  </si>
  <si>
    <t>Cunningham</t>
  </si>
  <si>
    <t>Benny</t>
  </si>
  <si>
    <t>Dareus</t>
  </si>
  <si>
    <t>Marcell</t>
  </si>
  <si>
    <t>David</t>
  </si>
  <si>
    <t>Lavonte</t>
  </si>
  <si>
    <t>DeCastro</t>
  </si>
  <si>
    <t>Doyle</t>
  </si>
  <si>
    <t>Floyd</t>
  </si>
  <si>
    <t>Fort</t>
  </si>
  <si>
    <t>LJ</t>
  </si>
  <si>
    <t>Gabbert</t>
  </si>
  <si>
    <t>Blaine</t>
  </si>
  <si>
    <t>Gipson</t>
  </si>
  <si>
    <t>Tashaun</t>
  </si>
  <si>
    <t>Glenn</t>
  </si>
  <si>
    <t>Cordy</t>
  </si>
  <si>
    <t>Glennon</t>
  </si>
  <si>
    <t>Goodwin</t>
  </si>
  <si>
    <t>CJ</t>
  </si>
  <si>
    <t>Griffin</t>
  </si>
  <si>
    <t>Guy</t>
  </si>
  <si>
    <t>Lawrence</t>
  </si>
  <si>
    <t>Hageman</t>
  </si>
  <si>
    <t>RaShede</t>
  </si>
  <si>
    <t>Erik</t>
  </si>
  <si>
    <t>Hayden</t>
  </si>
  <si>
    <t>DJ</t>
  </si>
  <si>
    <t>Hayward</t>
  </si>
  <si>
    <t>Hekker</t>
  </si>
  <si>
    <t>Johnny</t>
  </si>
  <si>
    <t>Hicks</t>
  </si>
  <si>
    <t>Akiem</t>
  </si>
  <si>
    <t>Hightower</t>
  </si>
  <si>
    <t>Donta</t>
  </si>
  <si>
    <t>Hill</t>
  </si>
  <si>
    <t>Taysom</t>
  </si>
  <si>
    <t>Hilton</t>
  </si>
  <si>
    <t>TY</t>
  </si>
  <si>
    <t>Horton</t>
  </si>
  <si>
    <t>Wes</t>
  </si>
  <si>
    <t>Hughlett</t>
  </si>
  <si>
    <t>Charley</t>
  </si>
  <si>
    <t>Iloka</t>
  </si>
  <si>
    <t>George</t>
  </si>
  <si>
    <t>Jean-Baptiste</t>
  </si>
  <si>
    <t>Stanley</t>
  </si>
  <si>
    <t>Malik</t>
  </si>
  <si>
    <t>Jeffery</t>
  </si>
  <si>
    <t>Alshon</t>
  </si>
  <si>
    <t>Lane</t>
  </si>
  <si>
    <t>Trumaine</t>
  </si>
  <si>
    <t>Chandler</t>
  </si>
  <si>
    <t>Datone</t>
  </si>
  <si>
    <t>Marvin</t>
  </si>
  <si>
    <t>Kearse</t>
  </si>
  <si>
    <t>Jermaine</t>
  </si>
  <si>
    <t>Kelemete</t>
  </si>
  <si>
    <t>Senio</t>
  </si>
  <si>
    <t>Kelly</t>
  </si>
  <si>
    <t>Dennis</t>
  </si>
  <si>
    <t>Kerr</t>
  </si>
  <si>
    <t>Kirkpatrick</t>
  </si>
  <si>
    <t>Dre</t>
  </si>
  <si>
    <t>Kline</t>
  </si>
  <si>
    <t>Kreiter</t>
  </si>
  <si>
    <t>Lacey</t>
  </si>
  <si>
    <t>Deon</t>
  </si>
  <si>
    <t>Kush</t>
  </si>
  <si>
    <t>Lewis-Moore</t>
  </si>
  <si>
    <t>Kapron</t>
  </si>
  <si>
    <t>Line</t>
  </si>
  <si>
    <t>Looney</t>
  </si>
  <si>
    <t>Lotulelei</t>
  </si>
  <si>
    <t>Star</t>
  </si>
  <si>
    <t>Luck</t>
  </si>
  <si>
    <t>Maher</t>
  </si>
  <si>
    <t>McCray</t>
  </si>
  <si>
    <t>Lerentee</t>
  </si>
  <si>
    <t>McDermott</t>
  </si>
  <si>
    <t>McDonald</t>
  </si>
  <si>
    <t>Vance</t>
  </si>
  <si>
    <t>McLeod</t>
  </si>
  <si>
    <t>Rashaan</t>
  </si>
  <si>
    <t>Mercilus</t>
  </si>
  <si>
    <t>Whitney</t>
  </si>
  <si>
    <t>Nzeocha</t>
  </si>
  <si>
    <t>Paradis</t>
  </si>
  <si>
    <t>Poe</t>
  </si>
  <si>
    <t>Dontari</t>
  </si>
  <si>
    <t>Pugh</t>
  </si>
  <si>
    <t>Quessenberry</t>
  </si>
  <si>
    <t>Quinn</t>
  </si>
  <si>
    <t>Rhodes</t>
  </si>
  <si>
    <t>Xavier</t>
  </si>
  <si>
    <t>Ross</t>
  </si>
  <si>
    <t>Rashad</t>
  </si>
  <si>
    <t>Rudolph</t>
  </si>
  <si>
    <t>Savage</t>
  </si>
  <si>
    <t>Simon</t>
  </si>
  <si>
    <t>Sorensen</t>
  </si>
  <si>
    <t>Tavecchio</t>
  </si>
  <si>
    <t>Giorgio</t>
  </si>
  <si>
    <t>Thielen</t>
  </si>
  <si>
    <t>Thorpe</t>
  </si>
  <si>
    <t>Neiko</t>
  </si>
  <si>
    <t>Trevathan</t>
  </si>
  <si>
    <t>Tucker</t>
  </si>
  <si>
    <t>Van</t>
  </si>
  <si>
    <t>Wagner</t>
  </si>
  <si>
    <t>Rick</t>
  </si>
  <si>
    <t>Watford</t>
  </si>
  <si>
    <t>Way</t>
  </si>
  <si>
    <t>Tress</t>
  </si>
  <si>
    <t>BW</t>
  </si>
  <si>
    <t>Whitehead</t>
  </si>
  <si>
    <t>Tahir</t>
  </si>
  <si>
    <t>Vince</t>
  </si>
  <si>
    <t>Willson</t>
  </si>
  <si>
    <t>Witzmann</t>
  </si>
  <si>
    <t>Wolfe</t>
  </si>
  <si>
    <t>Wreh-Wilson</t>
  </si>
  <si>
    <t>Blidi</t>
  </si>
  <si>
    <t>Jarius</t>
  </si>
  <si>
    <t>Zeitler</t>
  </si>
  <si>
    <t>Worrilow</t>
  </si>
  <si>
    <t>Paul</t>
  </si>
  <si>
    <t>Aboushi</t>
  </si>
  <si>
    <t>Oday</t>
  </si>
  <si>
    <t>28</t>
  </si>
  <si>
    <t>Aikens</t>
  </si>
  <si>
    <t>Walt</t>
  </si>
  <si>
    <t>Maurice</t>
  </si>
  <si>
    <t>Javorius</t>
  </si>
  <si>
    <t>Anderson</t>
  </si>
  <si>
    <t>Henry</t>
  </si>
  <si>
    <t>Andrews</t>
  </si>
  <si>
    <t>Armstead</t>
  </si>
  <si>
    <t>Terron</t>
  </si>
  <si>
    <t>Armstrong</t>
  </si>
  <si>
    <t>Ray-Ray</t>
  </si>
  <si>
    <t>Barkley</t>
  </si>
  <si>
    <t>Bates</t>
  </si>
  <si>
    <t>Daren</t>
  </si>
  <si>
    <t>Bell</t>
  </si>
  <si>
    <t>Blake</t>
  </si>
  <si>
    <t>Berry</t>
  </si>
  <si>
    <t>Blue</t>
  </si>
  <si>
    <t>Alfred</t>
  </si>
  <si>
    <t>Bostic</t>
  </si>
  <si>
    <t>Boswell</t>
  </si>
  <si>
    <t>Bouye</t>
  </si>
  <si>
    <t>Brate</t>
  </si>
  <si>
    <t>Britt</t>
  </si>
  <si>
    <t>Brockers</t>
  </si>
  <si>
    <t>Burfict</t>
  </si>
  <si>
    <t>Vontaze</t>
  </si>
  <si>
    <t>Catanzaro</t>
  </si>
  <si>
    <t>Orson</t>
  </si>
  <si>
    <t>Cockrell</t>
  </si>
  <si>
    <t>Copeland</t>
  </si>
  <si>
    <t>Cowser</t>
  </si>
  <si>
    <t>Fletcher</t>
  </si>
  <si>
    <t>Jerome</t>
  </si>
  <si>
    <t>Dangerfield</t>
  </si>
  <si>
    <t>Desir</t>
  </si>
  <si>
    <t>Pierre</t>
  </si>
  <si>
    <t>Donald</t>
  </si>
  <si>
    <t>Dozier</t>
  </si>
  <si>
    <t>Dakota</t>
  </si>
  <si>
    <t>Duvernay-Tardif</t>
  </si>
  <si>
    <t>Laurent</t>
  </si>
  <si>
    <t>Dzubnar</t>
  </si>
  <si>
    <t>Eifert</t>
  </si>
  <si>
    <t>Tyler</t>
  </si>
  <si>
    <t>Ellis</t>
  </si>
  <si>
    <t>Ertz</t>
  </si>
  <si>
    <t>Exum</t>
  </si>
  <si>
    <t>Antone</t>
  </si>
  <si>
    <t>Fisher</t>
  </si>
  <si>
    <t>Fluker</t>
  </si>
  <si>
    <t>Ford</t>
  </si>
  <si>
    <t>Dee</t>
  </si>
  <si>
    <t>Fowler</t>
  </si>
  <si>
    <t>Bennie</t>
  </si>
  <si>
    <t>Frederick</t>
  </si>
  <si>
    <t>Gabriel</t>
  </si>
  <si>
    <t>Gaines</t>
  </si>
  <si>
    <t>Phillip</t>
  </si>
  <si>
    <t>Gholston</t>
  </si>
  <si>
    <t>William</t>
  </si>
  <si>
    <t>Gilmore</t>
  </si>
  <si>
    <t>Stephon</t>
  </si>
  <si>
    <t>Markus</t>
  </si>
  <si>
    <t>Good</t>
  </si>
  <si>
    <t>Denzelle</t>
  </si>
  <si>
    <t>Gordon</t>
  </si>
  <si>
    <t>Marquise</t>
  </si>
  <si>
    <t>Grant</t>
  </si>
  <si>
    <t>Grasu</t>
  </si>
  <si>
    <t>Hroniss</t>
  </si>
  <si>
    <t>Gray</t>
  </si>
  <si>
    <t>Groy</t>
  </si>
  <si>
    <t>Halapio</t>
  </si>
  <si>
    <t>Harmon</t>
  </si>
  <si>
    <t>Duron</t>
  </si>
  <si>
    <t>Demetrius</t>
  </si>
  <si>
    <t>Shelby</t>
  </si>
  <si>
    <t>Jonotthan</t>
  </si>
  <si>
    <t>Heath</t>
  </si>
  <si>
    <t>Jeff</t>
  </si>
  <si>
    <t>Troy</t>
  </si>
  <si>
    <t>Holton</t>
  </si>
  <si>
    <t>Hopkins</t>
  </si>
  <si>
    <t>Hubbard</t>
  </si>
  <si>
    <t>Hull</t>
  </si>
  <si>
    <t>Hyde</t>
  </si>
  <si>
    <t>Micah</t>
  </si>
  <si>
    <t>Hyder</t>
  </si>
  <si>
    <t>Kerry</t>
  </si>
  <si>
    <t>Ishmael</t>
  </si>
  <si>
    <t>Kemal</t>
  </si>
  <si>
    <t>Gabe</t>
  </si>
  <si>
    <t>Jensen</t>
  </si>
  <si>
    <t>Christian</t>
  </si>
  <si>
    <t>Joyner</t>
  </si>
  <si>
    <t>Lamarcus</t>
  </si>
  <si>
    <t>Juszczyk</t>
  </si>
  <si>
    <t>Kaufusi</t>
  </si>
  <si>
    <t>Bronson</t>
  </si>
  <si>
    <t>Kendricks</t>
  </si>
  <si>
    <t>Mychal</t>
  </si>
  <si>
    <t>Kennard</t>
  </si>
  <si>
    <t>Devon</t>
  </si>
  <si>
    <t>Kerin</t>
  </si>
  <si>
    <t>Zac</t>
  </si>
  <si>
    <t>Klein</t>
  </si>
  <si>
    <t>Kuechly</t>
  </si>
  <si>
    <t>Lambo</t>
  </si>
  <si>
    <t>Lawson</t>
  </si>
  <si>
    <t>Nevin</t>
  </si>
  <si>
    <t>Lewan</t>
  </si>
  <si>
    <t>Dion</t>
  </si>
  <si>
    <t>Linsley</t>
  </si>
  <si>
    <t>Spencer</t>
  </si>
  <si>
    <t>Lucas</t>
  </si>
  <si>
    <t>Cornelius</t>
  </si>
  <si>
    <t>Khalil</t>
  </si>
  <si>
    <t>Zack</t>
  </si>
  <si>
    <t>Mauro</t>
  </si>
  <si>
    <t>Mayle</t>
  </si>
  <si>
    <t>Mayowa</t>
  </si>
  <si>
    <t>Benson</t>
  </si>
  <si>
    <t>McCarron</t>
  </si>
  <si>
    <t>McDougald</t>
  </si>
  <si>
    <t>McManus</t>
  </si>
  <si>
    <t>Means</t>
  </si>
  <si>
    <t>Steven</t>
  </si>
  <si>
    <t>Meder</t>
  </si>
  <si>
    <t>Lamar</t>
  </si>
  <si>
    <t>Mills</t>
  </si>
  <si>
    <t>Mingo</t>
  </si>
  <si>
    <t>Barkevious</t>
  </si>
  <si>
    <t>Moses</t>
  </si>
  <si>
    <t>Murphy</t>
  </si>
  <si>
    <t>Murray</t>
  </si>
  <si>
    <t>Latavius</t>
  </si>
  <si>
    <t>Myers</t>
  </si>
  <si>
    <t>ODonnell</t>
  </si>
  <si>
    <t>Pat</t>
  </si>
  <si>
    <t>Okafor</t>
  </si>
  <si>
    <t>Pamphile</t>
  </si>
  <si>
    <t>Pasztor</t>
  </si>
  <si>
    <t>Patterson</t>
  </si>
  <si>
    <t>Cordarrelle</t>
  </si>
  <si>
    <t>Pennel</t>
  </si>
  <si>
    <t>Poyer</t>
  </si>
  <si>
    <t>Qvale</t>
  </si>
  <si>
    <t>Brent</t>
  </si>
  <si>
    <t>Reaser</t>
  </si>
  <si>
    <t>Keith</t>
  </si>
  <si>
    <t>Reynolds</t>
  </si>
  <si>
    <t>LaRoy</t>
  </si>
  <si>
    <t>Richards</t>
  </si>
  <si>
    <t>Richardson</t>
  </si>
  <si>
    <t>Sheldon</t>
  </si>
  <si>
    <t>Riddick</t>
  </si>
  <si>
    <t>Theo</t>
  </si>
  <si>
    <t>Richburg</t>
  </si>
  <si>
    <t>Weston</t>
  </si>
  <si>
    <t>Darryl</t>
  </si>
  <si>
    <t>Seth</t>
  </si>
  <si>
    <t>Schofield</t>
  </si>
  <si>
    <t>Shatley</t>
  </si>
  <si>
    <t>Shepard</t>
  </si>
  <si>
    <t>Sirles</t>
  </si>
  <si>
    <t>Jeremiah</t>
  </si>
  <si>
    <t>Slay</t>
  </si>
  <si>
    <t>Darius</t>
  </si>
  <si>
    <t>Telvin</t>
  </si>
  <si>
    <t>Tyron</t>
  </si>
  <si>
    <t>Spain</t>
  </si>
  <si>
    <t>Quinton</t>
  </si>
  <si>
    <t>Stanford</t>
  </si>
  <si>
    <t>Shamar</t>
  </si>
  <si>
    <t>Sua-Filo</t>
  </si>
  <si>
    <t>Swearinger</t>
  </si>
  <si>
    <t>Adarius</t>
  </si>
  <si>
    <t>Jamar</t>
  </si>
  <si>
    <t>Shamarko</t>
  </si>
  <si>
    <t>Toilolo</t>
  </si>
  <si>
    <t>Tretter</t>
  </si>
  <si>
    <t>JC</t>
  </si>
  <si>
    <t>Trufant</t>
  </si>
  <si>
    <t>Desmond</t>
  </si>
  <si>
    <t>Urban</t>
  </si>
  <si>
    <t>Vaccaro</t>
  </si>
  <si>
    <t>Olivier</t>
  </si>
  <si>
    <t>Verrett</t>
  </si>
  <si>
    <t>Vujnovich</t>
  </si>
  <si>
    <t>Jeremy</t>
  </si>
  <si>
    <t>Waddle</t>
  </si>
  <si>
    <t>LaAdrian</t>
  </si>
  <si>
    <t>Ward</t>
  </si>
  <si>
    <t>Jimmie</t>
  </si>
  <si>
    <t>Warford</t>
  </si>
  <si>
    <t>Wells</t>
  </si>
  <si>
    <t>Wetzel</t>
  </si>
  <si>
    <t>Wilcox</t>
  </si>
  <si>
    <t>KWaun</t>
  </si>
  <si>
    <t>Shawn</t>
  </si>
  <si>
    <t>Winters</t>
  </si>
  <si>
    <t>Wynn</t>
  </si>
  <si>
    <t>Adams</t>
  </si>
  <si>
    <t>Tyrell</t>
  </si>
  <si>
    <t>27</t>
  </si>
  <si>
    <t>Akins</t>
  </si>
  <si>
    <t>Keenan</t>
  </si>
  <si>
    <t>Ricardo</t>
  </si>
  <si>
    <t>Amerson</t>
  </si>
  <si>
    <t>Jonathan</t>
  </si>
  <si>
    <t>Bakhtiari</t>
  </si>
  <si>
    <t>Barr</t>
  </si>
  <si>
    <t>Vic</t>
  </si>
  <si>
    <t>LeVeon</t>
  </si>
  <si>
    <t>Bernard</t>
  </si>
  <si>
    <t>Giovani</t>
  </si>
  <si>
    <t>Bitonio</t>
  </si>
  <si>
    <t>Joel</t>
  </si>
  <si>
    <t>Blythe</t>
  </si>
  <si>
    <t>Bodine</t>
  </si>
  <si>
    <t>Bolles</t>
  </si>
  <si>
    <t>Garett</t>
  </si>
  <si>
    <t>Booker</t>
  </si>
  <si>
    <t>Devontae</t>
  </si>
  <si>
    <t>Bortles</t>
  </si>
  <si>
    <t>Bray</t>
  </si>
  <si>
    <t>Breeland</t>
  </si>
  <si>
    <t>Bashaud</t>
  </si>
  <si>
    <t>Terrence</t>
  </si>
  <si>
    <t>Bucannon</t>
  </si>
  <si>
    <t>Deone</t>
  </si>
  <si>
    <t>Burton</t>
  </si>
  <si>
    <t>Trey</t>
  </si>
  <si>
    <t>Burwell</t>
  </si>
  <si>
    <t>Tyreek</t>
  </si>
  <si>
    <t>Calhoun</t>
  </si>
  <si>
    <t>Shilique</t>
  </si>
  <si>
    <t>Callahan</t>
  </si>
  <si>
    <t>Bryce</t>
  </si>
  <si>
    <t>Cann</t>
  </si>
  <si>
    <t>Cardona</t>
  </si>
  <si>
    <t>Clemmings</t>
  </si>
  <si>
    <t>Cliett</t>
  </si>
  <si>
    <t>Reshard</t>
  </si>
  <si>
    <t>Coleman</t>
  </si>
  <si>
    <t>Shon</t>
  </si>
  <si>
    <t>Colvin</t>
  </si>
  <si>
    <t>Darr</t>
  </si>
  <si>
    <t>Carl</t>
  </si>
  <si>
    <t>Geremy</t>
  </si>
  <si>
    <t>Todd</t>
  </si>
  <si>
    <t>Jesse</t>
  </si>
  <si>
    <t>Dennard</t>
  </si>
  <si>
    <t>Darqueze</t>
  </si>
  <si>
    <t>Donnal</t>
  </si>
  <si>
    <t>Douglas</t>
  </si>
  <si>
    <t>Jamil</t>
  </si>
  <si>
    <t>Dunbar</t>
  </si>
  <si>
    <t>Durden</t>
  </si>
  <si>
    <t>Kenneth</t>
  </si>
  <si>
    <t>East</t>
  </si>
  <si>
    <t>Easton</t>
  </si>
  <si>
    <t>Edwards</t>
  </si>
  <si>
    <t>Lac</t>
  </si>
  <si>
    <t>Elliott</t>
  </si>
  <si>
    <t>Jayrone</t>
  </si>
  <si>
    <t>Enunwa</t>
  </si>
  <si>
    <t>Quincy</t>
  </si>
  <si>
    <t>Erving</t>
  </si>
  <si>
    <t>Everett</t>
  </si>
  <si>
    <t>Deshazor</t>
  </si>
  <si>
    <t>Fackrell</t>
  </si>
  <si>
    <t>Kyler</t>
  </si>
  <si>
    <t>Fant</t>
  </si>
  <si>
    <t>Farley</t>
  </si>
  <si>
    <t>Matthias</t>
  </si>
  <si>
    <t>Feiler</t>
  </si>
  <si>
    <t>Feliciano</t>
  </si>
  <si>
    <t>Finney</t>
  </si>
  <si>
    <t>BJ</t>
  </si>
  <si>
    <t>Flowers</t>
  </si>
  <si>
    <t>Marquis</t>
  </si>
  <si>
    <t>Fluellen</t>
  </si>
  <si>
    <t>Freeman</t>
  </si>
  <si>
    <t>Devonta</t>
  </si>
  <si>
    <t>Fuller</t>
  </si>
  <si>
    <t>Fulton</t>
  </si>
  <si>
    <t>EJ</t>
  </si>
  <si>
    <t>Garcia</t>
  </si>
  <si>
    <t>Max</t>
  </si>
  <si>
    <t>Garoppolo</t>
  </si>
  <si>
    <t>Geathers</t>
  </si>
  <si>
    <t>Clayton</t>
  </si>
  <si>
    <t>Glasgow</t>
  </si>
  <si>
    <t>Glowinski</t>
  </si>
  <si>
    <t>Chaz</t>
  </si>
  <si>
    <t>Grissom</t>
  </si>
  <si>
    <t>Geneo</t>
  </si>
  <si>
    <t>Gunter</t>
  </si>
  <si>
    <t>Hager</t>
  </si>
  <si>
    <t>Hankins</t>
  </si>
  <si>
    <t>Hardy</t>
  </si>
  <si>
    <t>Havenstein</t>
  </si>
  <si>
    <t>Rob</t>
  </si>
  <si>
    <t>Henderson</t>
  </si>
  <si>
    <t>Seantrel</t>
  </si>
  <si>
    <t>Rashod</t>
  </si>
  <si>
    <t>Hitchens</t>
  </si>
  <si>
    <t>Hooks</t>
  </si>
  <si>
    <t>Lavon</t>
  </si>
  <si>
    <t>DeAndre</t>
  </si>
  <si>
    <t>Hurst</t>
  </si>
  <si>
    <t>Hurns</t>
  </si>
  <si>
    <t>Jefferson</t>
  </si>
  <si>
    <t>JaWuan</t>
  </si>
  <si>
    <t>Isaiah</t>
  </si>
  <si>
    <t>Ulrick</t>
  </si>
  <si>
    <t>Jennings</t>
  </si>
  <si>
    <t>Johnston</t>
  </si>
  <si>
    <t>Abry</t>
  </si>
  <si>
    <t>DaQuan</t>
  </si>
  <si>
    <t>Judon</t>
  </si>
  <si>
    <t>Kilgo</t>
  </si>
  <si>
    <t>King</t>
  </si>
  <si>
    <t>Akeem</t>
  </si>
  <si>
    <t>Kirksey</t>
  </si>
  <si>
    <t>Kumerow</t>
  </si>
  <si>
    <t>Lamm</t>
  </si>
  <si>
    <t>Kendall</t>
  </si>
  <si>
    <t>Ladler</t>
  </si>
  <si>
    <t>Langford</t>
  </si>
  <si>
    <t>DeMarcus</t>
  </si>
  <si>
    <t>Marqise</t>
  </si>
  <si>
    <t>Leno</t>
  </si>
  <si>
    <t>Liedtke</t>
  </si>
  <si>
    <t>Linder</t>
  </si>
  <si>
    <t>Lippett</t>
  </si>
  <si>
    <t>Mancz</t>
  </si>
  <si>
    <t>Manhertz</t>
  </si>
  <si>
    <t>Mannion</t>
  </si>
  <si>
    <t>Marlowe</t>
  </si>
  <si>
    <t>Dean</t>
  </si>
  <si>
    <t>Marsh</t>
  </si>
  <si>
    <t>Cassius</t>
  </si>
  <si>
    <t>Mathieu</t>
  </si>
  <si>
    <t>Tyrann</t>
  </si>
  <si>
    <t>McCullers</t>
  </si>
  <si>
    <t>McKinnon</t>
  </si>
  <si>
    <t>Jerick</t>
  </si>
  <si>
    <t>Mihalik</t>
  </si>
  <si>
    <t>Terrance</t>
  </si>
  <si>
    <t>Morse</t>
  </si>
  <si>
    <t>Mitch</t>
  </si>
  <si>
    <t>Mosley</t>
  </si>
  <si>
    <t>Mostert</t>
  </si>
  <si>
    <t>Raheem</t>
  </si>
  <si>
    <t>Neasman</t>
  </si>
  <si>
    <t>Sharrod</t>
  </si>
  <si>
    <t>Nix</t>
  </si>
  <si>
    <t>Roosevelt</t>
  </si>
  <si>
    <t>Norwell</t>
  </si>
  <si>
    <t>Obada</t>
  </si>
  <si>
    <t>Efe</t>
  </si>
  <si>
    <t>Ogbuehi</t>
  </si>
  <si>
    <t>Ogletree</t>
  </si>
  <si>
    <t>Alec</t>
  </si>
  <si>
    <t>OLeary</t>
  </si>
  <si>
    <t>Onwuasor</t>
  </si>
  <si>
    <t>OShaughnessy</t>
  </si>
  <si>
    <t>Ott</t>
  </si>
  <si>
    <t>Palardy</t>
  </si>
  <si>
    <t>Parry</t>
  </si>
  <si>
    <t>Phillips</t>
  </si>
  <si>
    <t>Pierre-Louis</t>
  </si>
  <si>
    <t>Pruitt</t>
  </si>
  <si>
    <t>MyCole</t>
  </si>
  <si>
    <t>Damarious</t>
  </si>
  <si>
    <t>Redfern</t>
  </si>
  <si>
    <t>Kasey</t>
  </si>
  <si>
    <t>Reid</t>
  </si>
  <si>
    <t>Reiter</t>
  </si>
  <si>
    <t>Ringo</t>
  </si>
  <si>
    <t>Curtis</t>
  </si>
  <si>
    <t>Robey-Coleman</t>
  </si>
  <si>
    <t>Nickell</t>
  </si>
  <si>
    <t>Roby</t>
  </si>
  <si>
    <t>Sambrailo</t>
  </si>
  <si>
    <t>Santos</t>
  </si>
  <si>
    <t>Cairo</t>
  </si>
  <si>
    <t>Scherff</t>
  </si>
  <si>
    <t>Shaw</t>
  </si>
  <si>
    <t>Shell</t>
  </si>
  <si>
    <t>Showers</t>
  </si>
  <si>
    <t>Jameill</t>
  </si>
  <si>
    <t>Siemian</t>
  </si>
  <si>
    <t>Trevor</t>
  </si>
  <si>
    <t>Derron</t>
  </si>
  <si>
    <t>Simonson</t>
  </si>
  <si>
    <t>Scott</t>
  </si>
  <si>
    <t>Slade</t>
  </si>
  <si>
    <t>Rod</t>
  </si>
  <si>
    <t>Spence</t>
  </si>
  <si>
    <t>Sterling</t>
  </si>
  <si>
    <t>Neal</t>
  </si>
  <si>
    <t>Sterup</t>
  </si>
  <si>
    <t>Stills</t>
  </si>
  <si>
    <t>Tartt</t>
  </si>
  <si>
    <t>Jaquiski</t>
  </si>
  <si>
    <t>Tomlinson</t>
  </si>
  <si>
    <t>Laken</t>
  </si>
  <si>
    <t>Turner</t>
  </si>
  <si>
    <t>Billy</t>
  </si>
  <si>
    <t>Tye</t>
  </si>
  <si>
    <t>Will</t>
  </si>
  <si>
    <t>Walford</t>
  </si>
  <si>
    <t>Clive</t>
  </si>
  <si>
    <t>Ware</t>
  </si>
  <si>
    <t>Watkins</t>
  </si>
  <si>
    <t>Jaylen</t>
  </si>
  <si>
    <t>Waynes</t>
  </si>
  <si>
    <t>Trae</t>
  </si>
  <si>
    <t>DeOndre</t>
  </si>
  <si>
    <t>White</t>
  </si>
  <si>
    <t>DeAndrew</t>
  </si>
  <si>
    <t>Daryl</t>
  </si>
  <si>
    <t>Whitehair</t>
  </si>
  <si>
    <t>Wichmann</t>
  </si>
  <si>
    <t>Damien</t>
  </si>
  <si>
    <t>Wile</t>
  </si>
  <si>
    <t>Williamson</t>
  </si>
  <si>
    <t>Avery</t>
  </si>
  <si>
    <t>Albert</t>
  </si>
  <si>
    <t>Ramik</t>
  </si>
  <si>
    <t>Wishnowsky</t>
  </si>
  <si>
    <t>Zettel</t>
  </si>
  <si>
    <t>Abdullah</t>
  </si>
  <si>
    <t>Ameer</t>
  </si>
  <si>
    <t>26</t>
  </si>
  <si>
    <t>Davante</t>
  </si>
  <si>
    <t>Jerell</t>
  </si>
  <si>
    <t>Agholor</t>
  </si>
  <si>
    <t>Amos</t>
  </si>
  <si>
    <t>Robby</t>
  </si>
  <si>
    <t>Attaochu</t>
  </si>
  <si>
    <t>Auclair</t>
  </si>
  <si>
    <t>Antony</t>
  </si>
  <si>
    <t>Barrett</t>
  </si>
  <si>
    <t>Shaquil</t>
  </si>
  <si>
    <t>Bausby</t>
  </si>
  <si>
    <t>DeVante</t>
  </si>
  <si>
    <t>Beckham</t>
  </si>
  <si>
    <t>Odell</t>
  </si>
  <si>
    <t>Bibbs</t>
  </si>
  <si>
    <t>Kapri</t>
  </si>
  <si>
    <t>Biegel</t>
  </si>
  <si>
    <t>Blackson</t>
  </si>
  <si>
    <t>Angelo</t>
  </si>
  <si>
    <t>Blair</t>
  </si>
  <si>
    <t>Ronald</t>
  </si>
  <si>
    <t>Boddy-Calhoun</t>
  </si>
  <si>
    <t>Briean</t>
  </si>
  <si>
    <t>Boehm</t>
  </si>
  <si>
    <t>Bond</t>
  </si>
  <si>
    <t>Devante</t>
  </si>
  <si>
    <t>Boyle</t>
  </si>
  <si>
    <t>Bradberry</t>
  </si>
  <si>
    <t>Brendel</t>
  </si>
  <si>
    <t>Bridgewater</t>
  </si>
  <si>
    <t>Teddy</t>
  </si>
  <si>
    <t>Brissett</t>
  </si>
  <si>
    <t>Jacoby</t>
  </si>
  <si>
    <t>Brothers</t>
  </si>
  <si>
    <t>Kentrell</t>
  </si>
  <si>
    <t>Jamon</t>
  </si>
  <si>
    <t>Preston</t>
  </si>
  <si>
    <t>Fadol</t>
  </si>
  <si>
    <t>Burris</t>
  </si>
  <si>
    <t>Juston</t>
  </si>
  <si>
    <t>Byard</t>
  </si>
  <si>
    <t>Byrd</t>
  </si>
  <si>
    <t>Damiere</t>
  </si>
  <si>
    <t>Taveze</t>
  </si>
  <si>
    <t>DeVondre</t>
  </si>
  <si>
    <t>Canaday</t>
  </si>
  <si>
    <t>Kameron</t>
  </si>
  <si>
    <t>Carson</t>
  </si>
  <si>
    <t>Tra</t>
  </si>
  <si>
    <t>Catalina</t>
  </si>
  <si>
    <t>Chickillo</t>
  </si>
  <si>
    <t>LeRaven</t>
  </si>
  <si>
    <t>Clowney</t>
  </si>
  <si>
    <t>Jadeveon</t>
  </si>
  <si>
    <t>Keelan</t>
  </si>
  <si>
    <t>Tevin</t>
  </si>
  <si>
    <t>Lael</t>
  </si>
  <si>
    <t>Jalen</t>
  </si>
  <si>
    <t>Aviante</t>
  </si>
  <si>
    <t>Conley</t>
  </si>
  <si>
    <t>Connor</t>
  </si>
  <si>
    <t>Countess</t>
  </si>
  <si>
    <t>Crawley</t>
  </si>
  <si>
    <t>Ken</t>
  </si>
  <si>
    <t>Crowder</t>
  </si>
  <si>
    <t>Jamison</t>
  </si>
  <si>
    <t>Crowell</t>
  </si>
  <si>
    <t>Culkin</t>
  </si>
  <si>
    <t>Dahl</t>
  </si>
  <si>
    <t>Davison</t>
  </si>
  <si>
    <t>Tyeler</t>
  </si>
  <si>
    <t>DeCoud</t>
  </si>
  <si>
    <t>Treston</t>
  </si>
  <si>
    <t>DeValve</t>
  </si>
  <si>
    <t>Dieter</t>
  </si>
  <si>
    <t>Gehrig</t>
  </si>
  <si>
    <t>Diggs</t>
  </si>
  <si>
    <t>Quandre</t>
  </si>
  <si>
    <t>Dixon</t>
  </si>
  <si>
    <t>Doctson</t>
  </si>
  <si>
    <t>Dora</t>
  </si>
  <si>
    <t>Vontarrius</t>
  </si>
  <si>
    <t>Dorleant</t>
  </si>
  <si>
    <t>Makinton</t>
  </si>
  <si>
    <t>Dorsett</t>
  </si>
  <si>
    <t>Drango</t>
  </si>
  <si>
    <t>Driskel</t>
  </si>
  <si>
    <t>Dunn</t>
  </si>
  <si>
    <t>Dupree</t>
  </si>
  <si>
    <t>Bud</t>
  </si>
  <si>
    <t>Ebron</t>
  </si>
  <si>
    <t>Javien</t>
  </si>
  <si>
    <t>Erickson</t>
  </si>
  <si>
    <t>Evans</t>
  </si>
  <si>
    <t>Marwin</t>
  </si>
  <si>
    <t>Fabiano</t>
  </si>
  <si>
    <t>Farrow</t>
  </si>
  <si>
    <t>Fejedelem</t>
  </si>
  <si>
    <t>Ficken</t>
  </si>
  <si>
    <t>Ferguson</t>
  </si>
  <si>
    <t>Fleming</t>
  </si>
  <si>
    <t>Leonard</t>
  </si>
  <si>
    <t>Reggie</t>
  </si>
  <si>
    <t>Goodson</t>
  </si>
  <si>
    <t>Gotsis</t>
  </si>
  <si>
    <t>Jakeem</t>
  </si>
  <si>
    <t>Gregory</t>
  </si>
  <si>
    <t>Grimble</t>
  </si>
  <si>
    <t>Ha</t>
  </si>
  <si>
    <t>Haeg</t>
  </si>
  <si>
    <t>Hamilton</t>
  </si>
  <si>
    <t>Woodrow</t>
  </si>
  <si>
    <t>Hall</t>
  </si>
  <si>
    <t>Ham</t>
  </si>
  <si>
    <t>Hargrave</t>
  </si>
  <si>
    <t>Javon</t>
  </si>
  <si>
    <t>Hawkins</t>
  </si>
  <si>
    <t>Heinicke</t>
  </si>
  <si>
    <t>Hemingway</t>
  </si>
  <si>
    <t>Temarrick</t>
  </si>
  <si>
    <t>Hendy</t>
  </si>
  <si>
    <t>DeAngelo</t>
  </si>
  <si>
    <t>Hester</t>
  </si>
  <si>
    <t>Treyvon</t>
  </si>
  <si>
    <t>Heuerman</t>
  </si>
  <si>
    <t>Hewitt</t>
  </si>
  <si>
    <t>Neville</t>
  </si>
  <si>
    <t>Higbee</t>
  </si>
  <si>
    <t>Houston-Carson</t>
  </si>
  <si>
    <t>Howard</t>
  </si>
  <si>
    <t>Xavien</t>
  </si>
  <si>
    <t>Humphries</t>
  </si>
  <si>
    <t>Hundley</t>
  </si>
  <si>
    <t>Branden</t>
  </si>
  <si>
    <t>Jarrett</t>
  </si>
  <si>
    <t>Grady</t>
  </si>
  <si>
    <t>Janovich</t>
  </si>
  <si>
    <t>Jernigan</t>
  </si>
  <si>
    <t>Tim</t>
  </si>
  <si>
    <t>Byron</t>
  </si>
  <si>
    <t>Cardale</t>
  </si>
  <si>
    <t>Kamalu</t>
  </si>
  <si>
    <t>Ufomba</t>
  </si>
  <si>
    <t>Karras</t>
  </si>
  <si>
    <t>Kazee</t>
  </si>
  <si>
    <t>Damontae</t>
  </si>
  <si>
    <t>Kessler</t>
  </si>
  <si>
    <t>Killebrew</t>
  </si>
  <si>
    <t>Miles</t>
  </si>
  <si>
    <t>Koyack</t>
  </si>
  <si>
    <t>Kroft</t>
  </si>
  <si>
    <t>Kupp</t>
  </si>
  <si>
    <t>Kwiatkoski</t>
  </si>
  <si>
    <t>LaCosse</t>
  </si>
  <si>
    <t>Landrum</t>
  </si>
  <si>
    <t>Landry</t>
  </si>
  <si>
    <t>Jarvis</t>
  </si>
  <si>
    <t>Langi</t>
  </si>
  <si>
    <t>Harvey</t>
  </si>
  <si>
    <t>Lanier</t>
  </si>
  <si>
    <t>Latimer</t>
  </si>
  <si>
    <t>Devaroe</t>
  </si>
  <si>
    <t>Tommylee</t>
  </si>
  <si>
    <t>Lockett</t>
  </si>
  <si>
    <t>Loewen</t>
  </si>
  <si>
    <t>Lovato</t>
  </si>
  <si>
    <t>Lynch</t>
  </si>
  <si>
    <t>March-Lillard</t>
  </si>
  <si>
    <t>Marpet</t>
  </si>
  <si>
    <t>Ali</t>
  </si>
  <si>
    <t>Shaq</t>
  </si>
  <si>
    <t>Marz</t>
  </si>
  <si>
    <t>Matakevich</t>
  </si>
  <si>
    <t>Maulet</t>
  </si>
  <si>
    <t>Arthur</t>
  </si>
  <si>
    <t>Maye</t>
  </si>
  <si>
    <t>Mayo</t>
  </si>
  <si>
    <t>Mbu</t>
  </si>
  <si>
    <t>Joey</t>
  </si>
  <si>
    <t>McCain</t>
  </si>
  <si>
    <t>Conor</t>
  </si>
  <si>
    <t>McGill</t>
  </si>
  <si>
    <t>McGovern</t>
  </si>
  <si>
    <t>McKinney</t>
  </si>
  <si>
    <t>Benardrick</t>
  </si>
  <si>
    <t>McKinzy</t>
  </si>
  <si>
    <t>Cassanova</t>
  </si>
  <si>
    <t>McKissic</t>
  </si>
  <si>
    <t>JD</t>
  </si>
  <si>
    <t>McRae</t>
  </si>
  <si>
    <t>Meredith</t>
  </si>
  <si>
    <t>Braxton</t>
  </si>
  <si>
    <t>Milton</t>
  </si>
  <si>
    <t>Moore</t>
  </si>
  <si>
    <t>Montgomery</t>
  </si>
  <si>
    <t>Moncrief</t>
  </si>
  <si>
    <t>Donte</t>
  </si>
  <si>
    <t>Nassib</t>
  </si>
  <si>
    <t>Neary</t>
  </si>
  <si>
    <t>Norris</t>
  </si>
  <si>
    <t>Nunez-Roches</t>
  </si>
  <si>
    <t>Rakeem</t>
  </si>
  <si>
    <t>Odhiambo</t>
  </si>
  <si>
    <t>Rees</t>
  </si>
  <si>
    <t>Onyemata</t>
  </si>
  <si>
    <t>Parker</t>
  </si>
  <si>
    <t>Peake</t>
  </si>
  <si>
    <t>Charone</t>
  </si>
  <si>
    <t>Peko</t>
  </si>
  <si>
    <t>Penny</t>
  </si>
  <si>
    <t>Elijhaa</t>
  </si>
  <si>
    <t>Perkins</t>
  </si>
  <si>
    <t>Joshua</t>
  </si>
  <si>
    <t>Perryman</t>
  </si>
  <si>
    <t>Denzel</t>
  </si>
  <si>
    <t>Carroll</t>
  </si>
  <si>
    <t>Pierce</t>
  </si>
  <si>
    <t>Poole</t>
  </si>
  <si>
    <t>Prescott</t>
  </si>
  <si>
    <t>Dak</t>
  </si>
  <si>
    <t>President</t>
  </si>
  <si>
    <t>Gimel</t>
  </si>
  <si>
    <t>Pulley</t>
  </si>
  <si>
    <t>Ray</t>
  </si>
  <si>
    <t>Shane</t>
  </si>
  <si>
    <t>Rawls</t>
  </si>
  <si>
    <t>Redmond</t>
  </si>
  <si>
    <t>Pete</t>
  </si>
  <si>
    <t>Robertson-Harris</t>
  </si>
  <si>
    <t>Roy</t>
  </si>
  <si>
    <t>Rogers</t>
  </si>
  <si>
    <t>Roos</t>
  </si>
  <si>
    <t>Rowe</t>
  </si>
  <si>
    <t>Rudock</t>
  </si>
  <si>
    <t>Roullier</t>
  </si>
  <si>
    <t>Alonzo</t>
  </si>
  <si>
    <t>Scarlett</t>
  </si>
  <si>
    <t>Brennan</t>
  </si>
  <si>
    <t>Shazier</t>
  </si>
  <si>
    <t>Shelton</t>
  </si>
  <si>
    <t>Silberman</t>
  </si>
  <si>
    <t>Ian</t>
  </si>
  <si>
    <t>Skura</t>
  </si>
  <si>
    <t>Donovan</t>
  </si>
  <si>
    <t>ZaDarius</t>
  </si>
  <si>
    <t>Snead</t>
  </si>
  <si>
    <t>Willie</t>
  </si>
  <si>
    <t>Thuney</t>
  </si>
  <si>
    <t>Tuitt</t>
  </si>
  <si>
    <t>Trai</t>
  </si>
  <si>
    <t>Uzomah</t>
  </si>
  <si>
    <t>Vaitai</t>
  </si>
  <si>
    <t>Halapoulivaati</t>
  </si>
  <si>
    <t>Vander</t>
  </si>
  <si>
    <t>Vannett</t>
  </si>
  <si>
    <t>Vaughters</t>
  </si>
  <si>
    <t>Vigil</t>
  </si>
  <si>
    <t>Wallace</t>
  </si>
  <si>
    <t>Waller</t>
  </si>
  <si>
    <t>Washington</t>
  </si>
  <si>
    <t>Adolphus</t>
  </si>
  <si>
    <t>Waters</t>
  </si>
  <si>
    <t>Herb</t>
  </si>
  <si>
    <t>Sammy</t>
  </si>
  <si>
    <t>Wentz</t>
  </si>
  <si>
    <t>Wester</t>
  </si>
  <si>
    <t>Westerman</t>
  </si>
  <si>
    <t>Darrell</t>
  </si>
  <si>
    <t>DeShawn</t>
  </si>
  <si>
    <t>Darious</t>
  </si>
  <si>
    <t>PJ</t>
  </si>
  <si>
    <t>Antwaun</t>
  </si>
  <si>
    <t>Wood</t>
  </si>
  <si>
    <t>Woodrum</t>
  </si>
  <si>
    <t>Zimmer</t>
  </si>
  <si>
    <t>Yarbrough</t>
  </si>
  <si>
    <t>Eddie</t>
  </si>
  <si>
    <t>Zenner</t>
  </si>
  <si>
    <t>Zylstra</t>
  </si>
  <si>
    <t>Agudosi</t>
  </si>
  <si>
    <t>Carlton</t>
  </si>
  <si>
    <t>25</t>
  </si>
  <si>
    <t>Mackensie</t>
  </si>
  <si>
    <t>Kwon</t>
  </si>
  <si>
    <t>Alie-Cox</t>
  </si>
  <si>
    <t>Mo</t>
  </si>
  <si>
    <t>Allison</t>
  </si>
  <si>
    <t>Geronimo</t>
  </si>
  <si>
    <t>Amichia</t>
  </si>
  <si>
    <t>Kofi</t>
  </si>
  <si>
    <t>Ankou</t>
  </si>
  <si>
    <t>Armah</t>
  </si>
  <si>
    <t>Arik</t>
  </si>
  <si>
    <t>Aruna</t>
  </si>
  <si>
    <t>Ade</t>
  </si>
  <si>
    <t>Banner</t>
  </si>
  <si>
    <t>Barber</t>
  </si>
  <si>
    <t>Peyton</t>
  </si>
  <si>
    <t>Basham</t>
  </si>
  <si>
    <t>Tarell</t>
  </si>
  <si>
    <t>Baylis</t>
  </si>
  <si>
    <t>Beathard</t>
  </si>
  <si>
    <t>Beavers</t>
  </si>
  <si>
    <t>Beebe</t>
  </si>
  <si>
    <t>Benenoch</t>
  </si>
  <si>
    <t>Caleb</t>
  </si>
  <si>
    <t>Boehringer</t>
  </si>
  <si>
    <t>Moritz</t>
  </si>
  <si>
    <t>Braden</t>
  </si>
  <si>
    <t>Hunter</t>
  </si>
  <si>
    <t>Branch</t>
  </si>
  <si>
    <t>Marcelis</t>
  </si>
  <si>
    <t>Braunecker</t>
  </si>
  <si>
    <t>Pharaoh</t>
  </si>
  <si>
    <t>Jatavis</t>
  </si>
  <si>
    <t>Malcom</t>
  </si>
  <si>
    <t>Brunskill</t>
  </si>
  <si>
    <t>Buckner</t>
  </si>
  <si>
    <t>DeForest</t>
  </si>
  <si>
    <t>Bullard</t>
  </si>
  <si>
    <t>Bullough</t>
  </si>
  <si>
    <t>Burbridge</t>
  </si>
  <si>
    <t>Burgess</t>
  </si>
  <si>
    <t>Deante</t>
  </si>
  <si>
    <t>Calitro</t>
  </si>
  <si>
    <t>Canady</t>
  </si>
  <si>
    <t>Trenton</t>
  </si>
  <si>
    <t>Cantrell</t>
  </si>
  <si>
    <t>Dylan</t>
  </si>
  <si>
    <t>Carraway</t>
  </si>
  <si>
    <t>Cethan</t>
  </si>
  <si>
    <t>Jamal</t>
  </si>
  <si>
    <t>Chesson</t>
  </si>
  <si>
    <t>Jehu</t>
  </si>
  <si>
    <t>Chubb</t>
  </si>
  <si>
    <t>Colbert</t>
  </si>
  <si>
    <t>Coley</t>
  </si>
  <si>
    <t>Trevon</t>
  </si>
  <si>
    <t>Landon</t>
  </si>
  <si>
    <t>Conklin</t>
  </si>
  <si>
    <t>Amari</t>
  </si>
  <si>
    <t>Cooks</t>
  </si>
  <si>
    <t>Brandin</t>
  </si>
  <si>
    <t>Core</t>
  </si>
  <si>
    <t>Correa</t>
  </si>
  <si>
    <t>Kamalei</t>
  </si>
  <si>
    <t>Covington</t>
  </si>
  <si>
    <t>Demetrious</t>
  </si>
  <si>
    <t>Croom</t>
  </si>
  <si>
    <t>Currie</t>
  </si>
  <si>
    <t>Darby</t>
  </si>
  <si>
    <t>Dawkins</t>
  </si>
  <si>
    <t>Keionta</t>
  </si>
  <si>
    <t>Day</t>
  </si>
  <si>
    <t>de</t>
  </si>
  <si>
    <t>Gerhard</t>
  </si>
  <si>
    <t>Deayon</t>
  </si>
  <si>
    <t>Decker</t>
  </si>
  <si>
    <t>Stefon</t>
  </si>
  <si>
    <t>Doss</t>
  </si>
  <si>
    <t>Drake</t>
  </si>
  <si>
    <t>Kenyan</t>
  </si>
  <si>
    <t>Dural</t>
  </si>
  <si>
    <t>Travin</t>
  </si>
  <si>
    <t>Ekuale</t>
  </si>
  <si>
    <t>Eldrenkamp</t>
  </si>
  <si>
    <t>Elflein</t>
  </si>
  <si>
    <t>Ervin</t>
  </si>
  <si>
    <t>Etling</t>
  </si>
  <si>
    <t>Fairbairn</t>
  </si>
  <si>
    <t>Kaimi</t>
  </si>
  <si>
    <t>Feeney</t>
  </si>
  <si>
    <t>Ereck</t>
  </si>
  <si>
    <t>Reuben</t>
  </si>
  <si>
    <t>Dante</t>
  </si>
  <si>
    <t>Frazier</t>
  </si>
  <si>
    <t>Kavon</t>
  </si>
  <si>
    <t>Funchess</t>
  </si>
  <si>
    <t>Gardeck</t>
  </si>
  <si>
    <t>Garnett</t>
  </si>
  <si>
    <t>Gathers</t>
  </si>
  <si>
    <t>Rico</t>
  </si>
  <si>
    <t>Gay</t>
  </si>
  <si>
    <t>Gibson</t>
  </si>
  <si>
    <t>Goldman</t>
  </si>
  <si>
    <t>Golladay</t>
  </si>
  <si>
    <t>Dillon</t>
  </si>
  <si>
    <t>Grace</t>
  </si>
  <si>
    <t>Griffey</t>
  </si>
  <si>
    <t>Grugier-Hill</t>
  </si>
  <si>
    <t>Kamu</t>
  </si>
  <si>
    <t>Gurley</t>
  </si>
  <si>
    <t>Haack</t>
  </si>
  <si>
    <t>Hairston</t>
  </si>
  <si>
    <t>Deiondre</t>
  </si>
  <si>
    <t>Hardee</t>
  </si>
  <si>
    <t>Harold</t>
  </si>
  <si>
    <t>Hart</t>
  </si>
  <si>
    <t>Harvey-Clemons</t>
  </si>
  <si>
    <t>Jerald</t>
  </si>
  <si>
    <t>Haynes</t>
  </si>
  <si>
    <t>Hennessy</t>
  </si>
  <si>
    <t>Derrick</t>
  </si>
  <si>
    <t>Hikutini</t>
  </si>
  <si>
    <t>Holba</t>
  </si>
  <si>
    <t>Holden</t>
  </si>
  <si>
    <t>Hollins</t>
  </si>
  <si>
    <t>Hollister</t>
  </si>
  <si>
    <t>Jacob</t>
  </si>
  <si>
    <t>Ifedi</t>
  </si>
  <si>
    <t>Germain</t>
  </si>
  <si>
    <t>Ioannidis</t>
  </si>
  <si>
    <t>Irving</t>
  </si>
  <si>
    <t>Isidora</t>
  </si>
  <si>
    <t>Jarwin</t>
  </si>
  <si>
    <t>Duke</t>
  </si>
  <si>
    <t>Rayshawn</t>
  </si>
  <si>
    <t>Jaleel</t>
  </si>
  <si>
    <t>Cyrus</t>
  </si>
  <si>
    <t>JT</t>
  </si>
  <si>
    <t>Jones-Quartey</t>
  </si>
  <si>
    <t>Dieugot</t>
  </si>
  <si>
    <t>Karl</t>
  </si>
  <si>
    <t>Kalis</t>
  </si>
  <si>
    <t>Jayron</t>
  </si>
  <si>
    <t>Kindred</t>
  </si>
  <si>
    <t>Kirkland</t>
  </si>
  <si>
    <t>Denver</t>
  </si>
  <si>
    <t>Kittle</t>
  </si>
  <si>
    <t>Koloamatangi</t>
  </si>
  <si>
    <t>Leo</t>
  </si>
  <si>
    <t>Kpassagnon</t>
  </si>
  <si>
    <t>Tanoh</t>
  </si>
  <si>
    <t>Lamp</t>
  </si>
  <si>
    <t>Forrest</t>
  </si>
  <si>
    <t>Leavitt</t>
  </si>
  <si>
    <t>Dallin</t>
  </si>
  <si>
    <t>LeBlanc</t>
  </si>
  <si>
    <t>CreVon</t>
  </si>
  <si>
    <t>Ledbetter</t>
  </si>
  <si>
    <t>Levin</t>
  </si>
  <si>
    <t>LaTroy</t>
  </si>
  <si>
    <t>Lindsay</t>
  </si>
  <si>
    <t>Littleton</t>
  </si>
  <si>
    <t>Cory</t>
  </si>
  <si>
    <t>Louis</t>
  </si>
  <si>
    <t>Lowry</t>
  </si>
  <si>
    <t>Lutz</t>
  </si>
  <si>
    <t>Wil</t>
  </si>
  <si>
    <t>Luani</t>
  </si>
  <si>
    <t>Shalom</t>
  </si>
  <si>
    <t>Paxton</t>
  </si>
  <si>
    <t>Mabin</t>
  </si>
  <si>
    <t>Magnuson</t>
  </si>
  <si>
    <t>Mariota</t>
  </si>
  <si>
    <t>Martinez</t>
  </si>
  <si>
    <t>McGuire</t>
  </si>
  <si>
    <t>Elijah</t>
  </si>
  <si>
    <t>Melifonwu</t>
  </si>
  <si>
    <t>Obi</t>
  </si>
  <si>
    <t>Middleton</t>
  </si>
  <si>
    <t>Milano</t>
  </si>
  <si>
    <t>Milligan</t>
  </si>
  <si>
    <t>Rolan</t>
  </si>
  <si>
    <t>Mincy</t>
  </si>
  <si>
    <t>Jonathon</t>
  </si>
  <si>
    <t>Mizzell</t>
  </si>
  <si>
    <t>Taquan</t>
  </si>
  <si>
    <t>Moreau</t>
  </si>
  <si>
    <t>Fabian</t>
  </si>
  <si>
    <t>Moton</t>
  </si>
  <si>
    <t>Pace</t>
  </si>
  <si>
    <t>Natson</t>
  </si>
  <si>
    <t>JoJo</t>
  </si>
  <si>
    <t>Siran</t>
  </si>
  <si>
    <t>Newsome</t>
  </si>
  <si>
    <t>Detrez</t>
  </si>
  <si>
    <t>Nichols</t>
  </si>
  <si>
    <t>Deatrick</t>
  </si>
  <si>
    <t>Nickerson</t>
  </si>
  <si>
    <t>Norton</t>
  </si>
  <si>
    <t>Storm</t>
  </si>
  <si>
    <t>OConnor</t>
  </si>
  <si>
    <t>Odenigbo</t>
  </si>
  <si>
    <t>Ifeadi</t>
  </si>
  <si>
    <t>Odum</t>
  </si>
  <si>
    <t>Ogbah</t>
  </si>
  <si>
    <t>Ogunbowale</t>
  </si>
  <si>
    <t>Dare</t>
  </si>
  <si>
    <t>Ogunjobi</t>
  </si>
  <si>
    <t>Orchard</t>
  </si>
  <si>
    <t>Ortiz</t>
  </si>
  <si>
    <t>Ricky</t>
  </si>
  <si>
    <t>Parks</t>
  </si>
  <si>
    <t>Patton</t>
  </si>
  <si>
    <t>Peat</t>
  </si>
  <si>
    <t>Andrus</t>
  </si>
  <si>
    <t>Peterman</t>
  </si>
  <si>
    <t>Perriman</t>
  </si>
  <si>
    <t>Breshad</t>
  </si>
  <si>
    <t>Philon</t>
  </si>
  <si>
    <t>Pinion</t>
  </si>
  <si>
    <t>Pipkins</t>
  </si>
  <si>
    <t>Lenzy</t>
  </si>
  <si>
    <t>Poling</t>
  </si>
  <si>
    <t>Quentin</t>
  </si>
  <si>
    <t>Pope</t>
  </si>
  <si>
    <t>Troymaine</t>
  </si>
  <si>
    <t>Price</t>
  </si>
  <si>
    <t>Pringle</t>
  </si>
  <si>
    <t>Prosise</t>
  </si>
  <si>
    <t>Ragland</t>
  </si>
  <si>
    <t>Ramczyk</t>
  </si>
  <si>
    <t>Rankins</t>
  </si>
  <si>
    <t>Raymond</t>
  </si>
  <si>
    <t>Kalif</t>
  </si>
  <si>
    <t>Reader</t>
  </si>
  <si>
    <t>Jarran</t>
  </si>
  <si>
    <t>Kalan</t>
  </si>
  <si>
    <t>Ricard</t>
  </si>
  <si>
    <t>Horace</t>
  </si>
  <si>
    <t>Elandon</t>
  </si>
  <si>
    <t>Tyree</t>
  </si>
  <si>
    <t>Chester</t>
  </si>
  <si>
    <t>Rush</t>
  </si>
  <si>
    <t>KeiVarae</t>
  </si>
  <si>
    <t>Salako</t>
  </si>
  <si>
    <t>Victor</t>
  </si>
  <si>
    <t>Saubert</t>
  </si>
  <si>
    <t>Schobert</t>
  </si>
  <si>
    <t>Schreck</t>
  </si>
  <si>
    <t>Schweitzer</t>
  </si>
  <si>
    <t>Seaton</t>
  </si>
  <si>
    <t>Brad</t>
  </si>
  <si>
    <t>Senat</t>
  </si>
  <si>
    <t>Deadrin</t>
  </si>
  <si>
    <t>Senior</t>
  </si>
  <si>
    <t>Seymour</t>
  </si>
  <si>
    <t>Kevon</t>
  </si>
  <si>
    <t>Seumalo</t>
  </si>
  <si>
    <t>Isaac</t>
  </si>
  <si>
    <t>Shakir</t>
  </si>
  <si>
    <t>Maurquice</t>
  </si>
  <si>
    <t>Shepherd</t>
  </si>
  <si>
    <t>Simmons</t>
  </si>
  <si>
    <t>Sloter</t>
  </si>
  <si>
    <t>Smallwood</t>
  </si>
  <si>
    <t>Wendell</t>
  </si>
  <si>
    <t>Sims</t>
  </si>
  <si>
    <t>LeShaun</t>
  </si>
  <si>
    <t>Noah</t>
  </si>
  <si>
    <t>Spriggs</t>
  </si>
  <si>
    <t>Sprinkle</t>
  </si>
  <si>
    <t>Ronnie</t>
  </si>
  <si>
    <t>Stewart</t>
  </si>
  <si>
    <t>Grover</t>
  </si>
  <si>
    <t>Orion</t>
  </si>
  <si>
    <t>Stinnie</t>
  </si>
  <si>
    <t>Strong</t>
  </si>
  <si>
    <t>Jaelen</t>
  </si>
  <si>
    <t>Sudfeld</t>
  </si>
  <si>
    <t>Sullivan</t>
  </si>
  <si>
    <t>Tre</t>
  </si>
  <si>
    <t>Swaim</t>
  </si>
  <si>
    <t>Geoff</t>
  </si>
  <si>
    <t>Tankersley</t>
  </si>
  <si>
    <t>Cordrea</t>
  </si>
  <si>
    <t>Taumoepenu</t>
  </si>
  <si>
    <t>Pita</t>
  </si>
  <si>
    <t>Vincent</t>
  </si>
  <si>
    <t>Dymonte</t>
  </si>
  <si>
    <t>Simeon</t>
  </si>
  <si>
    <t>Darian</t>
  </si>
  <si>
    <t>Dalvin</t>
  </si>
  <si>
    <t>Toner</t>
  </si>
  <si>
    <t>Tonyan</t>
  </si>
  <si>
    <t>Toth</t>
  </si>
  <si>
    <t>Trubisky</t>
  </si>
  <si>
    <t>Tunsil</t>
  </si>
  <si>
    <t>Laremy</t>
  </si>
  <si>
    <t>Tupou</t>
  </si>
  <si>
    <t>Ursua</t>
  </si>
  <si>
    <t>Vaeao</t>
  </si>
  <si>
    <t>Destiny</t>
  </si>
  <si>
    <t>Valentine</t>
  </si>
  <si>
    <t>Vedvik</t>
  </si>
  <si>
    <t>Kaare</t>
  </si>
  <si>
    <t>Vitale</t>
  </si>
  <si>
    <t>Jihad</t>
  </si>
  <si>
    <t>Weatherly</t>
  </si>
  <si>
    <t>Westbrook</t>
  </si>
  <si>
    <t>Dede</t>
  </si>
  <si>
    <t>Wheeler</t>
  </si>
  <si>
    <t>Wilkins</t>
  </si>
  <si>
    <t>Wick</t>
  </si>
  <si>
    <t>Maxx</t>
  </si>
  <si>
    <t>Williams-Lambert</t>
  </si>
  <si>
    <t>Jarrod</t>
  </si>
  <si>
    <t>Winston</t>
  </si>
  <si>
    <t>Jameis</t>
  </si>
  <si>
    <t>Wise</t>
  </si>
  <si>
    <t>Deatrich</t>
  </si>
  <si>
    <t>Woodard</t>
  </si>
  <si>
    <t>Wormley</t>
  </si>
  <si>
    <t>Young</t>
  </si>
  <si>
    <t>Yeldon</t>
  </si>
  <si>
    <t>Wylie</t>
  </si>
  <si>
    <t>Montravius</t>
  </si>
  <si>
    <t>24</t>
  </si>
  <si>
    <t>Keion</t>
  </si>
  <si>
    <t>Adeboyejo</t>
  </si>
  <si>
    <t>Agnew</t>
  </si>
  <si>
    <t>Anzalone</t>
  </si>
  <si>
    <t>Apple</t>
  </si>
  <si>
    <t>Apke</t>
  </si>
  <si>
    <t>Arnold</t>
  </si>
  <si>
    <t>Ateman</t>
  </si>
  <si>
    <t>Averett</t>
  </si>
  <si>
    <t>Genard</t>
  </si>
  <si>
    <t>Awuzie</t>
  </si>
  <si>
    <t>Chidobe</t>
  </si>
  <si>
    <t>Badgley</t>
  </si>
  <si>
    <t>Barton</t>
  </si>
  <si>
    <t>Vonn</t>
  </si>
  <si>
    <t>Beckwith</t>
  </si>
  <si>
    <t>Kendell</t>
  </si>
  <si>
    <t>Davin</t>
  </si>
  <si>
    <t>Benkert</t>
  </si>
  <si>
    <t>Kurt</t>
  </si>
  <si>
    <t>Bierria</t>
  </si>
  <si>
    <t>Keishawn</t>
  </si>
  <si>
    <t>Billings</t>
  </si>
  <si>
    <t>Blough</t>
  </si>
  <si>
    <t>Board</t>
  </si>
  <si>
    <t>Boone</t>
  </si>
  <si>
    <t>Boozer</t>
  </si>
  <si>
    <t>Borders</t>
  </si>
  <si>
    <t>Breon</t>
  </si>
  <si>
    <t>Bosa</t>
  </si>
  <si>
    <t>Bourne</t>
  </si>
  <si>
    <t>Kendrick</t>
  </si>
  <si>
    <t>Bower</t>
  </si>
  <si>
    <t>Tashawn</t>
  </si>
  <si>
    <t>Bowser</t>
  </si>
  <si>
    <t>Tyus</t>
  </si>
  <si>
    <t>Boyd</t>
  </si>
  <si>
    <t>Bozeman</t>
  </si>
  <si>
    <t>Bradbury</t>
  </si>
  <si>
    <t>Tyre</t>
  </si>
  <si>
    <t>Brantley</t>
  </si>
  <si>
    <t>Breida</t>
  </si>
  <si>
    <t>Jayon</t>
  </si>
  <si>
    <t>Burks</t>
  </si>
  <si>
    <t>Oren</t>
  </si>
  <si>
    <t>Burns</t>
  </si>
  <si>
    <t>Artie</t>
  </si>
  <si>
    <t>Butker</t>
  </si>
  <si>
    <t>Butt</t>
  </si>
  <si>
    <t>Cappa</t>
  </si>
  <si>
    <t>Carlson</t>
  </si>
  <si>
    <t>Charlton</t>
  </si>
  <si>
    <t>Taco</t>
  </si>
  <si>
    <t>Marqui</t>
  </si>
  <si>
    <t>Christmas</t>
  </si>
  <si>
    <t>Demarcus</t>
  </si>
  <si>
    <t>Chuck</t>
  </si>
  <si>
    <t>Clement</t>
  </si>
  <si>
    <t>Cobbs</t>
  </si>
  <si>
    <t>Simmie</t>
  </si>
  <si>
    <t>Cohen</t>
  </si>
  <si>
    <t>Tarik</t>
  </si>
  <si>
    <t>Maliek</t>
  </si>
  <si>
    <t>Gareon</t>
  </si>
  <si>
    <t>Conner</t>
  </si>
  <si>
    <t>Cooke</t>
  </si>
  <si>
    <t>Pharoh</t>
  </si>
  <si>
    <t>Cothran</t>
  </si>
  <si>
    <t>Coward</t>
  </si>
  <si>
    <t>Rashaad</t>
  </si>
  <si>
    <t>Cracraft</t>
  </si>
  <si>
    <t>River</t>
  </si>
  <si>
    <t>Cravens</t>
  </si>
  <si>
    <t>Sua</t>
  </si>
  <si>
    <t>Cruikshank</t>
  </si>
  <si>
    <t>Dane</t>
  </si>
  <si>
    <t>Korey</t>
  </si>
  <si>
    <t>Davenport</t>
  </si>
  <si>
    <t>Julien</t>
  </si>
  <si>
    <t>Jawill</t>
  </si>
  <si>
    <t>Dalyn</t>
  </si>
  <si>
    <t>Dayes</t>
  </si>
  <si>
    <t>Jamel</t>
  </si>
  <si>
    <t>DeLuca</t>
  </si>
  <si>
    <t>DiLauro</t>
  </si>
  <si>
    <t>Johnnie</t>
  </si>
  <si>
    <t>Dobbs</t>
  </si>
  <si>
    <t>Dooley</t>
  </si>
  <si>
    <t>Garret</t>
  </si>
  <si>
    <t>Rasul</t>
  </si>
  <si>
    <t>Ebukam</t>
  </si>
  <si>
    <t>Samson</t>
  </si>
  <si>
    <t>Edmunds</t>
  </si>
  <si>
    <t>Gus</t>
  </si>
  <si>
    <t>Elder</t>
  </si>
  <si>
    <t>Corn</t>
  </si>
  <si>
    <t>Ejiofor</t>
  </si>
  <si>
    <t>Ekeler</t>
  </si>
  <si>
    <t>Elliss</t>
  </si>
  <si>
    <t>Kaden</t>
  </si>
  <si>
    <t>Eluemunor</t>
  </si>
  <si>
    <t>Engram</t>
  </si>
  <si>
    <t>Facyson</t>
  </si>
  <si>
    <t>Falah</t>
  </si>
  <si>
    <t>Nico</t>
  </si>
  <si>
    <t>Falk</t>
  </si>
  <si>
    <t>Rashard</t>
  </si>
  <si>
    <t>Fatukasi</t>
  </si>
  <si>
    <t>Folorunso</t>
  </si>
  <si>
    <t>Firkser</t>
  </si>
  <si>
    <t>Fitts</t>
  </si>
  <si>
    <t>Kylie</t>
  </si>
  <si>
    <t>Flanagan</t>
  </si>
  <si>
    <t>Rudy</t>
  </si>
  <si>
    <t>Fournette</t>
  </si>
  <si>
    <t>Fox</t>
  </si>
  <si>
    <t>Franklin</t>
  </si>
  <si>
    <t>Fumagalli</t>
  </si>
  <si>
    <t>Gallman</t>
  </si>
  <si>
    <t>Wayne</t>
  </si>
  <si>
    <t>Gaulden</t>
  </si>
  <si>
    <t>Gedeon</t>
  </si>
  <si>
    <t>Gentry</t>
  </si>
  <si>
    <t>Tanner</t>
  </si>
  <si>
    <t>Gerry</t>
  </si>
  <si>
    <t>Gillaspia</t>
  </si>
  <si>
    <t>Cullen</t>
  </si>
  <si>
    <t>Godchaux</t>
  </si>
  <si>
    <t>Davon</t>
  </si>
  <si>
    <t>Goff</t>
  </si>
  <si>
    <t>Goedert</t>
  </si>
  <si>
    <t>Dallas</t>
  </si>
  <si>
    <t>Golditch</t>
  </si>
  <si>
    <t>Gonzalez</t>
  </si>
  <si>
    <t>Zane</t>
  </si>
  <si>
    <t>Gossett</t>
  </si>
  <si>
    <t>Colby</t>
  </si>
  <si>
    <t>Derwin</t>
  </si>
  <si>
    <t>Greene</t>
  </si>
  <si>
    <t>Raven</t>
  </si>
  <si>
    <t>Grier</t>
  </si>
  <si>
    <t>Shaquem</t>
  </si>
  <si>
    <t>Shaquill</t>
  </si>
  <si>
    <t>Daeshon</t>
  </si>
  <si>
    <t>DaeSean</t>
  </si>
  <si>
    <t>Hargreaves</t>
  </si>
  <si>
    <t>Harlow</t>
  </si>
  <si>
    <t>Davontae</t>
  </si>
  <si>
    <t>Hatfield</t>
  </si>
  <si>
    <t>Hatcher</t>
  </si>
  <si>
    <t>Keon</t>
  </si>
  <si>
    <t>Hector</t>
  </si>
  <si>
    <t>Helm</t>
  </si>
  <si>
    <t>Trayvon</t>
  </si>
  <si>
    <t>Hendrickson</t>
  </si>
  <si>
    <t>Higgins</t>
  </si>
  <si>
    <t>Hilland</t>
  </si>
  <si>
    <t>Hilliard</t>
  </si>
  <si>
    <t>Dontrell</t>
  </si>
  <si>
    <t>Hodge</t>
  </si>
  <si>
    <t>KhaDarel</t>
  </si>
  <si>
    <t>Hollman</t>
  </si>
  <si>
    <t>KaDar</t>
  </si>
  <si>
    <t>Hooper</t>
  </si>
  <si>
    <t>Bug</t>
  </si>
  <si>
    <t>OJ</t>
  </si>
  <si>
    <t>Danielle</t>
  </si>
  <si>
    <t>Igwebuike</t>
  </si>
  <si>
    <t>Godwin</t>
  </si>
  <si>
    <t>Ivie</t>
  </si>
  <si>
    <t>Dorian</t>
  </si>
  <si>
    <t>Jewell</t>
  </si>
  <si>
    <t>Josey</t>
  </si>
  <si>
    <t>Alvin</t>
  </si>
  <si>
    <t>Deion</t>
  </si>
  <si>
    <t>Nazair</t>
  </si>
  <si>
    <t>Zay</t>
  </si>
  <si>
    <t>Joseph-Day</t>
  </si>
  <si>
    <t>Sebastian</t>
  </si>
  <si>
    <t>Kalambayi</t>
  </si>
  <si>
    <t>Peter</t>
  </si>
  <si>
    <t>Kanoff</t>
  </si>
  <si>
    <t>Kamara</t>
  </si>
  <si>
    <t>Kalu</t>
  </si>
  <si>
    <t>Kemp</t>
  </si>
  <si>
    <t>Kidsy</t>
  </si>
  <si>
    <t>Darvin</t>
  </si>
  <si>
    <t>Kiser</t>
  </si>
  <si>
    <t>Kirkwood</t>
  </si>
  <si>
    <t>Kolone</t>
  </si>
  <si>
    <t>Lancaster</t>
  </si>
  <si>
    <t>Langley</t>
  </si>
  <si>
    <t>Brendan</t>
  </si>
  <si>
    <t>LARey</t>
  </si>
  <si>
    <t>Lawler</t>
  </si>
  <si>
    <t>Lauletta</t>
  </si>
  <si>
    <t>Darron</t>
  </si>
  <si>
    <t>Leggett</t>
  </si>
  <si>
    <t>Lenoir</t>
  </si>
  <si>
    <t>Lance</t>
  </si>
  <si>
    <t>Jourdan</t>
  </si>
  <si>
    <t>Tyquan</t>
  </si>
  <si>
    <t>Liggins</t>
  </si>
  <si>
    <t>Justice</t>
  </si>
  <si>
    <t>Longa</t>
  </si>
  <si>
    <t>Madison</t>
  </si>
  <si>
    <t>Malveaux</t>
  </si>
  <si>
    <t>Martini</t>
  </si>
  <si>
    <t>Greer</t>
  </si>
  <si>
    <t>Tray</t>
  </si>
  <si>
    <t>Mayfield</t>
  </si>
  <si>
    <t>Baker</t>
  </si>
  <si>
    <t>McGary</t>
  </si>
  <si>
    <t>Kaleb</t>
  </si>
  <si>
    <t>McGlinchey</t>
  </si>
  <si>
    <t>McKenzie</t>
  </si>
  <si>
    <t>McTyer</t>
  </si>
  <si>
    <t>Torry</t>
  </si>
  <si>
    <t>Meander</t>
  </si>
  <si>
    <t>Montrel</t>
  </si>
  <si>
    <t>Michel</t>
  </si>
  <si>
    <t>Sony</t>
  </si>
  <si>
    <t>JMon</t>
  </si>
  <si>
    <t>Skai</t>
  </si>
  <si>
    <t>Moreland</t>
  </si>
  <si>
    <t>Morris</t>
  </si>
  <si>
    <t>Morrow</t>
  </si>
  <si>
    <t>Nicholas</t>
  </si>
  <si>
    <t>Muhammad</t>
  </si>
  <si>
    <t>Khalfani</t>
  </si>
  <si>
    <t>Al-Quadin</t>
  </si>
  <si>
    <t>Moss</t>
  </si>
  <si>
    <t>Mullens</t>
  </si>
  <si>
    <t>Mundt</t>
  </si>
  <si>
    <t>Munson</t>
  </si>
  <si>
    <t>Calvin</t>
  </si>
  <si>
    <t>Nacua</t>
  </si>
  <si>
    <t>Kai</t>
  </si>
  <si>
    <t>Keanu</t>
  </si>
  <si>
    <t>Ngakoue</t>
  </si>
  <si>
    <t>Yannick</t>
  </si>
  <si>
    <t>Niemann</t>
  </si>
  <si>
    <t>Nkemdiche</t>
  </si>
  <si>
    <t>Noteboom</t>
  </si>
  <si>
    <t>ODaniel</t>
  </si>
  <si>
    <t>Odom</t>
  </si>
  <si>
    <t>Okoronkwo</t>
  </si>
  <si>
    <t>Ogbonnia</t>
  </si>
  <si>
    <t>Okwara</t>
  </si>
  <si>
    <t>Romeo</t>
  </si>
  <si>
    <t>Oluokun</t>
  </si>
  <si>
    <t>Foyesade</t>
  </si>
  <si>
    <t>Onwualu</t>
  </si>
  <si>
    <t>Ostman</t>
  </si>
  <si>
    <t>Pascal</t>
  </si>
  <si>
    <t>Kent</t>
  </si>
  <si>
    <t>Pierschbacher</t>
  </si>
  <si>
    <t>Pittman</t>
  </si>
  <si>
    <t>Jamiyus</t>
  </si>
  <si>
    <t>Pocic</t>
  </si>
  <si>
    <t>Ethan</t>
  </si>
  <si>
    <t>RJ</t>
  </si>
  <si>
    <t>Pumphrey</t>
  </si>
  <si>
    <t>Donnel</t>
  </si>
  <si>
    <t>Qualls</t>
  </si>
  <si>
    <t>Queiro</t>
  </si>
  <si>
    <t>Ratley</t>
  </si>
  <si>
    <t>Rankin</t>
  </si>
  <si>
    <t>Martinas</t>
  </si>
  <si>
    <t>Dax</t>
  </si>
  <si>
    <t>Reddick</t>
  </si>
  <si>
    <t>Haason</t>
  </si>
  <si>
    <t>Reeves-Maybin</t>
  </si>
  <si>
    <t>Ridgeway</t>
  </si>
  <si>
    <t>Hassan</t>
  </si>
  <si>
    <t>Ridley</t>
  </si>
  <si>
    <t>Risner</t>
  </si>
  <si>
    <t>AShawn</t>
  </si>
  <si>
    <t>Rochell</t>
  </si>
  <si>
    <t>Rosas</t>
  </si>
  <si>
    <t>Sanchez</t>
  </si>
  <si>
    <t>Rigoberto</t>
  </si>
  <si>
    <t>Sankey</t>
  </si>
  <si>
    <t>Darnell</t>
  </si>
  <si>
    <t>Artavis</t>
  </si>
  <si>
    <t>Boston</t>
  </si>
  <si>
    <t>DaMari</t>
  </si>
  <si>
    <t>Seals-Jones</t>
  </si>
  <si>
    <t>Shaheen</t>
  </si>
  <si>
    <t>Sharpe</t>
  </si>
  <si>
    <t>Tajae</t>
  </si>
  <si>
    <t>Jaylon</t>
  </si>
  <si>
    <t>Smart</t>
  </si>
  <si>
    <t>Tanzel</t>
  </si>
  <si>
    <t>Skipper</t>
  </si>
  <si>
    <t>Jonnu</t>
  </si>
  <si>
    <t>Smoot</t>
  </si>
  <si>
    <t>Dawuane</t>
  </si>
  <si>
    <t>Smythe</t>
  </si>
  <si>
    <t>Durham</t>
  </si>
  <si>
    <t>Speed</t>
  </si>
  <si>
    <t>Stallworth</t>
  </si>
  <si>
    <t>Steinmetz</t>
  </si>
  <si>
    <t>Summers</t>
  </si>
  <si>
    <t>Sutton</t>
  </si>
  <si>
    <t>Sweeney</t>
  </si>
  <si>
    <t>Tommy</t>
  </si>
  <si>
    <t>Switzer</t>
  </si>
  <si>
    <t>Swoopes</t>
  </si>
  <si>
    <t>Teller</t>
  </si>
  <si>
    <t>Wyatt</t>
  </si>
  <si>
    <t>Ahmad</t>
  </si>
  <si>
    <t>Tevi</t>
  </si>
  <si>
    <t>Jullian</t>
  </si>
  <si>
    <t>Taywan</t>
  </si>
  <si>
    <t>Solomon</t>
  </si>
  <si>
    <t>Tedric</t>
  </si>
  <si>
    <t>Townsend</t>
  </si>
  <si>
    <t>Towbridge</t>
  </si>
  <si>
    <t>Tranquill</t>
  </si>
  <si>
    <t>Drue</t>
  </si>
  <si>
    <t>Treadwell</t>
  </si>
  <si>
    <t>Laquon</t>
  </si>
  <si>
    <t>Turay</t>
  </si>
  <si>
    <t>Kemoko</t>
  </si>
  <si>
    <t>DeLance</t>
  </si>
  <si>
    <t>Valdes-Scantling</t>
  </si>
  <si>
    <t>Marquez</t>
  </si>
  <si>
    <t>Vallejo</t>
  </si>
  <si>
    <t>Vanderdoes</t>
  </si>
  <si>
    <t>Vea</t>
  </si>
  <si>
    <t>Vita</t>
  </si>
  <si>
    <t>Vollert</t>
  </si>
  <si>
    <t>Wade</t>
  </si>
  <si>
    <t>DMontre</t>
  </si>
  <si>
    <t>Wadman</t>
  </si>
  <si>
    <t>Levi</t>
  </si>
  <si>
    <t>Tracy</t>
  </si>
  <si>
    <t>Wellman</t>
  </si>
  <si>
    <t>TreDavious</t>
  </si>
  <si>
    <t>Wilkinson</t>
  </si>
  <si>
    <t>Jamaal</t>
  </si>
  <si>
    <t>Darrel</t>
  </si>
  <si>
    <t>Willies</t>
  </si>
  <si>
    <t>Willis</t>
  </si>
  <si>
    <t>Bobo</t>
  </si>
  <si>
    <t>Wims</t>
  </si>
  <si>
    <t>Witherspoon</t>
  </si>
  <si>
    <t>Ahkello</t>
  </si>
  <si>
    <t>Woodside</t>
  </si>
  <si>
    <t>Woodson-Luster</t>
  </si>
  <si>
    <t>Worley</t>
  </si>
  <si>
    <t>Yelder</t>
  </si>
  <si>
    <t>23</t>
  </si>
  <si>
    <t>Allegretti</t>
  </si>
  <si>
    <t>Cornell</t>
  </si>
  <si>
    <t>Blessuan</t>
  </si>
  <si>
    <t>Budda</t>
  </si>
  <si>
    <t>Ballage</t>
  </si>
  <si>
    <t>Kalen</t>
  </si>
  <si>
    <t>Ballentine</t>
  </si>
  <si>
    <t>Banogu</t>
  </si>
  <si>
    <t>Barnett</t>
  </si>
  <si>
    <t>Bars</t>
  </si>
  <si>
    <t>Batson</t>
  </si>
  <si>
    <t>Bawden</t>
  </si>
  <si>
    <t>Beal</t>
  </si>
  <si>
    <t>Bentley</t>
  </si>
  <si>
    <t>JaWhaun</t>
  </si>
  <si>
    <t>Benzschawel</t>
  </si>
  <si>
    <t>Berrios</t>
  </si>
  <si>
    <t>Blacknall</t>
  </si>
  <si>
    <t>Saeed</t>
  </si>
  <si>
    <t>Blanding</t>
  </si>
  <si>
    <t>Quin</t>
  </si>
  <si>
    <t>Blanton</t>
  </si>
  <si>
    <t>Boettger</t>
  </si>
  <si>
    <t>Ike</t>
  </si>
  <si>
    <t>Bojorquez</t>
  </si>
  <si>
    <t>Brailford</t>
  </si>
  <si>
    <t>Broughton</t>
  </si>
  <si>
    <t>Cortez</t>
  </si>
  <si>
    <t>Orlando</t>
  </si>
  <si>
    <t>Taven</t>
  </si>
  <si>
    <t>Bryant</t>
  </si>
  <si>
    <t>Buggs</t>
  </si>
  <si>
    <t>Hakeem</t>
  </si>
  <si>
    <t>Cain</t>
  </si>
  <si>
    <t>Cabinda</t>
  </si>
  <si>
    <t>Parris</t>
  </si>
  <si>
    <t>Carney</t>
  </si>
  <si>
    <t>Cashman</t>
  </si>
  <si>
    <t>Chachere</t>
  </si>
  <si>
    <t>Cichy</t>
  </si>
  <si>
    <t>Collier</t>
  </si>
  <si>
    <t>Cominsky</t>
  </si>
  <si>
    <t>Connelly</t>
  </si>
  <si>
    <t>Corbett</t>
  </si>
  <si>
    <t>Crossen</t>
  </si>
  <si>
    <t>Custis</t>
  </si>
  <si>
    <t>Jarrad</t>
  </si>
  <si>
    <t>Dawson</t>
  </si>
  <si>
    <t>Tae</t>
  </si>
  <si>
    <t>Demby</t>
  </si>
  <si>
    <t>Denmark</t>
  </si>
  <si>
    <t>Dickerson</t>
  </si>
  <si>
    <t>Dillard</t>
  </si>
  <si>
    <t>Shaun</t>
  </si>
  <si>
    <t>Dissly</t>
  </si>
  <si>
    <t>Dogbe</t>
  </si>
  <si>
    <t>Donnerson</t>
  </si>
  <si>
    <t>Downs</t>
  </si>
  <si>
    <t>Edmonds</t>
  </si>
  <si>
    <t>Epps</t>
  </si>
  <si>
    <t>Finch</t>
  </si>
  <si>
    <t>Sharif</t>
  </si>
  <si>
    <t>Finley</t>
  </si>
  <si>
    <t>Poona</t>
  </si>
  <si>
    <t>Foreman</t>
  </si>
  <si>
    <t>DOnta</t>
  </si>
  <si>
    <t>Fountain</t>
  </si>
  <si>
    <t>Reece</t>
  </si>
  <si>
    <t>Zaire</t>
  </si>
  <si>
    <t>Franks</t>
  </si>
  <si>
    <t>Royce</t>
  </si>
  <si>
    <t>Froholdt</t>
  </si>
  <si>
    <t>Hjalte</t>
  </si>
  <si>
    <t>Fulgham</t>
  </si>
  <si>
    <t>Gafford</t>
  </si>
  <si>
    <t>Gage</t>
  </si>
  <si>
    <t>Gaillard</t>
  </si>
  <si>
    <t>Lamont</t>
  </si>
  <si>
    <t>Gallup</t>
  </si>
  <si>
    <t>Myles</t>
  </si>
  <si>
    <t>Gates</t>
  </si>
  <si>
    <t>Gesicki</t>
  </si>
  <si>
    <t>Gono</t>
  </si>
  <si>
    <t>Gerri</t>
  </si>
  <si>
    <t>Donnell</t>
  </si>
  <si>
    <t>Haley</t>
  </si>
  <si>
    <t>Hand</t>
  </si>
  <si>
    <t>DaShawn</t>
  </si>
  <si>
    <t>Demone</t>
  </si>
  <si>
    <t>Hassenauer</t>
  </si>
  <si>
    <t>Phil</t>
  </si>
  <si>
    <t>Hearn</t>
  </si>
  <si>
    <t>Hernandez</t>
  </si>
  <si>
    <t>Herndon</t>
  </si>
  <si>
    <t>Christopher</t>
  </si>
  <si>
    <t>Delano</t>
  </si>
  <si>
    <t>Holcomb</t>
  </si>
  <si>
    <t>Holder</t>
  </si>
  <si>
    <t>Alijah</t>
  </si>
  <si>
    <t>Holland</t>
  </si>
  <si>
    <t>Jalyn</t>
  </si>
  <si>
    <t>Hood</t>
  </si>
  <si>
    <t>Hooker</t>
  </si>
  <si>
    <t>Tytus</t>
  </si>
  <si>
    <t>Howell</t>
  </si>
  <si>
    <t>Buddy</t>
  </si>
  <si>
    <t>Hrynkiewicz</t>
  </si>
  <si>
    <t>Vitas</t>
  </si>
  <si>
    <t>Humphrey</t>
  </si>
  <si>
    <t>Marlon</t>
  </si>
  <si>
    <t>Hurd</t>
  </si>
  <si>
    <t>Iyiegbuniwe</t>
  </si>
  <si>
    <t>Izzo</t>
  </si>
  <si>
    <t>Adoree</t>
  </si>
  <si>
    <t>Jamerson</t>
  </si>
  <si>
    <t>Natrell</t>
  </si>
  <si>
    <t>Jacobs</t>
  </si>
  <si>
    <t>Leon</t>
  </si>
  <si>
    <t>Jelks</t>
  </si>
  <si>
    <t>Elgton</t>
  </si>
  <si>
    <t>Jaquan</t>
  </si>
  <si>
    <t>Lonnie</t>
  </si>
  <si>
    <t>Roderick</t>
  </si>
  <si>
    <t>Gary</t>
  </si>
  <si>
    <t>Diontae</t>
  </si>
  <si>
    <t>Taron</t>
  </si>
  <si>
    <t>Jamarco</t>
  </si>
  <si>
    <t>Sidney</t>
  </si>
  <si>
    <t>Jones-Smith</t>
  </si>
  <si>
    <t>Jaryd</t>
  </si>
  <si>
    <t>Key</t>
  </si>
  <si>
    <t>Arden</t>
  </si>
  <si>
    <t>Kizer</t>
  </si>
  <si>
    <t>DeShone</t>
  </si>
  <si>
    <t>Lammons</t>
  </si>
  <si>
    <t>Lattimore</t>
  </si>
  <si>
    <t>Marshon</t>
  </si>
  <si>
    <t>Lazard</t>
  </si>
  <si>
    <t>Marquel</t>
  </si>
  <si>
    <t>Donnie</t>
  </si>
  <si>
    <t>Light</t>
  </si>
  <si>
    <t>Litton</t>
  </si>
  <si>
    <t>Maddox</t>
  </si>
  <si>
    <t>Avonte</t>
  </si>
  <si>
    <t>Mahomes</t>
  </si>
  <si>
    <t>Malone</t>
  </si>
  <si>
    <t>Mataafa</t>
  </si>
  <si>
    <t>Hercules</t>
  </si>
  <si>
    <t>McCaffrey</t>
  </si>
  <si>
    <t>KC</t>
  </si>
  <si>
    <t>McGough</t>
  </si>
  <si>
    <t>McIntosh</t>
  </si>
  <si>
    <t>McKinley</t>
  </si>
  <si>
    <t>Takkarist</t>
  </si>
  <si>
    <t>McMillan</t>
  </si>
  <si>
    <t>Raekwon</t>
  </si>
  <si>
    <t>McNichols</t>
  </si>
  <si>
    <t>McSorley</t>
  </si>
  <si>
    <t>Trace</t>
  </si>
  <si>
    <t>Kolton</t>
  </si>
  <si>
    <t>Minshew</t>
  </si>
  <si>
    <t>Gardner</t>
  </si>
  <si>
    <t>Mixon</t>
  </si>
  <si>
    <t>Jalin</t>
  </si>
  <si>
    <t>Tarvarius</t>
  </si>
  <si>
    <t>Nall</t>
  </si>
  <si>
    <t>Quenton</t>
  </si>
  <si>
    <t>Nicholson</t>
  </si>
  <si>
    <t>Montae</t>
  </si>
  <si>
    <t>Nijman</t>
  </si>
  <si>
    <t>Yosuah</t>
  </si>
  <si>
    <t>Njoku</t>
  </si>
  <si>
    <t>Nkansah</t>
  </si>
  <si>
    <t>Nnadi</t>
  </si>
  <si>
    <t>Okereke</t>
  </si>
  <si>
    <t>ONeill</t>
  </si>
  <si>
    <t>Oruwariye</t>
  </si>
  <si>
    <t>Amani</t>
  </si>
  <si>
    <t>Timon</t>
  </si>
  <si>
    <t>Peppers</t>
  </si>
  <si>
    <t>Jabrill</t>
  </si>
  <si>
    <t>Perine</t>
  </si>
  <si>
    <t>Samaje</t>
  </si>
  <si>
    <t>Pettis</t>
  </si>
  <si>
    <t>Pineiro</t>
  </si>
  <si>
    <t>Eddy</t>
  </si>
  <si>
    <t>Powell</t>
  </si>
  <si>
    <t>Pratt</t>
  </si>
  <si>
    <t>Germaine</t>
  </si>
  <si>
    <t>Proehl</t>
  </si>
  <si>
    <t>Ragnow</t>
  </si>
  <si>
    <t>Reaves</t>
  </si>
  <si>
    <t>Reavis</t>
  </si>
  <si>
    <t>Dontavius</t>
  </si>
  <si>
    <t>Sample</t>
  </si>
  <si>
    <t>Samuel</t>
  </si>
  <si>
    <t>Deebo</t>
  </si>
  <si>
    <t>Samuels</t>
  </si>
  <si>
    <t>Saunders</t>
  </si>
  <si>
    <t>Khalen</t>
  </si>
  <si>
    <t>Sayles</t>
  </si>
  <si>
    <t>Tegray</t>
  </si>
  <si>
    <t>Scharping</t>
  </si>
  <si>
    <t>Schlottmann</t>
  </si>
  <si>
    <t>Schultz</t>
  </si>
  <si>
    <t>Niles</t>
  </si>
  <si>
    <t>Sheehy</t>
  </si>
  <si>
    <t>Sheffield</t>
  </si>
  <si>
    <t>Sherfield</t>
  </si>
  <si>
    <t>Sieler</t>
  </si>
  <si>
    <t>Sills</t>
  </si>
  <si>
    <t>Ito</t>
  </si>
  <si>
    <t>Slayton</t>
  </si>
  <si>
    <t>Tremon</t>
  </si>
  <si>
    <t>TreQuan</t>
  </si>
  <si>
    <t>Vyncint</t>
  </si>
  <si>
    <t>Speaks</t>
  </si>
  <si>
    <t>Spillane</t>
  </si>
  <si>
    <t>Stephens</t>
  </si>
  <si>
    <t>Linden</t>
  </si>
  <si>
    <t>JM</t>
  </si>
  <si>
    <t>Street</t>
  </si>
  <si>
    <t>Kentavius</t>
  </si>
  <si>
    <t>Stroman</t>
  </si>
  <si>
    <t>Chandon</t>
  </si>
  <si>
    <t>Courtland</t>
  </si>
  <si>
    <t>Takitaki</t>
  </si>
  <si>
    <t>Sione</t>
  </si>
  <si>
    <t>Tell</t>
  </si>
  <si>
    <t>Marvell</t>
  </si>
  <si>
    <t>Roc</t>
  </si>
  <si>
    <t>Tavierre</t>
  </si>
  <si>
    <t>Thornhill</t>
  </si>
  <si>
    <t>Juan</t>
  </si>
  <si>
    <t>Thorson</t>
  </si>
  <si>
    <t>Toliver</t>
  </si>
  <si>
    <t>Tolliver</t>
  </si>
  <si>
    <t>Toran</t>
  </si>
  <si>
    <t>Tuioti-Mariner</t>
  </si>
  <si>
    <t>Leighton</t>
  </si>
  <si>
    <t>Charvarius</t>
  </si>
  <si>
    <t>Warren</t>
  </si>
  <si>
    <t>Deshaun</t>
  </si>
  <si>
    <t>Watts</t>
  </si>
  <si>
    <t>Armani</t>
  </si>
  <si>
    <t>Armon</t>
  </si>
  <si>
    <t>Webster</t>
  </si>
  <si>
    <t>Wesco</t>
  </si>
  <si>
    <t>Kyzir</t>
  </si>
  <si>
    <t>Boobie</t>
  </si>
  <si>
    <t>Wicker</t>
  </si>
  <si>
    <t>Jojo</t>
  </si>
  <si>
    <t>Khari</t>
  </si>
  <si>
    <t>Cedrick</t>
  </si>
  <si>
    <t>Winovich</t>
  </si>
  <si>
    <t>Wint</t>
  </si>
  <si>
    <t>Wren</t>
  </si>
  <si>
    <t>Renell</t>
  </si>
  <si>
    <t>Yiadom</t>
  </si>
  <si>
    <t>Ya-Sin</t>
  </si>
  <si>
    <t>Rock</t>
  </si>
  <si>
    <t>Abram</t>
  </si>
  <si>
    <t>22</t>
  </si>
  <si>
    <t>Adderley</t>
  </si>
  <si>
    <t>Nasir</t>
  </si>
  <si>
    <t>Afriyie</t>
  </si>
  <si>
    <t>Jaire</t>
  </si>
  <si>
    <t>Adonis</t>
  </si>
  <si>
    <t>Amadi</t>
  </si>
  <si>
    <t>Ugochukwu</t>
  </si>
  <si>
    <t>Arcega-Whiteside</t>
  </si>
  <si>
    <t>Ryquell</t>
  </si>
  <si>
    <t>Dorance</t>
  </si>
  <si>
    <t>Asafo-Adjei</t>
  </si>
  <si>
    <t>Baity</t>
  </si>
  <si>
    <t>Saquon</t>
  </si>
  <si>
    <t>Barnes</t>
  </si>
  <si>
    <t>Jessie</t>
  </si>
  <si>
    <t>Beckner</t>
  </si>
  <si>
    <t>Terry</t>
  </si>
  <si>
    <t>Kris</t>
  </si>
  <si>
    <t>Boykin</t>
  </si>
  <si>
    <t>Cajuste</t>
  </si>
  <si>
    <t>Yodny</t>
  </si>
  <si>
    <t>Callaway</t>
  </si>
  <si>
    <t>Chark</t>
  </si>
  <si>
    <t>Geron</t>
  </si>
  <si>
    <t>Clapp</t>
  </si>
  <si>
    <t>Coutee</t>
  </si>
  <si>
    <t>Keke</t>
  </si>
  <si>
    <t>Cowart</t>
  </si>
  <si>
    <t>Daley</t>
  </si>
  <si>
    <t>Darnold</t>
  </si>
  <si>
    <t>Deiter</t>
  </si>
  <si>
    <t>Denis</t>
  </si>
  <si>
    <t>Lukas</t>
  </si>
  <si>
    <t>Edoga</t>
  </si>
  <si>
    <t>Chuma</t>
  </si>
  <si>
    <t>Egbule</t>
  </si>
  <si>
    <t>Emeke</t>
  </si>
  <si>
    <t>Ellerbee</t>
  </si>
  <si>
    <t>DeShon</t>
  </si>
  <si>
    <t>Ernsberger</t>
  </si>
  <si>
    <t>Fenton</t>
  </si>
  <si>
    <t>Ferrell</t>
  </si>
  <si>
    <t>Clelin</t>
  </si>
  <si>
    <t>Fields</t>
  </si>
  <si>
    <t>Minkah</t>
  </si>
  <si>
    <t>Forbes</t>
  </si>
  <si>
    <t>Franklin-Myers</t>
  </si>
  <si>
    <t>Ulysees</t>
  </si>
  <si>
    <t>Giles-Harris</t>
  </si>
  <si>
    <t>Granderson</t>
  </si>
  <si>
    <t>Rasheem</t>
  </si>
  <si>
    <t>Greenlaw</t>
  </si>
  <si>
    <t>Guice</t>
  </si>
  <si>
    <t>Derrius</t>
  </si>
  <si>
    <t>Emanuel</t>
  </si>
  <si>
    <t>Hampton</t>
  </si>
  <si>
    <t>Saquan</t>
  </si>
  <si>
    <t>Haskins</t>
  </si>
  <si>
    <t>Quadree</t>
  </si>
  <si>
    <t>Hines</t>
  </si>
  <si>
    <t>Nyheim</t>
  </si>
  <si>
    <t>Hockenson</t>
  </si>
  <si>
    <t>Huggins</t>
  </si>
  <si>
    <t>Isabella</t>
  </si>
  <si>
    <t>KeeSean</t>
  </si>
  <si>
    <t>Kerryon</t>
  </si>
  <si>
    <t>Olabisi</t>
  </si>
  <si>
    <t>Fred</t>
  </si>
  <si>
    <t>DreMont</t>
  </si>
  <si>
    <t>Kingsley</t>
  </si>
  <si>
    <t>Knight</t>
  </si>
  <si>
    <t>Knox</t>
  </si>
  <si>
    <t>Ketner</t>
  </si>
  <si>
    <t>Lasley</t>
  </si>
  <si>
    <t>Lewis-Marshall</t>
  </si>
  <si>
    <t>Iman</t>
  </si>
  <si>
    <t>Lindstrom</t>
  </si>
  <si>
    <t>Lock</t>
  </si>
  <si>
    <t>Luvu</t>
  </si>
  <si>
    <t>Frankie</t>
  </si>
  <si>
    <t>Alize</t>
  </si>
  <si>
    <t>Daylon</t>
  </si>
  <si>
    <t>Mailata</t>
  </si>
  <si>
    <t>McCloud</t>
  </si>
  <si>
    <t>Kahlil</t>
  </si>
  <si>
    <t>McLaurin</t>
  </si>
  <si>
    <t>Meeks</t>
  </si>
  <si>
    <t>Shareef</t>
  </si>
  <si>
    <t>Kamrin</t>
  </si>
  <si>
    <t>Murphy-Bunting</t>
  </si>
  <si>
    <t>Nauta</t>
  </si>
  <si>
    <t>Bilal</t>
  </si>
  <si>
    <t>Nwosu</t>
  </si>
  <si>
    <t>Uchenna</t>
  </si>
  <si>
    <t>Okorafor</t>
  </si>
  <si>
    <t>Chukwuma</t>
  </si>
  <si>
    <t>Oliver</t>
  </si>
  <si>
    <t>Ollison</t>
  </si>
  <si>
    <t>Qadree</t>
  </si>
  <si>
    <t>Omenihu</t>
  </si>
  <si>
    <t>Payne</t>
  </si>
  <si>
    <t>DaRon</t>
  </si>
  <si>
    <t>Polite</t>
  </si>
  <si>
    <t>Jachai</t>
  </si>
  <si>
    <t>Pollard</t>
  </si>
  <si>
    <t>Powers</t>
  </si>
  <si>
    <t>Ratliff-Williams</t>
  </si>
  <si>
    <t>Redwine</t>
  </si>
  <si>
    <t>Sheldrick</t>
  </si>
  <si>
    <t>Renfrow</t>
  </si>
  <si>
    <t>Rosen</t>
  </si>
  <si>
    <t>Rypien</t>
  </si>
  <si>
    <t>Samia</t>
  </si>
  <si>
    <t>Dru</t>
  </si>
  <si>
    <t>Scarbrough</t>
  </si>
  <si>
    <t>Bo</t>
  </si>
  <si>
    <t>JK</t>
  </si>
  <si>
    <t>Seibert</t>
  </si>
  <si>
    <t>Settle</t>
  </si>
  <si>
    <t>Shelley</t>
  </si>
  <si>
    <t>Shurmur</t>
  </si>
  <si>
    <t>Skule</t>
  </si>
  <si>
    <t>Roquan</t>
  </si>
  <si>
    <t>Smith-Schuster</t>
  </si>
  <si>
    <t>JuJu</t>
  </si>
  <si>
    <t>St.</t>
  </si>
  <si>
    <t>Equanimeous</t>
  </si>
  <si>
    <t>Sternberger</t>
  </si>
  <si>
    <t>Jace</t>
  </si>
  <si>
    <t>Stick</t>
  </si>
  <si>
    <t>Stidham</t>
  </si>
  <si>
    <t>Sweat</t>
  </si>
  <si>
    <t>Montez</t>
  </si>
  <si>
    <t>Sweet</t>
  </si>
  <si>
    <t>Auden</t>
  </si>
  <si>
    <t>Tabor</t>
  </si>
  <si>
    <t>Teez</t>
  </si>
  <si>
    <t>Tavai</t>
  </si>
  <si>
    <t>Jahlani</t>
  </si>
  <si>
    <t>Darwin</t>
  </si>
  <si>
    <t>Deionte</t>
  </si>
  <si>
    <t>Tillery</t>
  </si>
  <si>
    <t>Henre</t>
  </si>
  <si>
    <t>Udoh</t>
  </si>
  <si>
    <t>Olisaemeka</t>
  </si>
  <si>
    <t>DAndre</t>
  </si>
  <si>
    <t>Walton</t>
  </si>
  <si>
    <t>Warner</t>
  </si>
  <si>
    <t>Warring</t>
  </si>
  <si>
    <t>Kahale</t>
  </si>
  <si>
    <t>Weber</t>
  </si>
  <si>
    <t>Whyte</t>
  </si>
  <si>
    <t>Kerrith</t>
  </si>
  <si>
    <t>Dexter</t>
  </si>
  <si>
    <t>Winfree</t>
  </si>
  <si>
    <t>Juwann</t>
  </si>
  <si>
    <t>Wingard</t>
  </si>
  <si>
    <t>Zedrick</t>
  </si>
  <si>
    <t>Ximines</t>
  </si>
  <si>
    <t>Oshane</t>
  </si>
  <si>
    <t>Adeniyi</t>
  </si>
  <si>
    <t>Olasunkanmi</t>
  </si>
  <si>
    <t>21</t>
  </si>
  <si>
    <t>Deontay</t>
  </si>
  <si>
    <t>Burr-Kirven</t>
  </si>
  <si>
    <t>Colburn</t>
  </si>
  <si>
    <t>Cutting</t>
  </si>
  <si>
    <t>Dortch</t>
  </si>
  <si>
    <t>Tremaine</t>
  </si>
  <si>
    <t>Gardner-Johnson</t>
  </si>
  <si>
    <t>Chauncey</t>
  </si>
  <si>
    <t>Rashan</t>
  </si>
  <si>
    <t>Gaskin</t>
  </si>
  <si>
    <t>Greenidge</t>
  </si>
  <si>
    <t>Hardman</t>
  </si>
  <si>
    <t>Mecole</t>
  </si>
  <si>
    <t>Harry</t>
  </si>
  <si>
    <t>NKeal</t>
  </si>
  <si>
    <t>Trysten</t>
  </si>
  <si>
    <t>Holyfield</t>
  </si>
  <si>
    <t>Homer</t>
  </si>
  <si>
    <t>LilJordan</t>
  </si>
  <si>
    <t>Vosean</t>
  </si>
  <si>
    <t>Layne</t>
  </si>
  <si>
    <t>Little</t>
  </si>
  <si>
    <t>Lodge</t>
  </si>
  <si>
    <t>DaMarkus</t>
  </si>
  <si>
    <t>Mattison</t>
  </si>
  <si>
    <t>Metcalf</t>
  </si>
  <si>
    <t>D.K.</t>
  </si>
  <si>
    <t>Mullen</t>
  </si>
  <si>
    <t>Rapp</t>
  </si>
  <si>
    <t>Singletary</t>
  </si>
  <si>
    <t>Irv</t>
  </si>
  <si>
    <t>Saivion</t>
  </si>
  <si>
    <t>Snell</t>
  </si>
  <si>
    <t>Springs</t>
  </si>
  <si>
    <t>Arrion</t>
  </si>
  <si>
    <t>Jawaan</t>
  </si>
  <si>
    <t>Jonah</t>
  </si>
  <si>
    <t>Greedy</t>
  </si>
  <si>
    <t>Joejuan</t>
  </si>
  <si>
    <t>Trayveon</t>
  </si>
  <si>
    <t>Quinnen</t>
  </si>
  <si>
    <t>Sankoh</t>
  </si>
  <si>
    <t>Tigie</t>
  </si>
  <si>
    <t>20</t>
  </si>
  <si>
    <t>The data is conflicting and unable to be analyzed accurately.</t>
  </si>
  <si>
    <t>For example, Chris Jones is one of the players whose rating is over 100.</t>
  </si>
  <si>
    <t>This is occurring because there are 3 to 4 different Chris Jones each year.</t>
  </si>
  <si>
    <t>Also, the teams that Chris Jones may have played for do not match up.</t>
  </si>
  <si>
    <t>This means the spreadsheet is unable to accurately match the player to determine the average rating over a four year span.</t>
  </si>
  <si>
    <t>Chris Jones is a Yes</t>
  </si>
  <si>
    <t>Chris Jones is a very common name but he actually may be 9 different persons right?</t>
  </si>
  <si>
    <t>that is really the problem im trying to overcome you got it</t>
  </si>
  <si>
    <t>The data on this sheet shows all of the times that Chris Jones is listed in your data.</t>
  </si>
  <si>
    <t>There needs to be a way for the spreadsheet formula to determine which data is connected.</t>
  </si>
  <si>
    <t>Right now, it can't determine which of the Chris Jones entries are supposed to be "linked".</t>
  </si>
  <si>
    <t>Without some sort of data that matches between players (other than name and team), then there's not a way to do this.</t>
  </si>
  <si>
    <t>Matt's solution looks to be the best one possible given the current data.</t>
  </si>
  <si>
    <t>Will Position work to differentiate the players?</t>
  </si>
  <si>
    <t xml:space="preserve"> I see 3 chris Jones each year</t>
  </si>
  <si>
    <t>Great!  Then LNAME, A-Z M19 tab will need the positions added to it.</t>
  </si>
  <si>
    <t>I would hope that it would</t>
  </si>
  <si>
    <t>I'm not sure how you did this and I don't want to get the data incorrect.</t>
  </si>
  <si>
    <t>lol</t>
  </si>
  <si>
    <t>Once the position is added to that tab, then I should be able to get Matt's</t>
  </si>
  <si>
    <t>it has been a task so far!</t>
  </si>
  <si>
    <t>formula to work correctly.</t>
  </si>
  <si>
    <t>it really gets to the meat of the problem though</t>
  </si>
  <si>
    <t>I dont know how to put those corresponding positions in th M!(</t>
  </si>
  <si>
    <t>How did you get the data originally?</t>
  </si>
  <si>
    <t>I don't see Position listed in M19 either</t>
  </si>
  <si>
    <t>I got the data from other people's Madden rating spreadsheets they had done but only for one year</t>
  </si>
  <si>
    <t>OK.  Without the position data, then I'm not sure how to proceed.</t>
  </si>
  <si>
    <t>I got the data from forums</t>
  </si>
  <si>
    <t>You need something that will match between players.</t>
  </si>
  <si>
    <t>they were shared google spreadsheets</t>
  </si>
  <si>
    <t>Using Last Name, First Name, and position should do the trick.</t>
  </si>
  <si>
    <t xml:space="preserve">exactly </t>
  </si>
  <si>
    <t>I don't think there are multiple Chris Jones WR (then again. . . . )</t>
  </si>
  <si>
    <t>different people made their data differently</t>
  </si>
  <si>
    <t>I think your best bet is to try and get the positions for the 2019 season</t>
  </si>
  <si>
    <t>yikes</t>
  </si>
  <si>
    <t>entered into the data and then the results should be more accurate.</t>
  </si>
  <si>
    <t>i see</t>
  </si>
  <si>
    <t>so we need like a primary key for each record i guess right?</t>
  </si>
  <si>
    <t>exactly i just dont know</t>
  </si>
  <si>
    <t>chris jones wr kc</t>
  </si>
  <si>
    <t xml:space="preserve">and </t>
  </si>
  <si>
    <t>chris jones wr dal</t>
  </si>
  <si>
    <t>idk</t>
  </si>
  <si>
    <t>Im at work and have to log off now</t>
  </si>
  <si>
    <t>M20TM</t>
  </si>
  <si>
    <t>M20R</t>
  </si>
  <si>
    <t>MIN</t>
  </si>
  <si>
    <t>74</t>
  </si>
  <si>
    <t>DET</t>
  </si>
  <si>
    <t>63</t>
  </si>
  <si>
    <t>OAK</t>
  </si>
  <si>
    <t>69</t>
  </si>
  <si>
    <t>GB</t>
  </si>
  <si>
    <t>92</t>
  </si>
  <si>
    <t>NYJ</t>
  </si>
  <si>
    <t>90</t>
  </si>
  <si>
    <t>HOU</t>
  </si>
  <si>
    <t>66</t>
  </si>
  <si>
    <t>PHI</t>
  </si>
  <si>
    <t>72</t>
  </si>
  <si>
    <t>NYG</t>
  </si>
  <si>
    <t>IND</t>
  </si>
  <si>
    <t>67</t>
  </si>
  <si>
    <t>53</t>
  </si>
  <si>
    <t>59</t>
  </si>
  <si>
    <t>76</t>
  </si>
  <si>
    <t>LAC</t>
  </si>
  <si>
    <t>71</t>
  </si>
  <si>
    <t>CAR</t>
  </si>
  <si>
    <t>BAL</t>
  </si>
  <si>
    <t>62</t>
  </si>
  <si>
    <t>PIT</t>
  </si>
  <si>
    <t>83</t>
  </si>
  <si>
    <t>65</t>
  </si>
  <si>
    <t>58</t>
  </si>
  <si>
    <t>MIA</t>
  </si>
  <si>
    <t>WAS</t>
  </si>
  <si>
    <t>64</t>
  </si>
  <si>
    <t>JAX</t>
  </si>
  <si>
    <t>SF</t>
  </si>
  <si>
    <t>78</t>
  </si>
  <si>
    <t>BUF</t>
  </si>
  <si>
    <t>82</t>
  </si>
  <si>
    <t>ARZ</t>
  </si>
  <si>
    <t>77</t>
  </si>
  <si>
    <t>70</t>
  </si>
  <si>
    <t>TB</t>
  </si>
  <si>
    <t>LAR</t>
  </si>
  <si>
    <t>61</t>
  </si>
  <si>
    <t>NO</t>
  </si>
  <si>
    <t>89</t>
  </si>
  <si>
    <t>49</t>
  </si>
  <si>
    <t>ATL</t>
  </si>
  <si>
    <t>81</t>
  </si>
  <si>
    <t>NE</t>
  </si>
  <si>
    <t>75</t>
  </si>
  <si>
    <t>73</t>
  </si>
  <si>
    <t>SEA</t>
  </si>
  <si>
    <t>87</t>
  </si>
  <si>
    <t>CHI</t>
  </si>
  <si>
    <t>55</t>
  </si>
  <si>
    <t>80</t>
  </si>
  <si>
    <t>79</t>
  </si>
  <si>
    <t>60</t>
  </si>
  <si>
    <t>CIN</t>
  </si>
  <si>
    <t>84</t>
  </si>
  <si>
    <t>57</t>
  </si>
  <si>
    <t>88</t>
  </si>
  <si>
    <t>DAL</t>
  </si>
  <si>
    <t>CLE</t>
  </si>
  <si>
    <t>91</t>
  </si>
  <si>
    <t>54</t>
  </si>
  <si>
    <t>56</t>
  </si>
  <si>
    <t>97</t>
  </si>
  <si>
    <t>DEN</t>
  </si>
  <si>
    <t>TEN</t>
  </si>
  <si>
    <t>68</t>
  </si>
  <si>
    <t>96</t>
  </si>
  <si>
    <t>47</t>
  </si>
  <si>
    <t>85</t>
  </si>
  <si>
    <t>48</t>
  </si>
  <si>
    <t>51</t>
  </si>
  <si>
    <t>52</t>
  </si>
  <si>
    <t>39</t>
  </si>
  <si>
    <t>43</t>
  </si>
  <si>
    <t>44</t>
  </si>
  <si>
    <t>98</t>
  </si>
  <si>
    <t>86</t>
  </si>
  <si>
    <t>93</t>
  </si>
  <si>
    <t>99</t>
  </si>
  <si>
    <t>94</t>
  </si>
  <si>
    <t>50</t>
  </si>
  <si>
    <t>45</t>
  </si>
  <si>
    <t>95</t>
  </si>
  <si>
    <t>41</t>
  </si>
  <si>
    <t>M19TM</t>
  </si>
  <si>
    <t>M19R</t>
  </si>
  <si>
    <t>Acho</t>
  </si>
  <si>
    <t>Acker</t>
  </si>
  <si>
    <t>FA</t>
  </si>
  <si>
    <t>Aguayo</t>
  </si>
  <si>
    <t>Roberto</t>
  </si>
  <si>
    <t>Aiken</t>
  </si>
  <si>
    <t>Kamar</t>
  </si>
  <si>
    <t>Ajayi</t>
  </si>
  <si>
    <t>Jay</t>
  </si>
  <si>
    <t>Albright</t>
  </si>
  <si>
    <t>Bryson</t>
  </si>
  <si>
    <t>Vadal</t>
  </si>
  <si>
    <t>Riitemo</t>
  </si>
  <si>
    <t>Amaro</t>
  </si>
  <si>
    <t>Dres</t>
  </si>
  <si>
    <t>Anger</t>
  </si>
  <si>
    <t>Stephone</t>
  </si>
  <si>
    <t>Armbrister</t>
  </si>
  <si>
    <t>Thurston</t>
  </si>
  <si>
    <t>Armstrong Jr</t>
  </si>
  <si>
    <t>Ash</t>
  </si>
  <si>
    <t>Asiata</t>
  </si>
  <si>
    <t>Avril</t>
  </si>
  <si>
    <t>Cliff</t>
  </si>
  <si>
    <t>Ayers</t>
  </si>
  <si>
    <t>Ayers Jr</t>
  </si>
  <si>
    <t>Champ</t>
  </si>
  <si>
    <t>Balducci</t>
  </si>
  <si>
    <t>Baldwin</t>
  </si>
  <si>
    <t>Barksdale</t>
  </si>
  <si>
    <t>Tavaris</t>
  </si>
  <si>
    <t>Barwin</t>
  </si>
  <si>
    <t>Bass</t>
  </si>
  <si>
    <t>Bates III</t>
  </si>
  <si>
    <t>Battle</t>
  </si>
  <si>
    <t>Beasley Jr</t>
  </si>
  <si>
    <t>Beckham Jr</t>
  </si>
  <si>
    <t>Bello</t>
  </si>
  <si>
    <t>Bellore</t>
  </si>
  <si>
    <t>Benwikere</t>
  </si>
  <si>
    <t>Bene</t>
  </si>
  <si>
    <t>Berhe</t>
  </si>
  <si>
    <t>Nat</t>
  </si>
  <si>
    <t>Bighill</t>
  </si>
  <si>
    <t>Bisnowaty</t>
  </si>
  <si>
    <t>Blair III</t>
  </si>
  <si>
    <t>Blount</t>
  </si>
  <si>
    <t>LeGarrette</t>
  </si>
  <si>
    <t>Bohanon</t>
  </si>
  <si>
    <t>Bolden Jr</t>
  </si>
  <si>
    <t>Deyshawn</t>
  </si>
  <si>
    <t>Bowanko</t>
  </si>
  <si>
    <t>Bowman</t>
  </si>
  <si>
    <t>NaVorro</t>
  </si>
  <si>
    <t>Boykins</t>
  </si>
  <si>
    <t>Bradford</t>
  </si>
  <si>
    <t>Bam</t>
  </si>
  <si>
    <t>Quan</t>
  </si>
  <si>
    <t>Breaux</t>
  </si>
  <si>
    <t>Delvin</t>
  </si>
  <si>
    <t>Brock Sr</t>
  </si>
  <si>
    <t>Bromley</t>
  </si>
  <si>
    <t>Donatello</t>
  </si>
  <si>
    <t>Dez</t>
  </si>
  <si>
    <t>Martavis</t>
  </si>
  <si>
    <t>Burgess Jr</t>
  </si>
  <si>
    <t>Bushrod</t>
  </si>
  <si>
    <t>Jermon</t>
  </si>
  <si>
    <t>Butler Jr</t>
  </si>
  <si>
    <t>Bynes</t>
  </si>
  <si>
    <t>Cadet</t>
  </si>
  <si>
    <t>Travaris</t>
  </si>
  <si>
    <t>Campanaro</t>
  </si>
  <si>
    <t>Ibraheim</t>
  </si>
  <si>
    <t>KD</t>
  </si>
  <si>
    <t>Carder</t>
  </si>
  <si>
    <t>Carey</t>
  </si>
  <si>
    <t>Carroo</t>
  </si>
  <si>
    <t>Leonte</t>
  </si>
  <si>
    <t>Carter Jr</t>
  </si>
  <si>
    <t>Cassel</t>
  </si>
  <si>
    <t>Chancellor</t>
  </si>
  <si>
    <t>Kam</t>
  </si>
  <si>
    <t>Stefan</t>
  </si>
  <si>
    <t>Cheek</t>
  </si>
  <si>
    <t>Church</t>
  </si>
  <si>
    <t>Barry</t>
  </si>
  <si>
    <t>Claiborne</t>
  </si>
  <si>
    <t>Donavon</t>
  </si>
  <si>
    <t>Clarke Jr.</t>
  </si>
  <si>
    <t>Clausell</t>
  </si>
  <si>
    <t>Kaelin</t>
  </si>
  <si>
    <t>Clinton-Dix</t>
  </si>
  <si>
    <t>Ha Ha</t>
  </si>
  <si>
    <t>Coates</t>
  </si>
  <si>
    <t>Sammie</t>
  </si>
  <si>
    <t>Stacy</t>
  </si>
  <si>
    <t>Collins Sr</t>
  </si>
  <si>
    <t>Conte</t>
  </si>
  <si>
    <t>Cooper Sr</t>
  </si>
  <si>
    <t>Coyle</t>
  </si>
  <si>
    <t>Crabtree</t>
  </si>
  <si>
    <t>Crockett</t>
  </si>
  <si>
    <t>Montay</t>
  </si>
  <si>
    <t>Cross</t>
  </si>
  <si>
    <t>Alan</t>
  </si>
  <si>
    <t>Crossan</t>
  </si>
  <si>
    <t>Croston</t>
  </si>
  <si>
    <t>Cyprien</t>
  </si>
  <si>
    <t>LeShun</t>
  </si>
  <si>
    <t>Dansby</t>
  </si>
  <si>
    <t>Karlos</t>
  </si>
  <si>
    <t>Darboh</t>
  </si>
  <si>
    <t>Amara</t>
  </si>
  <si>
    <t>Darkwa</t>
  </si>
  <si>
    <t>Orleans</t>
  </si>
  <si>
    <t>Vontae</t>
  </si>
  <si>
    <t>Davis Sr</t>
  </si>
  <si>
    <t>Dawson Jr</t>
  </si>
  <si>
    <t>Derby</t>
  </si>
  <si>
    <t>Dielman</t>
  </si>
  <si>
    <t>Dodd</t>
  </si>
  <si>
    <t>Donahue</t>
  </si>
  <si>
    <t>Drummond</t>
  </si>
  <si>
    <t>Kurtis</t>
  </si>
  <si>
    <t>Duarte</t>
  </si>
  <si>
    <t>Dupre</t>
  </si>
  <si>
    <t>Malachi</t>
  </si>
  <si>
    <t>Ealy</t>
  </si>
  <si>
    <t>Kony</t>
  </si>
  <si>
    <t>Easley</t>
  </si>
  <si>
    <t>Edison</t>
  </si>
  <si>
    <t>Kadeem</t>
  </si>
  <si>
    <t>Edwards Jr</t>
  </si>
  <si>
    <t>Ehinger</t>
  </si>
  <si>
    <t>Eligwe</t>
  </si>
  <si>
    <t>Ukeme</t>
  </si>
  <si>
    <t>Deshon</t>
  </si>
  <si>
    <t>Elston</t>
  </si>
  <si>
    <t>Escobar</t>
  </si>
  <si>
    <t>Gavin</t>
  </si>
  <si>
    <t>Etta-Tawo</t>
  </si>
  <si>
    <t>Amba</t>
  </si>
  <si>
    <t>Jahri</t>
  </si>
  <si>
    <t>Fales</t>
  </si>
  <si>
    <t>Fede</t>
  </si>
  <si>
    <t>Forbath</t>
  </si>
  <si>
    <t>Jalston</t>
  </si>
  <si>
    <t>Fowler III</t>
  </si>
  <si>
    <t>Fowler Jr</t>
  </si>
  <si>
    <t>Francis</t>
  </si>
  <si>
    <t>Mose</t>
  </si>
  <si>
    <t>Freeny</t>
  </si>
  <si>
    <t>Fuller V</t>
  </si>
  <si>
    <t>Fullington</t>
  </si>
  <si>
    <t>Fusco</t>
  </si>
  <si>
    <t>Gallman Jr</t>
  </si>
  <si>
    <t>Garcia-Williams</t>
  </si>
  <si>
    <t>Jerrol</t>
  </si>
  <si>
    <t>Garcon</t>
  </si>
  <si>
    <t>Garvin</t>
  </si>
  <si>
    <t>Terence</t>
  </si>
  <si>
    <t>Giacomini</t>
  </si>
  <si>
    <t>Breno</t>
  </si>
  <si>
    <t>Gilchrist</t>
  </si>
  <si>
    <t>Gilliam</t>
  </si>
  <si>
    <t>Garry</t>
  </si>
  <si>
    <t>Gillislee</t>
  </si>
  <si>
    <t>Ginn Jr</t>
  </si>
  <si>
    <t>Glanton</t>
  </si>
  <si>
    <t>Demetri</t>
  </si>
  <si>
    <t>MarQueis</t>
  </si>
  <si>
    <t>Grayson</t>
  </si>
  <si>
    <t>Greco</t>
  </si>
  <si>
    <t>Tion</t>
  </si>
  <si>
    <t>Greene Sr</t>
  </si>
  <si>
    <t>Gresham</t>
  </si>
  <si>
    <t>Griffin III</t>
  </si>
  <si>
    <t>Grigsby</t>
  </si>
  <si>
    <t>Grimes</t>
  </si>
  <si>
    <t>LaDarius</t>
  </si>
  <si>
    <t>Gurley II</t>
  </si>
  <si>
    <t>Gwacham</t>
  </si>
  <si>
    <t>Obum</t>
  </si>
  <si>
    <t>Hackenberg</t>
  </si>
  <si>
    <t>Hal</t>
  </si>
  <si>
    <t>Daesean</t>
  </si>
  <si>
    <t>Shaun Dion</t>
  </si>
  <si>
    <t>Hansbrough</t>
  </si>
  <si>
    <t>Hansen</t>
  </si>
  <si>
    <t>Hardison</t>
  </si>
  <si>
    <t>Hargreaves III</t>
  </si>
  <si>
    <t>Harris Jr</t>
  </si>
  <si>
    <t>Harrison Sr</t>
  </si>
  <si>
    <t>Hatley</t>
  </si>
  <si>
    <t>Rickey</t>
  </si>
  <si>
    <t>Hayes</t>
  </si>
  <si>
    <t>Heeney</t>
  </si>
  <si>
    <t>Hendricks</t>
  </si>
  <si>
    <t>Herndon IV</t>
  </si>
  <si>
    <t>Herzlich</t>
  </si>
  <si>
    <t>Heyward-Bey</t>
  </si>
  <si>
    <t>Darrius</t>
  </si>
  <si>
    <t>Krishawn</t>
  </si>
  <si>
    <t>Holsey</t>
  </si>
  <si>
    <t>Ziggy</t>
  </si>
  <si>
    <t>Hoomanawanui</t>
  </si>
  <si>
    <t>House</t>
  </si>
  <si>
    <t>Huff</t>
  </si>
  <si>
    <t>Marqueston</t>
  </si>
  <si>
    <t>Humber</t>
  </si>
  <si>
    <t>Demontre</t>
  </si>
  <si>
    <t>Hutchinson</t>
  </si>
  <si>
    <t>Hyder Jr</t>
  </si>
  <si>
    <t>Ijalana</t>
  </si>
  <si>
    <t>Ingram II</t>
  </si>
  <si>
    <t>Ivory</t>
  </si>
  <si>
    <t>Janikowski</t>
  </si>
  <si>
    <t>Janis</t>
  </si>
  <si>
    <t>Joeckel</t>
  </si>
  <si>
    <t>Dontae</t>
  </si>
  <si>
    <t>Toby</t>
  </si>
  <si>
    <t>Johnson III</t>
  </si>
  <si>
    <t>Johnson Jr</t>
  </si>
  <si>
    <t>Jarron</t>
  </si>
  <si>
    <t>Jones II</t>
  </si>
  <si>
    <t>Jones IV</t>
  </si>
  <si>
    <t>Jones Jr</t>
  </si>
  <si>
    <t>Kaaya</t>
  </si>
  <si>
    <t>Kaser</t>
  </si>
  <si>
    <t>Kelley</t>
  </si>
  <si>
    <t>Kelly Jr</t>
  </si>
  <si>
    <t>Kelsey Jr</t>
  </si>
  <si>
    <t>Kerley</t>
  </si>
  <si>
    <t>Kerridge</t>
  </si>
  <si>
    <t>Keyes</t>
  </si>
  <si>
    <t>Kikaha</t>
  </si>
  <si>
    <t>Hauoli</t>
  </si>
  <si>
    <t>Marquette</t>
  </si>
  <si>
    <t>Tavarres</t>
  </si>
  <si>
    <t>Kouandjio</t>
  </si>
  <si>
    <t>Arie</t>
  </si>
  <si>
    <t>Krieger-Coble</t>
  </si>
  <si>
    <t>Kuhn</t>
  </si>
  <si>
    <t>LaFell</t>
  </si>
  <si>
    <t>Lambert</t>
  </si>
  <si>
    <t>DaVonte</t>
  </si>
  <si>
    <t>Lampman</t>
  </si>
  <si>
    <t>Lamur</t>
  </si>
  <si>
    <t>Lang</t>
  </si>
  <si>
    <t>Lanier II</t>
  </si>
  <si>
    <t>Lasco</t>
  </si>
  <si>
    <t>Latham</t>
  </si>
  <si>
    <t>Lechler</t>
  </si>
  <si>
    <t>Lengel</t>
  </si>
  <si>
    <t>Leno Jr</t>
  </si>
  <si>
    <t>Leslie</t>
  </si>
  <si>
    <t>Levine Sr</t>
  </si>
  <si>
    <t>Levitre</t>
  </si>
  <si>
    <t>Lewis Jr</t>
  </si>
  <si>
    <t>Roger</t>
  </si>
  <si>
    <t>Listenbee</t>
  </si>
  <si>
    <t>Kolby</t>
  </si>
  <si>
    <t>Liuget</t>
  </si>
  <si>
    <t>Locke</t>
  </si>
  <si>
    <t>Longacre</t>
  </si>
  <si>
    <t>Lott</t>
  </si>
  <si>
    <t>Marshawn</t>
  </si>
  <si>
    <t>Maclin</t>
  </si>
  <si>
    <t>Madden</t>
  </si>
  <si>
    <t>Magee</t>
  </si>
  <si>
    <t>Mager</t>
  </si>
  <si>
    <t>Mahomes II</t>
  </si>
  <si>
    <t>Manuel</t>
  </si>
  <si>
    <t>Maponga Sr</t>
  </si>
  <si>
    <t>Stansly</t>
  </si>
  <si>
    <t>Maragos</t>
  </si>
  <si>
    <t>Martin Jr</t>
  </si>
  <si>
    <t>Martino</t>
  </si>
  <si>
    <t>Freddie</t>
  </si>
  <si>
    <t>Rishard</t>
  </si>
  <si>
    <t>Mauger</t>
  </si>
  <si>
    <t>Mauldin IV</t>
  </si>
  <si>
    <t>Maxwell</t>
  </si>
  <si>
    <t>Mays</t>
  </si>
  <si>
    <t>McClellan</t>
  </si>
  <si>
    <t>McClure</t>
  </si>
  <si>
    <t>McCown</t>
  </si>
  <si>
    <t>Kelcie</t>
  </si>
  <si>
    <t>McCray II</t>
  </si>
  <si>
    <t>Clinton</t>
  </si>
  <si>
    <t>McDonald Jr</t>
  </si>
  <si>
    <t>McDowell</t>
  </si>
  <si>
    <t>McEvoy</t>
  </si>
  <si>
    <t>McFadden</t>
  </si>
  <si>
    <t>McGee</t>
  </si>
  <si>
    <t>McGrath</t>
  </si>
  <si>
    <t>McKay</t>
  </si>
  <si>
    <t>Mekale</t>
  </si>
  <si>
    <t>McLeod Jr</t>
  </si>
  <si>
    <t>McQuay III</t>
  </si>
  <si>
    <t>Mewhort</t>
  </si>
  <si>
    <t>Christine</t>
  </si>
  <si>
    <t>Mickens</t>
  </si>
  <si>
    <t>Jaydon</t>
  </si>
  <si>
    <t>Rontez</t>
  </si>
  <si>
    <t>Harlan</t>
  </si>
  <si>
    <t>Minter</t>
  </si>
  <si>
    <t>Moore II</t>
  </si>
  <si>
    <t>Morgan II</t>
  </si>
  <si>
    <t>Morrison</t>
  </si>
  <si>
    <t>Mount</t>
  </si>
  <si>
    <t>Deiontrez</t>
  </si>
  <si>
    <t>Munnerlyn</t>
  </si>
  <si>
    <t>Captain</t>
  </si>
  <si>
    <t>Munyer</t>
  </si>
  <si>
    <t>DeMarco</t>
  </si>
  <si>
    <t>Myrick</t>
  </si>
  <si>
    <t>Jordy</t>
  </si>
  <si>
    <t>Nelson Jr</t>
  </si>
  <si>
    <t>Newman</t>
  </si>
  <si>
    <t>Ngata</t>
  </si>
  <si>
    <t>Haloti</t>
  </si>
  <si>
    <t>Nicolas</t>
  </si>
  <si>
    <t>Dadi</t>
  </si>
  <si>
    <t>Niklas</t>
  </si>
  <si>
    <t>Nixon</t>
  </si>
  <si>
    <t>Taurean</t>
  </si>
  <si>
    <t>Nwachukwu</t>
  </si>
  <si>
    <t>Noble</t>
  </si>
  <si>
    <t>Odighizuwa</t>
  </si>
  <si>
    <t>Owa</t>
  </si>
  <si>
    <t>OMalley</t>
  </si>
  <si>
    <t>Omameh</t>
  </si>
  <si>
    <t>Orakpo</t>
  </si>
  <si>
    <t>Osweiler</t>
  </si>
  <si>
    <t>Painter</t>
  </si>
  <si>
    <t>Vinston</t>
  </si>
  <si>
    <t>Palepoi</t>
  </si>
  <si>
    <t>Tenny</t>
  </si>
  <si>
    <t>Palmer</t>
  </si>
  <si>
    <t>Pankey</t>
  </si>
  <si>
    <t>Parkey</t>
  </si>
  <si>
    <t>Parnell</t>
  </si>
  <si>
    <t>Jermey</t>
  </si>
  <si>
    <t>Peko Sr</t>
  </si>
  <si>
    <t>Domata</t>
  </si>
  <si>
    <t>Penn</t>
  </si>
  <si>
    <t>Julius</t>
  </si>
  <si>
    <t>Perry</t>
  </si>
  <si>
    <t>Senorise</t>
  </si>
  <si>
    <t>Petty</t>
  </si>
  <si>
    <t>Dashaun</t>
  </si>
  <si>
    <t>Pitts</t>
  </si>
  <si>
    <t>Lafayette</t>
  </si>
  <si>
    <t>Pleasant</t>
  </si>
  <si>
    <t>Poehls</t>
  </si>
  <si>
    <t>Poutasi</t>
  </si>
  <si>
    <t>Tyvis</t>
  </si>
  <si>
    <t>Ejuan</t>
  </si>
  <si>
    <t>Givens</t>
  </si>
  <si>
    <t>Prosch</t>
  </si>
  <si>
    <t>Pryor Sr</t>
  </si>
  <si>
    <t>Pullard III</t>
  </si>
  <si>
    <t>Pumphrey Jr</t>
  </si>
  <si>
    <t>Quigley</t>
  </si>
  <si>
    <t>Glover</t>
  </si>
  <si>
    <t>Trovon</t>
  </si>
  <si>
    <t>Caraun</t>
  </si>
  <si>
    <t>Reilly</t>
  </si>
  <si>
    <t>Rey</t>
  </si>
  <si>
    <t>Rhaney</t>
  </si>
  <si>
    <t>Rice</t>
  </si>
  <si>
    <t>Richardson Jr</t>
  </si>
  <si>
    <t>Stevan</t>
  </si>
  <si>
    <t>Riitem</t>
  </si>
  <si>
    <t>Rios</t>
  </si>
  <si>
    <t>Ripkowski</t>
  </si>
  <si>
    <t>Roaf</t>
  </si>
  <si>
    <t>Edmond</t>
  </si>
  <si>
    <t>Robison</t>
  </si>
  <si>
    <t>Jacquizz</t>
  </si>
  <si>
    <t>Rollins</t>
  </si>
  <si>
    <t>Quinten</t>
  </si>
  <si>
    <t>Rucker</t>
  </si>
  <si>
    <t>Frostee</t>
  </si>
  <si>
    <t>Saffold III</t>
  </si>
  <si>
    <t>Sandland</t>
  </si>
  <si>
    <t>Sanu Sr</t>
  </si>
  <si>
    <t>Scandrick</t>
  </si>
  <si>
    <t>Schmidt</t>
  </si>
  <si>
    <t>Colton</t>
  </si>
  <si>
    <t>Schraeder</t>
  </si>
  <si>
    <t>Rashawn</t>
  </si>
  <si>
    <t>Seamster</t>
  </si>
  <si>
    <t>Searcy</t>
  </si>
  <si>
    <t>DaNorris</t>
  </si>
  <si>
    <t>Seferian-Jenkins</t>
  </si>
  <si>
    <t>Sensabaugh</t>
  </si>
  <si>
    <t>Coty</t>
  </si>
  <si>
    <t>Sharp</t>
  </si>
  <si>
    <t>Shead</t>
  </si>
  <si>
    <t>Shields</t>
  </si>
  <si>
    <t>Shittu</t>
  </si>
  <si>
    <t>Aziz</t>
  </si>
  <si>
    <t>Sickels</t>
  </si>
  <si>
    <t>Silatolu</t>
  </si>
  <si>
    <t>Amini</t>
  </si>
  <si>
    <t>Sims III</t>
  </si>
  <si>
    <t>Siragusa</t>
  </si>
  <si>
    <t>Sitton</t>
  </si>
  <si>
    <t>Slauson</t>
  </si>
  <si>
    <t>Slay Jr</t>
  </si>
  <si>
    <t>Smelter</t>
  </si>
  <si>
    <t>DeVeon</t>
  </si>
  <si>
    <t>Garrison</t>
  </si>
  <si>
    <t>Trequan</t>
  </si>
  <si>
    <t>Smith II</t>
  </si>
  <si>
    <t>Smith III</t>
  </si>
  <si>
    <t>Smithson</t>
  </si>
  <si>
    <t>Fish</t>
  </si>
  <si>
    <t>Snead IV</t>
  </si>
  <si>
    <t>Sokoli</t>
  </si>
  <si>
    <t>Kristjan</t>
  </si>
  <si>
    <t>Southward</t>
  </si>
  <si>
    <t>Dezmen</t>
  </si>
  <si>
    <t>Spaight</t>
  </si>
  <si>
    <t>Martrell</t>
  </si>
  <si>
    <t>Sproles</t>
  </si>
  <si>
    <t>St. Brown</t>
  </si>
  <si>
    <t>Stephenson</t>
  </si>
  <si>
    <t>Stevenson</t>
  </si>
  <si>
    <t>ArDarius</t>
  </si>
  <si>
    <t>Stewart Jr</t>
  </si>
  <si>
    <t>Streater</t>
  </si>
  <si>
    <t>Stribling</t>
  </si>
  <si>
    <t>Channing</t>
  </si>
  <si>
    <t>Sturgis</t>
  </si>
  <si>
    <t>Supernaw</t>
  </si>
  <si>
    <t>Swoope</t>
  </si>
  <si>
    <t>Tandy</t>
  </si>
  <si>
    <t>Tapper</t>
  </si>
  <si>
    <t>Tate III</t>
  </si>
  <si>
    <t>Taylor Sr</t>
  </si>
  <si>
    <t>Teo</t>
  </si>
  <si>
    <t>Manti</t>
  </si>
  <si>
    <t>DeAnthony</t>
  </si>
  <si>
    <t>Thomas III</t>
  </si>
  <si>
    <t>Timmons</t>
  </si>
  <si>
    <t>Timu</t>
  </si>
  <si>
    <t>Tobin</t>
  </si>
  <si>
    <t>Tocho</t>
  </si>
  <si>
    <t>Toomer</t>
  </si>
  <si>
    <t>Toussaint</t>
  </si>
  <si>
    <t>Trawick</t>
  </si>
  <si>
    <t>Brynden</t>
  </si>
  <si>
    <t>Traylor</t>
  </si>
  <si>
    <t>Treggs</t>
  </si>
  <si>
    <t>TuIkolovatu</t>
  </si>
  <si>
    <t>Stevie</t>
  </si>
  <si>
    <t>Turbin</t>
  </si>
  <si>
    <t>Unger</t>
  </si>
  <si>
    <t>Unrein</t>
  </si>
  <si>
    <t>Valles</t>
  </si>
  <si>
    <t>Valoaga</t>
  </si>
  <si>
    <t>Van Noy</t>
  </si>
  <si>
    <t>Van Roten</t>
  </si>
  <si>
    <t>Vander Esch</t>
  </si>
  <si>
    <t>Veldheer</t>
  </si>
  <si>
    <t>Verner</t>
  </si>
  <si>
    <t>Alterraun</t>
  </si>
  <si>
    <t>Azeem</t>
  </si>
  <si>
    <t>Virgin</t>
  </si>
  <si>
    <t>Vogel</t>
  </si>
  <si>
    <t>Walker Jr</t>
  </si>
  <si>
    <t>Walton Jr</t>
  </si>
  <si>
    <t>Jylan</t>
  </si>
  <si>
    <t>Warmack</t>
  </si>
  <si>
    <t>Chance</t>
  </si>
  <si>
    <t>Warmsley</t>
  </si>
  <si>
    <t>Menelik</t>
  </si>
  <si>
    <t>Webb III</t>
  </si>
  <si>
    <t>Kayvon</t>
  </si>
  <si>
    <t>Weeden</t>
  </si>
  <si>
    <t>West</t>
  </si>
  <si>
    <t>Charcandrick</t>
  </si>
  <si>
    <t>Westbrooks</t>
  </si>
  <si>
    <t>Wheaton</t>
  </si>
  <si>
    <t>Lucky</t>
  </si>
  <si>
    <t>Whittaker</t>
  </si>
  <si>
    <t>Fozzy</t>
  </si>
  <si>
    <t>Wilds</t>
  </si>
  <si>
    <t>Wilhoite</t>
  </si>
  <si>
    <t>Wilkerson</t>
  </si>
  <si>
    <t>Antwione</t>
  </si>
  <si>
    <t>Jarveon</t>
  </si>
  <si>
    <t>Kerwynn</t>
  </si>
  <si>
    <t>Marquess</t>
  </si>
  <si>
    <t>Wilson Jr</t>
  </si>
  <si>
    <t>Wilson Sr</t>
  </si>
  <si>
    <t>Wing</t>
  </si>
  <si>
    <t>Wise Jr</t>
  </si>
  <si>
    <t>Shareece</t>
  </si>
  <si>
    <t>Timothy</t>
  </si>
  <si>
    <t>Wright III</t>
  </si>
  <si>
    <t>Scooby</t>
  </si>
  <si>
    <t>Yancey</t>
  </si>
  <si>
    <t>Lou</t>
  </si>
  <si>
    <t>Zombo</t>
  </si>
  <si>
    <t>Abbrederis</t>
  </si>
  <si>
    <t>Abdesmad</t>
  </si>
  <si>
    <t>Mehdi</t>
  </si>
  <si>
    <t>Adjei-Barimah</t>
  </si>
  <si>
    <t>Jude</t>
  </si>
  <si>
    <t>Atkinson III</t>
  </si>
  <si>
    <t>Austell</t>
  </si>
  <si>
    <t>Banks</t>
  </si>
  <si>
    <t>Johnthan</t>
  </si>
  <si>
    <t>Banyard</t>
  </si>
  <si>
    <t>Barbre</t>
  </si>
  <si>
    <t>Adairius</t>
  </si>
  <si>
    <t>Barrow</t>
  </si>
  <si>
    <t>Lamin</t>
  </si>
  <si>
    <t>Barth</t>
  </si>
  <si>
    <t>Beadles</t>
  </si>
  <si>
    <t>Benn</t>
  </si>
  <si>
    <t>Arrelious</t>
  </si>
  <si>
    <t>Martellus</t>
  </si>
  <si>
    <t>Bercovici</t>
  </si>
  <si>
    <t>Berger</t>
  </si>
  <si>
    <t>Bersin</t>
  </si>
  <si>
    <t>Brenton</t>
  </si>
  <si>
    <t>Billingsley</t>
  </si>
  <si>
    <t>Bishop</t>
  </si>
  <si>
    <t>Blackmon</t>
  </si>
  <si>
    <t>Valentino</t>
  </si>
  <si>
    <t>Boulware</t>
  </si>
  <si>
    <t>Bowie</t>
  </si>
  <si>
    <t>Boyce</t>
  </si>
  <si>
    <t>Trevone</t>
  </si>
  <si>
    <t>Tyvon</t>
  </si>
  <si>
    <t>Braverman</t>
  </si>
  <si>
    <t>Algernon</t>
  </si>
  <si>
    <t>Philly</t>
  </si>
  <si>
    <t>Armonty</t>
  </si>
  <si>
    <t>Corbin</t>
  </si>
  <si>
    <t>Bundy</t>
  </si>
  <si>
    <t>Burley</t>
  </si>
  <si>
    <t>Burse</t>
  </si>
  <si>
    <t>Caldwell</t>
  </si>
  <si>
    <t>KaDeem</t>
  </si>
  <si>
    <t>Carrell</t>
  </si>
  <si>
    <t>Carrethers</t>
  </si>
  <si>
    <t>Carroll II</t>
  </si>
  <si>
    <t>Nolan</t>
  </si>
  <si>
    <t>Cash</t>
  </si>
  <si>
    <t>Casher</t>
  </si>
  <si>
    <t>Casillas</t>
  </si>
  <si>
    <t>Cherry</t>
  </si>
  <si>
    <t>Cioffi</t>
  </si>
  <si>
    <t>Clarke</t>
  </si>
  <si>
    <t>Cleary</t>
  </si>
  <si>
    <t>Emmett</t>
  </si>
  <si>
    <t>Clemens</t>
  </si>
  <si>
    <t>Kellen</t>
  </si>
  <si>
    <t>Cleveland</t>
  </si>
  <si>
    <t>Asante</t>
  </si>
  <si>
    <t>Audie</t>
  </si>
  <si>
    <t>Deandre</t>
  </si>
  <si>
    <t>Condo</t>
  </si>
  <si>
    <t>Conque</t>
  </si>
  <si>
    <t>Fahn</t>
  </si>
  <si>
    <t>Cox Jr</t>
  </si>
  <si>
    <t>Crick</t>
  </si>
  <si>
    <t>Cromartie</t>
  </si>
  <si>
    <t>Cruz</t>
  </si>
  <si>
    <t>Cumberland</t>
  </si>
  <si>
    <t>Cunningham Jr</t>
  </si>
  <si>
    <t>Cushing</t>
  </si>
  <si>
    <t>Knile</t>
  </si>
  <si>
    <t>DeBord</t>
  </si>
  <si>
    <t>Delaire</t>
  </si>
  <si>
    <t>Demps</t>
  </si>
  <si>
    <t>Quintin</t>
  </si>
  <si>
    <t>Dial</t>
  </si>
  <si>
    <t>Dobson</t>
  </si>
  <si>
    <t>Dorenbos</t>
  </si>
  <si>
    <t>Doughty</t>
  </si>
  <si>
    <t>Draughn</t>
  </si>
  <si>
    <t>Dumervil</t>
  </si>
  <si>
    <t>Elvis</t>
  </si>
  <si>
    <t>Dunker</t>
  </si>
  <si>
    <t>Jessamen</t>
  </si>
  <si>
    <t>Dye Jr</t>
  </si>
  <si>
    <t>Donteea</t>
  </si>
  <si>
    <t>Dysert</t>
  </si>
  <si>
    <t>Edebali</t>
  </si>
  <si>
    <t>Kasim</t>
  </si>
  <si>
    <t>Lachlan</t>
  </si>
  <si>
    <t>Lavar</t>
  </si>
  <si>
    <t>Ellerbe</t>
  </si>
  <si>
    <t>Dannell</t>
  </si>
  <si>
    <t>Eulls</t>
  </si>
  <si>
    <t>Exum Jr</t>
  </si>
  <si>
    <t>Fairley</t>
  </si>
  <si>
    <t>Farris</t>
  </si>
  <si>
    <t>Fasano</t>
  </si>
  <si>
    <t>Ego</t>
  </si>
  <si>
    <t>Fiedorowicz</t>
  </si>
  <si>
    <t>Fleener</t>
  </si>
  <si>
    <t>Coby</t>
  </si>
  <si>
    <t>Sharrif</t>
  </si>
  <si>
    <t>Folk</t>
  </si>
  <si>
    <t>Forte</t>
  </si>
  <si>
    <t>France</t>
  </si>
  <si>
    <t>Jerrell</t>
  </si>
  <si>
    <t>Frese</t>
  </si>
  <si>
    <t>Friend</t>
  </si>
  <si>
    <t>Fua</t>
  </si>
  <si>
    <t>Alani</t>
  </si>
  <si>
    <t>Galette</t>
  </si>
  <si>
    <t>Junior</t>
  </si>
  <si>
    <t>Keyarris</t>
  </si>
  <si>
    <t>Shamiel</t>
  </si>
  <si>
    <t>Gaston</t>
  </si>
  <si>
    <t>Gause</t>
  </si>
  <si>
    <t>Gennesy</t>
  </si>
  <si>
    <t>Laurence</t>
  </si>
  <si>
    <t>Gilberry</t>
  </si>
  <si>
    <t>Gillmore</t>
  </si>
  <si>
    <t>Brittan</t>
  </si>
  <si>
    <t>Golson</t>
  </si>
  <si>
    <t>Senquez</t>
  </si>
  <si>
    <t>Gooden</t>
  </si>
  <si>
    <t>Zaviar</t>
  </si>
  <si>
    <t>Goodman</t>
  </si>
  <si>
    <t>Malliciah</t>
  </si>
  <si>
    <t>Gradkowski</t>
  </si>
  <si>
    <t>Gino</t>
  </si>
  <si>
    <t>Graf</t>
  </si>
  <si>
    <t>Doran</t>
  </si>
  <si>
    <t>Gratz</t>
  </si>
  <si>
    <t>Nic</t>
  </si>
  <si>
    <t>Gronkowski</t>
  </si>
  <si>
    <t>Grymes</t>
  </si>
  <si>
    <t>Guion</t>
  </si>
  <si>
    <t>Letroy</t>
  </si>
  <si>
    <t>Hali</t>
  </si>
  <si>
    <t>Tamba</t>
  </si>
  <si>
    <t>Rannell</t>
  </si>
  <si>
    <t>Cobi</t>
  </si>
  <si>
    <t>Hamlett</t>
  </si>
  <si>
    <t>Hammond</t>
  </si>
  <si>
    <t>Hanna</t>
  </si>
  <si>
    <t>Harkey</t>
  </si>
  <si>
    <t>Hawley</t>
  </si>
  <si>
    <t>Hazel</t>
  </si>
  <si>
    <t>Helfet</t>
  </si>
  <si>
    <t>Hillary</t>
  </si>
  <si>
    <t>Hodges</t>
  </si>
  <si>
    <t>Bucky</t>
  </si>
  <si>
    <t>Hodges Jr</t>
  </si>
  <si>
    <t>Lamarr</t>
  </si>
  <si>
    <t>Jaye</t>
  </si>
  <si>
    <t>Howsare</t>
  </si>
  <si>
    <t>Hubert</t>
  </si>
  <si>
    <t>Montori</t>
  </si>
  <si>
    <t>Ihenacho</t>
  </si>
  <si>
    <t>Ikard</t>
  </si>
  <si>
    <t>Ivie IV</t>
  </si>
  <si>
    <t>Iworah</t>
  </si>
  <si>
    <t>Edwin</t>
  </si>
  <si>
    <t>Jackson III</t>
  </si>
  <si>
    <t>James II</t>
  </si>
  <si>
    <t>Jean Francois</t>
  </si>
  <si>
    <t>Jelani</t>
  </si>
  <si>
    <t>Shaneil</t>
  </si>
  <si>
    <t>Jeter</t>
  </si>
  <si>
    <t>Jadar</t>
  </si>
  <si>
    <t>Seantavius</t>
  </si>
  <si>
    <t>Kallon</t>
  </si>
  <si>
    <t>Kidder</t>
  </si>
  <si>
    <t>Klug</t>
  </si>
  <si>
    <t>Krause</t>
  </si>
  <si>
    <t>Lacy</t>
  </si>
  <si>
    <t>Lauvao</t>
  </si>
  <si>
    <t>Lawrence-Stample</t>
  </si>
  <si>
    <t>Nile</t>
  </si>
  <si>
    <t>Leff</t>
  </si>
  <si>
    <t>Lelito</t>
  </si>
  <si>
    <t>Lemonier</t>
  </si>
  <si>
    <t>LeRibeus</t>
  </si>
  <si>
    <t>Dezmin</t>
  </si>
  <si>
    <t>Marquavius</t>
  </si>
  <si>
    <t>Lewis-Harris</t>
  </si>
  <si>
    <t>Lowery</t>
  </si>
  <si>
    <t>Dwight</t>
  </si>
  <si>
    <t>Lucien</t>
  </si>
  <si>
    <t>Lunt</t>
  </si>
  <si>
    <t>Malleck</t>
  </si>
  <si>
    <t>Mallett</t>
  </si>
  <si>
    <t>Keshawn</t>
  </si>
  <si>
    <t>Mathews</t>
  </si>
  <si>
    <t>Matias</t>
  </si>
  <si>
    <t>Josue</t>
  </si>
  <si>
    <t>Mauga</t>
  </si>
  <si>
    <t>Maxey</t>
  </si>
  <si>
    <t>McBride</t>
  </si>
  <si>
    <t>McCalister</t>
  </si>
  <si>
    <t>McCants</t>
  </si>
  <si>
    <t>McCaskill</t>
  </si>
  <si>
    <t>McClellin</t>
  </si>
  <si>
    <t>Shea</t>
  </si>
  <si>
    <t>McCoil</t>
  </si>
  <si>
    <t>McDaniel</t>
  </si>
  <si>
    <t>Dewey</t>
  </si>
  <si>
    <t>McDougle</t>
  </si>
  <si>
    <t>McGill II</t>
  </si>
  <si>
    <t>McGloin</t>
  </si>
  <si>
    <t>McNary</t>
  </si>
  <si>
    <t>McRoberts</t>
  </si>
  <si>
    <t>Keavon</t>
  </si>
  <si>
    <t>Misi</t>
  </si>
  <si>
    <t>Koa</t>
  </si>
  <si>
    <t>Mitchel</t>
  </si>
  <si>
    <t>Moats</t>
  </si>
  <si>
    <t>Momah</t>
  </si>
  <si>
    <t>Ifeanyi</t>
  </si>
  <si>
    <t>Damontre</t>
  </si>
  <si>
    <t>Sio</t>
  </si>
  <si>
    <t>Myers Jr</t>
  </si>
  <si>
    <t>Nembot</t>
  </si>
  <si>
    <t>Stephane</t>
  </si>
  <si>
    <t>Ninkovich</t>
  </si>
  <si>
    <t>Nortman</t>
  </si>
  <si>
    <t>Norwood</t>
  </si>
  <si>
    <t>Novak</t>
  </si>
  <si>
    <t>Uzoma</t>
  </si>
  <si>
    <t>Ochi</t>
  </si>
  <si>
    <t>Oher</t>
  </si>
  <si>
    <t>Okine</t>
  </si>
  <si>
    <t>Okoye</t>
  </si>
  <si>
    <t>Olatoye</t>
  </si>
  <si>
    <t>Deji</t>
  </si>
  <si>
    <t>Orndoff</t>
  </si>
  <si>
    <t>Paea</t>
  </si>
  <si>
    <t>Pantale</t>
  </si>
  <si>
    <t>Patmon</t>
  </si>
  <si>
    <t>Paysinger</t>
  </si>
  <si>
    <t>Payton</t>
  </si>
  <si>
    <t>Peck</t>
  </si>
  <si>
    <t>Peerman</t>
  </si>
  <si>
    <t>Penton</t>
  </si>
  <si>
    <t>Aarion</t>
  </si>
  <si>
    <t>Pinkins</t>
  </si>
  <si>
    <t>Posluszny</t>
  </si>
  <si>
    <t>Walter</t>
  </si>
  <si>
    <t>Dayon</t>
  </si>
  <si>
    <t>Jabari</t>
  </si>
  <si>
    <t>Prosinski</t>
  </si>
  <si>
    <t>Pryor III</t>
  </si>
  <si>
    <t>Pughsley</t>
  </si>
  <si>
    <t>Purcell</t>
  </si>
  <si>
    <t>Purdum</t>
  </si>
  <si>
    <t>Pyke</t>
  </si>
  <si>
    <t>Randle</t>
  </si>
  <si>
    <t>Rueben</t>
  </si>
  <si>
    <t>Reedy</t>
  </si>
  <si>
    <t>Jah</t>
  </si>
  <si>
    <t>Renew</t>
  </si>
  <si>
    <t>Reynolds II</t>
  </si>
  <si>
    <t>Cyril</t>
  </si>
  <si>
    <t>Riggs</t>
  </si>
  <si>
    <t>Rivera</t>
  </si>
  <si>
    <t>Roberson</t>
  </si>
  <si>
    <t>Ezra</t>
  </si>
  <si>
    <t>Rolle</t>
  </si>
  <si>
    <t>Jumal</t>
  </si>
  <si>
    <t>Rubin</t>
  </si>
  <si>
    <t>Ahtyba</t>
  </si>
  <si>
    <t>Sanborn</t>
  </si>
  <si>
    <t>Saxton</t>
  </si>
  <si>
    <t>Schwenke</t>
  </si>
  <si>
    <t>Seau</t>
  </si>
  <si>
    <t>Shabazz</t>
  </si>
  <si>
    <t>Al-Hajj</t>
  </si>
  <si>
    <t>Shorts</t>
  </si>
  <si>
    <t>Daikiel</t>
  </si>
  <si>
    <t>Siliga</t>
  </si>
  <si>
    <t>Sealver</t>
  </si>
  <si>
    <t>Simms</t>
  </si>
  <si>
    <t>Skinner</t>
  </si>
  <si>
    <t>Deontae</t>
  </si>
  <si>
    <t>Skuta</t>
  </si>
  <si>
    <t>Aldon</t>
  </si>
  <si>
    <t>DJoun</t>
  </si>
  <si>
    <t>Jacquies</t>
  </si>
  <si>
    <t>Tevaun</t>
  </si>
  <si>
    <t>Spadola</t>
  </si>
  <si>
    <t>Spiller</t>
  </si>
  <si>
    <t>Spruce</t>
  </si>
  <si>
    <t>Daimion</t>
  </si>
  <si>
    <t>Staples</t>
  </si>
  <si>
    <t>Staten IV</t>
  </si>
  <si>
    <t>Stave</t>
  </si>
  <si>
    <t>Steen</t>
  </si>
  <si>
    <t>Stinson</t>
  </si>
  <si>
    <t>Stone</t>
  </si>
  <si>
    <t>Strief</t>
  </si>
  <si>
    <t>Stringfellow</t>
  </si>
  <si>
    <t>Damoreea</t>
  </si>
  <si>
    <t>Stuckey</t>
  </si>
  <si>
    <t>Sunseri</t>
  </si>
  <si>
    <t>Vinnie</t>
  </si>
  <si>
    <t>Swann</t>
  </si>
  <si>
    <t>Damian</t>
  </si>
  <si>
    <t>Swanson</t>
  </si>
  <si>
    <t>Taliaferro</t>
  </si>
  <si>
    <t>Tapp</t>
  </si>
  <si>
    <t>Tautu</t>
  </si>
  <si>
    <t>Sae</t>
  </si>
  <si>
    <t>Telfer</t>
  </si>
  <si>
    <t>Therezie</t>
  </si>
  <si>
    <t>Robenson</t>
  </si>
  <si>
    <t>Theus</t>
  </si>
  <si>
    <t>Juwan</t>
  </si>
  <si>
    <t>Mykkele</t>
  </si>
  <si>
    <t>Tyrus</t>
  </si>
  <si>
    <t>Khyri</t>
  </si>
  <si>
    <t>Tialavea</t>
  </si>
  <si>
    <t>Tiller</t>
  </si>
  <si>
    <t>Tinker</t>
  </si>
  <si>
    <t>Todman</t>
  </si>
  <si>
    <t>Tolbert</t>
  </si>
  <si>
    <t>Tolzien</t>
  </si>
  <si>
    <t>Torgersen</t>
  </si>
  <si>
    <t>Alek</t>
  </si>
  <si>
    <t>Trail</t>
  </si>
  <si>
    <t>Lynden</t>
  </si>
  <si>
    <t>Damarius</t>
  </si>
  <si>
    <t>Tretola</t>
  </si>
  <si>
    <t>Trinca-Pasat</t>
  </si>
  <si>
    <t>Tripp</t>
  </si>
  <si>
    <t>Tuerk</t>
  </si>
  <si>
    <t>Ugokwe</t>
  </si>
  <si>
    <t>Upshaw</t>
  </si>
  <si>
    <t>Courtney</t>
  </si>
  <si>
    <t>Urbik</t>
  </si>
  <si>
    <t>Kraig</t>
  </si>
  <si>
    <t>Urschel</t>
  </si>
  <si>
    <t>Vaughan</t>
  </si>
  <si>
    <t>Vellano</t>
  </si>
  <si>
    <t>Vereen</t>
  </si>
  <si>
    <t>Walsh</t>
  </si>
  <si>
    <t>Lardarius</t>
  </si>
  <si>
    <t>Webster III</t>
  </si>
  <si>
    <t>Weems</t>
  </si>
  <si>
    <t>Kasen</t>
  </si>
  <si>
    <t>Wendall</t>
  </si>
  <si>
    <t>Winn</t>
  </si>
  <si>
    <t>Wolff IV</t>
  </si>
  <si>
    <t>Woodhead</t>
  </si>
  <si>
    <t>Worthy</t>
  </si>
  <si>
    <t>Jerel</t>
  </si>
  <si>
    <t>Yankey</t>
  </si>
  <si>
    <t>Yates</t>
  </si>
  <si>
    <t>Zamora</t>
  </si>
  <si>
    <t>Zuttah</t>
  </si>
  <si>
    <t>Abdul-Quddus</t>
  </si>
  <si>
    <t>Isa</t>
  </si>
  <si>
    <t>Bralon</t>
  </si>
  <si>
    <t>Adeyemi</t>
  </si>
  <si>
    <t>Kenton</t>
  </si>
  <si>
    <t>Ahmed</t>
  </si>
  <si>
    <t>Shahbaz</t>
  </si>
  <si>
    <t>Alecxih</t>
  </si>
  <si>
    <t>Chas</t>
  </si>
  <si>
    <t>RaShaun</t>
  </si>
  <si>
    <t>Torrence</t>
  </si>
  <si>
    <t>Busta</t>
  </si>
  <si>
    <t>Demetris</t>
  </si>
  <si>
    <t>Annen</t>
  </si>
  <si>
    <t>Anthrop</t>
  </si>
  <si>
    <t>Anunike</t>
  </si>
  <si>
    <t>Arenas</t>
  </si>
  <si>
    <t>Javier</t>
  </si>
  <si>
    <t>Arkin</t>
  </si>
  <si>
    <t>Arrington</t>
  </si>
  <si>
    <t>Aubrey</t>
  </si>
  <si>
    <t>Awe</t>
  </si>
  <si>
    <t>Ayers Jr.</t>
  </si>
  <si>
    <t>Babineaux</t>
  </si>
  <si>
    <t>Backman</t>
  </si>
  <si>
    <t>Ball</t>
  </si>
  <si>
    <t>Neiron</t>
  </si>
  <si>
    <t>Barker</t>
  </si>
  <si>
    <t>Barney</t>
  </si>
  <si>
    <t>Tarow</t>
  </si>
  <si>
    <t>Barnidge</t>
  </si>
  <si>
    <t>Barrington</t>
  </si>
  <si>
    <t>Karim</t>
  </si>
  <si>
    <t>Bartu</t>
  </si>
  <si>
    <t>Joplo</t>
  </si>
  <si>
    <t>Beasley Jr.</t>
  </si>
  <si>
    <t>Beckham Jr.</t>
  </si>
  <si>
    <t>Becton</t>
  </si>
  <si>
    <t>Jered</t>
  </si>
  <si>
    <t>Bernadeau</t>
  </si>
  <si>
    <t>Mackenzy</t>
  </si>
  <si>
    <t>Bertolet</t>
  </si>
  <si>
    <t>Bethel-Thompson</t>
  </si>
  <si>
    <t>Biggers</t>
  </si>
  <si>
    <t>Antwon</t>
  </si>
  <si>
    <t>Boggs</t>
  </si>
  <si>
    <t>Boldin</t>
  </si>
  <si>
    <t>Anquan</t>
  </si>
  <si>
    <t>Booth</t>
  </si>
  <si>
    <t>Bostick</t>
  </si>
  <si>
    <t>Bradfield</t>
  </si>
  <si>
    <t>Braman</t>
  </si>
  <si>
    <t>Brenner</t>
  </si>
  <si>
    <t>Jasper</t>
  </si>
  <si>
    <t>Britz</t>
  </si>
  <si>
    <t>Cariel</t>
  </si>
  <si>
    <t>Beniquez</t>
  </si>
  <si>
    <t>Chykie</t>
  </si>
  <si>
    <t>Jalil</t>
  </si>
  <si>
    <t>Kourtnei</t>
  </si>
  <si>
    <t>Browner</t>
  </si>
  <si>
    <t>Bruton Jr.</t>
  </si>
  <si>
    <t>Brutus</t>
  </si>
  <si>
    <t>Red</t>
  </si>
  <si>
    <t>Crezdon</t>
  </si>
  <si>
    <t>Jairus</t>
  </si>
  <si>
    <t>Carlisle</t>
  </si>
  <si>
    <t>Amir</t>
  </si>
  <si>
    <t>Deveron</t>
  </si>
  <si>
    <t>Cartwright</t>
  </si>
  <si>
    <t>Kivon</t>
  </si>
  <si>
    <t>Catapano</t>
  </si>
  <si>
    <t>Chekwa</t>
  </si>
  <si>
    <t>Chimdi</t>
  </si>
  <si>
    <t>Cherilus</t>
  </si>
  <si>
    <t>Gosder</t>
  </si>
  <si>
    <t>Chestnut</t>
  </si>
  <si>
    <t>Clady</t>
  </si>
  <si>
    <t>Clemons</t>
  </si>
  <si>
    <t>Coffman</t>
  </si>
  <si>
    <t>Cofield</t>
  </si>
  <si>
    <t>Takoby</t>
  </si>
  <si>
    <t>Coker</t>
  </si>
  <si>
    <t>Kavell</t>
  </si>
  <si>
    <t>Coons</t>
  </si>
  <si>
    <t>Coples</t>
  </si>
  <si>
    <t>Coprich</t>
  </si>
  <si>
    <t>Marshaun</t>
  </si>
  <si>
    <t>Perrish</t>
  </si>
  <si>
    <t>Crichton</t>
  </si>
  <si>
    <t>Cutler</t>
  </si>
  <si>
    <t>Titus</t>
  </si>
  <si>
    <t>Davis Sr.</t>
  </si>
  <si>
    <t>Debose</t>
  </si>
  <si>
    <t>Dent</t>
  </si>
  <si>
    <t>DePalma</t>
  </si>
  <si>
    <t>DiManche</t>
  </si>
  <si>
    <t>Jayson</t>
  </si>
  <si>
    <t>Dismukes</t>
  </si>
  <si>
    <t>Reese</t>
  </si>
  <si>
    <t>Dorsey</t>
  </si>
  <si>
    <t>Douzable</t>
  </si>
  <si>
    <t>Leger</t>
  </si>
  <si>
    <t>Dowling</t>
  </si>
  <si>
    <t>Dray</t>
  </si>
  <si>
    <t>Jim</t>
  </si>
  <si>
    <t>Drescher</t>
  </si>
  <si>
    <t>Dubose</t>
  </si>
  <si>
    <t>Durant</t>
  </si>
  <si>
    <t>Dye Jr.</t>
  </si>
  <si>
    <t>Edwards Jr.</t>
  </si>
  <si>
    <t>Ekpre-Olomu</t>
  </si>
  <si>
    <t>Ifo</t>
  </si>
  <si>
    <t>Elam</t>
  </si>
  <si>
    <t>Kenrick</t>
  </si>
  <si>
    <t>Enemkpali</t>
  </si>
  <si>
    <t>IK</t>
  </si>
  <si>
    <t>Exum Jr.</t>
  </si>
  <si>
    <t>Fallin</t>
  </si>
  <si>
    <t>Fanaika</t>
  </si>
  <si>
    <t>Farmer</t>
  </si>
  <si>
    <t>Farrell</t>
  </si>
  <si>
    <t>Felton</t>
  </si>
  <si>
    <t>Ferris</t>
  </si>
  <si>
    <t>Jamell</t>
  </si>
  <si>
    <t>Flores</t>
  </si>
  <si>
    <t>Folkerts</t>
  </si>
  <si>
    <t>Forsett</t>
  </si>
  <si>
    <t>Arian</t>
  </si>
  <si>
    <t>Foucault</t>
  </si>
  <si>
    <t>Fowler Jr.</t>
  </si>
  <si>
    <t>Fragel</t>
  </si>
  <si>
    <t>Free</t>
  </si>
  <si>
    <t>Frey</t>
  </si>
  <si>
    <t>Fuehne</t>
  </si>
  <si>
    <t>Gachkar</t>
  </si>
  <si>
    <t>Gallik</t>
  </si>
  <si>
    <t>Gerhart</t>
  </si>
  <si>
    <t>Garth</t>
  </si>
  <si>
    <t>Ginn Jr.</t>
  </si>
  <si>
    <t>Glover-Wright</t>
  </si>
  <si>
    <t>Tay</t>
  </si>
  <si>
    <t>Godfrey</t>
  </si>
  <si>
    <t>Golston</t>
  </si>
  <si>
    <t>Kedric</t>
  </si>
  <si>
    <t>Goodley</t>
  </si>
  <si>
    <t>Antwan</t>
  </si>
  <si>
    <t>Gragg</t>
  </si>
  <si>
    <t>Antwane</t>
  </si>
  <si>
    <t>Ladarius</t>
  </si>
  <si>
    <t>Green-Beckham</t>
  </si>
  <si>
    <t>Dorial</t>
  </si>
  <si>
    <t>Khaseem</t>
  </si>
  <si>
    <t>Greenway</t>
  </si>
  <si>
    <t>Guy Jr.</t>
  </si>
  <si>
    <t>Hackett</t>
  </si>
  <si>
    <t>Hamm</t>
  </si>
  <si>
    <t>JeRon</t>
  </si>
  <si>
    <t>Hankerson</t>
  </si>
  <si>
    <t>Hanson</t>
  </si>
  <si>
    <t>Lars</t>
  </si>
  <si>
    <t>Harbor</t>
  </si>
  <si>
    <t>Harper</t>
  </si>
  <si>
    <t>Roman</t>
  </si>
  <si>
    <t>Darien</t>
  </si>
  <si>
    <t>DuJuan</t>
  </si>
  <si>
    <t>Harris Jr.</t>
  </si>
  <si>
    <t>Heaps</t>
  </si>
  <si>
    <t>Erin</t>
  </si>
  <si>
    <t>Hepburn</t>
  </si>
  <si>
    <t>Javontee</t>
  </si>
  <si>
    <t>Herrera</t>
  </si>
  <si>
    <t>Amarlo</t>
  </si>
  <si>
    <t>Heurtelou</t>
  </si>
  <si>
    <t>Hillman</t>
  </si>
  <si>
    <t>Hocker</t>
  </si>
  <si>
    <t>Hodges Jr.</t>
  </si>
  <si>
    <t>Houma</t>
  </si>
  <si>
    <t>Housler</t>
  </si>
  <si>
    <t>Hughes III</t>
  </si>
  <si>
    <t>Asa</t>
  </si>
  <si>
    <t>DQwell</t>
  </si>
  <si>
    <t>Tramain</t>
  </si>
  <si>
    <t>Kyshoen</t>
  </si>
  <si>
    <t>Marcel</t>
  </si>
  <si>
    <t>Timmy</t>
  </si>
  <si>
    <t>Jerod-Eddie</t>
  </si>
  <si>
    <t>Devonte</t>
  </si>
  <si>
    <t>James-Michael</t>
  </si>
  <si>
    <t>Randell</t>
  </si>
  <si>
    <t>Rufus</t>
  </si>
  <si>
    <t>Johnson Jr.</t>
  </si>
  <si>
    <t>Johnstone</t>
  </si>
  <si>
    <t>Kaepernick</t>
  </si>
  <si>
    <t>Kasitati</t>
  </si>
  <si>
    <t>Nila</t>
  </si>
  <si>
    <t>Keo</t>
  </si>
  <si>
    <t>Shiloh</t>
  </si>
  <si>
    <t>Knighton</t>
  </si>
  <si>
    <t>Kruger</t>
  </si>
  <si>
    <t>Kuder</t>
  </si>
  <si>
    <t>Landes</t>
  </si>
  <si>
    <t>Lasike</t>
  </si>
  <si>
    <t>Jamari</t>
  </si>
  <si>
    <t>Laurinaitis</t>
  </si>
  <si>
    <t>Manny</t>
  </si>
  <si>
    <t>LeFevour</t>
  </si>
  <si>
    <t>Leno Jr.</t>
  </si>
  <si>
    <t>Lenz</t>
  </si>
  <si>
    <t>Leonhardt</t>
  </si>
  <si>
    <t>Levine Sr.</t>
  </si>
  <si>
    <t>Levy</t>
  </si>
  <si>
    <t>Thad</t>
  </si>
  <si>
    <t>Licata</t>
  </si>
  <si>
    <t>Lichtensteiger</t>
  </si>
  <si>
    <t>Kory</t>
  </si>
  <si>
    <t>Linkenbach</t>
  </si>
  <si>
    <t>Lissemore</t>
  </si>
  <si>
    <t>Lomax</t>
  </si>
  <si>
    <t>Lumpkin</t>
  </si>
  <si>
    <t>Lyons</t>
  </si>
  <si>
    <t>Caushaud</t>
  </si>
  <si>
    <t>Maggitt</t>
  </si>
  <si>
    <t>Curt</t>
  </si>
  <si>
    <t>Maiava</t>
  </si>
  <si>
    <t>Lene</t>
  </si>
  <si>
    <t>Mangold</t>
  </si>
  <si>
    <t>Maponga</t>
  </si>
  <si>
    <t>Marcordes</t>
  </si>
  <si>
    <t>Mariani</t>
  </si>
  <si>
    <t>Marc</t>
  </si>
  <si>
    <t>Marks</t>
  </si>
  <si>
    <t>SenDerrick</t>
  </si>
  <si>
    <t>Masifilo</t>
  </si>
  <si>
    <t>Massaquoi</t>
  </si>
  <si>
    <t>Masthay</t>
  </si>
  <si>
    <t>Mathis</t>
  </si>
  <si>
    <t>Matungulu</t>
  </si>
  <si>
    <t>Helva</t>
  </si>
  <si>
    <t>Maualuga</t>
  </si>
  <si>
    <t>Mauti</t>
  </si>
  <si>
    <t>Mayes</t>
  </si>
  <si>
    <t>McAfee</t>
  </si>
  <si>
    <t>Rolando</t>
  </si>
  <si>
    <t>McClendon</t>
  </si>
  <si>
    <t>Jacques</t>
  </si>
  <si>
    <t>McCluster</t>
  </si>
  <si>
    <t>McDonald Jr.</t>
  </si>
  <si>
    <t>Kimario</t>
  </si>
  <si>
    <t>McKelvin</t>
  </si>
  <si>
    <t>Leodis</t>
  </si>
  <si>
    <t>McLennan</t>
  </si>
  <si>
    <t>Ivan</t>
  </si>
  <si>
    <t>McLeod Jr.</t>
  </si>
  <si>
    <t>Mettenberger</t>
  </si>
  <si>
    <t>Milhouse</t>
  </si>
  <si>
    <t>Millard</t>
  </si>
  <si>
    <t>Miller III</t>
  </si>
  <si>
    <t>Milliner</t>
  </si>
  <si>
    <t>Mims II</t>
  </si>
  <si>
    <t>Moala</t>
  </si>
  <si>
    <t>Moeaki</t>
  </si>
  <si>
    <t>Monday</t>
  </si>
  <si>
    <t>Moore Sr.</t>
  </si>
  <si>
    <t>Rahim</t>
  </si>
  <si>
    <t>Dezman</t>
  </si>
  <si>
    <t>Mulumba</t>
  </si>
  <si>
    <t>Mumphery</t>
  </si>
  <si>
    <t>Myers Jr.</t>
  </si>
  <si>
    <t>Newberry</t>
  </si>
  <si>
    <t>Nicks</t>
  </si>
  <si>
    <t>Nix III</t>
  </si>
  <si>
    <t>North</t>
  </si>
  <si>
    <t>Nowak</t>
  </si>
  <si>
    <t>Nugent</t>
  </si>
  <si>
    <t>Odrick</t>
  </si>
  <si>
    <t>Orlovsky</t>
  </si>
  <si>
    <t>Orr</t>
  </si>
  <si>
    <t>Zachary</t>
  </si>
  <si>
    <t>Pagan</t>
  </si>
  <si>
    <t>Jeoffrey</t>
  </si>
  <si>
    <t>Pead</t>
  </si>
  <si>
    <t>Pears</t>
  </si>
  <si>
    <t>Perillo</t>
  </si>
  <si>
    <t>Petteway</t>
  </si>
  <si>
    <t>Pettigrew</t>
  </si>
  <si>
    <t>Pettway</t>
  </si>
  <si>
    <t>Pitoitua</t>
  </si>
  <si>
    <t>Ropati</t>
  </si>
  <si>
    <t>Pitta</t>
  </si>
  <si>
    <t>Plummer</t>
  </si>
  <si>
    <t>Porter</t>
  </si>
  <si>
    <t>Posey</t>
  </si>
  <si>
    <t>DeVier</t>
  </si>
  <si>
    <t>Powe</t>
  </si>
  <si>
    <t>Jerraud</t>
  </si>
  <si>
    <t>Pressley</t>
  </si>
  <si>
    <t>Jhurell</t>
  </si>
  <si>
    <t>Quarles</t>
  </si>
  <si>
    <t>Kelcy</t>
  </si>
  <si>
    <t>Rainey Jr.</t>
  </si>
  <si>
    <t>Redd Jr.</t>
  </si>
  <si>
    <t>Silas</t>
  </si>
  <si>
    <t>Reitz</t>
  </si>
  <si>
    <t>Renfree</t>
  </si>
  <si>
    <t>Revis</t>
  </si>
  <si>
    <t>Darrelle</t>
  </si>
  <si>
    <t>Reyes</t>
  </si>
  <si>
    <t>Riley Jr.</t>
  </si>
  <si>
    <t>Roach</t>
  </si>
  <si>
    <t>Denard</t>
  </si>
  <si>
    <t>Khiry</t>
  </si>
  <si>
    <t>Romo</t>
  </si>
  <si>
    <t>Brandian</t>
  </si>
  <si>
    <t>Royal</t>
  </si>
  <si>
    <t>Salas</t>
  </si>
  <si>
    <t>Sanford</t>
  </si>
  <si>
    <t>Jamarca</t>
  </si>
  <si>
    <t>Sanu Sr.</t>
  </si>
  <si>
    <t>Schooley</t>
  </si>
  <si>
    <t>Schum</t>
  </si>
  <si>
    <t>Scifres</t>
  </si>
  <si>
    <t>Scruggs</t>
  </si>
  <si>
    <t>Severin</t>
  </si>
  <si>
    <t>Canaan</t>
  </si>
  <si>
    <t>JaCorey</t>
  </si>
  <si>
    <t>Sheppard</t>
  </si>
  <si>
    <t>Shorts III</t>
  </si>
  <si>
    <t>Cecil</t>
  </si>
  <si>
    <t>Valdez</t>
  </si>
  <si>
    <t>Sigler</t>
  </si>
  <si>
    <t>Devaunte</t>
  </si>
  <si>
    <t>Tharold</t>
  </si>
  <si>
    <t>Simpson</t>
  </si>
  <si>
    <t>Eugene</t>
  </si>
  <si>
    <t>Skov</t>
  </si>
  <si>
    <t>Shayne</t>
  </si>
  <si>
    <t>Dreamius</t>
  </si>
  <si>
    <t>Smith Sr.</t>
  </si>
  <si>
    <t>Soliai</t>
  </si>
  <si>
    <t>Sommers</t>
  </si>
  <si>
    <t>Starks</t>
  </si>
  <si>
    <t>Starr</t>
  </si>
  <si>
    <t>Staten</t>
  </si>
  <si>
    <t>Stevens</t>
  </si>
  <si>
    <t>Steward</t>
  </si>
  <si>
    <t>Still</t>
  </si>
  <si>
    <t>Stingily</t>
  </si>
  <si>
    <t>Stork</t>
  </si>
  <si>
    <t>Sulleyman</t>
  </si>
  <si>
    <t>Sadat</t>
  </si>
  <si>
    <t>Swain</t>
  </si>
  <si>
    <t>Taamu</t>
  </si>
  <si>
    <t>Alameda</t>
  </si>
  <si>
    <t>Tamme</t>
  </si>
  <si>
    <t>Stepfan</t>
  </si>
  <si>
    <t>Thompkins</t>
  </si>
  <si>
    <t>Kenbrell</t>
  </si>
  <si>
    <t>Hugh</t>
  </si>
  <si>
    <t>Toler</t>
  </si>
  <si>
    <t>Trattou</t>
  </si>
  <si>
    <t>Tuaau</t>
  </si>
  <si>
    <t>Tuggle</t>
  </si>
  <si>
    <t>Tull</t>
  </si>
  <si>
    <t>Underwood</t>
  </si>
  <si>
    <t>Van Dyk</t>
  </si>
  <si>
    <t>Van Dyke</t>
  </si>
  <si>
    <t>Velasco</t>
  </si>
  <si>
    <t>Fernando</t>
  </si>
  <si>
    <t>Ventrone</t>
  </si>
  <si>
    <t>Vollmer</t>
  </si>
  <si>
    <t>Trevin</t>
  </si>
  <si>
    <t>Wakefield</t>
  </si>
  <si>
    <t>Walden</t>
  </si>
  <si>
    <t>Tyrunn</t>
  </si>
  <si>
    <t>Walls</t>
  </si>
  <si>
    <t>Darrin</t>
  </si>
  <si>
    <t>Walters</t>
  </si>
  <si>
    <t>Swayze</t>
  </si>
  <si>
    <t>Weatherspoon</t>
  </si>
  <si>
    <t>Weaver</t>
  </si>
  <si>
    <t>Darrion</t>
  </si>
  <si>
    <t>Wegher</t>
  </si>
  <si>
    <t>Wenning</t>
  </si>
  <si>
    <t>Werner</t>
  </si>
  <si>
    <t>Bjoern</t>
  </si>
  <si>
    <t>Whalen</t>
  </si>
  <si>
    <t>Griff</t>
  </si>
  <si>
    <t>Whitlock</t>
  </si>
  <si>
    <t>Nikita</t>
  </si>
  <si>
    <t>Wilfork</t>
  </si>
  <si>
    <t>Tourek</t>
  </si>
  <si>
    <t>Williams Sr.</t>
  </si>
  <si>
    <t>Kyrie</t>
  </si>
  <si>
    <t>Wolff</t>
  </si>
  <si>
    <t>Major</t>
  </si>
  <si>
    <t>Wujciak</t>
  </si>
  <si>
    <t>Zumwalt</t>
  </si>
  <si>
    <t>NAME</t>
  </si>
  <si>
    <t>AJ Bouye</t>
  </si>
  <si>
    <t>AJ Brown</t>
  </si>
  <si>
    <t>AJ Cann</t>
  </si>
  <si>
    <t>AJ Green</t>
  </si>
  <si>
    <t>AJ Hendy</t>
  </si>
  <si>
    <t>AJ Howard</t>
  </si>
  <si>
    <t>A'Shawn</t>
  </si>
  <si>
    <t>AJ Johnson</t>
  </si>
  <si>
    <t>AJ Klein</t>
  </si>
  <si>
    <t>AJ McCarron</t>
  </si>
  <si>
    <t>AJ Moore</t>
  </si>
  <si>
    <t>AQ Shipley</t>
  </si>
  <si>
    <t>A'Shawn Robinson</t>
  </si>
  <si>
    <t>Aaron Brewer</t>
  </si>
  <si>
    <t>Aaron Burbridge</t>
  </si>
  <si>
    <t>Aaron Colvin</t>
  </si>
  <si>
    <t>Aaron Donald</t>
  </si>
  <si>
    <t>Aaron Jones</t>
  </si>
  <si>
    <t>Aaron Lynch</t>
  </si>
  <si>
    <t>Aaron Neary</t>
  </si>
  <si>
    <t>Aaron Rodgers</t>
  </si>
  <si>
    <t>Aaron Stinnie</t>
  </si>
  <si>
    <t>Aaron Wallace</t>
  </si>
  <si>
    <t>Abdullah Anderson</t>
  </si>
  <si>
    <t>Abry Jones</t>
  </si>
  <si>
    <t>Adam Butler</t>
  </si>
  <si>
    <t>Adam Gettis</t>
  </si>
  <si>
    <t>Adam Gotsis</t>
  </si>
  <si>
    <t>Adam Humphries</t>
  </si>
  <si>
    <t>Adam Redmond</t>
  </si>
  <si>
    <t>Adam Shaheen</t>
  </si>
  <si>
    <t>Adam Thielen</t>
  </si>
  <si>
    <t>Adam Vinatieri</t>
  </si>
  <si>
    <t>Adarius Taylor</t>
  </si>
  <si>
    <t>Ade Aruna</t>
  </si>
  <si>
    <t>Adolphus Washington</t>
  </si>
  <si>
    <t>Adoree'</t>
  </si>
  <si>
    <t>Adonis Alexander</t>
  </si>
  <si>
    <t>Adoree' Jackson</t>
  </si>
  <si>
    <t>Adrian Amos Jr</t>
  </si>
  <si>
    <t>Adrian Clayborn</t>
  </si>
  <si>
    <t>Adrian Colbert</t>
  </si>
  <si>
    <t>Adrian Peterson</t>
  </si>
  <si>
    <t>Adrian Phillips</t>
  </si>
  <si>
    <t>Ahkello Witherspoon</t>
  </si>
  <si>
    <t>Ta'amu</t>
  </si>
  <si>
    <t>Ahmad Thomas</t>
  </si>
  <si>
    <t>Akeem King</t>
  </si>
  <si>
    <t>Akeem Spence</t>
  </si>
  <si>
    <t>Akiem Hicks</t>
  </si>
  <si>
    <t>Al Woods</t>
  </si>
  <si>
    <t>Al-Quadin Muhammad</t>
  </si>
  <si>
    <t>Albert Huggins Jr</t>
  </si>
  <si>
    <t>Albert Wilson</t>
  </si>
  <si>
    <t>Aldrick Robinson</t>
  </si>
  <si>
    <t>Aldrick Rosas</t>
  </si>
  <si>
    <t>Alec Ogletree</t>
  </si>
  <si>
    <t>Alejandro Villanueva</t>
  </si>
  <si>
    <t>Alex Anzalone</t>
  </si>
  <si>
    <t>Alex Armah</t>
  </si>
  <si>
    <t>Alex Barnes</t>
  </si>
  <si>
    <t>Alex Barrett</t>
  </si>
  <si>
    <t>Alex Bars</t>
  </si>
  <si>
    <t>Alex Cappa</t>
  </si>
  <si>
    <t>Alex Erickson</t>
  </si>
  <si>
    <t>Alex Gray</t>
  </si>
  <si>
    <t>Alex Lewis</t>
  </si>
  <si>
    <t>Alex Light</t>
  </si>
  <si>
    <t>Alex Mack</t>
  </si>
  <si>
    <t>Alex McGough</t>
  </si>
  <si>
    <t>Alex Okafor</t>
  </si>
  <si>
    <t>Alex Redmond</t>
  </si>
  <si>
    <t>Alex Smith</t>
  </si>
  <si>
    <t>Alex Tanney</t>
  </si>
  <si>
    <t>Alex Wesley</t>
  </si>
  <si>
    <t>Alexander Mattison</t>
  </si>
  <si>
    <t>Alfred Blue</t>
  </si>
  <si>
    <t>Ali Marpet</t>
  </si>
  <si>
    <t>Alijah Holder</t>
  </si>
  <si>
    <t>Alize Mack</t>
  </si>
  <si>
    <t>Allen Hurns</t>
  </si>
  <si>
    <t>Allen Lazard</t>
  </si>
  <si>
    <t>Allen Robinson</t>
  </si>
  <si>
    <t>Alonzo Russell</t>
  </si>
  <si>
    <t>Alshon Jeffery</t>
  </si>
  <si>
    <t>Alvin Jones</t>
  </si>
  <si>
    <t>Alvin Kamara</t>
  </si>
  <si>
    <t>Amani Hooker</t>
  </si>
  <si>
    <t>Amani Oruwariye</t>
  </si>
  <si>
    <t>Amari Cooper</t>
  </si>
  <si>
    <t>Ameer Abdullah</t>
  </si>
  <si>
    <t>Andre Chachere</t>
  </si>
  <si>
    <t>Andre Dillard</t>
  </si>
  <si>
    <t>Andre Ellington</t>
  </si>
  <si>
    <t>Andre Holmes</t>
  </si>
  <si>
    <t>Andre Patton</t>
  </si>
  <si>
    <t>Andre Roberts</t>
  </si>
  <si>
    <t>Andre Smith</t>
  </si>
  <si>
    <t>Andrew Adams</t>
  </si>
  <si>
    <t>Andrew Billings</t>
  </si>
  <si>
    <t>Andrew Brown</t>
  </si>
  <si>
    <t>Andrew DePaola</t>
  </si>
  <si>
    <t>Andrew Donnal</t>
  </si>
  <si>
    <t>Andrew East</t>
  </si>
  <si>
    <t>Andrew Luck</t>
  </si>
  <si>
    <t>Andrew Norwell</t>
  </si>
  <si>
    <t>Andrew Sendejo</t>
  </si>
  <si>
    <t>Andrew Van Ginkel</t>
  </si>
  <si>
    <t>Andrew Vollert</t>
  </si>
  <si>
    <t>Andrew Whitworth</t>
  </si>
  <si>
    <t>Andrew Wingard</t>
  </si>
  <si>
    <t>Andrew Wylie</t>
  </si>
  <si>
    <t>Andrus Peat</t>
  </si>
  <si>
    <t>Andy Dalton</t>
  </si>
  <si>
    <t>Andy Isabella</t>
  </si>
  <si>
    <t>Andy Janovich</t>
  </si>
  <si>
    <t>Andy Jones</t>
  </si>
  <si>
    <t>Andy Lee</t>
  </si>
  <si>
    <t>Angelo Blackson</t>
  </si>
  <si>
    <t>Anthony Averett</t>
  </si>
  <si>
    <t>Anthony Barr</t>
  </si>
  <si>
    <t>Anthony Brown</t>
  </si>
  <si>
    <t>Anthony Castonzo</t>
  </si>
  <si>
    <t>Anthony Chickillo</t>
  </si>
  <si>
    <t>Anthony Fabiano</t>
  </si>
  <si>
    <t>Anthony Firkser</t>
  </si>
  <si>
    <t>Anthony Harris</t>
  </si>
  <si>
    <t>Anthony Hitchens</t>
  </si>
  <si>
    <t>Anthony Johnson</t>
  </si>
  <si>
    <t>Anthony Lanier II</t>
  </si>
  <si>
    <t>Anthony Levine Sr</t>
  </si>
  <si>
    <t>Anthony Miller</t>
  </si>
  <si>
    <t>Anthony Nelson</t>
  </si>
  <si>
    <t>Anthony Ratliff-Williams</t>
  </si>
  <si>
    <t>Anthony Sherman</t>
  </si>
  <si>
    <t>Anthony Walker Jr</t>
  </si>
  <si>
    <t>Anthony Wint</t>
  </si>
  <si>
    <t>Anthony Zettel</t>
  </si>
  <si>
    <t>Antoine Bethea</t>
  </si>
  <si>
    <t>Antone Exum Jr</t>
  </si>
  <si>
    <t>Antonio Brown</t>
  </si>
  <si>
    <t>Antonio Callaway</t>
  </si>
  <si>
    <t>Antonio Garcia</t>
  </si>
  <si>
    <t>Antonio Hamilton</t>
  </si>
  <si>
    <t>Antony Auclair</t>
  </si>
  <si>
    <t>Antwaun Woods</t>
  </si>
  <si>
    <t>Aqib Talib</t>
  </si>
  <si>
    <t>Arden Key</t>
  </si>
  <si>
    <t>Arik Armstead</t>
  </si>
  <si>
    <t>Armani Watts</t>
  </si>
  <si>
    <t>Armon Watts</t>
  </si>
  <si>
    <t>Arrion Springs</t>
  </si>
  <si>
    <t>Artavis Scott</t>
  </si>
  <si>
    <t>Arthur Maulet</t>
  </si>
  <si>
    <t>Artie Burns</t>
  </si>
  <si>
    <t>Auden Tate</t>
  </si>
  <si>
    <t>Austin Blythe</t>
  </si>
  <si>
    <t>Austin Bryant</t>
  </si>
  <si>
    <t>Austin Calitro</t>
  </si>
  <si>
    <t>Austin Carr</t>
  </si>
  <si>
    <t>Austin Corbett</t>
  </si>
  <si>
    <t>Austin Cutting</t>
  </si>
  <si>
    <t>Austin Ekeler</t>
  </si>
  <si>
    <t>Austin Hooper</t>
  </si>
  <si>
    <t>Austin Johnson</t>
  </si>
  <si>
    <t>Austin Pasztor</t>
  </si>
  <si>
    <t>Austin Proehl</t>
  </si>
  <si>
    <t>Austin Reiter</t>
  </si>
  <si>
    <t>Austin Schlottmann</t>
  </si>
  <si>
    <t>Austin Seibert</t>
  </si>
  <si>
    <t>Avery Moss</t>
  </si>
  <si>
    <t>Avery Williamson</t>
  </si>
  <si>
    <t>Aviante Collins</t>
  </si>
  <si>
    <t>Avonte Maddox</t>
  </si>
  <si>
    <t>BJ Finney</t>
  </si>
  <si>
    <t>BJ Goodson</t>
  </si>
  <si>
    <t>BJ Hill</t>
  </si>
  <si>
    <t>BW Webb</t>
  </si>
  <si>
    <t>Baker Mayfield</t>
  </si>
  <si>
    <t>Barkevious Mingo</t>
  </si>
  <si>
    <t>Bashaud Breeland</t>
  </si>
  <si>
    <t>Beau Allen</t>
  </si>
  <si>
    <t>Beau Benzschawel</t>
  </si>
  <si>
    <t>Beau Brinkley</t>
  </si>
  <si>
    <t>Ben Banogu</t>
  </si>
  <si>
    <t>Ben Braden</t>
  </si>
  <si>
    <t>Ben Braunecker</t>
  </si>
  <si>
    <t>Bene'</t>
  </si>
  <si>
    <t>Ben Burr-Kirven</t>
  </si>
  <si>
    <t>Ben Garland</t>
  </si>
  <si>
    <t>Ben Gedeon</t>
  </si>
  <si>
    <t>Ben Jones</t>
  </si>
  <si>
    <t>Ben Koyack</t>
  </si>
  <si>
    <t>Ben Niemann</t>
  </si>
  <si>
    <t>Ben Powers</t>
  </si>
  <si>
    <t>Ben Roethlisberger</t>
  </si>
  <si>
    <t>Benardrick McKinney</t>
  </si>
  <si>
    <t>Benjamin Watson</t>
  </si>
  <si>
    <t>Bennett Jackson</t>
  </si>
  <si>
    <t>Bennie Fowler III</t>
  </si>
  <si>
    <t>Benny Cunningham</t>
  </si>
  <si>
    <t>Benny Snell Jr</t>
  </si>
  <si>
    <t>Benson Mayowa</t>
  </si>
  <si>
    <t>Bilal Nichols</t>
  </si>
  <si>
    <t>Billy Brown</t>
  </si>
  <si>
    <t>Billy Price</t>
  </si>
  <si>
    <t>Billy Turner</t>
  </si>
  <si>
    <t>Blaine Gabbert</t>
  </si>
  <si>
    <t>Blake Bell</t>
  </si>
  <si>
    <t>Blake Bortles</t>
  </si>
  <si>
    <t>Blake Cashman</t>
  </si>
  <si>
    <t>Blake Countess</t>
  </si>
  <si>
    <t>Blake Jackson</t>
  </si>
  <si>
    <t>Blake Jarwin</t>
  </si>
  <si>
    <t>Blake Martinez</t>
  </si>
  <si>
    <t>Blessuan Austin</t>
  </si>
  <si>
    <t>Blidi Wreh-Wilson</t>
  </si>
  <si>
    <t>Bo Scarbrough</t>
  </si>
  <si>
    <t>Bobby Evans Jr</t>
  </si>
  <si>
    <t>Bobby Hart</t>
  </si>
  <si>
    <t>Bobby Massie</t>
  </si>
  <si>
    <t>Bobby McCain</t>
  </si>
  <si>
    <t>Bobby Okereke</t>
  </si>
  <si>
    <t>Bobby Wagner</t>
  </si>
  <si>
    <t>Bobo Wilson Jr</t>
  </si>
  <si>
    <t>Boobie Williams</t>
  </si>
  <si>
    <t>Boston Scott</t>
  </si>
  <si>
    <t>Brad Seaton</t>
  </si>
  <si>
    <t>Braden Smith</t>
  </si>
  <si>
    <t>Bradley Bozeman</t>
  </si>
  <si>
    <t>Bradley Chubb</t>
  </si>
  <si>
    <t>Bradley McDougald</t>
  </si>
  <si>
    <t>Bradley Pinion</t>
  </si>
  <si>
    <t>Bradley Roby</t>
  </si>
  <si>
    <t>Bradley Sowell</t>
  </si>
  <si>
    <t>Branden Jackson</t>
  </si>
  <si>
    <t>Brandin Cooks</t>
  </si>
  <si>
    <t>Brandon Allen</t>
  </si>
  <si>
    <t>Brandon Bolden</t>
  </si>
  <si>
    <t>Brandon Brooks</t>
  </si>
  <si>
    <t>Brandon Bryant</t>
  </si>
  <si>
    <t>Brandon Carr</t>
  </si>
  <si>
    <t>Brandon Chubb</t>
  </si>
  <si>
    <t>Brandon Copeland</t>
  </si>
  <si>
    <t>Brandon Dunn</t>
  </si>
  <si>
    <t>Brandon Facyson</t>
  </si>
  <si>
    <t>Brandon Graham</t>
  </si>
  <si>
    <t>Brandon King</t>
  </si>
  <si>
    <t>Brandon Knight</t>
  </si>
  <si>
    <t>Brandon Linder</t>
  </si>
  <si>
    <t>Brandon Marshall</t>
  </si>
  <si>
    <t>Brandon McManus</t>
  </si>
  <si>
    <t>Brandon Mebane</t>
  </si>
  <si>
    <t>Brandon Parker</t>
  </si>
  <si>
    <t>Brandon Powell</t>
  </si>
  <si>
    <t>Brandon Scherff</t>
  </si>
  <si>
    <t>Brandon Shell</t>
  </si>
  <si>
    <t>Brandon Thomas</t>
  </si>
  <si>
    <t>Brandon Williams</t>
  </si>
  <si>
    <t>Brandon Wilson</t>
  </si>
  <si>
    <t>Brandon Zylstra</t>
  </si>
  <si>
    <t>Braxton Berrios</t>
  </si>
  <si>
    <t>Braxton Miller</t>
  </si>
  <si>
    <t>Breeland Speaks</t>
  </si>
  <si>
    <t>Brendan Langley</t>
  </si>
  <si>
    <t>Brennan Scarlett</t>
  </si>
  <si>
    <t>Brent Qvale</t>
  </si>
  <si>
    <t>Brent Urban</t>
  </si>
  <si>
    <t>Breon Borders</t>
  </si>
  <si>
    <t>Breshad Perriman</t>
  </si>
  <si>
    <t>Brett Hundley</t>
  </si>
  <si>
    <t>Brett Jones</t>
  </si>
  <si>
    <t>Brett Kern</t>
  </si>
  <si>
    <t>Brett Maher</t>
  </si>
  <si>
    <t>Brett Rypien</t>
  </si>
  <si>
    <t>Brian Allen</t>
  </si>
  <si>
    <t>Brian Burns</t>
  </si>
  <si>
    <t>Brian Hill</t>
  </si>
  <si>
    <t>Brian Hoyer</t>
  </si>
  <si>
    <t>Brian Mihalik</t>
  </si>
  <si>
    <t>Brian O'Neill</t>
  </si>
  <si>
    <t>O'Neill</t>
  </si>
  <si>
    <t>Brian Poole</t>
  </si>
  <si>
    <t>Brian Price</t>
  </si>
  <si>
    <t>Brian Quick</t>
  </si>
  <si>
    <t>Brian Winters</t>
  </si>
  <si>
    <t>Brice Butler</t>
  </si>
  <si>
    <t>Briean Boddy-Calhoun</t>
  </si>
  <si>
    <t>Britton Colquitt</t>
  </si>
  <si>
    <t>Bronson Kaufusi</t>
  </si>
  <si>
    <t>Brooks Reed</t>
  </si>
  <si>
    <t>Bruce Anderson</t>
  </si>
  <si>
    <t>Bruce Carter</t>
  </si>
  <si>
    <t>Bruce Hector</t>
  </si>
  <si>
    <t>Bruce Irvin</t>
  </si>
  <si>
    <t>Bryan Bulaga</t>
  </si>
  <si>
    <t>Bryan Cox Jr</t>
  </si>
  <si>
    <t>Bryan Witzmann</t>
  </si>
  <si>
    <t>Bryce Callahan</t>
  </si>
  <si>
    <t>Bryce Hager</t>
  </si>
  <si>
    <t>Bryce Love</t>
  </si>
  <si>
    <t>Bud Dupree</t>
  </si>
  <si>
    <t>Budda Baker</t>
  </si>
  <si>
    <t>Buddy Howell</t>
  </si>
  <si>
    <t>Bug Howard</t>
  </si>
  <si>
    <t>Buster Skrine</t>
  </si>
  <si>
    <t>Byron Cowart</t>
  </si>
  <si>
    <t>Byron Jones</t>
  </si>
  <si>
    <t>Byron Murphy Jr</t>
  </si>
  <si>
    <t>Byron Pringle</t>
  </si>
  <si>
    <t>CJ Anderson</t>
  </si>
  <si>
    <t>CJ Beathard</t>
  </si>
  <si>
    <t>CJ Goodwin</t>
  </si>
  <si>
    <t>CJ Ham</t>
  </si>
  <si>
    <t>CJ Mosley</t>
  </si>
  <si>
    <t>CJ Prosise</t>
  </si>
  <si>
    <t>CJ Reavis</t>
  </si>
  <si>
    <t>CJ Uzomah</t>
  </si>
  <si>
    <t>Cairo Santos</t>
  </si>
  <si>
    <t>Calais Campbell</t>
  </si>
  <si>
    <t>Caleb Benenoch</t>
  </si>
  <si>
    <t>Caleb Brantley</t>
  </si>
  <si>
    <t>Caleb Wilson</t>
  </si>
  <si>
    <t>Calvin Anderson</t>
  </si>
  <si>
    <t>Calvin Munson</t>
  </si>
  <si>
    <t>Calvin Ridley</t>
  </si>
  <si>
    <t>Cam Newton</t>
  </si>
  <si>
    <t>Cam Phillips</t>
  </si>
  <si>
    <t>Cam Robinson</t>
  </si>
  <si>
    <t>Cam Sims</t>
  </si>
  <si>
    <t>Cameron Artis-Payne</t>
  </si>
  <si>
    <t>Cameron Batson</t>
  </si>
  <si>
    <t>Cameron Brate</t>
  </si>
  <si>
    <t>Cameron Erving</t>
  </si>
  <si>
    <t>Cameron Fleming</t>
  </si>
  <si>
    <t>Cameron Heyward</t>
  </si>
  <si>
    <t>Cameron Johnston</t>
  </si>
  <si>
    <t>Cameron Jordan</t>
  </si>
  <si>
    <t>Cameron Malveaux</t>
  </si>
  <si>
    <t>Cameron Meredith</t>
  </si>
  <si>
    <t>Cameron Smith</t>
  </si>
  <si>
    <t>Cameron Sutton</t>
  </si>
  <si>
    <t>Cameron Tom</t>
  </si>
  <si>
    <t>Cameron Wake</t>
  </si>
  <si>
    <t>Cardale Jones</t>
  </si>
  <si>
    <t>Carl Davis</t>
  </si>
  <si>
    <t>Carl Granderson</t>
  </si>
  <si>
    <t>Carl Lawson</t>
  </si>
  <si>
    <t>Carl Nassib</t>
  </si>
  <si>
    <t>Carlos Dunlap</t>
  </si>
  <si>
    <t>Carlos Hyde</t>
  </si>
  <si>
    <t>Carlos Watkins</t>
  </si>
  <si>
    <t>Carlton Agudosi</t>
  </si>
  <si>
    <t>Carlton Davis III</t>
  </si>
  <si>
    <t>Carroll Phillips</t>
  </si>
  <si>
    <t>Carson Wentz</t>
  </si>
  <si>
    <t>Case Keenum</t>
  </si>
  <si>
    <t>Casey Dunn</t>
  </si>
  <si>
    <t>Casey Hayward Jr</t>
  </si>
  <si>
    <t>Casey Kreiter</t>
  </si>
  <si>
    <t>Casey Sayles</t>
  </si>
  <si>
    <t>Cassanova McKinzy</t>
  </si>
  <si>
    <t>Cassius Marsh</t>
  </si>
  <si>
    <t>Cedric Ogbuehi</t>
  </si>
  <si>
    <t>Cedric Thornton</t>
  </si>
  <si>
    <t>Cedrick Wilson</t>
  </si>
  <si>
    <t>Cethan Carter</t>
  </si>
  <si>
    <t>Chad Beebe</t>
  </si>
  <si>
    <t>Chad Henne</t>
  </si>
  <si>
    <t>Chad Kanoff</t>
  </si>
  <si>
    <t>Chad Slade</t>
  </si>
  <si>
    <t>Chad Thomas</t>
  </si>
  <si>
    <t>Chad Wheeler</t>
  </si>
  <si>
    <t>Chad Williams</t>
  </si>
  <si>
    <t>Chandler Catanzaro</t>
  </si>
  <si>
    <t>Chandler Cox</t>
  </si>
  <si>
    <t>Chandler Jones</t>
  </si>
  <si>
    <t>Chandon Sullivan</t>
  </si>
  <si>
    <t>Charles Clay</t>
  </si>
  <si>
    <t>Charles Harris</t>
  </si>
  <si>
    <t>Charles Johnson</t>
  </si>
  <si>
    <t>Charles Leno Jr</t>
  </si>
  <si>
    <t>Charles Omenihu</t>
  </si>
  <si>
    <t>Charles Washington</t>
  </si>
  <si>
    <t>Charley Hughlett</t>
  </si>
  <si>
    <t>Charone Peake</t>
  </si>
  <si>
    <t>Charvarius Ward</t>
  </si>
  <si>
    <t>Chase Allen</t>
  </si>
  <si>
    <t>Chase Daniel</t>
  </si>
  <si>
    <t>Chase Edmonds</t>
  </si>
  <si>
    <t>Chase Litton</t>
  </si>
  <si>
    <t>Chase Roullier</t>
  </si>
  <si>
    <t>Chase Winovich</t>
  </si>
  <si>
    <t>Chauncey Gardner-Johnson</t>
  </si>
  <si>
    <t>Chaz Green</t>
  </si>
  <si>
    <t>Chester Rogers</t>
  </si>
  <si>
    <t>Chidobe Awuzie</t>
  </si>
  <si>
    <t>Chris Banjo</t>
  </si>
  <si>
    <t>Chris Board</t>
  </si>
  <si>
    <t>Chris Boswell</t>
  </si>
  <si>
    <t>Chris Carson</t>
  </si>
  <si>
    <t>Chris Conley</t>
  </si>
  <si>
    <t>Chris Cooper</t>
  </si>
  <si>
    <t>Chris Covington</t>
  </si>
  <si>
    <t>Chris Godwin</t>
  </si>
  <si>
    <t>Chris Harris Jr</t>
  </si>
  <si>
    <t>Chris Hogan</t>
  </si>
  <si>
    <t>Chris Hubbard</t>
  </si>
  <si>
    <t>Chris Jones</t>
  </si>
  <si>
    <t>Chris Lammons</t>
  </si>
  <si>
    <t>Chris Landrum</t>
  </si>
  <si>
    <t>Chris Lindstrom</t>
  </si>
  <si>
    <t>Chris Manhertz</t>
  </si>
  <si>
    <t>Chris Milton</t>
  </si>
  <si>
    <t>Chris Moore</t>
  </si>
  <si>
    <t>Chris Odom</t>
  </si>
  <si>
    <t>Chris Reed</t>
  </si>
  <si>
    <t>Chris Slayton</t>
  </si>
  <si>
    <t>Chris Smith</t>
  </si>
  <si>
    <t>Chris Thompson</t>
  </si>
  <si>
    <t>Chris Warren III</t>
  </si>
  <si>
    <t>Chris Worley</t>
  </si>
  <si>
    <t>Chris Wormley</t>
  </si>
  <si>
    <t>Christian Campbell</t>
  </si>
  <si>
    <t>Christian Covington</t>
  </si>
  <si>
    <t>Christian DiLauro</t>
  </si>
  <si>
    <t>Christian Jones</t>
  </si>
  <si>
    <t>Christian Kirk</t>
  </si>
  <si>
    <t>Christian Kirksey</t>
  </si>
  <si>
    <t>Christian McCaffrey</t>
  </si>
  <si>
    <t>Christian Miller</t>
  </si>
  <si>
    <t>Christian Ringo</t>
  </si>
  <si>
    <t>Christian Sam</t>
  </si>
  <si>
    <t>Christian Westerman</t>
  </si>
  <si>
    <t>Christian Wilkins</t>
  </si>
  <si>
    <t>Christopher Herndon IV</t>
  </si>
  <si>
    <t>Chuck Clark</t>
  </si>
  <si>
    <t>Chukwuma Okorafor</t>
  </si>
  <si>
    <t>Chuma Edoga</t>
  </si>
  <si>
    <t>Clark Harris</t>
  </si>
  <si>
    <t>Clay Matthews</t>
  </si>
  <si>
    <t>Clayton Fejedelem</t>
  </si>
  <si>
    <t>Clayton Geathers</t>
  </si>
  <si>
    <t>Clayton Thorson</t>
  </si>
  <si>
    <t>Clelin Ferrell</t>
  </si>
  <si>
    <t>Clint Boling</t>
  </si>
  <si>
    <t>Clive Walford</t>
  </si>
  <si>
    <t>Cody Barton</t>
  </si>
  <si>
    <t>Cody Core</t>
  </si>
  <si>
    <t>Cody Davis</t>
  </si>
  <si>
    <t>Cody Ford</t>
  </si>
  <si>
    <t>Cody Kessler</t>
  </si>
  <si>
    <t>Cody Latimer</t>
  </si>
  <si>
    <t>Cody Whitehair</t>
  </si>
  <si>
    <t>Cody Wichmann</t>
  </si>
  <si>
    <t>Colby Gossett</t>
  </si>
  <si>
    <t>Colby Wadman</t>
  </si>
  <si>
    <t>Cole Beasley</t>
  </si>
  <si>
    <t>Cole Boozer</t>
  </si>
  <si>
    <t>Cole Hikutini</t>
  </si>
  <si>
    <t>Cole Holcomb</t>
  </si>
  <si>
    <t>Cole Luke</t>
  </si>
  <si>
    <t>Cole Madison</t>
  </si>
  <si>
    <t>Cole Toner</t>
  </si>
  <si>
    <t>Cole Wick</t>
  </si>
  <si>
    <t>Colin Holba</t>
  </si>
  <si>
    <t>Colin Jones</t>
  </si>
  <si>
    <t>Colt McCoy</t>
  </si>
  <si>
    <t>Connor Cook</t>
  </si>
  <si>
    <t>Connor Hilland</t>
  </si>
  <si>
    <t>Connor McGovern</t>
  </si>
  <si>
    <t>Connor Williams</t>
  </si>
  <si>
    <t>Conor McDermott</t>
  </si>
  <si>
    <t>Conor Sheehy</t>
  </si>
  <si>
    <t>Cooper Kupp</t>
  </si>
  <si>
    <t>Cooper Rush</t>
  </si>
  <si>
    <t>Cordarrelle Patterson</t>
  </si>
  <si>
    <t>Cordrea Tankersley</t>
  </si>
  <si>
    <t>Cordy Glenn</t>
  </si>
  <si>
    <t>Corey Ballentine</t>
  </si>
  <si>
    <t>Corey Bojorquez</t>
  </si>
  <si>
    <t>Corey Clement</t>
  </si>
  <si>
    <t>Corey Coleman</t>
  </si>
  <si>
    <t>Corey Davis</t>
  </si>
  <si>
    <t>Corey Levin</t>
  </si>
  <si>
    <t>Corey Linsley</t>
  </si>
  <si>
    <t>Corey Nelson</t>
  </si>
  <si>
    <t>Corey Peters</t>
  </si>
  <si>
    <t>Corey Thompson</t>
  </si>
  <si>
    <t>Corn Elder</t>
  </si>
  <si>
    <t>Cornelius Lucas</t>
  </si>
  <si>
    <t>Cornell Armstrong</t>
  </si>
  <si>
    <t>Cortez Broughton</t>
  </si>
  <si>
    <t>Cory Littleton</t>
  </si>
  <si>
    <t>Cre'Von</t>
  </si>
  <si>
    <t>Courtland Sutton</t>
  </si>
  <si>
    <t>Craig James</t>
  </si>
  <si>
    <t>Craig Robertson</t>
  </si>
  <si>
    <t>Cre'Von LeBlanc</t>
  </si>
  <si>
    <t>Cullen Gillaspia</t>
  </si>
  <si>
    <t>Curtis Cothran</t>
  </si>
  <si>
    <t>Curtis Riley</t>
  </si>
  <si>
    <t>Curtis Samuel</t>
  </si>
  <si>
    <t>Cyrus Jones</t>
  </si>
  <si>
    <t>DJ Alexander</t>
  </si>
  <si>
    <t>DJ Chark Jr</t>
  </si>
  <si>
    <t>DJ Fluker</t>
  </si>
  <si>
    <t>DJ Foster</t>
  </si>
  <si>
    <t>DJ Hayden</t>
  </si>
  <si>
    <t>DJ Humphries</t>
  </si>
  <si>
    <t>DJ Jones</t>
  </si>
  <si>
    <t>DJ Moore</t>
  </si>
  <si>
    <t>DJ Reader</t>
  </si>
  <si>
    <t>D'Onta</t>
  </si>
  <si>
    <t>DJ Reed Jr</t>
  </si>
  <si>
    <t>Da'Norris</t>
  </si>
  <si>
    <t>DJ Swearinger Sr</t>
  </si>
  <si>
    <t>Da'Ron</t>
  </si>
  <si>
    <t>D.K. Metcalf</t>
  </si>
  <si>
    <t>Da'Shawn</t>
  </si>
  <si>
    <t>D'Andre Walker</t>
  </si>
  <si>
    <t>D'Montre Wade</t>
  </si>
  <si>
    <t>D'Onta Foreman</t>
  </si>
  <si>
    <t>Da'Mari Scott</t>
  </si>
  <si>
    <t>Da'Ron Payne</t>
  </si>
  <si>
    <t>Da'Shawn Hand</t>
  </si>
  <si>
    <t>DaeSean Hamilton</t>
  </si>
  <si>
    <t>Daeshon Hall</t>
  </si>
  <si>
    <t>Dak Prescott</t>
  </si>
  <si>
    <t>Dakota Allen</t>
  </si>
  <si>
    <t>Dakota Dozier</t>
  </si>
  <si>
    <t>Dallas Goedert</t>
  </si>
  <si>
    <t>Dallin Leavitt</t>
  </si>
  <si>
    <t>D'Joun</t>
  </si>
  <si>
    <t>Dalton Risner</t>
  </si>
  <si>
    <t>D'Qwell</t>
  </si>
  <si>
    <t>Dalton Schultz</t>
  </si>
  <si>
    <t>Dalvin Cook</t>
  </si>
  <si>
    <t>Dalvin Tomlinson</t>
  </si>
  <si>
    <t>Dalyn Dawkins</t>
  </si>
  <si>
    <t>Damarious Randall</t>
  </si>
  <si>
    <t>DaMarkus Lodge</t>
  </si>
  <si>
    <t>Damien Harris</t>
  </si>
  <si>
    <t>Damien Williams</t>
  </si>
  <si>
    <t>Damien Wilson</t>
  </si>
  <si>
    <t>Damiere Byrd</t>
  </si>
  <si>
    <t>Damion Ratley</t>
  </si>
  <si>
    <t>Damion Square</t>
  </si>
  <si>
    <t>Damon Harrison Sr</t>
  </si>
  <si>
    <t>Damon Webb II</t>
  </si>
  <si>
    <t>Damontae Kazee</t>
  </si>
  <si>
    <t>Dan Arnold</t>
  </si>
  <si>
    <t>Dan Bailey</t>
  </si>
  <si>
    <t>Dan Feeney</t>
  </si>
  <si>
    <t>Dan McCullers</t>
  </si>
  <si>
    <t>Dan Skipper</t>
  </si>
  <si>
    <t>Dane Cruikshank</t>
  </si>
  <si>
    <t>Daniel Brown</t>
  </si>
  <si>
    <t>Daniel Brunskill</t>
  </si>
  <si>
    <t>Daniel Carlson</t>
  </si>
  <si>
    <t>Daniel Ekuale</t>
  </si>
  <si>
    <t>Daniel Helm</t>
  </si>
  <si>
    <t>Daniel Jones</t>
  </si>
  <si>
    <t>Daniel Kilgore</t>
  </si>
  <si>
    <t>Daniel Ross</t>
  </si>
  <si>
    <t>Daniel Sorensen</t>
  </si>
  <si>
    <t>Daniel Wise</t>
  </si>
  <si>
    <t>Danielle Hunter</t>
  </si>
  <si>
    <t>Danny Amendola</t>
  </si>
  <si>
    <t>Damore'ea</t>
  </si>
  <si>
    <t>Danny Etling</t>
  </si>
  <si>
    <t>Danny Isidora</t>
  </si>
  <si>
    <t>Danny Johnson</t>
  </si>
  <si>
    <t>Danny Shelton</t>
  </si>
  <si>
    <t>Danny Trevathan</t>
  </si>
  <si>
    <t>Danny Vitale</t>
  </si>
  <si>
    <t>Dante Fowler Jr</t>
  </si>
  <si>
    <t>Dante Pettis</t>
  </si>
  <si>
    <t>DaQuan Jones</t>
  </si>
  <si>
    <t>Dare Ogunbowale</t>
  </si>
  <si>
    <t>Daren Bates</t>
  </si>
  <si>
    <t>Darian Thompson</t>
  </si>
  <si>
    <t>Darious Williams</t>
  </si>
  <si>
    <t>Darius Jackson</t>
  </si>
  <si>
    <t>Darius Jennings</t>
  </si>
  <si>
    <t>Darius Kilgo</t>
  </si>
  <si>
    <t>Darius Leonard</t>
  </si>
  <si>
    <t>Darius Phillips</t>
  </si>
  <si>
    <t>Darius Philon</t>
  </si>
  <si>
    <t>Darius Slay Jr</t>
  </si>
  <si>
    <t>Darius Slayton</t>
  </si>
  <si>
    <t>Darnell Sankey</t>
  </si>
  <si>
    <t>Darnell Savage Jr</t>
  </si>
  <si>
    <t>Darqueze Dennard</t>
  </si>
  <si>
    <t>Darrel Williams</t>
  </si>
  <si>
    <t>Darrell Daniels</t>
  </si>
  <si>
    <t>Darrell Henderson Jr</t>
  </si>
  <si>
    <t>Darrell Williams</t>
  </si>
  <si>
    <t>Darren Fells</t>
  </si>
  <si>
    <t>Darren Waller</t>
  </si>
  <si>
    <t>Darron Lee</t>
  </si>
  <si>
    <t>Darryl Johnson Jr</t>
  </si>
  <si>
    <t>Darryl Roberts</t>
  </si>
  <si>
    <t>Darvin Kidsy</t>
  </si>
  <si>
    <t>Darwin Thompson</t>
  </si>
  <si>
    <t>Daryl Williams</t>
  </si>
  <si>
    <t>Daryl Worley</t>
  </si>
  <si>
    <t>Datone Jones</t>
  </si>
  <si>
    <t>Davante Adams</t>
  </si>
  <si>
    <t>David Amerson</t>
  </si>
  <si>
    <t>David Andrews</t>
  </si>
  <si>
    <t>David Bakhtiari</t>
  </si>
  <si>
    <t>David Blough</t>
  </si>
  <si>
    <t>David DeCastro</t>
  </si>
  <si>
    <t>David Edwards</t>
  </si>
  <si>
    <t>David Fluellen</t>
  </si>
  <si>
    <t>David Johnson</t>
  </si>
  <si>
    <t>De'Angelo</t>
  </si>
  <si>
    <t>David Long</t>
  </si>
  <si>
    <t>De'Anthony</t>
  </si>
  <si>
    <t>David Long Jr</t>
  </si>
  <si>
    <t>De'Ondre</t>
  </si>
  <si>
    <t>David Mayo</t>
  </si>
  <si>
    <t>De'Vante</t>
  </si>
  <si>
    <t>David Montgomery</t>
  </si>
  <si>
    <t>De'Veon</t>
  </si>
  <si>
    <t>David Moore</t>
  </si>
  <si>
    <t>De'Vondre</t>
  </si>
  <si>
    <t>David Morgan II</t>
  </si>
  <si>
    <t>David Njoku</t>
  </si>
  <si>
    <t>David Onyemata</t>
  </si>
  <si>
    <t>David Parry</t>
  </si>
  <si>
    <t>David Quessenberry</t>
  </si>
  <si>
    <t>David Sharpe</t>
  </si>
  <si>
    <t>David Sills V</t>
  </si>
  <si>
    <t>David Steinmetz</t>
  </si>
  <si>
    <t>David Wells</t>
  </si>
  <si>
    <t>Davin Bellamy</t>
  </si>
  <si>
    <t>Davis Webb</t>
  </si>
  <si>
    <t>Davon Godchaux</t>
  </si>
  <si>
    <t>Davontae Harris</t>
  </si>
  <si>
    <t>Dawson Knox</t>
  </si>
  <si>
    <t>Dawuane Smoot</t>
  </si>
  <si>
    <t>Dax Raymond</t>
  </si>
  <si>
    <t>Daylon Mack</t>
  </si>
  <si>
    <t>Deiondre'</t>
  </si>
  <si>
    <t>De'Angelo Henderson Sr</t>
  </si>
  <si>
    <t>De'Lance Turner</t>
  </si>
  <si>
    <t>De'Ondre Wesley</t>
  </si>
  <si>
    <t>De'Vante Bausby</t>
  </si>
  <si>
    <t>De'Vondre Campbell</t>
  </si>
  <si>
    <t>Deadrin Senat</t>
  </si>
  <si>
    <t>Dean Lowry</t>
  </si>
  <si>
    <t>Dean Marlowe</t>
  </si>
  <si>
    <t>DeAndre Baker</t>
  </si>
  <si>
    <t>DeAndre Carter</t>
  </si>
  <si>
    <t>DeAndre Hopkins</t>
  </si>
  <si>
    <t>DeAndre Houston-Carson</t>
  </si>
  <si>
    <t>DeAndre Washington</t>
  </si>
  <si>
    <t>DeAndrew White</t>
  </si>
  <si>
    <t>Deante Burton</t>
  </si>
  <si>
    <t>Deatrich Wise Jr</t>
  </si>
  <si>
    <t>Deatrick Nichols</t>
  </si>
  <si>
    <t>Dede Westbrook</t>
  </si>
  <si>
    <t>Dee Ford</t>
  </si>
  <si>
    <t>Deebo Samuel</t>
  </si>
  <si>
    <t>DeForest Buckner</t>
  </si>
  <si>
    <t>Deion Jones</t>
  </si>
  <si>
    <t>Deiondre' Hall</t>
  </si>
  <si>
    <t>Deionte Thompson</t>
  </si>
  <si>
    <t>Dekoda Watson</t>
  </si>
  <si>
    <t>Delanie Walker</t>
  </si>
  <si>
    <t>Delano Hill</t>
  </si>
  <si>
    <t>Demar Dotson</t>
  </si>
  <si>
    <t>Demarcus Christmas</t>
  </si>
  <si>
    <t>DeMarcus Lawrence</t>
  </si>
  <si>
    <t>Demarcus Robinson</t>
  </si>
  <si>
    <t>DeMarcus Walker</t>
  </si>
  <si>
    <t>Demario Davis</t>
  </si>
  <si>
    <t>Demaryius Thomas</t>
  </si>
  <si>
    <t>Demetrious Cox</t>
  </si>
  <si>
    <t>Demetrius Harris</t>
  </si>
  <si>
    <t>Demone Harris</t>
  </si>
  <si>
    <t>Denico Autry</t>
  </si>
  <si>
    <t>Dennis Daley</t>
  </si>
  <si>
    <t>Dennis Gardeck</t>
  </si>
  <si>
    <t>Dennis Kelly</t>
  </si>
  <si>
    <t>Denver Kirkland</t>
  </si>
  <si>
    <t>Denzel Perryman</t>
  </si>
  <si>
    <t>Denzel Ward</t>
  </si>
  <si>
    <t>Denzelle Good</t>
  </si>
  <si>
    <t>Deon Bush</t>
  </si>
  <si>
    <t>Deon Cain</t>
  </si>
  <si>
    <t>Deon Lacey</t>
  </si>
  <si>
    <t>Deon Simon</t>
  </si>
  <si>
    <t>Deon Yelder</t>
  </si>
  <si>
    <t>Deone Bucannon</t>
  </si>
  <si>
    <t>Deontay Burnett</t>
  </si>
  <si>
    <t>Deonte Thompson</t>
  </si>
  <si>
    <t>Derek Barnett</t>
  </si>
  <si>
    <t>Derek Carr</t>
  </si>
  <si>
    <t>Derek Carrier</t>
  </si>
  <si>
    <t>Derek Rivers</t>
  </si>
  <si>
    <t>Derek Watt</t>
  </si>
  <si>
    <t>Derek Wolfe</t>
  </si>
  <si>
    <t>Derrick Baity Jr</t>
  </si>
  <si>
    <t>Derrick Henry</t>
  </si>
  <si>
    <t>Derrick Jones</t>
  </si>
  <si>
    <t>Derrick Kindred</t>
  </si>
  <si>
    <t>Derrick Nnadi</t>
  </si>
  <si>
    <t>Derrick Willies</t>
  </si>
  <si>
    <t>Derrius Guice</t>
  </si>
  <si>
    <t>Derron Smith</t>
  </si>
  <si>
    <t>Derwin Gray</t>
  </si>
  <si>
    <t>Derwin James</t>
  </si>
  <si>
    <t>DeSean Jackson</t>
  </si>
  <si>
    <t>Deshaun Davis</t>
  </si>
  <si>
    <t>Deshaun Watson</t>
  </si>
  <si>
    <t>DeShawn Williams</t>
  </si>
  <si>
    <t>Deshazor Everett</t>
  </si>
  <si>
    <t>DeShon Elliott</t>
  </si>
  <si>
    <t>DeShone Kizer</t>
  </si>
  <si>
    <t>Desmond King II</t>
  </si>
  <si>
    <t>Desmond Trufant</t>
  </si>
  <si>
    <t>Destiny Vaeao</t>
  </si>
  <si>
    <t>Detrez Newsome</t>
  </si>
  <si>
    <t>Devante Bond</t>
  </si>
  <si>
    <t>Devante Downs</t>
  </si>
  <si>
    <t>DeVante Parker</t>
  </si>
  <si>
    <t>Devaroe Lawrence</t>
  </si>
  <si>
    <t>Devin Bush</t>
  </si>
  <si>
    <t>Devin Funchess</t>
  </si>
  <si>
    <t>Devin Gray</t>
  </si>
  <si>
    <t>Devin McCourty</t>
  </si>
  <si>
    <t>Devin Singletary</t>
  </si>
  <si>
    <t>Devin Smith</t>
  </si>
  <si>
    <t>Devin White</t>
  </si>
  <si>
    <t>Devon Kennard</t>
  </si>
  <si>
    <t>Devonta Freeman</t>
  </si>
  <si>
    <t>Devontae Booker</t>
  </si>
  <si>
    <t>Dexter Lawrence II</t>
  </si>
  <si>
    <t>Dexter Williams</t>
  </si>
  <si>
    <t>Dieugot Joseph</t>
  </si>
  <si>
    <t>Dillon Gordon</t>
  </si>
  <si>
    <t>Dillon Mitchell</t>
  </si>
  <si>
    <t>Dion Dawkins</t>
  </si>
  <si>
    <t>Dont'a</t>
  </si>
  <si>
    <t>Dion Lewis</t>
  </si>
  <si>
    <t>Diontae Johnson</t>
  </si>
  <si>
    <t>Dominique Hatfield</t>
  </si>
  <si>
    <t>Dominique Rodgers-Cromartie</t>
  </si>
  <si>
    <t>Don Barclay</t>
  </si>
  <si>
    <t>Don Muhlbach</t>
  </si>
  <si>
    <t>Donnel Pumphrey Jr</t>
  </si>
  <si>
    <t>Donnell Greene</t>
  </si>
  <si>
    <t>Donnie Ernsberger</t>
  </si>
  <si>
    <t>Donnie Lewis Jr</t>
  </si>
  <si>
    <t>O'Daniel</t>
  </si>
  <si>
    <t>Donovan Smith</t>
  </si>
  <si>
    <t>Donovan Wilson</t>
  </si>
  <si>
    <t>Dont'a Hightower</t>
  </si>
  <si>
    <t>Dontari Poe</t>
  </si>
  <si>
    <t>Dontavius Russell</t>
  </si>
  <si>
    <t>Donte Deayon</t>
  </si>
  <si>
    <t>Donte Jackson</t>
  </si>
  <si>
    <t>Donte Moncrief</t>
  </si>
  <si>
    <t>Dontrell Hilliard</t>
  </si>
  <si>
    <t>Dontrelle Inman</t>
  </si>
  <si>
    <t>Dorance Armstrong</t>
  </si>
  <si>
    <t>Dorian Johnson</t>
  </si>
  <si>
    <t>Dorian O'Daniel</t>
  </si>
  <si>
    <t>Doug Martin</t>
  </si>
  <si>
    <t>Doug Middleton</t>
  </si>
  <si>
    <t>Dre Greenlaw</t>
  </si>
  <si>
    <t>Dre Kirkpatrick</t>
  </si>
  <si>
    <t>Dre'Mont Jones</t>
  </si>
  <si>
    <t>Drew Brees</t>
  </si>
  <si>
    <t>Drew Forbes</t>
  </si>
  <si>
    <t>Drew Lock</t>
  </si>
  <si>
    <t>Drew Sample</t>
  </si>
  <si>
    <t>Drew Stanton</t>
  </si>
  <si>
    <t>Dru Samia</t>
  </si>
  <si>
    <t>Drue Tranquill</t>
  </si>
  <si>
    <t>Duane Brown</t>
  </si>
  <si>
    <t>Duke Dawson Jr</t>
  </si>
  <si>
    <t>Duke Ejiofor</t>
  </si>
  <si>
    <t>Duke Johnson Jr</t>
  </si>
  <si>
    <t>Duke Riley</t>
  </si>
  <si>
    <t>Duke Shelley</t>
  </si>
  <si>
    <t>Duke Thomas</t>
  </si>
  <si>
    <t>Durham Smythe</t>
  </si>
  <si>
    <t>Duron Harmon</t>
  </si>
  <si>
    <t>Dustin Colquitt</t>
  </si>
  <si>
    <t>Dustin Hopkins</t>
  </si>
  <si>
    <t>Dwayne Allen</t>
  </si>
  <si>
    <t>Dwayne Harris</t>
  </si>
  <si>
    <t>Dwayne Haskins Jr</t>
  </si>
  <si>
    <t>Dwayne Washington</t>
  </si>
  <si>
    <t>Dylan Cantrell</t>
  </si>
  <si>
    <t>Dylan Cole</t>
  </si>
  <si>
    <t>Dymonte Thomas</t>
  </si>
  <si>
    <t>EJ Gaines</t>
  </si>
  <si>
    <t>EJ Speed</t>
  </si>
  <si>
    <t>Earl Thomas III</t>
  </si>
  <si>
    <t>Earl Watford</t>
  </si>
  <si>
    <t>Easton Stick</t>
  </si>
  <si>
    <t>Ed Dickson</t>
  </si>
  <si>
    <t>Ed Oliver Jr</t>
  </si>
  <si>
    <t>Eddie Goldman</t>
  </si>
  <si>
    <t>Eddie Jackson</t>
  </si>
  <si>
    <t>Eddie Vanderdoes</t>
  </si>
  <si>
    <t>Eddie Yarbrough</t>
  </si>
  <si>
    <t>Eddy Pineiro</t>
  </si>
  <si>
    <t>Efe Obada</t>
  </si>
  <si>
    <t>Elandon Roberts</t>
  </si>
  <si>
    <t>Elgton Jenkins</t>
  </si>
  <si>
    <t>Eli Ankou</t>
  </si>
  <si>
    <t>Eli Apple</t>
  </si>
  <si>
    <t>Eli Harold</t>
  </si>
  <si>
    <t>Eli Manning</t>
  </si>
  <si>
    <t>Eli Rogers</t>
  </si>
  <si>
    <t>Elijah Holyfield</t>
  </si>
  <si>
    <t>Elijah Hood</t>
  </si>
  <si>
    <t>Elijah Lee</t>
  </si>
  <si>
    <t>Elijah McGuire</t>
  </si>
  <si>
    <t>Elijah Nkansah</t>
  </si>
  <si>
    <t>Elijah Qualls</t>
  </si>
  <si>
    <t>Elijah Wellman</t>
  </si>
  <si>
    <t>Elijah Wilkinson</t>
  </si>
  <si>
    <t>Elijhaa Penny</t>
  </si>
  <si>
    <t>Emanuel Hall</t>
  </si>
  <si>
    <t>Emeke Egbule</t>
  </si>
  <si>
    <t>Emmanuel Ellerbee</t>
  </si>
  <si>
    <t>Emmanuel Ogbah</t>
  </si>
  <si>
    <t>Emmanuel Sanders</t>
  </si>
  <si>
    <t>Emmanuel Smith</t>
  </si>
  <si>
    <t>Equanimeous St. Brown</t>
  </si>
  <si>
    <t>Ereck Flowers</t>
  </si>
  <si>
    <t>Eric Ebron</t>
  </si>
  <si>
    <t>Eric Fisher</t>
  </si>
  <si>
    <t>Eric Kendricks</t>
  </si>
  <si>
    <t>Eric Kush</t>
  </si>
  <si>
    <t>Eric Lee</t>
  </si>
  <si>
    <t>Eric Murray</t>
  </si>
  <si>
    <t>Eric Reid</t>
  </si>
  <si>
    <t>Eric Rowe</t>
  </si>
  <si>
    <t>Eric Saubert</t>
  </si>
  <si>
    <t>Eric Smith</t>
  </si>
  <si>
    <t>Eric Tomlinson</t>
  </si>
  <si>
    <t>Eric Weddle</t>
  </si>
  <si>
    <t>Eric Wilson</t>
  </si>
  <si>
    <t>Erik Harris</t>
  </si>
  <si>
    <t>Erik Magnuson</t>
  </si>
  <si>
    <t>Erik McCoy</t>
  </si>
  <si>
    <t>Ethan Greenidge</t>
  </si>
  <si>
    <t>Ethan Pocic</t>
  </si>
  <si>
    <t>Evan Baylis</t>
  </si>
  <si>
    <t>Evan Boehm</t>
  </si>
  <si>
    <t>Evan Brown</t>
  </si>
  <si>
    <t>Evan Engram</t>
  </si>
  <si>
    <t>Evan Smith</t>
  </si>
  <si>
    <t>Everson Griffen</t>
  </si>
  <si>
    <t>Ezekiel Ansah</t>
  </si>
  <si>
    <t>Ezekiel Elliott</t>
  </si>
  <si>
    <t>Ezekiel Turner</t>
  </si>
  <si>
    <t>Fabian Moreau</t>
  </si>
  <si>
    <t>Fadol Brown</t>
  </si>
  <si>
    <t>Fletcher Cox</t>
  </si>
  <si>
    <t>Folorunso Fatukasi</t>
  </si>
  <si>
    <t>Forrest Lamp</t>
  </si>
  <si>
    <t>Foster Moreau</t>
  </si>
  <si>
    <t>Foyesade Oluokun</t>
  </si>
  <si>
    <t>Frank Clark</t>
  </si>
  <si>
    <t>Frank Gore</t>
  </si>
  <si>
    <t>Frank Ragnow</t>
  </si>
  <si>
    <t>Frankie Luvu</t>
  </si>
  <si>
    <t>Fred Johnson</t>
  </si>
  <si>
    <t>Fred Warner</t>
  </si>
  <si>
    <t>Gabe Jackson</t>
  </si>
  <si>
    <t>Gabe Wright</t>
  </si>
  <si>
    <t>Gardner Minshew II</t>
  </si>
  <si>
    <t>Gareon Conley</t>
  </si>
  <si>
    <t>Garett Bolles</t>
  </si>
  <si>
    <t>Garret Dooley</t>
  </si>
  <si>
    <t>Garrett Bradbury</t>
  </si>
  <si>
    <t>Garrett Celek</t>
  </si>
  <si>
    <t>Garrett Dickerson</t>
  </si>
  <si>
    <t>Garrett Gilbert</t>
  </si>
  <si>
    <t>Garrett Griffin</t>
  </si>
  <si>
    <t>Gary Jennings</t>
  </si>
  <si>
    <t>Gary Johnson</t>
  </si>
  <si>
    <t>Gehrig Dieter</t>
  </si>
  <si>
    <t>Genard Avery</t>
  </si>
  <si>
    <t>Geneo Grissom</t>
  </si>
  <si>
    <t>Geno Atkins</t>
  </si>
  <si>
    <t>Geno Smith</t>
  </si>
  <si>
    <t>Geoff Swaim</t>
  </si>
  <si>
    <t>George Asafo-Adjei</t>
  </si>
  <si>
    <t>George Fant</t>
  </si>
  <si>
    <t>George Iloka</t>
  </si>
  <si>
    <t>George Kittle</t>
  </si>
  <si>
    <t>George Odum</t>
  </si>
  <si>
    <t>Gerald Everett</t>
  </si>
  <si>
    <t>Gerald McCoy</t>
  </si>
  <si>
    <t>Geremy Davis</t>
  </si>
  <si>
    <t>Gerhard de Beer</t>
  </si>
  <si>
    <t>Germain Ifedi</t>
  </si>
  <si>
    <t>Germaine Pratt</t>
  </si>
  <si>
    <t>Geron Christian Sr</t>
  </si>
  <si>
    <t>Geronimo Allison</t>
  </si>
  <si>
    <t>Gerri Green</t>
  </si>
  <si>
    <t>Gimel President</t>
  </si>
  <si>
    <t>Giorgio Tavecchio</t>
  </si>
  <si>
    <t>Giovani Bernard</t>
  </si>
  <si>
    <t>Godwin Igwebuike</t>
  </si>
  <si>
    <t>Golden Tate III</t>
  </si>
  <si>
    <t>Grady Jarrett</t>
  </si>
  <si>
    <t>Hau'oli</t>
  </si>
  <si>
    <t>Graham Gano</t>
  </si>
  <si>
    <t>Graham Glasgow</t>
  </si>
  <si>
    <t>Grant Haley</t>
  </si>
  <si>
    <t>Greedy Williams</t>
  </si>
  <si>
    <t>Greer Martini</t>
  </si>
  <si>
    <t>Greg Dortch</t>
  </si>
  <si>
    <t>Greg Gaines</t>
  </si>
  <si>
    <t>Greg Joseph</t>
  </si>
  <si>
    <t>Greg Little</t>
  </si>
  <si>
    <t>Greg Mabin</t>
  </si>
  <si>
    <t>Greg Mancz</t>
  </si>
  <si>
    <t>Greg Olsen</t>
  </si>
  <si>
    <t>Greg Robinson</t>
  </si>
  <si>
    <t>Greg Senat</t>
  </si>
  <si>
    <t>Greg Stroman</t>
  </si>
  <si>
    <t>Greg Van Roten</t>
  </si>
  <si>
    <t>Greg Zuerlein</t>
  </si>
  <si>
    <t>Grover Stewart</t>
  </si>
  <si>
    <t>Gus Edwards</t>
  </si>
  <si>
    <t>Ha Ha Clinton-Dix</t>
  </si>
  <si>
    <t>Haason Reddick</t>
  </si>
  <si>
    <t>Hakeem Butler</t>
  </si>
  <si>
    <t>Halapoulivaati Vaitai</t>
  </si>
  <si>
    <t>Hardy Nickerson</t>
  </si>
  <si>
    <t>Harold Jones-Quartey</t>
  </si>
  <si>
    <t>Harold Landry III</t>
  </si>
  <si>
    <t>Harrison Butker</t>
  </si>
  <si>
    <t>Harrison Phillips</t>
  </si>
  <si>
    <t>Harrison Smith</t>
  </si>
  <si>
    <t>Harvey Langi</t>
  </si>
  <si>
    <t>Hassan Ridgeway</t>
  </si>
  <si>
    <t>Hayden Hurst</t>
  </si>
  <si>
    <t>Henre' Toliver</t>
  </si>
  <si>
    <t>Henry Anderson</t>
  </si>
  <si>
    <t>Herb Waters</t>
  </si>
  <si>
    <t>J'Mon</t>
  </si>
  <si>
    <t>Hercules Mata'afa</t>
  </si>
  <si>
    <t>Ja'Whaun</t>
  </si>
  <si>
    <t>Hjalte Froholdt</t>
  </si>
  <si>
    <t>Ja'Wuan</t>
  </si>
  <si>
    <t>Holton Hill</t>
  </si>
  <si>
    <t>Horace Richardson</t>
  </si>
  <si>
    <t>Hroniss Grasu</t>
  </si>
  <si>
    <t>Hunter Bradley</t>
  </si>
  <si>
    <t>Hunter Henry</t>
  </si>
  <si>
    <t>Hunter Renfrow</t>
  </si>
  <si>
    <t>Ian Silberman</t>
  </si>
  <si>
    <t>Ian Thomas</t>
  </si>
  <si>
    <t>Ifeadi Odenigbo</t>
  </si>
  <si>
    <t>Ike Boettger</t>
  </si>
  <si>
    <t>Iman Lewis-Marshall</t>
  </si>
  <si>
    <t>Irv Smith Jr</t>
  </si>
  <si>
    <t>Isaac Nauta</t>
  </si>
  <si>
    <t>Isaac Rochell</t>
  </si>
  <si>
    <t>Isaac Seumalo</t>
  </si>
  <si>
    <t>Isaac Whitney</t>
  </si>
  <si>
    <t>Isaac Yiadom</t>
  </si>
  <si>
    <t>Isaiah Buggs</t>
  </si>
  <si>
    <t>Isaiah Crowell</t>
  </si>
  <si>
    <t>Isaiah Ford</t>
  </si>
  <si>
    <t>Isaiah Irving</t>
  </si>
  <si>
    <t>Isaiah Johnson</t>
  </si>
  <si>
    <t>Isaiah McKenzie</t>
  </si>
  <si>
    <t>Isaiah Oliver</t>
  </si>
  <si>
    <t>J'Marcus</t>
  </si>
  <si>
    <t>Isaiah Prince</t>
  </si>
  <si>
    <t>Isaiah Wynn</t>
  </si>
  <si>
    <t>Ito Smith</t>
  </si>
  <si>
    <t>JC Hassenauer</t>
  </si>
  <si>
    <t>JC Tretter</t>
  </si>
  <si>
    <t>JD McKissic</t>
  </si>
  <si>
    <t>JJ Arcega-Whiteside</t>
  </si>
  <si>
    <t>JJ Jansen</t>
  </si>
  <si>
    <t>JJ Jones</t>
  </si>
  <si>
    <t>JJ Nelson</t>
  </si>
  <si>
    <t>JJ Watt</t>
  </si>
  <si>
    <t>JJ Wilcox</t>
  </si>
  <si>
    <t>JR Sweezy</t>
  </si>
  <si>
    <t>JT Barrett IV</t>
  </si>
  <si>
    <t>JT Gray</t>
  </si>
  <si>
    <t>JT Jones</t>
  </si>
  <si>
    <t>J'Marcus Webb</t>
  </si>
  <si>
    <t>J'Mon Moore</t>
  </si>
  <si>
    <t>Ja'Whaun Bentley</t>
  </si>
  <si>
    <t>Ja'Wuan James</t>
  </si>
  <si>
    <t>Jabaal Sheard</t>
  </si>
  <si>
    <t>Jabrill Peppers</t>
  </si>
  <si>
    <t>Jace Sternberger</t>
  </si>
  <si>
    <t>Jachai Polite</t>
  </si>
  <si>
    <t>Jack Cichy</t>
  </si>
  <si>
    <t>Jack Conklin</t>
  </si>
  <si>
    <t>Jack Crawford</t>
  </si>
  <si>
    <t>Jack Doyle</t>
  </si>
  <si>
    <t>Jack Fox</t>
  </si>
  <si>
    <t>Jackson Barton</t>
  </si>
  <si>
    <t>O'Shaughnessy</t>
  </si>
  <si>
    <t>Jacob Hollister</t>
  </si>
  <si>
    <t>Jacob Martin</t>
  </si>
  <si>
    <t>Jacob Tuioti-Mariner</t>
  </si>
  <si>
    <t>Jacoby Brissett</t>
  </si>
  <si>
    <t>Jadeveon Clowney</t>
  </si>
  <si>
    <t>Jaelen Strong</t>
  </si>
  <si>
    <t>Jahlani Tavai</t>
  </si>
  <si>
    <t>Jahleel Addae</t>
  </si>
  <si>
    <t>Jaire Alexander</t>
  </si>
  <si>
    <t>Jake Bailey</t>
  </si>
  <si>
    <t>Jake Brendel</t>
  </si>
  <si>
    <t>Jake Butt</t>
  </si>
  <si>
    <t>Jake Eldrenkamp</t>
  </si>
  <si>
    <t>Jake Elliott</t>
  </si>
  <si>
    <t>Jake Kumerow</t>
  </si>
  <si>
    <t>Jake Matthews</t>
  </si>
  <si>
    <t>Jake McQuaide</t>
  </si>
  <si>
    <t>Jake Rodgers</t>
  </si>
  <si>
    <t>Jake Rudock</t>
  </si>
  <si>
    <t>Jake Ryan</t>
  </si>
  <si>
    <t>Jakeem Grant</t>
  </si>
  <si>
    <t>Jaleel Johnson</t>
  </si>
  <si>
    <t>Jaleel Scott</t>
  </si>
  <si>
    <t>Jalen Collins</t>
  </si>
  <si>
    <t>Jalen Davis</t>
  </si>
  <si>
    <t>Jalen Hurd</t>
  </si>
  <si>
    <t>Jalen Jelks</t>
  </si>
  <si>
    <t>Jalen Mills</t>
  </si>
  <si>
    <t>Jalen LARey</t>
  </si>
  <si>
    <t>Jalen Reeves-Maybin</t>
  </si>
  <si>
    <t>Jalen Richard</t>
  </si>
  <si>
    <t>Jalen Tolliver</t>
  </si>
  <si>
    <t>Jalin Moore</t>
  </si>
  <si>
    <t>Jalyn Holmes</t>
  </si>
  <si>
    <t>Jamaal Williams</t>
  </si>
  <si>
    <t>Jamal Adams</t>
  </si>
  <si>
    <t>Jamal Agnew</t>
  </si>
  <si>
    <t>Jamal Carter</t>
  </si>
  <si>
    <t>Jamal Custis</t>
  </si>
  <si>
    <t>Jamar Summers</t>
  </si>
  <si>
    <t>Jamar Taylor</t>
  </si>
  <si>
    <t>Jamarco Jones</t>
  </si>
  <si>
    <t>Jameill Showers</t>
  </si>
  <si>
    <t>Jameis Winston</t>
  </si>
  <si>
    <t>Jamel Dean</t>
  </si>
  <si>
    <t>James Bradberry</t>
  </si>
  <si>
    <t>James Burgess Jr</t>
  </si>
  <si>
    <t>James Carpenter</t>
  </si>
  <si>
    <t>James Conner</t>
  </si>
  <si>
    <t>James Cowser</t>
  </si>
  <si>
    <t>James Crawford</t>
  </si>
  <si>
    <t>James Daniels</t>
  </si>
  <si>
    <t>James Develin</t>
  </si>
  <si>
    <t>James Ferentz</t>
  </si>
  <si>
    <t>James Hurst</t>
  </si>
  <si>
    <t>James Looney</t>
  </si>
  <si>
    <t>James O'Shaughnessy</t>
  </si>
  <si>
    <t>James Onwualu</t>
  </si>
  <si>
    <t>James Vaughters</t>
  </si>
  <si>
    <t>James Washington</t>
  </si>
  <si>
    <t>James White</t>
  </si>
  <si>
    <t>James Winchester</t>
  </si>
  <si>
    <t>Jamie Collins Sr</t>
  </si>
  <si>
    <t>Jamie Meder</t>
  </si>
  <si>
    <t>Jamil Demby</t>
  </si>
  <si>
    <t>Jamil Douglas</t>
  </si>
  <si>
    <t>Jamison Crowder</t>
  </si>
  <si>
    <t>Jamiyus Pittman</t>
  </si>
  <si>
    <t>Jamize Olawale</t>
  </si>
  <si>
    <t>Jamon Brown</t>
  </si>
  <si>
    <t>Janoris Jenkins</t>
  </si>
  <si>
    <t>Jaquan Johnson</t>
  </si>
  <si>
    <t>Jaquiski Tartt</t>
  </si>
  <si>
    <t>Jared Cook</t>
  </si>
  <si>
    <t>Jared Goff</t>
  </si>
  <si>
    <t>Jared Norris</t>
  </si>
  <si>
    <t>Jarius Wright</t>
  </si>
  <si>
    <t>Jaron Brown</t>
  </si>
  <si>
    <t>Jarrad Davis</t>
  </si>
  <si>
    <t>Jarran Reed</t>
  </si>
  <si>
    <t>Jarrett Stidham</t>
  </si>
  <si>
    <t>Jarrod Wilson</t>
  </si>
  <si>
    <t>Jarvis Landry</t>
  </si>
  <si>
    <t>Jaryd Jones-Smith</t>
  </si>
  <si>
    <t>Jason Cabinda</t>
  </si>
  <si>
    <t>Jason Croom</t>
  </si>
  <si>
    <t>Je'Ron</t>
  </si>
  <si>
    <t>Jason Kelce</t>
  </si>
  <si>
    <t>Jason McCourty</t>
  </si>
  <si>
    <t>Jason Myers</t>
  </si>
  <si>
    <t>Jason Peters</t>
  </si>
  <si>
    <t>Jason Pierre-Paul</t>
  </si>
  <si>
    <t>Jason Sanders</t>
  </si>
  <si>
    <t>Jason Spriggs</t>
  </si>
  <si>
    <t>Jason Vander Laan</t>
  </si>
  <si>
    <t>Jason Verrett</t>
  </si>
  <si>
    <t>Jason Witten</t>
  </si>
  <si>
    <t>Jatavis Brown</t>
  </si>
  <si>
    <t>Javien Elliott</t>
  </si>
  <si>
    <t>Javon Hargrave</t>
  </si>
  <si>
    <t>Javon Patterson</t>
  </si>
  <si>
    <t>Javon Wims</t>
  </si>
  <si>
    <t>Javorius Allen</t>
  </si>
  <si>
    <t>Jawaan Taylor</t>
  </si>
  <si>
    <t>Jawill Davis</t>
  </si>
  <si>
    <t>Jaylen Samuels</t>
  </si>
  <si>
    <t>Jaylen Smith</t>
  </si>
  <si>
    <t>Jaylen Watkins</t>
  </si>
  <si>
    <t>Jaylon Ferguson</t>
  </si>
  <si>
    <t>Jaylon Smith</t>
  </si>
  <si>
    <t>Jayon Brown</t>
  </si>
  <si>
    <t>Jayron Kearse</t>
  </si>
  <si>
    <t>Jayrone Elliott</t>
  </si>
  <si>
    <t>JC Jackson</t>
  </si>
  <si>
    <t>Jeff Driskel</t>
  </si>
  <si>
    <t>Jeff Heath</t>
  </si>
  <si>
    <t>Jeff Heuerman</t>
  </si>
  <si>
    <t>Jeff Holland</t>
  </si>
  <si>
    <t>Jeff Richards</t>
  </si>
  <si>
    <t>Jeff Wilson Jr</t>
  </si>
  <si>
    <t>Jeffery Simmons Jr</t>
  </si>
  <si>
    <t>Jehu Chesson</t>
  </si>
  <si>
    <t>Jerald Hawkins</t>
  </si>
  <si>
    <t>Jerell Adams</t>
  </si>
  <si>
    <t>Jeremiah Attaochu</t>
  </si>
  <si>
    <t>Jeremiah Kolone</t>
  </si>
  <si>
    <t>Jeremiah Ledbetter</t>
  </si>
  <si>
    <t>Jeremiah McKinnon</t>
  </si>
  <si>
    <t>Jeremiah Sirles</t>
  </si>
  <si>
    <t>Jeremy Clark</t>
  </si>
  <si>
    <t>Jeremy Langford</t>
  </si>
  <si>
    <t>Jeremy McNichols</t>
  </si>
  <si>
    <t>Jeremy Reaves</t>
  </si>
  <si>
    <t>Jeremy Sprinkle</t>
  </si>
  <si>
    <t>Jeremy Vujnovich</t>
  </si>
  <si>
    <t>Jerick McKinnon</t>
  </si>
  <si>
    <t>Jermaine Carter Jr</t>
  </si>
  <si>
    <t>Jermaine Eluemunor</t>
  </si>
  <si>
    <t>Jermaine Grace</t>
  </si>
  <si>
    <t>Jermaine Kearse</t>
  </si>
  <si>
    <t>Jermaine Kelly Jr</t>
  </si>
  <si>
    <t>Jermaine Whitehead</t>
  </si>
  <si>
    <t>Jerome Baker</t>
  </si>
  <si>
    <t>Jerome Cunningham</t>
  </si>
  <si>
    <t>Jerry Hughes</t>
  </si>
  <si>
    <t>Jerry Tillery</t>
  </si>
  <si>
    <t>Jesse Davis</t>
  </si>
  <si>
    <t>Jesse James</t>
  </si>
  <si>
    <t>Jessie Bates III</t>
  </si>
  <si>
    <t>Jihad Ward</t>
  </si>
  <si>
    <t>Jimmie Ward</t>
  </si>
  <si>
    <t>Jimmy Garoppolo</t>
  </si>
  <si>
    <t>Jimmy Graham</t>
  </si>
  <si>
    <t>Jimmy Moreland</t>
  </si>
  <si>
    <t>Jimmy Murray</t>
  </si>
  <si>
    <t>Jimmy Smith</t>
  </si>
  <si>
    <t>JK Scott</t>
  </si>
  <si>
    <t>Joe Cardona</t>
  </si>
  <si>
    <t>Joe Dahl</t>
  </si>
  <si>
    <t>Joe Flacco</t>
  </si>
  <si>
    <t>Joe Giles-Harris</t>
  </si>
  <si>
    <t>Joe Haden</t>
  </si>
  <si>
    <t>Joe Haeg</t>
  </si>
  <si>
    <t>Joe Jackson</t>
  </si>
  <si>
    <t>Joe Looney</t>
  </si>
  <si>
    <t>Joe Mixon</t>
  </si>
  <si>
    <t>Joe Ostman</t>
  </si>
  <si>
    <t>Joe Schobert</t>
  </si>
  <si>
    <t>Joe Staley</t>
  </si>
  <si>
    <t>Joe Thomas</t>
  </si>
  <si>
    <t>Joe Thuney</t>
  </si>
  <si>
    <t>Joe Walker</t>
  </si>
  <si>
    <t>Joe Webb III</t>
  </si>
  <si>
    <t>Joejuan Williams</t>
  </si>
  <si>
    <t>Joel Bitonio</t>
  </si>
  <si>
    <t>Joel Heath</t>
  </si>
  <si>
    <t>Joel Iyiegbuniwe</t>
  </si>
  <si>
    <t>Joey Bosa</t>
  </si>
  <si>
    <t>Joey Hunt</t>
  </si>
  <si>
    <t>Joey Ivie</t>
  </si>
  <si>
    <t>Joey Mbu</t>
  </si>
  <si>
    <t>John Atkins</t>
  </si>
  <si>
    <t>John Brown</t>
  </si>
  <si>
    <t>John Cominsky</t>
  </si>
  <si>
    <t>John Denney</t>
  </si>
  <si>
    <t>John Franklin III</t>
  </si>
  <si>
    <t>John Franklin-Myers</t>
  </si>
  <si>
    <t>John Jenkins</t>
  </si>
  <si>
    <t>John Johnson III</t>
  </si>
  <si>
    <t>John Kelly</t>
  </si>
  <si>
    <t>John Miller</t>
  </si>
  <si>
    <t>John Ross III</t>
  </si>
  <si>
    <t>John Simon</t>
  </si>
  <si>
    <t>John Ursua</t>
  </si>
  <si>
    <t>John Wetzel</t>
  </si>
  <si>
    <t>Johnathan Abram</t>
  </si>
  <si>
    <t>Johnathan Hankins</t>
  </si>
  <si>
    <t>Johnathan Joseph</t>
  </si>
  <si>
    <t>Johnnie Dixon</t>
  </si>
  <si>
    <t>Johnny Hekker</t>
  </si>
  <si>
    <t>Johnny Holton</t>
  </si>
  <si>
    <t>Johnny Mundt</t>
  </si>
  <si>
    <t>Johnny Townsend</t>
  </si>
  <si>
    <t>Johnson Bademosi</t>
  </si>
  <si>
    <t>JoJo Natson</t>
  </si>
  <si>
    <t>Jojo Wicker</t>
  </si>
  <si>
    <t>Jon Bostic</t>
  </si>
  <si>
    <t>Jon Feliciano</t>
  </si>
  <si>
    <t>Jon Halapio</t>
  </si>
  <si>
    <t>Jon Toth</t>
  </si>
  <si>
    <t>Jon Weeks</t>
  </si>
  <si>
    <t>Jonah Williams</t>
  </si>
  <si>
    <t>Jonathan Allen</t>
  </si>
  <si>
    <t>Jonathan Anderson</t>
  </si>
  <si>
    <t>Jonathan Brown</t>
  </si>
  <si>
    <t>Jonathan Bullard</t>
  </si>
  <si>
    <t>Jonathan Jones</t>
  </si>
  <si>
    <t>Jonathan Ledbetter</t>
  </si>
  <si>
    <t>Jonathan Williams</t>
  </si>
  <si>
    <t>Jonathan Woodard</t>
  </si>
  <si>
    <t>Jonathon Mincy</t>
  </si>
  <si>
    <t>Jonnu Smith</t>
  </si>
  <si>
    <t>Jonotthan Harrison</t>
  </si>
  <si>
    <t>Jordan Akins</t>
  </si>
  <si>
    <t>Jordan Berry</t>
  </si>
  <si>
    <t>Jordan Brailford</t>
  </si>
  <si>
    <t>Jordan Brown</t>
  </si>
  <si>
    <t>Jordan Dangerfield</t>
  </si>
  <si>
    <t>Jordan Devey</t>
  </si>
  <si>
    <t>Jordan Evans</t>
  </si>
  <si>
    <t>Jordan Franks</t>
  </si>
  <si>
    <t>Jordan Hicks</t>
  </si>
  <si>
    <t>Jordan Howard</t>
  </si>
  <si>
    <t>Jordan Jenkins</t>
  </si>
  <si>
    <t>Jordan Lasley</t>
  </si>
  <si>
    <t>Jordan Leggett</t>
  </si>
  <si>
    <t>Jordan Lucas</t>
  </si>
  <si>
    <t>Jordan Mailata</t>
  </si>
  <si>
    <t>Jordan Matthews</t>
  </si>
  <si>
    <t>Jordan Miller</t>
  </si>
  <si>
    <t>Jordan Mills</t>
  </si>
  <si>
    <t>Jordan Morgan</t>
  </si>
  <si>
    <t>Jordan Phillips</t>
  </si>
  <si>
    <t>Julie'n</t>
  </si>
  <si>
    <t>Jordan Poyer</t>
  </si>
  <si>
    <t>Jordan Reed</t>
  </si>
  <si>
    <t>Jordan Richards</t>
  </si>
  <si>
    <t>Jordan Roos</t>
  </si>
  <si>
    <t>Jordan Scarlett</t>
  </si>
  <si>
    <t>Jordan Simmons</t>
  </si>
  <si>
    <t>Jordan Taylor</t>
  </si>
  <si>
    <t>Jordan Thomas</t>
  </si>
  <si>
    <t>Jordan Whitehead</t>
  </si>
  <si>
    <t>Jordan Wilkins</t>
  </si>
  <si>
    <t>Jordan Williams-Lambert</t>
  </si>
  <si>
    <t>Jordan Willis</t>
  </si>
  <si>
    <t>Joseph Jones</t>
  </si>
  <si>
    <t>Joseph Noteboom</t>
  </si>
  <si>
    <t>Josey Jewell</t>
  </si>
  <si>
    <t>Josh Adams</t>
  </si>
  <si>
    <t>Josh Allen</t>
  </si>
  <si>
    <t>Josh Andrews</t>
  </si>
  <si>
    <t>Josh Bellamy</t>
  </si>
  <si>
    <t>Josh Carraway</t>
  </si>
  <si>
    <t>Josh Doctson</t>
  </si>
  <si>
    <t>Josh Ferguson</t>
  </si>
  <si>
    <t>Josh Gordon</t>
  </si>
  <si>
    <t>Josh Harris</t>
  </si>
  <si>
    <t>Josh Harvey-Clemons</t>
  </si>
  <si>
    <t>Josh Hawkins</t>
  </si>
  <si>
    <t>Josh Hill</t>
  </si>
  <si>
    <t>Josh Jackson</t>
  </si>
  <si>
    <t>Josh Jacobs</t>
  </si>
  <si>
    <t>Josh Jones</t>
  </si>
  <si>
    <t>Josh Kline</t>
  </si>
  <si>
    <t>Josh Lambo</t>
  </si>
  <si>
    <t>Josh Malone</t>
  </si>
  <si>
    <t>Josh Mauro</t>
  </si>
  <si>
    <t>Josh Norman</t>
  </si>
  <si>
    <t>K'Waun</t>
  </si>
  <si>
    <t>Josh Oliver</t>
  </si>
  <si>
    <t>Ka'imi</t>
  </si>
  <si>
    <t>Josh Reynolds</t>
  </si>
  <si>
    <t>Josh Rosen</t>
  </si>
  <si>
    <t>Josh Shaw</t>
  </si>
  <si>
    <t>Josh Sweat</t>
  </si>
  <si>
    <t>Josh Tupou</t>
  </si>
  <si>
    <t>Josh Wells</t>
  </si>
  <si>
    <t>Josh Woodrum</t>
  </si>
  <si>
    <t>Josh Woods</t>
  </si>
  <si>
    <t>Joshua Dobbs</t>
  </si>
  <si>
    <t>Joshua Garnett</t>
  </si>
  <si>
    <t>Joshua Kalu</t>
  </si>
  <si>
    <t>Joshua Miles</t>
  </si>
  <si>
    <t>Joshua Perkins</t>
  </si>
  <si>
    <t>Jourdan Lewis</t>
  </si>
  <si>
    <t>Juan Thornhill</t>
  </si>
  <si>
    <t>JuJu Smith-Schuster</t>
  </si>
  <si>
    <t>Julian Edelman</t>
  </si>
  <si>
    <t>Julian Love</t>
  </si>
  <si>
    <t>Julian Stanford</t>
  </si>
  <si>
    <t>Julie'n Davenport</t>
  </si>
  <si>
    <t>Julio Jones</t>
  </si>
  <si>
    <t>Jullian Taylor</t>
  </si>
  <si>
    <t>Jurrell Casey</t>
  </si>
  <si>
    <t>Justice Hill</t>
  </si>
  <si>
    <t>Justice Liggins</t>
  </si>
  <si>
    <t>Justin Bethel</t>
  </si>
  <si>
    <t>Justin Britt</t>
  </si>
  <si>
    <t>Justin Coleman</t>
  </si>
  <si>
    <t>Justin Currie</t>
  </si>
  <si>
    <t>Justin Davis</t>
  </si>
  <si>
    <t>Justin Ellis</t>
  </si>
  <si>
    <t>Justin Evans</t>
  </si>
  <si>
    <t>Justin Hamilton</t>
  </si>
  <si>
    <t>Ka'Deem</t>
  </si>
  <si>
    <t>Justin Hardee</t>
  </si>
  <si>
    <t>Justin Hardy</t>
  </si>
  <si>
    <t>Justin Hollins</t>
  </si>
  <si>
    <t>Justin Houston</t>
  </si>
  <si>
    <t>Justin Jackson</t>
  </si>
  <si>
    <t>Justin Jones</t>
  </si>
  <si>
    <t>Justin Lawler</t>
  </si>
  <si>
    <t>Justin Layne</t>
  </si>
  <si>
    <t>Justin March-Lillard</t>
  </si>
  <si>
    <t>Justin McCray</t>
  </si>
  <si>
    <t>Justin Pugh</t>
  </si>
  <si>
    <t>Justin Reid</t>
  </si>
  <si>
    <t>Justin Senior</t>
  </si>
  <si>
    <t>Justin Simmons</t>
  </si>
  <si>
    <t>Justin Skule</t>
  </si>
  <si>
    <t>Justin Tucker</t>
  </si>
  <si>
    <t>Justin Watson</t>
  </si>
  <si>
    <t>Justin Zimmer</t>
  </si>
  <si>
    <t>Juston Burris</t>
  </si>
  <si>
    <t>Juwann Winfree</t>
  </si>
  <si>
    <t>KJ Brent</t>
  </si>
  <si>
    <t>KJ Wright</t>
  </si>
  <si>
    <t>K'Waun Williams</t>
  </si>
  <si>
    <t>Ka'Dar Hollman</t>
  </si>
  <si>
    <t>Ka'imi Fairbairn</t>
  </si>
  <si>
    <t>Kaare Vedvik</t>
  </si>
  <si>
    <t>Kaden Elliss</t>
  </si>
  <si>
    <t>Kaden Smith</t>
  </si>
  <si>
    <t>Kahale Warring</t>
  </si>
  <si>
    <t>Kahlil McKenzie</t>
  </si>
  <si>
    <t>Kai Nacua</t>
  </si>
  <si>
    <t>Kalan Reed</t>
  </si>
  <si>
    <t>Kaleb McGary</t>
  </si>
  <si>
    <t>Kalen Ballage</t>
  </si>
  <si>
    <t>Kalif Raymond</t>
  </si>
  <si>
    <t>Kamalei Correa</t>
  </si>
  <si>
    <t>Kameron Canaday</t>
  </si>
  <si>
    <t>Kameron Kelly</t>
  </si>
  <si>
    <t>Kamrin Moore</t>
  </si>
  <si>
    <t>Kamu Grugier-Hill</t>
  </si>
  <si>
    <t>Kapri Bibbs</t>
  </si>
  <si>
    <t>Kapron Lewis-Moore</t>
  </si>
  <si>
    <t>Kareem Hunt</t>
  </si>
  <si>
    <t>Kareem Jackson</t>
  </si>
  <si>
    <t>Kareem Martin</t>
  </si>
  <si>
    <t>Karl Joseph</t>
  </si>
  <si>
    <t>Kasey Redfern</t>
  </si>
  <si>
    <t>Kavon Frazier</t>
  </si>
  <si>
    <t>Kawann Short</t>
  </si>
  <si>
    <t>KC McDermott</t>
  </si>
  <si>
    <t>Keanu Neal</t>
  </si>
  <si>
    <t>Keelan Cole</t>
  </si>
  <si>
    <t>Keenan Allen</t>
  </si>
  <si>
    <t>Keenan Reynolds</t>
  </si>
  <si>
    <t>KeeSean Johnson</t>
  </si>
  <si>
    <t>Keion Adams</t>
  </si>
  <si>
    <t>Keion Crossen</t>
  </si>
  <si>
    <t>Keionta Davis</t>
  </si>
  <si>
    <t>Keishawn Bierria</t>
  </si>
  <si>
    <t>Keith Kirkwood</t>
  </si>
  <si>
    <t>Keith Reaser</t>
  </si>
  <si>
    <t>Keith Smith</t>
  </si>
  <si>
    <t>Keith Towbridge</t>
  </si>
  <si>
    <t>KeiVarae Russell</t>
  </si>
  <si>
    <t>Keke Coutee</t>
  </si>
  <si>
    <t>Kelechi Osemele</t>
  </si>
  <si>
    <t>Kelvin Beachum</t>
  </si>
  <si>
    <t>Kelvin Harmon</t>
  </si>
  <si>
    <t>Kemal Ishmael</t>
  </si>
  <si>
    <t>Kemoko Turay</t>
  </si>
  <si>
    <t>Ken Crawley</t>
  </si>
  <si>
    <t>Ken Webster</t>
  </si>
  <si>
    <t>Kendall Blanton</t>
  </si>
  <si>
    <t>Kendall Donnerson</t>
  </si>
  <si>
    <t>Kendall Fuller</t>
  </si>
  <si>
    <t>Kendall Lamm</t>
  </si>
  <si>
    <t>Kendall Sheffield</t>
  </si>
  <si>
    <t>Kendell Beckwith</t>
  </si>
  <si>
    <t>Kendrick Bourne</t>
  </si>
  <si>
    <t>Kendrick Norton</t>
  </si>
  <si>
    <t>Kenjon Barner</t>
  </si>
  <si>
    <t>Kenneth Dixon</t>
  </si>
  <si>
    <t>Kenneth Durden</t>
  </si>
  <si>
    <t>Kenneth Farrow</t>
  </si>
  <si>
    <t>Kenny Clark</t>
  </si>
  <si>
    <t>Kenny Golladay</t>
  </si>
  <si>
    <t>Kenny Ladler</t>
  </si>
  <si>
    <t>Kenny Moore II</t>
  </si>
  <si>
    <t>Kenny Stills</t>
  </si>
  <si>
    <t>Kenny Vaccaro</t>
  </si>
  <si>
    <t>Kenny Wiggins</t>
  </si>
  <si>
    <t>Kenny Young</t>
  </si>
  <si>
    <t>La'el</t>
  </si>
  <si>
    <t>Kent Perkins</t>
  </si>
  <si>
    <t>Kentavius Street</t>
  </si>
  <si>
    <t>Kentrell Brice</t>
  </si>
  <si>
    <t>Kentrell Brothers</t>
  </si>
  <si>
    <t>Kenyan Drake</t>
  </si>
  <si>
    <t>Keon Hatcher</t>
  </si>
  <si>
    <t>Kerrith Whyte</t>
  </si>
  <si>
    <t>Kerry Hyder Jr</t>
  </si>
  <si>
    <t>Kerry Wynn</t>
  </si>
  <si>
    <t>Kerryon Johnson</t>
  </si>
  <si>
    <t>Ketner Kupp</t>
  </si>
  <si>
    <t>Kevin Byard</t>
  </si>
  <si>
    <t>Kevin Hogan</t>
  </si>
  <si>
    <t>Kevin Huber</t>
  </si>
  <si>
    <t>Kevin Johnson</t>
  </si>
  <si>
    <t>Kevin King</t>
  </si>
  <si>
    <t>Kevin McDermott</t>
  </si>
  <si>
    <t>Kevin Pamphile</t>
  </si>
  <si>
    <t>Kevin Peterson</t>
  </si>
  <si>
    <t>Kevin Pierre-Louis</t>
  </si>
  <si>
    <t>Kevin Toliver II</t>
  </si>
  <si>
    <t>Kevin White</t>
  </si>
  <si>
    <t>Kevin Zeitler</t>
  </si>
  <si>
    <t>Kevon Seymour</t>
  </si>
  <si>
    <t>KhaDarel Hodge</t>
  </si>
  <si>
    <t>Khalen Saunders</t>
  </si>
  <si>
    <t>Khalfani Muhammad</t>
  </si>
  <si>
    <t>Khalil Mack</t>
  </si>
  <si>
    <t>Khari Willis</t>
  </si>
  <si>
    <t>Kiko Alonso</t>
  </si>
  <si>
    <t>Le'Raven</t>
  </si>
  <si>
    <t>Kingsley Keke</t>
  </si>
  <si>
    <t>Le'Veon</t>
  </si>
  <si>
    <t>Kirk Cousins</t>
  </si>
  <si>
    <t>Kofi Amichia</t>
  </si>
  <si>
    <t>Kolton Miller</t>
  </si>
  <si>
    <t>Korey Cunningham</t>
  </si>
  <si>
    <t>Kris Boyd</t>
  </si>
  <si>
    <t>Kurt Benkert</t>
  </si>
  <si>
    <t>Kwon Alexander</t>
  </si>
  <si>
    <t>Kyle Allen</t>
  </si>
  <si>
    <t>Kyle Fuller</t>
  </si>
  <si>
    <t>Kyle Juszczyk</t>
  </si>
  <si>
    <t>Kyle Kalis</t>
  </si>
  <si>
    <t>Kyle Lauletta</t>
  </si>
  <si>
    <t>Kyle Long</t>
  </si>
  <si>
    <t>Kyle Love</t>
  </si>
  <si>
    <t>Kyle Nelson</t>
  </si>
  <si>
    <t>Kyle Peko</t>
  </si>
  <si>
    <t>Kyle Queiro</t>
  </si>
  <si>
    <t>Kyle Rudolph</t>
  </si>
  <si>
    <t>Kyle Shurmur</t>
  </si>
  <si>
    <t>Kyle Sloter</t>
  </si>
  <si>
    <t>Kyle Van Noy</t>
  </si>
  <si>
    <t>Kyle Wilber</t>
  </si>
  <si>
    <t>Kyle Wilson</t>
  </si>
  <si>
    <t>Kyler Fackrell</t>
  </si>
  <si>
    <t>Kyler Murray</t>
  </si>
  <si>
    <t>Kylie Fitts</t>
  </si>
  <si>
    <t>Kyzir White</t>
  </si>
  <si>
    <t>LJ Collier</t>
  </si>
  <si>
    <t>LJ Fort</t>
  </si>
  <si>
    <t>LP LaDouceur</t>
  </si>
  <si>
    <t>La'el Collins</t>
  </si>
  <si>
    <t>LaAdrian Waddle</t>
  </si>
  <si>
    <t>Lac Edwards</t>
  </si>
  <si>
    <t>Laken Tomlinson</t>
  </si>
  <si>
    <t>Lamar Jackson</t>
  </si>
  <si>
    <t>Lamar Miller</t>
  </si>
  <si>
    <t>Lamarcus Joyner</t>
  </si>
  <si>
    <t>Lamont Gaillard</t>
  </si>
  <si>
    <t>Lance Lenoir</t>
  </si>
  <si>
    <t>Landon Collins</t>
  </si>
  <si>
    <t>Lane Johnson</t>
  </si>
  <si>
    <t>Lane Taylor</t>
  </si>
  <si>
    <t>Laquon Treadwell</t>
  </si>
  <si>
    <t>Laremy Tunsil</t>
  </si>
  <si>
    <t>LaRoy Reynolds</t>
  </si>
  <si>
    <t>Larry Fitzgerald</t>
  </si>
  <si>
    <t>Larry Ogunjobi</t>
  </si>
  <si>
    <t>Larry Warford</t>
  </si>
  <si>
    <t>Latavius Murray</t>
  </si>
  <si>
    <t>LaTroy Lewis</t>
  </si>
  <si>
    <t>Laurent Duvernay-Tardif</t>
  </si>
  <si>
    <t>Lavon Hooks</t>
  </si>
  <si>
    <t>Lavonte David</t>
  </si>
  <si>
    <t>Lawrence Guy</t>
  </si>
  <si>
    <t>Le'Raven Clark</t>
  </si>
  <si>
    <t>Le'Veon Bell</t>
  </si>
  <si>
    <t>Lee Smith</t>
  </si>
  <si>
    <t>Leighton Vander Esch</t>
  </si>
  <si>
    <t>Lenzy Pipkins</t>
  </si>
  <si>
    <t>Leo Koloamatangi</t>
  </si>
  <si>
    <t>Leon Jacobs</t>
  </si>
  <si>
    <t>Leonard Floyd</t>
  </si>
  <si>
    <t>Te'o</t>
  </si>
  <si>
    <t>Leonard Fournette</t>
  </si>
  <si>
    <t>Leonard Wester</t>
  </si>
  <si>
    <t>Leonard Williams</t>
  </si>
  <si>
    <t>Lerentee McCray</t>
  </si>
  <si>
    <t>LeSean McCoy</t>
  </si>
  <si>
    <t>LeShaun Sims</t>
  </si>
  <si>
    <t>Levi Wallace</t>
  </si>
  <si>
    <t>Levine Toilolo</t>
  </si>
  <si>
    <t>Lil'Jordan Humphrey</t>
  </si>
  <si>
    <t>Linden Stephens</t>
  </si>
  <si>
    <t>Linval Joseph</t>
  </si>
  <si>
    <t>Logan Cooke</t>
  </si>
  <si>
    <t>Logan Paulsen</t>
  </si>
  <si>
    <t>Logan Ryan</t>
  </si>
  <si>
    <t>Logan Thomas</t>
  </si>
  <si>
    <t>Logan Woodside</t>
  </si>
  <si>
    <t>Lonnie Johnson Jr</t>
  </si>
  <si>
    <t>Lorenzo Alexander</t>
  </si>
  <si>
    <t>Lorenzo Carter</t>
  </si>
  <si>
    <t>Lorenzo Doss</t>
  </si>
  <si>
    <t>Lucas Patrick</t>
  </si>
  <si>
    <t>Lukas Denis</t>
  </si>
  <si>
    <t>Luke Falk</t>
  </si>
  <si>
    <t>Luke Kuechly</t>
  </si>
  <si>
    <t>Luke Rhodes</t>
  </si>
  <si>
    <t>Luke Stocker</t>
  </si>
  <si>
    <t>Luke Willson</t>
  </si>
  <si>
    <t>JM Stewart Jr</t>
  </si>
  <si>
    <t>Mack Hollins</t>
  </si>
  <si>
    <t>Mack Wilson</t>
  </si>
  <si>
    <t>Mackensie Alexander</t>
  </si>
  <si>
    <t>Makinton Dorleant</t>
  </si>
  <si>
    <t>Malcolm Brown</t>
  </si>
  <si>
    <t>Malcolm Butler</t>
  </si>
  <si>
    <t>Malcolm Jenkins</t>
  </si>
  <si>
    <t>Malcolm Smith</t>
  </si>
  <si>
    <t>Malcom Brown</t>
  </si>
  <si>
    <t>Maliek Collins</t>
  </si>
  <si>
    <t>Malik Carney</t>
  </si>
  <si>
    <t>Malik Hooker</t>
  </si>
  <si>
    <t>Malik Jackson</t>
  </si>
  <si>
    <t>Malik Jefferson</t>
  </si>
  <si>
    <t>Marcedes Lewis</t>
  </si>
  <si>
    <t>Marcelis Branch</t>
  </si>
  <si>
    <t>Marcell Ateman</t>
  </si>
  <si>
    <t>Marcell Dareus</t>
  </si>
  <si>
    <t>Marcell Harris</t>
  </si>
  <si>
    <t>Marcus Allen</t>
  </si>
  <si>
    <t>Marcus Cannon</t>
  </si>
  <si>
    <t>Marcus Cooper Sr</t>
  </si>
  <si>
    <t>Marcus Davenport</t>
  </si>
  <si>
    <t>Marcus Epps</t>
  </si>
  <si>
    <t>Marcus Gilbert</t>
  </si>
  <si>
    <t>Marcus Green</t>
  </si>
  <si>
    <t>Marcus Johnson</t>
  </si>
  <si>
    <t>Marcus Kemp</t>
  </si>
  <si>
    <t>Marcus Mariota</t>
  </si>
  <si>
    <t>Marcus Maye</t>
  </si>
  <si>
    <t>Marcus Peters</t>
  </si>
  <si>
    <t>Marcus Sherels</t>
  </si>
  <si>
    <t>Marcus Williams</t>
  </si>
  <si>
    <t>Margus Hunt</t>
  </si>
  <si>
    <t>Mario Addison</t>
  </si>
  <si>
    <t>Mario Edwards Jr</t>
  </si>
  <si>
    <t>Mark Andrews</t>
  </si>
  <si>
    <t>Mark Barron</t>
  </si>
  <si>
    <t>Mark Fields</t>
  </si>
  <si>
    <t>Mark Glowinski</t>
  </si>
  <si>
    <t>Mark Ingram II</t>
  </si>
  <si>
    <t>Mark McLaurin Jr</t>
  </si>
  <si>
    <t>Mark Nzeocha</t>
  </si>
  <si>
    <t>Mark Walton Jr</t>
  </si>
  <si>
    <t>Markus Golden</t>
  </si>
  <si>
    <t>Marlon Humphrey</t>
  </si>
  <si>
    <t>Marlon Mack</t>
  </si>
  <si>
    <t>Marqise Lee</t>
  </si>
  <si>
    <t>Marquel Lee</t>
  </si>
  <si>
    <t>Marquez Valdes-Scantling</t>
  </si>
  <si>
    <t>Marqui Christian</t>
  </si>
  <si>
    <t>Marquis Flowers</t>
  </si>
  <si>
    <t>Marquis Haynes</t>
  </si>
  <si>
    <t>Marquise Blair</t>
  </si>
  <si>
    <t>Marquise Brown</t>
  </si>
  <si>
    <t>Marquise Goodwin</t>
  </si>
  <si>
    <t>Marshal Yanda</t>
  </si>
  <si>
    <t>Marshall Newhouse</t>
  </si>
  <si>
    <t>Marshon Lattimore</t>
  </si>
  <si>
    <t>Martinas Rankin</t>
  </si>
  <si>
    <t>Marvell Tell III</t>
  </si>
  <si>
    <t>Marvin Hall</t>
  </si>
  <si>
    <t>Marvin Jones Jr</t>
  </si>
  <si>
    <t>Marwin Evans</t>
  </si>
  <si>
    <t>Mason Cole</t>
  </si>
  <si>
    <t>Mason Crosby</t>
  </si>
  <si>
    <t>Mason Foster</t>
  </si>
  <si>
    <t>Mason Rudolph</t>
  </si>
  <si>
    <t>Mason Schreck</t>
  </si>
  <si>
    <t>Matt Barkley</t>
  </si>
  <si>
    <t>Matt Bosher</t>
  </si>
  <si>
    <t>Matt Breida</t>
  </si>
  <si>
    <t>Matt Colburn II</t>
  </si>
  <si>
    <t>Matt Darr</t>
  </si>
  <si>
    <t>Matt Dickerson</t>
  </si>
  <si>
    <t>Matt Feiler</t>
  </si>
  <si>
    <t>Matt Flanagan</t>
  </si>
  <si>
    <t>Matt Gay</t>
  </si>
  <si>
    <t>Matt Gono</t>
  </si>
  <si>
    <t>Matt Haack</t>
  </si>
  <si>
    <t>Matt Kalil</t>
  </si>
  <si>
    <t>Matt LaCosse</t>
  </si>
  <si>
    <t>Matt Milano</t>
  </si>
  <si>
    <t>Matt Overton</t>
  </si>
  <si>
    <t>Matt Paradis</t>
  </si>
  <si>
    <t>Matt Prater</t>
  </si>
  <si>
    <t>Matt Pryor</t>
  </si>
  <si>
    <t>Matt Ryan</t>
  </si>
  <si>
    <t>Matt Schaub</t>
  </si>
  <si>
    <t>Matt Skura</t>
  </si>
  <si>
    <t>Matt Wile</t>
  </si>
  <si>
    <t>Matthew Adams</t>
  </si>
  <si>
    <t>Matthew Dayes</t>
  </si>
  <si>
    <t>Matthew Ioannidis</t>
  </si>
  <si>
    <t>Matthew Judon</t>
  </si>
  <si>
    <t>Matthew Slater</t>
  </si>
  <si>
    <t>Matthew Stafford</t>
  </si>
  <si>
    <t>Matthew Thomas</t>
  </si>
  <si>
    <t>Matthias Farley</t>
  </si>
  <si>
    <t>Maurice Alexander</t>
  </si>
  <si>
    <t>Maurice Canady</t>
  </si>
  <si>
    <t>Maurice Harris</t>
  </si>
  <si>
    <t>Maurice Hurst</t>
  </si>
  <si>
    <t>Maurice Smith</t>
  </si>
  <si>
    <t>Maurkice Pouncey</t>
  </si>
  <si>
    <t>Maurquice Shakir</t>
  </si>
  <si>
    <t>Max Garcia</t>
  </si>
  <si>
    <t>Max Scharping</t>
  </si>
  <si>
    <t>Maxx Crosby</t>
  </si>
  <si>
    <t>Maxx Williams</t>
  </si>
  <si>
    <t>Mecole Hardman</t>
  </si>
  <si>
    <t>Melvin Gordon III</t>
  </si>
  <si>
    <t>Melvin Ingram III</t>
  </si>
  <si>
    <t>Micah Hyde</t>
  </si>
  <si>
    <t>Micah Kiser</t>
  </si>
  <si>
    <t>Michael Badgley</t>
  </si>
  <si>
    <t>Michael Bennett</t>
  </si>
  <si>
    <t>Michael Brockers</t>
  </si>
  <si>
    <t>Michael Burton</t>
  </si>
  <si>
    <t>Michael Davis</t>
  </si>
  <si>
    <t>Michael Deiter</t>
  </si>
  <si>
    <t>Michael Dickson</t>
  </si>
  <si>
    <t>Michael Dogbe</t>
  </si>
  <si>
    <t>Michael Dunn</t>
  </si>
  <si>
    <t>Michael Floyd</t>
  </si>
  <si>
    <t>Michael Gallup</t>
  </si>
  <si>
    <t>Michael Hughes</t>
  </si>
  <si>
    <t>Michael Jackson Sr</t>
  </si>
  <si>
    <t>Michael Jordan</t>
  </si>
  <si>
    <t>Michael Joseph</t>
  </si>
  <si>
    <t>Michael Ola</t>
  </si>
  <si>
    <t>Michael Palardy</t>
  </si>
  <si>
    <t>Michael Pierce</t>
  </si>
  <si>
    <t>Michael Roberts</t>
  </si>
  <si>
    <t>Michael Schofield III</t>
  </si>
  <si>
    <t>Michael Thomas</t>
  </si>
  <si>
    <t>Mike Boone</t>
  </si>
  <si>
    <t>Mike Daniels</t>
  </si>
  <si>
    <t>Mike Davis</t>
  </si>
  <si>
    <t>Mike Edwards</t>
  </si>
  <si>
    <t>Mike Evans</t>
  </si>
  <si>
    <t>Mike Ford</t>
  </si>
  <si>
    <t>Mike Gesicki</t>
  </si>
  <si>
    <t>Mike Glennon</t>
  </si>
  <si>
    <t>Mike Hilton</t>
  </si>
  <si>
    <t>Mike Hughes</t>
  </si>
  <si>
    <t>Mike Hull</t>
  </si>
  <si>
    <t>Mike Iupati</t>
  </si>
  <si>
    <t>Mike Liedtke</t>
  </si>
  <si>
    <t>Mike Love</t>
  </si>
  <si>
    <t>Mike McGlinchey</t>
  </si>
  <si>
    <t>Mike Pennel Jr</t>
  </si>
  <si>
    <t>Mike Person</t>
  </si>
  <si>
    <t>Mike Pouncey</t>
  </si>
  <si>
    <t>Mike Remmers</t>
  </si>
  <si>
    <t>Mike Thomas</t>
  </si>
  <si>
    <t>Mike Tyson</t>
  </si>
  <si>
    <t>Mike Weber</t>
  </si>
  <si>
    <t>Mike White</t>
  </si>
  <si>
    <t>Mike Williams</t>
  </si>
  <si>
    <t>Mike Windt</t>
  </si>
  <si>
    <t>Miles Boykin</t>
  </si>
  <si>
    <t>Miles Killebrew</t>
  </si>
  <si>
    <t>Miles Sanders</t>
  </si>
  <si>
    <t>Minkah Fitzpatrick</t>
  </si>
  <si>
    <t>Mitch Morse</t>
  </si>
  <si>
    <t>Mitch Wishnowsky</t>
  </si>
  <si>
    <t>Mitchell Loewen</t>
  </si>
  <si>
    <t>Mitchell Schwartz</t>
  </si>
  <si>
    <t>Mitchell Trubisky</t>
  </si>
  <si>
    <t>Mo Alie-Cox</t>
  </si>
  <si>
    <t>Mohamed Sanu Sr</t>
  </si>
  <si>
    <t>Montae Nicholson</t>
  </si>
  <si>
    <t>Montez Sweat</t>
  </si>
  <si>
    <t>Montravius Adams</t>
  </si>
  <si>
    <t>Montrel Meander</t>
  </si>
  <si>
    <t>Morgan Burnett</t>
  </si>
  <si>
    <t>Morgan Cox</t>
  </si>
  <si>
    <t>Morgan Fox</t>
  </si>
  <si>
    <t>Morgan Moses</t>
  </si>
  <si>
    <t>Moritz Boehringer</t>
  </si>
  <si>
    <t>Mychal Kendricks</t>
  </si>
  <si>
    <t>MyCole Pruitt</t>
  </si>
  <si>
    <t>Myles Garrett</t>
  </si>
  <si>
    <t>O'Leary</t>
  </si>
  <si>
    <t>Myles Gaskin</t>
  </si>
  <si>
    <t>Myles Jack</t>
  </si>
  <si>
    <t>N'Keal Harry</t>
  </si>
  <si>
    <t>Najee Goode</t>
  </si>
  <si>
    <t>Najee Toran</t>
  </si>
  <si>
    <t>Nasir Adderley</t>
  </si>
  <si>
    <t>Nate Davis</t>
  </si>
  <si>
    <t>Nate Ebner</t>
  </si>
  <si>
    <t>Nate Hairston</t>
  </si>
  <si>
    <t>Nate Orchard</t>
  </si>
  <si>
    <t>Nate Solder</t>
  </si>
  <si>
    <t>Nate Sudfeld</t>
  </si>
  <si>
    <t>Nathan Gerry</t>
  </si>
  <si>
    <t>Nathan Peterman</t>
  </si>
  <si>
    <t>Nathan Shepherd</t>
  </si>
  <si>
    <t>Nathan Stupar</t>
  </si>
  <si>
    <t>Natrell Jamerson</t>
  </si>
  <si>
    <t>Nazair Jones</t>
  </si>
  <si>
    <t>Ndamukong Suh</t>
  </si>
  <si>
    <t>Neal Sterling</t>
  </si>
  <si>
    <t>Neiko Thorpe</t>
  </si>
  <si>
    <t>Nelson Agholor</t>
  </si>
  <si>
    <t>Neville Hewitt</t>
  </si>
  <si>
    <t>Nevin Lawson</t>
  </si>
  <si>
    <t>Nicholas Morrow</t>
  </si>
  <si>
    <t>Nick Allegretti</t>
  </si>
  <si>
    <t>Nick Bawden</t>
  </si>
  <si>
    <t>Nick Bosa</t>
  </si>
  <si>
    <t>Nick Boyle</t>
  </si>
  <si>
    <t>Nick Chubb</t>
  </si>
  <si>
    <t>Nick DeLuca</t>
  </si>
  <si>
    <t>Nick Dzubnar</t>
  </si>
  <si>
    <t>Nick Easton</t>
  </si>
  <si>
    <t>Nick Fitzgerald</t>
  </si>
  <si>
    <t>O'Donnell</t>
  </si>
  <si>
    <t>Nick Foles</t>
  </si>
  <si>
    <t>O'Connor</t>
  </si>
  <si>
    <t>Nick Gates</t>
  </si>
  <si>
    <t>Nick Kwiatkoski</t>
  </si>
  <si>
    <t>Nick Martin</t>
  </si>
  <si>
    <t>Nick Mullens</t>
  </si>
  <si>
    <t>Nick Nelson</t>
  </si>
  <si>
    <t>Nick O'Leary</t>
  </si>
  <si>
    <t>Nick Scott</t>
  </si>
  <si>
    <t>Nick Sundberg</t>
  </si>
  <si>
    <t>Nick Vannett</t>
  </si>
  <si>
    <t>Nick Vigil</t>
  </si>
  <si>
    <t>Nick Williams</t>
  </si>
  <si>
    <t>Nickell Robey-Coleman</t>
  </si>
  <si>
    <t>Nico Falah</t>
  </si>
  <si>
    <t>Nigel Bradham</t>
  </si>
  <si>
    <t>Nigel Harris</t>
  </si>
  <si>
    <t>Niles Scott</t>
  </si>
  <si>
    <t>Noah Brown</t>
  </si>
  <si>
    <t>Noah Fant</t>
  </si>
  <si>
    <t>Noah Spence</t>
  </si>
  <si>
    <t>Nyheim Hines</t>
  </si>
  <si>
    <t>OJ Howard</t>
  </si>
  <si>
    <t>Obi Melifonwu</t>
  </si>
  <si>
    <t>Oday Aboushi</t>
  </si>
  <si>
    <t>Odell Beckham Jr</t>
  </si>
  <si>
    <t>Ogbonnia Okoronkwo</t>
  </si>
  <si>
    <t>Olabisi Johnson</t>
  </si>
  <si>
    <t>Olasunkanmi Adeniyi</t>
  </si>
  <si>
    <t>Olisaemeka Udoh</t>
  </si>
  <si>
    <t>Olivier Vernon</t>
  </si>
  <si>
    <t>Olsen Pierre</t>
  </si>
  <si>
    <t>Oren Burks</t>
  </si>
  <si>
    <t>Orion Stewart</t>
  </si>
  <si>
    <t>Orlando Brown Jr</t>
  </si>
  <si>
    <t>Orson Charles</t>
  </si>
  <si>
    <t>Oshane Ximines</t>
  </si>
  <si>
    <t>PJ Hall</t>
  </si>
  <si>
    <t>PJ Williams</t>
  </si>
  <si>
    <t>Pace Murphy</t>
  </si>
  <si>
    <t>Parris Campbell</t>
  </si>
  <si>
    <t>Parry Nickerson</t>
  </si>
  <si>
    <t>Pat Elflein</t>
  </si>
  <si>
    <t>Pat O'Connor</t>
  </si>
  <si>
    <t>Pat O'Donnell</t>
  </si>
  <si>
    <t>Patrick Afriyie</t>
  </si>
  <si>
    <t>Patrick Chung</t>
  </si>
  <si>
    <t>Patrick DiMarco</t>
  </si>
  <si>
    <t>Patrick Mahomes</t>
  </si>
  <si>
    <t>Patrick Morris</t>
  </si>
  <si>
    <t>Patrick Onwuasor</t>
  </si>
  <si>
    <t>Patrick Peterson</t>
  </si>
  <si>
    <t>Patrick Ricard</t>
  </si>
  <si>
    <t>Patrick Robinson</t>
  </si>
  <si>
    <t>Patrick Scales</t>
  </si>
  <si>
    <t>Paul Adams</t>
  </si>
  <si>
    <t>Paul Butler</t>
  </si>
  <si>
    <t>Paul Perkins</t>
  </si>
  <si>
    <t>Paul Richardson Jr</t>
  </si>
  <si>
    <t>Paul Worrilow</t>
  </si>
  <si>
    <t>Paxton Lynch</t>
  </si>
  <si>
    <t>Pernell McPhee</t>
  </si>
  <si>
    <t>Pete Robertson</t>
  </si>
  <si>
    <t>Peter Kalambayi</t>
  </si>
  <si>
    <t>Peyton Barber</t>
  </si>
  <si>
    <t>Pharaoh Brown</t>
  </si>
  <si>
    <t>Pharoh Cooper</t>
  </si>
  <si>
    <t>Phil Haynes</t>
  </si>
  <si>
    <t>Philip Rivers</t>
  </si>
  <si>
    <t>Phillip Dorsett</t>
  </si>
  <si>
    <t>Phillip Gaines</t>
  </si>
  <si>
    <t>Phillip Lindsay</t>
  </si>
  <si>
    <t>Phillip Walker</t>
  </si>
  <si>
    <t>Pierre Desir</t>
  </si>
  <si>
    <t>Pita Taumoepenu</t>
  </si>
  <si>
    <t>PJ Johnson</t>
  </si>
  <si>
    <t>Poona Ford</t>
  </si>
  <si>
    <t>Preston Brown</t>
  </si>
  <si>
    <t>Preston Smith</t>
  </si>
  <si>
    <t>Prince Amukamara</t>
  </si>
  <si>
    <t>Qadree Ollison</t>
  </si>
  <si>
    <t>Quadree Henderson</t>
  </si>
  <si>
    <t>Quandre Diggs</t>
  </si>
  <si>
    <t>Quentin Poling</t>
  </si>
  <si>
    <t>Quenton Meeks</t>
  </si>
  <si>
    <t>Quenton Nelson</t>
  </si>
  <si>
    <t>Quin Blanding</t>
  </si>
  <si>
    <t>Quincy Adeboyejo</t>
  </si>
  <si>
    <t>Quincy Enunwa</t>
  </si>
  <si>
    <t>Quincy Williams</t>
  </si>
  <si>
    <t>Quincy Wilson</t>
  </si>
  <si>
    <t>Quinnen Williams</t>
  </si>
  <si>
    <t>Quinton Bell</t>
  </si>
  <si>
    <t>Quinton Dunbar</t>
  </si>
  <si>
    <t>Quinton Flowers</t>
  </si>
  <si>
    <t>Ra'Shede</t>
  </si>
  <si>
    <t>Quinton Jefferson</t>
  </si>
  <si>
    <t>Quinton Spain</t>
  </si>
  <si>
    <t>RJ Prince</t>
  </si>
  <si>
    <t>Ra'Shede Hageman</t>
  </si>
  <si>
    <t>Raekwon McMillan</t>
  </si>
  <si>
    <t>Rafael Bush</t>
  </si>
  <si>
    <t>Raheem Mostert</t>
  </si>
  <si>
    <t>Rakeem Nunez-Roches</t>
  </si>
  <si>
    <t>Ramik Wilson</t>
  </si>
  <si>
    <t>Ramon Foster</t>
  </si>
  <si>
    <t>Ramon Richards</t>
  </si>
  <si>
    <t>Randall Cobb</t>
  </si>
  <si>
    <t>Randy Bullock</t>
  </si>
  <si>
    <t>Randy Gregory</t>
  </si>
  <si>
    <t>Rashaad Coward</t>
  </si>
  <si>
    <t>Rashaad Penny</t>
  </si>
  <si>
    <t>Rashaan Evans</t>
  </si>
  <si>
    <t>Rashaan Gaulden</t>
  </si>
  <si>
    <t>Rashaan Melvin</t>
  </si>
  <si>
    <t>Rashad Fenton</t>
  </si>
  <si>
    <t>Rashad Ross</t>
  </si>
  <si>
    <t>Rashan Gary</t>
  </si>
  <si>
    <t>Rashard Fant</t>
  </si>
  <si>
    <t>Rashard Higgins</t>
  </si>
  <si>
    <t>Rasheem Green</t>
  </si>
  <si>
    <t>Rashod Hill</t>
  </si>
  <si>
    <t>Rasul Douglas</t>
  </si>
  <si>
    <t>Raven Greene</t>
  </si>
  <si>
    <t>Ray-Ray Armstrong</t>
  </si>
  <si>
    <t>Ray-Ray McCloud III</t>
  </si>
  <si>
    <t>Rayshawn Jenkins</t>
  </si>
  <si>
    <t>Reece Fountain</t>
  </si>
  <si>
    <t>Rees Odhiambo</t>
  </si>
  <si>
    <t>Reggie Davis</t>
  </si>
  <si>
    <t>Reggie Gilbert</t>
  </si>
  <si>
    <t>Reggie Ragland</t>
  </si>
  <si>
    <t>Reid Ferguson</t>
  </si>
  <si>
    <t>Renell Wren</t>
  </si>
  <si>
    <t>Reshad Jones</t>
  </si>
  <si>
    <t>Reshard Cliett</t>
  </si>
  <si>
    <t>Reuben Foster</t>
  </si>
  <si>
    <t>Rex Burkhead</t>
  </si>
  <si>
    <t>Rhett Ellison</t>
  </si>
  <si>
    <t>Ricardo Allen</t>
  </si>
  <si>
    <t>Ricardo Louis</t>
  </si>
  <si>
    <t>Richard Rodgers</t>
  </si>
  <si>
    <t>Richard Sherman</t>
  </si>
  <si>
    <t>Richie Incognito</t>
  </si>
  <si>
    <t>Richie James Jr</t>
  </si>
  <si>
    <t>Rick Leonard</t>
  </si>
  <si>
    <t>Rick Lovato</t>
  </si>
  <si>
    <t>Rick Wagner</t>
  </si>
  <si>
    <t>Ricky Ortiz</t>
  </si>
  <si>
    <t>Ricky Seals-Jones</t>
  </si>
  <si>
    <t>Rico Gafford</t>
  </si>
  <si>
    <t>Rico Gathers</t>
  </si>
  <si>
    <t>Rigoberto Sanchez</t>
  </si>
  <si>
    <t>Riley Bullough</t>
  </si>
  <si>
    <t>Riley Dixon</t>
  </si>
  <si>
    <t>Riley Reiff</t>
  </si>
  <si>
    <t>Riley Ridley</t>
  </si>
  <si>
    <t>River Cracraft</t>
  </si>
  <si>
    <t>RJ McIntosh</t>
  </si>
  <si>
    <t>Rob Havenstein</t>
  </si>
  <si>
    <t>Robbie Gould</t>
  </si>
  <si>
    <t>Robby Anderson</t>
  </si>
  <si>
    <t>Robert Alford</t>
  </si>
  <si>
    <t>Robert Davis</t>
  </si>
  <si>
    <t>Robert Foster</t>
  </si>
  <si>
    <t>O'Malley</t>
  </si>
  <si>
    <t>Robert Griffin III</t>
  </si>
  <si>
    <t>Robert Jackson</t>
  </si>
  <si>
    <t>Robert Nkemdiche</t>
  </si>
  <si>
    <t>Robert Quinn</t>
  </si>
  <si>
    <t>Robert Spillane</t>
  </si>
  <si>
    <t>Robert Tonyan</t>
  </si>
  <si>
    <t>Robert Woods</t>
  </si>
  <si>
    <t>Roc Thomas</t>
  </si>
  <si>
    <t>Rock Ya-Sin</t>
  </si>
  <si>
    <t>Rod Smith</t>
  </si>
  <si>
    <t>Rod Taylor</t>
  </si>
  <si>
    <t>Roderick Johnson</t>
  </si>
  <si>
    <t>Rodger Saffold III</t>
  </si>
  <si>
    <t>Rodney Anderson</t>
  </si>
  <si>
    <t>Rodney Gunter</t>
  </si>
  <si>
    <t>Rodney Hudson</t>
  </si>
  <si>
    <t>Rodney McLeod Jr</t>
  </si>
  <si>
    <t>Rolan Milligan</t>
  </si>
  <si>
    <t>Romeo Okwara</t>
  </si>
  <si>
    <t>Ron Leary</t>
  </si>
  <si>
    <t>Ronald Blair III</t>
  </si>
  <si>
    <t>Ronald Darby</t>
  </si>
  <si>
    <t>Ronald Jones II</t>
  </si>
  <si>
    <t>Ronnie Harrison</t>
  </si>
  <si>
    <t>Ronnie Stanley</t>
  </si>
  <si>
    <t>Roosevelt Nix</t>
  </si>
  <si>
    <t>Roquan Smith</t>
  </si>
  <si>
    <t>Ross Cockrell</t>
  </si>
  <si>
    <t>Ross Pierschbacher</t>
  </si>
  <si>
    <t>Roy Robertson-Harris</t>
  </si>
  <si>
    <t>Royce Freeman</t>
  </si>
  <si>
    <t>Rudy Ford</t>
  </si>
  <si>
    <t>Russell Bodine</t>
  </si>
  <si>
    <t>Russell Gage Jr</t>
  </si>
  <si>
    <t>Russell Okung</t>
  </si>
  <si>
    <t>Russell Shepard</t>
  </si>
  <si>
    <t>Russell Wilson</t>
  </si>
  <si>
    <t>Ryan Allen</t>
  </si>
  <si>
    <t>Ryan Anderson</t>
  </si>
  <si>
    <t>Ryan Connelly</t>
  </si>
  <si>
    <t>Ryan Finley</t>
  </si>
  <si>
    <t>Ryan Fitzpatrick</t>
  </si>
  <si>
    <t>Ryan Glasgow</t>
  </si>
  <si>
    <t>Ryan Grant</t>
  </si>
  <si>
    <t>Ryan Griffin</t>
  </si>
  <si>
    <t>Ryan Groy</t>
  </si>
  <si>
    <t>Ryan Hunter</t>
  </si>
  <si>
    <t>Ryan Izzo</t>
  </si>
  <si>
    <t>Ryan Jensen</t>
  </si>
  <si>
    <t>Ryan Kelly</t>
  </si>
  <si>
    <t>Ryan Kerrigan</t>
  </si>
  <si>
    <t>Ryan Lewis</t>
  </si>
  <si>
    <t>Ryan Nall</t>
  </si>
  <si>
    <t>Ryan Neal</t>
  </si>
  <si>
    <t>Ryan Pope</t>
  </si>
  <si>
    <t>Ryan Ramczyk</t>
  </si>
  <si>
    <t>Ryan Shazier</t>
  </si>
  <si>
    <t>Ryan Smith</t>
  </si>
  <si>
    <t>Ryan Succop</t>
  </si>
  <si>
    <t>Ryan Switzer</t>
  </si>
  <si>
    <t>Ryan Tannehill</t>
  </si>
  <si>
    <t>Ryquell Armstead</t>
  </si>
  <si>
    <t>Saeed Blacknall</t>
  </si>
  <si>
    <t>Saivion Smith</t>
  </si>
  <si>
    <t>Sam Beal</t>
  </si>
  <si>
    <t>Sam Darnold</t>
  </si>
  <si>
    <t>Sam Ficken</t>
  </si>
  <si>
    <t>Sam Hubbard</t>
  </si>
  <si>
    <t>Sam Jones</t>
  </si>
  <si>
    <t>Sam Koch</t>
  </si>
  <si>
    <t>Sam Martin</t>
  </si>
  <si>
    <t>Sam Tevi</t>
  </si>
  <si>
    <t>Samaje Perine</t>
  </si>
  <si>
    <t>Sammy Watkins</t>
  </si>
  <si>
    <t>Samson Ebukam</t>
  </si>
  <si>
    <t>Saquan Hampton</t>
  </si>
  <si>
    <t>Saquon Barkley</t>
  </si>
  <si>
    <t>Scott Miller</t>
  </si>
  <si>
    <t>Scott Quessenberry</t>
  </si>
  <si>
    <t>Scott Simonson</t>
  </si>
  <si>
    <t>Sean Chandler</t>
  </si>
  <si>
    <t>Sean Culkin</t>
  </si>
  <si>
    <t>Sean Davis</t>
  </si>
  <si>
    <t>Sean Harlow</t>
  </si>
  <si>
    <t>Sean Lee</t>
  </si>
  <si>
    <t>Sean Mannion</t>
  </si>
  <si>
    <t>Sean Murphy-Bunting</t>
  </si>
  <si>
    <t>Seantrel Henderson</t>
  </si>
  <si>
    <t>Sebastian Joseph-Day</t>
  </si>
  <si>
    <t>Senio Kelemete</t>
  </si>
  <si>
    <t>Seth DeValve</t>
  </si>
  <si>
    <t>Seth Roberts</t>
  </si>
  <si>
    <t>Shalom Luani</t>
  </si>
  <si>
    <t>Shamar Stephen</t>
  </si>
  <si>
    <t>Shamarko Thomas</t>
  </si>
  <si>
    <t>Shane Ray</t>
  </si>
  <si>
    <t>Shaq Calhoun</t>
  </si>
  <si>
    <t>Shaq Lawson</t>
  </si>
  <si>
    <t>Shaq Mason</t>
  </si>
  <si>
    <t>Shaq Thompson</t>
  </si>
  <si>
    <t>Shaquem Griffin</t>
  </si>
  <si>
    <t>Shaquil Barrett</t>
  </si>
  <si>
    <t>Shaquill Griffin</t>
  </si>
  <si>
    <t>Sen'Derrick</t>
  </si>
  <si>
    <t>Shareef Miller</t>
  </si>
  <si>
    <t>Sharif Finch</t>
  </si>
  <si>
    <t>Sharrod Neasman</t>
  </si>
  <si>
    <t>Shaun Dion Hamilton</t>
  </si>
  <si>
    <t>Shaun Wilson</t>
  </si>
  <si>
    <t>Shawn Williams</t>
  </si>
  <si>
    <t>Shelby Harris</t>
  </si>
  <si>
    <t>Sheldon Day</t>
  </si>
  <si>
    <t>Sheldon Rankins</t>
  </si>
  <si>
    <t>Sheldon Richardson</t>
  </si>
  <si>
    <t>Sheldrick Redwine</t>
  </si>
  <si>
    <t>Shelton Gibson</t>
  </si>
  <si>
    <t>Sherrick McManis</t>
  </si>
  <si>
    <t>Shilique Calhoun</t>
  </si>
  <si>
    <t>Shon Coleman</t>
  </si>
  <si>
    <t>Sidney Jones IV</t>
  </si>
  <si>
    <t>Simeon Thomas</t>
  </si>
  <si>
    <t>Simmie Cobbs Jr</t>
  </si>
  <si>
    <t>Sione Takitaki</t>
  </si>
  <si>
    <t>Siran Neal</t>
  </si>
  <si>
    <t>Tu'Ikolovatu</t>
  </si>
  <si>
    <t>Skai Moore</t>
  </si>
  <si>
    <t>Solomon Thomas</t>
  </si>
  <si>
    <t>Su'a</t>
  </si>
  <si>
    <t>Sony Michel</t>
  </si>
  <si>
    <t>Spencer Drango</t>
  </si>
  <si>
    <t>Spencer Long</t>
  </si>
  <si>
    <t>Spencer Pulley</t>
  </si>
  <si>
    <t>Spencer Ware</t>
  </si>
  <si>
    <t>Stanley Jean-Baptiste</t>
  </si>
  <si>
    <t>Stanley Morgan Jr</t>
  </si>
  <si>
    <t>Star Lotulelei</t>
  </si>
  <si>
    <t>Stefen Wisniewski</t>
  </si>
  <si>
    <t>Stefon Diggs</t>
  </si>
  <si>
    <t>Stephen Anderson</t>
  </si>
  <si>
    <t>Stephen Denmark</t>
  </si>
  <si>
    <t>Stephen Gostkowski</t>
  </si>
  <si>
    <t>Stephen Hauschka</t>
  </si>
  <si>
    <t>Stephen Weatherly</t>
  </si>
  <si>
    <t>Stephon Gilmore</t>
  </si>
  <si>
    <t>Stephon Tuitt</t>
  </si>
  <si>
    <t>Sterling Shepard</t>
  </si>
  <si>
    <t>Steve Ishmael</t>
  </si>
  <si>
    <t>Steve Longa</t>
  </si>
  <si>
    <t>Steve McLendon</t>
  </si>
  <si>
    <t>Steven Means</t>
  </si>
  <si>
    <t>Steven Mitchell Jr</t>
  </si>
  <si>
    <t>Steven Moore</t>
  </si>
  <si>
    <t>Steven Nelson</t>
  </si>
  <si>
    <t>Steven Parker</t>
  </si>
  <si>
    <t>Storm Norton</t>
  </si>
  <si>
    <t>Su'a Cravens</t>
  </si>
  <si>
    <t>Sutton Smith</t>
  </si>
  <si>
    <t>Sylvester Williams</t>
  </si>
  <si>
    <t>TJ Carrie</t>
  </si>
  <si>
    <t>TJ Clemmings</t>
  </si>
  <si>
    <t>TJ Hockenson</t>
  </si>
  <si>
    <t>TJ Logan</t>
  </si>
  <si>
    <t>TJ McDonald</t>
  </si>
  <si>
    <t>TJ Watt</t>
  </si>
  <si>
    <t>TJ Yeldon</t>
  </si>
  <si>
    <t>TY Hilton</t>
  </si>
  <si>
    <t>TY McGill</t>
  </si>
  <si>
    <t>Taco Charlton</t>
  </si>
  <si>
    <t>Tae Davis</t>
  </si>
  <si>
    <t>Tahir Whitehead</t>
  </si>
  <si>
    <t>Taiwan Jones</t>
  </si>
  <si>
    <t>Tajae Sharpe</t>
  </si>
  <si>
    <t>Takkarist McKinley</t>
  </si>
  <si>
    <t>Tank Carradine</t>
  </si>
  <si>
    <t>Tanner Gentry</t>
  </si>
  <si>
    <t>Tanner Hudson</t>
  </si>
  <si>
    <t>Tanner Lee</t>
  </si>
  <si>
    <t>Tanner Vallejo</t>
  </si>
  <si>
    <t>Tanoh Kpassagnon</t>
  </si>
  <si>
    <t>Tanzel Smart</t>
  </si>
  <si>
    <t>Taquan Mizzell Sr</t>
  </si>
  <si>
    <t>Tarell Basham</t>
  </si>
  <si>
    <t>Tarik Cohen</t>
  </si>
  <si>
    <t>Taron Johnson</t>
  </si>
  <si>
    <t>Tarvarius Moore</t>
  </si>
  <si>
    <t>Tashaun Gipson Sr</t>
  </si>
  <si>
    <t>Tashawn Bower</t>
  </si>
  <si>
    <t>Taven Bryan</t>
  </si>
  <si>
    <t>Taveze Calhoun</t>
  </si>
  <si>
    <t>Tavierre Thomas</t>
  </si>
  <si>
    <t>Tavon Austin</t>
  </si>
  <si>
    <t>Tavon Wilson Sr</t>
  </si>
  <si>
    <t>Tavon Young</t>
  </si>
  <si>
    <t>Taylor Decker</t>
  </si>
  <si>
    <t>Taylor Gabriel</t>
  </si>
  <si>
    <t>Taylor Hearn</t>
  </si>
  <si>
    <t>Taylor Heinicke</t>
  </si>
  <si>
    <t>Taylor Lewan</t>
  </si>
  <si>
    <t>Taylor Moton</t>
  </si>
  <si>
    <t>Taylor Rapp</t>
  </si>
  <si>
    <t>Taylor Stallworth</t>
  </si>
  <si>
    <t>Taysom Hill</t>
  </si>
  <si>
    <t>Taywan Taylor</t>
  </si>
  <si>
    <t>Ted Ginn Jr</t>
  </si>
  <si>
    <t>Ted Karras</t>
  </si>
  <si>
    <t>Ted Larsen</t>
  </si>
  <si>
    <t>Teddy Bridgewater</t>
  </si>
  <si>
    <t>Tedric Thompson</t>
  </si>
  <si>
    <t>Teez Tabor</t>
  </si>
  <si>
    <t>Tegray Scales</t>
  </si>
  <si>
    <t>Telvin Smith</t>
  </si>
  <si>
    <t>Temarrick Hemingway</t>
  </si>
  <si>
    <t>Terrance Mitchell</t>
  </si>
  <si>
    <t>Terrell Edmunds</t>
  </si>
  <si>
    <t>Terrell McClain</t>
  </si>
  <si>
    <t>Terrell Suggs</t>
  </si>
  <si>
    <t>Terrelle Pryor Sr</t>
  </si>
  <si>
    <t>Terrence Brooks</t>
  </si>
  <si>
    <t>Terron Armstead</t>
  </si>
  <si>
    <t>Terry Beckner Jr</t>
  </si>
  <si>
    <t>Terry Godwin II</t>
  </si>
  <si>
    <t>Terry McLaurin</t>
  </si>
  <si>
    <t>Tevin Coleman</t>
  </si>
  <si>
    <t>Theo Riddick</t>
  </si>
  <si>
    <t>Thomas Davis Sr</t>
  </si>
  <si>
    <t>Thomas Hennessy</t>
  </si>
  <si>
    <t>Thomas Morstead</t>
  </si>
  <si>
    <t>Thomas Rawls</t>
  </si>
  <si>
    <t>Tigie Sankoh</t>
  </si>
  <si>
    <t>Tim Boyle</t>
  </si>
  <si>
    <t>Tim Harris</t>
  </si>
  <si>
    <t>Tim Jernigan</t>
  </si>
  <si>
    <t>Tim Patrick</t>
  </si>
  <si>
    <t>Tim Settle</t>
  </si>
  <si>
    <t>Tim White</t>
  </si>
  <si>
    <t>Tim Williams</t>
  </si>
  <si>
    <t>Timon Parris</t>
  </si>
  <si>
    <t>Todd Davis</t>
  </si>
  <si>
    <t>Todd Gurley II</t>
  </si>
  <si>
    <t>Tom Brady</t>
  </si>
  <si>
    <t>Tom Compton</t>
  </si>
  <si>
    <t>Tom Savage</t>
  </si>
  <si>
    <t>Tommy Sweeney</t>
  </si>
  <si>
    <t>Tommylee Lewis</t>
  </si>
  <si>
    <t>Tony Bergstrom</t>
  </si>
  <si>
    <t>Tony Brown</t>
  </si>
  <si>
    <t>Tony Jefferson</t>
  </si>
  <si>
    <t>Tony Lippett</t>
  </si>
  <si>
    <t>Tony McRae</t>
  </si>
  <si>
    <t>Tony Pollard</t>
  </si>
  <si>
    <t>Torrey Smith</t>
  </si>
  <si>
    <t>Torry McTyer</t>
  </si>
  <si>
    <t>Tra Carson</t>
  </si>
  <si>
    <t>Trace McSorley</t>
  </si>
  <si>
    <t>Tracy Walker</t>
  </si>
  <si>
    <t>Trae Waynes</t>
  </si>
  <si>
    <t>Trai Turner</t>
  </si>
  <si>
    <t>Tramaine Brock Sr</t>
  </si>
  <si>
    <t>Tramon Williams</t>
  </si>
  <si>
    <t>Travin Dural</t>
  </si>
  <si>
    <t>Travin Howard</t>
  </si>
  <si>
    <t>Travis Benjamin</t>
  </si>
  <si>
    <t>Tre'Davious</t>
  </si>
  <si>
    <t>Travis Frederick</t>
  </si>
  <si>
    <t>Travis Fulgham</t>
  </si>
  <si>
    <t>Tre'quan</t>
  </si>
  <si>
    <t>Travis Homer</t>
  </si>
  <si>
    <t>Tre'von</t>
  </si>
  <si>
    <t>Travis Kelce</t>
  </si>
  <si>
    <t>Tray Matthews</t>
  </si>
  <si>
    <t>Trayveon Williams</t>
  </si>
  <si>
    <t>Trayvon Henderson</t>
  </si>
  <si>
    <t>Trayvon Mullen</t>
  </si>
  <si>
    <t>Tre Flowers</t>
  </si>
  <si>
    <t>Tre Herndon</t>
  </si>
  <si>
    <t>Tre Lamar III</t>
  </si>
  <si>
    <t>Tre Sullivan</t>
  </si>
  <si>
    <t>Tre'Davious White</t>
  </si>
  <si>
    <t>Tre'Quan Smith</t>
  </si>
  <si>
    <t>Tre'von Johnson</t>
  </si>
  <si>
    <t>Tremaine Edmunds</t>
  </si>
  <si>
    <t>Tremon Smith</t>
  </si>
  <si>
    <t>Trent Brown</t>
  </si>
  <si>
    <t>Trent Murphy</t>
  </si>
  <si>
    <t>Trent Sherfield</t>
  </si>
  <si>
    <t>Trent Taylor</t>
  </si>
  <si>
    <t>Trent Williams</t>
  </si>
  <si>
    <t>Trenton Cannon</t>
  </si>
  <si>
    <t>Trenton Scott</t>
  </si>
  <si>
    <t>Tress Way</t>
  </si>
  <si>
    <t>Treston DeCoud</t>
  </si>
  <si>
    <t>Trevon Coley</t>
  </si>
  <si>
    <t>Trevon Wesco</t>
  </si>
  <si>
    <t>Trevon Young</t>
  </si>
  <si>
    <t>Trevor Daniel</t>
  </si>
  <si>
    <t>Trevor Davis</t>
  </si>
  <si>
    <t>Trevor Siemian</t>
  </si>
  <si>
    <t>Trevor Williams</t>
  </si>
  <si>
    <t>Trey Burton</t>
  </si>
  <si>
    <t>Trey Edmunds</t>
  </si>
  <si>
    <t>Trey Flowers</t>
  </si>
  <si>
    <t>Trey Griffey</t>
  </si>
  <si>
    <t>Trey Hendrickson</t>
  </si>
  <si>
    <t>Trey Hopkins</t>
  </si>
  <si>
    <t>Trey Marshall</t>
  </si>
  <si>
    <t>Trey Pipkins III</t>
  </si>
  <si>
    <t>Trey Quinn</t>
  </si>
  <si>
    <t>Treyvon Hester</t>
  </si>
  <si>
    <t>Troy Apke</t>
  </si>
  <si>
    <t>Troy Fumagalli</t>
  </si>
  <si>
    <t>Troy Hill</t>
  </si>
  <si>
    <t>Troymaine Pope</t>
  </si>
  <si>
    <t>Trumaine Johnson</t>
  </si>
  <si>
    <t>Trysten Hill</t>
  </si>
  <si>
    <t>Ty Johnson</t>
  </si>
  <si>
    <t>Ty Long</t>
  </si>
  <si>
    <t>Ty Montgomery</t>
  </si>
  <si>
    <t>Ty Nsekhe</t>
  </si>
  <si>
    <t>Ty Sambrailo</t>
  </si>
  <si>
    <t>Ty Summers</t>
  </si>
  <si>
    <t>Tyeler Davison</t>
  </si>
  <si>
    <t>Tyler Boyd</t>
  </si>
  <si>
    <t>Tyler Bray</t>
  </si>
  <si>
    <t>Tyler Catalina</t>
  </si>
  <si>
    <t>Tyler Conklin</t>
  </si>
  <si>
    <t>Tyler Eifert</t>
  </si>
  <si>
    <t>Tyler Ervin</t>
  </si>
  <si>
    <t>Tyler Higbee</t>
  </si>
  <si>
    <t>Tyler Kroft</t>
  </si>
  <si>
    <t>Tyler Lancaster</t>
  </si>
  <si>
    <t>Tyler Larsen</t>
  </si>
  <si>
    <t>Tyler Lockett</t>
  </si>
  <si>
    <t>Tyler Marz</t>
  </si>
  <si>
    <t>Tyler Matakevich</t>
  </si>
  <si>
    <t>Tyler Ott</t>
  </si>
  <si>
    <t>Tyler Shatley</t>
  </si>
  <si>
    <t>Tyquan Lewis</t>
  </si>
  <si>
    <t>Tyrann Mathieu</t>
  </si>
  <si>
    <t>Tyre Brady</t>
  </si>
  <si>
    <t>Tyree Jackson</t>
  </si>
  <si>
    <t>Tyree Robinson</t>
  </si>
  <si>
    <t>Tyreek Burwell</t>
  </si>
  <si>
    <t>Tyreek Hill</t>
  </si>
  <si>
    <t>Tyrell Adams</t>
  </si>
  <si>
    <t>Tyrell Crosby</t>
  </si>
  <si>
    <t>Tyrell Williams</t>
  </si>
  <si>
    <t>Tyrod Taylor</t>
  </si>
  <si>
    <t>Tyron Smith</t>
  </si>
  <si>
    <t>Tyrone Crawford</t>
  </si>
  <si>
    <t>Tyrone Holmes</t>
  </si>
  <si>
    <t>Tyrone Swoopes</t>
  </si>
  <si>
    <t>Tyson Alualu</t>
  </si>
  <si>
    <t>Tytus Howard</t>
  </si>
  <si>
    <t>Tyus Bowser</t>
  </si>
  <si>
    <t>Uchenna Nwosu</t>
  </si>
  <si>
    <t>Ufomba Kamalu</t>
  </si>
  <si>
    <t>Ugochukwu Amadi</t>
  </si>
  <si>
    <t>Ulrick John</t>
  </si>
  <si>
    <t>Ulysees Gilbert III</t>
  </si>
  <si>
    <t>Vance McDonald</t>
  </si>
  <si>
    <t>Vernon Butler Jr</t>
  </si>
  <si>
    <t>Vernon Davis</t>
  </si>
  <si>
    <t>Vernon Hargreaves III</t>
  </si>
  <si>
    <t>Vic Beasley Jr</t>
  </si>
  <si>
    <t>Victor Bolden Jr</t>
  </si>
  <si>
    <t>Victor Salako</t>
  </si>
  <si>
    <t>Vince Biegel</t>
  </si>
  <si>
    <t>Vince Mayle</t>
  </si>
  <si>
    <t>Vince Williams</t>
  </si>
  <si>
    <t>Vincent Taylor</t>
  </si>
  <si>
    <t>Vincent Valentine</t>
  </si>
  <si>
    <t>Vinny Curry</t>
  </si>
  <si>
    <t>Virgil Green</t>
  </si>
  <si>
    <t>Vita Vea</t>
  </si>
  <si>
    <t>Vitas Hrynkiewicz</t>
  </si>
  <si>
    <t>Vladimir Ducasse</t>
  </si>
  <si>
    <t>Von Miller</t>
  </si>
  <si>
    <t>Vonn Bell</t>
  </si>
  <si>
    <t>Vontarrius Dora</t>
  </si>
  <si>
    <t>Vontaze Burfict</t>
  </si>
  <si>
    <t>Vosean Joseph</t>
  </si>
  <si>
    <t>Vyncint Smith</t>
  </si>
  <si>
    <t>Walt Aikens</t>
  </si>
  <si>
    <t>Wayne Gallman Jr</t>
  </si>
  <si>
    <t>Wendell Smallwood</t>
  </si>
  <si>
    <t>Wes Horton</t>
  </si>
  <si>
    <t>Wes Martin</t>
  </si>
  <si>
    <t>Wes Schweitzer</t>
  </si>
  <si>
    <t>Wesley Woodyard</t>
  </si>
  <si>
    <t>Weston Richburg</t>
  </si>
  <si>
    <t>Whitney Mercilus</t>
  </si>
  <si>
    <t>Wil Lutz</t>
  </si>
  <si>
    <t>Will Clapp</t>
  </si>
  <si>
    <t>Su'a-Filo</t>
  </si>
  <si>
    <t>Will Dissly</t>
  </si>
  <si>
    <t>Will Fuller V</t>
  </si>
  <si>
    <t>Will Grier</t>
  </si>
  <si>
    <t>Will Harris</t>
  </si>
  <si>
    <t>Will Hernandez</t>
  </si>
  <si>
    <t>Will Holden</t>
  </si>
  <si>
    <t>Will Parks</t>
  </si>
  <si>
    <t>Za'Darius</t>
  </si>
  <si>
    <t>Will Redmond</t>
  </si>
  <si>
    <t>Will Richardson Jr</t>
  </si>
  <si>
    <t>Will Tye</t>
  </si>
  <si>
    <t>William Gholston</t>
  </si>
  <si>
    <t>William Jackson</t>
  </si>
  <si>
    <t>William Sweet</t>
  </si>
  <si>
    <t>Willie Beavers</t>
  </si>
  <si>
    <t>Willie Henry</t>
  </si>
  <si>
    <t>Willie Snead IV</t>
  </si>
  <si>
    <t>Woodrow Hamilton</t>
  </si>
  <si>
    <t>Wyatt Ray</t>
  </si>
  <si>
    <t>Wyatt Teller</t>
  </si>
  <si>
    <t>Xavien Howard</t>
  </si>
  <si>
    <t>Xavier Crawford</t>
  </si>
  <si>
    <t>Xavier Grimble</t>
  </si>
  <si>
    <t>Xavier Rhodes</t>
  </si>
  <si>
    <t>Xavier Su'a-Filo</t>
  </si>
  <si>
    <t>Xavier Williams</t>
  </si>
  <si>
    <t>Xavier Woods</t>
  </si>
  <si>
    <t>Xavier Woodson-Luster</t>
  </si>
  <si>
    <t>Yannick Ngakoue</t>
  </si>
  <si>
    <t>Yodny Cajuste</t>
  </si>
  <si>
    <t>Yosuah Nijman</t>
  </si>
  <si>
    <t>Za'Darius Smith</t>
  </si>
  <si>
    <t>Zac Kerin</t>
  </si>
  <si>
    <t>Zach Allen</t>
  </si>
  <si>
    <t>Zach Banner</t>
  </si>
  <si>
    <t>Zach Brown</t>
  </si>
  <si>
    <t>Zach Cunningham</t>
  </si>
  <si>
    <t>Zach Ertz</t>
  </si>
  <si>
    <t>Zach Fulton</t>
  </si>
  <si>
    <t>Zach Gentry</t>
  </si>
  <si>
    <t>Zach Kerr</t>
  </si>
  <si>
    <t>Zach Line</t>
  </si>
  <si>
    <t>Zach Pascal</t>
  </si>
  <si>
    <t>Zach Sieler</t>
  </si>
  <si>
    <t>Zach Sterup</t>
  </si>
  <si>
    <t>Zach Wood</t>
  </si>
  <si>
    <t>Zach Zenner</t>
  </si>
  <si>
    <t>Zack Bailey</t>
  </si>
  <si>
    <t>Zack Golditch</t>
  </si>
  <si>
    <t>Zack Martin</t>
  </si>
  <si>
    <t>Zaire Franklin</t>
  </si>
  <si>
    <t>A.J. Bouye</t>
  </si>
  <si>
    <t>A.J. Brown</t>
  </si>
  <si>
    <t>Zak DeOssie</t>
  </si>
  <si>
    <t>A.J. Cann</t>
  </si>
  <si>
    <t>A.J. Green</t>
  </si>
  <si>
    <t>A.J. Hendy</t>
  </si>
  <si>
    <t>Zane Gonzalez</t>
  </si>
  <si>
    <t>A.J. Howard</t>
  </si>
  <si>
    <t>A.J. Johnson</t>
  </si>
  <si>
    <t>Zay Jones</t>
  </si>
  <si>
    <t>A.J. Klein</t>
  </si>
  <si>
    <t>A.J. McCarron</t>
  </si>
  <si>
    <t>Zedrick Woods</t>
  </si>
  <si>
    <t>A.J. Moore</t>
  </si>
  <si>
    <t>A.Q. Shipley</t>
  </si>
  <si>
    <t>ARI</t>
  </si>
  <si>
    <t>LV</t>
  </si>
  <si>
    <t>B.J. Finney</t>
  </si>
  <si>
    <t>B.J. Goodson</t>
  </si>
  <si>
    <t>B.J. Hill</t>
  </si>
  <si>
    <t>B.W. Webb</t>
  </si>
  <si>
    <t>C.J. Anderson</t>
  </si>
  <si>
    <t>C.J. Beathard</t>
  </si>
  <si>
    <t>C.J. Goodwin</t>
  </si>
  <si>
    <t>C.J. Ham</t>
  </si>
  <si>
    <t>C.J. Mosley</t>
  </si>
  <si>
    <t>C.J. Prosise</t>
  </si>
  <si>
    <t>C.J. Reavis</t>
  </si>
  <si>
    <t>C.J. Uzomah</t>
  </si>
  <si>
    <t>D.J. Alexander</t>
  </si>
  <si>
    <t>D.J. Chark Jr</t>
  </si>
  <si>
    <t>D.J. Fluker</t>
  </si>
  <si>
    <t>D.J. Foster</t>
  </si>
  <si>
    <t>D.J. Hayden</t>
  </si>
  <si>
    <t>D.J. Humphries</t>
  </si>
  <si>
    <t>D.J. Jones</t>
  </si>
  <si>
    <t>D.J. Moore</t>
  </si>
  <si>
    <t>D.J. Reader</t>
  </si>
  <si>
    <t>D.J. Reed Jr</t>
  </si>
  <si>
    <t>D.J. Swearinger Sr</t>
  </si>
  <si>
    <t>E.J. Gaines</t>
  </si>
  <si>
    <t>E.J. Speed</t>
  </si>
  <si>
    <t>J.C. Hassenauer</t>
  </si>
  <si>
    <t>J.C. Tretter</t>
  </si>
  <si>
    <t>J.D. McKissic</t>
  </si>
  <si>
    <t>J.J. Arcega-Whiteside</t>
  </si>
  <si>
    <t>J.J. Jansen</t>
  </si>
  <si>
    <t>J.J. Jones</t>
  </si>
  <si>
    <t>J.J. Nelson</t>
  </si>
  <si>
    <t>J.J. Watt</t>
  </si>
  <si>
    <t>J.J. Wilcox</t>
  </si>
  <si>
    <t>J.R. Sweezy</t>
  </si>
  <si>
    <t>J.T. Barrett IV</t>
  </si>
  <si>
    <t>J.T. Gray</t>
  </si>
  <si>
    <t>J.T. Jones</t>
  </si>
  <si>
    <t>A.J.</t>
  </si>
  <si>
    <t>Los Angeles Chargers</t>
  </si>
  <si>
    <t>Buffalo Bills</t>
  </si>
  <si>
    <t>Jacksonville Jaguars</t>
  </si>
  <si>
    <t>Miami Dolphins</t>
  </si>
  <si>
    <t>New York Giants</t>
  </si>
  <si>
    <t>New Orleans Saints</t>
  </si>
  <si>
    <t>Cincinnati Bengals</t>
  </si>
  <si>
    <t>A.Q.</t>
  </si>
  <si>
    <t>Arizona Cardinals</t>
  </si>
  <si>
    <t>Detroit Lions</t>
  </si>
  <si>
    <t>Tennessee Titans</t>
  </si>
  <si>
    <t>Green Bay Packers</t>
  </si>
  <si>
    <t>San Francisco 49ers</t>
  </si>
  <si>
    <t>Los Angeles Rams</t>
  </si>
  <si>
    <t>Houston Texans</t>
  </si>
  <si>
    <t>Chicago Bears</t>
  </si>
  <si>
    <t>Tampa Bay Buccaneers</t>
  </si>
  <si>
    <t>Indianapolis Colts</t>
  </si>
  <si>
    <t>New England Patriots</t>
  </si>
  <si>
    <t>Denver Broncos</t>
  </si>
  <si>
    <t>Free Agents</t>
  </si>
  <si>
    <t>Minnesota Vikings</t>
  </si>
  <si>
    <t>Jalen Ramsey</t>
  </si>
  <si>
    <t>Baltimore Ravens</t>
  </si>
  <si>
    <t>Pittsburgh Steelers</t>
  </si>
  <si>
    <t>Carolina Panthers</t>
  </si>
  <si>
    <t>Washington Redskins</t>
  </si>
  <si>
    <t>Seattle Seahawks</t>
  </si>
  <si>
    <t>Atlanta Falcons</t>
  </si>
  <si>
    <t>Kansas City Chiefs</t>
  </si>
  <si>
    <t>Dallas Cowboys</t>
  </si>
  <si>
    <t>Philadelphia Eagles</t>
  </si>
  <si>
    <t>Oakland Raiders</t>
  </si>
  <si>
    <t>Cleveland Browns</t>
  </si>
  <si>
    <t>New York Jets</t>
  </si>
  <si>
    <t>B.J.</t>
  </si>
  <si>
    <t>C.J.</t>
  </si>
  <si>
    <t>K.J. Brent</t>
  </si>
  <si>
    <t>K.J. Wright</t>
  </si>
  <si>
    <t>D.J.</t>
  </si>
  <si>
    <t>L.J. Collier</t>
  </si>
  <si>
    <t>L.J. Fort</t>
  </si>
  <si>
    <t>L.P. LaDouceur</t>
  </si>
  <si>
    <t>M.J. Stewart Jr</t>
  </si>
  <si>
    <t>E.J.</t>
  </si>
  <si>
    <t>O.J. Howard</t>
  </si>
  <si>
    <t>P.J. Hall</t>
  </si>
  <si>
    <t>P.J. Williams</t>
  </si>
  <si>
    <t>J.C.</t>
  </si>
  <si>
    <t>J.D.</t>
  </si>
  <si>
    <t>J.J.</t>
  </si>
  <si>
    <t>J.R.</t>
  </si>
  <si>
    <t>Ramsey</t>
  </si>
  <si>
    <t>R.J. Prince</t>
  </si>
  <si>
    <t>T.J. Carrie</t>
  </si>
  <si>
    <t>T.J. Clemmings</t>
  </si>
  <si>
    <t>T.J. Hockenson</t>
  </si>
  <si>
    <t>T.J. Logan</t>
  </si>
  <si>
    <t>T.J. McDonald</t>
  </si>
  <si>
    <t>T.J. Watt</t>
  </si>
  <si>
    <t>T.J. Yeldon</t>
  </si>
  <si>
    <t>T.Y. Hilton</t>
  </si>
  <si>
    <t>T.Y. McGill</t>
  </si>
  <si>
    <t>K.D.</t>
  </si>
  <si>
    <t>K.J.</t>
  </si>
  <si>
    <t>L.J.</t>
  </si>
  <si>
    <t>L.T.</t>
  </si>
  <si>
    <t>M.J.</t>
  </si>
  <si>
    <t>Broncos</t>
  </si>
  <si>
    <t>Jaguars</t>
  </si>
  <si>
    <t>Rams</t>
  </si>
  <si>
    <t>Dolphins</t>
  </si>
  <si>
    <t>Redskins</t>
  </si>
  <si>
    <t>Bengals</t>
  </si>
  <si>
    <t>Saints</t>
  </si>
  <si>
    <t>Cardinals</t>
  </si>
  <si>
    <t>Lions</t>
  </si>
  <si>
    <t>Packers</t>
  </si>
  <si>
    <t>49ers</t>
  </si>
  <si>
    <t>Titans</t>
  </si>
  <si>
    <t>Eagles</t>
  </si>
  <si>
    <t>Giants</t>
  </si>
  <si>
    <t>Buccaneers</t>
  </si>
  <si>
    <t>Bears</t>
  </si>
  <si>
    <t>Colts</t>
  </si>
  <si>
    <t>Vikings</t>
  </si>
  <si>
    <t>Bills</t>
  </si>
  <si>
    <t>Falcons</t>
  </si>
  <si>
    <t>Chargers</t>
  </si>
  <si>
    <t>Seahawks</t>
  </si>
  <si>
    <t>Texans</t>
  </si>
  <si>
    <t>Ravens</t>
  </si>
  <si>
    <t>Patriots</t>
  </si>
  <si>
    <t>Chiefs</t>
  </si>
  <si>
    <t>Raiders</t>
  </si>
  <si>
    <t>Steelers</t>
  </si>
  <si>
    <t>Jets</t>
  </si>
  <si>
    <t>Panthers</t>
  </si>
  <si>
    <t>Cowboys</t>
  </si>
  <si>
    <t>Browns</t>
  </si>
  <si>
    <t>O.J.</t>
  </si>
  <si>
    <t>P.J.</t>
  </si>
  <si>
    <t>B.W.</t>
  </si>
  <si>
    <t>T.J.</t>
  </si>
  <si>
    <t>T.Y.</t>
  </si>
  <si>
    <t>J.T.</t>
  </si>
  <si>
    <t>L.P.</t>
  </si>
  <si>
    <t>R.J.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</si>
</sst>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/>
    <font>
      <b/>
      <sz val="12.0"/>
      <name val="Times New Roman"/>
    </font>
    <font>
      <sz val="12.0"/>
      <name val="Times New Roman"/>
    </font>
    <font>
      <color rgb="FFFF0000"/>
    </font>
    <font>
      <color rgb="FF38761D"/>
    </font>
  </fonts>
  <fills count="3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</fills>
  <borders count="4">
    <border/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0" fontId="2" numFmtId="0" xfId="0" applyAlignment="1" applyBorder="1" applyFont="1">
      <alignment horizontal="left" readingOrder="0" vertical="bottom"/>
    </xf>
    <xf borderId="2" fillId="0" fontId="3" numFmtId="0" xfId="0" applyAlignment="1" applyBorder="1" applyFont="1">
      <alignment horizontal="left" vertical="bottom"/>
    </xf>
    <xf borderId="1" fillId="0" fontId="3" numFmtId="0" xfId="0" applyAlignment="1" applyBorder="1" applyFont="1">
      <alignment horizontal="left" vertical="bottom"/>
    </xf>
    <xf borderId="0" fillId="0" fontId="1" numFmtId="0" xfId="0" applyAlignment="1" applyFont="1">
      <alignment horizontal="center" shrinkToFit="0" vertical="center" wrapText="1"/>
    </xf>
    <xf borderId="2" fillId="0" fontId="3" numFmtId="0" xfId="0" applyAlignment="1" applyBorder="1" applyFont="1">
      <alignment horizontal="left" vertical="bottom"/>
    </xf>
    <xf borderId="1" fillId="0" fontId="3" numFmtId="0" xfId="0" applyAlignment="1" applyBorder="1" applyFont="1">
      <alignment horizontal="left" vertical="bottom"/>
    </xf>
    <xf borderId="0" fillId="0" fontId="3" numFmtId="0" xfId="0" applyAlignment="1" applyFont="1">
      <alignment horizontal="left" vertical="bottom"/>
    </xf>
    <xf borderId="0" fillId="0" fontId="3" numFmtId="0" xfId="0" applyAlignment="1" applyFont="1">
      <alignment horizontal="left" vertical="bottom"/>
    </xf>
    <xf quotePrefix="1" borderId="1" fillId="0" fontId="3" numFmtId="0" xfId="0" applyAlignment="1" applyBorder="1" applyFont="1">
      <alignment horizontal="left" vertical="bottom"/>
    </xf>
    <xf borderId="1" fillId="2" fontId="1" numFmtId="0" xfId="0" applyAlignment="1" applyBorder="1" applyFont="1">
      <alignment horizontal="center" shrinkToFit="0" vertical="center" wrapText="1"/>
    </xf>
    <xf borderId="3" fillId="0" fontId="3" numFmtId="0" xfId="0" applyAlignment="1" applyBorder="1" applyFont="1">
      <alignment horizontal="left" vertical="bottom"/>
    </xf>
    <xf borderId="0" fillId="0" fontId="4" numFmtId="0" xfId="0" applyAlignment="1" applyFont="1">
      <alignment readingOrder="0"/>
    </xf>
    <xf quotePrefix="1" borderId="0" fillId="0" fontId="3" numFmtId="0" xfId="0" applyAlignment="1" applyFont="1">
      <alignment horizontal="left" vertical="bottom"/>
    </xf>
    <xf borderId="0" fillId="0" fontId="1" numFmtId="0" xfId="0" applyAlignment="1" applyFont="1">
      <alignment readingOrder="0"/>
    </xf>
    <xf borderId="3" fillId="0" fontId="3" numFmtId="0" xfId="0" applyAlignment="1" applyBorder="1" applyFont="1">
      <alignment horizontal="left" vertical="bottom"/>
    </xf>
    <xf borderId="0" fillId="0" fontId="1" numFmtId="9" xfId="0" applyAlignment="1" applyFont="1" applyNumberFormat="1">
      <alignment readingOrder="0"/>
    </xf>
    <xf borderId="0" fillId="0" fontId="3" numFmtId="0" xfId="0" applyAlignment="1" applyFont="1">
      <alignment horizontal="left" readingOrder="0" vertical="bottom"/>
    </xf>
    <xf borderId="3" fillId="0" fontId="3" numFmtId="0" xfId="0" applyAlignment="1" applyBorder="1" applyFont="1">
      <alignment horizontal="left" readingOrder="0" vertical="bottom"/>
    </xf>
    <xf quotePrefix="1" borderId="0" fillId="0" fontId="3" numFmtId="0" xfId="0" applyAlignment="1" applyFont="1">
      <alignment horizontal="left" readingOrder="0" vertical="bottom"/>
    </xf>
    <xf borderId="0" fillId="0" fontId="2" numFmtId="0" xfId="0" applyAlignment="1" applyFont="1">
      <alignment horizontal="left" readingOrder="0" vertical="bottom"/>
    </xf>
    <xf borderId="3" fillId="0" fontId="2" numFmtId="0" xfId="0" applyAlignment="1" applyBorder="1" applyFont="1">
      <alignment horizontal="left" readingOrder="0" vertical="bottom"/>
    </xf>
    <xf borderId="3" fillId="0" fontId="1" numFmtId="0" xfId="0" applyBorder="1" applyFont="1"/>
    <xf borderId="0" fillId="0" fontId="5" numFmtId="0" xfId="0" applyAlignment="1" applyFont="1">
      <alignment readingOrder="0"/>
    </xf>
    <xf borderId="0" fillId="0" fontId="4" numFmtId="0" xfId="0" applyFont="1"/>
    <xf borderId="2" fillId="0" fontId="2" numFmtId="0" xfId="0" applyAlignment="1" applyBorder="1" applyFont="1">
      <alignment horizontal="left" readingOrder="0" vertical="bottom"/>
    </xf>
    <xf quotePrefix="1" borderId="3" fillId="0" fontId="3" numFmtId="0" xfId="0" applyAlignment="1" applyBorder="1" applyFont="1">
      <alignment horizontal="left" vertical="bottom"/>
    </xf>
    <xf borderId="1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</sheetPr>
  <sheetViews>
    <sheetView workbookViewId="0"/>
  </sheetViews>
  <sheetFormatPr customHeight="1" defaultColWidth="14.43" defaultRowHeight="15.75" outlineLevelRow="1"/>
  <cols>
    <col customWidth="1" min="1" max="1" width="18.29"/>
    <col customWidth="1" min="2" max="2" width="14.29"/>
    <col customWidth="1" min="3" max="3" width="7.14"/>
    <col customWidth="1" min="4" max="4" width="6.0"/>
    <col customWidth="1" min="5" max="9" width="9.0"/>
  </cols>
  <sheetData>
    <row r="1" outlineLevel="1">
      <c r="A1" s="2" t="s">
        <v>1</v>
      </c>
      <c r="B1" s="3" t="s">
        <v>3</v>
      </c>
      <c r="C1" s="4" t="s">
        <v>4</v>
      </c>
      <c r="D1" s="6" t="s">
        <v>5</v>
      </c>
      <c r="E1" s="7" t="s">
        <v>6</v>
      </c>
      <c r="F1" s="6" t="s">
        <v>7</v>
      </c>
      <c r="G1" s="7" t="s">
        <v>8</v>
      </c>
      <c r="H1" s="6" t="s">
        <v>9</v>
      </c>
      <c r="I1" s="8"/>
    </row>
    <row r="2" outlineLevel="1">
      <c r="A2" s="9" t="s">
        <v>10</v>
      </c>
      <c r="B2" s="4" t="s">
        <v>11</v>
      </c>
      <c r="C2" s="3" t="s">
        <v>12</v>
      </c>
      <c r="D2" s="10" t="s">
        <v>13</v>
      </c>
      <c r="E2" s="6"/>
      <c r="F2" s="7"/>
      <c r="G2" s="6"/>
      <c r="H2" s="7"/>
      <c r="I2" s="6"/>
    </row>
    <row r="3" outlineLevel="1">
      <c r="A3" s="9" t="s">
        <v>14</v>
      </c>
      <c r="B3" s="9" t="s">
        <v>15</v>
      </c>
      <c r="C3" s="12" t="s">
        <v>16</v>
      </c>
      <c r="D3" s="14" t="s">
        <v>18</v>
      </c>
      <c r="E3" s="16"/>
      <c r="F3" s="8"/>
      <c r="G3" s="16"/>
      <c r="H3" s="8"/>
      <c r="I3" s="16"/>
    </row>
    <row r="4" outlineLevel="1">
      <c r="A4" s="9" t="s">
        <v>19</v>
      </c>
      <c r="B4" s="9" t="s">
        <v>20</v>
      </c>
      <c r="C4" s="12" t="s">
        <v>16</v>
      </c>
      <c r="D4" s="14" t="s">
        <v>21</v>
      </c>
      <c r="E4" s="16"/>
      <c r="F4" s="8"/>
      <c r="G4" s="16"/>
      <c r="H4" s="8"/>
      <c r="I4" s="16"/>
    </row>
    <row r="5" outlineLevel="1">
      <c r="A5" s="9" t="s">
        <v>22</v>
      </c>
      <c r="B5" s="9" t="s">
        <v>23</v>
      </c>
      <c r="C5" s="12" t="s">
        <v>24</v>
      </c>
      <c r="D5" s="14" t="s">
        <v>21</v>
      </c>
      <c r="E5" s="16"/>
      <c r="F5" s="8"/>
      <c r="G5" s="16"/>
      <c r="H5" s="8"/>
      <c r="I5" s="16"/>
    </row>
    <row r="6" outlineLevel="1">
      <c r="A6" s="18" t="s">
        <v>25</v>
      </c>
      <c r="B6" s="9" t="s">
        <v>26</v>
      </c>
      <c r="C6" s="12" t="s">
        <v>24</v>
      </c>
      <c r="D6" s="14" t="s">
        <v>27</v>
      </c>
      <c r="E6" s="16"/>
      <c r="F6" s="8"/>
      <c r="G6" s="16"/>
      <c r="H6" s="8"/>
      <c r="I6" s="16"/>
    </row>
    <row r="7" outlineLevel="1">
      <c r="A7" s="9" t="s">
        <v>28</v>
      </c>
      <c r="B7" s="18" t="s">
        <v>29</v>
      </c>
      <c r="C7" s="19" t="s">
        <v>16</v>
      </c>
      <c r="D7" s="14" t="s">
        <v>27</v>
      </c>
      <c r="E7" s="16"/>
      <c r="F7" s="8"/>
      <c r="G7" s="16"/>
      <c r="H7" s="8"/>
      <c r="I7" s="16"/>
    </row>
    <row r="8" outlineLevel="1">
      <c r="A8" s="9" t="s">
        <v>30</v>
      </c>
      <c r="B8" s="9" t="s">
        <v>31</v>
      </c>
      <c r="C8" s="12" t="s">
        <v>24</v>
      </c>
      <c r="D8" s="14" t="s">
        <v>27</v>
      </c>
      <c r="E8" s="16"/>
      <c r="F8" s="8"/>
      <c r="G8" s="16"/>
      <c r="H8" s="8"/>
      <c r="I8" s="16"/>
    </row>
    <row r="9" outlineLevel="1">
      <c r="A9" s="9" t="s">
        <v>32</v>
      </c>
      <c r="B9" s="9" t="s">
        <v>33</v>
      </c>
      <c r="C9" s="12" t="s">
        <v>16</v>
      </c>
      <c r="D9" s="14" t="s">
        <v>27</v>
      </c>
      <c r="E9" s="16"/>
      <c r="F9" s="8"/>
      <c r="G9" s="16"/>
      <c r="H9" s="8"/>
      <c r="I9" s="16"/>
    </row>
    <row r="10" outlineLevel="1">
      <c r="A10" s="9" t="s">
        <v>34</v>
      </c>
      <c r="B10" s="9" t="s">
        <v>35</v>
      </c>
      <c r="C10" s="12" t="s">
        <v>24</v>
      </c>
      <c r="D10" s="14" t="s">
        <v>27</v>
      </c>
      <c r="E10" s="16"/>
      <c r="F10" s="8"/>
      <c r="G10" s="16"/>
      <c r="H10" s="8"/>
      <c r="I10" s="16"/>
    </row>
    <row r="11" outlineLevel="1">
      <c r="A11" s="9" t="s">
        <v>36</v>
      </c>
      <c r="B11" s="9" t="s">
        <v>37</v>
      </c>
      <c r="C11" s="12" t="s">
        <v>38</v>
      </c>
      <c r="D11" s="14" t="s">
        <v>39</v>
      </c>
      <c r="E11" s="16"/>
      <c r="F11" s="8"/>
      <c r="G11" s="16"/>
      <c r="H11" s="8"/>
      <c r="I11" s="16"/>
    </row>
    <row r="12" outlineLevel="1">
      <c r="A12" s="9" t="s">
        <v>40</v>
      </c>
      <c r="B12" s="9" t="s">
        <v>41</v>
      </c>
      <c r="C12" s="12" t="s">
        <v>38</v>
      </c>
      <c r="D12" s="14" t="s">
        <v>39</v>
      </c>
      <c r="E12" s="16"/>
      <c r="F12" s="8"/>
      <c r="G12" s="16"/>
      <c r="H12" s="8"/>
      <c r="I12" s="16"/>
    </row>
    <row r="13" outlineLevel="1">
      <c r="A13" s="9" t="s">
        <v>42</v>
      </c>
      <c r="B13" s="9" t="s">
        <v>43</v>
      </c>
      <c r="C13" s="12" t="s">
        <v>38</v>
      </c>
      <c r="D13" s="14" t="s">
        <v>39</v>
      </c>
      <c r="E13" s="16"/>
      <c r="F13" s="8"/>
      <c r="G13" s="16"/>
      <c r="H13" s="8"/>
      <c r="I13" s="16"/>
    </row>
    <row r="14" outlineLevel="1">
      <c r="A14" s="9" t="s">
        <v>44</v>
      </c>
      <c r="B14" s="9" t="s">
        <v>45</v>
      </c>
      <c r="C14" s="12" t="s">
        <v>46</v>
      </c>
      <c r="D14" s="14" t="s">
        <v>39</v>
      </c>
      <c r="E14" s="16"/>
      <c r="F14" s="18"/>
      <c r="G14" s="19"/>
      <c r="H14" s="18"/>
      <c r="I14" s="19"/>
    </row>
    <row r="15" outlineLevel="1">
      <c r="A15" s="9" t="s">
        <v>47</v>
      </c>
      <c r="B15" s="9" t="s">
        <v>48</v>
      </c>
      <c r="C15" s="12" t="s">
        <v>16</v>
      </c>
      <c r="D15" s="14" t="s">
        <v>39</v>
      </c>
      <c r="E15" s="16"/>
      <c r="F15" s="8"/>
      <c r="G15" s="16"/>
      <c r="H15" s="8"/>
      <c r="I15" s="16"/>
    </row>
    <row r="16" outlineLevel="1">
      <c r="A16" s="9" t="s">
        <v>49</v>
      </c>
      <c r="B16" s="9" t="s">
        <v>50</v>
      </c>
      <c r="C16" s="12" t="s">
        <v>16</v>
      </c>
      <c r="D16" s="14" t="s">
        <v>39</v>
      </c>
      <c r="E16" s="16"/>
      <c r="F16" s="8"/>
      <c r="G16" s="16"/>
      <c r="H16" s="8"/>
      <c r="I16" s="16"/>
    </row>
    <row r="17" outlineLevel="1">
      <c r="A17" s="9" t="s">
        <v>51</v>
      </c>
      <c r="B17" s="9" t="s">
        <v>52</v>
      </c>
      <c r="C17" s="12" t="s">
        <v>53</v>
      </c>
      <c r="D17" s="14" t="s">
        <v>39</v>
      </c>
      <c r="E17" s="16"/>
      <c r="F17" s="8"/>
      <c r="G17" s="16"/>
      <c r="H17" s="8"/>
      <c r="I17" s="16"/>
    </row>
    <row r="18" outlineLevel="1">
      <c r="A18" s="9" t="s">
        <v>54</v>
      </c>
      <c r="B18" s="9" t="s">
        <v>55</v>
      </c>
      <c r="C18" s="12" t="s">
        <v>46</v>
      </c>
      <c r="D18" s="14" t="s">
        <v>39</v>
      </c>
      <c r="E18" s="16"/>
      <c r="F18" s="8"/>
      <c r="G18" s="16"/>
      <c r="H18" s="8"/>
      <c r="I18" s="16"/>
    </row>
    <row r="19" outlineLevel="1">
      <c r="A19" s="9" t="s">
        <v>56</v>
      </c>
      <c r="B19" s="9" t="s">
        <v>45</v>
      </c>
      <c r="C19" s="12" t="s">
        <v>24</v>
      </c>
      <c r="D19" s="14" t="s">
        <v>39</v>
      </c>
      <c r="E19" s="16"/>
      <c r="F19" s="8"/>
      <c r="G19" s="16"/>
      <c r="H19" s="8"/>
      <c r="I19" s="16"/>
    </row>
    <row r="20" outlineLevel="1">
      <c r="A20" s="9" t="s">
        <v>57</v>
      </c>
      <c r="B20" s="9" t="s">
        <v>58</v>
      </c>
      <c r="C20" s="12" t="s">
        <v>59</v>
      </c>
      <c r="D20" s="14" t="s">
        <v>60</v>
      </c>
      <c r="E20" s="16"/>
      <c r="F20" s="8"/>
      <c r="G20" s="16"/>
      <c r="H20" s="8"/>
      <c r="I20" s="16"/>
    </row>
    <row r="21" outlineLevel="1">
      <c r="A21" s="9" t="s">
        <v>61</v>
      </c>
      <c r="B21" s="9" t="s">
        <v>62</v>
      </c>
      <c r="C21" s="12" t="s">
        <v>59</v>
      </c>
      <c r="D21" s="14" t="s">
        <v>60</v>
      </c>
      <c r="E21" s="16"/>
      <c r="F21" s="8"/>
      <c r="G21" s="16"/>
      <c r="H21" s="8"/>
      <c r="I21" s="16"/>
    </row>
    <row r="22" outlineLevel="1">
      <c r="A22" s="9" t="s">
        <v>63</v>
      </c>
      <c r="B22" s="9" t="s">
        <v>64</v>
      </c>
      <c r="C22" s="12" t="s">
        <v>65</v>
      </c>
      <c r="D22" s="14" t="s">
        <v>60</v>
      </c>
      <c r="E22" s="16"/>
      <c r="F22" s="8"/>
      <c r="G22" s="16"/>
      <c r="H22" s="8"/>
      <c r="I22" s="16"/>
    </row>
    <row r="23" outlineLevel="1">
      <c r="A23" s="9" t="s">
        <v>66</v>
      </c>
      <c r="B23" s="9" t="s">
        <v>67</v>
      </c>
      <c r="C23" s="12" t="s">
        <v>16</v>
      </c>
      <c r="D23" s="14" t="s">
        <v>60</v>
      </c>
      <c r="E23" s="16"/>
      <c r="F23" s="18"/>
      <c r="G23" s="19"/>
      <c r="H23" s="18"/>
      <c r="I23" s="19"/>
    </row>
    <row r="24" outlineLevel="1">
      <c r="A24" s="9" t="s">
        <v>68</v>
      </c>
      <c r="B24" s="9" t="s">
        <v>69</v>
      </c>
      <c r="C24" s="12" t="s">
        <v>70</v>
      </c>
      <c r="D24" s="14" t="s">
        <v>60</v>
      </c>
      <c r="E24" s="16"/>
      <c r="F24" s="8"/>
      <c r="G24" s="16"/>
      <c r="H24" s="8"/>
      <c r="I24" s="16"/>
    </row>
    <row r="25" outlineLevel="1">
      <c r="A25" s="9" t="s">
        <v>71</v>
      </c>
      <c r="B25" s="9" t="s">
        <v>72</v>
      </c>
      <c r="C25" s="12" t="s">
        <v>12</v>
      </c>
      <c r="D25" s="14" t="s">
        <v>60</v>
      </c>
      <c r="E25" s="16"/>
      <c r="F25" s="8"/>
      <c r="G25" s="16"/>
      <c r="H25" s="8"/>
      <c r="I25" s="16"/>
    </row>
    <row r="26" outlineLevel="1">
      <c r="A26" s="9" t="s">
        <v>73</v>
      </c>
      <c r="B26" s="9" t="s">
        <v>74</v>
      </c>
      <c r="C26" s="12" t="s">
        <v>75</v>
      </c>
      <c r="D26" s="14" t="s">
        <v>60</v>
      </c>
      <c r="E26" s="16"/>
      <c r="F26" s="8"/>
      <c r="G26" s="16"/>
      <c r="H26" s="8"/>
      <c r="I26" s="16"/>
    </row>
    <row r="27" outlineLevel="1">
      <c r="A27" s="9" t="s">
        <v>76</v>
      </c>
      <c r="B27" s="9" t="s">
        <v>77</v>
      </c>
      <c r="C27" s="12" t="s">
        <v>53</v>
      </c>
      <c r="D27" s="14" t="s">
        <v>60</v>
      </c>
      <c r="E27" s="16"/>
      <c r="F27" s="18"/>
      <c r="G27" s="19"/>
      <c r="H27" s="18"/>
      <c r="I27" s="19"/>
    </row>
    <row r="28" outlineLevel="1">
      <c r="A28" s="9" t="s">
        <v>78</v>
      </c>
      <c r="B28" s="9" t="s">
        <v>79</v>
      </c>
      <c r="C28" s="12" t="s">
        <v>80</v>
      </c>
      <c r="D28" s="14" t="s">
        <v>60</v>
      </c>
      <c r="E28" s="16"/>
      <c r="F28" s="18"/>
      <c r="G28" s="19"/>
      <c r="H28" s="18"/>
      <c r="I28" s="19"/>
    </row>
    <row r="29" outlineLevel="1">
      <c r="A29" s="9" t="s">
        <v>81</v>
      </c>
      <c r="B29" s="9" t="s">
        <v>82</v>
      </c>
      <c r="C29" s="12" t="s">
        <v>80</v>
      </c>
      <c r="D29" s="14" t="s">
        <v>83</v>
      </c>
      <c r="E29" s="16"/>
      <c r="F29" s="8"/>
      <c r="G29" s="16"/>
      <c r="H29" s="8"/>
      <c r="I29" s="16"/>
    </row>
    <row r="30" outlineLevel="1">
      <c r="A30" s="9" t="s">
        <v>61</v>
      </c>
      <c r="B30" s="9" t="s">
        <v>84</v>
      </c>
      <c r="C30" s="12" t="s">
        <v>24</v>
      </c>
      <c r="D30" s="14" t="s">
        <v>83</v>
      </c>
      <c r="E30" s="16"/>
      <c r="F30" s="8"/>
      <c r="G30" s="16"/>
      <c r="H30" s="8"/>
      <c r="I30" s="16"/>
    </row>
    <row r="31" outlineLevel="1">
      <c r="A31" s="9" t="s">
        <v>85</v>
      </c>
      <c r="B31" s="9" t="s">
        <v>86</v>
      </c>
      <c r="C31" s="12" t="s">
        <v>24</v>
      </c>
      <c r="D31" s="14" t="s">
        <v>83</v>
      </c>
      <c r="E31" s="16"/>
      <c r="F31" s="8"/>
      <c r="G31" s="16"/>
      <c r="H31" s="8"/>
      <c r="I31" s="16"/>
    </row>
    <row r="32" outlineLevel="1">
      <c r="A32" s="9" t="s">
        <v>87</v>
      </c>
      <c r="B32" s="9" t="s">
        <v>88</v>
      </c>
      <c r="C32" s="12" t="s">
        <v>12</v>
      </c>
      <c r="D32" s="14" t="s">
        <v>83</v>
      </c>
      <c r="E32" s="16"/>
      <c r="F32" s="8"/>
      <c r="G32" s="16"/>
      <c r="H32" s="8"/>
      <c r="I32" s="16"/>
    </row>
    <row r="33" outlineLevel="1">
      <c r="A33" s="9" t="s">
        <v>89</v>
      </c>
      <c r="B33" s="9" t="s">
        <v>90</v>
      </c>
      <c r="C33" s="12" t="s">
        <v>24</v>
      </c>
      <c r="D33" s="14" t="s">
        <v>83</v>
      </c>
      <c r="E33" s="16"/>
      <c r="F33" s="8"/>
      <c r="G33" s="16"/>
      <c r="H33" s="8"/>
      <c r="I33" s="16"/>
    </row>
    <row r="34" outlineLevel="1">
      <c r="A34" s="9" t="s">
        <v>91</v>
      </c>
      <c r="B34" s="9" t="s">
        <v>92</v>
      </c>
      <c r="C34" s="12" t="s">
        <v>93</v>
      </c>
      <c r="D34" s="14" t="s">
        <v>83</v>
      </c>
      <c r="E34" s="16"/>
      <c r="F34" s="8"/>
      <c r="G34" s="16"/>
      <c r="H34" s="8"/>
      <c r="I34" s="16"/>
    </row>
    <row r="35" outlineLevel="1">
      <c r="A35" s="9" t="s">
        <v>94</v>
      </c>
      <c r="B35" s="9" t="s">
        <v>95</v>
      </c>
      <c r="C35" s="12" t="s">
        <v>24</v>
      </c>
      <c r="D35" s="14" t="s">
        <v>83</v>
      </c>
      <c r="E35" s="16"/>
      <c r="F35" s="8"/>
      <c r="G35" s="16"/>
      <c r="H35" s="8"/>
      <c r="I35" s="16"/>
    </row>
    <row r="36" outlineLevel="1">
      <c r="A36" s="9" t="s">
        <v>96</v>
      </c>
      <c r="B36" s="9" t="s">
        <v>33</v>
      </c>
      <c r="C36" s="12" t="s">
        <v>12</v>
      </c>
      <c r="D36" s="14" t="s">
        <v>83</v>
      </c>
      <c r="E36" s="16"/>
      <c r="F36" s="8"/>
      <c r="G36" s="16"/>
      <c r="H36" s="8"/>
      <c r="I36" s="16"/>
    </row>
    <row r="37" outlineLevel="1">
      <c r="A37" s="9" t="s">
        <v>97</v>
      </c>
      <c r="B37" s="9" t="s">
        <v>98</v>
      </c>
      <c r="C37" s="12" t="s">
        <v>16</v>
      </c>
      <c r="D37" s="14" t="s">
        <v>83</v>
      </c>
      <c r="E37" s="16"/>
      <c r="F37" s="8"/>
      <c r="G37" s="16"/>
      <c r="H37" s="8"/>
      <c r="I37" s="16"/>
    </row>
    <row r="38" outlineLevel="1">
      <c r="A38" s="9" t="s">
        <v>99</v>
      </c>
      <c r="B38" s="9" t="s">
        <v>100</v>
      </c>
      <c r="C38" s="12" t="s">
        <v>16</v>
      </c>
      <c r="D38" s="14" t="s">
        <v>83</v>
      </c>
      <c r="E38" s="16"/>
      <c r="F38" s="8"/>
      <c r="G38" s="16"/>
      <c r="H38" s="8"/>
      <c r="I38" s="16"/>
    </row>
    <row r="39" outlineLevel="1">
      <c r="A39" s="9" t="s">
        <v>101</v>
      </c>
      <c r="B39" s="9" t="s">
        <v>102</v>
      </c>
      <c r="C39" s="12" t="s">
        <v>46</v>
      </c>
      <c r="D39" s="14" t="s">
        <v>83</v>
      </c>
      <c r="E39" s="16"/>
      <c r="F39" s="8"/>
      <c r="G39" s="16"/>
      <c r="H39" s="8"/>
      <c r="I39" s="16"/>
    </row>
    <row r="40" outlineLevel="1">
      <c r="A40" s="9" t="s">
        <v>103</v>
      </c>
      <c r="B40" s="9" t="s">
        <v>20</v>
      </c>
      <c r="C40" s="12" t="s">
        <v>16</v>
      </c>
      <c r="D40" s="14" t="s">
        <v>83</v>
      </c>
      <c r="E40" s="16"/>
      <c r="F40" s="8"/>
      <c r="G40" s="16"/>
      <c r="H40" s="8"/>
      <c r="I40" s="16"/>
    </row>
    <row r="41" outlineLevel="1">
      <c r="A41" s="9" t="s">
        <v>104</v>
      </c>
      <c r="B41" s="9" t="s">
        <v>105</v>
      </c>
      <c r="C41" s="12" t="s">
        <v>24</v>
      </c>
      <c r="D41" s="14" t="s">
        <v>83</v>
      </c>
      <c r="E41" s="16"/>
      <c r="F41" s="8"/>
      <c r="G41" s="16"/>
      <c r="H41" s="8"/>
      <c r="I41" s="16"/>
    </row>
    <row r="42" outlineLevel="1">
      <c r="A42" s="9" t="s">
        <v>106</v>
      </c>
      <c r="B42" s="9" t="s">
        <v>107</v>
      </c>
      <c r="C42" s="12" t="s">
        <v>46</v>
      </c>
      <c r="D42" s="14" t="s">
        <v>108</v>
      </c>
      <c r="E42" s="16"/>
      <c r="F42" s="8"/>
      <c r="G42" s="16"/>
      <c r="H42" s="8"/>
      <c r="I42" s="16"/>
    </row>
    <row r="43" outlineLevel="1">
      <c r="A43" s="9" t="s">
        <v>36</v>
      </c>
      <c r="B43" s="9" t="s">
        <v>109</v>
      </c>
      <c r="C43" s="12" t="s">
        <v>38</v>
      </c>
      <c r="D43" s="14" t="s">
        <v>108</v>
      </c>
      <c r="E43" s="16"/>
      <c r="F43" s="8"/>
      <c r="G43" s="16"/>
      <c r="H43" s="8"/>
      <c r="I43" s="16"/>
    </row>
    <row r="44" outlineLevel="1">
      <c r="A44" s="9" t="s">
        <v>110</v>
      </c>
      <c r="B44" s="9" t="s">
        <v>111</v>
      </c>
      <c r="C44" s="12" t="s">
        <v>12</v>
      </c>
      <c r="D44" s="14" t="s">
        <v>108</v>
      </c>
      <c r="E44" s="16"/>
      <c r="F44" s="8"/>
      <c r="G44" s="16"/>
      <c r="H44" s="8"/>
      <c r="I44" s="16"/>
    </row>
    <row r="45" outlineLevel="1">
      <c r="A45" s="9" t="s">
        <v>112</v>
      </c>
      <c r="B45" s="9" t="s">
        <v>102</v>
      </c>
      <c r="C45" s="12" t="s">
        <v>16</v>
      </c>
      <c r="D45" s="14" t="s">
        <v>108</v>
      </c>
      <c r="E45" s="16"/>
      <c r="F45" s="8"/>
      <c r="G45" s="16"/>
      <c r="H45" s="8"/>
      <c r="I45" s="16"/>
    </row>
    <row r="46" outlineLevel="1">
      <c r="A46" s="9" t="s">
        <v>113</v>
      </c>
      <c r="B46" s="9" t="s">
        <v>114</v>
      </c>
      <c r="C46" s="12" t="s">
        <v>65</v>
      </c>
      <c r="D46" s="14" t="s">
        <v>108</v>
      </c>
      <c r="E46" s="16"/>
      <c r="F46" s="8"/>
      <c r="G46" s="16"/>
      <c r="H46" s="8"/>
      <c r="I46" s="16"/>
    </row>
    <row r="47" outlineLevel="1">
      <c r="A47" s="9" t="s">
        <v>115</v>
      </c>
      <c r="B47" s="9" t="s">
        <v>88</v>
      </c>
      <c r="C47" s="12" t="s">
        <v>12</v>
      </c>
      <c r="D47" s="14" t="s">
        <v>108</v>
      </c>
      <c r="E47" s="16"/>
      <c r="F47" s="8"/>
      <c r="G47" s="16"/>
      <c r="H47" s="8"/>
      <c r="I47" s="16"/>
    </row>
    <row r="48" outlineLevel="1">
      <c r="A48" s="9" t="s">
        <v>116</v>
      </c>
      <c r="B48" s="9" t="s">
        <v>117</v>
      </c>
      <c r="C48" s="12" t="s">
        <v>16</v>
      </c>
      <c r="D48" s="14" t="s">
        <v>108</v>
      </c>
      <c r="E48" s="16"/>
      <c r="F48" s="8"/>
      <c r="G48" s="16"/>
      <c r="H48" s="8"/>
      <c r="I48" s="16"/>
    </row>
    <row r="49" outlineLevel="1">
      <c r="A49" s="9" t="s">
        <v>118</v>
      </c>
      <c r="B49" s="9" t="s">
        <v>119</v>
      </c>
      <c r="C49" s="12" t="s">
        <v>38</v>
      </c>
      <c r="D49" s="14" t="s">
        <v>108</v>
      </c>
      <c r="E49" s="16"/>
      <c r="F49" s="8"/>
      <c r="G49" s="16"/>
      <c r="H49" s="8"/>
      <c r="I49" s="16"/>
    </row>
    <row r="50" outlineLevel="1">
      <c r="A50" s="9" t="s">
        <v>120</v>
      </c>
      <c r="B50" s="9" t="s">
        <v>121</v>
      </c>
      <c r="C50" s="12" t="s">
        <v>122</v>
      </c>
      <c r="D50" s="14" t="s">
        <v>108</v>
      </c>
      <c r="E50" s="16"/>
      <c r="F50" s="8"/>
      <c r="G50" s="16"/>
      <c r="H50" s="8"/>
      <c r="I50" s="16"/>
    </row>
    <row r="51" outlineLevel="1">
      <c r="A51" s="9" t="s">
        <v>123</v>
      </c>
      <c r="B51" s="9" t="s">
        <v>124</v>
      </c>
      <c r="C51" s="12" t="s">
        <v>24</v>
      </c>
      <c r="D51" s="14" t="s">
        <v>108</v>
      </c>
      <c r="E51" s="16"/>
      <c r="F51" s="8"/>
      <c r="G51" s="16"/>
      <c r="H51" s="8"/>
      <c r="I51" s="16"/>
    </row>
    <row r="52" outlineLevel="1">
      <c r="A52" s="9" t="s">
        <v>125</v>
      </c>
      <c r="B52" s="9" t="s">
        <v>33</v>
      </c>
      <c r="C52" s="12" t="s">
        <v>24</v>
      </c>
      <c r="D52" s="14" t="s">
        <v>108</v>
      </c>
      <c r="E52" s="16"/>
      <c r="F52" s="8"/>
      <c r="G52" s="16"/>
      <c r="H52" s="8"/>
      <c r="I52" s="16"/>
    </row>
    <row r="53" outlineLevel="1">
      <c r="A53" s="9" t="s">
        <v>126</v>
      </c>
      <c r="B53" s="9" t="s">
        <v>127</v>
      </c>
      <c r="C53" s="12" t="s">
        <v>70</v>
      </c>
      <c r="D53" s="14" t="s">
        <v>108</v>
      </c>
      <c r="E53" s="16"/>
      <c r="F53" s="8"/>
      <c r="G53" s="16"/>
      <c r="H53" s="8"/>
      <c r="I53" s="16"/>
    </row>
    <row r="54" outlineLevel="1">
      <c r="A54" s="9" t="s">
        <v>67</v>
      </c>
      <c r="B54" s="9" t="s">
        <v>33</v>
      </c>
      <c r="C54" s="12" t="s">
        <v>16</v>
      </c>
      <c r="D54" s="14" t="s">
        <v>108</v>
      </c>
      <c r="E54" s="16"/>
      <c r="F54" s="8"/>
      <c r="G54" s="16"/>
      <c r="H54" s="8"/>
      <c r="I54" s="16"/>
    </row>
    <row r="55" outlineLevel="1">
      <c r="A55" s="9" t="s">
        <v>128</v>
      </c>
      <c r="B55" s="9" t="s">
        <v>129</v>
      </c>
      <c r="C55" s="12" t="s">
        <v>80</v>
      </c>
      <c r="D55" s="14" t="s">
        <v>108</v>
      </c>
      <c r="E55" s="16"/>
      <c r="F55" s="8"/>
      <c r="G55" s="16"/>
      <c r="H55" s="8"/>
      <c r="I55" s="16"/>
    </row>
    <row r="56" outlineLevel="1">
      <c r="A56" s="9" t="s">
        <v>130</v>
      </c>
      <c r="B56" s="9" t="s">
        <v>131</v>
      </c>
      <c r="C56" s="12" t="s">
        <v>132</v>
      </c>
      <c r="D56" s="14" t="s">
        <v>108</v>
      </c>
      <c r="E56" s="16"/>
      <c r="F56" s="8"/>
      <c r="G56" s="16"/>
      <c r="H56" s="8"/>
      <c r="I56" s="16"/>
    </row>
    <row r="57" outlineLevel="1">
      <c r="A57" s="9" t="s">
        <v>133</v>
      </c>
      <c r="B57" s="9" t="s">
        <v>134</v>
      </c>
      <c r="C57" s="12" t="s">
        <v>65</v>
      </c>
      <c r="D57" s="14" t="s">
        <v>135</v>
      </c>
      <c r="E57" s="16"/>
      <c r="F57" s="8"/>
      <c r="G57" s="16"/>
      <c r="H57" s="8"/>
      <c r="I57" s="16"/>
    </row>
    <row r="58" outlineLevel="1">
      <c r="A58" s="9" t="s">
        <v>136</v>
      </c>
      <c r="B58" s="9" t="s">
        <v>137</v>
      </c>
      <c r="C58" s="12" t="s">
        <v>138</v>
      </c>
      <c r="D58" s="14" t="s">
        <v>135</v>
      </c>
      <c r="E58" s="16"/>
      <c r="F58" s="8"/>
      <c r="G58" s="16"/>
      <c r="H58" s="8"/>
      <c r="I58" s="16"/>
    </row>
    <row r="59" outlineLevel="1">
      <c r="A59" s="9" t="s">
        <v>139</v>
      </c>
      <c r="B59" s="9" t="s">
        <v>140</v>
      </c>
      <c r="C59" s="12" t="s">
        <v>141</v>
      </c>
      <c r="D59" s="14" t="s">
        <v>135</v>
      </c>
      <c r="E59" s="16"/>
      <c r="F59" s="8"/>
      <c r="G59" s="16"/>
      <c r="H59" s="8"/>
      <c r="I59" s="16"/>
    </row>
    <row r="60" outlineLevel="1">
      <c r="A60" s="9" t="s">
        <v>142</v>
      </c>
      <c r="B60" s="9" t="s">
        <v>143</v>
      </c>
      <c r="C60" s="12" t="s">
        <v>138</v>
      </c>
      <c r="D60" s="14" t="s">
        <v>135</v>
      </c>
      <c r="E60" s="16"/>
      <c r="F60" s="8"/>
      <c r="G60" s="16"/>
      <c r="H60" s="8"/>
      <c r="I60" s="16"/>
    </row>
    <row r="61" outlineLevel="1">
      <c r="A61" s="9" t="s">
        <v>144</v>
      </c>
      <c r="B61" s="9" t="s">
        <v>121</v>
      </c>
      <c r="C61" s="12" t="s">
        <v>93</v>
      </c>
      <c r="D61" s="14" t="s">
        <v>135</v>
      </c>
      <c r="E61" s="16"/>
      <c r="F61" s="8"/>
      <c r="G61" s="16"/>
      <c r="H61" s="8"/>
      <c r="I61" s="16"/>
    </row>
    <row r="62" outlineLevel="1">
      <c r="A62" s="9" t="s">
        <v>145</v>
      </c>
      <c r="B62" s="9" t="s">
        <v>146</v>
      </c>
      <c r="C62" s="12" t="s">
        <v>24</v>
      </c>
      <c r="D62" s="14" t="s">
        <v>135</v>
      </c>
      <c r="E62" s="16"/>
      <c r="F62" s="8"/>
      <c r="G62" s="16"/>
      <c r="H62" s="8"/>
      <c r="I62" s="16"/>
    </row>
    <row r="63" outlineLevel="1">
      <c r="A63" s="9" t="s">
        <v>147</v>
      </c>
      <c r="B63" s="9" t="s">
        <v>148</v>
      </c>
      <c r="C63" s="12" t="s">
        <v>149</v>
      </c>
      <c r="D63" s="14" t="s">
        <v>135</v>
      </c>
      <c r="E63" s="16"/>
      <c r="F63" s="8"/>
      <c r="G63" s="16"/>
      <c r="H63" s="8"/>
      <c r="I63" s="16"/>
    </row>
    <row r="64" outlineLevel="1">
      <c r="A64" s="9" t="s">
        <v>150</v>
      </c>
      <c r="B64" s="9" t="s">
        <v>151</v>
      </c>
      <c r="C64" s="12" t="s">
        <v>65</v>
      </c>
      <c r="D64" s="14" t="s">
        <v>135</v>
      </c>
      <c r="E64" s="16"/>
      <c r="F64" s="8"/>
      <c r="G64" s="16"/>
      <c r="H64" s="8"/>
      <c r="I64" s="16"/>
    </row>
    <row r="65" outlineLevel="1">
      <c r="A65" s="9" t="s">
        <v>152</v>
      </c>
      <c r="B65" s="9" t="s">
        <v>153</v>
      </c>
      <c r="C65" s="12" t="s">
        <v>24</v>
      </c>
      <c r="D65" s="14" t="s">
        <v>135</v>
      </c>
      <c r="E65" s="16"/>
      <c r="F65" s="8"/>
      <c r="G65" s="16"/>
      <c r="H65" s="8"/>
      <c r="I65" s="16"/>
    </row>
    <row r="66" outlineLevel="1">
      <c r="A66" s="9" t="s">
        <v>154</v>
      </c>
      <c r="B66" s="9" t="s">
        <v>155</v>
      </c>
      <c r="C66" s="12" t="s">
        <v>75</v>
      </c>
      <c r="D66" s="14" t="s">
        <v>135</v>
      </c>
      <c r="E66" s="16"/>
      <c r="F66" s="8"/>
      <c r="G66" s="16"/>
      <c r="H66" s="8"/>
      <c r="I66" s="16"/>
    </row>
    <row r="67" outlineLevel="1">
      <c r="A67" s="9" t="s">
        <v>156</v>
      </c>
      <c r="B67" s="9" t="s">
        <v>157</v>
      </c>
      <c r="C67" s="12" t="s">
        <v>16</v>
      </c>
      <c r="D67" s="14" t="s">
        <v>135</v>
      </c>
      <c r="E67" s="16"/>
      <c r="F67" s="8"/>
      <c r="G67" s="16"/>
      <c r="H67" s="8"/>
      <c r="I67" s="16"/>
    </row>
    <row r="68" outlineLevel="1">
      <c r="A68" s="18" t="s">
        <v>158</v>
      </c>
      <c r="B68" s="9" t="s">
        <v>159</v>
      </c>
      <c r="C68" s="12" t="s">
        <v>24</v>
      </c>
      <c r="D68" s="14" t="s">
        <v>135</v>
      </c>
      <c r="E68" s="16"/>
      <c r="F68" s="8"/>
      <c r="G68" s="16"/>
      <c r="H68" s="8"/>
      <c r="I68" s="16"/>
    </row>
    <row r="69" outlineLevel="1">
      <c r="A69" s="9" t="s">
        <v>160</v>
      </c>
      <c r="B69" s="18" t="s">
        <v>161</v>
      </c>
      <c r="C69" s="19" t="s">
        <v>38</v>
      </c>
      <c r="D69" s="14" t="s">
        <v>135</v>
      </c>
      <c r="E69" s="16"/>
      <c r="F69" s="8"/>
      <c r="G69" s="16"/>
      <c r="H69" s="8"/>
      <c r="I69" s="16"/>
    </row>
    <row r="70" outlineLevel="1">
      <c r="A70" s="9" t="s">
        <v>42</v>
      </c>
      <c r="B70" s="9" t="s">
        <v>162</v>
      </c>
      <c r="C70" s="12" t="s">
        <v>53</v>
      </c>
      <c r="D70" s="14" t="s">
        <v>135</v>
      </c>
      <c r="E70" s="16"/>
      <c r="F70" s="8"/>
      <c r="G70" s="16"/>
      <c r="H70" s="8"/>
      <c r="I70" s="16"/>
    </row>
    <row r="71" outlineLevel="1">
      <c r="A71" s="9" t="s">
        <v>163</v>
      </c>
      <c r="B71" s="9" t="s">
        <v>100</v>
      </c>
      <c r="C71" s="12" t="s">
        <v>141</v>
      </c>
      <c r="D71" s="14" t="s">
        <v>135</v>
      </c>
      <c r="E71" s="16"/>
      <c r="F71" s="8"/>
      <c r="G71" s="16"/>
      <c r="H71" s="8"/>
      <c r="I71" s="16"/>
    </row>
    <row r="72" outlineLevel="1">
      <c r="A72" s="9" t="s">
        <v>164</v>
      </c>
      <c r="B72" s="9" t="s">
        <v>165</v>
      </c>
      <c r="C72" s="12" t="s">
        <v>59</v>
      </c>
      <c r="D72" s="14" t="s">
        <v>135</v>
      </c>
      <c r="E72" s="16"/>
      <c r="F72" s="8"/>
      <c r="G72" s="16"/>
      <c r="H72" s="8"/>
      <c r="I72" s="16"/>
    </row>
    <row r="73" outlineLevel="1">
      <c r="A73" s="9" t="s">
        <v>166</v>
      </c>
      <c r="B73" s="9" t="s">
        <v>167</v>
      </c>
      <c r="C73" s="12" t="s">
        <v>122</v>
      </c>
      <c r="D73" s="14" t="s">
        <v>135</v>
      </c>
      <c r="E73" s="16"/>
      <c r="F73" s="8"/>
      <c r="G73" s="16"/>
      <c r="H73" s="8"/>
      <c r="I73" s="16"/>
    </row>
    <row r="74" outlineLevel="1">
      <c r="A74" s="9" t="s">
        <v>168</v>
      </c>
      <c r="B74" s="9" t="s">
        <v>62</v>
      </c>
      <c r="C74" s="12" t="s">
        <v>38</v>
      </c>
      <c r="D74" s="14" t="s">
        <v>135</v>
      </c>
      <c r="E74" s="16"/>
      <c r="F74" s="8"/>
      <c r="G74" s="16"/>
      <c r="H74" s="8"/>
      <c r="I74" s="16"/>
    </row>
    <row r="75" outlineLevel="1">
      <c r="A75" s="9" t="s">
        <v>169</v>
      </c>
      <c r="B75" s="9" t="s">
        <v>170</v>
      </c>
      <c r="C75" s="12" t="s">
        <v>149</v>
      </c>
      <c r="D75" s="14" t="s">
        <v>135</v>
      </c>
      <c r="E75" s="16"/>
      <c r="F75" s="8"/>
      <c r="G75" s="16"/>
      <c r="H75" s="8"/>
      <c r="I75" s="16"/>
    </row>
    <row r="76" outlineLevel="1">
      <c r="A76" s="9" t="s">
        <v>171</v>
      </c>
      <c r="B76" s="9" t="s">
        <v>172</v>
      </c>
      <c r="C76" s="12" t="s">
        <v>93</v>
      </c>
      <c r="D76" s="14" t="s">
        <v>135</v>
      </c>
      <c r="E76" s="16"/>
      <c r="F76" s="8"/>
      <c r="G76" s="16"/>
      <c r="H76" s="8"/>
      <c r="I76" s="16"/>
    </row>
    <row r="77" outlineLevel="1">
      <c r="A77" s="18" t="s">
        <v>173</v>
      </c>
      <c r="B77" s="9" t="s">
        <v>174</v>
      </c>
      <c r="C77" s="12" t="s">
        <v>141</v>
      </c>
      <c r="D77" s="14" t="s">
        <v>135</v>
      </c>
      <c r="E77" s="16"/>
      <c r="F77" s="8"/>
      <c r="G77" s="16"/>
      <c r="H77" s="8"/>
      <c r="I77" s="16"/>
    </row>
    <row r="78" outlineLevel="1">
      <c r="A78" s="9" t="s">
        <v>175</v>
      </c>
      <c r="B78" s="18" t="s">
        <v>176</v>
      </c>
      <c r="C78" s="19" t="s">
        <v>65</v>
      </c>
      <c r="D78" s="14" t="s">
        <v>135</v>
      </c>
      <c r="E78" s="16"/>
      <c r="F78" s="18"/>
      <c r="G78" s="19"/>
      <c r="H78" s="18"/>
      <c r="I78" s="19"/>
    </row>
    <row r="79" outlineLevel="1">
      <c r="A79" s="9" t="s">
        <v>99</v>
      </c>
      <c r="B79" s="9" t="s">
        <v>177</v>
      </c>
      <c r="C79" s="12" t="s">
        <v>141</v>
      </c>
      <c r="D79" s="14" t="s">
        <v>135</v>
      </c>
      <c r="E79" s="16"/>
      <c r="F79" s="8"/>
      <c r="G79" s="16"/>
      <c r="H79" s="8"/>
      <c r="I79" s="16"/>
    </row>
    <row r="80" outlineLevel="1">
      <c r="A80" s="9" t="s">
        <v>178</v>
      </c>
      <c r="B80" s="9" t="s">
        <v>179</v>
      </c>
      <c r="C80" s="12" t="s">
        <v>93</v>
      </c>
      <c r="D80" s="14" t="s">
        <v>135</v>
      </c>
      <c r="E80" s="16"/>
      <c r="F80" s="8"/>
      <c r="G80" s="16"/>
      <c r="H80" s="8"/>
      <c r="I80" s="16"/>
    </row>
    <row r="81" outlineLevel="1">
      <c r="A81" s="9" t="s">
        <v>180</v>
      </c>
      <c r="B81" s="9" t="s">
        <v>181</v>
      </c>
      <c r="C81" s="12" t="s">
        <v>24</v>
      </c>
      <c r="D81" s="14" t="s">
        <v>135</v>
      </c>
      <c r="E81" s="16"/>
      <c r="F81" s="8"/>
      <c r="G81" s="16"/>
      <c r="H81" s="8"/>
      <c r="I81" s="16"/>
    </row>
    <row r="82" outlineLevel="1">
      <c r="A82" s="9" t="s">
        <v>182</v>
      </c>
      <c r="B82" s="9" t="s">
        <v>183</v>
      </c>
      <c r="C82" s="12" t="s">
        <v>24</v>
      </c>
      <c r="D82" s="14" t="s">
        <v>135</v>
      </c>
      <c r="E82" s="16"/>
      <c r="F82" s="8"/>
      <c r="G82" s="16"/>
      <c r="H82" s="8"/>
      <c r="I82" s="16"/>
    </row>
    <row r="83" outlineLevel="1">
      <c r="A83" s="9" t="s">
        <v>184</v>
      </c>
      <c r="B83" s="9" t="s">
        <v>185</v>
      </c>
      <c r="C83" s="12" t="s">
        <v>186</v>
      </c>
      <c r="D83" s="14" t="s">
        <v>135</v>
      </c>
      <c r="E83" s="16"/>
      <c r="F83" s="8"/>
      <c r="G83" s="16"/>
      <c r="H83" s="8"/>
      <c r="I83" s="16"/>
    </row>
    <row r="84" outlineLevel="1">
      <c r="A84" s="9" t="s">
        <v>187</v>
      </c>
      <c r="B84" s="9" t="s">
        <v>188</v>
      </c>
      <c r="C84" s="12" t="s">
        <v>138</v>
      </c>
      <c r="D84" s="14" t="s">
        <v>189</v>
      </c>
      <c r="E84" s="16"/>
      <c r="F84" s="8"/>
      <c r="G84" s="16"/>
      <c r="H84" s="8"/>
      <c r="I84" s="16"/>
    </row>
    <row r="85" outlineLevel="1">
      <c r="A85" s="9" t="s">
        <v>190</v>
      </c>
      <c r="B85" s="9" t="s">
        <v>191</v>
      </c>
      <c r="C85" s="12" t="s">
        <v>192</v>
      </c>
      <c r="D85" s="14" t="s">
        <v>189</v>
      </c>
      <c r="E85" s="16"/>
      <c r="F85" s="8"/>
      <c r="G85" s="16"/>
      <c r="H85" s="8"/>
      <c r="I85" s="16"/>
    </row>
    <row r="86" outlineLevel="1">
      <c r="A86" s="9" t="s">
        <v>193</v>
      </c>
      <c r="B86" s="9" t="s">
        <v>194</v>
      </c>
      <c r="C86" s="12" t="s">
        <v>192</v>
      </c>
      <c r="D86" s="14" t="s">
        <v>189</v>
      </c>
      <c r="E86" s="16"/>
      <c r="F86" s="8"/>
      <c r="G86" s="16"/>
      <c r="H86" s="8"/>
      <c r="I86" s="16"/>
    </row>
    <row r="87" outlineLevel="1">
      <c r="A87" s="9" t="s">
        <v>195</v>
      </c>
      <c r="B87" s="9" t="s">
        <v>196</v>
      </c>
      <c r="C87" s="12" t="s">
        <v>24</v>
      </c>
      <c r="D87" s="14" t="s">
        <v>189</v>
      </c>
      <c r="E87" s="16"/>
      <c r="F87" s="8"/>
      <c r="G87" s="16"/>
      <c r="H87" s="8"/>
      <c r="I87" s="16"/>
    </row>
    <row r="88" outlineLevel="1">
      <c r="A88" s="9" t="s">
        <v>197</v>
      </c>
      <c r="B88" s="9" t="s">
        <v>198</v>
      </c>
      <c r="C88" s="12" t="s">
        <v>16</v>
      </c>
      <c r="D88" s="14" t="s">
        <v>189</v>
      </c>
      <c r="E88" s="16"/>
      <c r="F88" s="8"/>
      <c r="G88" s="16"/>
      <c r="H88" s="8"/>
      <c r="I88" s="16"/>
    </row>
    <row r="89" outlineLevel="1">
      <c r="A89" s="9" t="s">
        <v>199</v>
      </c>
      <c r="B89" s="9" t="s">
        <v>55</v>
      </c>
      <c r="C89" s="12" t="s">
        <v>24</v>
      </c>
      <c r="D89" s="14" t="s">
        <v>189</v>
      </c>
      <c r="E89" s="16"/>
      <c r="F89" s="8"/>
      <c r="G89" s="16"/>
      <c r="H89" s="8"/>
      <c r="I89" s="16"/>
    </row>
    <row r="90" outlineLevel="1">
      <c r="A90" s="9" t="s">
        <v>200</v>
      </c>
      <c r="B90" s="9" t="s">
        <v>201</v>
      </c>
      <c r="C90" s="12" t="s">
        <v>24</v>
      </c>
      <c r="D90" s="14" t="s">
        <v>189</v>
      </c>
      <c r="E90" s="16"/>
      <c r="F90" s="18"/>
      <c r="G90" s="19"/>
      <c r="H90" s="18"/>
      <c r="I90" s="19"/>
    </row>
    <row r="91" outlineLevel="1">
      <c r="A91" s="9" t="s">
        <v>202</v>
      </c>
      <c r="B91" s="9" t="s">
        <v>203</v>
      </c>
      <c r="C91" s="12" t="s">
        <v>12</v>
      </c>
      <c r="D91" s="14" t="s">
        <v>189</v>
      </c>
      <c r="E91" s="16"/>
      <c r="F91" s="8"/>
      <c r="G91" s="16"/>
      <c r="H91" s="8"/>
      <c r="I91" s="16"/>
    </row>
    <row r="92" outlineLevel="1">
      <c r="A92" s="9" t="s">
        <v>203</v>
      </c>
      <c r="B92" s="9" t="s">
        <v>204</v>
      </c>
      <c r="C92" s="12" t="s">
        <v>24</v>
      </c>
      <c r="D92" s="14" t="s">
        <v>189</v>
      </c>
      <c r="E92" s="16"/>
      <c r="F92" s="8"/>
      <c r="G92" s="16"/>
      <c r="H92" s="8"/>
      <c r="I92" s="16"/>
    </row>
    <row r="93" outlineLevel="1">
      <c r="A93" s="9" t="s">
        <v>205</v>
      </c>
      <c r="B93" s="9" t="s">
        <v>206</v>
      </c>
      <c r="C93" s="12" t="s">
        <v>122</v>
      </c>
      <c r="D93" s="14" t="s">
        <v>189</v>
      </c>
      <c r="E93" s="16"/>
      <c r="F93" s="8"/>
      <c r="G93" s="16"/>
      <c r="H93" s="8"/>
      <c r="I93" s="16"/>
    </row>
    <row r="94" outlineLevel="1">
      <c r="A94" s="9" t="s">
        <v>207</v>
      </c>
      <c r="B94" s="9" t="s">
        <v>183</v>
      </c>
      <c r="C94" s="12" t="s">
        <v>75</v>
      </c>
      <c r="D94" s="14" t="s">
        <v>189</v>
      </c>
      <c r="E94" s="16"/>
      <c r="F94" s="8"/>
      <c r="G94" s="16"/>
      <c r="H94" s="8"/>
      <c r="I94" s="16"/>
    </row>
    <row r="95" outlineLevel="1">
      <c r="A95" s="9" t="s">
        <v>208</v>
      </c>
      <c r="B95" s="9" t="s">
        <v>209</v>
      </c>
      <c r="C95" s="12" t="s">
        <v>65</v>
      </c>
      <c r="D95" s="14" t="s">
        <v>189</v>
      </c>
      <c r="E95" s="16"/>
      <c r="F95" s="8"/>
      <c r="G95" s="16"/>
      <c r="H95" s="8"/>
      <c r="I95" s="16"/>
    </row>
    <row r="96" outlineLevel="1">
      <c r="A96" s="9" t="s">
        <v>210</v>
      </c>
      <c r="B96" s="9" t="s">
        <v>114</v>
      </c>
      <c r="C96" s="12" t="s">
        <v>75</v>
      </c>
      <c r="D96" s="14" t="s">
        <v>189</v>
      </c>
      <c r="E96" s="16"/>
      <c r="F96" s="8"/>
      <c r="G96" s="16"/>
      <c r="H96" s="8"/>
      <c r="I96" s="16"/>
    </row>
    <row r="97" outlineLevel="1">
      <c r="A97" s="9" t="s">
        <v>211</v>
      </c>
      <c r="B97" s="9" t="s">
        <v>212</v>
      </c>
      <c r="C97" s="12" t="s">
        <v>192</v>
      </c>
      <c r="D97" s="14" t="s">
        <v>189</v>
      </c>
      <c r="E97" s="16"/>
      <c r="F97" s="8"/>
      <c r="G97" s="16"/>
      <c r="H97" s="8"/>
      <c r="I97" s="16"/>
    </row>
    <row r="98" outlineLevel="1">
      <c r="A98" s="9" t="s">
        <v>213</v>
      </c>
      <c r="B98" s="9" t="s">
        <v>214</v>
      </c>
      <c r="C98" s="12" t="s">
        <v>215</v>
      </c>
      <c r="D98" s="14" t="s">
        <v>189</v>
      </c>
      <c r="E98" s="16"/>
      <c r="F98" s="8"/>
      <c r="G98" s="16"/>
      <c r="H98" s="8"/>
      <c r="I98" s="16"/>
    </row>
    <row r="99" outlineLevel="1">
      <c r="A99" s="9" t="s">
        <v>216</v>
      </c>
      <c r="B99" s="9" t="s">
        <v>217</v>
      </c>
      <c r="C99" s="12" t="s">
        <v>80</v>
      </c>
      <c r="D99" s="14" t="s">
        <v>189</v>
      </c>
      <c r="E99" s="16"/>
      <c r="F99" s="8"/>
      <c r="G99" s="16"/>
      <c r="H99" s="8"/>
      <c r="I99" s="16"/>
    </row>
    <row r="100" outlineLevel="1">
      <c r="A100" s="9" t="s">
        <v>216</v>
      </c>
      <c r="B100" s="9" t="s">
        <v>45</v>
      </c>
      <c r="C100" s="12" t="s">
        <v>93</v>
      </c>
      <c r="D100" s="14" t="s">
        <v>189</v>
      </c>
      <c r="E100" s="16"/>
      <c r="F100" s="8"/>
      <c r="G100" s="16"/>
      <c r="H100" s="8"/>
      <c r="I100" s="16"/>
    </row>
    <row r="101" outlineLevel="1">
      <c r="A101" s="9" t="s">
        <v>218</v>
      </c>
      <c r="B101" s="9" t="s">
        <v>219</v>
      </c>
      <c r="C101" s="12" t="s">
        <v>16</v>
      </c>
      <c r="D101" s="14" t="s">
        <v>189</v>
      </c>
      <c r="E101" s="16"/>
      <c r="F101" s="8"/>
      <c r="G101" s="16"/>
      <c r="H101" s="8"/>
      <c r="I101" s="16"/>
    </row>
    <row r="102" outlineLevel="1">
      <c r="A102" s="9" t="s">
        <v>220</v>
      </c>
      <c r="B102" s="9" t="s">
        <v>214</v>
      </c>
      <c r="C102" s="12" t="s">
        <v>24</v>
      </c>
      <c r="D102" s="14" t="s">
        <v>189</v>
      </c>
      <c r="E102" s="16"/>
      <c r="F102" s="8"/>
      <c r="G102" s="16"/>
      <c r="H102" s="8"/>
      <c r="I102" s="16"/>
    </row>
    <row r="103" outlineLevel="1">
      <c r="A103" s="9" t="s">
        <v>221</v>
      </c>
      <c r="B103" s="9" t="s">
        <v>222</v>
      </c>
      <c r="C103" s="12" t="s">
        <v>24</v>
      </c>
      <c r="D103" s="14" t="s">
        <v>189</v>
      </c>
      <c r="E103" s="16"/>
      <c r="F103" s="8"/>
      <c r="G103" s="16"/>
      <c r="H103" s="8"/>
      <c r="I103" s="16"/>
    </row>
    <row r="104" outlineLevel="1">
      <c r="A104" s="9" t="s">
        <v>223</v>
      </c>
      <c r="B104" s="9" t="s">
        <v>224</v>
      </c>
      <c r="C104" s="12" t="s">
        <v>59</v>
      </c>
      <c r="D104" s="14" t="s">
        <v>189</v>
      </c>
      <c r="E104" s="16"/>
      <c r="F104" s="8"/>
      <c r="G104" s="16"/>
      <c r="H104" s="8"/>
      <c r="I104" s="16"/>
    </row>
    <row r="105" outlineLevel="1">
      <c r="A105" s="9" t="s">
        <v>225</v>
      </c>
      <c r="B105" s="9" t="s">
        <v>226</v>
      </c>
      <c r="C105" s="12" t="s">
        <v>65</v>
      </c>
      <c r="D105" s="14" t="s">
        <v>189</v>
      </c>
      <c r="E105" s="16"/>
      <c r="F105" s="18"/>
      <c r="G105" s="19"/>
      <c r="H105" s="18"/>
      <c r="I105" s="19"/>
    </row>
    <row r="106" outlineLevel="1">
      <c r="A106" s="9" t="s">
        <v>227</v>
      </c>
      <c r="B106" s="9" t="s">
        <v>67</v>
      </c>
      <c r="C106" s="12" t="s">
        <v>12</v>
      </c>
      <c r="D106" s="14" t="s">
        <v>189</v>
      </c>
      <c r="E106" s="16"/>
      <c r="F106" s="8"/>
      <c r="G106" s="16"/>
      <c r="H106" s="8"/>
      <c r="I106" s="16"/>
    </row>
    <row r="107" outlineLevel="1">
      <c r="A107" s="9" t="s">
        <v>228</v>
      </c>
      <c r="B107" s="9" t="s">
        <v>229</v>
      </c>
      <c r="C107" s="12" t="s">
        <v>215</v>
      </c>
      <c r="D107" s="14" t="s">
        <v>189</v>
      </c>
      <c r="E107" s="16"/>
      <c r="F107" s="8"/>
      <c r="G107" s="16"/>
      <c r="H107" s="8"/>
      <c r="I107" s="16"/>
    </row>
    <row r="108" outlineLevel="1">
      <c r="A108" s="9" t="s">
        <v>230</v>
      </c>
      <c r="B108" s="9" t="s">
        <v>231</v>
      </c>
      <c r="C108" s="12" t="s">
        <v>141</v>
      </c>
      <c r="D108" s="14" t="s">
        <v>189</v>
      </c>
      <c r="E108" s="16"/>
      <c r="F108" s="8"/>
      <c r="G108" s="16"/>
      <c r="H108" s="8"/>
      <c r="I108" s="16"/>
    </row>
    <row r="109" outlineLevel="1">
      <c r="A109" s="9" t="s">
        <v>232</v>
      </c>
      <c r="B109" s="9" t="s">
        <v>102</v>
      </c>
      <c r="C109" s="12" t="s">
        <v>16</v>
      </c>
      <c r="D109" s="14" t="s">
        <v>189</v>
      </c>
      <c r="E109" s="16"/>
      <c r="F109" s="8"/>
      <c r="G109" s="16"/>
      <c r="H109" s="8"/>
      <c r="I109" s="16"/>
    </row>
    <row r="110" outlineLevel="1">
      <c r="A110" s="9" t="s">
        <v>233</v>
      </c>
      <c r="B110" s="9" t="s">
        <v>234</v>
      </c>
      <c r="C110" s="12" t="s">
        <v>122</v>
      </c>
      <c r="D110" s="14" t="s">
        <v>189</v>
      </c>
      <c r="E110" s="16"/>
      <c r="F110" s="8"/>
      <c r="G110" s="16"/>
      <c r="H110" s="8"/>
      <c r="I110" s="16"/>
    </row>
    <row r="111" outlineLevel="1">
      <c r="A111" s="9" t="s">
        <v>235</v>
      </c>
      <c r="B111" s="18" t="s">
        <v>236</v>
      </c>
      <c r="C111" s="19" t="s">
        <v>59</v>
      </c>
      <c r="D111" s="14" t="s">
        <v>237</v>
      </c>
      <c r="E111" s="16"/>
      <c r="F111" s="8"/>
      <c r="G111" s="16"/>
      <c r="H111" s="8"/>
      <c r="I111" s="16"/>
    </row>
    <row r="112" outlineLevel="1">
      <c r="A112" s="9" t="s">
        <v>238</v>
      </c>
      <c r="B112" s="9" t="s">
        <v>239</v>
      </c>
      <c r="C112" s="12" t="s">
        <v>122</v>
      </c>
      <c r="D112" s="14" t="s">
        <v>237</v>
      </c>
      <c r="E112" s="16"/>
      <c r="F112" s="8"/>
      <c r="G112" s="16"/>
      <c r="H112" s="8"/>
      <c r="I112" s="16"/>
    </row>
    <row r="113" outlineLevel="1">
      <c r="A113" s="9" t="s">
        <v>240</v>
      </c>
      <c r="B113" s="9" t="s">
        <v>241</v>
      </c>
      <c r="C113" s="12" t="s">
        <v>12</v>
      </c>
      <c r="D113" s="14" t="s">
        <v>237</v>
      </c>
      <c r="E113" s="16"/>
      <c r="F113" s="8"/>
      <c r="G113" s="16"/>
      <c r="H113" s="8"/>
      <c r="I113" s="16"/>
    </row>
    <row r="114" outlineLevel="1">
      <c r="A114" s="9" t="s">
        <v>242</v>
      </c>
      <c r="B114" s="9" t="s">
        <v>33</v>
      </c>
      <c r="C114" s="12" t="s">
        <v>38</v>
      </c>
      <c r="D114" s="14" t="s">
        <v>237</v>
      </c>
      <c r="E114" s="16"/>
      <c r="F114" s="8"/>
      <c r="G114" s="16"/>
      <c r="H114" s="8"/>
      <c r="I114" s="16"/>
    </row>
    <row r="115" outlineLevel="1">
      <c r="A115" s="9" t="s">
        <v>243</v>
      </c>
      <c r="B115" s="9" t="s">
        <v>244</v>
      </c>
      <c r="C115" s="12" t="s">
        <v>93</v>
      </c>
      <c r="D115" s="14" t="s">
        <v>237</v>
      </c>
      <c r="E115" s="16"/>
      <c r="F115" s="8"/>
      <c r="G115" s="16"/>
      <c r="H115" s="8"/>
      <c r="I115" s="16"/>
    </row>
    <row r="116" outlineLevel="1">
      <c r="A116" s="9" t="s">
        <v>106</v>
      </c>
      <c r="B116" s="9" t="s">
        <v>245</v>
      </c>
      <c r="C116" s="12" t="s">
        <v>65</v>
      </c>
      <c r="D116" s="14" t="s">
        <v>237</v>
      </c>
      <c r="E116" s="16"/>
      <c r="F116" s="18"/>
      <c r="G116" s="19"/>
      <c r="H116" s="18"/>
      <c r="I116" s="19"/>
    </row>
    <row r="117" outlineLevel="1">
      <c r="A117" s="9" t="s">
        <v>246</v>
      </c>
      <c r="B117" s="9" t="s">
        <v>247</v>
      </c>
      <c r="C117" s="12" t="s">
        <v>149</v>
      </c>
      <c r="D117" s="14" t="s">
        <v>237</v>
      </c>
      <c r="E117" s="16"/>
      <c r="F117" s="18"/>
      <c r="G117" s="19"/>
      <c r="H117" s="18"/>
      <c r="I117" s="19"/>
    </row>
    <row r="118" outlineLevel="1">
      <c r="A118" s="9" t="s">
        <v>248</v>
      </c>
      <c r="B118" s="9" t="s">
        <v>249</v>
      </c>
      <c r="C118" s="12" t="s">
        <v>186</v>
      </c>
      <c r="D118" s="14" t="s">
        <v>237</v>
      </c>
      <c r="E118" s="16"/>
      <c r="F118" s="8"/>
      <c r="G118" s="16"/>
      <c r="H118" s="8"/>
      <c r="I118" s="16"/>
    </row>
    <row r="119" outlineLevel="1">
      <c r="A119" s="9" t="s">
        <v>250</v>
      </c>
      <c r="B119" s="9" t="s">
        <v>212</v>
      </c>
      <c r="C119" s="12" t="s">
        <v>46</v>
      </c>
      <c r="D119" s="14" t="s">
        <v>237</v>
      </c>
      <c r="E119" s="16"/>
      <c r="F119" s="8"/>
      <c r="G119" s="16"/>
      <c r="H119" s="8"/>
      <c r="I119" s="16"/>
    </row>
    <row r="120" outlineLevel="1">
      <c r="A120" s="9" t="s">
        <v>251</v>
      </c>
      <c r="B120" s="9" t="s">
        <v>252</v>
      </c>
      <c r="C120" s="12" t="s">
        <v>24</v>
      </c>
      <c r="D120" s="14" t="s">
        <v>237</v>
      </c>
      <c r="E120" s="16"/>
      <c r="F120" s="8"/>
      <c r="G120" s="16"/>
      <c r="H120" s="8"/>
      <c r="I120" s="16"/>
    </row>
    <row r="121" outlineLevel="1">
      <c r="A121" s="9" t="s">
        <v>253</v>
      </c>
      <c r="B121" s="9" t="s">
        <v>127</v>
      </c>
      <c r="C121" s="12" t="s">
        <v>215</v>
      </c>
      <c r="D121" s="14" t="s">
        <v>237</v>
      </c>
      <c r="E121" s="16"/>
      <c r="F121" s="8"/>
      <c r="G121" s="16"/>
      <c r="H121" s="8"/>
      <c r="I121" s="16"/>
    </row>
    <row r="122" outlineLevel="1">
      <c r="A122" s="9" t="s">
        <v>254</v>
      </c>
      <c r="B122" s="9" t="s">
        <v>255</v>
      </c>
      <c r="C122" s="12" t="s">
        <v>16</v>
      </c>
      <c r="D122" s="14" t="s">
        <v>237</v>
      </c>
      <c r="E122" s="16"/>
      <c r="F122" s="8"/>
      <c r="G122" s="16"/>
      <c r="H122" s="8"/>
      <c r="I122" s="16"/>
    </row>
    <row r="123" outlineLevel="1">
      <c r="A123" s="9" t="s">
        <v>256</v>
      </c>
      <c r="B123" s="9" t="s">
        <v>257</v>
      </c>
      <c r="C123" s="12" t="s">
        <v>138</v>
      </c>
      <c r="D123" s="14" t="s">
        <v>237</v>
      </c>
      <c r="E123" s="16"/>
      <c r="F123" s="8"/>
      <c r="G123" s="16"/>
      <c r="H123" s="8"/>
      <c r="I123" s="16"/>
    </row>
    <row r="124" outlineLevel="1">
      <c r="A124" s="9" t="s">
        <v>258</v>
      </c>
      <c r="B124" s="9" t="s">
        <v>43</v>
      </c>
      <c r="C124" s="12" t="s">
        <v>16</v>
      </c>
      <c r="D124" s="14" t="s">
        <v>237</v>
      </c>
      <c r="E124" s="16"/>
      <c r="F124" s="8"/>
      <c r="G124" s="16"/>
      <c r="H124" s="8"/>
      <c r="I124" s="16"/>
    </row>
    <row r="125" outlineLevel="1">
      <c r="A125" s="9" t="s">
        <v>259</v>
      </c>
      <c r="B125" s="9" t="s">
        <v>260</v>
      </c>
      <c r="C125" s="12" t="s">
        <v>261</v>
      </c>
      <c r="D125" s="14" t="s">
        <v>237</v>
      </c>
      <c r="E125" s="16"/>
      <c r="F125" s="8"/>
      <c r="G125" s="16"/>
      <c r="H125" s="8"/>
      <c r="I125" s="16"/>
    </row>
    <row r="126" outlineLevel="1">
      <c r="A126" s="9" t="s">
        <v>262</v>
      </c>
      <c r="B126" s="9" t="s">
        <v>263</v>
      </c>
      <c r="C126" s="12" t="s">
        <v>141</v>
      </c>
      <c r="D126" s="14" t="s">
        <v>237</v>
      </c>
      <c r="E126" s="16"/>
      <c r="F126" s="8"/>
      <c r="G126" s="16"/>
      <c r="H126" s="8"/>
      <c r="I126" s="16"/>
    </row>
    <row r="127" outlineLevel="1">
      <c r="A127" s="9" t="s">
        <v>264</v>
      </c>
      <c r="B127" s="9" t="s">
        <v>265</v>
      </c>
      <c r="C127" s="12" t="s">
        <v>75</v>
      </c>
      <c r="D127" s="14" t="s">
        <v>237</v>
      </c>
      <c r="E127" s="16"/>
      <c r="F127" s="18"/>
      <c r="G127" s="19"/>
      <c r="H127" s="18"/>
      <c r="I127" s="19"/>
    </row>
    <row r="128" outlineLevel="1">
      <c r="A128" s="9" t="s">
        <v>266</v>
      </c>
      <c r="B128" s="9" t="s">
        <v>50</v>
      </c>
      <c r="C128" s="12" t="s">
        <v>75</v>
      </c>
      <c r="D128" s="14" t="s">
        <v>237</v>
      </c>
      <c r="E128" s="16"/>
      <c r="F128" s="8"/>
      <c r="G128" s="16"/>
      <c r="H128" s="8"/>
      <c r="I128" s="16"/>
    </row>
    <row r="129" outlineLevel="1">
      <c r="A129" s="9" t="s">
        <v>267</v>
      </c>
      <c r="B129" s="9" t="s">
        <v>247</v>
      </c>
      <c r="C129" s="12" t="s">
        <v>149</v>
      </c>
      <c r="D129" s="14" t="s">
        <v>237</v>
      </c>
      <c r="E129" s="16"/>
      <c r="F129" s="8"/>
      <c r="G129" s="16"/>
      <c r="H129" s="8"/>
      <c r="I129" s="16"/>
    </row>
    <row r="130" outlineLevel="1">
      <c r="A130" s="9" t="s">
        <v>203</v>
      </c>
      <c r="B130" s="9" t="s">
        <v>121</v>
      </c>
      <c r="C130" s="12" t="s">
        <v>215</v>
      </c>
      <c r="D130" s="14" t="s">
        <v>237</v>
      </c>
      <c r="E130" s="16"/>
      <c r="F130" s="18"/>
      <c r="G130" s="19"/>
      <c r="H130" s="18"/>
      <c r="I130" s="19"/>
    </row>
    <row r="131" outlineLevel="1">
      <c r="A131" s="18" t="s">
        <v>268</v>
      </c>
      <c r="B131" s="9" t="s">
        <v>269</v>
      </c>
      <c r="C131" s="12" t="s">
        <v>65</v>
      </c>
      <c r="D131" s="14" t="s">
        <v>237</v>
      </c>
      <c r="E131" s="16"/>
      <c r="F131" s="8"/>
      <c r="G131" s="16"/>
      <c r="H131" s="8"/>
      <c r="I131" s="16"/>
    </row>
    <row r="132" outlineLevel="1">
      <c r="A132" s="9" t="s">
        <v>268</v>
      </c>
      <c r="B132" s="18" t="s">
        <v>270</v>
      </c>
      <c r="C132" s="19" t="s">
        <v>24</v>
      </c>
      <c r="D132" s="14" t="s">
        <v>237</v>
      </c>
      <c r="E132" s="16"/>
      <c r="F132" s="8"/>
      <c r="G132" s="16"/>
      <c r="H132" s="8"/>
      <c r="I132" s="16"/>
    </row>
    <row r="133" outlineLevel="1">
      <c r="A133" s="9" t="s">
        <v>271</v>
      </c>
      <c r="B133" s="9" t="s">
        <v>272</v>
      </c>
      <c r="C133" s="12" t="s">
        <v>215</v>
      </c>
      <c r="D133" s="14" t="s">
        <v>237</v>
      </c>
      <c r="E133" s="16"/>
      <c r="F133" s="8"/>
      <c r="G133" s="16"/>
      <c r="H133" s="8"/>
      <c r="I133" s="16"/>
    </row>
    <row r="134" outlineLevel="1">
      <c r="A134" s="9" t="s">
        <v>89</v>
      </c>
      <c r="B134" s="9" t="s">
        <v>273</v>
      </c>
      <c r="C134" s="12" t="s">
        <v>65</v>
      </c>
      <c r="D134" s="14" t="s">
        <v>237</v>
      </c>
      <c r="E134" s="16"/>
      <c r="F134" s="8"/>
      <c r="G134" s="16"/>
      <c r="H134" s="8"/>
      <c r="I134" s="16"/>
    </row>
    <row r="135" outlineLevel="1">
      <c r="A135" s="9" t="s">
        <v>274</v>
      </c>
      <c r="B135" s="9" t="s">
        <v>275</v>
      </c>
      <c r="C135" s="12" t="s">
        <v>65</v>
      </c>
      <c r="D135" s="14" t="s">
        <v>237</v>
      </c>
      <c r="E135" s="16"/>
      <c r="F135" s="18"/>
      <c r="G135" s="19"/>
      <c r="H135" s="18"/>
      <c r="I135" s="19"/>
    </row>
    <row r="136" outlineLevel="1">
      <c r="A136" s="9" t="s">
        <v>276</v>
      </c>
      <c r="B136" s="9" t="s">
        <v>277</v>
      </c>
      <c r="C136" s="12" t="s">
        <v>65</v>
      </c>
      <c r="D136" s="14" t="s">
        <v>237</v>
      </c>
      <c r="E136" s="16"/>
      <c r="F136" s="8"/>
      <c r="G136" s="16"/>
      <c r="H136" s="8"/>
      <c r="I136" s="16"/>
    </row>
    <row r="137" outlineLevel="1">
      <c r="A137" s="9" t="s">
        <v>278</v>
      </c>
      <c r="B137" s="9" t="s">
        <v>279</v>
      </c>
      <c r="C137" s="12" t="s">
        <v>215</v>
      </c>
      <c r="D137" s="14" t="s">
        <v>237</v>
      </c>
      <c r="E137" s="16"/>
      <c r="F137" s="8"/>
      <c r="G137" s="16"/>
      <c r="H137" s="8"/>
      <c r="I137" s="16"/>
    </row>
    <row r="138" outlineLevel="1">
      <c r="A138" s="9" t="s">
        <v>280</v>
      </c>
      <c r="B138" s="9" t="s">
        <v>249</v>
      </c>
      <c r="C138" s="12" t="s">
        <v>53</v>
      </c>
      <c r="D138" s="14" t="s">
        <v>237</v>
      </c>
      <c r="E138" s="16"/>
      <c r="F138" s="8"/>
      <c r="G138" s="16"/>
      <c r="H138" s="8"/>
      <c r="I138" s="16"/>
    </row>
    <row r="139" outlineLevel="1">
      <c r="A139" s="9" t="s">
        <v>208</v>
      </c>
      <c r="B139" s="9" t="s">
        <v>281</v>
      </c>
      <c r="C139" s="12" t="s">
        <v>93</v>
      </c>
      <c r="D139" s="14" t="s">
        <v>237</v>
      </c>
      <c r="E139" s="16"/>
      <c r="F139" s="8"/>
      <c r="G139" s="16"/>
      <c r="H139" s="8"/>
      <c r="I139" s="16"/>
    </row>
    <row r="140" outlineLevel="1">
      <c r="A140" s="9" t="s">
        <v>282</v>
      </c>
      <c r="B140" s="9" t="s">
        <v>283</v>
      </c>
      <c r="C140" s="12" t="s">
        <v>192</v>
      </c>
      <c r="D140" s="14" t="s">
        <v>237</v>
      </c>
      <c r="E140" s="16"/>
      <c r="F140" s="8"/>
      <c r="G140" s="16"/>
      <c r="H140" s="8"/>
      <c r="I140" s="16"/>
    </row>
    <row r="141" outlineLevel="1">
      <c r="A141" s="9" t="s">
        <v>284</v>
      </c>
      <c r="B141" s="9" t="s">
        <v>285</v>
      </c>
      <c r="C141" s="12" t="s">
        <v>192</v>
      </c>
      <c r="D141" s="14" t="s">
        <v>237</v>
      </c>
      <c r="E141" s="16"/>
      <c r="F141" s="8"/>
      <c r="G141" s="16"/>
      <c r="H141" s="8"/>
      <c r="I141" s="16"/>
    </row>
    <row r="142" outlineLevel="1">
      <c r="A142" s="9" t="s">
        <v>284</v>
      </c>
      <c r="B142" s="9" t="s">
        <v>286</v>
      </c>
      <c r="C142" s="12" t="s">
        <v>192</v>
      </c>
      <c r="D142" s="14" t="s">
        <v>237</v>
      </c>
      <c r="E142" s="16"/>
      <c r="F142" s="8"/>
      <c r="G142" s="16"/>
      <c r="H142" s="8"/>
      <c r="I142" s="16"/>
    </row>
    <row r="143" outlineLevel="1">
      <c r="A143" s="9" t="s">
        <v>284</v>
      </c>
      <c r="B143" s="9" t="s">
        <v>287</v>
      </c>
      <c r="C143" s="12" t="s">
        <v>70</v>
      </c>
      <c r="D143" s="14" t="s">
        <v>237</v>
      </c>
      <c r="E143" s="16"/>
      <c r="F143" s="8"/>
      <c r="G143" s="16"/>
      <c r="H143" s="8"/>
      <c r="I143" s="16"/>
    </row>
    <row r="144" outlineLevel="1">
      <c r="A144" s="9" t="s">
        <v>288</v>
      </c>
      <c r="B144" s="9" t="s">
        <v>289</v>
      </c>
      <c r="C144" s="12" t="s">
        <v>16</v>
      </c>
      <c r="D144" s="14" t="s">
        <v>237</v>
      </c>
      <c r="E144" s="16"/>
      <c r="F144" s="8"/>
      <c r="G144" s="16"/>
      <c r="H144" s="8"/>
      <c r="I144" s="16"/>
    </row>
    <row r="145" outlineLevel="1">
      <c r="A145" s="9" t="s">
        <v>290</v>
      </c>
      <c r="B145" s="9" t="s">
        <v>45</v>
      </c>
      <c r="C145" s="12" t="s">
        <v>141</v>
      </c>
      <c r="D145" s="14" t="s">
        <v>237</v>
      </c>
      <c r="E145" s="16"/>
      <c r="F145" s="8"/>
      <c r="G145" s="16"/>
      <c r="H145" s="8"/>
      <c r="I145" s="16"/>
    </row>
    <row r="146" outlineLevel="1">
      <c r="A146" s="9" t="s">
        <v>291</v>
      </c>
      <c r="B146" s="9" t="s">
        <v>67</v>
      </c>
      <c r="C146" s="12" t="s">
        <v>53</v>
      </c>
      <c r="D146" s="14" t="s">
        <v>237</v>
      </c>
      <c r="E146" s="16"/>
      <c r="F146" s="8"/>
      <c r="G146" s="16"/>
      <c r="H146" s="8"/>
      <c r="I146" s="16"/>
    </row>
    <row r="147" outlineLevel="1">
      <c r="A147" s="9" t="s">
        <v>292</v>
      </c>
      <c r="B147" s="9" t="s">
        <v>197</v>
      </c>
      <c r="C147" s="12" t="s">
        <v>141</v>
      </c>
      <c r="D147" s="14" t="s">
        <v>237</v>
      </c>
      <c r="E147" s="16"/>
      <c r="F147" s="8"/>
      <c r="G147" s="16"/>
      <c r="H147" s="8"/>
      <c r="I147" s="16"/>
    </row>
    <row r="148" outlineLevel="1">
      <c r="A148" s="9" t="s">
        <v>293</v>
      </c>
      <c r="B148" s="9" t="s">
        <v>77</v>
      </c>
      <c r="C148" s="12" t="s">
        <v>122</v>
      </c>
      <c r="D148" s="14" t="s">
        <v>237</v>
      </c>
      <c r="E148" s="16"/>
      <c r="F148" s="8"/>
      <c r="G148" s="16"/>
      <c r="H148" s="8"/>
      <c r="I148" s="16"/>
    </row>
    <row r="149" outlineLevel="1">
      <c r="A149" s="9" t="s">
        <v>218</v>
      </c>
      <c r="B149" s="9" t="s">
        <v>294</v>
      </c>
      <c r="C149" s="12" t="s">
        <v>215</v>
      </c>
      <c r="D149" s="14" t="s">
        <v>237</v>
      </c>
      <c r="E149" s="16"/>
      <c r="F149" s="18"/>
      <c r="G149" s="19"/>
      <c r="H149" s="18"/>
      <c r="I149" s="19"/>
    </row>
    <row r="150" outlineLevel="1">
      <c r="A150" s="9" t="s">
        <v>218</v>
      </c>
      <c r="B150" s="9" t="s">
        <v>295</v>
      </c>
      <c r="C150" s="12" t="s">
        <v>70</v>
      </c>
      <c r="D150" s="14" t="s">
        <v>237</v>
      </c>
      <c r="E150" s="16"/>
      <c r="F150" s="8"/>
      <c r="G150" s="16"/>
      <c r="H150" s="8"/>
      <c r="I150" s="16"/>
    </row>
    <row r="151" outlineLevel="1">
      <c r="A151" s="9" t="s">
        <v>296</v>
      </c>
      <c r="B151" s="9" t="s">
        <v>297</v>
      </c>
      <c r="C151" s="12" t="s">
        <v>93</v>
      </c>
      <c r="D151" s="14" t="s">
        <v>237</v>
      </c>
      <c r="E151" s="16"/>
      <c r="F151" s="8"/>
      <c r="G151" s="16"/>
      <c r="H151" s="8"/>
      <c r="I151" s="16"/>
    </row>
    <row r="152" outlineLevel="1">
      <c r="A152" s="9" t="s">
        <v>298</v>
      </c>
      <c r="B152" s="9" t="s">
        <v>299</v>
      </c>
      <c r="C152" s="12" t="s">
        <v>24</v>
      </c>
      <c r="D152" s="14" t="s">
        <v>237</v>
      </c>
      <c r="E152" s="16"/>
      <c r="F152" s="8"/>
      <c r="G152" s="16"/>
      <c r="H152" s="8"/>
      <c r="I152" s="16"/>
    </row>
    <row r="153" outlineLevel="1">
      <c r="A153" s="9" t="s">
        <v>300</v>
      </c>
      <c r="B153" s="9" t="s">
        <v>301</v>
      </c>
      <c r="C153" s="12" t="s">
        <v>93</v>
      </c>
      <c r="D153" s="14" t="s">
        <v>237</v>
      </c>
      <c r="E153" s="16"/>
      <c r="F153" s="8"/>
      <c r="G153" s="16"/>
      <c r="H153" s="8"/>
      <c r="I153" s="16"/>
    </row>
    <row r="154" outlineLevel="1">
      <c r="A154" s="9" t="s">
        <v>302</v>
      </c>
      <c r="B154" s="9" t="s">
        <v>137</v>
      </c>
      <c r="C154" s="12" t="s">
        <v>149</v>
      </c>
      <c r="D154" s="14" t="s">
        <v>237</v>
      </c>
      <c r="E154" s="16"/>
      <c r="F154" s="8"/>
      <c r="G154" s="16"/>
      <c r="H154" s="8"/>
      <c r="I154" s="16"/>
    </row>
    <row r="155" outlineLevel="1">
      <c r="A155" s="9" t="s">
        <v>303</v>
      </c>
      <c r="B155" s="9" t="s">
        <v>183</v>
      </c>
      <c r="C155" s="12" t="s">
        <v>132</v>
      </c>
      <c r="D155" s="14" t="s">
        <v>237</v>
      </c>
      <c r="E155" s="16"/>
      <c r="F155" s="8"/>
      <c r="G155" s="16"/>
      <c r="H155" s="8"/>
      <c r="I155" s="16"/>
    </row>
    <row r="156" outlineLevel="1">
      <c r="A156" s="9" t="s">
        <v>44</v>
      </c>
      <c r="B156" s="9" t="s">
        <v>304</v>
      </c>
      <c r="C156" s="12" t="s">
        <v>122</v>
      </c>
      <c r="D156" s="14" t="s">
        <v>237</v>
      </c>
      <c r="E156" s="16"/>
      <c r="F156" s="8"/>
      <c r="G156" s="16"/>
      <c r="H156" s="8"/>
      <c r="I156" s="16"/>
    </row>
    <row r="157" outlineLevel="1">
      <c r="A157" s="9" t="s">
        <v>305</v>
      </c>
      <c r="B157" s="9" t="s">
        <v>277</v>
      </c>
      <c r="C157" s="12" t="s">
        <v>65</v>
      </c>
      <c r="D157" s="14" t="s">
        <v>237</v>
      </c>
      <c r="E157" s="16"/>
      <c r="F157" s="18"/>
      <c r="G157" s="19"/>
      <c r="H157" s="18"/>
      <c r="I157" s="19"/>
    </row>
    <row r="158" outlineLevel="1">
      <c r="A158" s="9" t="s">
        <v>306</v>
      </c>
      <c r="B158" s="9" t="s">
        <v>307</v>
      </c>
      <c r="C158" s="12" t="s">
        <v>59</v>
      </c>
      <c r="D158" s="14" t="s">
        <v>237</v>
      </c>
      <c r="E158" s="16"/>
      <c r="F158" s="8"/>
      <c r="G158" s="16"/>
      <c r="H158" s="8"/>
      <c r="I158" s="16"/>
    </row>
    <row r="159" outlineLevel="1">
      <c r="A159" s="9" t="s">
        <v>308</v>
      </c>
      <c r="B159" s="9" t="s">
        <v>194</v>
      </c>
      <c r="C159" s="12" t="s">
        <v>93</v>
      </c>
      <c r="D159" s="14" t="s">
        <v>237</v>
      </c>
      <c r="E159" s="16"/>
      <c r="F159" s="8"/>
      <c r="G159" s="16"/>
      <c r="H159" s="8"/>
      <c r="I159" s="16"/>
    </row>
    <row r="160" outlineLevel="1">
      <c r="A160" s="9" t="s">
        <v>309</v>
      </c>
      <c r="B160" s="9" t="s">
        <v>310</v>
      </c>
      <c r="C160" s="12" t="s">
        <v>75</v>
      </c>
      <c r="D160" s="14" t="s">
        <v>237</v>
      </c>
      <c r="E160" s="16"/>
      <c r="F160" s="8"/>
      <c r="G160" s="16"/>
      <c r="H160" s="8"/>
      <c r="I160" s="16"/>
    </row>
    <row r="161" outlineLevel="1">
      <c r="A161" s="9" t="s">
        <v>311</v>
      </c>
      <c r="B161" s="9" t="s">
        <v>194</v>
      </c>
      <c r="C161" s="12" t="s">
        <v>24</v>
      </c>
      <c r="D161" s="14" t="s">
        <v>237</v>
      </c>
      <c r="E161" s="16"/>
      <c r="F161" s="8"/>
      <c r="G161" s="16"/>
      <c r="H161" s="8"/>
      <c r="I161" s="16"/>
    </row>
    <row r="162" outlineLevel="1">
      <c r="A162" s="9" t="s">
        <v>312</v>
      </c>
      <c r="B162" s="9" t="s">
        <v>55</v>
      </c>
      <c r="C162" s="12" t="s">
        <v>80</v>
      </c>
      <c r="D162" s="14" t="s">
        <v>237</v>
      </c>
      <c r="E162" s="16"/>
      <c r="F162" s="8"/>
      <c r="G162" s="16"/>
      <c r="H162" s="8"/>
      <c r="I162" s="16"/>
    </row>
    <row r="163" outlineLevel="1">
      <c r="A163" s="9" t="s">
        <v>313</v>
      </c>
      <c r="B163" s="9" t="s">
        <v>247</v>
      </c>
      <c r="C163" s="12" t="s">
        <v>93</v>
      </c>
      <c r="D163" s="14" t="s">
        <v>237</v>
      </c>
      <c r="E163" s="16"/>
      <c r="F163" s="8"/>
      <c r="G163" s="16"/>
      <c r="H163" s="8"/>
      <c r="I163" s="16"/>
    </row>
    <row r="164" outlineLevel="1">
      <c r="A164" s="9" t="s">
        <v>314</v>
      </c>
      <c r="B164" s="9" t="s">
        <v>315</v>
      </c>
      <c r="C164" s="12" t="s">
        <v>93</v>
      </c>
      <c r="D164" s="14" t="s">
        <v>237</v>
      </c>
      <c r="E164" s="16"/>
      <c r="F164" s="8"/>
      <c r="G164" s="16"/>
      <c r="H164" s="8"/>
      <c r="I164" s="16"/>
    </row>
    <row r="165" outlineLevel="1">
      <c r="A165" s="9" t="s">
        <v>99</v>
      </c>
      <c r="B165" s="9" t="s">
        <v>204</v>
      </c>
      <c r="C165" s="12" t="s">
        <v>93</v>
      </c>
      <c r="D165" s="14" t="s">
        <v>237</v>
      </c>
      <c r="E165" s="16"/>
      <c r="F165" s="8"/>
      <c r="G165" s="16"/>
      <c r="H165" s="8"/>
      <c r="I165" s="16"/>
    </row>
    <row r="166" outlineLevel="1">
      <c r="A166" s="9" t="s">
        <v>99</v>
      </c>
      <c r="B166" s="9" t="s">
        <v>42</v>
      </c>
      <c r="C166" s="12" t="s">
        <v>24</v>
      </c>
      <c r="D166" s="14" t="s">
        <v>237</v>
      </c>
      <c r="E166" s="16"/>
      <c r="F166" s="8"/>
      <c r="G166" s="16"/>
      <c r="H166" s="8"/>
      <c r="I166" s="16"/>
    </row>
    <row r="167" outlineLevel="1">
      <c r="A167" s="9" t="s">
        <v>316</v>
      </c>
      <c r="B167" s="9" t="s">
        <v>317</v>
      </c>
      <c r="C167" s="12" t="s">
        <v>46</v>
      </c>
      <c r="D167" s="14" t="s">
        <v>237</v>
      </c>
      <c r="E167" s="16"/>
      <c r="F167" s="8"/>
      <c r="G167" s="16"/>
      <c r="H167" s="8"/>
      <c r="I167" s="16"/>
    </row>
    <row r="168" outlineLevel="1">
      <c r="A168" s="9" t="s">
        <v>318</v>
      </c>
      <c r="B168" s="9" t="s">
        <v>176</v>
      </c>
      <c r="C168" s="12" t="s">
        <v>16</v>
      </c>
      <c r="D168" s="14" t="s">
        <v>237</v>
      </c>
      <c r="E168" s="16"/>
      <c r="F168" s="8"/>
      <c r="G168" s="16"/>
      <c r="H168" s="8"/>
      <c r="I168" s="16"/>
    </row>
    <row r="169" outlineLevel="1">
      <c r="A169" s="9" t="s">
        <v>319</v>
      </c>
      <c r="B169" s="9" t="s">
        <v>320</v>
      </c>
      <c r="C169" s="12" t="s">
        <v>24</v>
      </c>
      <c r="D169" s="14" t="s">
        <v>237</v>
      </c>
      <c r="E169" s="16"/>
      <c r="F169" s="8"/>
      <c r="G169" s="16"/>
      <c r="H169" s="8"/>
      <c r="I169" s="16"/>
    </row>
    <row r="170" outlineLevel="1">
      <c r="A170" s="9" t="s">
        <v>321</v>
      </c>
      <c r="B170" s="9" t="s">
        <v>322</v>
      </c>
      <c r="C170" s="12" t="s">
        <v>186</v>
      </c>
      <c r="D170" s="14" t="s">
        <v>237</v>
      </c>
      <c r="E170" s="16"/>
      <c r="F170" s="8"/>
      <c r="G170" s="16"/>
      <c r="H170" s="8"/>
      <c r="I170" s="16"/>
    </row>
    <row r="171" outlineLevel="1">
      <c r="A171" s="9" t="s">
        <v>323</v>
      </c>
      <c r="B171" s="9" t="s">
        <v>100</v>
      </c>
      <c r="C171" s="12" t="s">
        <v>16</v>
      </c>
      <c r="D171" s="14" t="s">
        <v>237</v>
      </c>
      <c r="E171" s="16"/>
      <c r="F171" s="8"/>
      <c r="G171" s="16"/>
      <c r="H171" s="8"/>
      <c r="I171" s="16"/>
    </row>
    <row r="172" outlineLevel="1">
      <c r="A172" s="9" t="s">
        <v>324</v>
      </c>
      <c r="B172" s="9" t="s">
        <v>325</v>
      </c>
      <c r="C172" s="12" t="s">
        <v>65</v>
      </c>
      <c r="D172" s="14" t="s">
        <v>237</v>
      </c>
      <c r="E172" s="16"/>
      <c r="F172" s="8"/>
      <c r="G172" s="16"/>
      <c r="H172" s="8"/>
      <c r="I172" s="16"/>
    </row>
    <row r="173" outlineLevel="1">
      <c r="A173" s="9" t="s">
        <v>326</v>
      </c>
      <c r="B173" s="9" t="s">
        <v>67</v>
      </c>
      <c r="C173" s="12" t="s">
        <v>16</v>
      </c>
      <c r="D173" s="14" t="s">
        <v>237</v>
      </c>
      <c r="E173" s="16"/>
      <c r="F173" s="8"/>
      <c r="G173" s="16"/>
      <c r="H173" s="8"/>
      <c r="I173" s="16"/>
    </row>
    <row r="174" outlineLevel="1">
      <c r="A174" s="9" t="s">
        <v>62</v>
      </c>
      <c r="B174" s="9" t="s">
        <v>327</v>
      </c>
      <c r="C174" s="12" t="s">
        <v>65</v>
      </c>
      <c r="D174" s="14" t="s">
        <v>237</v>
      </c>
      <c r="E174" s="16"/>
      <c r="F174" s="8"/>
      <c r="G174" s="16"/>
      <c r="H174" s="8"/>
      <c r="I174" s="16"/>
    </row>
    <row r="175" outlineLevel="1">
      <c r="A175" s="9" t="s">
        <v>328</v>
      </c>
      <c r="B175" s="9" t="s">
        <v>329</v>
      </c>
      <c r="C175" s="12" t="s">
        <v>122</v>
      </c>
      <c r="D175" s="14" t="s">
        <v>237</v>
      </c>
      <c r="E175" s="16"/>
      <c r="F175" s="8"/>
      <c r="G175" s="16"/>
      <c r="H175" s="8"/>
      <c r="I175" s="16"/>
    </row>
    <row r="176" outlineLevel="1">
      <c r="A176" s="9" t="s">
        <v>34</v>
      </c>
      <c r="B176" s="9" t="s">
        <v>330</v>
      </c>
      <c r="C176" s="12" t="s">
        <v>59</v>
      </c>
      <c r="D176" s="14" t="s">
        <v>237</v>
      </c>
      <c r="E176" s="16"/>
      <c r="F176" s="8"/>
      <c r="G176" s="16"/>
      <c r="H176" s="8"/>
      <c r="I176" s="16"/>
    </row>
    <row r="177" outlineLevel="1">
      <c r="A177" s="18" t="s">
        <v>232</v>
      </c>
      <c r="B177" s="9" t="s">
        <v>331</v>
      </c>
      <c r="C177" s="12" t="s">
        <v>149</v>
      </c>
      <c r="D177" s="14" t="s">
        <v>237</v>
      </c>
      <c r="E177" s="16"/>
      <c r="F177" s="8"/>
      <c r="G177" s="16"/>
      <c r="H177" s="8"/>
      <c r="I177" s="16"/>
    </row>
    <row r="178" outlineLevel="1">
      <c r="A178" s="9" t="s">
        <v>332</v>
      </c>
      <c r="B178" s="18" t="s">
        <v>333</v>
      </c>
      <c r="C178" s="19" t="s">
        <v>132</v>
      </c>
      <c r="D178" s="14" t="s">
        <v>237</v>
      </c>
      <c r="E178" s="16"/>
      <c r="F178" s="8"/>
      <c r="G178" s="16"/>
      <c r="H178" s="8"/>
      <c r="I178" s="16"/>
    </row>
    <row r="179" outlineLevel="1">
      <c r="A179" s="9" t="s">
        <v>78</v>
      </c>
      <c r="B179" s="9" t="s">
        <v>334</v>
      </c>
      <c r="C179" s="12" t="s">
        <v>46</v>
      </c>
      <c r="D179" s="14" t="s">
        <v>237</v>
      </c>
      <c r="E179" s="16"/>
      <c r="F179" s="8"/>
      <c r="G179" s="16"/>
      <c r="H179" s="8"/>
      <c r="I179" s="16"/>
    </row>
    <row r="180" outlineLevel="1">
      <c r="A180" s="9" t="s">
        <v>335</v>
      </c>
      <c r="B180" s="9" t="s">
        <v>124</v>
      </c>
      <c r="C180" s="12" t="s">
        <v>12</v>
      </c>
      <c r="D180" s="14" t="s">
        <v>237</v>
      </c>
      <c r="E180" s="16"/>
      <c r="F180" s="8"/>
      <c r="G180" s="16"/>
      <c r="H180" s="8"/>
      <c r="I180" s="16"/>
    </row>
    <row r="181" outlineLevel="1">
      <c r="A181" s="9" t="s">
        <v>336</v>
      </c>
      <c r="B181" s="9" t="s">
        <v>337</v>
      </c>
      <c r="C181" s="12" t="s">
        <v>93</v>
      </c>
      <c r="D181" s="14" t="s">
        <v>338</v>
      </c>
      <c r="E181" s="16"/>
      <c r="F181" s="8"/>
      <c r="G181" s="16"/>
      <c r="H181" s="8"/>
      <c r="I181" s="16"/>
    </row>
    <row r="182" outlineLevel="1">
      <c r="A182" s="9" t="s">
        <v>339</v>
      </c>
      <c r="B182" s="9" t="s">
        <v>340</v>
      </c>
      <c r="C182" s="12" t="s">
        <v>93</v>
      </c>
      <c r="D182" s="14" t="s">
        <v>338</v>
      </c>
      <c r="E182" s="16"/>
      <c r="F182" s="18"/>
      <c r="G182" s="19"/>
      <c r="H182" s="18"/>
      <c r="I182" s="19"/>
    </row>
    <row r="183" outlineLevel="1">
      <c r="A183" s="9" t="s">
        <v>341</v>
      </c>
      <c r="B183" s="9" t="s">
        <v>342</v>
      </c>
      <c r="C183" s="12" t="s">
        <v>215</v>
      </c>
      <c r="D183" s="14" t="s">
        <v>338</v>
      </c>
      <c r="E183" s="16"/>
      <c r="F183" s="8"/>
      <c r="G183" s="16"/>
      <c r="H183" s="8"/>
      <c r="I183" s="16"/>
    </row>
    <row r="184" outlineLevel="1">
      <c r="A184" s="9" t="s">
        <v>343</v>
      </c>
      <c r="B184" s="9" t="s">
        <v>31</v>
      </c>
      <c r="C184" s="12" t="s">
        <v>75</v>
      </c>
      <c r="D184" s="14" t="s">
        <v>338</v>
      </c>
      <c r="E184" s="16"/>
      <c r="F184" s="8"/>
      <c r="G184" s="16"/>
      <c r="H184" s="8"/>
      <c r="I184" s="16"/>
    </row>
    <row r="185" outlineLevel="1">
      <c r="A185" s="9" t="s">
        <v>344</v>
      </c>
      <c r="B185" s="9" t="s">
        <v>345</v>
      </c>
      <c r="C185" s="12" t="s">
        <v>70</v>
      </c>
      <c r="D185" s="14" t="s">
        <v>338</v>
      </c>
      <c r="E185" s="16"/>
      <c r="F185" s="8"/>
      <c r="G185" s="16"/>
      <c r="H185" s="8"/>
      <c r="I185" s="16"/>
    </row>
    <row r="186" outlineLevel="1">
      <c r="A186" s="9" t="s">
        <v>346</v>
      </c>
      <c r="B186" s="9" t="s">
        <v>347</v>
      </c>
      <c r="C186" s="12" t="s">
        <v>46</v>
      </c>
      <c r="D186" s="14" t="s">
        <v>338</v>
      </c>
      <c r="E186" s="16"/>
      <c r="F186" s="8"/>
      <c r="G186" s="16"/>
      <c r="H186" s="8"/>
      <c r="I186" s="16"/>
    </row>
    <row r="187" outlineLevel="1">
      <c r="A187" s="9" t="s">
        <v>348</v>
      </c>
      <c r="B187" s="9" t="s">
        <v>349</v>
      </c>
      <c r="C187" s="12" t="s">
        <v>65</v>
      </c>
      <c r="D187" s="14" t="s">
        <v>338</v>
      </c>
      <c r="E187" s="16"/>
      <c r="F187" s="8"/>
      <c r="G187" s="16"/>
      <c r="H187" s="8"/>
      <c r="I187" s="16"/>
    </row>
    <row r="188" outlineLevel="1">
      <c r="A188" s="9" t="s">
        <v>350</v>
      </c>
      <c r="B188" s="9" t="s">
        <v>301</v>
      </c>
      <c r="C188" s="12" t="s">
        <v>65</v>
      </c>
      <c r="D188" s="14" t="s">
        <v>338</v>
      </c>
      <c r="E188" s="16"/>
      <c r="F188" s="8"/>
      <c r="G188" s="16"/>
      <c r="H188" s="8"/>
      <c r="I188" s="16"/>
    </row>
    <row r="189" outlineLevel="1">
      <c r="A189" s="9" t="s">
        <v>351</v>
      </c>
      <c r="B189" s="9" t="s">
        <v>352</v>
      </c>
      <c r="C189" s="12" t="s">
        <v>132</v>
      </c>
      <c r="D189" s="14" t="s">
        <v>338</v>
      </c>
      <c r="E189" s="16"/>
      <c r="F189" s="8"/>
      <c r="G189" s="16"/>
      <c r="H189" s="8"/>
      <c r="I189" s="16"/>
    </row>
    <row r="190" outlineLevel="1">
      <c r="A190" s="9" t="s">
        <v>224</v>
      </c>
      <c r="B190" s="9" t="s">
        <v>121</v>
      </c>
      <c r="C190" s="12" t="s">
        <v>132</v>
      </c>
      <c r="D190" s="14" t="s">
        <v>338</v>
      </c>
      <c r="E190" s="16"/>
      <c r="F190" s="8"/>
      <c r="G190" s="16"/>
      <c r="H190" s="8"/>
      <c r="I190" s="16"/>
    </row>
    <row r="191" outlineLevel="1">
      <c r="A191" s="9" t="s">
        <v>353</v>
      </c>
      <c r="B191" s="9" t="s">
        <v>354</v>
      </c>
      <c r="C191" s="12" t="s">
        <v>149</v>
      </c>
      <c r="D191" s="14" t="s">
        <v>338</v>
      </c>
      <c r="E191" s="16"/>
      <c r="F191" s="8"/>
      <c r="G191" s="16"/>
      <c r="H191" s="8"/>
      <c r="I191" s="16"/>
    </row>
    <row r="192" outlineLevel="1">
      <c r="A192" s="9" t="s">
        <v>355</v>
      </c>
      <c r="B192" s="9" t="s">
        <v>146</v>
      </c>
      <c r="C192" s="12" t="s">
        <v>192</v>
      </c>
      <c r="D192" s="14" t="s">
        <v>338</v>
      </c>
      <c r="E192" s="16"/>
      <c r="F192" s="8"/>
      <c r="G192" s="16"/>
      <c r="H192" s="8"/>
      <c r="I192" s="16"/>
    </row>
    <row r="193" outlineLevel="1">
      <c r="A193" s="9" t="s">
        <v>356</v>
      </c>
      <c r="B193" s="9" t="s">
        <v>260</v>
      </c>
      <c r="C193" s="12" t="s">
        <v>75</v>
      </c>
      <c r="D193" s="14" t="s">
        <v>338</v>
      </c>
      <c r="E193" s="16"/>
      <c r="F193" s="8"/>
      <c r="G193" s="16"/>
      <c r="H193" s="8"/>
      <c r="I193" s="16"/>
    </row>
    <row r="194" outlineLevel="1">
      <c r="A194" s="9" t="s">
        <v>165</v>
      </c>
      <c r="B194" s="9" t="s">
        <v>357</v>
      </c>
      <c r="C194" s="12" t="s">
        <v>24</v>
      </c>
      <c r="D194" s="14" t="s">
        <v>338</v>
      </c>
      <c r="E194" s="16"/>
      <c r="F194" s="8"/>
      <c r="G194" s="16"/>
      <c r="H194" s="8"/>
      <c r="I194" s="16"/>
    </row>
    <row r="195" outlineLevel="1">
      <c r="A195" s="9" t="s">
        <v>358</v>
      </c>
      <c r="B195" s="9" t="s">
        <v>15</v>
      </c>
      <c r="C195" s="12" t="s">
        <v>75</v>
      </c>
      <c r="D195" s="14" t="s">
        <v>338</v>
      </c>
      <c r="E195" s="16"/>
      <c r="F195" s="18"/>
      <c r="G195" s="19"/>
      <c r="H195" s="18"/>
      <c r="I195" s="19"/>
    </row>
    <row r="196" outlineLevel="1">
      <c r="A196" s="9" t="s">
        <v>359</v>
      </c>
      <c r="B196" s="9" t="s">
        <v>360</v>
      </c>
      <c r="C196" s="12" t="s">
        <v>122</v>
      </c>
      <c r="D196" s="14" t="s">
        <v>338</v>
      </c>
      <c r="E196" s="16"/>
      <c r="F196" s="8"/>
      <c r="G196" s="16"/>
      <c r="H196" s="8"/>
      <c r="I196" s="16"/>
    </row>
    <row r="197" outlineLevel="1">
      <c r="A197" s="9" t="s">
        <v>361</v>
      </c>
      <c r="B197" s="9" t="s">
        <v>183</v>
      </c>
      <c r="C197" s="12" t="s">
        <v>215</v>
      </c>
      <c r="D197" s="14" t="s">
        <v>338</v>
      </c>
      <c r="E197" s="16"/>
      <c r="F197" s="8"/>
      <c r="G197" s="16"/>
      <c r="H197" s="8"/>
      <c r="I197" s="16"/>
    </row>
    <row r="198" outlineLevel="1">
      <c r="A198" s="9" t="s">
        <v>61</v>
      </c>
      <c r="B198" s="9" t="s">
        <v>362</v>
      </c>
      <c r="C198" s="12" t="s">
        <v>80</v>
      </c>
      <c r="D198" s="14" t="s">
        <v>338</v>
      </c>
      <c r="E198" s="16"/>
      <c r="F198" s="8"/>
      <c r="G198" s="16"/>
      <c r="H198" s="8"/>
      <c r="I198" s="16"/>
    </row>
    <row r="199" outlineLevel="1">
      <c r="A199" s="9" t="s">
        <v>61</v>
      </c>
      <c r="B199" s="9" t="s">
        <v>363</v>
      </c>
      <c r="C199" s="12" t="s">
        <v>59</v>
      </c>
      <c r="D199" s="14" t="s">
        <v>338</v>
      </c>
      <c r="E199" s="16"/>
      <c r="F199" s="8"/>
      <c r="G199" s="16"/>
      <c r="H199" s="8"/>
      <c r="I199" s="16"/>
    </row>
    <row r="200" outlineLevel="1">
      <c r="A200" s="9" t="s">
        <v>364</v>
      </c>
      <c r="B200" s="9" t="s">
        <v>194</v>
      </c>
      <c r="C200" s="12" t="s">
        <v>261</v>
      </c>
      <c r="D200" s="14" t="s">
        <v>338</v>
      </c>
      <c r="E200" s="16"/>
      <c r="F200" s="8"/>
      <c r="G200" s="16"/>
      <c r="H200" s="8"/>
      <c r="I200" s="16"/>
    </row>
    <row r="201" outlineLevel="1">
      <c r="A201" s="9" t="s">
        <v>365</v>
      </c>
      <c r="B201" s="9" t="s">
        <v>366</v>
      </c>
      <c r="C201" s="12" t="s">
        <v>138</v>
      </c>
      <c r="D201" s="14" t="s">
        <v>338</v>
      </c>
      <c r="E201" s="16"/>
      <c r="F201" s="8"/>
      <c r="G201" s="16"/>
      <c r="H201" s="8"/>
      <c r="I201" s="16"/>
    </row>
    <row r="202" outlineLevel="1">
      <c r="A202" s="9" t="s">
        <v>367</v>
      </c>
      <c r="B202" s="9" t="s">
        <v>317</v>
      </c>
      <c r="C202" s="12" t="s">
        <v>80</v>
      </c>
      <c r="D202" s="14" t="s">
        <v>338</v>
      </c>
      <c r="E202" s="16"/>
      <c r="F202" s="8"/>
      <c r="G202" s="16"/>
      <c r="H202" s="8"/>
      <c r="I202" s="16"/>
    </row>
    <row r="203" outlineLevel="1">
      <c r="A203" s="9" t="s">
        <v>368</v>
      </c>
      <c r="B203" s="9" t="s">
        <v>277</v>
      </c>
      <c r="C203" s="12" t="s">
        <v>70</v>
      </c>
      <c r="D203" s="14" t="s">
        <v>338</v>
      </c>
      <c r="E203" s="16"/>
      <c r="F203" s="8"/>
      <c r="G203" s="16"/>
      <c r="H203" s="8"/>
      <c r="I203" s="16"/>
    </row>
    <row r="204" outlineLevel="1">
      <c r="A204" s="9" t="s">
        <v>369</v>
      </c>
      <c r="B204" s="9" t="s">
        <v>370</v>
      </c>
      <c r="C204" s="12" t="s">
        <v>24</v>
      </c>
      <c r="D204" s="14" t="s">
        <v>338</v>
      </c>
      <c r="E204" s="16"/>
      <c r="F204" s="8"/>
      <c r="G204" s="16"/>
      <c r="H204" s="8"/>
      <c r="I204" s="16"/>
    </row>
    <row r="205" outlineLevel="1">
      <c r="A205" s="9" t="s">
        <v>371</v>
      </c>
      <c r="B205" s="9" t="s">
        <v>260</v>
      </c>
      <c r="C205" s="12" t="s">
        <v>141</v>
      </c>
      <c r="D205" s="14" t="s">
        <v>338</v>
      </c>
      <c r="E205" s="16"/>
      <c r="F205" s="8"/>
      <c r="G205" s="16"/>
      <c r="H205" s="8"/>
      <c r="I205" s="16"/>
    </row>
    <row r="206" outlineLevel="1">
      <c r="A206" s="9" t="s">
        <v>372</v>
      </c>
      <c r="B206" s="9" t="s">
        <v>231</v>
      </c>
      <c r="C206" s="12" t="s">
        <v>16</v>
      </c>
      <c r="D206" s="14" t="s">
        <v>338</v>
      </c>
      <c r="E206" s="16"/>
      <c r="F206" s="8"/>
      <c r="G206" s="16"/>
      <c r="H206" s="8"/>
      <c r="I206" s="16"/>
    </row>
    <row r="207" outlineLevel="1">
      <c r="A207" s="9" t="s">
        <v>154</v>
      </c>
      <c r="B207" s="9" t="s">
        <v>111</v>
      </c>
      <c r="C207" s="12" t="s">
        <v>186</v>
      </c>
      <c r="D207" s="14" t="s">
        <v>338</v>
      </c>
      <c r="E207" s="16"/>
      <c r="F207" s="8"/>
      <c r="G207" s="16"/>
      <c r="H207" s="8"/>
      <c r="I207" s="16"/>
    </row>
    <row r="208" outlineLevel="1">
      <c r="A208" s="9" t="s">
        <v>373</v>
      </c>
      <c r="B208" s="9" t="s">
        <v>11</v>
      </c>
      <c r="C208" s="12" t="s">
        <v>75</v>
      </c>
      <c r="D208" s="14" t="s">
        <v>338</v>
      </c>
      <c r="E208" s="16"/>
      <c r="F208" s="8"/>
      <c r="G208" s="16"/>
      <c r="H208" s="8"/>
      <c r="I208" s="16"/>
    </row>
    <row r="209" outlineLevel="1">
      <c r="A209" s="9" t="s">
        <v>374</v>
      </c>
      <c r="B209" s="9" t="s">
        <v>375</v>
      </c>
      <c r="C209" s="12" t="s">
        <v>186</v>
      </c>
      <c r="D209" s="14" t="s">
        <v>338</v>
      </c>
      <c r="E209" s="16"/>
      <c r="F209" s="8"/>
      <c r="G209" s="16"/>
      <c r="H209" s="8"/>
      <c r="I209" s="16"/>
    </row>
    <row r="210" outlineLevel="1">
      <c r="A210" s="9" t="s">
        <v>376</v>
      </c>
      <c r="B210" s="9" t="s">
        <v>102</v>
      </c>
      <c r="C210" s="12" t="s">
        <v>93</v>
      </c>
      <c r="D210" s="14" t="s">
        <v>338</v>
      </c>
      <c r="E210" s="16"/>
      <c r="F210" s="8"/>
      <c r="G210" s="16"/>
      <c r="H210" s="8"/>
      <c r="I210" s="16"/>
    </row>
    <row r="211" outlineLevel="1">
      <c r="A211" s="9" t="s">
        <v>89</v>
      </c>
      <c r="B211" s="9" t="s">
        <v>275</v>
      </c>
      <c r="C211" s="12" t="s">
        <v>93</v>
      </c>
      <c r="D211" s="14" t="s">
        <v>338</v>
      </c>
      <c r="E211" s="16"/>
      <c r="F211" s="8"/>
      <c r="G211" s="16"/>
      <c r="H211" s="8"/>
      <c r="I211" s="16"/>
    </row>
    <row r="212" outlineLevel="1">
      <c r="A212" s="9" t="s">
        <v>89</v>
      </c>
      <c r="B212" s="9" t="s">
        <v>301</v>
      </c>
      <c r="C212" s="12" t="s">
        <v>24</v>
      </c>
      <c r="D212" s="14" t="s">
        <v>338</v>
      </c>
      <c r="E212" s="16"/>
      <c r="F212" s="8"/>
      <c r="G212" s="16"/>
      <c r="H212" s="8"/>
      <c r="I212" s="16"/>
    </row>
    <row r="213" outlineLevel="1">
      <c r="A213" s="9" t="s">
        <v>377</v>
      </c>
      <c r="B213" s="9" t="s">
        <v>378</v>
      </c>
      <c r="C213" s="12" t="s">
        <v>122</v>
      </c>
      <c r="D213" s="14" t="s">
        <v>338</v>
      </c>
      <c r="E213" s="16"/>
      <c r="F213" s="8"/>
      <c r="G213" s="16"/>
      <c r="H213" s="8"/>
      <c r="I213" s="16"/>
    </row>
    <row r="214" outlineLevel="1">
      <c r="A214" s="9" t="s">
        <v>379</v>
      </c>
      <c r="B214" s="9" t="s">
        <v>52</v>
      </c>
      <c r="C214" s="12" t="s">
        <v>215</v>
      </c>
      <c r="D214" s="14" t="s">
        <v>338</v>
      </c>
      <c r="E214" s="16"/>
      <c r="F214" s="8"/>
      <c r="G214" s="16"/>
      <c r="H214" s="8"/>
      <c r="I214" s="16"/>
    </row>
    <row r="215" outlineLevel="1">
      <c r="A215" s="9" t="s">
        <v>380</v>
      </c>
      <c r="B215" s="9" t="s">
        <v>381</v>
      </c>
      <c r="C215" s="12" t="s">
        <v>215</v>
      </c>
      <c r="D215" s="14" t="s">
        <v>338</v>
      </c>
      <c r="E215" s="16"/>
      <c r="F215" s="8"/>
      <c r="G215" s="16"/>
      <c r="H215" s="8"/>
      <c r="I215" s="16"/>
    </row>
    <row r="216" outlineLevel="1">
      <c r="A216" s="9" t="s">
        <v>382</v>
      </c>
      <c r="B216" s="9" t="s">
        <v>383</v>
      </c>
      <c r="C216" s="12" t="s">
        <v>141</v>
      </c>
      <c r="D216" s="14" t="s">
        <v>338</v>
      </c>
      <c r="E216" s="16"/>
      <c r="F216" s="8"/>
      <c r="G216" s="16"/>
      <c r="H216" s="8"/>
      <c r="I216" s="16"/>
    </row>
    <row r="217" outlineLevel="1">
      <c r="A217" s="9" t="s">
        <v>384</v>
      </c>
      <c r="B217" s="9" t="s">
        <v>385</v>
      </c>
      <c r="C217" s="12" t="s">
        <v>215</v>
      </c>
      <c r="D217" s="14" t="s">
        <v>338</v>
      </c>
      <c r="E217" s="16"/>
      <c r="F217" s="18"/>
      <c r="G217" s="19"/>
      <c r="H217" s="18"/>
      <c r="I217" s="19"/>
    </row>
    <row r="218" outlineLevel="1">
      <c r="A218" s="9" t="s">
        <v>386</v>
      </c>
      <c r="B218" s="9" t="s">
        <v>387</v>
      </c>
      <c r="C218" s="12" t="s">
        <v>65</v>
      </c>
      <c r="D218" s="14" t="s">
        <v>338</v>
      </c>
      <c r="E218" s="16"/>
      <c r="F218" s="8"/>
      <c r="G218" s="16"/>
      <c r="H218" s="8"/>
      <c r="I218" s="16"/>
    </row>
    <row r="219" outlineLevel="1">
      <c r="A219" s="9" t="s">
        <v>282</v>
      </c>
      <c r="B219" s="9" t="s">
        <v>388</v>
      </c>
      <c r="C219" s="12" t="s">
        <v>93</v>
      </c>
      <c r="D219" s="14" t="s">
        <v>338</v>
      </c>
      <c r="E219" s="16"/>
      <c r="F219" s="8"/>
      <c r="G219" s="16"/>
      <c r="H219" s="8"/>
      <c r="I219" s="16"/>
    </row>
    <row r="220" outlineLevel="1">
      <c r="A220" s="9" t="s">
        <v>282</v>
      </c>
      <c r="B220" s="9" t="s">
        <v>23</v>
      </c>
      <c r="C220" s="12" t="s">
        <v>122</v>
      </c>
      <c r="D220" s="14" t="s">
        <v>338</v>
      </c>
      <c r="E220" s="16"/>
      <c r="F220" s="8"/>
      <c r="G220" s="16"/>
      <c r="H220" s="8"/>
      <c r="I220" s="16"/>
    </row>
    <row r="221" outlineLevel="1">
      <c r="A221" s="9" t="s">
        <v>389</v>
      </c>
      <c r="B221" s="9" t="s">
        <v>357</v>
      </c>
      <c r="C221" s="12" t="s">
        <v>65</v>
      </c>
      <c r="D221" s="14" t="s">
        <v>338</v>
      </c>
      <c r="E221" s="16"/>
      <c r="F221" s="8"/>
      <c r="G221" s="16"/>
      <c r="H221" s="8"/>
      <c r="I221" s="16"/>
    </row>
    <row r="222" outlineLevel="1">
      <c r="A222" s="9" t="s">
        <v>284</v>
      </c>
      <c r="B222" s="9" t="s">
        <v>50</v>
      </c>
      <c r="C222" s="12" t="s">
        <v>141</v>
      </c>
      <c r="D222" s="14" t="s">
        <v>338</v>
      </c>
      <c r="E222" s="16"/>
      <c r="F222" s="8"/>
      <c r="G222" s="16"/>
      <c r="H222" s="8"/>
      <c r="I222" s="16"/>
    </row>
    <row r="223" outlineLevel="1">
      <c r="A223" s="9" t="s">
        <v>284</v>
      </c>
      <c r="B223" s="9" t="s">
        <v>275</v>
      </c>
      <c r="C223" s="12" t="s">
        <v>38</v>
      </c>
      <c r="D223" s="14" t="s">
        <v>338</v>
      </c>
      <c r="E223" s="16"/>
      <c r="F223" s="8"/>
      <c r="G223" s="16"/>
      <c r="H223" s="8"/>
      <c r="I223" s="16"/>
    </row>
    <row r="224" outlineLevel="1">
      <c r="A224" s="9" t="s">
        <v>284</v>
      </c>
      <c r="B224" s="9" t="s">
        <v>390</v>
      </c>
      <c r="C224" s="12" t="s">
        <v>65</v>
      </c>
      <c r="D224" s="14" t="s">
        <v>338</v>
      </c>
      <c r="E224" s="16"/>
      <c r="F224" s="8"/>
      <c r="G224" s="16"/>
      <c r="H224" s="8"/>
      <c r="I224" s="16"/>
    </row>
    <row r="225" outlineLevel="1">
      <c r="A225" s="9" t="s">
        <v>263</v>
      </c>
      <c r="B225" s="9" t="s">
        <v>52</v>
      </c>
      <c r="C225" s="12" t="s">
        <v>138</v>
      </c>
      <c r="D225" s="14" t="s">
        <v>338</v>
      </c>
      <c r="E225" s="16"/>
      <c r="F225" s="8"/>
      <c r="G225" s="16"/>
      <c r="H225" s="8"/>
      <c r="I225" s="16"/>
    </row>
    <row r="226" outlineLevel="1">
      <c r="A226" s="9" t="s">
        <v>91</v>
      </c>
      <c r="B226" s="9" t="s">
        <v>391</v>
      </c>
      <c r="C226" s="12" t="s">
        <v>122</v>
      </c>
      <c r="D226" s="14" t="s">
        <v>338</v>
      </c>
      <c r="E226" s="16"/>
      <c r="F226" s="8"/>
      <c r="G226" s="16"/>
      <c r="H226" s="8"/>
      <c r="I226" s="16"/>
    </row>
    <row r="227" outlineLevel="1">
      <c r="A227" s="9" t="s">
        <v>392</v>
      </c>
      <c r="B227" s="9" t="s">
        <v>33</v>
      </c>
      <c r="C227" s="12" t="s">
        <v>46</v>
      </c>
      <c r="D227" s="14" t="s">
        <v>338</v>
      </c>
      <c r="E227" s="16"/>
      <c r="F227" s="8"/>
      <c r="G227" s="16"/>
      <c r="H227" s="8"/>
      <c r="I227" s="16"/>
    </row>
    <row r="228" outlineLevel="1">
      <c r="A228" s="9" t="s">
        <v>393</v>
      </c>
      <c r="B228" s="9" t="s">
        <v>394</v>
      </c>
      <c r="C228" s="12" t="s">
        <v>75</v>
      </c>
      <c r="D228" s="14" t="s">
        <v>338</v>
      </c>
      <c r="E228" s="16"/>
      <c r="F228" s="8"/>
      <c r="G228" s="16"/>
      <c r="H228" s="8"/>
      <c r="I228" s="16"/>
    </row>
    <row r="229" outlineLevel="1">
      <c r="A229" s="9" t="s">
        <v>395</v>
      </c>
      <c r="B229" s="9" t="s">
        <v>214</v>
      </c>
      <c r="C229" s="12" t="s">
        <v>132</v>
      </c>
      <c r="D229" s="14" t="s">
        <v>338</v>
      </c>
      <c r="E229" s="16"/>
      <c r="F229" s="8"/>
      <c r="G229" s="16"/>
      <c r="H229" s="8"/>
      <c r="I229" s="16"/>
    </row>
    <row r="230" outlineLevel="1">
      <c r="A230" s="9" t="s">
        <v>396</v>
      </c>
      <c r="B230" s="9" t="s">
        <v>397</v>
      </c>
      <c r="C230" s="12" t="s">
        <v>70</v>
      </c>
      <c r="D230" s="14" t="s">
        <v>338</v>
      </c>
      <c r="E230" s="16"/>
      <c r="F230" s="8"/>
      <c r="G230" s="16"/>
      <c r="H230" s="8"/>
      <c r="I230" s="16"/>
    </row>
    <row r="231" outlineLevel="1">
      <c r="A231" s="9" t="s">
        <v>398</v>
      </c>
      <c r="B231" s="9" t="s">
        <v>399</v>
      </c>
      <c r="C231" s="12" t="s">
        <v>149</v>
      </c>
      <c r="D231" s="14" t="s">
        <v>338</v>
      </c>
      <c r="E231" s="16"/>
      <c r="F231" s="18"/>
      <c r="G231" s="19"/>
      <c r="H231" s="18"/>
      <c r="I231" s="19"/>
    </row>
    <row r="232" outlineLevel="1">
      <c r="A232" s="9" t="s">
        <v>400</v>
      </c>
      <c r="B232" s="9" t="s">
        <v>401</v>
      </c>
      <c r="C232" s="12" t="s">
        <v>59</v>
      </c>
      <c r="D232" s="14" t="s">
        <v>338</v>
      </c>
      <c r="E232" s="16"/>
      <c r="F232" s="8"/>
      <c r="G232" s="16"/>
      <c r="H232" s="8"/>
      <c r="I232" s="16"/>
    </row>
    <row r="233" outlineLevel="1">
      <c r="A233" s="9" t="s">
        <v>402</v>
      </c>
      <c r="B233" s="9" t="s">
        <v>403</v>
      </c>
      <c r="C233" s="12" t="s">
        <v>53</v>
      </c>
      <c r="D233" s="14" t="s">
        <v>338</v>
      </c>
      <c r="E233" s="16"/>
      <c r="F233" s="8"/>
      <c r="G233" s="16"/>
      <c r="H233" s="8"/>
      <c r="I233" s="16"/>
    </row>
    <row r="234" outlineLevel="1">
      <c r="A234" s="9" t="s">
        <v>404</v>
      </c>
      <c r="B234" s="9" t="s">
        <v>405</v>
      </c>
      <c r="C234" s="12" t="s">
        <v>46</v>
      </c>
      <c r="D234" s="14" t="s">
        <v>338</v>
      </c>
      <c r="E234" s="16"/>
      <c r="F234" s="8"/>
      <c r="G234" s="16"/>
      <c r="H234" s="8"/>
      <c r="I234" s="16"/>
    </row>
    <row r="235" outlineLevel="1">
      <c r="A235" s="9" t="s">
        <v>406</v>
      </c>
      <c r="B235" s="9" t="s">
        <v>407</v>
      </c>
      <c r="C235" s="12" t="s">
        <v>16</v>
      </c>
      <c r="D235" s="14" t="s">
        <v>338</v>
      </c>
      <c r="E235" s="16"/>
      <c r="F235" s="8"/>
      <c r="G235" s="16"/>
      <c r="H235" s="8"/>
      <c r="I235" s="16"/>
    </row>
    <row r="236" outlineLevel="1">
      <c r="A236" s="9" t="s">
        <v>408</v>
      </c>
      <c r="B236" s="9" t="s">
        <v>409</v>
      </c>
      <c r="C236" s="12" t="s">
        <v>46</v>
      </c>
      <c r="D236" s="14" t="s">
        <v>338</v>
      </c>
      <c r="E236" s="16"/>
      <c r="F236" s="8"/>
      <c r="G236" s="16"/>
      <c r="H236" s="8"/>
      <c r="I236" s="16"/>
    </row>
    <row r="237" outlineLevel="1">
      <c r="A237" s="9" t="s">
        <v>410</v>
      </c>
      <c r="B237" s="9" t="s">
        <v>411</v>
      </c>
      <c r="C237" s="12" t="s">
        <v>261</v>
      </c>
      <c r="D237" s="14" t="s">
        <v>338</v>
      </c>
      <c r="E237" s="16"/>
      <c r="F237" s="8"/>
      <c r="G237" s="16"/>
      <c r="H237" s="8"/>
      <c r="I237" s="16"/>
    </row>
    <row r="238" outlineLevel="1">
      <c r="A238" s="9" t="s">
        <v>412</v>
      </c>
      <c r="B238" s="9" t="s">
        <v>413</v>
      </c>
      <c r="C238" s="12" t="s">
        <v>75</v>
      </c>
      <c r="D238" s="14" t="s">
        <v>338</v>
      </c>
      <c r="E238" s="16"/>
      <c r="F238" s="8"/>
      <c r="G238" s="16"/>
      <c r="H238" s="8"/>
      <c r="I238" s="16"/>
    </row>
    <row r="239" outlineLevel="1">
      <c r="A239" s="9" t="s">
        <v>414</v>
      </c>
      <c r="B239" s="9" t="s">
        <v>45</v>
      </c>
      <c r="C239" s="12" t="s">
        <v>59</v>
      </c>
      <c r="D239" s="14" t="s">
        <v>338</v>
      </c>
      <c r="E239" s="16"/>
      <c r="F239" s="8"/>
      <c r="G239" s="16"/>
      <c r="H239" s="8"/>
      <c r="I239" s="16"/>
    </row>
    <row r="240" outlineLevel="1">
      <c r="A240" s="9" t="s">
        <v>415</v>
      </c>
      <c r="B240" s="9" t="s">
        <v>416</v>
      </c>
      <c r="C240" s="12" t="s">
        <v>141</v>
      </c>
      <c r="D240" s="14" t="s">
        <v>338</v>
      </c>
      <c r="E240" s="16"/>
      <c r="F240" s="8"/>
      <c r="G240" s="16"/>
      <c r="H240" s="8"/>
      <c r="I240" s="16"/>
    </row>
    <row r="241" outlineLevel="1">
      <c r="A241" s="9" t="s">
        <v>415</v>
      </c>
      <c r="B241" s="9" t="s">
        <v>183</v>
      </c>
      <c r="C241" s="12" t="s">
        <v>141</v>
      </c>
      <c r="D241" s="14" t="s">
        <v>338</v>
      </c>
      <c r="E241" s="16"/>
      <c r="F241" s="8"/>
      <c r="G241" s="16"/>
      <c r="H241" s="8"/>
      <c r="I241" s="16"/>
    </row>
    <row r="242" outlineLevel="1">
      <c r="A242" s="9" t="s">
        <v>417</v>
      </c>
      <c r="B242" s="9" t="s">
        <v>418</v>
      </c>
      <c r="C242" s="12" t="s">
        <v>65</v>
      </c>
      <c r="D242" s="14" t="s">
        <v>338</v>
      </c>
      <c r="E242" s="16"/>
      <c r="F242" s="8"/>
      <c r="G242" s="16"/>
      <c r="H242" s="8"/>
      <c r="I242" s="16"/>
    </row>
    <row r="243" outlineLevel="1">
      <c r="A243" s="9" t="s">
        <v>419</v>
      </c>
      <c r="B243" s="9" t="s">
        <v>157</v>
      </c>
      <c r="C243" s="12" t="s">
        <v>65</v>
      </c>
      <c r="D243" s="14" t="s">
        <v>338</v>
      </c>
      <c r="E243" s="16"/>
      <c r="F243" s="8"/>
      <c r="G243" s="16"/>
      <c r="H243" s="8"/>
      <c r="I243" s="16"/>
    </row>
    <row r="244" outlineLevel="1">
      <c r="A244" s="9" t="s">
        <v>420</v>
      </c>
      <c r="B244" s="9" t="s">
        <v>421</v>
      </c>
      <c r="C244" s="12" t="s">
        <v>46</v>
      </c>
      <c r="D244" s="14" t="s">
        <v>338</v>
      </c>
      <c r="E244" s="16"/>
      <c r="F244" s="8"/>
      <c r="G244" s="16"/>
      <c r="H244" s="8"/>
      <c r="I244" s="16"/>
    </row>
    <row r="245" outlineLevel="1">
      <c r="A245" s="9" t="s">
        <v>422</v>
      </c>
      <c r="B245" s="9" t="s">
        <v>183</v>
      </c>
      <c r="C245" s="12" t="s">
        <v>149</v>
      </c>
      <c r="D245" s="14" t="s">
        <v>338</v>
      </c>
      <c r="E245" s="16"/>
      <c r="F245" s="8"/>
      <c r="G245" s="16"/>
      <c r="H245" s="8"/>
      <c r="I245" s="16"/>
    </row>
    <row r="246" outlineLevel="1">
      <c r="A246" s="9" t="s">
        <v>308</v>
      </c>
      <c r="B246" s="9" t="s">
        <v>423</v>
      </c>
      <c r="C246" s="12" t="s">
        <v>65</v>
      </c>
      <c r="D246" s="14" t="s">
        <v>338</v>
      </c>
      <c r="E246" s="16"/>
      <c r="F246" s="8"/>
      <c r="G246" s="16"/>
      <c r="H246" s="8"/>
      <c r="I246" s="16"/>
    </row>
    <row r="247" outlineLevel="1">
      <c r="A247" s="9" t="s">
        <v>424</v>
      </c>
      <c r="B247" s="9" t="s">
        <v>425</v>
      </c>
      <c r="C247" s="12" t="s">
        <v>65</v>
      </c>
      <c r="D247" s="14" t="s">
        <v>338</v>
      </c>
      <c r="E247" s="16"/>
      <c r="F247" s="8"/>
      <c r="G247" s="16"/>
      <c r="H247" s="8"/>
      <c r="I247" s="16"/>
    </row>
    <row r="248" outlineLevel="1">
      <c r="A248" s="9" t="s">
        <v>426</v>
      </c>
      <c r="B248" s="9" t="s">
        <v>427</v>
      </c>
      <c r="C248" s="12" t="s">
        <v>149</v>
      </c>
      <c r="D248" s="14" t="s">
        <v>338</v>
      </c>
      <c r="E248" s="16"/>
      <c r="F248" s="8"/>
      <c r="G248" s="16"/>
      <c r="H248" s="8"/>
      <c r="I248" s="16"/>
    </row>
    <row r="249" outlineLevel="1">
      <c r="A249" s="9" t="s">
        <v>428</v>
      </c>
      <c r="B249" s="9" t="s">
        <v>429</v>
      </c>
      <c r="C249" s="12" t="s">
        <v>138</v>
      </c>
      <c r="D249" s="14" t="s">
        <v>338</v>
      </c>
      <c r="E249" s="16"/>
      <c r="F249" s="8"/>
      <c r="G249" s="16"/>
      <c r="H249" s="8"/>
      <c r="I249" s="16"/>
    </row>
    <row r="250" outlineLevel="1">
      <c r="A250" s="9" t="s">
        <v>314</v>
      </c>
      <c r="B250" s="9" t="s">
        <v>212</v>
      </c>
      <c r="C250" s="12" t="s">
        <v>261</v>
      </c>
      <c r="D250" s="14" t="s">
        <v>338</v>
      </c>
      <c r="E250" s="16"/>
      <c r="F250" s="8"/>
      <c r="G250" s="16"/>
      <c r="H250" s="8"/>
      <c r="I250" s="16"/>
    </row>
    <row r="251" outlineLevel="1">
      <c r="A251" s="9" t="s">
        <v>430</v>
      </c>
      <c r="B251" s="9" t="s">
        <v>431</v>
      </c>
      <c r="C251" s="12" t="s">
        <v>138</v>
      </c>
      <c r="D251" s="14" t="s">
        <v>338</v>
      </c>
      <c r="E251" s="16"/>
      <c r="F251" s="8"/>
      <c r="G251" s="16"/>
      <c r="H251" s="8"/>
      <c r="I251" s="16"/>
    </row>
    <row r="252" outlineLevel="1">
      <c r="A252" s="9" t="s">
        <v>432</v>
      </c>
      <c r="B252" s="9" t="s">
        <v>433</v>
      </c>
      <c r="C252" s="12" t="s">
        <v>93</v>
      </c>
      <c r="D252" s="14" t="s">
        <v>338</v>
      </c>
      <c r="E252" s="16"/>
      <c r="F252" s="8"/>
      <c r="G252" s="16"/>
      <c r="H252" s="8"/>
      <c r="I252" s="16"/>
    </row>
    <row r="253" outlineLevel="1">
      <c r="A253" s="9" t="s">
        <v>99</v>
      </c>
      <c r="B253" s="9" t="s">
        <v>377</v>
      </c>
      <c r="C253" s="12" t="s">
        <v>192</v>
      </c>
      <c r="D253" s="14" t="s">
        <v>338</v>
      </c>
      <c r="E253" s="16"/>
      <c r="F253" s="8"/>
      <c r="G253" s="16"/>
      <c r="H253" s="8"/>
      <c r="I253" s="16"/>
    </row>
    <row r="254" outlineLevel="1">
      <c r="A254" s="9" t="s">
        <v>99</v>
      </c>
      <c r="B254" s="9" t="s">
        <v>283</v>
      </c>
      <c r="C254" s="12" t="s">
        <v>53</v>
      </c>
      <c r="D254" s="14" t="s">
        <v>338</v>
      </c>
      <c r="E254" s="16"/>
      <c r="F254" s="8"/>
      <c r="G254" s="16"/>
      <c r="H254" s="8"/>
      <c r="I254" s="16"/>
    </row>
    <row r="255" outlineLevel="1">
      <c r="A255" s="9" t="s">
        <v>99</v>
      </c>
      <c r="B255" s="9" t="s">
        <v>434</v>
      </c>
      <c r="C255" s="12" t="s">
        <v>65</v>
      </c>
      <c r="D255" s="14" t="s">
        <v>338</v>
      </c>
      <c r="E255" s="16"/>
      <c r="F255" s="8"/>
      <c r="G255" s="16"/>
      <c r="H255" s="8"/>
      <c r="I255" s="16"/>
    </row>
    <row r="256" outlineLevel="1">
      <c r="A256" s="9" t="s">
        <v>435</v>
      </c>
      <c r="B256" s="9" t="s">
        <v>436</v>
      </c>
      <c r="C256" s="12" t="s">
        <v>24</v>
      </c>
      <c r="D256" s="14" t="s">
        <v>338</v>
      </c>
      <c r="E256" s="16"/>
      <c r="F256" s="8"/>
      <c r="G256" s="16"/>
      <c r="H256" s="8"/>
      <c r="I256" s="16"/>
    </row>
    <row r="257" outlineLevel="1">
      <c r="A257" s="9" t="s">
        <v>437</v>
      </c>
      <c r="B257" s="9" t="s">
        <v>438</v>
      </c>
      <c r="C257" s="12" t="s">
        <v>122</v>
      </c>
      <c r="D257" s="14" t="s">
        <v>338</v>
      </c>
      <c r="E257" s="16"/>
      <c r="F257" s="8"/>
      <c r="G257" s="16"/>
      <c r="H257" s="8"/>
      <c r="I257" s="16"/>
    </row>
    <row r="258" outlineLevel="1">
      <c r="A258" s="18" t="s">
        <v>439</v>
      </c>
      <c r="B258" s="9" t="s">
        <v>440</v>
      </c>
      <c r="C258" s="12" t="s">
        <v>75</v>
      </c>
      <c r="D258" s="14" t="s">
        <v>338</v>
      </c>
      <c r="E258" s="16"/>
      <c r="F258" s="8"/>
      <c r="G258" s="16"/>
      <c r="H258" s="8"/>
      <c r="I258" s="16"/>
    </row>
    <row r="259" outlineLevel="1">
      <c r="A259" s="9" t="s">
        <v>441</v>
      </c>
      <c r="B259" s="18" t="s">
        <v>442</v>
      </c>
      <c r="C259" s="19" t="s">
        <v>16</v>
      </c>
      <c r="D259" s="14" t="s">
        <v>338</v>
      </c>
      <c r="E259" s="16"/>
      <c r="F259" s="18"/>
      <c r="G259" s="19"/>
      <c r="H259" s="18"/>
      <c r="I259" s="19"/>
    </row>
    <row r="260" outlineLevel="1">
      <c r="A260" s="9" t="s">
        <v>62</v>
      </c>
      <c r="B260" s="9" t="s">
        <v>443</v>
      </c>
      <c r="C260" s="12" t="s">
        <v>80</v>
      </c>
      <c r="D260" s="14" t="s">
        <v>338</v>
      </c>
      <c r="E260" s="16"/>
      <c r="F260" s="8"/>
      <c r="G260" s="16"/>
      <c r="H260" s="8"/>
      <c r="I260" s="16"/>
    </row>
    <row r="261" outlineLevel="1">
      <c r="A261" s="9" t="s">
        <v>444</v>
      </c>
      <c r="B261" s="9" t="s">
        <v>445</v>
      </c>
      <c r="C261" s="12" t="s">
        <v>65</v>
      </c>
      <c r="D261" s="14" t="s">
        <v>338</v>
      </c>
      <c r="E261" s="16"/>
      <c r="F261" s="8"/>
      <c r="G261" s="16"/>
      <c r="H261" s="8"/>
      <c r="I261" s="16"/>
    </row>
    <row r="262" outlineLevel="1">
      <c r="A262" s="9" t="s">
        <v>446</v>
      </c>
      <c r="B262" s="9" t="s">
        <v>447</v>
      </c>
      <c r="C262" s="12" t="s">
        <v>46</v>
      </c>
      <c r="D262" s="14" t="s">
        <v>338</v>
      </c>
      <c r="E262" s="16"/>
      <c r="F262" s="8"/>
      <c r="G262" s="16"/>
      <c r="H262" s="8"/>
      <c r="I262" s="16"/>
    </row>
    <row r="263" outlineLevel="1">
      <c r="A263" s="18" t="s">
        <v>448</v>
      </c>
      <c r="B263" s="9" t="s">
        <v>159</v>
      </c>
      <c r="C263" s="12" t="s">
        <v>138</v>
      </c>
      <c r="D263" s="14" t="s">
        <v>338</v>
      </c>
      <c r="E263" s="16"/>
      <c r="F263" s="8"/>
      <c r="G263" s="16"/>
      <c r="H263" s="8"/>
      <c r="I263" s="16"/>
    </row>
    <row r="264" outlineLevel="1">
      <c r="A264" s="9" t="s">
        <v>78</v>
      </c>
      <c r="B264" s="18" t="s">
        <v>121</v>
      </c>
      <c r="C264" s="19" t="s">
        <v>138</v>
      </c>
      <c r="D264" s="14" t="s">
        <v>338</v>
      </c>
      <c r="E264" s="16"/>
      <c r="F264" s="8"/>
      <c r="G264" s="16"/>
      <c r="H264" s="8"/>
      <c r="I264" s="16"/>
    </row>
    <row r="265" outlineLevel="1">
      <c r="A265" s="9" t="s">
        <v>449</v>
      </c>
      <c r="B265" s="9" t="s">
        <v>214</v>
      </c>
      <c r="C265" s="12" t="s">
        <v>53</v>
      </c>
      <c r="D265" s="14" t="s">
        <v>338</v>
      </c>
      <c r="E265" s="16"/>
      <c r="F265" s="8"/>
      <c r="G265" s="16"/>
      <c r="H265" s="8"/>
      <c r="I265" s="16"/>
    </row>
    <row r="266" outlineLevel="1">
      <c r="A266" s="9" t="s">
        <v>78</v>
      </c>
      <c r="B266" s="9" t="s">
        <v>450</v>
      </c>
      <c r="C266" s="12" t="s">
        <v>122</v>
      </c>
      <c r="D266" s="14" t="s">
        <v>338</v>
      </c>
      <c r="E266" s="16"/>
      <c r="F266" s="18"/>
      <c r="G266" s="19"/>
      <c r="H266" s="18"/>
      <c r="I266" s="19"/>
    </row>
    <row r="267" outlineLevel="1">
      <c r="A267" s="9" t="s">
        <v>451</v>
      </c>
      <c r="B267" s="9" t="s">
        <v>409</v>
      </c>
      <c r="C267" s="12" t="s">
        <v>16</v>
      </c>
      <c r="D267" s="14" t="s">
        <v>338</v>
      </c>
      <c r="E267" s="16"/>
      <c r="F267" s="8"/>
      <c r="G267" s="16"/>
      <c r="H267" s="8"/>
      <c r="I267" s="16"/>
    </row>
    <row r="268" outlineLevel="1">
      <c r="A268" s="9" t="s">
        <v>452</v>
      </c>
      <c r="B268" s="9" t="s">
        <v>260</v>
      </c>
      <c r="C268" s="12" t="s">
        <v>24</v>
      </c>
      <c r="D268" s="14" t="s">
        <v>338</v>
      </c>
      <c r="E268" s="16"/>
      <c r="F268" s="8"/>
      <c r="G268" s="16"/>
      <c r="H268" s="8"/>
      <c r="I268" s="16"/>
    </row>
    <row r="269" outlineLevel="1">
      <c r="A269" s="9" t="s">
        <v>453</v>
      </c>
      <c r="B269" s="9" t="s">
        <v>454</v>
      </c>
      <c r="C269" s="12" t="s">
        <v>75</v>
      </c>
      <c r="D269" s="14" t="s">
        <v>338</v>
      </c>
      <c r="E269" s="16"/>
      <c r="F269" s="8"/>
      <c r="G269" s="16"/>
      <c r="H269" s="8"/>
      <c r="I269" s="16"/>
    </row>
    <row r="270" outlineLevel="1">
      <c r="A270" s="18" t="s">
        <v>455</v>
      </c>
      <c r="B270" s="9" t="s">
        <v>456</v>
      </c>
      <c r="C270" s="12" t="s">
        <v>59</v>
      </c>
      <c r="D270" s="14" t="s">
        <v>338</v>
      </c>
      <c r="E270" s="16"/>
      <c r="F270" s="8"/>
      <c r="G270" s="16"/>
      <c r="H270" s="8"/>
      <c r="I270" s="16"/>
    </row>
    <row r="271" outlineLevel="1">
      <c r="A271" s="9" t="s">
        <v>457</v>
      </c>
      <c r="B271" s="9" t="s">
        <v>458</v>
      </c>
      <c r="C271" s="12" t="s">
        <v>192</v>
      </c>
      <c r="D271" s="14" t="s">
        <v>459</v>
      </c>
      <c r="E271" s="16"/>
      <c r="F271" s="8"/>
      <c r="G271" s="16"/>
      <c r="H271" s="8"/>
      <c r="I271" s="16"/>
    </row>
    <row r="272" outlineLevel="1">
      <c r="A272" s="9" t="s">
        <v>460</v>
      </c>
      <c r="B272" s="9" t="s">
        <v>273</v>
      </c>
      <c r="C272" s="12" t="s">
        <v>24</v>
      </c>
      <c r="D272" s="14" t="s">
        <v>459</v>
      </c>
      <c r="E272" s="16"/>
      <c r="F272" s="8"/>
      <c r="G272" s="16"/>
      <c r="H272" s="8"/>
      <c r="I272" s="16"/>
    </row>
    <row r="273" outlineLevel="1">
      <c r="A273" s="9" t="s">
        <v>460</v>
      </c>
      <c r="B273" s="9" t="s">
        <v>67</v>
      </c>
      <c r="C273" s="12" t="s">
        <v>38</v>
      </c>
      <c r="D273" s="14" t="s">
        <v>459</v>
      </c>
      <c r="E273" s="16"/>
      <c r="F273" s="8"/>
      <c r="G273" s="16"/>
      <c r="H273" s="8"/>
      <c r="I273" s="16"/>
    </row>
    <row r="274" outlineLevel="1">
      <c r="A274" s="9" t="s">
        <v>461</v>
      </c>
      <c r="B274" s="9" t="s">
        <v>462</v>
      </c>
      <c r="C274" s="12" t="s">
        <v>59</v>
      </c>
      <c r="D274" s="14" t="s">
        <v>459</v>
      </c>
      <c r="E274" s="16"/>
      <c r="F274" s="8"/>
      <c r="G274" s="16"/>
      <c r="H274" s="8"/>
      <c r="I274" s="16"/>
    </row>
    <row r="275" outlineLevel="1">
      <c r="A275" s="9" t="s">
        <v>463</v>
      </c>
      <c r="B275" s="9" t="s">
        <v>52</v>
      </c>
      <c r="C275" s="12" t="s">
        <v>70</v>
      </c>
      <c r="D275" s="14" t="s">
        <v>459</v>
      </c>
      <c r="E275" s="16"/>
      <c r="F275" s="8"/>
      <c r="G275" s="16"/>
      <c r="H275" s="8"/>
      <c r="I275" s="16"/>
    </row>
    <row r="276" outlineLevel="1">
      <c r="A276" s="9" t="s">
        <v>464</v>
      </c>
      <c r="B276" s="9" t="s">
        <v>465</v>
      </c>
      <c r="C276" s="12" t="s">
        <v>65</v>
      </c>
      <c r="D276" s="14" t="s">
        <v>459</v>
      </c>
      <c r="E276" s="16"/>
      <c r="F276" s="8"/>
      <c r="G276" s="16"/>
      <c r="H276" s="8"/>
      <c r="I276" s="16"/>
    </row>
    <row r="277" outlineLevel="1">
      <c r="A277" s="9" t="s">
        <v>466</v>
      </c>
      <c r="B277" s="9" t="s">
        <v>467</v>
      </c>
      <c r="C277" s="12" t="s">
        <v>122</v>
      </c>
      <c r="D277" s="14" t="s">
        <v>459</v>
      </c>
      <c r="E277" s="16"/>
      <c r="F277" s="8"/>
      <c r="G277" s="16"/>
      <c r="H277" s="8"/>
      <c r="I277" s="16"/>
    </row>
    <row r="278" outlineLevel="1">
      <c r="A278" s="9" t="s">
        <v>468</v>
      </c>
      <c r="B278" s="9" t="s">
        <v>389</v>
      </c>
      <c r="C278" s="12" t="s">
        <v>93</v>
      </c>
      <c r="D278" s="14" t="s">
        <v>459</v>
      </c>
      <c r="E278" s="16"/>
      <c r="F278" s="8"/>
      <c r="G278" s="16"/>
      <c r="H278" s="8"/>
      <c r="I278" s="16"/>
    </row>
    <row r="279" outlineLevel="1">
      <c r="A279" s="9" t="s">
        <v>469</v>
      </c>
      <c r="B279" s="9" t="s">
        <v>275</v>
      </c>
      <c r="C279" s="12" t="s">
        <v>80</v>
      </c>
      <c r="D279" s="14" t="s">
        <v>459</v>
      </c>
      <c r="E279" s="16"/>
      <c r="F279" s="8"/>
      <c r="G279" s="16"/>
      <c r="H279" s="8"/>
      <c r="I279" s="16"/>
    </row>
    <row r="280" outlineLevel="1">
      <c r="A280" s="9" t="s">
        <v>470</v>
      </c>
      <c r="B280" s="9" t="s">
        <v>471</v>
      </c>
      <c r="C280" s="12" t="s">
        <v>186</v>
      </c>
      <c r="D280" s="14" t="s">
        <v>459</v>
      </c>
      <c r="E280" s="16"/>
      <c r="F280" s="8"/>
      <c r="G280" s="16"/>
      <c r="H280" s="8"/>
      <c r="I280" s="16"/>
    </row>
    <row r="281" outlineLevel="1">
      <c r="A281" s="9" t="s">
        <v>35</v>
      </c>
      <c r="B281" s="9" t="s">
        <v>472</v>
      </c>
      <c r="C281" s="12" t="s">
        <v>65</v>
      </c>
      <c r="D281" s="14" t="s">
        <v>459</v>
      </c>
      <c r="E281" s="16"/>
      <c r="F281" s="8"/>
      <c r="G281" s="16"/>
      <c r="H281" s="8"/>
      <c r="I281" s="16"/>
    </row>
    <row r="282" outlineLevel="1">
      <c r="A282" s="9" t="s">
        <v>473</v>
      </c>
      <c r="B282" s="9" t="s">
        <v>381</v>
      </c>
      <c r="C282" s="12" t="s">
        <v>93</v>
      </c>
      <c r="D282" s="14" t="s">
        <v>459</v>
      </c>
      <c r="E282" s="16"/>
      <c r="F282" s="8"/>
      <c r="G282" s="16"/>
      <c r="H282" s="8"/>
      <c r="I282" s="16"/>
    </row>
    <row r="283" outlineLevel="1">
      <c r="A283" s="9" t="s">
        <v>474</v>
      </c>
      <c r="B283" s="9" t="s">
        <v>121</v>
      </c>
      <c r="C283" s="12" t="s">
        <v>70</v>
      </c>
      <c r="D283" s="14" t="s">
        <v>459</v>
      </c>
      <c r="E283" s="16"/>
      <c r="F283" s="8"/>
      <c r="G283" s="16"/>
      <c r="H283" s="8"/>
      <c r="I283" s="16"/>
    </row>
    <row r="284" outlineLevel="1">
      <c r="A284" s="9" t="s">
        <v>475</v>
      </c>
      <c r="B284" s="9" t="s">
        <v>476</v>
      </c>
      <c r="C284" s="12" t="s">
        <v>59</v>
      </c>
      <c r="D284" s="14" t="s">
        <v>459</v>
      </c>
      <c r="E284" s="16"/>
      <c r="F284" s="8"/>
      <c r="G284" s="16"/>
      <c r="H284" s="8"/>
      <c r="I284" s="16"/>
    </row>
    <row r="285" outlineLevel="1">
      <c r="A285" s="9" t="s">
        <v>477</v>
      </c>
      <c r="B285" s="9" t="s">
        <v>98</v>
      </c>
      <c r="C285" s="12" t="s">
        <v>24</v>
      </c>
      <c r="D285" s="14" t="s">
        <v>459</v>
      </c>
      <c r="E285" s="16"/>
      <c r="F285" s="8"/>
      <c r="G285" s="16"/>
      <c r="H285" s="8"/>
      <c r="I285" s="16"/>
    </row>
    <row r="286" outlineLevel="1">
      <c r="A286" s="9" t="s">
        <v>478</v>
      </c>
      <c r="B286" s="9" t="s">
        <v>479</v>
      </c>
      <c r="C286" s="12" t="s">
        <v>24</v>
      </c>
      <c r="D286" s="14" t="s">
        <v>459</v>
      </c>
      <c r="E286" s="16"/>
      <c r="F286" s="18"/>
      <c r="G286" s="19"/>
      <c r="H286" s="18"/>
      <c r="I286" s="19"/>
    </row>
    <row r="287" outlineLevel="1">
      <c r="A287" s="9" t="s">
        <v>106</v>
      </c>
      <c r="B287" s="9" t="s">
        <v>23</v>
      </c>
      <c r="C287" s="12" t="s">
        <v>65</v>
      </c>
      <c r="D287" s="14" t="s">
        <v>459</v>
      </c>
      <c r="E287" s="16"/>
      <c r="F287" s="8"/>
      <c r="G287" s="16"/>
      <c r="H287" s="8"/>
      <c r="I287" s="16"/>
    </row>
    <row r="288" outlineLevel="1">
      <c r="A288" s="9" t="s">
        <v>106</v>
      </c>
      <c r="B288" s="9" t="s">
        <v>480</v>
      </c>
      <c r="C288" s="12" t="s">
        <v>186</v>
      </c>
      <c r="D288" s="14" t="s">
        <v>459</v>
      </c>
      <c r="E288" s="16"/>
      <c r="F288" s="8"/>
      <c r="G288" s="16"/>
      <c r="H288" s="8"/>
      <c r="I288" s="16"/>
    </row>
    <row r="289" outlineLevel="1">
      <c r="A289" s="9" t="s">
        <v>106</v>
      </c>
      <c r="B289" s="9" t="s">
        <v>481</v>
      </c>
      <c r="C289" s="12" t="s">
        <v>65</v>
      </c>
      <c r="D289" s="14" t="s">
        <v>459</v>
      </c>
      <c r="E289" s="16"/>
      <c r="F289" s="8"/>
      <c r="G289" s="16"/>
      <c r="H289" s="8"/>
      <c r="I289" s="16"/>
    </row>
    <row r="290" outlineLevel="1">
      <c r="A290" s="9" t="s">
        <v>482</v>
      </c>
      <c r="B290" s="9" t="s">
        <v>483</v>
      </c>
      <c r="C290" s="12" t="s">
        <v>12</v>
      </c>
      <c r="D290" s="14" t="s">
        <v>459</v>
      </c>
      <c r="E290" s="16"/>
      <c r="F290" s="8"/>
      <c r="G290" s="16"/>
      <c r="H290" s="8"/>
      <c r="I290" s="16"/>
    </row>
    <row r="291" outlineLevel="1">
      <c r="A291" s="9" t="s">
        <v>484</v>
      </c>
      <c r="B291" s="9" t="s">
        <v>485</v>
      </c>
      <c r="C291" s="12" t="s">
        <v>70</v>
      </c>
      <c r="D291" s="14" t="s">
        <v>459</v>
      </c>
      <c r="E291" s="16"/>
      <c r="F291" s="8"/>
      <c r="G291" s="16"/>
      <c r="H291" s="8"/>
      <c r="I291" s="16"/>
    </row>
    <row r="292" outlineLevel="1">
      <c r="A292" s="9" t="s">
        <v>486</v>
      </c>
      <c r="B292" s="9" t="s">
        <v>487</v>
      </c>
      <c r="C292" s="12" t="s">
        <v>65</v>
      </c>
      <c r="D292" s="14" t="s">
        <v>459</v>
      </c>
      <c r="E292" s="16"/>
      <c r="F292" s="8"/>
      <c r="G292" s="16"/>
      <c r="H292" s="8"/>
      <c r="I292" s="16"/>
    </row>
    <row r="293" outlineLevel="1">
      <c r="A293" s="9" t="s">
        <v>486</v>
      </c>
      <c r="B293" s="9" t="s">
        <v>283</v>
      </c>
      <c r="C293" s="12" t="s">
        <v>93</v>
      </c>
      <c r="D293" s="14" t="s">
        <v>459</v>
      </c>
      <c r="E293" s="16"/>
      <c r="F293" s="8"/>
      <c r="G293" s="16"/>
      <c r="H293" s="8"/>
      <c r="I293" s="16"/>
    </row>
    <row r="294" outlineLevel="1">
      <c r="A294" s="9" t="s">
        <v>488</v>
      </c>
      <c r="B294" s="9" t="s">
        <v>489</v>
      </c>
      <c r="C294" s="12" t="s">
        <v>215</v>
      </c>
      <c r="D294" s="14" t="s">
        <v>459</v>
      </c>
      <c r="E294" s="16"/>
      <c r="F294" s="8"/>
      <c r="G294" s="16"/>
      <c r="H294" s="8"/>
      <c r="I294" s="16"/>
    </row>
    <row r="295" outlineLevel="1">
      <c r="A295" s="18" t="s">
        <v>490</v>
      </c>
      <c r="B295" s="9" t="s">
        <v>491</v>
      </c>
      <c r="C295" s="12" t="s">
        <v>93</v>
      </c>
      <c r="D295" s="14" t="s">
        <v>459</v>
      </c>
      <c r="E295" s="16"/>
      <c r="F295" s="8"/>
      <c r="G295" s="16"/>
      <c r="H295" s="8"/>
      <c r="I295" s="16"/>
    </row>
    <row r="296" outlineLevel="1">
      <c r="A296" s="9" t="s">
        <v>492</v>
      </c>
      <c r="B296" s="18" t="s">
        <v>493</v>
      </c>
      <c r="C296" s="19" t="s">
        <v>24</v>
      </c>
      <c r="D296" s="14" t="s">
        <v>459</v>
      </c>
      <c r="E296" s="16"/>
      <c r="F296" s="8"/>
      <c r="G296" s="16"/>
      <c r="H296" s="8"/>
      <c r="I296" s="16"/>
    </row>
    <row r="297" outlineLevel="1">
      <c r="A297" s="9" t="s">
        <v>494</v>
      </c>
      <c r="B297" s="9" t="s">
        <v>495</v>
      </c>
      <c r="C297" s="12" t="s">
        <v>215</v>
      </c>
      <c r="D297" s="14" t="s">
        <v>459</v>
      </c>
      <c r="E297" s="16"/>
      <c r="F297" s="18"/>
      <c r="G297" s="19"/>
      <c r="H297" s="18"/>
      <c r="I297" s="19"/>
    </row>
    <row r="298" outlineLevel="1">
      <c r="A298" s="9" t="s">
        <v>496</v>
      </c>
      <c r="B298" s="9" t="s">
        <v>497</v>
      </c>
      <c r="C298" s="12" t="s">
        <v>65</v>
      </c>
      <c r="D298" s="14" t="s">
        <v>459</v>
      </c>
      <c r="E298" s="16"/>
      <c r="F298" s="8"/>
      <c r="G298" s="16"/>
      <c r="H298" s="8"/>
      <c r="I298" s="16"/>
    </row>
    <row r="299" outlineLevel="1">
      <c r="A299" s="9" t="s">
        <v>498</v>
      </c>
      <c r="B299" s="9" t="s">
        <v>499</v>
      </c>
      <c r="C299" s="12" t="s">
        <v>53</v>
      </c>
      <c r="D299" s="14" t="s">
        <v>459</v>
      </c>
      <c r="E299" s="16"/>
      <c r="F299" s="8"/>
      <c r="G299" s="16"/>
      <c r="H299" s="8"/>
      <c r="I299" s="16"/>
    </row>
    <row r="300" outlineLevel="1">
      <c r="A300" s="9" t="s">
        <v>500</v>
      </c>
      <c r="B300" s="9" t="s">
        <v>247</v>
      </c>
      <c r="C300" s="12" t="s">
        <v>93</v>
      </c>
      <c r="D300" s="14" t="s">
        <v>459</v>
      </c>
      <c r="E300" s="16"/>
      <c r="F300" s="8"/>
      <c r="G300" s="16"/>
      <c r="H300" s="8"/>
      <c r="I300" s="16"/>
    </row>
    <row r="301" outlineLevel="1">
      <c r="A301" s="9" t="s">
        <v>359</v>
      </c>
      <c r="B301" s="9" t="s">
        <v>501</v>
      </c>
      <c r="C301" s="12" t="s">
        <v>215</v>
      </c>
      <c r="D301" s="14" t="s">
        <v>459</v>
      </c>
      <c r="E301" s="16"/>
      <c r="F301" s="8"/>
      <c r="G301" s="16"/>
      <c r="H301" s="8"/>
      <c r="I301" s="16"/>
    </row>
    <row r="302" outlineLevel="1">
      <c r="A302" s="9" t="s">
        <v>502</v>
      </c>
      <c r="B302" s="9" t="s">
        <v>503</v>
      </c>
      <c r="C302" s="12" t="s">
        <v>70</v>
      </c>
      <c r="D302" s="14" t="s">
        <v>459</v>
      </c>
      <c r="E302" s="16"/>
      <c r="F302" s="8"/>
      <c r="G302" s="16"/>
      <c r="H302" s="8"/>
      <c r="I302" s="16"/>
    </row>
    <row r="303" outlineLevel="1">
      <c r="A303" s="9" t="s">
        <v>504</v>
      </c>
      <c r="B303" s="9" t="s">
        <v>505</v>
      </c>
      <c r="C303" s="12" t="s">
        <v>122</v>
      </c>
      <c r="D303" s="14" t="s">
        <v>459</v>
      </c>
      <c r="E303" s="16"/>
      <c r="F303" s="8"/>
      <c r="G303" s="16"/>
      <c r="H303" s="8"/>
      <c r="I303" s="16"/>
    </row>
    <row r="304" outlineLevel="1">
      <c r="A304" s="9" t="s">
        <v>506</v>
      </c>
      <c r="B304" s="9" t="s">
        <v>507</v>
      </c>
      <c r="C304" s="12" t="s">
        <v>186</v>
      </c>
      <c r="D304" s="14" t="s">
        <v>459</v>
      </c>
      <c r="E304" s="16"/>
      <c r="F304" s="8"/>
      <c r="G304" s="16"/>
      <c r="H304" s="8"/>
      <c r="I304" s="16"/>
    </row>
    <row r="305" outlineLevel="1">
      <c r="A305" s="9" t="s">
        <v>508</v>
      </c>
      <c r="B305" s="9" t="s">
        <v>506</v>
      </c>
      <c r="C305" s="12" t="s">
        <v>132</v>
      </c>
      <c r="D305" s="14" t="s">
        <v>459</v>
      </c>
      <c r="E305" s="16"/>
      <c r="F305" s="8"/>
      <c r="G305" s="16"/>
      <c r="H305" s="8"/>
      <c r="I305" s="16"/>
    </row>
    <row r="306" outlineLevel="1">
      <c r="A306" s="9" t="s">
        <v>509</v>
      </c>
      <c r="B306" s="9" t="s">
        <v>360</v>
      </c>
      <c r="C306" s="12" t="s">
        <v>24</v>
      </c>
      <c r="D306" s="14" t="s">
        <v>459</v>
      </c>
      <c r="E306" s="16"/>
      <c r="F306" s="8"/>
      <c r="G306" s="16"/>
      <c r="H306" s="8"/>
      <c r="I306" s="16"/>
    </row>
    <row r="307" outlineLevel="1">
      <c r="A307" s="9" t="s">
        <v>510</v>
      </c>
      <c r="B307" s="9" t="s">
        <v>137</v>
      </c>
      <c r="C307" s="12" t="s">
        <v>65</v>
      </c>
      <c r="D307" s="14" t="s">
        <v>459</v>
      </c>
      <c r="E307" s="16"/>
      <c r="F307" s="8"/>
      <c r="G307" s="16"/>
      <c r="H307" s="8"/>
      <c r="I307" s="16"/>
    </row>
    <row r="308" outlineLevel="1">
      <c r="A308" s="18" t="s">
        <v>511</v>
      </c>
      <c r="B308" s="9" t="s">
        <v>512</v>
      </c>
      <c r="C308" s="12" t="s">
        <v>186</v>
      </c>
      <c r="D308" s="14" t="s">
        <v>459</v>
      </c>
      <c r="E308" s="16"/>
      <c r="F308" s="8"/>
      <c r="G308" s="16"/>
      <c r="H308" s="8"/>
      <c r="I308" s="16"/>
    </row>
    <row r="309" outlineLevel="1">
      <c r="A309" s="9" t="s">
        <v>513</v>
      </c>
      <c r="B309" s="18" t="s">
        <v>514</v>
      </c>
      <c r="C309" s="19" t="s">
        <v>16</v>
      </c>
      <c r="D309" s="14" t="s">
        <v>459</v>
      </c>
      <c r="E309" s="16"/>
      <c r="F309" s="8"/>
      <c r="G309" s="16"/>
      <c r="H309" s="8"/>
      <c r="I309" s="16"/>
    </row>
    <row r="310" outlineLevel="1">
      <c r="A310" s="9" t="s">
        <v>515</v>
      </c>
      <c r="B310" s="9" t="s">
        <v>516</v>
      </c>
      <c r="C310" s="12" t="s">
        <v>192</v>
      </c>
      <c r="D310" s="14" t="s">
        <v>459</v>
      </c>
      <c r="E310" s="16"/>
      <c r="F310" s="8"/>
      <c r="G310" s="16"/>
      <c r="H310" s="8"/>
      <c r="I310" s="16"/>
    </row>
    <row r="311" outlineLevel="1">
      <c r="A311" s="9" t="s">
        <v>517</v>
      </c>
      <c r="B311" s="9" t="s">
        <v>518</v>
      </c>
      <c r="C311" s="12" t="s">
        <v>75</v>
      </c>
      <c r="D311" s="14" t="s">
        <v>459</v>
      </c>
      <c r="E311" s="16"/>
      <c r="F311" s="8"/>
      <c r="G311" s="16"/>
      <c r="H311" s="8"/>
      <c r="I311" s="16"/>
    </row>
    <row r="312" outlineLevel="1">
      <c r="A312" s="9" t="s">
        <v>519</v>
      </c>
      <c r="B312" s="9" t="s">
        <v>183</v>
      </c>
      <c r="C312" s="12" t="s">
        <v>16</v>
      </c>
      <c r="D312" s="14" t="s">
        <v>459</v>
      </c>
      <c r="E312" s="16"/>
      <c r="F312" s="8"/>
      <c r="G312" s="16"/>
      <c r="H312" s="8"/>
      <c r="I312" s="16"/>
    </row>
    <row r="313" outlineLevel="1">
      <c r="A313" s="18" t="s">
        <v>520</v>
      </c>
      <c r="B313" s="9" t="s">
        <v>521</v>
      </c>
      <c r="C313" s="12" t="s">
        <v>93</v>
      </c>
      <c r="D313" s="14" t="s">
        <v>459</v>
      </c>
      <c r="E313" s="16"/>
      <c r="F313" s="18"/>
      <c r="G313" s="19"/>
      <c r="H313" s="18"/>
      <c r="I313" s="19"/>
    </row>
    <row r="314" outlineLevel="1">
      <c r="A314" s="9" t="s">
        <v>522</v>
      </c>
      <c r="B314" s="18" t="s">
        <v>337</v>
      </c>
      <c r="C314" s="19" t="s">
        <v>16</v>
      </c>
      <c r="D314" s="14" t="s">
        <v>459</v>
      </c>
      <c r="E314" s="16"/>
      <c r="F314" s="8"/>
      <c r="G314" s="16"/>
      <c r="H314" s="8"/>
      <c r="I314" s="16"/>
    </row>
    <row r="315" outlineLevel="1">
      <c r="A315" s="9" t="s">
        <v>522</v>
      </c>
      <c r="B315" s="9" t="s">
        <v>67</v>
      </c>
      <c r="C315" s="12" t="s">
        <v>16</v>
      </c>
      <c r="D315" s="14" t="s">
        <v>459</v>
      </c>
      <c r="E315" s="16"/>
      <c r="F315" s="8"/>
      <c r="G315" s="16"/>
      <c r="H315" s="8"/>
      <c r="I315" s="16"/>
    </row>
    <row r="316" outlineLevel="1">
      <c r="A316" s="9" t="s">
        <v>523</v>
      </c>
      <c r="B316" s="9" t="s">
        <v>524</v>
      </c>
      <c r="C316" s="12" t="s">
        <v>122</v>
      </c>
      <c r="D316" s="14" t="s">
        <v>459</v>
      </c>
      <c r="E316" s="16"/>
      <c r="F316" s="8"/>
      <c r="G316" s="16"/>
      <c r="H316" s="8"/>
      <c r="I316" s="16"/>
    </row>
    <row r="317" outlineLevel="1">
      <c r="A317" s="18" t="s">
        <v>525</v>
      </c>
      <c r="B317" s="9" t="s">
        <v>526</v>
      </c>
      <c r="C317" s="12" t="s">
        <v>122</v>
      </c>
      <c r="D317" s="14" t="s">
        <v>459</v>
      </c>
      <c r="E317" s="16"/>
      <c r="F317" s="8"/>
      <c r="G317" s="16"/>
      <c r="H317" s="8"/>
      <c r="I317" s="16"/>
    </row>
    <row r="318" outlineLevel="1">
      <c r="A318" s="9" t="s">
        <v>89</v>
      </c>
      <c r="B318" s="18" t="s">
        <v>527</v>
      </c>
      <c r="C318" s="19" t="s">
        <v>80</v>
      </c>
      <c r="D318" s="14" t="s">
        <v>459</v>
      </c>
      <c r="E318" s="16"/>
      <c r="F318" s="8"/>
      <c r="G318" s="16"/>
      <c r="H318" s="8"/>
      <c r="I318" s="16"/>
    </row>
    <row r="319" outlineLevel="1">
      <c r="A319" s="18" t="s">
        <v>528</v>
      </c>
      <c r="B319" s="9" t="s">
        <v>529</v>
      </c>
      <c r="C319" s="12" t="s">
        <v>93</v>
      </c>
      <c r="D319" s="14" t="s">
        <v>459</v>
      </c>
      <c r="E319" s="16"/>
      <c r="F319" s="18"/>
      <c r="G319" s="19"/>
      <c r="H319" s="18"/>
      <c r="I319" s="19"/>
    </row>
    <row r="320" outlineLevel="1">
      <c r="A320" s="9" t="s">
        <v>530</v>
      </c>
      <c r="B320" s="18" t="s">
        <v>494</v>
      </c>
      <c r="C320" s="19" t="s">
        <v>93</v>
      </c>
      <c r="D320" s="14" t="s">
        <v>459</v>
      </c>
      <c r="E320" s="16"/>
      <c r="F320" s="8"/>
      <c r="G320" s="16"/>
      <c r="H320" s="8"/>
      <c r="I320" s="16"/>
    </row>
    <row r="321" outlineLevel="1">
      <c r="A321" s="9" t="s">
        <v>531</v>
      </c>
      <c r="B321" s="9" t="s">
        <v>532</v>
      </c>
      <c r="C321" s="12" t="s">
        <v>38</v>
      </c>
      <c r="D321" s="14" t="s">
        <v>459</v>
      </c>
      <c r="E321" s="16"/>
      <c r="F321" s="8"/>
      <c r="G321" s="16"/>
      <c r="H321" s="8"/>
      <c r="I321" s="16"/>
    </row>
    <row r="322" outlineLevel="1">
      <c r="A322" s="9" t="s">
        <v>533</v>
      </c>
      <c r="B322" s="9" t="s">
        <v>534</v>
      </c>
      <c r="C322" s="12" t="s">
        <v>138</v>
      </c>
      <c r="D322" s="14" t="s">
        <v>459</v>
      </c>
      <c r="E322" s="16"/>
      <c r="F322" s="8"/>
      <c r="G322" s="16"/>
      <c r="H322" s="8"/>
      <c r="I322" s="16"/>
    </row>
    <row r="323" outlineLevel="1">
      <c r="A323" s="18" t="s">
        <v>535</v>
      </c>
      <c r="B323" s="9" t="s">
        <v>536</v>
      </c>
      <c r="C323" s="12" t="s">
        <v>59</v>
      </c>
      <c r="D323" s="14" t="s">
        <v>459</v>
      </c>
      <c r="E323" s="16"/>
      <c r="F323" s="8"/>
      <c r="G323" s="16"/>
      <c r="H323" s="8"/>
      <c r="I323" s="16"/>
    </row>
    <row r="324" outlineLevel="1">
      <c r="A324" s="9" t="s">
        <v>537</v>
      </c>
      <c r="B324" s="18" t="s">
        <v>301</v>
      </c>
      <c r="C324" s="19" t="s">
        <v>24</v>
      </c>
      <c r="D324" s="14" t="s">
        <v>459</v>
      </c>
      <c r="E324" s="16"/>
      <c r="F324" s="8"/>
      <c r="G324" s="16"/>
      <c r="H324" s="8"/>
      <c r="I324" s="16"/>
    </row>
    <row r="325" outlineLevel="1">
      <c r="A325" s="9" t="s">
        <v>537</v>
      </c>
      <c r="B325" s="9" t="s">
        <v>538</v>
      </c>
      <c r="C325" s="12" t="s">
        <v>16</v>
      </c>
      <c r="D325" s="14" t="s">
        <v>459</v>
      </c>
      <c r="E325" s="16"/>
      <c r="F325" s="8"/>
      <c r="G325" s="16"/>
      <c r="H325" s="8"/>
      <c r="I325" s="16"/>
    </row>
    <row r="326" outlineLevel="1">
      <c r="A326" s="18" t="s">
        <v>539</v>
      </c>
      <c r="B326" s="9" t="s">
        <v>540</v>
      </c>
      <c r="C326" s="12" t="s">
        <v>65</v>
      </c>
      <c r="D326" s="14" t="s">
        <v>459</v>
      </c>
      <c r="E326" s="16"/>
      <c r="F326" s="8"/>
      <c r="G326" s="16"/>
      <c r="H326" s="8"/>
      <c r="I326" s="16"/>
    </row>
    <row r="327" outlineLevel="1">
      <c r="A327" s="9" t="s">
        <v>541</v>
      </c>
      <c r="B327" s="18" t="s">
        <v>542</v>
      </c>
      <c r="C327" s="19" t="s">
        <v>138</v>
      </c>
      <c r="D327" s="14" t="s">
        <v>459</v>
      </c>
      <c r="E327" s="16"/>
      <c r="F327" s="8"/>
      <c r="G327" s="16"/>
      <c r="H327" s="8"/>
      <c r="I327" s="16"/>
    </row>
    <row r="328" outlineLevel="1">
      <c r="A328" s="9" t="s">
        <v>543</v>
      </c>
      <c r="B328" s="9" t="s">
        <v>544</v>
      </c>
      <c r="C328" s="12" t="s">
        <v>24</v>
      </c>
      <c r="D328" s="14" t="s">
        <v>459</v>
      </c>
      <c r="E328" s="16"/>
      <c r="F328" s="8"/>
      <c r="G328" s="16"/>
      <c r="H328" s="8"/>
      <c r="I328" s="16"/>
    </row>
    <row r="329" outlineLevel="1">
      <c r="A329" s="9" t="s">
        <v>384</v>
      </c>
      <c r="B329" s="9" t="s">
        <v>471</v>
      </c>
      <c r="C329" s="12" t="s">
        <v>70</v>
      </c>
      <c r="D329" s="14" t="s">
        <v>459</v>
      </c>
      <c r="E329" s="16"/>
      <c r="F329" s="8"/>
      <c r="G329" s="16"/>
      <c r="H329" s="8"/>
      <c r="I329" s="16"/>
    </row>
    <row r="330" outlineLevel="1">
      <c r="A330" s="9" t="s">
        <v>545</v>
      </c>
      <c r="B330" s="9" t="s">
        <v>546</v>
      </c>
      <c r="C330" s="12" t="s">
        <v>192</v>
      </c>
      <c r="D330" s="14" t="s">
        <v>459</v>
      </c>
      <c r="E330" s="16"/>
      <c r="F330" s="8"/>
      <c r="G330" s="16"/>
      <c r="H330" s="8"/>
      <c r="I330" s="16"/>
    </row>
    <row r="331" outlineLevel="1">
      <c r="A331" s="9" t="s">
        <v>547</v>
      </c>
      <c r="B331" s="9" t="s">
        <v>548</v>
      </c>
      <c r="C331" s="12" t="s">
        <v>93</v>
      </c>
      <c r="D331" s="14" t="s">
        <v>459</v>
      </c>
      <c r="E331" s="16"/>
      <c r="F331" s="8"/>
      <c r="G331" s="16"/>
      <c r="H331" s="8"/>
      <c r="I331" s="16"/>
    </row>
    <row r="332" outlineLevel="1">
      <c r="A332" s="9" t="s">
        <v>208</v>
      </c>
      <c r="B332" s="9" t="s">
        <v>549</v>
      </c>
      <c r="C332" s="12" t="s">
        <v>122</v>
      </c>
      <c r="D332" s="14" t="s">
        <v>459</v>
      </c>
      <c r="E332" s="16"/>
      <c r="F332" s="8"/>
      <c r="G332" s="16"/>
      <c r="H332" s="8"/>
      <c r="I332" s="16"/>
    </row>
    <row r="333" outlineLevel="1">
      <c r="A333" s="9" t="s">
        <v>550</v>
      </c>
      <c r="B333" s="9" t="s">
        <v>551</v>
      </c>
      <c r="C333" s="12" t="s">
        <v>65</v>
      </c>
      <c r="D333" s="14" t="s">
        <v>459</v>
      </c>
      <c r="E333" s="16"/>
      <c r="F333" s="8"/>
      <c r="G333" s="16"/>
      <c r="H333" s="8"/>
      <c r="I333" s="16"/>
    </row>
    <row r="334" outlineLevel="1">
      <c r="A334" s="9" t="s">
        <v>389</v>
      </c>
      <c r="B334" s="9" t="s">
        <v>552</v>
      </c>
      <c r="C334" s="12" t="s">
        <v>149</v>
      </c>
      <c r="D334" s="14" t="s">
        <v>459</v>
      </c>
      <c r="E334" s="16"/>
      <c r="F334" s="8"/>
      <c r="G334" s="16"/>
      <c r="H334" s="8"/>
      <c r="I334" s="16"/>
    </row>
    <row r="335" outlineLevel="1">
      <c r="A335" s="9" t="s">
        <v>389</v>
      </c>
      <c r="B335" s="9" t="s">
        <v>553</v>
      </c>
      <c r="C335" s="12" t="s">
        <v>93</v>
      </c>
      <c r="D335" s="14" t="s">
        <v>459</v>
      </c>
      <c r="E335" s="16"/>
      <c r="F335" s="8"/>
      <c r="G335" s="16"/>
      <c r="H335" s="8"/>
      <c r="I335" s="16"/>
    </row>
    <row r="336" outlineLevel="1">
      <c r="A336" s="9" t="s">
        <v>284</v>
      </c>
      <c r="B336" s="9" t="s">
        <v>554</v>
      </c>
      <c r="C336" s="12" t="s">
        <v>59</v>
      </c>
      <c r="D336" s="14" t="s">
        <v>459</v>
      </c>
      <c r="E336" s="16"/>
      <c r="F336" s="8"/>
      <c r="G336" s="16"/>
      <c r="H336" s="8"/>
      <c r="I336" s="16"/>
    </row>
    <row r="337" outlineLevel="1">
      <c r="A337" s="9" t="s">
        <v>284</v>
      </c>
      <c r="B337" s="9" t="s">
        <v>555</v>
      </c>
      <c r="C337" s="12" t="s">
        <v>122</v>
      </c>
      <c r="D337" s="14" t="s">
        <v>459</v>
      </c>
      <c r="E337" s="16"/>
      <c r="F337" s="18"/>
      <c r="G337" s="19"/>
      <c r="H337" s="18"/>
      <c r="I337" s="19"/>
    </row>
    <row r="338" outlineLevel="1">
      <c r="A338" s="9" t="s">
        <v>284</v>
      </c>
      <c r="B338" s="9" t="s">
        <v>556</v>
      </c>
      <c r="C338" s="12" t="s">
        <v>65</v>
      </c>
      <c r="D338" s="14" t="s">
        <v>459</v>
      </c>
      <c r="E338" s="16"/>
      <c r="F338" s="8"/>
      <c r="G338" s="16"/>
      <c r="H338" s="8"/>
      <c r="I338" s="16"/>
    </row>
    <row r="339" outlineLevel="1">
      <c r="A339" s="9" t="s">
        <v>557</v>
      </c>
      <c r="B339" s="9" t="s">
        <v>558</v>
      </c>
      <c r="C339" s="12" t="s">
        <v>65</v>
      </c>
      <c r="D339" s="14" t="s">
        <v>459</v>
      </c>
      <c r="E339" s="16"/>
      <c r="F339" s="8"/>
      <c r="G339" s="16"/>
      <c r="H339" s="8"/>
      <c r="I339" s="16"/>
    </row>
    <row r="340" outlineLevel="1">
      <c r="A340" s="9" t="s">
        <v>290</v>
      </c>
      <c r="B340" s="9" t="s">
        <v>472</v>
      </c>
      <c r="C340" s="12" t="s">
        <v>24</v>
      </c>
      <c r="D340" s="14" t="s">
        <v>459</v>
      </c>
      <c r="E340" s="16"/>
      <c r="F340" s="8"/>
      <c r="G340" s="16"/>
      <c r="H340" s="8"/>
      <c r="I340" s="16"/>
    </row>
    <row r="341" outlineLevel="1">
      <c r="A341" s="9" t="s">
        <v>559</v>
      </c>
      <c r="B341" s="9" t="s">
        <v>560</v>
      </c>
      <c r="C341" s="12" t="s">
        <v>75</v>
      </c>
      <c r="D341" s="14" t="s">
        <v>459</v>
      </c>
      <c r="E341" s="16"/>
      <c r="F341" s="8"/>
      <c r="G341" s="16"/>
      <c r="H341" s="8"/>
      <c r="I341" s="16"/>
    </row>
    <row r="342" outlineLevel="1">
      <c r="A342" s="9" t="s">
        <v>561</v>
      </c>
      <c r="B342" s="9" t="s">
        <v>562</v>
      </c>
      <c r="C342" s="12" t="s">
        <v>149</v>
      </c>
      <c r="D342" s="14" t="s">
        <v>459</v>
      </c>
      <c r="E342" s="16"/>
      <c r="F342" s="8"/>
      <c r="G342" s="16"/>
      <c r="H342" s="8"/>
      <c r="I342" s="16"/>
    </row>
    <row r="343" outlineLevel="1">
      <c r="A343" s="9" t="s">
        <v>563</v>
      </c>
      <c r="B343" s="9" t="s">
        <v>480</v>
      </c>
      <c r="C343" s="12" t="s">
        <v>138</v>
      </c>
      <c r="D343" s="14" t="s">
        <v>459</v>
      </c>
      <c r="E343" s="16"/>
      <c r="F343" s="8"/>
      <c r="G343" s="16"/>
      <c r="H343" s="8"/>
      <c r="I343" s="16"/>
    </row>
    <row r="344" outlineLevel="1">
      <c r="A344" s="9" t="s">
        <v>564</v>
      </c>
      <c r="B344" s="9" t="s">
        <v>565</v>
      </c>
      <c r="C344" s="12" t="s">
        <v>93</v>
      </c>
      <c r="D344" s="14" t="s">
        <v>459</v>
      </c>
      <c r="E344" s="16"/>
      <c r="F344" s="8"/>
      <c r="G344" s="16"/>
      <c r="H344" s="8"/>
      <c r="I344" s="16"/>
    </row>
    <row r="345" outlineLevel="1">
      <c r="A345" s="9" t="s">
        <v>566</v>
      </c>
      <c r="B345" s="9" t="s">
        <v>301</v>
      </c>
      <c r="C345" s="12" t="s">
        <v>132</v>
      </c>
      <c r="D345" s="14" t="s">
        <v>459</v>
      </c>
      <c r="E345" s="16"/>
      <c r="F345" s="8"/>
      <c r="G345" s="16"/>
      <c r="H345" s="8"/>
      <c r="I345" s="16"/>
    </row>
    <row r="346" outlineLevel="1">
      <c r="A346" s="9" t="s">
        <v>567</v>
      </c>
      <c r="B346" s="9" t="s">
        <v>494</v>
      </c>
      <c r="C346" s="12" t="s">
        <v>24</v>
      </c>
      <c r="D346" s="14" t="s">
        <v>459</v>
      </c>
      <c r="E346" s="16"/>
      <c r="F346" s="8"/>
      <c r="G346" s="16"/>
      <c r="H346" s="8"/>
      <c r="I346" s="16"/>
    </row>
    <row r="347" outlineLevel="1">
      <c r="A347" s="9" t="s">
        <v>568</v>
      </c>
      <c r="B347" s="9" t="s">
        <v>569</v>
      </c>
      <c r="C347" s="12" t="s">
        <v>59</v>
      </c>
      <c r="D347" s="14" t="s">
        <v>459</v>
      </c>
      <c r="E347" s="16"/>
      <c r="F347" s="8"/>
      <c r="G347" s="16"/>
      <c r="H347" s="8"/>
      <c r="I347" s="16"/>
    </row>
    <row r="348" outlineLevel="1">
      <c r="A348" s="9" t="s">
        <v>570</v>
      </c>
      <c r="B348" s="9" t="s">
        <v>129</v>
      </c>
      <c r="C348" s="12" t="s">
        <v>132</v>
      </c>
      <c r="D348" s="14" t="s">
        <v>459</v>
      </c>
      <c r="E348" s="16"/>
      <c r="F348" s="8"/>
      <c r="G348" s="16"/>
      <c r="H348" s="8"/>
      <c r="I348" s="16"/>
    </row>
    <row r="349" outlineLevel="1">
      <c r="A349" s="9" t="s">
        <v>571</v>
      </c>
      <c r="B349" s="9" t="s">
        <v>572</v>
      </c>
      <c r="C349" s="12" t="s">
        <v>138</v>
      </c>
      <c r="D349" s="14" t="s">
        <v>459</v>
      </c>
      <c r="E349" s="16"/>
      <c r="F349" s="8"/>
      <c r="G349" s="16"/>
      <c r="H349" s="8"/>
      <c r="I349" s="16"/>
    </row>
    <row r="350" outlineLevel="1">
      <c r="A350" s="9" t="s">
        <v>573</v>
      </c>
      <c r="B350" s="9" t="s">
        <v>480</v>
      </c>
      <c r="C350" s="12" t="s">
        <v>261</v>
      </c>
      <c r="D350" s="14" t="s">
        <v>459</v>
      </c>
      <c r="E350" s="16"/>
      <c r="F350" s="8"/>
      <c r="G350" s="16"/>
      <c r="H350" s="8"/>
      <c r="I350" s="16"/>
    </row>
    <row r="351" outlineLevel="1">
      <c r="A351" s="9" t="s">
        <v>574</v>
      </c>
      <c r="B351" s="9" t="s">
        <v>102</v>
      </c>
      <c r="C351" s="12" t="s">
        <v>141</v>
      </c>
      <c r="D351" s="14" t="s">
        <v>459</v>
      </c>
      <c r="E351" s="16"/>
      <c r="F351" s="8"/>
      <c r="G351" s="16"/>
      <c r="H351" s="8"/>
      <c r="I351" s="16"/>
    </row>
    <row r="352" outlineLevel="1">
      <c r="A352" s="9" t="s">
        <v>575</v>
      </c>
      <c r="B352" s="9" t="s">
        <v>576</v>
      </c>
      <c r="C352" s="12" t="s">
        <v>122</v>
      </c>
      <c r="D352" s="14" t="s">
        <v>459</v>
      </c>
      <c r="E352" s="16"/>
      <c r="F352" s="8"/>
      <c r="G352" s="16"/>
      <c r="H352" s="8"/>
      <c r="I352" s="16"/>
    </row>
    <row r="353" outlineLevel="1">
      <c r="A353" s="9" t="s">
        <v>577</v>
      </c>
      <c r="B353" s="9" t="s">
        <v>55</v>
      </c>
      <c r="C353" s="12" t="s">
        <v>16</v>
      </c>
      <c r="D353" s="14" t="s">
        <v>459</v>
      </c>
      <c r="E353" s="16"/>
      <c r="F353" s="8"/>
      <c r="G353" s="16"/>
      <c r="H353" s="8"/>
      <c r="I353" s="16"/>
    </row>
    <row r="354" outlineLevel="1">
      <c r="A354" s="9" t="s">
        <v>578</v>
      </c>
      <c r="B354" s="9" t="s">
        <v>161</v>
      </c>
      <c r="C354" s="12" t="s">
        <v>12</v>
      </c>
      <c r="D354" s="14" t="s">
        <v>459</v>
      </c>
      <c r="E354" s="16"/>
      <c r="F354" s="8"/>
      <c r="G354" s="16"/>
      <c r="H354" s="8"/>
      <c r="I354" s="16"/>
    </row>
    <row r="355" outlineLevel="1">
      <c r="A355" s="9" t="s">
        <v>405</v>
      </c>
      <c r="B355" s="9" t="s">
        <v>121</v>
      </c>
      <c r="C355" s="12" t="s">
        <v>186</v>
      </c>
      <c r="D355" s="14" t="s">
        <v>459</v>
      </c>
      <c r="E355" s="16"/>
      <c r="F355" s="8"/>
      <c r="G355" s="16"/>
      <c r="H355" s="8"/>
      <c r="I355" s="16"/>
    </row>
    <row r="356" outlineLevel="1">
      <c r="A356" s="9" t="s">
        <v>396</v>
      </c>
      <c r="B356" s="9" t="s">
        <v>41</v>
      </c>
      <c r="C356" s="12" t="s">
        <v>38</v>
      </c>
      <c r="D356" s="14" t="s">
        <v>459</v>
      </c>
      <c r="E356" s="16"/>
      <c r="F356" s="18"/>
      <c r="G356" s="19"/>
      <c r="H356" s="18"/>
      <c r="I356" s="19"/>
    </row>
    <row r="357" outlineLevel="1">
      <c r="A357" s="9" t="s">
        <v>579</v>
      </c>
      <c r="B357" s="9" t="s">
        <v>580</v>
      </c>
      <c r="C357" s="12" t="s">
        <v>215</v>
      </c>
      <c r="D357" s="14" t="s">
        <v>459</v>
      </c>
      <c r="E357" s="16"/>
      <c r="F357" s="8"/>
      <c r="G357" s="16"/>
      <c r="H357" s="8"/>
      <c r="I357" s="16"/>
    </row>
    <row r="358" outlineLevel="1">
      <c r="A358" s="9" t="s">
        <v>581</v>
      </c>
      <c r="B358" s="9" t="s">
        <v>119</v>
      </c>
      <c r="C358" s="12" t="s">
        <v>24</v>
      </c>
      <c r="D358" s="14" t="s">
        <v>459</v>
      </c>
      <c r="E358" s="16"/>
      <c r="F358" s="8"/>
      <c r="G358" s="16"/>
      <c r="H358" s="8"/>
      <c r="I358" s="16"/>
    </row>
    <row r="359" outlineLevel="1">
      <c r="A359" s="9" t="s">
        <v>582</v>
      </c>
      <c r="B359" s="9" t="s">
        <v>583</v>
      </c>
      <c r="C359" s="12" t="s">
        <v>24</v>
      </c>
      <c r="D359" s="14" t="s">
        <v>459</v>
      </c>
      <c r="E359" s="16"/>
      <c r="F359" s="8"/>
      <c r="G359" s="16"/>
      <c r="H359" s="8"/>
      <c r="I359" s="16"/>
    </row>
    <row r="360" outlineLevel="1">
      <c r="A360" s="9" t="s">
        <v>584</v>
      </c>
      <c r="B360" s="9" t="s">
        <v>383</v>
      </c>
      <c r="C360" s="12" t="s">
        <v>80</v>
      </c>
      <c r="D360" s="14" t="s">
        <v>459</v>
      </c>
      <c r="E360" s="16"/>
      <c r="F360" s="8"/>
      <c r="G360" s="16"/>
      <c r="H360" s="8"/>
      <c r="I360" s="16"/>
    </row>
    <row r="361" outlineLevel="1">
      <c r="A361" s="9" t="s">
        <v>385</v>
      </c>
      <c r="B361" s="9" t="s">
        <v>585</v>
      </c>
      <c r="C361" s="12" t="s">
        <v>93</v>
      </c>
      <c r="D361" s="14" t="s">
        <v>459</v>
      </c>
      <c r="E361" s="16"/>
      <c r="F361" s="8"/>
      <c r="G361" s="16"/>
      <c r="H361" s="8"/>
      <c r="I361" s="16"/>
    </row>
    <row r="362" outlineLevel="1">
      <c r="A362" s="9" t="s">
        <v>586</v>
      </c>
      <c r="B362" s="9" t="s">
        <v>587</v>
      </c>
      <c r="C362" s="12" t="s">
        <v>53</v>
      </c>
      <c r="D362" s="14" t="s">
        <v>459</v>
      </c>
      <c r="E362" s="16"/>
      <c r="F362" s="8"/>
      <c r="G362" s="16"/>
      <c r="H362" s="8"/>
      <c r="I362" s="16"/>
    </row>
    <row r="363" outlineLevel="1">
      <c r="A363" s="9" t="s">
        <v>588</v>
      </c>
      <c r="B363" s="9" t="s">
        <v>471</v>
      </c>
      <c r="C363" s="12" t="s">
        <v>53</v>
      </c>
      <c r="D363" s="14" t="s">
        <v>459</v>
      </c>
      <c r="E363" s="16"/>
      <c r="F363" s="8"/>
      <c r="G363" s="16"/>
      <c r="H363" s="8"/>
      <c r="I363" s="16"/>
    </row>
    <row r="364" outlineLevel="1">
      <c r="A364" s="9" t="s">
        <v>589</v>
      </c>
      <c r="B364" s="9" t="s">
        <v>33</v>
      </c>
      <c r="C364" s="12" t="s">
        <v>141</v>
      </c>
      <c r="D364" s="14" t="s">
        <v>459</v>
      </c>
      <c r="E364" s="16"/>
      <c r="F364" s="8"/>
      <c r="G364" s="16"/>
      <c r="H364" s="8"/>
      <c r="I364" s="16"/>
    </row>
    <row r="365" outlineLevel="1">
      <c r="A365" s="9" t="s">
        <v>126</v>
      </c>
      <c r="B365" s="9" t="s">
        <v>194</v>
      </c>
      <c r="C365" s="12" t="s">
        <v>93</v>
      </c>
      <c r="D365" s="14" t="s">
        <v>459</v>
      </c>
      <c r="E365" s="16"/>
      <c r="F365" s="8"/>
      <c r="G365" s="16"/>
      <c r="H365" s="8"/>
      <c r="I365" s="16"/>
    </row>
    <row r="366" outlineLevel="1">
      <c r="A366" s="9" t="s">
        <v>590</v>
      </c>
      <c r="B366" s="9" t="s">
        <v>591</v>
      </c>
      <c r="C366" s="12" t="s">
        <v>122</v>
      </c>
      <c r="D366" s="14" t="s">
        <v>459</v>
      </c>
      <c r="E366" s="16"/>
      <c r="F366" s="18"/>
      <c r="G366" s="19"/>
      <c r="H366" s="18"/>
      <c r="I366" s="19"/>
    </row>
    <row r="367" outlineLevel="1">
      <c r="A367" s="9" t="s">
        <v>592</v>
      </c>
      <c r="B367" s="9" t="s">
        <v>381</v>
      </c>
      <c r="C367" s="12" t="s">
        <v>132</v>
      </c>
      <c r="D367" s="14" t="s">
        <v>459</v>
      </c>
      <c r="E367" s="16"/>
      <c r="F367" s="8"/>
      <c r="G367" s="16"/>
      <c r="H367" s="8"/>
      <c r="I367" s="16"/>
    </row>
    <row r="368" outlineLevel="1">
      <c r="A368" s="9" t="s">
        <v>593</v>
      </c>
      <c r="B368" s="9" t="s">
        <v>506</v>
      </c>
      <c r="C368" s="12" t="s">
        <v>75</v>
      </c>
      <c r="D368" s="14" t="s">
        <v>459</v>
      </c>
      <c r="E368" s="16"/>
      <c r="F368" s="18"/>
      <c r="G368" s="19"/>
      <c r="H368" s="18"/>
      <c r="I368" s="19"/>
    </row>
    <row r="369" outlineLevel="1">
      <c r="A369" s="9" t="s">
        <v>594</v>
      </c>
      <c r="B369" s="9" t="s">
        <v>337</v>
      </c>
      <c r="C369" s="12" t="s">
        <v>215</v>
      </c>
      <c r="D369" s="14" t="s">
        <v>459</v>
      </c>
      <c r="E369" s="16"/>
      <c r="F369" s="8"/>
      <c r="G369" s="16"/>
      <c r="H369" s="8"/>
      <c r="I369" s="16"/>
    </row>
    <row r="370" outlineLevel="1">
      <c r="A370" s="9" t="s">
        <v>223</v>
      </c>
      <c r="B370" s="9" t="s">
        <v>263</v>
      </c>
      <c r="C370" s="12" t="s">
        <v>24</v>
      </c>
      <c r="D370" s="14" t="s">
        <v>459</v>
      </c>
      <c r="E370" s="16"/>
      <c r="F370" s="8"/>
      <c r="G370" s="16"/>
      <c r="H370" s="8"/>
      <c r="I370" s="16"/>
    </row>
    <row r="371" outlineLevel="1">
      <c r="A371" s="9" t="s">
        <v>595</v>
      </c>
      <c r="B371" s="9" t="s">
        <v>596</v>
      </c>
      <c r="C371" s="12" t="s">
        <v>93</v>
      </c>
      <c r="D371" s="14" t="s">
        <v>459</v>
      </c>
      <c r="E371" s="16"/>
      <c r="F371" s="8"/>
      <c r="G371" s="16"/>
      <c r="H371" s="8"/>
      <c r="I371" s="16"/>
    </row>
    <row r="372" outlineLevel="1">
      <c r="A372" s="9" t="s">
        <v>597</v>
      </c>
      <c r="B372" s="9" t="s">
        <v>598</v>
      </c>
      <c r="C372" s="12" t="s">
        <v>65</v>
      </c>
      <c r="D372" s="14" t="s">
        <v>459</v>
      </c>
      <c r="E372" s="16"/>
      <c r="F372" s="8"/>
      <c r="G372" s="16"/>
      <c r="H372" s="8"/>
      <c r="I372" s="16"/>
    </row>
    <row r="373" outlineLevel="1">
      <c r="A373" s="9" t="s">
        <v>599</v>
      </c>
      <c r="B373" s="9" t="s">
        <v>214</v>
      </c>
      <c r="C373" s="12" t="s">
        <v>24</v>
      </c>
      <c r="D373" s="14" t="s">
        <v>459</v>
      </c>
      <c r="E373" s="16"/>
      <c r="F373" s="8"/>
      <c r="G373" s="16"/>
      <c r="H373" s="8"/>
      <c r="I373" s="16"/>
    </row>
    <row r="374" outlineLevel="1">
      <c r="A374" s="9" t="s">
        <v>600</v>
      </c>
      <c r="B374" s="9" t="s">
        <v>15</v>
      </c>
      <c r="C374" s="12" t="s">
        <v>16</v>
      </c>
      <c r="D374" s="14" t="s">
        <v>459</v>
      </c>
      <c r="E374" s="16"/>
      <c r="F374" s="8"/>
      <c r="G374" s="16"/>
      <c r="H374" s="8"/>
      <c r="I374" s="16"/>
    </row>
    <row r="375" outlineLevel="1">
      <c r="A375" s="9" t="s">
        <v>601</v>
      </c>
      <c r="B375" s="9" t="s">
        <v>569</v>
      </c>
      <c r="C375" s="12" t="s">
        <v>122</v>
      </c>
      <c r="D375" s="14" t="s">
        <v>459</v>
      </c>
      <c r="E375" s="16"/>
      <c r="F375" s="8"/>
      <c r="G375" s="16"/>
      <c r="H375" s="8"/>
      <c r="I375" s="16"/>
    </row>
    <row r="376" outlineLevel="1">
      <c r="A376" s="9" t="s">
        <v>602</v>
      </c>
      <c r="B376" s="9" t="s">
        <v>197</v>
      </c>
      <c r="C376" s="12" t="s">
        <v>192</v>
      </c>
      <c r="D376" s="14" t="s">
        <v>459</v>
      </c>
      <c r="E376" s="16"/>
      <c r="F376" s="8"/>
      <c r="G376" s="16"/>
      <c r="H376" s="8"/>
      <c r="I376" s="16"/>
    </row>
    <row r="377" outlineLevel="1">
      <c r="A377" s="9" t="s">
        <v>603</v>
      </c>
      <c r="B377" s="9" t="s">
        <v>604</v>
      </c>
      <c r="C377" s="12" t="s">
        <v>12</v>
      </c>
      <c r="D377" s="14" t="s">
        <v>459</v>
      </c>
      <c r="E377" s="16"/>
      <c r="F377" s="8"/>
      <c r="G377" s="16"/>
      <c r="H377" s="8"/>
      <c r="I377" s="16"/>
    </row>
    <row r="378" outlineLevel="1">
      <c r="A378" s="9" t="s">
        <v>441</v>
      </c>
      <c r="B378" s="9" t="s">
        <v>552</v>
      </c>
      <c r="C378" s="12" t="s">
        <v>75</v>
      </c>
      <c r="D378" s="14" t="s">
        <v>459</v>
      </c>
      <c r="E378" s="16"/>
      <c r="F378" s="8"/>
      <c r="G378" s="16"/>
      <c r="H378" s="8"/>
      <c r="I378" s="16"/>
    </row>
    <row r="379" outlineLevel="1">
      <c r="A379" s="9" t="s">
        <v>605</v>
      </c>
      <c r="B379" s="9" t="s">
        <v>11</v>
      </c>
      <c r="C379" s="12" t="s">
        <v>65</v>
      </c>
      <c r="D379" s="14" t="s">
        <v>459</v>
      </c>
      <c r="E379" s="16"/>
      <c r="F379" s="8"/>
      <c r="G379" s="16"/>
      <c r="H379" s="8"/>
      <c r="I379" s="16"/>
    </row>
    <row r="380" outlineLevel="1">
      <c r="A380" s="9" t="s">
        <v>62</v>
      </c>
      <c r="B380" s="9" t="s">
        <v>137</v>
      </c>
      <c r="C380" s="12" t="s">
        <v>192</v>
      </c>
      <c r="D380" s="14" t="s">
        <v>459</v>
      </c>
      <c r="E380" s="16"/>
      <c r="F380" s="8"/>
      <c r="G380" s="16"/>
      <c r="H380" s="8"/>
      <c r="I380" s="16"/>
    </row>
    <row r="381" outlineLevel="1">
      <c r="A381" s="9" t="s">
        <v>606</v>
      </c>
      <c r="B381" s="9" t="s">
        <v>607</v>
      </c>
      <c r="C381" s="12" t="s">
        <v>93</v>
      </c>
      <c r="D381" s="14" t="s">
        <v>459</v>
      </c>
      <c r="E381" s="16"/>
      <c r="F381" s="8"/>
      <c r="G381" s="16"/>
      <c r="H381" s="8"/>
      <c r="I381" s="16"/>
    </row>
    <row r="382" outlineLevel="1">
      <c r="A382" s="9" t="s">
        <v>608</v>
      </c>
      <c r="B382" s="9" t="s">
        <v>134</v>
      </c>
      <c r="C382" s="12" t="s">
        <v>186</v>
      </c>
      <c r="D382" s="14" t="s">
        <v>459</v>
      </c>
      <c r="E382" s="16"/>
      <c r="F382" s="8"/>
      <c r="G382" s="16"/>
      <c r="H382" s="8"/>
      <c r="I382" s="16"/>
    </row>
    <row r="383" outlineLevel="1">
      <c r="A383" s="9" t="s">
        <v>609</v>
      </c>
      <c r="B383" s="9" t="s">
        <v>381</v>
      </c>
      <c r="C383" s="12" t="s">
        <v>12</v>
      </c>
      <c r="D383" s="14" t="s">
        <v>459</v>
      </c>
      <c r="E383" s="16"/>
      <c r="F383" s="8"/>
      <c r="G383" s="16"/>
      <c r="H383" s="8"/>
      <c r="I383" s="16"/>
    </row>
    <row r="384" outlineLevel="1">
      <c r="A384" s="9" t="s">
        <v>610</v>
      </c>
      <c r="B384" s="9" t="s">
        <v>124</v>
      </c>
      <c r="C384" s="12" t="s">
        <v>75</v>
      </c>
      <c r="D384" s="14" t="s">
        <v>459</v>
      </c>
      <c r="E384" s="16"/>
      <c r="F384" s="8"/>
      <c r="G384" s="16"/>
      <c r="H384" s="8"/>
      <c r="I384" s="16"/>
    </row>
    <row r="385" outlineLevel="1">
      <c r="A385" s="9" t="s">
        <v>611</v>
      </c>
      <c r="B385" s="9" t="s">
        <v>612</v>
      </c>
      <c r="C385" s="12" t="s">
        <v>149</v>
      </c>
      <c r="D385" s="14" t="s">
        <v>459</v>
      </c>
      <c r="E385" s="16"/>
      <c r="F385" s="8"/>
      <c r="G385" s="16"/>
      <c r="H385" s="8"/>
      <c r="I385" s="16"/>
    </row>
    <row r="386" outlineLevel="1">
      <c r="A386" s="9" t="s">
        <v>611</v>
      </c>
      <c r="B386" s="9" t="s">
        <v>399</v>
      </c>
      <c r="C386" s="12" t="s">
        <v>186</v>
      </c>
      <c r="D386" s="14" t="s">
        <v>459</v>
      </c>
      <c r="E386" s="16"/>
      <c r="F386" s="8"/>
      <c r="G386" s="16"/>
      <c r="H386" s="8"/>
      <c r="I386" s="16"/>
    </row>
    <row r="387" outlineLevel="1">
      <c r="A387" s="9" t="s">
        <v>613</v>
      </c>
      <c r="B387" s="9" t="s">
        <v>443</v>
      </c>
      <c r="C387" s="12" t="s">
        <v>132</v>
      </c>
      <c r="D387" s="14" t="s">
        <v>459</v>
      </c>
      <c r="E387" s="16"/>
      <c r="F387" s="8"/>
      <c r="G387" s="16"/>
      <c r="H387" s="8"/>
      <c r="I387" s="16"/>
    </row>
    <row r="388" outlineLevel="1">
      <c r="A388" s="9" t="s">
        <v>614</v>
      </c>
      <c r="B388" s="9" t="s">
        <v>615</v>
      </c>
      <c r="C388" s="12" t="s">
        <v>38</v>
      </c>
      <c r="D388" s="14" t="s">
        <v>459</v>
      </c>
      <c r="E388" s="16"/>
      <c r="F388" s="8"/>
      <c r="G388" s="16"/>
      <c r="H388" s="8"/>
      <c r="I388" s="16"/>
    </row>
    <row r="389" outlineLevel="1">
      <c r="A389" s="18" t="s">
        <v>232</v>
      </c>
      <c r="B389" s="9" t="s">
        <v>616</v>
      </c>
      <c r="C389" s="12" t="s">
        <v>93</v>
      </c>
      <c r="D389" s="14" t="s">
        <v>459</v>
      </c>
      <c r="E389" s="16"/>
      <c r="F389" s="8"/>
      <c r="G389" s="16"/>
      <c r="H389" s="8"/>
      <c r="I389" s="16"/>
    </row>
    <row r="390" outlineLevel="1">
      <c r="A390" s="9" t="s">
        <v>617</v>
      </c>
      <c r="B390" s="18" t="s">
        <v>618</v>
      </c>
      <c r="C390" s="19" t="s">
        <v>53</v>
      </c>
      <c r="D390" s="14" t="s">
        <v>459</v>
      </c>
      <c r="E390" s="16"/>
      <c r="F390" s="8"/>
      <c r="G390" s="16"/>
      <c r="H390" s="8"/>
      <c r="I390" s="16"/>
    </row>
    <row r="391" outlineLevel="1">
      <c r="A391" s="9" t="s">
        <v>78</v>
      </c>
      <c r="B391" s="9" t="s">
        <v>231</v>
      </c>
      <c r="C391" s="12" t="s">
        <v>215</v>
      </c>
      <c r="D391" s="14" t="s">
        <v>459</v>
      </c>
      <c r="E391" s="16"/>
      <c r="F391" s="18"/>
      <c r="G391" s="19"/>
      <c r="H391" s="18"/>
      <c r="I391" s="19"/>
    </row>
    <row r="392" outlineLevel="1">
      <c r="A392" s="9" t="s">
        <v>78</v>
      </c>
      <c r="B392" s="9" t="s">
        <v>619</v>
      </c>
      <c r="C392" s="12" t="s">
        <v>186</v>
      </c>
      <c r="D392" s="14" t="s">
        <v>459</v>
      </c>
      <c r="E392" s="16"/>
      <c r="F392" s="8"/>
      <c r="G392" s="16"/>
      <c r="H392" s="8"/>
      <c r="I392" s="16"/>
    </row>
    <row r="393" outlineLevel="1">
      <c r="A393" s="9" t="s">
        <v>620</v>
      </c>
      <c r="B393" s="9" t="s">
        <v>320</v>
      </c>
      <c r="C393" s="12" t="s">
        <v>24</v>
      </c>
      <c r="D393" s="14" t="s">
        <v>459</v>
      </c>
      <c r="E393" s="16"/>
      <c r="F393" s="8"/>
      <c r="G393" s="16"/>
      <c r="H393" s="8"/>
      <c r="I393" s="16"/>
    </row>
    <row r="394" outlineLevel="1">
      <c r="A394" s="9" t="s">
        <v>451</v>
      </c>
      <c r="B394" s="9" t="s">
        <v>465</v>
      </c>
      <c r="C394" s="12" t="s">
        <v>192</v>
      </c>
      <c r="D394" s="14" t="s">
        <v>459</v>
      </c>
      <c r="E394" s="16"/>
      <c r="F394" s="18"/>
      <c r="G394" s="19"/>
      <c r="H394" s="18"/>
      <c r="I394" s="19"/>
    </row>
    <row r="395" outlineLevel="1">
      <c r="A395" s="9" t="s">
        <v>621</v>
      </c>
      <c r="B395" s="9" t="s">
        <v>354</v>
      </c>
      <c r="C395" s="12" t="s">
        <v>75</v>
      </c>
      <c r="D395" s="14" t="s">
        <v>459</v>
      </c>
      <c r="E395" s="16"/>
      <c r="F395" s="8"/>
      <c r="G395" s="16"/>
      <c r="H395" s="8"/>
      <c r="I395" s="16"/>
    </row>
    <row r="396" outlineLevel="1">
      <c r="A396" s="9" t="s">
        <v>622</v>
      </c>
      <c r="B396" s="9" t="s">
        <v>493</v>
      </c>
      <c r="C396" s="12" t="s">
        <v>138</v>
      </c>
      <c r="D396" s="14" t="s">
        <v>459</v>
      </c>
      <c r="E396" s="16"/>
      <c r="F396" s="8"/>
      <c r="G396" s="16"/>
      <c r="H396" s="8"/>
      <c r="I396" s="16"/>
    </row>
    <row r="397" outlineLevel="1">
      <c r="A397" s="9" t="s">
        <v>623</v>
      </c>
      <c r="B397" s="9" t="s">
        <v>624</v>
      </c>
      <c r="C397" s="12" t="s">
        <v>93</v>
      </c>
      <c r="D397" s="14" t="s">
        <v>459</v>
      </c>
      <c r="E397" s="16"/>
      <c r="F397" s="8"/>
      <c r="G397" s="16"/>
      <c r="H397" s="8"/>
      <c r="I397" s="16"/>
    </row>
    <row r="398" outlineLevel="1">
      <c r="A398" s="9" t="s">
        <v>455</v>
      </c>
      <c r="B398" s="9" t="s">
        <v>625</v>
      </c>
      <c r="C398" s="12" t="s">
        <v>65</v>
      </c>
      <c r="D398" s="14" t="s">
        <v>459</v>
      </c>
      <c r="E398" s="16"/>
      <c r="F398" s="8"/>
      <c r="G398" s="16"/>
      <c r="H398" s="8"/>
      <c r="I398" s="16"/>
    </row>
    <row r="399" outlineLevel="1">
      <c r="A399" s="9" t="s">
        <v>626</v>
      </c>
      <c r="B399" s="9" t="s">
        <v>119</v>
      </c>
      <c r="C399" s="12" t="s">
        <v>132</v>
      </c>
      <c r="D399" s="14" t="s">
        <v>459</v>
      </c>
      <c r="E399" s="16"/>
      <c r="F399" s="8"/>
      <c r="G399" s="16"/>
      <c r="H399" s="8"/>
      <c r="I399" s="16"/>
    </row>
    <row r="400" outlineLevel="1">
      <c r="A400" s="9" t="s">
        <v>627</v>
      </c>
      <c r="B400" s="9" t="s">
        <v>628</v>
      </c>
      <c r="C400" s="12" t="s">
        <v>53</v>
      </c>
      <c r="D400" s="14" t="s">
        <v>459</v>
      </c>
      <c r="E400" s="16"/>
      <c r="F400" s="8"/>
      <c r="G400" s="16"/>
      <c r="H400" s="8"/>
      <c r="I400" s="16"/>
    </row>
    <row r="401" outlineLevel="1">
      <c r="A401" s="9" t="s">
        <v>629</v>
      </c>
      <c r="B401" s="9" t="s">
        <v>630</v>
      </c>
      <c r="C401" s="12" t="s">
        <v>132</v>
      </c>
      <c r="D401" s="14" t="s">
        <v>631</v>
      </c>
      <c r="E401" s="16"/>
      <c r="F401" s="18"/>
      <c r="G401" s="19"/>
      <c r="H401" s="18"/>
      <c r="I401" s="19"/>
    </row>
    <row r="402" outlineLevel="1">
      <c r="A402" s="9" t="s">
        <v>632</v>
      </c>
      <c r="B402" s="9" t="s">
        <v>633</v>
      </c>
      <c r="C402" s="12" t="s">
        <v>80</v>
      </c>
      <c r="D402" s="14" t="s">
        <v>631</v>
      </c>
      <c r="E402" s="16"/>
      <c r="F402" s="8"/>
      <c r="G402" s="16"/>
      <c r="H402" s="8"/>
      <c r="I402" s="16"/>
    </row>
    <row r="403" outlineLevel="1">
      <c r="A403" s="9" t="s">
        <v>57</v>
      </c>
      <c r="B403" s="9" t="s">
        <v>634</v>
      </c>
      <c r="C403" s="12" t="s">
        <v>186</v>
      </c>
      <c r="D403" s="14" t="s">
        <v>631</v>
      </c>
      <c r="E403" s="16"/>
      <c r="F403" s="8"/>
      <c r="G403" s="16"/>
      <c r="H403" s="8"/>
      <c r="I403" s="16"/>
    </row>
    <row r="404" outlineLevel="1">
      <c r="A404" s="9" t="s">
        <v>460</v>
      </c>
      <c r="B404" s="9" t="s">
        <v>635</v>
      </c>
      <c r="C404" s="12" t="s">
        <v>70</v>
      </c>
      <c r="D404" s="14" t="s">
        <v>631</v>
      </c>
      <c r="E404" s="16"/>
      <c r="F404" s="8"/>
      <c r="G404" s="16"/>
      <c r="H404" s="8"/>
      <c r="I404" s="16"/>
    </row>
    <row r="405" outlineLevel="1">
      <c r="A405" s="18" t="s">
        <v>636</v>
      </c>
      <c r="B405" s="9" t="s">
        <v>521</v>
      </c>
      <c r="C405" s="12" t="s">
        <v>70</v>
      </c>
      <c r="D405" s="14" t="s">
        <v>631</v>
      </c>
      <c r="E405" s="16"/>
      <c r="F405" s="8"/>
      <c r="G405" s="16"/>
      <c r="H405" s="8"/>
      <c r="I405" s="16"/>
    </row>
    <row r="406" outlineLevel="1">
      <c r="A406" s="9" t="s">
        <v>636</v>
      </c>
      <c r="B406" s="18" t="s">
        <v>637</v>
      </c>
      <c r="C406" s="19" t="s">
        <v>215</v>
      </c>
      <c r="D406" s="14" t="s">
        <v>631</v>
      </c>
      <c r="E406" s="16"/>
      <c r="F406" s="8"/>
      <c r="G406" s="16"/>
      <c r="H406" s="8"/>
      <c r="I406" s="16"/>
    </row>
    <row r="407" outlineLevel="1">
      <c r="A407" s="9" t="s">
        <v>638</v>
      </c>
      <c r="B407" s="9" t="s">
        <v>301</v>
      </c>
      <c r="C407" s="12" t="s">
        <v>141</v>
      </c>
      <c r="D407" s="14" t="s">
        <v>631</v>
      </c>
      <c r="E407" s="16"/>
      <c r="F407" s="8"/>
      <c r="G407" s="16"/>
      <c r="H407" s="8"/>
      <c r="I407" s="16"/>
    </row>
    <row r="408" outlineLevel="1">
      <c r="A408" s="9" t="s">
        <v>639</v>
      </c>
      <c r="B408" s="9" t="s">
        <v>640</v>
      </c>
      <c r="C408" s="12" t="s">
        <v>46</v>
      </c>
      <c r="D408" s="14" t="s">
        <v>631</v>
      </c>
      <c r="E408" s="16"/>
      <c r="F408" s="8"/>
      <c r="G408" s="16"/>
      <c r="H408" s="8"/>
      <c r="I408" s="16"/>
    </row>
    <row r="409" outlineLevel="1">
      <c r="A409" s="9" t="s">
        <v>641</v>
      </c>
      <c r="B409" s="9" t="s">
        <v>642</v>
      </c>
      <c r="C409" s="12" t="s">
        <v>59</v>
      </c>
      <c r="D409" s="14" t="s">
        <v>631</v>
      </c>
      <c r="E409" s="16"/>
      <c r="F409" s="8"/>
      <c r="G409" s="16"/>
      <c r="H409" s="8"/>
      <c r="I409" s="16"/>
    </row>
    <row r="410" outlineLevel="1">
      <c r="A410" s="9" t="s">
        <v>643</v>
      </c>
      <c r="B410" s="9" t="s">
        <v>33</v>
      </c>
      <c r="C410" s="12" t="s">
        <v>16</v>
      </c>
      <c r="D410" s="14" t="s">
        <v>631</v>
      </c>
      <c r="E410" s="16"/>
      <c r="F410" s="8"/>
      <c r="G410" s="16"/>
      <c r="H410" s="8"/>
      <c r="I410" s="16"/>
    </row>
    <row r="411" outlineLevel="1">
      <c r="A411" s="9" t="s">
        <v>644</v>
      </c>
      <c r="B411" s="9" t="s">
        <v>645</v>
      </c>
      <c r="C411" s="12" t="s">
        <v>186</v>
      </c>
      <c r="D411" s="14" t="s">
        <v>631</v>
      </c>
      <c r="E411" s="16"/>
      <c r="F411" s="8"/>
      <c r="G411" s="16"/>
      <c r="H411" s="8"/>
      <c r="I411" s="16"/>
    </row>
    <row r="412" outlineLevel="1">
      <c r="A412" s="9" t="s">
        <v>646</v>
      </c>
      <c r="B412" s="9" t="s">
        <v>647</v>
      </c>
      <c r="C412" s="12" t="s">
        <v>24</v>
      </c>
      <c r="D412" s="14" t="s">
        <v>631</v>
      </c>
      <c r="E412" s="16"/>
      <c r="F412" s="8"/>
      <c r="G412" s="16"/>
      <c r="H412" s="8"/>
      <c r="I412" s="16"/>
    </row>
    <row r="413" outlineLevel="1">
      <c r="A413" s="9" t="s">
        <v>648</v>
      </c>
      <c r="B413" s="9" t="s">
        <v>263</v>
      </c>
      <c r="C413" s="12" t="s">
        <v>38</v>
      </c>
      <c r="D413" s="14" t="s">
        <v>631</v>
      </c>
      <c r="E413" s="16"/>
      <c r="F413" s="8"/>
      <c r="G413" s="16"/>
      <c r="H413" s="8"/>
      <c r="I413" s="16"/>
    </row>
    <row r="414" outlineLevel="1">
      <c r="A414" s="9" t="s">
        <v>649</v>
      </c>
      <c r="B414" s="9" t="s">
        <v>650</v>
      </c>
      <c r="C414" s="12" t="s">
        <v>70</v>
      </c>
      <c r="D414" s="14" t="s">
        <v>631</v>
      </c>
      <c r="E414" s="16"/>
      <c r="F414" s="8"/>
      <c r="G414" s="16"/>
      <c r="H414" s="8"/>
      <c r="I414" s="16"/>
    </row>
    <row r="415" outlineLevel="1">
      <c r="A415" s="9" t="s">
        <v>651</v>
      </c>
      <c r="B415" s="9" t="s">
        <v>181</v>
      </c>
      <c r="C415" s="12" t="s">
        <v>186</v>
      </c>
      <c r="D415" s="14" t="s">
        <v>631</v>
      </c>
      <c r="E415" s="16"/>
      <c r="F415" s="8"/>
      <c r="G415" s="16"/>
      <c r="H415" s="8"/>
      <c r="I415" s="16"/>
    </row>
    <row r="416" outlineLevel="1">
      <c r="A416" s="9" t="s">
        <v>652</v>
      </c>
      <c r="B416" s="9" t="s">
        <v>275</v>
      </c>
      <c r="C416" s="12" t="s">
        <v>12</v>
      </c>
      <c r="D416" s="14" t="s">
        <v>631</v>
      </c>
      <c r="E416" s="16"/>
      <c r="F416" s="8"/>
      <c r="G416" s="16"/>
      <c r="H416" s="8"/>
      <c r="I416" s="16"/>
    </row>
    <row r="417" outlineLevel="1">
      <c r="A417" s="18" t="s">
        <v>653</v>
      </c>
      <c r="B417" s="9" t="s">
        <v>269</v>
      </c>
      <c r="C417" s="12" t="s">
        <v>93</v>
      </c>
      <c r="D417" s="14" t="s">
        <v>631</v>
      </c>
      <c r="E417" s="16"/>
      <c r="F417" s="8"/>
      <c r="G417" s="16"/>
      <c r="H417" s="8"/>
      <c r="I417" s="16"/>
    </row>
    <row r="418" outlineLevel="1">
      <c r="A418" s="9" t="s">
        <v>654</v>
      </c>
      <c r="B418" s="18" t="s">
        <v>52</v>
      </c>
      <c r="C418" s="19" t="s">
        <v>24</v>
      </c>
      <c r="D418" s="14" t="s">
        <v>631</v>
      </c>
      <c r="E418" s="16"/>
      <c r="F418" s="8"/>
      <c r="G418" s="16"/>
      <c r="H418" s="8"/>
      <c r="I418" s="16"/>
    </row>
    <row r="419" outlineLevel="1">
      <c r="A419" s="9" t="s">
        <v>655</v>
      </c>
      <c r="B419" s="9" t="s">
        <v>381</v>
      </c>
      <c r="C419" s="12" t="s">
        <v>141</v>
      </c>
      <c r="D419" s="14" t="s">
        <v>631</v>
      </c>
      <c r="E419" s="16"/>
      <c r="F419" s="8"/>
      <c r="G419" s="16"/>
      <c r="H419" s="8"/>
      <c r="I419" s="16"/>
    </row>
    <row r="420" outlineLevel="1">
      <c r="A420" s="9" t="s">
        <v>656</v>
      </c>
      <c r="B420" s="9" t="s">
        <v>137</v>
      </c>
      <c r="C420" s="12" t="s">
        <v>138</v>
      </c>
      <c r="D420" s="14" t="s">
        <v>631</v>
      </c>
      <c r="E420" s="16"/>
      <c r="F420" s="8"/>
      <c r="G420" s="16"/>
      <c r="H420" s="8"/>
      <c r="I420" s="16"/>
    </row>
    <row r="421" outlineLevel="1">
      <c r="A421" s="9" t="s">
        <v>657</v>
      </c>
      <c r="B421" s="9" t="s">
        <v>658</v>
      </c>
      <c r="C421" s="12" t="s">
        <v>59</v>
      </c>
      <c r="D421" s="14" t="s">
        <v>631</v>
      </c>
      <c r="E421" s="16"/>
      <c r="F421" s="8"/>
      <c r="G421" s="16"/>
      <c r="H421" s="8"/>
      <c r="I421" s="16"/>
    </row>
    <row r="422" outlineLevel="1">
      <c r="A422" s="9" t="s">
        <v>144</v>
      </c>
      <c r="B422" s="9" t="s">
        <v>493</v>
      </c>
      <c r="C422" s="12" t="s">
        <v>16</v>
      </c>
      <c r="D422" s="14" t="s">
        <v>631</v>
      </c>
      <c r="E422" s="16"/>
      <c r="F422" s="18"/>
      <c r="G422" s="19"/>
      <c r="H422" s="18"/>
      <c r="I422" s="19"/>
    </row>
    <row r="423" outlineLevel="1">
      <c r="A423" s="9" t="s">
        <v>659</v>
      </c>
      <c r="B423" s="9" t="s">
        <v>554</v>
      </c>
      <c r="C423" s="12" t="s">
        <v>12</v>
      </c>
      <c r="D423" s="14" t="s">
        <v>631</v>
      </c>
      <c r="E423" s="16"/>
      <c r="F423" s="18"/>
      <c r="G423" s="19"/>
      <c r="H423" s="18"/>
      <c r="I423" s="19"/>
    </row>
    <row r="424" outlineLevel="1">
      <c r="A424" s="9" t="s">
        <v>357</v>
      </c>
      <c r="B424" s="9" t="s">
        <v>660</v>
      </c>
      <c r="C424" s="12" t="s">
        <v>24</v>
      </c>
      <c r="D424" s="14" t="s">
        <v>631</v>
      </c>
      <c r="E424" s="16"/>
      <c r="F424" s="8"/>
      <c r="G424" s="16"/>
      <c r="H424" s="8"/>
      <c r="I424" s="16"/>
    </row>
    <row r="425" outlineLevel="1">
      <c r="A425" s="9" t="s">
        <v>661</v>
      </c>
      <c r="B425" s="9" t="s">
        <v>597</v>
      </c>
      <c r="C425" s="12" t="s">
        <v>93</v>
      </c>
      <c r="D425" s="14" t="s">
        <v>631</v>
      </c>
      <c r="E425" s="16"/>
      <c r="F425" s="8"/>
      <c r="G425" s="16"/>
      <c r="H425" s="8"/>
      <c r="I425" s="16"/>
    </row>
    <row r="426" outlineLevel="1">
      <c r="A426" s="9" t="s">
        <v>662</v>
      </c>
      <c r="B426" s="9" t="s">
        <v>121</v>
      </c>
      <c r="C426" s="12" t="s">
        <v>59</v>
      </c>
      <c r="D426" s="14" t="s">
        <v>631</v>
      </c>
      <c r="E426" s="16"/>
      <c r="F426" s="8"/>
      <c r="G426" s="16"/>
      <c r="H426" s="8"/>
      <c r="I426" s="16"/>
    </row>
    <row r="427" outlineLevel="1">
      <c r="A427" s="9" t="s">
        <v>663</v>
      </c>
      <c r="B427" s="9" t="s">
        <v>260</v>
      </c>
      <c r="C427" s="12" t="s">
        <v>138</v>
      </c>
      <c r="D427" s="14" t="s">
        <v>631</v>
      </c>
      <c r="E427" s="16"/>
      <c r="F427" s="8"/>
      <c r="G427" s="16"/>
      <c r="H427" s="8"/>
      <c r="I427" s="16"/>
    </row>
    <row r="428" outlineLevel="1">
      <c r="A428" s="9" t="s">
        <v>145</v>
      </c>
      <c r="B428" s="9" t="s">
        <v>664</v>
      </c>
      <c r="C428" s="12" t="s">
        <v>122</v>
      </c>
      <c r="D428" s="14" t="s">
        <v>631</v>
      </c>
      <c r="E428" s="16"/>
      <c r="F428" s="18"/>
      <c r="G428" s="19"/>
      <c r="H428" s="18"/>
      <c r="I428" s="19"/>
    </row>
    <row r="429" outlineLevel="1">
      <c r="A429" s="9" t="s">
        <v>502</v>
      </c>
      <c r="B429" s="9" t="s">
        <v>665</v>
      </c>
      <c r="C429" s="12" t="s">
        <v>24</v>
      </c>
      <c r="D429" s="14" t="s">
        <v>631</v>
      </c>
      <c r="E429" s="16"/>
      <c r="F429" s="8"/>
      <c r="G429" s="16"/>
      <c r="H429" s="8"/>
      <c r="I429" s="16"/>
    </row>
    <row r="430" outlineLevel="1">
      <c r="A430" s="9" t="s">
        <v>666</v>
      </c>
      <c r="B430" s="9" t="s">
        <v>263</v>
      </c>
      <c r="C430" s="12" t="s">
        <v>80</v>
      </c>
      <c r="D430" s="14" t="s">
        <v>631</v>
      </c>
      <c r="E430" s="16"/>
      <c r="F430" s="8"/>
      <c r="G430" s="16"/>
      <c r="H430" s="8"/>
      <c r="I430" s="16"/>
    </row>
    <row r="431" outlineLevel="1">
      <c r="A431" s="9" t="s">
        <v>667</v>
      </c>
      <c r="B431" s="9" t="s">
        <v>668</v>
      </c>
      <c r="C431" s="12" t="s">
        <v>93</v>
      </c>
      <c r="D431" s="14" t="s">
        <v>631</v>
      </c>
      <c r="E431" s="16"/>
      <c r="F431" s="8"/>
      <c r="G431" s="16"/>
      <c r="H431" s="8"/>
      <c r="I431" s="16"/>
    </row>
    <row r="432" outlineLevel="1">
      <c r="A432" s="9" t="s">
        <v>669</v>
      </c>
      <c r="B432" s="9" t="s">
        <v>98</v>
      </c>
      <c r="C432" s="12" t="s">
        <v>215</v>
      </c>
      <c r="D432" s="14" t="s">
        <v>631</v>
      </c>
      <c r="E432" s="16"/>
      <c r="F432" s="8"/>
      <c r="G432" s="16"/>
      <c r="H432" s="8"/>
      <c r="I432" s="16"/>
    </row>
    <row r="433" outlineLevel="1">
      <c r="A433" s="9" t="s">
        <v>670</v>
      </c>
      <c r="B433" s="9" t="s">
        <v>671</v>
      </c>
      <c r="C433" s="12" t="s">
        <v>75</v>
      </c>
      <c r="D433" s="14" t="s">
        <v>631</v>
      </c>
      <c r="E433" s="16"/>
      <c r="F433" s="8"/>
      <c r="G433" s="16"/>
      <c r="H433" s="8"/>
      <c r="I433" s="16"/>
    </row>
    <row r="434" outlineLevel="1">
      <c r="A434" s="9" t="s">
        <v>672</v>
      </c>
      <c r="B434" s="9" t="s">
        <v>673</v>
      </c>
      <c r="C434" s="12" t="s">
        <v>132</v>
      </c>
      <c r="D434" s="14" t="s">
        <v>631</v>
      </c>
      <c r="E434" s="16"/>
      <c r="F434" s="8"/>
      <c r="G434" s="16"/>
      <c r="H434" s="8"/>
      <c r="I434" s="16"/>
    </row>
    <row r="435" outlineLevel="1">
      <c r="A435" s="9" t="s">
        <v>674</v>
      </c>
      <c r="B435" s="9" t="s">
        <v>231</v>
      </c>
      <c r="C435" s="12" t="s">
        <v>186</v>
      </c>
      <c r="D435" s="14" t="s">
        <v>631</v>
      </c>
      <c r="E435" s="16"/>
      <c r="F435" s="8"/>
      <c r="G435" s="16"/>
      <c r="H435" s="8"/>
      <c r="I435" s="16"/>
    </row>
    <row r="436" outlineLevel="1">
      <c r="A436" s="9" t="s">
        <v>675</v>
      </c>
      <c r="B436" s="9" t="s">
        <v>676</v>
      </c>
      <c r="C436" s="12" t="s">
        <v>24</v>
      </c>
      <c r="D436" s="14" t="s">
        <v>631</v>
      </c>
      <c r="E436" s="16"/>
      <c r="F436" s="8"/>
      <c r="G436" s="16"/>
      <c r="H436" s="8"/>
      <c r="I436" s="16"/>
    </row>
    <row r="437" outlineLevel="1">
      <c r="A437" s="9" t="s">
        <v>677</v>
      </c>
      <c r="B437" s="9" t="s">
        <v>381</v>
      </c>
      <c r="C437" s="12" t="s">
        <v>122</v>
      </c>
      <c r="D437" s="14" t="s">
        <v>631</v>
      </c>
      <c r="E437" s="16"/>
      <c r="F437" s="8"/>
      <c r="G437" s="16"/>
      <c r="H437" s="8"/>
      <c r="I437" s="16"/>
    </row>
    <row r="438" outlineLevel="1">
      <c r="A438" s="9" t="s">
        <v>678</v>
      </c>
      <c r="B438" s="9" t="s">
        <v>480</v>
      </c>
      <c r="C438" s="12" t="s">
        <v>24</v>
      </c>
      <c r="D438" s="14" t="s">
        <v>631</v>
      </c>
      <c r="E438" s="16"/>
      <c r="F438" s="18"/>
      <c r="G438" s="19"/>
      <c r="H438" s="18"/>
      <c r="I438" s="19"/>
    </row>
    <row r="439" outlineLevel="1">
      <c r="A439" s="9" t="s">
        <v>679</v>
      </c>
      <c r="B439" s="9" t="s">
        <v>680</v>
      </c>
      <c r="C439" s="12" t="s">
        <v>80</v>
      </c>
      <c r="D439" s="14" t="s">
        <v>631</v>
      </c>
      <c r="E439" s="16"/>
      <c r="F439" s="8"/>
      <c r="G439" s="16"/>
      <c r="H439" s="8"/>
      <c r="I439" s="16"/>
    </row>
    <row r="440" outlineLevel="1">
      <c r="A440" s="9" t="s">
        <v>681</v>
      </c>
      <c r="B440" s="9" t="s">
        <v>129</v>
      </c>
      <c r="C440" s="12" t="s">
        <v>46</v>
      </c>
      <c r="D440" s="14" t="s">
        <v>631</v>
      </c>
      <c r="E440" s="16"/>
      <c r="F440" s="8"/>
      <c r="G440" s="16"/>
      <c r="H440" s="8"/>
      <c r="I440" s="16"/>
    </row>
    <row r="441" outlineLevel="1">
      <c r="A441" s="18" t="s">
        <v>682</v>
      </c>
      <c r="B441" s="9" t="s">
        <v>529</v>
      </c>
      <c r="C441" s="12" t="s">
        <v>132</v>
      </c>
      <c r="D441" s="14" t="s">
        <v>631</v>
      </c>
      <c r="E441" s="16"/>
      <c r="F441" s="8"/>
      <c r="G441" s="16"/>
      <c r="H441" s="8"/>
      <c r="I441" s="16"/>
    </row>
    <row r="442" outlineLevel="1">
      <c r="A442" s="9" t="s">
        <v>683</v>
      </c>
      <c r="B442" s="18" t="s">
        <v>684</v>
      </c>
      <c r="C442" s="19" t="s">
        <v>138</v>
      </c>
      <c r="D442" s="14" t="s">
        <v>631</v>
      </c>
      <c r="E442" s="16"/>
      <c r="F442" s="8"/>
      <c r="G442" s="16"/>
      <c r="H442" s="8"/>
      <c r="I442" s="16"/>
    </row>
    <row r="443" outlineLevel="1">
      <c r="A443" s="9" t="s">
        <v>685</v>
      </c>
      <c r="B443" s="9" t="s">
        <v>686</v>
      </c>
      <c r="C443" s="12" t="s">
        <v>65</v>
      </c>
      <c r="D443" s="14" t="s">
        <v>631</v>
      </c>
      <c r="E443" s="16"/>
      <c r="F443" s="8"/>
      <c r="G443" s="16"/>
      <c r="H443" s="8"/>
      <c r="I443" s="16"/>
    </row>
    <row r="444" outlineLevel="1">
      <c r="A444" s="9" t="s">
        <v>687</v>
      </c>
      <c r="B444" s="9" t="s">
        <v>472</v>
      </c>
      <c r="C444" s="12" t="s">
        <v>141</v>
      </c>
      <c r="D444" s="14" t="s">
        <v>631</v>
      </c>
      <c r="E444" s="16"/>
      <c r="F444" s="8"/>
      <c r="G444" s="16"/>
      <c r="H444" s="8"/>
      <c r="I444" s="16"/>
    </row>
    <row r="445" outlineLevel="1">
      <c r="A445" s="9" t="s">
        <v>688</v>
      </c>
      <c r="B445" s="9" t="s">
        <v>441</v>
      </c>
      <c r="C445" s="12" t="s">
        <v>65</v>
      </c>
      <c r="D445" s="14" t="s">
        <v>631</v>
      </c>
      <c r="E445" s="16"/>
      <c r="F445" s="8"/>
      <c r="G445" s="16"/>
      <c r="H445" s="8"/>
      <c r="I445" s="16"/>
    </row>
    <row r="446" outlineLevel="1">
      <c r="A446" s="9" t="s">
        <v>689</v>
      </c>
      <c r="B446" s="9" t="s">
        <v>690</v>
      </c>
      <c r="C446" s="12" t="s">
        <v>93</v>
      </c>
      <c r="D446" s="14" t="s">
        <v>631</v>
      </c>
      <c r="E446" s="16"/>
      <c r="F446" s="8"/>
      <c r="G446" s="16"/>
      <c r="H446" s="8"/>
      <c r="I446" s="16"/>
    </row>
    <row r="447" outlineLevel="1">
      <c r="A447" s="9" t="s">
        <v>691</v>
      </c>
      <c r="B447" s="9" t="s">
        <v>692</v>
      </c>
      <c r="C447" s="12" t="s">
        <v>138</v>
      </c>
      <c r="D447" s="14" t="s">
        <v>631</v>
      </c>
      <c r="E447" s="16"/>
      <c r="F447" s="8"/>
      <c r="G447" s="16"/>
      <c r="H447" s="8"/>
      <c r="I447" s="16"/>
    </row>
    <row r="448" outlineLevel="1">
      <c r="A448" s="9" t="s">
        <v>267</v>
      </c>
      <c r="B448" s="9" t="s">
        <v>252</v>
      </c>
      <c r="C448" s="12" t="s">
        <v>16</v>
      </c>
      <c r="D448" s="14" t="s">
        <v>631</v>
      </c>
      <c r="E448" s="16"/>
      <c r="F448" s="8"/>
      <c r="G448" s="16"/>
      <c r="H448" s="8"/>
      <c r="I448" s="16"/>
    </row>
    <row r="449" outlineLevel="1">
      <c r="A449" s="9" t="s">
        <v>693</v>
      </c>
      <c r="B449" s="9" t="s">
        <v>694</v>
      </c>
      <c r="C449" s="12" t="s">
        <v>93</v>
      </c>
      <c r="D449" s="14" t="s">
        <v>631</v>
      </c>
      <c r="E449" s="16"/>
      <c r="F449" s="8"/>
      <c r="G449" s="16"/>
      <c r="H449" s="8"/>
      <c r="I449" s="16"/>
    </row>
    <row r="450" outlineLevel="1">
      <c r="A450" s="9" t="s">
        <v>325</v>
      </c>
      <c r="B450" s="9" t="s">
        <v>695</v>
      </c>
      <c r="C450" s="12" t="s">
        <v>53</v>
      </c>
      <c r="D450" s="14" t="s">
        <v>631</v>
      </c>
      <c r="E450" s="16"/>
      <c r="F450" s="8"/>
      <c r="G450" s="16"/>
      <c r="H450" s="8"/>
      <c r="I450" s="16"/>
    </row>
    <row r="451" outlineLevel="1">
      <c r="A451" s="9" t="s">
        <v>696</v>
      </c>
      <c r="B451" s="9" t="s">
        <v>697</v>
      </c>
      <c r="C451" s="12" t="s">
        <v>149</v>
      </c>
      <c r="D451" s="14" t="s">
        <v>631</v>
      </c>
      <c r="E451" s="16"/>
      <c r="F451" s="8"/>
      <c r="G451" s="16"/>
      <c r="H451" s="8"/>
      <c r="I451" s="16"/>
    </row>
    <row r="452" outlineLevel="1">
      <c r="A452" s="9" t="s">
        <v>698</v>
      </c>
      <c r="B452" s="9" t="s">
        <v>301</v>
      </c>
      <c r="C452" s="12" t="s">
        <v>65</v>
      </c>
      <c r="D452" s="14" t="s">
        <v>631</v>
      </c>
      <c r="E452" s="16"/>
      <c r="F452" s="18"/>
      <c r="G452" s="19"/>
      <c r="H452" s="18"/>
      <c r="I452" s="19"/>
    </row>
    <row r="453" outlineLevel="1">
      <c r="A453" s="9" t="s">
        <v>520</v>
      </c>
      <c r="B453" s="9" t="s">
        <v>699</v>
      </c>
      <c r="C453" s="12" t="s">
        <v>65</v>
      </c>
      <c r="D453" s="14" t="s">
        <v>631</v>
      </c>
      <c r="E453" s="16"/>
      <c r="F453" s="8"/>
      <c r="G453" s="16"/>
      <c r="H453" s="8"/>
      <c r="I453" s="16"/>
    </row>
    <row r="454" outlineLevel="1">
      <c r="A454" s="9" t="s">
        <v>700</v>
      </c>
      <c r="B454" s="9" t="s">
        <v>67</v>
      </c>
      <c r="C454" s="12" t="s">
        <v>65</v>
      </c>
      <c r="D454" s="14" t="s">
        <v>631</v>
      </c>
      <c r="E454" s="16"/>
      <c r="F454" s="8"/>
      <c r="G454" s="16"/>
      <c r="H454" s="8"/>
      <c r="I454" s="16"/>
    </row>
    <row r="455" outlineLevel="1">
      <c r="A455" s="9" t="s">
        <v>701</v>
      </c>
      <c r="B455" s="9" t="s">
        <v>702</v>
      </c>
      <c r="C455" s="12" t="s">
        <v>141</v>
      </c>
      <c r="D455" s="14" t="s">
        <v>631</v>
      </c>
      <c r="E455" s="16"/>
      <c r="F455" s="18"/>
      <c r="G455" s="19"/>
      <c r="H455" s="18"/>
      <c r="I455" s="19"/>
    </row>
    <row r="456" outlineLevel="1">
      <c r="A456" s="9" t="s">
        <v>703</v>
      </c>
      <c r="B456" s="9" t="s">
        <v>100</v>
      </c>
      <c r="C456" s="12" t="s">
        <v>24</v>
      </c>
      <c r="D456" s="14" t="s">
        <v>631</v>
      </c>
      <c r="E456" s="16"/>
      <c r="F456" s="8"/>
      <c r="G456" s="16"/>
      <c r="H456" s="8"/>
      <c r="I456" s="16"/>
    </row>
    <row r="457" outlineLevel="1">
      <c r="A457" s="9" t="s">
        <v>704</v>
      </c>
      <c r="B457" s="9" t="s">
        <v>67</v>
      </c>
      <c r="C457" s="12" t="s">
        <v>141</v>
      </c>
      <c r="D457" s="14" t="s">
        <v>631</v>
      </c>
      <c r="E457" s="16"/>
      <c r="F457" s="8"/>
      <c r="G457" s="16"/>
      <c r="H457" s="8"/>
      <c r="I457" s="16"/>
    </row>
    <row r="458" outlineLevel="1">
      <c r="A458" s="9" t="s">
        <v>705</v>
      </c>
      <c r="B458" s="9" t="s">
        <v>181</v>
      </c>
      <c r="C458" s="12" t="s">
        <v>141</v>
      </c>
      <c r="D458" s="14" t="s">
        <v>631</v>
      </c>
      <c r="E458" s="16"/>
      <c r="F458" s="8"/>
      <c r="G458" s="16"/>
      <c r="H458" s="8"/>
      <c r="I458" s="16"/>
    </row>
    <row r="459" outlineLevel="1">
      <c r="A459" s="9" t="s">
        <v>706</v>
      </c>
      <c r="B459" s="9" t="s">
        <v>707</v>
      </c>
      <c r="C459" s="12" t="s">
        <v>192</v>
      </c>
      <c r="D459" s="14" t="s">
        <v>631</v>
      </c>
      <c r="E459" s="16"/>
      <c r="F459" s="8"/>
      <c r="G459" s="16"/>
      <c r="H459" s="8"/>
      <c r="I459" s="16"/>
    </row>
    <row r="460" outlineLevel="1">
      <c r="A460" s="9" t="s">
        <v>89</v>
      </c>
      <c r="B460" s="9" t="s">
        <v>708</v>
      </c>
      <c r="C460" s="12" t="s">
        <v>24</v>
      </c>
      <c r="D460" s="14" t="s">
        <v>631</v>
      </c>
      <c r="E460" s="16"/>
      <c r="F460" s="8"/>
      <c r="G460" s="16"/>
      <c r="H460" s="8"/>
      <c r="I460" s="16"/>
    </row>
    <row r="461" outlineLevel="1">
      <c r="A461" s="9" t="s">
        <v>89</v>
      </c>
      <c r="B461" s="9" t="s">
        <v>709</v>
      </c>
      <c r="C461" s="12" t="s">
        <v>122</v>
      </c>
      <c r="D461" s="14" t="s">
        <v>631</v>
      </c>
      <c r="E461" s="16"/>
      <c r="F461" s="8"/>
      <c r="G461" s="16"/>
      <c r="H461" s="8"/>
      <c r="I461" s="16"/>
    </row>
    <row r="462" outlineLevel="1">
      <c r="A462" s="9" t="s">
        <v>377</v>
      </c>
      <c r="B462" s="9" t="s">
        <v>710</v>
      </c>
      <c r="C462" s="12" t="s">
        <v>141</v>
      </c>
      <c r="D462" s="14" t="s">
        <v>631</v>
      </c>
      <c r="E462" s="16"/>
      <c r="F462" s="8"/>
      <c r="G462" s="16"/>
      <c r="H462" s="8"/>
      <c r="I462" s="16"/>
    </row>
    <row r="463" outlineLevel="1">
      <c r="A463" s="9" t="s">
        <v>711</v>
      </c>
      <c r="B463" s="9" t="s">
        <v>712</v>
      </c>
      <c r="C463" s="12" t="s">
        <v>192</v>
      </c>
      <c r="D463" s="14" t="s">
        <v>631</v>
      </c>
      <c r="E463" s="16"/>
      <c r="F463" s="8"/>
      <c r="G463" s="16"/>
      <c r="H463" s="8"/>
      <c r="I463" s="16"/>
    </row>
    <row r="464" outlineLevel="1">
      <c r="A464" s="9" t="s">
        <v>537</v>
      </c>
      <c r="B464" s="9" t="s">
        <v>713</v>
      </c>
      <c r="C464" s="12" t="s">
        <v>93</v>
      </c>
      <c r="D464" s="14" t="s">
        <v>631</v>
      </c>
      <c r="E464" s="16"/>
      <c r="F464" s="8"/>
      <c r="G464" s="16"/>
      <c r="H464" s="8"/>
      <c r="I464" s="16"/>
    </row>
    <row r="465" outlineLevel="1">
      <c r="A465" s="9" t="s">
        <v>714</v>
      </c>
      <c r="B465" s="9" t="s">
        <v>532</v>
      </c>
      <c r="C465" s="12" t="s">
        <v>65</v>
      </c>
      <c r="D465" s="14" t="s">
        <v>631</v>
      </c>
      <c r="E465" s="16"/>
      <c r="F465" s="8"/>
      <c r="G465" s="16"/>
      <c r="H465" s="8"/>
      <c r="I465" s="16"/>
    </row>
    <row r="466" outlineLevel="1">
      <c r="A466" s="9" t="s">
        <v>715</v>
      </c>
      <c r="B466" s="9" t="s">
        <v>37</v>
      </c>
      <c r="C466" s="12" t="s">
        <v>12</v>
      </c>
      <c r="D466" s="14" t="s">
        <v>631</v>
      </c>
      <c r="E466" s="16"/>
      <c r="F466" s="8"/>
      <c r="G466" s="16"/>
      <c r="H466" s="8"/>
      <c r="I466" s="16"/>
    </row>
    <row r="467" outlineLevel="1">
      <c r="A467" s="9" t="s">
        <v>716</v>
      </c>
      <c r="B467" s="9" t="s">
        <v>275</v>
      </c>
      <c r="C467" s="12" t="s">
        <v>149</v>
      </c>
      <c r="D467" s="14" t="s">
        <v>631</v>
      </c>
      <c r="E467" s="16"/>
      <c r="F467" s="8"/>
      <c r="G467" s="16"/>
      <c r="H467" s="8"/>
      <c r="I467" s="16"/>
    </row>
    <row r="468" outlineLevel="1">
      <c r="A468" s="9" t="s">
        <v>717</v>
      </c>
      <c r="B468" s="9" t="s">
        <v>183</v>
      </c>
      <c r="C468" s="12" t="s">
        <v>59</v>
      </c>
      <c r="D468" s="14" t="s">
        <v>631</v>
      </c>
      <c r="E468" s="16"/>
      <c r="F468" s="8"/>
      <c r="G468" s="16"/>
      <c r="H468" s="8"/>
      <c r="I468" s="16"/>
    </row>
    <row r="469" outlineLevel="1">
      <c r="A469" s="9" t="s">
        <v>718</v>
      </c>
      <c r="B469" s="9" t="s">
        <v>719</v>
      </c>
      <c r="C469" s="12" t="s">
        <v>80</v>
      </c>
      <c r="D469" s="14" t="s">
        <v>631</v>
      </c>
      <c r="E469" s="16"/>
      <c r="F469" s="8"/>
      <c r="G469" s="16"/>
      <c r="H469" s="8"/>
      <c r="I469" s="16"/>
    </row>
    <row r="470" outlineLevel="1">
      <c r="A470" s="9" t="s">
        <v>718</v>
      </c>
      <c r="B470" s="9" t="s">
        <v>366</v>
      </c>
      <c r="C470" s="12" t="s">
        <v>70</v>
      </c>
      <c r="D470" s="14" t="s">
        <v>631</v>
      </c>
      <c r="E470" s="16"/>
      <c r="F470" s="8"/>
      <c r="G470" s="16"/>
      <c r="H470" s="8"/>
      <c r="I470" s="16"/>
    </row>
    <row r="471" outlineLevel="1">
      <c r="A471" s="9" t="s">
        <v>720</v>
      </c>
      <c r="B471" s="9" t="s">
        <v>721</v>
      </c>
      <c r="C471" s="12" t="s">
        <v>138</v>
      </c>
      <c r="D471" s="14" t="s">
        <v>631</v>
      </c>
      <c r="E471" s="16"/>
      <c r="F471" s="8"/>
      <c r="G471" s="16"/>
      <c r="H471" s="8"/>
      <c r="I471" s="16"/>
    </row>
    <row r="472" outlineLevel="1">
      <c r="A472" s="9" t="s">
        <v>722</v>
      </c>
      <c r="B472" s="9" t="s">
        <v>723</v>
      </c>
      <c r="C472" s="12" t="s">
        <v>53</v>
      </c>
      <c r="D472" s="14" t="s">
        <v>631</v>
      </c>
      <c r="E472" s="16"/>
      <c r="F472" s="8"/>
      <c r="G472" s="16"/>
      <c r="H472" s="8"/>
      <c r="I472" s="16"/>
    </row>
    <row r="473" outlineLevel="1">
      <c r="A473" s="9" t="s">
        <v>208</v>
      </c>
      <c r="B473" s="9" t="s">
        <v>724</v>
      </c>
      <c r="C473" s="12" t="s">
        <v>132</v>
      </c>
      <c r="D473" s="14" t="s">
        <v>631</v>
      </c>
      <c r="E473" s="16"/>
      <c r="F473" s="8"/>
      <c r="G473" s="16"/>
      <c r="H473" s="8"/>
      <c r="I473" s="16"/>
    </row>
    <row r="474" outlineLevel="1">
      <c r="A474" s="9" t="s">
        <v>725</v>
      </c>
      <c r="B474" s="9" t="s">
        <v>67</v>
      </c>
      <c r="C474" s="12" t="s">
        <v>141</v>
      </c>
      <c r="D474" s="14" t="s">
        <v>631</v>
      </c>
      <c r="E474" s="16"/>
      <c r="F474" s="18"/>
      <c r="G474" s="19"/>
      <c r="H474" s="18"/>
      <c r="I474" s="19"/>
    </row>
    <row r="475" outlineLevel="1">
      <c r="A475" s="9" t="s">
        <v>284</v>
      </c>
      <c r="B475" s="9" t="s">
        <v>161</v>
      </c>
      <c r="C475" s="12" t="s">
        <v>141</v>
      </c>
      <c r="D475" s="14" t="s">
        <v>631</v>
      </c>
      <c r="E475" s="16"/>
      <c r="F475" s="8"/>
      <c r="G475" s="16"/>
      <c r="H475" s="8"/>
      <c r="I475" s="16"/>
    </row>
    <row r="476" outlineLevel="1">
      <c r="A476" s="9" t="s">
        <v>284</v>
      </c>
      <c r="B476" s="9" t="s">
        <v>726</v>
      </c>
      <c r="C476" s="12" t="s">
        <v>59</v>
      </c>
      <c r="D476" s="14" t="s">
        <v>631</v>
      </c>
      <c r="E476" s="16"/>
      <c r="F476" s="8"/>
      <c r="G476" s="16"/>
      <c r="H476" s="8"/>
      <c r="I476" s="16"/>
    </row>
    <row r="477" outlineLevel="1">
      <c r="A477" s="9" t="s">
        <v>727</v>
      </c>
      <c r="B477" s="9" t="s">
        <v>728</v>
      </c>
      <c r="C477" s="12" t="s">
        <v>80</v>
      </c>
      <c r="D477" s="14" t="s">
        <v>631</v>
      </c>
      <c r="E477" s="16"/>
      <c r="F477" s="8"/>
      <c r="G477" s="16"/>
      <c r="H477" s="8"/>
      <c r="I477" s="16"/>
    </row>
    <row r="478" outlineLevel="1">
      <c r="A478" s="9" t="s">
        <v>729</v>
      </c>
      <c r="B478" s="9" t="s">
        <v>214</v>
      </c>
      <c r="C478" s="12" t="s">
        <v>261</v>
      </c>
      <c r="D478" s="14" t="s">
        <v>631</v>
      </c>
      <c r="E478" s="16"/>
      <c r="F478" s="18"/>
      <c r="G478" s="19"/>
      <c r="H478" s="18"/>
      <c r="I478" s="19"/>
    </row>
    <row r="479" outlineLevel="1">
      <c r="A479" s="9" t="s">
        <v>730</v>
      </c>
      <c r="B479" s="9" t="s">
        <v>731</v>
      </c>
      <c r="C479" s="12" t="s">
        <v>138</v>
      </c>
      <c r="D479" s="14" t="s">
        <v>631</v>
      </c>
      <c r="E479" s="16"/>
      <c r="F479" s="8"/>
      <c r="G479" s="16"/>
      <c r="H479" s="8"/>
      <c r="I479" s="16"/>
    </row>
    <row r="480" outlineLevel="1">
      <c r="A480" s="9" t="s">
        <v>732</v>
      </c>
      <c r="B480" s="9" t="s">
        <v>733</v>
      </c>
      <c r="C480" s="12" t="s">
        <v>59</v>
      </c>
      <c r="D480" s="14" t="s">
        <v>631</v>
      </c>
      <c r="E480" s="16"/>
      <c r="F480" s="8"/>
      <c r="G480" s="16"/>
      <c r="H480" s="8"/>
      <c r="I480" s="16"/>
    </row>
    <row r="481" outlineLevel="1">
      <c r="A481" s="9" t="s">
        <v>734</v>
      </c>
      <c r="B481" s="9" t="s">
        <v>735</v>
      </c>
      <c r="C481" s="12" t="s">
        <v>53</v>
      </c>
      <c r="D481" s="14" t="s">
        <v>631</v>
      </c>
      <c r="E481" s="16"/>
      <c r="F481" s="8"/>
      <c r="G481" s="16"/>
      <c r="H481" s="8"/>
      <c r="I481" s="16"/>
    </row>
    <row r="482" outlineLevel="1">
      <c r="A482" s="9" t="s">
        <v>736</v>
      </c>
      <c r="B482" s="9" t="s">
        <v>737</v>
      </c>
      <c r="C482" s="12" t="s">
        <v>132</v>
      </c>
      <c r="D482" s="14" t="s">
        <v>631</v>
      </c>
      <c r="E482" s="16"/>
      <c r="F482" s="8"/>
      <c r="G482" s="16"/>
      <c r="H482" s="8"/>
      <c r="I482" s="16"/>
    </row>
    <row r="483" outlineLevel="1">
      <c r="A483" s="18" t="s">
        <v>738</v>
      </c>
      <c r="B483" s="9" t="s">
        <v>269</v>
      </c>
      <c r="C483" s="12" t="s">
        <v>53</v>
      </c>
      <c r="D483" s="14" t="s">
        <v>631</v>
      </c>
      <c r="E483" s="16"/>
      <c r="F483" s="8"/>
      <c r="G483" s="16"/>
      <c r="H483" s="8"/>
      <c r="I483" s="16"/>
    </row>
    <row r="484" outlineLevel="1">
      <c r="A484" s="9" t="s">
        <v>739</v>
      </c>
      <c r="B484" s="18" t="s">
        <v>320</v>
      </c>
      <c r="C484" s="19" t="s">
        <v>186</v>
      </c>
      <c r="D484" s="14" t="s">
        <v>631</v>
      </c>
      <c r="E484" s="16"/>
      <c r="F484" s="8"/>
      <c r="G484" s="16"/>
      <c r="H484" s="8"/>
      <c r="I484" s="16"/>
    </row>
    <row r="485" outlineLevel="1">
      <c r="A485" s="9" t="s">
        <v>740</v>
      </c>
      <c r="B485" s="9" t="s">
        <v>301</v>
      </c>
      <c r="C485" s="12" t="s">
        <v>12</v>
      </c>
      <c r="D485" s="14" t="s">
        <v>631</v>
      </c>
      <c r="E485" s="16"/>
      <c r="F485" s="8"/>
      <c r="G485" s="16"/>
      <c r="H485" s="8"/>
      <c r="I485" s="16"/>
    </row>
    <row r="486" outlineLevel="1">
      <c r="A486" s="9" t="s">
        <v>210</v>
      </c>
      <c r="B486" s="9" t="s">
        <v>676</v>
      </c>
      <c r="C486" s="12" t="s">
        <v>141</v>
      </c>
      <c r="D486" s="14" t="s">
        <v>631</v>
      </c>
      <c r="E486" s="16"/>
      <c r="F486" s="8"/>
      <c r="G486" s="16"/>
      <c r="H486" s="8"/>
      <c r="I486" s="16"/>
    </row>
    <row r="487" outlineLevel="1">
      <c r="A487" s="9" t="s">
        <v>741</v>
      </c>
      <c r="B487" s="9" t="s">
        <v>742</v>
      </c>
      <c r="C487" s="12" t="s">
        <v>93</v>
      </c>
      <c r="D487" s="14" t="s">
        <v>631</v>
      </c>
      <c r="E487" s="16"/>
      <c r="F487" s="8"/>
      <c r="G487" s="16"/>
      <c r="H487" s="8"/>
      <c r="I487" s="16"/>
    </row>
    <row r="488" outlineLevel="1">
      <c r="A488" s="9" t="s">
        <v>743</v>
      </c>
      <c r="B488" s="9" t="s">
        <v>441</v>
      </c>
      <c r="C488" s="12" t="s">
        <v>46</v>
      </c>
      <c r="D488" s="14" t="s">
        <v>631</v>
      </c>
      <c r="E488" s="16"/>
      <c r="F488" s="18"/>
      <c r="G488" s="19"/>
      <c r="H488" s="18"/>
      <c r="I488" s="19"/>
    </row>
    <row r="489" outlineLevel="1">
      <c r="A489" s="9" t="s">
        <v>94</v>
      </c>
      <c r="B489" s="9" t="s">
        <v>744</v>
      </c>
      <c r="C489" s="12" t="s">
        <v>70</v>
      </c>
      <c r="D489" s="14" t="s">
        <v>631</v>
      </c>
      <c r="E489" s="16"/>
      <c r="F489" s="8"/>
      <c r="G489" s="16"/>
      <c r="H489" s="8"/>
      <c r="I489" s="16"/>
    </row>
    <row r="490" outlineLevel="1">
      <c r="A490" s="9" t="s">
        <v>745</v>
      </c>
      <c r="B490" s="9" t="s">
        <v>304</v>
      </c>
      <c r="C490" s="12" t="s">
        <v>141</v>
      </c>
      <c r="D490" s="14" t="s">
        <v>631</v>
      </c>
      <c r="E490" s="16"/>
      <c r="F490" s="8"/>
      <c r="G490" s="16"/>
      <c r="H490" s="8"/>
      <c r="I490" s="16"/>
    </row>
    <row r="491" outlineLevel="1">
      <c r="A491" s="9" t="s">
        <v>395</v>
      </c>
      <c r="B491" s="9" t="s">
        <v>746</v>
      </c>
      <c r="C491" s="12" t="s">
        <v>141</v>
      </c>
      <c r="D491" s="14" t="s">
        <v>631</v>
      </c>
      <c r="E491" s="16"/>
      <c r="F491" s="8"/>
      <c r="G491" s="16"/>
      <c r="H491" s="8"/>
      <c r="I491" s="16"/>
    </row>
    <row r="492" outlineLevel="1">
      <c r="A492" s="9" t="s">
        <v>747</v>
      </c>
      <c r="B492" s="9" t="s">
        <v>748</v>
      </c>
      <c r="C492" s="12" t="s">
        <v>149</v>
      </c>
      <c r="D492" s="14" t="s">
        <v>631</v>
      </c>
      <c r="E492" s="16"/>
      <c r="F492" s="8"/>
      <c r="G492" s="16"/>
      <c r="H492" s="8"/>
      <c r="I492" s="16"/>
    </row>
    <row r="493" outlineLevel="1">
      <c r="A493" s="9" t="s">
        <v>163</v>
      </c>
      <c r="B493" s="9" t="s">
        <v>749</v>
      </c>
      <c r="C493" s="12" t="s">
        <v>53</v>
      </c>
      <c r="D493" s="14" t="s">
        <v>631</v>
      </c>
      <c r="E493" s="16"/>
      <c r="F493" s="8"/>
      <c r="G493" s="16"/>
      <c r="H493" s="8"/>
      <c r="I493" s="16"/>
    </row>
    <row r="494" outlineLevel="1">
      <c r="A494" s="9" t="s">
        <v>396</v>
      </c>
      <c r="B494" s="9" t="s">
        <v>750</v>
      </c>
      <c r="C494" s="12" t="s">
        <v>132</v>
      </c>
      <c r="D494" s="14" t="s">
        <v>631</v>
      </c>
      <c r="E494" s="16"/>
      <c r="F494" s="8"/>
      <c r="G494" s="16"/>
      <c r="H494" s="8"/>
      <c r="I494" s="16"/>
    </row>
    <row r="495" outlineLevel="1">
      <c r="A495" s="9" t="s">
        <v>751</v>
      </c>
      <c r="B495" s="9" t="s">
        <v>301</v>
      </c>
      <c r="C495" s="12" t="s">
        <v>138</v>
      </c>
      <c r="D495" s="14" t="s">
        <v>631</v>
      </c>
      <c r="E495" s="16"/>
      <c r="F495" s="8"/>
      <c r="G495" s="16"/>
      <c r="H495" s="8"/>
      <c r="I495" s="16"/>
    </row>
    <row r="496" outlineLevel="1">
      <c r="A496" s="9" t="s">
        <v>752</v>
      </c>
      <c r="B496" s="9" t="s">
        <v>619</v>
      </c>
      <c r="C496" s="12" t="s">
        <v>24</v>
      </c>
      <c r="D496" s="14" t="s">
        <v>631</v>
      </c>
      <c r="E496" s="16"/>
      <c r="F496" s="18"/>
      <c r="G496" s="19"/>
      <c r="H496" s="18"/>
      <c r="I496" s="19"/>
    </row>
    <row r="497" outlineLevel="1">
      <c r="A497" s="9" t="s">
        <v>753</v>
      </c>
      <c r="B497" s="9" t="s">
        <v>754</v>
      </c>
      <c r="C497" s="12" t="s">
        <v>138</v>
      </c>
      <c r="D497" s="14" t="s">
        <v>631</v>
      </c>
      <c r="E497" s="16"/>
      <c r="F497" s="8"/>
      <c r="G497" s="16"/>
      <c r="H497" s="8"/>
      <c r="I497" s="16"/>
    </row>
    <row r="498" outlineLevel="1">
      <c r="A498" s="18" t="s">
        <v>755</v>
      </c>
      <c r="B498" s="9" t="s">
        <v>269</v>
      </c>
      <c r="C498" s="12" t="s">
        <v>16</v>
      </c>
      <c r="D498" s="14" t="s">
        <v>631</v>
      </c>
      <c r="E498" s="16"/>
      <c r="F498" s="18"/>
      <c r="G498" s="19"/>
      <c r="H498" s="18"/>
      <c r="I498" s="19"/>
    </row>
    <row r="499" outlineLevel="1">
      <c r="A499" s="18" t="s">
        <v>582</v>
      </c>
      <c r="B499" s="18" t="s">
        <v>491</v>
      </c>
      <c r="C499" s="19" t="s">
        <v>80</v>
      </c>
      <c r="D499" s="14" t="s">
        <v>631</v>
      </c>
      <c r="E499" s="16"/>
      <c r="F499" s="8"/>
      <c r="G499" s="16"/>
      <c r="H499" s="8"/>
      <c r="I499" s="16"/>
    </row>
    <row r="500" outlineLevel="1">
      <c r="A500" s="9" t="s">
        <v>756</v>
      </c>
      <c r="B500" s="18" t="s">
        <v>436</v>
      </c>
      <c r="C500" s="19" t="s">
        <v>80</v>
      </c>
      <c r="D500" s="14" t="s">
        <v>631</v>
      </c>
      <c r="E500" s="16"/>
      <c r="F500" s="8"/>
      <c r="G500" s="16"/>
      <c r="H500" s="8"/>
      <c r="I500" s="16"/>
    </row>
    <row r="501" outlineLevel="1">
      <c r="A501" s="9" t="s">
        <v>757</v>
      </c>
      <c r="B501" s="9" t="s">
        <v>121</v>
      </c>
      <c r="C501" s="12" t="s">
        <v>12</v>
      </c>
      <c r="D501" s="14" t="s">
        <v>631</v>
      </c>
      <c r="E501" s="16"/>
      <c r="F501" s="8"/>
      <c r="G501" s="16"/>
      <c r="H501" s="8"/>
      <c r="I501" s="16"/>
    </row>
    <row r="502" outlineLevel="1">
      <c r="A502" s="9" t="s">
        <v>758</v>
      </c>
      <c r="B502" s="9" t="s">
        <v>759</v>
      </c>
      <c r="C502" s="12" t="s">
        <v>138</v>
      </c>
      <c r="D502" s="14" t="s">
        <v>631</v>
      </c>
      <c r="E502" s="16"/>
      <c r="F502" s="8"/>
      <c r="G502" s="16"/>
      <c r="H502" s="8"/>
      <c r="I502" s="16"/>
    </row>
    <row r="503" outlineLevel="1">
      <c r="A503" s="9" t="s">
        <v>760</v>
      </c>
      <c r="B503" s="9" t="s">
        <v>499</v>
      </c>
      <c r="C503" s="12" t="s">
        <v>122</v>
      </c>
      <c r="D503" s="14" t="s">
        <v>631</v>
      </c>
      <c r="E503" s="16"/>
      <c r="F503" s="8"/>
      <c r="G503" s="16"/>
      <c r="H503" s="8"/>
      <c r="I503" s="16"/>
    </row>
    <row r="504" outlineLevel="1">
      <c r="A504" s="9" t="s">
        <v>402</v>
      </c>
      <c r="B504" s="9" t="s">
        <v>761</v>
      </c>
      <c r="C504" s="12" t="s">
        <v>70</v>
      </c>
      <c r="D504" s="14" t="s">
        <v>631</v>
      </c>
      <c r="E504" s="16"/>
      <c r="F504" s="8"/>
      <c r="G504" s="16"/>
      <c r="H504" s="8"/>
      <c r="I504" s="16"/>
    </row>
    <row r="505" outlineLevel="1">
      <c r="A505" s="9" t="s">
        <v>762</v>
      </c>
      <c r="B505" s="9" t="s">
        <v>263</v>
      </c>
      <c r="C505" s="12" t="s">
        <v>149</v>
      </c>
      <c r="D505" s="14" t="s">
        <v>631</v>
      </c>
      <c r="E505" s="16"/>
      <c r="F505" s="8"/>
      <c r="G505" s="16"/>
      <c r="H505" s="8"/>
      <c r="I505" s="16"/>
    </row>
    <row r="506" outlineLevel="1">
      <c r="A506" s="9" t="s">
        <v>763</v>
      </c>
      <c r="B506" s="9" t="s">
        <v>764</v>
      </c>
      <c r="C506" s="12" t="s">
        <v>53</v>
      </c>
      <c r="D506" s="14" t="s">
        <v>631</v>
      </c>
      <c r="E506" s="16"/>
      <c r="F506" s="8"/>
      <c r="G506" s="16"/>
      <c r="H506" s="8"/>
      <c r="I506" s="16"/>
    </row>
    <row r="507" outlineLevel="1">
      <c r="A507" s="9" t="s">
        <v>765</v>
      </c>
      <c r="B507" s="9" t="s">
        <v>146</v>
      </c>
      <c r="C507" s="12" t="s">
        <v>149</v>
      </c>
      <c r="D507" s="14" t="s">
        <v>631</v>
      </c>
      <c r="E507" s="16"/>
      <c r="F507" s="8"/>
      <c r="G507" s="16"/>
      <c r="H507" s="8"/>
      <c r="I507" s="16"/>
    </row>
    <row r="508" outlineLevel="1">
      <c r="A508" s="9" t="s">
        <v>766</v>
      </c>
      <c r="B508" s="9" t="s">
        <v>334</v>
      </c>
      <c r="C508" s="12" t="s">
        <v>138</v>
      </c>
      <c r="D508" s="14" t="s">
        <v>631</v>
      </c>
      <c r="E508" s="16"/>
      <c r="F508" s="8"/>
      <c r="G508" s="16"/>
      <c r="H508" s="8"/>
      <c r="I508" s="16"/>
    </row>
    <row r="509" outlineLevel="1">
      <c r="A509" s="9" t="s">
        <v>767</v>
      </c>
      <c r="B509" s="9" t="s">
        <v>768</v>
      </c>
      <c r="C509" s="12" t="s">
        <v>70</v>
      </c>
      <c r="D509" s="14" t="s">
        <v>631</v>
      </c>
      <c r="E509" s="16"/>
      <c r="F509" s="8"/>
      <c r="G509" s="16"/>
      <c r="H509" s="8"/>
      <c r="I509" s="16"/>
    </row>
    <row r="510" outlineLevel="1">
      <c r="A510" s="9" t="s">
        <v>769</v>
      </c>
      <c r="B510" s="9" t="s">
        <v>45</v>
      </c>
      <c r="C510" s="12" t="s">
        <v>12</v>
      </c>
      <c r="D510" s="14" t="s">
        <v>631</v>
      </c>
      <c r="E510" s="16"/>
      <c r="F510" s="8"/>
      <c r="G510" s="16"/>
      <c r="H510" s="8"/>
      <c r="I510" s="16"/>
    </row>
    <row r="511" outlineLevel="1">
      <c r="A511" s="18" t="s">
        <v>770</v>
      </c>
      <c r="B511" s="9" t="s">
        <v>771</v>
      </c>
      <c r="C511" s="12" t="s">
        <v>38</v>
      </c>
      <c r="D511" s="14" t="s">
        <v>631</v>
      </c>
      <c r="E511" s="16"/>
      <c r="F511" s="8"/>
      <c r="G511" s="16"/>
      <c r="H511" s="8"/>
      <c r="I511" s="16"/>
    </row>
    <row r="512" outlineLevel="1">
      <c r="A512" s="9" t="s">
        <v>772</v>
      </c>
      <c r="B512" s="18" t="s">
        <v>100</v>
      </c>
      <c r="C512" s="19" t="s">
        <v>138</v>
      </c>
      <c r="D512" s="14" t="s">
        <v>631</v>
      </c>
      <c r="E512" s="16"/>
      <c r="F512" s="8"/>
      <c r="G512" s="16"/>
      <c r="H512" s="8"/>
      <c r="I512" s="16"/>
    </row>
    <row r="513" outlineLevel="1">
      <c r="A513" s="9" t="s">
        <v>773</v>
      </c>
      <c r="B513" s="9" t="s">
        <v>119</v>
      </c>
      <c r="C513" s="12" t="s">
        <v>149</v>
      </c>
      <c r="D513" s="14" t="s">
        <v>631</v>
      </c>
      <c r="E513" s="16"/>
      <c r="F513" s="8"/>
      <c r="G513" s="16"/>
      <c r="H513" s="8"/>
      <c r="I513" s="16"/>
    </row>
    <row r="514" outlineLevel="1">
      <c r="A514" s="9" t="s">
        <v>774</v>
      </c>
      <c r="B514" s="9" t="s">
        <v>464</v>
      </c>
      <c r="C514" s="12" t="s">
        <v>149</v>
      </c>
      <c r="D514" s="14" t="s">
        <v>631</v>
      </c>
      <c r="E514" s="16"/>
      <c r="F514" s="8"/>
      <c r="G514" s="16"/>
      <c r="H514" s="8"/>
      <c r="I514" s="16"/>
    </row>
    <row r="515" outlineLevel="1">
      <c r="A515" s="9" t="s">
        <v>775</v>
      </c>
      <c r="B515" s="9" t="s">
        <v>776</v>
      </c>
      <c r="C515" s="12" t="s">
        <v>65</v>
      </c>
      <c r="D515" s="14" t="s">
        <v>631</v>
      </c>
      <c r="E515" s="16"/>
      <c r="F515" s="8"/>
      <c r="G515" s="16"/>
      <c r="H515" s="8"/>
      <c r="I515" s="16"/>
    </row>
    <row r="516" outlineLevel="1">
      <c r="A516" s="9" t="s">
        <v>777</v>
      </c>
      <c r="B516" s="9" t="s">
        <v>183</v>
      </c>
      <c r="C516" s="12" t="s">
        <v>122</v>
      </c>
      <c r="D516" s="14" t="s">
        <v>631</v>
      </c>
      <c r="E516" s="16"/>
      <c r="F516" s="8"/>
      <c r="G516" s="16"/>
      <c r="H516" s="8"/>
      <c r="I516" s="16"/>
    </row>
    <row r="517" outlineLevel="1">
      <c r="A517" s="9" t="s">
        <v>668</v>
      </c>
      <c r="B517" s="9" t="s">
        <v>123</v>
      </c>
      <c r="C517" s="12" t="s">
        <v>138</v>
      </c>
      <c r="D517" s="14" t="s">
        <v>631</v>
      </c>
      <c r="E517" s="16"/>
      <c r="F517" s="8"/>
      <c r="G517" s="16"/>
      <c r="H517" s="8"/>
      <c r="I517" s="16"/>
    </row>
    <row r="518" outlineLevel="1">
      <c r="A518" s="9" t="s">
        <v>778</v>
      </c>
      <c r="B518" s="9" t="s">
        <v>263</v>
      </c>
      <c r="C518" s="12" t="s">
        <v>192</v>
      </c>
      <c r="D518" s="14" t="s">
        <v>631</v>
      </c>
      <c r="E518" s="16"/>
      <c r="F518" s="8"/>
      <c r="G518" s="16"/>
      <c r="H518" s="8"/>
      <c r="I518" s="16"/>
    </row>
    <row r="519" outlineLevel="1">
      <c r="A519" s="9" t="s">
        <v>779</v>
      </c>
      <c r="B519" s="9" t="s">
        <v>780</v>
      </c>
      <c r="C519" s="12" t="s">
        <v>46</v>
      </c>
      <c r="D519" s="14" t="s">
        <v>631</v>
      </c>
      <c r="E519" s="16"/>
      <c r="F519" s="8"/>
      <c r="G519" s="16"/>
      <c r="H519" s="8"/>
      <c r="I519" s="16"/>
    </row>
    <row r="520" outlineLevel="1">
      <c r="A520" s="9" t="s">
        <v>781</v>
      </c>
      <c r="B520" s="9" t="s">
        <v>782</v>
      </c>
      <c r="C520" s="12" t="s">
        <v>93</v>
      </c>
      <c r="D520" s="14" t="s">
        <v>631</v>
      </c>
      <c r="E520" s="16"/>
      <c r="F520" s="8"/>
      <c r="G520" s="16"/>
      <c r="H520" s="8"/>
      <c r="I520" s="16"/>
    </row>
    <row r="521" outlineLevel="1">
      <c r="A521" s="9" t="s">
        <v>783</v>
      </c>
      <c r="B521" s="9" t="s">
        <v>784</v>
      </c>
      <c r="C521" s="12" t="s">
        <v>59</v>
      </c>
      <c r="D521" s="14" t="s">
        <v>631</v>
      </c>
      <c r="E521" s="16"/>
      <c r="F521" s="8"/>
      <c r="G521" s="16"/>
      <c r="H521" s="8"/>
      <c r="I521" s="16"/>
    </row>
    <row r="522" outlineLevel="1">
      <c r="A522" s="9" t="s">
        <v>785</v>
      </c>
      <c r="B522" s="9" t="s">
        <v>712</v>
      </c>
      <c r="C522" s="12" t="s">
        <v>93</v>
      </c>
      <c r="D522" s="14" t="s">
        <v>631</v>
      </c>
      <c r="E522" s="16"/>
      <c r="F522" s="8"/>
      <c r="G522" s="16"/>
      <c r="H522" s="8"/>
      <c r="I522" s="16"/>
    </row>
    <row r="523" outlineLevel="1">
      <c r="A523" s="9" t="s">
        <v>786</v>
      </c>
      <c r="B523" s="9" t="s">
        <v>787</v>
      </c>
      <c r="C523" s="12" t="s">
        <v>122</v>
      </c>
      <c r="D523" s="14" t="s">
        <v>631</v>
      </c>
      <c r="E523" s="16"/>
      <c r="F523" s="8"/>
      <c r="G523" s="16"/>
      <c r="H523" s="8"/>
      <c r="I523" s="16"/>
    </row>
    <row r="524" outlineLevel="1">
      <c r="A524" s="9" t="s">
        <v>788</v>
      </c>
      <c r="B524" s="9" t="s">
        <v>789</v>
      </c>
      <c r="C524" s="12" t="s">
        <v>70</v>
      </c>
      <c r="D524" s="14" t="s">
        <v>631</v>
      </c>
      <c r="E524" s="16"/>
      <c r="F524" s="8"/>
      <c r="G524" s="16"/>
      <c r="H524" s="8"/>
      <c r="I524" s="16"/>
    </row>
    <row r="525" outlineLevel="1">
      <c r="A525" s="9" t="s">
        <v>790</v>
      </c>
      <c r="B525" s="9" t="s">
        <v>791</v>
      </c>
      <c r="C525" s="12" t="s">
        <v>141</v>
      </c>
      <c r="D525" s="14" t="s">
        <v>631</v>
      </c>
      <c r="E525" s="16"/>
      <c r="F525" s="8"/>
      <c r="G525" s="16"/>
      <c r="H525" s="8"/>
      <c r="I525" s="16"/>
    </row>
    <row r="526" outlineLevel="1">
      <c r="A526" s="9" t="s">
        <v>305</v>
      </c>
      <c r="B526" s="9" t="s">
        <v>792</v>
      </c>
      <c r="C526" s="12" t="s">
        <v>93</v>
      </c>
      <c r="D526" s="14" t="s">
        <v>631</v>
      </c>
      <c r="E526" s="16"/>
      <c r="F526" s="8"/>
      <c r="G526" s="16"/>
      <c r="H526" s="8"/>
      <c r="I526" s="16"/>
    </row>
    <row r="527" outlineLevel="1">
      <c r="A527" s="9" t="s">
        <v>305</v>
      </c>
      <c r="B527" s="9" t="s">
        <v>793</v>
      </c>
      <c r="C527" s="12" t="s">
        <v>65</v>
      </c>
      <c r="D527" s="14" t="s">
        <v>631</v>
      </c>
      <c r="E527" s="16"/>
      <c r="F527" s="8"/>
      <c r="G527" s="16"/>
      <c r="H527" s="8"/>
      <c r="I527" s="16"/>
    </row>
    <row r="528" outlineLevel="1">
      <c r="A528" s="9" t="s">
        <v>67</v>
      </c>
      <c r="B528" s="9" t="s">
        <v>222</v>
      </c>
      <c r="C528" s="12" t="s">
        <v>93</v>
      </c>
      <c r="D528" s="14" t="s">
        <v>631</v>
      </c>
      <c r="E528" s="16"/>
      <c r="F528" s="8"/>
      <c r="G528" s="16"/>
      <c r="H528" s="8"/>
      <c r="I528" s="16"/>
    </row>
    <row r="529" outlineLevel="1">
      <c r="A529" s="9" t="s">
        <v>794</v>
      </c>
      <c r="B529" s="9" t="s">
        <v>137</v>
      </c>
      <c r="C529" s="12" t="s">
        <v>132</v>
      </c>
      <c r="D529" s="14" t="s">
        <v>631</v>
      </c>
      <c r="E529" s="16"/>
      <c r="F529" s="8"/>
      <c r="G529" s="16"/>
      <c r="H529" s="8"/>
      <c r="I529" s="16"/>
    </row>
    <row r="530" outlineLevel="1">
      <c r="A530" s="9" t="s">
        <v>795</v>
      </c>
      <c r="B530" s="9" t="s">
        <v>676</v>
      </c>
      <c r="C530" s="12" t="s">
        <v>141</v>
      </c>
      <c r="D530" s="14" t="s">
        <v>631</v>
      </c>
      <c r="E530" s="16"/>
      <c r="F530" s="8"/>
      <c r="G530" s="16"/>
      <c r="H530" s="8"/>
      <c r="I530" s="16"/>
    </row>
    <row r="531" outlineLevel="1">
      <c r="A531" s="9" t="s">
        <v>796</v>
      </c>
      <c r="B531" s="9" t="s">
        <v>409</v>
      </c>
      <c r="C531" s="12" t="s">
        <v>65</v>
      </c>
      <c r="D531" s="14" t="s">
        <v>631</v>
      </c>
      <c r="E531" s="16"/>
      <c r="F531" s="8"/>
      <c r="G531" s="16"/>
      <c r="H531" s="8"/>
      <c r="I531" s="16"/>
    </row>
    <row r="532" outlineLevel="1">
      <c r="A532" s="9" t="s">
        <v>797</v>
      </c>
      <c r="B532" s="9" t="s">
        <v>798</v>
      </c>
      <c r="C532" s="12" t="s">
        <v>46</v>
      </c>
      <c r="D532" s="14" t="s">
        <v>631</v>
      </c>
      <c r="E532" s="16"/>
      <c r="F532" s="8"/>
      <c r="G532" s="16"/>
      <c r="H532" s="8"/>
      <c r="I532" s="16"/>
    </row>
    <row r="533" outlineLevel="1">
      <c r="A533" s="9" t="s">
        <v>799</v>
      </c>
      <c r="B533" s="9" t="s">
        <v>800</v>
      </c>
      <c r="C533" s="12" t="s">
        <v>93</v>
      </c>
      <c r="D533" s="14" t="s">
        <v>631</v>
      </c>
      <c r="E533" s="16"/>
      <c r="F533" s="8"/>
      <c r="G533" s="16"/>
      <c r="H533" s="8"/>
      <c r="I533" s="16"/>
    </row>
    <row r="534" outlineLevel="1">
      <c r="A534" s="9" t="s">
        <v>601</v>
      </c>
      <c r="B534" s="9" t="s">
        <v>23</v>
      </c>
      <c r="C534" s="12" t="s">
        <v>138</v>
      </c>
      <c r="D534" s="14" t="s">
        <v>631</v>
      </c>
      <c r="E534" s="16"/>
      <c r="F534" s="8"/>
      <c r="G534" s="16"/>
      <c r="H534" s="8"/>
      <c r="I534" s="16"/>
    </row>
    <row r="535" outlineLevel="1">
      <c r="A535" s="9" t="s">
        <v>99</v>
      </c>
      <c r="B535" s="9" t="s">
        <v>239</v>
      </c>
      <c r="C535" s="12" t="s">
        <v>16</v>
      </c>
      <c r="D535" s="14" t="s">
        <v>631</v>
      </c>
      <c r="E535" s="16"/>
      <c r="F535" s="8"/>
      <c r="G535" s="16"/>
      <c r="H535" s="8"/>
      <c r="I535" s="16"/>
    </row>
    <row r="536" outlineLevel="1">
      <c r="A536" s="9" t="s">
        <v>99</v>
      </c>
      <c r="B536" s="9" t="s">
        <v>801</v>
      </c>
      <c r="C536" s="12" t="s">
        <v>59</v>
      </c>
      <c r="D536" s="14" t="s">
        <v>631</v>
      </c>
      <c r="E536" s="16"/>
      <c r="F536" s="8"/>
      <c r="G536" s="16"/>
      <c r="H536" s="8"/>
      <c r="I536" s="16"/>
    </row>
    <row r="537" outlineLevel="1">
      <c r="A537" s="9" t="s">
        <v>99</v>
      </c>
      <c r="B537" s="9" t="s">
        <v>802</v>
      </c>
      <c r="C537" s="12" t="s">
        <v>46</v>
      </c>
      <c r="D537" s="14" t="s">
        <v>631</v>
      </c>
      <c r="E537" s="16"/>
      <c r="F537" s="8"/>
      <c r="G537" s="16"/>
      <c r="H537" s="8"/>
      <c r="I537" s="16"/>
    </row>
    <row r="538" outlineLevel="1">
      <c r="A538" s="9" t="s">
        <v>803</v>
      </c>
      <c r="B538" s="9" t="s">
        <v>804</v>
      </c>
      <c r="C538" s="12" t="s">
        <v>75</v>
      </c>
      <c r="D538" s="14" t="s">
        <v>631</v>
      </c>
      <c r="E538" s="16"/>
      <c r="F538" s="8"/>
      <c r="G538" s="16"/>
      <c r="H538" s="8"/>
      <c r="I538" s="16"/>
    </row>
    <row r="539" outlineLevel="1">
      <c r="A539" s="9" t="s">
        <v>805</v>
      </c>
      <c r="B539" s="9" t="s">
        <v>151</v>
      </c>
      <c r="C539" s="12" t="s">
        <v>186</v>
      </c>
      <c r="D539" s="14" t="s">
        <v>631</v>
      </c>
      <c r="E539" s="16"/>
      <c r="F539" s="8"/>
      <c r="G539" s="16"/>
      <c r="H539" s="8"/>
      <c r="I539" s="16"/>
    </row>
    <row r="540" outlineLevel="1">
      <c r="A540" s="9" t="s">
        <v>88</v>
      </c>
      <c r="B540" s="9" t="s">
        <v>806</v>
      </c>
      <c r="C540" s="12" t="s">
        <v>122</v>
      </c>
      <c r="D540" s="14" t="s">
        <v>631</v>
      </c>
      <c r="E540" s="16"/>
      <c r="F540" s="8"/>
      <c r="G540" s="16"/>
      <c r="H540" s="8"/>
      <c r="I540" s="16"/>
    </row>
    <row r="541" outlineLevel="1">
      <c r="A541" s="18" t="s">
        <v>807</v>
      </c>
      <c r="B541" s="9" t="s">
        <v>596</v>
      </c>
      <c r="C541" s="12" t="s">
        <v>75</v>
      </c>
      <c r="D541" s="14" t="s">
        <v>631</v>
      </c>
      <c r="E541" s="16"/>
      <c r="F541" s="8"/>
      <c r="G541" s="16"/>
      <c r="H541" s="8"/>
      <c r="I541" s="16"/>
    </row>
    <row r="542" outlineLevel="1">
      <c r="A542" s="18" t="s">
        <v>808</v>
      </c>
      <c r="B542" s="18" t="s">
        <v>529</v>
      </c>
      <c r="C542" s="19" t="s">
        <v>192</v>
      </c>
      <c r="D542" s="14" t="s">
        <v>631</v>
      </c>
      <c r="E542" s="16"/>
      <c r="F542" s="8"/>
      <c r="G542" s="16"/>
      <c r="H542" s="8"/>
      <c r="I542" s="16"/>
    </row>
    <row r="543" outlineLevel="1">
      <c r="A543" s="9" t="s">
        <v>441</v>
      </c>
      <c r="B543" s="18" t="s">
        <v>809</v>
      </c>
      <c r="C543" s="19" t="s">
        <v>186</v>
      </c>
      <c r="D543" s="14" t="s">
        <v>631</v>
      </c>
      <c r="E543" s="16"/>
      <c r="F543" s="18"/>
      <c r="G543" s="19"/>
      <c r="H543" s="18"/>
      <c r="I543" s="19"/>
    </row>
    <row r="544" outlineLevel="1">
      <c r="A544" s="9" t="s">
        <v>441</v>
      </c>
      <c r="B544" s="9" t="s">
        <v>810</v>
      </c>
      <c r="C544" s="12" t="s">
        <v>93</v>
      </c>
      <c r="D544" s="14" t="s">
        <v>631</v>
      </c>
      <c r="E544" s="16"/>
      <c r="F544" s="8"/>
      <c r="G544" s="16"/>
      <c r="H544" s="8"/>
      <c r="I544" s="16"/>
    </row>
    <row r="545" outlineLevel="1">
      <c r="A545" s="9" t="s">
        <v>62</v>
      </c>
      <c r="B545" s="9" t="s">
        <v>121</v>
      </c>
      <c r="C545" s="12" t="s">
        <v>132</v>
      </c>
      <c r="D545" s="14" t="s">
        <v>631</v>
      </c>
      <c r="E545" s="16"/>
      <c r="F545" s="8"/>
      <c r="G545" s="16"/>
      <c r="H545" s="8"/>
      <c r="I545" s="16"/>
    </row>
    <row r="546" outlineLevel="1">
      <c r="A546" s="9" t="s">
        <v>62</v>
      </c>
      <c r="B546" s="9" t="s">
        <v>102</v>
      </c>
      <c r="C546" s="12" t="s">
        <v>186</v>
      </c>
      <c r="D546" s="14" t="s">
        <v>631</v>
      </c>
      <c r="E546" s="16"/>
      <c r="F546" s="8"/>
      <c r="G546" s="16"/>
      <c r="H546" s="8"/>
      <c r="I546" s="16"/>
    </row>
    <row r="547" outlineLevel="1">
      <c r="A547" s="9" t="s">
        <v>62</v>
      </c>
      <c r="B547" s="9" t="s">
        <v>222</v>
      </c>
      <c r="C547" s="12" t="s">
        <v>24</v>
      </c>
      <c r="D547" s="14" t="s">
        <v>631</v>
      </c>
      <c r="E547" s="16"/>
      <c r="F547" s="8"/>
      <c r="G547" s="16"/>
      <c r="H547" s="8"/>
      <c r="I547" s="16"/>
    </row>
    <row r="548" outlineLevel="1">
      <c r="A548" s="9" t="s">
        <v>62</v>
      </c>
      <c r="B548" s="9" t="s">
        <v>811</v>
      </c>
      <c r="C548" s="12" t="s">
        <v>192</v>
      </c>
      <c r="D548" s="14" t="s">
        <v>631</v>
      </c>
      <c r="E548" s="16"/>
      <c r="F548" s="8"/>
      <c r="G548" s="16"/>
      <c r="H548" s="8"/>
      <c r="I548" s="16"/>
    </row>
    <row r="549" outlineLevel="1">
      <c r="A549" s="9" t="s">
        <v>444</v>
      </c>
      <c r="B549" s="9" t="s">
        <v>275</v>
      </c>
      <c r="C549" s="12" t="s">
        <v>70</v>
      </c>
      <c r="D549" s="14" t="s">
        <v>631</v>
      </c>
      <c r="E549" s="16"/>
      <c r="F549" s="8"/>
      <c r="G549" s="16"/>
      <c r="H549" s="8"/>
      <c r="I549" s="16"/>
    </row>
    <row r="550" outlineLevel="1">
      <c r="A550" s="9" t="s">
        <v>812</v>
      </c>
      <c r="B550" s="9" t="s">
        <v>211</v>
      </c>
      <c r="C550" s="12" t="s">
        <v>24</v>
      </c>
      <c r="D550" s="14" t="s">
        <v>631</v>
      </c>
      <c r="E550" s="16"/>
      <c r="F550" s="8"/>
      <c r="G550" s="16"/>
      <c r="H550" s="8"/>
      <c r="I550" s="16"/>
    </row>
    <row r="551" outlineLevel="1">
      <c r="A551" s="18" t="s">
        <v>813</v>
      </c>
      <c r="B551" s="9" t="s">
        <v>814</v>
      </c>
      <c r="C551" s="12" t="s">
        <v>141</v>
      </c>
      <c r="D551" s="14" t="s">
        <v>631</v>
      </c>
      <c r="E551" s="16"/>
      <c r="F551" s="8"/>
      <c r="G551" s="16"/>
      <c r="H551" s="8"/>
      <c r="I551" s="16"/>
    </row>
    <row r="552" outlineLevel="1">
      <c r="A552" s="9" t="s">
        <v>815</v>
      </c>
      <c r="B552" s="18" t="s">
        <v>816</v>
      </c>
      <c r="C552" s="19" t="s">
        <v>93</v>
      </c>
      <c r="D552" s="14" t="s">
        <v>631</v>
      </c>
      <c r="E552" s="16"/>
      <c r="F552" s="8"/>
      <c r="G552" s="16"/>
      <c r="H552" s="8"/>
      <c r="I552" s="16"/>
    </row>
    <row r="553" outlineLevel="1">
      <c r="A553" s="9" t="s">
        <v>817</v>
      </c>
      <c r="B553" s="9" t="s">
        <v>780</v>
      </c>
      <c r="C553" s="12" t="s">
        <v>138</v>
      </c>
      <c r="D553" s="14" t="s">
        <v>631</v>
      </c>
      <c r="E553" s="16"/>
      <c r="F553" s="8"/>
      <c r="G553" s="16"/>
      <c r="H553" s="8"/>
      <c r="I553" s="16"/>
    </row>
    <row r="554" outlineLevel="1">
      <c r="A554" s="9" t="s">
        <v>818</v>
      </c>
      <c r="B554" s="9" t="s">
        <v>333</v>
      </c>
      <c r="C554" s="12" t="s">
        <v>192</v>
      </c>
      <c r="D554" s="14" t="s">
        <v>631</v>
      </c>
      <c r="E554" s="16"/>
      <c r="F554" s="8"/>
      <c r="G554" s="16"/>
      <c r="H554" s="8"/>
      <c r="I554" s="16"/>
    </row>
    <row r="555" outlineLevel="1">
      <c r="A555" s="9" t="s">
        <v>610</v>
      </c>
      <c r="B555" s="9" t="s">
        <v>214</v>
      </c>
      <c r="C555" s="12" t="s">
        <v>53</v>
      </c>
      <c r="D555" s="14" t="s">
        <v>631</v>
      </c>
      <c r="E555" s="16"/>
      <c r="F555" s="8"/>
      <c r="G555" s="16"/>
      <c r="H555" s="8"/>
      <c r="I555" s="16"/>
    </row>
    <row r="556" outlineLevel="1">
      <c r="A556" s="9" t="s">
        <v>84</v>
      </c>
      <c r="B556" s="9" t="s">
        <v>819</v>
      </c>
      <c r="C556" s="12" t="s">
        <v>138</v>
      </c>
      <c r="D556" s="14" t="s">
        <v>631</v>
      </c>
      <c r="E556" s="16"/>
      <c r="F556" s="8"/>
      <c r="G556" s="16"/>
      <c r="H556" s="8"/>
      <c r="I556" s="16"/>
    </row>
    <row r="557" outlineLevel="1">
      <c r="A557" s="9" t="s">
        <v>820</v>
      </c>
      <c r="B557" s="9" t="s">
        <v>45</v>
      </c>
      <c r="C557" s="12" t="s">
        <v>93</v>
      </c>
      <c r="D557" s="14" t="s">
        <v>631</v>
      </c>
      <c r="E557" s="16"/>
      <c r="F557" s="8"/>
      <c r="G557" s="16"/>
      <c r="H557" s="8"/>
      <c r="I557" s="16"/>
    </row>
    <row r="558" outlineLevel="1">
      <c r="A558" s="9" t="s">
        <v>821</v>
      </c>
      <c r="B558" s="9" t="s">
        <v>822</v>
      </c>
      <c r="C558" s="12" t="s">
        <v>75</v>
      </c>
      <c r="D558" s="14" t="s">
        <v>631</v>
      </c>
      <c r="E558" s="16"/>
      <c r="F558" s="8"/>
      <c r="G558" s="16"/>
      <c r="H558" s="8"/>
      <c r="I558" s="16"/>
    </row>
    <row r="559" outlineLevel="1">
      <c r="A559" s="9" t="s">
        <v>823</v>
      </c>
      <c r="B559" s="9" t="s">
        <v>824</v>
      </c>
      <c r="C559" s="12" t="s">
        <v>46</v>
      </c>
      <c r="D559" s="14" t="s">
        <v>631</v>
      </c>
      <c r="E559" s="16"/>
      <c r="F559" s="18"/>
      <c r="G559" s="19"/>
      <c r="H559" s="18"/>
      <c r="I559" s="19"/>
    </row>
    <row r="560" outlineLevel="1">
      <c r="A560" s="9" t="s">
        <v>825</v>
      </c>
      <c r="B560" s="9" t="s">
        <v>826</v>
      </c>
      <c r="C560" s="12" t="s">
        <v>93</v>
      </c>
      <c r="D560" s="14" t="s">
        <v>631</v>
      </c>
      <c r="E560" s="16"/>
      <c r="F560" s="8"/>
      <c r="G560" s="16"/>
      <c r="H560" s="8"/>
      <c r="I560" s="16"/>
    </row>
    <row r="561" outlineLevel="1">
      <c r="A561" s="9" t="s">
        <v>827</v>
      </c>
      <c r="B561" s="9" t="s">
        <v>64</v>
      </c>
      <c r="C561" s="12" t="s">
        <v>132</v>
      </c>
      <c r="D561" s="14" t="s">
        <v>631</v>
      </c>
      <c r="E561" s="16"/>
      <c r="F561" s="8"/>
      <c r="G561" s="16"/>
      <c r="H561" s="8"/>
      <c r="I561" s="16"/>
    </row>
    <row r="562" outlineLevel="1">
      <c r="A562" s="9" t="s">
        <v>828</v>
      </c>
      <c r="B562" s="9" t="s">
        <v>301</v>
      </c>
      <c r="C562" s="12" t="s">
        <v>46</v>
      </c>
      <c r="D562" s="14" t="s">
        <v>631</v>
      </c>
      <c r="E562" s="16"/>
      <c r="F562" s="8"/>
      <c r="G562" s="16"/>
      <c r="H562" s="8"/>
      <c r="I562" s="16"/>
    </row>
    <row r="563" outlineLevel="1">
      <c r="A563" s="9" t="s">
        <v>829</v>
      </c>
      <c r="B563" s="9" t="s">
        <v>23</v>
      </c>
      <c r="C563" s="12" t="s">
        <v>46</v>
      </c>
      <c r="D563" s="14" t="s">
        <v>631</v>
      </c>
      <c r="E563" s="16"/>
      <c r="F563" s="8"/>
      <c r="G563" s="16"/>
      <c r="H563" s="8"/>
      <c r="I563" s="16"/>
    </row>
    <row r="564" outlineLevel="1">
      <c r="A564" s="18" t="s">
        <v>830</v>
      </c>
      <c r="B564" s="9" t="s">
        <v>159</v>
      </c>
      <c r="C564" s="12" t="s">
        <v>192</v>
      </c>
      <c r="D564" s="14" t="s">
        <v>631</v>
      </c>
      <c r="E564" s="16"/>
      <c r="F564" s="8"/>
      <c r="G564" s="16"/>
      <c r="H564" s="8"/>
      <c r="I564" s="16"/>
    </row>
    <row r="565" outlineLevel="1">
      <c r="A565" s="18" t="s">
        <v>78</v>
      </c>
      <c r="B565" s="18" t="s">
        <v>831</v>
      </c>
      <c r="C565" s="19" t="s">
        <v>93</v>
      </c>
      <c r="D565" s="14" t="s">
        <v>631</v>
      </c>
      <c r="E565" s="16"/>
      <c r="F565" s="8"/>
      <c r="G565" s="16"/>
      <c r="H565" s="8"/>
      <c r="I565" s="16"/>
    </row>
    <row r="566" outlineLevel="1">
      <c r="A566" s="9" t="s">
        <v>78</v>
      </c>
      <c r="B566" s="18" t="s">
        <v>832</v>
      </c>
      <c r="C566" s="19" t="s">
        <v>192</v>
      </c>
      <c r="D566" s="14" t="s">
        <v>631</v>
      </c>
      <c r="E566" s="16"/>
      <c r="F566" s="8"/>
      <c r="G566" s="16"/>
      <c r="H566" s="8"/>
      <c r="I566" s="16"/>
    </row>
    <row r="567" outlineLevel="1">
      <c r="A567" s="9" t="s">
        <v>833</v>
      </c>
      <c r="B567" s="9" t="s">
        <v>157</v>
      </c>
      <c r="C567" s="12" t="s">
        <v>132</v>
      </c>
      <c r="D567" s="14" t="s">
        <v>631</v>
      </c>
      <c r="E567" s="16"/>
      <c r="F567" s="8"/>
      <c r="G567" s="16"/>
      <c r="H567" s="8"/>
      <c r="I567" s="16"/>
    </row>
    <row r="568" outlineLevel="1">
      <c r="A568" s="9" t="s">
        <v>834</v>
      </c>
      <c r="B568" s="9" t="s">
        <v>721</v>
      </c>
      <c r="C568" s="12" t="s">
        <v>138</v>
      </c>
      <c r="D568" s="14" t="s">
        <v>631</v>
      </c>
      <c r="E568" s="16"/>
      <c r="F568" s="8"/>
      <c r="G568" s="16"/>
      <c r="H568" s="8"/>
      <c r="I568" s="16"/>
    </row>
    <row r="569" outlineLevel="1">
      <c r="A569" s="9" t="s">
        <v>835</v>
      </c>
      <c r="B569" s="9" t="s">
        <v>836</v>
      </c>
      <c r="C569" s="12" t="s">
        <v>186</v>
      </c>
      <c r="D569" s="14" t="s">
        <v>837</v>
      </c>
      <c r="E569" s="16"/>
      <c r="F569" s="8"/>
      <c r="G569" s="16"/>
      <c r="H569" s="8"/>
      <c r="I569" s="16"/>
    </row>
    <row r="570" outlineLevel="1">
      <c r="A570" s="9" t="s">
        <v>838</v>
      </c>
      <c r="B570" s="9" t="s">
        <v>263</v>
      </c>
      <c r="C570" s="12" t="s">
        <v>24</v>
      </c>
      <c r="D570" s="14" t="s">
        <v>837</v>
      </c>
      <c r="E570" s="16"/>
      <c r="F570" s="8"/>
      <c r="G570" s="16"/>
      <c r="H570" s="8"/>
      <c r="I570" s="16"/>
    </row>
    <row r="571" outlineLevel="1">
      <c r="A571" s="18" t="s">
        <v>57</v>
      </c>
      <c r="B571" s="9" t="s">
        <v>529</v>
      </c>
      <c r="C571" s="12" t="s">
        <v>53</v>
      </c>
      <c r="D571" s="14" t="s">
        <v>837</v>
      </c>
      <c r="E571" s="16"/>
      <c r="F571" s="8"/>
      <c r="G571" s="16"/>
      <c r="H571" s="8"/>
      <c r="I571" s="16"/>
    </row>
    <row r="572" outlineLevel="1">
      <c r="A572" s="9" t="s">
        <v>460</v>
      </c>
      <c r="B572" s="18" t="s">
        <v>839</v>
      </c>
      <c r="C572" s="19" t="s">
        <v>65</v>
      </c>
      <c r="D572" s="14" t="s">
        <v>837</v>
      </c>
      <c r="E572" s="16"/>
      <c r="F572" s="8"/>
      <c r="G572" s="16"/>
      <c r="H572" s="8"/>
      <c r="I572" s="16"/>
    </row>
    <row r="573" outlineLevel="1">
      <c r="A573" s="9" t="s">
        <v>460</v>
      </c>
      <c r="B573" s="9" t="s">
        <v>479</v>
      </c>
      <c r="C573" s="12" t="s">
        <v>215</v>
      </c>
      <c r="D573" s="14" t="s">
        <v>837</v>
      </c>
      <c r="E573" s="16"/>
      <c r="F573" s="8"/>
      <c r="G573" s="16"/>
      <c r="H573" s="8"/>
      <c r="I573" s="16"/>
    </row>
    <row r="574" outlineLevel="1">
      <c r="A574" s="9" t="s">
        <v>460</v>
      </c>
      <c r="B574" s="9" t="s">
        <v>840</v>
      </c>
      <c r="C574" s="12" t="s">
        <v>80</v>
      </c>
      <c r="D574" s="14" t="s">
        <v>837</v>
      </c>
      <c r="E574" s="16"/>
      <c r="F574" s="8"/>
      <c r="G574" s="16"/>
      <c r="H574" s="8"/>
      <c r="I574" s="16"/>
    </row>
    <row r="575" outlineLevel="1">
      <c r="A575" s="9" t="s">
        <v>841</v>
      </c>
      <c r="B575" s="9" t="s">
        <v>506</v>
      </c>
      <c r="C575" s="12" t="s">
        <v>93</v>
      </c>
      <c r="D575" s="14" t="s">
        <v>837</v>
      </c>
      <c r="E575" s="16"/>
      <c r="F575" s="8"/>
      <c r="G575" s="16"/>
      <c r="H575" s="8"/>
      <c r="I575" s="16"/>
    </row>
    <row r="576" outlineLevel="1">
      <c r="A576" s="9" t="s">
        <v>636</v>
      </c>
      <c r="B576" s="9" t="s">
        <v>842</v>
      </c>
      <c r="C576" s="12" t="s">
        <v>186</v>
      </c>
      <c r="D576" s="14" t="s">
        <v>837</v>
      </c>
      <c r="E576" s="16"/>
      <c r="F576" s="18"/>
      <c r="G576" s="19"/>
      <c r="H576" s="18"/>
      <c r="I576" s="19"/>
    </row>
    <row r="577" outlineLevel="1">
      <c r="A577" s="9" t="s">
        <v>638</v>
      </c>
      <c r="B577" s="9" t="s">
        <v>506</v>
      </c>
      <c r="C577" s="12" t="s">
        <v>141</v>
      </c>
      <c r="D577" s="14" t="s">
        <v>837</v>
      </c>
      <c r="E577" s="16"/>
      <c r="F577" s="8"/>
      <c r="G577" s="16"/>
      <c r="H577" s="8"/>
      <c r="I577" s="16"/>
    </row>
    <row r="578" outlineLevel="1">
      <c r="A578" s="9" t="s">
        <v>843</v>
      </c>
      <c r="B578" s="9" t="s">
        <v>506</v>
      </c>
      <c r="C578" s="12" t="s">
        <v>46</v>
      </c>
      <c r="D578" s="14" t="s">
        <v>837</v>
      </c>
      <c r="E578" s="16"/>
      <c r="F578" s="8"/>
      <c r="G578" s="16"/>
      <c r="H578" s="8"/>
      <c r="I578" s="16"/>
    </row>
    <row r="579" outlineLevel="1">
      <c r="A579" s="9" t="s">
        <v>844</v>
      </c>
      <c r="B579" s="9" t="s">
        <v>212</v>
      </c>
      <c r="C579" s="12" t="s">
        <v>53</v>
      </c>
      <c r="D579" s="14" t="s">
        <v>837</v>
      </c>
      <c r="E579" s="16"/>
      <c r="F579" s="8"/>
      <c r="G579" s="16"/>
      <c r="H579" s="8"/>
      <c r="I579" s="16"/>
    </row>
    <row r="580" outlineLevel="1">
      <c r="A580" s="9" t="s">
        <v>348</v>
      </c>
      <c r="B580" s="9" t="s">
        <v>845</v>
      </c>
      <c r="C580" s="12" t="s">
        <v>138</v>
      </c>
      <c r="D580" s="14" t="s">
        <v>837</v>
      </c>
      <c r="E580" s="16"/>
      <c r="F580" s="8"/>
      <c r="G580" s="16"/>
      <c r="H580" s="8"/>
      <c r="I580" s="16"/>
    </row>
    <row r="581" outlineLevel="1">
      <c r="A581" s="18" t="s">
        <v>646</v>
      </c>
      <c r="B581" s="9" t="s">
        <v>846</v>
      </c>
      <c r="C581" s="12" t="s">
        <v>70</v>
      </c>
      <c r="D581" s="14" t="s">
        <v>837</v>
      </c>
      <c r="E581" s="16"/>
      <c r="F581" s="8"/>
      <c r="G581" s="16"/>
      <c r="H581" s="8"/>
      <c r="I581" s="16"/>
    </row>
    <row r="582" outlineLevel="1">
      <c r="A582" s="9" t="s">
        <v>847</v>
      </c>
      <c r="B582" s="18" t="s">
        <v>848</v>
      </c>
      <c r="C582" s="19" t="s">
        <v>70</v>
      </c>
      <c r="D582" s="14" t="s">
        <v>837</v>
      </c>
      <c r="E582" s="16"/>
      <c r="F582" s="8"/>
      <c r="G582" s="16"/>
      <c r="H582" s="8"/>
      <c r="I582" s="16"/>
    </row>
    <row r="583" outlineLevel="1">
      <c r="A583" s="9" t="s">
        <v>849</v>
      </c>
      <c r="B583" s="9" t="s">
        <v>850</v>
      </c>
      <c r="C583" s="12" t="s">
        <v>75</v>
      </c>
      <c r="D583" s="14" t="s">
        <v>837</v>
      </c>
      <c r="E583" s="16"/>
      <c r="F583" s="8"/>
      <c r="G583" s="16"/>
      <c r="H583" s="8"/>
      <c r="I583" s="16"/>
    </row>
    <row r="584" outlineLevel="1">
      <c r="A584" s="9" t="s">
        <v>851</v>
      </c>
      <c r="B584" s="9" t="s">
        <v>464</v>
      </c>
      <c r="C584" s="12" t="s">
        <v>132</v>
      </c>
      <c r="D584" s="14" t="s">
        <v>837</v>
      </c>
      <c r="E584" s="16"/>
      <c r="F584" s="8"/>
      <c r="G584" s="16"/>
      <c r="H584" s="8"/>
      <c r="I584" s="16"/>
    </row>
    <row r="585" outlineLevel="1">
      <c r="A585" s="9" t="s">
        <v>852</v>
      </c>
      <c r="B585" s="9" t="s">
        <v>409</v>
      </c>
      <c r="C585" s="12" t="s">
        <v>141</v>
      </c>
      <c r="D585" s="14" t="s">
        <v>837</v>
      </c>
      <c r="E585" s="16"/>
      <c r="F585" s="8"/>
      <c r="G585" s="16"/>
      <c r="H585" s="8"/>
      <c r="I585" s="16"/>
    </row>
    <row r="586" outlineLevel="1">
      <c r="A586" s="9" t="s">
        <v>853</v>
      </c>
      <c r="B586" s="9" t="s">
        <v>854</v>
      </c>
      <c r="C586" s="12" t="s">
        <v>46</v>
      </c>
      <c r="D586" s="14" t="s">
        <v>837</v>
      </c>
      <c r="E586" s="16"/>
      <c r="F586" s="8"/>
      <c r="G586" s="16"/>
      <c r="H586" s="8"/>
      <c r="I586" s="16"/>
    </row>
    <row r="587" outlineLevel="1">
      <c r="A587" s="9" t="s">
        <v>855</v>
      </c>
      <c r="B587" s="9" t="s">
        <v>856</v>
      </c>
      <c r="C587" s="12" t="s">
        <v>70</v>
      </c>
      <c r="D587" s="14" t="s">
        <v>837</v>
      </c>
      <c r="E587" s="16"/>
      <c r="F587" s="8"/>
      <c r="G587" s="16"/>
      <c r="H587" s="8"/>
      <c r="I587" s="16"/>
    </row>
    <row r="588" outlineLevel="1">
      <c r="A588" s="9" t="s">
        <v>857</v>
      </c>
      <c r="B588" s="9" t="s">
        <v>647</v>
      </c>
      <c r="C588" s="12" t="s">
        <v>16</v>
      </c>
      <c r="D588" s="14" t="s">
        <v>837</v>
      </c>
      <c r="E588" s="16"/>
      <c r="F588" s="8"/>
      <c r="G588" s="16"/>
      <c r="H588" s="8"/>
      <c r="I588" s="16"/>
    </row>
    <row r="589" outlineLevel="1">
      <c r="A589" s="9" t="s">
        <v>858</v>
      </c>
      <c r="B589" s="9" t="s">
        <v>676</v>
      </c>
      <c r="C589" s="12" t="s">
        <v>16</v>
      </c>
      <c r="D589" s="14" t="s">
        <v>837</v>
      </c>
      <c r="E589" s="16"/>
      <c r="F589" s="8"/>
      <c r="G589" s="16"/>
      <c r="H589" s="8"/>
      <c r="I589" s="16"/>
    </row>
    <row r="590" outlineLevel="1">
      <c r="A590" s="9" t="s">
        <v>859</v>
      </c>
      <c r="B590" s="9" t="s">
        <v>860</v>
      </c>
      <c r="C590" s="12" t="s">
        <v>93</v>
      </c>
      <c r="D590" s="14" t="s">
        <v>837</v>
      </c>
      <c r="E590" s="16"/>
      <c r="F590" s="8"/>
      <c r="G590" s="16"/>
      <c r="H590" s="8"/>
      <c r="I590" s="16"/>
    </row>
    <row r="591" outlineLevel="1">
      <c r="A591" s="9" t="s">
        <v>224</v>
      </c>
      <c r="B591" s="9" t="s">
        <v>861</v>
      </c>
      <c r="C591" s="12" t="s">
        <v>192</v>
      </c>
      <c r="D591" s="14" t="s">
        <v>837</v>
      </c>
      <c r="E591" s="16"/>
      <c r="F591" s="8"/>
      <c r="G591" s="16"/>
      <c r="H591" s="8"/>
      <c r="I591" s="16"/>
    </row>
    <row r="592" outlineLevel="1">
      <c r="A592" s="9" t="s">
        <v>106</v>
      </c>
      <c r="B592" s="9" t="s">
        <v>197</v>
      </c>
      <c r="C592" s="12" t="s">
        <v>24</v>
      </c>
      <c r="D592" s="14" t="s">
        <v>837</v>
      </c>
      <c r="E592" s="16"/>
      <c r="F592" s="8"/>
      <c r="G592" s="16"/>
      <c r="H592" s="8"/>
      <c r="I592" s="16"/>
    </row>
    <row r="593" outlineLevel="1">
      <c r="A593" s="9" t="s">
        <v>862</v>
      </c>
      <c r="B593" s="9" t="s">
        <v>863</v>
      </c>
      <c r="C593" s="12" t="s">
        <v>186</v>
      </c>
      <c r="D593" s="14" t="s">
        <v>837</v>
      </c>
      <c r="E593" s="16"/>
      <c r="F593" s="8"/>
      <c r="G593" s="16"/>
      <c r="H593" s="8"/>
      <c r="I593" s="16"/>
    </row>
    <row r="594" outlineLevel="1">
      <c r="A594" s="9" t="s">
        <v>864</v>
      </c>
      <c r="B594" s="9" t="s">
        <v>137</v>
      </c>
      <c r="C594" s="12" t="s">
        <v>261</v>
      </c>
      <c r="D594" s="14" t="s">
        <v>837</v>
      </c>
      <c r="E594" s="16"/>
      <c r="F594" s="8"/>
      <c r="G594" s="16"/>
      <c r="H594" s="8"/>
      <c r="I594" s="16"/>
    </row>
    <row r="595" outlineLevel="1">
      <c r="A595" s="9" t="s">
        <v>864</v>
      </c>
      <c r="B595" s="9" t="s">
        <v>865</v>
      </c>
      <c r="C595" s="12" t="s">
        <v>24</v>
      </c>
      <c r="D595" s="14" t="s">
        <v>837</v>
      </c>
      <c r="E595" s="16"/>
      <c r="F595" s="8"/>
      <c r="G595" s="16"/>
      <c r="H595" s="8"/>
      <c r="I595" s="16"/>
    </row>
    <row r="596" outlineLevel="1">
      <c r="A596" s="9" t="s">
        <v>866</v>
      </c>
      <c r="B596" s="9" t="s">
        <v>867</v>
      </c>
      <c r="C596" s="12" t="s">
        <v>46</v>
      </c>
      <c r="D596" s="14" t="s">
        <v>837</v>
      </c>
      <c r="E596" s="16"/>
      <c r="F596" s="8"/>
      <c r="G596" s="16"/>
      <c r="H596" s="8"/>
      <c r="I596" s="16"/>
    </row>
    <row r="597" outlineLevel="1">
      <c r="A597" s="9" t="s">
        <v>868</v>
      </c>
      <c r="B597" s="9" t="s">
        <v>869</v>
      </c>
      <c r="C597" s="12" t="s">
        <v>138</v>
      </c>
      <c r="D597" s="14" t="s">
        <v>837</v>
      </c>
      <c r="E597" s="16"/>
      <c r="F597" s="8"/>
      <c r="G597" s="16"/>
      <c r="H597" s="8"/>
      <c r="I597" s="16"/>
    </row>
    <row r="598" outlineLevel="1">
      <c r="A598" s="9" t="s">
        <v>870</v>
      </c>
      <c r="B598" s="9" t="s">
        <v>871</v>
      </c>
      <c r="C598" s="12" t="s">
        <v>93</v>
      </c>
      <c r="D598" s="14" t="s">
        <v>837</v>
      </c>
      <c r="E598" s="16"/>
      <c r="F598" s="8"/>
      <c r="G598" s="16"/>
      <c r="H598" s="8"/>
      <c r="I598" s="16"/>
    </row>
    <row r="599" outlineLevel="1">
      <c r="A599" s="18" t="s">
        <v>872</v>
      </c>
      <c r="B599" s="9" t="s">
        <v>269</v>
      </c>
      <c r="C599" s="12" t="s">
        <v>132</v>
      </c>
      <c r="D599" s="14" t="s">
        <v>837</v>
      </c>
      <c r="E599" s="16"/>
      <c r="F599" s="8"/>
      <c r="G599" s="16"/>
      <c r="H599" s="8"/>
      <c r="I599" s="16"/>
    </row>
    <row r="600" outlineLevel="1">
      <c r="A600" s="9" t="s">
        <v>873</v>
      </c>
      <c r="B600" s="18" t="s">
        <v>102</v>
      </c>
      <c r="C600" s="19" t="s">
        <v>24</v>
      </c>
      <c r="D600" s="14" t="s">
        <v>837</v>
      </c>
      <c r="E600" s="16"/>
      <c r="F600" s="8"/>
      <c r="G600" s="16"/>
      <c r="H600" s="8"/>
      <c r="I600" s="16"/>
    </row>
    <row r="601" outlineLevel="1">
      <c r="A601" s="18" t="s">
        <v>874</v>
      </c>
      <c r="B601" s="9" t="s">
        <v>491</v>
      </c>
      <c r="C601" s="12" t="s">
        <v>132</v>
      </c>
      <c r="D601" s="14" t="s">
        <v>837</v>
      </c>
      <c r="E601" s="16"/>
      <c r="F601" s="8"/>
      <c r="G601" s="16"/>
      <c r="H601" s="8"/>
      <c r="I601" s="16"/>
    </row>
    <row r="602" outlineLevel="1">
      <c r="A602" s="9" t="s">
        <v>875</v>
      </c>
      <c r="B602" s="18" t="s">
        <v>876</v>
      </c>
      <c r="C602" s="19" t="s">
        <v>59</v>
      </c>
      <c r="D602" s="14" t="s">
        <v>837</v>
      </c>
      <c r="E602" s="16"/>
      <c r="F602" s="8"/>
      <c r="G602" s="16"/>
      <c r="H602" s="8"/>
      <c r="I602" s="16"/>
    </row>
    <row r="603" outlineLevel="1">
      <c r="A603" s="9" t="s">
        <v>877</v>
      </c>
      <c r="B603" s="9" t="s">
        <v>878</v>
      </c>
      <c r="C603" s="12" t="s">
        <v>46</v>
      </c>
      <c r="D603" s="14" t="s">
        <v>837</v>
      </c>
      <c r="E603" s="16"/>
      <c r="F603" s="8"/>
      <c r="G603" s="16"/>
      <c r="H603" s="8"/>
      <c r="I603" s="16"/>
    </row>
    <row r="604" outlineLevel="1">
      <c r="A604" s="9" t="s">
        <v>879</v>
      </c>
      <c r="B604" s="9" t="s">
        <v>98</v>
      </c>
      <c r="C604" s="12" t="s">
        <v>93</v>
      </c>
      <c r="D604" s="14" t="s">
        <v>837</v>
      </c>
      <c r="E604" s="16"/>
      <c r="F604" s="8"/>
      <c r="G604" s="16"/>
      <c r="H604" s="8"/>
      <c r="I604" s="16"/>
    </row>
    <row r="605" outlineLevel="1">
      <c r="A605" s="9" t="s">
        <v>880</v>
      </c>
      <c r="B605" s="9" t="s">
        <v>33</v>
      </c>
      <c r="C605" s="12" t="s">
        <v>38</v>
      </c>
      <c r="D605" s="14" t="s">
        <v>837</v>
      </c>
      <c r="E605" s="16"/>
      <c r="F605" s="8"/>
      <c r="G605" s="16"/>
      <c r="H605" s="8"/>
      <c r="I605" s="16"/>
    </row>
    <row r="606" outlineLevel="1">
      <c r="A606" s="9" t="s">
        <v>61</v>
      </c>
      <c r="B606" s="9" t="s">
        <v>881</v>
      </c>
      <c r="C606" s="12" t="s">
        <v>122</v>
      </c>
      <c r="D606" s="14" t="s">
        <v>837</v>
      </c>
      <c r="E606" s="16"/>
      <c r="F606" s="8"/>
      <c r="G606" s="16"/>
      <c r="H606" s="8"/>
      <c r="I606" s="16"/>
    </row>
    <row r="607" outlineLevel="1">
      <c r="A607" s="9" t="s">
        <v>61</v>
      </c>
      <c r="B607" s="9" t="s">
        <v>882</v>
      </c>
      <c r="C607" s="12" t="s">
        <v>65</v>
      </c>
      <c r="D607" s="14" t="s">
        <v>837</v>
      </c>
      <c r="E607" s="16"/>
      <c r="F607" s="8"/>
      <c r="G607" s="16"/>
      <c r="H607" s="8"/>
      <c r="I607" s="16"/>
    </row>
    <row r="608" outlineLevel="1">
      <c r="A608" s="9" t="s">
        <v>61</v>
      </c>
      <c r="B608" s="9" t="s">
        <v>883</v>
      </c>
      <c r="C608" s="12" t="s">
        <v>186</v>
      </c>
      <c r="D608" s="14" t="s">
        <v>837</v>
      </c>
      <c r="E608" s="16"/>
      <c r="F608" s="8"/>
      <c r="G608" s="16"/>
      <c r="H608" s="8"/>
      <c r="I608" s="16"/>
    </row>
    <row r="609" outlineLevel="1">
      <c r="A609" s="9" t="s">
        <v>61</v>
      </c>
      <c r="B609" s="9" t="s">
        <v>884</v>
      </c>
      <c r="C609" s="12" t="s">
        <v>132</v>
      </c>
      <c r="D609" s="14" t="s">
        <v>837</v>
      </c>
      <c r="E609" s="16"/>
      <c r="F609" s="8"/>
      <c r="G609" s="16"/>
      <c r="H609" s="8"/>
      <c r="I609" s="16"/>
    </row>
    <row r="610" outlineLevel="1">
      <c r="A610" s="9" t="s">
        <v>885</v>
      </c>
      <c r="B610" s="9" t="s">
        <v>886</v>
      </c>
      <c r="C610" s="12" t="s">
        <v>93</v>
      </c>
      <c r="D610" s="14" t="s">
        <v>837</v>
      </c>
      <c r="E610" s="16"/>
      <c r="F610" s="8"/>
      <c r="G610" s="16"/>
      <c r="H610" s="8"/>
      <c r="I610" s="16"/>
    </row>
    <row r="611" outlineLevel="1">
      <c r="A611" s="9" t="s">
        <v>887</v>
      </c>
      <c r="B611" s="9" t="s">
        <v>55</v>
      </c>
      <c r="C611" s="12" t="s">
        <v>149</v>
      </c>
      <c r="D611" s="14" t="s">
        <v>837</v>
      </c>
      <c r="E611" s="16"/>
      <c r="F611" s="8"/>
      <c r="G611" s="16"/>
      <c r="H611" s="8"/>
      <c r="I611" s="16"/>
    </row>
    <row r="612" outlineLevel="1">
      <c r="A612" s="9" t="s">
        <v>888</v>
      </c>
      <c r="B612" s="9" t="s">
        <v>889</v>
      </c>
      <c r="C612" s="12" t="s">
        <v>75</v>
      </c>
      <c r="D612" s="14" t="s">
        <v>837</v>
      </c>
      <c r="E612" s="16"/>
      <c r="F612" s="8"/>
      <c r="G612" s="16"/>
      <c r="H612" s="8"/>
      <c r="I612" s="16"/>
    </row>
    <row r="613" outlineLevel="1">
      <c r="A613" s="9" t="s">
        <v>890</v>
      </c>
      <c r="B613" s="9" t="s">
        <v>804</v>
      </c>
      <c r="C613" s="12" t="s">
        <v>93</v>
      </c>
      <c r="D613" s="14" t="s">
        <v>837</v>
      </c>
      <c r="E613" s="16"/>
      <c r="F613" s="8"/>
      <c r="G613" s="16"/>
      <c r="H613" s="8"/>
      <c r="I613" s="16"/>
    </row>
    <row r="614" outlineLevel="1">
      <c r="A614" s="9" t="s">
        <v>891</v>
      </c>
      <c r="B614" s="9" t="s">
        <v>892</v>
      </c>
      <c r="C614" s="12" t="s">
        <v>93</v>
      </c>
      <c r="D614" s="14" t="s">
        <v>837</v>
      </c>
      <c r="E614" s="16"/>
      <c r="F614" s="8"/>
      <c r="G614" s="16"/>
      <c r="H614" s="8"/>
      <c r="I614" s="16"/>
    </row>
    <row r="615" outlineLevel="1">
      <c r="A615" s="9" t="s">
        <v>893</v>
      </c>
      <c r="B615" s="9" t="s">
        <v>55</v>
      </c>
      <c r="C615" s="12" t="s">
        <v>24</v>
      </c>
      <c r="D615" s="14" t="s">
        <v>837</v>
      </c>
      <c r="E615" s="16"/>
      <c r="F615" s="8"/>
      <c r="G615" s="16"/>
      <c r="H615" s="8"/>
      <c r="I615" s="16"/>
    </row>
    <row r="616" outlineLevel="1">
      <c r="A616" s="9" t="s">
        <v>894</v>
      </c>
      <c r="B616" s="9" t="s">
        <v>231</v>
      </c>
      <c r="C616" s="12" t="s">
        <v>141</v>
      </c>
      <c r="D616" s="14" t="s">
        <v>837</v>
      </c>
      <c r="E616" s="16"/>
      <c r="F616" s="8"/>
      <c r="G616" s="16"/>
      <c r="H616" s="8"/>
      <c r="I616" s="16"/>
    </row>
    <row r="617" outlineLevel="1">
      <c r="A617" s="9" t="s">
        <v>895</v>
      </c>
      <c r="B617" s="9" t="s">
        <v>896</v>
      </c>
      <c r="C617" s="12" t="s">
        <v>38</v>
      </c>
      <c r="D617" s="14" t="s">
        <v>837</v>
      </c>
      <c r="E617" s="16"/>
      <c r="F617" s="8"/>
      <c r="G617" s="16"/>
      <c r="H617" s="8"/>
      <c r="I617" s="16"/>
    </row>
    <row r="618" outlineLevel="1">
      <c r="A618" s="9" t="s">
        <v>897</v>
      </c>
      <c r="B618" s="9" t="s">
        <v>898</v>
      </c>
      <c r="C618" s="12" t="s">
        <v>59</v>
      </c>
      <c r="D618" s="14" t="s">
        <v>837</v>
      </c>
      <c r="E618" s="16"/>
      <c r="F618" s="8"/>
      <c r="G618" s="16"/>
      <c r="H618" s="8"/>
      <c r="I618" s="16"/>
    </row>
    <row r="619" outlineLevel="1">
      <c r="A619" s="9" t="s">
        <v>899</v>
      </c>
      <c r="B619" s="9" t="s">
        <v>900</v>
      </c>
      <c r="C619" s="12" t="s">
        <v>65</v>
      </c>
      <c r="D619" s="14" t="s">
        <v>837</v>
      </c>
      <c r="E619" s="16"/>
      <c r="F619" s="8"/>
      <c r="G619" s="16"/>
      <c r="H619" s="8"/>
      <c r="I619" s="16"/>
    </row>
    <row r="620" outlineLevel="1">
      <c r="A620" s="9" t="s">
        <v>901</v>
      </c>
      <c r="B620" s="9" t="s">
        <v>52</v>
      </c>
      <c r="C620" s="12" t="s">
        <v>75</v>
      </c>
      <c r="D620" s="14" t="s">
        <v>837</v>
      </c>
      <c r="E620" s="16"/>
      <c r="F620" s="8"/>
      <c r="G620" s="16"/>
      <c r="H620" s="8"/>
      <c r="I620" s="16"/>
    </row>
    <row r="621" outlineLevel="1">
      <c r="A621" s="9" t="s">
        <v>902</v>
      </c>
      <c r="B621" s="9" t="s">
        <v>903</v>
      </c>
      <c r="C621" s="12" t="s">
        <v>192</v>
      </c>
      <c r="D621" s="14" t="s">
        <v>837</v>
      </c>
      <c r="E621" s="16"/>
      <c r="F621" s="8"/>
      <c r="G621" s="16"/>
      <c r="H621" s="8"/>
      <c r="I621" s="16"/>
    </row>
    <row r="622" outlineLevel="1">
      <c r="A622" s="9" t="s">
        <v>904</v>
      </c>
      <c r="B622" s="9" t="s">
        <v>905</v>
      </c>
      <c r="C622" s="12" t="s">
        <v>59</v>
      </c>
      <c r="D622" s="14" t="s">
        <v>837</v>
      </c>
      <c r="E622" s="16"/>
      <c r="F622" s="8"/>
      <c r="G622" s="16"/>
      <c r="H622" s="8"/>
      <c r="I622" s="16"/>
    </row>
    <row r="623" outlineLevel="1">
      <c r="A623" s="9" t="s">
        <v>906</v>
      </c>
      <c r="B623" s="9" t="s">
        <v>546</v>
      </c>
      <c r="C623" s="12" t="s">
        <v>149</v>
      </c>
      <c r="D623" s="14" t="s">
        <v>837</v>
      </c>
      <c r="E623" s="16"/>
      <c r="F623" s="8"/>
      <c r="G623" s="16"/>
      <c r="H623" s="8"/>
      <c r="I623" s="16"/>
    </row>
    <row r="624" outlineLevel="1">
      <c r="A624" s="9" t="s">
        <v>907</v>
      </c>
      <c r="B624" s="9" t="s">
        <v>908</v>
      </c>
      <c r="C624" s="12" t="s">
        <v>192</v>
      </c>
      <c r="D624" s="14" t="s">
        <v>837</v>
      </c>
      <c r="E624" s="16"/>
      <c r="F624" s="8"/>
      <c r="G624" s="16"/>
      <c r="H624" s="8"/>
      <c r="I624" s="16"/>
    </row>
    <row r="625" outlineLevel="1">
      <c r="A625" s="9" t="s">
        <v>909</v>
      </c>
      <c r="B625" s="9" t="s">
        <v>33</v>
      </c>
      <c r="C625" s="12" t="s">
        <v>149</v>
      </c>
      <c r="D625" s="14" t="s">
        <v>837</v>
      </c>
      <c r="E625" s="16"/>
      <c r="F625" s="8"/>
      <c r="G625" s="16"/>
      <c r="H625" s="8"/>
      <c r="I625" s="16"/>
    </row>
    <row r="626" outlineLevel="1">
      <c r="A626" s="9" t="s">
        <v>910</v>
      </c>
      <c r="B626" s="9" t="s">
        <v>181</v>
      </c>
      <c r="C626" s="12" t="s">
        <v>132</v>
      </c>
      <c r="D626" s="14" t="s">
        <v>837</v>
      </c>
      <c r="E626" s="16"/>
      <c r="F626" s="8"/>
      <c r="G626" s="16"/>
      <c r="H626" s="8"/>
      <c r="I626" s="16"/>
    </row>
    <row r="627" outlineLevel="1">
      <c r="A627" s="18" t="s">
        <v>911</v>
      </c>
      <c r="B627" s="9" t="s">
        <v>912</v>
      </c>
      <c r="C627" s="12" t="s">
        <v>75</v>
      </c>
      <c r="D627" s="14" t="s">
        <v>837</v>
      </c>
      <c r="E627" s="16"/>
      <c r="F627" s="8"/>
      <c r="G627" s="16"/>
      <c r="H627" s="8"/>
      <c r="I627" s="16"/>
    </row>
    <row r="628" outlineLevel="1">
      <c r="A628" s="9" t="s">
        <v>913</v>
      </c>
      <c r="B628" s="18" t="s">
        <v>914</v>
      </c>
      <c r="C628" s="19" t="s">
        <v>186</v>
      </c>
      <c r="D628" s="14" t="s">
        <v>837</v>
      </c>
      <c r="E628" s="16"/>
      <c r="F628" s="8"/>
      <c r="G628" s="16"/>
      <c r="H628" s="8"/>
      <c r="I628" s="16"/>
    </row>
    <row r="629" outlineLevel="1">
      <c r="A629" s="9" t="s">
        <v>915</v>
      </c>
      <c r="B629" s="9" t="s">
        <v>506</v>
      </c>
      <c r="C629" s="12" t="s">
        <v>70</v>
      </c>
      <c r="D629" s="14" t="s">
        <v>837</v>
      </c>
      <c r="E629" s="16"/>
      <c r="F629" s="8"/>
      <c r="G629" s="16"/>
      <c r="H629" s="8"/>
      <c r="I629" s="16"/>
    </row>
    <row r="630" outlineLevel="1">
      <c r="A630" s="9" t="s">
        <v>916</v>
      </c>
      <c r="B630" s="9" t="s">
        <v>917</v>
      </c>
      <c r="C630" s="12" t="s">
        <v>70</v>
      </c>
      <c r="D630" s="14" t="s">
        <v>837</v>
      </c>
      <c r="E630" s="16"/>
      <c r="F630" s="8"/>
      <c r="G630" s="16"/>
      <c r="H630" s="8"/>
      <c r="I630" s="16"/>
    </row>
    <row r="631" outlineLevel="1">
      <c r="A631" s="9" t="s">
        <v>918</v>
      </c>
      <c r="B631" s="9" t="s">
        <v>214</v>
      </c>
      <c r="C631" s="12" t="s">
        <v>93</v>
      </c>
      <c r="D631" s="14" t="s">
        <v>837</v>
      </c>
      <c r="E631" s="16"/>
      <c r="F631" s="8"/>
      <c r="G631" s="16"/>
      <c r="H631" s="8"/>
      <c r="I631" s="16"/>
    </row>
    <row r="632" outlineLevel="1">
      <c r="A632" s="9" t="s">
        <v>919</v>
      </c>
      <c r="B632" s="9" t="s">
        <v>480</v>
      </c>
      <c r="C632" s="12" t="s">
        <v>132</v>
      </c>
      <c r="D632" s="14" t="s">
        <v>837</v>
      </c>
      <c r="E632" s="16"/>
      <c r="F632" s="8"/>
      <c r="G632" s="16"/>
      <c r="H632" s="8"/>
      <c r="I632" s="16"/>
    </row>
    <row r="633" outlineLevel="1">
      <c r="A633" s="18" t="s">
        <v>689</v>
      </c>
      <c r="B633" s="9" t="s">
        <v>920</v>
      </c>
      <c r="C633" s="12" t="s">
        <v>93</v>
      </c>
      <c r="D633" s="14" t="s">
        <v>837</v>
      </c>
      <c r="E633" s="16"/>
      <c r="F633" s="8"/>
      <c r="G633" s="16"/>
      <c r="H633" s="8"/>
      <c r="I633" s="16"/>
    </row>
    <row r="634" outlineLevel="1">
      <c r="A634" s="9" t="s">
        <v>921</v>
      </c>
      <c r="B634" s="18" t="s">
        <v>922</v>
      </c>
      <c r="C634" s="19" t="s">
        <v>75</v>
      </c>
      <c r="D634" s="14" t="s">
        <v>837</v>
      </c>
      <c r="E634" s="16"/>
      <c r="F634" s="8"/>
      <c r="G634" s="16"/>
      <c r="H634" s="8"/>
      <c r="I634" s="16"/>
    </row>
    <row r="635" outlineLevel="1">
      <c r="A635" s="9" t="s">
        <v>923</v>
      </c>
      <c r="B635" s="9" t="s">
        <v>204</v>
      </c>
      <c r="C635" s="12" t="s">
        <v>16</v>
      </c>
      <c r="D635" s="14" t="s">
        <v>837</v>
      </c>
      <c r="E635" s="16"/>
      <c r="F635" s="18"/>
      <c r="G635" s="19"/>
      <c r="H635" s="18"/>
      <c r="I635" s="19"/>
    </row>
    <row r="636" outlineLevel="1">
      <c r="A636" s="9" t="s">
        <v>924</v>
      </c>
      <c r="B636" s="9" t="s">
        <v>925</v>
      </c>
      <c r="C636" s="12" t="s">
        <v>192</v>
      </c>
      <c r="D636" s="14" t="s">
        <v>837</v>
      </c>
      <c r="E636" s="16"/>
      <c r="F636" s="8"/>
      <c r="G636" s="16"/>
      <c r="H636" s="8"/>
      <c r="I636" s="16"/>
    </row>
    <row r="637" outlineLevel="1">
      <c r="A637" s="9" t="s">
        <v>926</v>
      </c>
      <c r="B637" s="9" t="s">
        <v>203</v>
      </c>
      <c r="C637" s="12" t="s">
        <v>141</v>
      </c>
      <c r="D637" s="14" t="s">
        <v>837</v>
      </c>
      <c r="E637" s="16"/>
      <c r="F637" s="8"/>
      <c r="G637" s="16"/>
      <c r="H637" s="8"/>
      <c r="I637" s="16"/>
    </row>
    <row r="638" outlineLevel="1">
      <c r="A638" s="9" t="s">
        <v>927</v>
      </c>
      <c r="B638" s="9" t="s">
        <v>471</v>
      </c>
      <c r="C638" s="12" t="s">
        <v>132</v>
      </c>
      <c r="D638" s="14" t="s">
        <v>837</v>
      </c>
      <c r="E638" s="16"/>
      <c r="F638" s="8"/>
      <c r="G638" s="16"/>
      <c r="H638" s="8"/>
      <c r="I638" s="16"/>
    </row>
    <row r="639" outlineLevel="1">
      <c r="A639" s="9" t="s">
        <v>268</v>
      </c>
      <c r="B639" s="9" t="s">
        <v>928</v>
      </c>
      <c r="C639" s="12" t="s">
        <v>149</v>
      </c>
      <c r="D639" s="14" t="s">
        <v>837</v>
      </c>
      <c r="E639" s="16"/>
      <c r="F639" s="8"/>
      <c r="G639" s="16"/>
      <c r="H639" s="8"/>
      <c r="I639" s="16"/>
    </row>
    <row r="640" outlineLevel="1">
      <c r="A640" s="9" t="s">
        <v>929</v>
      </c>
      <c r="B640" s="9" t="s">
        <v>930</v>
      </c>
      <c r="C640" s="12" t="s">
        <v>215</v>
      </c>
      <c r="D640" s="14" t="s">
        <v>837</v>
      </c>
      <c r="E640" s="16"/>
      <c r="F640" s="8"/>
      <c r="G640" s="16"/>
      <c r="H640" s="8"/>
      <c r="I640" s="16"/>
    </row>
    <row r="641" outlineLevel="1">
      <c r="A641" s="9" t="s">
        <v>931</v>
      </c>
      <c r="B641" s="9" t="s">
        <v>383</v>
      </c>
      <c r="C641" s="12" t="s">
        <v>138</v>
      </c>
      <c r="D641" s="14" t="s">
        <v>837</v>
      </c>
      <c r="E641" s="16"/>
      <c r="F641" s="8"/>
      <c r="G641" s="16"/>
      <c r="H641" s="8"/>
      <c r="I641" s="16"/>
    </row>
    <row r="642" outlineLevel="1">
      <c r="A642" s="9" t="s">
        <v>932</v>
      </c>
      <c r="B642" s="9" t="s">
        <v>871</v>
      </c>
      <c r="C642" s="12" t="s">
        <v>186</v>
      </c>
      <c r="D642" s="14" t="s">
        <v>837</v>
      </c>
      <c r="E642" s="16"/>
      <c r="F642" s="18"/>
      <c r="G642" s="19"/>
      <c r="H642" s="18"/>
      <c r="I642" s="19"/>
    </row>
    <row r="643" outlineLevel="1">
      <c r="A643" s="9" t="s">
        <v>933</v>
      </c>
      <c r="B643" s="9" t="s">
        <v>92</v>
      </c>
      <c r="C643" s="12" t="s">
        <v>122</v>
      </c>
      <c r="D643" s="14" t="s">
        <v>837</v>
      </c>
      <c r="E643" s="16"/>
      <c r="F643" s="8"/>
      <c r="G643" s="16"/>
      <c r="H643" s="8"/>
      <c r="I643" s="16"/>
    </row>
    <row r="644" outlineLevel="1">
      <c r="A644" s="9" t="s">
        <v>934</v>
      </c>
      <c r="B644" s="9" t="s">
        <v>381</v>
      </c>
      <c r="C644" s="12" t="s">
        <v>65</v>
      </c>
      <c r="D644" s="14" t="s">
        <v>837</v>
      </c>
      <c r="E644" s="16"/>
      <c r="F644" s="18"/>
      <c r="G644" s="19"/>
      <c r="H644" s="18"/>
      <c r="I644" s="19"/>
    </row>
    <row r="645" outlineLevel="1">
      <c r="A645" s="9" t="s">
        <v>89</v>
      </c>
      <c r="B645" s="9" t="s">
        <v>212</v>
      </c>
      <c r="C645" s="12" t="s">
        <v>80</v>
      </c>
      <c r="D645" s="14" t="s">
        <v>837</v>
      </c>
      <c r="E645" s="16"/>
      <c r="F645" s="8"/>
      <c r="G645" s="16"/>
      <c r="H645" s="8"/>
      <c r="I645" s="16"/>
    </row>
    <row r="646" outlineLevel="1">
      <c r="A646" s="9" t="s">
        <v>935</v>
      </c>
      <c r="B646" s="9" t="s">
        <v>936</v>
      </c>
      <c r="C646" s="12" t="s">
        <v>149</v>
      </c>
      <c r="D646" s="14" t="s">
        <v>837</v>
      </c>
      <c r="E646" s="16"/>
      <c r="F646" s="8"/>
      <c r="G646" s="16"/>
      <c r="H646" s="8"/>
      <c r="I646" s="16"/>
    </row>
    <row r="647" outlineLevel="1">
      <c r="A647" s="9" t="s">
        <v>937</v>
      </c>
      <c r="B647" s="9" t="s">
        <v>938</v>
      </c>
      <c r="C647" s="12" t="s">
        <v>149</v>
      </c>
      <c r="D647" s="14" t="s">
        <v>837</v>
      </c>
      <c r="E647" s="16"/>
      <c r="F647" s="8"/>
      <c r="G647" s="16"/>
      <c r="H647" s="8"/>
      <c r="I647" s="16"/>
    </row>
    <row r="648" outlineLevel="1">
      <c r="A648" s="9" t="s">
        <v>533</v>
      </c>
      <c r="B648" s="9" t="s">
        <v>263</v>
      </c>
      <c r="C648" s="12" t="s">
        <v>186</v>
      </c>
      <c r="D648" s="14" t="s">
        <v>837</v>
      </c>
      <c r="E648" s="16"/>
      <c r="F648" s="8"/>
      <c r="G648" s="16"/>
      <c r="H648" s="8"/>
      <c r="I648" s="16"/>
    </row>
    <row r="649" outlineLevel="1">
      <c r="A649" s="9" t="s">
        <v>537</v>
      </c>
      <c r="B649" s="9" t="s">
        <v>939</v>
      </c>
      <c r="C649" s="12" t="s">
        <v>149</v>
      </c>
      <c r="D649" s="14" t="s">
        <v>837</v>
      </c>
      <c r="E649" s="16"/>
      <c r="F649" s="18"/>
      <c r="G649" s="19"/>
      <c r="H649" s="18"/>
      <c r="I649" s="19"/>
    </row>
    <row r="650" outlineLevel="1">
      <c r="A650" s="9" t="s">
        <v>940</v>
      </c>
      <c r="B650" s="9" t="s">
        <v>212</v>
      </c>
      <c r="C650" s="12" t="s">
        <v>59</v>
      </c>
      <c r="D650" s="14" t="s">
        <v>837</v>
      </c>
      <c r="E650" s="16"/>
      <c r="F650" s="8"/>
      <c r="G650" s="16"/>
      <c r="H650" s="8"/>
      <c r="I650" s="16"/>
    </row>
    <row r="651" outlineLevel="1">
      <c r="A651" s="9" t="s">
        <v>941</v>
      </c>
      <c r="B651" s="9" t="s">
        <v>942</v>
      </c>
      <c r="C651" s="12" t="s">
        <v>138</v>
      </c>
      <c r="D651" s="14" t="s">
        <v>837</v>
      </c>
      <c r="E651" s="16"/>
      <c r="F651" s="8"/>
      <c r="G651" s="16"/>
      <c r="H651" s="8"/>
      <c r="I651" s="16"/>
    </row>
    <row r="652" outlineLevel="1">
      <c r="A652" s="9" t="s">
        <v>715</v>
      </c>
      <c r="B652" s="9" t="s">
        <v>943</v>
      </c>
      <c r="C652" s="12" t="s">
        <v>65</v>
      </c>
      <c r="D652" s="14" t="s">
        <v>837</v>
      </c>
      <c r="E652" s="16"/>
      <c r="F652" s="8"/>
      <c r="G652" s="16"/>
      <c r="H652" s="8"/>
      <c r="I652" s="16"/>
    </row>
    <row r="653" outlineLevel="1">
      <c r="A653" s="9" t="s">
        <v>715</v>
      </c>
      <c r="B653" s="9" t="s">
        <v>865</v>
      </c>
      <c r="C653" s="12" t="s">
        <v>75</v>
      </c>
      <c r="D653" s="14" t="s">
        <v>837</v>
      </c>
      <c r="E653" s="16"/>
      <c r="F653" s="8"/>
      <c r="G653" s="16"/>
      <c r="H653" s="8"/>
      <c r="I653" s="16"/>
    </row>
    <row r="654" outlineLevel="1">
      <c r="A654" s="9" t="s">
        <v>944</v>
      </c>
      <c r="B654" s="9" t="s">
        <v>260</v>
      </c>
      <c r="C654" s="12" t="s">
        <v>75</v>
      </c>
      <c r="D654" s="14" t="s">
        <v>837</v>
      </c>
      <c r="E654" s="16"/>
      <c r="F654" s="8"/>
      <c r="G654" s="16"/>
      <c r="H654" s="8"/>
      <c r="I654" s="16"/>
    </row>
    <row r="655" outlineLevel="1">
      <c r="A655" s="9" t="s">
        <v>945</v>
      </c>
      <c r="B655" s="9" t="s">
        <v>460</v>
      </c>
      <c r="C655" s="12" t="s">
        <v>65</v>
      </c>
      <c r="D655" s="14" t="s">
        <v>837</v>
      </c>
      <c r="E655" s="16"/>
      <c r="F655" s="8"/>
      <c r="G655" s="16"/>
      <c r="H655" s="8"/>
      <c r="I655" s="16"/>
    </row>
    <row r="656" outlineLevel="1">
      <c r="A656" s="9" t="s">
        <v>208</v>
      </c>
      <c r="B656" s="9" t="s">
        <v>136</v>
      </c>
      <c r="C656" s="12" t="s">
        <v>80</v>
      </c>
      <c r="D656" s="14" t="s">
        <v>837</v>
      </c>
      <c r="E656" s="16"/>
      <c r="F656" s="8"/>
      <c r="G656" s="16"/>
      <c r="H656" s="8"/>
      <c r="I656" s="16"/>
    </row>
    <row r="657" outlineLevel="1">
      <c r="A657" s="9" t="s">
        <v>946</v>
      </c>
      <c r="B657" s="9" t="s">
        <v>140</v>
      </c>
      <c r="C657" s="12" t="s">
        <v>192</v>
      </c>
      <c r="D657" s="14" t="s">
        <v>837</v>
      </c>
      <c r="E657" s="16"/>
      <c r="F657" s="8"/>
      <c r="G657" s="16"/>
      <c r="H657" s="8"/>
      <c r="I657" s="16"/>
    </row>
    <row r="658" outlineLevel="1">
      <c r="A658" s="18" t="s">
        <v>260</v>
      </c>
      <c r="B658" s="9" t="s">
        <v>947</v>
      </c>
      <c r="C658" s="12" t="s">
        <v>149</v>
      </c>
      <c r="D658" s="14" t="s">
        <v>837</v>
      </c>
      <c r="E658" s="16"/>
      <c r="F658" s="8"/>
      <c r="G658" s="16"/>
      <c r="H658" s="8"/>
      <c r="I658" s="16"/>
    </row>
    <row r="659" outlineLevel="1">
      <c r="A659" s="9" t="s">
        <v>389</v>
      </c>
      <c r="B659" s="18" t="s">
        <v>506</v>
      </c>
      <c r="C659" s="19" t="s">
        <v>70</v>
      </c>
      <c r="D659" s="14" t="s">
        <v>837</v>
      </c>
      <c r="E659" s="16"/>
      <c r="F659" s="8"/>
      <c r="G659" s="16"/>
      <c r="H659" s="8"/>
      <c r="I659" s="16"/>
    </row>
    <row r="660" outlineLevel="1">
      <c r="A660" s="9" t="s">
        <v>389</v>
      </c>
      <c r="B660" s="9" t="s">
        <v>119</v>
      </c>
      <c r="C660" s="12" t="s">
        <v>93</v>
      </c>
      <c r="D660" s="14" t="s">
        <v>837</v>
      </c>
      <c r="E660" s="16"/>
      <c r="F660" s="18"/>
      <c r="G660" s="19"/>
      <c r="H660" s="18"/>
      <c r="I660" s="19"/>
    </row>
    <row r="661" outlineLevel="1">
      <c r="A661" s="18" t="s">
        <v>389</v>
      </c>
      <c r="B661" s="9" t="s">
        <v>269</v>
      </c>
      <c r="C661" s="12" t="s">
        <v>186</v>
      </c>
      <c r="D661" s="14" t="s">
        <v>837</v>
      </c>
      <c r="E661" s="16"/>
      <c r="F661" s="8"/>
      <c r="G661" s="16"/>
      <c r="H661" s="8"/>
      <c r="I661" s="16"/>
    </row>
    <row r="662" outlineLevel="1">
      <c r="A662" s="9" t="s">
        <v>389</v>
      </c>
      <c r="B662" s="18" t="s">
        <v>948</v>
      </c>
      <c r="C662" s="19" t="s">
        <v>192</v>
      </c>
      <c r="D662" s="14" t="s">
        <v>837</v>
      </c>
      <c r="E662" s="16"/>
      <c r="F662" s="8"/>
      <c r="G662" s="16"/>
      <c r="H662" s="8"/>
      <c r="I662" s="16"/>
    </row>
    <row r="663" outlineLevel="1">
      <c r="A663" s="9" t="s">
        <v>23</v>
      </c>
      <c r="B663" s="9" t="s">
        <v>949</v>
      </c>
      <c r="C663" s="12" t="s">
        <v>149</v>
      </c>
      <c r="D663" s="14" t="s">
        <v>837</v>
      </c>
      <c r="E663" s="16"/>
      <c r="F663" s="8"/>
      <c r="G663" s="16"/>
      <c r="H663" s="8"/>
      <c r="I663" s="16"/>
    </row>
    <row r="664" outlineLevel="1">
      <c r="A664" s="9" t="s">
        <v>950</v>
      </c>
      <c r="B664" s="9" t="s">
        <v>800</v>
      </c>
      <c r="C664" s="12" t="s">
        <v>65</v>
      </c>
      <c r="D664" s="14" t="s">
        <v>837</v>
      </c>
      <c r="E664" s="16"/>
      <c r="F664" s="8"/>
      <c r="G664" s="16"/>
      <c r="H664" s="8"/>
      <c r="I664" s="16"/>
    </row>
    <row r="665" outlineLevel="1">
      <c r="A665" s="9" t="s">
        <v>951</v>
      </c>
      <c r="B665" s="9" t="s">
        <v>52</v>
      </c>
      <c r="C665" s="12" t="s">
        <v>38</v>
      </c>
      <c r="D665" s="14" t="s">
        <v>837</v>
      </c>
      <c r="E665" s="16"/>
      <c r="F665" s="8"/>
      <c r="G665" s="16"/>
      <c r="H665" s="8"/>
      <c r="I665" s="16"/>
    </row>
    <row r="666" outlineLevel="1">
      <c r="A666" s="9" t="s">
        <v>284</v>
      </c>
      <c r="B666" s="9" t="s">
        <v>952</v>
      </c>
      <c r="C666" s="12" t="s">
        <v>122</v>
      </c>
      <c r="D666" s="14" t="s">
        <v>837</v>
      </c>
      <c r="E666" s="16"/>
      <c r="F666" s="8"/>
      <c r="G666" s="16"/>
      <c r="H666" s="8"/>
      <c r="I666" s="16"/>
    </row>
    <row r="667" outlineLevel="1">
      <c r="A667" s="9" t="s">
        <v>284</v>
      </c>
      <c r="B667" s="9" t="s">
        <v>953</v>
      </c>
      <c r="C667" s="12" t="s">
        <v>122</v>
      </c>
      <c r="D667" s="14" t="s">
        <v>837</v>
      </c>
      <c r="E667" s="16"/>
      <c r="F667" s="8"/>
      <c r="G667" s="16"/>
      <c r="H667" s="8"/>
      <c r="I667" s="16"/>
    </row>
    <row r="668" outlineLevel="1">
      <c r="A668" s="9" t="s">
        <v>954</v>
      </c>
      <c r="B668" s="9" t="s">
        <v>176</v>
      </c>
      <c r="C668" s="12" t="s">
        <v>53</v>
      </c>
      <c r="D668" s="14" t="s">
        <v>837</v>
      </c>
      <c r="E668" s="16"/>
      <c r="F668" s="8"/>
      <c r="G668" s="16"/>
      <c r="H668" s="8"/>
      <c r="I668" s="16"/>
    </row>
    <row r="669" outlineLevel="1">
      <c r="A669" s="9" t="s">
        <v>732</v>
      </c>
      <c r="B669" s="9" t="s">
        <v>129</v>
      </c>
      <c r="C669" s="12" t="s">
        <v>186</v>
      </c>
      <c r="D669" s="14" t="s">
        <v>837</v>
      </c>
      <c r="E669" s="16"/>
      <c r="F669" s="8"/>
      <c r="G669" s="16"/>
      <c r="H669" s="8"/>
      <c r="I669" s="16"/>
    </row>
    <row r="670" outlineLevel="1">
      <c r="A670" s="9" t="s">
        <v>955</v>
      </c>
      <c r="B670" s="9" t="s">
        <v>800</v>
      </c>
      <c r="C670" s="12" t="s">
        <v>122</v>
      </c>
      <c r="D670" s="14" t="s">
        <v>837</v>
      </c>
      <c r="E670" s="16"/>
      <c r="F670" s="8"/>
      <c r="G670" s="16"/>
      <c r="H670" s="8"/>
      <c r="I670" s="16"/>
    </row>
    <row r="671" outlineLevel="1">
      <c r="A671" s="9" t="s">
        <v>956</v>
      </c>
      <c r="B671" s="9" t="s">
        <v>957</v>
      </c>
      <c r="C671" s="12" t="s">
        <v>93</v>
      </c>
      <c r="D671" s="14" t="s">
        <v>837</v>
      </c>
      <c r="E671" s="16"/>
      <c r="F671" s="8"/>
      <c r="G671" s="16"/>
      <c r="H671" s="8"/>
      <c r="I671" s="16"/>
    </row>
    <row r="672" outlineLevel="1">
      <c r="A672" s="9" t="s">
        <v>958</v>
      </c>
      <c r="B672" s="9" t="s">
        <v>726</v>
      </c>
      <c r="C672" s="12" t="s">
        <v>59</v>
      </c>
      <c r="D672" s="14" t="s">
        <v>837</v>
      </c>
      <c r="E672" s="16"/>
      <c r="F672" s="8"/>
      <c r="G672" s="16"/>
      <c r="H672" s="8"/>
      <c r="I672" s="16"/>
    </row>
    <row r="673" outlineLevel="1">
      <c r="A673" s="9" t="s">
        <v>959</v>
      </c>
      <c r="B673" s="9" t="s">
        <v>299</v>
      </c>
      <c r="C673" s="12" t="s">
        <v>65</v>
      </c>
      <c r="D673" s="14" t="s">
        <v>837</v>
      </c>
      <c r="E673" s="16"/>
      <c r="F673" s="8"/>
      <c r="G673" s="16"/>
      <c r="H673" s="8"/>
      <c r="I673" s="16"/>
    </row>
    <row r="674" outlineLevel="1">
      <c r="A674" s="9" t="s">
        <v>960</v>
      </c>
      <c r="B674" s="9" t="s">
        <v>961</v>
      </c>
      <c r="C674" s="12" t="s">
        <v>149</v>
      </c>
      <c r="D674" s="14" t="s">
        <v>837</v>
      </c>
      <c r="E674" s="16"/>
      <c r="F674" s="8"/>
      <c r="G674" s="16"/>
      <c r="H674" s="8"/>
      <c r="I674" s="16"/>
    </row>
    <row r="675" outlineLevel="1">
      <c r="A675" s="9" t="s">
        <v>962</v>
      </c>
      <c r="B675" s="9" t="s">
        <v>333</v>
      </c>
      <c r="C675" s="12" t="s">
        <v>192</v>
      </c>
      <c r="D675" s="14" t="s">
        <v>837</v>
      </c>
      <c r="E675" s="16"/>
      <c r="F675" s="8"/>
      <c r="G675" s="16"/>
      <c r="H675" s="8"/>
      <c r="I675" s="16"/>
    </row>
    <row r="676" outlineLevel="1">
      <c r="A676" s="9" t="s">
        <v>963</v>
      </c>
      <c r="B676" s="9" t="s">
        <v>822</v>
      </c>
      <c r="C676" s="12" t="s">
        <v>70</v>
      </c>
      <c r="D676" s="14" t="s">
        <v>837</v>
      </c>
      <c r="E676" s="16"/>
      <c r="F676" s="8"/>
      <c r="G676" s="16"/>
      <c r="H676" s="8"/>
      <c r="I676" s="16"/>
    </row>
    <row r="677" outlineLevel="1">
      <c r="A677" s="9" t="s">
        <v>524</v>
      </c>
      <c r="B677" s="9" t="s">
        <v>964</v>
      </c>
      <c r="C677" s="12" t="s">
        <v>138</v>
      </c>
      <c r="D677" s="14" t="s">
        <v>837</v>
      </c>
      <c r="E677" s="16"/>
      <c r="F677" s="8"/>
      <c r="G677" s="16"/>
      <c r="H677" s="8"/>
      <c r="I677" s="16"/>
    </row>
    <row r="678" outlineLevel="1">
      <c r="A678" s="9" t="s">
        <v>42</v>
      </c>
      <c r="B678" s="9" t="s">
        <v>965</v>
      </c>
      <c r="C678" s="12" t="s">
        <v>65</v>
      </c>
      <c r="D678" s="14" t="s">
        <v>837</v>
      </c>
      <c r="E678" s="16"/>
      <c r="F678" s="8"/>
      <c r="G678" s="16"/>
      <c r="H678" s="8"/>
      <c r="I678" s="16"/>
    </row>
    <row r="679" outlineLevel="1">
      <c r="A679" s="9" t="s">
        <v>966</v>
      </c>
      <c r="B679" s="9" t="s">
        <v>357</v>
      </c>
      <c r="C679" s="12" t="s">
        <v>46</v>
      </c>
      <c r="D679" s="14" t="s">
        <v>837</v>
      </c>
      <c r="E679" s="16"/>
      <c r="F679" s="8"/>
      <c r="G679" s="16"/>
      <c r="H679" s="8"/>
      <c r="I679" s="16"/>
    </row>
    <row r="680" outlineLevel="1">
      <c r="A680" s="9" t="s">
        <v>94</v>
      </c>
      <c r="B680" s="9" t="s">
        <v>100</v>
      </c>
      <c r="C680" s="12" t="s">
        <v>75</v>
      </c>
      <c r="D680" s="14" t="s">
        <v>837</v>
      </c>
      <c r="E680" s="16"/>
      <c r="F680" s="8"/>
      <c r="G680" s="16"/>
      <c r="H680" s="8"/>
      <c r="I680" s="16"/>
    </row>
    <row r="681" outlineLevel="1">
      <c r="A681" s="9" t="s">
        <v>967</v>
      </c>
      <c r="B681" s="9" t="s">
        <v>183</v>
      </c>
      <c r="C681" s="12" t="s">
        <v>75</v>
      </c>
      <c r="D681" s="14" t="s">
        <v>837</v>
      </c>
      <c r="E681" s="16"/>
      <c r="F681" s="8"/>
      <c r="G681" s="16"/>
      <c r="H681" s="8"/>
      <c r="I681" s="16"/>
    </row>
    <row r="682" outlineLevel="1">
      <c r="A682" s="9" t="s">
        <v>968</v>
      </c>
      <c r="B682" s="9" t="s">
        <v>121</v>
      </c>
      <c r="C682" s="12" t="s">
        <v>141</v>
      </c>
      <c r="D682" s="14" t="s">
        <v>837</v>
      </c>
      <c r="E682" s="16"/>
      <c r="F682" s="8"/>
      <c r="G682" s="16"/>
      <c r="H682" s="8"/>
      <c r="I682" s="16"/>
    </row>
    <row r="683" outlineLevel="1">
      <c r="A683" s="9" t="s">
        <v>969</v>
      </c>
      <c r="B683" s="9" t="s">
        <v>140</v>
      </c>
      <c r="C683" s="12" t="s">
        <v>93</v>
      </c>
      <c r="D683" s="14" t="s">
        <v>837</v>
      </c>
      <c r="E683" s="16"/>
      <c r="F683" s="8"/>
      <c r="G683" s="16"/>
      <c r="H683" s="8"/>
      <c r="I683" s="16"/>
    </row>
    <row r="684" outlineLevel="1">
      <c r="A684" s="9" t="s">
        <v>970</v>
      </c>
      <c r="B684" s="9" t="s">
        <v>124</v>
      </c>
      <c r="C684" s="12" t="s">
        <v>141</v>
      </c>
      <c r="D684" s="14" t="s">
        <v>837</v>
      </c>
      <c r="E684" s="16"/>
      <c r="F684" s="8"/>
      <c r="G684" s="16"/>
      <c r="H684" s="8"/>
      <c r="I684" s="16"/>
    </row>
    <row r="685" outlineLevel="1">
      <c r="A685" s="9" t="s">
        <v>971</v>
      </c>
      <c r="B685" s="9" t="s">
        <v>275</v>
      </c>
      <c r="C685" s="12" t="s">
        <v>24</v>
      </c>
      <c r="D685" s="14" t="s">
        <v>837</v>
      </c>
      <c r="E685" s="16"/>
      <c r="F685" s="8"/>
      <c r="G685" s="16"/>
      <c r="H685" s="8"/>
      <c r="I685" s="16"/>
    </row>
    <row r="686" outlineLevel="1">
      <c r="A686" s="9" t="s">
        <v>972</v>
      </c>
      <c r="B686" s="9" t="s">
        <v>162</v>
      </c>
      <c r="C686" s="12" t="s">
        <v>16</v>
      </c>
      <c r="D686" s="14" t="s">
        <v>837</v>
      </c>
      <c r="E686" s="16"/>
      <c r="F686" s="8"/>
      <c r="G686" s="16"/>
      <c r="H686" s="8"/>
      <c r="I686" s="16"/>
    </row>
    <row r="687" outlineLevel="1">
      <c r="A687" s="9" t="s">
        <v>973</v>
      </c>
      <c r="B687" s="9" t="s">
        <v>974</v>
      </c>
      <c r="C687" s="12" t="s">
        <v>80</v>
      </c>
      <c r="D687" s="14" t="s">
        <v>837</v>
      </c>
      <c r="E687" s="16"/>
      <c r="F687" s="8"/>
      <c r="G687" s="16"/>
      <c r="H687" s="8"/>
      <c r="I687" s="16"/>
    </row>
    <row r="688" outlineLevel="1">
      <c r="A688" s="9" t="s">
        <v>975</v>
      </c>
      <c r="B688" s="9" t="s">
        <v>976</v>
      </c>
      <c r="C688" s="12" t="s">
        <v>138</v>
      </c>
      <c r="D688" s="14" t="s">
        <v>837</v>
      </c>
      <c r="E688" s="16"/>
      <c r="F688" s="8"/>
      <c r="G688" s="16"/>
      <c r="H688" s="8"/>
      <c r="I688" s="16"/>
    </row>
    <row r="689" outlineLevel="1">
      <c r="A689" s="9" t="s">
        <v>396</v>
      </c>
      <c r="B689" s="9" t="s">
        <v>281</v>
      </c>
      <c r="C689" s="12" t="s">
        <v>59</v>
      </c>
      <c r="D689" s="14" t="s">
        <v>837</v>
      </c>
      <c r="E689" s="16"/>
      <c r="F689" s="8"/>
      <c r="G689" s="16"/>
      <c r="H689" s="8"/>
      <c r="I689" s="16"/>
    </row>
    <row r="690" outlineLevel="1">
      <c r="A690" s="9" t="s">
        <v>977</v>
      </c>
      <c r="B690" s="9" t="s">
        <v>978</v>
      </c>
      <c r="C690" s="12" t="s">
        <v>192</v>
      </c>
      <c r="D690" s="14" t="s">
        <v>837</v>
      </c>
      <c r="E690" s="16"/>
      <c r="F690" s="8"/>
      <c r="G690" s="16"/>
      <c r="H690" s="8"/>
      <c r="I690" s="16"/>
    </row>
    <row r="691" outlineLevel="1">
      <c r="A691" s="9" t="s">
        <v>164</v>
      </c>
      <c r="B691" s="9" t="s">
        <v>299</v>
      </c>
      <c r="C691" s="12" t="s">
        <v>46</v>
      </c>
      <c r="D691" s="14" t="s">
        <v>837</v>
      </c>
      <c r="E691" s="16"/>
      <c r="F691" s="8"/>
      <c r="G691" s="16"/>
      <c r="H691" s="8"/>
      <c r="I691" s="16"/>
    </row>
    <row r="692" outlineLevel="1">
      <c r="A692" s="9" t="s">
        <v>164</v>
      </c>
      <c r="B692" s="9" t="s">
        <v>263</v>
      </c>
      <c r="C692" s="12" t="s">
        <v>65</v>
      </c>
      <c r="D692" s="14" t="s">
        <v>837</v>
      </c>
      <c r="E692" s="16"/>
      <c r="F692" s="8"/>
      <c r="G692" s="16"/>
      <c r="H692" s="8"/>
      <c r="I692" s="16"/>
    </row>
    <row r="693" outlineLevel="1">
      <c r="A693" s="9" t="s">
        <v>579</v>
      </c>
      <c r="B693" s="9" t="s">
        <v>381</v>
      </c>
      <c r="C693" s="12" t="s">
        <v>132</v>
      </c>
      <c r="D693" s="14" t="s">
        <v>837</v>
      </c>
      <c r="E693" s="16"/>
      <c r="F693" s="8"/>
      <c r="G693" s="16"/>
      <c r="H693" s="8"/>
      <c r="I693" s="16"/>
    </row>
    <row r="694" outlineLevel="1">
      <c r="A694" s="9" t="s">
        <v>979</v>
      </c>
      <c r="B694" s="9" t="s">
        <v>241</v>
      </c>
      <c r="C694" s="12" t="s">
        <v>122</v>
      </c>
      <c r="D694" s="14" t="s">
        <v>837</v>
      </c>
      <c r="E694" s="16"/>
      <c r="F694" s="8"/>
      <c r="G694" s="16"/>
      <c r="H694" s="8"/>
      <c r="I694" s="16"/>
    </row>
    <row r="695" outlineLevel="1">
      <c r="A695" s="9" t="s">
        <v>980</v>
      </c>
      <c r="B695" s="9" t="s">
        <v>981</v>
      </c>
      <c r="C695" s="12" t="s">
        <v>70</v>
      </c>
      <c r="D695" s="14" t="s">
        <v>837</v>
      </c>
      <c r="E695" s="16"/>
      <c r="F695" s="8"/>
      <c r="G695" s="16"/>
      <c r="H695" s="8"/>
      <c r="I695" s="16"/>
    </row>
    <row r="696" outlineLevel="1">
      <c r="A696" s="9" t="s">
        <v>982</v>
      </c>
      <c r="B696" s="9" t="s">
        <v>157</v>
      </c>
      <c r="C696" s="12" t="s">
        <v>149</v>
      </c>
      <c r="D696" s="14" t="s">
        <v>837</v>
      </c>
      <c r="E696" s="16"/>
      <c r="F696" s="8"/>
      <c r="G696" s="16"/>
      <c r="H696" s="8"/>
      <c r="I696" s="16"/>
    </row>
    <row r="697" outlineLevel="1">
      <c r="A697" s="9" t="s">
        <v>427</v>
      </c>
      <c r="B697" s="9" t="s">
        <v>983</v>
      </c>
      <c r="C697" s="12" t="s">
        <v>93</v>
      </c>
      <c r="D697" s="14" t="s">
        <v>837</v>
      </c>
      <c r="E697" s="16"/>
      <c r="F697" s="8"/>
      <c r="G697" s="16"/>
      <c r="H697" s="8"/>
      <c r="I697" s="16"/>
    </row>
    <row r="698" outlineLevel="1">
      <c r="A698" s="9" t="s">
        <v>984</v>
      </c>
      <c r="B698" s="9" t="s">
        <v>985</v>
      </c>
      <c r="C698" s="12" t="s">
        <v>141</v>
      </c>
      <c r="D698" s="14" t="s">
        <v>837</v>
      </c>
      <c r="E698" s="16"/>
      <c r="F698" s="8"/>
      <c r="G698" s="16"/>
      <c r="H698" s="8"/>
      <c r="I698" s="16"/>
    </row>
    <row r="699" outlineLevel="1">
      <c r="A699" s="18" t="s">
        <v>986</v>
      </c>
      <c r="B699" s="9" t="s">
        <v>521</v>
      </c>
      <c r="C699" s="12" t="s">
        <v>186</v>
      </c>
      <c r="D699" s="14" t="s">
        <v>837</v>
      </c>
      <c r="E699" s="16"/>
      <c r="F699" s="8"/>
      <c r="G699" s="16"/>
      <c r="H699" s="8"/>
      <c r="I699" s="16"/>
    </row>
    <row r="700" outlineLevel="1">
      <c r="A700" s="9" t="s">
        <v>987</v>
      </c>
      <c r="B700" s="18" t="s">
        <v>988</v>
      </c>
      <c r="C700" s="19" t="s">
        <v>70</v>
      </c>
      <c r="D700" s="14" t="s">
        <v>837</v>
      </c>
      <c r="E700" s="16"/>
      <c r="F700" s="8"/>
      <c r="G700" s="16"/>
      <c r="H700" s="8"/>
      <c r="I700" s="16"/>
    </row>
    <row r="701" outlineLevel="1">
      <c r="A701" s="9" t="s">
        <v>989</v>
      </c>
      <c r="B701" s="9" t="s">
        <v>990</v>
      </c>
      <c r="C701" s="12" t="s">
        <v>192</v>
      </c>
      <c r="D701" s="14" t="s">
        <v>837</v>
      </c>
      <c r="E701" s="16"/>
      <c r="F701" s="8"/>
      <c r="G701" s="16"/>
      <c r="H701" s="8"/>
      <c r="I701" s="16"/>
    </row>
    <row r="702" outlineLevel="1">
      <c r="A702" s="9" t="s">
        <v>220</v>
      </c>
      <c r="B702" s="9" t="s">
        <v>304</v>
      </c>
      <c r="C702" s="12" t="s">
        <v>186</v>
      </c>
      <c r="D702" s="14" t="s">
        <v>837</v>
      </c>
      <c r="E702" s="16"/>
      <c r="F702" s="8"/>
      <c r="G702" s="16"/>
      <c r="H702" s="8"/>
      <c r="I702" s="16"/>
    </row>
    <row r="703" outlineLevel="1">
      <c r="A703" s="18" t="s">
        <v>220</v>
      </c>
      <c r="B703" s="9" t="s">
        <v>159</v>
      </c>
      <c r="C703" s="12" t="s">
        <v>65</v>
      </c>
      <c r="D703" s="14" t="s">
        <v>837</v>
      </c>
      <c r="E703" s="16"/>
      <c r="F703" s="8"/>
      <c r="G703" s="16"/>
      <c r="H703" s="8"/>
      <c r="I703" s="16"/>
    </row>
    <row r="704" outlineLevel="1">
      <c r="A704" s="9" t="s">
        <v>991</v>
      </c>
      <c r="B704" s="18" t="s">
        <v>992</v>
      </c>
      <c r="C704" s="19" t="s">
        <v>261</v>
      </c>
      <c r="D704" s="14" t="s">
        <v>837</v>
      </c>
      <c r="E704" s="16"/>
      <c r="F704" s="18"/>
      <c r="G704" s="19"/>
      <c r="H704" s="18"/>
      <c r="I704" s="19"/>
    </row>
    <row r="705" outlineLevel="1">
      <c r="A705" s="9" t="s">
        <v>993</v>
      </c>
      <c r="B705" s="9" t="s">
        <v>55</v>
      </c>
      <c r="C705" s="12" t="s">
        <v>75</v>
      </c>
      <c r="D705" s="14" t="s">
        <v>837</v>
      </c>
      <c r="E705" s="16"/>
      <c r="F705" s="8"/>
      <c r="G705" s="16"/>
      <c r="H705" s="8"/>
      <c r="I705" s="16"/>
    </row>
    <row r="706" outlineLevel="1">
      <c r="A706" s="9" t="s">
        <v>994</v>
      </c>
      <c r="B706" s="9" t="s">
        <v>995</v>
      </c>
      <c r="C706" s="12" t="s">
        <v>59</v>
      </c>
      <c r="D706" s="14" t="s">
        <v>837</v>
      </c>
      <c r="E706" s="16"/>
      <c r="F706" s="8"/>
      <c r="G706" s="16"/>
      <c r="H706" s="8"/>
      <c r="I706" s="16"/>
    </row>
    <row r="707" outlineLevel="1">
      <c r="A707" s="9" t="s">
        <v>996</v>
      </c>
      <c r="B707" s="9" t="s">
        <v>329</v>
      </c>
      <c r="C707" s="12" t="s">
        <v>149</v>
      </c>
      <c r="D707" s="14" t="s">
        <v>837</v>
      </c>
      <c r="E707" s="16"/>
      <c r="F707" s="8"/>
      <c r="G707" s="16"/>
      <c r="H707" s="8"/>
      <c r="I707" s="16"/>
    </row>
    <row r="708" outlineLevel="1">
      <c r="A708" s="9" t="s">
        <v>997</v>
      </c>
      <c r="B708" s="9" t="s">
        <v>998</v>
      </c>
      <c r="C708" s="12" t="s">
        <v>186</v>
      </c>
      <c r="D708" s="14" t="s">
        <v>837</v>
      </c>
      <c r="E708" s="16"/>
      <c r="F708" s="8"/>
      <c r="G708" s="16"/>
      <c r="H708" s="8"/>
      <c r="I708" s="16"/>
    </row>
    <row r="709" outlineLevel="1">
      <c r="A709" s="18" t="s">
        <v>999</v>
      </c>
      <c r="B709" s="9" t="s">
        <v>231</v>
      </c>
      <c r="C709" s="12" t="s">
        <v>24</v>
      </c>
      <c r="D709" s="14" t="s">
        <v>837</v>
      </c>
      <c r="E709" s="16"/>
      <c r="F709" s="8"/>
      <c r="G709" s="16"/>
      <c r="H709" s="8"/>
      <c r="I709" s="16"/>
    </row>
    <row r="710" outlineLevel="1">
      <c r="A710" s="9" t="s">
        <v>1000</v>
      </c>
      <c r="B710" s="18" t="s">
        <v>194</v>
      </c>
      <c r="C710" s="19" t="s">
        <v>186</v>
      </c>
      <c r="D710" s="14" t="s">
        <v>837</v>
      </c>
      <c r="E710" s="16"/>
      <c r="F710" s="8"/>
      <c r="G710" s="16"/>
      <c r="H710" s="8"/>
      <c r="I710" s="16"/>
    </row>
    <row r="711" outlineLevel="1">
      <c r="A711" s="18" t="s">
        <v>1001</v>
      </c>
      <c r="B711" s="9" t="s">
        <v>260</v>
      </c>
      <c r="C711" s="12" t="s">
        <v>24</v>
      </c>
      <c r="D711" s="14" t="s">
        <v>837</v>
      </c>
      <c r="E711" s="16"/>
      <c r="F711" s="8"/>
      <c r="G711" s="16"/>
      <c r="H711" s="8"/>
      <c r="I711" s="16"/>
    </row>
    <row r="712" outlineLevel="1">
      <c r="A712" s="9" t="s">
        <v>1002</v>
      </c>
      <c r="B712" s="18" t="s">
        <v>676</v>
      </c>
      <c r="C712" s="19" t="s">
        <v>24</v>
      </c>
      <c r="D712" s="14" t="s">
        <v>837</v>
      </c>
      <c r="E712" s="16"/>
      <c r="F712" s="8"/>
      <c r="G712" s="16"/>
      <c r="H712" s="8"/>
      <c r="I712" s="16"/>
    </row>
    <row r="713" outlineLevel="1">
      <c r="A713" s="9" t="s">
        <v>1003</v>
      </c>
      <c r="B713" s="9" t="s">
        <v>137</v>
      </c>
      <c r="C713" s="12" t="s">
        <v>38</v>
      </c>
      <c r="D713" s="14" t="s">
        <v>837</v>
      </c>
      <c r="E713" s="16"/>
      <c r="F713" s="8"/>
      <c r="G713" s="16"/>
      <c r="H713" s="8"/>
      <c r="I713" s="16"/>
    </row>
    <row r="714" outlineLevel="1">
      <c r="A714" s="9" t="s">
        <v>1004</v>
      </c>
      <c r="B714" s="9" t="s">
        <v>506</v>
      </c>
      <c r="C714" s="12" t="s">
        <v>122</v>
      </c>
      <c r="D714" s="14" t="s">
        <v>837</v>
      </c>
      <c r="E714" s="16"/>
      <c r="F714" s="8"/>
      <c r="G714" s="16"/>
      <c r="H714" s="8"/>
      <c r="I714" s="16"/>
    </row>
    <row r="715" outlineLevel="1">
      <c r="A715" s="9" t="s">
        <v>1005</v>
      </c>
      <c r="B715" s="9" t="s">
        <v>127</v>
      </c>
      <c r="C715" s="12" t="s">
        <v>192</v>
      </c>
      <c r="D715" s="14" t="s">
        <v>837</v>
      </c>
      <c r="E715" s="16"/>
      <c r="F715" s="8"/>
      <c r="G715" s="16"/>
      <c r="H715" s="8"/>
      <c r="I715" s="16"/>
    </row>
    <row r="716" outlineLevel="1">
      <c r="A716" s="9" t="s">
        <v>1006</v>
      </c>
      <c r="B716" s="9" t="s">
        <v>119</v>
      </c>
      <c r="C716" s="12" t="s">
        <v>186</v>
      </c>
      <c r="D716" s="14" t="s">
        <v>837</v>
      </c>
      <c r="E716" s="16"/>
      <c r="F716" s="8"/>
      <c r="G716" s="16"/>
      <c r="H716" s="8"/>
      <c r="I716" s="16"/>
    </row>
    <row r="717" outlineLevel="1">
      <c r="A717" s="9" t="s">
        <v>1007</v>
      </c>
      <c r="B717" s="9" t="s">
        <v>1008</v>
      </c>
      <c r="C717" s="12" t="s">
        <v>24</v>
      </c>
      <c r="D717" s="14" t="s">
        <v>837</v>
      </c>
      <c r="E717" s="16"/>
      <c r="F717" s="8"/>
      <c r="G717" s="16"/>
      <c r="H717" s="8"/>
      <c r="I717" s="16"/>
    </row>
    <row r="718" outlineLevel="1">
      <c r="A718" s="9" t="s">
        <v>497</v>
      </c>
      <c r="B718" s="9" t="s">
        <v>1009</v>
      </c>
      <c r="C718" s="12" t="s">
        <v>80</v>
      </c>
      <c r="D718" s="14" t="s">
        <v>837</v>
      </c>
      <c r="E718" s="16"/>
      <c r="F718" s="8"/>
      <c r="G718" s="16"/>
      <c r="H718" s="8"/>
      <c r="I718" s="16"/>
    </row>
    <row r="719" outlineLevel="1">
      <c r="A719" s="9" t="s">
        <v>1010</v>
      </c>
      <c r="B719" s="9" t="s">
        <v>1011</v>
      </c>
      <c r="C719" s="12" t="s">
        <v>38</v>
      </c>
      <c r="D719" s="14" t="s">
        <v>837</v>
      </c>
      <c r="E719" s="16"/>
      <c r="F719" s="8"/>
      <c r="G719" s="16"/>
      <c r="H719" s="8"/>
      <c r="I719" s="16"/>
    </row>
    <row r="720" outlineLevel="1">
      <c r="A720" s="9" t="s">
        <v>223</v>
      </c>
      <c r="B720" s="9" t="s">
        <v>275</v>
      </c>
      <c r="C720" s="12" t="s">
        <v>75</v>
      </c>
      <c r="D720" s="14" t="s">
        <v>837</v>
      </c>
      <c r="E720" s="16"/>
      <c r="F720" s="8"/>
      <c r="G720" s="16"/>
      <c r="H720" s="8"/>
      <c r="I720" s="16"/>
    </row>
    <row r="721" outlineLevel="1">
      <c r="A721" s="9" t="s">
        <v>1012</v>
      </c>
      <c r="B721" s="9" t="s">
        <v>129</v>
      </c>
      <c r="C721" s="12" t="s">
        <v>192</v>
      </c>
      <c r="D721" s="14" t="s">
        <v>837</v>
      </c>
      <c r="E721" s="16"/>
      <c r="F721" s="8"/>
      <c r="G721" s="16"/>
      <c r="H721" s="8"/>
      <c r="I721" s="16"/>
    </row>
    <row r="722" outlineLevel="1">
      <c r="A722" s="9" t="s">
        <v>1013</v>
      </c>
      <c r="B722" s="9" t="s">
        <v>464</v>
      </c>
      <c r="C722" s="12" t="s">
        <v>141</v>
      </c>
      <c r="D722" s="14" t="s">
        <v>837</v>
      </c>
      <c r="E722" s="16"/>
      <c r="F722" s="8"/>
      <c r="G722" s="16"/>
      <c r="H722" s="8"/>
      <c r="I722" s="16"/>
    </row>
    <row r="723" outlineLevel="1">
      <c r="A723" s="9" t="s">
        <v>786</v>
      </c>
      <c r="B723" s="9" t="s">
        <v>628</v>
      </c>
      <c r="C723" s="12" t="s">
        <v>65</v>
      </c>
      <c r="D723" s="14" t="s">
        <v>837</v>
      </c>
      <c r="E723" s="16"/>
      <c r="F723" s="8"/>
      <c r="G723" s="16"/>
      <c r="H723" s="8"/>
      <c r="I723" s="16"/>
    </row>
    <row r="724" outlineLevel="1">
      <c r="A724" s="9" t="s">
        <v>1014</v>
      </c>
      <c r="B724" s="9" t="s">
        <v>726</v>
      </c>
      <c r="C724" s="12" t="s">
        <v>122</v>
      </c>
      <c r="D724" s="14" t="s">
        <v>837</v>
      </c>
      <c r="E724" s="16"/>
      <c r="F724" s="8"/>
      <c r="G724" s="16"/>
      <c r="H724" s="8"/>
      <c r="I724" s="16"/>
    </row>
    <row r="725" outlineLevel="1">
      <c r="A725" s="9" t="s">
        <v>421</v>
      </c>
      <c r="B725" s="9" t="s">
        <v>1015</v>
      </c>
      <c r="C725" s="12" t="s">
        <v>80</v>
      </c>
      <c r="D725" s="14" t="s">
        <v>837</v>
      </c>
      <c r="E725" s="16"/>
      <c r="F725" s="8"/>
      <c r="G725" s="16"/>
      <c r="H725" s="8"/>
      <c r="I725" s="16"/>
    </row>
    <row r="726" outlineLevel="1">
      <c r="A726" s="9" t="s">
        <v>1016</v>
      </c>
      <c r="B726" s="9" t="s">
        <v>1017</v>
      </c>
      <c r="C726" s="12" t="s">
        <v>93</v>
      </c>
      <c r="D726" s="14" t="s">
        <v>837</v>
      </c>
      <c r="E726" s="16"/>
      <c r="F726" s="18"/>
      <c r="G726" s="19"/>
      <c r="H726" s="18"/>
      <c r="I726" s="19"/>
    </row>
    <row r="727" outlineLevel="1">
      <c r="A727" s="9" t="s">
        <v>1018</v>
      </c>
      <c r="B727" s="9" t="s">
        <v>436</v>
      </c>
      <c r="C727" s="12" t="s">
        <v>93</v>
      </c>
      <c r="D727" s="14" t="s">
        <v>837</v>
      </c>
      <c r="E727" s="16"/>
      <c r="F727" s="8"/>
      <c r="G727" s="16"/>
      <c r="H727" s="8"/>
      <c r="I727" s="16"/>
    </row>
    <row r="728" outlineLevel="1">
      <c r="A728" s="9" t="s">
        <v>97</v>
      </c>
      <c r="B728" s="9" t="s">
        <v>299</v>
      </c>
      <c r="C728" s="12" t="s">
        <v>149</v>
      </c>
      <c r="D728" s="14" t="s">
        <v>837</v>
      </c>
      <c r="E728" s="16"/>
      <c r="F728" s="8"/>
      <c r="G728" s="16"/>
      <c r="H728" s="8"/>
      <c r="I728" s="16"/>
    </row>
    <row r="729" outlineLevel="1">
      <c r="A729" s="9" t="s">
        <v>97</v>
      </c>
      <c r="B729" s="9" t="s">
        <v>315</v>
      </c>
      <c r="C729" s="12" t="s">
        <v>24</v>
      </c>
      <c r="D729" s="14" t="s">
        <v>837</v>
      </c>
      <c r="E729" s="16"/>
      <c r="F729" s="8"/>
      <c r="G729" s="16"/>
      <c r="H729" s="8"/>
      <c r="I729" s="16"/>
    </row>
    <row r="730" outlineLevel="1">
      <c r="A730" s="9" t="s">
        <v>67</v>
      </c>
      <c r="B730" s="9" t="s">
        <v>299</v>
      </c>
      <c r="C730" s="12" t="s">
        <v>186</v>
      </c>
      <c r="D730" s="14" t="s">
        <v>837</v>
      </c>
      <c r="E730" s="16"/>
      <c r="F730" s="8"/>
      <c r="G730" s="16"/>
      <c r="H730" s="8"/>
      <c r="I730" s="16"/>
    </row>
    <row r="731" outlineLevel="1">
      <c r="A731" s="9" t="s">
        <v>1019</v>
      </c>
      <c r="B731" s="9" t="s">
        <v>170</v>
      </c>
      <c r="C731" s="12" t="s">
        <v>46</v>
      </c>
      <c r="D731" s="14" t="s">
        <v>837</v>
      </c>
      <c r="E731" s="16"/>
      <c r="F731" s="8"/>
      <c r="G731" s="16"/>
      <c r="H731" s="8"/>
      <c r="I731" s="16"/>
    </row>
    <row r="732" outlineLevel="1">
      <c r="A732" s="9" t="s">
        <v>1020</v>
      </c>
      <c r="B732" s="9" t="s">
        <v>1021</v>
      </c>
      <c r="C732" s="12" t="s">
        <v>12</v>
      </c>
      <c r="D732" s="14" t="s">
        <v>837</v>
      </c>
      <c r="E732" s="16"/>
      <c r="F732" s="8"/>
      <c r="G732" s="16"/>
      <c r="H732" s="8"/>
      <c r="I732" s="16"/>
    </row>
    <row r="733" outlineLevel="1">
      <c r="A733" s="9" t="s">
        <v>1022</v>
      </c>
      <c r="B733" s="9" t="s">
        <v>121</v>
      </c>
      <c r="C733" s="12" t="s">
        <v>132</v>
      </c>
      <c r="D733" s="14" t="s">
        <v>837</v>
      </c>
      <c r="E733" s="16"/>
      <c r="F733" s="8"/>
      <c r="G733" s="16"/>
      <c r="H733" s="8"/>
      <c r="I733" s="16"/>
    </row>
    <row r="734" outlineLevel="1">
      <c r="A734" s="9" t="s">
        <v>1023</v>
      </c>
      <c r="B734" s="9" t="s">
        <v>301</v>
      </c>
      <c r="C734" s="12" t="s">
        <v>80</v>
      </c>
      <c r="D734" s="14" t="s">
        <v>837</v>
      </c>
      <c r="E734" s="16"/>
      <c r="F734" s="8"/>
      <c r="G734" s="16"/>
      <c r="H734" s="8"/>
      <c r="I734" s="16"/>
    </row>
    <row r="735" outlineLevel="1">
      <c r="A735" s="9" t="s">
        <v>1024</v>
      </c>
      <c r="B735" s="9" t="s">
        <v>121</v>
      </c>
      <c r="C735" s="12" t="s">
        <v>149</v>
      </c>
      <c r="D735" s="14" t="s">
        <v>837</v>
      </c>
      <c r="E735" s="16"/>
      <c r="F735" s="18"/>
      <c r="G735" s="19"/>
      <c r="H735" s="18"/>
      <c r="I735" s="19"/>
    </row>
    <row r="736" outlineLevel="1">
      <c r="A736" s="9" t="s">
        <v>1025</v>
      </c>
      <c r="B736" s="9" t="s">
        <v>1026</v>
      </c>
      <c r="C736" s="12" t="s">
        <v>192</v>
      </c>
      <c r="D736" s="14" t="s">
        <v>837</v>
      </c>
      <c r="E736" s="16"/>
      <c r="F736" s="8"/>
      <c r="G736" s="16"/>
      <c r="H736" s="8"/>
      <c r="I736" s="16"/>
    </row>
    <row r="737" outlineLevel="1">
      <c r="A737" s="9" t="s">
        <v>1027</v>
      </c>
      <c r="B737" s="9" t="s">
        <v>1028</v>
      </c>
      <c r="C737" s="12" t="s">
        <v>16</v>
      </c>
      <c r="D737" s="14" t="s">
        <v>837</v>
      </c>
      <c r="E737" s="16"/>
      <c r="F737" s="8"/>
      <c r="G737" s="16"/>
      <c r="H737" s="8"/>
      <c r="I737" s="16"/>
    </row>
    <row r="738" outlineLevel="1">
      <c r="A738" s="9" t="s">
        <v>99</v>
      </c>
      <c r="B738" s="9" t="s">
        <v>275</v>
      </c>
      <c r="C738" s="12" t="s">
        <v>138</v>
      </c>
      <c r="D738" s="14" t="s">
        <v>837</v>
      </c>
      <c r="E738" s="16"/>
      <c r="F738" s="8"/>
      <c r="G738" s="16"/>
      <c r="H738" s="8"/>
      <c r="I738" s="16"/>
    </row>
    <row r="739" outlineLevel="1">
      <c r="A739" s="9" t="s">
        <v>99</v>
      </c>
      <c r="B739" s="9" t="s">
        <v>217</v>
      </c>
      <c r="C739" s="12" t="s">
        <v>65</v>
      </c>
      <c r="D739" s="14" t="s">
        <v>837</v>
      </c>
      <c r="E739" s="16"/>
      <c r="F739" s="8"/>
      <c r="G739" s="16"/>
      <c r="H739" s="8"/>
      <c r="I739" s="16"/>
    </row>
    <row r="740" outlineLevel="1">
      <c r="A740" s="9" t="s">
        <v>99</v>
      </c>
      <c r="B740" s="9" t="s">
        <v>1029</v>
      </c>
      <c r="C740" s="12" t="s">
        <v>80</v>
      </c>
      <c r="D740" s="14" t="s">
        <v>837</v>
      </c>
      <c r="E740" s="16"/>
      <c r="F740" s="8"/>
      <c r="G740" s="16"/>
      <c r="H740" s="8"/>
      <c r="I740" s="16"/>
    </row>
    <row r="741" outlineLevel="1">
      <c r="A741" s="9" t="s">
        <v>1030</v>
      </c>
      <c r="B741" s="9" t="s">
        <v>1031</v>
      </c>
      <c r="C741" s="12" t="s">
        <v>24</v>
      </c>
      <c r="D741" s="14" t="s">
        <v>837</v>
      </c>
      <c r="E741" s="16"/>
      <c r="F741" s="8"/>
      <c r="G741" s="16"/>
      <c r="H741" s="8"/>
      <c r="I741" s="16"/>
    </row>
    <row r="742" outlineLevel="1">
      <c r="A742" s="9" t="s">
        <v>1032</v>
      </c>
      <c r="B742" s="9" t="s">
        <v>117</v>
      </c>
      <c r="C742" s="12" t="s">
        <v>149</v>
      </c>
      <c r="D742" s="14" t="s">
        <v>837</v>
      </c>
      <c r="E742" s="16"/>
      <c r="F742" s="8"/>
      <c r="G742" s="16"/>
      <c r="H742" s="8"/>
      <c r="I742" s="16"/>
    </row>
    <row r="743" outlineLevel="1">
      <c r="A743" s="9" t="s">
        <v>99</v>
      </c>
      <c r="B743" s="9" t="s">
        <v>782</v>
      </c>
      <c r="C743" s="12" t="s">
        <v>261</v>
      </c>
      <c r="D743" s="14" t="s">
        <v>837</v>
      </c>
      <c r="E743" s="16"/>
      <c r="F743" s="8"/>
      <c r="G743" s="16"/>
      <c r="H743" s="8"/>
      <c r="I743" s="16"/>
    </row>
    <row r="744" outlineLevel="1">
      <c r="A744" s="9" t="s">
        <v>99</v>
      </c>
      <c r="B744" s="9" t="s">
        <v>1033</v>
      </c>
      <c r="C744" s="12" t="s">
        <v>70</v>
      </c>
      <c r="D744" s="14" t="s">
        <v>837</v>
      </c>
      <c r="E744" s="16"/>
      <c r="F744" s="18"/>
      <c r="G744" s="19"/>
      <c r="H744" s="18"/>
      <c r="I744" s="19"/>
    </row>
    <row r="745" outlineLevel="1">
      <c r="A745" s="9" t="s">
        <v>1034</v>
      </c>
      <c r="B745" s="9" t="s">
        <v>957</v>
      </c>
      <c r="C745" s="12" t="s">
        <v>122</v>
      </c>
      <c r="D745" s="14" t="s">
        <v>837</v>
      </c>
      <c r="E745" s="16"/>
      <c r="F745" s="8"/>
      <c r="G745" s="16"/>
      <c r="H745" s="8"/>
      <c r="I745" s="16"/>
    </row>
    <row r="746" outlineLevel="1">
      <c r="A746" s="9" t="s">
        <v>1035</v>
      </c>
      <c r="B746" s="9" t="s">
        <v>1036</v>
      </c>
      <c r="C746" s="12" t="s">
        <v>24</v>
      </c>
      <c r="D746" s="14" t="s">
        <v>837</v>
      </c>
      <c r="E746" s="16"/>
      <c r="F746" s="8"/>
      <c r="G746" s="16"/>
      <c r="H746" s="8"/>
      <c r="I746" s="16"/>
    </row>
    <row r="747" outlineLevel="1">
      <c r="A747" s="9" t="s">
        <v>1037</v>
      </c>
      <c r="B747" s="9" t="s">
        <v>480</v>
      </c>
      <c r="C747" s="12" t="s">
        <v>46</v>
      </c>
      <c r="D747" s="14" t="s">
        <v>837</v>
      </c>
      <c r="E747" s="16"/>
      <c r="F747" s="8"/>
      <c r="G747" s="16"/>
      <c r="H747" s="8"/>
      <c r="I747" s="16"/>
    </row>
    <row r="748" outlineLevel="1">
      <c r="A748" s="9" t="s">
        <v>1038</v>
      </c>
      <c r="B748" s="9" t="s">
        <v>333</v>
      </c>
      <c r="C748" s="12" t="s">
        <v>65</v>
      </c>
      <c r="D748" s="14" t="s">
        <v>837</v>
      </c>
      <c r="E748" s="16"/>
      <c r="F748" s="8"/>
      <c r="G748" s="16"/>
      <c r="H748" s="8"/>
      <c r="I748" s="16"/>
    </row>
    <row r="749" outlineLevel="1">
      <c r="A749" s="9" t="s">
        <v>1039</v>
      </c>
      <c r="B749" s="9" t="s">
        <v>1040</v>
      </c>
      <c r="C749" s="12" t="s">
        <v>192</v>
      </c>
      <c r="D749" s="14" t="s">
        <v>837</v>
      </c>
      <c r="E749" s="16"/>
      <c r="F749" s="8"/>
      <c r="G749" s="16"/>
      <c r="H749" s="8"/>
      <c r="I749" s="16"/>
    </row>
    <row r="750" outlineLevel="1">
      <c r="A750" s="9" t="s">
        <v>441</v>
      </c>
      <c r="B750" s="9" t="s">
        <v>263</v>
      </c>
      <c r="C750" s="12" t="s">
        <v>65</v>
      </c>
      <c r="D750" s="14" t="s">
        <v>837</v>
      </c>
      <c r="E750" s="16"/>
      <c r="F750" s="8"/>
      <c r="G750" s="16"/>
      <c r="H750" s="8"/>
      <c r="I750" s="16"/>
    </row>
    <row r="751" outlineLevel="1">
      <c r="A751" s="9" t="s">
        <v>1041</v>
      </c>
      <c r="B751" s="9" t="s">
        <v>129</v>
      </c>
      <c r="C751" s="12" t="s">
        <v>24</v>
      </c>
      <c r="D751" s="14" t="s">
        <v>837</v>
      </c>
      <c r="E751" s="16"/>
      <c r="F751" s="8"/>
      <c r="G751" s="16"/>
      <c r="H751" s="8"/>
      <c r="I751" s="16"/>
    </row>
    <row r="752" outlineLevel="1">
      <c r="A752" s="9" t="s">
        <v>1041</v>
      </c>
      <c r="B752" s="9" t="s">
        <v>1042</v>
      </c>
      <c r="C752" s="12" t="s">
        <v>75</v>
      </c>
      <c r="D752" s="14" t="s">
        <v>837</v>
      </c>
      <c r="E752" s="16"/>
      <c r="F752" s="8"/>
      <c r="G752" s="16"/>
      <c r="H752" s="8"/>
      <c r="I752" s="16"/>
    </row>
    <row r="753" outlineLevel="1">
      <c r="A753" s="9" t="s">
        <v>1043</v>
      </c>
      <c r="B753" s="9" t="s">
        <v>1044</v>
      </c>
      <c r="C753" s="12" t="s">
        <v>75</v>
      </c>
      <c r="D753" s="14" t="s">
        <v>837</v>
      </c>
      <c r="E753" s="16"/>
      <c r="F753" s="8"/>
      <c r="G753" s="16"/>
      <c r="H753" s="8"/>
      <c r="I753" s="16"/>
    </row>
    <row r="754" outlineLevel="1">
      <c r="A754" s="9" t="s">
        <v>1045</v>
      </c>
      <c r="B754" s="9" t="s">
        <v>1046</v>
      </c>
      <c r="C754" s="12" t="s">
        <v>24</v>
      </c>
      <c r="D754" s="14" t="s">
        <v>837</v>
      </c>
      <c r="E754" s="16"/>
      <c r="F754" s="8"/>
      <c r="G754" s="16"/>
      <c r="H754" s="8"/>
      <c r="I754" s="16"/>
    </row>
    <row r="755" outlineLevel="1">
      <c r="A755" s="9" t="s">
        <v>1047</v>
      </c>
      <c r="B755" s="9" t="s">
        <v>1048</v>
      </c>
      <c r="C755" s="12" t="s">
        <v>24</v>
      </c>
      <c r="D755" s="14" t="s">
        <v>837</v>
      </c>
      <c r="E755" s="16"/>
      <c r="F755" s="8"/>
      <c r="G755" s="16"/>
      <c r="H755" s="8"/>
      <c r="I755" s="16"/>
    </row>
    <row r="756" outlineLevel="1">
      <c r="A756" s="9" t="s">
        <v>1049</v>
      </c>
      <c r="B756" s="9" t="s">
        <v>746</v>
      </c>
      <c r="C756" s="12" t="s">
        <v>70</v>
      </c>
      <c r="D756" s="14" t="s">
        <v>837</v>
      </c>
      <c r="E756" s="16"/>
      <c r="F756" s="8"/>
      <c r="G756" s="16"/>
      <c r="H756" s="8"/>
      <c r="I756" s="16"/>
    </row>
    <row r="757" outlineLevel="1">
      <c r="A757" s="9" t="s">
        <v>1050</v>
      </c>
      <c r="B757" s="9" t="s">
        <v>1051</v>
      </c>
      <c r="C757" s="12" t="s">
        <v>192</v>
      </c>
      <c r="D757" s="14" t="s">
        <v>837</v>
      </c>
      <c r="E757" s="16"/>
      <c r="F757" s="8"/>
      <c r="G757" s="16"/>
      <c r="H757" s="8"/>
      <c r="I757" s="16"/>
    </row>
    <row r="758" outlineLevel="1">
      <c r="A758" s="9" t="s">
        <v>1052</v>
      </c>
      <c r="B758" s="9" t="s">
        <v>1053</v>
      </c>
      <c r="C758" s="12" t="s">
        <v>93</v>
      </c>
      <c r="D758" s="14" t="s">
        <v>837</v>
      </c>
      <c r="E758" s="16"/>
      <c r="F758" s="8"/>
      <c r="G758" s="16"/>
      <c r="H758" s="8"/>
      <c r="I758" s="16"/>
    </row>
    <row r="759" outlineLevel="1">
      <c r="A759" s="18" t="s">
        <v>185</v>
      </c>
      <c r="B759" s="9" t="s">
        <v>1054</v>
      </c>
      <c r="C759" s="12" t="s">
        <v>132</v>
      </c>
      <c r="D759" s="14" t="s">
        <v>837</v>
      </c>
      <c r="E759" s="16"/>
      <c r="F759" s="8"/>
      <c r="G759" s="16"/>
      <c r="H759" s="8"/>
      <c r="I759" s="16"/>
    </row>
    <row r="760" outlineLevel="1">
      <c r="A760" s="9" t="s">
        <v>1055</v>
      </c>
      <c r="B760" s="18" t="s">
        <v>1056</v>
      </c>
      <c r="C760" s="19" t="s">
        <v>65</v>
      </c>
      <c r="D760" s="14" t="s">
        <v>837</v>
      </c>
      <c r="E760" s="16"/>
      <c r="F760" s="8"/>
      <c r="G760" s="16"/>
      <c r="H760" s="8"/>
      <c r="I760" s="16"/>
    </row>
    <row r="761" outlineLevel="1">
      <c r="A761" s="9" t="s">
        <v>1055</v>
      </c>
      <c r="B761" s="9" t="s">
        <v>260</v>
      </c>
      <c r="C761" s="12" t="s">
        <v>70</v>
      </c>
      <c r="D761" s="14" t="s">
        <v>837</v>
      </c>
      <c r="E761" s="16"/>
      <c r="F761" s="8"/>
      <c r="G761" s="16"/>
      <c r="H761" s="8"/>
      <c r="I761" s="16"/>
    </row>
    <row r="762" outlineLevel="1">
      <c r="A762" s="9" t="s">
        <v>1055</v>
      </c>
      <c r="B762" s="9" t="s">
        <v>119</v>
      </c>
      <c r="C762" s="12" t="s">
        <v>65</v>
      </c>
      <c r="D762" s="14" t="s">
        <v>837</v>
      </c>
      <c r="E762" s="16"/>
      <c r="F762" s="8"/>
      <c r="G762" s="16"/>
      <c r="H762" s="8"/>
      <c r="I762" s="16"/>
    </row>
    <row r="763" outlineLevel="1">
      <c r="A763" s="9" t="s">
        <v>78</v>
      </c>
      <c r="B763" s="9" t="s">
        <v>1057</v>
      </c>
      <c r="C763" s="12" t="s">
        <v>149</v>
      </c>
      <c r="D763" s="14" t="s">
        <v>837</v>
      </c>
      <c r="E763" s="16"/>
      <c r="F763" s="18"/>
      <c r="G763" s="19"/>
      <c r="H763" s="18"/>
      <c r="I763" s="19"/>
    </row>
    <row r="764" outlineLevel="1">
      <c r="A764" s="9" t="s">
        <v>1058</v>
      </c>
      <c r="B764" s="9" t="s">
        <v>362</v>
      </c>
      <c r="C764" s="12" t="s">
        <v>141</v>
      </c>
      <c r="D764" s="14" t="s">
        <v>837</v>
      </c>
      <c r="E764" s="16"/>
      <c r="F764" s="8"/>
      <c r="G764" s="16"/>
      <c r="H764" s="8"/>
      <c r="I764" s="16"/>
    </row>
    <row r="765" outlineLevel="1">
      <c r="A765" s="9" t="s">
        <v>1059</v>
      </c>
      <c r="B765" s="9" t="s">
        <v>362</v>
      </c>
      <c r="C765" s="12" t="s">
        <v>75</v>
      </c>
      <c r="D765" s="14" t="s">
        <v>837</v>
      </c>
      <c r="E765" s="16"/>
      <c r="F765" s="8"/>
      <c r="G765" s="16"/>
      <c r="H765" s="8"/>
      <c r="I765" s="16"/>
    </row>
    <row r="766" outlineLevel="1">
      <c r="A766" s="9" t="s">
        <v>78</v>
      </c>
      <c r="B766" s="9" t="s">
        <v>1060</v>
      </c>
      <c r="C766" s="12" t="s">
        <v>70</v>
      </c>
      <c r="D766" s="14" t="s">
        <v>837</v>
      </c>
      <c r="E766" s="16"/>
      <c r="F766" s="8"/>
      <c r="G766" s="16"/>
      <c r="H766" s="8"/>
      <c r="I766" s="16"/>
    </row>
    <row r="767" outlineLevel="1">
      <c r="A767" s="9" t="s">
        <v>1061</v>
      </c>
      <c r="B767" s="9" t="s">
        <v>33</v>
      </c>
      <c r="C767" s="12" t="s">
        <v>38</v>
      </c>
      <c r="D767" s="14" t="s">
        <v>837</v>
      </c>
      <c r="E767" s="16"/>
      <c r="F767" s="8"/>
      <c r="G767" s="16"/>
      <c r="H767" s="8"/>
      <c r="I767" s="16"/>
    </row>
    <row r="768" outlineLevel="1">
      <c r="A768" s="9" t="s">
        <v>78</v>
      </c>
      <c r="B768" s="9" t="s">
        <v>836</v>
      </c>
      <c r="C768" s="12" t="s">
        <v>65</v>
      </c>
      <c r="D768" s="14" t="s">
        <v>837</v>
      </c>
      <c r="E768" s="16"/>
      <c r="F768" s="8"/>
      <c r="G768" s="16"/>
      <c r="H768" s="8"/>
      <c r="I768" s="16"/>
    </row>
    <row r="769" outlineLevel="1">
      <c r="A769" s="9" t="s">
        <v>78</v>
      </c>
      <c r="B769" s="9" t="s">
        <v>596</v>
      </c>
      <c r="C769" s="12" t="s">
        <v>122</v>
      </c>
      <c r="D769" s="14" t="s">
        <v>837</v>
      </c>
      <c r="E769" s="16"/>
      <c r="F769" s="18"/>
      <c r="G769" s="19"/>
      <c r="H769" s="18"/>
      <c r="I769" s="19"/>
    </row>
    <row r="770" outlineLevel="1">
      <c r="A770" s="9" t="s">
        <v>1062</v>
      </c>
      <c r="B770" s="9" t="s">
        <v>1063</v>
      </c>
      <c r="C770" s="12" t="s">
        <v>186</v>
      </c>
      <c r="D770" s="14" t="s">
        <v>837</v>
      </c>
      <c r="E770" s="16"/>
      <c r="F770" s="8"/>
      <c r="G770" s="16"/>
      <c r="H770" s="8"/>
      <c r="I770" s="16"/>
    </row>
    <row r="771" outlineLevel="1">
      <c r="A771" s="9" t="s">
        <v>451</v>
      </c>
      <c r="B771" s="9" t="s">
        <v>1064</v>
      </c>
      <c r="C771" s="12" t="s">
        <v>65</v>
      </c>
      <c r="D771" s="14" t="s">
        <v>837</v>
      </c>
      <c r="E771" s="16"/>
      <c r="F771" s="8"/>
      <c r="G771" s="16"/>
      <c r="H771" s="8"/>
      <c r="I771" s="16"/>
    </row>
    <row r="772" outlineLevel="1">
      <c r="A772" s="9" t="s">
        <v>451</v>
      </c>
      <c r="B772" s="9" t="s">
        <v>1065</v>
      </c>
      <c r="C772" s="12" t="s">
        <v>186</v>
      </c>
      <c r="D772" s="14" t="s">
        <v>837</v>
      </c>
      <c r="E772" s="16"/>
      <c r="F772" s="8"/>
      <c r="G772" s="16"/>
      <c r="H772" s="8"/>
      <c r="I772" s="16"/>
    </row>
    <row r="773" outlineLevel="1">
      <c r="A773" s="9" t="s">
        <v>1066</v>
      </c>
      <c r="B773" s="9" t="s">
        <v>985</v>
      </c>
      <c r="C773" s="12" t="s">
        <v>38</v>
      </c>
      <c r="D773" s="14" t="s">
        <v>837</v>
      </c>
      <c r="E773" s="16"/>
      <c r="F773" s="8"/>
      <c r="G773" s="16"/>
      <c r="H773" s="8"/>
      <c r="I773" s="16"/>
    </row>
    <row r="774" outlineLevel="1">
      <c r="A774" s="9" t="s">
        <v>233</v>
      </c>
      <c r="B774" s="9" t="s">
        <v>337</v>
      </c>
      <c r="C774" s="12" t="s">
        <v>65</v>
      </c>
      <c r="D774" s="14" t="s">
        <v>837</v>
      </c>
      <c r="E774" s="16"/>
      <c r="F774" s="8"/>
      <c r="G774" s="16"/>
      <c r="H774" s="8"/>
      <c r="I774" s="16"/>
    </row>
    <row r="775" outlineLevel="1">
      <c r="A775" s="9" t="s">
        <v>1067</v>
      </c>
      <c r="B775" s="9" t="s">
        <v>212</v>
      </c>
      <c r="C775" s="12" t="s">
        <v>215</v>
      </c>
      <c r="D775" s="14" t="s">
        <v>837</v>
      </c>
      <c r="E775" s="16"/>
      <c r="F775" s="8"/>
      <c r="G775" s="16"/>
      <c r="H775" s="8"/>
      <c r="I775" s="16"/>
    </row>
    <row r="776" outlineLevel="1">
      <c r="A776" s="9" t="s">
        <v>455</v>
      </c>
      <c r="B776" s="9" t="s">
        <v>724</v>
      </c>
      <c r="C776" s="12" t="s">
        <v>122</v>
      </c>
      <c r="D776" s="14" t="s">
        <v>837</v>
      </c>
      <c r="E776" s="16"/>
      <c r="F776" s="8"/>
      <c r="G776" s="16"/>
      <c r="H776" s="8"/>
      <c r="I776" s="16"/>
    </row>
    <row r="777" outlineLevel="1">
      <c r="A777" s="9" t="s">
        <v>1068</v>
      </c>
      <c r="B777" s="9" t="s">
        <v>1069</v>
      </c>
      <c r="C777" s="12" t="s">
        <v>70</v>
      </c>
      <c r="D777" s="14" t="s">
        <v>1070</v>
      </c>
      <c r="E777" s="16"/>
      <c r="F777" s="8"/>
      <c r="G777" s="16"/>
      <c r="H777" s="8"/>
      <c r="I777" s="16"/>
    </row>
    <row r="778" outlineLevel="1">
      <c r="A778" s="9" t="s">
        <v>835</v>
      </c>
      <c r="B778" s="9" t="s">
        <v>55</v>
      </c>
      <c r="C778" s="12" t="s">
        <v>80</v>
      </c>
      <c r="D778" s="14" t="s">
        <v>1070</v>
      </c>
      <c r="E778" s="16"/>
      <c r="F778" s="8"/>
      <c r="G778" s="16"/>
      <c r="H778" s="8"/>
      <c r="I778" s="16"/>
    </row>
    <row r="779" outlineLevel="1">
      <c r="A779" s="9" t="s">
        <v>835</v>
      </c>
      <c r="B779" s="9" t="s">
        <v>1071</v>
      </c>
      <c r="C779" s="12" t="s">
        <v>65</v>
      </c>
      <c r="D779" s="14" t="s">
        <v>1070</v>
      </c>
      <c r="E779" s="16"/>
      <c r="F779" s="8"/>
      <c r="G779" s="16"/>
      <c r="H779" s="8"/>
      <c r="I779" s="16"/>
    </row>
    <row r="780" outlineLevel="1">
      <c r="A780" s="9" t="s">
        <v>835</v>
      </c>
      <c r="B780" s="9" t="s">
        <v>1072</v>
      </c>
      <c r="C780" s="12" t="s">
        <v>24</v>
      </c>
      <c r="D780" s="14" t="s">
        <v>1070</v>
      </c>
      <c r="E780" s="16"/>
      <c r="F780" s="8"/>
      <c r="G780" s="16"/>
      <c r="H780" s="8"/>
      <c r="I780" s="16"/>
    </row>
    <row r="781" outlineLevel="1">
      <c r="A781" s="9" t="s">
        <v>1073</v>
      </c>
      <c r="B781" s="9" t="s">
        <v>220</v>
      </c>
      <c r="C781" s="12" t="s">
        <v>65</v>
      </c>
      <c r="D781" s="14" t="s">
        <v>1070</v>
      </c>
      <c r="E781" s="16"/>
      <c r="F781" s="8"/>
      <c r="G781" s="16"/>
      <c r="H781" s="8"/>
      <c r="I781" s="16"/>
    </row>
    <row r="782" outlineLevel="1">
      <c r="A782" s="9" t="s">
        <v>460</v>
      </c>
      <c r="B782" s="9" t="s">
        <v>121</v>
      </c>
      <c r="C782" s="12" t="s">
        <v>16</v>
      </c>
      <c r="D782" s="14" t="s">
        <v>1070</v>
      </c>
      <c r="E782" s="16"/>
      <c r="F782" s="8"/>
      <c r="G782" s="16"/>
      <c r="H782" s="8"/>
      <c r="I782" s="16"/>
    </row>
    <row r="783" outlineLevel="1">
      <c r="A783" s="9" t="s">
        <v>460</v>
      </c>
      <c r="B783" s="9" t="s">
        <v>198</v>
      </c>
      <c r="C783" s="12" t="s">
        <v>186</v>
      </c>
      <c r="D783" s="14" t="s">
        <v>1070</v>
      </c>
      <c r="E783" s="16"/>
      <c r="F783" s="8"/>
      <c r="G783" s="16"/>
      <c r="H783" s="8"/>
      <c r="I783" s="16"/>
    </row>
    <row r="784" outlineLevel="1">
      <c r="A784" s="9" t="s">
        <v>1074</v>
      </c>
      <c r="B784" s="9" t="s">
        <v>127</v>
      </c>
      <c r="C784" s="12" t="s">
        <v>192</v>
      </c>
      <c r="D784" s="14" t="s">
        <v>1070</v>
      </c>
      <c r="E784" s="16"/>
      <c r="F784" s="8"/>
      <c r="G784" s="16"/>
      <c r="H784" s="8"/>
      <c r="I784" s="16"/>
    </row>
    <row r="785" outlineLevel="1">
      <c r="A785" s="9" t="s">
        <v>636</v>
      </c>
      <c r="B785" s="9" t="s">
        <v>1075</v>
      </c>
      <c r="C785" s="12" t="s">
        <v>65</v>
      </c>
      <c r="D785" s="14" t="s">
        <v>1070</v>
      </c>
      <c r="E785" s="16"/>
      <c r="F785" s="8"/>
      <c r="G785" s="16"/>
      <c r="H785" s="8"/>
      <c r="I785" s="16"/>
    </row>
    <row r="786" outlineLevel="1">
      <c r="A786" s="9" t="s">
        <v>636</v>
      </c>
      <c r="B786" s="9" t="s">
        <v>88</v>
      </c>
      <c r="C786" s="12" t="s">
        <v>24</v>
      </c>
      <c r="D786" s="14" t="s">
        <v>1070</v>
      </c>
      <c r="E786" s="16"/>
      <c r="F786" s="8"/>
      <c r="G786" s="16"/>
      <c r="H786" s="8"/>
      <c r="I786" s="16"/>
    </row>
    <row r="787" outlineLevel="1">
      <c r="A787" s="9" t="s">
        <v>238</v>
      </c>
      <c r="B787" s="9" t="s">
        <v>23</v>
      </c>
      <c r="C787" s="12" t="s">
        <v>122</v>
      </c>
      <c r="D787" s="14" t="s">
        <v>1070</v>
      </c>
      <c r="E787" s="16"/>
      <c r="F787" s="8"/>
      <c r="G787" s="16"/>
      <c r="H787" s="8"/>
      <c r="I787" s="16"/>
    </row>
    <row r="788" outlineLevel="1">
      <c r="A788" s="9" t="s">
        <v>1076</v>
      </c>
      <c r="B788" s="9" t="s">
        <v>798</v>
      </c>
      <c r="C788" s="12" t="s">
        <v>59</v>
      </c>
      <c r="D788" s="14" t="s">
        <v>1070</v>
      </c>
      <c r="E788" s="16"/>
      <c r="F788" s="8"/>
      <c r="G788" s="16"/>
      <c r="H788" s="8"/>
      <c r="I788" s="16"/>
    </row>
    <row r="789" outlineLevel="1">
      <c r="A789" s="9" t="s">
        <v>1077</v>
      </c>
      <c r="B789" s="9" t="s">
        <v>1078</v>
      </c>
      <c r="C789" s="12" t="s">
        <v>24</v>
      </c>
      <c r="D789" s="14" t="s">
        <v>1070</v>
      </c>
      <c r="E789" s="16"/>
      <c r="F789" s="8"/>
      <c r="G789" s="16"/>
      <c r="H789" s="8"/>
      <c r="I789" s="16"/>
    </row>
    <row r="790" outlineLevel="1">
      <c r="A790" s="9" t="s">
        <v>1079</v>
      </c>
      <c r="B790" s="9" t="s">
        <v>1080</v>
      </c>
      <c r="C790" s="12" t="s">
        <v>53</v>
      </c>
      <c r="D790" s="14" t="s">
        <v>1070</v>
      </c>
      <c r="E790" s="16"/>
      <c r="F790" s="8"/>
      <c r="G790" s="16"/>
      <c r="H790" s="8"/>
      <c r="I790" s="16"/>
    </row>
    <row r="791" outlineLevel="1">
      <c r="A791" s="18" t="s">
        <v>1081</v>
      </c>
      <c r="B791" s="9" t="s">
        <v>1082</v>
      </c>
      <c r="C791" s="12" t="s">
        <v>93</v>
      </c>
      <c r="D791" s="14" t="s">
        <v>1070</v>
      </c>
      <c r="E791" s="16"/>
      <c r="F791" s="8"/>
      <c r="G791" s="16"/>
      <c r="H791" s="8"/>
      <c r="I791" s="16"/>
    </row>
    <row r="792" outlineLevel="1">
      <c r="A792" s="9" t="s">
        <v>1083</v>
      </c>
      <c r="B792" s="18" t="s">
        <v>1084</v>
      </c>
      <c r="C792" s="19" t="s">
        <v>65</v>
      </c>
      <c r="D792" s="14" t="s">
        <v>1070</v>
      </c>
      <c r="E792" s="16"/>
      <c r="F792" s="8"/>
      <c r="G792" s="16"/>
      <c r="H792" s="8"/>
      <c r="I792" s="16"/>
    </row>
    <row r="793" outlineLevel="1">
      <c r="A793" s="9" t="s">
        <v>136</v>
      </c>
      <c r="B793" s="9" t="s">
        <v>137</v>
      </c>
      <c r="C793" s="12" t="s">
        <v>122</v>
      </c>
      <c r="D793" s="14" t="s">
        <v>1070</v>
      </c>
      <c r="E793" s="16"/>
      <c r="F793" s="8"/>
      <c r="G793" s="16"/>
      <c r="H793" s="8"/>
      <c r="I793" s="16"/>
    </row>
    <row r="794" outlineLevel="1">
      <c r="A794" s="9" t="s">
        <v>1085</v>
      </c>
      <c r="B794" s="9" t="s">
        <v>1086</v>
      </c>
      <c r="C794" s="12" t="s">
        <v>70</v>
      </c>
      <c r="D794" s="14" t="s">
        <v>1070</v>
      </c>
      <c r="E794" s="16"/>
      <c r="F794" s="8"/>
      <c r="G794" s="16"/>
      <c r="H794" s="8"/>
      <c r="I794" s="16"/>
    </row>
    <row r="795" outlineLevel="1">
      <c r="A795" s="9" t="s">
        <v>1087</v>
      </c>
      <c r="B795" s="9" t="s">
        <v>619</v>
      </c>
      <c r="C795" s="12" t="s">
        <v>53</v>
      </c>
      <c r="D795" s="14" t="s">
        <v>1070</v>
      </c>
      <c r="E795" s="16"/>
      <c r="F795" s="8"/>
      <c r="G795" s="16"/>
      <c r="H795" s="8"/>
      <c r="I795" s="16"/>
    </row>
    <row r="796" outlineLevel="1">
      <c r="A796" s="9" t="s">
        <v>1088</v>
      </c>
      <c r="B796" s="9" t="s">
        <v>1089</v>
      </c>
      <c r="C796" s="12" t="s">
        <v>215</v>
      </c>
      <c r="D796" s="14" t="s">
        <v>1070</v>
      </c>
      <c r="E796" s="16"/>
      <c r="F796" s="8"/>
      <c r="G796" s="16"/>
      <c r="H796" s="8"/>
      <c r="I796" s="16"/>
    </row>
    <row r="797" outlineLevel="1">
      <c r="A797" s="9" t="s">
        <v>1090</v>
      </c>
      <c r="B797" s="9" t="s">
        <v>1091</v>
      </c>
      <c r="C797" s="12" t="s">
        <v>215</v>
      </c>
      <c r="D797" s="14" t="s">
        <v>1070</v>
      </c>
      <c r="E797" s="16"/>
      <c r="F797" s="8"/>
      <c r="G797" s="16"/>
      <c r="H797" s="8"/>
      <c r="I797" s="16"/>
    </row>
    <row r="798" outlineLevel="1">
      <c r="A798" s="9" t="s">
        <v>1092</v>
      </c>
      <c r="B798" s="9" t="s">
        <v>1093</v>
      </c>
      <c r="C798" s="12" t="s">
        <v>80</v>
      </c>
      <c r="D798" s="14" t="s">
        <v>1070</v>
      </c>
      <c r="E798" s="16"/>
      <c r="F798" s="8"/>
      <c r="G798" s="16"/>
      <c r="H798" s="8"/>
      <c r="I798" s="16"/>
    </row>
    <row r="799" outlineLevel="1">
      <c r="A799" s="9" t="s">
        <v>1094</v>
      </c>
      <c r="B799" s="9" t="s">
        <v>177</v>
      </c>
      <c r="C799" s="12" t="s">
        <v>75</v>
      </c>
      <c r="D799" s="14" t="s">
        <v>1070</v>
      </c>
      <c r="E799" s="16"/>
      <c r="F799" s="8"/>
      <c r="G799" s="16"/>
      <c r="H799" s="8"/>
      <c r="I799" s="16"/>
    </row>
    <row r="800" outlineLevel="1">
      <c r="A800" s="9" t="s">
        <v>1095</v>
      </c>
      <c r="B800" s="9" t="s">
        <v>1096</v>
      </c>
      <c r="C800" s="12" t="s">
        <v>59</v>
      </c>
      <c r="D800" s="14" t="s">
        <v>1070</v>
      </c>
      <c r="E800" s="16"/>
      <c r="F800" s="8"/>
      <c r="G800" s="16"/>
      <c r="H800" s="8"/>
      <c r="I800" s="16"/>
    </row>
    <row r="801" outlineLevel="1">
      <c r="A801" s="9" t="s">
        <v>1097</v>
      </c>
      <c r="B801" s="9" t="s">
        <v>231</v>
      </c>
      <c r="C801" s="12" t="s">
        <v>24</v>
      </c>
      <c r="D801" s="14" t="s">
        <v>1070</v>
      </c>
      <c r="E801" s="16"/>
      <c r="F801" s="8"/>
      <c r="G801" s="16"/>
      <c r="H801" s="8"/>
      <c r="I801" s="16"/>
    </row>
    <row r="802" outlineLevel="1">
      <c r="A802" s="9" t="s">
        <v>1098</v>
      </c>
      <c r="B802" s="9" t="s">
        <v>260</v>
      </c>
      <c r="C802" s="12" t="s">
        <v>93</v>
      </c>
      <c r="D802" s="14" t="s">
        <v>1070</v>
      </c>
      <c r="E802" s="16"/>
      <c r="F802" s="8"/>
      <c r="G802" s="16"/>
      <c r="H802" s="8"/>
      <c r="I802" s="16"/>
    </row>
    <row r="803" outlineLevel="1">
      <c r="A803" s="9" t="s">
        <v>1099</v>
      </c>
      <c r="B803" s="9" t="s">
        <v>299</v>
      </c>
      <c r="C803" s="12" t="s">
        <v>141</v>
      </c>
      <c r="D803" s="14" t="s">
        <v>1070</v>
      </c>
      <c r="E803" s="16"/>
      <c r="F803" s="8"/>
      <c r="G803" s="16"/>
      <c r="H803" s="8"/>
      <c r="I803" s="16"/>
    </row>
    <row r="804" outlineLevel="1">
      <c r="A804" s="18" t="s">
        <v>780</v>
      </c>
      <c r="B804" s="9" t="s">
        <v>456</v>
      </c>
      <c r="C804" s="12" t="s">
        <v>65</v>
      </c>
      <c r="D804" s="14" t="s">
        <v>1070</v>
      </c>
      <c r="E804" s="16"/>
      <c r="F804" s="8"/>
      <c r="G804" s="16"/>
      <c r="H804" s="8"/>
      <c r="I804" s="16"/>
    </row>
    <row r="805" outlineLevel="1">
      <c r="A805" s="9" t="s">
        <v>1100</v>
      </c>
      <c r="B805" s="18" t="s">
        <v>1101</v>
      </c>
      <c r="C805" s="19" t="s">
        <v>16</v>
      </c>
      <c r="D805" s="14" t="s">
        <v>1070</v>
      </c>
      <c r="E805" s="16"/>
      <c r="F805" s="8"/>
      <c r="G805" s="16"/>
      <c r="H805" s="8"/>
      <c r="I805" s="16"/>
    </row>
    <row r="806" outlineLevel="1">
      <c r="A806" s="9" t="s">
        <v>1102</v>
      </c>
      <c r="B806" s="9" t="s">
        <v>1103</v>
      </c>
      <c r="C806" s="12" t="s">
        <v>16</v>
      </c>
      <c r="D806" s="14" t="s">
        <v>1070</v>
      </c>
      <c r="E806" s="16"/>
      <c r="F806" s="8"/>
      <c r="G806" s="16"/>
      <c r="H806" s="8"/>
      <c r="I806" s="16"/>
    </row>
    <row r="807" outlineLevel="1">
      <c r="A807" s="9" t="s">
        <v>106</v>
      </c>
      <c r="B807" s="9" t="s">
        <v>1044</v>
      </c>
      <c r="C807" s="12" t="s">
        <v>24</v>
      </c>
      <c r="D807" s="14" t="s">
        <v>1070</v>
      </c>
      <c r="E807" s="16"/>
      <c r="F807" s="8"/>
      <c r="G807" s="16"/>
      <c r="H807" s="8"/>
      <c r="I807" s="16"/>
    </row>
    <row r="808" outlineLevel="1">
      <c r="A808" s="9" t="s">
        <v>1104</v>
      </c>
      <c r="B808" s="9" t="s">
        <v>1105</v>
      </c>
      <c r="C808" s="12" t="s">
        <v>186</v>
      </c>
      <c r="D808" s="14" t="s">
        <v>1070</v>
      </c>
      <c r="E808" s="16"/>
      <c r="F808" s="8"/>
      <c r="G808" s="16"/>
      <c r="H808" s="8"/>
      <c r="I808" s="16"/>
    </row>
    <row r="809" outlineLevel="1">
      <c r="A809" s="9" t="s">
        <v>106</v>
      </c>
      <c r="B809" s="9" t="s">
        <v>1106</v>
      </c>
      <c r="C809" s="12" t="s">
        <v>132</v>
      </c>
      <c r="D809" s="14" t="s">
        <v>1070</v>
      </c>
      <c r="E809" s="16"/>
      <c r="F809" s="8"/>
      <c r="G809" s="16"/>
      <c r="H809" s="8"/>
      <c r="I809" s="16"/>
    </row>
    <row r="810" outlineLevel="1">
      <c r="A810" s="9" t="s">
        <v>106</v>
      </c>
      <c r="B810" s="9" t="s">
        <v>1107</v>
      </c>
      <c r="C810" s="12" t="s">
        <v>186</v>
      </c>
      <c r="D810" s="14" t="s">
        <v>1070</v>
      </c>
      <c r="E810" s="16"/>
      <c r="F810" s="8"/>
      <c r="G810" s="16"/>
      <c r="H810" s="8"/>
      <c r="I810" s="16"/>
    </row>
    <row r="811" outlineLevel="1">
      <c r="A811" s="9" t="s">
        <v>106</v>
      </c>
      <c r="B811" s="9" t="s">
        <v>1108</v>
      </c>
      <c r="C811" s="12" t="s">
        <v>138</v>
      </c>
      <c r="D811" s="14" t="s">
        <v>1070</v>
      </c>
      <c r="E811" s="16"/>
      <c r="F811" s="8"/>
      <c r="G811" s="16"/>
      <c r="H811" s="8"/>
      <c r="I811" s="16"/>
    </row>
    <row r="812" outlineLevel="1">
      <c r="A812" s="9" t="s">
        <v>106</v>
      </c>
      <c r="B812" s="9" t="s">
        <v>283</v>
      </c>
      <c r="C812" s="12" t="s">
        <v>70</v>
      </c>
      <c r="D812" s="14" t="s">
        <v>1070</v>
      </c>
      <c r="E812" s="16"/>
      <c r="F812" s="8"/>
      <c r="G812" s="16"/>
      <c r="H812" s="8"/>
      <c r="I812" s="16"/>
    </row>
    <row r="813" outlineLevel="1">
      <c r="A813" s="9" t="s">
        <v>106</v>
      </c>
      <c r="B813" s="9" t="s">
        <v>334</v>
      </c>
      <c r="C813" s="12" t="s">
        <v>149</v>
      </c>
      <c r="D813" s="14" t="s">
        <v>1070</v>
      </c>
      <c r="E813" s="16"/>
      <c r="F813" s="8"/>
      <c r="G813" s="16"/>
      <c r="H813" s="8"/>
      <c r="I813" s="16"/>
    </row>
    <row r="814" outlineLevel="1">
      <c r="A814" s="9" t="s">
        <v>106</v>
      </c>
      <c r="B814" s="9" t="s">
        <v>842</v>
      </c>
      <c r="C814" s="12" t="s">
        <v>12</v>
      </c>
      <c r="D814" s="14" t="s">
        <v>1070</v>
      </c>
      <c r="E814" s="16"/>
      <c r="F814" s="18"/>
      <c r="G814" s="19"/>
      <c r="H814" s="18"/>
      <c r="I814" s="19"/>
    </row>
    <row r="815" outlineLevel="1">
      <c r="A815" s="9" t="s">
        <v>1109</v>
      </c>
      <c r="B815" s="9" t="s">
        <v>1110</v>
      </c>
      <c r="C815" s="12" t="s">
        <v>93</v>
      </c>
      <c r="D815" s="14" t="s">
        <v>1070</v>
      </c>
      <c r="E815" s="16"/>
      <c r="F815" s="8"/>
      <c r="G815" s="16"/>
      <c r="H815" s="8"/>
      <c r="I815" s="16"/>
    </row>
    <row r="816" outlineLevel="1">
      <c r="A816" s="9" t="s">
        <v>190</v>
      </c>
      <c r="B816" s="9" t="s">
        <v>569</v>
      </c>
      <c r="C816" s="12" t="s">
        <v>192</v>
      </c>
      <c r="D816" s="14" t="s">
        <v>1070</v>
      </c>
      <c r="E816" s="16"/>
      <c r="F816" s="8"/>
      <c r="G816" s="16"/>
      <c r="H816" s="8"/>
      <c r="I816" s="16"/>
    </row>
    <row r="817" outlineLevel="1">
      <c r="A817" s="9" t="s">
        <v>486</v>
      </c>
      <c r="B817" s="9" t="s">
        <v>628</v>
      </c>
      <c r="C817" s="12" t="s">
        <v>24</v>
      </c>
      <c r="D817" s="14" t="s">
        <v>1070</v>
      </c>
      <c r="E817" s="16"/>
      <c r="F817" s="8"/>
      <c r="G817" s="16"/>
      <c r="H817" s="8"/>
      <c r="I817" s="16"/>
    </row>
    <row r="818" outlineLevel="1">
      <c r="A818" s="9" t="s">
        <v>1111</v>
      </c>
      <c r="B818" s="9" t="s">
        <v>119</v>
      </c>
      <c r="C818" s="12" t="s">
        <v>80</v>
      </c>
      <c r="D818" s="14" t="s">
        <v>1070</v>
      </c>
      <c r="E818" s="16"/>
      <c r="F818" s="18"/>
      <c r="G818" s="19"/>
      <c r="H818" s="18"/>
      <c r="I818" s="19"/>
    </row>
    <row r="819" outlineLevel="1">
      <c r="A819" s="9" t="s">
        <v>1112</v>
      </c>
      <c r="B819" s="9" t="s">
        <v>1113</v>
      </c>
      <c r="C819" s="12" t="s">
        <v>65</v>
      </c>
      <c r="D819" s="14" t="s">
        <v>1070</v>
      </c>
      <c r="E819" s="16"/>
      <c r="F819" s="8"/>
      <c r="G819" s="16"/>
      <c r="H819" s="8"/>
      <c r="I819" s="16"/>
    </row>
    <row r="820" outlineLevel="1">
      <c r="A820" s="9" t="s">
        <v>868</v>
      </c>
      <c r="B820" s="9" t="s">
        <v>1114</v>
      </c>
      <c r="C820" s="12" t="s">
        <v>93</v>
      </c>
      <c r="D820" s="14" t="s">
        <v>1070</v>
      </c>
      <c r="E820" s="16"/>
      <c r="F820" s="18"/>
      <c r="G820" s="19"/>
      <c r="H820" s="18"/>
      <c r="I820" s="19"/>
    </row>
    <row r="821" outlineLevel="1">
      <c r="A821" s="18" t="s">
        <v>142</v>
      </c>
      <c r="B821" s="9" t="s">
        <v>1115</v>
      </c>
      <c r="C821" s="12" t="s">
        <v>59</v>
      </c>
      <c r="D821" s="14" t="s">
        <v>1070</v>
      </c>
      <c r="E821" s="16"/>
      <c r="F821" s="8"/>
      <c r="G821" s="16"/>
      <c r="H821" s="8"/>
      <c r="I821" s="16"/>
    </row>
    <row r="822" outlineLevel="1">
      <c r="A822" s="9" t="s">
        <v>1116</v>
      </c>
      <c r="B822" s="18" t="s">
        <v>1117</v>
      </c>
      <c r="C822" s="19" t="s">
        <v>24</v>
      </c>
      <c r="D822" s="14" t="s">
        <v>1070</v>
      </c>
      <c r="E822" s="16"/>
      <c r="F822" s="8"/>
      <c r="G822" s="16"/>
      <c r="H822" s="8"/>
      <c r="I822" s="16"/>
    </row>
    <row r="823" outlineLevel="1">
      <c r="A823" s="9" t="s">
        <v>1118</v>
      </c>
      <c r="B823" s="9" t="s">
        <v>1119</v>
      </c>
      <c r="C823" s="12" t="s">
        <v>70</v>
      </c>
      <c r="D823" s="14" t="s">
        <v>1070</v>
      </c>
      <c r="E823" s="16"/>
      <c r="F823" s="8"/>
      <c r="G823" s="16"/>
      <c r="H823" s="8"/>
      <c r="I823" s="16"/>
    </row>
    <row r="824" outlineLevel="1">
      <c r="A824" s="9" t="s">
        <v>248</v>
      </c>
      <c r="B824" s="9" t="s">
        <v>943</v>
      </c>
      <c r="C824" s="12" t="s">
        <v>65</v>
      </c>
      <c r="D824" s="14" t="s">
        <v>1070</v>
      </c>
      <c r="E824" s="16"/>
      <c r="F824" s="8"/>
      <c r="G824" s="16"/>
      <c r="H824" s="8"/>
      <c r="I824" s="16"/>
    </row>
    <row r="825" outlineLevel="1">
      <c r="A825" s="9" t="s">
        <v>1120</v>
      </c>
      <c r="B825" s="9" t="s">
        <v>676</v>
      </c>
      <c r="C825" s="12" t="s">
        <v>132</v>
      </c>
      <c r="D825" s="14" t="s">
        <v>1070</v>
      </c>
      <c r="E825" s="16"/>
      <c r="F825" s="8"/>
      <c r="G825" s="16"/>
      <c r="H825" s="8"/>
      <c r="I825" s="16"/>
    </row>
    <row r="826" outlineLevel="1">
      <c r="A826" s="9" t="s">
        <v>1121</v>
      </c>
      <c r="B826" s="9" t="s">
        <v>212</v>
      </c>
      <c r="C826" s="12" t="s">
        <v>53</v>
      </c>
      <c r="D826" s="14" t="s">
        <v>1070</v>
      </c>
      <c r="E826" s="16"/>
      <c r="F826" s="8"/>
      <c r="G826" s="16"/>
      <c r="H826" s="8"/>
      <c r="I826" s="16"/>
    </row>
    <row r="827" outlineLevel="1">
      <c r="A827" s="18" t="s">
        <v>90</v>
      </c>
      <c r="B827" s="9" t="s">
        <v>1122</v>
      </c>
      <c r="C827" s="12" t="s">
        <v>46</v>
      </c>
      <c r="D827" s="14" t="s">
        <v>1070</v>
      </c>
      <c r="E827" s="16"/>
      <c r="F827" s="8"/>
      <c r="G827" s="16"/>
      <c r="H827" s="8"/>
      <c r="I827" s="16"/>
    </row>
    <row r="828" outlineLevel="1">
      <c r="A828" s="9" t="s">
        <v>90</v>
      </c>
      <c r="B828" s="18" t="s">
        <v>69</v>
      </c>
      <c r="C828" s="19" t="s">
        <v>215</v>
      </c>
      <c r="D828" s="14" t="s">
        <v>1070</v>
      </c>
      <c r="E828" s="16"/>
      <c r="F828" s="8"/>
      <c r="G828" s="16"/>
      <c r="H828" s="8"/>
      <c r="I828" s="16"/>
    </row>
    <row r="829" outlineLevel="1">
      <c r="A829" s="9" t="s">
        <v>1123</v>
      </c>
      <c r="B829" s="9" t="s">
        <v>1124</v>
      </c>
      <c r="C829" s="12" t="s">
        <v>59</v>
      </c>
      <c r="D829" s="14" t="s">
        <v>1070</v>
      </c>
      <c r="E829" s="16"/>
      <c r="F829" s="8"/>
      <c r="G829" s="16"/>
      <c r="H829" s="8"/>
      <c r="I829" s="16"/>
    </row>
    <row r="830" outlineLevel="1">
      <c r="A830" s="9" t="s">
        <v>349</v>
      </c>
      <c r="B830" s="9" t="s">
        <v>1125</v>
      </c>
      <c r="C830" s="12" t="s">
        <v>65</v>
      </c>
      <c r="D830" s="14" t="s">
        <v>1070</v>
      </c>
      <c r="E830" s="16"/>
      <c r="F830" s="8"/>
      <c r="G830" s="16"/>
      <c r="H830" s="8"/>
      <c r="I830" s="16"/>
    </row>
    <row r="831" outlineLevel="1">
      <c r="A831" s="9" t="s">
        <v>877</v>
      </c>
      <c r="B831" s="9" t="s">
        <v>381</v>
      </c>
      <c r="C831" s="12" t="s">
        <v>93</v>
      </c>
      <c r="D831" s="14" t="s">
        <v>1070</v>
      </c>
      <c r="E831" s="16"/>
      <c r="F831" s="8"/>
      <c r="G831" s="16"/>
      <c r="H831" s="8"/>
      <c r="I831" s="16"/>
    </row>
    <row r="832" outlineLevel="1">
      <c r="A832" s="9" t="s">
        <v>877</v>
      </c>
      <c r="B832" s="9" t="s">
        <v>1126</v>
      </c>
      <c r="C832" s="12" t="s">
        <v>70</v>
      </c>
      <c r="D832" s="14" t="s">
        <v>1070</v>
      </c>
      <c r="E832" s="16"/>
      <c r="F832" s="8"/>
      <c r="G832" s="16"/>
      <c r="H832" s="8"/>
      <c r="I832" s="16"/>
    </row>
    <row r="833" outlineLevel="1">
      <c r="A833" s="18" t="s">
        <v>498</v>
      </c>
      <c r="B833" s="9" t="s">
        <v>1127</v>
      </c>
      <c r="C833" s="12" t="s">
        <v>149</v>
      </c>
      <c r="D833" s="14" t="s">
        <v>1070</v>
      </c>
      <c r="E833" s="16"/>
      <c r="F833" s="8"/>
      <c r="G833" s="16"/>
      <c r="H833" s="8"/>
      <c r="I833" s="16"/>
    </row>
    <row r="834" outlineLevel="1">
      <c r="A834" s="9" t="s">
        <v>498</v>
      </c>
      <c r="B834" s="18" t="s">
        <v>1128</v>
      </c>
      <c r="C834" s="19" t="s">
        <v>93</v>
      </c>
      <c r="D834" s="14" t="s">
        <v>1070</v>
      </c>
      <c r="E834" s="16"/>
      <c r="F834" s="8"/>
      <c r="G834" s="16"/>
      <c r="H834" s="8"/>
      <c r="I834" s="16"/>
    </row>
    <row r="835" outlineLevel="1">
      <c r="A835" s="9" t="s">
        <v>498</v>
      </c>
      <c r="B835" s="9" t="s">
        <v>1129</v>
      </c>
      <c r="C835" s="12" t="s">
        <v>46</v>
      </c>
      <c r="D835" s="14" t="s">
        <v>1070</v>
      </c>
      <c r="E835" s="16"/>
      <c r="F835" s="8"/>
      <c r="G835" s="16"/>
      <c r="H835" s="8"/>
      <c r="I835" s="16"/>
    </row>
    <row r="836" outlineLevel="1">
      <c r="A836" s="9" t="s">
        <v>1130</v>
      </c>
      <c r="B836" s="9" t="s">
        <v>275</v>
      </c>
      <c r="C836" s="12" t="s">
        <v>65</v>
      </c>
      <c r="D836" s="14" t="s">
        <v>1070</v>
      </c>
      <c r="E836" s="16"/>
      <c r="F836" s="8"/>
      <c r="G836" s="16"/>
      <c r="H836" s="8"/>
      <c r="I836" s="16"/>
    </row>
    <row r="837" outlineLevel="1">
      <c r="A837" s="9" t="s">
        <v>195</v>
      </c>
      <c r="B837" s="9" t="s">
        <v>1131</v>
      </c>
      <c r="C837" s="12" t="s">
        <v>16</v>
      </c>
      <c r="D837" s="14" t="s">
        <v>1070</v>
      </c>
      <c r="E837" s="16"/>
      <c r="F837" s="8"/>
      <c r="G837" s="16"/>
      <c r="H837" s="8"/>
      <c r="I837" s="16"/>
    </row>
    <row r="838" outlineLevel="1">
      <c r="A838" s="9" t="s">
        <v>1132</v>
      </c>
      <c r="B838" s="9" t="s">
        <v>647</v>
      </c>
      <c r="C838" s="12" t="s">
        <v>192</v>
      </c>
      <c r="D838" s="14" t="s">
        <v>1070</v>
      </c>
      <c r="E838" s="16"/>
      <c r="F838" s="8"/>
      <c r="G838" s="16"/>
      <c r="H838" s="8"/>
      <c r="I838" s="16"/>
    </row>
    <row r="839" outlineLevel="1">
      <c r="A839" s="9" t="s">
        <v>1133</v>
      </c>
      <c r="B839" s="9" t="s">
        <v>1134</v>
      </c>
      <c r="C839" s="12" t="s">
        <v>93</v>
      </c>
      <c r="D839" s="14" t="s">
        <v>1070</v>
      </c>
      <c r="E839" s="16"/>
      <c r="F839" s="8"/>
      <c r="G839" s="16"/>
      <c r="H839" s="8"/>
      <c r="I839" s="16"/>
    </row>
    <row r="840" outlineLevel="1">
      <c r="A840" s="9" t="s">
        <v>1135</v>
      </c>
      <c r="B840" s="9" t="s">
        <v>1136</v>
      </c>
      <c r="C840" s="12" t="s">
        <v>65</v>
      </c>
      <c r="D840" s="14" t="s">
        <v>1070</v>
      </c>
      <c r="E840" s="16"/>
      <c r="F840" s="8"/>
      <c r="G840" s="16"/>
      <c r="H840" s="8"/>
      <c r="I840" s="16"/>
    </row>
    <row r="841" outlineLevel="1">
      <c r="A841" s="9" t="s">
        <v>1137</v>
      </c>
      <c r="B841" s="9" t="s">
        <v>948</v>
      </c>
      <c r="C841" s="12" t="s">
        <v>70</v>
      </c>
      <c r="D841" s="14" t="s">
        <v>1070</v>
      </c>
      <c r="E841" s="16"/>
      <c r="F841" s="8"/>
      <c r="G841" s="16"/>
      <c r="H841" s="8"/>
      <c r="I841" s="16"/>
    </row>
    <row r="842" outlineLevel="1">
      <c r="A842" s="9" t="s">
        <v>1138</v>
      </c>
      <c r="B842" s="9" t="s">
        <v>162</v>
      </c>
      <c r="C842" s="12" t="s">
        <v>24</v>
      </c>
      <c r="D842" s="14" t="s">
        <v>1070</v>
      </c>
      <c r="E842" s="16"/>
      <c r="F842" s="18"/>
      <c r="G842" s="19"/>
      <c r="H842" s="18"/>
      <c r="I842" s="19"/>
    </row>
    <row r="843" outlineLevel="1">
      <c r="A843" s="9" t="s">
        <v>1139</v>
      </c>
      <c r="B843" s="9" t="s">
        <v>102</v>
      </c>
      <c r="C843" s="12" t="s">
        <v>75</v>
      </c>
      <c r="D843" s="14" t="s">
        <v>1070</v>
      </c>
      <c r="E843" s="16"/>
      <c r="F843" s="8"/>
      <c r="G843" s="16"/>
      <c r="H843" s="8"/>
      <c r="I843" s="16"/>
    </row>
    <row r="844" outlineLevel="1">
      <c r="A844" s="9" t="s">
        <v>1140</v>
      </c>
      <c r="B844" s="9" t="s">
        <v>1141</v>
      </c>
      <c r="C844" s="12" t="s">
        <v>122</v>
      </c>
      <c r="D844" s="14" t="s">
        <v>1070</v>
      </c>
      <c r="E844" s="16"/>
      <c r="F844" s="8"/>
      <c r="G844" s="16"/>
      <c r="H844" s="8"/>
      <c r="I844" s="16"/>
    </row>
    <row r="845" outlineLevel="1">
      <c r="A845" s="9" t="s">
        <v>61</v>
      </c>
      <c r="B845" s="9" t="s">
        <v>183</v>
      </c>
      <c r="C845" s="12" t="s">
        <v>70</v>
      </c>
      <c r="D845" s="14" t="s">
        <v>1070</v>
      </c>
      <c r="E845" s="16"/>
      <c r="F845" s="8"/>
      <c r="G845" s="16"/>
      <c r="H845" s="8"/>
      <c r="I845" s="16"/>
    </row>
    <row r="846" outlineLevel="1">
      <c r="A846" s="9" t="s">
        <v>61</v>
      </c>
      <c r="B846" s="9" t="s">
        <v>1028</v>
      </c>
      <c r="C846" s="12" t="s">
        <v>65</v>
      </c>
      <c r="D846" s="14" t="s">
        <v>1070</v>
      </c>
      <c r="E846" s="16"/>
      <c r="F846" s="8"/>
      <c r="G846" s="16"/>
      <c r="H846" s="8"/>
      <c r="I846" s="16"/>
    </row>
    <row r="847" outlineLevel="1">
      <c r="A847" s="9" t="s">
        <v>1142</v>
      </c>
      <c r="B847" s="9" t="s">
        <v>1143</v>
      </c>
      <c r="C847" s="12" t="s">
        <v>93</v>
      </c>
      <c r="D847" s="14" t="s">
        <v>1070</v>
      </c>
      <c r="E847" s="16"/>
      <c r="F847" s="8"/>
      <c r="G847" s="16"/>
      <c r="H847" s="8"/>
      <c r="I847" s="16"/>
    </row>
    <row r="848" outlineLevel="1">
      <c r="A848" s="9" t="s">
        <v>1144</v>
      </c>
      <c r="B848" s="9" t="s">
        <v>793</v>
      </c>
      <c r="C848" s="12" t="s">
        <v>24</v>
      </c>
      <c r="D848" s="14" t="s">
        <v>1070</v>
      </c>
      <c r="E848" s="16"/>
      <c r="F848" s="8"/>
      <c r="G848" s="16"/>
      <c r="H848" s="8"/>
      <c r="I848" s="16"/>
    </row>
    <row r="849" outlineLevel="1">
      <c r="A849" s="9" t="s">
        <v>1145</v>
      </c>
      <c r="B849" s="9" t="s">
        <v>1146</v>
      </c>
      <c r="C849" s="12" t="s">
        <v>65</v>
      </c>
      <c r="D849" s="14" t="s">
        <v>1070</v>
      </c>
      <c r="E849" s="16"/>
      <c r="F849" s="8"/>
      <c r="G849" s="16"/>
      <c r="H849" s="8"/>
      <c r="I849" s="16"/>
    </row>
    <row r="850" outlineLevel="1">
      <c r="A850" s="9" t="s">
        <v>1147</v>
      </c>
      <c r="B850" s="9" t="s">
        <v>1148</v>
      </c>
      <c r="C850" s="12" t="s">
        <v>192</v>
      </c>
      <c r="D850" s="14" t="s">
        <v>1070</v>
      </c>
      <c r="E850" s="16"/>
      <c r="F850" s="8"/>
      <c r="G850" s="16"/>
      <c r="H850" s="8"/>
      <c r="I850" s="16"/>
    </row>
    <row r="851" outlineLevel="1">
      <c r="A851" s="9" t="s">
        <v>1149</v>
      </c>
      <c r="B851" s="9" t="s">
        <v>421</v>
      </c>
      <c r="C851" s="12" t="s">
        <v>38</v>
      </c>
      <c r="D851" s="14" t="s">
        <v>1070</v>
      </c>
      <c r="E851" s="16"/>
      <c r="F851" s="8"/>
      <c r="G851" s="16"/>
      <c r="H851" s="8"/>
      <c r="I851" s="16"/>
    </row>
    <row r="852" outlineLevel="1">
      <c r="A852" s="9" t="s">
        <v>1150</v>
      </c>
      <c r="B852" s="9" t="s">
        <v>301</v>
      </c>
      <c r="C852" s="12" t="s">
        <v>65</v>
      </c>
      <c r="D852" s="14" t="s">
        <v>1070</v>
      </c>
      <c r="E852" s="16"/>
      <c r="F852" s="8"/>
      <c r="G852" s="16"/>
      <c r="H852" s="8"/>
      <c r="I852" s="16"/>
    </row>
    <row r="853" outlineLevel="1">
      <c r="A853" s="9" t="s">
        <v>1151</v>
      </c>
      <c r="B853" s="9" t="s">
        <v>1152</v>
      </c>
      <c r="C853" s="12" t="s">
        <v>59</v>
      </c>
      <c r="D853" s="14" t="s">
        <v>1070</v>
      </c>
      <c r="E853" s="16"/>
      <c r="F853" s="8"/>
      <c r="G853" s="16"/>
      <c r="H853" s="8"/>
      <c r="I853" s="16"/>
    </row>
    <row r="854" outlineLevel="1">
      <c r="A854" s="9" t="s">
        <v>1153</v>
      </c>
      <c r="B854" s="9" t="s">
        <v>1154</v>
      </c>
      <c r="C854" s="12" t="s">
        <v>93</v>
      </c>
      <c r="D854" s="14" t="s">
        <v>1070</v>
      </c>
      <c r="E854" s="16"/>
      <c r="F854" s="18"/>
      <c r="G854" s="19"/>
      <c r="H854" s="18"/>
      <c r="I854" s="19"/>
    </row>
    <row r="855" outlineLevel="1">
      <c r="A855" s="9" t="s">
        <v>1155</v>
      </c>
      <c r="B855" s="9" t="s">
        <v>690</v>
      </c>
      <c r="C855" s="12" t="s">
        <v>65</v>
      </c>
      <c r="D855" s="14" t="s">
        <v>1070</v>
      </c>
      <c r="E855" s="16"/>
      <c r="F855" s="18"/>
      <c r="G855" s="19"/>
      <c r="H855" s="18"/>
      <c r="I855" s="19"/>
    </row>
    <row r="856" outlineLevel="1">
      <c r="A856" s="9" t="s">
        <v>1156</v>
      </c>
      <c r="B856" s="9" t="s">
        <v>746</v>
      </c>
      <c r="C856" s="12" t="s">
        <v>132</v>
      </c>
      <c r="D856" s="14" t="s">
        <v>1070</v>
      </c>
      <c r="E856" s="16"/>
      <c r="F856" s="8"/>
      <c r="G856" s="16"/>
      <c r="H856" s="8"/>
      <c r="I856" s="16"/>
    </row>
    <row r="857" outlineLevel="1">
      <c r="A857" s="9" t="s">
        <v>1157</v>
      </c>
      <c r="B857" s="9" t="s">
        <v>712</v>
      </c>
      <c r="C857" s="12" t="s">
        <v>16</v>
      </c>
      <c r="D857" s="14" t="s">
        <v>1070</v>
      </c>
      <c r="E857" s="16"/>
      <c r="F857" s="8"/>
      <c r="G857" s="16"/>
      <c r="H857" s="8"/>
      <c r="I857" s="16"/>
    </row>
    <row r="858" outlineLevel="1">
      <c r="A858" s="9" t="s">
        <v>1158</v>
      </c>
      <c r="B858" s="9" t="s">
        <v>121</v>
      </c>
      <c r="C858" s="12" t="s">
        <v>122</v>
      </c>
      <c r="D858" s="14" t="s">
        <v>1070</v>
      </c>
      <c r="E858" s="16"/>
      <c r="F858" s="8"/>
      <c r="G858" s="16"/>
      <c r="H858" s="8"/>
      <c r="I858" s="16"/>
    </row>
    <row r="859" outlineLevel="1">
      <c r="A859" s="9" t="s">
        <v>1159</v>
      </c>
      <c r="B859" s="9" t="s">
        <v>1160</v>
      </c>
      <c r="C859" s="12" t="s">
        <v>59</v>
      </c>
      <c r="D859" s="14" t="s">
        <v>1070</v>
      </c>
      <c r="E859" s="16"/>
      <c r="F859" s="8"/>
      <c r="G859" s="16"/>
      <c r="H859" s="8"/>
      <c r="I859" s="16"/>
    </row>
    <row r="860" outlineLevel="1">
      <c r="A860" s="9" t="s">
        <v>1161</v>
      </c>
      <c r="B860" s="9" t="s">
        <v>129</v>
      </c>
      <c r="C860" s="12" t="s">
        <v>24</v>
      </c>
      <c r="D860" s="14" t="s">
        <v>1070</v>
      </c>
      <c r="E860" s="16"/>
      <c r="F860" s="8"/>
      <c r="G860" s="16"/>
      <c r="H860" s="8"/>
      <c r="I860" s="16"/>
    </row>
    <row r="861" outlineLevel="1">
      <c r="A861" s="9" t="s">
        <v>897</v>
      </c>
      <c r="B861" s="9" t="s">
        <v>1162</v>
      </c>
      <c r="C861" s="12" t="s">
        <v>93</v>
      </c>
      <c r="D861" s="14" t="s">
        <v>1070</v>
      </c>
      <c r="E861" s="16"/>
      <c r="F861" s="8"/>
      <c r="G861" s="16"/>
      <c r="H861" s="8"/>
      <c r="I861" s="16"/>
    </row>
    <row r="862" outlineLevel="1">
      <c r="A862" s="9" t="s">
        <v>1163</v>
      </c>
      <c r="B862" s="9" t="s">
        <v>100</v>
      </c>
      <c r="C862" s="12" t="s">
        <v>65</v>
      </c>
      <c r="D862" s="14" t="s">
        <v>1070</v>
      </c>
      <c r="E862" s="16"/>
      <c r="F862" s="8"/>
      <c r="G862" s="16"/>
      <c r="H862" s="8"/>
      <c r="I862" s="16"/>
    </row>
    <row r="863" outlineLevel="1">
      <c r="A863" s="9" t="s">
        <v>1164</v>
      </c>
      <c r="B863" s="9" t="s">
        <v>1165</v>
      </c>
      <c r="C863" s="12" t="s">
        <v>192</v>
      </c>
      <c r="D863" s="14" t="s">
        <v>1070</v>
      </c>
      <c r="E863" s="16"/>
      <c r="F863" s="8"/>
      <c r="G863" s="16"/>
      <c r="H863" s="8"/>
      <c r="I863" s="16"/>
    </row>
    <row r="864" outlineLevel="1">
      <c r="A864" s="9" t="s">
        <v>1164</v>
      </c>
      <c r="B864" s="9" t="s">
        <v>183</v>
      </c>
      <c r="C864" s="12" t="s">
        <v>65</v>
      </c>
      <c r="D864" s="14" t="s">
        <v>1070</v>
      </c>
      <c r="E864" s="16"/>
      <c r="F864" s="8"/>
      <c r="G864" s="16"/>
      <c r="H864" s="8"/>
      <c r="I864" s="16"/>
    </row>
    <row r="865" outlineLevel="1">
      <c r="A865" s="9" t="s">
        <v>1166</v>
      </c>
      <c r="B865" s="9" t="s">
        <v>212</v>
      </c>
      <c r="C865" s="12" t="s">
        <v>141</v>
      </c>
      <c r="D865" s="14" t="s">
        <v>1070</v>
      </c>
      <c r="E865" s="16"/>
      <c r="F865" s="8"/>
      <c r="G865" s="16"/>
      <c r="H865" s="8"/>
      <c r="I865" s="16"/>
    </row>
    <row r="866" outlineLevel="1">
      <c r="A866" s="9" t="s">
        <v>1167</v>
      </c>
      <c r="B866" s="9" t="s">
        <v>892</v>
      </c>
      <c r="C866" s="12" t="s">
        <v>70</v>
      </c>
      <c r="D866" s="14" t="s">
        <v>1070</v>
      </c>
      <c r="E866" s="16"/>
      <c r="F866" s="8"/>
      <c r="G866" s="16"/>
      <c r="H866" s="8"/>
      <c r="I866" s="16"/>
    </row>
    <row r="867" outlineLevel="1">
      <c r="A867" s="9" t="s">
        <v>1168</v>
      </c>
      <c r="B867" s="9" t="s">
        <v>925</v>
      </c>
      <c r="C867" s="12" t="s">
        <v>80</v>
      </c>
      <c r="D867" s="14" t="s">
        <v>1070</v>
      </c>
      <c r="E867" s="16"/>
      <c r="F867" s="8"/>
      <c r="G867" s="16"/>
      <c r="H867" s="8"/>
      <c r="I867" s="16"/>
    </row>
    <row r="868" outlineLevel="1">
      <c r="A868" s="9" t="s">
        <v>1169</v>
      </c>
      <c r="B868" s="9" t="s">
        <v>41</v>
      </c>
      <c r="C868" s="12" t="s">
        <v>12</v>
      </c>
      <c r="D868" s="14" t="s">
        <v>1070</v>
      </c>
      <c r="E868" s="16"/>
      <c r="F868" s="8"/>
      <c r="G868" s="16"/>
      <c r="H868" s="8"/>
      <c r="I868" s="16"/>
    </row>
    <row r="869" outlineLevel="1">
      <c r="A869" s="9" t="s">
        <v>1170</v>
      </c>
      <c r="B869" s="9" t="s">
        <v>301</v>
      </c>
      <c r="C869" s="12" t="s">
        <v>70</v>
      </c>
      <c r="D869" s="14" t="s">
        <v>1070</v>
      </c>
      <c r="E869" s="16"/>
      <c r="F869" s="8"/>
      <c r="G869" s="16"/>
      <c r="H869" s="8"/>
      <c r="I869" s="16"/>
    </row>
    <row r="870" outlineLevel="1">
      <c r="A870" s="9" t="s">
        <v>1171</v>
      </c>
      <c r="B870" s="9" t="s">
        <v>52</v>
      </c>
      <c r="C870" s="12" t="s">
        <v>149</v>
      </c>
      <c r="D870" s="14" t="s">
        <v>1070</v>
      </c>
      <c r="E870" s="16"/>
      <c r="F870" s="8"/>
      <c r="G870" s="16"/>
      <c r="H870" s="8"/>
      <c r="I870" s="16"/>
    </row>
    <row r="871" outlineLevel="1">
      <c r="A871" s="9" t="s">
        <v>913</v>
      </c>
      <c r="B871" s="9" t="s">
        <v>865</v>
      </c>
      <c r="C871" s="12" t="s">
        <v>215</v>
      </c>
      <c r="D871" s="14" t="s">
        <v>1070</v>
      </c>
      <c r="E871" s="16"/>
      <c r="F871" s="8"/>
      <c r="G871" s="16"/>
      <c r="H871" s="8"/>
      <c r="I871" s="16"/>
    </row>
    <row r="872" outlineLevel="1">
      <c r="A872" s="9" t="s">
        <v>510</v>
      </c>
      <c r="B872" s="9" t="s">
        <v>1172</v>
      </c>
      <c r="C872" s="12" t="s">
        <v>59</v>
      </c>
      <c r="D872" s="14" t="s">
        <v>1070</v>
      </c>
      <c r="E872" s="16"/>
      <c r="F872" s="8"/>
      <c r="G872" s="16"/>
      <c r="H872" s="8"/>
      <c r="I872" s="16"/>
    </row>
    <row r="873" outlineLevel="1">
      <c r="A873" s="9" t="s">
        <v>267</v>
      </c>
      <c r="B873" s="9" t="s">
        <v>1173</v>
      </c>
      <c r="C873" s="12" t="s">
        <v>53</v>
      </c>
      <c r="D873" s="14" t="s">
        <v>1070</v>
      </c>
      <c r="E873" s="16"/>
      <c r="F873" s="8"/>
      <c r="G873" s="16"/>
      <c r="H873" s="8"/>
      <c r="I873" s="16"/>
    </row>
    <row r="874" outlineLevel="1">
      <c r="A874" s="18" t="s">
        <v>1174</v>
      </c>
      <c r="B874" s="9" t="s">
        <v>912</v>
      </c>
      <c r="C874" s="12" t="s">
        <v>186</v>
      </c>
      <c r="D874" s="14" t="s">
        <v>1070</v>
      </c>
      <c r="E874" s="16"/>
      <c r="F874" s="8"/>
      <c r="G874" s="16"/>
      <c r="H874" s="8"/>
      <c r="I874" s="16"/>
    </row>
    <row r="875" outlineLevel="1">
      <c r="A875" s="9" t="s">
        <v>698</v>
      </c>
      <c r="B875" s="18" t="s">
        <v>385</v>
      </c>
      <c r="C875" s="19" t="s">
        <v>70</v>
      </c>
      <c r="D875" s="14" t="s">
        <v>1070</v>
      </c>
      <c r="E875" s="16"/>
      <c r="F875" s="8"/>
      <c r="G875" s="16"/>
      <c r="H875" s="8"/>
      <c r="I875" s="16"/>
    </row>
    <row r="876" outlineLevel="1">
      <c r="A876" s="9" t="s">
        <v>1175</v>
      </c>
      <c r="B876" s="9" t="s">
        <v>11</v>
      </c>
      <c r="C876" s="12" t="s">
        <v>215</v>
      </c>
      <c r="D876" s="14" t="s">
        <v>1070</v>
      </c>
      <c r="E876" s="16"/>
      <c r="F876" s="8"/>
      <c r="G876" s="16"/>
      <c r="H876" s="8"/>
      <c r="I876" s="16"/>
    </row>
    <row r="877" outlineLevel="1">
      <c r="A877" s="9" t="s">
        <v>700</v>
      </c>
      <c r="B877" s="9" t="s">
        <v>1176</v>
      </c>
      <c r="C877" s="12" t="s">
        <v>65</v>
      </c>
      <c r="D877" s="14" t="s">
        <v>1070</v>
      </c>
      <c r="E877" s="16"/>
      <c r="F877" s="8"/>
      <c r="G877" s="16"/>
      <c r="H877" s="8"/>
      <c r="I877" s="16"/>
    </row>
    <row r="878" outlineLevel="1">
      <c r="A878" s="9" t="s">
        <v>1177</v>
      </c>
      <c r="B878" s="9" t="s">
        <v>483</v>
      </c>
      <c r="C878" s="12" t="s">
        <v>215</v>
      </c>
      <c r="D878" s="14" t="s">
        <v>1070</v>
      </c>
      <c r="E878" s="16"/>
      <c r="F878" s="8"/>
      <c r="G878" s="16"/>
      <c r="H878" s="8"/>
      <c r="I878" s="16"/>
    </row>
    <row r="879" outlineLevel="1">
      <c r="A879" s="9" t="s">
        <v>1178</v>
      </c>
      <c r="B879" s="9" t="s">
        <v>596</v>
      </c>
      <c r="C879" s="12" t="s">
        <v>24</v>
      </c>
      <c r="D879" s="14" t="s">
        <v>1070</v>
      </c>
      <c r="E879" s="16"/>
      <c r="F879" s="8"/>
      <c r="G879" s="16"/>
      <c r="H879" s="8"/>
      <c r="I879" s="16"/>
    </row>
    <row r="880" outlineLevel="1">
      <c r="A880" s="9" t="s">
        <v>1179</v>
      </c>
      <c r="B880" s="9" t="s">
        <v>1179</v>
      </c>
      <c r="C880" s="12" t="s">
        <v>192</v>
      </c>
      <c r="D880" s="14" t="s">
        <v>1070</v>
      </c>
      <c r="E880" s="16"/>
      <c r="F880" s="8"/>
      <c r="G880" s="16"/>
      <c r="H880" s="8"/>
      <c r="I880" s="16"/>
    </row>
    <row r="881" outlineLevel="1">
      <c r="A881" s="9" t="s">
        <v>1180</v>
      </c>
      <c r="B881" s="9" t="s">
        <v>102</v>
      </c>
      <c r="C881" s="12" t="s">
        <v>149</v>
      </c>
      <c r="D881" s="14" t="s">
        <v>1070</v>
      </c>
      <c r="E881" s="16"/>
      <c r="F881" s="8"/>
      <c r="G881" s="16"/>
      <c r="H881" s="8"/>
      <c r="I881" s="16"/>
    </row>
    <row r="882" outlineLevel="1">
      <c r="A882" s="9" t="s">
        <v>1181</v>
      </c>
      <c r="B882" s="9" t="s">
        <v>1182</v>
      </c>
      <c r="C882" s="12" t="s">
        <v>122</v>
      </c>
      <c r="D882" s="14" t="s">
        <v>1070</v>
      </c>
      <c r="E882" s="16"/>
      <c r="F882" s="8"/>
      <c r="G882" s="16"/>
      <c r="H882" s="8"/>
      <c r="I882" s="16"/>
    </row>
    <row r="883" outlineLevel="1">
      <c r="A883" s="9" t="s">
        <v>1183</v>
      </c>
      <c r="B883" s="9" t="s">
        <v>556</v>
      </c>
      <c r="C883" s="12" t="s">
        <v>65</v>
      </c>
      <c r="D883" s="14" t="s">
        <v>1070</v>
      </c>
      <c r="E883" s="16"/>
      <c r="F883" s="8"/>
      <c r="G883" s="16"/>
      <c r="H883" s="8"/>
      <c r="I883" s="16"/>
    </row>
    <row r="884" outlineLevel="1">
      <c r="A884" s="9" t="s">
        <v>1181</v>
      </c>
      <c r="B884" s="9" t="s">
        <v>381</v>
      </c>
      <c r="C884" s="12" t="s">
        <v>122</v>
      </c>
      <c r="D884" s="14" t="s">
        <v>1070</v>
      </c>
      <c r="E884" s="16"/>
      <c r="F884" s="8"/>
      <c r="G884" s="16"/>
      <c r="H884" s="8"/>
      <c r="I884" s="16"/>
    </row>
    <row r="885" outlineLevel="1">
      <c r="A885" s="18" t="s">
        <v>1184</v>
      </c>
      <c r="B885" s="9" t="s">
        <v>521</v>
      </c>
      <c r="C885" s="12" t="s">
        <v>261</v>
      </c>
      <c r="D885" s="14" t="s">
        <v>1070</v>
      </c>
      <c r="E885" s="16"/>
      <c r="F885" s="8"/>
      <c r="G885" s="16"/>
      <c r="H885" s="8"/>
      <c r="I885" s="16"/>
    </row>
    <row r="886" outlineLevel="1">
      <c r="A886" s="9" t="s">
        <v>1181</v>
      </c>
      <c r="B886" s="18" t="s">
        <v>245</v>
      </c>
      <c r="C886" s="19" t="s">
        <v>93</v>
      </c>
      <c r="D886" s="14" t="s">
        <v>1070</v>
      </c>
      <c r="E886" s="16"/>
      <c r="F886" s="8"/>
      <c r="G886" s="16"/>
      <c r="H886" s="8"/>
      <c r="I886" s="16"/>
    </row>
    <row r="887" outlineLevel="1">
      <c r="A887" s="9" t="s">
        <v>1185</v>
      </c>
      <c r="B887" s="9" t="s">
        <v>1186</v>
      </c>
      <c r="C887" s="12" t="s">
        <v>122</v>
      </c>
      <c r="D887" s="14" t="s">
        <v>1070</v>
      </c>
      <c r="E887" s="16"/>
      <c r="F887" s="8"/>
      <c r="G887" s="16"/>
      <c r="H887" s="8"/>
      <c r="I887" s="16"/>
    </row>
    <row r="888" outlineLevel="1">
      <c r="A888" s="9" t="s">
        <v>89</v>
      </c>
      <c r="B888" s="9" t="s">
        <v>634</v>
      </c>
      <c r="C888" s="12" t="s">
        <v>65</v>
      </c>
      <c r="D888" s="14" t="s">
        <v>1070</v>
      </c>
      <c r="E888" s="16"/>
      <c r="F888" s="8"/>
      <c r="G888" s="16"/>
      <c r="H888" s="8"/>
      <c r="I888" s="16"/>
    </row>
    <row r="889" outlineLevel="1">
      <c r="A889" s="9" t="s">
        <v>1187</v>
      </c>
      <c r="B889" s="9" t="s">
        <v>301</v>
      </c>
      <c r="C889" s="12" t="s">
        <v>93</v>
      </c>
      <c r="D889" s="14" t="s">
        <v>1070</v>
      </c>
      <c r="E889" s="16"/>
      <c r="F889" s="8"/>
      <c r="G889" s="16"/>
      <c r="H889" s="8"/>
      <c r="I889" s="16"/>
    </row>
    <row r="890" outlineLevel="1">
      <c r="A890" s="9" t="s">
        <v>1188</v>
      </c>
      <c r="B890" s="9" t="s">
        <v>441</v>
      </c>
      <c r="C890" s="12" t="s">
        <v>16</v>
      </c>
      <c r="D890" s="14" t="s">
        <v>1070</v>
      </c>
      <c r="E890" s="16"/>
      <c r="F890" s="8"/>
      <c r="G890" s="16"/>
      <c r="H890" s="8"/>
      <c r="I890" s="16"/>
    </row>
    <row r="891" outlineLevel="1">
      <c r="A891" s="9" t="s">
        <v>711</v>
      </c>
      <c r="B891" s="9" t="s">
        <v>850</v>
      </c>
      <c r="C891" s="12" t="s">
        <v>215</v>
      </c>
      <c r="D891" s="14" t="s">
        <v>1070</v>
      </c>
      <c r="E891" s="16"/>
      <c r="F891" s="8"/>
      <c r="G891" s="16"/>
      <c r="H891" s="8"/>
      <c r="I891" s="16"/>
    </row>
    <row r="892" outlineLevel="1">
      <c r="A892" s="9" t="s">
        <v>1189</v>
      </c>
      <c r="B892" s="9" t="s">
        <v>1190</v>
      </c>
      <c r="C892" s="12" t="s">
        <v>24</v>
      </c>
      <c r="D892" s="14" t="s">
        <v>1070</v>
      </c>
      <c r="E892" s="16"/>
      <c r="F892" s="8"/>
      <c r="G892" s="16"/>
      <c r="H892" s="8"/>
      <c r="I892" s="16"/>
    </row>
    <row r="893" outlineLevel="1">
      <c r="A893" s="18" t="s">
        <v>1191</v>
      </c>
      <c r="B893" s="9" t="s">
        <v>269</v>
      </c>
      <c r="C893" s="12" t="s">
        <v>192</v>
      </c>
      <c r="D893" s="14" t="s">
        <v>1070</v>
      </c>
      <c r="E893" s="16"/>
      <c r="F893" s="8"/>
      <c r="G893" s="16"/>
      <c r="H893" s="8"/>
      <c r="I893" s="16"/>
    </row>
    <row r="894" outlineLevel="1">
      <c r="A894" s="18" t="s">
        <v>937</v>
      </c>
      <c r="B894" s="18" t="s">
        <v>1192</v>
      </c>
      <c r="C894" s="19" t="s">
        <v>70</v>
      </c>
      <c r="D894" s="14" t="s">
        <v>1070</v>
      </c>
      <c r="E894" s="16"/>
      <c r="F894" s="8"/>
      <c r="G894" s="16"/>
      <c r="H894" s="8"/>
      <c r="I894" s="16"/>
    </row>
    <row r="895" outlineLevel="1">
      <c r="A895" s="9" t="s">
        <v>1193</v>
      </c>
      <c r="B895" s="18" t="s">
        <v>1194</v>
      </c>
      <c r="C895" s="19" t="s">
        <v>122</v>
      </c>
      <c r="D895" s="14" t="s">
        <v>1070</v>
      </c>
      <c r="E895" s="16"/>
      <c r="F895" s="8"/>
      <c r="G895" s="16"/>
      <c r="H895" s="8"/>
      <c r="I895" s="16"/>
    </row>
    <row r="896" outlineLevel="1">
      <c r="A896" s="9" t="s">
        <v>1195</v>
      </c>
      <c r="B896" s="9" t="s">
        <v>712</v>
      </c>
      <c r="C896" s="12" t="s">
        <v>24</v>
      </c>
      <c r="D896" s="14" t="s">
        <v>1070</v>
      </c>
      <c r="E896" s="16"/>
      <c r="F896" s="8"/>
      <c r="G896" s="16"/>
      <c r="H896" s="8"/>
      <c r="I896" s="16"/>
    </row>
    <row r="897" outlineLevel="1">
      <c r="A897" s="9" t="s">
        <v>1196</v>
      </c>
      <c r="B897" s="9" t="s">
        <v>1197</v>
      </c>
      <c r="C897" s="12" t="s">
        <v>186</v>
      </c>
      <c r="D897" s="14" t="s">
        <v>1070</v>
      </c>
      <c r="E897" s="16"/>
      <c r="F897" s="8"/>
      <c r="G897" s="16"/>
      <c r="H897" s="8"/>
      <c r="I897" s="16"/>
    </row>
    <row r="898" outlineLevel="1">
      <c r="A898" s="9" t="s">
        <v>1198</v>
      </c>
      <c r="B898" s="9" t="s">
        <v>676</v>
      </c>
      <c r="C898" s="12" t="s">
        <v>24</v>
      </c>
      <c r="D898" s="14" t="s">
        <v>1070</v>
      </c>
      <c r="E898" s="16"/>
      <c r="F898" s="8"/>
      <c r="G898" s="16"/>
      <c r="H898" s="8"/>
      <c r="I898" s="16"/>
    </row>
    <row r="899" outlineLevel="1">
      <c r="A899" s="9" t="s">
        <v>274</v>
      </c>
      <c r="B899" s="9" t="s">
        <v>119</v>
      </c>
      <c r="C899" s="12" t="s">
        <v>16</v>
      </c>
      <c r="D899" s="14" t="s">
        <v>1070</v>
      </c>
      <c r="E899" s="16"/>
      <c r="F899" s="8"/>
      <c r="G899" s="16"/>
      <c r="H899" s="8"/>
      <c r="I899" s="16"/>
    </row>
    <row r="900" outlineLevel="1">
      <c r="A900" s="9" t="s">
        <v>1199</v>
      </c>
      <c r="B900" s="9" t="s">
        <v>943</v>
      </c>
      <c r="C900" s="12" t="s">
        <v>80</v>
      </c>
      <c r="D900" s="14" t="s">
        <v>1070</v>
      </c>
      <c r="E900" s="16"/>
      <c r="F900" s="8"/>
      <c r="G900" s="16"/>
      <c r="H900" s="8"/>
      <c r="I900" s="16"/>
    </row>
    <row r="901" outlineLevel="1">
      <c r="A901" s="9" t="s">
        <v>1200</v>
      </c>
      <c r="B901" s="9" t="s">
        <v>1201</v>
      </c>
      <c r="C901" s="12" t="s">
        <v>93</v>
      </c>
      <c r="D901" s="14" t="s">
        <v>1070</v>
      </c>
      <c r="E901" s="16"/>
      <c r="F901" s="8"/>
      <c r="G901" s="16"/>
      <c r="H901" s="8"/>
      <c r="I901" s="16"/>
    </row>
    <row r="902" outlineLevel="1">
      <c r="A902" s="9" t="s">
        <v>1202</v>
      </c>
      <c r="B902" s="9" t="s">
        <v>11</v>
      </c>
      <c r="C902" s="12" t="s">
        <v>65</v>
      </c>
      <c r="D902" s="14" t="s">
        <v>1070</v>
      </c>
      <c r="E902" s="16"/>
      <c r="F902" s="8"/>
      <c r="G902" s="16"/>
      <c r="H902" s="8"/>
      <c r="I902" s="16"/>
    </row>
    <row r="903" outlineLevel="1">
      <c r="A903" s="9" t="s">
        <v>1203</v>
      </c>
      <c r="B903" s="9" t="s">
        <v>161</v>
      </c>
      <c r="C903" s="12" t="s">
        <v>16</v>
      </c>
      <c r="D903" s="14" t="s">
        <v>1070</v>
      </c>
      <c r="E903" s="16"/>
      <c r="F903" s="8"/>
      <c r="G903" s="16"/>
      <c r="H903" s="8"/>
      <c r="I903" s="16"/>
    </row>
    <row r="904" outlineLevel="1">
      <c r="A904" s="9" t="s">
        <v>944</v>
      </c>
      <c r="B904" s="9" t="s">
        <v>528</v>
      </c>
      <c r="C904" s="12" t="s">
        <v>24</v>
      </c>
      <c r="D904" s="14" t="s">
        <v>1070</v>
      </c>
      <c r="E904" s="16"/>
      <c r="F904" s="18"/>
      <c r="G904" s="19"/>
      <c r="H904" s="18"/>
      <c r="I904" s="19"/>
    </row>
    <row r="905" outlineLevel="1">
      <c r="A905" s="9" t="s">
        <v>208</v>
      </c>
      <c r="B905" s="9" t="s">
        <v>1204</v>
      </c>
      <c r="C905" s="12" t="s">
        <v>215</v>
      </c>
      <c r="D905" s="14" t="s">
        <v>1070</v>
      </c>
      <c r="E905" s="16"/>
      <c r="F905" s="8"/>
      <c r="G905" s="16"/>
      <c r="H905" s="8"/>
      <c r="I905" s="16"/>
    </row>
    <row r="906" outlineLevel="1">
      <c r="A906" s="9" t="s">
        <v>1205</v>
      </c>
      <c r="B906" s="9" t="s">
        <v>1206</v>
      </c>
      <c r="C906" s="12" t="s">
        <v>122</v>
      </c>
      <c r="D906" s="14" t="s">
        <v>1070</v>
      </c>
      <c r="E906" s="16"/>
      <c r="F906" s="8"/>
      <c r="G906" s="16"/>
      <c r="H906" s="8"/>
      <c r="I906" s="16"/>
    </row>
    <row r="907" outlineLevel="1">
      <c r="A907" s="9" t="s">
        <v>208</v>
      </c>
      <c r="B907" s="9" t="s">
        <v>692</v>
      </c>
      <c r="C907" s="12" t="s">
        <v>93</v>
      </c>
      <c r="D907" s="14" t="s">
        <v>1070</v>
      </c>
      <c r="E907" s="16"/>
      <c r="F907" s="8"/>
      <c r="G907" s="16"/>
      <c r="H907" s="8"/>
      <c r="I907" s="16"/>
    </row>
    <row r="908" outlineLevel="1">
      <c r="A908" s="9" t="s">
        <v>1207</v>
      </c>
      <c r="B908" s="9" t="s">
        <v>43</v>
      </c>
      <c r="C908" s="12" t="s">
        <v>261</v>
      </c>
      <c r="D908" s="14" t="s">
        <v>1070</v>
      </c>
      <c r="E908" s="16"/>
      <c r="F908" s="8"/>
      <c r="G908" s="16"/>
      <c r="H908" s="8"/>
      <c r="I908" s="16"/>
    </row>
    <row r="909" outlineLevel="1">
      <c r="A909" s="9" t="s">
        <v>946</v>
      </c>
      <c r="B909" s="9" t="s">
        <v>804</v>
      </c>
      <c r="C909" s="12" t="s">
        <v>138</v>
      </c>
      <c r="D909" s="14" t="s">
        <v>1070</v>
      </c>
      <c r="E909" s="16"/>
      <c r="F909" s="8"/>
      <c r="G909" s="16"/>
      <c r="H909" s="8"/>
      <c r="I909" s="16"/>
    </row>
    <row r="910" outlineLevel="1">
      <c r="A910" s="9" t="s">
        <v>1208</v>
      </c>
      <c r="B910" s="9" t="s">
        <v>1209</v>
      </c>
      <c r="C910" s="12" t="s">
        <v>122</v>
      </c>
      <c r="D910" s="14" t="s">
        <v>1070</v>
      </c>
      <c r="E910" s="16"/>
      <c r="F910" s="8"/>
      <c r="G910" s="16"/>
      <c r="H910" s="8"/>
      <c r="I910" s="16"/>
    </row>
    <row r="911" outlineLevel="1">
      <c r="A911" s="9" t="s">
        <v>389</v>
      </c>
      <c r="B911" s="9" t="s">
        <v>948</v>
      </c>
      <c r="C911" s="12" t="s">
        <v>192</v>
      </c>
      <c r="D911" s="14" t="s">
        <v>1070</v>
      </c>
      <c r="E911" s="16"/>
      <c r="F911" s="8"/>
      <c r="G911" s="16"/>
      <c r="H911" s="8"/>
      <c r="I911" s="16"/>
    </row>
    <row r="912" outlineLevel="1">
      <c r="A912" s="9" t="s">
        <v>284</v>
      </c>
      <c r="B912" s="9" t="s">
        <v>1210</v>
      </c>
      <c r="C912" s="12" t="s">
        <v>93</v>
      </c>
      <c r="D912" s="14" t="s">
        <v>1070</v>
      </c>
      <c r="E912" s="16"/>
      <c r="F912" s="8"/>
      <c r="G912" s="16"/>
      <c r="H912" s="8"/>
      <c r="I912" s="16"/>
    </row>
    <row r="913" outlineLevel="1">
      <c r="A913" s="9" t="s">
        <v>284</v>
      </c>
      <c r="B913" s="9" t="s">
        <v>1211</v>
      </c>
      <c r="C913" s="12" t="s">
        <v>16</v>
      </c>
      <c r="D913" s="14" t="s">
        <v>1070</v>
      </c>
      <c r="E913" s="16"/>
      <c r="F913" s="8"/>
      <c r="G913" s="16"/>
      <c r="H913" s="8"/>
      <c r="I913" s="16"/>
    </row>
    <row r="914" outlineLevel="1">
      <c r="A914" s="18" t="s">
        <v>284</v>
      </c>
      <c r="B914" s="9" t="s">
        <v>159</v>
      </c>
      <c r="C914" s="12" t="s">
        <v>65</v>
      </c>
      <c r="D914" s="14" t="s">
        <v>1070</v>
      </c>
      <c r="E914" s="16"/>
      <c r="F914" s="8"/>
      <c r="G914" s="16"/>
      <c r="H914" s="8"/>
      <c r="I914" s="16"/>
    </row>
    <row r="915" outlineLevel="1">
      <c r="A915" s="9" t="s">
        <v>1212</v>
      </c>
      <c r="B915" s="18" t="s">
        <v>1213</v>
      </c>
      <c r="C915" s="19" t="s">
        <v>59</v>
      </c>
      <c r="D915" s="14" t="s">
        <v>1070</v>
      </c>
      <c r="E915" s="16"/>
      <c r="F915" s="8"/>
      <c r="G915" s="16"/>
      <c r="H915" s="8"/>
      <c r="I915" s="16"/>
    </row>
    <row r="916" outlineLevel="1">
      <c r="A916" s="9" t="s">
        <v>1214</v>
      </c>
      <c r="B916" s="9" t="s">
        <v>114</v>
      </c>
      <c r="C916" s="12" t="s">
        <v>75</v>
      </c>
      <c r="D916" s="14" t="s">
        <v>1070</v>
      </c>
      <c r="E916" s="16"/>
      <c r="F916" s="8"/>
      <c r="G916" s="16"/>
      <c r="H916" s="8"/>
      <c r="I916" s="16"/>
    </row>
    <row r="917" outlineLevel="1">
      <c r="A917" s="9" t="s">
        <v>1215</v>
      </c>
      <c r="B917" s="9" t="s">
        <v>1216</v>
      </c>
      <c r="C917" s="12" t="s">
        <v>80</v>
      </c>
      <c r="D917" s="14" t="s">
        <v>1070</v>
      </c>
      <c r="E917" s="16"/>
      <c r="F917" s="8"/>
      <c r="G917" s="16"/>
      <c r="H917" s="8"/>
      <c r="I917" s="16"/>
    </row>
    <row r="918" outlineLevel="1">
      <c r="A918" s="9" t="s">
        <v>561</v>
      </c>
      <c r="B918" s="9" t="s">
        <v>67</v>
      </c>
      <c r="C918" s="12" t="s">
        <v>141</v>
      </c>
      <c r="D918" s="14" t="s">
        <v>1070</v>
      </c>
      <c r="E918" s="16"/>
      <c r="F918" s="8"/>
      <c r="G918" s="16"/>
      <c r="H918" s="8"/>
      <c r="I918" s="16"/>
    </row>
    <row r="919" outlineLevel="1">
      <c r="A919" s="9" t="s">
        <v>1217</v>
      </c>
      <c r="B919" s="9" t="s">
        <v>362</v>
      </c>
      <c r="C919" s="12" t="s">
        <v>16</v>
      </c>
      <c r="D919" s="14" t="s">
        <v>1070</v>
      </c>
      <c r="E919" s="16"/>
      <c r="F919" s="8"/>
      <c r="G919" s="16"/>
      <c r="H919" s="8"/>
      <c r="I919" s="16"/>
    </row>
    <row r="920" outlineLevel="1">
      <c r="A920" s="9" t="s">
        <v>1218</v>
      </c>
      <c r="B920" s="9" t="s">
        <v>1219</v>
      </c>
      <c r="C920" s="12" t="s">
        <v>192</v>
      </c>
      <c r="D920" s="14" t="s">
        <v>1070</v>
      </c>
      <c r="E920" s="16"/>
      <c r="F920" s="8"/>
      <c r="G920" s="16"/>
      <c r="H920" s="8"/>
      <c r="I920" s="16"/>
    </row>
    <row r="921" outlineLevel="1">
      <c r="A921" s="9" t="s">
        <v>956</v>
      </c>
      <c r="B921" s="9" t="s">
        <v>121</v>
      </c>
      <c r="C921" s="12" t="s">
        <v>53</v>
      </c>
      <c r="D921" s="14" t="s">
        <v>1070</v>
      </c>
      <c r="E921" s="16"/>
      <c r="F921" s="8"/>
      <c r="G921" s="16"/>
      <c r="H921" s="8"/>
      <c r="I921" s="16"/>
    </row>
    <row r="922" outlineLevel="1">
      <c r="A922" s="9" t="s">
        <v>1220</v>
      </c>
      <c r="B922" s="9" t="s">
        <v>50</v>
      </c>
      <c r="C922" s="12" t="s">
        <v>24</v>
      </c>
      <c r="D922" s="14" t="s">
        <v>1070</v>
      </c>
      <c r="E922" s="16"/>
      <c r="F922" s="8"/>
      <c r="G922" s="16"/>
      <c r="H922" s="8"/>
      <c r="I922" s="16"/>
    </row>
    <row r="923" outlineLevel="1">
      <c r="A923" s="9" t="s">
        <v>1221</v>
      </c>
      <c r="B923" s="9" t="s">
        <v>676</v>
      </c>
      <c r="C923" s="12" t="s">
        <v>24</v>
      </c>
      <c r="D923" s="14" t="s">
        <v>1070</v>
      </c>
      <c r="E923" s="16"/>
      <c r="F923" s="8"/>
      <c r="G923" s="16"/>
      <c r="H923" s="8"/>
      <c r="I923" s="16"/>
    </row>
    <row r="924" outlineLevel="1">
      <c r="A924" s="9" t="s">
        <v>1222</v>
      </c>
      <c r="B924" s="9" t="s">
        <v>500</v>
      </c>
      <c r="C924" s="12" t="s">
        <v>65</v>
      </c>
      <c r="D924" s="14" t="s">
        <v>1070</v>
      </c>
      <c r="E924" s="16"/>
      <c r="F924" s="8"/>
      <c r="G924" s="16"/>
      <c r="H924" s="8"/>
      <c r="I924" s="16"/>
    </row>
    <row r="925" outlineLevel="1">
      <c r="A925" s="9" t="s">
        <v>1223</v>
      </c>
      <c r="B925" s="9" t="s">
        <v>231</v>
      </c>
      <c r="C925" s="12" t="s">
        <v>186</v>
      </c>
      <c r="D925" s="14" t="s">
        <v>1070</v>
      </c>
      <c r="E925" s="16"/>
      <c r="F925" s="8"/>
      <c r="G925" s="16"/>
      <c r="H925" s="8"/>
      <c r="I925" s="16"/>
    </row>
    <row r="926" outlineLevel="1">
      <c r="A926" s="9" t="s">
        <v>1224</v>
      </c>
      <c r="B926" s="9" t="s">
        <v>33</v>
      </c>
      <c r="C926" s="12" t="s">
        <v>24</v>
      </c>
      <c r="D926" s="14" t="s">
        <v>1070</v>
      </c>
      <c r="E926" s="16"/>
      <c r="F926" s="8"/>
      <c r="G926" s="16"/>
      <c r="H926" s="8"/>
      <c r="I926" s="16"/>
    </row>
    <row r="927" outlineLevel="1">
      <c r="A927" s="9" t="s">
        <v>1225</v>
      </c>
      <c r="B927" s="9" t="s">
        <v>275</v>
      </c>
      <c r="C927" s="12" t="s">
        <v>59</v>
      </c>
      <c r="D927" s="14" t="s">
        <v>1070</v>
      </c>
      <c r="E927" s="16"/>
      <c r="F927" s="8"/>
      <c r="G927" s="16"/>
      <c r="H927" s="8"/>
      <c r="I927" s="16"/>
    </row>
    <row r="928" outlineLevel="1">
      <c r="A928" s="9" t="s">
        <v>1226</v>
      </c>
      <c r="B928" s="9" t="s">
        <v>1227</v>
      </c>
      <c r="C928" s="12" t="s">
        <v>65</v>
      </c>
      <c r="D928" s="14" t="s">
        <v>1070</v>
      </c>
      <c r="E928" s="16"/>
      <c r="F928" s="8"/>
      <c r="G928" s="16"/>
      <c r="H928" s="8"/>
      <c r="I928" s="16"/>
    </row>
    <row r="929" outlineLevel="1">
      <c r="A929" s="9" t="s">
        <v>1228</v>
      </c>
      <c r="B929" s="9" t="s">
        <v>1229</v>
      </c>
      <c r="C929" s="12" t="s">
        <v>186</v>
      </c>
      <c r="D929" s="14" t="s">
        <v>1070</v>
      </c>
      <c r="E929" s="16"/>
      <c r="F929" s="8"/>
      <c r="G929" s="16"/>
      <c r="H929" s="8"/>
      <c r="I929" s="16"/>
    </row>
    <row r="930" outlineLevel="1">
      <c r="A930" s="9" t="s">
        <v>1230</v>
      </c>
      <c r="B930" s="9" t="s">
        <v>212</v>
      </c>
      <c r="C930" s="12" t="s">
        <v>215</v>
      </c>
      <c r="D930" s="14" t="s">
        <v>1070</v>
      </c>
      <c r="E930" s="16"/>
      <c r="F930" s="8"/>
      <c r="G930" s="16"/>
      <c r="H930" s="8"/>
      <c r="I930" s="16"/>
    </row>
    <row r="931" outlineLevel="1">
      <c r="A931" s="9" t="s">
        <v>1231</v>
      </c>
      <c r="B931" s="9" t="s">
        <v>362</v>
      </c>
      <c r="C931" s="12" t="s">
        <v>65</v>
      </c>
      <c r="D931" s="14" t="s">
        <v>1070</v>
      </c>
      <c r="E931" s="16"/>
      <c r="F931" s="8"/>
      <c r="G931" s="16"/>
      <c r="H931" s="8"/>
      <c r="I931" s="16"/>
    </row>
    <row r="932" outlineLevel="1">
      <c r="A932" s="9" t="s">
        <v>524</v>
      </c>
      <c r="B932" s="9" t="s">
        <v>1232</v>
      </c>
      <c r="C932" s="12" t="s">
        <v>122</v>
      </c>
      <c r="D932" s="14" t="s">
        <v>1070</v>
      </c>
      <c r="E932" s="16"/>
      <c r="F932" s="8"/>
      <c r="G932" s="16"/>
      <c r="H932" s="8"/>
      <c r="I932" s="16"/>
    </row>
    <row r="933" outlineLevel="1">
      <c r="A933" s="9" t="s">
        <v>94</v>
      </c>
      <c r="B933" s="9" t="s">
        <v>1233</v>
      </c>
      <c r="C933" s="12" t="s">
        <v>65</v>
      </c>
      <c r="D933" s="14" t="s">
        <v>1070</v>
      </c>
      <c r="E933" s="16"/>
      <c r="F933" s="8"/>
      <c r="G933" s="16"/>
      <c r="H933" s="8"/>
      <c r="I933" s="16"/>
    </row>
    <row r="934" outlineLevel="1">
      <c r="A934" s="9" t="s">
        <v>1234</v>
      </c>
      <c r="B934" s="9" t="s">
        <v>676</v>
      </c>
      <c r="C934" s="12" t="s">
        <v>65</v>
      </c>
      <c r="D934" s="14" t="s">
        <v>1070</v>
      </c>
      <c r="E934" s="16"/>
      <c r="F934" s="8"/>
      <c r="G934" s="16"/>
      <c r="H934" s="8"/>
      <c r="I934" s="16"/>
    </row>
    <row r="935" outlineLevel="1">
      <c r="A935" s="9" t="s">
        <v>1235</v>
      </c>
      <c r="B935" s="9" t="s">
        <v>427</v>
      </c>
      <c r="C935" s="12" t="s">
        <v>122</v>
      </c>
      <c r="D935" s="14" t="s">
        <v>1070</v>
      </c>
      <c r="E935" s="16"/>
      <c r="F935" s="8"/>
      <c r="G935" s="16"/>
      <c r="H935" s="8"/>
      <c r="I935" s="16"/>
    </row>
    <row r="936" outlineLevel="1">
      <c r="A936" s="9" t="s">
        <v>395</v>
      </c>
      <c r="B936" s="9" t="s">
        <v>170</v>
      </c>
      <c r="C936" s="12" t="s">
        <v>38</v>
      </c>
      <c r="D936" s="14" t="s">
        <v>1070</v>
      </c>
      <c r="E936" s="16"/>
      <c r="F936" s="8"/>
      <c r="G936" s="16"/>
      <c r="H936" s="8"/>
      <c r="I936" s="16"/>
    </row>
    <row r="937" outlineLevel="1">
      <c r="A937" s="9" t="s">
        <v>1236</v>
      </c>
      <c r="B937" s="9" t="s">
        <v>612</v>
      </c>
      <c r="C937" s="12" t="s">
        <v>24</v>
      </c>
      <c r="D937" s="14" t="s">
        <v>1070</v>
      </c>
      <c r="E937" s="16"/>
      <c r="F937" s="8"/>
      <c r="G937" s="16"/>
      <c r="H937" s="8"/>
      <c r="I937" s="16"/>
    </row>
    <row r="938" outlineLevel="1">
      <c r="A938" s="9" t="s">
        <v>747</v>
      </c>
      <c r="B938" s="9" t="s">
        <v>263</v>
      </c>
      <c r="C938" s="12" t="s">
        <v>80</v>
      </c>
      <c r="D938" s="14" t="s">
        <v>1070</v>
      </c>
      <c r="E938" s="16"/>
      <c r="F938" s="8"/>
      <c r="G938" s="16"/>
      <c r="H938" s="8"/>
      <c r="I938" s="16"/>
    </row>
    <row r="939" outlineLevel="1">
      <c r="A939" s="9" t="s">
        <v>1237</v>
      </c>
      <c r="B939" s="9" t="s">
        <v>98</v>
      </c>
      <c r="C939" s="12" t="s">
        <v>53</v>
      </c>
      <c r="D939" s="14" t="s">
        <v>1070</v>
      </c>
      <c r="E939" s="16"/>
      <c r="F939" s="8"/>
      <c r="G939" s="16"/>
      <c r="H939" s="8"/>
      <c r="I939" s="16"/>
    </row>
    <row r="940" outlineLevel="1">
      <c r="A940" s="9" t="s">
        <v>1238</v>
      </c>
      <c r="B940" s="9" t="s">
        <v>381</v>
      </c>
      <c r="C940" s="12" t="s">
        <v>53</v>
      </c>
      <c r="D940" s="14" t="s">
        <v>1070</v>
      </c>
      <c r="E940" s="16"/>
      <c r="F940" s="8"/>
      <c r="G940" s="16"/>
      <c r="H940" s="8"/>
      <c r="I940" s="16"/>
    </row>
    <row r="941" outlineLevel="1">
      <c r="A941" s="9" t="s">
        <v>1239</v>
      </c>
      <c r="B941" s="9" t="s">
        <v>1240</v>
      </c>
      <c r="C941" s="12" t="s">
        <v>75</v>
      </c>
      <c r="D941" s="14" t="s">
        <v>1070</v>
      </c>
      <c r="E941" s="16"/>
      <c r="F941" s="8"/>
      <c r="G941" s="16"/>
      <c r="H941" s="8"/>
      <c r="I941" s="16"/>
    </row>
    <row r="942" outlineLevel="1">
      <c r="A942" s="9" t="s">
        <v>396</v>
      </c>
      <c r="B942" s="9" t="s">
        <v>231</v>
      </c>
      <c r="C942" s="12" t="s">
        <v>141</v>
      </c>
      <c r="D942" s="14" t="s">
        <v>1070</v>
      </c>
      <c r="E942" s="16"/>
      <c r="F942" s="8"/>
      <c r="G942" s="16"/>
      <c r="H942" s="8"/>
      <c r="I942" s="16"/>
    </row>
    <row r="943" outlineLevel="1">
      <c r="A943" s="9" t="s">
        <v>111</v>
      </c>
      <c r="B943" s="9" t="s">
        <v>1241</v>
      </c>
      <c r="C943" s="12" t="s">
        <v>132</v>
      </c>
      <c r="D943" s="14" t="s">
        <v>1070</v>
      </c>
      <c r="E943" s="16"/>
      <c r="F943" s="8"/>
      <c r="G943" s="16"/>
      <c r="H943" s="8"/>
      <c r="I943" s="16"/>
    </row>
    <row r="944" outlineLevel="1">
      <c r="A944" s="9" t="s">
        <v>1242</v>
      </c>
      <c r="B944" s="9" t="s">
        <v>676</v>
      </c>
      <c r="C944" s="12" t="s">
        <v>46</v>
      </c>
      <c r="D944" s="14" t="s">
        <v>1070</v>
      </c>
      <c r="E944" s="16"/>
      <c r="F944" s="8"/>
      <c r="G944" s="16"/>
      <c r="H944" s="8"/>
      <c r="I944" s="16"/>
    </row>
    <row r="945" outlineLevel="1">
      <c r="A945" s="9" t="s">
        <v>1243</v>
      </c>
      <c r="B945" s="9" t="s">
        <v>676</v>
      </c>
      <c r="C945" s="12" t="s">
        <v>186</v>
      </c>
      <c r="D945" s="14" t="s">
        <v>1070</v>
      </c>
      <c r="E945" s="16"/>
      <c r="F945" s="8"/>
      <c r="G945" s="16"/>
      <c r="H945" s="8"/>
      <c r="I945" s="16"/>
    </row>
    <row r="946" outlineLevel="1">
      <c r="A946" s="9" t="s">
        <v>1244</v>
      </c>
      <c r="B946" s="9" t="s">
        <v>1245</v>
      </c>
      <c r="C946" s="12" t="s">
        <v>93</v>
      </c>
      <c r="D946" s="14" t="s">
        <v>1070</v>
      </c>
      <c r="E946" s="16"/>
      <c r="F946" s="8"/>
      <c r="G946" s="16"/>
      <c r="H946" s="8"/>
      <c r="I946" s="16"/>
    </row>
    <row r="947" outlineLevel="1">
      <c r="A947" s="9" t="s">
        <v>1246</v>
      </c>
      <c r="B947" s="9" t="s">
        <v>247</v>
      </c>
      <c r="C947" s="12" t="s">
        <v>80</v>
      </c>
      <c r="D947" s="14" t="s">
        <v>1070</v>
      </c>
      <c r="E947" s="16"/>
      <c r="F947" s="8"/>
      <c r="G947" s="16"/>
      <c r="H947" s="8"/>
      <c r="I947" s="16"/>
    </row>
    <row r="948" outlineLevel="1">
      <c r="A948" s="9" t="s">
        <v>1247</v>
      </c>
      <c r="B948" s="9" t="s">
        <v>506</v>
      </c>
      <c r="C948" s="12" t="s">
        <v>186</v>
      </c>
      <c r="D948" s="14" t="s">
        <v>1070</v>
      </c>
      <c r="E948" s="16"/>
      <c r="F948" s="8"/>
      <c r="G948" s="16"/>
      <c r="H948" s="8"/>
      <c r="I948" s="16"/>
    </row>
    <row r="949" outlineLevel="1">
      <c r="A949" s="9" t="s">
        <v>1248</v>
      </c>
      <c r="B949" s="9" t="s">
        <v>1249</v>
      </c>
      <c r="C949" s="12" t="s">
        <v>122</v>
      </c>
      <c r="D949" s="14" t="s">
        <v>1070</v>
      </c>
      <c r="E949" s="16"/>
      <c r="F949" s="8"/>
      <c r="G949" s="16"/>
      <c r="H949" s="8"/>
      <c r="I949" s="16"/>
    </row>
    <row r="950" outlineLevel="1">
      <c r="A950" s="9" t="s">
        <v>1250</v>
      </c>
      <c r="B950" s="9" t="s">
        <v>399</v>
      </c>
      <c r="C950" s="12" t="s">
        <v>93</v>
      </c>
      <c r="D950" s="14" t="s">
        <v>1070</v>
      </c>
      <c r="E950" s="16"/>
      <c r="F950" s="8"/>
      <c r="G950" s="16"/>
      <c r="H950" s="8"/>
      <c r="I950" s="16"/>
    </row>
    <row r="951" outlineLevel="1">
      <c r="A951" s="9" t="s">
        <v>581</v>
      </c>
      <c r="B951" s="9" t="s">
        <v>1251</v>
      </c>
      <c r="C951" s="12" t="s">
        <v>149</v>
      </c>
      <c r="D951" s="14" t="s">
        <v>1070</v>
      </c>
      <c r="E951" s="16"/>
      <c r="F951" s="8"/>
      <c r="G951" s="16"/>
      <c r="H951" s="8"/>
      <c r="I951" s="16"/>
    </row>
    <row r="952" outlineLevel="1">
      <c r="A952" s="18" t="s">
        <v>1252</v>
      </c>
      <c r="B952" s="9" t="s">
        <v>540</v>
      </c>
      <c r="C952" s="12" t="s">
        <v>122</v>
      </c>
      <c r="D952" s="14" t="s">
        <v>1070</v>
      </c>
      <c r="E952" s="16"/>
      <c r="F952" s="8"/>
      <c r="G952" s="16"/>
      <c r="H952" s="8"/>
      <c r="I952" s="16"/>
    </row>
    <row r="953" outlineLevel="1">
      <c r="A953" s="9" t="s">
        <v>1253</v>
      </c>
      <c r="B953" s="18" t="s">
        <v>1131</v>
      </c>
      <c r="C953" s="19" t="s">
        <v>132</v>
      </c>
      <c r="D953" s="14" t="s">
        <v>1070</v>
      </c>
      <c r="E953" s="16"/>
      <c r="F953" s="8"/>
      <c r="G953" s="16"/>
      <c r="H953" s="8"/>
      <c r="I953" s="16"/>
    </row>
    <row r="954" outlineLevel="1">
      <c r="A954" s="9" t="s">
        <v>1254</v>
      </c>
      <c r="B954" s="9" t="s">
        <v>1255</v>
      </c>
      <c r="C954" s="12" t="s">
        <v>186</v>
      </c>
      <c r="D954" s="14" t="s">
        <v>1070</v>
      </c>
      <c r="E954" s="16"/>
      <c r="F954" s="8"/>
      <c r="G954" s="16"/>
      <c r="H954" s="8"/>
      <c r="I954" s="16"/>
    </row>
    <row r="955" outlineLevel="1">
      <c r="A955" s="9" t="s">
        <v>980</v>
      </c>
      <c r="B955" s="9" t="s">
        <v>798</v>
      </c>
      <c r="C955" s="12" t="s">
        <v>93</v>
      </c>
      <c r="D955" s="14" t="s">
        <v>1070</v>
      </c>
      <c r="E955" s="16"/>
      <c r="F955" s="8"/>
      <c r="G955" s="16"/>
      <c r="H955" s="8"/>
      <c r="I955" s="16"/>
    </row>
    <row r="956" outlineLevel="1">
      <c r="A956" s="9" t="s">
        <v>1256</v>
      </c>
      <c r="B956" s="9" t="s">
        <v>1257</v>
      </c>
      <c r="C956" s="12" t="s">
        <v>59</v>
      </c>
      <c r="D956" s="14" t="s">
        <v>1070</v>
      </c>
      <c r="E956" s="16"/>
      <c r="F956" s="8"/>
      <c r="G956" s="16"/>
      <c r="H956" s="8"/>
      <c r="I956" s="16"/>
    </row>
    <row r="957" outlineLevel="1">
      <c r="A957" s="18" t="s">
        <v>1258</v>
      </c>
      <c r="B957" s="9" t="s">
        <v>1259</v>
      </c>
      <c r="C957" s="12" t="s">
        <v>70</v>
      </c>
      <c r="D957" s="14" t="s">
        <v>1070</v>
      </c>
      <c r="E957" s="16"/>
      <c r="F957" s="8"/>
      <c r="G957" s="16"/>
      <c r="H957" s="8"/>
      <c r="I957" s="16"/>
    </row>
    <row r="958" outlineLevel="1">
      <c r="A958" s="9" t="s">
        <v>1260</v>
      </c>
      <c r="B958" s="18" t="s">
        <v>140</v>
      </c>
      <c r="C958" s="19" t="s">
        <v>93</v>
      </c>
      <c r="D958" s="14" t="s">
        <v>1070</v>
      </c>
      <c r="E958" s="16"/>
      <c r="F958" s="8"/>
      <c r="G958" s="16"/>
      <c r="H958" s="8"/>
      <c r="I958" s="16"/>
    </row>
    <row r="959" outlineLevel="1">
      <c r="A959" s="9" t="s">
        <v>1261</v>
      </c>
      <c r="B959" s="9" t="s">
        <v>52</v>
      </c>
      <c r="C959" s="12" t="s">
        <v>65</v>
      </c>
      <c r="D959" s="14" t="s">
        <v>1070</v>
      </c>
      <c r="E959" s="16"/>
      <c r="F959" s="8"/>
      <c r="G959" s="16"/>
      <c r="H959" s="8"/>
      <c r="I959" s="16"/>
    </row>
    <row r="960" outlineLevel="1">
      <c r="A960" s="9" t="s">
        <v>402</v>
      </c>
      <c r="B960" s="9" t="s">
        <v>23</v>
      </c>
      <c r="C960" s="12" t="s">
        <v>132</v>
      </c>
      <c r="D960" s="14" t="s">
        <v>1070</v>
      </c>
      <c r="E960" s="16"/>
      <c r="F960" s="8"/>
      <c r="G960" s="16"/>
      <c r="H960" s="8"/>
      <c r="I960" s="16"/>
    </row>
    <row r="961" outlineLevel="1">
      <c r="A961" s="9" t="s">
        <v>402</v>
      </c>
      <c r="B961" s="9" t="s">
        <v>1262</v>
      </c>
      <c r="C961" s="12" t="s">
        <v>65</v>
      </c>
      <c r="D961" s="14" t="s">
        <v>1070</v>
      </c>
      <c r="E961" s="16"/>
      <c r="F961" s="8"/>
      <c r="G961" s="16"/>
      <c r="H961" s="8"/>
      <c r="I961" s="16"/>
    </row>
    <row r="962" outlineLevel="1">
      <c r="A962" s="9" t="s">
        <v>1263</v>
      </c>
      <c r="B962" s="9" t="s">
        <v>275</v>
      </c>
      <c r="C962" s="12" t="s">
        <v>93</v>
      </c>
      <c r="D962" s="14" t="s">
        <v>1070</v>
      </c>
      <c r="E962" s="16"/>
      <c r="F962" s="8"/>
      <c r="G962" s="16"/>
      <c r="H962" s="8"/>
      <c r="I962" s="16"/>
    </row>
    <row r="963" outlineLevel="1">
      <c r="A963" s="9" t="s">
        <v>1264</v>
      </c>
      <c r="B963" s="9" t="s">
        <v>275</v>
      </c>
      <c r="C963" s="12" t="s">
        <v>65</v>
      </c>
      <c r="D963" s="14" t="s">
        <v>1070</v>
      </c>
      <c r="E963" s="16"/>
      <c r="F963" s="8"/>
      <c r="G963" s="16"/>
      <c r="H963" s="8"/>
      <c r="I963" s="16"/>
    </row>
    <row r="964" outlineLevel="1">
      <c r="A964" s="9" t="s">
        <v>1265</v>
      </c>
      <c r="B964" s="9" t="s">
        <v>170</v>
      </c>
      <c r="C964" s="12" t="s">
        <v>70</v>
      </c>
      <c r="D964" s="14" t="s">
        <v>1070</v>
      </c>
      <c r="E964" s="16"/>
      <c r="F964" s="8"/>
      <c r="G964" s="16"/>
      <c r="H964" s="8"/>
      <c r="I964" s="16"/>
    </row>
    <row r="965" outlineLevel="1">
      <c r="A965" s="9" t="s">
        <v>1266</v>
      </c>
      <c r="B965" s="9" t="s">
        <v>1267</v>
      </c>
      <c r="C965" s="12" t="s">
        <v>65</v>
      </c>
      <c r="D965" s="14" t="s">
        <v>1070</v>
      </c>
      <c r="E965" s="16"/>
      <c r="F965" s="8"/>
      <c r="G965" s="16"/>
      <c r="H965" s="8"/>
      <c r="I965" s="16"/>
    </row>
    <row r="966" outlineLevel="1">
      <c r="A966" s="9" t="s">
        <v>146</v>
      </c>
      <c r="B966" s="9" t="s">
        <v>506</v>
      </c>
      <c r="C966" s="12" t="s">
        <v>24</v>
      </c>
      <c r="D966" s="14" t="s">
        <v>1070</v>
      </c>
      <c r="E966" s="16"/>
      <c r="F966" s="8"/>
      <c r="G966" s="16"/>
      <c r="H966" s="8"/>
      <c r="I966" s="16"/>
    </row>
    <row r="967" outlineLevel="1">
      <c r="A967" s="9" t="s">
        <v>1268</v>
      </c>
      <c r="B967" s="9" t="s">
        <v>881</v>
      </c>
      <c r="C967" s="12" t="s">
        <v>53</v>
      </c>
      <c r="D967" s="14" t="s">
        <v>1070</v>
      </c>
      <c r="E967" s="16"/>
      <c r="F967" s="8"/>
      <c r="G967" s="16"/>
      <c r="H967" s="8"/>
      <c r="I967" s="16"/>
    </row>
    <row r="968" outlineLevel="1">
      <c r="A968" s="9" t="s">
        <v>1269</v>
      </c>
      <c r="B968" s="9" t="s">
        <v>98</v>
      </c>
      <c r="C968" s="12" t="s">
        <v>75</v>
      </c>
      <c r="D968" s="14" t="s">
        <v>1070</v>
      </c>
      <c r="E968" s="16"/>
      <c r="F968" s="8"/>
      <c r="G968" s="16"/>
      <c r="H968" s="8"/>
      <c r="I968" s="16"/>
    </row>
    <row r="969" outlineLevel="1">
      <c r="A969" s="9" t="s">
        <v>220</v>
      </c>
      <c r="B969" s="9" t="s">
        <v>759</v>
      </c>
      <c r="C969" s="12" t="s">
        <v>93</v>
      </c>
      <c r="D969" s="14" t="s">
        <v>1070</v>
      </c>
      <c r="E969" s="16"/>
      <c r="F969" s="8"/>
      <c r="G969" s="16"/>
      <c r="H969" s="8"/>
      <c r="I969" s="16"/>
    </row>
    <row r="970" outlineLevel="1">
      <c r="A970" s="9" t="s">
        <v>1270</v>
      </c>
      <c r="B970" s="9" t="s">
        <v>196</v>
      </c>
      <c r="C970" s="12" t="s">
        <v>186</v>
      </c>
      <c r="D970" s="14" t="s">
        <v>1070</v>
      </c>
      <c r="E970" s="16"/>
      <c r="F970" s="8"/>
      <c r="G970" s="16"/>
      <c r="H970" s="8"/>
      <c r="I970" s="16"/>
    </row>
    <row r="971" outlineLevel="1">
      <c r="A971" s="9" t="s">
        <v>1271</v>
      </c>
      <c r="B971" s="9" t="s">
        <v>1272</v>
      </c>
      <c r="C971" s="12" t="s">
        <v>138</v>
      </c>
      <c r="D971" s="14" t="s">
        <v>1070</v>
      </c>
      <c r="E971" s="16"/>
      <c r="F971" s="8"/>
      <c r="G971" s="16"/>
      <c r="H971" s="8"/>
      <c r="I971" s="16"/>
    </row>
    <row r="972" outlineLevel="1">
      <c r="A972" s="9" t="s">
        <v>1273</v>
      </c>
      <c r="B972" s="9" t="s">
        <v>1274</v>
      </c>
      <c r="C972" s="12" t="s">
        <v>132</v>
      </c>
      <c r="D972" s="14" t="s">
        <v>1070</v>
      </c>
      <c r="E972" s="16"/>
      <c r="F972" s="8"/>
      <c r="G972" s="16"/>
      <c r="H972" s="8"/>
      <c r="I972" s="16"/>
    </row>
    <row r="973" outlineLevel="1">
      <c r="A973" s="9" t="s">
        <v>1275</v>
      </c>
      <c r="B973" s="9" t="s">
        <v>506</v>
      </c>
      <c r="C973" s="12" t="s">
        <v>122</v>
      </c>
      <c r="D973" s="14" t="s">
        <v>1070</v>
      </c>
      <c r="E973" s="16"/>
      <c r="F973" s="18"/>
      <c r="G973" s="19"/>
      <c r="H973" s="18"/>
      <c r="I973" s="19"/>
    </row>
    <row r="974" outlineLevel="1">
      <c r="A974" s="9" t="s">
        <v>1276</v>
      </c>
      <c r="B974" s="9" t="s">
        <v>1082</v>
      </c>
      <c r="C974" s="12" t="s">
        <v>65</v>
      </c>
      <c r="D974" s="14" t="s">
        <v>1070</v>
      </c>
      <c r="E974" s="16"/>
      <c r="F974" s="8"/>
      <c r="G974" s="16"/>
      <c r="H974" s="8"/>
      <c r="I974" s="16"/>
    </row>
    <row r="975" outlineLevel="1">
      <c r="A975" s="9" t="s">
        <v>194</v>
      </c>
      <c r="B975" s="9" t="s">
        <v>747</v>
      </c>
      <c r="C975" s="12" t="s">
        <v>132</v>
      </c>
      <c r="D975" s="14" t="s">
        <v>1070</v>
      </c>
      <c r="E975" s="16"/>
      <c r="F975" s="8"/>
      <c r="G975" s="16"/>
      <c r="H975" s="8"/>
      <c r="I975" s="16"/>
    </row>
    <row r="976" outlineLevel="1">
      <c r="A976" s="9" t="s">
        <v>1277</v>
      </c>
      <c r="B976" s="9" t="s">
        <v>1278</v>
      </c>
      <c r="C976" s="12" t="s">
        <v>65</v>
      </c>
      <c r="D976" s="14" t="s">
        <v>1070</v>
      </c>
      <c r="E976" s="16"/>
      <c r="F976" s="8"/>
      <c r="G976" s="16"/>
      <c r="H976" s="8"/>
      <c r="I976" s="16"/>
    </row>
    <row r="977" outlineLevel="1">
      <c r="A977" s="9" t="s">
        <v>1279</v>
      </c>
      <c r="B977" s="9" t="s">
        <v>214</v>
      </c>
      <c r="C977" s="12" t="s">
        <v>122</v>
      </c>
      <c r="D977" s="14" t="s">
        <v>1070</v>
      </c>
      <c r="E977" s="16"/>
      <c r="F977" s="8"/>
      <c r="G977" s="16"/>
      <c r="H977" s="8"/>
      <c r="I977" s="16"/>
    </row>
    <row r="978" outlineLevel="1">
      <c r="A978" s="9" t="s">
        <v>1280</v>
      </c>
      <c r="B978" s="9" t="s">
        <v>1281</v>
      </c>
      <c r="C978" s="12" t="s">
        <v>261</v>
      </c>
      <c r="D978" s="14" t="s">
        <v>1070</v>
      </c>
      <c r="E978" s="16"/>
      <c r="F978" s="8"/>
      <c r="G978" s="16"/>
      <c r="H978" s="8"/>
      <c r="I978" s="16"/>
    </row>
    <row r="979" outlineLevel="1">
      <c r="A979" s="9" t="s">
        <v>1282</v>
      </c>
      <c r="B979" s="9" t="s">
        <v>1283</v>
      </c>
      <c r="C979" s="12" t="s">
        <v>24</v>
      </c>
      <c r="D979" s="14" t="s">
        <v>1070</v>
      </c>
      <c r="E979" s="16"/>
      <c r="F979" s="8"/>
      <c r="G979" s="16"/>
      <c r="H979" s="8"/>
      <c r="I979" s="16"/>
    </row>
    <row r="980" outlineLevel="1">
      <c r="A980" s="9" t="s">
        <v>1284</v>
      </c>
      <c r="B980" s="9" t="s">
        <v>1285</v>
      </c>
      <c r="C980" s="12" t="s">
        <v>186</v>
      </c>
      <c r="D980" s="14" t="s">
        <v>1070</v>
      </c>
      <c r="E980" s="16"/>
      <c r="F980" s="8"/>
      <c r="G980" s="16"/>
      <c r="H980" s="8"/>
      <c r="I980" s="16"/>
    </row>
    <row r="981" outlineLevel="1">
      <c r="A981" s="9" t="s">
        <v>44</v>
      </c>
      <c r="B981" s="9" t="s">
        <v>247</v>
      </c>
      <c r="C981" s="12" t="s">
        <v>93</v>
      </c>
      <c r="D981" s="14" t="s">
        <v>1070</v>
      </c>
      <c r="E981" s="16"/>
      <c r="F981" s="8"/>
      <c r="G981" s="16"/>
      <c r="H981" s="8"/>
      <c r="I981" s="16"/>
    </row>
    <row r="982" outlineLevel="1">
      <c r="A982" s="9" t="s">
        <v>1005</v>
      </c>
      <c r="B982" s="9" t="s">
        <v>1286</v>
      </c>
      <c r="C982" s="12" t="s">
        <v>138</v>
      </c>
      <c r="D982" s="14" t="s">
        <v>1070</v>
      </c>
      <c r="E982" s="16"/>
      <c r="F982" s="8"/>
      <c r="G982" s="16"/>
      <c r="H982" s="8"/>
      <c r="I982" s="16"/>
    </row>
    <row r="983" outlineLevel="1">
      <c r="A983" s="9" t="s">
        <v>1005</v>
      </c>
      <c r="B983" s="9" t="s">
        <v>263</v>
      </c>
      <c r="C983" s="12" t="s">
        <v>122</v>
      </c>
      <c r="D983" s="14" t="s">
        <v>1070</v>
      </c>
      <c r="E983" s="16"/>
      <c r="F983" s="8"/>
      <c r="G983" s="16"/>
      <c r="H983" s="8"/>
      <c r="I983" s="16"/>
    </row>
    <row r="984" outlineLevel="1">
      <c r="A984" s="9" t="s">
        <v>1287</v>
      </c>
      <c r="B984" s="9" t="s">
        <v>137</v>
      </c>
      <c r="C984" s="12" t="s">
        <v>122</v>
      </c>
      <c r="D984" s="14" t="s">
        <v>1070</v>
      </c>
      <c r="E984" s="16"/>
      <c r="F984" s="8"/>
      <c r="G984" s="16"/>
      <c r="H984" s="8"/>
      <c r="I984" s="16"/>
    </row>
    <row r="985" outlineLevel="1">
      <c r="A985" s="9" t="s">
        <v>1288</v>
      </c>
      <c r="B985" s="9" t="s">
        <v>157</v>
      </c>
      <c r="C985" s="12" t="s">
        <v>93</v>
      </c>
      <c r="D985" s="14" t="s">
        <v>1070</v>
      </c>
      <c r="E985" s="16"/>
      <c r="F985" s="8"/>
      <c r="G985" s="16"/>
      <c r="H985" s="8"/>
      <c r="I985" s="16"/>
    </row>
    <row r="986" outlineLevel="1">
      <c r="A986" s="9" t="s">
        <v>1289</v>
      </c>
      <c r="B986" s="9" t="s">
        <v>1290</v>
      </c>
      <c r="C986" s="12" t="s">
        <v>16</v>
      </c>
      <c r="D986" s="14" t="s">
        <v>1070</v>
      </c>
      <c r="E986" s="16"/>
      <c r="F986" s="8"/>
      <c r="G986" s="16"/>
      <c r="H986" s="8"/>
      <c r="I986" s="16"/>
    </row>
    <row r="987" outlineLevel="1">
      <c r="A987" s="9" t="s">
        <v>1291</v>
      </c>
      <c r="B987" s="9" t="s">
        <v>1292</v>
      </c>
      <c r="C987" s="12" t="s">
        <v>59</v>
      </c>
      <c r="D987" s="14" t="s">
        <v>1070</v>
      </c>
      <c r="E987" s="16"/>
      <c r="F987" s="8"/>
      <c r="G987" s="16"/>
      <c r="H987" s="8"/>
      <c r="I987" s="16"/>
    </row>
    <row r="988" outlineLevel="1">
      <c r="A988" s="9" t="s">
        <v>1293</v>
      </c>
      <c r="B988" s="9" t="s">
        <v>746</v>
      </c>
      <c r="C988" s="12" t="s">
        <v>141</v>
      </c>
      <c r="D988" s="14" t="s">
        <v>1070</v>
      </c>
      <c r="E988" s="16"/>
      <c r="F988" s="8"/>
      <c r="G988" s="16"/>
      <c r="H988" s="8"/>
      <c r="I988" s="16"/>
    </row>
    <row r="989" outlineLevel="1">
      <c r="A989" s="9" t="s">
        <v>1294</v>
      </c>
      <c r="B989" s="9" t="s">
        <v>1295</v>
      </c>
      <c r="C989" s="12" t="s">
        <v>53</v>
      </c>
      <c r="D989" s="14" t="s">
        <v>1070</v>
      </c>
      <c r="E989" s="16"/>
      <c r="F989" s="8"/>
      <c r="G989" s="16"/>
      <c r="H989" s="8"/>
      <c r="I989" s="16"/>
    </row>
    <row r="990" outlineLevel="1">
      <c r="A990" s="9" t="s">
        <v>1296</v>
      </c>
      <c r="B990" s="9" t="s">
        <v>62</v>
      </c>
      <c r="C990" s="12" t="s">
        <v>70</v>
      </c>
      <c r="D990" s="14" t="s">
        <v>1070</v>
      </c>
      <c r="E990" s="16"/>
      <c r="F990" s="8"/>
      <c r="G990" s="16"/>
      <c r="H990" s="8"/>
      <c r="I990" s="16"/>
    </row>
    <row r="991" outlineLevel="1">
      <c r="A991" s="9" t="s">
        <v>1297</v>
      </c>
      <c r="B991" s="9" t="s">
        <v>11</v>
      </c>
      <c r="C991" s="12" t="s">
        <v>141</v>
      </c>
      <c r="D991" s="14" t="s">
        <v>1070</v>
      </c>
      <c r="E991" s="16"/>
      <c r="F991" s="8"/>
      <c r="G991" s="16"/>
      <c r="H991" s="8"/>
      <c r="I991" s="16"/>
    </row>
    <row r="992" outlineLevel="1">
      <c r="A992" s="9" t="s">
        <v>595</v>
      </c>
      <c r="B992" s="9" t="s">
        <v>320</v>
      </c>
      <c r="C992" s="12" t="s">
        <v>24</v>
      </c>
      <c r="D992" s="14" t="s">
        <v>1070</v>
      </c>
      <c r="E992" s="16"/>
      <c r="F992" s="8"/>
      <c r="G992" s="16"/>
      <c r="H992" s="8"/>
      <c r="I992" s="16"/>
    </row>
    <row r="993" outlineLevel="1">
      <c r="A993" s="9" t="s">
        <v>785</v>
      </c>
      <c r="B993" s="9" t="s">
        <v>263</v>
      </c>
      <c r="C993" s="12" t="s">
        <v>192</v>
      </c>
      <c r="D993" s="14" t="s">
        <v>1070</v>
      </c>
      <c r="E993" s="16"/>
      <c r="F993" s="8"/>
      <c r="G993" s="16"/>
      <c r="H993" s="8"/>
      <c r="I993" s="16"/>
    </row>
    <row r="994" outlineLevel="1">
      <c r="A994" s="9" t="s">
        <v>306</v>
      </c>
      <c r="B994" s="9" t="s">
        <v>1298</v>
      </c>
      <c r="C994" s="12" t="s">
        <v>53</v>
      </c>
      <c r="D994" s="14" t="s">
        <v>1070</v>
      </c>
      <c r="E994" s="16"/>
      <c r="F994" s="18"/>
      <c r="G994" s="19"/>
      <c r="H994" s="18"/>
      <c r="I994" s="19"/>
    </row>
    <row r="995" outlineLevel="1">
      <c r="A995" s="9" t="s">
        <v>1299</v>
      </c>
      <c r="B995" s="9" t="s">
        <v>1300</v>
      </c>
      <c r="C995" s="12" t="s">
        <v>215</v>
      </c>
      <c r="D995" s="14" t="s">
        <v>1070</v>
      </c>
      <c r="E995" s="16"/>
      <c r="F995" s="18"/>
      <c r="G995" s="19"/>
      <c r="H995" s="18"/>
      <c r="I995" s="19"/>
    </row>
    <row r="996" outlineLevel="1">
      <c r="A996" s="9" t="s">
        <v>308</v>
      </c>
      <c r="B996" s="9" t="s">
        <v>460</v>
      </c>
      <c r="C996" s="12" t="s">
        <v>65</v>
      </c>
      <c r="D996" s="14" t="s">
        <v>1070</v>
      </c>
      <c r="E996" s="16"/>
      <c r="F996" s="8"/>
      <c r="G996" s="16"/>
      <c r="H996" s="8"/>
      <c r="I996" s="16"/>
    </row>
    <row r="997" outlineLevel="1">
      <c r="A997" s="9" t="s">
        <v>308</v>
      </c>
      <c r="B997" s="9" t="s">
        <v>124</v>
      </c>
      <c r="C997" s="12" t="s">
        <v>46</v>
      </c>
      <c r="D997" s="14" t="s">
        <v>1070</v>
      </c>
      <c r="E997" s="16"/>
      <c r="F997" s="8"/>
      <c r="G997" s="16"/>
      <c r="H997" s="8"/>
      <c r="I997" s="16"/>
    </row>
    <row r="998" outlineLevel="1">
      <c r="A998" s="9" t="s">
        <v>1301</v>
      </c>
      <c r="B998" s="9" t="s">
        <v>29</v>
      </c>
      <c r="C998" s="12" t="s">
        <v>65</v>
      </c>
      <c r="D998" s="14" t="s">
        <v>1070</v>
      </c>
      <c r="E998" s="16"/>
      <c r="F998" s="8"/>
      <c r="G998" s="16"/>
      <c r="H998" s="8"/>
      <c r="I998" s="16"/>
    </row>
    <row r="999" outlineLevel="1">
      <c r="A999" s="9" t="s">
        <v>1302</v>
      </c>
      <c r="B999" s="9" t="s">
        <v>263</v>
      </c>
      <c r="C999" s="12" t="s">
        <v>132</v>
      </c>
      <c r="D999" s="14" t="s">
        <v>1070</v>
      </c>
      <c r="E999" s="16"/>
      <c r="F999" s="8"/>
      <c r="G999" s="16"/>
      <c r="H999" s="8"/>
      <c r="I999" s="16"/>
    </row>
    <row r="1000" outlineLevel="1">
      <c r="A1000" s="9" t="s">
        <v>597</v>
      </c>
      <c r="B1000" s="9" t="s">
        <v>197</v>
      </c>
      <c r="C1000" s="12" t="s">
        <v>122</v>
      </c>
      <c r="D1000" s="14" t="s">
        <v>1070</v>
      </c>
      <c r="E1000" s="16"/>
      <c r="F1000" s="8"/>
      <c r="G1000" s="16"/>
      <c r="H1000" s="8"/>
      <c r="I1000" s="16"/>
    </row>
    <row r="1001" outlineLevel="1">
      <c r="A1001" s="9" t="s">
        <v>1303</v>
      </c>
      <c r="B1001" s="9" t="s">
        <v>129</v>
      </c>
      <c r="C1001" s="12" t="s">
        <v>93</v>
      </c>
      <c r="D1001" s="14" t="s">
        <v>1070</v>
      </c>
      <c r="E1001" s="16"/>
      <c r="F1001" s="8"/>
      <c r="G1001" s="16"/>
      <c r="H1001" s="8"/>
      <c r="I1001" s="16"/>
    </row>
    <row r="1002" outlineLevel="1">
      <c r="A1002" s="9" t="s">
        <v>1304</v>
      </c>
      <c r="B1002" s="9" t="s">
        <v>299</v>
      </c>
      <c r="C1002" s="12" t="s">
        <v>16</v>
      </c>
      <c r="D1002" s="14" t="s">
        <v>1070</v>
      </c>
      <c r="E1002" s="16"/>
      <c r="F1002" s="8"/>
      <c r="G1002" s="16"/>
      <c r="H1002" s="8"/>
      <c r="I1002" s="16"/>
    </row>
    <row r="1003" outlineLevel="1">
      <c r="A1003" s="9" t="s">
        <v>1305</v>
      </c>
      <c r="B1003" s="9" t="s">
        <v>198</v>
      </c>
      <c r="C1003" s="12" t="s">
        <v>141</v>
      </c>
      <c r="D1003" s="14" t="s">
        <v>1070</v>
      </c>
      <c r="E1003" s="16"/>
      <c r="F1003" s="8"/>
      <c r="G1003" s="16"/>
      <c r="H1003" s="8"/>
      <c r="I1003" s="16"/>
    </row>
    <row r="1004" outlineLevel="1">
      <c r="A1004" s="9" t="s">
        <v>409</v>
      </c>
      <c r="B1004" s="9" t="s">
        <v>1306</v>
      </c>
      <c r="C1004" s="12" t="s">
        <v>65</v>
      </c>
      <c r="D1004" s="14" t="s">
        <v>1070</v>
      </c>
      <c r="E1004" s="16"/>
      <c r="F1004" s="8"/>
      <c r="G1004" s="16"/>
      <c r="H1004" s="8"/>
      <c r="I1004" s="16"/>
    </row>
    <row r="1005" outlineLevel="1">
      <c r="A1005" s="9" t="s">
        <v>1307</v>
      </c>
      <c r="B1005" s="9" t="s">
        <v>1308</v>
      </c>
      <c r="C1005" s="12" t="s">
        <v>186</v>
      </c>
      <c r="D1005" s="14" t="s">
        <v>1070</v>
      </c>
      <c r="E1005" s="16"/>
      <c r="F1005" s="8"/>
      <c r="G1005" s="16"/>
      <c r="H1005" s="8"/>
      <c r="I1005" s="16"/>
    </row>
    <row r="1006" outlineLevel="1">
      <c r="A1006" s="9" t="s">
        <v>1309</v>
      </c>
      <c r="B1006" s="9" t="s">
        <v>67</v>
      </c>
      <c r="C1006" s="12" t="s">
        <v>186</v>
      </c>
      <c r="D1006" s="14" t="s">
        <v>1070</v>
      </c>
      <c r="E1006" s="16"/>
      <c r="F1006" s="8"/>
      <c r="G1006" s="16"/>
      <c r="H1006" s="8"/>
      <c r="I1006" s="16"/>
    </row>
    <row r="1007" outlineLevel="1">
      <c r="A1007" s="9" t="s">
        <v>1310</v>
      </c>
      <c r="B1007" s="9" t="s">
        <v>134</v>
      </c>
      <c r="C1007" s="12" t="s">
        <v>122</v>
      </c>
      <c r="D1007" s="14" t="s">
        <v>1070</v>
      </c>
      <c r="E1007" s="16"/>
      <c r="F1007" s="8"/>
      <c r="G1007" s="16"/>
      <c r="H1007" s="8"/>
      <c r="I1007" s="16"/>
    </row>
    <row r="1008" outlineLevel="1">
      <c r="A1008" s="9" t="s">
        <v>796</v>
      </c>
      <c r="B1008" s="9" t="s">
        <v>1035</v>
      </c>
      <c r="C1008" s="12" t="s">
        <v>65</v>
      </c>
      <c r="D1008" s="14" t="s">
        <v>1070</v>
      </c>
      <c r="E1008" s="16"/>
      <c r="F1008" s="8"/>
      <c r="G1008" s="16"/>
      <c r="H1008" s="8"/>
      <c r="I1008" s="16"/>
    </row>
    <row r="1009" outlineLevel="1">
      <c r="A1009" s="9" t="s">
        <v>1311</v>
      </c>
      <c r="B1009" s="9" t="s">
        <v>1312</v>
      </c>
      <c r="C1009" s="12" t="s">
        <v>149</v>
      </c>
      <c r="D1009" s="14" t="s">
        <v>1070</v>
      </c>
      <c r="E1009" s="16"/>
      <c r="F1009" s="8"/>
      <c r="G1009" s="16"/>
      <c r="H1009" s="8"/>
      <c r="I1009" s="16"/>
    </row>
    <row r="1010" outlineLevel="1">
      <c r="A1010" s="9" t="s">
        <v>1313</v>
      </c>
      <c r="B1010" s="9" t="s">
        <v>33</v>
      </c>
      <c r="C1010" s="12" t="s">
        <v>141</v>
      </c>
      <c r="D1010" s="14" t="s">
        <v>1070</v>
      </c>
      <c r="E1010" s="16"/>
      <c r="F1010" s="8"/>
      <c r="G1010" s="16"/>
      <c r="H1010" s="8"/>
      <c r="I1010" s="16"/>
    </row>
    <row r="1011" outlineLevel="1">
      <c r="A1011" s="9" t="s">
        <v>99</v>
      </c>
      <c r="B1011" s="9" t="s">
        <v>1314</v>
      </c>
      <c r="C1011" s="12" t="s">
        <v>46</v>
      </c>
      <c r="D1011" s="14" t="s">
        <v>1070</v>
      </c>
      <c r="E1011" s="16"/>
      <c r="F1011" s="8"/>
      <c r="G1011" s="16"/>
      <c r="H1011" s="8"/>
      <c r="I1011" s="16"/>
    </row>
    <row r="1012" outlineLevel="1">
      <c r="A1012" s="9" t="s">
        <v>99</v>
      </c>
      <c r="B1012" s="9" t="s">
        <v>1107</v>
      </c>
      <c r="C1012" s="12" t="s">
        <v>59</v>
      </c>
      <c r="D1012" s="14" t="s">
        <v>1070</v>
      </c>
      <c r="E1012" s="16"/>
      <c r="F1012" s="8"/>
      <c r="G1012" s="16"/>
      <c r="H1012" s="8"/>
      <c r="I1012" s="16"/>
    </row>
    <row r="1013" outlineLevel="1">
      <c r="A1013" s="18" t="s">
        <v>99</v>
      </c>
      <c r="B1013" s="9" t="s">
        <v>1315</v>
      </c>
      <c r="C1013" s="12" t="s">
        <v>53</v>
      </c>
      <c r="D1013" s="14" t="s">
        <v>1070</v>
      </c>
      <c r="E1013" s="16"/>
      <c r="F1013" s="8"/>
      <c r="G1013" s="16"/>
      <c r="H1013" s="8"/>
      <c r="I1013" s="16"/>
    </row>
    <row r="1014" outlineLevel="1">
      <c r="A1014" s="9" t="s">
        <v>1316</v>
      </c>
      <c r="B1014" s="18" t="s">
        <v>1317</v>
      </c>
      <c r="C1014" s="19" t="s">
        <v>65</v>
      </c>
      <c r="D1014" s="14" t="s">
        <v>1070</v>
      </c>
      <c r="E1014" s="16"/>
      <c r="F1014" s="8"/>
      <c r="G1014" s="16"/>
      <c r="H1014" s="8"/>
      <c r="I1014" s="16"/>
    </row>
    <row r="1015" outlineLevel="1">
      <c r="A1015" s="9" t="s">
        <v>62</v>
      </c>
      <c r="B1015" s="9" t="s">
        <v>137</v>
      </c>
      <c r="C1015" s="12" t="s">
        <v>65</v>
      </c>
      <c r="D1015" s="14" t="s">
        <v>1070</v>
      </c>
      <c r="E1015" s="16"/>
      <c r="F1015" s="8"/>
      <c r="G1015" s="16"/>
      <c r="H1015" s="8"/>
      <c r="I1015" s="16"/>
    </row>
    <row r="1016" outlineLevel="1">
      <c r="A1016" s="9" t="s">
        <v>1318</v>
      </c>
      <c r="B1016" s="9" t="s">
        <v>102</v>
      </c>
      <c r="C1016" s="12" t="s">
        <v>75</v>
      </c>
      <c r="D1016" s="14" t="s">
        <v>1070</v>
      </c>
      <c r="E1016" s="16"/>
      <c r="F1016" s="8"/>
      <c r="G1016" s="16"/>
      <c r="H1016" s="8"/>
      <c r="I1016" s="16"/>
    </row>
    <row r="1017" outlineLevel="1">
      <c r="A1017" s="9" t="s">
        <v>1319</v>
      </c>
      <c r="B1017" s="9" t="s">
        <v>694</v>
      </c>
      <c r="C1017" s="12" t="s">
        <v>138</v>
      </c>
      <c r="D1017" s="14" t="s">
        <v>1070</v>
      </c>
      <c r="E1017" s="16"/>
      <c r="F1017" s="8"/>
      <c r="G1017" s="16"/>
      <c r="H1017" s="8"/>
      <c r="I1017" s="16"/>
    </row>
    <row r="1018" outlineLevel="1">
      <c r="A1018" s="9" t="s">
        <v>1043</v>
      </c>
      <c r="B1018" s="9" t="s">
        <v>1320</v>
      </c>
      <c r="C1018" s="12" t="s">
        <v>132</v>
      </c>
      <c r="D1018" s="14" t="s">
        <v>1070</v>
      </c>
      <c r="E1018" s="16"/>
      <c r="F1018" s="8"/>
      <c r="G1018" s="16"/>
      <c r="H1018" s="8"/>
      <c r="I1018" s="16"/>
    </row>
    <row r="1019" outlineLevel="1">
      <c r="A1019" s="9" t="s">
        <v>188</v>
      </c>
      <c r="B1019" s="9" t="s">
        <v>183</v>
      </c>
      <c r="C1019" s="12" t="s">
        <v>192</v>
      </c>
      <c r="D1019" s="14" t="s">
        <v>1070</v>
      </c>
      <c r="E1019" s="16"/>
      <c r="F1019" s="8"/>
      <c r="G1019" s="16"/>
      <c r="H1019" s="8"/>
      <c r="I1019" s="16"/>
    </row>
    <row r="1020" outlineLevel="1">
      <c r="A1020" s="18" t="s">
        <v>1321</v>
      </c>
      <c r="B1020" s="9" t="s">
        <v>521</v>
      </c>
      <c r="C1020" s="12" t="s">
        <v>24</v>
      </c>
      <c r="D1020" s="14" t="s">
        <v>1070</v>
      </c>
      <c r="E1020" s="16"/>
      <c r="F1020" s="8"/>
      <c r="G1020" s="16"/>
      <c r="H1020" s="8"/>
      <c r="I1020" s="16"/>
    </row>
    <row r="1021" outlineLevel="1">
      <c r="A1021" s="9" t="s">
        <v>1322</v>
      </c>
      <c r="B1021" s="18" t="s">
        <v>1323</v>
      </c>
      <c r="C1021" s="19" t="s">
        <v>149</v>
      </c>
      <c r="D1021" s="14" t="s">
        <v>1070</v>
      </c>
      <c r="E1021" s="16"/>
      <c r="F1021" s="8"/>
      <c r="G1021" s="16"/>
      <c r="H1021" s="8"/>
      <c r="I1021" s="16"/>
    </row>
    <row r="1022" outlineLevel="1">
      <c r="A1022" s="9" t="s">
        <v>1324</v>
      </c>
      <c r="B1022" s="9" t="s">
        <v>45</v>
      </c>
      <c r="C1022" s="12" t="s">
        <v>24</v>
      </c>
      <c r="D1022" s="14" t="s">
        <v>1070</v>
      </c>
      <c r="E1022" s="16"/>
      <c r="F1022" s="8"/>
      <c r="G1022" s="16"/>
      <c r="H1022" s="8"/>
      <c r="I1022" s="16"/>
    </row>
    <row r="1023" outlineLevel="1">
      <c r="A1023" s="9" t="s">
        <v>1325</v>
      </c>
      <c r="B1023" s="9" t="s">
        <v>231</v>
      </c>
      <c r="C1023" s="12" t="s">
        <v>24</v>
      </c>
      <c r="D1023" s="14" t="s">
        <v>1070</v>
      </c>
      <c r="E1023" s="16"/>
      <c r="F1023" s="8"/>
      <c r="G1023" s="16"/>
      <c r="H1023" s="8"/>
      <c r="I1023" s="16"/>
    </row>
    <row r="1024" outlineLevel="1">
      <c r="A1024" s="9" t="s">
        <v>1326</v>
      </c>
      <c r="B1024" s="9" t="s">
        <v>260</v>
      </c>
      <c r="C1024" s="12" t="s">
        <v>53</v>
      </c>
      <c r="D1024" s="14" t="s">
        <v>1070</v>
      </c>
      <c r="E1024" s="16"/>
      <c r="F1024" s="8"/>
      <c r="G1024" s="16"/>
      <c r="H1024" s="8"/>
      <c r="I1024" s="16"/>
    </row>
    <row r="1025" outlineLevel="1">
      <c r="A1025" s="9" t="s">
        <v>1327</v>
      </c>
      <c r="B1025" s="9" t="s">
        <v>231</v>
      </c>
      <c r="C1025" s="12" t="s">
        <v>53</v>
      </c>
      <c r="D1025" s="14" t="s">
        <v>1070</v>
      </c>
      <c r="E1025" s="16"/>
      <c r="F1025" s="8"/>
      <c r="G1025" s="16"/>
      <c r="H1025" s="8"/>
      <c r="I1025" s="16"/>
    </row>
    <row r="1026" outlineLevel="1">
      <c r="A1026" s="9" t="s">
        <v>104</v>
      </c>
      <c r="B1026" s="9" t="s">
        <v>102</v>
      </c>
      <c r="C1026" s="12" t="s">
        <v>186</v>
      </c>
      <c r="D1026" s="14" t="s">
        <v>1070</v>
      </c>
      <c r="E1026" s="16"/>
      <c r="F1026" s="8"/>
      <c r="G1026" s="16"/>
      <c r="H1026" s="8"/>
      <c r="I1026" s="16"/>
    </row>
    <row r="1027" outlineLevel="1">
      <c r="A1027" s="9" t="s">
        <v>1328</v>
      </c>
      <c r="B1027" s="9" t="s">
        <v>98</v>
      </c>
      <c r="C1027" s="12" t="s">
        <v>59</v>
      </c>
      <c r="D1027" s="14" t="s">
        <v>1070</v>
      </c>
      <c r="E1027" s="16"/>
      <c r="F1027" s="18"/>
      <c r="G1027" s="19"/>
      <c r="H1027" s="18"/>
      <c r="I1027" s="19"/>
    </row>
    <row r="1028" outlineLevel="1">
      <c r="A1028" s="9" t="s">
        <v>1329</v>
      </c>
      <c r="B1028" s="9" t="s">
        <v>153</v>
      </c>
      <c r="C1028" s="12" t="s">
        <v>24</v>
      </c>
      <c r="D1028" s="14" t="s">
        <v>1070</v>
      </c>
      <c r="E1028" s="16"/>
      <c r="F1028" s="8"/>
      <c r="G1028" s="16"/>
      <c r="H1028" s="8"/>
      <c r="I1028" s="16"/>
    </row>
    <row r="1029" outlineLevel="1">
      <c r="A1029" s="9" t="s">
        <v>1330</v>
      </c>
      <c r="B1029" s="9" t="s">
        <v>357</v>
      </c>
      <c r="C1029" s="12" t="s">
        <v>80</v>
      </c>
      <c r="D1029" s="14" t="s">
        <v>1070</v>
      </c>
      <c r="E1029" s="16"/>
      <c r="F1029" s="18"/>
      <c r="G1029" s="19"/>
      <c r="H1029" s="18"/>
      <c r="I1029" s="19"/>
    </row>
    <row r="1030" outlineLevel="1">
      <c r="A1030" s="9" t="s">
        <v>1330</v>
      </c>
      <c r="B1030" s="9" t="s">
        <v>1331</v>
      </c>
      <c r="C1030" s="12" t="s">
        <v>122</v>
      </c>
      <c r="D1030" s="14" t="s">
        <v>1070</v>
      </c>
      <c r="E1030" s="16"/>
      <c r="F1030" s="8"/>
      <c r="G1030" s="16"/>
      <c r="H1030" s="8"/>
      <c r="I1030" s="16"/>
    </row>
    <row r="1031" outlineLevel="1">
      <c r="A1031" s="9" t="s">
        <v>1330</v>
      </c>
      <c r="B1031" s="9" t="s">
        <v>943</v>
      </c>
      <c r="C1031" s="12" t="s">
        <v>70</v>
      </c>
      <c r="D1031" s="14" t="s">
        <v>1070</v>
      </c>
      <c r="E1031" s="16"/>
      <c r="F1031" s="8"/>
      <c r="G1031" s="16"/>
      <c r="H1031" s="8"/>
      <c r="I1031" s="16"/>
    </row>
    <row r="1032" outlineLevel="1">
      <c r="A1032" s="9" t="s">
        <v>1332</v>
      </c>
      <c r="B1032" s="9" t="s">
        <v>1333</v>
      </c>
      <c r="C1032" s="12" t="s">
        <v>93</v>
      </c>
      <c r="D1032" s="14" t="s">
        <v>1070</v>
      </c>
      <c r="E1032" s="16"/>
      <c r="F1032" s="18"/>
      <c r="G1032" s="19"/>
      <c r="H1032" s="18"/>
      <c r="I1032" s="19"/>
    </row>
    <row r="1033" outlineLevel="1">
      <c r="A1033" s="9" t="s">
        <v>1050</v>
      </c>
      <c r="B1033" s="9" t="s">
        <v>1334</v>
      </c>
      <c r="C1033" s="12" t="s">
        <v>65</v>
      </c>
      <c r="D1033" s="14" t="s">
        <v>1070</v>
      </c>
      <c r="E1033" s="16"/>
      <c r="F1033" s="8"/>
      <c r="G1033" s="16"/>
      <c r="H1033" s="8"/>
      <c r="I1033" s="16"/>
    </row>
    <row r="1034" outlineLevel="1">
      <c r="A1034" s="9" t="s">
        <v>448</v>
      </c>
      <c r="B1034" s="9" t="s">
        <v>493</v>
      </c>
      <c r="C1034" s="12" t="s">
        <v>261</v>
      </c>
      <c r="D1034" s="14" t="s">
        <v>1070</v>
      </c>
      <c r="E1034" s="16"/>
      <c r="F1034" s="8"/>
      <c r="G1034" s="16"/>
      <c r="H1034" s="8"/>
      <c r="I1034" s="16"/>
    </row>
    <row r="1035" outlineLevel="1">
      <c r="A1035" s="9" t="s">
        <v>1335</v>
      </c>
      <c r="B1035" s="9" t="s">
        <v>1118</v>
      </c>
      <c r="C1035" s="12" t="s">
        <v>16</v>
      </c>
      <c r="D1035" s="14" t="s">
        <v>1070</v>
      </c>
      <c r="E1035" s="16"/>
      <c r="F1035" s="8"/>
      <c r="G1035" s="16"/>
      <c r="H1035" s="8"/>
      <c r="I1035" s="16"/>
    </row>
    <row r="1036" outlineLevel="1">
      <c r="A1036" s="9" t="s">
        <v>1336</v>
      </c>
      <c r="B1036" s="9" t="s">
        <v>1172</v>
      </c>
      <c r="C1036" s="12" t="s">
        <v>46</v>
      </c>
      <c r="D1036" s="14" t="s">
        <v>1070</v>
      </c>
      <c r="E1036" s="16"/>
      <c r="F1036" s="8"/>
      <c r="G1036" s="16"/>
      <c r="H1036" s="8"/>
      <c r="I1036" s="16"/>
    </row>
    <row r="1037" outlineLevel="1">
      <c r="A1037" s="9" t="s">
        <v>1337</v>
      </c>
      <c r="B1037" s="9" t="s">
        <v>726</v>
      </c>
      <c r="C1037" s="12" t="s">
        <v>75</v>
      </c>
      <c r="D1037" s="14" t="s">
        <v>1070</v>
      </c>
      <c r="E1037" s="16"/>
      <c r="F1037" s="8"/>
      <c r="G1037" s="16"/>
      <c r="H1037" s="8"/>
      <c r="I1037" s="16"/>
    </row>
    <row r="1038" outlineLevel="1">
      <c r="A1038" s="9" t="s">
        <v>78</v>
      </c>
      <c r="B1038" s="9" t="s">
        <v>121</v>
      </c>
      <c r="C1038" s="12" t="s">
        <v>93</v>
      </c>
      <c r="D1038" s="14" t="s">
        <v>1070</v>
      </c>
      <c r="E1038" s="16"/>
      <c r="F1038" s="8"/>
      <c r="G1038" s="16"/>
      <c r="H1038" s="8"/>
      <c r="I1038" s="16"/>
    </row>
    <row r="1039" outlineLevel="1">
      <c r="A1039" s="9" t="s">
        <v>78</v>
      </c>
      <c r="B1039" s="9" t="s">
        <v>1338</v>
      </c>
      <c r="C1039" s="12" t="s">
        <v>46</v>
      </c>
      <c r="D1039" s="14" t="s">
        <v>1070</v>
      </c>
      <c r="E1039" s="16"/>
      <c r="F1039" s="18"/>
      <c r="G1039" s="19"/>
      <c r="H1039" s="18"/>
      <c r="I1039" s="19"/>
    </row>
    <row r="1040" outlineLevel="1">
      <c r="A1040" s="9" t="s">
        <v>617</v>
      </c>
      <c r="B1040" s="9" t="s">
        <v>558</v>
      </c>
      <c r="C1040" s="12" t="s">
        <v>192</v>
      </c>
      <c r="D1040" s="14" t="s">
        <v>1070</v>
      </c>
      <c r="E1040" s="16"/>
      <c r="F1040" s="8"/>
      <c r="G1040" s="16"/>
      <c r="H1040" s="8"/>
      <c r="I1040" s="16"/>
    </row>
    <row r="1041" outlineLevel="1">
      <c r="A1041" s="9" t="s">
        <v>78</v>
      </c>
      <c r="B1041" s="9" t="s">
        <v>1339</v>
      </c>
      <c r="C1041" s="12" t="s">
        <v>122</v>
      </c>
      <c r="D1041" s="14" t="s">
        <v>1070</v>
      </c>
      <c r="E1041" s="16"/>
      <c r="F1041" s="8"/>
      <c r="G1041" s="16"/>
      <c r="H1041" s="8"/>
      <c r="I1041" s="16"/>
    </row>
    <row r="1042" outlineLevel="1">
      <c r="A1042" s="9" t="s">
        <v>78</v>
      </c>
      <c r="B1042" s="9" t="s">
        <v>1340</v>
      </c>
      <c r="C1042" s="12" t="s">
        <v>93</v>
      </c>
      <c r="D1042" s="14" t="s">
        <v>1070</v>
      </c>
      <c r="E1042" s="16"/>
      <c r="F1042" s="8"/>
      <c r="G1042" s="16"/>
      <c r="H1042" s="8"/>
      <c r="I1042" s="16"/>
    </row>
    <row r="1043" outlineLevel="1">
      <c r="A1043" s="18" t="s">
        <v>78</v>
      </c>
      <c r="B1043" s="9" t="s">
        <v>1341</v>
      </c>
      <c r="C1043" s="12" t="s">
        <v>93</v>
      </c>
      <c r="D1043" s="14" t="s">
        <v>1070</v>
      </c>
      <c r="E1043" s="16"/>
      <c r="F1043" s="8"/>
      <c r="G1043" s="16"/>
      <c r="H1043" s="8"/>
      <c r="I1043" s="16"/>
    </row>
    <row r="1044" outlineLevel="1">
      <c r="A1044" s="9" t="s">
        <v>451</v>
      </c>
      <c r="B1044" s="18" t="s">
        <v>1060</v>
      </c>
      <c r="C1044" s="19" t="s">
        <v>53</v>
      </c>
      <c r="D1044" s="14" t="s">
        <v>1070</v>
      </c>
      <c r="E1044" s="16"/>
      <c r="F1044" s="8"/>
      <c r="G1044" s="16"/>
      <c r="H1044" s="8"/>
      <c r="I1044" s="16"/>
    </row>
    <row r="1045" outlineLevel="1">
      <c r="A1045" s="9" t="s">
        <v>233</v>
      </c>
      <c r="B1045" s="9" t="s">
        <v>1342</v>
      </c>
      <c r="C1045" s="12" t="s">
        <v>122</v>
      </c>
      <c r="D1045" s="14" t="s">
        <v>1070</v>
      </c>
      <c r="E1045" s="16"/>
      <c r="F1045" s="8"/>
      <c r="G1045" s="16"/>
      <c r="H1045" s="8"/>
      <c r="I1045" s="16"/>
    </row>
    <row r="1046" outlineLevel="1">
      <c r="A1046" s="9" t="s">
        <v>1343</v>
      </c>
      <c r="B1046" s="9" t="s">
        <v>480</v>
      </c>
      <c r="C1046" s="12" t="s">
        <v>24</v>
      </c>
      <c r="D1046" s="14" t="s">
        <v>1070</v>
      </c>
      <c r="E1046" s="16"/>
      <c r="F1046" s="8"/>
      <c r="G1046" s="16"/>
      <c r="H1046" s="8"/>
      <c r="I1046" s="16"/>
    </row>
    <row r="1047" outlineLevel="1">
      <c r="A1047" s="9" t="s">
        <v>1344</v>
      </c>
      <c r="B1047" s="9" t="s">
        <v>301</v>
      </c>
      <c r="C1047" s="12" t="s">
        <v>16</v>
      </c>
      <c r="D1047" s="14" t="s">
        <v>1070</v>
      </c>
      <c r="E1047" s="16"/>
      <c r="F1047" s="8"/>
      <c r="G1047" s="16"/>
      <c r="H1047" s="8"/>
      <c r="I1047" s="16"/>
    </row>
    <row r="1048" outlineLevel="1">
      <c r="A1048" s="9" t="s">
        <v>1345</v>
      </c>
      <c r="B1048" s="9" t="s">
        <v>381</v>
      </c>
      <c r="C1048" s="12" t="s">
        <v>122</v>
      </c>
      <c r="D1048" s="14" t="s">
        <v>1070</v>
      </c>
      <c r="E1048" s="16"/>
      <c r="F1048" s="8"/>
      <c r="G1048" s="16"/>
      <c r="H1048" s="8"/>
      <c r="I1048" s="16"/>
    </row>
    <row r="1049" outlineLevel="1">
      <c r="A1049" s="9" t="s">
        <v>1346</v>
      </c>
      <c r="B1049" s="9" t="s">
        <v>1347</v>
      </c>
      <c r="C1049" s="12" t="s">
        <v>215</v>
      </c>
      <c r="D1049" s="14" t="s">
        <v>1070</v>
      </c>
      <c r="E1049" s="16"/>
      <c r="F1049" s="8"/>
      <c r="G1049" s="16"/>
      <c r="H1049" s="8"/>
      <c r="I1049" s="16"/>
    </row>
    <row r="1050" outlineLevel="1">
      <c r="A1050" s="9" t="s">
        <v>1348</v>
      </c>
      <c r="B1050" s="9" t="s">
        <v>480</v>
      </c>
      <c r="C1050" s="12" t="s">
        <v>70</v>
      </c>
      <c r="D1050" s="14" t="s">
        <v>1070</v>
      </c>
      <c r="E1050" s="16"/>
      <c r="F1050" s="8"/>
      <c r="G1050" s="16"/>
      <c r="H1050" s="8"/>
      <c r="I1050" s="16"/>
    </row>
    <row r="1051" outlineLevel="1">
      <c r="A1051" s="9" t="s">
        <v>1349</v>
      </c>
      <c r="B1051" s="9" t="s">
        <v>121</v>
      </c>
      <c r="C1051" s="12" t="s">
        <v>65</v>
      </c>
      <c r="D1051" s="14" t="s">
        <v>1070</v>
      </c>
      <c r="E1051" s="16"/>
      <c r="F1051" s="8"/>
      <c r="G1051" s="16"/>
      <c r="H1051" s="8"/>
      <c r="I1051" s="16"/>
    </row>
    <row r="1052" outlineLevel="1">
      <c r="A1052" s="9" t="s">
        <v>1350</v>
      </c>
      <c r="B1052" s="9" t="s">
        <v>1351</v>
      </c>
      <c r="C1052" s="12" t="s">
        <v>65</v>
      </c>
      <c r="D1052" s="14" t="s">
        <v>1352</v>
      </c>
      <c r="E1052" s="16"/>
      <c r="F1052" s="8"/>
      <c r="G1052" s="16"/>
      <c r="H1052" s="8"/>
      <c r="I1052" s="16"/>
    </row>
    <row r="1053" outlineLevel="1">
      <c r="A1053" s="9" t="s">
        <v>57</v>
      </c>
      <c r="B1053" s="9" t="s">
        <v>1353</v>
      </c>
      <c r="C1053" s="12" t="s">
        <v>93</v>
      </c>
      <c r="D1053" s="14" t="s">
        <v>1352</v>
      </c>
      <c r="E1053" s="16"/>
      <c r="F1053" s="8"/>
      <c r="G1053" s="16"/>
      <c r="H1053" s="8"/>
      <c r="I1053" s="16"/>
    </row>
    <row r="1054" outlineLevel="1">
      <c r="A1054" s="9" t="s">
        <v>57</v>
      </c>
      <c r="B1054" s="9" t="s">
        <v>1354</v>
      </c>
      <c r="C1054" s="12" t="s">
        <v>186</v>
      </c>
      <c r="D1054" s="14" t="s">
        <v>1352</v>
      </c>
      <c r="E1054" s="16"/>
      <c r="F1054" s="8"/>
      <c r="G1054" s="16"/>
      <c r="H1054" s="8"/>
      <c r="I1054" s="16"/>
    </row>
    <row r="1055" outlineLevel="1">
      <c r="A1055" s="9" t="s">
        <v>1355</v>
      </c>
      <c r="B1055" s="9" t="s">
        <v>1356</v>
      </c>
      <c r="C1055" s="12" t="s">
        <v>24</v>
      </c>
      <c r="D1055" s="14" t="s">
        <v>1352</v>
      </c>
      <c r="E1055" s="16"/>
      <c r="F1055" s="8"/>
      <c r="G1055" s="16"/>
      <c r="H1055" s="8"/>
      <c r="I1055" s="16"/>
    </row>
    <row r="1056" outlineLevel="1">
      <c r="A1056" s="9" t="s">
        <v>460</v>
      </c>
      <c r="B1056" s="9" t="s">
        <v>157</v>
      </c>
      <c r="C1056" s="12" t="s">
        <v>93</v>
      </c>
      <c r="D1056" s="14" t="s">
        <v>1352</v>
      </c>
      <c r="E1056" s="16"/>
      <c r="F1056" s="8"/>
      <c r="G1056" s="16"/>
      <c r="H1056" s="8"/>
      <c r="I1056" s="16"/>
    </row>
    <row r="1057" outlineLevel="1">
      <c r="A1057" s="9" t="s">
        <v>1357</v>
      </c>
      <c r="B1057" s="9" t="s">
        <v>1358</v>
      </c>
      <c r="C1057" s="12" t="s">
        <v>65</v>
      </c>
      <c r="D1057" s="14" t="s">
        <v>1352</v>
      </c>
      <c r="E1057" s="16"/>
      <c r="F1057" s="8"/>
      <c r="G1057" s="16"/>
      <c r="H1057" s="8"/>
      <c r="I1057" s="16"/>
    </row>
    <row r="1058" outlineLevel="1">
      <c r="A1058" s="9" t="s">
        <v>1359</v>
      </c>
      <c r="B1058" s="9" t="s">
        <v>1360</v>
      </c>
      <c r="C1058" s="12" t="s">
        <v>75</v>
      </c>
      <c r="D1058" s="14" t="s">
        <v>1352</v>
      </c>
      <c r="E1058" s="16"/>
      <c r="F1058" s="8"/>
      <c r="G1058" s="16"/>
      <c r="H1058" s="8"/>
      <c r="I1058" s="16"/>
    </row>
    <row r="1059" outlineLevel="1">
      <c r="A1059" s="9" t="s">
        <v>636</v>
      </c>
      <c r="B1059" s="9" t="s">
        <v>67</v>
      </c>
      <c r="C1059" s="12" t="s">
        <v>53</v>
      </c>
      <c r="D1059" s="14" t="s">
        <v>1352</v>
      </c>
      <c r="E1059" s="16"/>
      <c r="F1059" s="8"/>
      <c r="G1059" s="16"/>
      <c r="H1059" s="8"/>
      <c r="I1059" s="16"/>
    </row>
    <row r="1060" outlineLevel="1">
      <c r="A1060" s="9" t="s">
        <v>1361</v>
      </c>
      <c r="B1060" s="9" t="s">
        <v>29</v>
      </c>
      <c r="C1060" s="12" t="s">
        <v>122</v>
      </c>
      <c r="D1060" s="14" t="s">
        <v>1352</v>
      </c>
      <c r="E1060" s="16"/>
      <c r="F1060" s="8"/>
      <c r="G1060" s="16"/>
      <c r="H1060" s="8"/>
      <c r="I1060" s="16"/>
    </row>
    <row r="1061" outlineLevel="1">
      <c r="A1061" s="9" t="s">
        <v>1362</v>
      </c>
      <c r="B1061" s="9" t="s">
        <v>100</v>
      </c>
      <c r="C1061" s="12" t="s">
        <v>261</v>
      </c>
      <c r="D1061" s="14" t="s">
        <v>1352</v>
      </c>
      <c r="E1061" s="16"/>
      <c r="F1061" s="8"/>
      <c r="G1061" s="16"/>
      <c r="H1061" s="8"/>
      <c r="I1061" s="16"/>
    </row>
    <row r="1062" outlineLevel="1">
      <c r="A1062" s="9" t="s">
        <v>639</v>
      </c>
      <c r="B1062" s="9" t="s">
        <v>1363</v>
      </c>
      <c r="C1062" s="12" t="s">
        <v>122</v>
      </c>
      <c r="D1062" s="14" t="s">
        <v>1352</v>
      </c>
      <c r="E1062" s="16"/>
      <c r="F1062" s="8"/>
      <c r="G1062" s="16"/>
      <c r="H1062" s="8"/>
      <c r="I1062" s="16"/>
    </row>
    <row r="1063" outlineLevel="1">
      <c r="A1063" s="9" t="s">
        <v>1364</v>
      </c>
      <c r="B1063" s="9" t="s">
        <v>1365</v>
      </c>
      <c r="C1063" s="12" t="s">
        <v>215</v>
      </c>
      <c r="D1063" s="14" t="s">
        <v>1352</v>
      </c>
      <c r="E1063" s="16"/>
      <c r="F1063" s="8"/>
      <c r="G1063" s="16"/>
      <c r="H1063" s="8"/>
      <c r="I1063" s="16"/>
    </row>
    <row r="1064" outlineLevel="1">
      <c r="A1064" s="9" t="s">
        <v>1366</v>
      </c>
      <c r="B1064" s="9" t="s">
        <v>480</v>
      </c>
      <c r="C1064" s="12" t="s">
        <v>149</v>
      </c>
      <c r="D1064" s="14" t="s">
        <v>1352</v>
      </c>
      <c r="E1064" s="16"/>
      <c r="F1064" s="8"/>
      <c r="G1064" s="16"/>
      <c r="H1064" s="8"/>
      <c r="I1064" s="16"/>
    </row>
    <row r="1065" outlineLevel="1">
      <c r="A1065" s="9" t="s">
        <v>1367</v>
      </c>
      <c r="B1065" s="9" t="s">
        <v>1368</v>
      </c>
      <c r="C1065" s="12" t="s">
        <v>70</v>
      </c>
      <c r="D1065" s="14" t="s">
        <v>1352</v>
      </c>
      <c r="E1065" s="16"/>
      <c r="F1065" s="8"/>
      <c r="G1065" s="16"/>
      <c r="H1065" s="8"/>
      <c r="I1065" s="16"/>
    </row>
    <row r="1066" outlineLevel="1">
      <c r="A1066" s="9" t="s">
        <v>1079</v>
      </c>
      <c r="B1066" s="9" t="s">
        <v>100</v>
      </c>
      <c r="C1066" s="12" t="s">
        <v>215</v>
      </c>
      <c r="D1066" s="14" t="s">
        <v>1352</v>
      </c>
      <c r="E1066" s="16"/>
      <c r="F1066" s="8"/>
      <c r="G1066" s="16"/>
      <c r="H1066" s="8"/>
      <c r="I1066" s="16"/>
    </row>
    <row r="1067" outlineLevel="1">
      <c r="A1067" s="9" t="s">
        <v>1369</v>
      </c>
      <c r="B1067" s="9" t="s">
        <v>1370</v>
      </c>
      <c r="C1067" s="12" t="s">
        <v>53</v>
      </c>
      <c r="D1067" s="14" t="s">
        <v>1352</v>
      </c>
      <c r="E1067" s="16"/>
      <c r="F1067" s="18"/>
      <c r="G1067" s="19"/>
      <c r="H1067" s="18"/>
      <c r="I1067" s="19"/>
    </row>
    <row r="1068" outlineLevel="1">
      <c r="A1068" s="9" t="s">
        <v>1371</v>
      </c>
      <c r="B1068" s="9" t="s">
        <v>177</v>
      </c>
      <c r="C1068" s="12" t="s">
        <v>24</v>
      </c>
      <c r="D1068" s="14" t="s">
        <v>1352</v>
      </c>
      <c r="E1068" s="16"/>
      <c r="F1068" s="8"/>
      <c r="G1068" s="16"/>
      <c r="H1068" s="8"/>
      <c r="I1068" s="16"/>
    </row>
    <row r="1069" outlineLevel="1">
      <c r="A1069" s="18" t="s">
        <v>1372</v>
      </c>
      <c r="B1069" s="9" t="s">
        <v>521</v>
      </c>
      <c r="C1069" s="12" t="s">
        <v>16</v>
      </c>
      <c r="D1069" s="14" t="s">
        <v>1352</v>
      </c>
      <c r="E1069" s="16"/>
      <c r="F1069" s="8"/>
      <c r="G1069" s="16"/>
      <c r="H1069" s="8"/>
      <c r="I1069" s="16"/>
    </row>
    <row r="1070" outlineLevel="1">
      <c r="A1070" s="9" t="s">
        <v>1373</v>
      </c>
      <c r="B1070" s="18" t="s">
        <v>1317</v>
      </c>
      <c r="C1070" s="19" t="s">
        <v>149</v>
      </c>
      <c r="D1070" s="14" t="s">
        <v>1352</v>
      </c>
      <c r="E1070" s="16"/>
      <c r="F1070" s="8"/>
      <c r="G1070" s="16"/>
      <c r="H1070" s="8"/>
      <c r="I1070" s="16"/>
    </row>
    <row r="1071" outlineLevel="1">
      <c r="A1071" s="9" t="s">
        <v>1374</v>
      </c>
      <c r="B1071" s="9" t="s">
        <v>117</v>
      </c>
      <c r="C1071" s="12" t="s">
        <v>65</v>
      </c>
      <c r="D1071" s="14" t="s">
        <v>1352</v>
      </c>
      <c r="E1071" s="16"/>
      <c r="F1071" s="8"/>
      <c r="G1071" s="16"/>
      <c r="H1071" s="8"/>
      <c r="I1071" s="16"/>
    </row>
    <row r="1072" outlineLevel="1">
      <c r="A1072" s="9" t="s">
        <v>1375</v>
      </c>
      <c r="B1072" s="9" t="s">
        <v>1376</v>
      </c>
      <c r="C1072" s="12" t="s">
        <v>149</v>
      </c>
      <c r="D1072" s="14" t="s">
        <v>1352</v>
      </c>
      <c r="E1072" s="16"/>
      <c r="F1072" s="8"/>
      <c r="G1072" s="16"/>
      <c r="H1072" s="8"/>
      <c r="I1072" s="16"/>
    </row>
    <row r="1073" outlineLevel="1">
      <c r="A1073" s="9" t="s">
        <v>1377</v>
      </c>
      <c r="B1073" s="9" t="s">
        <v>1378</v>
      </c>
      <c r="C1073" s="12" t="s">
        <v>24</v>
      </c>
      <c r="D1073" s="14" t="s">
        <v>1352</v>
      </c>
      <c r="E1073" s="16"/>
      <c r="F1073" s="8"/>
      <c r="G1073" s="16"/>
      <c r="H1073" s="8"/>
      <c r="I1073" s="16"/>
    </row>
    <row r="1074" outlineLevel="1">
      <c r="A1074" s="9" t="s">
        <v>1379</v>
      </c>
      <c r="B1074" s="9" t="s">
        <v>50</v>
      </c>
      <c r="C1074" s="12" t="s">
        <v>132</v>
      </c>
      <c r="D1074" s="14" t="s">
        <v>1352</v>
      </c>
      <c r="E1074" s="16"/>
      <c r="F1074" s="8"/>
      <c r="G1074" s="16"/>
      <c r="H1074" s="8"/>
      <c r="I1074" s="16"/>
    </row>
    <row r="1075" outlineLevel="1">
      <c r="A1075" s="9" t="s">
        <v>436</v>
      </c>
      <c r="B1075" s="9" t="s">
        <v>1380</v>
      </c>
      <c r="C1075" s="12" t="s">
        <v>24</v>
      </c>
      <c r="D1075" s="14" t="s">
        <v>1352</v>
      </c>
      <c r="E1075" s="16"/>
      <c r="F1075" s="8"/>
      <c r="G1075" s="16"/>
      <c r="H1075" s="8"/>
      <c r="I1075" s="16"/>
    </row>
    <row r="1076" outlineLevel="1">
      <c r="A1076" s="9" t="s">
        <v>1381</v>
      </c>
      <c r="B1076" s="9" t="s">
        <v>1382</v>
      </c>
      <c r="C1076" s="12" t="s">
        <v>192</v>
      </c>
      <c r="D1076" s="14" t="s">
        <v>1352</v>
      </c>
      <c r="E1076" s="16"/>
      <c r="F1076" s="8"/>
      <c r="G1076" s="16"/>
      <c r="H1076" s="8"/>
      <c r="I1076" s="16"/>
    </row>
    <row r="1077" outlineLevel="1">
      <c r="A1077" s="9" t="s">
        <v>1383</v>
      </c>
      <c r="B1077" s="9" t="s">
        <v>50</v>
      </c>
      <c r="C1077" s="12" t="s">
        <v>24</v>
      </c>
      <c r="D1077" s="14" t="s">
        <v>1352</v>
      </c>
      <c r="E1077" s="16"/>
      <c r="F1077" s="8"/>
      <c r="G1077" s="16"/>
      <c r="H1077" s="8"/>
      <c r="I1077" s="16"/>
    </row>
    <row r="1078" outlineLevel="1">
      <c r="A1078" s="9" t="s">
        <v>487</v>
      </c>
      <c r="B1078" s="9" t="s">
        <v>1105</v>
      </c>
      <c r="C1078" s="12" t="s">
        <v>192</v>
      </c>
      <c r="D1078" s="14" t="s">
        <v>1352</v>
      </c>
      <c r="E1078" s="16"/>
      <c r="F1078" s="8"/>
      <c r="G1078" s="16"/>
      <c r="H1078" s="8"/>
      <c r="I1078" s="16"/>
    </row>
    <row r="1079" outlineLevel="1">
      <c r="A1079" s="9" t="s">
        <v>106</v>
      </c>
      <c r="B1079" s="9" t="s">
        <v>212</v>
      </c>
      <c r="C1079" s="12" t="s">
        <v>93</v>
      </c>
      <c r="D1079" s="14" t="s">
        <v>1352</v>
      </c>
      <c r="E1079" s="16"/>
      <c r="F1079" s="8"/>
      <c r="G1079" s="16"/>
      <c r="H1079" s="8"/>
      <c r="I1079" s="16"/>
    </row>
    <row r="1080" outlineLevel="1">
      <c r="A1080" s="9" t="s">
        <v>106</v>
      </c>
      <c r="B1080" s="9" t="s">
        <v>1384</v>
      </c>
      <c r="C1080" s="12" t="s">
        <v>24</v>
      </c>
      <c r="D1080" s="14" t="s">
        <v>1352</v>
      </c>
      <c r="E1080" s="16"/>
      <c r="F1080" s="8"/>
      <c r="G1080" s="16"/>
      <c r="H1080" s="8"/>
      <c r="I1080" s="16"/>
    </row>
    <row r="1081" outlineLevel="1">
      <c r="A1081" s="9" t="s">
        <v>106</v>
      </c>
      <c r="B1081" s="9" t="s">
        <v>1385</v>
      </c>
      <c r="C1081" s="12" t="s">
        <v>53</v>
      </c>
      <c r="D1081" s="14" t="s">
        <v>1352</v>
      </c>
      <c r="E1081" s="16"/>
      <c r="F1081" s="8"/>
      <c r="G1081" s="16"/>
      <c r="H1081" s="8"/>
      <c r="I1081" s="16"/>
    </row>
    <row r="1082" outlineLevel="1">
      <c r="A1082" s="9" t="s">
        <v>106</v>
      </c>
      <c r="B1082" s="9" t="s">
        <v>1386</v>
      </c>
      <c r="C1082" s="12" t="s">
        <v>122</v>
      </c>
      <c r="D1082" s="14" t="s">
        <v>1352</v>
      </c>
      <c r="E1082" s="16"/>
      <c r="F1082" s="8"/>
      <c r="G1082" s="16"/>
      <c r="H1082" s="8"/>
      <c r="I1082" s="16"/>
    </row>
    <row r="1083" outlineLevel="1">
      <c r="A1083" s="9" t="s">
        <v>1387</v>
      </c>
      <c r="B1083" s="9" t="s">
        <v>197</v>
      </c>
      <c r="C1083" s="12" t="s">
        <v>46</v>
      </c>
      <c r="D1083" s="14" t="s">
        <v>1352</v>
      </c>
      <c r="E1083" s="16"/>
      <c r="F1083" s="8"/>
      <c r="G1083" s="16"/>
      <c r="H1083" s="8"/>
      <c r="I1083" s="16"/>
    </row>
    <row r="1084" outlineLevel="1">
      <c r="A1084" s="9" t="s">
        <v>1388</v>
      </c>
      <c r="B1084" s="9" t="s">
        <v>1389</v>
      </c>
      <c r="C1084" s="12" t="s">
        <v>122</v>
      </c>
      <c r="D1084" s="14" t="s">
        <v>1352</v>
      </c>
      <c r="E1084" s="16"/>
      <c r="F1084" s="8"/>
      <c r="G1084" s="16"/>
      <c r="H1084" s="8"/>
      <c r="I1084" s="16"/>
    </row>
    <row r="1085" outlineLevel="1">
      <c r="A1085" s="9" t="s">
        <v>1390</v>
      </c>
      <c r="B1085" s="9" t="s">
        <v>842</v>
      </c>
      <c r="C1085" s="12" t="s">
        <v>215</v>
      </c>
      <c r="D1085" s="14" t="s">
        <v>1352</v>
      </c>
      <c r="E1085" s="16"/>
      <c r="F1085" s="8"/>
      <c r="G1085" s="16"/>
      <c r="H1085" s="8"/>
      <c r="I1085" s="16"/>
    </row>
    <row r="1086" outlineLevel="1">
      <c r="A1086" s="9" t="s">
        <v>1391</v>
      </c>
      <c r="B1086" s="9" t="s">
        <v>421</v>
      </c>
      <c r="C1086" s="12" t="s">
        <v>186</v>
      </c>
      <c r="D1086" s="14" t="s">
        <v>1352</v>
      </c>
      <c r="E1086" s="16"/>
      <c r="F1086" s="8"/>
      <c r="G1086" s="16"/>
      <c r="H1086" s="8"/>
      <c r="I1086" s="16"/>
    </row>
    <row r="1087" outlineLevel="1">
      <c r="A1087" s="9" t="s">
        <v>1392</v>
      </c>
      <c r="B1087" s="9" t="s">
        <v>98</v>
      </c>
      <c r="C1087" s="12" t="s">
        <v>65</v>
      </c>
      <c r="D1087" s="14" t="s">
        <v>1352</v>
      </c>
      <c r="E1087" s="16"/>
      <c r="F1087" s="8"/>
      <c r="G1087" s="16"/>
      <c r="H1087" s="8"/>
      <c r="I1087" s="16"/>
    </row>
    <row r="1088" outlineLevel="1">
      <c r="A1088" s="9" t="s">
        <v>1393</v>
      </c>
      <c r="B1088" s="9" t="s">
        <v>260</v>
      </c>
      <c r="C1088" s="12" t="s">
        <v>186</v>
      </c>
      <c r="D1088" s="14" t="s">
        <v>1352</v>
      </c>
      <c r="E1088" s="16"/>
      <c r="F1088" s="8"/>
      <c r="G1088" s="16"/>
      <c r="H1088" s="8"/>
      <c r="I1088" s="16"/>
    </row>
    <row r="1089" outlineLevel="1">
      <c r="A1089" s="9" t="s">
        <v>864</v>
      </c>
      <c r="B1089" s="9" t="s">
        <v>1394</v>
      </c>
      <c r="C1089" s="12" t="s">
        <v>93</v>
      </c>
      <c r="D1089" s="14" t="s">
        <v>1352</v>
      </c>
      <c r="E1089" s="16"/>
      <c r="F1089" s="8"/>
      <c r="G1089" s="16"/>
      <c r="H1089" s="8"/>
      <c r="I1089" s="16"/>
    </row>
    <row r="1090" outlineLevel="1">
      <c r="A1090" s="9" t="s">
        <v>486</v>
      </c>
      <c r="B1090" s="9" t="s">
        <v>11</v>
      </c>
      <c r="C1090" s="12" t="s">
        <v>122</v>
      </c>
      <c r="D1090" s="14" t="s">
        <v>1352</v>
      </c>
      <c r="E1090" s="16"/>
      <c r="F1090" s="8"/>
      <c r="G1090" s="16"/>
      <c r="H1090" s="8"/>
      <c r="I1090" s="16"/>
    </row>
    <row r="1091" outlineLevel="1">
      <c r="A1091" s="9" t="s">
        <v>486</v>
      </c>
      <c r="B1091" s="9" t="s">
        <v>84</v>
      </c>
      <c r="C1091" s="12" t="s">
        <v>138</v>
      </c>
      <c r="D1091" s="14" t="s">
        <v>1352</v>
      </c>
      <c r="E1091" s="16"/>
      <c r="F1091" s="8"/>
      <c r="G1091" s="16"/>
      <c r="H1091" s="8"/>
      <c r="I1091" s="16"/>
    </row>
    <row r="1092" outlineLevel="1">
      <c r="A1092" s="9" t="s">
        <v>1395</v>
      </c>
      <c r="B1092" s="9" t="s">
        <v>464</v>
      </c>
      <c r="C1092" s="12" t="s">
        <v>186</v>
      </c>
      <c r="D1092" s="14" t="s">
        <v>1352</v>
      </c>
      <c r="E1092" s="16"/>
      <c r="F1092" s="8"/>
      <c r="G1092" s="16"/>
      <c r="H1092" s="8"/>
      <c r="I1092" s="16"/>
    </row>
    <row r="1093" outlineLevel="1">
      <c r="A1093" s="9" t="s">
        <v>1396</v>
      </c>
      <c r="B1093" s="9" t="s">
        <v>634</v>
      </c>
      <c r="C1093" s="12" t="s">
        <v>93</v>
      </c>
      <c r="D1093" s="14" t="s">
        <v>1352</v>
      </c>
      <c r="E1093" s="16"/>
      <c r="F1093" s="8"/>
      <c r="G1093" s="16"/>
      <c r="H1093" s="8"/>
      <c r="I1093" s="16"/>
    </row>
    <row r="1094" outlineLevel="1">
      <c r="A1094" s="9" t="s">
        <v>246</v>
      </c>
      <c r="B1094" s="9" t="s">
        <v>1397</v>
      </c>
      <c r="C1094" s="12" t="s">
        <v>70</v>
      </c>
      <c r="D1094" s="14" t="s">
        <v>1352</v>
      </c>
      <c r="E1094" s="16"/>
      <c r="F1094" s="8"/>
      <c r="G1094" s="16"/>
      <c r="H1094" s="8"/>
      <c r="I1094" s="16"/>
    </row>
    <row r="1095" outlineLevel="1">
      <c r="A1095" s="9" t="s">
        <v>1398</v>
      </c>
      <c r="B1095" s="9" t="s">
        <v>1399</v>
      </c>
      <c r="C1095" s="12" t="s">
        <v>65</v>
      </c>
      <c r="D1095" s="14" t="s">
        <v>1352</v>
      </c>
      <c r="E1095" s="16"/>
      <c r="F1095" s="8"/>
      <c r="G1095" s="16"/>
      <c r="H1095" s="8"/>
      <c r="I1095" s="16"/>
    </row>
    <row r="1096" outlineLevel="1">
      <c r="A1096" s="9" t="s">
        <v>144</v>
      </c>
      <c r="B1096" s="9" t="s">
        <v>464</v>
      </c>
      <c r="C1096" s="12" t="s">
        <v>65</v>
      </c>
      <c r="D1096" s="14" t="s">
        <v>1352</v>
      </c>
      <c r="E1096" s="16"/>
      <c r="F1096" s="8"/>
      <c r="G1096" s="16"/>
      <c r="H1096" s="8"/>
      <c r="I1096" s="16"/>
    </row>
    <row r="1097" outlineLevel="1">
      <c r="A1097" s="9" t="s">
        <v>1400</v>
      </c>
      <c r="B1097" s="9" t="s">
        <v>301</v>
      </c>
      <c r="C1097" s="12" t="s">
        <v>59</v>
      </c>
      <c r="D1097" s="14" t="s">
        <v>1352</v>
      </c>
      <c r="E1097" s="16"/>
      <c r="F1097" s="8"/>
      <c r="G1097" s="16"/>
      <c r="H1097" s="8"/>
      <c r="I1097" s="16"/>
    </row>
    <row r="1098" outlineLevel="1">
      <c r="A1098" s="9" t="s">
        <v>248</v>
      </c>
      <c r="B1098" s="9" t="s">
        <v>1401</v>
      </c>
      <c r="C1098" s="12" t="s">
        <v>261</v>
      </c>
      <c r="D1098" s="14" t="s">
        <v>1352</v>
      </c>
      <c r="E1098" s="16"/>
      <c r="F1098" s="8"/>
      <c r="G1098" s="16"/>
      <c r="H1098" s="8"/>
      <c r="I1098" s="16"/>
    </row>
    <row r="1099" outlineLevel="1">
      <c r="A1099" s="9" t="s">
        <v>248</v>
      </c>
      <c r="B1099" s="9" t="s">
        <v>1402</v>
      </c>
      <c r="C1099" s="12" t="s">
        <v>80</v>
      </c>
      <c r="D1099" s="14" t="s">
        <v>1352</v>
      </c>
      <c r="E1099" s="16"/>
      <c r="F1099" s="8"/>
      <c r="G1099" s="16"/>
      <c r="H1099" s="8"/>
      <c r="I1099" s="16"/>
    </row>
    <row r="1100" outlineLevel="1">
      <c r="A1100" s="9" t="s">
        <v>1403</v>
      </c>
      <c r="B1100" s="9" t="s">
        <v>1404</v>
      </c>
      <c r="C1100" s="12" t="s">
        <v>65</v>
      </c>
      <c r="D1100" s="14" t="s">
        <v>1352</v>
      </c>
      <c r="E1100" s="16"/>
      <c r="F1100" s="8"/>
      <c r="G1100" s="16"/>
      <c r="H1100" s="8"/>
      <c r="I1100" s="16"/>
    </row>
    <row r="1101" outlineLevel="1">
      <c r="A1101" s="9" t="s">
        <v>1405</v>
      </c>
      <c r="B1101" s="9" t="s">
        <v>121</v>
      </c>
      <c r="C1101" s="12" t="s">
        <v>186</v>
      </c>
      <c r="D1101" s="14" t="s">
        <v>1352</v>
      </c>
      <c r="E1101" s="16"/>
      <c r="F1101" s="8"/>
      <c r="G1101" s="16"/>
      <c r="H1101" s="8"/>
      <c r="I1101" s="16"/>
    </row>
    <row r="1102" outlineLevel="1">
      <c r="A1102" s="9" t="s">
        <v>90</v>
      </c>
      <c r="B1102" s="9" t="s">
        <v>822</v>
      </c>
      <c r="C1102" s="12" t="s">
        <v>93</v>
      </c>
      <c r="D1102" s="14" t="s">
        <v>1352</v>
      </c>
      <c r="E1102" s="16"/>
      <c r="F1102" s="8"/>
      <c r="G1102" s="16"/>
      <c r="H1102" s="8"/>
      <c r="I1102" s="16"/>
    </row>
    <row r="1103" outlineLevel="1">
      <c r="A1103" s="9" t="s">
        <v>1406</v>
      </c>
      <c r="B1103" s="9" t="s">
        <v>127</v>
      </c>
      <c r="C1103" s="12" t="s">
        <v>80</v>
      </c>
      <c r="D1103" s="14" t="s">
        <v>1352</v>
      </c>
      <c r="E1103" s="16"/>
      <c r="F1103" s="8"/>
      <c r="G1103" s="16"/>
      <c r="H1103" s="8"/>
      <c r="I1103" s="16"/>
    </row>
    <row r="1104" outlineLevel="1">
      <c r="A1104" s="9" t="s">
        <v>349</v>
      </c>
      <c r="B1104" s="9" t="s">
        <v>1399</v>
      </c>
      <c r="C1104" s="12" t="s">
        <v>186</v>
      </c>
      <c r="D1104" s="14" t="s">
        <v>1352</v>
      </c>
      <c r="E1104" s="16"/>
      <c r="F1104" s="8"/>
      <c r="G1104" s="16"/>
      <c r="H1104" s="8"/>
      <c r="I1104" s="16"/>
    </row>
    <row r="1105" outlineLevel="1">
      <c r="A1105" s="9" t="s">
        <v>877</v>
      </c>
      <c r="B1105" s="9" t="s">
        <v>304</v>
      </c>
      <c r="C1105" s="12" t="s">
        <v>65</v>
      </c>
      <c r="D1105" s="14" t="s">
        <v>1352</v>
      </c>
      <c r="E1105" s="16"/>
      <c r="F1105" s="8"/>
      <c r="G1105" s="16"/>
      <c r="H1105" s="8"/>
      <c r="I1105" s="16"/>
    </row>
    <row r="1106" outlineLevel="1">
      <c r="A1106" s="9" t="s">
        <v>1407</v>
      </c>
      <c r="B1106" s="9" t="s">
        <v>1408</v>
      </c>
      <c r="C1106" s="12" t="s">
        <v>122</v>
      </c>
      <c r="D1106" s="14" t="s">
        <v>1352</v>
      </c>
      <c r="E1106" s="16"/>
      <c r="F1106" s="8"/>
      <c r="G1106" s="16"/>
      <c r="H1106" s="8"/>
      <c r="I1106" s="16"/>
    </row>
    <row r="1107" outlineLevel="1">
      <c r="A1107" s="9" t="s">
        <v>498</v>
      </c>
      <c r="B1107" s="9" t="s">
        <v>1409</v>
      </c>
      <c r="C1107" s="12" t="s">
        <v>192</v>
      </c>
      <c r="D1107" s="14" t="s">
        <v>1352</v>
      </c>
      <c r="E1107" s="16"/>
      <c r="F1107" s="8"/>
      <c r="G1107" s="16"/>
      <c r="H1107" s="8"/>
      <c r="I1107" s="16"/>
    </row>
    <row r="1108" outlineLevel="1">
      <c r="A1108" s="9" t="s">
        <v>1410</v>
      </c>
      <c r="B1108" s="9" t="s">
        <v>360</v>
      </c>
      <c r="C1108" s="12" t="s">
        <v>149</v>
      </c>
      <c r="D1108" s="14" t="s">
        <v>1352</v>
      </c>
      <c r="E1108" s="16"/>
      <c r="F1108" s="8"/>
      <c r="G1108" s="16"/>
      <c r="H1108" s="8"/>
      <c r="I1108" s="16"/>
    </row>
    <row r="1109" outlineLevel="1">
      <c r="A1109" s="9" t="s">
        <v>500</v>
      </c>
      <c r="B1109" s="9" t="s">
        <v>1411</v>
      </c>
      <c r="C1109" s="12" t="s">
        <v>65</v>
      </c>
      <c r="D1109" s="14" t="s">
        <v>1352</v>
      </c>
      <c r="E1109" s="16"/>
      <c r="F1109" s="8"/>
      <c r="G1109" s="16"/>
      <c r="H1109" s="8"/>
      <c r="I1109" s="16"/>
    </row>
    <row r="1110" outlineLevel="1">
      <c r="A1110" s="9" t="s">
        <v>1412</v>
      </c>
      <c r="B1110" s="9" t="s">
        <v>1413</v>
      </c>
      <c r="C1110" s="12" t="s">
        <v>65</v>
      </c>
      <c r="D1110" s="14" t="s">
        <v>1352</v>
      </c>
      <c r="E1110" s="16"/>
      <c r="F1110" s="8"/>
      <c r="G1110" s="16"/>
      <c r="H1110" s="8"/>
      <c r="I1110" s="16"/>
    </row>
    <row r="1111" outlineLevel="1">
      <c r="A1111" s="9" t="s">
        <v>500</v>
      </c>
      <c r="B1111" s="9" t="s">
        <v>275</v>
      </c>
      <c r="C1111" s="12" t="s">
        <v>80</v>
      </c>
      <c r="D1111" s="14" t="s">
        <v>1352</v>
      </c>
      <c r="E1111" s="16"/>
      <c r="F1111" s="8"/>
      <c r="G1111" s="16"/>
      <c r="H1111" s="8"/>
      <c r="I1111" s="16"/>
    </row>
    <row r="1112" outlineLevel="1">
      <c r="A1112" s="9" t="s">
        <v>1414</v>
      </c>
      <c r="B1112" s="9" t="s">
        <v>362</v>
      </c>
      <c r="C1112" s="12" t="s">
        <v>65</v>
      </c>
      <c r="D1112" s="14" t="s">
        <v>1352</v>
      </c>
      <c r="E1112" s="16"/>
      <c r="F1112" s="8"/>
      <c r="G1112" s="16"/>
      <c r="H1112" s="8"/>
      <c r="I1112" s="16"/>
    </row>
    <row r="1113" outlineLevel="1">
      <c r="A1113" s="9" t="s">
        <v>1415</v>
      </c>
      <c r="B1113" s="9" t="s">
        <v>1416</v>
      </c>
      <c r="C1113" s="12" t="s">
        <v>59</v>
      </c>
      <c r="D1113" s="14" t="s">
        <v>1352</v>
      </c>
      <c r="E1113" s="16"/>
      <c r="F1113" s="8"/>
      <c r="G1113" s="16"/>
      <c r="H1113" s="8"/>
      <c r="I1113" s="16"/>
    </row>
    <row r="1114" outlineLevel="1">
      <c r="A1114" s="9" t="s">
        <v>1417</v>
      </c>
      <c r="B1114" s="9" t="s">
        <v>726</v>
      </c>
      <c r="C1114" s="12" t="s">
        <v>122</v>
      </c>
      <c r="D1114" s="14" t="s">
        <v>1352</v>
      </c>
      <c r="E1114" s="16"/>
      <c r="F1114" s="8"/>
      <c r="G1114" s="16"/>
      <c r="H1114" s="8"/>
      <c r="I1114" s="16"/>
    </row>
    <row r="1115" outlineLevel="1">
      <c r="A1115" s="9" t="s">
        <v>145</v>
      </c>
      <c r="B1115" s="9" t="s">
        <v>354</v>
      </c>
      <c r="C1115" s="12" t="s">
        <v>53</v>
      </c>
      <c r="D1115" s="14" t="s">
        <v>1352</v>
      </c>
      <c r="E1115" s="16"/>
      <c r="F1115" s="8"/>
      <c r="G1115" s="16"/>
      <c r="H1115" s="8"/>
      <c r="I1115" s="16"/>
    </row>
    <row r="1116" outlineLevel="1">
      <c r="A1116" s="9" t="s">
        <v>145</v>
      </c>
      <c r="B1116" s="9" t="s">
        <v>1418</v>
      </c>
      <c r="C1116" s="12" t="s">
        <v>192</v>
      </c>
      <c r="D1116" s="14" t="s">
        <v>1352</v>
      </c>
      <c r="E1116" s="16"/>
      <c r="F1116" s="8"/>
      <c r="G1116" s="16"/>
      <c r="H1116" s="8"/>
      <c r="I1116" s="16"/>
    </row>
    <row r="1117" outlineLevel="1">
      <c r="A1117" s="9" t="s">
        <v>1419</v>
      </c>
      <c r="B1117" s="9" t="s">
        <v>45</v>
      </c>
      <c r="C1117" s="12" t="s">
        <v>24</v>
      </c>
      <c r="D1117" s="14" t="s">
        <v>1352</v>
      </c>
      <c r="E1117" s="16"/>
      <c r="F1117" s="8"/>
      <c r="G1117" s="16"/>
      <c r="H1117" s="8"/>
      <c r="I1117" s="16"/>
    </row>
    <row r="1118" outlineLevel="1">
      <c r="A1118" s="9" t="s">
        <v>1420</v>
      </c>
      <c r="B1118" s="9" t="s">
        <v>381</v>
      </c>
      <c r="C1118" s="12" t="s">
        <v>186</v>
      </c>
      <c r="D1118" s="14" t="s">
        <v>1352</v>
      </c>
      <c r="E1118" s="16"/>
      <c r="F1118" s="8"/>
      <c r="G1118" s="16"/>
      <c r="H1118" s="8"/>
      <c r="I1118" s="16"/>
    </row>
    <row r="1119" outlineLevel="1">
      <c r="A1119" s="9" t="s">
        <v>1421</v>
      </c>
      <c r="B1119" s="9" t="s">
        <v>1091</v>
      </c>
      <c r="C1119" s="12" t="s">
        <v>93</v>
      </c>
      <c r="D1119" s="14" t="s">
        <v>1352</v>
      </c>
      <c r="E1119" s="16"/>
      <c r="F1119" s="8"/>
      <c r="G1119" s="16"/>
      <c r="H1119" s="8"/>
      <c r="I1119" s="16"/>
    </row>
    <row r="1120" outlineLevel="1">
      <c r="A1120" s="9" t="s">
        <v>1422</v>
      </c>
      <c r="B1120" s="9" t="s">
        <v>744</v>
      </c>
      <c r="C1120" s="12" t="s">
        <v>46</v>
      </c>
      <c r="D1120" s="14" t="s">
        <v>1352</v>
      </c>
      <c r="E1120" s="16"/>
      <c r="F1120" s="8"/>
      <c r="G1120" s="16"/>
      <c r="H1120" s="8"/>
      <c r="I1120" s="16"/>
    </row>
    <row r="1121" outlineLevel="1">
      <c r="A1121" s="9" t="s">
        <v>61</v>
      </c>
      <c r="B1121" s="9" t="s">
        <v>1423</v>
      </c>
      <c r="C1121" s="12" t="s">
        <v>215</v>
      </c>
      <c r="D1121" s="14" t="s">
        <v>1352</v>
      </c>
      <c r="E1121" s="16"/>
      <c r="F1121" s="8"/>
      <c r="G1121" s="16"/>
      <c r="H1121" s="8"/>
      <c r="I1121" s="16"/>
    </row>
    <row r="1122" outlineLevel="1">
      <c r="A1122" s="9" t="s">
        <v>61</v>
      </c>
      <c r="B1122" s="9" t="s">
        <v>162</v>
      </c>
      <c r="C1122" s="12" t="s">
        <v>80</v>
      </c>
      <c r="D1122" s="14" t="s">
        <v>1352</v>
      </c>
      <c r="E1122" s="16"/>
      <c r="F1122" s="8"/>
      <c r="G1122" s="16"/>
      <c r="H1122" s="8"/>
      <c r="I1122" s="16"/>
    </row>
    <row r="1123" outlineLevel="1">
      <c r="A1123" s="9" t="s">
        <v>1424</v>
      </c>
      <c r="B1123" s="9" t="s">
        <v>787</v>
      </c>
      <c r="C1123" s="12" t="s">
        <v>122</v>
      </c>
      <c r="D1123" s="14" t="s">
        <v>1352</v>
      </c>
      <c r="E1123" s="16"/>
      <c r="F1123" s="8"/>
      <c r="G1123" s="16"/>
      <c r="H1123" s="8"/>
      <c r="I1123" s="16"/>
    </row>
    <row r="1124" outlineLevel="1">
      <c r="A1124" s="9" t="s">
        <v>1425</v>
      </c>
      <c r="B1124" s="9" t="s">
        <v>1426</v>
      </c>
      <c r="C1124" s="12" t="s">
        <v>149</v>
      </c>
      <c r="D1124" s="14" t="s">
        <v>1352</v>
      </c>
      <c r="E1124" s="16"/>
      <c r="F1124" s="8"/>
      <c r="G1124" s="16"/>
      <c r="H1124" s="8"/>
      <c r="I1124" s="16"/>
    </row>
    <row r="1125" outlineLevel="1">
      <c r="A1125" s="9" t="s">
        <v>1427</v>
      </c>
      <c r="B1125" s="9" t="s">
        <v>1267</v>
      </c>
      <c r="C1125" s="12" t="s">
        <v>93</v>
      </c>
      <c r="D1125" s="14" t="s">
        <v>1352</v>
      </c>
      <c r="E1125" s="16"/>
      <c r="F1125" s="8"/>
      <c r="G1125" s="16"/>
      <c r="H1125" s="8"/>
      <c r="I1125" s="16"/>
    </row>
    <row r="1126" outlineLevel="1">
      <c r="A1126" s="9" t="s">
        <v>1428</v>
      </c>
      <c r="B1126" s="9" t="s">
        <v>441</v>
      </c>
      <c r="C1126" s="12" t="s">
        <v>46</v>
      </c>
      <c r="D1126" s="14" t="s">
        <v>1352</v>
      </c>
      <c r="E1126" s="16"/>
      <c r="F1126" s="8"/>
      <c r="G1126" s="16"/>
      <c r="H1126" s="8"/>
      <c r="I1126" s="16"/>
    </row>
    <row r="1127" outlineLevel="1">
      <c r="A1127" s="9" t="s">
        <v>1147</v>
      </c>
      <c r="B1127" s="9" t="s">
        <v>1429</v>
      </c>
      <c r="C1127" s="12" t="s">
        <v>65</v>
      </c>
      <c r="D1127" s="14" t="s">
        <v>1352</v>
      </c>
      <c r="E1127" s="16"/>
      <c r="F1127" s="8"/>
      <c r="G1127" s="16"/>
      <c r="H1127" s="8"/>
      <c r="I1127" s="16"/>
    </row>
    <row r="1128" outlineLevel="1">
      <c r="A1128" s="9" t="s">
        <v>1149</v>
      </c>
      <c r="B1128" s="9" t="s">
        <v>892</v>
      </c>
      <c r="C1128" s="12" t="s">
        <v>70</v>
      </c>
      <c r="D1128" s="14" t="s">
        <v>1352</v>
      </c>
      <c r="E1128" s="16"/>
      <c r="F1128" s="8"/>
      <c r="G1128" s="16"/>
      <c r="H1128" s="8"/>
      <c r="I1128" s="16"/>
    </row>
    <row r="1129" outlineLevel="1">
      <c r="A1129" s="9" t="s">
        <v>1430</v>
      </c>
      <c r="B1129" s="9" t="s">
        <v>58</v>
      </c>
      <c r="C1129" s="12" t="s">
        <v>93</v>
      </c>
      <c r="D1129" s="14" t="s">
        <v>1352</v>
      </c>
      <c r="E1129" s="16"/>
      <c r="F1129" s="8"/>
      <c r="G1129" s="16"/>
      <c r="H1129" s="8"/>
      <c r="I1129" s="16"/>
    </row>
    <row r="1130" outlineLevel="1">
      <c r="A1130" s="9" t="s">
        <v>1431</v>
      </c>
      <c r="B1130" s="9" t="s">
        <v>1432</v>
      </c>
      <c r="C1130" s="12" t="s">
        <v>70</v>
      </c>
      <c r="D1130" s="14" t="s">
        <v>1352</v>
      </c>
      <c r="E1130" s="16"/>
      <c r="F1130" s="8"/>
      <c r="G1130" s="16"/>
      <c r="H1130" s="8"/>
      <c r="I1130" s="16"/>
    </row>
    <row r="1131" outlineLevel="1">
      <c r="A1131" s="9" t="s">
        <v>1158</v>
      </c>
      <c r="B1131" s="9" t="s">
        <v>137</v>
      </c>
      <c r="C1131" s="12" t="s">
        <v>132</v>
      </c>
      <c r="D1131" s="14" t="s">
        <v>1352</v>
      </c>
      <c r="E1131" s="16"/>
      <c r="F1131" s="8"/>
      <c r="G1131" s="16"/>
      <c r="H1131" s="8"/>
      <c r="I1131" s="16"/>
    </row>
    <row r="1132" outlineLevel="1">
      <c r="A1132" s="9" t="s">
        <v>1433</v>
      </c>
      <c r="B1132" s="9" t="s">
        <v>1434</v>
      </c>
      <c r="C1132" s="12" t="s">
        <v>65</v>
      </c>
      <c r="D1132" s="14" t="s">
        <v>1352</v>
      </c>
      <c r="E1132" s="16"/>
      <c r="F1132" s="8"/>
      <c r="G1132" s="16"/>
      <c r="H1132" s="8"/>
      <c r="I1132" s="16"/>
    </row>
    <row r="1133" outlineLevel="1">
      <c r="A1133" s="9" t="s">
        <v>895</v>
      </c>
      <c r="B1133" s="9" t="s">
        <v>236</v>
      </c>
      <c r="C1133" s="12" t="s">
        <v>122</v>
      </c>
      <c r="D1133" s="14" t="s">
        <v>1352</v>
      </c>
      <c r="E1133" s="16"/>
      <c r="F1133" s="8"/>
      <c r="G1133" s="16"/>
      <c r="H1133" s="8"/>
      <c r="I1133" s="16"/>
    </row>
    <row r="1134" outlineLevel="1">
      <c r="A1134" s="9" t="s">
        <v>1435</v>
      </c>
      <c r="B1134" s="9" t="s">
        <v>197</v>
      </c>
      <c r="C1134" s="12" t="s">
        <v>122</v>
      </c>
      <c r="D1134" s="14" t="s">
        <v>1352</v>
      </c>
      <c r="E1134" s="16"/>
      <c r="F1134" s="8"/>
      <c r="G1134" s="16"/>
      <c r="H1134" s="8"/>
      <c r="I1134" s="16"/>
    </row>
    <row r="1135" outlineLevel="1">
      <c r="A1135" s="9" t="s">
        <v>1436</v>
      </c>
      <c r="B1135" s="9" t="s">
        <v>299</v>
      </c>
      <c r="C1135" s="12" t="s">
        <v>132</v>
      </c>
      <c r="D1135" s="14" t="s">
        <v>1352</v>
      </c>
      <c r="E1135" s="16"/>
      <c r="F1135" s="8"/>
      <c r="G1135" s="16"/>
      <c r="H1135" s="8"/>
      <c r="I1135" s="16"/>
    </row>
    <row r="1136" outlineLevel="1">
      <c r="A1136" s="9" t="s">
        <v>1437</v>
      </c>
      <c r="B1136" s="9" t="s">
        <v>771</v>
      </c>
      <c r="C1136" s="12" t="s">
        <v>75</v>
      </c>
      <c r="D1136" s="14" t="s">
        <v>1352</v>
      </c>
      <c r="E1136" s="16"/>
      <c r="F1136" s="8"/>
      <c r="G1136" s="16"/>
      <c r="H1136" s="8"/>
      <c r="I1136" s="16"/>
    </row>
    <row r="1137" outlineLevel="1">
      <c r="A1137" s="9" t="s">
        <v>1438</v>
      </c>
      <c r="B1137" s="9" t="s">
        <v>676</v>
      </c>
      <c r="C1137" s="12" t="s">
        <v>70</v>
      </c>
      <c r="D1137" s="14" t="s">
        <v>1352</v>
      </c>
      <c r="E1137" s="16"/>
      <c r="F1137" s="8"/>
      <c r="G1137" s="16"/>
      <c r="H1137" s="8"/>
      <c r="I1137" s="16"/>
    </row>
    <row r="1138" outlineLevel="1">
      <c r="A1138" s="9" t="s">
        <v>1439</v>
      </c>
      <c r="B1138" s="9" t="s">
        <v>134</v>
      </c>
      <c r="C1138" s="12" t="s">
        <v>16</v>
      </c>
      <c r="D1138" s="14" t="s">
        <v>1352</v>
      </c>
      <c r="E1138" s="16"/>
      <c r="F1138" s="8"/>
      <c r="G1138" s="16"/>
      <c r="H1138" s="8"/>
      <c r="I1138" s="16"/>
    </row>
    <row r="1139" outlineLevel="1">
      <c r="A1139" s="9" t="s">
        <v>902</v>
      </c>
      <c r="B1139" s="9" t="s">
        <v>294</v>
      </c>
      <c r="C1139" s="12" t="s">
        <v>24</v>
      </c>
      <c r="D1139" s="14" t="s">
        <v>1352</v>
      </c>
      <c r="E1139" s="16"/>
      <c r="F1139" s="8"/>
      <c r="G1139" s="16"/>
      <c r="H1139" s="8"/>
      <c r="I1139" s="16"/>
    </row>
    <row r="1140" outlineLevel="1">
      <c r="A1140" s="18" t="s">
        <v>1440</v>
      </c>
      <c r="B1140" s="9" t="s">
        <v>1441</v>
      </c>
      <c r="C1140" s="12" t="s">
        <v>12</v>
      </c>
      <c r="D1140" s="14" t="s">
        <v>1352</v>
      </c>
      <c r="E1140" s="16"/>
      <c r="F1140" s="8"/>
      <c r="G1140" s="16"/>
      <c r="H1140" s="8"/>
      <c r="I1140" s="16"/>
    </row>
    <row r="1141" outlineLevel="1">
      <c r="A1141" s="9" t="s">
        <v>1442</v>
      </c>
      <c r="B1141" s="18" t="s">
        <v>241</v>
      </c>
      <c r="C1141" s="19" t="s">
        <v>75</v>
      </c>
      <c r="D1141" s="14" t="s">
        <v>1352</v>
      </c>
      <c r="E1141" s="16"/>
      <c r="F1141" s="8"/>
      <c r="G1141" s="16"/>
      <c r="H1141" s="8"/>
      <c r="I1141" s="16"/>
    </row>
    <row r="1142" outlineLevel="1">
      <c r="A1142" s="9" t="s">
        <v>1170</v>
      </c>
      <c r="B1142" s="9" t="s">
        <v>1012</v>
      </c>
      <c r="C1142" s="12" t="s">
        <v>24</v>
      </c>
      <c r="D1142" s="14" t="s">
        <v>1352</v>
      </c>
      <c r="E1142" s="16"/>
      <c r="F1142" s="8"/>
      <c r="G1142" s="16"/>
      <c r="H1142" s="8"/>
      <c r="I1142" s="16"/>
    </row>
    <row r="1143" outlineLevel="1">
      <c r="A1143" s="9" t="s">
        <v>913</v>
      </c>
      <c r="B1143" s="9" t="s">
        <v>1443</v>
      </c>
      <c r="C1143" s="12" t="s">
        <v>75</v>
      </c>
      <c r="D1143" s="14" t="s">
        <v>1352</v>
      </c>
      <c r="E1143" s="16"/>
      <c r="F1143" s="8"/>
      <c r="G1143" s="16"/>
      <c r="H1143" s="8"/>
      <c r="I1143" s="16"/>
    </row>
    <row r="1144" outlineLevel="1">
      <c r="A1144" s="18" t="s">
        <v>154</v>
      </c>
      <c r="B1144" s="9" t="s">
        <v>529</v>
      </c>
      <c r="C1144" s="12" t="s">
        <v>70</v>
      </c>
      <c r="D1144" s="14" t="s">
        <v>1352</v>
      </c>
      <c r="E1144" s="16"/>
      <c r="F1144" s="8"/>
      <c r="G1144" s="16"/>
      <c r="H1144" s="8"/>
      <c r="I1144" s="16"/>
    </row>
    <row r="1145" outlineLevel="1">
      <c r="A1145" s="9" t="s">
        <v>154</v>
      </c>
      <c r="B1145" s="18" t="s">
        <v>1444</v>
      </c>
      <c r="C1145" s="19" t="s">
        <v>186</v>
      </c>
      <c r="D1145" s="14" t="s">
        <v>1352</v>
      </c>
      <c r="E1145" s="16"/>
      <c r="F1145" s="18"/>
      <c r="G1145" s="19"/>
      <c r="H1145" s="18"/>
      <c r="I1145" s="19"/>
    </row>
    <row r="1146" outlineLevel="1">
      <c r="A1146" s="9" t="s">
        <v>154</v>
      </c>
      <c r="B1146" s="9" t="s">
        <v>337</v>
      </c>
      <c r="C1146" s="12" t="s">
        <v>65</v>
      </c>
      <c r="D1146" s="14" t="s">
        <v>1352</v>
      </c>
      <c r="E1146" s="16"/>
      <c r="F1146" s="8"/>
      <c r="G1146" s="16"/>
      <c r="H1146" s="8"/>
      <c r="I1146" s="16"/>
    </row>
    <row r="1147" outlineLevel="1">
      <c r="A1147" s="9" t="s">
        <v>685</v>
      </c>
      <c r="B1147" s="9" t="s">
        <v>1445</v>
      </c>
      <c r="C1147" s="12" t="s">
        <v>59</v>
      </c>
      <c r="D1147" s="14" t="s">
        <v>1352</v>
      </c>
      <c r="E1147" s="16"/>
      <c r="F1147" s="8"/>
      <c r="G1147" s="16"/>
      <c r="H1147" s="8"/>
      <c r="I1147" s="16"/>
    </row>
    <row r="1148" outlineLevel="1">
      <c r="A1148" s="9" t="s">
        <v>1446</v>
      </c>
      <c r="B1148" s="9" t="s">
        <v>1447</v>
      </c>
      <c r="C1148" s="12" t="s">
        <v>192</v>
      </c>
      <c r="D1148" s="14" t="s">
        <v>1352</v>
      </c>
      <c r="E1148" s="16"/>
      <c r="F1148" s="8"/>
      <c r="G1148" s="16"/>
      <c r="H1148" s="8"/>
      <c r="I1148" s="16"/>
    </row>
    <row r="1149" outlineLevel="1">
      <c r="A1149" s="9" t="s">
        <v>918</v>
      </c>
      <c r="B1149" s="9" t="s">
        <v>214</v>
      </c>
      <c r="C1149" s="12" t="s">
        <v>132</v>
      </c>
      <c r="D1149" s="14" t="s">
        <v>1352</v>
      </c>
      <c r="E1149" s="16"/>
      <c r="F1149" s="8"/>
      <c r="G1149" s="16"/>
      <c r="H1149" s="8"/>
      <c r="I1149" s="16"/>
    </row>
    <row r="1150" outlineLevel="1">
      <c r="A1150" s="9" t="s">
        <v>918</v>
      </c>
      <c r="B1150" s="9" t="s">
        <v>1046</v>
      </c>
      <c r="C1150" s="12" t="s">
        <v>65</v>
      </c>
      <c r="D1150" s="14" t="s">
        <v>1352</v>
      </c>
      <c r="E1150" s="16"/>
      <c r="F1150" s="8"/>
      <c r="G1150" s="16"/>
      <c r="H1150" s="8"/>
      <c r="I1150" s="16"/>
    </row>
    <row r="1151" outlineLevel="1">
      <c r="A1151" s="9" t="s">
        <v>1448</v>
      </c>
      <c r="B1151" s="9" t="s">
        <v>217</v>
      </c>
      <c r="C1151" s="12" t="s">
        <v>65</v>
      </c>
      <c r="D1151" s="14" t="s">
        <v>1352</v>
      </c>
      <c r="E1151" s="16"/>
      <c r="F1151" s="8"/>
      <c r="G1151" s="16"/>
      <c r="H1151" s="8"/>
      <c r="I1151" s="16"/>
    </row>
    <row r="1152" outlineLevel="1">
      <c r="A1152" s="9" t="s">
        <v>921</v>
      </c>
      <c r="B1152" s="9" t="s">
        <v>245</v>
      </c>
      <c r="C1152" s="12" t="s">
        <v>149</v>
      </c>
      <c r="D1152" s="14" t="s">
        <v>1352</v>
      </c>
      <c r="E1152" s="16"/>
      <c r="F1152" s="8"/>
      <c r="G1152" s="16"/>
      <c r="H1152" s="8"/>
      <c r="I1152" s="16"/>
    </row>
    <row r="1153" outlineLevel="1">
      <c r="A1153" s="9" t="s">
        <v>1449</v>
      </c>
      <c r="B1153" s="9" t="s">
        <v>562</v>
      </c>
      <c r="C1153" s="12" t="s">
        <v>186</v>
      </c>
      <c r="D1153" s="14" t="s">
        <v>1352</v>
      </c>
      <c r="E1153" s="16"/>
      <c r="F1153" s="8"/>
      <c r="G1153" s="16"/>
      <c r="H1153" s="8"/>
      <c r="I1153" s="16"/>
    </row>
    <row r="1154" outlineLevel="1">
      <c r="A1154" s="9" t="s">
        <v>1450</v>
      </c>
      <c r="B1154" s="9" t="s">
        <v>1283</v>
      </c>
      <c r="C1154" s="12" t="s">
        <v>132</v>
      </c>
      <c r="D1154" s="14" t="s">
        <v>1352</v>
      </c>
      <c r="E1154" s="16"/>
      <c r="F1154" s="18"/>
      <c r="G1154" s="19"/>
      <c r="H1154" s="18"/>
      <c r="I1154" s="19"/>
    </row>
    <row r="1155" outlineLevel="1">
      <c r="A1155" s="9" t="s">
        <v>1451</v>
      </c>
      <c r="B1155" s="9" t="s">
        <v>1452</v>
      </c>
      <c r="C1155" s="12" t="s">
        <v>24</v>
      </c>
      <c r="D1155" s="14" t="s">
        <v>1352</v>
      </c>
      <c r="E1155" s="16"/>
      <c r="F1155" s="8"/>
      <c r="G1155" s="16"/>
      <c r="H1155" s="8"/>
      <c r="I1155" s="16"/>
    </row>
    <row r="1156" outlineLevel="1">
      <c r="A1156" s="9" t="s">
        <v>1453</v>
      </c>
      <c r="B1156" s="9" t="s">
        <v>33</v>
      </c>
      <c r="C1156" s="12" t="s">
        <v>12</v>
      </c>
      <c r="D1156" s="14" t="s">
        <v>1352</v>
      </c>
      <c r="E1156" s="16"/>
      <c r="F1156" s="8"/>
      <c r="G1156" s="16"/>
      <c r="H1156" s="8"/>
      <c r="I1156" s="16"/>
    </row>
    <row r="1157" outlineLevel="1">
      <c r="A1157" s="9" t="s">
        <v>1454</v>
      </c>
      <c r="B1157" s="9" t="s">
        <v>1310</v>
      </c>
      <c r="C1157" s="12" t="s">
        <v>65</v>
      </c>
      <c r="D1157" s="14" t="s">
        <v>1352</v>
      </c>
      <c r="E1157" s="16"/>
      <c r="F1157" s="8"/>
      <c r="G1157" s="16"/>
      <c r="H1157" s="8"/>
      <c r="I1157" s="16"/>
    </row>
    <row r="1158" outlineLevel="1">
      <c r="A1158" s="9" t="s">
        <v>926</v>
      </c>
      <c r="B1158" s="9" t="s">
        <v>67</v>
      </c>
      <c r="C1158" s="12" t="s">
        <v>122</v>
      </c>
      <c r="D1158" s="14" t="s">
        <v>1352</v>
      </c>
      <c r="E1158" s="16"/>
      <c r="F1158" s="8"/>
      <c r="G1158" s="16"/>
      <c r="H1158" s="8"/>
      <c r="I1158" s="16"/>
    </row>
    <row r="1159" outlineLevel="1">
      <c r="A1159" s="9" t="s">
        <v>1455</v>
      </c>
      <c r="B1159" s="9" t="s">
        <v>1347</v>
      </c>
      <c r="C1159" s="12" t="s">
        <v>122</v>
      </c>
      <c r="D1159" s="14" t="s">
        <v>1352</v>
      </c>
      <c r="E1159" s="16"/>
      <c r="F1159" s="8"/>
      <c r="G1159" s="16"/>
      <c r="H1159" s="8"/>
      <c r="I1159" s="16"/>
    </row>
    <row r="1160" outlineLevel="1">
      <c r="A1160" s="9" t="s">
        <v>1456</v>
      </c>
      <c r="B1160" s="9" t="s">
        <v>333</v>
      </c>
      <c r="C1160" s="12" t="s">
        <v>65</v>
      </c>
      <c r="D1160" s="14" t="s">
        <v>1352</v>
      </c>
      <c r="E1160" s="16"/>
      <c r="F1160" s="8"/>
      <c r="G1160" s="16"/>
      <c r="H1160" s="8"/>
      <c r="I1160" s="16"/>
    </row>
    <row r="1161" outlineLevel="1">
      <c r="A1161" s="9" t="s">
        <v>698</v>
      </c>
      <c r="B1161" s="9" t="s">
        <v>1457</v>
      </c>
      <c r="C1161" s="12" t="s">
        <v>46</v>
      </c>
      <c r="D1161" s="14" t="s">
        <v>1352</v>
      </c>
      <c r="E1161" s="16"/>
      <c r="F1161" s="8"/>
      <c r="G1161" s="16"/>
      <c r="H1161" s="8"/>
      <c r="I1161" s="16"/>
    </row>
    <row r="1162" outlineLevel="1">
      <c r="A1162" s="9" t="s">
        <v>1458</v>
      </c>
      <c r="B1162" s="9" t="s">
        <v>558</v>
      </c>
      <c r="C1162" s="12" t="s">
        <v>59</v>
      </c>
      <c r="D1162" s="14" t="s">
        <v>1352</v>
      </c>
      <c r="E1162" s="16"/>
      <c r="F1162" s="8"/>
      <c r="G1162" s="16"/>
      <c r="H1162" s="8"/>
      <c r="I1162" s="16"/>
    </row>
    <row r="1163" outlineLevel="1">
      <c r="A1163" s="9" t="s">
        <v>1459</v>
      </c>
      <c r="B1163" s="9" t="s">
        <v>865</v>
      </c>
      <c r="C1163" s="12" t="s">
        <v>65</v>
      </c>
      <c r="D1163" s="14" t="s">
        <v>1352</v>
      </c>
      <c r="E1163" s="16"/>
      <c r="F1163" s="8"/>
      <c r="G1163" s="16"/>
      <c r="H1163" s="8"/>
      <c r="I1163" s="16"/>
    </row>
    <row r="1164" outlineLevel="1">
      <c r="A1164" s="9" t="s">
        <v>522</v>
      </c>
      <c r="B1164" s="9" t="s">
        <v>252</v>
      </c>
      <c r="C1164" s="12" t="s">
        <v>24</v>
      </c>
      <c r="D1164" s="14" t="s">
        <v>1352</v>
      </c>
      <c r="E1164" s="16"/>
      <c r="F1164" s="8"/>
      <c r="G1164" s="16"/>
      <c r="H1164" s="8"/>
      <c r="I1164" s="16"/>
    </row>
    <row r="1165" outlineLevel="1">
      <c r="A1165" s="9" t="s">
        <v>1460</v>
      </c>
      <c r="B1165" s="9" t="s">
        <v>1461</v>
      </c>
      <c r="C1165" s="12" t="s">
        <v>53</v>
      </c>
      <c r="D1165" s="14" t="s">
        <v>1352</v>
      </c>
      <c r="E1165" s="16"/>
      <c r="F1165" s="8"/>
      <c r="G1165" s="16"/>
      <c r="H1165" s="8"/>
      <c r="I1165" s="16"/>
    </row>
    <row r="1166" outlineLevel="1">
      <c r="A1166" s="9" t="s">
        <v>1462</v>
      </c>
      <c r="B1166" s="9" t="s">
        <v>883</v>
      </c>
      <c r="C1166" s="12" t="s">
        <v>70</v>
      </c>
      <c r="D1166" s="14" t="s">
        <v>1352</v>
      </c>
      <c r="E1166" s="16"/>
      <c r="F1166" s="8"/>
      <c r="G1166" s="16"/>
      <c r="H1166" s="8"/>
      <c r="I1166" s="16"/>
    </row>
    <row r="1167" outlineLevel="1">
      <c r="A1167" s="9" t="s">
        <v>1463</v>
      </c>
      <c r="B1167" s="9" t="s">
        <v>33</v>
      </c>
      <c r="C1167" s="12" t="s">
        <v>38</v>
      </c>
      <c r="D1167" s="14" t="s">
        <v>1352</v>
      </c>
      <c r="E1167" s="16"/>
      <c r="F1167" s="8"/>
      <c r="G1167" s="16"/>
      <c r="H1167" s="8"/>
      <c r="I1167" s="16"/>
    </row>
    <row r="1168" outlineLevel="1">
      <c r="A1168" s="9" t="s">
        <v>1464</v>
      </c>
      <c r="B1168" s="9" t="s">
        <v>317</v>
      </c>
      <c r="C1168" s="12" t="s">
        <v>93</v>
      </c>
      <c r="D1168" s="14" t="s">
        <v>1352</v>
      </c>
      <c r="E1168" s="16"/>
      <c r="F1168" s="8"/>
      <c r="G1168" s="16"/>
      <c r="H1168" s="8"/>
      <c r="I1168" s="16"/>
    </row>
    <row r="1169" outlineLevel="1">
      <c r="A1169" s="18" t="s">
        <v>1183</v>
      </c>
      <c r="B1169" s="9" t="s">
        <v>1465</v>
      </c>
      <c r="C1169" s="12" t="s">
        <v>192</v>
      </c>
      <c r="D1169" s="14" t="s">
        <v>1352</v>
      </c>
      <c r="E1169" s="16"/>
      <c r="F1169" s="8"/>
      <c r="G1169" s="16"/>
      <c r="H1169" s="8"/>
      <c r="I1169" s="16"/>
    </row>
    <row r="1170" outlineLevel="1">
      <c r="A1170" s="9" t="s">
        <v>1466</v>
      </c>
      <c r="B1170" s="18" t="s">
        <v>381</v>
      </c>
      <c r="C1170" s="19" t="s">
        <v>93</v>
      </c>
      <c r="D1170" s="14" t="s">
        <v>1352</v>
      </c>
      <c r="E1170" s="16"/>
      <c r="F1170" s="8"/>
      <c r="G1170" s="16"/>
      <c r="H1170" s="8"/>
      <c r="I1170" s="16"/>
    </row>
    <row r="1171" outlineLevel="1">
      <c r="A1171" s="9" t="s">
        <v>1467</v>
      </c>
      <c r="B1171" s="9" t="s">
        <v>29</v>
      </c>
      <c r="C1171" s="12" t="s">
        <v>53</v>
      </c>
      <c r="D1171" s="14" t="s">
        <v>1352</v>
      </c>
      <c r="E1171" s="16"/>
      <c r="F1171" s="8"/>
      <c r="G1171" s="16"/>
      <c r="H1171" s="8"/>
      <c r="I1171" s="16"/>
    </row>
    <row r="1172" outlineLevel="1">
      <c r="A1172" s="9" t="s">
        <v>89</v>
      </c>
      <c r="B1172" s="9" t="s">
        <v>505</v>
      </c>
      <c r="C1172" s="12" t="s">
        <v>192</v>
      </c>
      <c r="D1172" s="14" t="s">
        <v>1352</v>
      </c>
      <c r="E1172" s="16"/>
      <c r="F1172" s="8"/>
      <c r="G1172" s="16"/>
      <c r="H1172" s="8"/>
      <c r="I1172" s="16"/>
    </row>
    <row r="1173" outlineLevel="1">
      <c r="A1173" s="9" t="s">
        <v>1468</v>
      </c>
      <c r="B1173" s="9" t="s">
        <v>399</v>
      </c>
      <c r="C1173" s="12" t="s">
        <v>149</v>
      </c>
      <c r="D1173" s="14" t="s">
        <v>1352</v>
      </c>
      <c r="E1173" s="16"/>
      <c r="F1173" s="8"/>
      <c r="G1173" s="16"/>
      <c r="H1173" s="8"/>
      <c r="I1173" s="16"/>
    </row>
    <row r="1174" outlineLevel="1">
      <c r="A1174" s="9" t="s">
        <v>1469</v>
      </c>
      <c r="B1174" s="9" t="s">
        <v>301</v>
      </c>
      <c r="C1174" s="12" t="s">
        <v>186</v>
      </c>
      <c r="D1174" s="14" t="s">
        <v>1352</v>
      </c>
      <c r="E1174" s="16"/>
      <c r="F1174" s="8"/>
      <c r="G1174" s="16"/>
      <c r="H1174" s="8"/>
      <c r="I1174" s="16"/>
    </row>
    <row r="1175" outlineLevel="1">
      <c r="A1175" s="9" t="s">
        <v>1187</v>
      </c>
      <c r="B1175" s="9" t="s">
        <v>1470</v>
      </c>
      <c r="C1175" s="12" t="s">
        <v>46</v>
      </c>
      <c r="D1175" s="14" t="s">
        <v>1352</v>
      </c>
      <c r="E1175" s="16"/>
      <c r="F1175" s="8"/>
      <c r="G1175" s="16"/>
      <c r="H1175" s="8"/>
      <c r="I1175" s="16"/>
    </row>
    <row r="1176" outlineLevel="1">
      <c r="A1176" s="9" t="s">
        <v>1471</v>
      </c>
      <c r="B1176" s="9" t="s">
        <v>914</v>
      </c>
      <c r="C1176" s="12" t="s">
        <v>215</v>
      </c>
      <c r="D1176" s="14" t="s">
        <v>1352</v>
      </c>
      <c r="E1176" s="16"/>
      <c r="F1176" s="8"/>
      <c r="G1176" s="16"/>
      <c r="H1176" s="8"/>
      <c r="I1176" s="16"/>
    </row>
    <row r="1177" outlineLevel="1">
      <c r="A1177" s="9" t="s">
        <v>637</v>
      </c>
      <c r="B1177" s="9" t="s">
        <v>1317</v>
      </c>
      <c r="C1177" s="12" t="s">
        <v>215</v>
      </c>
      <c r="D1177" s="14" t="s">
        <v>1352</v>
      </c>
      <c r="E1177" s="16"/>
      <c r="F1177" s="8"/>
      <c r="G1177" s="16"/>
      <c r="H1177" s="8"/>
      <c r="I1177" s="16"/>
    </row>
    <row r="1178" outlineLevel="1">
      <c r="A1178" s="9" t="s">
        <v>1472</v>
      </c>
      <c r="B1178" s="9" t="s">
        <v>62</v>
      </c>
      <c r="C1178" s="12" t="s">
        <v>24</v>
      </c>
      <c r="D1178" s="14" t="s">
        <v>1352</v>
      </c>
      <c r="E1178" s="16"/>
      <c r="F1178" s="8"/>
      <c r="G1178" s="16"/>
      <c r="H1178" s="8"/>
      <c r="I1178" s="16"/>
    </row>
    <row r="1179" outlineLevel="1">
      <c r="A1179" s="9" t="s">
        <v>637</v>
      </c>
      <c r="B1179" s="9" t="s">
        <v>1473</v>
      </c>
      <c r="C1179" s="12" t="s">
        <v>70</v>
      </c>
      <c r="D1179" s="14" t="s">
        <v>1352</v>
      </c>
      <c r="E1179" s="16"/>
      <c r="F1179" s="8"/>
      <c r="G1179" s="16"/>
      <c r="H1179" s="8"/>
      <c r="I1179" s="16"/>
    </row>
    <row r="1180" outlineLevel="1">
      <c r="A1180" s="9" t="s">
        <v>1474</v>
      </c>
      <c r="B1180" s="9" t="s">
        <v>349</v>
      </c>
      <c r="C1180" s="12" t="s">
        <v>24</v>
      </c>
      <c r="D1180" s="14" t="s">
        <v>1352</v>
      </c>
      <c r="E1180" s="16"/>
      <c r="F1180" s="8"/>
      <c r="G1180" s="16"/>
      <c r="H1180" s="8"/>
      <c r="I1180" s="16"/>
    </row>
    <row r="1181" outlineLevel="1">
      <c r="A1181" s="9" t="s">
        <v>537</v>
      </c>
      <c r="B1181" s="9" t="s">
        <v>867</v>
      </c>
      <c r="C1181" s="12" t="s">
        <v>65</v>
      </c>
      <c r="D1181" s="14" t="s">
        <v>1352</v>
      </c>
      <c r="E1181" s="16"/>
      <c r="F1181" s="8"/>
      <c r="G1181" s="16"/>
      <c r="H1181" s="8"/>
      <c r="I1181" s="16"/>
    </row>
    <row r="1182" outlineLevel="1">
      <c r="A1182" s="9" t="s">
        <v>539</v>
      </c>
      <c r="B1182" s="9" t="s">
        <v>183</v>
      </c>
      <c r="C1182" s="12" t="s">
        <v>93</v>
      </c>
      <c r="D1182" s="14" t="s">
        <v>1352</v>
      </c>
      <c r="E1182" s="16"/>
      <c r="F1182" s="8"/>
      <c r="G1182" s="16"/>
      <c r="H1182" s="8"/>
      <c r="I1182" s="16"/>
    </row>
    <row r="1183" outlineLevel="1">
      <c r="A1183" s="9" t="s">
        <v>1475</v>
      </c>
      <c r="B1183" s="9" t="s">
        <v>285</v>
      </c>
      <c r="C1183" s="12" t="s">
        <v>24</v>
      </c>
      <c r="D1183" s="14" t="s">
        <v>1352</v>
      </c>
      <c r="E1183" s="16"/>
      <c r="F1183" s="8"/>
      <c r="G1183" s="16"/>
      <c r="H1183" s="8"/>
      <c r="I1183" s="16"/>
    </row>
    <row r="1184" outlineLevel="1">
      <c r="A1184" s="9" t="s">
        <v>1476</v>
      </c>
      <c r="B1184" s="9" t="s">
        <v>1046</v>
      </c>
      <c r="C1184" s="12" t="s">
        <v>149</v>
      </c>
      <c r="D1184" s="14" t="s">
        <v>1352</v>
      </c>
      <c r="E1184" s="16"/>
      <c r="F1184" s="8"/>
      <c r="G1184" s="16"/>
      <c r="H1184" s="8"/>
      <c r="I1184" s="16"/>
    </row>
    <row r="1185" outlineLevel="1">
      <c r="A1185" s="9" t="s">
        <v>1477</v>
      </c>
      <c r="B1185" s="9" t="s">
        <v>163</v>
      </c>
      <c r="C1185" s="12" t="s">
        <v>65</v>
      </c>
      <c r="D1185" s="14" t="s">
        <v>1352</v>
      </c>
      <c r="E1185" s="16"/>
      <c r="F1185" s="18"/>
      <c r="G1185" s="19"/>
      <c r="H1185" s="18"/>
      <c r="I1185" s="19"/>
    </row>
    <row r="1186" outlineLevel="1">
      <c r="A1186" s="9" t="s">
        <v>1478</v>
      </c>
      <c r="B1186" s="9" t="s">
        <v>1479</v>
      </c>
      <c r="C1186" s="12" t="s">
        <v>24</v>
      </c>
      <c r="D1186" s="14" t="s">
        <v>1352</v>
      </c>
      <c r="E1186" s="16"/>
      <c r="F1186" s="8"/>
      <c r="G1186" s="16"/>
      <c r="H1186" s="8"/>
      <c r="I1186" s="16"/>
    </row>
    <row r="1187" outlineLevel="1">
      <c r="A1187" s="9" t="s">
        <v>276</v>
      </c>
      <c r="B1187" s="9" t="s">
        <v>501</v>
      </c>
      <c r="C1187" s="12" t="s">
        <v>53</v>
      </c>
      <c r="D1187" s="14" t="s">
        <v>1352</v>
      </c>
      <c r="E1187" s="16"/>
      <c r="F1187" s="8"/>
      <c r="G1187" s="16"/>
      <c r="H1187" s="8"/>
      <c r="I1187" s="16"/>
    </row>
    <row r="1188" outlineLevel="1">
      <c r="A1188" s="18" t="s">
        <v>1202</v>
      </c>
      <c r="B1188" s="9" t="s">
        <v>529</v>
      </c>
      <c r="C1188" s="12" t="s">
        <v>46</v>
      </c>
      <c r="D1188" s="14" t="s">
        <v>1352</v>
      </c>
      <c r="E1188" s="16"/>
      <c r="F1188" s="8"/>
      <c r="G1188" s="16"/>
      <c r="H1188" s="8"/>
      <c r="I1188" s="16"/>
    </row>
    <row r="1189" outlineLevel="1">
      <c r="A1189" s="9" t="s">
        <v>205</v>
      </c>
      <c r="B1189" s="18" t="s">
        <v>1249</v>
      </c>
      <c r="C1189" s="19" t="s">
        <v>141</v>
      </c>
      <c r="D1189" s="14" t="s">
        <v>1352</v>
      </c>
      <c r="E1189" s="16"/>
      <c r="F1189" s="18"/>
      <c r="G1189" s="19"/>
      <c r="H1189" s="18"/>
      <c r="I1189" s="19"/>
    </row>
    <row r="1190" outlineLevel="1">
      <c r="A1190" s="9" t="s">
        <v>1480</v>
      </c>
      <c r="B1190" s="9" t="s">
        <v>1481</v>
      </c>
      <c r="C1190" s="12" t="s">
        <v>149</v>
      </c>
      <c r="D1190" s="14" t="s">
        <v>1352</v>
      </c>
      <c r="E1190" s="16"/>
      <c r="F1190" s="8"/>
      <c r="G1190" s="16"/>
      <c r="H1190" s="8"/>
      <c r="I1190" s="16"/>
    </row>
    <row r="1191" outlineLevel="1">
      <c r="A1191" s="9" t="s">
        <v>1482</v>
      </c>
      <c r="B1191" s="9" t="s">
        <v>176</v>
      </c>
      <c r="C1191" s="12" t="s">
        <v>138</v>
      </c>
      <c r="D1191" s="14" t="s">
        <v>1352</v>
      </c>
      <c r="E1191" s="16"/>
      <c r="F1191" s="8"/>
      <c r="G1191" s="16"/>
      <c r="H1191" s="8"/>
      <c r="I1191" s="16"/>
    </row>
    <row r="1192" outlineLevel="1">
      <c r="A1192" s="9" t="s">
        <v>1483</v>
      </c>
      <c r="B1192" s="9" t="s">
        <v>948</v>
      </c>
      <c r="C1192" s="12" t="s">
        <v>59</v>
      </c>
      <c r="D1192" s="14" t="s">
        <v>1352</v>
      </c>
      <c r="E1192" s="16"/>
      <c r="F1192" s="8"/>
      <c r="G1192" s="16"/>
      <c r="H1192" s="8"/>
      <c r="I1192" s="16"/>
    </row>
    <row r="1193" outlineLevel="1">
      <c r="A1193" s="9" t="s">
        <v>1484</v>
      </c>
      <c r="B1193" s="9" t="s">
        <v>134</v>
      </c>
      <c r="C1193" s="12" t="s">
        <v>132</v>
      </c>
      <c r="D1193" s="14" t="s">
        <v>1352</v>
      </c>
      <c r="E1193" s="16"/>
      <c r="F1193" s="8"/>
      <c r="G1193" s="16"/>
      <c r="H1193" s="8"/>
      <c r="I1193" s="16"/>
    </row>
    <row r="1194" outlineLevel="1">
      <c r="A1194" s="9" t="s">
        <v>208</v>
      </c>
      <c r="B1194" s="9" t="s">
        <v>647</v>
      </c>
      <c r="C1194" s="12" t="s">
        <v>65</v>
      </c>
      <c r="D1194" s="14" t="s">
        <v>1352</v>
      </c>
      <c r="E1194" s="16"/>
      <c r="F1194" s="8"/>
      <c r="G1194" s="16"/>
      <c r="H1194" s="8"/>
      <c r="I1194" s="16"/>
    </row>
    <row r="1195" outlineLevel="1">
      <c r="A1195" s="9" t="s">
        <v>208</v>
      </c>
      <c r="B1195" s="9" t="s">
        <v>800</v>
      </c>
      <c r="C1195" s="12" t="s">
        <v>70</v>
      </c>
      <c r="D1195" s="14" t="s">
        <v>1352</v>
      </c>
      <c r="E1195" s="16"/>
      <c r="F1195" s="8"/>
      <c r="G1195" s="16"/>
      <c r="H1195" s="8"/>
      <c r="I1195" s="16"/>
    </row>
    <row r="1196" outlineLevel="1">
      <c r="A1196" s="9" t="s">
        <v>208</v>
      </c>
      <c r="B1196" s="9" t="s">
        <v>1347</v>
      </c>
      <c r="C1196" s="12" t="s">
        <v>80</v>
      </c>
      <c r="D1196" s="14" t="s">
        <v>1352</v>
      </c>
      <c r="E1196" s="16"/>
      <c r="F1196" s="8"/>
      <c r="G1196" s="16"/>
      <c r="H1196" s="8"/>
      <c r="I1196" s="16"/>
    </row>
    <row r="1197" outlineLevel="1">
      <c r="A1197" s="9" t="s">
        <v>1485</v>
      </c>
      <c r="B1197" s="9" t="s">
        <v>647</v>
      </c>
      <c r="C1197" s="12" t="s">
        <v>24</v>
      </c>
      <c r="D1197" s="14" t="s">
        <v>1352</v>
      </c>
      <c r="E1197" s="16"/>
      <c r="F1197" s="8"/>
      <c r="G1197" s="16"/>
      <c r="H1197" s="8"/>
      <c r="I1197" s="16"/>
    </row>
    <row r="1198" outlineLevel="1">
      <c r="A1198" s="9" t="s">
        <v>260</v>
      </c>
      <c r="B1198" s="9" t="s">
        <v>884</v>
      </c>
      <c r="C1198" s="12" t="s">
        <v>24</v>
      </c>
      <c r="D1198" s="14" t="s">
        <v>1352</v>
      </c>
      <c r="E1198" s="16"/>
      <c r="F1198" s="8"/>
      <c r="G1198" s="16"/>
      <c r="H1198" s="8"/>
      <c r="I1198" s="16"/>
    </row>
    <row r="1199" outlineLevel="1">
      <c r="A1199" s="9" t="s">
        <v>389</v>
      </c>
      <c r="B1199" s="9" t="s">
        <v>1486</v>
      </c>
      <c r="C1199" s="12" t="s">
        <v>70</v>
      </c>
      <c r="D1199" s="14" t="s">
        <v>1352</v>
      </c>
      <c r="E1199" s="16"/>
      <c r="F1199" s="8"/>
      <c r="G1199" s="16"/>
      <c r="H1199" s="8"/>
      <c r="I1199" s="16"/>
    </row>
    <row r="1200" outlineLevel="1">
      <c r="A1200" s="9" t="s">
        <v>389</v>
      </c>
      <c r="B1200" s="9" t="s">
        <v>247</v>
      </c>
      <c r="C1200" s="12" t="s">
        <v>65</v>
      </c>
      <c r="D1200" s="14" t="s">
        <v>1352</v>
      </c>
      <c r="E1200" s="16"/>
      <c r="F1200" s="8"/>
      <c r="G1200" s="16"/>
      <c r="H1200" s="8"/>
      <c r="I1200" s="16"/>
    </row>
    <row r="1201" outlineLevel="1">
      <c r="A1201" s="9" t="s">
        <v>282</v>
      </c>
      <c r="B1201" s="9" t="s">
        <v>1487</v>
      </c>
      <c r="C1201" s="12" t="s">
        <v>80</v>
      </c>
      <c r="D1201" s="14" t="s">
        <v>1352</v>
      </c>
      <c r="E1201" s="16"/>
      <c r="F1201" s="8"/>
      <c r="G1201" s="16"/>
      <c r="H1201" s="8"/>
      <c r="I1201" s="16"/>
    </row>
    <row r="1202" outlineLevel="1">
      <c r="A1202" s="9" t="s">
        <v>389</v>
      </c>
      <c r="B1202" s="9" t="s">
        <v>1488</v>
      </c>
      <c r="C1202" s="12" t="s">
        <v>122</v>
      </c>
      <c r="D1202" s="14" t="s">
        <v>1352</v>
      </c>
      <c r="E1202" s="16"/>
      <c r="F1202" s="8"/>
      <c r="G1202" s="16"/>
      <c r="H1202" s="8"/>
      <c r="I1202" s="16"/>
    </row>
    <row r="1203" outlineLevel="1">
      <c r="A1203" s="9" t="s">
        <v>282</v>
      </c>
      <c r="B1203" s="9" t="s">
        <v>263</v>
      </c>
      <c r="C1203" s="12" t="s">
        <v>53</v>
      </c>
      <c r="D1203" s="14" t="s">
        <v>1352</v>
      </c>
      <c r="E1203" s="16"/>
      <c r="F1203" s="8"/>
      <c r="G1203" s="16"/>
      <c r="H1203" s="8"/>
      <c r="I1203" s="16"/>
    </row>
    <row r="1204" outlineLevel="1">
      <c r="A1204" s="9" t="s">
        <v>389</v>
      </c>
      <c r="B1204" s="9" t="s">
        <v>464</v>
      </c>
      <c r="C1204" s="12" t="s">
        <v>122</v>
      </c>
      <c r="D1204" s="14" t="s">
        <v>1352</v>
      </c>
      <c r="E1204" s="16"/>
      <c r="F1204" s="8"/>
      <c r="G1204" s="16"/>
      <c r="H1204" s="8"/>
      <c r="I1204" s="16"/>
    </row>
    <row r="1205" outlineLevel="1">
      <c r="A1205" s="9" t="s">
        <v>284</v>
      </c>
      <c r="B1205" s="9" t="s">
        <v>43</v>
      </c>
      <c r="C1205" s="12" t="s">
        <v>65</v>
      </c>
      <c r="D1205" s="14" t="s">
        <v>1352</v>
      </c>
      <c r="E1205" s="16"/>
      <c r="F1205" s="8"/>
      <c r="G1205" s="16"/>
      <c r="H1205" s="8"/>
      <c r="I1205" s="16"/>
    </row>
    <row r="1206" outlineLevel="1">
      <c r="A1206" s="9" t="s">
        <v>284</v>
      </c>
      <c r="B1206" s="9" t="s">
        <v>275</v>
      </c>
      <c r="C1206" s="12" t="s">
        <v>122</v>
      </c>
      <c r="D1206" s="14" t="s">
        <v>1352</v>
      </c>
      <c r="E1206" s="16"/>
      <c r="F1206" s="8"/>
      <c r="G1206" s="16"/>
      <c r="H1206" s="8"/>
      <c r="I1206" s="16"/>
    </row>
    <row r="1207" outlineLevel="1">
      <c r="A1207" s="9" t="s">
        <v>284</v>
      </c>
      <c r="B1207" s="9" t="s">
        <v>1489</v>
      </c>
      <c r="C1207" s="12" t="s">
        <v>192</v>
      </c>
      <c r="D1207" s="14" t="s">
        <v>1352</v>
      </c>
      <c r="E1207" s="16"/>
      <c r="F1207" s="8"/>
      <c r="G1207" s="16"/>
      <c r="H1207" s="8"/>
      <c r="I1207" s="16"/>
    </row>
    <row r="1208" outlineLevel="1">
      <c r="A1208" s="9" t="s">
        <v>284</v>
      </c>
      <c r="B1208" s="9" t="s">
        <v>842</v>
      </c>
      <c r="C1208" s="12" t="s">
        <v>93</v>
      </c>
      <c r="D1208" s="14" t="s">
        <v>1352</v>
      </c>
      <c r="E1208" s="16"/>
      <c r="F1208" s="8"/>
      <c r="G1208" s="16"/>
      <c r="H1208" s="8"/>
      <c r="I1208" s="16"/>
    </row>
    <row r="1209" outlineLevel="1">
      <c r="A1209" s="9" t="s">
        <v>284</v>
      </c>
      <c r="B1209" s="9" t="s">
        <v>91</v>
      </c>
      <c r="C1209" s="12" t="s">
        <v>186</v>
      </c>
      <c r="D1209" s="14" t="s">
        <v>1352</v>
      </c>
      <c r="E1209" s="16"/>
      <c r="F1209" s="8"/>
      <c r="G1209" s="16"/>
      <c r="H1209" s="8"/>
      <c r="I1209" s="16"/>
    </row>
    <row r="1210" outlineLevel="1">
      <c r="A1210" s="18" t="s">
        <v>284</v>
      </c>
      <c r="B1210" s="9" t="s">
        <v>1490</v>
      </c>
      <c r="C1210" s="12" t="s">
        <v>53</v>
      </c>
      <c r="D1210" s="14" t="s">
        <v>1352</v>
      </c>
      <c r="E1210" s="16"/>
      <c r="F1210" s="8"/>
      <c r="G1210" s="16"/>
      <c r="H1210" s="8"/>
      <c r="I1210" s="16"/>
    </row>
    <row r="1211" outlineLevel="1">
      <c r="A1211" s="9" t="s">
        <v>1491</v>
      </c>
      <c r="B1211" s="18" t="s">
        <v>1467</v>
      </c>
      <c r="C1211" s="19" t="s">
        <v>192</v>
      </c>
      <c r="D1211" s="14" t="s">
        <v>1352</v>
      </c>
      <c r="E1211" s="16"/>
      <c r="F1211" s="8"/>
      <c r="G1211" s="16"/>
      <c r="H1211" s="8"/>
      <c r="I1211" s="16"/>
    </row>
    <row r="1212" outlineLevel="1">
      <c r="A1212" s="9" t="s">
        <v>263</v>
      </c>
      <c r="B1212" s="9" t="s">
        <v>137</v>
      </c>
      <c r="C1212" s="12" t="s">
        <v>93</v>
      </c>
      <c r="D1212" s="14" t="s">
        <v>1352</v>
      </c>
      <c r="E1212" s="16"/>
      <c r="F1212" s="8"/>
      <c r="G1212" s="16"/>
      <c r="H1212" s="8"/>
      <c r="I1212" s="16"/>
    </row>
    <row r="1213" outlineLevel="1">
      <c r="A1213" s="9" t="s">
        <v>91</v>
      </c>
      <c r="B1213" s="9" t="s">
        <v>1492</v>
      </c>
      <c r="C1213" s="12" t="s">
        <v>46</v>
      </c>
      <c r="D1213" s="14" t="s">
        <v>1352</v>
      </c>
      <c r="E1213" s="16"/>
      <c r="F1213" s="8"/>
      <c r="G1213" s="16"/>
      <c r="H1213" s="8"/>
      <c r="I1213" s="16"/>
    </row>
    <row r="1214" outlineLevel="1">
      <c r="A1214" s="9" t="s">
        <v>91</v>
      </c>
      <c r="B1214" s="9" t="s">
        <v>124</v>
      </c>
      <c r="C1214" s="12" t="s">
        <v>12</v>
      </c>
      <c r="D1214" s="14" t="s">
        <v>1352</v>
      </c>
      <c r="E1214" s="16"/>
      <c r="F1214" s="8"/>
      <c r="G1214" s="16"/>
      <c r="H1214" s="8"/>
      <c r="I1214" s="16"/>
    </row>
    <row r="1215" outlineLevel="1">
      <c r="A1215" s="9" t="s">
        <v>91</v>
      </c>
      <c r="B1215" s="9" t="s">
        <v>1493</v>
      </c>
      <c r="C1215" s="12" t="s">
        <v>192</v>
      </c>
      <c r="D1215" s="14" t="s">
        <v>1352</v>
      </c>
      <c r="E1215" s="16"/>
      <c r="F1215" s="8"/>
      <c r="G1215" s="16"/>
      <c r="H1215" s="8"/>
      <c r="I1215" s="16"/>
    </row>
    <row r="1216" outlineLevel="1">
      <c r="A1216" s="9" t="s">
        <v>1494</v>
      </c>
      <c r="B1216" s="9" t="s">
        <v>214</v>
      </c>
      <c r="C1216" s="12" t="s">
        <v>132</v>
      </c>
      <c r="D1216" s="14" t="s">
        <v>1352</v>
      </c>
      <c r="E1216" s="16"/>
      <c r="F1216" s="18"/>
      <c r="G1216" s="19"/>
      <c r="H1216" s="18"/>
      <c r="I1216" s="19"/>
    </row>
    <row r="1217" outlineLevel="1">
      <c r="A1217" s="9" t="s">
        <v>557</v>
      </c>
      <c r="B1217" s="9" t="s">
        <v>1495</v>
      </c>
      <c r="C1217" s="12" t="s">
        <v>192</v>
      </c>
      <c r="D1217" s="14" t="s">
        <v>1352</v>
      </c>
      <c r="E1217" s="16"/>
      <c r="F1217" s="8"/>
      <c r="G1217" s="16"/>
      <c r="H1217" s="8"/>
      <c r="I1217" s="16"/>
    </row>
    <row r="1218" outlineLevel="1">
      <c r="A1218" s="9" t="s">
        <v>1496</v>
      </c>
      <c r="B1218" s="9" t="s">
        <v>1473</v>
      </c>
      <c r="C1218" s="12" t="s">
        <v>192</v>
      </c>
      <c r="D1218" s="14" t="s">
        <v>1352</v>
      </c>
      <c r="E1218" s="16"/>
      <c r="F1218" s="8"/>
      <c r="G1218" s="16"/>
      <c r="H1218" s="8"/>
      <c r="I1218" s="16"/>
    </row>
    <row r="1219" outlineLevel="1">
      <c r="A1219" s="9" t="s">
        <v>1497</v>
      </c>
      <c r="B1219" s="9" t="s">
        <v>1498</v>
      </c>
      <c r="C1219" s="12" t="s">
        <v>132</v>
      </c>
      <c r="D1219" s="14" t="s">
        <v>1352</v>
      </c>
      <c r="E1219" s="16"/>
      <c r="F1219" s="8"/>
      <c r="G1219" s="16"/>
      <c r="H1219" s="8"/>
      <c r="I1219" s="16"/>
    </row>
    <row r="1220" outlineLevel="1">
      <c r="A1220" s="9" t="s">
        <v>1499</v>
      </c>
      <c r="B1220" s="9" t="s">
        <v>546</v>
      </c>
      <c r="C1220" s="12" t="s">
        <v>24</v>
      </c>
      <c r="D1220" s="14" t="s">
        <v>1352</v>
      </c>
      <c r="E1220" s="16"/>
      <c r="F1220" s="18"/>
      <c r="G1220" s="19"/>
      <c r="H1220" s="18"/>
      <c r="I1220" s="19"/>
    </row>
    <row r="1221" outlineLevel="1">
      <c r="A1221" s="9" t="s">
        <v>1500</v>
      </c>
      <c r="B1221" s="9" t="s">
        <v>1501</v>
      </c>
      <c r="C1221" s="12" t="s">
        <v>141</v>
      </c>
      <c r="D1221" s="14" t="s">
        <v>1352</v>
      </c>
      <c r="E1221" s="16"/>
      <c r="F1221" s="8"/>
      <c r="G1221" s="16"/>
      <c r="H1221" s="8"/>
      <c r="I1221" s="16"/>
    </row>
    <row r="1222" outlineLevel="1">
      <c r="A1222" s="9" t="s">
        <v>1502</v>
      </c>
      <c r="B1222" s="9" t="s">
        <v>1503</v>
      </c>
      <c r="C1222" s="12" t="s">
        <v>215</v>
      </c>
      <c r="D1222" s="14" t="s">
        <v>1352</v>
      </c>
      <c r="E1222" s="16"/>
      <c r="F1222" s="8"/>
      <c r="G1222" s="16"/>
      <c r="H1222" s="8"/>
      <c r="I1222" s="16"/>
    </row>
    <row r="1223" outlineLevel="1">
      <c r="A1223" s="9" t="s">
        <v>1504</v>
      </c>
      <c r="B1223" s="9" t="s">
        <v>1505</v>
      </c>
      <c r="C1223" s="12" t="s">
        <v>132</v>
      </c>
      <c r="D1223" s="14" t="s">
        <v>1352</v>
      </c>
      <c r="E1223" s="16"/>
      <c r="F1223" s="8"/>
      <c r="G1223" s="16"/>
      <c r="H1223" s="8"/>
      <c r="I1223" s="16"/>
    </row>
    <row r="1224" outlineLevel="1">
      <c r="A1224" s="9" t="s">
        <v>741</v>
      </c>
      <c r="B1224" s="9" t="s">
        <v>1241</v>
      </c>
      <c r="C1224" s="12" t="s">
        <v>138</v>
      </c>
      <c r="D1224" s="14" t="s">
        <v>1352</v>
      </c>
      <c r="E1224" s="16"/>
      <c r="F1224" s="8"/>
      <c r="G1224" s="16"/>
      <c r="H1224" s="8"/>
      <c r="I1224" s="16"/>
    </row>
    <row r="1225" outlineLevel="1">
      <c r="A1225" s="9" t="s">
        <v>1506</v>
      </c>
      <c r="B1225" s="9" t="s">
        <v>1507</v>
      </c>
      <c r="C1225" s="12" t="s">
        <v>192</v>
      </c>
      <c r="D1225" s="14" t="s">
        <v>1352</v>
      </c>
      <c r="E1225" s="16"/>
      <c r="F1225" s="8"/>
      <c r="G1225" s="16"/>
      <c r="H1225" s="8"/>
      <c r="I1225" s="16"/>
    </row>
    <row r="1226" outlineLevel="1">
      <c r="A1226" s="18" t="s">
        <v>1508</v>
      </c>
      <c r="B1226" s="9" t="s">
        <v>1509</v>
      </c>
      <c r="C1226" s="12" t="s">
        <v>93</v>
      </c>
      <c r="D1226" s="14" t="s">
        <v>1352</v>
      </c>
      <c r="E1226" s="16"/>
      <c r="F1226" s="18"/>
      <c r="G1226" s="19"/>
      <c r="H1226" s="18"/>
      <c r="I1226" s="19"/>
    </row>
    <row r="1227" outlineLevel="1">
      <c r="A1227" s="9" t="s">
        <v>1510</v>
      </c>
      <c r="B1227" s="18" t="s">
        <v>798</v>
      </c>
      <c r="C1227" s="19" t="s">
        <v>215</v>
      </c>
      <c r="D1227" s="14" t="s">
        <v>1352</v>
      </c>
      <c r="E1227" s="16"/>
      <c r="F1227" s="8"/>
      <c r="G1227" s="16"/>
      <c r="H1227" s="8"/>
      <c r="I1227" s="16"/>
    </row>
    <row r="1228" outlineLevel="1">
      <c r="A1228" s="9" t="s">
        <v>42</v>
      </c>
      <c r="B1228" s="9" t="s">
        <v>129</v>
      </c>
      <c r="C1228" s="12" t="s">
        <v>138</v>
      </c>
      <c r="D1228" s="14" t="s">
        <v>1352</v>
      </c>
      <c r="E1228" s="16"/>
      <c r="F1228" s="8"/>
      <c r="G1228" s="16"/>
      <c r="H1228" s="8"/>
      <c r="I1228" s="16"/>
    </row>
    <row r="1229" outlineLevel="1">
      <c r="A1229" s="9" t="s">
        <v>1511</v>
      </c>
      <c r="B1229" s="9" t="s">
        <v>304</v>
      </c>
      <c r="C1229" s="12" t="s">
        <v>141</v>
      </c>
      <c r="D1229" s="14" t="s">
        <v>1352</v>
      </c>
      <c r="E1229" s="16"/>
      <c r="F1229" s="8"/>
      <c r="G1229" s="16"/>
      <c r="H1229" s="8"/>
      <c r="I1229" s="16"/>
    </row>
    <row r="1230" outlineLevel="1">
      <c r="A1230" s="9" t="s">
        <v>94</v>
      </c>
      <c r="B1230" s="9" t="s">
        <v>1512</v>
      </c>
      <c r="C1230" s="12" t="s">
        <v>53</v>
      </c>
      <c r="D1230" s="14" t="s">
        <v>1352</v>
      </c>
      <c r="E1230" s="16"/>
      <c r="F1230" s="8"/>
      <c r="G1230" s="16"/>
      <c r="H1230" s="8"/>
      <c r="I1230" s="16"/>
    </row>
    <row r="1231" outlineLevel="1">
      <c r="A1231" s="9" t="s">
        <v>94</v>
      </c>
      <c r="B1231" s="9" t="s">
        <v>67</v>
      </c>
      <c r="C1231" s="12" t="s">
        <v>93</v>
      </c>
      <c r="D1231" s="14" t="s">
        <v>1352</v>
      </c>
      <c r="E1231" s="16"/>
      <c r="F1231" s="8"/>
      <c r="G1231" s="16"/>
      <c r="H1231" s="8"/>
      <c r="I1231" s="16"/>
    </row>
    <row r="1232" outlineLevel="1">
      <c r="A1232" s="9" t="s">
        <v>1513</v>
      </c>
      <c r="B1232" s="9" t="s">
        <v>690</v>
      </c>
      <c r="C1232" s="12" t="s">
        <v>70</v>
      </c>
      <c r="D1232" s="14" t="s">
        <v>1352</v>
      </c>
      <c r="E1232" s="16"/>
      <c r="F1232" s="8"/>
      <c r="G1232" s="16"/>
      <c r="H1232" s="8"/>
      <c r="I1232" s="16"/>
    </row>
    <row r="1233" outlineLevel="1">
      <c r="A1233" s="9" t="s">
        <v>1514</v>
      </c>
      <c r="B1233" s="9" t="s">
        <v>1515</v>
      </c>
      <c r="C1233" s="12" t="s">
        <v>186</v>
      </c>
      <c r="D1233" s="14" t="s">
        <v>1352</v>
      </c>
      <c r="E1233" s="16"/>
      <c r="F1233" s="8"/>
      <c r="G1233" s="16"/>
      <c r="H1233" s="8"/>
      <c r="I1233" s="16"/>
    </row>
    <row r="1234" outlineLevel="1">
      <c r="A1234" s="9" t="s">
        <v>1516</v>
      </c>
      <c r="B1234" s="9" t="s">
        <v>840</v>
      </c>
      <c r="C1234" s="12" t="s">
        <v>65</v>
      </c>
      <c r="D1234" s="14" t="s">
        <v>1352</v>
      </c>
      <c r="E1234" s="16"/>
      <c r="F1234" s="8"/>
      <c r="G1234" s="16"/>
      <c r="H1234" s="8"/>
      <c r="I1234" s="16"/>
    </row>
    <row r="1235" outlineLevel="1">
      <c r="A1235" s="9" t="s">
        <v>213</v>
      </c>
      <c r="B1235" s="9" t="s">
        <v>183</v>
      </c>
      <c r="C1235" s="12" t="s">
        <v>215</v>
      </c>
      <c r="D1235" s="14" t="s">
        <v>1352</v>
      </c>
      <c r="E1235" s="16"/>
      <c r="F1235" s="8"/>
      <c r="G1235" s="16"/>
      <c r="H1235" s="8"/>
      <c r="I1235" s="16"/>
    </row>
    <row r="1236" outlineLevel="1">
      <c r="A1236" s="9" t="s">
        <v>1517</v>
      </c>
      <c r="B1236" s="9" t="s">
        <v>974</v>
      </c>
      <c r="C1236" s="12" t="s">
        <v>138</v>
      </c>
      <c r="D1236" s="14" t="s">
        <v>1352</v>
      </c>
      <c r="E1236" s="16"/>
      <c r="F1236" s="8"/>
      <c r="G1236" s="16"/>
      <c r="H1236" s="8"/>
      <c r="I1236" s="16"/>
    </row>
    <row r="1237" outlineLevel="1">
      <c r="A1237" s="9" t="s">
        <v>1518</v>
      </c>
      <c r="B1237" s="9" t="s">
        <v>1519</v>
      </c>
      <c r="C1237" s="12" t="s">
        <v>12</v>
      </c>
      <c r="D1237" s="14" t="s">
        <v>1352</v>
      </c>
      <c r="E1237" s="16"/>
      <c r="F1237" s="8"/>
      <c r="G1237" s="16"/>
      <c r="H1237" s="8"/>
      <c r="I1237" s="16"/>
    </row>
    <row r="1238" outlineLevel="1">
      <c r="A1238" s="9" t="s">
        <v>1520</v>
      </c>
      <c r="B1238" s="9" t="s">
        <v>1521</v>
      </c>
      <c r="C1238" s="12" t="s">
        <v>192</v>
      </c>
      <c r="D1238" s="14" t="s">
        <v>1352</v>
      </c>
      <c r="E1238" s="16"/>
      <c r="F1238" s="8"/>
      <c r="G1238" s="16"/>
      <c r="H1238" s="8"/>
      <c r="I1238" s="16"/>
    </row>
    <row r="1239" outlineLevel="1">
      <c r="A1239" s="9" t="s">
        <v>1237</v>
      </c>
      <c r="B1239" s="9" t="s">
        <v>1522</v>
      </c>
      <c r="C1239" s="12" t="s">
        <v>16</v>
      </c>
      <c r="D1239" s="14" t="s">
        <v>1352</v>
      </c>
      <c r="E1239" s="16"/>
      <c r="F1239" s="8"/>
      <c r="G1239" s="16"/>
      <c r="H1239" s="8"/>
      <c r="I1239" s="16"/>
    </row>
    <row r="1240" outlineLevel="1">
      <c r="A1240" s="9" t="s">
        <v>1523</v>
      </c>
      <c r="B1240" s="9" t="s">
        <v>124</v>
      </c>
      <c r="C1240" s="12" t="s">
        <v>93</v>
      </c>
      <c r="D1240" s="14" t="s">
        <v>1352</v>
      </c>
      <c r="E1240" s="16"/>
      <c r="F1240" s="8"/>
      <c r="G1240" s="16"/>
      <c r="H1240" s="8"/>
      <c r="I1240" s="16"/>
    </row>
    <row r="1241" outlineLevel="1">
      <c r="A1241" s="9" t="s">
        <v>1524</v>
      </c>
      <c r="B1241" s="9" t="s">
        <v>527</v>
      </c>
      <c r="C1241" s="12" t="s">
        <v>141</v>
      </c>
      <c r="D1241" s="14" t="s">
        <v>1352</v>
      </c>
      <c r="E1241" s="16"/>
      <c r="F1241" s="8"/>
      <c r="G1241" s="16"/>
      <c r="H1241" s="8"/>
      <c r="I1241" s="16"/>
    </row>
    <row r="1242" outlineLevel="1">
      <c r="A1242" s="9" t="s">
        <v>1525</v>
      </c>
      <c r="B1242" s="9" t="s">
        <v>247</v>
      </c>
      <c r="C1242" s="12" t="s">
        <v>16</v>
      </c>
      <c r="D1242" s="14" t="s">
        <v>1352</v>
      </c>
      <c r="E1242" s="16"/>
      <c r="F1242" s="8"/>
      <c r="G1242" s="16"/>
      <c r="H1242" s="8"/>
      <c r="I1242" s="16"/>
    </row>
    <row r="1243" outlineLevel="1">
      <c r="A1243" s="9" t="s">
        <v>1526</v>
      </c>
      <c r="B1243" s="9" t="s">
        <v>647</v>
      </c>
      <c r="C1243" s="12" t="s">
        <v>186</v>
      </c>
      <c r="D1243" s="14" t="s">
        <v>1352</v>
      </c>
      <c r="E1243" s="16"/>
      <c r="F1243" s="8"/>
      <c r="G1243" s="16"/>
      <c r="H1243" s="8"/>
      <c r="I1243" s="16"/>
    </row>
    <row r="1244" outlineLevel="1">
      <c r="A1244" s="9" t="s">
        <v>1527</v>
      </c>
      <c r="B1244" s="9" t="s">
        <v>1528</v>
      </c>
      <c r="C1244" s="12" t="s">
        <v>70</v>
      </c>
      <c r="D1244" s="14" t="s">
        <v>1352</v>
      </c>
      <c r="E1244" s="16"/>
      <c r="F1244" s="8"/>
      <c r="G1244" s="16"/>
      <c r="H1244" s="8"/>
      <c r="I1244" s="16"/>
    </row>
    <row r="1245" outlineLevel="1">
      <c r="A1245" s="9" t="s">
        <v>1529</v>
      </c>
      <c r="B1245" s="9" t="s">
        <v>1530</v>
      </c>
      <c r="C1245" s="12" t="s">
        <v>192</v>
      </c>
      <c r="D1245" s="14" t="s">
        <v>1352</v>
      </c>
      <c r="E1245" s="16"/>
      <c r="F1245" s="8"/>
      <c r="G1245" s="16"/>
      <c r="H1245" s="8"/>
      <c r="I1245" s="16"/>
    </row>
    <row r="1246" outlineLevel="1">
      <c r="A1246" s="9" t="s">
        <v>1531</v>
      </c>
      <c r="B1246" s="9" t="s">
        <v>397</v>
      </c>
      <c r="C1246" s="12" t="s">
        <v>80</v>
      </c>
      <c r="D1246" s="14" t="s">
        <v>1352</v>
      </c>
      <c r="E1246" s="16"/>
      <c r="F1246" s="8"/>
      <c r="G1246" s="16"/>
      <c r="H1246" s="8"/>
      <c r="I1246" s="16"/>
    </row>
    <row r="1247" outlineLevel="1">
      <c r="A1247" s="9" t="s">
        <v>1532</v>
      </c>
      <c r="B1247" s="9" t="s">
        <v>33</v>
      </c>
      <c r="C1247" s="12" t="s">
        <v>53</v>
      </c>
      <c r="D1247" s="14" t="s">
        <v>1352</v>
      </c>
      <c r="E1247" s="16"/>
      <c r="F1247" s="8"/>
      <c r="G1247" s="16"/>
      <c r="H1247" s="8"/>
      <c r="I1247" s="16"/>
    </row>
    <row r="1248" outlineLevel="1">
      <c r="A1248" s="9" t="s">
        <v>1533</v>
      </c>
      <c r="B1248" s="9" t="s">
        <v>1534</v>
      </c>
      <c r="C1248" s="12" t="s">
        <v>192</v>
      </c>
      <c r="D1248" s="14" t="s">
        <v>1352</v>
      </c>
      <c r="E1248" s="16"/>
      <c r="F1248" s="8"/>
      <c r="G1248" s="16"/>
      <c r="H1248" s="8"/>
      <c r="I1248" s="16"/>
    </row>
    <row r="1249" outlineLevel="1">
      <c r="A1249" s="9" t="s">
        <v>762</v>
      </c>
      <c r="B1249" s="9" t="s">
        <v>1128</v>
      </c>
      <c r="C1249" s="12" t="s">
        <v>93</v>
      </c>
      <c r="D1249" s="14" t="s">
        <v>1352</v>
      </c>
      <c r="E1249" s="16"/>
      <c r="F1249" s="8"/>
      <c r="G1249" s="16"/>
      <c r="H1249" s="8"/>
      <c r="I1249" s="16"/>
    </row>
    <row r="1250" outlineLevel="1">
      <c r="A1250" s="9" t="s">
        <v>1535</v>
      </c>
      <c r="B1250" s="9" t="s">
        <v>1536</v>
      </c>
      <c r="C1250" s="12" t="s">
        <v>93</v>
      </c>
      <c r="D1250" s="14" t="s">
        <v>1352</v>
      </c>
      <c r="E1250" s="16"/>
      <c r="F1250" s="8"/>
      <c r="G1250" s="16"/>
      <c r="H1250" s="8"/>
      <c r="I1250" s="16"/>
    </row>
    <row r="1251" outlineLevel="1">
      <c r="A1251" s="9" t="s">
        <v>427</v>
      </c>
      <c r="B1251" s="9" t="s">
        <v>759</v>
      </c>
      <c r="C1251" s="12" t="s">
        <v>65</v>
      </c>
      <c r="D1251" s="14" t="s">
        <v>1352</v>
      </c>
      <c r="E1251" s="16"/>
      <c r="F1251" s="8"/>
      <c r="G1251" s="16"/>
      <c r="H1251" s="8"/>
      <c r="I1251" s="16"/>
    </row>
    <row r="1252" outlineLevel="1">
      <c r="A1252" s="9" t="s">
        <v>1537</v>
      </c>
      <c r="B1252" s="9" t="s">
        <v>1538</v>
      </c>
      <c r="C1252" s="12" t="s">
        <v>65</v>
      </c>
      <c r="D1252" s="14" t="s">
        <v>1352</v>
      </c>
      <c r="E1252" s="16"/>
      <c r="F1252" s="8"/>
      <c r="G1252" s="16"/>
      <c r="H1252" s="8"/>
      <c r="I1252" s="16"/>
    </row>
    <row r="1253" outlineLevel="1">
      <c r="A1253" s="9" t="s">
        <v>1264</v>
      </c>
      <c r="B1253" s="9" t="s">
        <v>759</v>
      </c>
      <c r="C1253" s="12" t="s">
        <v>149</v>
      </c>
      <c r="D1253" s="14" t="s">
        <v>1352</v>
      </c>
      <c r="E1253" s="16"/>
      <c r="F1253" s="8"/>
      <c r="G1253" s="16"/>
      <c r="H1253" s="8"/>
      <c r="I1253" s="16"/>
    </row>
    <row r="1254" outlineLevel="1">
      <c r="A1254" s="9" t="s">
        <v>1539</v>
      </c>
      <c r="B1254" s="9" t="s">
        <v>1540</v>
      </c>
      <c r="C1254" s="12" t="s">
        <v>93</v>
      </c>
      <c r="D1254" s="14" t="s">
        <v>1352</v>
      </c>
      <c r="E1254" s="16"/>
      <c r="F1254" s="8"/>
      <c r="G1254" s="16"/>
      <c r="H1254" s="8"/>
      <c r="I1254" s="16"/>
    </row>
    <row r="1255" outlineLevel="1">
      <c r="A1255" s="9" t="s">
        <v>146</v>
      </c>
      <c r="B1255" s="9" t="s">
        <v>263</v>
      </c>
      <c r="C1255" s="12" t="s">
        <v>75</v>
      </c>
      <c r="D1255" s="14" t="s">
        <v>1352</v>
      </c>
      <c r="E1255" s="16"/>
      <c r="F1255" s="8"/>
      <c r="G1255" s="16"/>
      <c r="H1255" s="8"/>
      <c r="I1255" s="16"/>
    </row>
    <row r="1256" outlineLevel="1">
      <c r="A1256" s="9" t="s">
        <v>1541</v>
      </c>
      <c r="B1256" s="9" t="s">
        <v>441</v>
      </c>
      <c r="C1256" s="12" t="s">
        <v>46</v>
      </c>
      <c r="D1256" s="14" t="s">
        <v>1352</v>
      </c>
      <c r="E1256" s="16"/>
      <c r="F1256" s="8"/>
      <c r="G1256" s="16"/>
      <c r="H1256" s="8"/>
      <c r="I1256" s="16"/>
    </row>
    <row r="1257" outlineLevel="1">
      <c r="A1257" s="9" t="s">
        <v>767</v>
      </c>
      <c r="B1257" s="9" t="s">
        <v>129</v>
      </c>
      <c r="C1257" s="12" t="s">
        <v>80</v>
      </c>
      <c r="D1257" s="14" t="s">
        <v>1352</v>
      </c>
      <c r="E1257" s="16"/>
      <c r="F1257" s="8"/>
      <c r="G1257" s="16"/>
      <c r="H1257" s="8"/>
      <c r="I1257" s="16"/>
    </row>
    <row r="1258" outlineLevel="1">
      <c r="A1258" s="9" t="s">
        <v>766</v>
      </c>
      <c r="B1258" s="9" t="s">
        <v>1542</v>
      </c>
      <c r="C1258" s="12" t="s">
        <v>46</v>
      </c>
      <c r="D1258" s="14" t="s">
        <v>1352</v>
      </c>
      <c r="E1258" s="16"/>
      <c r="F1258" s="8"/>
      <c r="G1258" s="16"/>
      <c r="H1258" s="8"/>
      <c r="I1258" s="16"/>
    </row>
    <row r="1259" outlineLevel="1">
      <c r="A1259" s="9" t="s">
        <v>1543</v>
      </c>
      <c r="B1259" s="9" t="s">
        <v>1544</v>
      </c>
      <c r="C1259" s="12" t="s">
        <v>65</v>
      </c>
      <c r="D1259" s="14" t="s">
        <v>1352</v>
      </c>
      <c r="E1259" s="16"/>
      <c r="F1259" s="8"/>
      <c r="G1259" s="16"/>
      <c r="H1259" s="8"/>
      <c r="I1259" s="16"/>
    </row>
    <row r="1260" outlineLevel="1">
      <c r="A1260" s="9" t="s">
        <v>1036</v>
      </c>
      <c r="B1260" s="9" t="s">
        <v>1545</v>
      </c>
      <c r="C1260" s="12" t="s">
        <v>192</v>
      </c>
      <c r="D1260" s="14" t="s">
        <v>1352</v>
      </c>
      <c r="E1260" s="16"/>
      <c r="F1260" s="8"/>
      <c r="G1260" s="16"/>
      <c r="H1260" s="8"/>
      <c r="I1260" s="16"/>
    </row>
    <row r="1261" outlineLevel="1">
      <c r="A1261" s="9" t="s">
        <v>1546</v>
      </c>
      <c r="B1261" s="9" t="s">
        <v>1547</v>
      </c>
      <c r="C1261" s="12" t="s">
        <v>70</v>
      </c>
      <c r="D1261" s="14" t="s">
        <v>1352</v>
      </c>
      <c r="E1261" s="16"/>
      <c r="F1261" s="8"/>
      <c r="G1261" s="16"/>
      <c r="H1261" s="8"/>
      <c r="I1261" s="16"/>
    </row>
    <row r="1262" outlineLevel="1">
      <c r="A1262" s="9" t="s">
        <v>1548</v>
      </c>
      <c r="B1262" s="9" t="s">
        <v>1549</v>
      </c>
      <c r="C1262" s="12" t="s">
        <v>93</v>
      </c>
      <c r="D1262" s="14" t="s">
        <v>1352</v>
      </c>
      <c r="E1262" s="16"/>
      <c r="F1262" s="8"/>
      <c r="G1262" s="16"/>
      <c r="H1262" s="8"/>
      <c r="I1262" s="16"/>
    </row>
    <row r="1263" outlineLevel="1">
      <c r="A1263" s="9" t="s">
        <v>1550</v>
      </c>
      <c r="B1263" s="9" t="s">
        <v>934</v>
      </c>
      <c r="C1263" s="12" t="s">
        <v>186</v>
      </c>
      <c r="D1263" s="14" t="s">
        <v>1352</v>
      </c>
      <c r="E1263" s="16"/>
      <c r="F1263" s="18"/>
      <c r="G1263" s="19"/>
      <c r="H1263" s="18"/>
      <c r="I1263" s="19"/>
    </row>
    <row r="1264" outlineLevel="1">
      <c r="A1264" s="9" t="s">
        <v>1551</v>
      </c>
      <c r="B1264" s="9" t="s">
        <v>1552</v>
      </c>
      <c r="C1264" s="12" t="s">
        <v>149</v>
      </c>
      <c r="D1264" s="14" t="s">
        <v>1352</v>
      </c>
      <c r="E1264" s="16"/>
      <c r="F1264" s="8"/>
      <c r="G1264" s="16"/>
      <c r="H1264" s="8"/>
      <c r="I1264" s="16"/>
    </row>
    <row r="1265" outlineLevel="1">
      <c r="A1265" s="18" t="s">
        <v>1553</v>
      </c>
      <c r="B1265" s="9" t="s">
        <v>771</v>
      </c>
      <c r="C1265" s="12" t="s">
        <v>59</v>
      </c>
      <c r="D1265" s="14" t="s">
        <v>1352</v>
      </c>
      <c r="E1265" s="16"/>
      <c r="F1265" s="8"/>
      <c r="G1265" s="16"/>
      <c r="H1265" s="8"/>
      <c r="I1265" s="16"/>
    </row>
    <row r="1266" outlineLevel="1">
      <c r="A1266" s="9" t="s">
        <v>1554</v>
      </c>
      <c r="B1266" s="18" t="s">
        <v>1555</v>
      </c>
      <c r="C1266" s="19" t="s">
        <v>122</v>
      </c>
      <c r="D1266" s="14" t="s">
        <v>1352</v>
      </c>
      <c r="E1266" s="16"/>
      <c r="F1266" s="8"/>
      <c r="G1266" s="16"/>
      <c r="H1266" s="8"/>
      <c r="I1266" s="16"/>
    </row>
    <row r="1267" outlineLevel="1">
      <c r="A1267" s="9" t="s">
        <v>1556</v>
      </c>
      <c r="B1267" s="9" t="s">
        <v>546</v>
      </c>
      <c r="C1267" s="12" t="s">
        <v>192</v>
      </c>
      <c r="D1267" s="14" t="s">
        <v>1352</v>
      </c>
      <c r="E1267" s="16"/>
      <c r="F1267" s="8"/>
      <c r="G1267" s="16"/>
      <c r="H1267" s="8"/>
      <c r="I1267" s="16"/>
    </row>
    <row r="1268" outlineLevel="1">
      <c r="A1268" s="9" t="s">
        <v>1557</v>
      </c>
      <c r="B1268" s="9" t="s">
        <v>226</v>
      </c>
      <c r="C1268" s="12" t="s">
        <v>138</v>
      </c>
      <c r="D1268" s="14" t="s">
        <v>1352</v>
      </c>
      <c r="E1268" s="16"/>
      <c r="F1268" s="8"/>
      <c r="G1268" s="16"/>
      <c r="H1268" s="8"/>
      <c r="I1268" s="16"/>
    </row>
    <row r="1269" outlineLevel="1">
      <c r="A1269" s="9" t="s">
        <v>1558</v>
      </c>
      <c r="B1269" s="9" t="s">
        <v>1559</v>
      </c>
      <c r="C1269" s="12" t="s">
        <v>70</v>
      </c>
      <c r="D1269" s="14" t="s">
        <v>1352</v>
      </c>
      <c r="E1269" s="16"/>
      <c r="F1269" s="8"/>
      <c r="G1269" s="16"/>
      <c r="H1269" s="8"/>
      <c r="I1269" s="16"/>
    </row>
    <row r="1270" outlineLevel="1">
      <c r="A1270" s="9" t="s">
        <v>1560</v>
      </c>
      <c r="B1270" s="9" t="s">
        <v>64</v>
      </c>
      <c r="C1270" s="12" t="s">
        <v>122</v>
      </c>
      <c r="D1270" s="14" t="s">
        <v>1352</v>
      </c>
      <c r="E1270" s="16"/>
      <c r="F1270" s="8"/>
      <c r="G1270" s="16"/>
      <c r="H1270" s="8"/>
      <c r="I1270" s="16"/>
    </row>
    <row r="1271" outlineLevel="1">
      <c r="A1271" s="9" t="s">
        <v>1561</v>
      </c>
      <c r="B1271" s="9" t="s">
        <v>317</v>
      </c>
      <c r="C1271" s="12" t="s">
        <v>53</v>
      </c>
      <c r="D1271" s="14" t="s">
        <v>1352</v>
      </c>
      <c r="E1271" s="16"/>
      <c r="F1271" s="8"/>
      <c r="G1271" s="16"/>
      <c r="H1271" s="8"/>
      <c r="I1271" s="16"/>
    </row>
    <row r="1272" outlineLevel="1">
      <c r="A1272" s="9" t="s">
        <v>1562</v>
      </c>
      <c r="B1272" s="9" t="s">
        <v>1563</v>
      </c>
      <c r="C1272" s="12" t="s">
        <v>261</v>
      </c>
      <c r="D1272" s="14" t="s">
        <v>1352</v>
      </c>
      <c r="E1272" s="16"/>
      <c r="F1272" s="8"/>
      <c r="G1272" s="16"/>
      <c r="H1272" s="8"/>
      <c r="I1272" s="16"/>
    </row>
    <row r="1273" outlineLevel="1">
      <c r="A1273" s="9" t="s">
        <v>1564</v>
      </c>
      <c r="B1273" s="9" t="s">
        <v>1046</v>
      </c>
      <c r="C1273" s="12" t="s">
        <v>192</v>
      </c>
      <c r="D1273" s="14" t="s">
        <v>1352</v>
      </c>
      <c r="E1273" s="16"/>
      <c r="F1273" s="8"/>
      <c r="G1273" s="16"/>
      <c r="H1273" s="8"/>
      <c r="I1273" s="16"/>
    </row>
    <row r="1274" outlineLevel="1">
      <c r="A1274" s="9" t="s">
        <v>194</v>
      </c>
      <c r="B1274" s="9" t="s">
        <v>1209</v>
      </c>
      <c r="C1274" s="12" t="s">
        <v>65</v>
      </c>
      <c r="D1274" s="14" t="s">
        <v>1352</v>
      </c>
      <c r="E1274" s="16"/>
      <c r="F1274" s="8"/>
      <c r="G1274" s="16"/>
      <c r="H1274" s="8"/>
      <c r="I1274" s="16"/>
    </row>
    <row r="1275" outlineLevel="1">
      <c r="A1275" s="9" t="s">
        <v>1565</v>
      </c>
      <c r="B1275" s="9" t="s">
        <v>277</v>
      </c>
      <c r="C1275" s="12" t="s">
        <v>65</v>
      </c>
      <c r="D1275" s="14" t="s">
        <v>1352</v>
      </c>
      <c r="E1275" s="16"/>
      <c r="F1275" s="8"/>
      <c r="G1275" s="16"/>
      <c r="H1275" s="8"/>
      <c r="I1275" s="16"/>
    </row>
    <row r="1276" outlineLevel="1">
      <c r="A1276" s="9" t="s">
        <v>1566</v>
      </c>
      <c r="B1276" s="9" t="s">
        <v>1567</v>
      </c>
      <c r="C1276" s="12" t="s">
        <v>75</v>
      </c>
      <c r="D1276" s="14" t="s">
        <v>1352</v>
      </c>
      <c r="E1276" s="16"/>
      <c r="F1276" s="8"/>
      <c r="G1276" s="16"/>
      <c r="H1276" s="8"/>
      <c r="I1276" s="16"/>
    </row>
    <row r="1277" outlineLevel="1">
      <c r="A1277" s="9" t="s">
        <v>1568</v>
      </c>
      <c r="B1277" s="9" t="s">
        <v>322</v>
      </c>
      <c r="C1277" s="12" t="s">
        <v>16</v>
      </c>
      <c r="D1277" s="14" t="s">
        <v>1352</v>
      </c>
      <c r="E1277" s="16"/>
      <c r="F1277" s="8"/>
      <c r="G1277" s="16"/>
      <c r="H1277" s="8"/>
      <c r="I1277" s="16"/>
    </row>
    <row r="1278" outlineLevel="1">
      <c r="A1278" s="9" t="s">
        <v>1569</v>
      </c>
      <c r="B1278" s="9" t="s">
        <v>1570</v>
      </c>
      <c r="C1278" s="12" t="s">
        <v>65</v>
      </c>
      <c r="D1278" s="14" t="s">
        <v>1352</v>
      </c>
      <c r="E1278" s="16"/>
      <c r="F1278" s="18"/>
      <c r="G1278" s="19"/>
      <c r="H1278" s="18"/>
      <c r="I1278" s="19"/>
    </row>
    <row r="1279" outlineLevel="1">
      <c r="A1279" s="9" t="s">
        <v>126</v>
      </c>
      <c r="B1279" s="9" t="s">
        <v>119</v>
      </c>
      <c r="C1279" s="12" t="s">
        <v>93</v>
      </c>
      <c r="D1279" s="14" t="s">
        <v>1352</v>
      </c>
      <c r="E1279" s="16"/>
      <c r="F1279" s="8"/>
      <c r="G1279" s="16"/>
      <c r="H1279" s="8"/>
      <c r="I1279" s="16"/>
    </row>
    <row r="1280" outlineLevel="1">
      <c r="A1280" s="9" t="s">
        <v>1571</v>
      </c>
      <c r="B1280" s="9" t="s">
        <v>800</v>
      </c>
      <c r="C1280" s="12" t="s">
        <v>215</v>
      </c>
      <c r="D1280" s="14" t="s">
        <v>1352</v>
      </c>
      <c r="E1280" s="16"/>
      <c r="F1280" s="8"/>
      <c r="G1280" s="16"/>
      <c r="H1280" s="8"/>
      <c r="I1280" s="16"/>
    </row>
    <row r="1281" outlineLevel="1">
      <c r="A1281" s="9" t="s">
        <v>1572</v>
      </c>
      <c r="B1281" s="9" t="s">
        <v>436</v>
      </c>
      <c r="C1281" s="12" t="s">
        <v>38</v>
      </c>
      <c r="D1281" s="14" t="s">
        <v>1352</v>
      </c>
      <c r="E1281" s="16"/>
      <c r="F1281" s="18"/>
      <c r="G1281" s="19"/>
      <c r="H1281" s="18"/>
      <c r="I1281" s="19"/>
    </row>
    <row r="1282" outlineLevel="1">
      <c r="A1282" s="9" t="s">
        <v>1573</v>
      </c>
      <c r="B1282" s="9" t="s">
        <v>1574</v>
      </c>
      <c r="C1282" s="12" t="s">
        <v>93</v>
      </c>
      <c r="D1282" s="14" t="s">
        <v>1352</v>
      </c>
      <c r="E1282" s="16"/>
      <c r="F1282" s="8"/>
      <c r="G1282" s="16"/>
      <c r="H1282" s="8"/>
      <c r="I1282" s="16"/>
    </row>
    <row r="1283" outlineLevel="1">
      <c r="A1283" s="9" t="s">
        <v>1575</v>
      </c>
      <c r="B1283" s="9" t="s">
        <v>1576</v>
      </c>
      <c r="C1283" s="12" t="s">
        <v>186</v>
      </c>
      <c r="D1283" s="14" t="s">
        <v>1352</v>
      </c>
      <c r="E1283" s="16"/>
      <c r="F1283" s="8"/>
      <c r="G1283" s="16"/>
      <c r="H1283" s="8"/>
      <c r="I1283" s="16"/>
    </row>
    <row r="1284" outlineLevel="1">
      <c r="A1284" s="9" t="s">
        <v>1577</v>
      </c>
      <c r="B1284" s="9" t="s">
        <v>1578</v>
      </c>
      <c r="C1284" s="12" t="s">
        <v>70</v>
      </c>
      <c r="D1284" s="14" t="s">
        <v>1352</v>
      </c>
      <c r="E1284" s="16"/>
      <c r="F1284" s="8"/>
      <c r="G1284" s="16"/>
      <c r="H1284" s="8"/>
      <c r="I1284" s="16"/>
    </row>
    <row r="1285" outlineLevel="1">
      <c r="A1285" s="9" t="s">
        <v>1579</v>
      </c>
      <c r="B1285" s="9" t="s">
        <v>157</v>
      </c>
      <c r="C1285" s="12" t="s">
        <v>122</v>
      </c>
      <c r="D1285" s="14" t="s">
        <v>1352</v>
      </c>
      <c r="E1285" s="16"/>
      <c r="F1285" s="8"/>
      <c r="G1285" s="16"/>
      <c r="H1285" s="8"/>
      <c r="I1285" s="16"/>
    </row>
    <row r="1286" outlineLevel="1">
      <c r="A1286" s="9" t="s">
        <v>1580</v>
      </c>
      <c r="B1286" s="9" t="s">
        <v>1210</v>
      </c>
      <c r="C1286" s="12" t="s">
        <v>65</v>
      </c>
      <c r="D1286" s="14" t="s">
        <v>1352</v>
      </c>
      <c r="E1286" s="16"/>
      <c r="F1286" s="8"/>
      <c r="G1286" s="16"/>
      <c r="H1286" s="8"/>
      <c r="I1286" s="16"/>
    </row>
    <row r="1287" outlineLevel="1">
      <c r="A1287" s="18" t="s">
        <v>1581</v>
      </c>
      <c r="B1287" s="9" t="s">
        <v>521</v>
      </c>
      <c r="C1287" s="12" t="s">
        <v>70</v>
      </c>
      <c r="D1287" s="14" t="s">
        <v>1352</v>
      </c>
      <c r="E1287" s="16"/>
      <c r="F1287" s="8"/>
      <c r="G1287" s="16"/>
      <c r="H1287" s="8"/>
      <c r="I1287" s="16"/>
    </row>
    <row r="1288" outlineLevel="1">
      <c r="A1288" s="9" t="s">
        <v>1582</v>
      </c>
      <c r="B1288" s="18" t="s">
        <v>1173</v>
      </c>
      <c r="C1288" s="19" t="s">
        <v>186</v>
      </c>
      <c r="D1288" s="14" t="s">
        <v>1352</v>
      </c>
      <c r="E1288" s="16"/>
      <c r="F1288" s="8"/>
      <c r="G1288" s="16"/>
      <c r="H1288" s="8"/>
      <c r="I1288" s="16"/>
    </row>
    <row r="1289" outlineLevel="1">
      <c r="A1289" s="9" t="s">
        <v>1583</v>
      </c>
      <c r="B1289" s="9" t="s">
        <v>67</v>
      </c>
      <c r="C1289" s="12" t="s">
        <v>149</v>
      </c>
      <c r="D1289" s="14" t="s">
        <v>1352</v>
      </c>
      <c r="E1289" s="16"/>
      <c r="F1289" s="8"/>
      <c r="G1289" s="16"/>
      <c r="H1289" s="8"/>
      <c r="I1289" s="16"/>
    </row>
    <row r="1290" outlineLevel="1">
      <c r="A1290" s="9" t="s">
        <v>1584</v>
      </c>
      <c r="B1290" s="9" t="s">
        <v>787</v>
      </c>
      <c r="C1290" s="12" t="s">
        <v>122</v>
      </c>
      <c r="D1290" s="14" t="s">
        <v>1352</v>
      </c>
      <c r="E1290" s="16"/>
      <c r="F1290" s="8"/>
      <c r="G1290" s="16"/>
      <c r="H1290" s="8"/>
      <c r="I1290" s="16"/>
    </row>
    <row r="1291" outlineLevel="1">
      <c r="A1291" s="9" t="s">
        <v>1585</v>
      </c>
      <c r="B1291" s="9" t="s">
        <v>1586</v>
      </c>
      <c r="C1291" s="12" t="s">
        <v>65</v>
      </c>
      <c r="D1291" s="14" t="s">
        <v>1352</v>
      </c>
      <c r="E1291" s="16"/>
      <c r="F1291" s="8"/>
      <c r="G1291" s="16"/>
      <c r="H1291" s="8"/>
      <c r="I1291" s="16"/>
    </row>
    <row r="1292" outlineLevel="1">
      <c r="A1292" s="18" t="s">
        <v>1587</v>
      </c>
      <c r="B1292" s="9" t="s">
        <v>529</v>
      </c>
      <c r="C1292" s="12" t="s">
        <v>215</v>
      </c>
      <c r="D1292" s="14" t="s">
        <v>1352</v>
      </c>
      <c r="E1292" s="16"/>
      <c r="F1292" s="8"/>
      <c r="G1292" s="16"/>
      <c r="H1292" s="8"/>
      <c r="I1292" s="16"/>
    </row>
    <row r="1293" outlineLevel="1">
      <c r="A1293" s="9" t="s">
        <v>1297</v>
      </c>
      <c r="B1293" s="18" t="s">
        <v>1046</v>
      </c>
      <c r="C1293" s="19" t="s">
        <v>93</v>
      </c>
      <c r="D1293" s="14" t="s">
        <v>1352</v>
      </c>
      <c r="E1293" s="16"/>
      <c r="F1293" s="8"/>
      <c r="G1293" s="16"/>
      <c r="H1293" s="8"/>
      <c r="I1293" s="16"/>
    </row>
    <row r="1294" outlineLevel="1">
      <c r="A1294" s="9" t="s">
        <v>223</v>
      </c>
      <c r="B1294" s="9" t="s">
        <v>1588</v>
      </c>
      <c r="C1294" s="12" t="s">
        <v>122</v>
      </c>
      <c r="D1294" s="14" t="s">
        <v>1352</v>
      </c>
      <c r="E1294" s="16"/>
      <c r="F1294" s="8"/>
      <c r="G1294" s="16"/>
      <c r="H1294" s="8"/>
      <c r="I1294" s="16"/>
    </row>
    <row r="1295" outlineLevel="1">
      <c r="A1295" s="9" t="s">
        <v>223</v>
      </c>
      <c r="B1295" s="9" t="s">
        <v>1589</v>
      </c>
      <c r="C1295" s="12" t="s">
        <v>93</v>
      </c>
      <c r="D1295" s="14" t="s">
        <v>1352</v>
      </c>
      <c r="E1295" s="16"/>
      <c r="F1295" s="8"/>
      <c r="G1295" s="16"/>
      <c r="H1295" s="8"/>
      <c r="I1295" s="16"/>
    </row>
    <row r="1296" outlineLevel="1">
      <c r="A1296" s="9" t="s">
        <v>1590</v>
      </c>
      <c r="B1296" s="9" t="s">
        <v>194</v>
      </c>
      <c r="C1296" s="12" t="s">
        <v>261</v>
      </c>
      <c r="D1296" s="14" t="s">
        <v>1352</v>
      </c>
      <c r="E1296" s="16"/>
      <c r="F1296" s="8"/>
      <c r="G1296" s="16"/>
      <c r="H1296" s="8"/>
      <c r="I1296" s="16"/>
    </row>
    <row r="1297" outlineLevel="1">
      <c r="A1297" s="9" t="s">
        <v>315</v>
      </c>
      <c r="B1297" s="9" t="s">
        <v>1128</v>
      </c>
      <c r="C1297" s="12" t="s">
        <v>70</v>
      </c>
      <c r="D1297" s="14" t="s">
        <v>1352</v>
      </c>
      <c r="E1297" s="16"/>
      <c r="F1297" s="8"/>
      <c r="G1297" s="16"/>
      <c r="H1297" s="8"/>
      <c r="I1297" s="16"/>
    </row>
    <row r="1298" outlineLevel="1">
      <c r="A1298" s="9" t="s">
        <v>786</v>
      </c>
      <c r="B1298" s="9" t="s">
        <v>1591</v>
      </c>
      <c r="C1298" s="12" t="s">
        <v>93</v>
      </c>
      <c r="D1298" s="14" t="s">
        <v>1352</v>
      </c>
      <c r="E1298" s="16"/>
      <c r="F1298" s="18"/>
      <c r="G1298" s="19"/>
      <c r="H1298" s="18"/>
      <c r="I1298" s="19"/>
    </row>
    <row r="1299" outlineLevel="1">
      <c r="A1299" s="9" t="s">
        <v>421</v>
      </c>
      <c r="B1299" s="9" t="s">
        <v>1486</v>
      </c>
      <c r="C1299" s="12" t="s">
        <v>53</v>
      </c>
      <c r="D1299" s="14" t="s">
        <v>1352</v>
      </c>
      <c r="E1299" s="16"/>
      <c r="F1299" s="8"/>
      <c r="G1299" s="16"/>
      <c r="H1299" s="8"/>
      <c r="I1299" s="16"/>
    </row>
    <row r="1300" outlineLevel="1">
      <c r="A1300" s="9" t="s">
        <v>47</v>
      </c>
      <c r="B1300" s="9" t="s">
        <v>493</v>
      </c>
      <c r="C1300" s="12" t="s">
        <v>138</v>
      </c>
      <c r="D1300" s="14" t="s">
        <v>1352</v>
      </c>
      <c r="E1300" s="16"/>
      <c r="F1300" s="8"/>
      <c r="G1300" s="16"/>
      <c r="H1300" s="8"/>
      <c r="I1300" s="16"/>
    </row>
    <row r="1301" outlineLevel="1">
      <c r="A1301" s="9" t="s">
        <v>305</v>
      </c>
      <c r="B1301" s="9" t="s">
        <v>1592</v>
      </c>
      <c r="C1301" s="12" t="s">
        <v>186</v>
      </c>
      <c r="D1301" s="14" t="s">
        <v>1352</v>
      </c>
      <c r="E1301" s="16"/>
      <c r="F1301" s="8"/>
      <c r="G1301" s="16"/>
      <c r="H1301" s="8"/>
      <c r="I1301" s="16"/>
    </row>
    <row r="1302" outlineLevel="1">
      <c r="A1302" s="9" t="s">
        <v>305</v>
      </c>
      <c r="B1302" s="9" t="s">
        <v>137</v>
      </c>
      <c r="C1302" s="12" t="s">
        <v>24</v>
      </c>
      <c r="D1302" s="14" t="s">
        <v>1352</v>
      </c>
      <c r="E1302" s="16"/>
      <c r="F1302" s="8"/>
      <c r="G1302" s="16"/>
      <c r="H1302" s="8"/>
      <c r="I1302" s="16"/>
    </row>
    <row r="1303" outlineLevel="1">
      <c r="A1303" s="9" t="s">
        <v>308</v>
      </c>
      <c r="B1303" s="9" t="s">
        <v>1593</v>
      </c>
      <c r="C1303" s="12" t="s">
        <v>192</v>
      </c>
      <c r="D1303" s="14" t="s">
        <v>1352</v>
      </c>
      <c r="E1303" s="16"/>
      <c r="F1303" s="8"/>
      <c r="G1303" s="16"/>
      <c r="H1303" s="8"/>
      <c r="I1303" s="16"/>
    </row>
    <row r="1304" outlineLevel="1">
      <c r="A1304" s="9" t="s">
        <v>1301</v>
      </c>
      <c r="B1304" s="9" t="s">
        <v>1594</v>
      </c>
      <c r="C1304" s="12" t="s">
        <v>65</v>
      </c>
      <c r="D1304" s="14" t="s">
        <v>1352</v>
      </c>
      <c r="E1304" s="16"/>
      <c r="F1304" s="8"/>
      <c r="G1304" s="16"/>
      <c r="H1304" s="8"/>
      <c r="I1304" s="16"/>
    </row>
    <row r="1305" outlineLevel="1">
      <c r="A1305" s="9" t="s">
        <v>1595</v>
      </c>
      <c r="B1305" s="9" t="s">
        <v>500</v>
      </c>
      <c r="C1305" s="12" t="s">
        <v>16</v>
      </c>
      <c r="D1305" s="14" t="s">
        <v>1352</v>
      </c>
      <c r="E1305" s="16"/>
      <c r="F1305" s="8"/>
      <c r="G1305" s="16"/>
      <c r="H1305" s="8"/>
      <c r="I1305" s="16"/>
    </row>
    <row r="1306" outlineLevel="1">
      <c r="A1306" s="9" t="s">
        <v>409</v>
      </c>
      <c r="B1306" s="9" t="s">
        <v>1596</v>
      </c>
      <c r="C1306" s="12" t="s">
        <v>93</v>
      </c>
      <c r="D1306" s="14" t="s">
        <v>1352</v>
      </c>
      <c r="E1306" s="16"/>
      <c r="F1306" s="8"/>
      <c r="G1306" s="16"/>
      <c r="H1306" s="8"/>
      <c r="I1306" s="16"/>
    </row>
    <row r="1307" outlineLevel="1">
      <c r="A1307" s="9" t="s">
        <v>1597</v>
      </c>
      <c r="B1307" s="9" t="s">
        <v>1598</v>
      </c>
      <c r="C1307" s="12" t="s">
        <v>46</v>
      </c>
      <c r="D1307" s="14" t="s">
        <v>1352</v>
      </c>
      <c r="E1307" s="16"/>
      <c r="F1307" s="8"/>
      <c r="G1307" s="16"/>
      <c r="H1307" s="8"/>
      <c r="I1307" s="16"/>
    </row>
    <row r="1308" outlineLevel="1">
      <c r="A1308" s="9" t="s">
        <v>1599</v>
      </c>
      <c r="B1308" s="9" t="s">
        <v>129</v>
      </c>
      <c r="C1308" s="12" t="s">
        <v>24</v>
      </c>
      <c r="D1308" s="14" t="s">
        <v>1352</v>
      </c>
      <c r="E1308" s="16"/>
      <c r="F1308" s="8"/>
      <c r="G1308" s="16"/>
      <c r="H1308" s="8"/>
      <c r="I1308" s="16"/>
    </row>
    <row r="1309" outlineLevel="1">
      <c r="A1309" s="9" t="s">
        <v>1600</v>
      </c>
      <c r="B1309" s="9" t="s">
        <v>102</v>
      </c>
      <c r="C1309" s="12" t="s">
        <v>186</v>
      </c>
      <c r="D1309" s="14" t="s">
        <v>1352</v>
      </c>
      <c r="E1309" s="16"/>
      <c r="F1309" s="8"/>
      <c r="G1309" s="16"/>
      <c r="H1309" s="8"/>
      <c r="I1309" s="16"/>
    </row>
    <row r="1310" outlineLevel="1">
      <c r="A1310" s="9" t="s">
        <v>1601</v>
      </c>
      <c r="B1310" s="9" t="s">
        <v>111</v>
      </c>
      <c r="C1310" s="12" t="s">
        <v>24</v>
      </c>
      <c r="D1310" s="14" t="s">
        <v>1352</v>
      </c>
      <c r="E1310" s="16"/>
      <c r="F1310" s="8"/>
      <c r="G1310" s="16"/>
      <c r="H1310" s="8"/>
      <c r="I1310" s="16"/>
    </row>
    <row r="1311" outlineLevel="1">
      <c r="A1311" s="9" t="s">
        <v>1602</v>
      </c>
      <c r="B1311" s="9" t="s">
        <v>542</v>
      </c>
      <c r="C1311" s="12" t="s">
        <v>75</v>
      </c>
      <c r="D1311" s="14" t="s">
        <v>1352</v>
      </c>
      <c r="E1311" s="16"/>
      <c r="F1311" s="8"/>
      <c r="G1311" s="16"/>
      <c r="H1311" s="8"/>
      <c r="I1311" s="16"/>
    </row>
    <row r="1312" outlineLevel="1">
      <c r="A1312" s="9" t="s">
        <v>1031</v>
      </c>
      <c r="B1312" s="9" t="s">
        <v>1397</v>
      </c>
      <c r="C1312" s="12" t="s">
        <v>149</v>
      </c>
      <c r="D1312" s="14" t="s">
        <v>1352</v>
      </c>
      <c r="E1312" s="16"/>
      <c r="F1312" s="8"/>
      <c r="G1312" s="16"/>
      <c r="H1312" s="8"/>
      <c r="I1312" s="16"/>
    </row>
    <row r="1313" outlineLevel="1">
      <c r="A1313" s="9" t="s">
        <v>1603</v>
      </c>
      <c r="B1313" s="9" t="s">
        <v>1604</v>
      </c>
      <c r="C1313" s="12" t="s">
        <v>149</v>
      </c>
      <c r="D1313" s="14" t="s">
        <v>1352</v>
      </c>
      <c r="E1313" s="16"/>
      <c r="F1313" s="8"/>
      <c r="G1313" s="16"/>
      <c r="H1313" s="8"/>
      <c r="I1313" s="16"/>
    </row>
    <row r="1314" outlineLevel="1">
      <c r="A1314" s="9" t="s">
        <v>1605</v>
      </c>
      <c r="B1314" s="9" t="s">
        <v>1606</v>
      </c>
      <c r="C1314" s="12" t="s">
        <v>122</v>
      </c>
      <c r="D1314" s="14" t="s">
        <v>1352</v>
      </c>
      <c r="E1314" s="16"/>
      <c r="F1314" s="8"/>
      <c r="G1314" s="16"/>
      <c r="H1314" s="8"/>
      <c r="I1314" s="16"/>
    </row>
    <row r="1315" outlineLevel="1">
      <c r="A1315" s="9" t="s">
        <v>1607</v>
      </c>
      <c r="B1315" s="9" t="s">
        <v>381</v>
      </c>
      <c r="C1315" s="12" t="s">
        <v>46</v>
      </c>
      <c r="D1315" s="14" t="s">
        <v>1352</v>
      </c>
      <c r="E1315" s="16"/>
      <c r="F1315" s="8"/>
      <c r="G1315" s="16"/>
      <c r="H1315" s="8"/>
      <c r="I1315" s="16"/>
    </row>
    <row r="1316" outlineLevel="1">
      <c r="A1316" s="9" t="s">
        <v>1608</v>
      </c>
      <c r="B1316" s="9" t="s">
        <v>1609</v>
      </c>
      <c r="C1316" s="12" t="s">
        <v>93</v>
      </c>
      <c r="D1316" s="14" t="s">
        <v>1352</v>
      </c>
      <c r="E1316" s="16"/>
      <c r="F1316" s="8"/>
      <c r="G1316" s="16"/>
      <c r="H1316" s="8"/>
      <c r="I1316" s="16"/>
    </row>
    <row r="1317" outlineLevel="1">
      <c r="A1317" s="9" t="s">
        <v>1610</v>
      </c>
      <c r="B1317" s="9" t="s">
        <v>1611</v>
      </c>
      <c r="C1317" s="12" t="s">
        <v>75</v>
      </c>
      <c r="D1317" s="14" t="s">
        <v>1352</v>
      </c>
      <c r="E1317" s="16"/>
      <c r="F1317" s="8"/>
      <c r="G1317" s="16"/>
      <c r="H1317" s="8"/>
      <c r="I1317" s="16"/>
    </row>
    <row r="1318" outlineLevel="1">
      <c r="A1318" s="9" t="s">
        <v>1612</v>
      </c>
      <c r="B1318" s="9" t="s">
        <v>1613</v>
      </c>
      <c r="C1318" s="12" t="s">
        <v>141</v>
      </c>
      <c r="D1318" s="14" t="s">
        <v>1352</v>
      </c>
      <c r="E1318" s="16"/>
      <c r="F1318" s="8"/>
      <c r="G1318" s="16"/>
      <c r="H1318" s="8"/>
      <c r="I1318" s="16"/>
    </row>
    <row r="1319" outlineLevel="1">
      <c r="A1319" s="9" t="s">
        <v>1614</v>
      </c>
      <c r="B1319" s="9" t="s">
        <v>322</v>
      </c>
      <c r="C1319" s="12" t="s">
        <v>138</v>
      </c>
      <c r="D1319" s="14" t="s">
        <v>1352</v>
      </c>
      <c r="E1319" s="16"/>
      <c r="F1319" s="8"/>
      <c r="G1319" s="16"/>
      <c r="H1319" s="8"/>
      <c r="I1319" s="16"/>
    </row>
    <row r="1320" outlineLevel="1">
      <c r="A1320" s="9" t="s">
        <v>1615</v>
      </c>
      <c r="B1320" s="9" t="s">
        <v>263</v>
      </c>
      <c r="C1320" s="12" t="s">
        <v>132</v>
      </c>
      <c r="D1320" s="14" t="s">
        <v>1352</v>
      </c>
      <c r="E1320" s="16"/>
      <c r="F1320" s="8"/>
      <c r="G1320" s="16"/>
      <c r="H1320" s="8"/>
      <c r="I1320" s="16"/>
    </row>
    <row r="1321" outlineLevel="1">
      <c r="A1321" s="9" t="s">
        <v>1615</v>
      </c>
      <c r="B1321" s="9" t="s">
        <v>381</v>
      </c>
      <c r="C1321" s="12" t="s">
        <v>80</v>
      </c>
      <c r="D1321" s="14" t="s">
        <v>1352</v>
      </c>
      <c r="E1321" s="16"/>
      <c r="F1321" s="8"/>
      <c r="G1321" s="16"/>
      <c r="H1321" s="8"/>
      <c r="I1321" s="16"/>
    </row>
    <row r="1322" outlineLevel="1">
      <c r="A1322" s="9" t="s">
        <v>1616</v>
      </c>
      <c r="B1322" s="9" t="s">
        <v>214</v>
      </c>
      <c r="C1322" s="12" t="s">
        <v>16</v>
      </c>
      <c r="D1322" s="14" t="s">
        <v>1352</v>
      </c>
      <c r="E1322" s="16"/>
      <c r="F1322" s="8"/>
      <c r="G1322" s="16"/>
      <c r="H1322" s="8"/>
      <c r="I1322" s="16"/>
    </row>
    <row r="1323" outlineLevel="1">
      <c r="A1323" s="9" t="s">
        <v>1617</v>
      </c>
      <c r="B1323" s="9" t="s">
        <v>1618</v>
      </c>
      <c r="C1323" s="12" t="s">
        <v>70</v>
      </c>
      <c r="D1323" s="14" t="s">
        <v>1352</v>
      </c>
      <c r="E1323" s="16"/>
      <c r="F1323" s="8"/>
      <c r="G1323" s="16"/>
      <c r="H1323" s="8"/>
      <c r="I1323" s="16"/>
    </row>
    <row r="1324" outlineLevel="1">
      <c r="A1324" s="9" t="s">
        <v>1619</v>
      </c>
      <c r="B1324" s="9" t="s">
        <v>1620</v>
      </c>
      <c r="C1324" s="12" t="s">
        <v>93</v>
      </c>
      <c r="D1324" s="14" t="s">
        <v>1352</v>
      </c>
      <c r="E1324" s="16"/>
      <c r="F1324" s="8"/>
      <c r="G1324" s="16"/>
      <c r="H1324" s="8"/>
      <c r="I1324" s="16"/>
    </row>
    <row r="1325" outlineLevel="1">
      <c r="A1325" s="9" t="s">
        <v>99</v>
      </c>
      <c r="B1325" s="9" t="s">
        <v>67</v>
      </c>
      <c r="C1325" s="12" t="s">
        <v>93</v>
      </c>
      <c r="D1325" s="14" t="s">
        <v>1352</v>
      </c>
      <c r="E1325" s="16"/>
      <c r="F1325" s="8"/>
      <c r="G1325" s="16"/>
      <c r="H1325" s="8"/>
      <c r="I1325" s="16"/>
    </row>
    <row r="1326" outlineLevel="1">
      <c r="A1326" s="9" t="s">
        <v>1034</v>
      </c>
      <c r="B1326" s="9" t="s">
        <v>1621</v>
      </c>
      <c r="C1326" s="12" t="s">
        <v>59</v>
      </c>
      <c r="D1326" s="14" t="s">
        <v>1352</v>
      </c>
      <c r="E1326" s="16"/>
      <c r="F1326" s="8"/>
      <c r="G1326" s="16"/>
      <c r="H1326" s="8"/>
      <c r="I1326" s="16"/>
    </row>
    <row r="1327" outlineLevel="1">
      <c r="A1327" s="9" t="s">
        <v>1622</v>
      </c>
      <c r="B1327" s="9" t="s">
        <v>45</v>
      </c>
      <c r="C1327" s="12" t="s">
        <v>149</v>
      </c>
      <c r="D1327" s="14" t="s">
        <v>1352</v>
      </c>
      <c r="E1327" s="16"/>
      <c r="F1327" s="8"/>
      <c r="G1327" s="16"/>
      <c r="H1327" s="8"/>
      <c r="I1327" s="16"/>
    </row>
    <row r="1328" outlineLevel="1">
      <c r="A1328" s="9" t="s">
        <v>1623</v>
      </c>
      <c r="B1328" s="9" t="s">
        <v>822</v>
      </c>
      <c r="C1328" s="12" t="s">
        <v>24</v>
      </c>
      <c r="D1328" s="14" t="s">
        <v>1352</v>
      </c>
      <c r="E1328" s="16"/>
      <c r="F1328" s="8"/>
      <c r="G1328" s="16"/>
      <c r="H1328" s="8"/>
      <c r="I1328" s="16"/>
    </row>
    <row r="1329" outlineLevel="1">
      <c r="A1329" s="9" t="s">
        <v>548</v>
      </c>
      <c r="B1329" s="9" t="s">
        <v>1624</v>
      </c>
      <c r="C1329" s="12" t="s">
        <v>46</v>
      </c>
      <c r="D1329" s="14" t="s">
        <v>1352</v>
      </c>
      <c r="E1329" s="16"/>
      <c r="F1329" s="8"/>
      <c r="G1329" s="16"/>
      <c r="H1329" s="8"/>
      <c r="I1329" s="16"/>
    </row>
    <row r="1330" outlineLevel="1">
      <c r="A1330" s="9" t="s">
        <v>1625</v>
      </c>
      <c r="B1330" s="9" t="s">
        <v>1626</v>
      </c>
      <c r="C1330" s="12" t="s">
        <v>122</v>
      </c>
      <c r="D1330" s="14" t="s">
        <v>1352</v>
      </c>
      <c r="E1330" s="16"/>
      <c r="F1330" s="8"/>
      <c r="G1330" s="16"/>
      <c r="H1330" s="8"/>
      <c r="I1330" s="16"/>
    </row>
    <row r="1331" outlineLevel="1">
      <c r="A1331" s="9" t="s">
        <v>1625</v>
      </c>
      <c r="B1331" s="9" t="s">
        <v>1627</v>
      </c>
      <c r="C1331" s="12" t="s">
        <v>192</v>
      </c>
      <c r="D1331" s="14" t="s">
        <v>1352</v>
      </c>
      <c r="E1331" s="16"/>
      <c r="F1331" s="8"/>
      <c r="G1331" s="16"/>
      <c r="H1331" s="8"/>
      <c r="I1331" s="16"/>
    </row>
    <row r="1332" outlineLevel="1">
      <c r="A1332" s="9" t="s">
        <v>1628</v>
      </c>
      <c r="B1332" s="9" t="s">
        <v>98</v>
      </c>
      <c r="C1332" s="12" t="s">
        <v>132</v>
      </c>
      <c r="D1332" s="14" t="s">
        <v>1352</v>
      </c>
      <c r="E1332" s="16"/>
      <c r="F1332" s="8"/>
      <c r="G1332" s="16"/>
      <c r="H1332" s="8"/>
      <c r="I1332" s="16"/>
    </row>
    <row r="1333" outlineLevel="1">
      <c r="A1333" s="9" t="s">
        <v>1629</v>
      </c>
      <c r="B1333" s="9" t="s">
        <v>1630</v>
      </c>
      <c r="C1333" s="12" t="s">
        <v>65</v>
      </c>
      <c r="D1333" s="14" t="s">
        <v>1352</v>
      </c>
      <c r="E1333" s="16"/>
      <c r="F1333" s="8"/>
      <c r="G1333" s="16"/>
      <c r="H1333" s="8"/>
      <c r="I1333" s="16"/>
    </row>
    <row r="1334" outlineLevel="1">
      <c r="A1334" s="9" t="s">
        <v>1631</v>
      </c>
      <c r="B1334" s="9" t="s">
        <v>317</v>
      </c>
      <c r="C1334" s="12" t="s">
        <v>16</v>
      </c>
      <c r="D1334" s="14" t="s">
        <v>1352</v>
      </c>
      <c r="E1334" s="16"/>
      <c r="F1334" s="8"/>
      <c r="G1334" s="16"/>
      <c r="H1334" s="8"/>
      <c r="I1334" s="16"/>
    </row>
    <row r="1335" outlineLevel="1">
      <c r="A1335" s="9" t="s">
        <v>1632</v>
      </c>
      <c r="B1335" s="9" t="s">
        <v>1633</v>
      </c>
      <c r="C1335" s="12" t="s">
        <v>80</v>
      </c>
      <c r="D1335" s="14" t="s">
        <v>1352</v>
      </c>
      <c r="E1335" s="16"/>
      <c r="F1335" s="8"/>
      <c r="G1335" s="16"/>
      <c r="H1335" s="8"/>
      <c r="I1335" s="16"/>
    </row>
    <row r="1336" outlineLevel="1">
      <c r="A1336" s="9" t="s">
        <v>1634</v>
      </c>
      <c r="B1336" s="9" t="s">
        <v>1635</v>
      </c>
      <c r="C1336" s="12" t="s">
        <v>24</v>
      </c>
      <c r="D1336" s="14" t="s">
        <v>1352</v>
      </c>
      <c r="E1336" s="16"/>
      <c r="F1336" s="8"/>
      <c r="G1336" s="16"/>
      <c r="H1336" s="8"/>
      <c r="I1336" s="16"/>
    </row>
    <row r="1337" outlineLevel="1">
      <c r="A1337" s="9" t="s">
        <v>1636</v>
      </c>
      <c r="B1337" s="9" t="s">
        <v>1637</v>
      </c>
      <c r="C1337" s="12" t="s">
        <v>93</v>
      </c>
      <c r="D1337" s="14" t="s">
        <v>1352</v>
      </c>
      <c r="E1337" s="16"/>
      <c r="F1337" s="8"/>
      <c r="G1337" s="16"/>
      <c r="H1337" s="8"/>
      <c r="I1337" s="16"/>
    </row>
    <row r="1338" outlineLevel="1">
      <c r="A1338" s="9" t="s">
        <v>1638</v>
      </c>
      <c r="B1338" s="9" t="s">
        <v>1639</v>
      </c>
      <c r="C1338" s="12" t="s">
        <v>53</v>
      </c>
      <c r="D1338" s="14" t="s">
        <v>1352</v>
      </c>
      <c r="E1338" s="16"/>
      <c r="F1338" s="8"/>
      <c r="G1338" s="16"/>
      <c r="H1338" s="8"/>
      <c r="I1338" s="16"/>
    </row>
    <row r="1339" outlineLevel="1">
      <c r="A1339" s="9" t="s">
        <v>441</v>
      </c>
      <c r="B1339" s="9" t="s">
        <v>1640</v>
      </c>
      <c r="C1339" s="12" t="s">
        <v>122</v>
      </c>
      <c r="D1339" s="14" t="s">
        <v>1352</v>
      </c>
      <c r="E1339" s="16"/>
      <c r="F1339" s="18"/>
      <c r="G1339" s="19"/>
      <c r="H1339" s="18"/>
      <c r="I1339" s="19"/>
    </row>
    <row r="1340" outlineLevel="1">
      <c r="A1340" s="9" t="s">
        <v>441</v>
      </c>
      <c r="B1340" s="9" t="s">
        <v>334</v>
      </c>
      <c r="C1340" s="12" t="s">
        <v>65</v>
      </c>
      <c r="D1340" s="14" t="s">
        <v>1352</v>
      </c>
      <c r="E1340" s="16"/>
      <c r="F1340" s="8"/>
      <c r="G1340" s="16"/>
      <c r="H1340" s="8"/>
      <c r="I1340" s="16"/>
    </row>
    <row r="1341" outlineLevel="1">
      <c r="A1341" s="9" t="s">
        <v>62</v>
      </c>
      <c r="B1341" s="9" t="s">
        <v>1486</v>
      </c>
      <c r="C1341" s="12" t="s">
        <v>93</v>
      </c>
      <c r="D1341" s="14" t="s">
        <v>1352</v>
      </c>
      <c r="E1341" s="16"/>
      <c r="F1341" s="8"/>
      <c r="G1341" s="16"/>
      <c r="H1341" s="8"/>
      <c r="I1341" s="16"/>
    </row>
    <row r="1342" outlineLevel="1">
      <c r="A1342" s="9" t="s">
        <v>62</v>
      </c>
      <c r="B1342" s="9" t="s">
        <v>1641</v>
      </c>
      <c r="C1342" s="12" t="s">
        <v>80</v>
      </c>
      <c r="D1342" s="14" t="s">
        <v>1352</v>
      </c>
      <c r="E1342" s="16"/>
      <c r="F1342" s="8"/>
      <c r="G1342" s="16"/>
      <c r="H1342" s="8"/>
      <c r="I1342" s="16"/>
    </row>
    <row r="1343" outlineLevel="1">
      <c r="A1343" s="9" t="s">
        <v>62</v>
      </c>
      <c r="B1343" s="9" t="s">
        <v>183</v>
      </c>
      <c r="C1343" s="12" t="s">
        <v>65</v>
      </c>
      <c r="D1343" s="14" t="s">
        <v>1352</v>
      </c>
      <c r="E1343" s="16"/>
      <c r="F1343" s="8"/>
      <c r="G1343" s="16"/>
      <c r="H1343" s="8"/>
      <c r="I1343" s="16"/>
    </row>
    <row r="1344" outlineLevel="1">
      <c r="A1344" s="9" t="s">
        <v>62</v>
      </c>
      <c r="B1344" s="9" t="s">
        <v>1642</v>
      </c>
      <c r="C1344" s="12" t="s">
        <v>93</v>
      </c>
      <c r="D1344" s="14" t="s">
        <v>1352</v>
      </c>
      <c r="E1344" s="16"/>
      <c r="F1344" s="8"/>
      <c r="G1344" s="16"/>
      <c r="H1344" s="8"/>
      <c r="I1344" s="16"/>
    </row>
    <row r="1345" outlineLevel="1">
      <c r="A1345" s="9" t="s">
        <v>444</v>
      </c>
      <c r="B1345" s="9" t="s">
        <v>304</v>
      </c>
      <c r="C1345" s="12" t="s">
        <v>59</v>
      </c>
      <c r="D1345" s="14" t="s">
        <v>1352</v>
      </c>
      <c r="E1345" s="16"/>
      <c r="F1345" s="8"/>
      <c r="G1345" s="16"/>
      <c r="H1345" s="8"/>
      <c r="I1345" s="16"/>
    </row>
    <row r="1346" outlineLevel="1">
      <c r="A1346" s="9" t="s">
        <v>444</v>
      </c>
      <c r="B1346" s="9" t="s">
        <v>1643</v>
      </c>
      <c r="C1346" s="12" t="s">
        <v>80</v>
      </c>
      <c r="D1346" s="14" t="s">
        <v>1352</v>
      </c>
      <c r="E1346" s="16"/>
      <c r="F1346" s="8"/>
      <c r="G1346" s="16"/>
      <c r="H1346" s="8"/>
      <c r="I1346" s="16"/>
    </row>
    <row r="1347" outlineLevel="1">
      <c r="A1347" s="9" t="s">
        <v>444</v>
      </c>
      <c r="B1347" s="9" t="s">
        <v>1241</v>
      </c>
      <c r="C1347" s="12" t="s">
        <v>186</v>
      </c>
      <c r="D1347" s="14" t="s">
        <v>1352</v>
      </c>
      <c r="E1347" s="16"/>
      <c r="F1347" s="8"/>
      <c r="G1347" s="16"/>
      <c r="H1347" s="8"/>
      <c r="I1347" s="16"/>
    </row>
    <row r="1348" outlineLevel="1">
      <c r="A1348" s="9" t="s">
        <v>1041</v>
      </c>
      <c r="B1348" s="9" t="s">
        <v>1644</v>
      </c>
      <c r="C1348" s="12" t="s">
        <v>138</v>
      </c>
      <c r="D1348" s="14" t="s">
        <v>1352</v>
      </c>
      <c r="E1348" s="16"/>
      <c r="F1348" s="8"/>
      <c r="G1348" s="16"/>
      <c r="H1348" s="8"/>
      <c r="I1348" s="16"/>
    </row>
    <row r="1349" outlineLevel="1">
      <c r="A1349" s="9" t="s">
        <v>1645</v>
      </c>
      <c r="B1349" s="9" t="s">
        <v>349</v>
      </c>
      <c r="C1349" s="12" t="s">
        <v>141</v>
      </c>
      <c r="D1349" s="14" t="s">
        <v>1352</v>
      </c>
      <c r="E1349" s="16"/>
      <c r="F1349" s="8"/>
      <c r="G1349" s="16"/>
      <c r="H1349" s="8"/>
      <c r="I1349" s="16"/>
    </row>
    <row r="1350" outlineLevel="1">
      <c r="A1350" s="9" t="s">
        <v>1646</v>
      </c>
      <c r="B1350" s="9" t="s">
        <v>337</v>
      </c>
      <c r="C1350" s="12" t="s">
        <v>24</v>
      </c>
      <c r="D1350" s="14" t="s">
        <v>1352</v>
      </c>
      <c r="E1350" s="16"/>
      <c r="F1350" s="8"/>
      <c r="G1350" s="16"/>
      <c r="H1350" s="8"/>
      <c r="I1350" s="16"/>
    </row>
    <row r="1351" outlineLevel="1">
      <c r="A1351" s="9" t="s">
        <v>1647</v>
      </c>
      <c r="B1351" s="9" t="s">
        <v>181</v>
      </c>
      <c r="C1351" s="12" t="s">
        <v>141</v>
      </c>
      <c r="D1351" s="14" t="s">
        <v>1352</v>
      </c>
      <c r="E1351" s="16"/>
      <c r="F1351" s="8"/>
      <c r="G1351" s="16"/>
      <c r="H1351" s="8"/>
      <c r="I1351" s="16"/>
    </row>
    <row r="1352" outlineLevel="1">
      <c r="A1352" s="9" t="s">
        <v>1648</v>
      </c>
      <c r="B1352" s="9" t="s">
        <v>427</v>
      </c>
      <c r="C1352" s="12" t="s">
        <v>16</v>
      </c>
      <c r="D1352" s="14" t="s">
        <v>1352</v>
      </c>
      <c r="E1352" s="16"/>
      <c r="F1352" s="8"/>
      <c r="G1352" s="16"/>
      <c r="H1352" s="8"/>
      <c r="I1352" s="16"/>
    </row>
    <row r="1353" outlineLevel="1">
      <c r="A1353" s="9" t="s">
        <v>1649</v>
      </c>
      <c r="B1353" s="9" t="s">
        <v>1650</v>
      </c>
      <c r="C1353" s="12" t="s">
        <v>46</v>
      </c>
      <c r="D1353" s="14" t="s">
        <v>1352</v>
      </c>
      <c r="E1353" s="16"/>
      <c r="F1353" s="8"/>
      <c r="G1353" s="16"/>
      <c r="H1353" s="8"/>
      <c r="I1353" s="16"/>
    </row>
    <row r="1354" outlineLevel="1">
      <c r="A1354" s="9" t="s">
        <v>1651</v>
      </c>
      <c r="B1354" s="9" t="s">
        <v>301</v>
      </c>
      <c r="C1354" s="12" t="s">
        <v>122</v>
      </c>
      <c r="D1354" s="14" t="s">
        <v>1352</v>
      </c>
      <c r="E1354" s="16"/>
      <c r="F1354" s="8"/>
      <c r="G1354" s="16"/>
      <c r="H1354" s="8"/>
      <c r="I1354" s="16"/>
    </row>
    <row r="1355" outlineLevel="1">
      <c r="A1355" s="9" t="s">
        <v>1652</v>
      </c>
      <c r="B1355" s="9" t="s">
        <v>23</v>
      </c>
      <c r="C1355" s="12" t="s">
        <v>65</v>
      </c>
      <c r="D1355" s="14" t="s">
        <v>1352</v>
      </c>
      <c r="E1355" s="16"/>
      <c r="F1355" s="8"/>
      <c r="G1355" s="16"/>
      <c r="H1355" s="8"/>
      <c r="I1355" s="16"/>
    </row>
    <row r="1356" outlineLevel="1">
      <c r="A1356" s="9" t="s">
        <v>1653</v>
      </c>
      <c r="B1356" s="9" t="s">
        <v>1654</v>
      </c>
      <c r="C1356" s="12" t="s">
        <v>122</v>
      </c>
      <c r="D1356" s="14" t="s">
        <v>1352</v>
      </c>
      <c r="E1356" s="16"/>
      <c r="F1356" s="8"/>
      <c r="G1356" s="16"/>
      <c r="H1356" s="8"/>
      <c r="I1356" s="16"/>
    </row>
    <row r="1357" outlineLevel="1">
      <c r="A1357" s="9" t="s">
        <v>1655</v>
      </c>
      <c r="B1357" s="9" t="s">
        <v>1640</v>
      </c>
      <c r="C1357" s="12" t="s">
        <v>138</v>
      </c>
      <c r="D1357" s="14" t="s">
        <v>1352</v>
      </c>
      <c r="E1357" s="16"/>
      <c r="F1357" s="8"/>
      <c r="G1357" s="16"/>
      <c r="H1357" s="8"/>
      <c r="I1357" s="16"/>
    </row>
    <row r="1358" outlineLevel="1">
      <c r="A1358" s="9" t="s">
        <v>1656</v>
      </c>
      <c r="B1358" s="9" t="s">
        <v>1657</v>
      </c>
      <c r="C1358" s="12" t="s">
        <v>38</v>
      </c>
      <c r="D1358" s="14" t="s">
        <v>1352</v>
      </c>
      <c r="E1358" s="16"/>
      <c r="F1358" s="18"/>
      <c r="G1358" s="19"/>
      <c r="H1358" s="18"/>
      <c r="I1358" s="19"/>
    </row>
    <row r="1359" outlineLevel="1">
      <c r="A1359" s="9" t="s">
        <v>1658</v>
      </c>
      <c r="B1359" s="9" t="s">
        <v>134</v>
      </c>
      <c r="C1359" s="12" t="s">
        <v>261</v>
      </c>
      <c r="D1359" s="14" t="s">
        <v>1352</v>
      </c>
      <c r="E1359" s="16"/>
      <c r="F1359" s="8"/>
      <c r="G1359" s="16"/>
      <c r="H1359" s="8"/>
      <c r="I1359" s="16"/>
    </row>
    <row r="1360" outlineLevel="1">
      <c r="A1360" s="9" t="s">
        <v>825</v>
      </c>
      <c r="B1360" s="9" t="s">
        <v>1659</v>
      </c>
      <c r="C1360" s="12" t="s">
        <v>122</v>
      </c>
      <c r="D1360" s="14" t="s">
        <v>1352</v>
      </c>
      <c r="E1360" s="16"/>
      <c r="F1360" s="8"/>
      <c r="G1360" s="16"/>
      <c r="H1360" s="8"/>
      <c r="I1360" s="16"/>
    </row>
    <row r="1361" outlineLevel="1">
      <c r="A1361" s="9" t="s">
        <v>1330</v>
      </c>
      <c r="B1361" s="9" t="s">
        <v>273</v>
      </c>
      <c r="C1361" s="12" t="s">
        <v>70</v>
      </c>
      <c r="D1361" s="14" t="s">
        <v>1352</v>
      </c>
      <c r="E1361" s="16"/>
      <c r="F1361" s="8"/>
      <c r="G1361" s="16"/>
      <c r="H1361" s="8"/>
      <c r="I1361" s="16"/>
    </row>
    <row r="1362" outlineLevel="1">
      <c r="A1362" s="9" t="s">
        <v>1050</v>
      </c>
      <c r="B1362" s="9" t="s">
        <v>366</v>
      </c>
      <c r="C1362" s="12" t="s">
        <v>138</v>
      </c>
      <c r="D1362" s="14" t="s">
        <v>1352</v>
      </c>
      <c r="E1362" s="16"/>
      <c r="F1362" s="8"/>
      <c r="G1362" s="16"/>
      <c r="H1362" s="8"/>
      <c r="I1362" s="16"/>
    </row>
    <row r="1363" outlineLevel="1">
      <c r="A1363" s="9" t="s">
        <v>1660</v>
      </c>
      <c r="B1363" s="9" t="s">
        <v>88</v>
      </c>
      <c r="C1363" s="12" t="s">
        <v>138</v>
      </c>
      <c r="D1363" s="14" t="s">
        <v>1352</v>
      </c>
      <c r="E1363" s="16"/>
      <c r="F1363" s="8"/>
      <c r="G1363" s="16"/>
      <c r="H1363" s="8"/>
      <c r="I1363" s="16"/>
    </row>
    <row r="1364" outlineLevel="1">
      <c r="A1364" s="9" t="s">
        <v>1661</v>
      </c>
      <c r="B1364" s="9" t="s">
        <v>1662</v>
      </c>
      <c r="C1364" s="12" t="s">
        <v>65</v>
      </c>
      <c r="D1364" s="14" t="s">
        <v>1352</v>
      </c>
      <c r="E1364" s="16"/>
      <c r="F1364" s="8"/>
      <c r="G1364" s="16"/>
      <c r="H1364" s="8"/>
      <c r="I1364" s="16"/>
    </row>
    <row r="1365" outlineLevel="1">
      <c r="A1365" s="9" t="s">
        <v>1663</v>
      </c>
      <c r="B1365" s="9" t="s">
        <v>117</v>
      </c>
      <c r="C1365" s="12" t="s">
        <v>149</v>
      </c>
      <c r="D1365" s="14" t="s">
        <v>1352</v>
      </c>
      <c r="E1365" s="16"/>
      <c r="F1365" s="8"/>
      <c r="G1365" s="16"/>
      <c r="H1365" s="8"/>
      <c r="I1365" s="16"/>
    </row>
    <row r="1366" outlineLevel="1">
      <c r="A1366" s="9" t="s">
        <v>587</v>
      </c>
      <c r="B1366" s="9" t="s">
        <v>1611</v>
      </c>
      <c r="C1366" s="12" t="s">
        <v>65</v>
      </c>
      <c r="D1366" s="14" t="s">
        <v>1352</v>
      </c>
      <c r="E1366" s="16"/>
      <c r="F1366" s="8"/>
      <c r="G1366" s="16"/>
      <c r="H1366" s="8"/>
      <c r="I1366" s="16"/>
    </row>
    <row r="1367" outlineLevel="1">
      <c r="A1367" s="9" t="s">
        <v>1664</v>
      </c>
      <c r="B1367" s="9" t="s">
        <v>263</v>
      </c>
      <c r="C1367" s="12" t="s">
        <v>70</v>
      </c>
      <c r="D1367" s="14" t="s">
        <v>1352</v>
      </c>
      <c r="E1367" s="16"/>
      <c r="F1367" s="8"/>
      <c r="G1367" s="16"/>
      <c r="H1367" s="8"/>
      <c r="I1367" s="16"/>
    </row>
    <row r="1368" outlineLevel="1">
      <c r="A1368" s="9" t="s">
        <v>78</v>
      </c>
      <c r="B1368" s="9" t="s">
        <v>842</v>
      </c>
      <c r="C1368" s="12" t="s">
        <v>70</v>
      </c>
      <c r="D1368" s="14" t="s">
        <v>1352</v>
      </c>
      <c r="E1368" s="16"/>
      <c r="F1368" s="8"/>
      <c r="G1368" s="16"/>
      <c r="H1368" s="8"/>
      <c r="I1368" s="16"/>
    </row>
    <row r="1369" outlineLevel="1">
      <c r="A1369" s="9" t="s">
        <v>1055</v>
      </c>
      <c r="B1369" s="9" t="s">
        <v>1209</v>
      </c>
      <c r="C1369" s="12" t="s">
        <v>65</v>
      </c>
      <c r="D1369" s="14" t="s">
        <v>1352</v>
      </c>
      <c r="E1369" s="16"/>
      <c r="F1369" s="8"/>
      <c r="G1369" s="16"/>
      <c r="H1369" s="8"/>
      <c r="I1369" s="16"/>
    </row>
    <row r="1370" outlineLevel="1">
      <c r="A1370" s="9" t="s">
        <v>78</v>
      </c>
      <c r="B1370" s="9" t="s">
        <v>1172</v>
      </c>
      <c r="C1370" s="12" t="s">
        <v>138</v>
      </c>
      <c r="D1370" s="14" t="s">
        <v>1352</v>
      </c>
      <c r="E1370" s="16"/>
      <c r="F1370" s="8"/>
      <c r="G1370" s="16"/>
      <c r="H1370" s="8"/>
      <c r="I1370" s="16"/>
    </row>
    <row r="1371" outlineLevel="1">
      <c r="A1371" s="9" t="s">
        <v>1665</v>
      </c>
      <c r="B1371" s="9" t="s">
        <v>349</v>
      </c>
      <c r="C1371" s="12" t="s">
        <v>24</v>
      </c>
      <c r="D1371" s="14" t="s">
        <v>1352</v>
      </c>
      <c r="E1371" s="16"/>
      <c r="F1371" s="8"/>
      <c r="G1371" s="16"/>
      <c r="H1371" s="8"/>
      <c r="I1371" s="16"/>
    </row>
    <row r="1372" outlineLevel="1">
      <c r="A1372" s="9" t="s">
        <v>78</v>
      </c>
      <c r="B1372" s="9" t="s">
        <v>1666</v>
      </c>
      <c r="C1372" s="12" t="s">
        <v>24</v>
      </c>
      <c r="D1372" s="14" t="s">
        <v>1352</v>
      </c>
      <c r="E1372" s="16"/>
      <c r="F1372" s="8"/>
      <c r="G1372" s="16"/>
      <c r="H1372" s="8"/>
      <c r="I1372" s="16"/>
    </row>
    <row r="1373" outlineLevel="1">
      <c r="A1373" s="9" t="s">
        <v>78</v>
      </c>
      <c r="B1373" s="9" t="s">
        <v>1209</v>
      </c>
      <c r="C1373" s="12" t="s">
        <v>59</v>
      </c>
      <c r="D1373" s="14" t="s">
        <v>1352</v>
      </c>
      <c r="E1373" s="16"/>
      <c r="F1373" s="18"/>
      <c r="G1373" s="19"/>
      <c r="H1373" s="18"/>
      <c r="I1373" s="19"/>
    </row>
    <row r="1374" outlineLevel="1">
      <c r="A1374" s="9" t="s">
        <v>78</v>
      </c>
      <c r="B1374" s="9" t="s">
        <v>1028</v>
      </c>
      <c r="C1374" s="12" t="s">
        <v>93</v>
      </c>
      <c r="D1374" s="14" t="s">
        <v>1352</v>
      </c>
      <c r="E1374" s="16"/>
      <c r="F1374" s="8"/>
      <c r="G1374" s="16"/>
      <c r="H1374" s="8"/>
      <c r="I1374" s="16"/>
    </row>
    <row r="1375" outlineLevel="1">
      <c r="A1375" s="9" t="s">
        <v>1667</v>
      </c>
      <c r="B1375" s="9" t="s">
        <v>263</v>
      </c>
      <c r="C1375" s="12" t="s">
        <v>65</v>
      </c>
      <c r="D1375" s="14" t="s">
        <v>1352</v>
      </c>
      <c r="E1375" s="16"/>
      <c r="F1375" s="8"/>
      <c r="G1375" s="16"/>
      <c r="H1375" s="8"/>
      <c r="I1375" s="16"/>
    </row>
    <row r="1376" outlineLevel="1">
      <c r="A1376" s="9" t="s">
        <v>451</v>
      </c>
      <c r="B1376" s="9" t="s">
        <v>121</v>
      </c>
      <c r="C1376" s="12" t="s">
        <v>80</v>
      </c>
      <c r="D1376" s="14" t="s">
        <v>1352</v>
      </c>
      <c r="E1376" s="16"/>
      <c r="F1376" s="8"/>
      <c r="G1376" s="16"/>
      <c r="H1376" s="8"/>
      <c r="I1376" s="16"/>
    </row>
    <row r="1377" outlineLevel="1">
      <c r="A1377" s="9" t="s">
        <v>451</v>
      </c>
      <c r="B1377" s="9" t="s">
        <v>1668</v>
      </c>
      <c r="C1377" s="12" t="s">
        <v>192</v>
      </c>
      <c r="D1377" s="14" t="s">
        <v>1352</v>
      </c>
      <c r="E1377" s="16"/>
      <c r="F1377" s="8"/>
      <c r="G1377" s="16"/>
      <c r="H1377" s="8"/>
      <c r="I1377" s="16"/>
    </row>
    <row r="1378" outlineLevel="1">
      <c r="A1378" s="9" t="s">
        <v>1669</v>
      </c>
      <c r="B1378" s="9" t="s">
        <v>1670</v>
      </c>
      <c r="C1378" s="12" t="s">
        <v>16</v>
      </c>
      <c r="D1378" s="14" t="s">
        <v>1352</v>
      </c>
      <c r="E1378" s="16"/>
      <c r="F1378" s="8"/>
      <c r="G1378" s="16"/>
      <c r="H1378" s="8"/>
      <c r="I1378" s="16"/>
    </row>
    <row r="1379" outlineLevel="1">
      <c r="A1379" s="9" t="s">
        <v>1671</v>
      </c>
      <c r="B1379" s="9" t="s">
        <v>1672</v>
      </c>
      <c r="C1379" s="12" t="s">
        <v>215</v>
      </c>
      <c r="D1379" s="14" t="s">
        <v>1352</v>
      </c>
      <c r="E1379" s="16"/>
      <c r="F1379" s="8"/>
      <c r="G1379" s="16"/>
      <c r="H1379" s="8"/>
      <c r="I1379" s="16"/>
    </row>
    <row r="1380" outlineLevel="1">
      <c r="A1380" s="9" t="s">
        <v>1673</v>
      </c>
      <c r="B1380" s="9" t="s">
        <v>842</v>
      </c>
      <c r="C1380" s="12" t="s">
        <v>215</v>
      </c>
      <c r="D1380" s="14" t="s">
        <v>1352</v>
      </c>
      <c r="E1380" s="16"/>
      <c r="F1380" s="8"/>
      <c r="G1380" s="16"/>
      <c r="H1380" s="8"/>
      <c r="I1380" s="16"/>
    </row>
    <row r="1381" outlineLevel="1">
      <c r="A1381" s="9" t="s">
        <v>1674</v>
      </c>
      <c r="B1381" s="9" t="s">
        <v>275</v>
      </c>
      <c r="C1381" s="12" t="s">
        <v>215</v>
      </c>
      <c r="D1381" s="14" t="s">
        <v>1352</v>
      </c>
      <c r="E1381" s="16"/>
      <c r="F1381" s="8"/>
      <c r="G1381" s="16"/>
      <c r="H1381" s="8"/>
      <c r="I1381" s="16"/>
    </row>
    <row r="1382" outlineLevel="1">
      <c r="A1382" s="9" t="s">
        <v>1675</v>
      </c>
      <c r="B1382" s="9" t="s">
        <v>465</v>
      </c>
      <c r="C1382" s="12" t="s">
        <v>93</v>
      </c>
      <c r="D1382" s="14" t="s">
        <v>1352</v>
      </c>
      <c r="E1382" s="16"/>
      <c r="F1382" s="8"/>
      <c r="G1382" s="16"/>
      <c r="H1382" s="8"/>
      <c r="I1382" s="16"/>
    </row>
    <row r="1383" outlineLevel="1">
      <c r="A1383" s="18" t="s">
        <v>1676</v>
      </c>
      <c r="B1383" s="9" t="s">
        <v>491</v>
      </c>
      <c r="C1383" s="12" t="s">
        <v>70</v>
      </c>
      <c r="D1383" s="14" t="s">
        <v>1352</v>
      </c>
      <c r="E1383" s="16"/>
      <c r="F1383" s="8"/>
      <c r="G1383" s="16"/>
      <c r="H1383" s="8"/>
      <c r="I1383" s="16"/>
    </row>
    <row r="1384" outlineLevel="1">
      <c r="A1384" s="9" t="s">
        <v>1677</v>
      </c>
      <c r="B1384" s="18" t="s">
        <v>55</v>
      </c>
      <c r="C1384" s="19" t="s">
        <v>132</v>
      </c>
      <c r="D1384" s="14" t="s">
        <v>1352</v>
      </c>
      <c r="E1384" s="16"/>
      <c r="F1384" s="8"/>
      <c r="G1384" s="16"/>
      <c r="H1384" s="8"/>
      <c r="I1384" s="16"/>
    </row>
    <row r="1385" outlineLevel="1">
      <c r="A1385" s="9" t="s">
        <v>835</v>
      </c>
      <c r="B1385" s="9" t="s">
        <v>1678</v>
      </c>
      <c r="C1385" s="12" t="s">
        <v>215</v>
      </c>
      <c r="D1385" s="14" t="s">
        <v>1679</v>
      </c>
      <c r="E1385" s="16"/>
      <c r="F1385" s="8"/>
      <c r="G1385" s="16"/>
      <c r="H1385" s="8"/>
      <c r="I1385" s="16"/>
    </row>
    <row r="1386" outlineLevel="1">
      <c r="A1386" s="9" t="s">
        <v>835</v>
      </c>
      <c r="B1386" s="9" t="s">
        <v>1680</v>
      </c>
      <c r="C1386" s="12" t="s">
        <v>53</v>
      </c>
      <c r="D1386" s="14" t="s">
        <v>1679</v>
      </c>
      <c r="E1386" s="16"/>
      <c r="F1386" s="8"/>
      <c r="G1386" s="16"/>
      <c r="H1386" s="8"/>
      <c r="I1386" s="16"/>
    </row>
    <row r="1387" outlineLevel="1">
      <c r="A1387" s="9" t="s">
        <v>835</v>
      </c>
      <c r="B1387" s="9" t="s">
        <v>628</v>
      </c>
      <c r="C1387" s="12" t="s">
        <v>46</v>
      </c>
      <c r="D1387" s="14" t="s">
        <v>1679</v>
      </c>
      <c r="E1387" s="16"/>
      <c r="F1387" s="8"/>
      <c r="G1387" s="16"/>
      <c r="H1387" s="8"/>
      <c r="I1387" s="16"/>
    </row>
    <row r="1388" outlineLevel="1">
      <c r="A1388" s="9" t="s">
        <v>1681</v>
      </c>
      <c r="B1388" s="9" t="s">
        <v>900</v>
      </c>
      <c r="C1388" s="12" t="s">
        <v>65</v>
      </c>
      <c r="D1388" s="14" t="s">
        <v>1679</v>
      </c>
      <c r="E1388" s="16"/>
      <c r="F1388" s="8"/>
      <c r="G1388" s="16"/>
      <c r="H1388" s="8"/>
      <c r="I1388" s="16"/>
    </row>
    <row r="1389" outlineLevel="1">
      <c r="A1389" s="9" t="s">
        <v>1682</v>
      </c>
      <c r="B1389" s="9" t="s">
        <v>1402</v>
      </c>
      <c r="C1389" s="12" t="s">
        <v>93</v>
      </c>
      <c r="D1389" s="14" t="s">
        <v>1679</v>
      </c>
      <c r="E1389" s="16"/>
      <c r="F1389" s="8"/>
      <c r="G1389" s="16"/>
      <c r="H1389" s="8"/>
      <c r="I1389" s="16"/>
    </row>
    <row r="1390" outlineLevel="1">
      <c r="A1390" s="9" t="s">
        <v>460</v>
      </c>
      <c r="B1390" s="9" t="s">
        <v>842</v>
      </c>
      <c r="C1390" s="12" t="s">
        <v>215</v>
      </c>
      <c r="D1390" s="14" t="s">
        <v>1679</v>
      </c>
      <c r="E1390" s="16"/>
      <c r="F1390" s="8"/>
      <c r="G1390" s="16"/>
      <c r="H1390" s="8"/>
      <c r="I1390" s="16"/>
    </row>
    <row r="1391" outlineLevel="1">
      <c r="A1391" s="9" t="s">
        <v>1683</v>
      </c>
      <c r="B1391" s="9" t="s">
        <v>100</v>
      </c>
      <c r="C1391" s="12" t="s">
        <v>186</v>
      </c>
      <c r="D1391" s="14" t="s">
        <v>1679</v>
      </c>
      <c r="E1391" s="16"/>
      <c r="F1391" s="8"/>
      <c r="G1391" s="16"/>
      <c r="H1391" s="8"/>
      <c r="I1391" s="16"/>
    </row>
    <row r="1392" outlineLevel="1">
      <c r="A1392" s="9" t="s">
        <v>1684</v>
      </c>
      <c r="B1392" s="9" t="s">
        <v>29</v>
      </c>
      <c r="C1392" s="12" t="s">
        <v>93</v>
      </c>
      <c r="D1392" s="14" t="s">
        <v>1679</v>
      </c>
      <c r="E1392" s="16"/>
      <c r="F1392" s="8"/>
      <c r="G1392" s="16"/>
      <c r="H1392" s="8"/>
      <c r="I1392" s="16"/>
    </row>
    <row r="1393" outlineLevel="1">
      <c r="A1393" s="9" t="s">
        <v>1685</v>
      </c>
      <c r="B1393" s="9" t="s">
        <v>713</v>
      </c>
      <c r="C1393" s="12" t="s">
        <v>80</v>
      </c>
      <c r="D1393" s="14" t="s">
        <v>1679</v>
      </c>
      <c r="E1393" s="16"/>
      <c r="F1393" s="8"/>
      <c r="G1393" s="16"/>
      <c r="H1393" s="8"/>
      <c r="I1393" s="16"/>
    </row>
    <row r="1394" outlineLevel="1">
      <c r="A1394" s="9" t="s">
        <v>1686</v>
      </c>
      <c r="B1394" s="9" t="s">
        <v>241</v>
      </c>
      <c r="C1394" s="12" t="s">
        <v>24</v>
      </c>
      <c r="D1394" s="14" t="s">
        <v>1679</v>
      </c>
      <c r="E1394" s="16"/>
      <c r="F1394" s="8"/>
      <c r="G1394" s="16"/>
      <c r="H1394" s="8"/>
      <c r="I1394" s="16"/>
    </row>
    <row r="1395" outlineLevel="1">
      <c r="A1395" s="9" t="s">
        <v>1687</v>
      </c>
      <c r="B1395" s="9" t="s">
        <v>505</v>
      </c>
      <c r="C1395" s="12" t="s">
        <v>65</v>
      </c>
      <c r="D1395" s="14" t="s">
        <v>1679</v>
      </c>
      <c r="E1395" s="16"/>
      <c r="F1395" s="8"/>
      <c r="G1395" s="16"/>
      <c r="H1395" s="8"/>
      <c r="I1395" s="16"/>
    </row>
    <row r="1396" outlineLevel="1">
      <c r="A1396" s="9" t="s">
        <v>1688</v>
      </c>
      <c r="B1396" s="9" t="s">
        <v>212</v>
      </c>
      <c r="C1396" s="12" t="s">
        <v>93</v>
      </c>
      <c r="D1396" s="14" t="s">
        <v>1679</v>
      </c>
      <c r="E1396" s="16"/>
      <c r="F1396" s="18"/>
      <c r="G1396" s="19"/>
      <c r="H1396" s="18"/>
      <c r="I1396" s="19"/>
    </row>
    <row r="1397" outlineLevel="1">
      <c r="A1397" s="9" t="s">
        <v>1063</v>
      </c>
      <c r="B1397" s="9" t="s">
        <v>1689</v>
      </c>
      <c r="C1397" s="12" t="s">
        <v>53</v>
      </c>
      <c r="D1397" s="14" t="s">
        <v>1679</v>
      </c>
      <c r="E1397" s="16"/>
      <c r="F1397" s="8"/>
      <c r="G1397" s="16"/>
      <c r="H1397" s="8"/>
      <c r="I1397" s="16"/>
    </row>
    <row r="1398" outlineLevel="1">
      <c r="A1398" s="9" t="s">
        <v>1690</v>
      </c>
      <c r="B1398" s="9" t="s">
        <v>1691</v>
      </c>
      <c r="C1398" s="12" t="s">
        <v>93</v>
      </c>
      <c r="D1398" s="14" t="s">
        <v>1679</v>
      </c>
      <c r="E1398" s="16"/>
      <c r="F1398" s="8"/>
      <c r="G1398" s="16"/>
      <c r="H1398" s="8"/>
      <c r="I1398" s="16"/>
    </row>
    <row r="1399" outlineLevel="1">
      <c r="A1399" s="9" t="s">
        <v>1692</v>
      </c>
      <c r="B1399" s="9" t="s">
        <v>137</v>
      </c>
      <c r="C1399" s="12" t="s">
        <v>12</v>
      </c>
      <c r="D1399" s="14" t="s">
        <v>1679</v>
      </c>
      <c r="E1399" s="16"/>
      <c r="F1399" s="8"/>
      <c r="G1399" s="16"/>
      <c r="H1399" s="8"/>
      <c r="I1399" s="16"/>
    </row>
    <row r="1400" outlineLevel="1">
      <c r="A1400" s="18" t="s">
        <v>1079</v>
      </c>
      <c r="B1400" s="9" t="s">
        <v>1490</v>
      </c>
      <c r="C1400" s="12" t="s">
        <v>16</v>
      </c>
      <c r="D1400" s="14" t="s">
        <v>1679</v>
      </c>
      <c r="E1400" s="16"/>
      <c r="F1400" s="8"/>
      <c r="G1400" s="16"/>
      <c r="H1400" s="8"/>
      <c r="I1400" s="16"/>
    </row>
    <row r="1401" outlineLevel="1">
      <c r="A1401" s="9" t="s">
        <v>1693</v>
      </c>
      <c r="B1401" s="18" t="s">
        <v>208</v>
      </c>
      <c r="C1401" s="19" t="s">
        <v>46</v>
      </c>
      <c r="D1401" s="14" t="s">
        <v>1679</v>
      </c>
      <c r="E1401" s="16"/>
      <c r="F1401" s="8"/>
      <c r="G1401" s="16"/>
      <c r="H1401" s="8"/>
      <c r="I1401" s="16"/>
    </row>
    <row r="1402" outlineLevel="1">
      <c r="A1402" s="9" t="s">
        <v>646</v>
      </c>
      <c r="B1402" s="9" t="s">
        <v>1694</v>
      </c>
      <c r="C1402" s="12" t="s">
        <v>192</v>
      </c>
      <c r="D1402" s="14" t="s">
        <v>1679</v>
      </c>
      <c r="E1402" s="16"/>
      <c r="F1402" s="8"/>
      <c r="G1402" s="16"/>
      <c r="H1402" s="8"/>
      <c r="I1402" s="16"/>
    </row>
    <row r="1403" outlineLevel="1">
      <c r="A1403" s="9" t="s">
        <v>1695</v>
      </c>
      <c r="B1403" s="9" t="s">
        <v>1696</v>
      </c>
      <c r="C1403" s="12" t="s">
        <v>186</v>
      </c>
      <c r="D1403" s="14" t="s">
        <v>1679</v>
      </c>
      <c r="E1403" s="16"/>
      <c r="F1403" s="8"/>
      <c r="G1403" s="16"/>
      <c r="H1403" s="8"/>
      <c r="I1403" s="16"/>
    </row>
    <row r="1404" outlineLevel="1">
      <c r="A1404" s="9" t="s">
        <v>350</v>
      </c>
      <c r="B1404" s="9" t="s">
        <v>1697</v>
      </c>
      <c r="C1404" s="12" t="s">
        <v>53</v>
      </c>
      <c r="D1404" s="14" t="s">
        <v>1679</v>
      </c>
      <c r="E1404" s="16"/>
      <c r="F1404" s="8"/>
      <c r="G1404" s="16"/>
      <c r="H1404" s="8"/>
      <c r="I1404" s="16"/>
    </row>
    <row r="1405" outlineLevel="1">
      <c r="A1405" s="9" t="s">
        <v>1698</v>
      </c>
      <c r="B1405" s="9" t="s">
        <v>1699</v>
      </c>
      <c r="C1405" s="12" t="s">
        <v>16</v>
      </c>
      <c r="D1405" s="14" t="s">
        <v>1679</v>
      </c>
      <c r="E1405" s="16"/>
      <c r="F1405" s="8"/>
      <c r="G1405" s="16"/>
      <c r="H1405" s="8"/>
      <c r="I1405" s="16"/>
    </row>
    <row r="1406" outlineLevel="1">
      <c r="A1406" s="9" t="s">
        <v>1700</v>
      </c>
      <c r="B1406" s="9" t="s">
        <v>1701</v>
      </c>
      <c r="C1406" s="12" t="s">
        <v>186</v>
      </c>
      <c r="D1406" s="14" t="s">
        <v>1679</v>
      </c>
      <c r="E1406" s="16"/>
      <c r="F1406" s="8"/>
      <c r="G1406" s="16"/>
      <c r="H1406" s="8"/>
      <c r="I1406" s="16"/>
    </row>
    <row r="1407" outlineLevel="1">
      <c r="A1407" s="9" t="s">
        <v>1702</v>
      </c>
      <c r="B1407" s="9" t="s">
        <v>55</v>
      </c>
      <c r="C1407" s="12" t="s">
        <v>122</v>
      </c>
      <c r="D1407" s="14" t="s">
        <v>1679</v>
      </c>
      <c r="E1407" s="16"/>
      <c r="F1407" s="8"/>
      <c r="G1407" s="16"/>
      <c r="H1407" s="8"/>
      <c r="I1407" s="16"/>
    </row>
    <row r="1408" outlineLevel="1">
      <c r="A1408" s="9" t="s">
        <v>1703</v>
      </c>
      <c r="B1408" s="9" t="s">
        <v>506</v>
      </c>
      <c r="C1408" s="12" t="s">
        <v>16</v>
      </c>
      <c r="D1408" s="14" t="s">
        <v>1679</v>
      </c>
      <c r="E1408" s="16"/>
      <c r="F1408" s="8"/>
      <c r="G1408" s="16"/>
      <c r="H1408" s="8"/>
      <c r="I1408" s="16"/>
    </row>
    <row r="1409" outlineLevel="1">
      <c r="A1409" s="9" t="s">
        <v>1704</v>
      </c>
      <c r="B1409" s="9" t="s">
        <v>275</v>
      </c>
      <c r="C1409" s="12" t="s">
        <v>186</v>
      </c>
      <c r="D1409" s="14" t="s">
        <v>1679</v>
      </c>
      <c r="E1409" s="16"/>
      <c r="F1409" s="8"/>
      <c r="G1409" s="16"/>
      <c r="H1409" s="8"/>
      <c r="I1409" s="16"/>
    </row>
    <row r="1410" outlineLevel="1">
      <c r="A1410" s="9" t="s">
        <v>474</v>
      </c>
      <c r="B1410" s="9" t="s">
        <v>1598</v>
      </c>
      <c r="C1410" s="12" t="s">
        <v>65</v>
      </c>
      <c r="D1410" s="14" t="s">
        <v>1679</v>
      </c>
      <c r="E1410" s="16"/>
      <c r="F1410" s="8"/>
      <c r="G1410" s="16"/>
      <c r="H1410" s="8"/>
      <c r="I1410" s="16"/>
    </row>
    <row r="1411" outlineLevel="1">
      <c r="A1411" s="9" t="s">
        <v>1705</v>
      </c>
      <c r="B1411" s="9" t="s">
        <v>183</v>
      </c>
      <c r="C1411" s="12" t="s">
        <v>70</v>
      </c>
      <c r="D1411" s="14" t="s">
        <v>1679</v>
      </c>
      <c r="E1411" s="16"/>
      <c r="F1411" s="8"/>
      <c r="G1411" s="16"/>
      <c r="H1411" s="8"/>
      <c r="I1411" s="16"/>
    </row>
    <row r="1412" outlineLevel="1">
      <c r="A1412" s="9" t="s">
        <v>1706</v>
      </c>
      <c r="B1412" s="9" t="s">
        <v>349</v>
      </c>
      <c r="C1412" s="12" t="s">
        <v>46</v>
      </c>
      <c r="D1412" s="14" t="s">
        <v>1679</v>
      </c>
      <c r="E1412" s="16"/>
      <c r="F1412" s="8"/>
      <c r="G1412" s="16"/>
      <c r="H1412" s="8"/>
      <c r="I1412" s="16"/>
    </row>
    <row r="1413" outlineLevel="1">
      <c r="A1413" s="9" t="s">
        <v>1707</v>
      </c>
      <c r="B1413" s="9" t="s">
        <v>1708</v>
      </c>
      <c r="C1413" s="12" t="s">
        <v>93</v>
      </c>
      <c r="D1413" s="14" t="s">
        <v>1679</v>
      </c>
      <c r="E1413" s="16"/>
      <c r="F1413" s="8"/>
      <c r="G1413" s="16"/>
      <c r="H1413" s="8"/>
      <c r="I1413" s="16"/>
    </row>
    <row r="1414" outlineLevel="1">
      <c r="A1414" s="9" t="s">
        <v>1709</v>
      </c>
      <c r="B1414" s="9" t="s">
        <v>1249</v>
      </c>
      <c r="C1414" s="12" t="s">
        <v>138</v>
      </c>
      <c r="D1414" s="14" t="s">
        <v>1679</v>
      </c>
      <c r="E1414" s="16"/>
      <c r="F1414" s="8"/>
      <c r="G1414" s="16"/>
      <c r="H1414" s="8"/>
      <c r="I1414" s="16"/>
    </row>
    <row r="1415" outlineLevel="1">
      <c r="A1415" s="9" t="s">
        <v>1710</v>
      </c>
      <c r="B1415" s="9" t="s">
        <v>1711</v>
      </c>
      <c r="C1415" s="12" t="s">
        <v>65</v>
      </c>
      <c r="D1415" s="14" t="s">
        <v>1679</v>
      </c>
      <c r="E1415" s="16"/>
      <c r="F1415" s="8"/>
      <c r="G1415" s="16"/>
      <c r="H1415" s="8"/>
      <c r="I1415" s="16"/>
    </row>
    <row r="1416" outlineLevel="1">
      <c r="A1416" s="9" t="s">
        <v>1712</v>
      </c>
      <c r="B1416" s="9" t="s">
        <v>1713</v>
      </c>
      <c r="C1416" s="12" t="s">
        <v>138</v>
      </c>
      <c r="D1416" s="14" t="s">
        <v>1679</v>
      </c>
      <c r="E1416" s="16"/>
      <c r="F1416" s="8"/>
      <c r="G1416" s="16"/>
      <c r="H1416" s="8"/>
      <c r="I1416" s="16"/>
    </row>
    <row r="1417" outlineLevel="1">
      <c r="A1417" s="9" t="s">
        <v>1714</v>
      </c>
      <c r="B1417" s="9" t="s">
        <v>1715</v>
      </c>
      <c r="C1417" s="12" t="s">
        <v>53</v>
      </c>
      <c r="D1417" s="14" t="s">
        <v>1679</v>
      </c>
      <c r="E1417" s="16"/>
      <c r="F1417" s="8"/>
      <c r="G1417" s="16"/>
      <c r="H1417" s="8"/>
      <c r="I1417" s="16"/>
    </row>
    <row r="1418" outlineLevel="1">
      <c r="A1418" s="9" t="s">
        <v>1716</v>
      </c>
      <c r="B1418" s="9" t="s">
        <v>676</v>
      </c>
      <c r="C1418" s="12" t="s">
        <v>65</v>
      </c>
      <c r="D1418" s="14" t="s">
        <v>1679</v>
      </c>
      <c r="E1418" s="16"/>
      <c r="F1418" s="8"/>
      <c r="G1418" s="16"/>
      <c r="H1418" s="8"/>
      <c r="I1418" s="16"/>
    </row>
    <row r="1419" outlineLevel="1">
      <c r="A1419" s="9" t="s">
        <v>1097</v>
      </c>
      <c r="B1419" s="9" t="s">
        <v>1209</v>
      </c>
      <c r="C1419" s="12" t="s">
        <v>16</v>
      </c>
      <c r="D1419" s="14" t="s">
        <v>1679</v>
      </c>
      <c r="E1419" s="16"/>
      <c r="F1419" s="8"/>
      <c r="G1419" s="16"/>
      <c r="H1419" s="8"/>
      <c r="I1419" s="16"/>
    </row>
    <row r="1420" outlineLevel="1">
      <c r="A1420" s="9" t="s">
        <v>1717</v>
      </c>
      <c r="B1420" s="9" t="s">
        <v>436</v>
      </c>
      <c r="C1420" s="12" t="s">
        <v>141</v>
      </c>
      <c r="D1420" s="14" t="s">
        <v>1679</v>
      </c>
      <c r="E1420" s="16"/>
      <c r="F1420" s="8"/>
      <c r="G1420" s="16"/>
      <c r="H1420" s="8"/>
      <c r="I1420" s="16"/>
    </row>
    <row r="1421" outlineLevel="1">
      <c r="A1421" s="9" t="s">
        <v>1718</v>
      </c>
      <c r="B1421" s="9" t="s">
        <v>252</v>
      </c>
      <c r="C1421" s="12" t="s">
        <v>141</v>
      </c>
      <c r="D1421" s="14" t="s">
        <v>1679</v>
      </c>
      <c r="E1421" s="16"/>
      <c r="F1421" s="8"/>
      <c r="G1421" s="16"/>
      <c r="H1421" s="8"/>
      <c r="I1421" s="16"/>
    </row>
    <row r="1422" outlineLevel="1">
      <c r="A1422" s="9" t="s">
        <v>14</v>
      </c>
      <c r="B1422" s="9" t="s">
        <v>1719</v>
      </c>
      <c r="C1422" s="12" t="s">
        <v>65</v>
      </c>
      <c r="D1422" s="14" t="s">
        <v>1679</v>
      </c>
      <c r="E1422" s="16"/>
      <c r="F1422" s="8"/>
      <c r="G1422" s="16"/>
      <c r="H1422" s="8"/>
      <c r="I1422" s="16"/>
    </row>
    <row r="1423" outlineLevel="1">
      <c r="A1423" s="9" t="s">
        <v>1720</v>
      </c>
      <c r="B1423" s="9" t="s">
        <v>1376</v>
      </c>
      <c r="C1423" s="12" t="s">
        <v>138</v>
      </c>
      <c r="D1423" s="14" t="s">
        <v>1679</v>
      </c>
      <c r="E1423" s="16"/>
      <c r="F1423" s="8"/>
      <c r="G1423" s="16"/>
      <c r="H1423" s="8"/>
      <c r="I1423" s="16"/>
    </row>
    <row r="1424" outlineLevel="1">
      <c r="A1424" s="9" t="s">
        <v>1721</v>
      </c>
      <c r="B1424" s="9" t="s">
        <v>33</v>
      </c>
      <c r="C1424" s="12" t="s">
        <v>70</v>
      </c>
      <c r="D1424" s="14" t="s">
        <v>1679</v>
      </c>
      <c r="E1424" s="16"/>
      <c r="F1424" s="8"/>
      <c r="G1424" s="16"/>
      <c r="H1424" s="8"/>
      <c r="I1424" s="16"/>
    </row>
    <row r="1425" outlineLevel="1">
      <c r="A1425" s="9" t="s">
        <v>106</v>
      </c>
      <c r="B1425" s="9" t="s">
        <v>140</v>
      </c>
      <c r="C1425" s="12" t="s">
        <v>93</v>
      </c>
      <c r="D1425" s="14" t="s">
        <v>1679</v>
      </c>
      <c r="E1425" s="16"/>
      <c r="F1425" s="8"/>
      <c r="G1425" s="16"/>
      <c r="H1425" s="8"/>
      <c r="I1425" s="16"/>
    </row>
    <row r="1426" outlineLevel="1">
      <c r="A1426" s="9" t="s">
        <v>106</v>
      </c>
      <c r="B1426" s="9" t="s">
        <v>1722</v>
      </c>
      <c r="C1426" s="12" t="s">
        <v>186</v>
      </c>
      <c r="D1426" s="14" t="s">
        <v>1679</v>
      </c>
      <c r="E1426" s="16"/>
      <c r="F1426" s="8"/>
      <c r="G1426" s="16"/>
      <c r="H1426" s="8"/>
      <c r="I1426" s="16"/>
    </row>
    <row r="1427" outlineLevel="1">
      <c r="A1427" s="9" t="s">
        <v>1723</v>
      </c>
      <c r="B1427" s="9" t="s">
        <v>1724</v>
      </c>
      <c r="C1427" s="12" t="s">
        <v>186</v>
      </c>
      <c r="D1427" s="14" t="s">
        <v>1679</v>
      </c>
      <c r="E1427" s="16"/>
      <c r="F1427" s="8"/>
      <c r="G1427" s="16"/>
      <c r="H1427" s="8"/>
      <c r="I1427" s="16"/>
    </row>
    <row r="1428" outlineLevel="1">
      <c r="A1428" s="9" t="s">
        <v>1725</v>
      </c>
      <c r="B1428" s="9" t="s">
        <v>1726</v>
      </c>
      <c r="C1428" s="12" t="s">
        <v>93</v>
      </c>
      <c r="D1428" s="14" t="s">
        <v>1679</v>
      </c>
      <c r="E1428" s="16"/>
      <c r="F1428" s="8"/>
      <c r="G1428" s="16"/>
      <c r="H1428" s="8"/>
      <c r="I1428" s="16"/>
    </row>
    <row r="1429" outlineLevel="1">
      <c r="A1429" s="9" t="s">
        <v>1727</v>
      </c>
      <c r="B1429" s="9" t="s">
        <v>377</v>
      </c>
      <c r="C1429" s="12" t="s">
        <v>12</v>
      </c>
      <c r="D1429" s="14" t="s">
        <v>1679</v>
      </c>
      <c r="E1429" s="16"/>
      <c r="F1429" s="8"/>
      <c r="G1429" s="16"/>
      <c r="H1429" s="8"/>
      <c r="I1429" s="16"/>
    </row>
    <row r="1430" outlineLevel="1">
      <c r="A1430" s="9" t="s">
        <v>1728</v>
      </c>
      <c r="B1430" s="9" t="s">
        <v>299</v>
      </c>
      <c r="C1430" s="12" t="s">
        <v>24</v>
      </c>
      <c r="D1430" s="14" t="s">
        <v>1679</v>
      </c>
      <c r="E1430" s="16"/>
      <c r="F1430" s="8"/>
      <c r="G1430" s="16"/>
      <c r="H1430" s="8"/>
      <c r="I1430" s="16"/>
    </row>
    <row r="1431" outlineLevel="1">
      <c r="A1431" s="9" t="s">
        <v>1729</v>
      </c>
      <c r="B1431" s="9" t="s">
        <v>100</v>
      </c>
      <c r="C1431" s="12" t="s">
        <v>132</v>
      </c>
      <c r="D1431" s="14" t="s">
        <v>1679</v>
      </c>
      <c r="E1431" s="16"/>
      <c r="F1431" s="8"/>
      <c r="G1431" s="16"/>
      <c r="H1431" s="8"/>
      <c r="I1431" s="16"/>
    </row>
    <row r="1432" outlineLevel="1">
      <c r="A1432" s="9" t="s">
        <v>1730</v>
      </c>
      <c r="B1432" s="9" t="s">
        <v>197</v>
      </c>
      <c r="C1432" s="12" t="s">
        <v>12</v>
      </c>
      <c r="D1432" s="14" t="s">
        <v>1679</v>
      </c>
      <c r="E1432" s="16"/>
      <c r="F1432" s="8"/>
      <c r="G1432" s="16"/>
      <c r="H1432" s="8"/>
      <c r="I1432" s="16"/>
    </row>
    <row r="1433" outlineLevel="1">
      <c r="A1433" s="9" t="s">
        <v>1118</v>
      </c>
      <c r="B1433" s="9" t="s">
        <v>275</v>
      </c>
      <c r="C1433" s="12" t="s">
        <v>70</v>
      </c>
      <c r="D1433" s="14" t="s">
        <v>1679</v>
      </c>
      <c r="E1433" s="16"/>
      <c r="F1433" s="18"/>
      <c r="G1433" s="19"/>
      <c r="H1433" s="18"/>
      <c r="I1433" s="19"/>
    </row>
    <row r="1434" outlineLevel="1">
      <c r="A1434" s="9" t="s">
        <v>248</v>
      </c>
      <c r="B1434" s="9" t="s">
        <v>558</v>
      </c>
      <c r="C1434" s="12" t="s">
        <v>186</v>
      </c>
      <c r="D1434" s="14" t="s">
        <v>1679</v>
      </c>
      <c r="E1434" s="16"/>
      <c r="F1434" s="8"/>
      <c r="G1434" s="16"/>
      <c r="H1434" s="8"/>
      <c r="I1434" s="16"/>
    </row>
    <row r="1435" outlineLevel="1">
      <c r="A1435" s="9" t="s">
        <v>1731</v>
      </c>
      <c r="B1435" s="9" t="s">
        <v>1732</v>
      </c>
      <c r="C1435" s="12" t="s">
        <v>215</v>
      </c>
      <c r="D1435" s="14" t="s">
        <v>1679</v>
      </c>
      <c r="E1435" s="16"/>
      <c r="F1435" s="8"/>
      <c r="G1435" s="16"/>
      <c r="H1435" s="8"/>
      <c r="I1435" s="16"/>
    </row>
    <row r="1436" outlineLevel="1">
      <c r="A1436" s="9" t="s">
        <v>726</v>
      </c>
      <c r="B1436" s="9" t="s">
        <v>1733</v>
      </c>
      <c r="C1436" s="12" t="s">
        <v>80</v>
      </c>
      <c r="D1436" s="14" t="s">
        <v>1679</v>
      </c>
      <c r="E1436" s="16"/>
      <c r="F1436" s="8"/>
      <c r="G1436" s="16"/>
      <c r="H1436" s="8"/>
      <c r="I1436" s="16"/>
    </row>
    <row r="1437" outlineLevel="1">
      <c r="A1437" s="9" t="s">
        <v>1734</v>
      </c>
      <c r="B1437" s="9" t="s">
        <v>1735</v>
      </c>
      <c r="C1437" s="12" t="s">
        <v>122</v>
      </c>
      <c r="D1437" s="14" t="s">
        <v>1679</v>
      </c>
      <c r="E1437" s="16"/>
      <c r="F1437" s="8"/>
      <c r="G1437" s="16"/>
      <c r="H1437" s="8"/>
      <c r="I1437" s="16"/>
    </row>
    <row r="1438" outlineLevel="1">
      <c r="A1438" s="9" t="s">
        <v>90</v>
      </c>
      <c r="B1438" s="9" t="s">
        <v>1736</v>
      </c>
      <c r="C1438" s="12" t="s">
        <v>80</v>
      </c>
      <c r="D1438" s="14" t="s">
        <v>1679</v>
      </c>
      <c r="E1438" s="16"/>
      <c r="F1438" s="8"/>
      <c r="G1438" s="16"/>
      <c r="H1438" s="8"/>
      <c r="I1438" s="16"/>
    </row>
    <row r="1439" outlineLevel="1">
      <c r="A1439" s="9" t="s">
        <v>1737</v>
      </c>
      <c r="B1439" s="9" t="s">
        <v>304</v>
      </c>
      <c r="C1439" s="12" t="s">
        <v>70</v>
      </c>
      <c r="D1439" s="14" t="s">
        <v>1679</v>
      </c>
      <c r="E1439" s="16"/>
      <c r="F1439" s="8"/>
      <c r="G1439" s="16"/>
      <c r="H1439" s="8"/>
      <c r="I1439" s="16"/>
    </row>
    <row r="1440" outlineLevel="1">
      <c r="A1440" s="9" t="s">
        <v>1738</v>
      </c>
      <c r="B1440" s="9" t="s">
        <v>1739</v>
      </c>
      <c r="C1440" s="12" t="s">
        <v>65</v>
      </c>
      <c r="D1440" s="14" t="s">
        <v>1679</v>
      </c>
      <c r="E1440" s="16"/>
      <c r="F1440" s="8"/>
      <c r="G1440" s="16"/>
      <c r="H1440" s="8"/>
      <c r="I1440" s="16"/>
    </row>
    <row r="1441" outlineLevel="1">
      <c r="A1441" s="9" t="s">
        <v>1740</v>
      </c>
      <c r="B1441" s="9" t="s">
        <v>1741</v>
      </c>
      <c r="C1441" s="12" t="s">
        <v>70</v>
      </c>
      <c r="D1441" s="14" t="s">
        <v>1679</v>
      </c>
      <c r="E1441" s="16"/>
      <c r="F1441" s="8"/>
      <c r="G1441" s="16"/>
      <c r="H1441" s="8"/>
      <c r="I1441" s="16"/>
    </row>
    <row r="1442" outlineLevel="1">
      <c r="A1442" s="9" t="s">
        <v>498</v>
      </c>
      <c r="B1442" s="9" t="s">
        <v>1742</v>
      </c>
      <c r="C1442" s="12" t="s">
        <v>122</v>
      </c>
      <c r="D1442" s="14" t="s">
        <v>1679</v>
      </c>
      <c r="E1442" s="16"/>
      <c r="F1442" s="8"/>
      <c r="G1442" s="16"/>
      <c r="H1442" s="8"/>
      <c r="I1442" s="16"/>
    </row>
    <row r="1443" outlineLevel="1">
      <c r="A1443" s="9" t="s">
        <v>1410</v>
      </c>
      <c r="B1443" s="9" t="s">
        <v>676</v>
      </c>
      <c r="C1443" s="12" t="s">
        <v>24</v>
      </c>
      <c r="D1443" s="14" t="s">
        <v>1679</v>
      </c>
      <c r="E1443" s="16"/>
      <c r="F1443" s="8"/>
      <c r="G1443" s="16"/>
      <c r="H1443" s="8"/>
      <c r="I1443" s="16"/>
    </row>
    <row r="1444" outlineLevel="1">
      <c r="A1444" s="9" t="s">
        <v>1130</v>
      </c>
      <c r="B1444" s="9" t="s">
        <v>1743</v>
      </c>
      <c r="C1444" s="12" t="s">
        <v>93</v>
      </c>
      <c r="D1444" s="14" t="s">
        <v>1679</v>
      </c>
      <c r="E1444" s="16"/>
      <c r="F1444" s="8"/>
      <c r="G1444" s="16"/>
      <c r="H1444" s="8"/>
      <c r="I1444" s="16"/>
    </row>
    <row r="1445" outlineLevel="1">
      <c r="A1445" s="9" t="s">
        <v>1744</v>
      </c>
      <c r="B1445" s="9" t="s">
        <v>260</v>
      </c>
      <c r="C1445" s="12" t="s">
        <v>70</v>
      </c>
      <c r="D1445" s="14" t="s">
        <v>1679</v>
      </c>
      <c r="E1445" s="16"/>
      <c r="F1445" s="18"/>
      <c r="G1445" s="19"/>
      <c r="H1445" s="18"/>
      <c r="I1445" s="19"/>
    </row>
    <row r="1446" outlineLevel="1">
      <c r="A1446" s="9" t="s">
        <v>1745</v>
      </c>
      <c r="B1446" s="9" t="s">
        <v>222</v>
      </c>
      <c r="C1446" s="12" t="s">
        <v>38</v>
      </c>
      <c r="D1446" s="14" t="s">
        <v>1679</v>
      </c>
      <c r="E1446" s="16"/>
      <c r="F1446" s="8"/>
      <c r="G1446" s="16"/>
      <c r="H1446" s="8"/>
      <c r="I1446" s="16"/>
    </row>
    <row r="1447" outlineLevel="1">
      <c r="A1447" s="9" t="s">
        <v>195</v>
      </c>
      <c r="B1447" s="9" t="s">
        <v>1644</v>
      </c>
      <c r="C1447" s="12" t="s">
        <v>70</v>
      </c>
      <c r="D1447" s="14" t="s">
        <v>1679</v>
      </c>
      <c r="E1447" s="16"/>
      <c r="F1447" s="8"/>
      <c r="G1447" s="16"/>
      <c r="H1447" s="8"/>
      <c r="I1447" s="16"/>
    </row>
    <row r="1448" outlineLevel="1">
      <c r="A1448" s="9" t="s">
        <v>500</v>
      </c>
      <c r="B1448" s="9" t="s">
        <v>1746</v>
      </c>
      <c r="C1448" s="12" t="s">
        <v>65</v>
      </c>
      <c r="D1448" s="14" t="s">
        <v>1679</v>
      </c>
      <c r="E1448" s="16"/>
      <c r="F1448" s="8"/>
      <c r="G1448" s="16"/>
      <c r="H1448" s="8"/>
      <c r="I1448" s="16"/>
    </row>
    <row r="1449" outlineLevel="1">
      <c r="A1449" s="9" t="s">
        <v>1747</v>
      </c>
      <c r="B1449" s="9" t="s">
        <v>1015</v>
      </c>
      <c r="C1449" s="12" t="s">
        <v>122</v>
      </c>
      <c r="D1449" s="14" t="s">
        <v>1679</v>
      </c>
      <c r="E1449" s="16"/>
      <c r="F1449" s="18"/>
      <c r="G1449" s="19"/>
      <c r="H1449" s="18"/>
      <c r="I1449" s="19"/>
    </row>
    <row r="1450" outlineLevel="1">
      <c r="A1450" s="9" t="s">
        <v>1748</v>
      </c>
      <c r="B1450" s="9" t="s">
        <v>1749</v>
      </c>
      <c r="C1450" s="12" t="s">
        <v>149</v>
      </c>
      <c r="D1450" s="14" t="s">
        <v>1679</v>
      </c>
      <c r="E1450" s="16"/>
      <c r="F1450" s="8"/>
      <c r="G1450" s="16"/>
      <c r="H1450" s="8"/>
      <c r="I1450" s="16"/>
    </row>
    <row r="1451" outlineLevel="1">
      <c r="A1451" s="9" t="s">
        <v>1750</v>
      </c>
      <c r="B1451" s="9" t="s">
        <v>1751</v>
      </c>
      <c r="C1451" s="12" t="s">
        <v>65</v>
      </c>
      <c r="D1451" s="14" t="s">
        <v>1679</v>
      </c>
      <c r="E1451" s="16"/>
      <c r="F1451" s="8"/>
      <c r="G1451" s="16"/>
      <c r="H1451" s="8"/>
      <c r="I1451" s="16"/>
    </row>
    <row r="1452" outlineLevel="1">
      <c r="A1452" s="18" t="s">
        <v>1752</v>
      </c>
      <c r="B1452" s="9" t="s">
        <v>1753</v>
      </c>
      <c r="C1452" s="12" t="s">
        <v>192</v>
      </c>
      <c r="D1452" s="14" t="s">
        <v>1679</v>
      </c>
      <c r="E1452" s="16"/>
      <c r="F1452" s="8"/>
      <c r="G1452" s="16"/>
      <c r="H1452" s="8"/>
      <c r="I1452" s="16"/>
    </row>
    <row r="1453" outlineLevel="1">
      <c r="A1453" s="9" t="s">
        <v>359</v>
      </c>
      <c r="B1453" s="18" t="s">
        <v>260</v>
      </c>
      <c r="C1453" s="19" t="s">
        <v>186</v>
      </c>
      <c r="D1453" s="14" t="s">
        <v>1679</v>
      </c>
      <c r="E1453" s="16"/>
      <c r="F1453" s="8"/>
      <c r="G1453" s="16"/>
      <c r="H1453" s="8"/>
      <c r="I1453" s="16"/>
    </row>
    <row r="1454" outlineLevel="1">
      <c r="A1454" s="9" t="s">
        <v>1754</v>
      </c>
      <c r="B1454" s="9" t="s">
        <v>1755</v>
      </c>
      <c r="C1454" s="12" t="s">
        <v>80</v>
      </c>
      <c r="D1454" s="14" t="s">
        <v>1679</v>
      </c>
      <c r="E1454" s="16"/>
      <c r="F1454" s="8"/>
      <c r="G1454" s="16"/>
      <c r="H1454" s="8"/>
      <c r="I1454" s="16"/>
    </row>
    <row r="1455" outlineLevel="1">
      <c r="A1455" s="9" t="s">
        <v>502</v>
      </c>
      <c r="B1455" s="9" t="s">
        <v>1756</v>
      </c>
      <c r="C1455" s="12" t="s">
        <v>46</v>
      </c>
      <c r="D1455" s="14" t="s">
        <v>1679</v>
      </c>
      <c r="E1455" s="16"/>
      <c r="F1455" s="8"/>
      <c r="G1455" s="16"/>
      <c r="H1455" s="8"/>
      <c r="I1455" s="16"/>
    </row>
    <row r="1456" outlineLevel="1">
      <c r="A1456" s="9" t="s">
        <v>502</v>
      </c>
      <c r="B1456" s="9" t="s">
        <v>480</v>
      </c>
      <c r="C1456" s="12" t="s">
        <v>186</v>
      </c>
      <c r="D1456" s="14" t="s">
        <v>1679</v>
      </c>
      <c r="E1456" s="16"/>
      <c r="F1456" s="18"/>
      <c r="G1456" s="19"/>
      <c r="H1456" s="18"/>
      <c r="I1456" s="19"/>
    </row>
    <row r="1457" outlineLevel="1">
      <c r="A1457" s="9" t="s">
        <v>197</v>
      </c>
      <c r="B1457" s="9" t="s">
        <v>1028</v>
      </c>
      <c r="C1457" s="12" t="s">
        <v>38</v>
      </c>
      <c r="D1457" s="14" t="s">
        <v>1679</v>
      </c>
      <c r="E1457" s="16"/>
      <c r="F1457" s="8"/>
      <c r="G1457" s="16"/>
      <c r="H1457" s="8"/>
      <c r="I1457" s="16"/>
    </row>
    <row r="1458" outlineLevel="1">
      <c r="A1458" s="9" t="s">
        <v>361</v>
      </c>
      <c r="B1458" s="9" t="s">
        <v>1338</v>
      </c>
      <c r="C1458" s="12" t="s">
        <v>24</v>
      </c>
      <c r="D1458" s="14" t="s">
        <v>1679</v>
      </c>
      <c r="E1458" s="16"/>
      <c r="F1458" s="8"/>
      <c r="G1458" s="16"/>
      <c r="H1458" s="8"/>
      <c r="I1458" s="16"/>
    </row>
    <row r="1459" outlineLevel="1">
      <c r="A1459" s="18" t="s">
        <v>1757</v>
      </c>
      <c r="B1459" s="9" t="s">
        <v>1758</v>
      </c>
      <c r="C1459" s="12" t="s">
        <v>46</v>
      </c>
      <c r="D1459" s="14" t="s">
        <v>1679</v>
      </c>
      <c r="E1459" s="16"/>
      <c r="F1459" s="18"/>
      <c r="G1459" s="19"/>
      <c r="H1459" s="18"/>
      <c r="I1459" s="19"/>
    </row>
    <row r="1460" outlineLevel="1">
      <c r="A1460" s="9" t="s">
        <v>61</v>
      </c>
      <c r="B1460" s="18" t="s">
        <v>304</v>
      </c>
      <c r="C1460" s="19" t="s">
        <v>65</v>
      </c>
      <c r="D1460" s="14" t="s">
        <v>1679</v>
      </c>
      <c r="E1460" s="16"/>
      <c r="F1460" s="8"/>
      <c r="G1460" s="16"/>
      <c r="H1460" s="8"/>
      <c r="I1460" s="16"/>
    </row>
    <row r="1461" outlineLevel="1">
      <c r="A1461" s="9" t="s">
        <v>61</v>
      </c>
      <c r="B1461" s="9" t="s">
        <v>1759</v>
      </c>
      <c r="C1461" s="12" t="s">
        <v>65</v>
      </c>
      <c r="D1461" s="14" t="s">
        <v>1679</v>
      </c>
      <c r="E1461" s="16"/>
      <c r="F1461" s="8"/>
      <c r="G1461" s="16"/>
      <c r="H1461" s="8"/>
      <c r="I1461" s="16"/>
    </row>
    <row r="1462" outlineLevel="1">
      <c r="A1462" s="9" t="s">
        <v>61</v>
      </c>
      <c r="B1462" s="9" t="s">
        <v>137</v>
      </c>
      <c r="C1462" s="12" t="s">
        <v>93</v>
      </c>
      <c r="D1462" s="14" t="s">
        <v>1679</v>
      </c>
      <c r="E1462" s="16"/>
      <c r="F1462" s="8"/>
      <c r="G1462" s="16"/>
      <c r="H1462" s="8"/>
      <c r="I1462" s="16"/>
    </row>
    <row r="1463" outlineLevel="1">
      <c r="A1463" s="9" t="s">
        <v>1422</v>
      </c>
      <c r="B1463" s="9" t="s">
        <v>1760</v>
      </c>
      <c r="C1463" s="12" t="s">
        <v>70</v>
      </c>
      <c r="D1463" s="14" t="s">
        <v>1679</v>
      </c>
      <c r="E1463" s="16"/>
      <c r="F1463" s="8"/>
      <c r="G1463" s="16"/>
      <c r="H1463" s="8"/>
      <c r="I1463" s="16"/>
    </row>
    <row r="1464" outlineLevel="1">
      <c r="A1464" s="9" t="s">
        <v>61</v>
      </c>
      <c r="B1464" s="9" t="s">
        <v>337</v>
      </c>
      <c r="C1464" s="12" t="s">
        <v>65</v>
      </c>
      <c r="D1464" s="14" t="s">
        <v>1679</v>
      </c>
      <c r="E1464" s="16"/>
      <c r="F1464" s="8"/>
      <c r="G1464" s="16"/>
      <c r="H1464" s="8"/>
      <c r="I1464" s="16"/>
    </row>
    <row r="1465" outlineLevel="1">
      <c r="A1465" s="9" t="s">
        <v>1761</v>
      </c>
      <c r="B1465" s="9" t="s">
        <v>176</v>
      </c>
      <c r="C1465" s="12" t="s">
        <v>70</v>
      </c>
      <c r="D1465" s="14" t="s">
        <v>1679</v>
      </c>
      <c r="E1465" s="16"/>
      <c r="F1465" s="8"/>
      <c r="G1465" s="16"/>
      <c r="H1465" s="8"/>
      <c r="I1465" s="16"/>
    </row>
    <row r="1466" outlineLevel="1">
      <c r="A1466" s="9" t="s">
        <v>974</v>
      </c>
      <c r="B1466" s="9" t="s">
        <v>1762</v>
      </c>
      <c r="C1466" s="12" t="s">
        <v>93</v>
      </c>
      <c r="D1466" s="14" t="s">
        <v>1679</v>
      </c>
      <c r="E1466" s="16"/>
      <c r="F1466" s="8"/>
      <c r="G1466" s="16"/>
      <c r="H1466" s="8"/>
      <c r="I1466" s="16"/>
    </row>
    <row r="1467" outlineLevel="1">
      <c r="A1467" s="9" t="s">
        <v>1763</v>
      </c>
      <c r="B1467" s="9" t="s">
        <v>231</v>
      </c>
      <c r="C1467" s="12" t="s">
        <v>53</v>
      </c>
      <c r="D1467" s="14" t="s">
        <v>1679</v>
      </c>
      <c r="E1467" s="16"/>
      <c r="F1467" s="8"/>
      <c r="G1467" s="16"/>
      <c r="H1467" s="8"/>
      <c r="I1467" s="16"/>
    </row>
    <row r="1468" outlineLevel="1">
      <c r="A1468" s="9" t="s">
        <v>1764</v>
      </c>
      <c r="B1468" s="9" t="s">
        <v>726</v>
      </c>
      <c r="C1468" s="12" t="s">
        <v>149</v>
      </c>
      <c r="D1468" s="14" t="s">
        <v>1679</v>
      </c>
      <c r="E1468" s="16"/>
      <c r="F1468" s="8"/>
      <c r="G1468" s="16"/>
      <c r="H1468" s="8"/>
      <c r="I1468" s="16"/>
    </row>
    <row r="1469" outlineLevel="1">
      <c r="A1469" s="9" t="s">
        <v>1149</v>
      </c>
      <c r="B1469" s="9" t="s">
        <v>1765</v>
      </c>
      <c r="C1469" s="12" t="s">
        <v>65</v>
      </c>
      <c r="D1469" s="14" t="s">
        <v>1679</v>
      </c>
      <c r="E1469" s="16"/>
      <c r="F1469" s="8"/>
      <c r="G1469" s="16"/>
      <c r="H1469" s="8"/>
      <c r="I1469" s="16"/>
    </row>
    <row r="1470" outlineLevel="1">
      <c r="A1470" s="9" t="s">
        <v>1766</v>
      </c>
      <c r="B1470" s="9" t="s">
        <v>1283</v>
      </c>
      <c r="C1470" s="12" t="s">
        <v>16</v>
      </c>
      <c r="D1470" s="14" t="s">
        <v>1679</v>
      </c>
      <c r="E1470" s="16"/>
      <c r="F1470" s="8"/>
      <c r="G1470" s="16"/>
      <c r="H1470" s="8"/>
      <c r="I1470" s="16"/>
    </row>
    <row r="1471" outlineLevel="1">
      <c r="A1471" s="9" t="s">
        <v>1767</v>
      </c>
      <c r="B1471" s="9" t="s">
        <v>1768</v>
      </c>
      <c r="C1471" s="12" t="s">
        <v>53</v>
      </c>
      <c r="D1471" s="14" t="s">
        <v>1679</v>
      </c>
      <c r="E1471" s="16"/>
      <c r="F1471" s="8"/>
      <c r="G1471" s="16"/>
      <c r="H1471" s="8"/>
      <c r="I1471" s="16"/>
    </row>
    <row r="1472" outlineLevel="1">
      <c r="A1472" s="9" t="s">
        <v>888</v>
      </c>
      <c r="B1472" s="9" t="s">
        <v>1769</v>
      </c>
      <c r="C1472" s="12" t="s">
        <v>93</v>
      </c>
      <c r="D1472" s="14" t="s">
        <v>1679</v>
      </c>
      <c r="E1472" s="16"/>
      <c r="F1472" s="8"/>
      <c r="G1472" s="16"/>
      <c r="H1472" s="8"/>
      <c r="I1472" s="16"/>
    </row>
    <row r="1473" outlineLevel="1">
      <c r="A1473" s="9" t="s">
        <v>1158</v>
      </c>
      <c r="B1473" s="9" t="s">
        <v>494</v>
      </c>
      <c r="C1473" s="12" t="s">
        <v>141</v>
      </c>
      <c r="D1473" s="14" t="s">
        <v>1679</v>
      </c>
      <c r="E1473" s="16"/>
      <c r="F1473" s="8"/>
      <c r="G1473" s="16"/>
      <c r="H1473" s="8"/>
      <c r="I1473" s="16"/>
    </row>
    <row r="1474" outlineLevel="1">
      <c r="A1474" s="9" t="s">
        <v>1770</v>
      </c>
      <c r="B1474" s="9" t="s">
        <v>1771</v>
      </c>
      <c r="C1474" s="12" t="s">
        <v>53</v>
      </c>
      <c r="D1474" s="14" t="s">
        <v>1679</v>
      </c>
      <c r="E1474" s="16"/>
      <c r="F1474" s="8"/>
      <c r="G1474" s="16"/>
      <c r="H1474" s="8"/>
      <c r="I1474" s="16"/>
    </row>
    <row r="1475" outlineLevel="1">
      <c r="A1475" s="9" t="s">
        <v>1772</v>
      </c>
      <c r="B1475" s="9" t="s">
        <v>865</v>
      </c>
      <c r="C1475" s="12" t="s">
        <v>70</v>
      </c>
      <c r="D1475" s="14" t="s">
        <v>1679</v>
      </c>
      <c r="E1475" s="16"/>
      <c r="F1475" s="8"/>
      <c r="G1475" s="16"/>
      <c r="H1475" s="8"/>
      <c r="I1475" s="16"/>
    </row>
    <row r="1476" outlineLevel="1">
      <c r="A1476" s="9" t="s">
        <v>895</v>
      </c>
      <c r="B1476" s="9" t="s">
        <v>1773</v>
      </c>
      <c r="C1476" s="12" t="s">
        <v>70</v>
      </c>
      <c r="D1476" s="14" t="s">
        <v>1679</v>
      </c>
      <c r="E1476" s="16"/>
      <c r="F1476" s="8"/>
      <c r="G1476" s="16"/>
      <c r="H1476" s="8"/>
      <c r="I1476" s="16"/>
    </row>
    <row r="1477" outlineLevel="1">
      <c r="A1477" s="9" t="s">
        <v>1774</v>
      </c>
      <c r="B1477" s="9" t="s">
        <v>1775</v>
      </c>
      <c r="C1477" s="12" t="s">
        <v>93</v>
      </c>
      <c r="D1477" s="14" t="s">
        <v>1679</v>
      </c>
      <c r="E1477" s="16"/>
      <c r="F1477" s="8"/>
      <c r="G1477" s="16"/>
      <c r="H1477" s="8"/>
      <c r="I1477" s="16"/>
    </row>
    <row r="1478" outlineLevel="1">
      <c r="A1478" s="9" t="s">
        <v>1776</v>
      </c>
      <c r="B1478" s="9" t="s">
        <v>1486</v>
      </c>
      <c r="C1478" s="12" t="s">
        <v>59</v>
      </c>
      <c r="D1478" s="14" t="s">
        <v>1679</v>
      </c>
      <c r="E1478" s="16"/>
      <c r="F1478" s="8"/>
      <c r="G1478" s="16"/>
      <c r="H1478" s="8"/>
      <c r="I1478" s="16"/>
    </row>
    <row r="1479" outlineLevel="1">
      <c r="A1479" s="9" t="s">
        <v>1777</v>
      </c>
      <c r="B1479" s="9" t="s">
        <v>464</v>
      </c>
      <c r="C1479" s="12" t="s">
        <v>70</v>
      </c>
      <c r="D1479" s="14" t="s">
        <v>1679</v>
      </c>
      <c r="E1479" s="16"/>
      <c r="F1479" s="8"/>
      <c r="G1479" s="16"/>
      <c r="H1479" s="8"/>
      <c r="I1479" s="16"/>
    </row>
    <row r="1480" outlineLevel="1">
      <c r="A1480" s="9" t="s">
        <v>897</v>
      </c>
      <c r="B1480" s="9" t="s">
        <v>342</v>
      </c>
      <c r="C1480" s="12" t="s">
        <v>70</v>
      </c>
      <c r="D1480" s="14" t="s">
        <v>1679</v>
      </c>
      <c r="E1480" s="16"/>
      <c r="F1480" s="8"/>
      <c r="G1480" s="16"/>
      <c r="H1480" s="8"/>
      <c r="I1480" s="16"/>
    </row>
    <row r="1481" outlineLevel="1">
      <c r="A1481" s="9" t="s">
        <v>897</v>
      </c>
      <c r="B1481" s="9" t="s">
        <v>299</v>
      </c>
      <c r="C1481" s="12" t="s">
        <v>12</v>
      </c>
      <c r="D1481" s="14" t="s">
        <v>1679</v>
      </c>
      <c r="E1481" s="16"/>
      <c r="F1481" s="8"/>
      <c r="G1481" s="16"/>
      <c r="H1481" s="8"/>
      <c r="I1481" s="16"/>
    </row>
    <row r="1482" outlineLevel="1">
      <c r="A1482" s="9" t="s">
        <v>1778</v>
      </c>
      <c r="B1482" s="9" t="s">
        <v>1779</v>
      </c>
      <c r="C1482" s="12" t="s">
        <v>59</v>
      </c>
      <c r="D1482" s="14" t="s">
        <v>1679</v>
      </c>
      <c r="E1482" s="16"/>
      <c r="F1482" s="8"/>
      <c r="G1482" s="16"/>
      <c r="H1482" s="8"/>
      <c r="I1482" s="16"/>
    </row>
    <row r="1483" outlineLevel="1">
      <c r="A1483" s="9" t="s">
        <v>1780</v>
      </c>
      <c r="B1483" s="9" t="s">
        <v>558</v>
      </c>
      <c r="C1483" s="12" t="s">
        <v>132</v>
      </c>
      <c r="D1483" s="14" t="s">
        <v>1679</v>
      </c>
      <c r="E1483" s="16"/>
      <c r="F1483" s="8"/>
      <c r="G1483" s="16"/>
      <c r="H1483" s="8"/>
      <c r="I1483" s="16"/>
    </row>
    <row r="1484" outlineLevel="1">
      <c r="A1484" s="9" t="s">
        <v>1781</v>
      </c>
      <c r="B1484" s="9" t="s">
        <v>177</v>
      </c>
      <c r="C1484" s="12" t="s">
        <v>24</v>
      </c>
      <c r="D1484" s="14" t="s">
        <v>1679</v>
      </c>
      <c r="E1484" s="16"/>
      <c r="F1484" s="8"/>
      <c r="G1484" s="16"/>
      <c r="H1484" s="8"/>
      <c r="I1484" s="16"/>
    </row>
    <row r="1485" outlineLevel="1">
      <c r="A1485" s="9" t="s">
        <v>1164</v>
      </c>
      <c r="B1485" s="9" t="s">
        <v>263</v>
      </c>
      <c r="C1485" s="12" t="s">
        <v>59</v>
      </c>
      <c r="D1485" s="14" t="s">
        <v>1679</v>
      </c>
      <c r="E1485" s="16"/>
      <c r="F1485" s="8"/>
      <c r="G1485" s="16"/>
      <c r="H1485" s="8"/>
      <c r="I1485" s="16"/>
    </row>
    <row r="1486" outlineLevel="1">
      <c r="A1486" s="9" t="s">
        <v>1164</v>
      </c>
      <c r="B1486" s="9" t="s">
        <v>381</v>
      </c>
      <c r="C1486" s="12" t="s">
        <v>80</v>
      </c>
      <c r="D1486" s="14" t="s">
        <v>1679</v>
      </c>
      <c r="E1486" s="16"/>
      <c r="F1486" s="8"/>
      <c r="G1486" s="16"/>
      <c r="H1486" s="8"/>
      <c r="I1486" s="16"/>
    </row>
    <row r="1487" outlineLevel="1">
      <c r="A1487" s="9" t="s">
        <v>1782</v>
      </c>
      <c r="B1487" s="9" t="s">
        <v>121</v>
      </c>
      <c r="C1487" s="12" t="s">
        <v>93</v>
      </c>
      <c r="D1487" s="14" t="s">
        <v>1679</v>
      </c>
      <c r="E1487" s="16"/>
      <c r="F1487" s="8"/>
      <c r="G1487" s="16"/>
      <c r="H1487" s="8"/>
      <c r="I1487" s="16"/>
    </row>
    <row r="1488" outlineLevel="1">
      <c r="A1488" s="9" t="s">
        <v>1783</v>
      </c>
      <c r="B1488" s="9" t="s">
        <v>1784</v>
      </c>
      <c r="C1488" s="12" t="s">
        <v>141</v>
      </c>
      <c r="D1488" s="14" t="s">
        <v>1679</v>
      </c>
      <c r="E1488" s="16"/>
      <c r="F1488" s="8"/>
      <c r="G1488" s="16"/>
      <c r="H1488" s="8"/>
      <c r="I1488" s="16"/>
    </row>
    <row r="1489" outlineLevel="1">
      <c r="A1489" s="9" t="s">
        <v>1785</v>
      </c>
      <c r="B1489" s="9" t="s">
        <v>320</v>
      </c>
      <c r="C1489" s="12" t="s">
        <v>16</v>
      </c>
      <c r="D1489" s="14" t="s">
        <v>1679</v>
      </c>
      <c r="E1489" s="16"/>
      <c r="F1489" s="8"/>
      <c r="G1489" s="16"/>
      <c r="H1489" s="8"/>
      <c r="I1489" s="16"/>
    </row>
    <row r="1490" outlineLevel="1">
      <c r="A1490" s="9" t="s">
        <v>906</v>
      </c>
      <c r="B1490" s="9" t="s">
        <v>1786</v>
      </c>
      <c r="C1490" s="12" t="s">
        <v>93</v>
      </c>
      <c r="D1490" s="14" t="s">
        <v>1679</v>
      </c>
      <c r="E1490" s="16"/>
      <c r="F1490" s="8"/>
      <c r="G1490" s="16"/>
      <c r="H1490" s="8"/>
      <c r="I1490" s="16"/>
    </row>
    <row r="1491" outlineLevel="1">
      <c r="A1491" s="9" t="s">
        <v>1787</v>
      </c>
      <c r="B1491" s="9" t="s">
        <v>1788</v>
      </c>
      <c r="C1491" s="12" t="s">
        <v>215</v>
      </c>
      <c r="D1491" s="14" t="s">
        <v>1679</v>
      </c>
      <c r="E1491" s="16"/>
      <c r="F1491" s="8"/>
      <c r="G1491" s="16"/>
      <c r="H1491" s="8"/>
      <c r="I1491" s="16"/>
    </row>
    <row r="1492" outlineLevel="1">
      <c r="A1492" s="9" t="s">
        <v>1789</v>
      </c>
      <c r="B1492" s="9" t="s">
        <v>212</v>
      </c>
      <c r="C1492" s="12" t="s">
        <v>24</v>
      </c>
      <c r="D1492" s="14" t="s">
        <v>1679</v>
      </c>
      <c r="E1492" s="16"/>
      <c r="F1492" s="8"/>
      <c r="G1492" s="16"/>
      <c r="H1492" s="8"/>
      <c r="I1492" s="16"/>
    </row>
    <row r="1493" outlineLevel="1">
      <c r="A1493" s="9" t="s">
        <v>1790</v>
      </c>
      <c r="B1493" s="9" t="s">
        <v>1791</v>
      </c>
      <c r="C1493" s="12" t="s">
        <v>53</v>
      </c>
      <c r="D1493" s="14" t="s">
        <v>1679</v>
      </c>
      <c r="E1493" s="16"/>
      <c r="F1493" s="8"/>
      <c r="G1493" s="16"/>
      <c r="H1493" s="8"/>
      <c r="I1493" s="16"/>
    </row>
    <row r="1494" outlineLevel="1">
      <c r="A1494" s="9" t="s">
        <v>1792</v>
      </c>
      <c r="B1494" s="9" t="s">
        <v>33</v>
      </c>
      <c r="C1494" s="12" t="s">
        <v>24</v>
      </c>
      <c r="D1494" s="14" t="s">
        <v>1679</v>
      </c>
      <c r="E1494" s="16"/>
      <c r="F1494" s="8"/>
      <c r="G1494" s="16"/>
      <c r="H1494" s="8"/>
      <c r="I1494" s="16"/>
    </row>
    <row r="1495" outlineLevel="1">
      <c r="A1495" s="9" t="s">
        <v>913</v>
      </c>
      <c r="B1495" s="9" t="s">
        <v>804</v>
      </c>
      <c r="C1495" s="12" t="s">
        <v>70</v>
      </c>
      <c r="D1495" s="14" t="s">
        <v>1679</v>
      </c>
      <c r="E1495" s="16"/>
      <c r="F1495" s="8"/>
      <c r="G1495" s="16"/>
      <c r="H1495" s="8"/>
      <c r="I1495" s="16"/>
    </row>
    <row r="1496" outlineLevel="1">
      <c r="A1496" s="9" t="s">
        <v>913</v>
      </c>
      <c r="B1496" s="9" t="s">
        <v>1633</v>
      </c>
      <c r="C1496" s="12" t="s">
        <v>93</v>
      </c>
      <c r="D1496" s="14" t="s">
        <v>1679</v>
      </c>
      <c r="E1496" s="16"/>
      <c r="F1496" s="8"/>
      <c r="G1496" s="16"/>
      <c r="H1496" s="8"/>
      <c r="I1496" s="16"/>
    </row>
    <row r="1497" outlineLevel="1">
      <c r="A1497" s="9" t="s">
        <v>683</v>
      </c>
      <c r="B1497" s="9" t="s">
        <v>183</v>
      </c>
      <c r="C1497" s="12" t="s">
        <v>93</v>
      </c>
      <c r="D1497" s="14" t="s">
        <v>1679</v>
      </c>
      <c r="E1497" s="16"/>
      <c r="F1497" s="8"/>
      <c r="G1497" s="16"/>
      <c r="H1497" s="8"/>
      <c r="I1497" s="16"/>
    </row>
    <row r="1498" outlineLevel="1">
      <c r="A1498" s="9" t="s">
        <v>683</v>
      </c>
      <c r="B1498" s="9" t="s">
        <v>1793</v>
      </c>
      <c r="C1498" s="12" t="s">
        <v>192</v>
      </c>
      <c r="D1498" s="14" t="s">
        <v>1679</v>
      </c>
      <c r="E1498" s="16"/>
      <c r="F1498" s="8"/>
      <c r="G1498" s="16"/>
      <c r="H1498" s="8"/>
      <c r="I1498" s="16"/>
    </row>
    <row r="1499" outlineLevel="1">
      <c r="A1499" s="9" t="s">
        <v>1794</v>
      </c>
      <c r="B1499" s="9" t="s">
        <v>1172</v>
      </c>
      <c r="C1499" s="12" t="s">
        <v>70</v>
      </c>
      <c r="D1499" s="14" t="s">
        <v>1679</v>
      </c>
      <c r="E1499" s="16"/>
      <c r="F1499" s="18"/>
      <c r="G1499" s="19"/>
      <c r="H1499" s="18"/>
      <c r="I1499" s="19"/>
    </row>
    <row r="1500" outlineLevel="1">
      <c r="A1500" s="9" t="s">
        <v>1795</v>
      </c>
      <c r="B1500" s="9" t="s">
        <v>146</v>
      </c>
      <c r="C1500" s="12" t="s">
        <v>138</v>
      </c>
      <c r="D1500" s="14" t="s">
        <v>1679</v>
      </c>
      <c r="E1500" s="16"/>
      <c r="F1500" s="8"/>
      <c r="G1500" s="16"/>
      <c r="H1500" s="8"/>
      <c r="I1500" s="16"/>
    </row>
    <row r="1501" outlineLevel="1">
      <c r="A1501" s="9" t="s">
        <v>1796</v>
      </c>
      <c r="B1501" s="9" t="s">
        <v>23</v>
      </c>
      <c r="C1501" s="12" t="s">
        <v>93</v>
      </c>
      <c r="D1501" s="14" t="s">
        <v>1679</v>
      </c>
      <c r="E1501" s="16"/>
      <c r="F1501" s="8"/>
      <c r="G1501" s="16"/>
      <c r="H1501" s="8"/>
      <c r="I1501" s="16"/>
    </row>
    <row r="1502" outlineLevel="1">
      <c r="A1502" s="9" t="s">
        <v>918</v>
      </c>
      <c r="B1502" s="9" t="s">
        <v>961</v>
      </c>
      <c r="C1502" s="12" t="s">
        <v>93</v>
      </c>
      <c r="D1502" s="14" t="s">
        <v>1679</v>
      </c>
      <c r="E1502" s="16"/>
      <c r="F1502" s="8"/>
      <c r="G1502" s="16"/>
      <c r="H1502" s="8"/>
      <c r="I1502" s="16"/>
    </row>
    <row r="1503" outlineLevel="1">
      <c r="A1503" s="9" t="s">
        <v>1797</v>
      </c>
      <c r="B1503" s="9" t="s">
        <v>713</v>
      </c>
      <c r="C1503" s="12" t="s">
        <v>24</v>
      </c>
      <c r="D1503" s="14" t="s">
        <v>1679</v>
      </c>
      <c r="E1503" s="16"/>
      <c r="F1503" s="8"/>
      <c r="G1503" s="16"/>
      <c r="H1503" s="8"/>
      <c r="I1503" s="16"/>
    </row>
    <row r="1504" outlineLevel="1">
      <c r="A1504" s="9" t="s">
        <v>1798</v>
      </c>
      <c r="B1504" s="9" t="s">
        <v>1799</v>
      </c>
      <c r="C1504" s="12" t="s">
        <v>70</v>
      </c>
      <c r="D1504" s="14" t="s">
        <v>1679</v>
      </c>
      <c r="E1504" s="16"/>
      <c r="F1504" s="8"/>
      <c r="G1504" s="16"/>
      <c r="H1504" s="8"/>
      <c r="I1504" s="16"/>
    </row>
    <row r="1505" outlineLevel="1">
      <c r="A1505" s="9" t="s">
        <v>1800</v>
      </c>
      <c r="B1505" s="9" t="s">
        <v>585</v>
      </c>
      <c r="C1505" s="12" t="s">
        <v>80</v>
      </c>
      <c r="D1505" s="14" t="s">
        <v>1679</v>
      </c>
      <c r="E1505" s="16"/>
      <c r="F1505" s="8"/>
      <c r="G1505" s="16"/>
      <c r="H1505" s="8"/>
      <c r="I1505" s="16"/>
    </row>
    <row r="1506" outlineLevel="1">
      <c r="A1506" s="9" t="s">
        <v>1801</v>
      </c>
      <c r="B1506" s="9" t="s">
        <v>50</v>
      </c>
      <c r="C1506" s="12" t="s">
        <v>59</v>
      </c>
      <c r="D1506" s="14" t="s">
        <v>1679</v>
      </c>
      <c r="E1506" s="16"/>
      <c r="F1506" s="8"/>
      <c r="G1506" s="16"/>
      <c r="H1506" s="8"/>
      <c r="I1506" s="16"/>
    </row>
    <row r="1507" outlineLevel="1">
      <c r="A1507" s="9" t="s">
        <v>1802</v>
      </c>
      <c r="B1507" s="9" t="s">
        <v>1803</v>
      </c>
      <c r="C1507" s="12" t="s">
        <v>65</v>
      </c>
      <c r="D1507" s="14" t="s">
        <v>1679</v>
      </c>
      <c r="E1507" s="16"/>
      <c r="F1507" s="8"/>
      <c r="G1507" s="16"/>
      <c r="H1507" s="8"/>
      <c r="I1507" s="16"/>
    </row>
    <row r="1508" outlineLevel="1">
      <c r="A1508" s="9" t="s">
        <v>1804</v>
      </c>
      <c r="B1508" s="9" t="s">
        <v>322</v>
      </c>
      <c r="C1508" s="12" t="s">
        <v>53</v>
      </c>
      <c r="D1508" s="14" t="s">
        <v>1679</v>
      </c>
      <c r="E1508" s="16"/>
      <c r="F1508" s="8"/>
      <c r="G1508" s="16"/>
      <c r="H1508" s="8"/>
      <c r="I1508" s="16"/>
    </row>
    <row r="1509" outlineLevel="1">
      <c r="A1509" s="9" t="s">
        <v>1805</v>
      </c>
      <c r="B1509" s="9" t="s">
        <v>1806</v>
      </c>
      <c r="C1509" s="12" t="s">
        <v>261</v>
      </c>
      <c r="D1509" s="14" t="s">
        <v>1679</v>
      </c>
      <c r="E1509" s="16"/>
      <c r="F1509" s="8"/>
      <c r="G1509" s="16"/>
      <c r="H1509" s="8"/>
      <c r="I1509" s="16"/>
    </row>
    <row r="1510" outlineLevel="1">
      <c r="A1510" s="9" t="s">
        <v>1807</v>
      </c>
      <c r="B1510" s="9" t="s">
        <v>1808</v>
      </c>
      <c r="C1510" s="12" t="s">
        <v>122</v>
      </c>
      <c r="D1510" s="14" t="s">
        <v>1679</v>
      </c>
      <c r="E1510" s="16"/>
      <c r="F1510" s="8"/>
      <c r="G1510" s="16"/>
      <c r="H1510" s="8"/>
      <c r="I1510" s="16"/>
    </row>
    <row r="1511" outlineLevel="1">
      <c r="A1511" s="9" t="s">
        <v>1809</v>
      </c>
      <c r="B1511" s="9" t="s">
        <v>196</v>
      </c>
      <c r="C1511" s="12" t="s">
        <v>16</v>
      </c>
      <c r="D1511" s="14" t="s">
        <v>1679</v>
      </c>
      <c r="E1511" s="16"/>
      <c r="F1511" s="8"/>
      <c r="G1511" s="16"/>
      <c r="H1511" s="8"/>
      <c r="I1511" s="16"/>
    </row>
    <row r="1512" outlineLevel="1">
      <c r="A1512" s="9" t="s">
        <v>1810</v>
      </c>
      <c r="B1512" s="9" t="s">
        <v>1811</v>
      </c>
      <c r="C1512" s="12" t="s">
        <v>24</v>
      </c>
      <c r="D1512" s="14" t="s">
        <v>1679</v>
      </c>
      <c r="E1512" s="16"/>
      <c r="F1512" s="8"/>
      <c r="G1512" s="16"/>
      <c r="H1512" s="8"/>
      <c r="I1512" s="16"/>
    </row>
    <row r="1513" outlineLevel="1">
      <c r="A1513" s="9" t="s">
        <v>1812</v>
      </c>
      <c r="B1513" s="9" t="s">
        <v>750</v>
      </c>
      <c r="C1513" s="12" t="s">
        <v>149</v>
      </c>
      <c r="D1513" s="14" t="s">
        <v>1679</v>
      </c>
      <c r="E1513" s="16"/>
      <c r="F1513" s="8"/>
      <c r="G1513" s="16"/>
      <c r="H1513" s="8"/>
      <c r="I1513" s="16"/>
    </row>
    <row r="1514" outlineLevel="1">
      <c r="A1514" s="9" t="s">
        <v>1813</v>
      </c>
      <c r="B1514" s="9" t="s">
        <v>1814</v>
      </c>
      <c r="C1514" s="12" t="s">
        <v>12</v>
      </c>
      <c r="D1514" s="14" t="s">
        <v>1679</v>
      </c>
      <c r="E1514" s="16"/>
      <c r="F1514" s="8"/>
      <c r="G1514" s="16"/>
      <c r="H1514" s="8"/>
      <c r="I1514" s="16"/>
    </row>
    <row r="1515" outlineLevel="1">
      <c r="A1515" s="9" t="s">
        <v>1815</v>
      </c>
      <c r="B1515" s="9" t="s">
        <v>1816</v>
      </c>
      <c r="C1515" s="12" t="s">
        <v>132</v>
      </c>
      <c r="D1515" s="14" t="s">
        <v>1679</v>
      </c>
      <c r="E1515" s="16"/>
      <c r="F1515" s="18"/>
      <c r="G1515" s="19"/>
      <c r="H1515" s="18"/>
      <c r="I1515" s="19"/>
    </row>
    <row r="1516" outlineLevel="1">
      <c r="A1516" s="9" t="s">
        <v>703</v>
      </c>
      <c r="B1516" s="9" t="s">
        <v>1817</v>
      </c>
      <c r="C1516" s="12" t="s">
        <v>46</v>
      </c>
      <c r="D1516" s="14" t="s">
        <v>1679</v>
      </c>
      <c r="E1516" s="16"/>
      <c r="F1516" s="18"/>
      <c r="G1516" s="19"/>
      <c r="H1516" s="18"/>
      <c r="I1516" s="19"/>
    </row>
    <row r="1517" outlineLevel="1">
      <c r="A1517" s="9" t="s">
        <v>1818</v>
      </c>
      <c r="B1517" s="9" t="s">
        <v>1819</v>
      </c>
      <c r="C1517" s="12" t="s">
        <v>80</v>
      </c>
      <c r="D1517" s="14" t="s">
        <v>1679</v>
      </c>
      <c r="E1517" s="16"/>
      <c r="F1517" s="8"/>
      <c r="G1517" s="16"/>
      <c r="H1517" s="8"/>
      <c r="I1517" s="16"/>
    </row>
    <row r="1518" outlineLevel="1">
      <c r="A1518" s="9" t="s">
        <v>1820</v>
      </c>
      <c r="B1518" s="9" t="s">
        <v>1046</v>
      </c>
      <c r="C1518" s="12" t="s">
        <v>16</v>
      </c>
      <c r="D1518" s="14" t="s">
        <v>1679</v>
      </c>
      <c r="E1518" s="16"/>
      <c r="F1518" s="8"/>
      <c r="G1518" s="16"/>
      <c r="H1518" s="8"/>
      <c r="I1518" s="16"/>
    </row>
    <row r="1519" outlineLevel="1">
      <c r="A1519" s="9" t="s">
        <v>522</v>
      </c>
      <c r="B1519" s="9" t="s">
        <v>1821</v>
      </c>
      <c r="C1519" s="12" t="s">
        <v>59</v>
      </c>
      <c r="D1519" s="14" t="s">
        <v>1679</v>
      </c>
      <c r="E1519" s="16"/>
      <c r="F1519" s="8"/>
      <c r="G1519" s="16"/>
      <c r="H1519" s="8"/>
      <c r="I1519" s="16"/>
    </row>
    <row r="1520" outlineLevel="1">
      <c r="A1520" s="9" t="s">
        <v>522</v>
      </c>
      <c r="B1520" s="9" t="s">
        <v>1822</v>
      </c>
      <c r="C1520" s="12" t="s">
        <v>93</v>
      </c>
      <c r="D1520" s="14" t="s">
        <v>1679</v>
      </c>
      <c r="E1520" s="16"/>
      <c r="F1520" s="8"/>
      <c r="G1520" s="16"/>
      <c r="H1520" s="8"/>
      <c r="I1520" s="16"/>
    </row>
    <row r="1521" outlineLevel="1">
      <c r="A1521" s="9" t="s">
        <v>1183</v>
      </c>
      <c r="B1521" s="9" t="s">
        <v>1823</v>
      </c>
      <c r="C1521" s="12" t="s">
        <v>215</v>
      </c>
      <c r="D1521" s="14" t="s">
        <v>1679</v>
      </c>
      <c r="E1521" s="16"/>
      <c r="F1521" s="8"/>
      <c r="G1521" s="16"/>
      <c r="H1521" s="8"/>
      <c r="I1521" s="16"/>
    </row>
    <row r="1522" outlineLevel="1">
      <c r="A1522" s="9" t="s">
        <v>1181</v>
      </c>
      <c r="B1522" s="9" t="s">
        <v>1824</v>
      </c>
      <c r="C1522" s="12" t="s">
        <v>65</v>
      </c>
      <c r="D1522" s="14" t="s">
        <v>1679</v>
      </c>
      <c r="E1522" s="16"/>
      <c r="F1522" s="8"/>
      <c r="G1522" s="16"/>
      <c r="H1522" s="8"/>
      <c r="I1522" s="16"/>
    </row>
    <row r="1523" outlineLevel="1">
      <c r="A1523" s="18" t="s">
        <v>1183</v>
      </c>
      <c r="B1523" s="9" t="s">
        <v>1341</v>
      </c>
      <c r="C1523" s="12" t="s">
        <v>122</v>
      </c>
      <c r="D1523" s="14" t="s">
        <v>1679</v>
      </c>
      <c r="E1523" s="16"/>
      <c r="F1523" s="8"/>
      <c r="G1523" s="16"/>
      <c r="H1523" s="8"/>
      <c r="I1523" s="16"/>
    </row>
    <row r="1524" outlineLevel="1">
      <c r="A1524" s="9" t="s">
        <v>1825</v>
      </c>
      <c r="B1524" s="18" t="s">
        <v>84</v>
      </c>
      <c r="C1524" s="19" t="s">
        <v>93</v>
      </c>
      <c r="D1524" s="14" t="s">
        <v>1679</v>
      </c>
      <c r="E1524" s="16"/>
      <c r="F1524" s="18"/>
      <c r="G1524" s="19"/>
      <c r="H1524" s="18"/>
      <c r="I1524" s="19"/>
    </row>
    <row r="1525" outlineLevel="1">
      <c r="A1525" s="9" t="s">
        <v>1826</v>
      </c>
      <c r="B1525" s="9" t="s">
        <v>162</v>
      </c>
      <c r="C1525" s="12" t="s">
        <v>75</v>
      </c>
      <c r="D1525" s="14" t="s">
        <v>1679</v>
      </c>
      <c r="E1525" s="16"/>
      <c r="F1525" s="8"/>
      <c r="G1525" s="16"/>
      <c r="H1525" s="8"/>
      <c r="I1525" s="16"/>
    </row>
    <row r="1526" outlineLevel="1">
      <c r="A1526" s="9" t="s">
        <v>89</v>
      </c>
      <c r="B1526" s="9" t="s">
        <v>357</v>
      </c>
      <c r="C1526" s="12" t="s">
        <v>138</v>
      </c>
      <c r="D1526" s="14" t="s">
        <v>1679</v>
      </c>
      <c r="E1526" s="16"/>
      <c r="F1526" s="8"/>
      <c r="G1526" s="16"/>
      <c r="H1526" s="8"/>
      <c r="I1526" s="16"/>
    </row>
    <row r="1527" outlineLevel="1">
      <c r="A1527" s="9" t="s">
        <v>89</v>
      </c>
      <c r="B1527" s="9" t="s">
        <v>1827</v>
      </c>
      <c r="C1527" s="12" t="s">
        <v>93</v>
      </c>
      <c r="D1527" s="14" t="s">
        <v>1679</v>
      </c>
      <c r="E1527" s="16"/>
      <c r="F1527" s="8"/>
      <c r="G1527" s="16"/>
      <c r="H1527" s="8"/>
      <c r="I1527" s="16"/>
    </row>
    <row r="1528" outlineLevel="1">
      <c r="A1528" s="9" t="s">
        <v>89</v>
      </c>
      <c r="B1528" s="9" t="s">
        <v>1209</v>
      </c>
      <c r="C1528" s="12" t="s">
        <v>93</v>
      </c>
      <c r="D1528" s="14" t="s">
        <v>1679</v>
      </c>
      <c r="E1528" s="16"/>
      <c r="F1528" s="8"/>
      <c r="G1528" s="16"/>
      <c r="H1528" s="8"/>
      <c r="I1528" s="16"/>
    </row>
    <row r="1529" outlineLevel="1">
      <c r="A1529" s="9" t="s">
        <v>89</v>
      </c>
      <c r="B1529" s="9" t="s">
        <v>476</v>
      </c>
      <c r="C1529" s="12" t="s">
        <v>186</v>
      </c>
      <c r="D1529" s="14" t="s">
        <v>1679</v>
      </c>
      <c r="E1529" s="16"/>
      <c r="F1529" s="8"/>
      <c r="G1529" s="16"/>
      <c r="H1529" s="8"/>
      <c r="I1529" s="16"/>
    </row>
    <row r="1530" outlineLevel="1">
      <c r="A1530" s="9" t="s">
        <v>1828</v>
      </c>
      <c r="B1530" s="9" t="s">
        <v>172</v>
      </c>
      <c r="C1530" s="12" t="s">
        <v>93</v>
      </c>
      <c r="D1530" s="14" t="s">
        <v>1679</v>
      </c>
      <c r="E1530" s="16"/>
      <c r="F1530" s="8"/>
      <c r="G1530" s="16"/>
      <c r="H1530" s="8"/>
      <c r="I1530" s="16"/>
    </row>
    <row r="1531" outlineLevel="1">
      <c r="A1531" s="9" t="s">
        <v>1829</v>
      </c>
      <c r="B1531" s="9" t="s">
        <v>1830</v>
      </c>
      <c r="C1531" s="12" t="s">
        <v>65</v>
      </c>
      <c r="D1531" s="14" t="s">
        <v>1679</v>
      </c>
      <c r="E1531" s="16"/>
      <c r="F1531" s="8"/>
      <c r="G1531" s="16"/>
      <c r="H1531" s="8"/>
      <c r="I1531" s="16"/>
    </row>
    <row r="1532" outlineLevel="1">
      <c r="A1532" s="9" t="s">
        <v>1831</v>
      </c>
      <c r="B1532" s="9" t="s">
        <v>249</v>
      </c>
      <c r="C1532" s="12" t="s">
        <v>122</v>
      </c>
      <c r="D1532" s="14" t="s">
        <v>1679</v>
      </c>
      <c r="E1532" s="16"/>
      <c r="F1532" s="18"/>
      <c r="G1532" s="19"/>
      <c r="H1532" s="18"/>
      <c r="I1532" s="19"/>
    </row>
    <row r="1533" outlineLevel="1">
      <c r="A1533" s="9" t="s">
        <v>1832</v>
      </c>
      <c r="B1533" s="9" t="s">
        <v>197</v>
      </c>
      <c r="C1533" s="12" t="s">
        <v>24</v>
      </c>
      <c r="D1533" s="14" t="s">
        <v>1679</v>
      </c>
      <c r="E1533" s="16"/>
      <c r="F1533" s="8"/>
      <c r="G1533" s="16"/>
      <c r="H1533" s="8"/>
      <c r="I1533" s="16"/>
    </row>
    <row r="1534" outlineLevel="1">
      <c r="A1534" s="9" t="s">
        <v>937</v>
      </c>
      <c r="B1534" s="9" t="s">
        <v>1833</v>
      </c>
      <c r="C1534" s="12" t="s">
        <v>192</v>
      </c>
      <c r="D1534" s="14" t="s">
        <v>1679</v>
      </c>
      <c r="E1534" s="16"/>
      <c r="F1534" s="8"/>
      <c r="G1534" s="16"/>
      <c r="H1534" s="8"/>
      <c r="I1534" s="16"/>
    </row>
    <row r="1535" outlineLevel="1">
      <c r="A1535" s="9" t="s">
        <v>637</v>
      </c>
      <c r="B1535" s="9" t="s">
        <v>1380</v>
      </c>
      <c r="C1535" s="12" t="s">
        <v>24</v>
      </c>
      <c r="D1535" s="14" t="s">
        <v>1679</v>
      </c>
      <c r="E1535" s="16"/>
      <c r="F1535" s="8"/>
      <c r="G1535" s="16"/>
      <c r="H1535" s="8"/>
      <c r="I1535" s="16"/>
    </row>
    <row r="1536" outlineLevel="1">
      <c r="A1536" s="9" t="s">
        <v>1834</v>
      </c>
      <c r="B1536" s="9" t="s">
        <v>865</v>
      </c>
      <c r="C1536" s="12" t="s">
        <v>215</v>
      </c>
      <c r="D1536" s="14" t="s">
        <v>1679</v>
      </c>
      <c r="E1536" s="16"/>
      <c r="F1536" s="8"/>
      <c r="G1536" s="16"/>
      <c r="H1536" s="8"/>
      <c r="I1536" s="16"/>
    </row>
    <row r="1537" outlineLevel="1">
      <c r="A1537" s="9" t="s">
        <v>1835</v>
      </c>
      <c r="B1537" s="9" t="s">
        <v>1786</v>
      </c>
      <c r="C1537" s="12" t="s">
        <v>65</v>
      </c>
      <c r="D1537" s="14" t="s">
        <v>1679</v>
      </c>
      <c r="E1537" s="16"/>
      <c r="F1537" s="8"/>
      <c r="G1537" s="16"/>
      <c r="H1537" s="8"/>
      <c r="I1537" s="16"/>
    </row>
    <row r="1538" outlineLevel="1">
      <c r="A1538" s="9" t="s">
        <v>1836</v>
      </c>
      <c r="B1538" s="9" t="s">
        <v>1131</v>
      </c>
      <c r="C1538" s="12" t="s">
        <v>75</v>
      </c>
      <c r="D1538" s="14" t="s">
        <v>1679</v>
      </c>
      <c r="E1538" s="16"/>
      <c r="F1538" s="8"/>
      <c r="G1538" s="16"/>
      <c r="H1538" s="8"/>
      <c r="I1538" s="16"/>
    </row>
    <row r="1539" outlineLevel="1">
      <c r="A1539" s="9" t="s">
        <v>1837</v>
      </c>
      <c r="B1539" s="9" t="s">
        <v>1838</v>
      </c>
      <c r="C1539" s="12" t="s">
        <v>70</v>
      </c>
      <c r="D1539" s="14" t="s">
        <v>1679</v>
      </c>
      <c r="E1539" s="16"/>
      <c r="F1539" s="8"/>
      <c r="G1539" s="16"/>
      <c r="H1539" s="8"/>
      <c r="I1539" s="16"/>
    </row>
    <row r="1540" outlineLevel="1">
      <c r="A1540" s="9" t="s">
        <v>1839</v>
      </c>
      <c r="B1540" s="9" t="s">
        <v>1840</v>
      </c>
      <c r="C1540" s="12" t="s">
        <v>65</v>
      </c>
      <c r="D1540" s="14" t="s">
        <v>1679</v>
      </c>
      <c r="E1540" s="16"/>
      <c r="F1540" s="8"/>
      <c r="G1540" s="16"/>
      <c r="H1540" s="8"/>
      <c r="I1540" s="16"/>
    </row>
    <row r="1541" outlineLevel="1">
      <c r="A1541" s="18" t="s">
        <v>1841</v>
      </c>
      <c r="B1541" s="9" t="s">
        <v>1842</v>
      </c>
      <c r="C1541" s="12" t="s">
        <v>93</v>
      </c>
      <c r="D1541" s="14" t="s">
        <v>1679</v>
      </c>
      <c r="E1541" s="16"/>
      <c r="F1541" s="8"/>
      <c r="G1541" s="16"/>
      <c r="H1541" s="8"/>
      <c r="I1541" s="16"/>
    </row>
    <row r="1542" outlineLevel="1">
      <c r="A1542" s="9" t="s">
        <v>1843</v>
      </c>
      <c r="B1542" s="18" t="s">
        <v>464</v>
      </c>
      <c r="C1542" s="19" t="s">
        <v>24</v>
      </c>
      <c r="D1542" s="14" t="s">
        <v>1679</v>
      </c>
      <c r="E1542" s="16"/>
      <c r="F1542" s="8"/>
      <c r="G1542" s="16"/>
      <c r="H1542" s="8"/>
      <c r="I1542" s="16"/>
    </row>
    <row r="1543" outlineLevel="1">
      <c r="A1543" s="9" t="s">
        <v>1200</v>
      </c>
      <c r="B1543" s="9" t="s">
        <v>1844</v>
      </c>
      <c r="C1543" s="12" t="s">
        <v>65</v>
      </c>
      <c r="D1543" s="14" t="s">
        <v>1679</v>
      </c>
      <c r="E1543" s="16"/>
      <c r="F1543" s="8"/>
      <c r="G1543" s="16"/>
      <c r="H1543" s="8"/>
      <c r="I1543" s="16"/>
    </row>
    <row r="1544" outlineLevel="1">
      <c r="A1544" s="9" t="s">
        <v>1200</v>
      </c>
      <c r="B1544" s="9" t="s">
        <v>263</v>
      </c>
      <c r="C1544" s="12" t="s">
        <v>70</v>
      </c>
      <c r="D1544" s="14" t="s">
        <v>1679</v>
      </c>
      <c r="E1544" s="16"/>
      <c r="F1544" s="8"/>
      <c r="G1544" s="16"/>
      <c r="H1544" s="8"/>
      <c r="I1544" s="16"/>
    </row>
    <row r="1545" outlineLevel="1">
      <c r="A1545" s="18" t="s">
        <v>1200</v>
      </c>
      <c r="B1545" s="9" t="s">
        <v>1845</v>
      </c>
      <c r="C1545" s="12" t="s">
        <v>24</v>
      </c>
      <c r="D1545" s="14" t="s">
        <v>1679</v>
      </c>
      <c r="E1545" s="16"/>
      <c r="F1545" s="8"/>
      <c r="G1545" s="16"/>
      <c r="H1545" s="8"/>
      <c r="I1545" s="16"/>
    </row>
    <row r="1546" outlineLevel="1">
      <c r="A1546" s="9" t="s">
        <v>716</v>
      </c>
      <c r="B1546" s="18" t="s">
        <v>41</v>
      </c>
      <c r="C1546" s="19" t="s">
        <v>215</v>
      </c>
      <c r="D1546" s="14" t="s">
        <v>1679</v>
      </c>
      <c r="E1546" s="16"/>
      <c r="F1546" s="8"/>
      <c r="G1546" s="16"/>
      <c r="H1546" s="8"/>
      <c r="I1546" s="16"/>
    </row>
    <row r="1547" outlineLevel="1">
      <c r="A1547" s="9" t="s">
        <v>382</v>
      </c>
      <c r="B1547" s="9" t="s">
        <v>1803</v>
      </c>
      <c r="C1547" s="12" t="s">
        <v>24</v>
      </c>
      <c r="D1547" s="14" t="s">
        <v>1679</v>
      </c>
      <c r="E1547" s="16"/>
      <c r="F1547" s="8"/>
      <c r="G1547" s="16"/>
      <c r="H1547" s="8"/>
      <c r="I1547" s="16"/>
    </row>
    <row r="1548" outlineLevel="1">
      <c r="A1548" s="9" t="s">
        <v>205</v>
      </c>
      <c r="B1548" s="9" t="s">
        <v>281</v>
      </c>
      <c r="C1548" s="12" t="s">
        <v>70</v>
      </c>
      <c r="D1548" s="14" t="s">
        <v>1679</v>
      </c>
      <c r="E1548" s="16"/>
      <c r="F1548" s="8"/>
      <c r="G1548" s="16"/>
      <c r="H1548" s="8"/>
      <c r="I1548" s="16"/>
    </row>
    <row r="1549" outlineLevel="1">
      <c r="A1549" s="9" t="s">
        <v>1380</v>
      </c>
      <c r="B1549" s="9" t="s">
        <v>67</v>
      </c>
      <c r="C1549" s="12" t="s">
        <v>132</v>
      </c>
      <c r="D1549" s="14" t="s">
        <v>1679</v>
      </c>
      <c r="E1549" s="16"/>
      <c r="F1549" s="8"/>
      <c r="G1549" s="16"/>
      <c r="H1549" s="8"/>
      <c r="I1549" s="16"/>
    </row>
    <row r="1550" outlineLevel="1">
      <c r="A1550" s="9" t="s">
        <v>1380</v>
      </c>
      <c r="B1550" s="9" t="s">
        <v>1846</v>
      </c>
      <c r="C1550" s="12" t="s">
        <v>138</v>
      </c>
      <c r="D1550" s="14" t="s">
        <v>1679</v>
      </c>
      <c r="E1550" s="16"/>
      <c r="F1550" s="8"/>
      <c r="G1550" s="16"/>
      <c r="H1550" s="8"/>
      <c r="I1550" s="16"/>
    </row>
    <row r="1551" outlineLevel="1">
      <c r="A1551" s="9" t="s">
        <v>944</v>
      </c>
      <c r="B1551" s="9" t="s">
        <v>634</v>
      </c>
      <c r="C1551" s="12" t="s">
        <v>122</v>
      </c>
      <c r="D1551" s="14" t="s">
        <v>1679</v>
      </c>
      <c r="E1551" s="16"/>
      <c r="F1551" s="8"/>
      <c r="G1551" s="16"/>
      <c r="H1551" s="8"/>
      <c r="I1551" s="16"/>
    </row>
    <row r="1552" outlineLevel="1">
      <c r="A1552" s="9" t="s">
        <v>1847</v>
      </c>
      <c r="B1552" s="9" t="s">
        <v>1848</v>
      </c>
      <c r="C1552" s="12" t="s">
        <v>192</v>
      </c>
      <c r="D1552" s="14" t="s">
        <v>1679</v>
      </c>
      <c r="E1552" s="16"/>
      <c r="F1552" s="18"/>
      <c r="G1552" s="19"/>
      <c r="H1552" s="18"/>
      <c r="I1552" s="19"/>
    </row>
    <row r="1553" outlineLevel="1">
      <c r="A1553" s="9" t="s">
        <v>722</v>
      </c>
      <c r="B1553" s="9" t="s">
        <v>167</v>
      </c>
      <c r="C1553" s="12" t="s">
        <v>65</v>
      </c>
      <c r="D1553" s="14" t="s">
        <v>1679</v>
      </c>
      <c r="E1553" s="16"/>
      <c r="F1553" s="8"/>
      <c r="G1553" s="16"/>
      <c r="H1553" s="8"/>
      <c r="I1553" s="16"/>
    </row>
    <row r="1554" outlineLevel="1">
      <c r="A1554" s="9" t="s">
        <v>1849</v>
      </c>
      <c r="B1554" s="9" t="s">
        <v>1249</v>
      </c>
      <c r="C1554" s="12" t="s">
        <v>122</v>
      </c>
      <c r="D1554" s="14" t="s">
        <v>1679</v>
      </c>
      <c r="E1554" s="16"/>
      <c r="F1554" s="8"/>
      <c r="G1554" s="16"/>
      <c r="H1554" s="8"/>
      <c r="I1554" s="16"/>
    </row>
    <row r="1555" outlineLevel="1">
      <c r="A1555" s="9" t="s">
        <v>389</v>
      </c>
      <c r="B1555" s="9" t="s">
        <v>1850</v>
      </c>
      <c r="C1555" s="12" t="s">
        <v>132</v>
      </c>
      <c r="D1555" s="14" t="s">
        <v>1679</v>
      </c>
      <c r="E1555" s="16"/>
      <c r="F1555" s="8"/>
      <c r="G1555" s="16"/>
      <c r="H1555" s="8"/>
      <c r="I1555" s="16"/>
    </row>
    <row r="1556" outlineLevel="1">
      <c r="A1556" s="9" t="s">
        <v>1851</v>
      </c>
      <c r="B1556" s="9" t="s">
        <v>1852</v>
      </c>
      <c r="C1556" s="12" t="s">
        <v>186</v>
      </c>
      <c r="D1556" s="14" t="s">
        <v>1679</v>
      </c>
      <c r="E1556" s="16"/>
      <c r="F1556" s="8"/>
      <c r="G1556" s="16"/>
      <c r="H1556" s="8"/>
      <c r="I1556" s="16"/>
    </row>
    <row r="1557" outlineLevel="1">
      <c r="A1557" s="18" t="s">
        <v>389</v>
      </c>
      <c r="B1557" s="9" t="s">
        <v>1408</v>
      </c>
      <c r="C1557" s="12" t="s">
        <v>186</v>
      </c>
      <c r="D1557" s="14" t="s">
        <v>1679</v>
      </c>
      <c r="E1557" s="16"/>
      <c r="F1557" s="8"/>
      <c r="G1557" s="16"/>
      <c r="H1557" s="8"/>
      <c r="I1557" s="16"/>
    </row>
    <row r="1558" outlineLevel="1">
      <c r="A1558" s="9" t="s">
        <v>284</v>
      </c>
      <c r="B1558" s="18" t="s">
        <v>98</v>
      </c>
      <c r="C1558" s="19" t="s">
        <v>70</v>
      </c>
      <c r="D1558" s="14" t="s">
        <v>1679</v>
      </c>
      <c r="E1558" s="16"/>
      <c r="F1558" s="8"/>
      <c r="G1558" s="16"/>
      <c r="H1558" s="8"/>
      <c r="I1558" s="16"/>
    </row>
    <row r="1559" outlineLevel="1">
      <c r="A1559" s="9" t="s">
        <v>284</v>
      </c>
      <c r="B1559" s="9" t="s">
        <v>1853</v>
      </c>
      <c r="C1559" s="12" t="s">
        <v>186</v>
      </c>
      <c r="D1559" s="14" t="s">
        <v>1679</v>
      </c>
      <c r="E1559" s="16"/>
      <c r="F1559" s="8"/>
      <c r="G1559" s="16"/>
      <c r="H1559" s="8"/>
      <c r="I1559" s="16"/>
    </row>
    <row r="1560" outlineLevel="1">
      <c r="A1560" s="9" t="s">
        <v>284</v>
      </c>
      <c r="B1560" s="9" t="s">
        <v>275</v>
      </c>
      <c r="C1560" s="12" t="s">
        <v>93</v>
      </c>
      <c r="D1560" s="14" t="s">
        <v>1679</v>
      </c>
      <c r="E1560" s="16"/>
      <c r="F1560" s="8"/>
      <c r="G1560" s="16"/>
      <c r="H1560" s="8"/>
      <c r="I1560" s="16"/>
    </row>
    <row r="1561" outlineLevel="1">
      <c r="A1561" s="9" t="s">
        <v>284</v>
      </c>
      <c r="B1561" s="9" t="s">
        <v>1854</v>
      </c>
      <c r="C1561" s="12" t="s">
        <v>186</v>
      </c>
      <c r="D1561" s="14" t="s">
        <v>1679</v>
      </c>
      <c r="E1561" s="16"/>
      <c r="F1561" s="18"/>
      <c r="G1561" s="19"/>
      <c r="H1561" s="18"/>
      <c r="I1561" s="19"/>
    </row>
    <row r="1562" outlineLevel="1">
      <c r="A1562" s="9" t="s">
        <v>284</v>
      </c>
      <c r="B1562" s="9" t="s">
        <v>1473</v>
      </c>
      <c r="C1562" s="12" t="s">
        <v>93</v>
      </c>
      <c r="D1562" s="14" t="s">
        <v>1679</v>
      </c>
      <c r="E1562" s="16"/>
      <c r="F1562" s="8"/>
      <c r="G1562" s="16"/>
      <c r="H1562" s="8"/>
      <c r="I1562" s="16"/>
    </row>
    <row r="1563" outlineLevel="1">
      <c r="A1563" s="18" t="s">
        <v>284</v>
      </c>
      <c r="B1563" s="9" t="s">
        <v>529</v>
      </c>
      <c r="C1563" s="12" t="s">
        <v>122</v>
      </c>
      <c r="D1563" s="14" t="s">
        <v>1679</v>
      </c>
      <c r="E1563" s="16"/>
      <c r="F1563" s="8"/>
      <c r="G1563" s="16"/>
      <c r="H1563" s="8"/>
      <c r="I1563" s="16"/>
    </row>
    <row r="1564" outlineLevel="1">
      <c r="A1564" s="9" t="s">
        <v>284</v>
      </c>
      <c r="B1564" s="18" t="s">
        <v>301</v>
      </c>
      <c r="C1564" s="19" t="s">
        <v>80</v>
      </c>
      <c r="D1564" s="14" t="s">
        <v>1679</v>
      </c>
      <c r="E1564" s="16"/>
      <c r="F1564" s="8"/>
      <c r="G1564" s="16"/>
      <c r="H1564" s="8"/>
      <c r="I1564" s="16"/>
    </row>
    <row r="1565" outlineLevel="1">
      <c r="A1565" s="9" t="s">
        <v>284</v>
      </c>
      <c r="B1565" s="9" t="s">
        <v>1855</v>
      </c>
      <c r="C1565" s="12" t="s">
        <v>122</v>
      </c>
      <c r="D1565" s="14" t="s">
        <v>1679</v>
      </c>
      <c r="E1565" s="16"/>
      <c r="F1565" s="8"/>
      <c r="G1565" s="16"/>
      <c r="H1565" s="8"/>
      <c r="I1565" s="16"/>
    </row>
    <row r="1566" outlineLevel="1">
      <c r="A1566" s="9" t="s">
        <v>284</v>
      </c>
      <c r="B1566" s="9" t="s">
        <v>1856</v>
      </c>
      <c r="C1566" s="12" t="s">
        <v>65</v>
      </c>
      <c r="D1566" s="14" t="s">
        <v>1679</v>
      </c>
      <c r="E1566" s="16"/>
      <c r="F1566" s="8"/>
      <c r="G1566" s="16"/>
      <c r="H1566" s="8"/>
      <c r="I1566" s="16"/>
    </row>
    <row r="1567" outlineLevel="1">
      <c r="A1567" s="9" t="s">
        <v>91</v>
      </c>
      <c r="B1567" s="9" t="s">
        <v>137</v>
      </c>
      <c r="C1567" s="12" t="s">
        <v>93</v>
      </c>
      <c r="D1567" s="14" t="s">
        <v>1679</v>
      </c>
      <c r="E1567" s="16"/>
      <c r="F1567" s="8"/>
      <c r="G1567" s="16"/>
      <c r="H1567" s="8"/>
      <c r="I1567" s="16"/>
    </row>
    <row r="1568" outlineLevel="1">
      <c r="A1568" s="9" t="s">
        <v>1857</v>
      </c>
      <c r="B1568" s="9" t="s">
        <v>1858</v>
      </c>
      <c r="C1568" s="12" t="s">
        <v>122</v>
      </c>
      <c r="D1568" s="14" t="s">
        <v>1679</v>
      </c>
      <c r="E1568" s="16"/>
      <c r="F1568" s="8"/>
      <c r="G1568" s="16"/>
      <c r="H1568" s="8"/>
      <c r="I1568" s="16"/>
    </row>
    <row r="1569" outlineLevel="1">
      <c r="A1569" s="9" t="s">
        <v>1859</v>
      </c>
      <c r="B1569" s="9" t="s">
        <v>1860</v>
      </c>
      <c r="C1569" s="12" t="s">
        <v>53</v>
      </c>
      <c r="D1569" s="14" t="s">
        <v>1679</v>
      </c>
      <c r="E1569" s="16"/>
      <c r="F1569" s="8"/>
      <c r="G1569" s="16"/>
      <c r="H1569" s="8"/>
      <c r="I1569" s="16"/>
    </row>
    <row r="1570" outlineLevel="1">
      <c r="A1570" s="9" t="s">
        <v>1861</v>
      </c>
      <c r="B1570" s="9" t="s">
        <v>117</v>
      </c>
      <c r="C1570" s="12" t="s">
        <v>16</v>
      </c>
      <c r="D1570" s="14" t="s">
        <v>1679</v>
      </c>
      <c r="E1570" s="16"/>
      <c r="F1570" s="8"/>
      <c r="G1570" s="16"/>
      <c r="H1570" s="8"/>
      <c r="I1570" s="16"/>
    </row>
    <row r="1571" outlineLevel="1">
      <c r="A1571" s="9" t="s">
        <v>1862</v>
      </c>
      <c r="B1571" s="9" t="s">
        <v>1853</v>
      </c>
      <c r="C1571" s="12" t="s">
        <v>70</v>
      </c>
      <c r="D1571" s="14" t="s">
        <v>1679</v>
      </c>
      <c r="E1571" s="16"/>
      <c r="F1571" s="18"/>
      <c r="G1571" s="19"/>
      <c r="H1571" s="18"/>
      <c r="I1571" s="19"/>
    </row>
    <row r="1572" outlineLevel="1">
      <c r="A1572" s="9" t="s">
        <v>1863</v>
      </c>
      <c r="B1572" s="9" t="s">
        <v>1283</v>
      </c>
      <c r="C1572" s="12" t="s">
        <v>93</v>
      </c>
      <c r="D1572" s="14" t="s">
        <v>1679</v>
      </c>
      <c r="E1572" s="16"/>
      <c r="F1572" s="8"/>
      <c r="G1572" s="16"/>
      <c r="H1572" s="8"/>
      <c r="I1572" s="16"/>
    </row>
    <row r="1573" outlineLevel="1">
      <c r="A1573" s="9" t="s">
        <v>561</v>
      </c>
      <c r="B1573" s="9" t="s">
        <v>558</v>
      </c>
      <c r="C1573" s="12" t="s">
        <v>93</v>
      </c>
      <c r="D1573" s="14" t="s">
        <v>1679</v>
      </c>
      <c r="E1573" s="16"/>
      <c r="F1573" s="8"/>
      <c r="G1573" s="16"/>
      <c r="H1573" s="8"/>
      <c r="I1573" s="16"/>
    </row>
    <row r="1574" outlineLevel="1">
      <c r="A1574" s="9" t="s">
        <v>1864</v>
      </c>
      <c r="B1574" s="9" t="s">
        <v>247</v>
      </c>
      <c r="C1574" s="12" t="s">
        <v>65</v>
      </c>
      <c r="D1574" s="14" t="s">
        <v>1679</v>
      </c>
      <c r="E1574" s="16"/>
      <c r="F1574" s="8"/>
      <c r="G1574" s="16"/>
      <c r="H1574" s="8"/>
      <c r="I1574" s="16"/>
    </row>
    <row r="1575" outlineLevel="1">
      <c r="A1575" s="9" t="s">
        <v>1865</v>
      </c>
      <c r="B1575" s="9" t="s">
        <v>1866</v>
      </c>
      <c r="C1575" s="12" t="s">
        <v>65</v>
      </c>
      <c r="D1575" s="14" t="s">
        <v>1679</v>
      </c>
      <c r="E1575" s="16"/>
      <c r="F1575" s="8"/>
      <c r="G1575" s="16"/>
      <c r="H1575" s="8"/>
      <c r="I1575" s="16"/>
    </row>
    <row r="1576" outlineLevel="1">
      <c r="A1576" s="9" t="s">
        <v>956</v>
      </c>
      <c r="B1576" s="9" t="s">
        <v>816</v>
      </c>
      <c r="C1576" s="12" t="s">
        <v>93</v>
      </c>
      <c r="D1576" s="14" t="s">
        <v>1679</v>
      </c>
      <c r="E1576" s="16"/>
      <c r="F1576" s="8"/>
      <c r="G1576" s="16"/>
      <c r="H1576" s="8"/>
      <c r="I1576" s="16"/>
    </row>
    <row r="1577" outlineLevel="1">
      <c r="A1577" s="9" t="s">
        <v>956</v>
      </c>
      <c r="B1577" s="9" t="s">
        <v>119</v>
      </c>
      <c r="C1577" s="12" t="s">
        <v>93</v>
      </c>
      <c r="D1577" s="14" t="s">
        <v>1679</v>
      </c>
      <c r="E1577" s="16"/>
      <c r="F1577" s="8"/>
      <c r="G1577" s="16"/>
      <c r="H1577" s="8"/>
      <c r="I1577" s="16"/>
    </row>
    <row r="1578" outlineLevel="1">
      <c r="A1578" s="9" t="s">
        <v>1867</v>
      </c>
      <c r="B1578" s="9" t="s">
        <v>719</v>
      </c>
      <c r="C1578" s="12" t="s">
        <v>186</v>
      </c>
      <c r="D1578" s="14" t="s">
        <v>1679</v>
      </c>
      <c r="E1578" s="16"/>
      <c r="F1578" s="8"/>
      <c r="G1578" s="16"/>
      <c r="H1578" s="8"/>
      <c r="I1578" s="16"/>
    </row>
    <row r="1579" outlineLevel="1">
      <c r="A1579" s="9" t="s">
        <v>1868</v>
      </c>
      <c r="B1579" s="9" t="s">
        <v>782</v>
      </c>
      <c r="C1579" s="12" t="s">
        <v>65</v>
      </c>
      <c r="D1579" s="14" t="s">
        <v>1679</v>
      </c>
      <c r="E1579" s="16"/>
      <c r="F1579" s="8"/>
      <c r="G1579" s="16"/>
      <c r="H1579" s="8"/>
      <c r="I1579" s="16"/>
    </row>
    <row r="1580" outlineLevel="1">
      <c r="A1580" s="9" t="s">
        <v>1869</v>
      </c>
      <c r="B1580" s="9" t="s">
        <v>798</v>
      </c>
      <c r="C1580" s="12" t="s">
        <v>75</v>
      </c>
      <c r="D1580" s="14" t="s">
        <v>1679</v>
      </c>
      <c r="E1580" s="16"/>
      <c r="F1580" s="8"/>
      <c r="G1580" s="16"/>
      <c r="H1580" s="8"/>
      <c r="I1580" s="16"/>
    </row>
    <row r="1581" outlineLevel="1">
      <c r="A1581" s="9" t="s">
        <v>1870</v>
      </c>
      <c r="B1581" s="9" t="s">
        <v>676</v>
      </c>
      <c r="C1581" s="12" t="s">
        <v>122</v>
      </c>
      <c r="D1581" s="14" t="s">
        <v>1679</v>
      </c>
      <c r="E1581" s="16"/>
      <c r="F1581" s="8"/>
      <c r="G1581" s="16"/>
      <c r="H1581" s="8"/>
      <c r="I1581" s="16"/>
    </row>
    <row r="1582" outlineLevel="1">
      <c r="A1582" s="9" t="s">
        <v>1871</v>
      </c>
      <c r="B1582" s="9" t="s">
        <v>1872</v>
      </c>
      <c r="C1582" s="12" t="s">
        <v>65</v>
      </c>
      <c r="D1582" s="14" t="s">
        <v>1679</v>
      </c>
      <c r="E1582" s="16"/>
      <c r="F1582" s="8"/>
      <c r="G1582" s="16"/>
      <c r="H1582" s="8"/>
      <c r="I1582" s="16"/>
    </row>
    <row r="1583" outlineLevel="1">
      <c r="A1583" s="18" t="s">
        <v>1873</v>
      </c>
      <c r="B1583" s="9" t="s">
        <v>1128</v>
      </c>
      <c r="C1583" s="12" t="s">
        <v>93</v>
      </c>
      <c r="D1583" s="14" t="s">
        <v>1679</v>
      </c>
      <c r="E1583" s="16"/>
      <c r="F1583" s="8"/>
      <c r="G1583" s="16"/>
      <c r="H1583" s="8"/>
      <c r="I1583" s="16"/>
    </row>
    <row r="1584" outlineLevel="1">
      <c r="A1584" s="9" t="s">
        <v>1874</v>
      </c>
      <c r="B1584" s="18" t="s">
        <v>381</v>
      </c>
      <c r="C1584" s="19" t="s">
        <v>53</v>
      </c>
      <c r="D1584" s="14" t="s">
        <v>1679</v>
      </c>
      <c r="E1584" s="16"/>
      <c r="F1584" s="8"/>
      <c r="G1584" s="16"/>
      <c r="H1584" s="8"/>
      <c r="I1584" s="16"/>
    </row>
    <row r="1585" outlineLevel="1">
      <c r="A1585" s="9" t="s">
        <v>1875</v>
      </c>
      <c r="B1585" s="9" t="s">
        <v>214</v>
      </c>
      <c r="C1585" s="12" t="s">
        <v>16</v>
      </c>
      <c r="D1585" s="14" t="s">
        <v>1679</v>
      </c>
      <c r="E1585" s="16"/>
      <c r="F1585" s="8"/>
      <c r="G1585" s="16"/>
      <c r="H1585" s="8"/>
      <c r="I1585" s="16"/>
    </row>
    <row r="1586" outlineLevel="1">
      <c r="A1586" s="9" t="s">
        <v>741</v>
      </c>
      <c r="B1586" s="9" t="s">
        <v>881</v>
      </c>
      <c r="C1586" s="12" t="s">
        <v>215</v>
      </c>
      <c r="D1586" s="14" t="s">
        <v>1679</v>
      </c>
      <c r="E1586" s="16"/>
      <c r="F1586" s="8"/>
      <c r="G1586" s="16"/>
      <c r="H1586" s="8"/>
      <c r="I1586" s="16"/>
    </row>
    <row r="1587" outlineLevel="1">
      <c r="A1587" s="9" t="s">
        <v>42</v>
      </c>
      <c r="B1587" s="9" t="s">
        <v>1876</v>
      </c>
      <c r="C1587" s="12" t="s">
        <v>186</v>
      </c>
      <c r="D1587" s="14" t="s">
        <v>1679</v>
      </c>
      <c r="E1587" s="16"/>
      <c r="F1587" s="8"/>
      <c r="G1587" s="16"/>
      <c r="H1587" s="8"/>
      <c r="I1587" s="16"/>
    </row>
    <row r="1588" outlineLevel="1">
      <c r="A1588" s="9" t="s">
        <v>42</v>
      </c>
      <c r="B1588" s="9" t="s">
        <v>1803</v>
      </c>
      <c r="C1588" s="12" t="s">
        <v>16</v>
      </c>
      <c r="D1588" s="14" t="s">
        <v>1679</v>
      </c>
      <c r="E1588" s="16"/>
      <c r="F1588" s="8"/>
      <c r="G1588" s="16"/>
      <c r="H1588" s="8"/>
      <c r="I1588" s="16"/>
    </row>
    <row r="1589" outlineLevel="1">
      <c r="A1589" s="9" t="s">
        <v>1877</v>
      </c>
      <c r="B1589" s="9" t="s">
        <v>263</v>
      </c>
      <c r="C1589" s="12" t="s">
        <v>24</v>
      </c>
      <c r="D1589" s="14" t="s">
        <v>1679</v>
      </c>
      <c r="E1589" s="16"/>
      <c r="F1589" s="8"/>
      <c r="G1589" s="16"/>
      <c r="H1589" s="8"/>
      <c r="I1589" s="16"/>
    </row>
    <row r="1590" outlineLevel="1">
      <c r="A1590" s="9" t="s">
        <v>1878</v>
      </c>
      <c r="B1590" s="9" t="s">
        <v>1879</v>
      </c>
      <c r="C1590" s="12" t="s">
        <v>65</v>
      </c>
      <c r="D1590" s="14" t="s">
        <v>1679</v>
      </c>
      <c r="E1590" s="16"/>
      <c r="F1590" s="8"/>
      <c r="G1590" s="16"/>
      <c r="H1590" s="8"/>
      <c r="I1590" s="16"/>
    </row>
    <row r="1591" outlineLevel="1">
      <c r="A1591" s="9" t="s">
        <v>1172</v>
      </c>
      <c r="B1591" s="9" t="s">
        <v>800</v>
      </c>
      <c r="C1591" s="12" t="s">
        <v>53</v>
      </c>
      <c r="D1591" s="14" t="s">
        <v>1679</v>
      </c>
      <c r="E1591" s="16"/>
      <c r="F1591" s="8"/>
      <c r="G1591" s="16"/>
      <c r="H1591" s="8"/>
      <c r="I1591" s="16"/>
    </row>
    <row r="1592" outlineLevel="1">
      <c r="A1592" s="9" t="s">
        <v>94</v>
      </c>
      <c r="B1592" s="9" t="s">
        <v>1880</v>
      </c>
      <c r="C1592" s="12" t="s">
        <v>93</v>
      </c>
      <c r="D1592" s="14" t="s">
        <v>1679</v>
      </c>
      <c r="E1592" s="16"/>
      <c r="F1592" s="8"/>
      <c r="G1592" s="16"/>
      <c r="H1592" s="8"/>
      <c r="I1592" s="16"/>
    </row>
    <row r="1593" outlineLevel="1">
      <c r="A1593" s="9" t="s">
        <v>94</v>
      </c>
      <c r="B1593" s="9" t="s">
        <v>1881</v>
      </c>
      <c r="C1593" s="12" t="s">
        <v>215</v>
      </c>
      <c r="D1593" s="14" t="s">
        <v>1679</v>
      </c>
      <c r="E1593" s="16"/>
      <c r="F1593" s="8"/>
      <c r="G1593" s="16"/>
      <c r="H1593" s="8"/>
      <c r="I1593" s="16"/>
    </row>
    <row r="1594" outlineLevel="1">
      <c r="A1594" s="9" t="s">
        <v>1882</v>
      </c>
      <c r="B1594" s="9" t="s">
        <v>1883</v>
      </c>
      <c r="C1594" s="12" t="s">
        <v>65</v>
      </c>
      <c r="D1594" s="14" t="s">
        <v>1679</v>
      </c>
      <c r="E1594" s="16"/>
      <c r="F1594" s="8"/>
      <c r="G1594" s="16"/>
      <c r="H1594" s="8"/>
      <c r="I1594" s="16"/>
    </row>
    <row r="1595" outlineLevel="1">
      <c r="A1595" s="18" t="s">
        <v>222</v>
      </c>
      <c r="B1595" s="9" t="s">
        <v>491</v>
      </c>
      <c r="C1595" s="12" t="s">
        <v>70</v>
      </c>
      <c r="D1595" s="14" t="s">
        <v>1679</v>
      </c>
      <c r="E1595" s="16"/>
      <c r="F1595" s="8"/>
      <c r="G1595" s="16"/>
      <c r="H1595" s="8"/>
      <c r="I1595" s="16"/>
    </row>
    <row r="1596" outlineLevel="1">
      <c r="A1596" s="9" t="s">
        <v>1884</v>
      </c>
      <c r="B1596" s="18" t="s">
        <v>167</v>
      </c>
      <c r="C1596" s="19" t="s">
        <v>53</v>
      </c>
      <c r="D1596" s="14" t="s">
        <v>1679</v>
      </c>
      <c r="E1596" s="16"/>
      <c r="F1596" s="18"/>
      <c r="G1596" s="19"/>
      <c r="H1596" s="18"/>
      <c r="I1596" s="19"/>
    </row>
    <row r="1597" outlineLevel="1">
      <c r="A1597" s="9" t="s">
        <v>574</v>
      </c>
      <c r="B1597" s="9" t="s">
        <v>260</v>
      </c>
      <c r="C1597" s="12" t="s">
        <v>138</v>
      </c>
      <c r="D1597" s="14" t="s">
        <v>1679</v>
      </c>
      <c r="E1597" s="16"/>
      <c r="F1597" s="8"/>
      <c r="G1597" s="16"/>
      <c r="H1597" s="8"/>
      <c r="I1597" s="16"/>
    </row>
    <row r="1598" outlineLevel="1">
      <c r="A1598" s="9" t="s">
        <v>320</v>
      </c>
      <c r="B1598" s="9" t="s">
        <v>349</v>
      </c>
      <c r="C1598" s="12" t="s">
        <v>93</v>
      </c>
      <c r="D1598" s="14" t="s">
        <v>1679</v>
      </c>
      <c r="E1598" s="16"/>
      <c r="F1598" s="8"/>
      <c r="G1598" s="16"/>
      <c r="H1598" s="8"/>
      <c r="I1598" s="16"/>
    </row>
    <row r="1599" outlineLevel="1">
      <c r="A1599" s="9" t="s">
        <v>1885</v>
      </c>
      <c r="B1599" s="9" t="s">
        <v>349</v>
      </c>
      <c r="C1599" s="12" t="s">
        <v>132</v>
      </c>
      <c r="D1599" s="14" t="s">
        <v>1679</v>
      </c>
      <c r="E1599" s="16"/>
      <c r="F1599" s="8"/>
      <c r="G1599" s="16"/>
      <c r="H1599" s="8"/>
      <c r="I1599" s="16"/>
    </row>
    <row r="1600" outlineLevel="1">
      <c r="A1600" s="9" t="s">
        <v>1886</v>
      </c>
      <c r="B1600" s="9" t="s">
        <v>52</v>
      </c>
      <c r="C1600" s="12" t="s">
        <v>53</v>
      </c>
      <c r="D1600" s="14" t="s">
        <v>1679</v>
      </c>
      <c r="E1600" s="16"/>
      <c r="F1600" s="8"/>
      <c r="G1600" s="16"/>
      <c r="H1600" s="8"/>
      <c r="I1600" s="16"/>
    </row>
    <row r="1601" outlineLevel="1">
      <c r="A1601" s="9" t="s">
        <v>1887</v>
      </c>
      <c r="B1601" s="9" t="s">
        <v>1888</v>
      </c>
      <c r="C1601" s="12" t="s">
        <v>186</v>
      </c>
      <c r="D1601" s="14" t="s">
        <v>1679</v>
      </c>
      <c r="E1601" s="16"/>
      <c r="F1601" s="18"/>
      <c r="G1601" s="19"/>
      <c r="H1601" s="18"/>
      <c r="I1601" s="19"/>
    </row>
    <row r="1602" outlineLevel="1">
      <c r="A1602" s="9" t="s">
        <v>164</v>
      </c>
      <c r="B1602" s="9" t="s">
        <v>1889</v>
      </c>
      <c r="C1602" s="12" t="s">
        <v>192</v>
      </c>
      <c r="D1602" s="14" t="s">
        <v>1679</v>
      </c>
      <c r="E1602" s="16"/>
      <c r="F1602" s="8"/>
      <c r="G1602" s="16"/>
      <c r="H1602" s="8"/>
      <c r="I1602" s="16"/>
    </row>
    <row r="1603" outlineLevel="1">
      <c r="A1603" s="9" t="s">
        <v>1890</v>
      </c>
      <c r="B1603" s="9" t="s">
        <v>1891</v>
      </c>
      <c r="C1603" s="12" t="s">
        <v>16</v>
      </c>
      <c r="D1603" s="14" t="s">
        <v>1679</v>
      </c>
      <c r="E1603" s="16"/>
      <c r="F1603" s="8"/>
      <c r="G1603" s="16"/>
      <c r="H1603" s="8"/>
      <c r="I1603" s="16"/>
    </row>
    <row r="1604" outlineLevel="1">
      <c r="A1604" s="9" t="s">
        <v>1892</v>
      </c>
      <c r="B1604" s="9" t="s">
        <v>1893</v>
      </c>
      <c r="C1604" s="12" t="s">
        <v>149</v>
      </c>
      <c r="D1604" s="14" t="s">
        <v>1679</v>
      </c>
      <c r="E1604" s="16"/>
      <c r="F1604" s="8"/>
      <c r="G1604" s="16"/>
      <c r="H1604" s="8"/>
      <c r="I1604" s="16"/>
    </row>
    <row r="1605" outlineLevel="1">
      <c r="A1605" s="9" t="s">
        <v>1894</v>
      </c>
      <c r="B1605" s="9" t="s">
        <v>183</v>
      </c>
      <c r="C1605" s="12" t="s">
        <v>149</v>
      </c>
      <c r="D1605" s="14" t="s">
        <v>1679</v>
      </c>
      <c r="E1605" s="16"/>
      <c r="F1605" s="8"/>
      <c r="G1605" s="16"/>
      <c r="H1605" s="8"/>
      <c r="I1605" s="16"/>
    </row>
    <row r="1606" outlineLevel="1">
      <c r="A1606" s="9" t="s">
        <v>1895</v>
      </c>
      <c r="B1606" s="9" t="s">
        <v>948</v>
      </c>
      <c r="C1606" s="12" t="s">
        <v>65</v>
      </c>
      <c r="D1606" s="14" t="s">
        <v>1679</v>
      </c>
      <c r="E1606" s="16"/>
      <c r="F1606" s="8"/>
      <c r="G1606" s="16"/>
      <c r="H1606" s="8"/>
      <c r="I1606" s="16"/>
    </row>
    <row r="1607" outlineLevel="1">
      <c r="A1607" s="9" t="s">
        <v>1896</v>
      </c>
      <c r="B1607" s="9" t="s">
        <v>1897</v>
      </c>
      <c r="C1607" s="12" t="s">
        <v>93</v>
      </c>
      <c r="D1607" s="14" t="s">
        <v>1679</v>
      </c>
      <c r="E1607" s="16"/>
      <c r="F1607" s="8"/>
      <c r="G1607" s="16"/>
      <c r="H1607" s="8"/>
      <c r="I1607" s="16"/>
    </row>
    <row r="1608" outlineLevel="1">
      <c r="A1608" s="9" t="s">
        <v>1898</v>
      </c>
      <c r="B1608" s="9" t="s">
        <v>1899</v>
      </c>
      <c r="C1608" s="12" t="s">
        <v>93</v>
      </c>
      <c r="D1608" s="14" t="s">
        <v>1679</v>
      </c>
      <c r="E1608" s="16"/>
      <c r="F1608" s="8"/>
      <c r="G1608" s="16"/>
      <c r="H1608" s="8"/>
      <c r="I1608" s="16"/>
    </row>
    <row r="1609" outlineLevel="1">
      <c r="A1609" s="9" t="s">
        <v>1900</v>
      </c>
      <c r="B1609" s="9" t="s">
        <v>1901</v>
      </c>
      <c r="C1609" s="12" t="s">
        <v>70</v>
      </c>
      <c r="D1609" s="14" t="s">
        <v>1679</v>
      </c>
      <c r="E1609" s="16"/>
      <c r="F1609" s="18"/>
      <c r="G1609" s="19"/>
      <c r="H1609" s="18"/>
      <c r="I1609" s="19"/>
    </row>
    <row r="1610" outlineLevel="1">
      <c r="A1610" s="9" t="s">
        <v>402</v>
      </c>
      <c r="B1610" s="9" t="s">
        <v>212</v>
      </c>
      <c r="C1610" s="12" t="s">
        <v>65</v>
      </c>
      <c r="D1610" s="14" t="s">
        <v>1679</v>
      </c>
      <c r="E1610" s="16"/>
      <c r="F1610" s="8"/>
      <c r="G1610" s="16"/>
      <c r="H1610" s="8"/>
      <c r="I1610" s="16"/>
    </row>
    <row r="1611" outlineLevel="1">
      <c r="A1611" s="9" t="s">
        <v>1264</v>
      </c>
      <c r="B1611" s="9" t="s">
        <v>506</v>
      </c>
      <c r="C1611" s="12" t="s">
        <v>65</v>
      </c>
      <c r="D1611" s="14" t="s">
        <v>1679</v>
      </c>
      <c r="E1611" s="16"/>
      <c r="F1611" s="8"/>
      <c r="G1611" s="16"/>
      <c r="H1611" s="8"/>
      <c r="I1611" s="16"/>
    </row>
    <row r="1612" outlineLevel="1">
      <c r="A1612" s="18" t="s">
        <v>1264</v>
      </c>
      <c r="B1612" s="9" t="s">
        <v>1902</v>
      </c>
      <c r="C1612" s="12" t="s">
        <v>65</v>
      </c>
      <c r="D1612" s="14" t="s">
        <v>1679</v>
      </c>
      <c r="E1612" s="16"/>
      <c r="F1612" s="8"/>
      <c r="G1612" s="16"/>
      <c r="H1612" s="8"/>
      <c r="I1612" s="16"/>
    </row>
    <row r="1613" outlineLevel="1">
      <c r="A1613" s="9" t="s">
        <v>1264</v>
      </c>
      <c r="B1613" s="18" t="s">
        <v>333</v>
      </c>
      <c r="C1613" s="19" t="s">
        <v>93</v>
      </c>
      <c r="D1613" s="14" t="s">
        <v>1679</v>
      </c>
      <c r="E1613" s="16"/>
      <c r="F1613" s="8"/>
      <c r="G1613" s="16"/>
      <c r="H1613" s="8"/>
      <c r="I1613" s="16"/>
    </row>
    <row r="1614" outlineLevel="1">
      <c r="A1614" s="9" t="s">
        <v>1264</v>
      </c>
      <c r="B1614" s="9" t="s">
        <v>1903</v>
      </c>
      <c r="C1614" s="12" t="s">
        <v>186</v>
      </c>
      <c r="D1614" s="14" t="s">
        <v>1679</v>
      </c>
      <c r="E1614" s="16"/>
      <c r="F1614" s="8"/>
      <c r="G1614" s="16"/>
      <c r="H1614" s="8"/>
      <c r="I1614" s="16"/>
    </row>
    <row r="1615" outlineLevel="1">
      <c r="A1615" s="9" t="s">
        <v>1904</v>
      </c>
      <c r="B1615" s="9" t="s">
        <v>204</v>
      </c>
      <c r="C1615" s="12" t="s">
        <v>93</v>
      </c>
      <c r="D1615" s="14" t="s">
        <v>1679</v>
      </c>
      <c r="E1615" s="16"/>
      <c r="F1615" s="8"/>
      <c r="G1615" s="16"/>
      <c r="H1615" s="8"/>
      <c r="I1615" s="16"/>
    </row>
    <row r="1616" outlineLevel="1">
      <c r="A1616" s="9" t="s">
        <v>1905</v>
      </c>
      <c r="B1616" s="9" t="s">
        <v>194</v>
      </c>
      <c r="C1616" s="12" t="s">
        <v>141</v>
      </c>
      <c r="D1616" s="14" t="s">
        <v>1679</v>
      </c>
      <c r="E1616" s="16"/>
      <c r="F1616" s="8"/>
      <c r="G1616" s="16"/>
      <c r="H1616" s="8"/>
      <c r="I1616" s="16"/>
    </row>
    <row r="1617" outlineLevel="1">
      <c r="A1617" s="9" t="s">
        <v>1906</v>
      </c>
      <c r="B1617" s="9" t="s">
        <v>1907</v>
      </c>
      <c r="C1617" s="12" t="s">
        <v>186</v>
      </c>
      <c r="D1617" s="14" t="s">
        <v>1679</v>
      </c>
      <c r="E1617" s="16"/>
      <c r="F1617" s="8"/>
      <c r="G1617" s="16"/>
      <c r="H1617" s="8"/>
      <c r="I1617" s="16"/>
    </row>
    <row r="1618" outlineLevel="1">
      <c r="A1618" s="9" t="s">
        <v>1908</v>
      </c>
      <c r="B1618" s="9" t="s">
        <v>1909</v>
      </c>
      <c r="C1618" s="12" t="s">
        <v>70</v>
      </c>
      <c r="D1618" s="14" t="s">
        <v>1679</v>
      </c>
      <c r="E1618" s="16"/>
      <c r="F1618" s="18"/>
      <c r="G1618" s="19"/>
      <c r="H1618" s="18"/>
      <c r="I1618" s="19"/>
    </row>
    <row r="1619" outlineLevel="1">
      <c r="A1619" s="9" t="s">
        <v>1908</v>
      </c>
      <c r="B1619" s="9" t="s">
        <v>1910</v>
      </c>
      <c r="C1619" s="12" t="s">
        <v>215</v>
      </c>
      <c r="D1619" s="14" t="s">
        <v>1679</v>
      </c>
      <c r="E1619" s="16"/>
      <c r="F1619" s="8"/>
      <c r="G1619" s="16"/>
      <c r="H1619" s="8"/>
      <c r="I1619" s="16"/>
    </row>
    <row r="1620" outlineLevel="1">
      <c r="A1620" s="9" t="s">
        <v>1911</v>
      </c>
      <c r="B1620" s="9" t="s">
        <v>1063</v>
      </c>
      <c r="C1620" s="12" t="s">
        <v>59</v>
      </c>
      <c r="D1620" s="14" t="s">
        <v>1679</v>
      </c>
      <c r="E1620" s="16"/>
      <c r="F1620" s="8"/>
      <c r="G1620" s="16"/>
      <c r="H1620" s="8"/>
      <c r="I1620" s="16"/>
    </row>
    <row r="1621" outlineLevel="1">
      <c r="A1621" s="9" t="s">
        <v>1912</v>
      </c>
      <c r="B1621" s="9" t="s">
        <v>231</v>
      </c>
      <c r="C1621" s="12" t="s">
        <v>16</v>
      </c>
      <c r="D1621" s="14" t="s">
        <v>1679</v>
      </c>
      <c r="E1621" s="16"/>
      <c r="F1621" s="8"/>
      <c r="G1621" s="16"/>
      <c r="H1621" s="8"/>
      <c r="I1621" s="16"/>
    </row>
    <row r="1622" outlineLevel="1">
      <c r="A1622" s="9" t="s">
        <v>1913</v>
      </c>
      <c r="B1622" s="9" t="s">
        <v>532</v>
      </c>
      <c r="C1622" s="12" t="s">
        <v>24</v>
      </c>
      <c r="D1622" s="14" t="s">
        <v>1679</v>
      </c>
      <c r="E1622" s="16"/>
      <c r="F1622" s="8"/>
      <c r="G1622" s="16"/>
      <c r="H1622" s="8"/>
      <c r="I1622" s="16"/>
    </row>
    <row r="1623" outlineLevel="1">
      <c r="A1623" s="9" t="s">
        <v>1914</v>
      </c>
      <c r="B1623" s="9" t="s">
        <v>1915</v>
      </c>
      <c r="C1623" s="12" t="s">
        <v>186</v>
      </c>
      <c r="D1623" s="14" t="s">
        <v>1679</v>
      </c>
      <c r="E1623" s="16"/>
      <c r="F1623" s="8"/>
      <c r="G1623" s="16"/>
      <c r="H1623" s="8"/>
      <c r="I1623" s="16"/>
    </row>
    <row r="1624" outlineLevel="1">
      <c r="A1624" s="9" t="s">
        <v>767</v>
      </c>
      <c r="B1624" s="9" t="s">
        <v>204</v>
      </c>
      <c r="C1624" s="12" t="s">
        <v>141</v>
      </c>
      <c r="D1624" s="14" t="s">
        <v>1679</v>
      </c>
      <c r="E1624" s="16"/>
      <c r="F1624" s="8"/>
      <c r="G1624" s="16"/>
      <c r="H1624" s="8"/>
      <c r="I1624" s="16"/>
    </row>
    <row r="1625" outlineLevel="1">
      <c r="A1625" s="9" t="s">
        <v>1916</v>
      </c>
      <c r="B1625" s="9" t="s">
        <v>1917</v>
      </c>
      <c r="C1625" s="12" t="s">
        <v>80</v>
      </c>
      <c r="D1625" s="14" t="s">
        <v>1679</v>
      </c>
      <c r="E1625" s="16"/>
      <c r="F1625" s="8"/>
      <c r="G1625" s="16"/>
      <c r="H1625" s="8"/>
      <c r="I1625" s="16"/>
    </row>
    <row r="1626" outlineLevel="1">
      <c r="A1626" s="9" t="s">
        <v>1036</v>
      </c>
      <c r="B1626" s="9" t="s">
        <v>1918</v>
      </c>
      <c r="C1626" s="12" t="s">
        <v>192</v>
      </c>
      <c r="D1626" s="14" t="s">
        <v>1679</v>
      </c>
      <c r="E1626" s="16"/>
      <c r="F1626" s="8"/>
      <c r="G1626" s="16"/>
      <c r="H1626" s="8"/>
      <c r="I1626" s="16"/>
    </row>
    <row r="1627" outlineLevel="1">
      <c r="A1627" s="9" t="s">
        <v>1919</v>
      </c>
      <c r="B1627" s="9" t="s">
        <v>1920</v>
      </c>
      <c r="C1627" s="12" t="s">
        <v>215</v>
      </c>
      <c r="D1627" s="14" t="s">
        <v>1679</v>
      </c>
      <c r="E1627" s="16"/>
      <c r="F1627" s="8"/>
      <c r="G1627" s="16"/>
      <c r="H1627" s="8"/>
      <c r="I1627" s="16"/>
    </row>
    <row r="1628" outlineLevel="1">
      <c r="A1628" s="9" t="s">
        <v>1550</v>
      </c>
      <c r="B1628" s="9" t="s">
        <v>1004</v>
      </c>
      <c r="C1628" s="12" t="s">
        <v>93</v>
      </c>
      <c r="D1628" s="14" t="s">
        <v>1679</v>
      </c>
      <c r="E1628" s="16"/>
      <c r="F1628" s="8"/>
      <c r="G1628" s="16"/>
      <c r="H1628" s="8"/>
      <c r="I1628" s="16"/>
    </row>
    <row r="1629" outlineLevel="1">
      <c r="A1629" s="9" t="s">
        <v>1921</v>
      </c>
      <c r="B1629" s="9" t="s">
        <v>50</v>
      </c>
      <c r="C1629" s="12" t="s">
        <v>186</v>
      </c>
      <c r="D1629" s="14" t="s">
        <v>1679</v>
      </c>
      <c r="E1629" s="16"/>
      <c r="F1629" s="8"/>
      <c r="G1629" s="16"/>
      <c r="H1629" s="8"/>
      <c r="I1629" s="16"/>
    </row>
    <row r="1630" outlineLevel="1">
      <c r="A1630" s="9" t="s">
        <v>1922</v>
      </c>
      <c r="B1630" s="9" t="s">
        <v>337</v>
      </c>
      <c r="C1630" s="12" t="s">
        <v>138</v>
      </c>
      <c r="D1630" s="14" t="s">
        <v>1679</v>
      </c>
      <c r="E1630" s="16"/>
      <c r="F1630" s="8"/>
      <c r="G1630" s="16"/>
      <c r="H1630" s="8"/>
      <c r="I1630" s="16"/>
    </row>
    <row r="1631" outlineLevel="1">
      <c r="A1631" s="9" t="s">
        <v>1923</v>
      </c>
      <c r="B1631" s="9" t="s">
        <v>91</v>
      </c>
      <c r="C1631" s="12" t="s">
        <v>75</v>
      </c>
      <c r="D1631" s="14" t="s">
        <v>1679</v>
      </c>
      <c r="E1631" s="16"/>
      <c r="F1631" s="18"/>
      <c r="G1631" s="19"/>
      <c r="H1631" s="18"/>
      <c r="I1631" s="19"/>
    </row>
    <row r="1632" outlineLevel="1">
      <c r="A1632" s="18" t="s">
        <v>1924</v>
      </c>
      <c r="B1632" s="9" t="s">
        <v>1850</v>
      </c>
      <c r="C1632" s="12" t="s">
        <v>53</v>
      </c>
      <c r="D1632" s="14" t="s">
        <v>1679</v>
      </c>
      <c r="E1632" s="16"/>
      <c r="F1632" s="8"/>
      <c r="G1632" s="16"/>
      <c r="H1632" s="8"/>
      <c r="I1632" s="16"/>
    </row>
    <row r="1633" outlineLevel="1">
      <c r="A1633" s="9" t="s">
        <v>1925</v>
      </c>
      <c r="B1633" s="18" t="s">
        <v>275</v>
      </c>
      <c r="C1633" s="19" t="s">
        <v>215</v>
      </c>
      <c r="D1633" s="14" t="s">
        <v>1679</v>
      </c>
      <c r="E1633" s="16"/>
      <c r="F1633" s="8"/>
      <c r="G1633" s="16"/>
      <c r="H1633" s="8"/>
      <c r="I1633" s="16"/>
    </row>
    <row r="1634" outlineLevel="1">
      <c r="A1634" s="9" t="s">
        <v>1926</v>
      </c>
      <c r="B1634" s="9" t="s">
        <v>1927</v>
      </c>
      <c r="C1634" s="12" t="s">
        <v>59</v>
      </c>
      <c r="D1634" s="14" t="s">
        <v>1679</v>
      </c>
      <c r="E1634" s="16"/>
      <c r="F1634" s="8"/>
      <c r="G1634" s="16"/>
      <c r="H1634" s="8"/>
      <c r="I1634" s="16"/>
    </row>
    <row r="1635" outlineLevel="1">
      <c r="A1635" s="9" t="s">
        <v>1928</v>
      </c>
      <c r="B1635" s="9" t="s">
        <v>1929</v>
      </c>
      <c r="C1635" s="12" t="s">
        <v>215</v>
      </c>
      <c r="D1635" s="14" t="s">
        <v>1679</v>
      </c>
      <c r="E1635" s="16"/>
      <c r="F1635" s="8"/>
      <c r="G1635" s="16"/>
      <c r="H1635" s="8"/>
      <c r="I1635" s="16"/>
    </row>
    <row r="1636" outlineLevel="1">
      <c r="A1636" s="9" t="s">
        <v>1930</v>
      </c>
      <c r="B1636" s="9" t="s">
        <v>1931</v>
      </c>
      <c r="C1636" s="12" t="s">
        <v>59</v>
      </c>
      <c r="D1636" s="14" t="s">
        <v>1679</v>
      </c>
      <c r="E1636" s="16"/>
      <c r="F1636" s="8"/>
      <c r="G1636" s="16"/>
      <c r="H1636" s="8"/>
      <c r="I1636" s="16"/>
    </row>
    <row r="1637" outlineLevel="1">
      <c r="A1637" s="9" t="s">
        <v>1932</v>
      </c>
      <c r="B1637" s="9" t="s">
        <v>260</v>
      </c>
      <c r="C1637" s="12" t="s">
        <v>59</v>
      </c>
      <c r="D1637" s="14" t="s">
        <v>1679</v>
      </c>
      <c r="E1637" s="16"/>
      <c r="F1637" s="8"/>
      <c r="G1637" s="16"/>
      <c r="H1637" s="8"/>
      <c r="I1637" s="16"/>
    </row>
    <row r="1638" outlineLevel="1">
      <c r="A1638" s="9" t="s">
        <v>1933</v>
      </c>
      <c r="B1638" s="9" t="s">
        <v>102</v>
      </c>
      <c r="C1638" s="12" t="s">
        <v>138</v>
      </c>
      <c r="D1638" s="14" t="s">
        <v>1679</v>
      </c>
      <c r="E1638" s="16"/>
      <c r="F1638" s="8"/>
      <c r="G1638" s="16"/>
      <c r="H1638" s="8"/>
      <c r="I1638" s="16"/>
    </row>
    <row r="1639" outlineLevel="1">
      <c r="A1639" s="9" t="s">
        <v>1934</v>
      </c>
      <c r="B1639" s="9" t="s">
        <v>480</v>
      </c>
      <c r="C1639" s="12" t="s">
        <v>65</v>
      </c>
      <c r="D1639" s="14" t="s">
        <v>1679</v>
      </c>
      <c r="E1639" s="16"/>
      <c r="F1639" s="8"/>
      <c r="G1639" s="16"/>
      <c r="H1639" s="8"/>
      <c r="I1639" s="16"/>
    </row>
    <row r="1640" outlineLevel="1">
      <c r="A1640" s="9" t="s">
        <v>1282</v>
      </c>
      <c r="B1640" s="9" t="s">
        <v>1935</v>
      </c>
      <c r="C1640" s="12" t="s">
        <v>46</v>
      </c>
      <c r="D1640" s="14" t="s">
        <v>1679</v>
      </c>
      <c r="E1640" s="16"/>
      <c r="F1640" s="8"/>
      <c r="G1640" s="16"/>
      <c r="H1640" s="8"/>
      <c r="I1640" s="16"/>
    </row>
    <row r="1641" outlineLevel="1">
      <c r="A1641" s="9" t="s">
        <v>1282</v>
      </c>
      <c r="B1641" s="9" t="s">
        <v>628</v>
      </c>
      <c r="C1641" s="12" t="s">
        <v>70</v>
      </c>
      <c r="D1641" s="14" t="s">
        <v>1679</v>
      </c>
      <c r="E1641" s="16"/>
      <c r="F1641" s="8"/>
      <c r="G1641" s="16"/>
      <c r="H1641" s="8"/>
      <c r="I1641" s="16"/>
    </row>
    <row r="1642" outlineLevel="1">
      <c r="A1642" s="9" t="s">
        <v>1936</v>
      </c>
      <c r="B1642" s="9" t="s">
        <v>597</v>
      </c>
      <c r="C1642" s="12" t="s">
        <v>141</v>
      </c>
      <c r="D1642" s="14" t="s">
        <v>1679</v>
      </c>
      <c r="E1642" s="16"/>
      <c r="F1642" s="8"/>
      <c r="G1642" s="16"/>
      <c r="H1642" s="8"/>
      <c r="I1642" s="16"/>
    </row>
    <row r="1643" outlineLevel="1">
      <c r="A1643" s="9" t="s">
        <v>1937</v>
      </c>
      <c r="B1643" s="9" t="s">
        <v>1938</v>
      </c>
      <c r="C1643" s="12" t="s">
        <v>122</v>
      </c>
      <c r="D1643" s="14" t="s">
        <v>1679</v>
      </c>
      <c r="E1643" s="16"/>
      <c r="F1643" s="8"/>
      <c r="G1643" s="16"/>
      <c r="H1643" s="8"/>
      <c r="I1643" s="16"/>
    </row>
    <row r="1644" outlineLevel="1">
      <c r="A1644" s="9" t="s">
        <v>1939</v>
      </c>
      <c r="B1644" s="9" t="s">
        <v>1940</v>
      </c>
      <c r="C1644" s="12" t="s">
        <v>75</v>
      </c>
      <c r="D1644" s="14" t="s">
        <v>1679</v>
      </c>
      <c r="E1644" s="16"/>
      <c r="F1644" s="8"/>
      <c r="G1644" s="16"/>
      <c r="H1644" s="8"/>
      <c r="I1644" s="16"/>
    </row>
    <row r="1645" outlineLevel="1">
      <c r="A1645" s="9" t="s">
        <v>1579</v>
      </c>
      <c r="B1645" s="9" t="s">
        <v>1044</v>
      </c>
      <c r="C1645" s="12" t="s">
        <v>141</v>
      </c>
      <c r="D1645" s="14" t="s">
        <v>1679</v>
      </c>
      <c r="E1645" s="16"/>
      <c r="F1645" s="8"/>
      <c r="G1645" s="16"/>
      <c r="H1645" s="8"/>
      <c r="I1645" s="16"/>
    </row>
    <row r="1646" outlineLevel="1">
      <c r="A1646" s="18" t="s">
        <v>340</v>
      </c>
      <c r="B1646" s="9" t="s">
        <v>1941</v>
      </c>
      <c r="C1646" s="12" t="s">
        <v>132</v>
      </c>
      <c r="D1646" s="14" t="s">
        <v>1679</v>
      </c>
      <c r="E1646" s="16"/>
      <c r="F1646" s="8"/>
      <c r="G1646" s="16"/>
      <c r="H1646" s="8"/>
      <c r="I1646" s="16"/>
    </row>
    <row r="1647" outlineLevel="1">
      <c r="A1647" s="9" t="s">
        <v>417</v>
      </c>
      <c r="B1647" s="18" t="s">
        <v>33</v>
      </c>
      <c r="C1647" s="19" t="s">
        <v>132</v>
      </c>
      <c r="D1647" s="14" t="s">
        <v>1679</v>
      </c>
      <c r="E1647" s="16"/>
      <c r="F1647" s="8"/>
      <c r="G1647" s="16"/>
      <c r="H1647" s="8"/>
      <c r="I1647" s="16"/>
    </row>
    <row r="1648" outlineLevel="1">
      <c r="A1648" s="9" t="s">
        <v>1942</v>
      </c>
      <c r="B1648" s="9" t="s">
        <v>1943</v>
      </c>
      <c r="C1648" s="12" t="s">
        <v>70</v>
      </c>
      <c r="D1648" s="14" t="s">
        <v>1679</v>
      </c>
      <c r="E1648" s="16"/>
      <c r="F1648" s="8"/>
      <c r="G1648" s="16"/>
      <c r="H1648" s="8"/>
      <c r="I1648" s="16"/>
    </row>
    <row r="1649" outlineLevel="1">
      <c r="A1649" s="9" t="s">
        <v>1944</v>
      </c>
      <c r="B1649" s="9" t="s">
        <v>1528</v>
      </c>
      <c r="C1649" s="12" t="s">
        <v>138</v>
      </c>
      <c r="D1649" s="14" t="s">
        <v>1679</v>
      </c>
      <c r="E1649" s="16"/>
      <c r="F1649" s="8"/>
      <c r="G1649" s="16"/>
      <c r="H1649" s="8"/>
      <c r="I1649" s="16"/>
    </row>
    <row r="1650" outlineLevel="1">
      <c r="A1650" s="9" t="s">
        <v>1945</v>
      </c>
      <c r="B1650" s="9" t="s">
        <v>214</v>
      </c>
      <c r="C1650" s="12" t="s">
        <v>59</v>
      </c>
      <c r="D1650" s="14" t="s">
        <v>1679</v>
      </c>
      <c r="E1650" s="16"/>
      <c r="F1650" s="8"/>
      <c r="G1650" s="16"/>
      <c r="H1650" s="8"/>
      <c r="I1650" s="16"/>
    </row>
    <row r="1651" outlineLevel="1">
      <c r="A1651" s="9" t="s">
        <v>593</v>
      </c>
      <c r="B1651" s="9" t="s">
        <v>1031</v>
      </c>
      <c r="C1651" s="12" t="s">
        <v>75</v>
      </c>
      <c r="D1651" s="14" t="s">
        <v>1679</v>
      </c>
      <c r="E1651" s="16"/>
      <c r="F1651" s="8"/>
      <c r="G1651" s="16"/>
      <c r="H1651" s="8"/>
      <c r="I1651" s="16"/>
    </row>
    <row r="1652" outlineLevel="1">
      <c r="A1652" s="9" t="s">
        <v>1946</v>
      </c>
      <c r="B1652" s="9" t="s">
        <v>438</v>
      </c>
      <c r="C1652" s="12" t="s">
        <v>65</v>
      </c>
      <c r="D1652" s="14" t="s">
        <v>1679</v>
      </c>
      <c r="E1652" s="16"/>
      <c r="F1652" s="8"/>
      <c r="G1652" s="16"/>
      <c r="H1652" s="8"/>
      <c r="I1652" s="16"/>
    </row>
    <row r="1653" outlineLevel="1">
      <c r="A1653" s="9" t="s">
        <v>1947</v>
      </c>
      <c r="B1653" s="9" t="s">
        <v>1948</v>
      </c>
      <c r="C1653" s="12" t="s">
        <v>75</v>
      </c>
      <c r="D1653" s="14" t="s">
        <v>1679</v>
      </c>
      <c r="E1653" s="16"/>
      <c r="F1653" s="8"/>
      <c r="G1653" s="16"/>
      <c r="H1653" s="8"/>
      <c r="I1653" s="16"/>
    </row>
    <row r="1654" outlineLevel="1">
      <c r="A1654" s="9" t="s">
        <v>1585</v>
      </c>
      <c r="B1654" s="9" t="s">
        <v>1949</v>
      </c>
      <c r="C1654" s="12" t="s">
        <v>24</v>
      </c>
      <c r="D1654" s="14" t="s">
        <v>1679</v>
      </c>
      <c r="E1654" s="16"/>
      <c r="F1654" s="8"/>
      <c r="G1654" s="16"/>
      <c r="H1654" s="8"/>
      <c r="I1654" s="16"/>
    </row>
    <row r="1655" outlineLevel="1">
      <c r="A1655" s="9" t="s">
        <v>1950</v>
      </c>
      <c r="B1655" s="9" t="s">
        <v>1951</v>
      </c>
      <c r="C1655" s="12" t="s">
        <v>186</v>
      </c>
      <c r="D1655" s="14" t="s">
        <v>1679</v>
      </c>
      <c r="E1655" s="16"/>
      <c r="F1655" s="8"/>
      <c r="G1655" s="16"/>
      <c r="H1655" s="8"/>
      <c r="I1655" s="16"/>
    </row>
    <row r="1656" outlineLevel="1">
      <c r="A1656" s="9" t="s">
        <v>1297</v>
      </c>
      <c r="B1656" s="9" t="s">
        <v>100</v>
      </c>
      <c r="C1656" s="12" t="s">
        <v>132</v>
      </c>
      <c r="D1656" s="14" t="s">
        <v>1679</v>
      </c>
      <c r="E1656" s="16"/>
      <c r="F1656" s="18"/>
      <c r="G1656" s="19"/>
      <c r="H1656" s="18"/>
      <c r="I1656" s="19"/>
    </row>
    <row r="1657" outlineLevel="1">
      <c r="A1657" s="9" t="s">
        <v>1952</v>
      </c>
      <c r="B1657" s="9" t="s">
        <v>1128</v>
      </c>
      <c r="C1657" s="12" t="s">
        <v>59</v>
      </c>
      <c r="D1657" s="14" t="s">
        <v>1679</v>
      </c>
      <c r="E1657" s="16"/>
      <c r="F1657" s="8"/>
      <c r="G1657" s="16"/>
      <c r="H1657" s="8"/>
      <c r="I1657" s="16"/>
    </row>
    <row r="1658" outlineLevel="1">
      <c r="A1658" s="9" t="s">
        <v>783</v>
      </c>
      <c r="B1658" s="9" t="s">
        <v>301</v>
      </c>
      <c r="C1658" s="12" t="s">
        <v>65</v>
      </c>
      <c r="D1658" s="14" t="s">
        <v>1679</v>
      </c>
      <c r="E1658" s="16"/>
      <c r="F1658" s="8"/>
      <c r="G1658" s="16"/>
      <c r="H1658" s="8"/>
      <c r="I1658" s="16"/>
    </row>
    <row r="1659" outlineLevel="1">
      <c r="A1659" s="9" t="s">
        <v>783</v>
      </c>
      <c r="B1659" s="9" t="s">
        <v>839</v>
      </c>
      <c r="C1659" s="12" t="s">
        <v>65</v>
      </c>
      <c r="D1659" s="14" t="s">
        <v>1679</v>
      </c>
      <c r="E1659" s="16"/>
      <c r="F1659" s="8"/>
      <c r="G1659" s="16"/>
      <c r="H1659" s="8"/>
      <c r="I1659" s="16"/>
    </row>
    <row r="1660" outlineLevel="1">
      <c r="A1660" s="9" t="s">
        <v>1953</v>
      </c>
      <c r="B1660" s="9" t="s">
        <v>1954</v>
      </c>
      <c r="C1660" s="12" t="s">
        <v>122</v>
      </c>
      <c r="D1660" s="14" t="s">
        <v>1679</v>
      </c>
      <c r="E1660" s="16"/>
      <c r="F1660" s="8"/>
      <c r="G1660" s="16"/>
      <c r="H1660" s="8"/>
      <c r="I1660" s="16"/>
    </row>
    <row r="1661" outlineLevel="1">
      <c r="A1661" s="9" t="s">
        <v>1955</v>
      </c>
      <c r="B1661" s="9" t="s">
        <v>1915</v>
      </c>
      <c r="C1661" s="12" t="s">
        <v>65</v>
      </c>
      <c r="D1661" s="14" t="s">
        <v>1679</v>
      </c>
      <c r="E1661" s="16"/>
      <c r="F1661" s="8"/>
      <c r="G1661" s="16"/>
      <c r="H1661" s="8"/>
      <c r="I1661" s="16"/>
    </row>
    <row r="1662" outlineLevel="1">
      <c r="A1662" s="9" t="s">
        <v>1956</v>
      </c>
      <c r="B1662" s="9" t="s">
        <v>258</v>
      </c>
      <c r="C1662" s="12" t="s">
        <v>141</v>
      </c>
      <c r="D1662" s="14" t="s">
        <v>1679</v>
      </c>
      <c r="E1662" s="16"/>
      <c r="F1662" s="8"/>
      <c r="G1662" s="16"/>
      <c r="H1662" s="8"/>
      <c r="I1662" s="16"/>
    </row>
    <row r="1663" outlineLevel="1">
      <c r="A1663" s="18" t="s">
        <v>308</v>
      </c>
      <c r="B1663" s="9" t="s">
        <v>1957</v>
      </c>
      <c r="C1663" s="12" t="s">
        <v>122</v>
      </c>
      <c r="D1663" s="14" t="s">
        <v>1679</v>
      </c>
      <c r="E1663" s="16"/>
      <c r="F1663" s="8"/>
      <c r="G1663" s="16"/>
      <c r="H1663" s="8"/>
      <c r="I1663" s="16"/>
    </row>
    <row r="1664" outlineLevel="1">
      <c r="A1664" s="9" t="s">
        <v>308</v>
      </c>
      <c r="B1664" s="18" t="s">
        <v>1735</v>
      </c>
      <c r="C1664" s="19" t="s">
        <v>65</v>
      </c>
      <c r="D1664" s="14" t="s">
        <v>1679</v>
      </c>
      <c r="E1664" s="16"/>
      <c r="F1664" s="8"/>
      <c r="G1664" s="16"/>
      <c r="H1664" s="8"/>
      <c r="I1664" s="16"/>
    </row>
    <row r="1665" outlineLevel="1">
      <c r="A1665" s="9" t="s">
        <v>1958</v>
      </c>
      <c r="B1665" s="9" t="s">
        <v>1611</v>
      </c>
      <c r="C1665" s="12" t="s">
        <v>138</v>
      </c>
      <c r="D1665" s="14" t="s">
        <v>1679</v>
      </c>
      <c r="E1665" s="16"/>
      <c r="F1665" s="8"/>
      <c r="G1665" s="16"/>
      <c r="H1665" s="8"/>
      <c r="I1665" s="16"/>
    </row>
    <row r="1666" outlineLevel="1">
      <c r="A1666" s="9" t="s">
        <v>1959</v>
      </c>
      <c r="B1666" s="9" t="s">
        <v>423</v>
      </c>
      <c r="C1666" s="12" t="s">
        <v>12</v>
      </c>
      <c r="D1666" s="14" t="s">
        <v>1679</v>
      </c>
      <c r="E1666" s="16"/>
      <c r="F1666" s="8"/>
      <c r="G1666" s="16"/>
      <c r="H1666" s="8"/>
      <c r="I1666" s="16"/>
    </row>
    <row r="1667" outlineLevel="1">
      <c r="A1667" s="9" t="s">
        <v>599</v>
      </c>
      <c r="B1667" s="9" t="s">
        <v>111</v>
      </c>
      <c r="C1667" s="12" t="s">
        <v>16</v>
      </c>
      <c r="D1667" s="14" t="s">
        <v>1679</v>
      </c>
      <c r="E1667" s="16"/>
      <c r="F1667" s="8"/>
      <c r="G1667" s="16"/>
      <c r="H1667" s="8"/>
      <c r="I1667" s="16"/>
    </row>
    <row r="1668" outlineLevel="1">
      <c r="A1668" s="9" t="s">
        <v>1960</v>
      </c>
      <c r="B1668" s="9" t="s">
        <v>1961</v>
      </c>
      <c r="C1668" s="12" t="s">
        <v>38</v>
      </c>
      <c r="D1668" s="14" t="s">
        <v>1679</v>
      </c>
      <c r="E1668" s="16"/>
      <c r="F1668" s="8"/>
      <c r="G1668" s="16"/>
      <c r="H1668" s="8"/>
      <c r="I1668" s="16"/>
    </row>
    <row r="1669" outlineLevel="1">
      <c r="A1669" s="9" t="s">
        <v>1962</v>
      </c>
      <c r="B1669" s="9" t="s">
        <v>1963</v>
      </c>
      <c r="C1669" s="12" t="s">
        <v>186</v>
      </c>
      <c r="D1669" s="14" t="s">
        <v>1679</v>
      </c>
      <c r="E1669" s="16"/>
      <c r="F1669" s="8"/>
      <c r="G1669" s="16"/>
      <c r="H1669" s="8"/>
      <c r="I1669" s="16"/>
    </row>
    <row r="1670" outlineLevel="1">
      <c r="A1670" s="9" t="s">
        <v>1031</v>
      </c>
      <c r="B1670" s="9" t="s">
        <v>1964</v>
      </c>
      <c r="C1670" s="12" t="s">
        <v>65</v>
      </c>
      <c r="D1670" s="14" t="s">
        <v>1679</v>
      </c>
      <c r="E1670" s="16"/>
      <c r="F1670" s="8"/>
      <c r="G1670" s="16"/>
      <c r="H1670" s="8"/>
      <c r="I1670" s="16"/>
    </row>
    <row r="1671" outlineLevel="1">
      <c r="A1671" s="9" t="s">
        <v>1031</v>
      </c>
      <c r="B1671" s="9" t="s">
        <v>1965</v>
      </c>
      <c r="C1671" s="12" t="s">
        <v>70</v>
      </c>
      <c r="D1671" s="14" t="s">
        <v>1679</v>
      </c>
      <c r="E1671" s="16"/>
      <c r="F1671" s="8"/>
      <c r="G1671" s="16"/>
      <c r="H1671" s="8"/>
      <c r="I1671" s="16"/>
    </row>
    <row r="1672" outlineLevel="1">
      <c r="A1672" s="9" t="s">
        <v>1031</v>
      </c>
      <c r="B1672" s="9" t="s">
        <v>1488</v>
      </c>
      <c r="C1672" s="12" t="s">
        <v>65</v>
      </c>
      <c r="D1672" s="14" t="s">
        <v>1679</v>
      </c>
      <c r="E1672" s="16"/>
      <c r="F1672" s="8"/>
      <c r="G1672" s="16"/>
      <c r="H1672" s="8"/>
      <c r="I1672" s="16"/>
    </row>
    <row r="1673" outlineLevel="1">
      <c r="A1673" s="18" t="s">
        <v>1031</v>
      </c>
      <c r="B1673" s="9" t="s">
        <v>1966</v>
      </c>
      <c r="C1673" s="12" t="s">
        <v>65</v>
      </c>
      <c r="D1673" s="14" t="s">
        <v>1679</v>
      </c>
      <c r="E1673" s="16"/>
      <c r="F1673" s="8"/>
      <c r="G1673" s="16"/>
      <c r="H1673" s="8"/>
      <c r="I1673" s="16"/>
    </row>
    <row r="1674" outlineLevel="1">
      <c r="A1674" s="9" t="s">
        <v>1031</v>
      </c>
      <c r="B1674" s="18" t="s">
        <v>231</v>
      </c>
      <c r="C1674" s="19" t="s">
        <v>192</v>
      </c>
      <c r="D1674" s="14" t="s">
        <v>1679</v>
      </c>
      <c r="E1674" s="16"/>
      <c r="F1674" s="8"/>
      <c r="G1674" s="16"/>
      <c r="H1674" s="8"/>
      <c r="I1674" s="16"/>
    </row>
    <row r="1675" outlineLevel="1">
      <c r="A1675" s="9" t="s">
        <v>1967</v>
      </c>
      <c r="B1675" s="9" t="s">
        <v>1563</v>
      </c>
      <c r="C1675" s="12" t="s">
        <v>24</v>
      </c>
      <c r="D1675" s="14" t="s">
        <v>1679</v>
      </c>
      <c r="E1675" s="16"/>
      <c r="F1675" s="8"/>
      <c r="G1675" s="16"/>
      <c r="H1675" s="8"/>
      <c r="I1675" s="16"/>
    </row>
    <row r="1676" outlineLevel="1">
      <c r="A1676" s="9" t="s">
        <v>1605</v>
      </c>
      <c r="B1676" s="9" t="s">
        <v>124</v>
      </c>
      <c r="C1676" s="12" t="s">
        <v>46</v>
      </c>
      <c r="D1676" s="14" t="s">
        <v>1679</v>
      </c>
      <c r="E1676" s="16"/>
      <c r="F1676" s="18"/>
      <c r="G1676" s="19"/>
      <c r="H1676" s="18"/>
      <c r="I1676" s="19"/>
    </row>
    <row r="1677" outlineLevel="1">
      <c r="A1677" s="9" t="s">
        <v>1968</v>
      </c>
      <c r="B1677" s="9" t="s">
        <v>11</v>
      </c>
      <c r="C1677" s="12" t="s">
        <v>24</v>
      </c>
      <c r="D1677" s="14" t="s">
        <v>1679</v>
      </c>
      <c r="E1677" s="16"/>
      <c r="F1677" s="8"/>
      <c r="G1677" s="16"/>
      <c r="H1677" s="8"/>
      <c r="I1677" s="16"/>
    </row>
    <row r="1678" outlineLevel="1">
      <c r="A1678" s="9" t="s">
        <v>1969</v>
      </c>
      <c r="B1678" s="9" t="s">
        <v>1970</v>
      </c>
      <c r="C1678" s="12" t="s">
        <v>65</v>
      </c>
      <c r="D1678" s="14" t="s">
        <v>1679</v>
      </c>
      <c r="E1678" s="16"/>
      <c r="F1678" s="8"/>
      <c r="G1678" s="16"/>
      <c r="H1678" s="8"/>
      <c r="I1678" s="16"/>
    </row>
    <row r="1679" outlineLevel="1">
      <c r="A1679" s="9" t="s">
        <v>99</v>
      </c>
      <c r="B1679" s="9" t="s">
        <v>1971</v>
      </c>
      <c r="C1679" s="12" t="s">
        <v>186</v>
      </c>
      <c r="D1679" s="14" t="s">
        <v>1679</v>
      </c>
      <c r="E1679" s="16"/>
      <c r="F1679" s="8"/>
      <c r="G1679" s="16"/>
      <c r="H1679" s="8"/>
      <c r="I1679" s="16"/>
    </row>
    <row r="1680" outlineLevel="1">
      <c r="A1680" s="9" t="s">
        <v>1972</v>
      </c>
      <c r="B1680" s="9" t="s">
        <v>1973</v>
      </c>
      <c r="C1680" s="12" t="s">
        <v>215</v>
      </c>
      <c r="D1680" s="14" t="s">
        <v>1679</v>
      </c>
      <c r="E1680" s="16"/>
      <c r="F1680" s="8"/>
      <c r="G1680" s="16"/>
      <c r="H1680" s="8"/>
      <c r="I1680" s="16"/>
    </row>
    <row r="1681" outlineLevel="1">
      <c r="A1681" s="9" t="s">
        <v>1974</v>
      </c>
      <c r="B1681" s="9" t="s">
        <v>241</v>
      </c>
      <c r="C1681" s="12" t="s">
        <v>149</v>
      </c>
      <c r="D1681" s="14" t="s">
        <v>1679</v>
      </c>
      <c r="E1681" s="16"/>
      <c r="F1681" s="8"/>
      <c r="G1681" s="16"/>
      <c r="H1681" s="8"/>
      <c r="I1681" s="16"/>
    </row>
    <row r="1682" outlineLevel="1">
      <c r="A1682" s="9" t="s">
        <v>99</v>
      </c>
      <c r="B1682" s="9" t="s">
        <v>226</v>
      </c>
      <c r="C1682" s="12" t="s">
        <v>186</v>
      </c>
      <c r="D1682" s="14" t="s">
        <v>1679</v>
      </c>
      <c r="E1682" s="16"/>
      <c r="F1682" s="8"/>
      <c r="G1682" s="16"/>
      <c r="H1682" s="8"/>
      <c r="I1682" s="16"/>
    </row>
    <row r="1683" outlineLevel="1">
      <c r="A1683" s="9" t="s">
        <v>99</v>
      </c>
      <c r="B1683" s="9" t="s">
        <v>1975</v>
      </c>
      <c r="C1683" s="12" t="s">
        <v>24</v>
      </c>
      <c r="D1683" s="14" t="s">
        <v>1679</v>
      </c>
      <c r="E1683" s="16"/>
      <c r="F1683" s="8"/>
      <c r="G1683" s="16"/>
      <c r="H1683" s="8"/>
      <c r="I1683" s="16"/>
    </row>
    <row r="1684" outlineLevel="1">
      <c r="A1684" s="9" t="s">
        <v>99</v>
      </c>
      <c r="B1684" s="9" t="s">
        <v>634</v>
      </c>
      <c r="C1684" s="12" t="s">
        <v>192</v>
      </c>
      <c r="D1684" s="14" t="s">
        <v>1679</v>
      </c>
      <c r="E1684" s="16"/>
      <c r="F1684" s="8"/>
      <c r="G1684" s="16"/>
      <c r="H1684" s="8"/>
      <c r="I1684" s="16"/>
    </row>
    <row r="1685" outlineLevel="1">
      <c r="A1685" s="9" t="s">
        <v>1976</v>
      </c>
      <c r="B1685" s="9" t="s">
        <v>1977</v>
      </c>
      <c r="C1685" s="12" t="s">
        <v>138</v>
      </c>
      <c r="D1685" s="14" t="s">
        <v>1679</v>
      </c>
      <c r="E1685" s="16"/>
      <c r="F1685" s="8"/>
      <c r="G1685" s="16"/>
      <c r="H1685" s="8"/>
      <c r="I1685" s="16"/>
    </row>
    <row r="1686" outlineLevel="1">
      <c r="A1686" s="9" t="s">
        <v>1978</v>
      </c>
      <c r="B1686" s="9" t="s">
        <v>1979</v>
      </c>
      <c r="C1686" s="12" t="s">
        <v>24</v>
      </c>
      <c r="D1686" s="14" t="s">
        <v>1679</v>
      </c>
      <c r="E1686" s="16"/>
      <c r="F1686" s="8"/>
      <c r="G1686" s="16"/>
      <c r="H1686" s="8"/>
      <c r="I1686" s="16"/>
    </row>
    <row r="1687" outlineLevel="1">
      <c r="A1687" s="18" t="s">
        <v>1980</v>
      </c>
      <c r="B1687" s="9" t="s">
        <v>920</v>
      </c>
      <c r="C1687" s="12" t="s">
        <v>53</v>
      </c>
      <c r="D1687" s="14" t="s">
        <v>1679</v>
      </c>
      <c r="E1687" s="16"/>
      <c r="F1687" s="8"/>
      <c r="G1687" s="16"/>
      <c r="H1687" s="8"/>
      <c r="I1687" s="16"/>
    </row>
    <row r="1688" outlineLevel="1">
      <c r="A1688" s="9" t="s">
        <v>1981</v>
      </c>
      <c r="B1688" s="18" t="s">
        <v>441</v>
      </c>
      <c r="C1688" s="19" t="s">
        <v>122</v>
      </c>
      <c r="D1688" s="14" t="s">
        <v>1679</v>
      </c>
      <c r="E1688" s="16"/>
      <c r="F1688" s="8"/>
      <c r="G1688" s="16"/>
      <c r="H1688" s="8"/>
      <c r="I1688" s="16"/>
    </row>
    <row r="1689" outlineLevel="1">
      <c r="A1689" s="9" t="s">
        <v>1982</v>
      </c>
      <c r="B1689" s="9" t="s">
        <v>506</v>
      </c>
      <c r="C1689" s="12" t="s">
        <v>149</v>
      </c>
      <c r="D1689" s="14" t="s">
        <v>1679</v>
      </c>
      <c r="E1689" s="16"/>
      <c r="F1689" s="8"/>
      <c r="G1689" s="16"/>
      <c r="H1689" s="8"/>
      <c r="I1689" s="16"/>
    </row>
    <row r="1690" outlineLevel="1">
      <c r="A1690" s="9" t="s">
        <v>1983</v>
      </c>
      <c r="B1690" s="9" t="s">
        <v>810</v>
      </c>
      <c r="C1690" s="12" t="s">
        <v>93</v>
      </c>
      <c r="D1690" s="14" t="s">
        <v>1679</v>
      </c>
      <c r="E1690" s="16"/>
      <c r="F1690" s="8"/>
      <c r="G1690" s="16"/>
      <c r="H1690" s="8"/>
      <c r="I1690" s="16"/>
    </row>
    <row r="1691" outlineLevel="1">
      <c r="A1691" s="9" t="s">
        <v>1984</v>
      </c>
      <c r="B1691" s="9" t="s">
        <v>52</v>
      </c>
      <c r="C1691" s="12" t="s">
        <v>93</v>
      </c>
      <c r="D1691" s="14" t="s">
        <v>1679</v>
      </c>
      <c r="E1691" s="16"/>
      <c r="F1691" s="8"/>
      <c r="G1691" s="16"/>
      <c r="H1691" s="8"/>
      <c r="I1691" s="16"/>
    </row>
    <row r="1692" outlineLevel="1">
      <c r="A1692" s="9" t="s">
        <v>1985</v>
      </c>
      <c r="B1692" s="9" t="s">
        <v>1986</v>
      </c>
      <c r="C1692" s="12" t="s">
        <v>24</v>
      </c>
      <c r="D1692" s="14" t="s">
        <v>1679</v>
      </c>
      <c r="E1692" s="16"/>
      <c r="F1692" s="8"/>
      <c r="G1692" s="16"/>
      <c r="H1692" s="8"/>
      <c r="I1692" s="16"/>
    </row>
    <row r="1693" outlineLevel="1">
      <c r="A1693" s="9" t="s">
        <v>1987</v>
      </c>
      <c r="B1693" s="9" t="s">
        <v>67</v>
      </c>
      <c r="C1693" s="12" t="s">
        <v>65</v>
      </c>
      <c r="D1693" s="14" t="s">
        <v>1679</v>
      </c>
      <c r="E1693" s="16"/>
      <c r="F1693" s="8"/>
      <c r="G1693" s="16"/>
      <c r="H1693" s="8"/>
      <c r="I1693" s="16"/>
    </row>
    <row r="1694" outlineLevel="1">
      <c r="A1694" s="9" t="s">
        <v>1988</v>
      </c>
      <c r="B1694" s="9" t="s">
        <v>501</v>
      </c>
      <c r="C1694" s="12" t="s">
        <v>24</v>
      </c>
      <c r="D1694" s="14" t="s">
        <v>1679</v>
      </c>
      <c r="E1694" s="16"/>
      <c r="F1694" s="8"/>
      <c r="G1694" s="16"/>
      <c r="H1694" s="8"/>
      <c r="I1694" s="16"/>
    </row>
    <row r="1695" outlineLevel="1">
      <c r="A1695" s="9" t="s">
        <v>1989</v>
      </c>
      <c r="B1695" s="9" t="s">
        <v>1990</v>
      </c>
      <c r="C1695" s="12" t="s">
        <v>132</v>
      </c>
      <c r="D1695" s="14" t="s">
        <v>1679</v>
      </c>
      <c r="E1695" s="16"/>
      <c r="F1695" s="8"/>
      <c r="G1695" s="16"/>
      <c r="H1695" s="8"/>
      <c r="I1695" s="16"/>
    </row>
    <row r="1696" outlineLevel="1">
      <c r="A1696" s="9" t="s">
        <v>441</v>
      </c>
      <c r="B1696" s="9" t="s">
        <v>1033</v>
      </c>
      <c r="C1696" s="12" t="s">
        <v>132</v>
      </c>
      <c r="D1696" s="14" t="s">
        <v>1679</v>
      </c>
      <c r="E1696" s="16"/>
      <c r="F1696" s="8"/>
      <c r="G1696" s="16"/>
      <c r="H1696" s="8"/>
      <c r="I1696" s="16"/>
    </row>
    <row r="1697" outlineLevel="1">
      <c r="A1697" s="9" t="s">
        <v>62</v>
      </c>
      <c r="B1697" s="9" t="s">
        <v>1991</v>
      </c>
      <c r="C1697" s="12" t="s">
        <v>53</v>
      </c>
      <c r="D1697" s="14" t="s">
        <v>1679</v>
      </c>
      <c r="E1697" s="16"/>
      <c r="F1697" s="8"/>
      <c r="G1697" s="16"/>
      <c r="H1697" s="8"/>
      <c r="I1697" s="16"/>
    </row>
    <row r="1698" outlineLevel="1">
      <c r="A1698" s="9" t="s">
        <v>1992</v>
      </c>
      <c r="B1698" s="9" t="s">
        <v>41</v>
      </c>
      <c r="C1698" s="12" t="s">
        <v>149</v>
      </c>
      <c r="D1698" s="14" t="s">
        <v>1679</v>
      </c>
      <c r="E1698" s="16"/>
      <c r="F1698" s="8"/>
      <c r="G1698" s="16"/>
      <c r="H1698" s="8"/>
      <c r="I1698" s="16"/>
    </row>
    <row r="1699" outlineLevel="1">
      <c r="A1699" s="9" t="s">
        <v>441</v>
      </c>
      <c r="B1699" s="9" t="s">
        <v>1993</v>
      </c>
      <c r="C1699" s="12" t="s">
        <v>138</v>
      </c>
      <c r="D1699" s="14" t="s">
        <v>1679</v>
      </c>
      <c r="E1699" s="16"/>
      <c r="F1699" s="8"/>
      <c r="G1699" s="16"/>
      <c r="H1699" s="8"/>
      <c r="I1699" s="16"/>
    </row>
    <row r="1700" outlineLevel="1">
      <c r="A1700" s="9" t="s">
        <v>441</v>
      </c>
      <c r="B1700" s="9" t="s">
        <v>1994</v>
      </c>
      <c r="C1700" s="12" t="s">
        <v>65</v>
      </c>
      <c r="D1700" s="14" t="s">
        <v>1679</v>
      </c>
      <c r="E1700" s="16"/>
      <c r="F1700" s="8"/>
      <c r="G1700" s="16"/>
      <c r="H1700" s="8"/>
      <c r="I1700" s="16"/>
    </row>
    <row r="1701" outlineLevel="1">
      <c r="A1701" s="9" t="s">
        <v>62</v>
      </c>
      <c r="B1701" s="9" t="s">
        <v>176</v>
      </c>
      <c r="C1701" s="12" t="s">
        <v>186</v>
      </c>
      <c r="D1701" s="14" t="s">
        <v>1679</v>
      </c>
      <c r="E1701" s="16"/>
      <c r="F1701" s="8"/>
      <c r="G1701" s="16"/>
      <c r="H1701" s="8"/>
      <c r="I1701" s="16"/>
    </row>
    <row r="1702" outlineLevel="1">
      <c r="A1702" s="9" t="s">
        <v>62</v>
      </c>
      <c r="B1702" s="9" t="s">
        <v>1995</v>
      </c>
      <c r="C1702" s="12" t="s">
        <v>215</v>
      </c>
      <c r="D1702" s="14" t="s">
        <v>1679</v>
      </c>
      <c r="E1702" s="16"/>
      <c r="F1702" s="8"/>
      <c r="G1702" s="16"/>
      <c r="H1702" s="8"/>
      <c r="I1702" s="16"/>
    </row>
    <row r="1703" outlineLevel="1">
      <c r="A1703" s="9" t="s">
        <v>444</v>
      </c>
      <c r="B1703" s="9" t="s">
        <v>1996</v>
      </c>
      <c r="C1703" s="12" t="s">
        <v>80</v>
      </c>
      <c r="D1703" s="14" t="s">
        <v>1679</v>
      </c>
      <c r="E1703" s="16"/>
      <c r="F1703" s="8"/>
      <c r="G1703" s="16"/>
      <c r="H1703" s="8"/>
      <c r="I1703" s="16"/>
    </row>
    <row r="1704" outlineLevel="1">
      <c r="A1704" s="9" t="s">
        <v>15</v>
      </c>
      <c r="B1704" s="9" t="s">
        <v>52</v>
      </c>
      <c r="C1704" s="12" t="s">
        <v>141</v>
      </c>
      <c r="D1704" s="14" t="s">
        <v>1679</v>
      </c>
      <c r="E1704" s="16"/>
      <c r="F1704" s="8"/>
      <c r="G1704" s="16"/>
      <c r="H1704" s="8"/>
      <c r="I1704" s="16"/>
    </row>
    <row r="1705" outlineLevel="1">
      <c r="A1705" s="9" t="s">
        <v>1997</v>
      </c>
      <c r="B1705" s="9" t="s">
        <v>532</v>
      </c>
      <c r="C1705" s="12" t="s">
        <v>38</v>
      </c>
      <c r="D1705" s="14" t="s">
        <v>1679</v>
      </c>
      <c r="E1705" s="16"/>
      <c r="F1705" s="8"/>
      <c r="G1705" s="16"/>
      <c r="H1705" s="8"/>
      <c r="I1705" s="16"/>
    </row>
    <row r="1706" outlineLevel="1">
      <c r="A1706" s="9" t="s">
        <v>1998</v>
      </c>
      <c r="B1706" s="9" t="s">
        <v>782</v>
      </c>
      <c r="C1706" s="12" t="s">
        <v>24</v>
      </c>
      <c r="D1706" s="14" t="s">
        <v>1679</v>
      </c>
      <c r="E1706" s="16"/>
      <c r="F1706" s="18"/>
      <c r="G1706" s="19"/>
      <c r="H1706" s="18"/>
      <c r="I1706" s="19"/>
    </row>
    <row r="1707" outlineLevel="1">
      <c r="A1707" s="9" t="s">
        <v>1999</v>
      </c>
      <c r="B1707" s="9" t="s">
        <v>2000</v>
      </c>
      <c r="C1707" s="12" t="s">
        <v>186</v>
      </c>
      <c r="D1707" s="14" t="s">
        <v>1679</v>
      </c>
      <c r="E1707" s="16"/>
      <c r="F1707" s="8"/>
      <c r="G1707" s="16"/>
      <c r="H1707" s="8"/>
      <c r="I1707" s="16"/>
    </row>
    <row r="1708" outlineLevel="1">
      <c r="A1708" s="9" t="s">
        <v>2001</v>
      </c>
      <c r="B1708" s="9" t="s">
        <v>2002</v>
      </c>
      <c r="C1708" s="12" t="s">
        <v>65</v>
      </c>
      <c r="D1708" s="14" t="s">
        <v>1679</v>
      </c>
      <c r="E1708" s="16"/>
      <c r="F1708" s="8"/>
      <c r="G1708" s="16"/>
      <c r="H1708" s="8"/>
      <c r="I1708" s="16"/>
    </row>
    <row r="1709" outlineLevel="1">
      <c r="A1709" s="9" t="s">
        <v>2003</v>
      </c>
      <c r="B1709" s="9" t="s">
        <v>2004</v>
      </c>
      <c r="C1709" s="12" t="s">
        <v>215</v>
      </c>
      <c r="D1709" s="14" t="s">
        <v>1679</v>
      </c>
      <c r="E1709" s="16"/>
      <c r="F1709" s="8"/>
      <c r="G1709" s="16"/>
      <c r="H1709" s="8"/>
      <c r="I1709" s="16"/>
    </row>
    <row r="1710" outlineLevel="1">
      <c r="A1710" s="18" t="s">
        <v>1043</v>
      </c>
      <c r="B1710" s="9" t="s">
        <v>2005</v>
      </c>
      <c r="C1710" s="12" t="s">
        <v>70</v>
      </c>
      <c r="D1710" s="14" t="s">
        <v>1679</v>
      </c>
      <c r="E1710" s="16"/>
      <c r="F1710" s="8"/>
      <c r="G1710" s="16"/>
      <c r="H1710" s="8"/>
      <c r="I1710" s="16"/>
    </row>
    <row r="1711" outlineLevel="1">
      <c r="A1711" s="9" t="s">
        <v>2006</v>
      </c>
      <c r="B1711" s="18" t="s">
        <v>2007</v>
      </c>
      <c r="C1711" s="19" t="s">
        <v>65</v>
      </c>
      <c r="D1711" s="14" t="s">
        <v>1679</v>
      </c>
      <c r="E1711" s="16"/>
      <c r="F1711" s="8"/>
      <c r="G1711" s="16"/>
      <c r="H1711" s="8"/>
      <c r="I1711" s="16"/>
    </row>
    <row r="1712" outlineLevel="1">
      <c r="A1712" s="9" t="s">
        <v>2008</v>
      </c>
      <c r="B1712" s="9" t="s">
        <v>1803</v>
      </c>
      <c r="C1712" s="12" t="s">
        <v>186</v>
      </c>
      <c r="D1712" s="14" t="s">
        <v>1679</v>
      </c>
      <c r="E1712" s="16"/>
      <c r="F1712" s="8"/>
      <c r="G1712" s="16"/>
      <c r="H1712" s="8"/>
      <c r="I1712" s="16"/>
    </row>
    <row r="1713" outlineLevel="1">
      <c r="A1713" s="9" t="s">
        <v>610</v>
      </c>
      <c r="B1713" s="9" t="s">
        <v>55</v>
      </c>
      <c r="C1713" s="12" t="s">
        <v>186</v>
      </c>
      <c r="D1713" s="14" t="s">
        <v>1679</v>
      </c>
      <c r="E1713" s="16"/>
      <c r="F1713" s="18"/>
      <c r="G1713" s="19"/>
      <c r="H1713" s="18"/>
      <c r="I1713" s="19"/>
    </row>
    <row r="1714" outlineLevel="1">
      <c r="A1714" s="9" t="s">
        <v>2009</v>
      </c>
      <c r="B1714" s="9" t="s">
        <v>1347</v>
      </c>
      <c r="C1714" s="12" t="s">
        <v>122</v>
      </c>
      <c r="D1714" s="14" t="s">
        <v>1679</v>
      </c>
      <c r="E1714" s="16"/>
      <c r="F1714" s="8"/>
      <c r="G1714" s="16"/>
      <c r="H1714" s="8"/>
      <c r="I1714" s="16"/>
    </row>
    <row r="1715" outlineLevel="1">
      <c r="A1715" s="9" t="s">
        <v>2010</v>
      </c>
      <c r="B1715" s="9" t="s">
        <v>2011</v>
      </c>
      <c r="C1715" s="12" t="s">
        <v>122</v>
      </c>
      <c r="D1715" s="14" t="s">
        <v>1679</v>
      </c>
      <c r="E1715" s="16"/>
      <c r="F1715" s="18"/>
      <c r="G1715" s="19"/>
      <c r="H1715" s="18"/>
      <c r="I1715" s="19"/>
    </row>
    <row r="1716" outlineLevel="1">
      <c r="A1716" s="9" t="s">
        <v>2012</v>
      </c>
      <c r="B1716" s="9" t="s">
        <v>55</v>
      </c>
      <c r="C1716" s="12" t="s">
        <v>24</v>
      </c>
      <c r="D1716" s="14" t="s">
        <v>1679</v>
      </c>
      <c r="E1716" s="16"/>
      <c r="F1716" s="8"/>
      <c r="G1716" s="16"/>
      <c r="H1716" s="8"/>
      <c r="I1716" s="16"/>
    </row>
    <row r="1717" outlineLevel="1">
      <c r="A1717" s="18" t="s">
        <v>2013</v>
      </c>
      <c r="B1717" s="9" t="s">
        <v>2014</v>
      </c>
      <c r="C1717" s="12" t="s">
        <v>93</v>
      </c>
      <c r="D1717" s="14" t="s">
        <v>1679</v>
      </c>
      <c r="E1717" s="16"/>
      <c r="F1717" s="8"/>
      <c r="G1717" s="16"/>
      <c r="H1717" s="8"/>
      <c r="I1717" s="16"/>
    </row>
    <row r="1718" outlineLevel="1">
      <c r="A1718" s="9" t="s">
        <v>2015</v>
      </c>
      <c r="B1718" s="18" t="s">
        <v>1816</v>
      </c>
      <c r="C1718" s="19" t="s">
        <v>38</v>
      </c>
      <c r="D1718" s="14" t="s">
        <v>1679</v>
      </c>
      <c r="E1718" s="16"/>
      <c r="F1718" s="8"/>
      <c r="G1718" s="16"/>
      <c r="H1718" s="8"/>
      <c r="I1718" s="16"/>
    </row>
    <row r="1719" outlineLevel="1">
      <c r="A1719" s="9" t="s">
        <v>104</v>
      </c>
      <c r="B1719" s="9" t="s">
        <v>212</v>
      </c>
      <c r="C1719" s="12" t="s">
        <v>59</v>
      </c>
      <c r="D1719" s="14" t="s">
        <v>1679</v>
      </c>
      <c r="E1719" s="16"/>
      <c r="F1719" s="8"/>
      <c r="G1719" s="16"/>
      <c r="H1719" s="8"/>
      <c r="I1719" s="16"/>
    </row>
    <row r="1720" outlineLevel="1">
      <c r="A1720" s="9" t="s">
        <v>104</v>
      </c>
      <c r="B1720" s="9" t="s">
        <v>964</v>
      </c>
      <c r="C1720" s="12" t="s">
        <v>215</v>
      </c>
      <c r="D1720" s="14" t="s">
        <v>1679</v>
      </c>
      <c r="E1720" s="16"/>
      <c r="F1720" s="8"/>
      <c r="G1720" s="16"/>
      <c r="H1720" s="8"/>
      <c r="I1720" s="16"/>
    </row>
    <row r="1721" outlineLevel="1">
      <c r="A1721" s="9" t="s">
        <v>1328</v>
      </c>
      <c r="B1721" s="9" t="s">
        <v>2016</v>
      </c>
      <c r="C1721" s="12" t="s">
        <v>93</v>
      </c>
      <c r="D1721" s="14" t="s">
        <v>1679</v>
      </c>
      <c r="E1721" s="16"/>
      <c r="F1721" s="8"/>
      <c r="G1721" s="16"/>
      <c r="H1721" s="8"/>
      <c r="I1721" s="16"/>
    </row>
    <row r="1722" outlineLevel="1">
      <c r="A1722" s="9" t="s">
        <v>104</v>
      </c>
      <c r="B1722" s="9" t="s">
        <v>2017</v>
      </c>
      <c r="C1722" s="12" t="s">
        <v>80</v>
      </c>
      <c r="D1722" s="14" t="s">
        <v>1679</v>
      </c>
      <c r="E1722" s="16"/>
      <c r="F1722" s="8"/>
      <c r="G1722" s="16"/>
      <c r="H1722" s="8"/>
      <c r="I1722" s="16"/>
    </row>
    <row r="1723" outlineLevel="1">
      <c r="A1723" s="9" t="s">
        <v>34</v>
      </c>
      <c r="B1723" s="9" t="s">
        <v>381</v>
      </c>
      <c r="C1723" s="12" t="s">
        <v>65</v>
      </c>
      <c r="D1723" s="14" t="s">
        <v>1679</v>
      </c>
      <c r="E1723" s="16"/>
      <c r="F1723" s="8"/>
      <c r="G1723" s="16"/>
      <c r="H1723" s="8"/>
      <c r="I1723" s="16"/>
    </row>
    <row r="1724" outlineLevel="1">
      <c r="A1724" s="18" t="s">
        <v>448</v>
      </c>
      <c r="B1724" s="9" t="s">
        <v>491</v>
      </c>
      <c r="C1724" s="12" t="s">
        <v>53</v>
      </c>
      <c r="D1724" s="14" t="s">
        <v>1679</v>
      </c>
      <c r="E1724" s="16"/>
      <c r="F1724" s="8"/>
      <c r="G1724" s="16"/>
      <c r="H1724" s="8"/>
      <c r="I1724" s="16"/>
    </row>
    <row r="1725" outlineLevel="1">
      <c r="A1725" s="9" t="s">
        <v>232</v>
      </c>
      <c r="B1725" s="18" t="s">
        <v>61</v>
      </c>
      <c r="C1725" s="19" t="s">
        <v>16</v>
      </c>
      <c r="D1725" s="14" t="s">
        <v>1679</v>
      </c>
      <c r="E1725" s="16"/>
      <c r="F1725" s="8"/>
      <c r="G1725" s="16"/>
      <c r="H1725" s="8"/>
      <c r="I1725" s="16"/>
    </row>
    <row r="1726" outlineLevel="1">
      <c r="A1726" s="9" t="s">
        <v>2018</v>
      </c>
      <c r="B1726" s="9" t="s">
        <v>1528</v>
      </c>
      <c r="C1726" s="12" t="s">
        <v>261</v>
      </c>
      <c r="D1726" s="14" t="s">
        <v>1679</v>
      </c>
      <c r="E1726" s="16"/>
      <c r="F1726" s="8"/>
      <c r="G1726" s="16"/>
      <c r="H1726" s="8"/>
      <c r="I1726" s="16"/>
    </row>
    <row r="1727" outlineLevel="1">
      <c r="A1727" s="9" t="s">
        <v>828</v>
      </c>
      <c r="B1727" s="9" t="s">
        <v>506</v>
      </c>
      <c r="C1727" s="12" t="s">
        <v>24</v>
      </c>
      <c r="D1727" s="14" t="s">
        <v>1679</v>
      </c>
      <c r="E1727" s="16"/>
      <c r="F1727" s="8"/>
      <c r="G1727" s="16"/>
      <c r="H1727" s="8"/>
      <c r="I1727" s="16"/>
    </row>
    <row r="1728" outlineLevel="1">
      <c r="A1728" s="9" t="s">
        <v>1055</v>
      </c>
      <c r="B1728" s="9" t="s">
        <v>183</v>
      </c>
      <c r="C1728" s="12" t="s">
        <v>16</v>
      </c>
      <c r="D1728" s="14" t="s">
        <v>1679</v>
      </c>
      <c r="E1728" s="16"/>
      <c r="F1728" s="8"/>
      <c r="G1728" s="16"/>
      <c r="H1728" s="8"/>
      <c r="I1728" s="16"/>
    </row>
    <row r="1729" outlineLevel="1">
      <c r="A1729" s="9" t="s">
        <v>78</v>
      </c>
      <c r="B1729" s="9" t="s">
        <v>117</v>
      </c>
      <c r="C1729" s="12" t="s">
        <v>65</v>
      </c>
      <c r="D1729" s="14" t="s">
        <v>1679</v>
      </c>
      <c r="E1729" s="16"/>
      <c r="F1729" s="8"/>
      <c r="G1729" s="16"/>
      <c r="H1729" s="8"/>
      <c r="I1729" s="16"/>
    </row>
    <row r="1730" outlineLevel="1">
      <c r="A1730" s="18" t="s">
        <v>1055</v>
      </c>
      <c r="B1730" s="9" t="s">
        <v>2019</v>
      </c>
      <c r="C1730" s="12" t="s">
        <v>93</v>
      </c>
      <c r="D1730" s="14" t="s">
        <v>1679</v>
      </c>
      <c r="E1730" s="16"/>
      <c r="F1730" s="18"/>
      <c r="G1730" s="19"/>
      <c r="H1730" s="18"/>
      <c r="I1730" s="19"/>
    </row>
    <row r="1731" outlineLevel="1">
      <c r="A1731" s="9" t="s">
        <v>2020</v>
      </c>
      <c r="B1731" s="18" t="s">
        <v>1528</v>
      </c>
      <c r="C1731" s="19" t="s">
        <v>132</v>
      </c>
      <c r="D1731" s="14" t="s">
        <v>1679</v>
      </c>
      <c r="E1731" s="16"/>
      <c r="F1731" s="8"/>
      <c r="G1731" s="16"/>
      <c r="H1731" s="8"/>
      <c r="I1731" s="16"/>
    </row>
    <row r="1732" outlineLevel="1">
      <c r="A1732" s="9" t="s">
        <v>78</v>
      </c>
      <c r="B1732" s="9" t="s">
        <v>2021</v>
      </c>
      <c r="C1732" s="12" t="s">
        <v>70</v>
      </c>
      <c r="D1732" s="14" t="s">
        <v>1679</v>
      </c>
      <c r="E1732" s="16"/>
      <c r="F1732" s="8"/>
      <c r="G1732" s="16"/>
      <c r="H1732" s="8"/>
      <c r="I1732" s="16"/>
    </row>
    <row r="1733" outlineLevel="1">
      <c r="A1733" s="9" t="s">
        <v>78</v>
      </c>
      <c r="B1733" s="9" t="s">
        <v>2022</v>
      </c>
      <c r="C1733" s="12" t="s">
        <v>70</v>
      </c>
      <c r="D1733" s="14" t="s">
        <v>1679</v>
      </c>
      <c r="E1733" s="16"/>
      <c r="F1733" s="8"/>
      <c r="G1733" s="16"/>
      <c r="H1733" s="8"/>
      <c r="I1733" s="16"/>
    </row>
    <row r="1734" outlineLevel="1">
      <c r="A1734" s="9" t="s">
        <v>78</v>
      </c>
      <c r="B1734" s="9" t="s">
        <v>183</v>
      </c>
      <c r="C1734" s="12" t="s">
        <v>65</v>
      </c>
      <c r="D1734" s="14" t="s">
        <v>1679</v>
      </c>
      <c r="E1734" s="16"/>
      <c r="F1734" s="8"/>
      <c r="G1734" s="16"/>
      <c r="H1734" s="8"/>
      <c r="I1734" s="16"/>
    </row>
    <row r="1735" outlineLevel="1">
      <c r="A1735" s="9" t="s">
        <v>2023</v>
      </c>
      <c r="B1735" s="9" t="s">
        <v>1473</v>
      </c>
      <c r="C1735" s="12" t="s">
        <v>65</v>
      </c>
      <c r="D1735" s="14" t="s">
        <v>1679</v>
      </c>
      <c r="E1735" s="16"/>
      <c r="F1735" s="8"/>
      <c r="G1735" s="16"/>
      <c r="H1735" s="8"/>
      <c r="I1735" s="16"/>
    </row>
    <row r="1736" outlineLevel="1">
      <c r="A1736" s="9" t="s">
        <v>2024</v>
      </c>
      <c r="B1736" s="9" t="s">
        <v>263</v>
      </c>
      <c r="C1736" s="12" t="s">
        <v>138</v>
      </c>
      <c r="D1736" s="14" t="s">
        <v>1679</v>
      </c>
      <c r="E1736" s="16"/>
      <c r="F1736" s="8"/>
      <c r="G1736" s="16"/>
      <c r="H1736" s="8"/>
      <c r="I1736" s="16"/>
    </row>
    <row r="1737" outlineLevel="1">
      <c r="A1737" s="9" t="s">
        <v>451</v>
      </c>
      <c r="B1737" s="9" t="s">
        <v>2025</v>
      </c>
      <c r="C1737" s="12" t="s">
        <v>65</v>
      </c>
      <c r="D1737" s="14" t="s">
        <v>1679</v>
      </c>
      <c r="E1737" s="16"/>
      <c r="F1737" s="8"/>
      <c r="G1737" s="16"/>
      <c r="H1737" s="8"/>
      <c r="I1737" s="16"/>
    </row>
    <row r="1738" outlineLevel="1">
      <c r="A1738" s="9" t="s">
        <v>451</v>
      </c>
      <c r="B1738" s="9" t="s">
        <v>1314</v>
      </c>
      <c r="C1738" s="12" t="s">
        <v>192</v>
      </c>
      <c r="D1738" s="14" t="s">
        <v>1679</v>
      </c>
      <c r="E1738" s="16"/>
      <c r="F1738" s="8"/>
      <c r="G1738" s="16"/>
      <c r="H1738" s="8"/>
      <c r="I1738" s="16"/>
    </row>
    <row r="1739" outlineLevel="1">
      <c r="A1739" s="9" t="s">
        <v>451</v>
      </c>
      <c r="B1739" s="9" t="s">
        <v>129</v>
      </c>
      <c r="C1739" s="12" t="s">
        <v>53</v>
      </c>
      <c r="D1739" s="14" t="s">
        <v>1679</v>
      </c>
      <c r="E1739" s="16"/>
      <c r="F1739" s="8"/>
      <c r="G1739" s="16"/>
      <c r="H1739" s="8"/>
      <c r="I1739" s="16"/>
    </row>
    <row r="1740" outlineLevel="1">
      <c r="A1740" s="9" t="s">
        <v>2026</v>
      </c>
      <c r="B1740" s="9" t="s">
        <v>1186</v>
      </c>
      <c r="C1740" s="12" t="s">
        <v>65</v>
      </c>
      <c r="D1740" s="14" t="s">
        <v>1679</v>
      </c>
      <c r="E1740" s="16"/>
      <c r="F1740" s="8"/>
      <c r="G1740" s="16"/>
      <c r="H1740" s="8"/>
      <c r="I1740" s="16"/>
    </row>
    <row r="1741" outlineLevel="1">
      <c r="A1741" s="9" t="s">
        <v>2027</v>
      </c>
      <c r="B1741" s="9" t="s">
        <v>2028</v>
      </c>
      <c r="C1741" s="12" t="s">
        <v>93</v>
      </c>
      <c r="D1741" s="14" t="s">
        <v>1679</v>
      </c>
      <c r="E1741" s="16"/>
      <c r="F1741" s="8"/>
      <c r="G1741" s="16"/>
      <c r="H1741" s="8"/>
      <c r="I1741" s="16"/>
    </row>
    <row r="1742" outlineLevel="1">
      <c r="A1742" s="9" t="s">
        <v>233</v>
      </c>
      <c r="B1742" s="9" t="s">
        <v>596</v>
      </c>
      <c r="C1742" s="12" t="s">
        <v>80</v>
      </c>
      <c r="D1742" s="14" t="s">
        <v>1679</v>
      </c>
      <c r="E1742" s="16"/>
      <c r="F1742" s="8"/>
      <c r="G1742" s="16"/>
      <c r="H1742" s="8"/>
      <c r="I1742" s="16"/>
    </row>
    <row r="1743" outlineLevel="1">
      <c r="A1743" s="9" t="s">
        <v>2029</v>
      </c>
      <c r="B1743" s="9" t="s">
        <v>222</v>
      </c>
      <c r="C1743" s="12" t="s">
        <v>16</v>
      </c>
      <c r="D1743" s="14" t="s">
        <v>1679</v>
      </c>
      <c r="E1743" s="16"/>
      <c r="F1743" s="8"/>
      <c r="G1743" s="16"/>
      <c r="H1743" s="8"/>
      <c r="I1743" s="16"/>
    </row>
    <row r="1744" outlineLevel="1">
      <c r="A1744" s="9" t="s">
        <v>2030</v>
      </c>
      <c r="B1744" s="9" t="s">
        <v>596</v>
      </c>
      <c r="C1744" s="12" t="s">
        <v>186</v>
      </c>
      <c r="D1744" s="14" t="s">
        <v>1679</v>
      </c>
      <c r="E1744" s="16"/>
      <c r="F1744" s="8"/>
      <c r="G1744" s="16"/>
      <c r="H1744" s="8"/>
      <c r="I1744" s="16"/>
    </row>
    <row r="1745" outlineLevel="1">
      <c r="A1745" s="9" t="s">
        <v>2031</v>
      </c>
      <c r="B1745" s="9" t="s">
        <v>1057</v>
      </c>
      <c r="C1745" s="12" t="s">
        <v>93</v>
      </c>
      <c r="D1745" s="14" t="s">
        <v>1679</v>
      </c>
      <c r="E1745" s="16"/>
      <c r="F1745" s="8"/>
      <c r="G1745" s="16"/>
      <c r="H1745" s="8"/>
      <c r="I1745" s="16"/>
    </row>
    <row r="1746" outlineLevel="1">
      <c r="A1746" s="9" t="s">
        <v>2032</v>
      </c>
      <c r="B1746" s="9" t="s">
        <v>569</v>
      </c>
      <c r="C1746" s="12" t="s">
        <v>24</v>
      </c>
      <c r="D1746" s="14" t="s">
        <v>1679</v>
      </c>
      <c r="E1746" s="16"/>
      <c r="F1746" s="18"/>
      <c r="G1746" s="19"/>
      <c r="H1746" s="18"/>
      <c r="I1746" s="19"/>
    </row>
    <row r="1747" outlineLevel="1">
      <c r="A1747" s="9" t="s">
        <v>1675</v>
      </c>
      <c r="B1747" s="9" t="s">
        <v>1408</v>
      </c>
      <c r="C1747" s="12" t="s">
        <v>53</v>
      </c>
      <c r="D1747" s="14" t="s">
        <v>1679</v>
      </c>
      <c r="E1747" s="16"/>
      <c r="F1747" s="8"/>
      <c r="G1747" s="16"/>
      <c r="H1747" s="8"/>
      <c r="I1747" s="16"/>
    </row>
    <row r="1748" outlineLevel="1">
      <c r="A1748" s="9" t="s">
        <v>835</v>
      </c>
      <c r="B1748" s="9" t="s">
        <v>176</v>
      </c>
      <c r="C1748" s="12" t="s">
        <v>59</v>
      </c>
      <c r="D1748" s="14" t="s">
        <v>2033</v>
      </c>
      <c r="E1748" s="16"/>
      <c r="F1748" s="8"/>
      <c r="G1748" s="16"/>
      <c r="H1748" s="8"/>
      <c r="I1748" s="16"/>
    </row>
    <row r="1749" outlineLevel="1">
      <c r="A1749" s="9" t="s">
        <v>835</v>
      </c>
      <c r="B1749" s="9" t="s">
        <v>1402</v>
      </c>
      <c r="C1749" s="12" t="s">
        <v>192</v>
      </c>
      <c r="D1749" s="14" t="s">
        <v>2033</v>
      </c>
      <c r="E1749" s="16"/>
      <c r="F1749" s="8"/>
      <c r="G1749" s="16"/>
      <c r="H1749" s="8"/>
      <c r="I1749" s="16"/>
    </row>
    <row r="1750" outlineLevel="1">
      <c r="A1750" s="9" t="s">
        <v>460</v>
      </c>
      <c r="B1750" s="9" t="s">
        <v>301</v>
      </c>
      <c r="C1750" s="12" t="s">
        <v>16</v>
      </c>
      <c r="D1750" s="14" t="s">
        <v>2033</v>
      </c>
      <c r="E1750" s="16"/>
      <c r="F1750" s="8"/>
      <c r="G1750" s="16"/>
      <c r="H1750" s="8"/>
      <c r="I1750" s="16"/>
    </row>
    <row r="1751" outlineLevel="1">
      <c r="A1751" s="9" t="s">
        <v>460</v>
      </c>
      <c r="B1751" s="9" t="s">
        <v>214</v>
      </c>
      <c r="C1751" s="12" t="s">
        <v>16</v>
      </c>
      <c r="D1751" s="14" t="s">
        <v>2033</v>
      </c>
      <c r="E1751" s="16"/>
      <c r="F1751" s="8"/>
      <c r="G1751" s="16"/>
      <c r="H1751" s="8"/>
      <c r="I1751" s="16"/>
    </row>
    <row r="1752" outlineLevel="1">
      <c r="A1752" s="9" t="s">
        <v>2034</v>
      </c>
      <c r="B1752" s="9" t="s">
        <v>231</v>
      </c>
      <c r="C1752" s="12" t="s">
        <v>141</v>
      </c>
      <c r="D1752" s="14" t="s">
        <v>2033</v>
      </c>
      <c r="E1752" s="16"/>
      <c r="F1752" s="8"/>
      <c r="G1752" s="16"/>
      <c r="H1752" s="8"/>
      <c r="I1752" s="16"/>
    </row>
    <row r="1753" outlineLevel="1">
      <c r="A1753" s="9" t="s">
        <v>460</v>
      </c>
      <c r="B1753" s="9" t="s">
        <v>157</v>
      </c>
      <c r="C1753" s="12" t="s">
        <v>141</v>
      </c>
      <c r="D1753" s="14" t="s">
        <v>2033</v>
      </c>
      <c r="E1753" s="16"/>
      <c r="F1753" s="8"/>
      <c r="G1753" s="16"/>
      <c r="H1753" s="8"/>
      <c r="I1753" s="16"/>
    </row>
    <row r="1754" outlineLevel="1">
      <c r="A1754" s="9" t="s">
        <v>460</v>
      </c>
      <c r="B1754" s="9" t="s">
        <v>671</v>
      </c>
      <c r="C1754" s="12" t="s">
        <v>186</v>
      </c>
      <c r="D1754" s="14" t="s">
        <v>2033</v>
      </c>
      <c r="E1754" s="16"/>
      <c r="F1754" s="8"/>
      <c r="G1754" s="16"/>
      <c r="H1754" s="8"/>
      <c r="I1754" s="16"/>
    </row>
    <row r="1755" outlineLevel="1">
      <c r="A1755" s="9" t="s">
        <v>460</v>
      </c>
      <c r="B1755" s="9" t="s">
        <v>247</v>
      </c>
      <c r="C1755" s="12" t="s">
        <v>80</v>
      </c>
      <c r="D1755" s="14" t="s">
        <v>2033</v>
      </c>
      <c r="E1755" s="16"/>
      <c r="F1755" s="8"/>
      <c r="G1755" s="16"/>
      <c r="H1755" s="8"/>
      <c r="I1755" s="16"/>
    </row>
    <row r="1756" outlineLevel="1">
      <c r="A1756" s="9" t="s">
        <v>636</v>
      </c>
      <c r="B1756" s="9" t="s">
        <v>1068</v>
      </c>
      <c r="C1756" s="12" t="s">
        <v>138</v>
      </c>
      <c r="D1756" s="14" t="s">
        <v>2033</v>
      </c>
      <c r="E1756" s="16"/>
      <c r="F1756" s="8"/>
      <c r="G1756" s="16"/>
      <c r="H1756" s="8"/>
      <c r="I1756" s="16"/>
    </row>
    <row r="1757" outlineLevel="1">
      <c r="A1757" s="9" t="s">
        <v>638</v>
      </c>
      <c r="B1757" s="9" t="s">
        <v>471</v>
      </c>
      <c r="C1757" s="12" t="s">
        <v>24</v>
      </c>
      <c r="D1757" s="14" t="s">
        <v>2033</v>
      </c>
      <c r="E1757" s="16"/>
      <c r="F1757" s="8"/>
      <c r="G1757" s="16"/>
      <c r="H1757" s="8"/>
      <c r="I1757" s="16"/>
    </row>
    <row r="1758" outlineLevel="1">
      <c r="A1758" s="9" t="s">
        <v>641</v>
      </c>
      <c r="B1758" s="9" t="s">
        <v>2035</v>
      </c>
      <c r="C1758" s="12" t="s">
        <v>93</v>
      </c>
      <c r="D1758" s="14" t="s">
        <v>2033</v>
      </c>
      <c r="E1758" s="16"/>
      <c r="F1758" s="8"/>
      <c r="G1758" s="16"/>
      <c r="H1758" s="8"/>
      <c r="I1758" s="16"/>
    </row>
    <row r="1759" outlineLevel="1">
      <c r="A1759" s="9" t="s">
        <v>464</v>
      </c>
      <c r="B1759" s="9" t="s">
        <v>2036</v>
      </c>
      <c r="C1759" s="12" t="s">
        <v>93</v>
      </c>
      <c r="D1759" s="14" t="s">
        <v>2033</v>
      </c>
      <c r="E1759" s="16"/>
      <c r="F1759" s="8"/>
      <c r="G1759" s="16"/>
      <c r="H1759" s="8"/>
      <c r="I1759" s="16"/>
    </row>
    <row r="1760" outlineLevel="1">
      <c r="A1760" s="9" t="s">
        <v>240</v>
      </c>
      <c r="B1760" s="9" t="s">
        <v>750</v>
      </c>
      <c r="C1760" s="12" t="s">
        <v>75</v>
      </c>
      <c r="D1760" s="14" t="s">
        <v>2033</v>
      </c>
      <c r="E1760" s="16"/>
      <c r="F1760" s="8"/>
      <c r="G1760" s="16"/>
      <c r="H1760" s="8"/>
      <c r="I1760" s="16"/>
    </row>
    <row r="1761" outlineLevel="1">
      <c r="A1761" s="9" t="s">
        <v>1891</v>
      </c>
      <c r="B1761" s="9" t="s">
        <v>2037</v>
      </c>
      <c r="C1761" s="12" t="s">
        <v>80</v>
      </c>
      <c r="D1761" s="14" t="s">
        <v>2033</v>
      </c>
      <c r="E1761" s="16"/>
      <c r="F1761" s="8"/>
      <c r="G1761" s="16"/>
      <c r="H1761" s="8"/>
      <c r="I1761" s="16"/>
    </row>
    <row r="1762" outlineLevel="1">
      <c r="A1762" s="9" t="s">
        <v>2038</v>
      </c>
      <c r="B1762" s="9" t="s">
        <v>2039</v>
      </c>
      <c r="C1762" s="12" t="s">
        <v>70</v>
      </c>
      <c r="D1762" s="14" t="s">
        <v>2033</v>
      </c>
      <c r="E1762" s="16"/>
      <c r="F1762" s="18"/>
      <c r="G1762" s="19"/>
      <c r="H1762" s="18"/>
      <c r="I1762" s="19"/>
    </row>
    <row r="1763" outlineLevel="1">
      <c r="A1763" s="9" t="s">
        <v>2040</v>
      </c>
      <c r="B1763" s="9" t="s">
        <v>304</v>
      </c>
      <c r="C1763" s="12" t="s">
        <v>93</v>
      </c>
      <c r="D1763" s="14" t="s">
        <v>2033</v>
      </c>
      <c r="E1763" s="16"/>
      <c r="F1763" s="8"/>
      <c r="G1763" s="16"/>
      <c r="H1763" s="8"/>
      <c r="I1763" s="16"/>
    </row>
    <row r="1764" outlineLevel="1">
      <c r="A1764" s="9" t="s">
        <v>2041</v>
      </c>
      <c r="B1764" s="9" t="s">
        <v>50</v>
      </c>
      <c r="C1764" s="12" t="s">
        <v>138</v>
      </c>
      <c r="D1764" s="14" t="s">
        <v>2033</v>
      </c>
      <c r="E1764" s="16"/>
      <c r="F1764" s="8"/>
      <c r="G1764" s="16"/>
      <c r="H1764" s="8"/>
      <c r="I1764" s="16"/>
    </row>
    <row r="1765" outlineLevel="1">
      <c r="A1765" s="9" t="s">
        <v>2042</v>
      </c>
      <c r="B1765" s="9" t="s">
        <v>493</v>
      </c>
      <c r="C1765" s="12" t="s">
        <v>138</v>
      </c>
      <c r="D1765" s="14" t="s">
        <v>2033</v>
      </c>
      <c r="E1765" s="16"/>
      <c r="F1765" s="8"/>
      <c r="G1765" s="16"/>
      <c r="H1765" s="8"/>
      <c r="I1765" s="16"/>
    </row>
    <row r="1766" outlineLevel="1">
      <c r="A1766" s="9" t="s">
        <v>2043</v>
      </c>
      <c r="B1766" s="9" t="s">
        <v>100</v>
      </c>
      <c r="C1766" s="12" t="s">
        <v>75</v>
      </c>
      <c r="D1766" s="14" t="s">
        <v>2033</v>
      </c>
      <c r="E1766" s="16"/>
      <c r="F1766" s="8"/>
      <c r="G1766" s="16"/>
      <c r="H1766" s="8"/>
      <c r="I1766" s="16"/>
    </row>
    <row r="1767" outlineLevel="1">
      <c r="A1767" s="9" t="s">
        <v>2044</v>
      </c>
      <c r="B1767" s="9" t="s">
        <v>52</v>
      </c>
      <c r="C1767" s="12" t="s">
        <v>65</v>
      </c>
      <c r="D1767" s="14" t="s">
        <v>2033</v>
      </c>
      <c r="E1767" s="16"/>
      <c r="F1767" s="8"/>
      <c r="G1767" s="16"/>
      <c r="H1767" s="8"/>
      <c r="I1767" s="16"/>
    </row>
    <row r="1768" outlineLevel="1">
      <c r="A1768" s="9" t="s">
        <v>2045</v>
      </c>
      <c r="B1768" s="9" t="s">
        <v>231</v>
      </c>
      <c r="C1768" s="12" t="s">
        <v>261</v>
      </c>
      <c r="D1768" s="14" t="s">
        <v>2033</v>
      </c>
      <c r="E1768" s="16"/>
      <c r="F1768" s="8"/>
      <c r="G1768" s="16"/>
      <c r="H1768" s="8"/>
      <c r="I1768" s="16"/>
    </row>
    <row r="1769" outlineLevel="1">
      <c r="A1769" s="9" t="s">
        <v>2046</v>
      </c>
      <c r="B1769" s="9" t="s">
        <v>41</v>
      </c>
      <c r="C1769" s="12" t="s">
        <v>93</v>
      </c>
      <c r="D1769" s="14" t="s">
        <v>2033</v>
      </c>
      <c r="E1769" s="16"/>
      <c r="F1769" s="8"/>
      <c r="G1769" s="16"/>
      <c r="H1769" s="8"/>
      <c r="I1769" s="16"/>
    </row>
    <row r="1770" outlineLevel="1">
      <c r="A1770" s="9" t="s">
        <v>646</v>
      </c>
      <c r="B1770" s="9" t="s">
        <v>804</v>
      </c>
      <c r="C1770" s="12" t="s">
        <v>215</v>
      </c>
      <c r="D1770" s="14" t="s">
        <v>2033</v>
      </c>
      <c r="E1770" s="16"/>
      <c r="F1770" s="8"/>
      <c r="G1770" s="16"/>
      <c r="H1770" s="8"/>
      <c r="I1770" s="16"/>
    </row>
    <row r="1771" outlineLevel="1">
      <c r="A1771" s="18" t="s">
        <v>2047</v>
      </c>
      <c r="B1771" s="9" t="s">
        <v>2048</v>
      </c>
      <c r="C1771" s="12" t="s">
        <v>186</v>
      </c>
      <c r="D1771" s="14" t="s">
        <v>2033</v>
      </c>
      <c r="E1771" s="16"/>
      <c r="F1771" s="18"/>
      <c r="G1771" s="19"/>
      <c r="H1771" s="18"/>
      <c r="I1771" s="19"/>
    </row>
    <row r="1772" outlineLevel="1">
      <c r="A1772" s="9" t="s">
        <v>2049</v>
      </c>
      <c r="B1772" s="18" t="s">
        <v>479</v>
      </c>
      <c r="C1772" s="19" t="s">
        <v>132</v>
      </c>
      <c r="D1772" s="14" t="s">
        <v>2033</v>
      </c>
      <c r="E1772" s="16"/>
      <c r="F1772" s="8"/>
      <c r="G1772" s="16"/>
      <c r="H1772" s="8"/>
      <c r="I1772" s="16"/>
    </row>
    <row r="1773" outlineLevel="1">
      <c r="A1773" s="9" t="s">
        <v>2050</v>
      </c>
      <c r="B1773" s="9" t="s">
        <v>1262</v>
      </c>
      <c r="C1773" s="12" t="s">
        <v>65</v>
      </c>
      <c r="D1773" s="14" t="s">
        <v>2033</v>
      </c>
      <c r="E1773" s="16"/>
      <c r="F1773" s="8"/>
      <c r="G1773" s="16"/>
      <c r="H1773" s="8"/>
      <c r="I1773" s="16"/>
    </row>
    <row r="1774" outlineLevel="1">
      <c r="A1774" s="9" t="s">
        <v>2051</v>
      </c>
      <c r="B1774" s="9" t="s">
        <v>2052</v>
      </c>
      <c r="C1774" s="12" t="s">
        <v>65</v>
      </c>
      <c r="D1774" s="14" t="s">
        <v>2033</v>
      </c>
      <c r="E1774" s="16"/>
      <c r="F1774" s="8"/>
      <c r="G1774" s="16"/>
      <c r="H1774" s="8"/>
      <c r="I1774" s="16"/>
    </row>
    <row r="1775" outlineLevel="1">
      <c r="A1775" s="9" t="s">
        <v>2053</v>
      </c>
      <c r="B1775" s="9" t="s">
        <v>2054</v>
      </c>
      <c r="C1775" s="12" t="s">
        <v>80</v>
      </c>
      <c r="D1775" s="14" t="s">
        <v>2033</v>
      </c>
      <c r="E1775" s="16"/>
      <c r="F1775" s="18"/>
      <c r="G1775" s="19"/>
      <c r="H1775" s="18"/>
      <c r="I1775" s="19"/>
    </row>
    <row r="1776" outlineLevel="1">
      <c r="A1776" s="9" t="s">
        <v>2055</v>
      </c>
      <c r="B1776" s="9" t="s">
        <v>961</v>
      </c>
      <c r="C1776" s="12" t="s">
        <v>24</v>
      </c>
      <c r="D1776" s="14" t="s">
        <v>2033</v>
      </c>
      <c r="E1776" s="16"/>
      <c r="F1776" s="8"/>
      <c r="G1776" s="16"/>
      <c r="H1776" s="8"/>
      <c r="I1776" s="16"/>
    </row>
    <row r="1777" outlineLevel="1">
      <c r="A1777" s="9" t="s">
        <v>2056</v>
      </c>
      <c r="B1777" s="9" t="s">
        <v>2057</v>
      </c>
      <c r="C1777" s="12" t="s">
        <v>132</v>
      </c>
      <c r="D1777" s="14" t="s">
        <v>2033</v>
      </c>
      <c r="E1777" s="16"/>
      <c r="F1777" s="8"/>
      <c r="G1777" s="16"/>
      <c r="H1777" s="8"/>
      <c r="I1777" s="16"/>
    </row>
    <row r="1778" outlineLevel="1">
      <c r="A1778" s="9" t="s">
        <v>2058</v>
      </c>
      <c r="B1778" s="9" t="s">
        <v>304</v>
      </c>
      <c r="C1778" s="12" t="s">
        <v>38</v>
      </c>
      <c r="D1778" s="14" t="s">
        <v>2033</v>
      </c>
      <c r="E1778" s="16"/>
      <c r="F1778" s="8"/>
      <c r="G1778" s="16"/>
      <c r="H1778" s="8"/>
      <c r="I1778" s="16"/>
    </row>
    <row r="1779" outlineLevel="1">
      <c r="A1779" s="9" t="s">
        <v>2059</v>
      </c>
      <c r="B1779" s="9" t="s">
        <v>263</v>
      </c>
      <c r="C1779" s="12" t="s">
        <v>53</v>
      </c>
      <c r="D1779" s="14" t="s">
        <v>2033</v>
      </c>
      <c r="E1779" s="16"/>
      <c r="F1779" s="8"/>
      <c r="G1779" s="16"/>
      <c r="H1779" s="8"/>
      <c r="I1779" s="16"/>
    </row>
    <row r="1780" outlineLevel="1">
      <c r="A1780" s="9" t="s">
        <v>106</v>
      </c>
      <c r="B1780" s="9" t="s">
        <v>55</v>
      </c>
      <c r="C1780" s="12" t="s">
        <v>122</v>
      </c>
      <c r="D1780" s="14" t="s">
        <v>2033</v>
      </c>
      <c r="E1780" s="16"/>
      <c r="F1780" s="8"/>
      <c r="G1780" s="16"/>
      <c r="H1780" s="8"/>
      <c r="I1780" s="16"/>
    </row>
    <row r="1781" outlineLevel="1">
      <c r="A1781" s="9" t="s">
        <v>2060</v>
      </c>
      <c r="B1781" s="9" t="s">
        <v>2061</v>
      </c>
      <c r="C1781" s="12" t="s">
        <v>122</v>
      </c>
      <c r="D1781" s="14" t="s">
        <v>2033</v>
      </c>
      <c r="E1781" s="16"/>
      <c r="F1781" s="8"/>
      <c r="G1781" s="16"/>
      <c r="H1781" s="8"/>
      <c r="I1781" s="16"/>
    </row>
    <row r="1782" outlineLevel="1">
      <c r="A1782" s="9" t="s">
        <v>106</v>
      </c>
      <c r="B1782" s="9" t="s">
        <v>2062</v>
      </c>
      <c r="C1782" s="12" t="s">
        <v>149</v>
      </c>
      <c r="D1782" s="14" t="s">
        <v>2033</v>
      </c>
      <c r="E1782" s="16"/>
      <c r="F1782" s="8"/>
      <c r="G1782" s="16"/>
      <c r="H1782" s="8"/>
      <c r="I1782" s="16"/>
    </row>
    <row r="1783" outlineLevel="1">
      <c r="A1783" s="9" t="s">
        <v>106</v>
      </c>
      <c r="B1783" s="9" t="s">
        <v>263</v>
      </c>
      <c r="C1783" s="12" t="s">
        <v>93</v>
      </c>
      <c r="D1783" s="14" t="s">
        <v>2033</v>
      </c>
      <c r="E1783" s="16"/>
      <c r="F1783" s="8"/>
      <c r="G1783" s="16"/>
      <c r="H1783" s="8"/>
      <c r="I1783" s="16"/>
    </row>
    <row r="1784" outlineLevel="1">
      <c r="A1784" s="9" t="s">
        <v>106</v>
      </c>
      <c r="B1784" s="9" t="s">
        <v>1621</v>
      </c>
      <c r="C1784" s="12" t="s">
        <v>65</v>
      </c>
      <c r="D1784" s="14" t="s">
        <v>2033</v>
      </c>
      <c r="E1784" s="16"/>
      <c r="F1784" s="8"/>
      <c r="G1784" s="16"/>
      <c r="H1784" s="8"/>
      <c r="I1784" s="16"/>
    </row>
    <row r="1785" outlineLevel="1">
      <c r="A1785" s="9" t="s">
        <v>354</v>
      </c>
      <c r="B1785" s="9" t="s">
        <v>2063</v>
      </c>
      <c r="C1785" s="12" t="s">
        <v>215</v>
      </c>
      <c r="D1785" s="14" t="s">
        <v>2033</v>
      </c>
      <c r="E1785" s="16"/>
      <c r="F1785" s="8"/>
      <c r="G1785" s="16"/>
      <c r="H1785" s="8"/>
      <c r="I1785" s="16"/>
    </row>
    <row r="1786" outlineLevel="1">
      <c r="A1786" s="9" t="s">
        <v>2064</v>
      </c>
      <c r="B1786" s="9" t="s">
        <v>121</v>
      </c>
      <c r="C1786" s="12" t="s">
        <v>192</v>
      </c>
      <c r="D1786" s="14" t="s">
        <v>2033</v>
      </c>
      <c r="E1786" s="16"/>
      <c r="F1786" s="8"/>
      <c r="G1786" s="16"/>
      <c r="H1786" s="8"/>
      <c r="I1786" s="16"/>
    </row>
    <row r="1787" outlineLevel="1">
      <c r="A1787" s="9" t="s">
        <v>2065</v>
      </c>
      <c r="B1787" s="9" t="s">
        <v>948</v>
      </c>
      <c r="C1787" s="12" t="s">
        <v>215</v>
      </c>
      <c r="D1787" s="14" t="s">
        <v>2033</v>
      </c>
      <c r="E1787" s="16"/>
      <c r="F1787" s="8"/>
      <c r="G1787" s="16"/>
      <c r="H1787" s="8"/>
      <c r="I1787" s="16"/>
    </row>
    <row r="1788" outlineLevel="1">
      <c r="A1788" s="9" t="s">
        <v>486</v>
      </c>
      <c r="B1788" s="9" t="s">
        <v>2066</v>
      </c>
      <c r="C1788" s="12" t="s">
        <v>65</v>
      </c>
      <c r="D1788" s="14" t="s">
        <v>2033</v>
      </c>
      <c r="E1788" s="16"/>
      <c r="F1788" s="8"/>
      <c r="G1788" s="16"/>
      <c r="H1788" s="8"/>
      <c r="I1788" s="16"/>
    </row>
    <row r="1789" outlineLevel="1">
      <c r="A1789" s="9" t="s">
        <v>2067</v>
      </c>
      <c r="B1789" s="9" t="s">
        <v>569</v>
      </c>
      <c r="C1789" s="12" t="s">
        <v>65</v>
      </c>
      <c r="D1789" s="14" t="s">
        <v>2033</v>
      </c>
      <c r="E1789" s="16"/>
      <c r="F1789" s="18"/>
      <c r="G1789" s="19"/>
      <c r="H1789" s="18"/>
      <c r="I1789" s="19"/>
    </row>
    <row r="1790" outlineLevel="1">
      <c r="A1790" s="9" t="s">
        <v>2068</v>
      </c>
      <c r="B1790" s="9" t="s">
        <v>45</v>
      </c>
      <c r="C1790" s="12" t="s">
        <v>186</v>
      </c>
      <c r="D1790" s="14" t="s">
        <v>2033</v>
      </c>
      <c r="E1790" s="16"/>
      <c r="F1790" s="8"/>
      <c r="G1790" s="16"/>
      <c r="H1790" s="8"/>
      <c r="I1790" s="16"/>
    </row>
    <row r="1791" outlineLevel="1">
      <c r="A1791" s="9" t="s">
        <v>868</v>
      </c>
      <c r="B1791" s="9" t="s">
        <v>1241</v>
      </c>
      <c r="C1791" s="12" t="s">
        <v>75</v>
      </c>
      <c r="D1791" s="14" t="s">
        <v>2033</v>
      </c>
      <c r="E1791" s="16"/>
      <c r="F1791" s="18"/>
      <c r="G1791" s="19"/>
      <c r="H1791" s="18"/>
      <c r="I1791" s="19"/>
    </row>
    <row r="1792" outlineLevel="1">
      <c r="A1792" s="9" t="s">
        <v>142</v>
      </c>
      <c r="B1792" s="9" t="s">
        <v>726</v>
      </c>
      <c r="C1792" s="12" t="s">
        <v>93</v>
      </c>
      <c r="D1792" s="14" t="s">
        <v>2033</v>
      </c>
      <c r="E1792" s="16"/>
      <c r="F1792" s="8"/>
      <c r="G1792" s="16"/>
      <c r="H1792" s="8"/>
      <c r="I1792" s="16"/>
    </row>
    <row r="1793" outlineLevel="1">
      <c r="A1793" s="9" t="s">
        <v>142</v>
      </c>
      <c r="B1793" s="9" t="s">
        <v>2069</v>
      </c>
      <c r="C1793" s="12" t="s">
        <v>65</v>
      </c>
      <c r="D1793" s="14" t="s">
        <v>2033</v>
      </c>
      <c r="E1793" s="16"/>
      <c r="F1793" s="8"/>
      <c r="G1793" s="16"/>
      <c r="H1793" s="8"/>
      <c r="I1793" s="16"/>
    </row>
    <row r="1794" outlineLevel="1">
      <c r="A1794" s="9" t="s">
        <v>2070</v>
      </c>
      <c r="B1794" s="9" t="s">
        <v>549</v>
      </c>
      <c r="C1794" s="12" t="s">
        <v>215</v>
      </c>
      <c r="D1794" s="14" t="s">
        <v>2033</v>
      </c>
      <c r="E1794" s="16"/>
      <c r="F1794" s="8"/>
      <c r="G1794" s="16"/>
      <c r="H1794" s="8"/>
      <c r="I1794" s="16"/>
    </row>
    <row r="1795" outlineLevel="1">
      <c r="A1795" s="9" t="s">
        <v>248</v>
      </c>
      <c r="B1795" s="9" t="s">
        <v>58</v>
      </c>
      <c r="C1795" s="12" t="s">
        <v>53</v>
      </c>
      <c r="D1795" s="14" t="s">
        <v>2033</v>
      </c>
      <c r="E1795" s="16"/>
      <c r="F1795" s="8"/>
      <c r="G1795" s="16"/>
      <c r="H1795" s="8"/>
      <c r="I1795" s="16"/>
    </row>
    <row r="1796" outlineLevel="1">
      <c r="A1796" s="9" t="s">
        <v>2071</v>
      </c>
      <c r="B1796" s="9" t="s">
        <v>647</v>
      </c>
      <c r="C1796" s="12" t="s">
        <v>186</v>
      </c>
      <c r="D1796" s="14" t="s">
        <v>2033</v>
      </c>
      <c r="E1796" s="16"/>
      <c r="F1796" s="8"/>
      <c r="G1796" s="16"/>
      <c r="H1796" s="8"/>
      <c r="I1796" s="16"/>
    </row>
    <row r="1797" outlineLevel="1">
      <c r="A1797" s="9" t="s">
        <v>2072</v>
      </c>
      <c r="B1797" s="9" t="s">
        <v>277</v>
      </c>
      <c r="C1797" s="12" t="s">
        <v>93</v>
      </c>
      <c r="D1797" s="14" t="s">
        <v>2033</v>
      </c>
      <c r="E1797" s="16"/>
      <c r="F1797" s="8"/>
      <c r="G1797" s="16"/>
      <c r="H1797" s="8"/>
      <c r="I1797" s="16"/>
    </row>
    <row r="1798" outlineLevel="1">
      <c r="A1798" s="9" t="s">
        <v>554</v>
      </c>
      <c r="B1798" s="9" t="s">
        <v>162</v>
      </c>
      <c r="C1798" s="12" t="s">
        <v>80</v>
      </c>
      <c r="D1798" s="14" t="s">
        <v>2033</v>
      </c>
      <c r="E1798" s="16"/>
      <c r="F1798" s="8"/>
      <c r="G1798" s="16"/>
      <c r="H1798" s="8"/>
      <c r="I1798" s="16"/>
    </row>
    <row r="1799" outlineLevel="1">
      <c r="A1799" s="9" t="s">
        <v>1405</v>
      </c>
      <c r="B1799" s="9" t="s">
        <v>436</v>
      </c>
      <c r="C1799" s="12" t="s">
        <v>59</v>
      </c>
      <c r="D1799" s="14" t="s">
        <v>2033</v>
      </c>
      <c r="E1799" s="16"/>
      <c r="F1799" s="8"/>
      <c r="G1799" s="16"/>
      <c r="H1799" s="8"/>
      <c r="I1799" s="16"/>
    </row>
    <row r="1800" outlineLevel="1">
      <c r="A1800" s="9" t="s">
        <v>1405</v>
      </c>
      <c r="B1800" s="9" t="s">
        <v>231</v>
      </c>
      <c r="C1800" s="12" t="s">
        <v>70</v>
      </c>
      <c r="D1800" s="14" t="s">
        <v>2033</v>
      </c>
      <c r="E1800" s="16"/>
      <c r="F1800" s="8"/>
      <c r="G1800" s="16"/>
      <c r="H1800" s="8"/>
      <c r="I1800" s="16"/>
    </row>
    <row r="1801" outlineLevel="1">
      <c r="A1801" s="9" t="s">
        <v>2073</v>
      </c>
      <c r="B1801" s="9" t="s">
        <v>360</v>
      </c>
      <c r="C1801" s="12" t="s">
        <v>186</v>
      </c>
      <c r="D1801" s="14" t="s">
        <v>2033</v>
      </c>
      <c r="E1801" s="16"/>
      <c r="F1801" s="8"/>
      <c r="G1801" s="16"/>
      <c r="H1801" s="8"/>
      <c r="I1801" s="16"/>
    </row>
    <row r="1802" outlineLevel="1">
      <c r="A1802" s="9" t="s">
        <v>90</v>
      </c>
      <c r="B1802" s="9" t="s">
        <v>333</v>
      </c>
      <c r="C1802" s="12" t="s">
        <v>122</v>
      </c>
      <c r="D1802" s="14" t="s">
        <v>2033</v>
      </c>
      <c r="E1802" s="16"/>
      <c r="F1802" s="8"/>
      <c r="G1802" s="16"/>
      <c r="H1802" s="8"/>
      <c r="I1802" s="16"/>
    </row>
    <row r="1803" outlineLevel="1">
      <c r="A1803" s="9" t="s">
        <v>349</v>
      </c>
      <c r="B1803" s="9" t="s">
        <v>111</v>
      </c>
      <c r="C1803" s="12" t="s">
        <v>141</v>
      </c>
      <c r="D1803" s="14" t="s">
        <v>2033</v>
      </c>
      <c r="E1803" s="16"/>
      <c r="F1803" s="8"/>
      <c r="G1803" s="16"/>
      <c r="H1803" s="8"/>
      <c r="I1803" s="16"/>
    </row>
    <row r="1804" outlineLevel="1">
      <c r="A1804" s="18" t="s">
        <v>2074</v>
      </c>
      <c r="B1804" s="9" t="s">
        <v>512</v>
      </c>
      <c r="C1804" s="12" t="s">
        <v>215</v>
      </c>
      <c r="D1804" s="14" t="s">
        <v>2033</v>
      </c>
      <c r="E1804" s="16"/>
      <c r="F1804" s="18"/>
      <c r="G1804" s="19"/>
      <c r="H1804" s="18"/>
      <c r="I1804" s="19"/>
    </row>
    <row r="1805" outlineLevel="1">
      <c r="A1805" s="9" t="s">
        <v>2075</v>
      </c>
      <c r="B1805" s="18" t="s">
        <v>23</v>
      </c>
      <c r="C1805" s="19" t="s">
        <v>138</v>
      </c>
      <c r="D1805" s="14" t="s">
        <v>2033</v>
      </c>
      <c r="E1805" s="16"/>
      <c r="F1805" s="8"/>
      <c r="G1805" s="16"/>
      <c r="H1805" s="8"/>
      <c r="I1805" s="16"/>
    </row>
    <row r="1806" outlineLevel="1">
      <c r="A1806" s="9" t="s">
        <v>2076</v>
      </c>
      <c r="B1806" s="9" t="s">
        <v>67</v>
      </c>
      <c r="C1806" s="12" t="s">
        <v>186</v>
      </c>
      <c r="D1806" s="14" t="s">
        <v>2033</v>
      </c>
      <c r="E1806" s="16"/>
      <c r="F1806" s="8"/>
      <c r="G1806" s="16"/>
      <c r="H1806" s="8"/>
      <c r="I1806" s="16"/>
    </row>
    <row r="1807" outlineLevel="1">
      <c r="A1807" s="9" t="s">
        <v>2077</v>
      </c>
      <c r="B1807" s="9" t="s">
        <v>464</v>
      </c>
      <c r="C1807" s="12" t="s">
        <v>132</v>
      </c>
      <c r="D1807" s="14" t="s">
        <v>2033</v>
      </c>
      <c r="E1807" s="16"/>
      <c r="F1807" s="8"/>
      <c r="G1807" s="16"/>
      <c r="H1807" s="8"/>
      <c r="I1807" s="16"/>
    </row>
    <row r="1808" outlineLevel="1">
      <c r="A1808" s="9" t="s">
        <v>1417</v>
      </c>
      <c r="B1808" s="9" t="s">
        <v>275</v>
      </c>
      <c r="C1808" s="12" t="s">
        <v>53</v>
      </c>
      <c r="D1808" s="14" t="s">
        <v>2033</v>
      </c>
      <c r="E1808" s="16"/>
      <c r="F1808" s="8"/>
      <c r="G1808" s="16"/>
      <c r="H1808" s="8"/>
      <c r="I1808" s="16"/>
    </row>
    <row r="1809" outlineLevel="1">
      <c r="A1809" s="9" t="s">
        <v>145</v>
      </c>
      <c r="B1809" s="9" t="s">
        <v>554</v>
      </c>
      <c r="C1809" s="12" t="s">
        <v>261</v>
      </c>
      <c r="D1809" s="14" t="s">
        <v>2033</v>
      </c>
      <c r="E1809" s="16"/>
      <c r="F1809" s="8"/>
      <c r="G1809" s="16"/>
      <c r="H1809" s="8"/>
      <c r="I1809" s="16"/>
    </row>
    <row r="1810" outlineLevel="1">
      <c r="A1810" s="9" t="s">
        <v>359</v>
      </c>
      <c r="B1810" s="9" t="s">
        <v>596</v>
      </c>
      <c r="C1810" s="12" t="s">
        <v>93</v>
      </c>
      <c r="D1810" s="14" t="s">
        <v>2033</v>
      </c>
      <c r="E1810" s="16"/>
      <c r="F1810" s="8"/>
      <c r="G1810" s="16"/>
      <c r="H1810" s="8"/>
      <c r="I1810" s="16"/>
    </row>
    <row r="1811" outlineLevel="1">
      <c r="A1811" s="9" t="s">
        <v>110</v>
      </c>
      <c r="B1811" s="9" t="s">
        <v>836</v>
      </c>
      <c r="C1811" s="12" t="s">
        <v>46</v>
      </c>
      <c r="D1811" s="14" t="s">
        <v>2033</v>
      </c>
      <c r="E1811" s="16"/>
      <c r="F1811" s="8"/>
      <c r="G1811" s="16"/>
      <c r="H1811" s="8"/>
      <c r="I1811" s="16"/>
    </row>
    <row r="1812" outlineLevel="1">
      <c r="A1812" s="9" t="s">
        <v>2078</v>
      </c>
      <c r="B1812" s="9" t="s">
        <v>1680</v>
      </c>
      <c r="C1812" s="12" t="s">
        <v>93</v>
      </c>
      <c r="D1812" s="14" t="s">
        <v>2033</v>
      </c>
      <c r="E1812" s="16"/>
      <c r="F1812" s="8"/>
      <c r="G1812" s="16"/>
      <c r="H1812" s="8"/>
      <c r="I1812" s="16"/>
    </row>
    <row r="1813" outlineLevel="1">
      <c r="A1813" s="9" t="s">
        <v>2079</v>
      </c>
      <c r="B1813" s="9" t="s">
        <v>1402</v>
      </c>
      <c r="C1813" s="12" t="s">
        <v>65</v>
      </c>
      <c r="D1813" s="14" t="s">
        <v>2033</v>
      </c>
      <c r="E1813" s="16"/>
      <c r="F1813" s="8"/>
      <c r="G1813" s="16"/>
      <c r="H1813" s="8"/>
      <c r="I1813" s="16"/>
    </row>
    <row r="1814" outlineLevel="1">
      <c r="A1814" s="9" t="s">
        <v>61</v>
      </c>
      <c r="B1814" s="9" t="s">
        <v>1128</v>
      </c>
      <c r="C1814" s="12" t="s">
        <v>93</v>
      </c>
      <c r="D1814" s="14" t="s">
        <v>2033</v>
      </c>
      <c r="E1814" s="16"/>
      <c r="F1814" s="8"/>
      <c r="G1814" s="16"/>
      <c r="H1814" s="8"/>
      <c r="I1814" s="16"/>
    </row>
    <row r="1815" outlineLevel="1">
      <c r="A1815" s="9" t="s">
        <v>61</v>
      </c>
      <c r="B1815" s="9" t="s">
        <v>1173</v>
      </c>
      <c r="C1815" s="12" t="s">
        <v>65</v>
      </c>
      <c r="D1815" s="14" t="s">
        <v>2033</v>
      </c>
      <c r="E1815" s="16"/>
      <c r="F1815" s="8"/>
      <c r="G1815" s="16"/>
      <c r="H1815" s="8"/>
      <c r="I1815" s="16"/>
    </row>
    <row r="1816" outlineLevel="1">
      <c r="A1816" s="9" t="s">
        <v>61</v>
      </c>
      <c r="B1816" s="9" t="s">
        <v>2080</v>
      </c>
      <c r="C1816" s="12" t="s">
        <v>186</v>
      </c>
      <c r="D1816" s="14" t="s">
        <v>2033</v>
      </c>
      <c r="E1816" s="16"/>
      <c r="F1816" s="8"/>
      <c r="G1816" s="16"/>
      <c r="H1816" s="8"/>
      <c r="I1816" s="16"/>
    </row>
    <row r="1817" outlineLevel="1">
      <c r="A1817" s="9" t="s">
        <v>61</v>
      </c>
      <c r="B1817" s="9" t="s">
        <v>381</v>
      </c>
      <c r="C1817" s="12" t="s">
        <v>70</v>
      </c>
      <c r="D1817" s="14" t="s">
        <v>2033</v>
      </c>
      <c r="E1817" s="16"/>
      <c r="F1817" s="8"/>
      <c r="G1817" s="16"/>
      <c r="H1817" s="8"/>
      <c r="I1817" s="16"/>
    </row>
    <row r="1818" outlineLevel="1">
      <c r="A1818" s="9" t="s">
        <v>2081</v>
      </c>
      <c r="B1818" s="9" t="s">
        <v>1486</v>
      </c>
      <c r="C1818" s="12" t="s">
        <v>80</v>
      </c>
      <c r="D1818" s="14" t="s">
        <v>2033</v>
      </c>
      <c r="E1818" s="16"/>
      <c r="F1818" s="8"/>
      <c r="G1818" s="16"/>
      <c r="H1818" s="8"/>
      <c r="I1818" s="16"/>
    </row>
    <row r="1819" outlineLevel="1">
      <c r="A1819" s="9" t="s">
        <v>61</v>
      </c>
      <c r="B1819" s="9" t="s">
        <v>2082</v>
      </c>
      <c r="C1819" s="12" t="s">
        <v>186</v>
      </c>
      <c r="D1819" s="14" t="s">
        <v>2033</v>
      </c>
      <c r="E1819" s="16"/>
      <c r="F1819" s="8"/>
      <c r="G1819" s="16"/>
      <c r="H1819" s="8"/>
      <c r="I1819" s="16"/>
    </row>
    <row r="1820" outlineLevel="1">
      <c r="A1820" s="9" t="s">
        <v>2083</v>
      </c>
      <c r="B1820" s="9" t="s">
        <v>889</v>
      </c>
      <c r="C1820" s="12" t="s">
        <v>132</v>
      </c>
      <c r="D1820" s="14" t="s">
        <v>2033</v>
      </c>
      <c r="E1820" s="16"/>
      <c r="F1820" s="8"/>
      <c r="G1820" s="16"/>
      <c r="H1820" s="8"/>
      <c r="I1820" s="16"/>
    </row>
    <row r="1821" outlineLevel="1">
      <c r="A1821" s="9" t="s">
        <v>2084</v>
      </c>
      <c r="B1821" s="9" t="s">
        <v>88</v>
      </c>
      <c r="C1821" s="12" t="s">
        <v>93</v>
      </c>
      <c r="D1821" s="14" t="s">
        <v>2033</v>
      </c>
      <c r="E1821" s="16"/>
      <c r="F1821" s="8"/>
      <c r="G1821" s="16"/>
      <c r="H1821" s="8"/>
      <c r="I1821" s="16"/>
    </row>
    <row r="1822" outlineLevel="1">
      <c r="A1822" s="9" t="s">
        <v>2085</v>
      </c>
      <c r="B1822" s="9" t="s">
        <v>252</v>
      </c>
      <c r="C1822" s="12" t="s">
        <v>24</v>
      </c>
      <c r="D1822" s="14" t="s">
        <v>2033</v>
      </c>
      <c r="E1822" s="16"/>
      <c r="F1822" s="8"/>
      <c r="G1822" s="16"/>
      <c r="H1822" s="8"/>
      <c r="I1822" s="16"/>
    </row>
    <row r="1823" outlineLevel="1">
      <c r="A1823" s="9" t="s">
        <v>2085</v>
      </c>
      <c r="B1823" s="9" t="s">
        <v>33</v>
      </c>
      <c r="C1823" s="12" t="s">
        <v>138</v>
      </c>
      <c r="D1823" s="14" t="s">
        <v>2033</v>
      </c>
      <c r="E1823" s="16"/>
      <c r="F1823" s="8"/>
      <c r="G1823" s="16"/>
      <c r="H1823" s="8"/>
      <c r="I1823" s="16"/>
    </row>
    <row r="1824" outlineLevel="1">
      <c r="A1824" s="9" t="s">
        <v>200</v>
      </c>
      <c r="B1824" s="9" t="s">
        <v>137</v>
      </c>
      <c r="C1824" s="12" t="s">
        <v>38</v>
      </c>
      <c r="D1824" s="14" t="s">
        <v>2033</v>
      </c>
      <c r="E1824" s="16"/>
      <c r="F1824" s="8"/>
      <c r="G1824" s="16"/>
      <c r="H1824" s="8"/>
      <c r="I1824" s="16"/>
    </row>
    <row r="1825" outlineLevel="1">
      <c r="A1825" s="9" t="s">
        <v>2086</v>
      </c>
      <c r="B1825" s="9" t="s">
        <v>277</v>
      </c>
      <c r="C1825" s="12" t="s">
        <v>46</v>
      </c>
      <c r="D1825" s="14" t="s">
        <v>2033</v>
      </c>
      <c r="E1825" s="16"/>
      <c r="F1825" s="8"/>
      <c r="G1825" s="16"/>
      <c r="H1825" s="8"/>
      <c r="I1825" s="16"/>
    </row>
    <row r="1826" outlineLevel="1">
      <c r="A1826" s="9" t="s">
        <v>744</v>
      </c>
      <c r="B1826" s="9" t="s">
        <v>2087</v>
      </c>
      <c r="C1826" s="12" t="s">
        <v>186</v>
      </c>
      <c r="D1826" s="14" t="s">
        <v>2033</v>
      </c>
      <c r="E1826" s="16"/>
      <c r="F1826" s="8"/>
      <c r="G1826" s="16"/>
      <c r="H1826" s="8"/>
      <c r="I1826" s="16"/>
    </row>
    <row r="1827" outlineLevel="1">
      <c r="A1827" s="9" t="s">
        <v>2088</v>
      </c>
      <c r="B1827" s="9" t="s">
        <v>1046</v>
      </c>
      <c r="C1827" s="12" t="s">
        <v>24</v>
      </c>
      <c r="D1827" s="14" t="s">
        <v>2033</v>
      </c>
      <c r="E1827" s="16"/>
      <c r="F1827" s="8"/>
      <c r="G1827" s="16"/>
      <c r="H1827" s="8"/>
      <c r="I1827" s="16"/>
    </row>
    <row r="1828" outlineLevel="1">
      <c r="A1828" s="9" t="s">
        <v>2089</v>
      </c>
      <c r="B1828" s="9" t="s">
        <v>137</v>
      </c>
      <c r="C1828" s="12" t="s">
        <v>215</v>
      </c>
      <c r="D1828" s="14" t="s">
        <v>2033</v>
      </c>
      <c r="E1828" s="16"/>
      <c r="F1828" s="8"/>
      <c r="G1828" s="16"/>
      <c r="H1828" s="8"/>
      <c r="I1828" s="16"/>
    </row>
    <row r="1829" outlineLevel="1">
      <c r="A1829" s="9" t="s">
        <v>2090</v>
      </c>
      <c r="B1829" s="9" t="s">
        <v>961</v>
      </c>
      <c r="C1829" s="12" t="s">
        <v>59</v>
      </c>
      <c r="D1829" s="14" t="s">
        <v>2033</v>
      </c>
      <c r="E1829" s="16"/>
      <c r="F1829" s="18"/>
      <c r="G1829" s="19"/>
      <c r="H1829" s="18"/>
      <c r="I1829" s="19"/>
    </row>
    <row r="1830" outlineLevel="1">
      <c r="A1830" s="9" t="s">
        <v>2091</v>
      </c>
      <c r="B1830" s="9" t="s">
        <v>1096</v>
      </c>
      <c r="C1830" s="12" t="s">
        <v>186</v>
      </c>
      <c r="D1830" s="14" t="s">
        <v>2033</v>
      </c>
      <c r="E1830" s="16"/>
      <c r="F1830" s="8"/>
      <c r="G1830" s="16"/>
      <c r="H1830" s="8"/>
      <c r="I1830" s="16"/>
    </row>
    <row r="1831" outlineLevel="1">
      <c r="A1831" s="9" t="s">
        <v>2092</v>
      </c>
      <c r="B1831" s="9" t="s">
        <v>198</v>
      </c>
      <c r="C1831" s="12" t="s">
        <v>70</v>
      </c>
      <c r="D1831" s="14" t="s">
        <v>2033</v>
      </c>
      <c r="E1831" s="16"/>
      <c r="F1831" s="8"/>
      <c r="G1831" s="16"/>
      <c r="H1831" s="8"/>
      <c r="I1831" s="16"/>
    </row>
    <row r="1832" outlineLevel="1">
      <c r="A1832" s="9" t="s">
        <v>895</v>
      </c>
      <c r="B1832" s="9" t="s">
        <v>183</v>
      </c>
      <c r="C1832" s="12" t="s">
        <v>80</v>
      </c>
      <c r="D1832" s="14" t="s">
        <v>2033</v>
      </c>
      <c r="E1832" s="16"/>
      <c r="F1832" s="18"/>
      <c r="G1832" s="19"/>
      <c r="H1832" s="18"/>
      <c r="I1832" s="19"/>
    </row>
    <row r="1833" outlineLevel="1">
      <c r="A1833" s="9" t="s">
        <v>2093</v>
      </c>
      <c r="B1833" s="9" t="s">
        <v>247</v>
      </c>
      <c r="C1833" s="12" t="s">
        <v>80</v>
      </c>
      <c r="D1833" s="14" t="s">
        <v>2033</v>
      </c>
      <c r="E1833" s="16"/>
      <c r="F1833" s="8"/>
      <c r="G1833" s="16"/>
      <c r="H1833" s="8"/>
      <c r="I1833" s="16"/>
    </row>
    <row r="1834" outlineLevel="1">
      <c r="A1834" s="9" t="s">
        <v>1164</v>
      </c>
      <c r="B1834" s="9" t="s">
        <v>585</v>
      </c>
      <c r="C1834" s="12" t="s">
        <v>186</v>
      </c>
      <c r="D1834" s="14" t="s">
        <v>2033</v>
      </c>
      <c r="E1834" s="16"/>
      <c r="F1834" s="8"/>
      <c r="G1834" s="16"/>
      <c r="H1834" s="8"/>
      <c r="I1834" s="16"/>
    </row>
    <row r="1835" outlineLevel="1">
      <c r="A1835" s="9" t="s">
        <v>1170</v>
      </c>
      <c r="B1835" s="9" t="s">
        <v>1971</v>
      </c>
      <c r="C1835" s="12" t="s">
        <v>59</v>
      </c>
      <c r="D1835" s="14" t="s">
        <v>2033</v>
      </c>
      <c r="E1835" s="16"/>
      <c r="F1835" s="8"/>
      <c r="G1835" s="16"/>
      <c r="H1835" s="8"/>
      <c r="I1835" s="16"/>
    </row>
    <row r="1836" outlineLevel="1">
      <c r="A1836" s="9" t="s">
        <v>2094</v>
      </c>
      <c r="B1836" s="9" t="s">
        <v>2095</v>
      </c>
      <c r="C1836" s="12" t="s">
        <v>53</v>
      </c>
      <c r="D1836" s="14" t="s">
        <v>2033</v>
      </c>
      <c r="E1836" s="16"/>
      <c r="F1836" s="8"/>
      <c r="G1836" s="16"/>
      <c r="H1836" s="8"/>
      <c r="I1836" s="16"/>
    </row>
    <row r="1837" outlineLevel="1">
      <c r="A1837" s="9" t="s">
        <v>2096</v>
      </c>
      <c r="B1837" s="9" t="s">
        <v>67</v>
      </c>
      <c r="C1837" s="12" t="s">
        <v>16</v>
      </c>
      <c r="D1837" s="14" t="s">
        <v>2033</v>
      </c>
      <c r="E1837" s="16"/>
      <c r="F1837" s="8"/>
      <c r="G1837" s="16"/>
      <c r="H1837" s="8"/>
      <c r="I1837" s="16"/>
    </row>
    <row r="1838" outlineLevel="1">
      <c r="A1838" s="9" t="s">
        <v>683</v>
      </c>
      <c r="B1838" s="9" t="s">
        <v>948</v>
      </c>
      <c r="C1838" s="12" t="s">
        <v>65</v>
      </c>
      <c r="D1838" s="14" t="s">
        <v>2033</v>
      </c>
      <c r="E1838" s="16"/>
      <c r="F1838" s="8"/>
      <c r="G1838" s="16"/>
      <c r="H1838" s="8"/>
      <c r="I1838" s="16"/>
    </row>
    <row r="1839" outlineLevel="1">
      <c r="A1839" s="9" t="s">
        <v>683</v>
      </c>
      <c r="B1839" s="9" t="s">
        <v>2097</v>
      </c>
      <c r="C1839" s="12" t="s">
        <v>122</v>
      </c>
      <c r="D1839" s="14" t="s">
        <v>2033</v>
      </c>
      <c r="E1839" s="16"/>
      <c r="F1839" s="8"/>
      <c r="G1839" s="16"/>
      <c r="H1839" s="8"/>
      <c r="I1839" s="16"/>
    </row>
    <row r="1840" outlineLevel="1">
      <c r="A1840" s="18" t="s">
        <v>2098</v>
      </c>
      <c r="B1840" s="9" t="s">
        <v>2099</v>
      </c>
      <c r="C1840" s="12" t="s">
        <v>70</v>
      </c>
      <c r="D1840" s="14" t="s">
        <v>2033</v>
      </c>
      <c r="E1840" s="16"/>
      <c r="F1840" s="8"/>
      <c r="G1840" s="16"/>
      <c r="H1840" s="8"/>
      <c r="I1840" s="16"/>
    </row>
    <row r="1841" outlineLevel="1">
      <c r="A1841" s="9" t="s">
        <v>2100</v>
      </c>
      <c r="B1841" s="18" t="s">
        <v>2101</v>
      </c>
      <c r="C1841" s="19" t="s">
        <v>65</v>
      </c>
      <c r="D1841" s="14" t="s">
        <v>2033</v>
      </c>
      <c r="E1841" s="16"/>
      <c r="F1841" s="8"/>
      <c r="G1841" s="16"/>
      <c r="H1841" s="8"/>
      <c r="I1841" s="16"/>
    </row>
    <row r="1842" outlineLevel="1">
      <c r="A1842" s="9" t="s">
        <v>1795</v>
      </c>
      <c r="B1842" s="9" t="s">
        <v>360</v>
      </c>
      <c r="C1842" s="12" t="s">
        <v>38</v>
      </c>
      <c r="D1842" s="14" t="s">
        <v>2033</v>
      </c>
      <c r="E1842" s="16"/>
      <c r="F1842" s="8"/>
      <c r="G1842" s="16"/>
      <c r="H1842" s="8"/>
      <c r="I1842" s="16"/>
    </row>
    <row r="1843" outlineLevel="1">
      <c r="A1843" s="9" t="s">
        <v>1796</v>
      </c>
      <c r="B1843" s="9" t="s">
        <v>2102</v>
      </c>
      <c r="C1843" s="12" t="s">
        <v>59</v>
      </c>
      <c r="D1843" s="14" t="s">
        <v>2033</v>
      </c>
      <c r="E1843" s="16"/>
      <c r="F1843" s="8"/>
      <c r="G1843" s="16"/>
      <c r="H1843" s="8"/>
      <c r="I1843" s="16"/>
    </row>
    <row r="1844" outlineLevel="1">
      <c r="A1844" s="9" t="s">
        <v>2103</v>
      </c>
      <c r="B1844" s="9" t="s">
        <v>263</v>
      </c>
      <c r="C1844" s="12" t="s">
        <v>24</v>
      </c>
      <c r="D1844" s="14" t="s">
        <v>2033</v>
      </c>
      <c r="E1844" s="16"/>
      <c r="F1844" s="8"/>
      <c r="G1844" s="16"/>
      <c r="H1844" s="8"/>
      <c r="I1844" s="16"/>
    </row>
    <row r="1845" outlineLevel="1">
      <c r="A1845" s="9" t="s">
        <v>916</v>
      </c>
      <c r="B1845" s="9" t="s">
        <v>2104</v>
      </c>
      <c r="C1845" s="12" t="s">
        <v>70</v>
      </c>
      <c r="D1845" s="14" t="s">
        <v>2033</v>
      </c>
      <c r="E1845" s="16"/>
      <c r="F1845" s="8"/>
      <c r="G1845" s="16"/>
      <c r="H1845" s="8"/>
      <c r="I1845" s="16"/>
    </row>
    <row r="1846" outlineLevel="1">
      <c r="A1846" s="9" t="s">
        <v>2105</v>
      </c>
      <c r="B1846" s="9" t="s">
        <v>2106</v>
      </c>
      <c r="C1846" s="12" t="s">
        <v>75</v>
      </c>
      <c r="D1846" s="14" t="s">
        <v>2033</v>
      </c>
      <c r="E1846" s="16"/>
      <c r="F1846" s="8"/>
      <c r="G1846" s="16"/>
      <c r="H1846" s="8"/>
      <c r="I1846" s="16"/>
    </row>
    <row r="1847" outlineLevel="1">
      <c r="A1847" s="9" t="s">
        <v>2107</v>
      </c>
      <c r="B1847" s="9" t="s">
        <v>472</v>
      </c>
      <c r="C1847" s="12" t="s">
        <v>65</v>
      </c>
      <c r="D1847" s="14" t="s">
        <v>2033</v>
      </c>
      <c r="E1847" s="16"/>
      <c r="F1847" s="8"/>
      <c r="G1847" s="16"/>
      <c r="H1847" s="8"/>
      <c r="I1847" s="16"/>
    </row>
    <row r="1848" outlineLevel="1">
      <c r="A1848" s="9" t="s">
        <v>2108</v>
      </c>
      <c r="B1848" s="9" t="s">
        <v>1452</v>
      </c>
      <c r="C1848" s="12" t="s">
        <v>65</v>
      </c>
      <c r="D1848" s="14" t="s">
        <v>2033</v>
      </c>
      <c r="E1848" s="16"/>
      <c r="F1848" s="8"/>
      <c r="G1848" s="16"/>
      <c r="H1848" s="8"/>
      <c r="I1848" s="16"/>
    </row>
    <row r="1849" outlineLevel="1">
      <c r="A1849" s="9" t="s">
        <v>2109</v>
      </c>
      <c r="B1849" s="9" t="s">
        <v>409</v>
      </c>
      <c r="C1849" s="12" t="s">
        <v>65</v>
      </c>
      <c r="D1849" s="14" t="s">
        <v>2033</v>
      </c>
      <c r="E1849" s="16"/>
      <c r="F1849" s="18"/>
      <c r="G1849" s="19"/>
      <c r="H1849" s="18"/>
      <c r="I1849" s="19"/>
    </row>
    <row r="1850" outlineLevel="1">
      <c r="A1850" s="9" t="s">
        <v>2110</v>
      </c>
      <c r="B1850" s="9" t="s">
        <v>2111</v>
      </c>
      <c r="C1850" s="12" t="s">
        <v>141</v>
      </c>
      <c r="D1850" s="14" t="s">
        <v>2033</v>
      </c>
      <c r="E1850" s="16"/>
      <c r="F1850" s="8"/>
      <c r="G1850" s="16"/>
      <c r="H1850" s="8"/>
      <c r="I1850" s="16"/>
    </row>
    <row r="1851" outlineLevel="1">
      <c r="A1851" s="9" t="s">
        <v>689</v>
      </c>
      <c r="B1851" s="9" t="s">
        <v>124</v>
      </c>
      <c r="C1851" s="12" t="s">
        <v>122</v>
      </c>
      <c r="D1851" s="14" t="s">
        <v>2033</v>
      </c>
      <c r="E1851" s="16"/>
      <c r="F1851" s="18"/>
      <c r="G1851" s="19"/>
      <c r="H1851" s="18"/>
      <c r="I1851" s="19"/>
    </row>
    <row r="1852" outlineLevel="1">
      <c r="A1852" s="9" t="s">
        <v>2112</v>
      </c>
      <c r="B1852" s="9" t="s">
        <v>137</v>
      </c>
      <c r="C1852" s="12" t="s">
        <v>65</v>
      </c>
      <c r="D1852" s="14" t="s">
        <v>2033</v>
      </c>
      <c r="E1852" s="16"/>
      <c r="F1852" s="8"/>
      <c r="G1852" s="16"/>
      <c r="H1852" s="8"/>
      <c r="I1852" s="16"/>
    </row>
    <row r="1853" outlineLevel="1">
      <c r="A1853" s="9" t="s">
        <v>252</v>
      </c>
      <c r="B1853" s="9" t="s">
        <v>2113</v>
      </c>
      <c r="C1853" s="12" t="s">
        <v>215</v>
      </c>
      <c r="D1853" s="14" t="s">
        <v>2033</v>
      </c>
      <c r="E1853" s="16"/>
      <c r="F1853" s="8"/>
      <c r="G1853" s="16"/>
      <c r="H1853" s="8"/>
      <c r="I1853" s="16"/>
    </row>
    <row r="1854" outlineLevel="1">
      <c r="A1854" s="9" t="s">
        <v>2114</v>
      </c>
      <c r="B1854" s="9" t="s">
        <v>231</v>
      </c>
      <c r="C1854" s="12" t="s">
        <v>46</v>
      </c>
      <c r="D1854" s="14" t="s">
        <v>2033</v>
      </c>
      <c r="E1854" s="16"/>
      <c r="F1854" s="8"/>
      <c r="G1854" s="16"/>
      <c r="H1854" s="8"/>
      <c r="I1854" s="16"/>
    </row>
    <row r="1855" outlineLevel="1">
      <c r="A1855" s="9" t="s">
        <v>2115</v>
      </c>
      <c r="B1855" s="9" t="s">
        <v>183</v>
      </c>
      <c r="C1855" s="12" t="s">
        <v>24</v>
      </c>
      <c r="D1855" s="14" t="s">
        <v>2033</v>
      </c>
      <c r="E1855" s="16"/>
      <c r="F1855" s="8"/>
      <c r="G1855" s="16"/>
      <c r="H1855" s="8"/>
      <c r="I1855" s="16"/>
    </row>
    <row r="1856" outlineLevel="1">
      <c r="A1856" s="9" t="s">
        <v>1848</v>
      </c>
      <c r="B1856" s="9" t="s">
        <v>275</v>
      </c>
      <c r="C1856" s="12" t="s">
        <v>65</v>
      </c>
      <c r="D1856" s="14" t="s">
        <v>2033</v>
      </c>
      <c r="E1856" s="16"/>
      <c r="F1856" s="8"/>
      <c r="G1856" s="16"/>
      <c r="H1856" s="8"/>
      <c r="I1856" s="16"/>
    </row>
    <row r="1857" outlineLevel="1">
      <c r="A1857" s="9" t="s">
        <v>2116</v>
      </c>
      <c r="B1857" s="9" t="s">
        <v>33</v>
      </c>
      <c r="C1857" s="12" t="s">
        <v>149</v>
      </c>
      <c r="D1857" s="14" t="s">
        <v>2033</v>
      </c>
      <c r="E1857" s="16"/>
      <c r="F1857" s="8"/>
      <c r="G1857" s="16"/>
      <c r="H1857" s="8"/>
      <c r="I1857" s="16"/>
    </row>
    <row r="1858" outlineLevel="1">
      <c r="A1858" s="9" t="s">
        <v>703</v>
      </c>
      <c r="B1858" s="9" t="s">
        <v>217</v>
      </c>
      <c r="C1858" s="12" t="s">
        <v>65</v>
      </c>
      <c r="D1858" s="14" t="s">
        <v>2033</v>
      </c>
      <c r="E1858" s="16"/>
      <c r="F1858" s="8"/>
      <c r="G1858" s="16"/>
      <c r="H1858" s="8"/>
      <c r="I1858" s="16"/>
    </row>
    <row r="1859" outlineLevel="1">
      <c r="A1859" s="18" t="s">
        <v>703</v>
      </c>
      <c r="B1859" s="9" t="s">
        <v>1490</v>
      </c>
      <c r="C1859" s="12" t="s">
        <v>192</v>
      </c>
      <c r="D1859" s="14" t="s">
        <v>2033</v>
      </c>
      <c r="E1859" s="16"/>
      <c r="F1859" s="8"/>
      <c r="G1859" s="16"/>
      <c r="H1859" s="8"/>
      <c r="I1859" s="16"/>
    </row>
    <row r="1860" outlineLevel="1">
      <c r="A1860" s="9" t="s">
        <v>268</v>
      </c>
      <c r="B1860" s="18" t="s">
        <v>2117</v>
      </c>
      <c r="C1860" s="19" t="s">
        <v>138</v>
      </c>
      <c r="D1860" s="14" t="s">
        <v>2033</v>
      </c>
      <c r="E1860" s="16"/>
      <c r="F1860" s="8"/>
      <c r="G1860" s="16"/>
      <c r="H1860" s="8"/>
      <c r="I1860" s="16"/>
    </row>
    <row r="1861" outlineLevel="1">
      <c r="A1861" s="9" t="s">
        <v>268</v>
      </c>
      <c r="B1861" s="9" t="s">
        <v>247</v>
      </c>
      <c r="C1861" s="12" t="s">
        <v>70</v>
      </c>
      <c r="D1861" s="14" t="s">
        <v>2033</v>
      </c>
      <c r="E1861" s="16"/>
      <c r="F1861" s="8"/>
      <c r="G1861" s="16"/>
      <c r="H1861" s="8"/>
      <c r="I1861" s="16"/>
    </row>
    <row r="1862" outlineLevel="1">
      <c r="A1862" s="9" t="s">
        <v>1818</v>
      </c>
      <c r="B1862" s="9" t="s">
        <v>2118</v>
      </c>
      <c r="C1862" s="12" t="s">
        <v>46</v>
      </c>
      <c r="D1862" s="14" t="s">
        <v>2033</v>
      </c>
      <c r="E1862" s="16"/>
      <c r="F1862" s="8"/>
      <c r="G1862" s="16"/>
      <c r="H1862" s="8"/>
      <c r="I1862" s="16"/>
    </row>
    <row r="1863" outlineLevel="1">
      <c r="A1863" s="9" t="s">
        <v>2119</v>
      </c>
      <c r="B1863" s="9" t="s">
        <v>700</v>
      </c>
      <c r="C1863" s="12" t="s">
        <v>93</v>
      </c>
      <c r="D1863" s="14" t="s">
        <v>2033</v>
      </c>
      <c r="E1863" s="16"/>
      <c r="F1863" s="8"/>
      <c r="G1863" s="16"/>
      <c r="H1863" s="8"/>
      <c r="I1863" s="16"/>
    </row>
    <row r="1864" outlineLevel="1">
      <c r="A1864" s="18" t="s">
        <v>2120</v>
      </c>
      <c r="B1864" s="9" t="s">
        <v>2121</v>
      </c>
      <c r="C1864" s="12" t="s">
        <v>138</v>
      </c>
      <c r="D1864" s="14" t="s">
        <v>2033</v>
      </c>
      <c r="E1864" s="16"/>
      <c r="F1864" s="8"/>
      <c r="G1864" s="16"/>
      <c r="H1864" s="8"/>
      <c r="I1864" s="16"/>
    </row>
    <row r="1865" outlineLevel="1">
      <c r="A1865" s="9" t="s">
        <v>89</v>
      </c>
      <c r="B1865" s="18" t="s">
        <v>2122</v>
      </c>
      <c r="C1865" s="19" t="s">
        <v>53</v>
      </c>
      <c r="D1865" s="14" t="s">
        <v>2033</v>
      </c>
      <c r="E1865" s="16"/>
      <c r="F1865" s="8"/>
      <c r="G1865" s="16"/>
      <c r="H1865" s="8"/>
      <c r="I1865" s="16"/>
    </row>
    <row r="1866" outlineLevel="1">
      <c r="A1866" s="9" t="s">
        <v>89</v>
      </c>
      <c r="B1866" s="9" t="s">
        <v>1046</v>
      </c>
      <c r="C1866" s="12" t="s">
        <v>80</v>
      </c>
      <c r="D1866" s="14" t="s">
        <v>2033</v>
      </c>
      <c r="E1866" s="16"/>
      <c r="F1866" s="8"/>
      <c r="G1866" s="16"/>
      <c r="H1866" s="8"/>
      <c r="I1866" s="16"/>
    </row>
    <row r="1867" outlineLevel="1">
      <c r="A1867" s="18" t="s">
        <v>2123</v>
      </c>
      <c r="B1867" s="9" t="s">
        <v>814</v>
      </c>
      <c r="C1867" s="12" t="s">
        <v>141</v>
      </c>
      <c r="D1867" s="14" t="s">
        <v>2033</v>
      </c>
      <c r="E1867" s="16"/>
      <c r="F1867" s="8"/>
      <c r="G1867" s="16"/>
      <c r="H1867" s="8"/>
      <c r="I1867" s="16"/>
    </row>
    <row r="1868" outlineLevel="1">
      <c r="A1868" s="9" t="s">
        <v>1471</v>
      </c>
      <c r="B1868" s="18" t="s">
        <v>2124</v>
      </c>
      <c r="C1868" s="19" t="s">
        <v>75</v>
      </c>
      <c r="D1868" s="14" t="s">
        <v>2033</v>
      </c>
      <c r="E1868" s="16"/>
      <c r="F1868" s="8"/>
      <c r="G1868" s="16"/>
      <c r="H1868" s="8"/>
      <c r="I1868" s="16"/>
    </row>
    <row r="1869" outlineLevel="1">
      <c r="A1869" s="9" t="s">
        <v>2125</v>
      </c>
      <c r="B1869" s="9" t="s">
        <v>441</v>
      </c>
      <c r="C1869" s="12" t="s">
        <v>132</v>
      </c>
      <c r="D1869" s="14" t="s">
        <v>2033</v>
      </c>
      <c r="E1869" s="16"/>
      <c r="F1869" s="8"/>
      <c r="G1869" s="16"/>
      <c r="H1869" s="8"/>
      <c r="I1869" s="16"/>
    </row>
    <row r="1870" outlineLevel="1">
      <c r="A1870" s="9" t="s">
        <v>2126</v>
      </c>
      <c r="B1870" s="9" t="s">
        <v>1046</v>
      </c>
      <c r="C1870" s="12" t="s">
        <v>75</v>
      </c>
      <c r="D1870" s="14" t="s">
        <v>2033</v>
      </c>
      <c r="E1870" s="16"/>
      <c r="F1870" s="8"/>
      <c r="G1870" s="16"/>
      <c r="H1870" s="8"/>
      <c r="I1870" s="16"/>
    </row>
    <row r="1871" outlineLevel="1">
      <c r="A1871" s="9" t="s">
        <v>2127</v>
      </c>
      <c r="B1871" s="9" t="s">
        <v>2128</v>
      </c>
      <c r="C1871" s="12" t="s">
        <v>24</v>
      </c>
      <c r="D1871" s="14" t="s">
        <v>2033</v>
      </c>
      <c r="E1871" s="16"/>
      <c r="F1871" s="8"/>
      <c r="G1871" s="16"/>
      <c r="H1871" s="8"/>
      <c r="I1871" s="16"/>
    </row>
    <row r="1872" outlineLevel="1">
      <c r="A1872" s="9" t="s">
        <v>2127</v>
      </c>
      <c r="B1872" s="9" t="s">
        <v>1633</v>
      </c>
      <c r="C1872" s="12" t="s">
        <v>93</v>
      </c>
      <c r="D1872" s="14" t="s">
        <v>2033</v>
      </c>
      <c r="E1872" s="16"/>
      <c r="F1872" s="8"/>
      <c r="G1872" s="16"/>
      <c r="H1872" s="8"/>
      <c r="I1872" s="16"/>
    </row>
    <row r="1873" outlineLevel="1">
      <c r="A1873" s="18" t="s">
        <v>537</v>
      </c>
      <c r="B1873" s="9" t="s">
        <v>912</v>
      </c>
      <c r="C1873" s="12" t="s">
        <v>215</v>
      </c>
      <c r="D1873" s="14" t="s">
        <v>2033</v>
      </c>
      <c r="E1873" s="16"/>
      <c r="F1873" s="8"/>
      <c r="G1873" s="16"/>
      <c r="H1873" s="8"/>
      <c r="I1873" s="16"/>
    </row>
    <row r="1874" outlineLevel="1">
      <c r="A1874" s="9" t="s">
        <v>537</v>
      </c>
      <c r="B1874" s="18" t="s">
        <v>157</v>
      </c>
      <c r="C1874" s="19" t="s">
        <v>70</v>
      </c>
      <c r="D1874" s="14" t="s">
        <v>2033</v>
      </c>
      <c r="E1874" s="16"/>
      <c r="F1874" s="8"/>
      <c r="G1874" s="16"/>
      <c r="H1874" s="8"/>
      <c r="I1874" s="16"/>
    </row>
    <row r="1875" outlineLevel="1">
      <c r="A1875" s="9" t="s">
        <v>537</v>
      </c>
      <c r="B1875" s="9" t="s">
        <v>2129</v>
      </c>
      <c r="C1875" s="12" t="s">
        <v>80</v>
      </c>
      <c r="D1875" s="14" t="s">
        <v>2033</v>
      </c>
      <c r="E1875" s="16"/>
      <c r="F1875" s="8"/>
      <c r="G1875" s="16"/>
      <c r="H1875" s="8"/>
      <c r="I1875" s="16"/>
    </row>
    <row r="1876" outlineLevel="1">
      <c r="A1876" s="9" t="s">
        <v>2130</v>
      </c>
      <c r="B1876" s="9" t="s">
        <v>349</v>
      </c>
      <c r="C1876" s="12" t="s">
        <v>186</v>
      </c>
      <c r="D1876" s="14" t="s">
        <v>2033</v>
      </c>
      <c r="E1876" s="16"/>
      <c r="F1876" s="8"/>
      <c r="G1876" s="16"/>
      <c r="H1876" s="8"/>
      <c r="I1876" s="16"/>
    </row>
    <row r="1877" outlineLevel="1">
      <c r="A1877" s="9" t="s">
        <v>2131</v>
      </c>
      <c r="B1877" s="9" t="s">
        <v>2132</v>
      </c>
      <c r="C1877" s="12" t="s">
        <v>93</v>
      </c>
      <c r="D1877" s="14" t="s">
        <v>2033</v>
      </c>
      <c r="E1877" s="16"/>
      <c r="F1877" s="8"/>
      <c r="G1877" s="16"/>
      <c r="H1877" s="8"/>
      <c r="I1877" s="16"/>
    </row>
    <row r="1878" outlineLevel="1">
      <c r="A1878" s="9" t="s">
        <v>2133</v>
      </c>
      <c r="B1878" s="9" t="s">
        <v>712</v>
      </c>
      <c r="C1878" s="12" t="s">
        <v>53</v>
      </c>
      <c r="D1878" s="14" t="s">
        <v>2033</v>
      </c>
      <c r="E1878" s="16"/>
      <c r="F1878" s="8"/>
      <c r="G1878" s="16"/>
      <c r="H1878" s="8"/>
      <c r="I1878" s="16"/>
    </row>
    <row r="1879" outlineLevel="1">
      <c r="A1879" s="9" t="s">
        <v>1477</v>
      </c>
      <c r="B1879" s="9" t="s">
        <v>381</v>
      </c>
      <c r="C1879" s="12" t="s">
        <v>53</v>
      </c>
      <c r="D1879" s="14" t="s">
        <v>2033</v>
      </c>
      <c r="E1879" s="16"/>
      <c r="F1879" s="8"/>
      <c r="G1879" s="16"/>
      <c r="H1879" s="8"/>
      <c r="I1879" s="16"/>
    </row>
    <row r="1880" outlineLevel="1">
      <c r="A1880" s="9" t="s">
        <v>276</v>
      </c>
      <c r="B1880" s="9" t="s">
        <v>2134</v>
      </c>
      <c r="C1880" s="12" t="s">
        <v>122</v>
      </c>
      <c r="D1880" s="14" t="s">
        <v>2033</v>
      </c>
      <c r="E1880" s="16"/>
      <c r="F1880" s="8"/>
      <c r="G1880" s="16"/>
      <c r="H1880" s="8"/>
      <c r="I1880" s="16"/>
    </row>
    <row r="1881" outlineLevel="1">
      <c r="A1881" s="9" t="s">
        <v>2135</v>
      </c>
      <c r="B1881" s="9" t="s">
        <v>1528</v>
      </c>
      <c r="C1881" s="12" t="s">
        <v>70</v>
      </c>
      <c r="D1881" s="14" t="s">
        <v>2033</v>
      </c>
      <c r="E1881" s="16"/>
      <c r="F1881" s="8"/>
      <c r="G1881" s="16"/>
      <c r="H1881" s="8"/>
      <c r="I1881" s="16"/>
    </row>
    <row r="1882" outlineLevel="1">
      <c r="A1882" s="9" t="s">
        <v>2136</v>
      </c>
      <c r="B1882" s="9" t="s">
        <v>549</v>
      </c>
      <c r="C1882" s="12" t="s">
        <v>80</v>
      </c>
      <c r="D1882" s="14" t="s">
        <v>2033</v>
      </c>
      <c r="E1882" s="16"/>
      <c r="F1882" s="8"/>
      <c r="G1882" s="16"/>
      <c r="H1882" s="8"/>
      <c r="I1882" s="16"/>
    </row>
    <row r="1883" outlineLevel="1">
      <c r="A1883" s="9" t="s">
        <v>1200</v>
      </c>
      <c r="B1883" s="9" t="s">
        <v>1434</v>
      </c>
      <c r="C1883" s="12" t="s">
        <v>186</v>
      </c>
      <c r="D1883" s="14" t="s">
        <v>2033</v>
      </c>
      <c r="E1883" s="16"/>
      <c r="F1883" s="8"/>
      <c r="G1883" s="16"/>
      <c r="H1883" s="8"/>
      <c r="I1883" s="16"/>
    </row>
    <row r="1884" outlineLevel="1">
      <c r="A1884" s="18" t="s">
        <v>1200</v>
      </c>
      <c r="B1884" s="9" t="s">
        <v>269</v>
      </c>
      <c r="C1884" s="12" t="s">
        <v>80</v>
      </c>
      <c r="D1884" s="14" t="s">
        <v>2033</v>
      </c>
      <c r="E1884" s="16"/>
      <c r="F1884" s="8"/>
      <c r="G1884" s="16"/>
      <c r="H1884" s="8"/>
      <c r="I1884" s="16"/>
    </row>
    <row r="1885" outlineLevel="1">
      <c r="A1885" s="9" t="s">
        <v>1200</v>
      </c>
      <c r="B1885" s="18" t="s">
        <v>2137</v>
      </c>
      <c r="C1885" s="19" t="s">
        <v>149</v>
      </c>
      <c r="D1885" s="14" t="s">
        <v>2033</v>
      </c>
      <c r="E1885" s="16"/>
      <c r="F1885" s="8"/>
      <c r="G1885" s="16"/>
      <c r="H1885" s="8"/>
      <c r="I1885" s="16"/>
    </row>
    <row r="1886" outlineLevel="1">
      <c r="A1886" s="9" t="s">
        <v>2138</v>
      </c>
      <c r="B1886" s="9" t="s">
        <v>2139</v>
      </c>
      <c r="C1886" s="12" t="s">
        <v>70</v>
      </c>
      <c r="D1886" s="14" t="s">
        <v>2033</v>
      </c>
      <c r="E1886" s="16"/>
      <c r="F1886" s="8"/>
      <c r="G1886" s="16"/>
      <c r="H1886" s="8"/>
      <c r="I1886" s="16"/>
    </row>
    <row r="1887" outlineLevel="1">
      <c r="A1887" s="9" t="s">
        <v>2140</v>
      </c>
      <c r="B1887" s="9" t="s">
        <v>2141</v>
      </c>
      <c r="C1887" s="12" t="s">
        <v>141</v>
      </c>
      <c r="D1887" s="14" t="s">
        <v>2033</v>
      </c>
      <c r="E1887" s="16"/>
      <c r="F1887" s="8"/>
      <c r="G1887" s="16"/>
      <c r="H1887" s="8"/>
      <c r="I1887" s="16"/>
    </row>
    <row r="1888" outlineLevel="1">
      <c r="A1888" s="9" t="s">
        <v>278</v>
      </c>
      <c r="B1888" s="9" t="s">
        <v>137</v>
      </c>
      <c r="C1888" s="12" t="s">
        <v>122</v>
      </c>
      <c r="D1888" s="14" t="s">
        <v>2033</v>
      </c>
      <c r="E1888" s="16"/>
      <c r="F1888" s="8"/>
      <c r="G1888" s="16"/>
      <c r="H1888" s="8"/>
      <c r="I1888" s="16"/>
    </row>
    <row r="1889" outlineLevel="1">
      <c r="A1889" s="9" t="s">
        <v>2142</v>
      </c>
      <c r="B1889" s="9" t="s">
        <v>2143</v>
      </c>
      <c r="C1889" s="12" t="s">
        <v>93</v>
      </c>
      <c r="D1889" s="14" t="s">
        <v>2033</v>
      </c>
      <c r="E1889" s="16"/>
      <c r="F1889" s="8"/>
      <c r="G1889" s="16"/>
      <c r="H1889" s="8"/>
      <c r="I1889" s="16"/>
    </row>
    <row r="1890" outlineLevel="1">
      <c r="A1890" s="9" t="s">
        <v>2144</v>
      </c>
      <c r="B1890" s="9" t="s">
        <v>1128</v>
      </c>
      <c r="C1890" s="12" t="s">
        <v>65</v>
      </c>
      <c r="D1890" s="14" t="s">
        <v>2033</v>
      </c>
      <c r="E1890" s="16"/>
      <c r="F1890" s="8"/>
      <c r="G1890" s="16"/>
      <c r="H1890" s="8"/>
      <c r="I1890" s="16"/>
    </row>
    <row r="1891" outlineLevel="1">
      <c r="A1891" s="9" t="s">
        <v>2145</v>
      </c>
      <c r="B1891" s="9" t="s">
        <v>850</v>
      </c>
      <c r="C1891" s="12" t="s">
        <v>186</v>
      </c>
      <c r="D1891" s="14" t="s">
        <v>2033</v>
      </c>
      <c r="E1891" s="16"/>
      <c r="F1891" s="8"/>
      <c r="G1891" s="16"/>
      <c r="H1891" s="8"/>
      <c r="I1891" s="16"/>
    </row>
    <row r="1892" outlineLevel="1">
      <c r="A1892" s="9" t="s">
        <v>360</v>
      </c>
      <c r="B1892" s="9" t="s">
        <v>2113</v>
      </c>
      <c r="C1892" s="12" t="s">
        <v>186</v>
      </c>
      <c r="D1892" s="14" t="s">
        <v>2033</v>
      </c>
      <c r="E1892" s="16"/>
      <c r="F1892" s="8"/>
      <c r="G1892" s="16"/>
      <c r="H1892" s="8"/>
      <c r="I1892" s="16"/>
    </row>
    <row r="1893" outlineLevel="1">
      <c r="A1893" s="9" t="s">
        <v>2146</v>
      </c>
      <c r="B1893" s="9" t="s">
        <v>67</v>
      </c>
      <c r="C1893" s="12" t="s">
        <v>24</v>
      </c>
      <c r="D1893" s="14" t="s">
        <v>2033</v>
      </c>
      <c r="E1893" s="16"/>
      <c r="F1893" s="8"/>
      <c r="G1893" s="16"/>
      <c r="H1893" s="8"/>
      <c r="I1893" s="16"/>
    </row>
    <row r="1894" outlineLevel="1">
      <c r="A1894" s="18" t="s">
        <v>208</v>
      </c>
      <c r="B1894" s="9" t="s">
        <v>2147</v>
      </c>
      <c r="C1894" s="12" t="s">
        <v>93</v>
      </c>
      <c r="D1894" s="14" t="s">
        <v>2033</v>
      </c>
      <c r="E1894" s="16"/>
      <c r="F1894" s="8"/>
      <c r="G1894" s="16"/>
      <c r="H1894" s="8"/>
      <c r="I1894" s="16"/>
    </row>
    <row r="1895" outlineLevel="1">
      <c r="A1895" s="9" t="s">
        <v>208</v>
      </c>
      <c r="B1895" s="18" t="s">
        <v>1267</v>
      </c>
      <c r="C1895" s="19" t="s">
        <v>93</v>
      </c>
      <c r="D1895" s="14" t="s">
        <v>2033</v>
      </c>
      <c r="E1895" s="16"/>
      <c r="F1895" s="8"/>
      <c r="G1895" s="16"/>
      <c r="H1895" s="8"/>
      <c r="I1895" s="16"/>
    </row>
    <row r="1896" outlineLevel="1">
      <c r="A1896" s="9" t="s">
        <v>208</v>
      </c>
      <c r="B1896" s="9" t="s">
        <v>814</v>
      </c>
      <c r="C1896" s="12" t="s">
        <v>93</v>
      </c>
      <c r="D1896" s="14" t="s">
        <v>2033</v>
      </c>
      <c r="E1896" s="16"/>
      <c r="F1896" s="8"/>
      <c r="G1896" s="16"/>
      <c r="H1896" s="8"/>
      <c r="I1896" s="16"/>
    </row>
    <row r="1897" outlineLevel="1">
      <c r="A1897" s="9" t="s">
        <v>208</v>
      </c>
      <c r="B1897" s="9" t="s">
        <v>301</v>
      </c>
      <c r="C1897" s="12" t="s">
        <v>93</v>
      </c>
      <c r="D1897" s="14" t="s">
        <v>2033</v>
      </c>
      <c r="E1897" s="16"/>
      <c r="F1897" s="8"/>
      <c r="G1897" s="16"/>
      <c r="H1897" s="8"/>
      <c r="I1897" s="16"/>
    </row>
    <row r="1898" outlineLevel="1">
      <c r="A1898" s="9" t="s">
        <v>2148</v>
      </c>
      <c r="B1898" s="9" t="s">
        <v>2149</v>
      </c>
      <c r="C1898" s="12" t="s">
        <v>93</v>
      </c>
      <c r="D1898" s="14" t="s">
        <v>2033</v>
      </c>
      <c r="E1898" s="16"/>
      <c r="F1898" s="8"/>
      <c r="G1898" s="16"/>
      <c r="H1898" s="8"/>
      <c r="I1898" s="16"/>
    </row>
    <row r="1899" outlineLevel="1">
      <c r="A1899" s="9" t="s">
        <v>2150</v>
      </c>
      <c r="B1899" s="9" t="s">
        <v>2151</v>
      </c>
      <c r="C1899" s="12" t="s">
        <v>53</v>
      </c>
      <c r="D1899" s="14" t="s">
        <v>2033</v>
      </c>
      <c r="E1899" s="16"/>
      <c r="F1899" s="8"/>
      <c r="G1899" s="16"/>
      <c r="H1899" s="8"/>
      <c r="I1899" s="16"/>
    </row>
    <row r="1900" outlineLevel="1">
      <c r="A1900" s="9" t="s">
        <v>208</v>
      </c>
      <c r="B1900" s="9" t="s">
        <v>381</v>
      </c>
      <c r="C1900" s="12" t="s">
        <v>70</v>
      </c>
      <c r="D1900" s="14" t="s">
        <v>2033</v>
      </c>
      <c r="E1900" s="16"/>
      <c r="F1900" s="8"/>
      <c r="G1900" s="16"/>
      <c r="H1900" s="8"/>
      <c r="I1900" s="16"/>
    </row>
    <row r="1901" outlineLevel="1">
      <c r="A1901" s="9" t="s">
        <v>260</v>
      </c>
      <c r="B1901" s="9" t="s">
        <v>1817</v>
      </c>
      <c r="C1901" s="12" t="s">
        <v>192</v>
      </c>
      <c r="D1901" s="14" t="s">
        <v>2033</v>
      </c>
      <c r="E1901" s="16"/>
      <c r="F1901" s="8"/>
      <c r="G1901" s="16"/>
      <c r="H1901" s="8"/>
      <c r="I1901" s="16"/>
    </row>
    <row r="1902" outlineLevel="1">
      <c r="A1902" s="9" t="s">
        <v>260</v>
      </c>
      <c r="B1902" s="9" t="s">
        <v>307</v>
      </c>
      <c r="C1902" s="12" t="s">
        <v>93</v>
      </c>
      <c r="D1902" s="14" t="s">
        <v>2033</v>
      </c>
      <c r="E1902" s="16"/>
      <c r="F1902" s="8"/>
      <c r="G1902" s="16"/>
      <c r="H1902" s="8"/>
      <c r="I1902" s="16"/>
    </row>
    <row r="1903" outlineLevel="1">
      <c r="A1903" s="9" t="s">
        <v>260</v>
      </c>
      <c r="B1903" s="9" t="s">
        <v>74</v>
      </c>
      <c r="C1903" s="12" t="s">
        <v>65</v>
      </c>
      <c r="D1903" s="14" t="s">
        <v>2033</v>
      </c>
      <c r="E1903" s="16"/>
      <c r="F1903" s="8"/>
      <c r="G1903" s="16"/>
      <c r="H1903" s="8"/>
      <c r="I1903" s="16"/>
    </row>
    <row r="1904" outlineLevel="1">
      <c r="A1904" s="9" t="s">
        <v>2152</v>
      </c>
      <c r="B1904" s="9" t="s">
        <v>1128</v>
      </c>
      <c r="C1904" s="12" t="s">
        <v>138</v>
      </c>
      <c r="D1904" s="14" t="s">
        <v>2033</v>
      </c>
      <c r="E1904" s="16"/>
      <c r="F1904" s="8"/>
      <c r="G1904" s="16"/>
      <c r="H1904" s="8"/>
      <c r="I1904" s="16"/>
    </row>
    <row r="1905" outlineLevel="1">
      <c r="A1905" s="9" t="s">
        <v>282</v>
      </c>
      <c r="B1905" s="9" t="s">
        <v>2153</v>
      </c>
      <c r="C1905" s="12" t="s">
        <v>132</v>
      </c>
      <c r="D1905" s="14" t="s">
        <v>2033</v>
      </c>
      <c r="E1905" s="16"/>
      <c r="F1905" s="8"/>
      <c r="G1905" s="16"/>
      <c r="H1905" s="8"/>
      <c r="I1905" s="16"/>
    </row>
    <row r="1906" outlineLevel="1">
      <c r="A1906" s="9" t="s">
        <v>389</v>
      </c>
      <c r="B1906" s="9" t="s">
        <v>2154</v>
      </c>
      <c r="C1906" s="12" t="s">
        <v>80</v>
      </c>
      <c r="D1906" s="14" t="s">
        <v>2033</v>
      </c>
      <c r="E1906" s="16"/>
      <c r="F1906" s="8"/>
      <c r="G1906" s="16"/>
      <c r="H1906" s="8"/>
      <c r="I1906" s="16"/>
    </row>
    <row r="1907" outlineLevel="1">
      <c r="A1907" s="9" t="s">
        <v>389</v>
      </c>
      <c r="B1907" s="9" t="s">
        <v>1341</v>
      </c>
      <c r="C1907" s="12" t="s">
        <v>122</v>
      </c>
      <c r="D1907" s="14" t="s">
        <v>2033</v>
      </c>
      <c r="E1907" s="16"/>
      <c r="F1907" s="8"/>
      <c r="G1907" s="16"/>
      <c r="H1907" s="8"/>
      <c r="I1907" s="16"/>
    </row>
    <row r="1908" outlineLevel="1">
      <c r="A1908" s="9" t="s">
        <v>389</v>
      </c>
      <c r="B1908" s="9" t="s">
        <v>2155</v>
      </c>
      <c r="C1908" s="12" t="s">
        <v>93</v>
      </c>
      <c r="D1908" s="14" t="s">
        <v>2033</v>
      </c>
      <c r="E1908" s="16"/>
      <c r="F1908" s="8"/>
      <c r="G1908" s="16"/>
      <c r="H1908" s="8"/>
      <c r="I1908" s="16"/>
    </row>
    <row r="1909" outlineLevel="1">
      <c r="A1909" s="9" t="s">
        <v>389</v>
      </c>
      <c r="B1909" s="9" t="s">
        <v>2156</v>
      </c>
      <c r="C1909" s="12" t="s">
        <v>149</v>
      </c>
      <c r="D1909" s="14" t="s">
        <v>2033</v>
      </c>
      <c r="E1909" s="16"/>
      <c r="F1909" s="8"/>
      <c r="G1909" s="16"/>
      <c r="H1909" s="8"/>
      <c r="I1909" s="16"/>
    </row>
    <row r="1910" outlineLevel="1">
      <c r="A1910" s="9" t="s">
        <v>389</v>
      </c>
      <c r="B1910" s="9" t="s">
        <v>2157</v>
      </c>
      <c r="C1910" s="12" t="s">
        <v>186</v>
      </c>
      <c r="D1910" s="14" t="s">
        <v>2033</v>
      </c>
      <c r="E1910" s="16"/>
      <c r="F1910" s="8"/>
      <c r="G1910" s="16"/>
      <c r="H1910" s="8"/>
      <c r="I1910" s="16"/>
    </row>
    <row r="1911" outlineLevel="1">
      <c r="A1911" s="9" t="s">
        <v>389</v>
      </c>
      <c r="B1911" s="9" t="s">
        <v>23</v>
      </c>
      <c r="C1911" s="12" t="s">
        <v>192</v>
      </c>
      <c r="D1911" s="14" t="s">
        <v>2033</v>
      </c>
      <c r="E1911" s="16"/>
      <c r="F1911" s="8"/>
      <c r="G1911" s="16"/>
      <c r="H1911" s="8"/>
      <c r="I1911" s="16"/>
    </row>
    <row r="1912" outlineLevel="1">
      <c r="A1912" s="9" t="s">
        <v>389</v>
      </c>
      <c r="B1912" s="9" t="s">
        <v>948</v>
      </c>
      <c r="C1912" s="12" t="s">
        <v>93</v>
      </c>
      <c r="D1912" s="14" t="s">
        <v>2033</v>
      </c>
      <c r="E1912" s="16"/>
      <c r="F1912" s="8"/>
      <c r="G1912" s="16"/>
      <c r="H1912" s="8"/>
      <c r="I1912" s="16"/>
    </row>
    <row r="1913" outlineLevel="1">
      <c r="A1913" s="9" t="s">
        <v>389</v>
      </c>
      <c r="B1913" s="9" t="s">
        <v>2158</v>
      </c>
      <c r="C1913" s="12" t="s">
        <v>65</v>
      </c>
      <c r="D1913" s="14" t="s">
        <v>2033</v>
      </c>
      <c r="E1913" s="16"/>
      <c r="F1913" s="18"/>
      <c r="G1913" s="19"/>
      <c r="H1913" s="18"/>
      <c r="I1913" s="19"/>
    </row>
    <row r="1914" outlineLevel="1">
      <c r="A1914" s="9" t="s">
        <v>389</v>
      </c>
      <c r="B1914" s="9" t="s">
        <v>212</v>
      </c>
      <c r="C1914" s="12" t="s">
        <v>65</v>
      </c>
      <c r="D1914" s="14" t="s">
        <v>2033</v>
      </c>
      <c r="E1914" s="16"/>
      <c r="F1914" s="8"/>
      <c r="G1914" s="16"/>
      <c r="H1914" s="8"/>
      <c r="I1914" s="16"/>
    </row>
    <row r="1915" outlineLevel="1">
      <c r="A1915" s="9" t="s">
        <v>389</v>
      </c>
      <c r="B1915" s="9" t="s">
        <v>134</v>
      </c>
      <c r="C1915" s="12" t="s">
        <v>93</v>
      </c>
      <c r="D1915" s="14" t="s">
        <v>2033</v>
      </c>
      <c r="E1915" s="16"/>
      <c r="F1915" s="8"/>
      <c r="G1915" s="16"/>
      <c r="H1915" s="8"/>
      <c r="I1915" s="16"/>
    </row>
    <row r="1916" outlineLevel="1">
      <c r="A1916" s="9" t="s">
        <v>389</v>
      </c>
      <c r="B1916" s="9" t="s">
        <v>2159</v>
      </c>
      <c r="C1916" s="12" t="s">
        <v>93</v>
      </c>
      <c r="D1916" s="14" t="s">
        <v>2033</v>
      </c>
      <c r="E1916" s="16"/>
      <c r="F1916" s="8"/>
      <c r="G1916" s="16"/>
      <c r="H1916" s="8"/>
      <c r="I1916" s="16"/>
    </row>
    <row r="1917" outlineLevel="1">
      <c r="A1917" s="9" t="s">
        <v>284</v>
      </c>
      <c r="B1917" s="9" t="s">
        <v>2160</v>
      </c>
      <c r="C1917" s="12" t="s">
        <v>46</v>
      </c>
      <c r="D1917" s="14" t="s">
        <v>2033</v>
      </c>
      <c r="E1917" s="16"/>
      <c r="F1917" s="8"/>
      <c r="G1917" s="16"/>
      <c r="H1917" s="8"/>
      <c r="I1917" s="16"/>
    </row>
    <row r="1918" outlineLevel="1">
      <c r="A1918" s="9" t="s">
        <v>284</v>
      </c>
      <c r="B1918" s="9" t="s">
        <v>381</v>
      </c>
      <c r="C1918" s="12" t="s">
        <v>122</v>
      </c>
      <c r="D1918" s="14" t="s">
        <v>2033</v>
      </c>
      <c r="E1918" s="16"/>
      <c r="F1918" s="8"/>
      <c r="G1918" s="16"/>
      <c r="H1918" s="8"/>
      <c r="I1918" s="16"/>
    </row>
    <row r="1919" outlineLevel="1">
      <c r="A1919" s="9" t="s">
        <v>284</v>
      </c>
      <c r="B1919" s="9" t="s">
        <v>41</v>
      </c>
      <c r="C1919" s="12" t="s">
        <v>141</v>
      </c>
      <c r="D1919" s="14" t="s">
        <v>2033</v>
      </c>
      <c r="E1919" s="16"/>
      <c r="F1919" s="8"/>
      <c r="G1919" s="16"/>
      <c r="H1919" s="8"/>
      <c r="I1919" s="16"/>
    </row>
    <row r="1920" outlineLevel="1">
      <c r="A1920" s="9" t="s">
        <v>284</v>
      </c>
      <c r="B1920" s="9" t="s">
        <v>2161</v>
      </c>
      <c r="C1920" s="12" t="s">
        <v>93</v>
      </c>
      <c r="D1920" s="14" t="s">
        <v>2033</v>
      </c>
      <c r="E1920" s="16"/>
      <c r="F1920" s="8"/>
      <c r="G1920" s="16"/>
      <c r="H1920" s="8"/>
      <c r="I1920" s="16"/>
    </row>
    <row r="1921" outlineLevel="1">
      <c r="A1921" s="9" t="s">
        <v>2162</v>
      </c>
      <c r="B1921" s="9" t="s">
        <v>2163</v>
      </c>
      <c r="C1921" s="12" t="s">
        <v>149</v>
      </c>
      <c r="D1921" s="14" t="s">
        <v>2033</v>
      </c>
      <c r="E1921" s="16"/>
      <c r="F1921" s="8"/>
      <c r="G1921" s="16"/>
      <c r="H1921" s="8"/>
      <c r="I1921" s="16"/>
    </row>
    <row r="1922" outlineLevel="1">
      <c r="A1922" s="9" t="s">
        <v>561</v>
      </c>
      <c r="B1922" s="9" t="s">
        <v>1117</v>
      </c>
      <c r="C1922" s="12" t="s">
        <v>192</v>
      </c>
      <c r="D1922" s="14" t="s">
        <v>2033</v>
      </c>
      <c r="E1922" s="16"/>
      <c r="F1922" s="8"/>
      <c r="G1922" s="16"/>
      <c r="H1922" s="8"/>
      <c r="I1922" s="16"/>
    </row>
    <row r="1923" outlineLevel="1">
      <c r="A1923" s="9" t="s">
        <v>2164</v>
      </c>
      <c r="B1923" s="9" t="s">
        <v>2165</v>
      </c>
      <c r="C1923" s="12" t="s">
        <v>215</v>
      </c>
      <c r="D1923" s="14" t="s">
        <v>2033</v>
      </c>
      <c r="E1923" s="16"/>
      <c r="F1923" s="8"/>
      <c r="G1923" s="16"/>
      <c r="H1923" s="8"/>
      <c r="I1923" s="16"/>
    </row>
    <row r="1924" outlineLevel="1">
      <c r="A1924" s="9" t="s">
        <v>2166</v>
      </c>
      <c r="B1924" s="9" t="s">
        <v>2167</v>
      </c>
      <c r="C1924" s="12" t="s">
        <v>16</v>
      </c>
      <c r="D1924" s="14" t="s">
        <v>2033</v>
      </c>
      <c r="E1924" s="16"/>
      <c r="F1924" s="18"/>
      <c r="G1924" s="19"/>
      <c r="H1924" s="18"/>
      <c r="I1924" s="19"/>
    </row>
    <row r="1925" outlineLevel="1">
      <c r="A1925" s="9" t="s">
        <v>2168</v>
      </c>
      <c r="B1925" s="9" t="s">
        <v>275</v>
      </c>
      <c r="C1925" s="12" t="s">
        <v>192</v>
      </c>
      <c r="D1925" s="14" t="s">
        <v>2033</v>
      </c>
      <c r="E1925" s="16"/>
      <c r="F1925" s="8"/>
      <c r="G1925" s="16"/>
      <c r="H1925" s="8"/>
      <c r="I1925" s="16"/>
    </row>
    <row r="1926" outlineLevel="1">
      <c r="A1926" s="9" t="s">
        <v>1226</v>
      </c>
      <c r="B1926" s="9" t="s">
        <v>1467</v>
      </c>
      <c r="C1926" s="12" t="s">
        <v>59</v>
      </c>
      <c r="D1926" s="14" t="s">
        <v>2033</v>
      </c>
      <c r="E1926" s="16"/>
      <c r="F1926" s="8"/>
      <c r="G1926" s="16"/>
      <c r="H1926" s="8"/>
      <c r="I1926" s="16"/>
    </row>
    <row r="1927" outlineLevel="1">
      <c r="A1927" s="9" t="s">
        <v>2169</v>
      </c>
      <c r="B1927" s="9" t="s">
        <v>2170</v>
      </c>
      <c r="C1927" s="12" t="s">
        <v>93</v>
      </c>
      <c r="D1927" s="14" t="s">
        <v>2033</v>
      </c>
      <c r="E1927" s="16"/>
      <c r="F1927" s="8"/>
      <c r="G1927" s="16"/>
      <c r="H1927" s="8"/>
      <c r="I1927" s="16"/>
    </row>
    <row r="1928" outlineLevel="1">
      <c r="A1928" s="9" t="s">
        <v>2171</v>
      </c>
      <c r="B1928" s="9" t="s">
        <v>460</v>
      </c>
      <c r="C1928" s="12" t="s">
        <v>65</v>
      </c>
      <c r="D1928" s="14" t="s">
        <v>2033</v>
      </c>
      <c r="E1928" s="16"/>
      <c r="F1928" s="8"/>
      <c r="G1928" s="16"/>
      <c r="H1928" s="8"/>
      <c r="I1928" s="16"/>
    </row>
    <row r="1929" outlineLevel="1">
      <c r="A1929" s="9" t="s">
        <v>42</v>
      </c>
      <c r="B1929" s="9" t="s">
        <v>1528</v>
      </c>
      <c r="C1929" s="12" t="s">
        <v>59</v>
      </c>
      <c r="D1929" s="14" t="s">
        <v>2033</v>
      </c>
      <c r="E1929" s="16"/>
      <c r="F1929" s="8"/>
      <c r="G1929" s="16"/>
      <c r="H1929" s="8"/>
      <c r="I1929" s="16"/>
    </row>
    <row r="1930" outlineLevel="1">
      <c r="A1930" s="9" t="s">
        <v>42</v>
      </c>
      <c r="B1930" s="9" t="s">
        <v>2172</v>
      </c>
      <c r="C1930" s="12" t="s">
        <v>59</v>
      </c>
      <c r="D1930" s="14" t="s">
        <v>2033</v>
      </c>
      <c r="E1930" s="16"/>
      <c r="F1930" s="8"/>
      <c r="G1930" s="16"/>
      <c r="H1930" s="8"/>
      <c r="I1930" s="16"/>
    </row>
    <row r="1931" outlineLevel="1">
      <c r="A1931" s="9" t="s">
        <v>94</v>
      </c>
      <c r="B1931" s="9" t="s">
        <v>2173</v>
      </c>
      <c r="C1931" s="12" t="s">
        <v>93</v>
      </c>
      <c r="D1931" s="14" t="s">
        <v>2033</v>
      </c>
      <c r="E1931" s="16"/>
      <c r="F1931" s="18"/>
      <c r="G1931" s="19"/>
      <c r="H1931" s="18"/>
      <c r="I1931" s="19"/>
    </row>
    <row r="1932" outlineLevel="1">
      <c r="A1932" s="9" t="s">
        <v>2174</v>
      </c>
      <c r="B1932" s="9" t="s">
        <v>100</v>
      </c>
      <c r="C1932" s="12" t="s">
        <v>46</v>
      </c>
      <c r="D1932" s="14" t="s">
        <v>2033</v>
      </c>
      <c r="E1932" s="16"/>
      <c r="F1932" s="8"/>
      <c r="G1932" s="16"/>
      <c r="H1932" s="8"/>
      <c r="I1932" s="16"/>
    </row>
    <row r="1933" outlineLevel="1">
      <c r="A1933" s="9" t="s">
        <v>2175</v>
      </c>
      <c r="B1933" s="9" t="s">
        <v>198</v>
      </c>
      <c r="C1933" s="12" t="s">
        <v>16</v>
      </c>
      <c r="D1933" s="14" t="s">
        <v>2033</v>
      </c>
      <c r="E1933" s="16"/>
      <c r="F1933" s="8"/>
      <c r="G1933" s="16"/>
      <c r="H1933" s="8"/>
      <c r="I1933" s="16"/>
    </row>
    <row r="1934" outlineLevel="1">
      <c r="A1934" s="9" t="s">
        <v>163</v>
      </c>
      <c r="B1934" s="9" t="s">
        <v>2143</v>
      </c>
      <c r="C1934" s="12" t="s">
        <v>70</v>
      </c>
      <c r="D1934" s="14" t="s">
        <v>2033</v>
      </c>
      <c r="E1934" s="16"/>
      <c r="F1934" s="8"/>
      <c r="G1934" s="16"/>
      <c r="H1934" s="8"/>
      <c r="I1934" s="16"/>
    </row>
    <row r="1935" outlineLevel="1">
      <c r="A1935" s="9" t="s">
        <v>2176</v>
      </c>
      <c r="B1935" s="9" t="s">
        <v>2177</v>
      </c>
      <c r="C1935" s="12" t="s">
        <v>93</v>
      </c>
      <c r="D1935" s="14" t="s">
        <v>2033</v>
      </c>
      <c r="E1935" s="16"/>
      <c r="F1935" s="8"/>
      <c r="G1935" s="16"/>
      <c r="H1935" s="8"/>
      <c r="I1935" s="16"/>
    </row>
    <row r="1936" outlineLevel="1">
      <c r="A1936" s="9" t="s">
        <v>2178</v>
      </c>
      <c r="B1936" s="9" t="s">
        <v>194</v>
      </c>
      <c r="C1936" s="12" t="s">
        <v>16</v>
      </c>
      <c r="D1936" s="14" t="s">
        <v>2033</v>
      </c>
      <c r="E1936" s="16"/>
      <c r="F1936" s="8"/>
      <c r="G1936" s="16"/>
      <c r="H1936" s="8"/>
      <c r="I1936" s="16"/>
    </row>
    <row r="1937" outlineLevel="1">
      <c r="A1937" s="9" t="s">
        <v>2179</v>
      </c>
      <c r="B1937" s="9" t="s">
        <v>301</v>
      </c>
      <c r="C1937" s="12" t="s">
        <v>65</v>
      </c>
      <c r="D1937" s="14" t="s">
        <v>2033</v>
      </c>
      <c r="E1937" s="16"/>
      <c r="F1937" s="8"/>
      <c r="G1937" s="16"/>
      <c r="H1937" s="8"/>
      <c r="I1937" s="16"/>
    </row>
    <row r="1938" outlineLevel="1">
      <c r="A1938" s="9" t="s">
        <v>405</v>
      </c>
      <c r="B1938" s="9" t="s">
        <v>865</v>
      </c>
      <c r="C1938" s="12" t="s">
        <v>192</v>
      </c>
      <c r="D1938" s="14" t="s">
        <v>2033</v>
      </c>
      <c r="E1938" s="16"/>
      <c r="F1938" s="8"/>
      <c r="G1938" s="16"/>
      <c r="H1938" s="8"/>
      <c r="I1938" s="16"/>
    </row>
    <row r="1939" outlineLevel="1">
      <c r="A1939" s="9" t="s">
        <v>396</v>
      </c>
      <c r="B1939" s="9" t="s">
        <v>1479</v>
      </c>
      <c r="C1939" s="12" t="s">
        <v>138</v>
      </c>
      <c r="D1939" s="14" t="s">
        <v>2033</v>
      </c>
      <c r="E1939" s="16"/>
      <c r="F1939" s="8"/>
      <c r="G1939" s="16"/>
      <c r="H1939" s="8"/>
      <c r="I1939" s="16"/>
    </row>
    <row r="1940" outlineLevel="1">
      <c r="A1940" s="9" t="s">
        <v>396</v>
      </c>
      <c r="B1940" s="9" t="s">
        <v>542</v>
      </c>
      <c r="C1940" s="12" t="s">
        <v>75</v>
      </c>
      <c r="D1940" s="14" t="s">
        <v>2033</v>
      </c>
      <c r="E1940" s="16"/>
      <c r="F1940" s="8"/>
      <c r="G1940" s="16"/>
      <c r="H1940" s="8"/>
      <c r="I1940" s="16"/>
    </row>
    <row r="1941" outlineLevel="1">
      <c r="A1941" s="18" t="s">
        <v>2180</v>
      </c>
      <c r="B1941" s="9" t="s">
        <v>2181</v>
      </c>
      <c r="C1941" s="12" t="s">
        <v>122</v>
      </c>
      <c r="D1941" s="14" t="s">
        <v>2033</v>
      </c>
      <c r="E1941" s="16"/>
      <c r="F1941" s="8"/>
      <c r="G1941" s="16"/>
      <c r="H1941" s="8"/>
      <c r="I1941" s="16"/>
    </row>
    <row r="1942" outlineLevel="1">
      <c r="A1942" s="9" t="s">
        <v>2182</v>
      </c>
      <c r="B1942" s="18" t="s">
        <v>726</v>
      </c>
      <c r="C1942" s="19" t="s">
        <v>70</v>
      </c>
      <c r="D1942" s="14" t="s">
        <v>2033</v>
      </c>
      <c r="E1942" s="16"/>
      <c r="F1942" s="8"/>
      <c r="G1942" s="16"/>
      <c r="H1942" s="8"/>
      <c r="I1942" s="16"/>
    </row>
    <row r="1943" outlineLevel="1">
      <c r="A1943" s="9" t="s">
        <v>581</v>
      </c>
      <c r="B1943" s="9" t="s">
        <v>2183</v>
      </c>
      <c r="C1943" s="12" t="s">
        <v>75</v>
      </c>
      <c r="D1943" s="14" t="s">
        <v>2033</v>
      </c>
      <c r="E1943" s="16"/>
      <c r="F1943" s="8"/>
      <c r="G1943" s="16"/>
      <c r="H1943" s="8"/>
      <c r="I1943" s="16"/>
    </row>
    <row r="1944" outlineLevel="1">
      <c r="A1944" s="9" t="s">
        <v>2184</v>
      </c>
      <c r="B1944" s="9" t="s">
        <v>100</v>
      </c>
      <c r="C1944" s="12" t="s">
        <v>16</v>
      </c>
      <c r="D1944" s="14" t="s">
        <v>2033</v>
      </c>
      <c r="E1944" s="16"/>
      <c r="F1944" s="8"/>
      <c r="G1944" s="16"/>
      <c r="H1944" s="8"/>
      <c r="I1944" s="16"/>
    </row>
    <row r="1945" outlineLevel="1">
      <c r="A1945" s="9" t="s">
        <v>2185</v>
      </c>
      <c r="B1945" s="9" t="s">
        <v>1941</v>
      </c>
      <c r="C1945" s="12" t="s">
        <v>215</v>
      </c>
      <c r="D1945" s="14" t="s">
        <v>2033</v>
      </c>
      <c r="E1945" s="16"/>
      <c r="F1945" s="8"/>
      <c r="G1945" s="16"/>
      <c r="H1945" s="8"/>
      <c r="I1945" s="16"/>
    </row>
    <row r="1946" outlineLevel="1">
      <c r="A1946" s="9" t="s">
        <v>2186</v>
      </c>
      <c r="B1946" s="9" t="s">
        <v>2187</v>
      </c>
      <c r="C1946" s="12" t="s">
        <v>215</v>
      </c>
      <c r="D1946" s="14" t="s">
        <v>2033</v>
      </c>
      <c r="E1946" s="16"/>
      <c r="F1946" s="8"/>
      <c r="G1946" s="16"/>
      <c r="H1946" s="8"/>
      <c r="I1946" s="16"/>
    </row>
    <row r="1947" outlineLevel="1">
      <c r="A1947" s="9" t="s">
        <v>2188</v>
      </c>
      <c r="B1947" s="9" t="s">
        <v>2189</v>
      </c>
      <c r="C1947" s="12" t="s">
        <v>186</v>
      </c>
      <c r="D1947" s="14" t="s">
        <v>2033</v>
      </c>
      <c r="E1947" s="16"/>
      <c r="F1947" s="8"/>
      <c r="G1947" s="16"/>
      <c r="H1947" s="8"/>
      <c r="I1947" s="16"/>
    </row>
    <row r="1948" outlineLevel="1">
      <c r="A1948" s="9" t="s">
        <v>2190</v>
      </c>
      <c r="B1948" s="9" t="s">
        <v>822</v>
      </c>
      <c r="C1948" s="12" t="s">
        <v>70</v>
      </c>
      <c r="D1948" s="14" t="s">
        <v>2033</v>
      </c>
      <c r="E1948" s="16"/>
      <c r="F1948" s="8"/>
      <c r="G1948" s="16"/>
      <c r="H1948" s="8"/>
      <c r="I1948" s="16"/>
    </row>
    <row r="1949" outlineLevel="1">
      <c r="A1949" s="9" t="s">
        <v>2191</v>
      </c>
      <c r="B1949" s="9" t="s">
        <v>2192</v>
      </c>
      <c r="C1949" s="12" t="s">
        <v>16</v>
      </c>
      <c r="D1949" s="14" t="s">
        <v>2033</v>
      </c>
      <c r="E1949" s="16"/>
      <c r="F1949" s="8"/>
      <c r="G1949" s="16"/>
      <c r="H1949" s="8"/>
      <c r="I1949" s="16"/>
    </row>
    <row r="1950" outlineLevel="1">
      <c r="A1950" s="9" t="s">
        <v>1219</v>
      </c>
      <c r="B1950" s="9" t="s">
        <v>1283</v>
      </c>
      <c r="C1950" s="12" t="s">
        <v>149</v>
      </c>
      <c r="D1950" s="14" t="s">
        <v>2033</v>
      </c>
      <c r="E1950" s="16"/>
      <c r="F1950" s="8"/>
      <c r="G1950" s="16"/>
      <c r="H1950" s="8"/>
      <c r="I1950" s="16"/>
    </row>
    <row r="1951" outlineLevel="1">
      <c r="A1951" s="9" t="s">
        <v>402</v>
      </c>
      <c r="B1951" s="9" t="s">
        <v>726</v>
      </c>
      <c r="C1951" s="12" t="s">
        <v>59</v>
      </c>
      <c r="D1951" s="14" t="s">
        <v>2033</v>
      </c>
      <c r="E1951" s="16"/>
      <c r="F1951" s="18"/>
      <c r="G1951" s="19"/>
      <c r="H1951" s="18"/>
      <c r="I1951" s="19"/>
    </row>
    <row r="1952" outlineLevel="1">
      <c r="A1952" s="9" t="s">
        <v>402</v>
      </c>
      <c r="B1952" s="9" t="s">
        <v>2193</v>
      </c>
      <c r="C1952" s="12" t="s">
        <v>46</v>
      </c>
      <c r="D1952" s="14" t="s">
        <v>2033</v>
      </c>
      <c r="E1952" s="16"/>
      <c r="F1952" s="8"/>
      <c r="G1952" s="16"/>
      <c r="H1952" s="8"/>
      <c r="I1952" s="16"/>
    </row>
    <row r="1953" outlineLevel="1">
      <c r="A1953" s="9" t="s">
        <v>2194</v>
      </c>
      <c r="B1953" s="9" t="s">
        <v>2195</v>
      </c>
      <c r="C1953" s="12" t="s">
        <v>16</v>
      </c>
      <c r="D1953" s="14" t="s">
        <v>2033</v>
      </c>
      <c r="E1953" s="16"/>
      <c r="F1953" s="18"/>
      <c r="G1953" s="19"/>
      <c r="H1953" s="18"/>
      <c r="I1953" s="19"/>
    </row>
    <row r="1954" outlineLevel="1">
      <c r="A1954" s="9" t="s">
        <v>2196</v>
      </c>
      <c r="B1954" s="9" t="s">
        <v>102</v>
      </c>
      <c r="C1954" s="12" t="s">
        <v>70</v>
      </c>
      <c r="D1954" s="14" t="s">
        <v>2033</v>
      </c>
      <c r="E1954" s="16"/>
      <c r="F1954" s="8"/>
      <c r="G1954" s="16"/>
      <c r="H1954" s="8"/>
      <c r="I1954" s="16"/>
    </row>
    <row r="1955" outlineLevel="1">
      <c r="A1955" s="18" t="s">
        <v>1264</v>
      </c>
      <c r="B1955" s="9" t="s">
        <v>269</v>
      </c>
      <c r="C1955" s="12" t="s">
        <v>80</v>
      </c>
      <c r="D1955" s="14" t="s">
        <v>2033</v>
      </c>
      <c r="E1955" s="16"/>
      <c r="F1955" s="8"/>
      <c r="G1955" s="16"/>
      <c r="H1955" s="8"/>
      <c r="I1955" s="16"/>
    </row>
    <row r="1956" outlineLevel="1">
      <c r="A1956" s="9" t="s">
        <v>1264</v>
      </c>
      <c r="B1956" s="18" t="s">
        <v>2197</v>
      </c>
      <c r="C1956" s="19" t="s">
        <v>70</v>
      </c>
      <c r="D1956" s="14" t="s">
        <v>2033</v>
      </c>
      <c r="E1956" s="16"/>
      <c r="F1956" s="8"/>
      <c r="G1956" s="16"/>
      <c r="H1956" s="8"/>
      <c r="I1956" s="16"/>
    </row>
    <row r="1957" outlineLevel="1">
      <c r="A1957" s="9" t="s">
        <v>1264</v>
      </c>
      <c r="B1957" s="9" t="s">
        <v>2198</v>
      </c>
      <c r="C1957" s="12" t="s">
        <v>80</v>
      </c>
      <c r="D1957" s="14" t="s">
        <v>2033</v>
      </c>
      <c r="E1957" s="16"/>
      <c r="F1957" s="8"/>
      <c r="G1957" s="16"/>
      <c r="H1957" s="8"/>
      <c r="I1957" s="16"/>
    </row>
    <row r="1958" outlineLevel="1">
      <c r="A1958" s="9" t="s">
        <v>2199</v>
      </c>
      <c r="B1958" s="9" t="s">
        <v>67</v>
      </c>
      <c r="C1958" s="12" t="s">
        <v>70</v>
      </c>
      <c r="D1958" s="14" t="s">
        <v>2033</v>
      </c>
      <c r="E1958" s="16"/>
      <c r="F1958" s="8"/>
      <c r="G1958" s="16"/>
      <c r="H1958" s="8"/>
      <c r="I1958" s="16"/>
    </row>
    <row r="1959" outlineLevel="1">
      <c r="A1959" s="9" t="s">
        <v>1036</v>
      </c>
      <c r="B1959" s="9" t="s">
        <v>67</v>
      </c>
      <c r="C1959" s="12" t="s">
        <v>93</v>
      </c>
      <c r="D1959" s="14" t="s">
        <v>2033</v>
      </c>
      <c r="E1959" s="16"/>
      <c r="F1959" s="8"/>
      <c r="G1959" s="16"/>
      <c r="H1959" s="8"/>
      <c r="I1959" s="16"/>
    </row>
    <row r="1960" outlineLevel="1">
      <c r="A1960" s="9" t="s">
        <v>220</v>
      </c>
      <c r="B1960" s="9" t="s">
        <v>2200</v>
      </c>
      <c r="C1960" s="12" t="s">
        <v>75</v>
      </c>
      <c r="D1960" s="14" t="s">
        <v>2033</v>
      </c>
      <c r="E1960" s="16"/>
      <c r="F1960" s="8"/>
      <c r="G1960" s="16"/>
      <c r="H1960" s="8"/>
      <c r="I1960" s="16"/>
    </row>
    <row r="1961" outlineLevel="1">
      <c r="A1961" s="9" t="s">
        <v>2201</v>
      </c>
      <c r="B1961" s="9" t="s">
        <v>2202</v>
      </c>
      <c r="C1961" s="12" t="s">
        <v>80</v>
      </c>
      <c r="D1961" s="14" t="s">
        <v>2033</v>
      </c>
      <c r="E1961" s="16"/>
      <c r="F1961" s="8"/>
      <c r="G1961" s="16"/>
      <c r="H1961" s="8"/>
      <c r="I1961" s="16"/>
    </row>
    <row r="1962" outlineLevel="1">
      <c r="A1962" s="9" t="s">
        <v>2203</v>
      </c>
      <c r="B1962" s="9" t="s">
        <v>2204</v>
      </c>
      <c r="C1962" s="12" t="s">
        <v>149</v>
      </c>
      <c r="D1962" s="14" t="s">
        <v>2033</v>
      </c>
      <c r="E1962" s="16"/>
      <c r="F1962" s="8"/>
      <c r="G1962" s="16"/>
      <c r="H1962" s="8"/>
      <c r="I1962" s="16"/>
    </row>
    <row r="1963" outlineLevel="1">
      <c r="A1963" s="9" t="s">
        <v>2205</v>
      </c>
      <c r="B1963" s="9" t="s">
        <v>506</v>
      </c>
      <c r="C1963" s="12" t="s">
        <v>24</v>
      </c>
      <c r="D1963" s="14" t="s">
        <v>2033</v>
      </c>
      <c r="E1963" s="16"/>
      <c r="F1963" s="8"/>
      <c r="G1963" s="16"/>
      <c r="H1963" s="8"/>
      <c r="I1963" s="16"/>
    </row>
    <row r="1964" outlineLevel="1">
      <c r="A1964" s="9" t="s">
        <v>2206</v>
      </c>
      <c r="B1964" s="9" t="s">
        <v>1528</v>
      </c>
      <c r="C1964" s="12" t="s">
        <v>149</v>
      </c>
      <c r="D1964" s="14" t="s">
        <v>2033</v>
      </c>
      <c r="E1964" s="16"/>
      <c r="F1964" s="8"/>
      <c r="G1964" s="16"/>
      <c r="H1964" s="8"/>
      <c r="I1964" s="16"/>
    </row>
    <row r="1965" outlineLevel="1">
      <c r="A1965" s="9" t="s">
        <v>2207</v>
      </c>
      <c r="B1965" s="9" t="s">
        <v>1473</v>
      </c>
      <c r="C1965" s="12" t="s">
        <v>122</v>
      </c>
      <c r="D1965" s="14" t="s">
        <v>2033</v>
      </c>
      <c r="E1965" s="16"/>
      <c r="F1965" s="8"/>
      <c r="G1965" s="16"/>
      <c r="H1965" s="8"/>
      <c r="I1965" s="16"/>
    </row>
    <row r="1966" outlineLevel="1">
      <c r="A1966" s="9" t="s">
        <v>2208</v>
      </c>
      <c r="B1966" s="9" t="s">
        <v>399</v>
      </c>
      <c r="C1966" s="12" t="s">
        <v>186</v>
      </c>
      <c r="D1966" s="14" t="s">
        <v>2033</v>
      </c>
      <c r="E1966" s="16"/>
      <c r="F1966" s="8"/>
      <c r="G1966" s="16"/>
      <c r="H1966" s="8"/>
      <c r="I1966" s="16"/>
    </row>
    <row r="1967" outlineLevel="1">
      <c r="A1967" s="18" t="s">
        <v>2209</v>
      </c>
      <c r="B1967" s="9" t="s">
        <v>157</v>
      </c>
      <c r="C1967" s="12" t="s">
        <v>149</v>
      </c>
      <c r="D1967" s="14" t="s">
        <v>2033</v>
      </c>
      <c r="E1967" s="16"/>
      <c r="F1967" s="8"/>
      <c r="G1967" s="16"/>
      <c r="H1967" s="8"/>
      <c r="I1967" s="16"/>
    </row>
    <row r="1968" outlineLevel="1">
      <c r="A1968" s="9" t="s">
        <v>2210</v>
      </c>
      <c r="B1968" s="18" t="s">
        <v>2211</v>
      </c>
      <c r="C1968" s="19" t="s">
        <v>93</v>
      </c>
      <c r="D1968" s="14" t="s">
        <v>2033</v>
      </c>
      <c r="E1968" s="16"/>
      <c r="F1968" s="8"/>
      <c r="G1968" s="16"/>
      <c r="H1968" s="8"/>
      <c r="I1968" s="16"/>
    </row>
    <row r="1969" outlineLevel="1">
      <c r="A1969" s="9" t="s">
        <v>1276</v>
      </c>
      <c r="B1969" s="9" t="s">
        <v>121</v>
      </c>
      <c r="C1969" s="12" t="s">
        <v>149</v>
      </c>
      <c r="D1969" s="14" t="s">
        <v>2033</v>
      </c>
      <c r="E1969" s="16"/>
      <c r="F1969" s="8"/>
      <c r="G1969" s="16"/>
      <c r="H1969" s="8"/>
      <c r="I1969" s="16"/>
    </row>
    <row r="1970" outlineLevel="1">
      <c r="A1970" s="9" t="s">
        <v>1276</v>
      </c>
      <c r="B1970" s="9" t="s">
        <v>759</v>
      </c>
      <c r="C1970" s="12" t="s">
        <v>80</v>
      </c>
      <c r="D1970" s="14" t="s">
        <v>2033</v>
      </c>
      <c r="E1970" s="16"/>
      <c r="F1970" s="18"/>
      <c r="G1970" s="19"/>
      <c r="H1970" s="18"/>
      <c r="I1970" s="19"/>
    </row>
    <row r="1971" outlineLevel="1">
      <c r="A1971" s="9" t="s">
        <v>2069</v>
      </c>
      <c r="B1971" s="9" t="s">
        <v>2212</v>
      </c>
      <c r="C1971" s="12" t="s">
        <v>149</v>
      </c>
      <c r="D1971" s="14" t="s">
        <v>2033</v>
      </c>
      <c r="E1971" s="16"/>
      <c r="F1971" s="8"/>
      <c r="G1971" s="16"/>
      <c r="H1971" s="8"/>
      <c r="I1971" s="16"/>
    </row>
    <row r="1972" outlineLevel="1">
      <c r="A1972" s="9" t="s">
        <v>2213</v>
      </c>
      <c r="B1972" s="9" t="s">
        <v>2214</v>
      </c>
      <c r="C1972" s="12" t="s">
        <v>192</v>
      </c>
      <c r="D1972" s="14" t="s">
        <v>2033</v>
      </c>
      <c r="E1972" s="16"/>
      <c r="F1972" s="8"/>
      <c r="G1972" s="16"/>
      <c r="H1972" s="8"/>
      <c r="I1972" s="16"/>
    </row>
    <row r="1973" outlineLevel="1">
      <c r="A1973" s="9" t="s">
        <v>1280</v>
      </c>
      <c r="B1973" s="9" t="s">
        <v>1749</v>
      </c>
      <c r="C1973" s="12" t="s">
        <v>70</v>
      </c>
      <c r="D1973" s="14" t="s">
        <v>2033</v>
      </c>
      <c r="E1973" s="16"/>
      <c r="F1973" s="8"/>
      <c r="G1973" s="16"/>
      <c r="H1973" s="8"/>
      <c r="I1973" s="16"/>
    </row>
    <row r="1974" outlineLevel="1">
      <c r="A1974" s="9" t="s">
        <v>2215</v>
      </c>
      <c r="B1974" s="9" t="s">
        <v>2216</v>
      </c>
      <c r="C1974" s="12" t="s">
        <v>70</v>
      </c>
      <c r="D1974" s="14" t="s">
        <v>2033</v>
      </c>
      <c r="E1974" s="16"/>
      <c r="F1974" s="8"/>
      <c r="G1974" s="16"/>
      <c r="H1974" s="8"/>
      <c r="I1974" s="16"/>
    </row>
    <row r="1975" outlineLevel="1">
      <c r="A1975" s="9" t="s">
        <v>2217</v>
      </c>
      <c r="B1975" s="9" t="s">
        <v>1445</v>
      </c>
      <c r="C1975" s="12" t="s">
        <v>65</v>
      </c>
      <c r="D1975" s="14" t="s">
        <v>2033</v>
      </c>
      <c r="E1975" s="16"/>
      <c r="F1975" s="8"/>
      <c r="G1975" s="16"/>
      <c r="H1975" s="8"/>
      <c r="I1975" s="16"/>
    </row>
    <row r="1976" outlineLevel="1">
      <c r="A1976" s="9" t="s">
        <v>1005</v>
      </c>
      <c r="B1976" s="9" t="s">
        <v>407</v>
      </c>
      <c r="C1976" s="12" t="s">
        <v>65</v>
      </c>
      <c r="D1976" s="14" t="s">
        <v>2033</v>
      </c>
      <c r="E1976" s="16"/>
      <c r="F1976" s="8"/>
      <c r="G1976" s="16"/>
      <c r="H1976" s="8"/>
      <c r="I1976" s="16"/>
    </row>
    <row r="1977" outlineLevel="1">
      <c r="A1977" s="9" t="s">
        <v>1005</v>
      </c>
      <c r="B1977" s="9" t="s">
        <v>377</v>
      </c>
      <c r="C1977" s="12" t="s">
        <v>122</v>
      </c>
      <c r="D1977" s="14" t="s">
        <v>2033</v>
      </c>
      <c r="E1977" s="16"/>
      <c r="F1977" s="8"/>
      <c r="G1977" s="16"/>
      <c r="H1977" s="8"/>
      <c r="I1977" s="16"/>
    </row>
    <row r="1978" outlineLevel="1">
      <c r="A1978" s="9" t="s">
        <v>1005</v>
      </c>
      <c r="B1978" s="9" t="s">
        <v>800</v>
      </c>
      <c r="C1978" s="12" t="s">
        <v>93</v>
      </c>
      <c r="D1978" s="14" t="s">
        <v>2033</v>
      </c>
      <c r="E1978" s="16"/>
      <c r="F1978" s="8"/>
      <c r="G1978" s="16"/>
      <c r="H1978" s="8"/>
      <c r="I1978" s="16"/>
    </row>
    <row r="1979" outlineLevel="1">
      <c r="A1979" s="9" t="s">
        <v>2218</v>
      </c>
      <c r="B1979" s="9" t="s">
        <v>2219</v>
      </c>
      <c r="C1979" s="12" t="s">
        <v>12</v>
      </c>
      <c r="D1979" s="14" t="s">
        <v>2033</v>
      </c>
      <c r="E1979" s="16"/>
      <c r="F1979" s="8"/>
      <c r="G1979" s="16"/>
      <c r="H1979" s="8"/>
      <c r="I1979" s="16"/>
    </row>
    <row r="1980" outlineLevel="1">
      <c r="A1980" s="9" t="s">
        <v>2220</v>
      </c>
      <c r="B1980" s="9" t="s">
        <v>121</v>
      </c>
      <c r="C1980" s="12" t="s">
        <v>65</v>
      </c>
      <c r="D1980" s="14" t="s">
        <v>2033</v>
      </c>
      <c r="E1980" s="16"/>
      <c r="F1980" s="8"/>
      <c r="G1980" s="16"/>
      <c r="H1980" s="8"/>
      <c r="I1980" s="16"/>
    </row>
    <row r="1981" outlineLevel="1">
      <c r="A1981" s="9" t="s">
        <v>2221</v>
      </c>
      <c r="B1981" s="9" t="s">
        <v>2222</v>
      </c>
      <c r="C1981" s="12" t="s">
        <v>186</v>
      </c>
      <c r="D1981" s="14" t="s">
        <v>2033</v>
      </c>
      <c r="E1981" s="16"/>
      <c r="F1981" s="8"/>
      <c r="G1981" s="16"/>
      <c r="H1981" s="8"/>
      <c r="I1981" s="16"/>
    </row>
    <row r="1982" outlineLevel="1">
      <c r="A1982" s="9" t="s">
        <v>2223</v>
      </c>
      <c r="B1982" s="9" t="s">
        <v>464</v>
      </c>
      <c r="C1982" s="12" t="s">
        <v>65</v>
      </c>
      <c r="D1982" s="14" t="s">
        <v>2033</v>
      </c>
      <c r="E1982" s="16"/>
      <c r="F1982" s="8"/>
      <c r="G1982" s="16"/>
      <c r="H1982" s="8"/>
      <c r="I1982" s="16"/>
    </row>
    <row r="1983" outlineLevel="1">
      <c r="A1983" s="9" t="s">
        <v>594</v>
      </c>
      <c r="B1983" s="9" t="s">
        <v>865</v>
      </c>
      <c r="C1983" s="12" t="s">
        <v>65</v>
      </c>
      <c r="D1983" s="14" t="s">
        <v>2033</v>
      </c>
      <c r="E1983" s="16"/>
      <c r="F1983" s="8"/>
      <c r="G1983" s="16"/>
      <c r="H1983" s="8"/>
      <c r="I1983" s="16"/>
    </row>
    <row r="1984" outlineLevel="1">
      <c r="A1984" s="9" t="s">
        <v>2224</v>
      </c>
      <c r="B1984" s="9" t="s">
        <v>69</v>
      </c>
      <c r="C1984" s="12" t="s">
        <v>75</v>
      </c>
      <c r="D1984" s="14" t="s">
        <v>2033</v>
      </c>
      <c r="E1984" s="16"/>
      <c r="F1984" s="8"/>
      <c r="G1984" s="16"/>
      <c r="H1984" s="8"/>
      <c r="I1984" s="16"/>
    </row>
    <row r="1985" outlineLevel="1">
      <c r="A1985" s="9" t="s">
        <v>2225</v>
      </c>
      <c r="B1985" s="9" t="s">
        <v>822</v>
      </c>
      <c r="C1985" s="12" t="s">
        <v>192</v>
      </c>
      <c r="D1985" s="14" t="s">
        <v>2033</v>
      </c>
      <c r="E1985" s="16"/>
      <c r="F1985" s="8"/>
      <c r="G1985" s="16"/>
      <c r="H1985" s="8"/>
      <c r="I1985" s="16"/>
    </row>
    <row r="1986" outlineLevel="1">
      <c r="A1986" s="18" t="s">
        <v>2226</v>
      </c>
      <c r="B1986" s="9" t="s">
        <v>521</v>
      </c>
      <c r="C1986" s="12" t="s">
        <v>80</v>
      </c>
      <c r="D1986" s="14" t="s">
        <v>2033</v>
      </c>
      <c r="E1986" s="16"/>
      <c r="F1986" s="8"/>
      <c r="G1986" s="16"/>
      <c r="H1986" s="8"/>
      <c r="I1986" s="16"/>
    </row>
    <row r="1987" outlineLevel="1">
      <c r="A1987" s="9" t="s">
        <v>786</v>
      </c>
      <c r="B1987" s="18" t="s">
        <v>1046</v>
      </c>
      <c r="C1987" s="19" t="s">
        <v>149</v>
      </c>
      <c r="D1987" s="14" t="s">
        <v>2033</v>
      </c>
      <c r="E1987" s="16"/>
      <c r="F1987" s="8"/>
      <c r="G1987" s="16"/>
      <c r="H1987" s="8"/>
      <c r="I1987" s="16"/>
    </row>
    <row r="1988" outlineLevel="1">
      <c r="A1988" s="9" t="s">
        <v>1955</v>
      </c>
      <c r="B1988" s="9" t="s">
        <v>421</v>
      </c>
      <c r="C1988" s="12" t="s">
        <v>65</v>
      </c>
      <c r="D1988" s="14" t="s">
        <v>2033</v>
      </c>
      <c r="E1988" s="16"/>
      <c r="F1988" s="8"/>
      <c r="G1988" s="16"/>
      <c r="H1988" s="8"/>
      <c r="I1988" s="16"/>
    </row>
    <row r="1989" outlineLevel="1">
      <c r="A1989" s="9" t="s">
        <v>308</v>
      </c>
      <c r="B1989" s="9" t="s">
        <v>407</v>
      </c>
      <c r="C1989" s="12" t="s">
        <v>46</v>
      </c>
      <c r="D1989" s="14" t="s">
        <v>2033</v>
      </c>
      <c r="E1989" s="16"/>
      <c r="F1989" s="8"/>
      <c r="G1989" s="16"/>
      <c r="H1989" s="8"/>
      <c r="I1989" s="16"/>
    </row>
    <row r="1990" outlineLevel="1">
      <c r="A1990" s="9" t="s">
        <v>597</v>
      </c>
      <c r="B1990" s="9" t="s">
        <v>23</v>
      </c>
      <c r="C1990" s="12" t="s">
        <v>65</v>
      </c>
      <c r="D1990" s="14" t="s">
        <v>2033</v>
      </c>
      <c r="E1990" s="16"/>
      <c r="F1990" s="8"/>
      <c r="G1990" s="16"/>
      <c r="H1990" s="8"/>
      <c r="I1990" s="16"/>
    </row>
    <row r="1991" outlineLevel="1">
      <c r="A1991" s="9" t="s">
        <v>409</v>
      </c>
      <c r="B1991" s="9" t="s">
        <v>2227</v>
      </c>
      <c r="C1991" s="12" t="s">
        <v>122</v>
      </c>
      <c r="D1991" s="14" t="s">
        <v>2033</v>
      </c>
      <c r="E1991" s="16"/>
      <c r="F1991" s="8"/>
      <c r="G1991" s="16"/>
      <c r="H1991" s="8"/>
      <c r="I1991" s="16"/>
    </row>
    <row r="1992" outlineLevel="1">
      <c r="A1992" s="9" t="s">
        <v>41</v>
      </c>
      <c r="B1992" s="9" t="s">
        <v>726</v>
      </c>
      <c r="C1992" s="12" t="s">
        <v>186</v>
      </c>
      <c r="D1992" s="14" t="s">
        <v>2033</v>
      </c>
      <c r="E1992" s="16"/>
      <c r="F1992" s="8"/>
      <c r="G1992" s="16"/>
      <c r="H1992" s="8"/>
      <c r="I1992" s="16"/>
    </row>
    <row r="1993" outlineLevel="1">
      <c r="A1993" s="9" t="s">
        <v>2228</v>
      </c>
      <c r="B1993" s="9" t="s">
        <v>20</v>
      </c>
      <c r="C1993" s="12" t="s">
        <v>24</v>
      </c>
      <c r="D1993" s="14" t="s">
        <v>2033</v>
      </c>
      <c r="E1993" s="16"/>
      <c r="F1993" s="8"/>
      <c r="G1993" s="16"/>
      <c r="H1993" s="8"/>
      <c r="I1993" s="16"/>
    </row>
    <row r="1994" outlineLevel="1">
      <c r="A1994" s="9" t="s">
        <v>2229</v>
      </c>
      <c r="B1994" s="9" t="s">
        <v>1015</v>
      </c>
      <c r="C1994" s="12" t="s">
        <v>65</v>
      </c>
      <c r="D1994" s="14" t="s">
        <v>2033</v>
      </c>
      <c r="E1994" s="16"/>
      <c r="F1994" s="8"/>
      <c r="G1994" s="16"/>
      <c r="H1994" s="8"/>
      <c r="I1994" s="16"/>
    </row>
    <row r="1995" outlineLevel="1">
      <c r="A1995" s="9" t="s">
        <v>2229</v>
      </c>
      <c r="B1995" s="9" t="s">
        <v>2230</v>
      </c>
      <c r="C1995" s="12" t="s">
        <v>65</v>
      </c>
      <c r="D1995" s="14" t="s">
        <v>2033</v>
      </c>
      <c r="E1995" s="16"/>
      <c r="F1995" s="8"/>
      <c r="G1995" s="16"/>
      <c r="H1995" s="8"/>
      <c r="I1995" s="16"/>
    </row>
    <row r="1996" outlineLevel="1">
      <c r="A1996" s="9" t="s">
        <v>2231</v>
      </c>
      <c r="B1996" s="9" t="s">
        <v>1051</v>
      </c>
      <c r="C1996" s="12" t="s">
        <v>70</v>
      </c>
      <c r="D1996" s="14" t="s">
        <v>2033</v>
      </c>
      <c r="E1996" s="16"/>
      <c r="F1996" s="8"/>
      <c r="G1996" s="16"/>
      <c r="H1996" s="8"/>
      <c r="I1996" s="16"/>
    </row>
    <row r="1997" outlineLevel="1">
      <c r="A1997" s="9" t="s">
        <v>225</v>
      </c>
      <c r="B1997" s="9" t="s">
        <v>45</v>
      </c>
      <c r="C1997" s="12" t="s">
        <v>12</v>
      </c>
      <c r="D1997" s="14" t="s">
        <v>2033</v>
      </c>
      <c r="E1997" s="16"/>
      <c r="F1997" s="8"/>
      <c r="G1997" s="16"/>
      <c r="H1997" s="8"/>
      <c r="I1997" s="16"/>
    </row>
    <row r="1998" outlineLevel="1">
      <c r="A1998" s="9" t="s">
        <v>2232</v>
      </c>
      <c r="B1998" s="9" t="s">
        <v>2233</v>
      </c>
      <c r="C1998" s="12" t="s">
        <v>122</v>
      </c>
      <c r="D1998" s="14" t="s">
        <v>2033</v>
      </c>
      <c r="E1998" s="16"/>
      <c r="F1998" s="8"/>
      <c r="G1998" s="16"/>
      <c r="H1998" s="8"/>
      <c r="I1998" s="16"/>
    </row>
    <row r="1999" outlineLevel="1">
      <c r="A1999" s="9" t="s">
        <v>2234</v>
      </c>
      <c r="B1999" s="9" t="s">
        <v>494</v>
      </c>
      <c r="C1999" s="12" t="s">
        <v>122</v>
      </c>
      <c r="D1999" s="14" t="s">
        <v>2033</v>
      </c>
      <c r="E1999" s="16"/>
      <c r="F1999" s="8"/>
      <c r="G1999" s="16"/>
      <c r="H1999" s="8"/>
      <c r="I1999" s="16"/>
    </row>
    <row r="2000" outlineLevel="1">
      <c r="A2000" s="9" t="s">
        <v>311</v>
      </c>
      <c r="B2000" s="9" t="s">
        <v>2235</v>
      </c>
      <c r="C2000" s="12" t="s">
        <v>186</v>
      </c>
      <c r="D2000" s="14" t="s">
        <v>2033</v>
      </c>
      <c r="E2000" s="16"/>
      <c r="F2000" s="8"/>
      <c r="G2000" s="16"/>
      <c r="H2000" s="8"/>
      <c r="I2000" s="16"/>
    </row>
    <row r="2001" outlineLevel="1">
      <c r="A2001" s="9" t="s">
        <v>1307</v>
      </c>
      <c r="B2001" s="9" t="s">
        <v>263</v>
      </c>
      <c r="C2001" s="12" t="s">
        <v>70</v>
      </c>
      <c r="D2001" s="14" t="s">
        <v>2033</v>
      </c>
      <c r="E2001" s="16"/>
      <c r="F2001" s="8"/>
      <c r="G2001" s="16"/>
      <c r="H2001" s="8"/>
      <c r="I2001" s="16"/>
    </row>
    <row r="2002" outlineLevel="1">
      <c r="A2002" s="9" t="s">
        <v>2236</v>
      </c>
      <c r="B2002" s="9" t="s">
        <v>922</v>
      </c>
      <c r="C2002" s="12" t="s">
        <v>46</v>
      </c>
      <c r="D2002" s="14" t="s">
        <v>2033</v>
      </c>
      <c r="E2002" s="16"/>
      <c r="F2002" s="8"/>
      <c r="G2002" s="16"/>
      <c r="H2002" s="8"/>
      <c r="I2002" s="16"/>
    </row>
    <row r="2003" outlineLevel="1">
      <c r="A2003" s="9" t="s">
        <v>2237</v>
      </c>
      <c r="B2003" s="9" t="s">
        <v>464</v>
      </c>
      <c r="C2003" s="12" t="s">
        <v>75</v>
      </c>
      <c r="D2003" s="14" t="s">
        <v>2033</v>
      </c>
      <c r="E2003" s="16"/>
      <c r="F2003" s="8"/>
      <c r="G2003" s="16"/>
      <c r="H2003" s="8"/>
      <c r="I2003" s="16"/>
    </row>
    <row r="2004" outlineLevel="1">
      <c r="A2004" s="9" t="s">
        <v>2238</v>
      </c>
      <c r="B2004" s="9" t="s">
        <v>258</v>
      </c>
      <c r="C2004" s="12" t="s">
        <v>24</v>
      </c>
      <c r="D2004" s="14" t="s">
        <v>2033</v>
      </c>
      <c r="E2004" s="16"/>
      <c r="F2004" s="8"/>
      <c r="G2004" s="16"/>
      <c r="H2004" s="8"/>
      <c r="I2004" s="16"/>
    </row>
    <row r="2005" outlineLevel="1">
      <c r="A2005" s="9" t="s">
        <v>1031</v>
      </c>
      <c r="B2005" s="9" t="s">
        <v>2239</v>
      </c>
      <c r="C2005" s="12" t="s">
        <v>122</v>
      </c>
      <c r="D2005" s="14" t="s">
        <v>2033</v>
      </c>
      <c r="E2005" s="16"/>
      <c r="F2005" s="8"/>
      <c r="G2005" s="16"/>
      <c r="H2005" s="8"/>
      <c r="I2005" s="16"/>
    </row>
    <row r="2006" outlineLevel="1">
      <c r="A2006" s="9" t="s">
        <v>1969</v>
      </c>
      <c r="B2006" s="9" t="s">
        <v>506</v>
      </c>
      <c r="C2006" s="12" t="s">
        <v>46</v>
      </c>
      <c r="D2006" s="14" t="s">
        <v>2033</v>
      </c>
      <c r="E2006" s="16"/>
      <c r="F2006" s="8"/>
      <c r="G2006" s="16"/>
      <c r="H2006" s="8"/>
      <c r="I2006" s="16"/>
    </row>
    <row r="2007" outlineLevel="1">
      <c r="A2007" s="9" t="s">
        <v>2240</v>
      </c>
      <c r="B2007" s="9" t="s">
        <v>1251</v>
      </c>
      <c r="C2007" s="12" t="s">
        <v>215</v>
      </c>
      <c r="D2007" s="14" t="s">
        <v>2033</v>
      </c>
      <c r="E2007" s="16"/>
      <c r="F2007" s="18"/>
      <c r="G2007" s="19"/>
      <c r="H2007" s="18"/>
      <c r="I2007" s="19"/>
    </row>
    <row r="2008" outlineLevel="1">
      <c r="A2008" s="9" t="s">
        <v>2241</v>
      </c>
      <c r="B2008" s="9" t="s">
        <v>961</v>
      </c>
      <c r="C2008" s="12" t="s">
        <v>93</v>
      </c>
      <c r="D2008" s="14" t="s">
        <v>2033</v>
      </c>
      <c r="E2008" s="16"/>
      <c r="F2008" s="8"/>
      <c r="G2008" s="16"/>
      <c r="H2008" s="8"/>
      <c r="I2008" s="16"/>
    </row>
    <row r="2009" outlineLevel="1">
      <c r="A2009" s="9" t="s">
        <v>2242</v>
      </c>
      <c r="B2009" s="9" t="s">
        <v>334</v>
      </c>
      <c r="C2009" s="12" t="s">
        <v>65</v>
      </c>
      <c r="D2009" s="14" t="s">
        <v>2033</v>
      </c>
      <c r="E2009" s="16"/>
      <c r="F2009" s="8"/>
      <c r="G2009" s="16"/>
      <c r="H2009" s="8"/>
      <c r="I2009" s="16"/>
    </row>
    <row r="2010" outlineLevel="1">
      <c r="A2010" s="9" t="s">
        <v>2243</v>
      </c>
      <c r="B2010" s="9" t="s">
        <v>480</v>
      </c>
      <c r="C2010" s="12" t="s">
        <v>138</v>
      </c>
      <c r="D2010" s="14" t="s">
        <v>2033</v>
      </c>
      <c r="E2010" s="16"/>
      <c r="F2010" s="18"/>
      <c r="G2010" s="19"/>
      <c r="H2010" s="18"/>
      <c r="I2010" s="19"/>
    </row>
    <row r="2011" outlineLevel="1">
      <c r="A2011" s="9" t="s">
        <v>2244</v>
      </c>
      <c r="B2011" s="9" t="s">
        <v>506</v>
      </c>
      <c r="C2011" s="12" t="s">
        <v>65</v>
      </c>
      <c r="D2011" s="14" t="s">
        <v>2033</v>
      </c>
      <c r="E2011" s="16"/>
      <c r="F2011" s="8"/>
      <c r="G2011" s="16"/>
      <c r="H2011" s="8"/>
      <c r="I2011" s="16"/>
    </row>
    <row r="2012" outlineLevel="1">
      <c r="A2012" s="9" t="s">
        <v>99</v>
      </c>
      <c r="B2012" s="9" t="s">
        <v>2245</v>
      </c>
      <c r="C2012" s="12" t="s">
        <v>70</v>
      </c>
      <c r="D2012" s="14" t="s">
        <v>2033</v>
      </c>
      <c r="E2012" s="16"/>
      <c r="F2012" s="8"/>
      <c r="G2012" s="16"/>
      <c r="H2012" s="8"/>
      <c r="I2012" s="16"/>
    </row>
    <row r="2013" outlineLevel="1">
      <c r="A2013" s="9" t="s">
        <v>99</v>
      </c>
      <c r="B2013" s="9" t="s">
        <v>1379</v>
      </c>
      <c r="C2013" s="12" t="s">
        <v>149</v>
      </c>
      <c r="D2013" s="14" t="s">
        <v>2033</v>
      </c>
      <c r="E2013" s="16"/>
      <c r="F2013" s="8"/>
      <c r="G2013" s="16"/>
      <c r="H2013" s="8"/>
      <c r="I2013" s="16"/>
    </row>
    <row r="2014" outlineLevel="1">
      <c r="A2014" s="9" t="s">
        <v>2246</v>
      </c>
      <c r="B2014" s="9" t="s">
        <v>275</v>
      </c>
      <c r="C2014" s="12" t="s">
        <v>138</v>
      </c>
      <c r="D2014" s="14" t="s">
        <v>2033</v>
      </c>
      <c r="E2014" s="16"/>
      <c r="F2014" s="8"/>
      <c r="G2014" s="16"/>
      <c r="H2014" s="8"/>
      <c r="I2014" s="16"/>
    </row>
    <row r="2015" outlineLevel="1">
      <c r="A2015" s="9" t="s">
        <v>99</v>
      </c>
      <c r="B2015" s="9" t="s">
        <v>129</v>
      </c>
      <c r="C2015" s="12" t="s">
        <v>149</v>
      </c>
      <c r="D2015" s="14" t="s">
        <v>2033</v>
      </c>
      <c r="E2015" s="16"/>
      <c r="F2015" s="8"/>
      <c r="G2015" s="16"/>
      <c r="H2015" s="8"/>
      <c r="I2015" s="16"/>
    </row>
    <row r="2016" outlineLevel="1">
      <c r="A2016" s="9" t="s">
        <v>1619</v>
      </c>
      <c r="B2016" s="9" t="s">
        <v>407</v>
      </c>
      <c r="C2016" s="12" t="s">
        <v>65</v>
      </c>
      <c r="D2016" s="14" t="s">
        <v>2033</v>
      </c>
      <c r="E2016" s="16"/>
      <c r="F2016" s="8"/>
      <c r="G2016" s="16"/>
      <c r="H2016" s="8"/>
      <c r="I2016" s="16"/>
    </row>
    <row r="2017" outlineLevel="1">
      <c r="A2017" s="9" t="s">
        <v>99</v>
      </c>
      <c r="B2017" s="9" t="s">
        <v>1984</v>
      </c>
      <c r="C2017" s="12" t="s">
        <v>59</v>
      </c>
      <c r="D2017" s="14" t="s">
        <v>2033</v>
      </c>
      <c r="E2017" s="16"/>
      <c r="F2017" s="8"/>
      <c r="G2017" s="16"/>
      <c r="H2017" s="8"/>
      <c r="I2017" s="16"/>
    </row>
    <row r="2018" outlineLevel="1">
      <c r="A2018" s="9" t="s">
        <v>99</v>
      </c>
      <c r="B2018" s="9" t="s">
        <v>2247</v>
      </c>
      <c r="C2018" s="12" t="s">
        <v>93</v>
      </c>
      <c r="D2018" s="14" t="s">
        <v>2033</v>
      </c>
      <c r="E2018" s="16"/>
      <c r="F2018" s="8"/>
      <c r="G2018" s="16"/>
      <c r="H2018" s="8"/>
      <c r="I2018" s="16"/>
    </row>
    <row r="2019" outlineLevel="1">
      <c r="A2019" s="18" t="s">
        <v>99</v>
      </c>
      <c r="B2019" s="9" t="s">
        <v>2248</v>
      </c>
      <c r="C2019" s="12" t="s">
        <v>65</v>
      </c>
      <c r="D2019" s="14" t="s">
        <v>2033</v>
      </c>
      <c r="E2019" s="16"/>
      <c r="F2019" s="8"/>
      <c r="G2019" s="16"/>
      <c r="H2019" s="8"/>
      <c r="I2019" s="16"/>
    </row>
    <row r="2020" outlineLevel="1">
      <c r="A2020" s="9" t="s">
        <v>99</v>
      </c>
      <c r="B2020" s="18" t="s">
        <v>2249</v>
      </c>
      <c r="C2020" s="19" t="s">
        <v>65</v>
      </c>
      <c r="D2020" s="14" t="s">
        <v>2033</v>
      </c>
      <c r="E2020" s="16"/>
      <c r="F2020" s="8"/>
      <c r="G2020" s="16"/>
      <c r="H2020" s="8"/>
      <c r="I2020" s="16"/>
    </row>
    <row r="2021" outlineLevel="1">
      <c r="A2021" s="9" t="s">
        <v>2250</v>
      </c>
      <c r="B2021" s="9" t="s">
        <v>859</v>
      </c>
      <c r="C2021" s="12" t="s">
        <v>215</v>
      </c>
      <c r="D2021" s="14" t="s">
        <v>2033</v>
      </c>
      <c r="E2021" s="16"/>
      <c r="F2021" s="8"/>
      <c r="G2021" s="16"/>
      <c r="H2021" s="8"/>
      <c r="I2021" s="16"/>
    </row>
    <row r="2022" outlineLevel="1">
      <c r="A2022" s="9" t="s">
        <v>2251</v>
      </c>
      <c r="B2022" s="9" t="s">
        <v>337</v>
      </c>
      <c r="C2022" s="12" t="s">
        <v>186</v>
      </c>
      <c r="D2022" s="14" t="s">
        <v>2033</v>
      </c>
      <c r="E2022" s="16"/>
      <c r="F2022" s="8"/>
      <c r="G2022" s="16"/>
      <c r="H2022" s="8"/>
      <c r="I2022" s="16"/>
    </row>
    <row r="2023" outlineLevel="1">
      <c r="A2023" s="9" t="s">
        <v>2252</v>
      </c>
      <c r="B2023" s="9" t="s">
        <v>2253</v>
      </c>
      <c r="C2023" s="12" t="s">
        <v>93</v>
      </c>
      <c r="D2023" s="14" t="s">
        <v>2033</v>
      </c>
      <c r="E2023" s="16"/>
      <c r="F2023" s="8"/>
      <c r="G2023" s="16"/>
      <c r="H2023" s="8"/>
      <c r="I2023" s="16"/>
    </row>
    <row r="2024" outlineLevel="1">
      <c r="A2024" s="18" t="s">
        <v>1625</v>
      </c>
      <c r="B2024" s="9" t="s">
        <v>2254</v>
      </c>
      <c r="C2024" s="12" t="s">
        <v>192</v>
      </c>
      <c r="D2024" s="14" t="s">
        <v>2033</v>
      </c>
      <c r="E2024" s="16"/>
      <c r="F2024" s="8"/>
      <c r="G2024" s="16"/>
      <c r="H2024" s="8"/>
      <c r="I2024" s="16"/>
    </row>
    <row r="2025" outlineLevel="1">
      <c r="A2025" s="9" t="s">
        <v>2255</v>
      </c>
      <c r="B2025" s="18" t="s">
        <v>2256</v>
      </c>
      <c r="C2025" s="19" t="s">
        <v>138</v>
      </c>
      <c r="D2025" s="14" t="s">
        <v>2033</v>
      </c>
      <c r="E2025" s="16"/>
      <c r="F2025" s="8"/>
      <c r="G2025" s="16"/>
      <c r="H2025" s="8"/>
      <c r="I2025" s="16"/>
    </row>
    <row r="2026" outlineLevel="1">
      <c r="A2026" s="9" t="s">
        <v>2257</v>
      </c>
      <c r="B2026" s="9" t="s">
        <v>124</v>
      </c>
      <c r="C2026" s="12" t="s">
        <v>93</v>
      </c>
      <c r="D2026" s="20" t="s">
        <v>459</v>
      </c>
      <c r="E2026" s="16"/>
      <c r="F2026" s="8"/>
      <c r="G2026" s="16"/>
      <c r="H2026" s="8"/>
      <c r="I2026" s="16"/>
    </row>
    <row r="2027" outlineLevel="1">
      <c r="A2027" s="9" t="s">
        <v>1632</v>
      </c>
      <c r="B2027" s="9" t="s">
        <v>2258</v>
      </c>
      <c r="C2027" s="12" t="s">
        <v>93</v>
      </c>
      <c r="D2027" s="14" t="s">
        <v>2033</v>
      </c>
      <c r="E2027" s="16"/>
      <c r="F2027" s="8"/>
      <c r="G2027" s="16"/>
      <c r="H2027" s="8"/>
      <c r="I2027" s="16"/>
    </row>
    <row r="2028" outlineLevel="1">
      <c r="A2028" s="9" t="s">
        <v>1983</v>
      </c>
      <c r="B2028" s="9" t="s">
        <v>170</v>
      </c>
      <c r="C2028" s="12" t="s">
        <v>186</v>
      </c>
      <c r="D2028" s="14" t="s">
        <v>2033</v>
      </c>
      <c r="E2028" s="16"/>
      <c r="F2028" s="8"/>
      <c r="G2028" s="16"/>
      <c r="H2028" s="8"/>
      <c r="I2028" s="16"/>
    </row>
    <row r="2029" outlineLevel="1">
      <c r="A2029" s="9" t="s">
        <v>1984</v>
      </c>
      <c r="B2029" s="9" t="s">
        <v>2259</v>
      </c>
      <c r="C2029" s="12" t="s">
        <v>65</v>
      </c>
      <c r="D2029" s="14" t="s">
        <v>2033</v>
      </c>
      <c r="E2029" s="16"/>
      <c r="F2029" s="8"/>
      <c r="G2029" s="16"/>
      <c r="H2029" s="8"/>
      <c r="I2029" s="16"/>
    </row>
    <row r="2030" outlineLevel="1">
      <c r="A2030" s="9" t="s">
        <v>2260</v>
      </c>
      <c r="B2030" s="9" t="s">
        <v>2261</v>
      </c>
      <c r="C2030" s="12" t="s">
        <v>53</v>
      </c>
      <c r="D2030" s="14" t="s">
        <v>2033</v>
      </c>
      <c r="E2030" s="16"/>
      <c r="F2030" s="8"/>
      <c r="G2030" s="16"/>
      <c r="H2030" s="8"/>
      <c r="I2030" s="16"/>
    </row>
    <row r="2031" outlineLevel="1">
      <c r="A2031" s="9" t="s">
        <v>62</v>
      </c>
      <c r="B2031" s="9" t="s">
        <v>117</v>
      </c>
      <c r="C2031" s="12" t="s">
        <v>215</v>
      </c>
      <c r="D2031" s="14" t="s">
        <v>2033</v>
      </c>
      <c r="E2031" s="16"/>
      <c r="F2031" s="8"/>
      <c r="G2031" s="16"/>
      <c r="H2031" s="8"/>
      <c r="I2031" s="16"/>
    </row>
    <row r="2032" outlineLevel="1">
      <c r="A2032" s="9" t="s">
        <v>2262</v>
      </c>
      <c r="B2032" s="9" t="s">
        <v>2263</v>
      </c>
      <c r="C2032" s="12" t="s">
        <v>80</v>
      </c>
      <c r="D2032" s="14" t="s">
        <v>2033</v>
      </c>
      <c r="E2032" s="16"/>
      <c r="F2032" s="8"/>
      <c r="G2032" s="16"/>
      <c r="H2032" s="8"/>
      <c r="I2032" s="16"/>
    </row>
    <row r="2033" outlineLevel="1">
      <c r="A2033" s="9" t="s">
        <v>62</v>
      </c>
      <c r="B2033" s="9" t="s">
        <v>1312</v>
      </c>
      <c r="C2033" s="12" t="s">
        <v>24</v>
      </c>
      <c r="D2033" s="14" t="s">
        <v>2033</v>
      </c>
      <c r="E2033" s="16"/>
      <c r="F2033" s="8"/>
      <c r="G2033" s="16"/>
      <c r="H2033" s="8"/>
      <c r="I2033" s="16"/>
    </row>
    <row r="2034" outlineLevel="1">
      <c r="A2034" s="9" t="s">
        <v>62</v>
      </c>
      <c r="B2034" s="9" t="s">
        <v>263</v>
      </c>
      <c r="C2034" s="12" t="s">
        <v>24</v>
      </c>
      <c r="D2034" s="14" t="s">
        <v>2033</v>
      </c>
      <c r="E2034" s="16"/>
      <c r="F2034" s="8"/>
      <c r="G2034" s="16"/>
      <c r="H2034" s="8"/>
      <c r="I2034" s="16"/>
    </row>
    <row r="2035" outlineLevel="1">
      <c r="A2035" s="9" t="s">
        <v>62</v>
      </c>
      <c r="B2035" s="9" t="s">
        <v>2264</v>
      </c>
      <c r="C2035" s="12" t="s">
        <v>70</v>
      </c>
      <c r="D2035" s="14" t="s">
        <v>2033</v>
      </c>
      <c r="E2035" s="16"/>
      <c r="F2035" s="8"/>
      <c r="G2035" s="16"/>
      <c r="H2035" s="8"/>
      <c r="I2035" s="16"/>
    </row>
    <row r="2036" outlineLevel="1">
      <c r="A2036" s="9" t="s">
        <v>62</v>
      </c>
      <c r="B2036" s="9" t="s">
        <v>2265</v>
      </c>
      <c r="C2036" s="12" t="s">
        <v>93</v>
      </c>
      <c r="D2036" s="14" t="s">
        <v>2033</v>
      </c>
      <c r="E2036" s="16"/>
      <c r="F2036" s="8"/>
      <c r="G2036" s="16"/>
      <c r="H2036" s="8"/>
      <c r="I2036" s="16"/>
    </row>
    <row r="2037" outlineLevel="1">
      <c r="A2037" s="9" t="s">
        <v>2266</v>
      </c>
      <c r="B2037" s="9" t="s">
        <v>2267</v>
      </c>
      <c r="C2037" s="12" t="s">
        <v>80</v>
      </c>
      <c r="D2037" s="14" t="s">
        <v>2033</v>
      </c>
      <c r="E2037" s="16"/>
      <c r="F2037" s="8"/>
      <c r="G2037" s="16"/>
      <c r="H2037" s="8"/>
      <c r="I2037" s="16"/>
    </row>
    <row r="2038" outlineLevel="1">
      <c r="A2038" s="9" t="s">
        <v>2268</v>
      </c>
      <c r="B2038" s="9" t="s">
        <v>925</v>
      </c>
      <c r="C2038" s="12" t="s">
        <v>16</v>
      </c>
      <c r="D2038" s="14" t="s">
        <v>2033</v>
      </c>
      <c r="E2038" s="16"/>
      <c r="F2038" s="8"/>
      <c r="G2038" s="16"/>
      <c r="H2038" s="8"/>
      <c r="I2038" s="16"/>
    </row>
    <row r="2039" outlineLevel="1">
      <c r="A2039" s="9" t="s">
        <v>2269</v>
      </c>
      <c r="B2039" s="9" t="s">
        <v>119</v>
      </c>
      <c r="C2039" s="12" t="s">
        <v>93</v>
      </c>
      <c r="D2039" s="14" t="s">
        <v>2033</v>
      </c>
      <c r="E2039" s="16"/>
      <c r="F2039" s="8"/>
      <c r="G2039" s="16"/>
      <c r="H2039" s="8"/>
      <c r="I2039" s="16"/>
    </row>
    <row r="2040" outlineLevel="1">
      <c r="A2040" s="9" t="s">
        <v>2270</v>
      </c>
      <c r="B2040" s="9" t="s">
        <v>1128</v>
      </c>
      <c r="C2040" s="12" t="s">
        <v>65</v>
      </c>
      <c r="D2040" s="14" t="s">
        <v>2033</v>
      </c>
      <c r="E2040" s="16"/>
      <c r="F2040" s="8"/>
      <c r="G2040" s="16"/>
      <c r="H2040" s="8"/>
      <c r="I2040" s="16"/>
    </row>
    <row r="2041" outlineLevel="1">
      <c r="A2041" s="9" t="s">
        <v>2271</v>
      </c>
      <c r="B2041" s="9" t="s">
        <v>375</v>
      </c>
      <c r="C2041" s="12" t="s">
        <v>132</v>
      </c>
      <c r="D2041" s="14" t="s">
        <v>2033</v>
      </c>
      <c r="E2041" s="16"/>
      <c r="F2041" s="8"/>
      <c r="G2041" s="16"/>
      <c r="H2041" s="8"/>
      <c r="I2041" s="16"/>
    </row>
    <row r="2042" outlineLevel="1">
      <c r="A2042" s="9" t="s">
        <v>2272</v>
      </c>
      <c r="B2042" s="9" t="s">
        <v>1479</v>
      </c>
      <c r="C2042" s="12" t="s">
        <v>122</v>
      </c>
      <c r="D2042" s="14" t="s">
        <v>2033</v>
      </c>
      <c r="E2042" s="16"/>
      <c r="F2042" s="8"/>
      <c r="G2042" s="16"/>
      <c r="H2042" s="8"/>
      <c r="I2042" s="16"/>
    </row>
    <row r="2043" outlineLevel="1">
      <c r="A2043" s="9" t="s">
        <v>1043</v>
      </c>
      <c r="B2043" s="9" t="s">
        <v>342</v>
      </c>
      <c r="C2043" s="12" t="s">
        <v>192</v>
      </c>
      <c r="D2043" s="14" t="s">
        <v>2033</v>
      </c>
      <c r="E2043" s="16"/>
      <c r="F2043" s="8"/>
      <c r="G2043" s="16"/>
      <c r="H2043" s="8"/>
      <c r="I2043" s="16"/>
    </row>
    <row r="2044" outlineLevel="1">
      <c r="A2044" s="9" t="s">
        <v>1324</v>
      </c>
      <c r="B2044" s="9" t="s">
        <v>2273</v>
      </c>
      <c r="C2044" s="12" t="s">
        <v>59</v>
      </c>
      <c r="D2044" s="14" t="s">
        <v>2033</v>
      </c>
      <c r="E2044" s="16"/>
      <c r="F2044" s="18"/>
      <c r="G2044" s="19"/>
      <c r="H2044" s="18"/>
      <c r="I2044" s="19"/>
    </row>
    <row r="2045" outlineLevel="1">
      <c r="A2045" s="9" t="s">
        <v>104</v>
      </c>
      <c r="B2045" s="9" t="s">
        <v>690</v>
      </c>
      <c r="C2045" s="12" t="s">
        <v>16</v>
      </c>
      <c r="D2045" s="14" t="s">
        <v>2033</v>
      </c>
      <c r="E2045" s="16"/>
      <c r="F2045" s="8"/>
      <c r="G2045" s="16"/>
      <c r="H2045" s="8"/>
      <c r="I2045" s="16"/>
    </row>
    <row r="2046" outlineLevel="1">
      <c r="A2046" s="9" t="s">
        <v>825</v>
      </c>
      <c r="B2046" s="9" t="s">
        <v>2274</v>
      </c>
      <c r="C2046" s="12" t="s">
        <v>93</v>
      </c>
      <c r="D2046" s="14" t="s">
        <v>2033</v>
      </c>
      <c r="E2046" s="16"/>
      <c r="F2046" s="8"/>
      <c r="G2046" s="16"/>
      <c r="H2046" s="8"/>
      <c r="I2046" s="16"/>
    </row>
    <row r="2047" outlineLevel="1">
      <c r="A2047" s="9" t="s">
        <v>2275</v>
      </c>
      <c r="B2047" s="9" t="s">
        <v>275</v>
      </c>
      <c r="C2047" s="12" t="s">
        <v>70</v>
      </c>
      <c r="D2047" s="14" t="s">
        <v>2033</v>
      </c>
      <c r="E2047" s="16"/>
      <c r="F2047" s="8"/>
      <c r="G2047" s="16"/>
      <c r="H2047" s="8"/>
      <c r="I2047" s="16"/>
    </row>
    <row r="2048" outlineLevel="1">
      <c r="A2048" s="9" t="s">
        <v>1330</v>
      </c>
      <c r="B2048" s="9" t="s">
        <v>260</v>
      </c>
      <c r="C2048" s="12" t="s">
        <v>65</v>
      </c>
      <c r="D2048" s="14" t="s">
        <v>2033</v>
      </c>
      <c r="E2048" s="16"/>
      <c r="F2048" s="18"/>
      <c r="G2048" s="19"/>
      <c r="H2048" s="18"/>
      <c r="I2048" s="19"/>
    </row>
    <row r="2049" outlineLevel="1">
      <c r="A2049" s="9" t="s">
        <v>34</v>
      </c>
      <c r="B2049" s="9" t="s">
        <v>2276</v>
      </c>
      <c r="C2049" s="12" t="s">
        <v>16</v>
      </c>
      <c r="D2049" s="14" t="s">
        <v>2033</v>
      </c>
      <c r="E2049" s="16"/>
      <c r="F2049" s="8"/>
      <c r="G2049" s="16"/>
      <c r="H2049" s="8"/>
      <c r="I2049" s="16"/>
    </row>
    <row r="2050" outlineLevel="1">
      <c r="A2050" s="9" t="s">
        <v>2277</v>
      </c>
      <c r="B2050" s="9" t="s">
        <v>2278</v>
      </c>
      <c r="C2050" s="12" t="s">
        <v>192</v>
      </c>
      <c r="D2050" s="14" t="s">
        <v>2033</v>
      </c>
      <c r="E2050" s="16"/>
      <c r="F2050" s="8"/>
      <c r="G2050" s="16"/>
      <c r="H2050" s="8"/>
      <c r="I2050" s="16"/>
    </row>
    <row r="2051" outlineLevel="1">
      <c r="A2051" s="9" t="s">
        <v>2277</v>
      </c>
      <c r="B2051" s="9" t="s">
        <v>2279</v>
      </c>
      <c r="C2051" s="12" t="s">
        <v>122</v>
      </c>
      <c r="D2051" s="14" t="s">
        <v>2033</v>
      </c>
      <c r="E2051" s="16"/>
      <c r="F2051" s="8"/>
      <c r="G2051" s="16"/>
      <c r="H2051" s="8"/>
      <c r="I2051" s="16"/>
    </row>
    <row r="2052" outlineLevel="1">
      <c r="A2052" s="9" t="s">
        <v>2280</v>
      </c>
      <c r="B2052" s="9" t="s">
        <v>1134</v>
      </c>
      <c r="C2052" s="12" t="s">
        <v>93</v>
      </c>
      <c r="D2052" s="14" t="s">
        <v>2033</v>
      </c>
      <c r="E2052" s="16"/>
      <c r="F2052" s="8"/>
      <c r="G2052" s="16"/>
      <c r="H2052" s="8"/>
      <c r="I2052" s="16"/>
    </row>
    <row r="2053" outlineLevel="1">
      <c r="A2053" s="9" t="s">
        <v>232</v>
      </c>
      <c r="B2053" s="9" t="s">
        <v>378</v>
      </c>
      <c r="C2053" s="12" t="s">
        <v>192</v>
      </c>
      <c r="D2053" s="14" t="s">
        <v>2033</v>
      </c>
      <c r="E2053" s="16"/>
      <c r="F2053" s="8"/>
      <c r="G2053" s="16"/>
      <c r="H2053" s="8"/>
      <c r="I2053" s="16"/>
    </row>
    <row r="2054" outlineLevel="1">
      <c r="A2054" s="9" t="s">
        <v>185</v>
      </c>
      <c r="B2054" s="9" t="s">
        <v>100</v>
      </c>
      <c r="C2054" s="12" t="s">
        <v>65</v>
      </c>
      <c r="D2054" s="14" t="s">
        <v>2033</v>
      </c>
      <c r="E2054" s="16"/>
      <c r="F2054" s="8"/>
      <c r="G2054" s="16"/>
      <c r="H2054" s="8"/>
      <c r="I2054" s="16"/>
    </row>
    <row r="2055" outlineLevel="1">
      <c r="A2055" s="9" t="s">
        <v>2281</v>
      </c>
      <c r="B2055" s="9" t="s">
        <v>1408</v>
      </c>
      <c r="C2055" s="12" t="s">
        <v>24</v>
      </c>
      <c r="D2055" s="14" t="s">
        <v>2033</v>
      </c>
      <c r="E2055" s="16"/>
      <c r="F2055" s="8"/>
      <c r="G2055" s="16"/>
      <c r="H2055" s="8"/>
      <c r="I2055" s="16"/>
    </row>
    <row r="2056" outlineLevel="1">
      <c r="A2056" s="9" t="s">
        <v>1055</v>
      </c>
      <c r="B2056" s="9" t="s">
        <v>2282</v>
      </c>
      <c r="C2056" s="12" t="s">
        <v>59</v>
      </c>
      <c r="D2056" s="14" t="s">
        <v>2033</v>
      </c>
      <c r="E2056" s="16"/>
      <c r="F2056" s="8"/>
      <c r="G2056" s="16"/>
      <c r="H2056" s="8"/>
      <c r="I2056" s="16"/>
    </row>
    <row r="2057" outlineLevel="1">
      <c r="A2057" s="9" t="s">
        <v>78</v>
      </c>
      <c r="B2057" s="9" t="s">
        <v>2283</v>
      </c>
      <c r="C2057" s="12" t="s">
        <v>70</v>
      </c>
      <c r="D2057" s="14" t="s">
        <v>2033</v>
      </c>
      <c r="E2057" s="16"/>
      <c r="F2057" s="8"/>
      <c r="G2057" s="16"/>
      <c r="H2057" s="8"/>
      <c r="I2057" s="16"/>
    </row>
    <row r="2058" outlineLevel="1">
      <c r="A2058" s="9" t="s">
        <v>1664</v>
      </c>
      <c r="B2058" s="9" t="s">
        <v>726</v>
      </c>
      <c r="C2058" s="12" t="s">
        <v>122</v>
      </c>
      <c r="D2058" s="14" t="s">
        <v>2033</v>
      </c>
      <c r="E2058" s="16"/>
      <c r="F2058" s="8"/>
      <c r="G2058" s="16"/>
      <c r="H2058" s="8"/>
      <c r="I2058" s="16"/>
    </row>
    <row r="2059" outlineLevel="1">
      <c r="A2059" s="9" t="s">
        <v>2284</v>
      </c>
      <c r="B2059" s="9" t="s">
        <v>2285</v>
      </c>
      <c r="C2059" s="12" t="s">
        <v>122</v>
      </c>
      <c r="D2059" s="14" t="s">
        <v>2033</v>
      </c>
      <c r="E2059" s="16"/>
      <c r="F2059" s="8"/>
      <c r="G2059" s="16"/>
      <c r="H2059" s="8"/>
      <c r="I2059" s="16"/>
    </row>
    <row r="2060" outlineLevel="1">
      <c r="A2060" s="9" t="s">
        <v>78</v>
      </c>
      <c r="B2060" s="9" t="s">
        <v>900</v>
      </c>
      <c r="C2060" s="12" t="s">
        <v>59</v>
      </c>
      <c r="D2060" s="14" t="s">
        <v>2033</v>
      </c>
      <c r="E2060" s="16"/>
      <c r="F2060" s="8"/>
      <c r="G2060" s="16"/>
      <c r="H2060" s="8"/>
      <c r="I2060" s="16"/>
    </row>
    <row r="2061" outlineLevel="1">
      <c r="A2061" s="9" t="s">
        <v>2024</v>
      </c>
      <c r="B2061" s="9" t="s">
        <v>2286</v>
      </c>
      <c r="C2061" s="12" t="s">
        <v>80</v>
      </c>
      <c r="D2061" s="14" t="s">
        <v>2033</v>
      </c>
      <c r="E2061" s="16"/>
      <c r="F2061" s="8"/>
      <c r="G2061" s="16"/>
      <c r="H2061" s="8"/>
      <c r="I2061" s="16"/>
    </row>
    <row r="2062" outlineLevel="1">
      <c r="A2062" s="9" t="s">
        <v>451</v>
      </c>
      <c r="B2062" s="9" t="s">
        <v>1376</v>
      </c>
      <c r="C2062" s="12" t="s">
        <v>24</v>
      </c>
      <c r="D2062" s="14" t="s">
        <v>2033</v>
      </c>
      <c r="E2062" s="16"/>
      <c r="F2062" s="8"/>
      <c r="G2062" s="16"/>
      <c r="H2062" s="8"/>
      <c r="I2062" s="16"/>
    </row>
    <row r="2063" outlineLevel="1">
      <c r="A2063" s="9" t="s">
        <v>451</v>
      </c>
      <c r="B2063" s="9" t="s">
        <v>2287</v>
      </c>
      <c r="C2063" s="12" t="s">
        <v>65</v>
      </c>
      <c r="D2063" s="14" t="s">
        <v>2033</v>
      </c>
      <c r="E2063" s="16"/>
      <c r="F2063" s="18"/>
      <c r="G2063" s="19"/>
      <c r="H2063" s="18"/>
      <c r="I2063" s="19"/>
    </row>
    <row r="2064" outlineLevel="1">
      <c r="A2064" s="9" t="s">
        <v>451</v>
      </c>
      <c r="B2064" s="9" t="s">
        <v>712</v>
      </c>
      <c r="C2064" s="12" t="s">
        <v>70</v>
      </c>
      <c r="D2064" s="14" t="s">
        <v>2033</v>
      </c>
      <c r="E2064" s="16"/>
      <c r="F2064" s="8"/>
      <c r="G2064" s="16"/>
      <c r="H2064" s="8"/>
      <c r="I2064" s="16"/>
    </row>
    <row r="2065" outlineLevel="1">
      <c r="A2065" s="9" t="s">
        <v>451</v>
      </c>
      <c r="B2065" s="9" t="s">
        <v>214</v>
      </c>
      <c r="C2065" s="12" t="s">
        <v>186</v>
      </c>
      <c r="D2065" s="14" t="s">
        <v>2033</v>
      </c>
      <c r="E2065" s="16"/>
      <c r="F2065" s="8"/>
      <c r="G2065" s="16"/>
      <c r="H2065" s="8"/>
      <c r="I2065" s="16"/>
    </row>
    <row r="2066" outlineLevel="1">
      <c r="A2066" s="9" t="s">
        <v>451</v>
      </c>
      <c r="B2066" s="9" t="s">
        <v>900</v>
      </c>
      <c r="C2066" s="12" t="s">
        <v>93</v>
      </c>
      <c r="D2066" s="14" t="s">
        <v>2033</v>
      </c>
      <c r="E2066" s="16"/>
      <c r="F2066" s="8"/>
      <c r="G2066" s="16"/>
      <c r="H2066" s="8"/>
      <c r="I2066" s="16"/>
    </row>
    <row r="2067" outlineLevel="1">
      <c r="A2067" s="9" t="s">
        <v>451</v>
      </c>
      <c r="B2067" s="9" t="s">
        <v>2087</v>
      </c>
      <c r="C2067" s="12" t="s">
        <v>70</v>
      </c>
      <c r="D2067" s="14" t="s">
        <v>2033</v>
      </c>
      <c r="E2067" s="16"/>
      <c r="F2067" s="8"/>
      <c r="G2067" s="16"/>
      <c r="H2067" s="8"/>
      <c r="I2067" s="16"/>
    </row>
    <row r="2068" outlineLevel="1">
      <c r="A2068" s="9" t="s">
        <v>2288</v>
      </c>
      <c r="B2068" s="9" t="s">
        <v>198</v>
      </c>
      <c r="C2068" s="12" t="s">
        <v>215</v>
      </c>
      <c r="D2068" s="14" t="s">
        <v>2033</v>
      </c>
      <c r="E2068" s="16"/>
      <c r="F2068" s="8"/>
      <c r="G2068" s="16"/>
      <c r="H2068" s="8"/>
      <c r="I2068" s="16"/>
    </row>
    <row r="2069" outlineLevel="1">
      <c r="A2069" s="9" t="s">
        <v>2289</v>
      </c>
      <c r="B2069" s="9" t="s">
        <v>212</v>
      </c>
      <c r="C2069" s="12" t="s">
        <v>186</v>
      </c>
      <c r="D2069" s="14" t="s">
        <v>2033</v>
      </c>
      <c r="E2069" s="16"/>
      <c r="F2069" s="8"/>
      <c r="G2069" s="16"/>
      <c r="H2069" s="8"/>
      <c r="I2069" s="16"/>
    </row>
    <row r="2070" outlineLevel="1">
      <c r="A2070" s="9" t="s">
        <v>1671</v>
      </c>
      <c r="B2070" s="9" t="s">
        <v>197</v>
      </c>
      <c r="C2070" s="12" t="s">
        <v>122</v>
      </c>
      <c r="D2070" s="14" t="s">
        <v>2033</v>
      </c>
      <c r="E2070" s="16"/>
      <c r="F2070" s="8"/>
      <c r="G2070" s="16"/>
      <c r="H2070" s="8"/>
      <c r="I2070" s="16"/>
    </row>
    <row r="2071" outlineLevel="1">
      <c r="A2071" s="9" t="s">
        <v>233</v>
      </c>
      <c r="B2071" s="9" t="s">
        <v>301</v>
      </c>
      <c r="C2071" s="12" t="s">
        <v>186</v>
      </c>
      <c r="D2071" s="14" t="s">
        <v>2033</v>
      </c>
      <c r="E2071" s="16"/>
      <c r="F2071" s="8"/>
      <c r="G2071" s="16"/>
      <c r="H2071" s="8"/>
      <c r="I2071" s="16"/>
    </row>
    <row r="2072" outlineLevel="1">
      <c r="A2072" s="9" t="s">
        <v>2031</v>
      </c>
      <c r="B2072" s="9" t="s">
        <v>275</v>
      </c>
      <c r="C2072" s="12" t="s">
        <v>59</v>
      </c>
      <c r="D2072" s="14" t="s">
        <v>2033</v>
      </c>
      <c r="E2072" s="16"/>
      <c r="F2072" s="8"/>
      <c r="G2072" s="16"/>
      <c r="H2072" s="8"/>
      <c r="I2072" s="16"/>
    </row>
    <row r="2073" outlineLevel="1">
      <c r="A2073" s="9" t="s">
        <v>1675</v>
      </c>
      <c r="B2073" s="9" t="s">
        <v>333</v>
      </c>
      <c r="C2073" s="12" t="s">
        <v>186</v>
      </c>
      <c r="D2073" s="14" t="s">
        <v>2033</v>
      </c>
      <c r="E2073" s="16"/>
      <c r="F2073" s="8"/>
      <c r="G2073" s="16"/>
      <c r="H2073" s="8"/>
      <c r="I2073" s="16"/>
    </row>
    <row r="2074" outlineLevel="1">
      <c r="A2074" s="9" t="s">
        <v>2290</v>
      </c>
      <c r="B2074" s="9" t="s">
        <v>2291</v>
      </c>
      <c r="C2074" s="12" t="s">
        <v>122</v>
      </c>
      <c r="D2074" s="14" t="s">
        <v>2033</v>
      </c>
      <c r="E2074" s="16"/>
      <c r="F2074" s="8"/>
      <c r="G2074" s="16"/>
      <c r="H2074" s="8"/>
      <c r="I2074" s="16"/>
    </row>
    <row r="2075" outlineLevel="1">
      <c r="A2075" s="9" t="s">
        <v>2292</v>
      </c>
      <c r="B2075" s="9" t="s">
        <v>1611</v>
      </c>
      <c r="C2075" s="12" t="s">
        <v>93</v>
      </c>
      <c r="D2075" s="14" t="s">
        <v>2033</v>
      </c>
      <c r="E2075" s="16"/>
      <c r="F2075" s="8"/>
      <c r="G2075" s="16"/>
      <c r="H2075" s="8"/>
      <c r="I2075" s="16"/>
    </row>
    <row r="2076" outlineLevel="1">
      <c r="A2076" s="9" t="s">
        <v>2293</v>
      </c>
      <c r="B2076" s="9" t="s">
        <v>2294</v>
      </c>
      <c r="C2076" s="12" t="s">
        <v>93</v>
      </c>
      <c r="D2076" s="14" t="s">
        <v>2033</v>
      </c>
      <c r="E2076" s="16"/>
      <c r="F2076" s="8"/>
      <c r="G2076" s="16"/>
      <c r="H2076" s="8"/>
      <c r="I2076" s="16"/>
    </row>
    <row r="2077" outlineLevel="1">
      <c r="A2077" s="9" t="s">
        <v>834</v>
      </c>
      <c r="B2077" s="9" t="s">
        <v>948</v>
      </c>
      <c r="C2077" s="12" t="s">
        <v>46</v>
      </c>
      <c r="D2077" s="14" t="s">
        <v>2033</v>
      </c>
      <c r="E2077" s="16"/>
      <c r="F2077" s="8"/>
      <c r="G2077" s="16"/>
      <c r="H2077" s="8"/>
      <c r="I2077" s="16"/>
    </row>
    <row r="2078" outlineLevel="1">
      <c r="A2078" s="9" t="s">
        <v>2295</v>
      </c>
      <c r="B2078" s="9" t="s">
        <v>92</v>
      </c>
      <c r="C2078" s="12" t="s">
        <v>192</v>
      </c>
      <c r="D2078" s="14" t="s">
        <v>2296</v>
      </c>
      <c r="E2078" s="16"/>
      <c r="F2078" s="8"/>
      <c r="G2078" s="16"/>
      <c r="H2078" s="8"/>
      <c r="I2078" s="16"/>
    </row>
    <row r="2079" outlineLevel="1">
      <c r="A2079" s="9" t="s">
        <v>835</v>
      </c>
      <c r="B2079" s="9" t="s">
        <v>301</v>
      </c>
      <c r="C2079" s="12" t="s">
        <v>70</v>
      </c>
      <c r="D2079" s="14" t="s">
        <v>2296</v>
      </c>
      <c r="E2079" s="16"/>
      <c r="F2079" s="18"/>
      <c r="G2079" s="19"/>
      <c r="H2079" s="18"/>
      <c r="I2079" s="19"/>
    </row>
    <row r="2080" outlineLevel="1">
      <c r="A2080" s="9" t="s">
        <v>2297</v>
      </c>
      <c r="B2080" s="9" t="s">
        <v>2298</v>
      </c>
      <c r="C2080" s="12" t="s">
        <v>80</v>
      </c>
      <c r="D2080" s="14" t="s">
        <v>2296</v>
      </c>
      <c r="E2080" s="16"/>
      <c r="F2080" s="8"/>
      <c r="G2080" s="16"/>
      <c r="H2080" s="8"/>
      <c r="I2080" s="16"/>
    </row>
    <row r="2081" outlineLevel="1">
      <c r="A2081" s="9" t="s">
        <v>2299</v>
      </c>
      <c r="B2081" s="9" t="s">
        <v>194</v>
      </c>
      <c r="C2081" s="12" t="s">
        <v>215</v>
      </c>
      <c r="D2081" s="14" t="s">
        <v>2296</v>
      </c>
      <c r="E2081" s="16"/>
      <c r="F2081" s="8"/>
      <c r="G2081" s="16"/>
      <c r="H2081" s="8"/>
      <c r="I2081" s="16"/>
    </row>
    <row r="2082" outlineLevel="1">
      <c r="A2082" s="9" t="s">
        <v>57</v>
      </c>
      <c r="B2082" s="9" t="s">
        <v>2300</v>
      </c>
      <c r="C2082" s="12" t="s">
        <v>93</v>
      </c>
      <c r="D2082" s="14" t="s">
        <v>2296</v>
      </c>
      <c r="E2082" s="16"/>
      <c r="F2082" s="8"/>
      <c r="G2082" s="16"/>
      <c r="H2082" s="8"/>
      <c r="I2082" s="16"/>
    </row>
    <row r="2083" outlineLevel="1">
      <c r="A2083" s="9" t="s">
        <v>57</v>
      </c>
      <c r="B2083" s="9" t="s">
        <v>2301</v>
      </c>
      <c r="C2083" s="12" t="s">
        <v>93</v>
      </c>
      <c r="D2083" s="14" t="s">
        <v>2296</v>
      </c>
      <c r="E2083" s="16"/>
      <c r="F2083" s="8"/>
      <c r="G2083" s="16"/>
      <c r="H2083" s="8"/>
      <c r="I2083" s="16"/>
    </row>
    <row r="2084" outlineLevel="1">
      <c r="A2084" s="9" t="s">
        <v>460</v>
      </c>
      <c r="B2084" s="9" t="s">
        <v>301</v>
      </c>
      <c r="C2084" s="12" t="s">
        <v>138</v>
      </c>
      <c r="D2084" s="14" t="s">
        <v>2296</v>
      </c>
      <c r="E2084" s="16"/>
      <c r="F2084" s="8"/>
      <c r="G2084" s="16"/>
      <c r="H2084" s="8"/>
      <c r="I2084" s="16"/>
    </row>
    <row r="2085" outlineLevel="1">
      <c r="A2085" s="9" t="s">
        <v>460</v>
      </c>
      <c r="B2085" s="9" t="s">
        <v>480</v>
      </c>
      <c r="C2085" s="12" t="s">
        <v>215</v>
      </c>
      <c r="D2085" s="14" t="s">
        <v>2296</v>
      </c>
      <c r="E2085" s="16"/>
      <c r="F2085" s="8"/>
      <c r="G2085" s="16"/>
      <c r="H2085" s="8"/>
      <c r="I2085" s="16"/>
    </row>
    <row r="2086" outlineLevel="1">
      <c r="A2086" s="9" t="s">
        <v>2302</v>
      </c>
      <c r="B2086" s="9" t="s">
        <v>2303</v>
      </c>
      <c r="C2086" s="12" t="s">
        <v>80</v>
      </c>
      <c r="D2086" s="14" t="s">
        <v>2296</v>
      </c>
      <c r="E2086" s="16"/>
      <c r="F2086" s="18"/>
      <c r="G2086" s="19"/>
      <c r="H2086" s="18"/>
      <c r="I2086" s="19"/>
    </row>
    <row r="2087" outlineLevel="1">
      <c r="A2087" s="9" t="s">
        <v>636</v>
      </c>
      <c r="B2087" s="9" t="s">
        <v>1915</v>
      </c>
      <c r="C2087" s="12" t="s">
        <v>46</v>
      </c>
      <c r="D2087" s="14" t="s">
        <v>2296</v>
      </c>
      <c r="E2087" s="16"/>
      <c r="F2087" s="8"/>
      <c r="G2087" s="16"/>
      <c r="H2087" s="8"/>
      <c r="I2087" s="16"/>
    </row>
    <row r="2088" outlineLevel="1">
      <c r="A2088" s="9" t="s">
        <v>636</v>
      </c>
      <c r="B2088" s="9" t="s">
        <v>249</v>
      </c>
      <c r="C2088" s="12" t="s">
        <v>70</v>
      </c>
      <c r="D2088" s="14" t="s">
        <v>2296</v>
      </c>
      <c r="E2088" s="16"/>
      <c r="F2088" s="8"/>
      <c r="G2088" s="16"/>
      <c r="H2088" s="8"/>
      <c r="I2088" s="16"/>
    </row>
    <row r="2089" outlineLevel="1">
      <c r="A2089" s="9" t="s">
        <v>636</v>
      </c>
      <c r="B2089" s="9" t="s">
        <v>383</v>
      </c>
      <c r="C2089" s="12" t="s">
        <v>70</v>
      </c>
      <c r="D2089" s="14" t="s">
        <v>2296</v>
      </c>
      <c r="E2089" s="16"/>
      <c r="F2089" s="8"/>
      <c r="G2089" s="16"/>
      <c r="H2089" s="8"/>
      <c r="I2089" s="16"/>
    </row>
    <row r="2090" outlineLevel="1">
      <c r="A2090" s="18" t="s">
        <v>2304</v>
      </c>
      <c r="B2090" s="9" t="s">
        <v>159</v>
      </c>
      <c r="C2090" s="12" t="s">
        <v>65</v>
      </c>
      <c r="D2090" s="14" t="s">
        <v>2296</v>
      </c>
      <c r="E2090" s="16"/>
      <c r="F2090" s="8"/>
      <c r="G2090" s="16"/>
      <c r="H2090" s="8"/>
      <c r="I2090" s="16"/>
    </row>
    <row r="2091" outlineLevel="1">
      <c r="A2091" s="9" t="s">
        <v>639</v>
      </c>
      <c r="B2091" s="18" t="s">
        <v>2305</v>
      </c>
      <c r="C2091" s="19" t="s">
        <v>70</v>
      </c>
      <c r="D2091" s="14" t="s">
        <v>2296</v>
      </c>
      <c r="E2091" s="16"/>
      <c r="F2091" s="8"/>
      <c r="G2091" s="16"/>
      <c r="H2091" s="8"/>
      <c r="I2091" s="16"/>
    </row>
    <row r="2092" outlineLevel="1">
      <c r="A2092" s="9" t="s">
        <v>641</v>
      </c>
      <c r="B2092" s="9" t="s">
        <v>2306</v>
      </c>
      <c r="C2092" s="12" t="s">
        <v>138</v>
      </c>
      <c r="D2092" s="14" t="s">
        <v>2296</v>
      </c>
      <c r="E2092" s="16"/>
      <c r="F2092" s="8"/>
      <c r="G2092" s="16"/>
      <c r="H2092" s="8"/>
      <c r="I2092" s="16"/>
    </row>
    <row r="2093" outlineLevel="1">
      <c r="A2093" s="9" t="s">
        <v>2307</v>
      </c>
      <c r="B2093" s="9" t="s">
        <v>546</v>
      </c>
      <c r="C2093" s="12" t="s">
        <v>132</v>
      </c>
      <c r="D2093" s="14" t="s">
        <v>2296</v>
      </c>
      <c r="E2093" s="16"/>
      <c r="F2093" s="8"/>
      <c r="G2093" s="16"/>
      <c r="H2093" s="8"/>
      <c r="I2093" s="16"/>
    </row>
    <row r="2094" outlineLevel="1">
      <c r="A2094" s="9" t="s">
        <v>2308</v>
      </c>
      <c r="B2094" s="9" t="s">
        <v>1473</v>
      </c>
      <c r="C2094" s="12" t="s">
        <v>93</v>
      </c>
      <c r="D2094" s="14" t="s">
        <v>2296</v>
      </c>
      <c r="E2094" s="16"/>
      <c r="F2094" s="8"/>
      <c r="G2094" s="16"/>
      <c r="H2094" s="8"/>
      <c r="I2094" s="16"/>
    </row>
    <row r="2095" outlineLevel="1">
      <c r="A2095" s="9" t="s">
        <v>240</v>
      </c>
      <c r="B2095" s="9" t="s">
        <v>299</v>
      </c>
      <c r="C2095" s="12" t="s">
        <v>38</v>
      </c>
      <c r="D2095" s="14" t="s">
        <v>2296</v>
      </c>
      <c r="E2095" s="16"/>
      <c r="F2095" s="8"/>
      <c r="G2095" s="16"/>
      <c r="H2095" s="8"/>
      <c r="I2095" s="16"/>
    </row>
    <row r="2096" outlineLevel="1">
      <c r="A2096" s="9" t="s">
        <v>1891</v>
      </c>
      <c r="B2096" s="9" t="s">
        <v>665</v>
      </c>
      <c r="C2096" s="12" t="s">
        <v>53</v>
      </c>
      <c r="D2096" s="14" t="s">
        <v>2296</v>
      </c>
      <c r="E2096" s="16"/>
      <c r="F2096" s="8"/>
      <c r="G2096" s="16"/>
      <c r="H2096" s="8"/>
      <c r="I2096" s="16"/>
    </row>
    <row r="2097" outlineLevel="1">
      <c r="A2097" s="9" t="s">
        <v>1891</v>
      </c>
      <c r="B2097" s="9" t="s">
        <v>943</v>
      </c>
      <c r="C2097" s="12" t="s">
        <v>93</v>
      </c>
      <c r="D2097" s="14" t="s">
        <v>2296</v>
      </c>
      <c r="E2097" s="16"/>
      <c r="F2097" s="8"/>
      <c r="G2097" s="16"/>
      <c r="H2097" s="8"/>
      <c r="I2097" s="16"/>
    </row>
    <row r="2098" outlineLevel="1">
      <c r="A2098" s="9" t="s">
        <v>643</v>
      </c>
      <c r="B2098" s="9" t="s">
        <v>2309</v>
      </c>
      <c r="C2098" s="12" t="s">
        <v>70</v>
      </c>
      <c r="D2098" s="14" t="s">
        <v>2296</v>
      </c>
      <c r="E2098" s="16"/>
      <c r="F2098" s="8"/>
      <c r="G2098" s="16"/>
      <c r="H2098" s="8"/>
      <c r="I2098" s="16"/>
    </row>
    <row r="2099" outlineLevel="1">
      <c r="A2099" s="9" t="s">
        <v>2310</v>
      </c>
      <c r="B2099" s="9" t="s">
        <v>100</v>
      </c>
      <c r="C2099" s="12" t="s">
        <v>70</v>
      </c>
      <c r="D2099" s="14" t="s">
        <v>2296</v>
      </c>
      <c r="E2099" s="16"/>
      <c r="F2099" s="8"/>
      <c r="G2099" s="16"/>
      <c r="H2099" s="8"/>
      <c r="I2099" s="16"/>
    </row>
    <row r="2100" outlineLevel="1">
      <c r="A2100" s="9" t="s">
        <v>1693</v>
      </c>
      <c r="B2100" s="9" t="s">
        <v>362</v>
      </c>
      <c r="C2100" s="12" t="s">
        <v>53</v>
      </c>
      <c r="D2100" s="14" t="s">
        <v>2296</v>
      </c>
      <c r="E2100" s="16"/>
      <c r="F2100" s="8"/>
      <c r="G2100" s="16"/>
      <c r="H2100" s="8"/>
      <c r="I2100" s="16"/>
    </row>
    <row r="2101" outlineLevel="1">
      <c r="A2101" s="9" t="s">
        <v>644</v>
      </c>
      <c r="B2101" s="9" t="s">
        <v>2311</v>
      </c>
      <c r="C2101" s="12" t="s">
        <v>80</v>
      </c>
      <c r="D2101" s="14" t="s">
        <v>2296</v>
      </c>
      <c r="E2101" s="16"/>
      <c r="F2101" s="8"/>
      <c r="G2101" s="16"/>
      <c r="H2101" s="8"/>
      <c r="I2101" s="16"/>
    </row>
    <row r="2102" outlineLevel="1">
      <c r="A2102" s="9" t="s">
        <v>2312</v>
      </c>
      <c r="B2102" s="9" t="s">
        <v>2313</v>
      </c>
      <c r="C2102" s="12" t="s">
        <v>138</v>
      </c>
      <c r="D2102" s="14" t="s">
        <v>2296</v>
      </c>
      <c r="E2102" s="16"/>
      <c r="F2102" s="8"/>
      <c r="G2102" s="16"/>
      <c r="H2102" s="8"/>
      <c r="I2102" s="16"/>
    </row>
    <row r="2103" outlineLevel="1">
      <c r="A2103" s="9" t="s">
        <v>1090</v>
      </c>
      <c r="B2103" s="9" t="s">
        <v>699</v>
      </c>
      <c r="C2103" s="12" t="s">
        <v>192</v>
      </c>
      <c r="D2103" s="14" t="s">
        <v>2296</v>
      </c>
      <c r="E2103" s="16"/>
      <c r="F2103" s="8"/>
      <c r="G2103" s="16"/>
      <c r="H2103" s="8"/>
      <c r="I2103" s="16"/>
    </row>
    <row r="2104" outlineLevel="1">
      <c r="A2104" s="9" t="s">
        <v>1716</v>
      </c>
      <c r="B2104" s="9" t="s">
        <v>2314</v>
      </c>
      <c r="C2104" s="12" t="s">
        <v>93</v>
      </c>
      <c r="D2104" s="14" t="s">
        <v>2296</v>
      </c>
      <c r="E2104" s="16"/>
      <c r="F2104" s="8"/>
      <c r="G2104" s="16"/>
      <c r="H2104" s="8"/>
      <c r="I2104" s="16"/>
    </row>
    <row r="2105" outlineLevel="1">
      <c r="A2105" s="9" t="s">
        <v>2315</v>
      </c>
      <c r="B2105" s="9" t="s">
        <v>1219</v>
      </c>
      <c r="C2105" s="12" t="s">
        <v>65</v>
      </c>
      <c r="D2105" s="14" t="s">
        <v>2296</v>
      </c>
      <c r="E2105" s="16"/>
      <c r="F2105" s="8"/>
      <c r="G2105" s="16"/>
      <c r="H2105" s="8"/>
      <c r="I2105" s="16"/>
    </row>
    <row r="2106" outlineLevel="1">
      <c r="A2106" s="18" t="s">
        <v>106</v>
      </c>
      <c r="B2106" s="9" t="s">
        <v>269</v>
      </c>
      <c r="C2106" s="12" t="s">
        <v>65</v>
      </c>
      <c r="D2106" s="14" t="s">
        <v>2296</v>
      </c>
      <c r="E2106" s="16"/>
      <c r="F2106" s="8"/>
      <c r="G2106" s="16"/>
      <c r="H2106" s="8"/>
      <c r="I2106" s="16"/>
    </row>
    <row r="2107" outlineLevel="1">
      <c r="A2107" s="9" t="s">
        <v>106</v>
      </c>
      <c r="B2107" s="18" t="s">
        <v>699</v>
      </c>
      <c r="C2107" s="19" t="s">
        <v>65</v>
      </c>
      <c r="D2107" s="14" t="s">
        <v>2296</v>
      </c>
      <c r="E2107" s="16"/>
      <c r="F2107" s="8"/>
      <c r="G2107" s="16"/>
      <c r="H2107" s="8"/>
      <c r="I2107" s="16"/>
    </row>
    <row r="2108" outlineLevel="1">
      <c r="A2108" s="9" t="s">
        <v>2064</v>
      </c>
      <c r="B2108" s="9" t="s">
        <v>464</v>
      </c>
      <c r="C2108" s="12" t="s">
        <v>138</v>
      </c>
      <c r="D2108" s="14" t="s">
        <v>2296</v>
      </c>
      <c r="E2108" s="16"/>
      <c r="F2108" s="8"/>
      <c r="G2108" s="16"/>
      <c r="H2108" s="8"/>
      <c r="I2108" s="16"/>
    </row>
    <row r="2109" outlineLevel="1">
      <c r="A2109" s="9" t="s">
        <v>106</v>
      </c>
      <c r="B2109" s="9" t="s">
        <v>177</v>
      </c>
      <c r="C2109" s="12" t="s">
        <v>75</v>
      </c>
      <c r="D2109" s="14" t="s">
        <v>2296</v>
      </c>
      <c r="E2109" s="16"/>
      <c r="F2109" s="8"/>
      <c r="G2109" s="16"/>
      <c r="H2109" s="8"/>
      <c r="I2109" s="16"/>
    </row>
    <row r="2110" outlineLevel="1">
      <c r="A2110" s="9" t="s">
        <v>2316</v>
      </c>
      <c r="B2110" s="9" t="s">
        <v>2317</v>
      </c>
      <c r="C2110" s="12" t="s">
        <v>46</v>
      </c>
      <c r="D2110" s="14" t="s">
        <v>2296</v>
      </c>
      <c r="E2110" s="16"/>
      <c r="F2110" s="8"/>
      <c r="G2110" s="16"/>
      <c r="H2110" s="8"/>
      <c r="I2110" s="16"/>
    </row>
    <row r="2111" outlineLevel="1">
      <c r="A2111" s="9" t="s">
        <v>2318</v>
      </c>
      <c r="B2111" s="9" t="s">
        <v>245</v>
      </c>
      <c r="C2111" s="12" t="s">
        <v>65</v>
      </c>
      <c r="D2111" s="14" t="s">
        <v>2296</v>
      </c>
      <c r="E2111" s="16"/>
      <c r="F2111" s="8"/>
      <c r="G2111" s="16"/>
      <c r="H2111" s="8"/>
      <c r="I2111" s="16"/>
    </row>
    <row r="2112" outlineLevel="1">
      <c r="A2112" s="18" t="s">
        <v>2319</v>
      </c>
      <c r="B2112" s="9" t="s">
        <v>529</v>
      </c>
      <c r="C2112" s="12" t="s">
        <v>65</v>
      </c>
      <c r="D2112" s="14" t="s">
        <v>2296</v>
      </c>
      <c r="E2112" s="16"/>
      <c r="F2112" s="8"/>
      <c r="G2112" s="16"/>
      <c r="H2112" s="8"/>
      <c r="I2112" s="16"/>
    </row>
    <row r="2113" outlineLevel="1">
      <c r="A2113" s="9" t="s">
        <v>726</v>
      </c>
      <c r="B2113" s="18" t="s">
        <v>2320</v>
      </c>
      <c r="C2113" s="19" t="s">
        <v>46</v>
      </c>
      <c r="D2113" s="14" t="s">
        <v>2296</v>
      </c>
      <c r="E2113" s="16"/>
      <c r="F2113" s="8"/>
      <c r="G2113" s="16"/>
      <c r="H2113" s="8"/>
      <c r="I2113" s="16"/>
    </row>
    <row r="2114" outlineLevel="1">
      <c r="A2114" s="9" t="s">
        <v>2321</v>
      </c>
      <c r="B2114" s="9" t="s">
        <v>1046</v>
      </c>
      <c r="C2114" s="12" t="s">
        <v>75</v>
      </c>
      <c r="D2114" s="14" t="s">
        <v>2296</v>
      </c>
      <c r="E2114" s="16"/>
      <c r="F2114" s="8"/>
      <c r="G2114" s="16"/>
      <c r="H2114" s="8"/>
      <c r="I2114" s="16"/>
    </row>
    <row r="2115" outlineLevel="1">
      <c r="A2115" s="9" t="s">
        <v>2322</v>
      </c>
      <c r="B2115" s="9" t="s">
        <v>2323</v>
      </c>
      <c r="C2115" s="12" t="s">
        <v>65</v>
      </c>
      <c r="D2115" s="14" t="s">
        <v>2296</v>
      </c>
      <c r="E2115" s="16"/>
      <c r="F2115" s="8"/>
      <c r="G2115" s="16"/>
      <c r="H2115" s="8"/>
      <c r="I2115" s="16"/>
    </row>
    <row r="2116" outlineLevel="1">
      <c r="A2116" s="9" t="s">
        <v>2324</v>
      </c>
      <c r="B2116" s="9" t="s">
        <v>1210</v>
      </c>
      <c r="C2116" s="12" t="s">
        <v>122</v>
      </c>
      <c r="D2116" s="14" t="s">
        <v>2296</v>
      </c>
      <c r="E2116" s="16"/>
      <c r="F2116" s="8"/>
      <c r="G2116" s="16"/>
      <c r="H2116" s="8"/>
      <c r="I2116" s="16"/>
    </row>
    <row r="2117" outlineLevel="1">
      <c r="A2117" s="9" t="s">
        <v>110</v>
      </c>
      <c r="B2117" s="9" t="s">
        <v>1666</v>
      </c>
      <c r="C2117" s="12" t="s">
        <v>215</v>
      </c>
      <c r="D2117" s="14" t="s">
        <v>2296</v>
      </c>
      <c r="E2117" s="16"/>
      <c r="F2117" s="8"/>
      <c r="G2117" s="16"/>
      <c r="H2117" s="8"/>
      <c r="I2117" s="16"/>
    </row>
    <row r="2118" outlineLevel="1">
      <c r="A2118" s="9" t="s">
        <v>2325</v>
      </c>
      <c r="B2118" s="9" t="s">
        <v>562</v>
      </c>
      <c r="C2118" s="12" t="s">
        <v>149</v>
      </c>
      <c r="D2118" s="14" t="s">
        <v>2296</v>
      </c>
      <c r="E2118" s="16"/>
      <c r="F2118" s="18"/>
      <c r="G2118" s="19"/>
      <c r="H2118" s="18"/>
      <c r="I2118" s="19"/>
    </row>
    <row r="2119" outlineLevel="1">
      <c r="A2119" s="9" t="s">
        <v>2326</v>
      </c>
      <c r="B2119" s="9" t="s">
        <v>41</v>
      </c>
      <c r="C2119" s="12" t="s">
        <v>16</v>
      </c>
      <c r="D2119" s="14" t="s">
        <v>2296</v>
      </c>
      <c r="E2119" s="16"/>
      <c r="F2119" s="8"/>
      <c r="G2119" s="16"/>
      <c r="H2119" s="8"/>
      <c r="I2119" s="16"/>
    </row>
    <row r="2120" outlineLevel="1">
      <c r="A2120" s="9" t="s">
        <v>1757</v>
      </c>
      <c r="B2120" s="9" t="s">
        <v>247</v>
      </c>
      <c r="C2120" s="12" t="s">
        <v>215</v>
      </c>
      <c r="D2120" s="14" t="s">
        <v>2296</v>
      </c>
      <c r="E2120" s="16"/>
      <c r="F2120" s="8"/>
      <c r="G2120" s="16"/>
      <c r="H2120" s="8"/>
      <c r="I2120" s="16"/>
    </row>
    <row r="2121" outlineLevel="1">
      <c r="A2121" s="9" t="s">
        <v>61</v>
      </c>
      <c r="B2121" s="9" t="s">
        <v>1351</v>
      </c>
      <c r="C2121" s="12" t="s">
        <v>93</v>
      </c>
      <c r="D2121" s="14" t="s">
        <v>2296</v>
      </c>
      <c r="E2121" s="16"/>
      <c r="F2121" s="8"/>
      <c r="G2121" s="16"/>
      <c r="H2121" s="8"/>
      <c r="I2121" s="16"/>
    </row>
    <row r="2122" outlineLevel="1">
      <c r="A2122" s="9" t="s">
        <v>61</v>
      </c>
      <c r="B2122" s="9" t="s">
        <v>2276</v>
      </c>
      <c r="C2122" s="12" t="s">
        <v>186</v>
      </c>
      <c r="D2122" s="14" t="s">
        <v>2296</v>
      </c>
      <c r="E2122" s="16"/>
      <c r="F2122" s="8"/>
      <c r="G2122" s="16"/>
      <c r="H2122" s="8"/>
      <c r="I2122" s="16"/>
    </row>
    <row r="2123" outlineLevel="1">
      <c r="A2123" s="9" t="s">
        <v>61</v>
      </c>
      <c r="B2123" s="9" t="s">
        <v>317</v>
      </c>
      <c r="C2123" s="12" t="s">
        <v>132</v>
      </c>
      <c r="D2123" s="14" t="s">
        <v>2296</v>
      </c>
      <c r="E2123" s="16"/>
      <c r="F2123" s="8"/>
      <c r="G2123" s="16"/>
      <c r="H2123" s="8"/>
      <c r="I2123" s="16"/>
    </row>
    <row r="2124" outlineLevel="1">
      <c r="A2124" s="9" t="s">
        <v>2327</v>
      </c>
      <c r="B2124" s="9" t="s">
        <v>137</v>
      </c>
      <c r="C2124" s="12" t="s">
        <v>75</v>
      </c>
      <c r="D2124" s="14" t="s">
        <v>2296</v>
      </c>
      <c r="E2124" s="16"/>
      <c r="F2124" s="8"/>
      <c r="G2124" s="16"/>
      <c r="H2124" s="8"/>
      <c r="I2124" s="16"/>
    </row>
    <row r="2125" outlineLevel="1">
      <c r="A2125" s="9" t="s">
        <v>2328</v>
      </c>
      <c r="B2125" s="9" t="s">
        <v>2329</v>
      </c>
      <c r="C2125" s="12" t="s">
        <v>80</v>
      </c>
      <c r="D2125" s="14" t="s">
        <v>2296</v>
      </c>
      <c r="E2125" s="16"/>
      <c r="F2125" s="8"/>
      <c r="G2125" s="16"/>
      <c r="H2125" s="8"/>
      <c r="I2125" s="16"/>
    </row>
    <row r="2126" outlineLevel="1">
      <c r="A2126" s="9" t="s">
        <v>1772</v>
      </c>
      <c r="B2126" s="9" t="s">
        <v>77</v>
      </c>
      <c r="C2126" s="12" t="s">
        <v>192</v>
      </c>
      <c r="D2126" s="14" t="s">
        <v>2296</v>
      </c>
      <c r="E2126" s="16"/>
      <c r="F2126" s="8"/>
      <c r="G2126" s="16"/>
      <c r="H2126" s="8"/>
      <c r="I2126" s="16"/>
    </row>
    <row r="2127" outlineLevel="1">
      <c r="A2127" s="9" t="s">
        <v>895</v>
      </c>
      <c r="B2127" s="9" t="s">
        <v>506</v>
      </c>
      <c r="C2127" s="12" t="s">
        <v>149</v>
      </c>
      <c r="D2127" s="14" t="s">
        <v>2296</v>
      </c>
      <c r="E2127" s="16"/>
      <c r="F2127" s="8"/>
      <c r="G2127" s="16"/>
      <c r="H2127" s="8"/>
      <c r="I2127" s="16"/>
    </row>
    <row r="2128" outlineLevel="1">
      <c r="A2128" s="9" t="s">
        <v>2330</v>
      </c>
      <c r="B2128" s="9" t="s">
        <v>2331</v>
      </c>
      <c r="C2128" s="12" t="s">
        <v>149</v>
      </c>
      <c r="D2128" s="14" t="s">
        <v>2296</v>
      </c>
      <c r="E2128" s="16"/>
      <c r="F2128" s="8"/>
      <c r="G2128" s="16"/>
      <c r="H2128" s="8"/>
      <c r="I2128" s="16"/>
    </row>
    <row r="2129" outlineLevel="1">
      <c r="A2129" s="9" t="s">
        <v>2332</v>
      </c>
      <c r="B2129" s="9" t="s">
        <v>2333</v>
      </c>
      <c r="C2129" s="12" t="s">
        <v>53</v>
      </c>
      <c r="D2129" s="14" t="s">
        <v>2296</v>
      </c>
      <c r="E2129" s="16"/>
      <c r="F2129" s="8"/>
      <c r="G2129" s="16"/>
      <c r="H2129" s="8"/>
      <c r="I2129" s="16"/>
    </row>
    <row r="2130" outlineLevel="1">
      <c r="A2130" s="9" t="s">
        <v>2334</v>
      </c>
      <c r="B2130" s="9" t="s">
        <v>226</v>
      </c>
      <c r="C2130" s="12" t="s">
        <v>59</v>
      </c>
      <c r="D2130" s="14" t="s">
        <v>2296</v>
      </c>
      <c r="E2130" s="16"/>
      <c r="F2130" s="8"/>
      <c r="G2130" s="16"/>
      <c r="H2130" s="8"/>
      <c r="I2130" s="16"/>
    </row>
    <row r="2131" outlineLevel="1">
      <c r="A2131" s="9" t="s">
        <v>897</v>
      </c>
      <c r="B2131" s="9" t="s">
        <v>2335</v>
      </c>
      <c r="C2131" s="12" t="s">
        <v>80</v>
      </c>
      <c r="D2131" s="14" t="s">
        <v>2296</v>
      </c>
      <c r="E2131" s="16"/>
      <c r="F2131" s="8"/>
      <c r="G2131" s="16"/>
      <c r="H2131" s="8"/>
      <c r="I2131" s="16"/>
    </row>
    <row r="2132" outlineLevel="1">
      <c r="A2132" s="9" t="s">
        <v>1164</v>
      </c>
      <c r="B2132" s="9" t="s">
        <v>399</v>
      </c>
      <c r="C2132" s="12" t="s">
        <v>46</v>
      </c>
      <c r="D2132" s="14" t="s">
        <v>2296</v>
      </c>
      <c r="E2132" s="16"/>
      <c r="F2132" s="8"/>
      <c r="G2132" s="16"/>
      <c r="H2132" s="8"/>
      <c r="I2132" s="16"/>
    </row>
    <row r="2133" outlineLevel="1">
      <c r="A2133" s="9" t="s">
        <v>2336</v>
      </c>
      <c r="B2133" s="9" t="s">
        <v>2173</v>
      </c>
      <c r="C2133" s="12" t="s">
        <v>24</v>
      </c>
      <c r="D2133" s="14" t="s">
        <v>2296</v>
      </c>
      <c r="E2133" s="16"/>
      <c r="F2133" s="8"/>
      <c r="G2133" s="16"/>
      <c r="H2133" s="8"/>
      <c r="I2133" s="16"/>
    </row>
    <row r="2134" outlineLevel="1">
      <c r="A2134" s="9" t="s">
        <v>2337</v>
      </c>
      <c r="B2134" s="9" t="s">
        <v>598</v>
      </c>
      <c r="C2134" s="12" t="s">
        <v>93</v>
      </c>
      <c r="D2134" s="14" t="s">
        <v>2296</v>
      </c>
      <c r="E2134" s="16"/>
      <c r="F2134" s="8"/>
      <c r="G2134" s="16"/>
      <c r="H2134" s="8"/>
      <c r="I2134" s="16"/>
    </row>
    <row r="2135" outlineLevel="1">
      <c r="A2135" s="9" t="s">
        <v>2338</v>
      </c>
      <c r="B2135" s="9" t="s">
        <v>2339</v>
      </c>
      <c r="C2135" s="12" t="s">
        <v>138</v>
      </c>
      <c r="D2135" s="14" t="s">
        <v>2296</v>
      </c>
      <c r="E2135" s="16"/>
      <c r="F2135" s="8"/>
      <c r="G2135" s="16"/>
      <c r="H2135" s="8"/>
      <c r="I2135" s="16"/>
    </row>
    <row r="2136" outlineLevel="1">
      <c r="A2136" s="9" t="s">
        <v>2340</v>
      </c>
      <c r="B2136" s="9" t="s">
        <v>471</v>
      </c>
      <c r="C2136" s="12" t="s">
        <v>93</v>
      </c>
      <c r="D2136" s="14" t="s">
        <v>2296</v>
      </c>
      <c r="E2136" s="16"/>
      <c r="F2136" s="18"/>
      <c r="G2136" s="19"/>
      <c r="H2136" s="18"/>
      <c r="I2136" s="19"/>
    </row>
    <row r="2137" outlineLevel="1">
      <c r="A2137" s="9" t="s">
        <v>63</v>
      </c>
      <c r="B2137" s="9" t="s">
        <v>231</v>
      </c>
      <c r="C2137" s="12" t="s">
        <v>16</v>
      </c>
      <c r="D2137" s="14" t="s">
        <v>2296</v>
      </c>
      <c r="E2137" s="16"/>
      <c r="F2137" s="8"/>
      <c r="G2137" s="16"/>
      <c r="H2137" s="8"/>
      <c r="I2137" s="16"/>
    </row>
    <row r="2138" outlineLevel="1">
      <c r="A2138" s="9" t="s">
        <v>66</v>
      </c>
      <c r="B2138" s="9" t="s">
        <v>2341</v>
      </c>
      <c r="C2138" s="12" t="s">
        <v>80</v>
      </c>
      <c r="D2138" s="14" t="s">
        <v>2296</v>
      </c>
      <c r="E2138" s="16"/>
      <c r="F2138" s="8"/>
      <c r="G2138" s="16"/>
      <c r="H2138" s="8"/>
      <c r="I2138" s="16"/>
    </row>
    <row r="2139" outlineLevel="1">
      <c r="A2139" s="9" t="s">
        <v>683</v>
      </c>
      <c r="B2139" s="9" t="s">
        <v>362</v>
      </c>
      <c r="C2139" s="12" t="s">
        <v>149</v>
      </c>
      <c r="D2139" s="14" t="s">
        <v>2296</v>
      </c>
      <c r="E2139" s="16"/>
      <c r="F2139" s="8"/>
      <c r="G2139" s="16"/>
      <c r="H2139" s="8"/>
      <c r="I2139" s="16"/>
    </row>
    <row r="2140" outlineLevel="1">
      <c r="A2140" s="9" t="s">
        <v>2342</v>
      </c>
      <c r="B2140" s="9" t="s">
        <v>20</v>
      </c>
      <c r="C2140" s="12" t="s">
        <v>75</v>
      </c>
      <c r="D2140" s="14" t="s">
        <v>2296</v>
      </c>
      <c r="E2140" s="16"/>
      <c r="F2140" s="8"/>
      <c r="G2140" s="16"/>
      <c r="H2140" s="8"/>
      <c r="I2140" s="16"/>
    </row>
    <row r="2141" outlineLevel="1">
      <c r="A2141" s="9" t="s">
        <v>2343</v>
      </c>
      <c r="B2141" s="9" t="s">
        <v>23</v>
      </c>
      <c r="C2141" s="12" t="s">
        <v>138</v>
      </c>
      <c r="D2141" s="14" t="s">
        <v>2296</v>
      </c>
      <c r="E2141" s="16"/>
      <c r="F2141" s="8"/>
      <c r="G2141" s="16"/>
      <c r="H2141" s="8"/>
      <c r="I2141" s="16"/>
    </row>
    <row r="2142" outlineLevel="1">
      <c r="A2142" s="9" t="s">
        <v>1802</v>
      </c>
      <c r="B2142" s="9" t="s">
        <v>480</v>
      </c>
      <c r="C2142" s="12" t="s">
        <v>24</v>
      </c>
      <c r="D2142" s="14" t="s">
        <v>2296</v>
      </c>
      <c r="E2142" s="16"/>
      <c r="F2142" s="8"/>
      <c r="G2142" s="16"/>
      <c r="H2142" s="8"/>
      <c r="I2142" s="16"/>
    </row>
    <row r="2143" outlineLevel="1">
      <c r="A2143" s="9" t="s">
        <v>267</v>
      </c>
      <c r="B2143" s="9" t="s">
        <v>2344</v>
      </c>
      <c r="C2143" s="12" t="s">
        <v>186</v>
      </c>
      <c r="D2143" s="14" t="s">
        <v>2296</v>
      </c>
      <c r="E2143" s="16"/>
      <c r="F2143" s="8"/>
      <c r="G2143" s="16"/>
      <c r="H2143" s="8"/>
      <c r="I2143" s="16"/>
    </row>
    <row r="2144" outlineLevel="1">
      <c r="A2144" s="9" t="s">
        <v>2345</v>
      </c>
      <c r="B2144" s="9" t="s">
        <v>102</v>
      </c>
      <c r="C2144" s="12" t="s">
        <v>186</v>
      </c>
      <c r="D2144" s="14" t="s">
        <v>2296</v>
      </c>
      <c r="E2144" s="16"/>
      <c r="F2144" s="8"/>
      <c r="G2144" s="16"/>
      <c r="H2144" s="8"/>
      <c r="I2144" s="16"/>
    </row>
    <row r="2145" outlineLevel="1">
      <c r="A2145" s="9" t="s">
        <v>2346</v>
      </c>
      <c r="B2145" s="9" t="s">
        <v>881</v>
      </c>
      <c r="C2145" s="12" t="s">
        <v>138</v>
      </c>
      <c r="D2145" s="14" t="s">
        <v>2296</v>
      </c>
      <c r="E2145" s="16"/>
      <c r="F2145" s="8"/>
      <c r="G2145" s="16"/>
      <c r="H2145" s="8"/>
      <c r="I2145" s="16"/>
    </row>
    <row r="2146" outlineLevel="1">
      <c r="A2146" s="9" t="s">
        <v>268</v>
      </c>
      <c r="B2146" s="9" t="s">
        <v>2347</v>
      </c>
      <c r="C2146" s="12" t="s">
        <v>215</v>
      </c>
      <c r="D2146" s="14" t="s">
        <v>2296</v>
      </c>
      <c r="E2146" s="16"/>
      <c r="F2146" s="8"/>
      <c r="G2146" s="16"/>
      <c r="H2146" s="8"/>
      <c r="I2146" s="16"/>
    </row>
    <row r="2147" outlineLevel="1">
      <c r="A2147" s="9" t="s">
        <v>2348</v>
      </c>
      <c r="B2147" s="9" t="s">
        <v>565</v>
      </c>
      <c r="C2147" s="12" t="s">
        <v>186</v>
      </c>
      <c r="D2147" s="14" t="s">
        <v>2296</v>
      </c>
      <c r="E2147" s="16"/>
      <c r="F2147" s="8"/>
      <c r="G2147" s="16"/>
      <c r="H2147" s="8"/>
      <c r="I2147" s="16"/>
    </row>
    <row r="2148" outlineLevel="1">
      <c r="A2148" s="9" t="s">
        <v>2349</v>
      </c>
      <c r="B2148" s="9" t="s">
        <v>2350</v>
      </c>
      <c r="C2148" s="12" t="s">
        <v>70</v>
      </c>
      <c r="D2148" s="14" t="s">
        <v>2296</v>
      </c>
      <c r="E2148" s="16"/>
      <c r="F2148" s="8"/>
      <c r="G2148" s="16"/>
      <c r="H2148" s="8"/>
      <c r="I2148" s="16"/>
    </row>
    <row r="2149" outlineLevel="1">
      <c r="A2149" s="9" t="s">
        <v>1183</v>
      </c>
      <c r="B2149" s="9" t="s">
        <v>2351</v>
      </c>
      <c r="C2149" s="12" t="s">
        <v>65</v>
      </c>
      <c r="D2149" s="14" t="s">
        <v>2296</v>
      </c>
      <c r="E2149" s="16"/>
      <c r="F2149" s="8"/>
      <c r="G2149" s="16"/>
      <c r="H2149" s="8"/>
      <c r="I2149" s="16"/>
    </row>
    <row r="2150" outlineLevel="1">
      <c r="A2150" s="9" t="s">
        <v>2352</v>
      </c>
      <c r="B2150" s="9" t="s">
        <v>2353</v>
      </c>
      <c r="C2150" s="12" t="s">
        <v>192</v>
      </c>
      <c r="D2150" s="14" t="s">
        <v>2296</v>
      </c>
      <c r="E2150" s="16"/>
      <c r="F2150" s="8"/>
      <c r="G2150" s="16"/>
      <c r="H2150" s="8"/>
      <c r="I2150" s="16"/>
    </row>
    <row r="2151" outlineLevel="1">
      <c r="A2151" s="9" t="s">
        <v>706</v>
      </c>
      <c r="B2151" s="9" t="s">
        <v>347</v>
      </c>
      <c r="C2151" s="12" t="s">
        <v>65</v>
      </c>
      <c r="D2151" s="14" t="s">
        <v>2296</v>
      </c>
      <c r="E2151" s="16"/>
      <c r="F2151" s="8"/>
      <c r="G2151" s="16"/>
      <c r="H2151" s="8"/>
      <c r="I2151" s="16"/>
    </row>
    <row r="2152" outlineLevel="1">
      <c r="A2152" s="9" t="s">
        <v>89</v>
      </c>
      <c r="B2152" s="9" t="s">
        <v>1060</v>
      </c>
      <c r="C2152" s="12" t="s">
        <v>70</v>
      </c>
      <c r="D2152" s="14" t="s">
        <v>2296</v>
      </c>
      <c r="E2152" s="16"/>
      <c r="F2152" s="8"/>
      <c r="G2152" s="16"/>
      <c r="H2152" s="8"/>
      <c r="I2152" s="16"/>
    </row>
    <row r="2153" outlineLevel="1">
      <c r="A2153" s="9" t="s">
        <v>377</v>
      </c>
      <c r="B2153" s="9" t="s">
        <v>1624</v>
      </c>
      <c r="C2153" s="12" t="s">
        <v>192</v>
      </c>
      <c r="D2153" s="14" t="s">
        <v>2296</v>
      </c>
      <c r="E2153" s="16"/>
      <c r="F2153" s="8"/>
      <c r="G2153" s="16"/>
      <c r="H2153" s="8"/>
      <c r="I2153" s="16"/>
    </row>
    <row r="2154" outlineLevel="1">
      <c r="A2154" s="9" t="s">
        <v>2354</v>
      </c>
      <c r="B2154" s="9" t="s">
        <v>273</v>
      </c>
      <c r="C2154" s="12" t="s">
        <v>16</v>
      </c>
      <c r="D2154" s="14" t="s">
        <v>2296</v>
      </c>
      <c r="E2154" s="16"/>
      <c r="F2154" s="8"/>
      <c r="G2154" s="16"/>
      <c r="H2154" s="8"/>
      <c r="I2154" s="16"/>
    </row>
    <row r="2155" outlineLevel="1">
      <c r="A2155" s="9" t="s">
        <v>937</v>
      </c>
      <c r="B2155" s="9" t="s">
        <v>1338</v>
      </c>
      <c r="C2155" s="12" t="s">
        <v>70</v>
      </c>
      <c r="D2155" s="14" t="s">
        <v>2296</v>
      </c>
      <c r="E2155" s="16"/>
      <c r="F2155" s="8"/>
      <c r="G2155" s="16"/>
      <c r="H2155" s="8"/>
      <c r="I2155" s="16"/>
    </row>
    <row r="2156" outlineLevel="1">
      <c r="A2156" s="9" t="s">
        <v>937</v>
      </c>
      <c r="B2156" s="9" t="s">
        <v>2355</v>
      </c>
      <c r="C2156" s="12" t="s">
        <v>65</v>
      </c>
      <c r="D2156" s="14" t="s">
        <v>2296</v>
      </c>
      <c r="E2156" s="16"/>
      <c r="F2156" s="8"/>
      <c r="G2156" s="16"/>
      <c r="H2156" s="8"/>
      <c r="I2156" s="16"/>
    </row>
    <row r="2157" outlineLevel="1">
      <c r="A2157" s="9" t="s">
        <v>537</v>
      </c>
      <c r="B2157" s="9" t="s">
        <v>714</v>
      </c>
      <c r="C2157" s="12" t="s">
        <v>93</v>
      </c>
      <c r="D2157" s="14" t="s">
        <v>2296</v>
      </c>
      <c r="E2157" s="16"/>
      <c r="F2157" s="8"/>
      <c r="G2157" s="16"/>
      <c r="H2157" s="8"/>
      <c r="I2157" s="16"/>
    </row>
    <row r="2158" outlineLevel="1">
      <c r="A2158" s="9" t="s">
        <v>2356</v>
      </c>
      <c r="B2158" s="9" t="s">
        <v>2357</v>
      </c>
      <c r="C2158" s="12" t="s">
        <v>70</v>
      </c>
      <c r="D2158" s="14" t="s">
        <v>2296</v>
      </c>
      <c r="E2158" s="16"/>
      <c r="F2158" s="8"/>
      <c r="G2158" s="16"/>
      <c r="H2158" s="8"/>
      <c r="I2158" s="16"/>
    </row>
    <row r="2159" outlineLevel="1">
      <c r="A2159" s="18" t="s">
        <v>2358</v>
      </c>
      <c r="B2159" s="9" t="s">
        <v>491</v>
      </c>
      <c r="C2159" s="12" t="s">
        <v>24</v>
      </c>
      <c r="D2159" s="14" t="s">
        <v>2296</v>
      </c>
      <c r="E2159" s="16"/>
      <c r="F2159" s="8"/>
      <c r="G2159" s="16"/>
      <c r="H2159" s="8"/>
      <c r="I2159" s="16"/>
    </row>
    <row r="2160" outlineLevel="1">
      <c r="A2160" s="9" t="s">
        <v>2359</v>
      </c>
      <c r="B2160" s="18" t="s">
        <v>1064</v>
      </c>
      <c r="C2160" s="19" t="s">
        <v>122</v>
      </c>
      <c r="D2160" s="14" t="s">
        <v>2296</v>
      </c>
      <c r="E2160" s="16"/>
      <c r="F2160" s="8"/>
      <c r="G2160" s="16"/>
      <c r="H2160" s="8"/>
      <c r="I2160" s="16"/>
    </row>
    <row r="2161" outlineLevel="1">
      <c r="A2161" s="9" t="s">
        <v>278</v>
      </c>
      <c r="B2161" s="9" t="s">
        <v>183</v>
      </c>
      <c r="C2161" s="12" t="s">
        <v>93</v>
      </c>
      <c r="D2161" s="14" t="s">
        <v>2296</v>
      </c>
      <c r="E2161" s="16"/>
      <c r="F2161" s="8"/>
      <c r="G2161" s="16"/>
      <c r="H2161" s="8"/>
      <c r="I2161" s="16"/>
    </row>
    <row r="2162" outlineLevel="1">
      <c r="A2162" s="9" t="s">
        <v>2360</v>
      </c>
      <c r="B2162" s="9" t="s">
        <v>43</v>
      </c>
      <c r="C2162" s="12" t="s">
        <v>65</v>
      </c>
      <c r="D2162" s="14" t="s">
        <v>2296</v>
      </c>
      <c r="E2162" s="16"/>
      <c r="F2162" s="8"/>
      <c r="G2162" s="16"/>
      <c r="H2162" s="8"/>
      <c r="I2162" s="16"/>
    </row>
    <row r="2163" outlineLevel="1">
      <c r="A2163" s="9" t="s">
        <v>208</v>
      </c>
      <c r="B2163" s="9" t="s">
        <v>761</v>
      </c>
      <c r="C2163" s="12" t="s">
        <v>16</v>
      </c>
      <c r="D2163" s="14" t="s">
        <v>2296</v>
      </c>
      <c r="E2163" s="16"/>
      <c r="F2163" s="18"/>
      <c r="G2163" s="19"/>
      <c r="H2163" s="18"/>
      <c r="I2163" s="19"/>
    </row>
    <row r="2164" outlineLevel="1">
      <c r="A2164" s="9" t="s">
        <v>946</v>
      </c>
      <c r="B2164" s="9" t="s">
        <v>549</v>
      </c>
      <c r="C2164" s="12" t="s">
        <v>59</v>
      </c>
      <c r="D2164" s="14" t="s">
        <v>2296</v>
      </c>
      <c r="E2164" s="16"/>
      <c r="F2164" s="8"/>
      <c r="G2164" s="16"/>
      <c r="H2164" s="8"/>
      <c r="I2164" s="16"/>
    </row>
    <row r="2165" outlineLevel="1">
      <c r="A2165" s="9" t="s">
        <v>208</v>
      </c>
      <c r="B2165" s="9" t="s">
        <v>102</v>
      </c>
      <c r="C2165" s="12" t="s">
        <v>215</v>
      </c>
      <c r="D2165" s="14" t="s">
        <v>2296</v>
      </c>
      <c r="E2165" s="16"/>
      <c r="F2165" s="8"/>
      <c r="G2165" s="16"/>
      <c r="H2165" s="8"/>
      <c r="I2165" s="16"/>
    </row>
    <row r="2166" outlineLevel="1">
      <c r="A2166" s="9" t="s">
        <v>208</v>
      </c>
      <c r="B2166" s="9" t="s">
        <v>137</v>
      </c>
      <c r="C2166" s="12" t="s">
        <v>93</v>
      </c>
      <c r="D2166" s="14" t="s">
        <v>2296</v>
      </c>
      <c r="E2166" s="16"/>
      <c r="F2166" s="8"/>
      <c r="G2166" s="16"/>
      <c r="H2166" s="8"/>
      <c r="I2166" s="16"/>
    </row>
    <row r="2167" outlineLevel="1">
      <c r="A2167" s="9" t="s">
        <v>389</v>
      </c>
      <c r="B2167" s="9" t="s">
        <v>2361</v>
      </c>
      <c r="C2167" s="12" t="s">
        <v>65</v>
      </c>
      <c r="D2167" s="14" t="s">
        <v>2296</v>
      </c>
      <c r="E2167" s="16"/>
      <c r="F2167" s="8"/>
      <c r="G2167" s="16"/>
      <c r="H2167" s="8"/>
      <c r="I2167" s="16"/>
    </row>
    <row r="2168" outlineLevel="1">
      <c r="A2168" s="9" t="s">
        <v>389</v>
      </c>
      <c r="B2168" s="9" t="s">
        <v>792</v>
      </c>
      <c r="C2168" s="12" t="s">
        <v>138</v>
      </c>
      <c r="D2168" s="14" t="s">
        <v>2296</v>
      </c>
      <c r="E2168" s="16"/>
      <c r="F2168" s="18"/>
      <c r="G2168" s="19"/>
      <c r="H2168" s="18"/>
      <c r="I2168" s="19"/>
    </row>
    <row r="2169" outlineLevel="1">
      <c r="A2169" s="9" t="s">
        <v>389</v>
      </c>
      <c r="B2169" s="9" t="s">
        <v>2362</v>
      </c>
      <c r="C2169" s="12" t="s">
        <v>70</v>
      </c>
      <c r="D2169" s="14" t="s">
        <v>2296</v>
      </c>
      <c r="E2169" s="16"/>
      <c r="F2169" s="8"/>
      <c r="G2169" s="16"/>
      <c r="H2169" s="8"/>
      <c r="I2169" s="16"/>
    </row>
    <row r="2170" outlineLevel="1">
      <c r="A2170" s="9" t="s">
        <v>389</v>
      </c>
      <c r="B2170" s="9" t="s">
        <v>2363</v>
      </c>
      <c r="C2170" s="12" t="s">
        <v>65</v>
      </c>
      <c r="D2170" s="14" t="s">
        <v>2296</v>
      </c>
      <c r="E2170" s="16"/>
      <c r="F2170" s="8"/>
      <c r="G2170" s="16"/>
      <c r="H2170" s="8"/>
      <c r="I2170" s="16"/>
    </row>
    <row r="2171" outlineLevel="1">
      <c r="A2171" s="9" t="s">
        <v>389</v>
      </c>
      <c r="B2171" s="9" t="s">
        <v>2364</v>
      </c>
      <c r="C2171" s="12" t="s">
        <v>132</v>
      </c>
      <c r="D2171" s="14" t="s">
        <v>2296</v>
      </c>
      <c r="E2171" s="16"/>
      <c r="F2171" s="8"/>
      <c r="G2171" s="16"/>
      <c r="H2171" s="8"/>
      <c r="I2171" s="16"/>
    </row>
    <row r="2172" outlineLevel="1">
      <c r="A2172" s="9" t="s">
        <v>950</v>
      </c>
      <c r="B2172" s="9" t="s">
        <v>2157</v>
      </c>
      <c r="C2172" s="12" t="s">
        <v>65</v>
      </c>
      <c r="D2172" s="14" t="s">
        <v>2296</v>
      </c>
      <c r="E2172" s="16"/>
      <c r="F2172" s="8"/>
      <c r="G2172" s="16"/>
      <c r="H2172" s="8"/>
      <c r="I2172" s="16"/>
    </row>
    <row r="2173" outlineLevel="1">
      <c r="A2173" s="9" t="s">
        <v>284</v>
      </c>
      <c r="B2173" s="9" t="s">
        <v>197</v>
      </c>
      <c r="C2173" s="12" t="s">
        <v>16</v>
      </c>
      <c r="D2173" s="14" t="s">
        <v>2296</v>
      </c>
      <c r="E2173" s="16"/>
      <c r="F2173" s="8"/>
      <c r="G2173" s="16"/>
      <c r="H2173" s="8"/>
      <c r="I2173" s="16"/>
    </row>
    <row r="2174" outlineLevel="1">
      <c r="A2174" s="18" t="s">
        <v>284</v>
      </c>
      <c r="B2174" s="9" t="s">
        <v>2365</v>
      </c>
      <c r="C2174" s="12" t="s">
        <v>215</v>
      </c>
      <c r="D2174" s="14" t="s">
        <v>2296</v>
      </c>
      <c r="E2174" s="16"/>
      <c r="F2174" s="8"/>
      <c r="G2174" s="16"/>
      <c r="H2174" s="8"/>
      <c r="I2174" s="16"/>
    </row>
    <row r="2175" outlineLevel="1">
      <c r="A2175" s="9" t="s">
        <v>284</v>
      </c>
      <c r="B2175" s="18" t="s">
        <v>1091</v>
      </c>
      <c r="C2175" s="19" t="s">
        <v>70</v>
      </c>
      <c r="D2175" s="14" t="s">
        <v>2296</v>
      </c>
      <c r="E2175" s="16"/>
      <c r="F2175" s="8"/>
      <c r="G2175" s="16"/>
      <c r="H2175" s="8"/>
      <c r="I2175" s="16"/>
    </row>
    <row r="2176" outlineLevel="1">
      <c r="A2176" s="9" t="s">
        <v>2323</v>
      </c>
      <c r="B2176" s="9" t="s">
        <v>2366</v>
      </c>
      <c r="C2176" s="12" t="s">
        <v>215</v>
      </c>
      <c r="D2176" s="14" t="s">
        <v>2296</v>
      </c>
      <c r="E2176" s="16"/>
      <c r="F2176" s="8"/>
      <c r="G2176" s="16"/>
      <c r="H2176" s="8"/>
      <c r="I2176" s="16"/>
    </row>
    <row r="2177" outlineLevel="1">
      <c r="A2177" s="9" t="s">
        <v>561</v>
      </c>
      <c r="B2177" s="9" t="s">
        <v>23</v>
      </c>
      <c r="C2177" s="12" t="s">
        <v>70</v>
      </c>
      <c r="D2177" s="14" t="s">
        <v>2296</v>
      </c>
      <c r="E2177" s="16"/>
      <c r="F2177" s="8"/>
      <c r="G2177" s="16"/>
      <c r="H2177" s="8"/>
      <c r="I2177" s="16"/>
    </row>
    <row r="2178" outlineLevel="1">
      <c r="A2178" s="9" t="s">
        <v>255</v>
      </c>
      <c r="B2178" s="9" t="s">
        <v>726</v>
      </c>
      <c r="C2178" s="12" t="s">
        <v>65</v>
      </c>
      <c r="D2178" s="14" t="s">
        <v>2296</v>
      </c>
      <c r="E2178" s="16"/>
      <c r="F2178" s="8"/>
      <c r="G2178" s="16"/>
      <c r="H2178" s="8"/>
      <c r="I2178" s="16"/>
    </row>
    <row r="2179" outlineLevel="1">
      <c r="A2179" s="9" t="s">
        <v>2367</v>
      </c>
      <c r="B2179" s="9" t="s">
        <v>121</v>
      </c>
      <c r="C2179" s="12" t="s">
        <v>149</v>
      </c>
      <c r="D2179" s="14" t="s">
        <v>2296</v>
      </c>
      <c r="E2179" s="16"/>
      <c r="F2179" s="18"/>
      <c r="G2179" s="19"/>
      <c r="H2179" s="18"/>
      <c r="I2179" s="19"/>
    </row>
    <row r="2180" outlineLevel="1">
      <c r="A2180" s="9" t="s">
        <v>2368</v>
      </c>
      <c r="B2180" s="9" t="s">
        <v>2081</v>
      </c>
      <c r="C2180" s="12" t="s">
        <v>24</v>
      </c>
      <c r="D2180" s="14" t="s">
        <v>2296</v>
      </c>
      <c r="E2180" s="16"/>
      <c r="F2180" s="8"/>
      <c r="G2180" s="16"/>
      <c r="H2180" s="8"/>
      <c r="I2180" s="16"/>
    </row>
    <row r="2181" outlineLevel="1">
      <c r="A2181" s="9" t="s">
        <v>1222</v>
      </c>
      <c r="B2181" s="9" t="s">
        <v>2369</v>
      </c>
      <c r="C2181" s="12" t="s">
        <v>186</v>
      </c>
      <c r="D2181" s="14" t="s">
        <v>2296</v>
      </c>
      <c r="E2181" s="16"/>
      <c r="F2181" s="8"/>
      <c r="G2181" s="16"/>
      <c r="H2181" s="8"/>
      <c r="I2181" s="16"/>
    </row>
    <row r="2182" outlineLevel="1">
      <c r="A2182" s="9" t="s">
        <v>2370</v>
      </c>
      <c r="B2182" s="9" t="s">
        <v>263</v>
      </c>
      <c r="C2182" s="12" t="s">
        <v>65</v>
      </c>
      <c r="D2182" s="14" t="s">
        <v>2296</v>
      </c>
      <c r="E2182" s="16"/>
      <c r="F2182" s="8"/>
      <c r="G2182" s="16"/>
      <c r="H2182" s="8"/>
      <c r="I2182" s="16"/>
    </row>
    <row r="2183" outlineLevel="1">
      <c r="A2183" s="9" t="s">
        <v>1172</v>
      </c>
      <c r="B2183" s="9" t="s">
        <v>612</v>
      </c>
      <c r="C2183" s="12" t="s">
        <v>149</v>
      </c>
      <c r="D2183" s="14" t="s">
        <v>2296</v>
      </c>
      <c r="E2183" s="16"/>
      <c r="F2183" s="8"/>
      <c r="G2183" s="16"/>
      <c r="H2183" s="8"/>
      <c r="I2183" s="16"/>
    </row>
    <row r="2184" outlineLevel="1">
      <c r="A2184" s="9" t="s">
        <v>2371</v>
      </c>
      <c r="B2184" s="9" t="s">
        <v>2372</v>
      </c>
      <c r="C2184" s="12" t="s">
        <v>93</v>
      </c>
      <c r="D2184" s="14" t="s">
        <v>2296</v>
      </c>
      <c r="E2184" s="16"/>
      <c r="F2184" s="8"/>
      <c r="G2184" s="16"/>
      <c r="H2184" s="8"/>
      <c r="I2184" s="16"/>
    </row>
    <row r="2185" outlineLevel="1">
      <c r="A2185" s="9" t="s">
        <v>2373</v>
      </c>
      <c r="B2185" s="9" t="s">
        <v>275</v>
      </c>
      <c r="C2185" s="12" t="s">
        <v>132</v>
      </c>
      <c r="D2185" s="14" t="s">
        <v>2296</v>
      </c>
      <c r="E2185" s="16"/>
      <c r="F2185" s="8"/>
      <c r="G2185" s="16"/>
      <c r="H2185" s="8"/>
      <c r="I2185" s="16"/>
    </row>
    <row r="2186" outlineLevel="1">
      <c r="A2186" s="9" t="s">
        <v>2374</v>
      </c>
      <c r="B2186" s="9" t="s">
        <v>20</v>
      </c>
      <c r="C2186" s="12" t="s">
        <v>16</v>
      </c>
      <c r="D2186" s="14" t="s">
        <v>2296</v>
      </c>
      <c r="E2186" s="16"/>
      <c r="F2186" s="8"/>
      <c r="G2186" s="16"/>
      <c r="H2186" s="8"/>
      <c r="I2186" s="16"/>
    </row>
    <row r="2187" outlineLevel="1">
      <c r="A2187" s="9" t="s">
        <v>395</v>
      </c>
      <c r="B2187" s="9" t="s">
        <v>506</v>
      </c>
      <c r="C2187" s="12" t="s">
        <v>186</v>
      </c>
      <c r="D2187" s="14" t="s">
        <v>2296</v>
      </c>
      <c r="E2187" s="16"/>
      <c r="F2187" s="8"/>
      <c r="G2187" s="16"/>
      <c r="H2187" s="8"/>
      <c r="I2187" s="16"/>
    </row>
    <row r="2188" outlineLevel="1">
      <c r="A2188" s="9" t="s">
        <v>2375</v>
      </c>
      <c r="B2188" s="9" t="s">
        <v>2376</v>
      </c>
      <c r="C2188" s="12" t="s">
        <v>53</v>
      </c>
      <c r="D2188" s="14" t="s">
        <v>2296</v>
      </c>
      <c r="E2188" s="16"/>
      <c r="F2188" s="8"/>
      <c r="G2188" s="16"/>
      <c r="H2188" s="8"/>
      <c r="I2188" s="16"/>
    </row>
    <row r="2189" outlineLevel="1">
      <c r="A2189" s="9" t="s">
        <v>163</v>
      </c>
      <c r="B2189" s="9" t="s">
        <v>2377</v>
      </c>
      <c r="C2189" s="12" t="s">
        <v>24</v>
      </c>
      <c r="D2189" s="14" t="s">
        <v>2296</v>
      </c>
      <c r="E2189" s="16"/>
      <c r="F2189" s="8"/>
      <c r="G2189" s="16"/>
      <c r="H2189" s="8"/>
      <c r="I2189" s="16"/>
    </row>
    <row r="2190" outlineLevel="1">
      <c r="A2190" s="9" t="s">
        <v>163</v>
      </c>
      <c r="B2190" s="9" t="s">
        <v>2378</v>
      </c>
      <c r="C2190" s="12" t="s">
        <v>122</v>
      </c>
      <c r="D2190" s="14" t="s">
        <v>2296</v>
      </c>
      <c r="E2190" s="16"/>
      <c r="F2190" s="8"/>
      <c r="G2190" s="16"/>
      <c r="H2190" s="8"/>
      <c r="I2190" s="16"/>
    </row>
    <row r="2191" outlineLevel="1">
      <c r="A2191" s="9" t="s">
        <v>2379</v>
      </c>
      <c r="B2191" s="9" t="s">
        <v>263</v>
      </c>
      <c r="C2191" s="12" t="s">
        <v>46</v>
      </c>
      <c r="D2191" s="14" t="s">
        <v>2296</v>
      </c>
      <c r="E2191" s="16"/>
      <c r="F2191" s="8"/>
      <c r="G2191" s="16"/>
      <c r="H2191" s="8"/>
      <c r="I2191" s="16"/>
    </row>
    <row r="2192" outlineLevel="1">
      <c r="A2192" s="9" t="s">
        <v>2380</v>
      </c>
      <c r="B2192" s="9" t="s">
        <v>642</v>
      </c>
      <c r="C2192" s="12" t="s">
        <v>65</v>
      </c>
      <c r="D2192" s="14" t="s">
        <v>2296</v>
      </c>
      <c r="E2192" s="16"/>
      <c r="F2192" s="8"/>
      <c r="G2192" s="16"/>
      <c r="H2192" s="8"/>
      <c r="I2192" s="16"/>
    </row>
    <row r="2193" outlineLevel="1">
      <c r="A2193" s="9" t="s">
        <v>218</v>
      </c>
      <c r="B2193" s="9" t="s">
        <v>527</v>
      </c>
      <c r="C2193" s="12" t="s">
        <v>141</v>
      </c>
      <c r="D2193" s="14" t="s">
        <v>2296</v>
      </c>
      <c r="E2193" s="16"/>
      <c r="F2193" s="8"/>
      <c r="G2193" s="16"/>
      <c r="H2193" s="8"/>
      <c r="I2193" s="16"/>
    </row>
    <row r="2194" outlineLevel="1">
      <c r="A2194" s="9" t="s">
        <v>1895</v>
      </c>
      <c r="B2194" s="9" t="s">
        <v>2381</v>
      </c>
      <c r="C2194" s="12" t="s">
        <v>75</v>
      </c>
      <c r="D2194" s="14" t="s">
        <v>2296</v>
      </c>
      <c r="E2194" s="16"/>
      <c r="F2194" s="8"/>
      <c r="G2194" s="16"/>
      <c r="H2194" s="8"/>
      <c r="I2194" s="16"/>
    </row>
    <row r="2195" outlineLevel="1">
      <c r="A2195" s="9" t="s">
        <v>2382</v>
      </c>
      <c r="B2195" s="9" t="s">
        <v>471</v>
      </c>
      <c r="C2195" s="12" t="s">
        <v>192</v>
      </c>
      <c r="D2195" s="14" t="s">
        <v>2296</v>
      </c>
      <c r="E2195" s="16"/>
      <c r="F2195" s="8"/>
      <c r="G2195" s="16"/>
      <c r="H2195" s="8"/>
      <c r="I2195" s="16"/>
    </row>
    <row r="2196" outlineLevel="1">
      <c r="A2196" s="9" t="s">
        <v>2382</v>
      </c>
      <c r="B2196" s="9" t="s">
        <v>2313</v>
      </c>
      <c r="C2196" s="12" t="s">
        <v>65</v>
      </c>
      <c r="D2196" s="14" t="s">
        <v>2296</v>
      </c>
      <c r="E2196" s="16"/>
      <c r="F2196" s="8"/>
      <c r="G2196" s="16"/>
      <c r="H2196" s="8"/>
      <c r="I2196" s="16"/>
    </row>
    <row r="2197" outlineLevel="1">
      <c r="A2197" s="9" t="s">
        <v>2383</v>
      </c>
      <c r="B2197" s="9" t="s">
        <v>2200</v>
      </c>
      <c r="C2197" s="12" t="s">
        <v>93</v>
      </c>
      <c r="D2197" s="14" t="s">
        <v>2296</v>
      </c>
      <c r="E2197" s="16"/>
      <c r="F2197" s="8"/>
      <c r="G2197" s="16"/>
      <c r="H2197" s="8"/>
      <c r="I2197" s="16"/>
    </row>
    <row r="2198" outlineLevel="1">
      <c r="A2198" s="9" t="s">
        <v>402</v>
      </c>
      <c r="B2198" s="9" t="s">
        <v>263</v>
      </c>
      <c r="C2198" s="12" t="s">
        <v>93</v>
      </c>
      <c r="D2198" s="14" t="s">
        <v>2296</v>
      </c>
      <c r="E2198" s="16"/>
      <c r="F2198" s="8"/>
      <c r="G2198" s="16"/>
      <c r="H2198" s="8"/>
      <c r="I2198" s="16"/>
    </row>
    <row r="2199" outlineLevel="1">
      <c r="A2199" s="9" t="s">
        <v>402</v>
      </c>
      <c r="B2199" s="9" t="s">
        <v>1031</v>
      </c>
      <c r="C2199" s="12" t="s">
        <v>65</v>
      </c>
      <c r="D2199" s="14" t="s">
        <v>2296</v>
      </c>
      <c r="E2199" s="16"/>
      <c r="F2199" s="8"/>
      <c r="G2199" s="16"/>
      <c r="H2199" s="8"/>
      <c r="I2199" s="16"/>
    </row>
    <row r="2200" outlineLevel="1">
      <c r="A2200" s="9" t="s">
        <v>402</v>
      </c>
      <c r="B2200" s="9" t="s">
        <v>2384</v>
      </c>
      <c r="C2200" s="12" t="s">
        <v>215</v>
      </c>
      <c r="D2200" s="14" t="s">
        <v>2296</v>
      </c>
      <c r="E2200" s="16"/>
      <c r="F2200" s="8"/>
      <c r="G2200" s="16"/>
      <c r="H2200" s="8"/>
      <c r="I2200" s="16"/>
    </row>
    <row r="2201" outlineLevel="1">
      <c r="A2201" s="9" t="s">
        <v>427</v>
      </c>
      <c r="B2201" s="9" t="s">
        <v>1457</v>
      </c>
      <c r="C2201" s="12" t="s">
        <v>65</v>
      </c>
      <c r="D2201" s="14" t="s">
        <v>2296</v>
      </c>
      <c r="E2201" s="16"/>
      <c r="F2201" s="8"/>
      <c r="G2201" s="16"/>
      <c r="H2201" s="8"/>
      <c r="I2201" s="16"/>
    </row>
    <row r="2202" outlineLevel="1">
      <c r="A2202" s="9" t="s">
        <v>1265</v>
      </c>
      <c r="B2202" s="9" t="s">
        <v>506</v>
      </c>
      <c r="C2202" s="12" t="s">
        <v>70</v>
      </c>
      <c r="D2202" s="14" t="s">
        <v>2296</v>
      </c>
      <c r="E2202" s="16"/>
      <c r="F2202" s="8"/>
      <c r="G2202" s="16"/>
      <c r="H2202" s="8"/>
      <c r="I2202" s="16"/>
    </row>
    <row r="2203" outlineLevel="1">
      <c r="A2203" s="18" t="s">
        <v>1264</v>
      </c>
      <c r="B2203" s="9" t="s">
        <v>529</v>
      </c>
      <c r="C2203" s="12" t="s">
        <v>65</v>
      </c>
      <c r="D2203" s="14" t="s">
        <v>2296</v>
      </c>
      <c r="E2203" s="16"/>
      <c r="F2203" s="8"/>
      <c r="G2203" s="16"/>
      <c r="H2203" s="8"/>
      <c r="I2203" s="16"/>
    </row>
    <row r="2204" outlineLevel="1">
      <c r="A2204" s="9" t="s">
        <v>1264</v>
      </c>
      <c r="B2204" s="18" t="s">
        <v>2385</v>
      </c>
      <c r="C2204" s="19" t="s">
        <v>80</v>
      </c>
      <c r="D2204" s="14" t="s">
        <v>2296</v>
      </c>
      <c r="E2204" s="16"/>
      <c r="F2204" s="8"/>
      <c r="G2204" s="16"/>
      <c r="H2204" s="8"/>
      <c r="I2204" s="16"/>
    </row>
    <row r="2205" outlineLevel="1">
      <c r="A2205" s="9" t="s">
        <v>1539</v>
      </c>
      <c r="B2205" s="9" t="s">
        <v>154</v>
      </c>
      <c r="C2205" s="12" t="s">
        <v>24</v>
      </c>
      <c r="D2205" s="14" t="s">
        <v>2296</v>
      </c>
      <c r="E2205" s="16"/>
      <c r="F2205" s="8"/>
      <c r="G2205" s="16"/>
      <c r="H2205" s="8"/>
      <c r="I2205" s="16"/>
    </row>
    <row r="2206" outlineLevel="1">
      <c r="A2206" s="9" t="s">
        <v>146</v>
      </c>
      <c r="B2206" s="9" t="s">
        <v>548</v>
      </c>
      <c r="C2206" s="12" t="s">
        <v>65</v>
      </c>
      <c r="D2206" s="14" t="s">
        <v>2296</v>
      </c>
      <c r="E2206" s="16"/>
      <c r="F2206" s="18"/>
      <c r="G2206" s="19"/>
      <c r="H2206" s="18"/>
      <c r="I2206" s="19"/>
    </row>
    <row r="2207" outlineLevel="1">
      <c r="A2207" s="9" t="s">
        <v>2386</v>
      </c>
      <c r="B2207" s="9" t="s">
        <v>162</v>
      </c>
      <c r="C2207" s="12" t="s">
        <v>93</v>
      </c>
      <c r="D2207" s="14" t="s">
        <v>2296</v>
      </c>
      <c r="E2207" s="16"/>
      <c r="F2207" s="8"/>
      <c r="G2207" s="16"/>
      <c r="H2207" s="8"/>
      <c r="I2207" s="16"/>
    </row>
    <row r="2208" outlineLevel="1">
      <c r="A2208" s="9" t="s">
        <v>767</v>
      </c>
      <c r="B2208" s="9" t="s">
        <v>905</v>
      </c>
      <c r="C2208" s="12" t="s">
        <v>16</v>
      </c>
      <c r="D2208" s="14" t="s">
        <v>2296</v>
      </c>
      <c r="E2208" s="16"/>
      <c r="F2208" s="8"/>
      <c r="G2208" s="16"/>
      <c r="H2208" s="8"/>
      <c r="I2208" s="16"/>
    </row>
    <row r="2209" outlineLevel="1">
      <c r="A2209" s="9" t="s">
        <v>2387</v>
      </c>
      <c r="B2209" s="9" t="s">
        <v>1611</v>
      </c>
      <c r="C2209" s="12" t="s">
        <v>24</v>
      </c>
      <c r="D2209" s="14" t="s">
        <v>2296</v>
      </c>
      <c r="E2209" s="16"/>
      <c r="F2209" s="18"/>
      <c r="G2209" s="19"/>
      <c r="H2209" s="18"/>
      <c r="I2209" s="19"/>
    </row>
    <row r="2210" outlineLevel="1">
      <c r="A2210" s="9" t="s">
        <v>220</v>
      </c>
      <c r="B2210" s="9" t="s">
        <v>212</v>
      </c>
      <c r="C2210" s="12" t="s">
        <v>53</v>
      </c>
      <c r="D2210" s="14" t="s">
        <v>2296</v>
      </c>
      <c r="E2210" s="16"/>
      <c r="F2210" s="8"/>
      <c r="G2210" s="16"/>
      <c r="H2210" s="8"/>
      <c r="I2210" s="16"/>
    </row>
    <row r="2211" outlineLevel="1">
      <c r="A2211" s="9" t="s">
        <v>220</v>
      </c>
      <c r="B2211" s="9" t="s">
        <v>231</v>
      </c>
      <c r="C2211" s="12" t="s">
        <v>93</v>
      </c>
      <c r="D2211" s="14" t="s">
        <v>2296</v>
      </c>
      <c r="E2211" s="16"/>
      <c r="F2211" s="8"/>
      <c r="G2211" s="16"/>
      <c r="H2211" s="8"/>
      <c r="I2211" s="16"/>
    </row>
    <row r="2212" outlineLevel="1">
      <c r="A2212" s="9" t="s">
        <v>1548</v>
      </c>
      <c r="B2212" s="9" t="s">
        <v>2388</v>
      </c>
      <c r="C2212" s="12" t="s">
        <v>138</v>
      </c>
      <c r="D2212" s="14" t="s">
        <v>2296</v>
      </c>
      <c r="E2212" s="16"/>
      <c r="F2212" s="18"/>
      <c r="G2212" s="19"/>
      <c r="H2212" s="18"/>
      <c r="I2212" s="19"/>
    </row>
    <row r="2213" outlineLevel="1">
      <c r="A2213" s="9" t="s">
        <v>1551</v>
      </c>
      <c r="B2213" s="9" t="s">
        <v>1711</v>
      </c>
      <c r="C2213" s="12" t="s">
        <v>122</v>
      </c>
      <c r="D2213" s="14" t="s">
        <v>2296</v>
      </c>
      <c r="E2213" s="16"/>
      <c r="F2213" s="8"/>
      <c r="G2213" s="16"/>
      <c r="H2213" s="8"/>
      <c r="I2213" s="16"/>
    </row>
    <row r="2214" outlineLevel="1">
      <c r="A2214" s="9" t="s">
        <v>2389</v>
      </c>
      <c r="B2214" s="9" t="s">
        <v>2390</v>
      </c>
      <c r="C2214" s="12" t="s">
        <v>53</v>
      </c>
      <c r="D2214" s="14" t="s">
        <v>2296</v>
      </c>
      <c r="E2214" s="16"/>
      <c r="F2214" s="8"/>
      <c r="G2214" s="16"/>
      <c r="H2214" s="8"/>
      <c r="I2214" s="16"/>
    </row>
    <row r="2215" outlineLevel="1">
      <c r="A2215" s="9" t="s">
        <v>2391</v>
      </c>
      <c r="B2215" s="9" t="s">
        <v>2392</v>
      </c>
      <c r="C2215" s="12" t="s">
        <v>46</v>
      </c>
      <c r="D2215" s="14" t="s">
        <v>2296</v>
      </c>
      <c r="E2215" s="16"/>
      <c r="F2215" s="8"/>
      <c r="G2215" s="16"/>
      <c r="H2215" s="8"/>
      <c r="I2215" s="16"/>
    </row>
    <row r="2216" outlineLevel="1">
      <c r="A2216" s="9" t="s">
        <v>2393</v>
      </c>
      <c r="B2216" s="9" t="s">
        <v>948</v>
      </c>
      <c r="C2216" s="12" t="s">
        <v>93</v>
      </c>
      <c r="D2216" s="14" t="s">
        <v>2296</v>
      </c>
      <c r="E2216" s="16"/>
      <c r="F2216" s="8"/>
      <c r="G2216" s="16"/>
      <c r="H2216" s="8"/>
      <c r="I2216" s="16"/>
    </row>
    <row r="2217" outlineLevel="1">
      <c r="A2217" s="9" t="s">
        <v>2394</v>
      </c>
      <c r="B2217" s="9" t="s">
        <v>2395</v>
      </c>
      <c r="C2217" s="12" t="s">
        <v>70</v>
      </c>
      <c r="D2217" s="14" t="s">
        <v>2296</v>
      </c>
      <c r="E2217" s="16"/>
      <c r="F2217" s="8"/>
      <c r="G2217" s="16"/>
      <c r="H2217" s="8"/>
      <c r="I2217" s="16"/>
    </row>
    <row r="2218" outlineLevel="1">
      <c r="A2218" s="9" t="s">
        <v>2393</v>
      </c>
      <c r="B2218" s="9" t="s">
        <v>301</v>
      </c>
      <c r="C2218" s="12" t="s">
        <v>24</v>
      </c>
      <c r="D2218" s="14" t="s">
        <v>2296</v>
      </c>
      <c r="E2218" s="16"/>
      <c r="F2218" s="8"/>
      <c r="G2218" s="16"/>
      <c r="H2218" s="8"/>
      <c r="I2218" s="16"/>
    </row>
    <row r="2219" outlineLevel="1">
      <c r="A2219" s="9" t="s">
        <v>2396</v>
      </c>
      <c r="B2219" s="9" t="s">
        <v>357</v>
      </c>
      <c r="C2219" s="12" t="s">
        <v>59</v>
      </c>
      <c r="D2219" s="14" t="s">
        <v>2296</v>
      </c>
      <c r="E2219" s="16"/>
      <c r="F2219" s="8"/>
      <c r="G2219" s="16"/>
      <c r="H2219" s="8"/>
      <c r="I2219" s="16"/>
    </row>
    <row r="2220" outlineLevel="1">
      <c r="A2220" s="9" t="s">
        <v>775</v>
      </c>
      <c r="B2220" s="9" t="s">
        <v>1186</v>
      </c>
      <c r="C2220" s="12" t="s">
        <v>75</v>
      </c>
      <c r="D2220" s="14" t="s">
        <v>2296</v>
      </c>
      <c r="E2220" s="16"/>
      <c r="F2220" s="8"/>
      <c r="G2220" s="16"/>
      <c r="H2220" s="8"/>
      <c r="I2220" s="16"/>
    </row>
    <row r="2221" outlineLevel="1">
      <c r="A2221" s="18" t="s">
        <v>2397</v>
      </c>
      <c r="B2221" s="9" t="s">
        <v>2398</v>
      </c>
      <c r="C2221" s="12" t="s">
        <v>122</v>
      </c>
      <c r="D2221" s="14" t="s">
        <v>2296</v>
      </c>
      <c r="E2221" s="16"/>
      <c r="F2221" s="8"/>
      <c r="G2221" s="16"/>
      <c r="H2221" s="8"/>
      <c r="I2221" s="16"/>
    </row>
    <row r="2222" outlineLevel="1">
      <c r="A2222" s="9" t="s">
        <v>1573</v>
      </c>
      <c r="B2222" s="18" t="s">
        <v>865</v>
      </c>
      <c r="C2222" s="19" t="s">
        <v>149</v>
      </c>
      <c r="D2222" s="14" t="s">
        <v>2296</v>
      </c>
      <c r="E2222" s="16"/>
      <c r="F2222" s="8"/>
      <c r="G2222" s="16"/>
      <c r="H2222" s="8"/>
      <c r="I2222" s="16"/>
    </row>
    <row r="2223" outlineLevel="1">
      <c r="A2223" s="9" t="s">
        <v>2399</v>
      </c>
      <c r="B2223" s="9" t="s">
        <v>2400</v>
      </c>
      <c r="C2223" s="12" t="s">
        <v>59</v>
      </c>
      <c r="D2223" s="14" t="s">
        <v>2296</v>
      </c>
      <c r="E2223" s="16"/>
      <c r="F2223" s="8"/>
      <c r="G2223" s="16"/>
      <c r="H2223" s="8"/>
      <c r="I2223" s="16"/>
    </row>
    <row r="2224" outlineLevel="1">
      <c r="A2224" s="9" t="s">
        <v>2401</v>
      </c>
      <c r="B2224" s="9" t="s">
        <v>140</v>
      </c>
      <c r="C2224" s="12" t="s">
        <v>70</v>
      </c>
      <c r="D2224" s="14" t="s">
        <v>2296</v>
      </c>
      <c r="E2224" s="16"/>
      <c r="F2224" s="8"/>
      <c r="G2224" s="16"/>
      <c r="H2224" s="8"/>
      <c r="I2224" s="16"/>
    </row>
    <row r="2225" outlineLevel="1">
      <c r="A2225" s="9" t="s">
        <v>1577</v>
      </c>
      <c r="B2225" s="9" t="s">
        <v>67</v>
      </c>
      <c r="C2225" s="12" t="s">
        <v>149</v>
      </c>
      <c r="D2225" s="14" t="s">
        <v>2296</v>
      </c>
      <c r="E2225" s="16"/>
      <c r="F2225" s="8"/>
      <c r="G2225" s="16"/>
      <c r="H2225" s="8"/>
      <c r="I2225" s="16"/>
    </row>
    <row r="2226" outlineLevel="1">
      <c r="A2226" s="9" t="s">
        <v>2402</v>
      </c>
      <c r="B2226" s="9" t="s">
        <v>50</v>
      </c>
      <c r="C2226" s="12" t="s">
        <v>75</v>
      </c>
      <c r="D2226" s="14" t="s">
        <v>2296</v>
      </c>
      <c r="E2226" s="16"/>
      <c r="F2226" s="8"/>
      <c r="G2226" s="16"/>
      <c r="H2226" s="8"/>
      <c r="I2226" s="16"/>
    </row>
    <row r="2227" outlineLevel="1">
      <c r="A2227" s="9" t="s">
        <v>340</v>
      </c>
      <c r="B2227" s="9" t="s">
        <v>948</v>
      </c>
      <c r="C2227" s="12" t="s">
        <v>149</v>
      </c>
      <c r="D2227" s="14" t="s">
        <v>2296</v>
      </c>
      <c r="E2227" s="16"/>
      <c r="F2227" s="8"/>
      <c r="G2227" s="16"/>
      <c r="H2227" s="8"/>
      <c r="I2227" s="16"/>
    </row>
    <row r="2228" outlineLevel="1">
      <c r="A2228" s="9" t="s">
        <v>2403</v>
      </c>
      <c r="B2228" s="9" t="s">
        <v>212</v>
      </c>
      <c r="C2228" s="12" t="s">
        <v>65</v>
      </c>
      <c r="D2228" s="14" t="s">
        <v>2296</v>
      </c>
      <c r="E2228" s="16"/>
      <c r="F2228" s="8"/>
      <c r="G2228" s="16"/>
      <c r="H2228" s="8"/>
      <c r="I2228" s="16"/>
    </row>
    <row r="2229" outlineLevel="1">
      <c r="A2229" s="9" t="s">
        <v>1294</v>
      </c>
      <c r="B2229" s="9" t="s">
        <v>1990</v>
      </c>
      <c r="C2229" s="12" t="s">
        <v>138</v>
      </c>
      <c r="D2229" s="14" t="s">
        <v>2296</v>
      </c>
      <c r="E2229" s="16"/>
      <c r="F2229" s="8"/>
      <c r="G2229" s="16"/>
      <c r="H2229" s="8"/>
      <c r="I2229" s="16"/>
    </row>
    <row r="2230" outlineLevel="1">
      <c r="A2230" s="9" t="s">
        <v>2404</v>
      </c>
      <c r="B2230" s="9" t="s">
        <v>2405</v>
      </c>
      <c r="C2230" s="12" t="s">
        <v>80</v>
      </c>
      <c r="D2230" s="14" t="s">
        <v>2296</v>
      </c>
      <c r="E2230" s="16"/>
      <c r="F2230" s="8"/>
      <c r="G2230" s="16"/>
      <c r="H2230" s="8"/>
      <c r="I2230" s="16"/>
    </row>
    <row r="2231" outlineLevel="1">
      <c r="A2231" s="18" t="s">
        <v>223</v>
      </c>
      <c r="B2231" s="9" t="s">
        <v>529</v>
      </c>
      <c r="C2231" s="12" t="s">
        <v>80</v>
      </c>
      <c r="D2231" s="14" t="s">
        <v>2296</v>
      </c>
      <c r="E2231" s="16"/>
      <c r="F2231" s="8"/>
      <c r="G2231" s="16"/>
      <c r="H2231" s="8"/>
      <c r="I2231" s="16"/>
    </row>
    <row r="2232" outlineLevel="1">
      <c r="A2232" s="9" t="s">
        <v>1012</v>
      </c>
      <c r="B2232" s="18" t="s">
        <v>381</v>
      </c>
      <c r="C2232" s="19" t="s">
        <v>80</v>
      </c>
      <c r="D2232" s="14" t="s">
        <v>2296</v>
      </c>
      <c r="E2232" s="16"/>
      <c r="F2232" s="8"/>
      <c r="G2232" s="16"/>
      <c r="H2232" s="8"/>
      <c r="I2232" s="16"/>
    </row>
    <row r="2233" outlineLevel="1">
      <c r="A2233" s="9" t="s">
        <v>2406</v>
      </c>
      <c r="B2233" s="9" t="s">
        <v>1380</v>
      </c>
      <c r="C2233" s="12" t="s">
        <v>65</v>
      </c>
      <c r="D2233" s="14" t="s">
        <v>2296</v>
      </c>
      <c r="E2233" s="16"/>
      <c r="F2233" s="8"/>
      <c r="G2233" s="16"/>
      <c r="H2233" s="8"/>
      <c r="I2233" s="16"/>
    </row>
    <row r="2234" outlineLevel="1">
      <c r="A2234" s="9" t="s">
        <v>785</v>
      </c>
      <c r="B2234" s="9" t="s">
        <v>155</v>
      </c>
      <c r="C2234" s="12" t="s">
        <v>93</v>
      </c>
      <c r="D2234" s="14" t="s">
        <v>2296</v>
      </c>
      <c r="E2234" s="16"/>
      <c r="F2234" s="18"/>
      <c r="G2234" s="19"/>
      <c r="H2234" s="18"/>
      <c r="I2234" s="19"/>
    </row>
    <row r="2235" outlineLevel="1">
      <c r="A2235" s="9" t="s">
        <v>2407</v>
      </c>
      <c r="B2235" s="9" t="s">
        <v>301</v>
      </c>
      <c r="C2235" s="12" t="s">
        <v>16</v>
      </c>
      <c r="D2235" s="14" t="s">
        <v>2296</v>
      </c>
      <c r="E2235" s="16"/>
      <c r="F2235" s="8"/>
      <c r="G2235" s="16"/>
      <c r="H2235" s="8"/>
      <c r="I2235" s="16"/>
    </row>
    <row r="2236" outlineLevel="1">
      <c r="A2236" s="9" t="s">
        <v>2408</v>
      </c>
      <c r="B2236" s="9" t="s">
        <v>161</v>
      </c>
      <c r="C2236" s="12" t="s">
        <v>16</v>
      </c>
      <c r="D2236" s="14" t="s">
        <v>2296</v>
      </c>
      <c r="E2236" s="16"/>
      <c r="F2236" s="8"/>
      <c r="G2236" s="16"/>
      <c r="H2236" s="8"/>
      <c r="I2236" s="16"/>
    </row>
    <row r="2237" outlineLevel="1">
      <c r="A2237" s="9" t="s">
        <v>2409</v>
      </c>
      <c r="B2237" s="9" t="s">
        <v>2410</v>
      </c>
      <c r="C2237" s="12" t="s">
        <v>132</v>
      </c>
      <c r="D2237" s="14" t="s">
        <v>2296</v>
      </c>
      <c r="E2237" s="16"/>
      <c r="F2237" s="8"/>
      <c r="G2237" s="16"/>
      <c r="H2237" s="8"/>
      <c r="I2237" s="16"/>
    </row>
    <row r="2238" outlineLevel="1">
      <c r="A2238" s="9" t="s">
        <v>225</v>
      </c>
      <c r="B2238" s="9" t="s">
        <v>1219</v>
      </c>
      <c r="C2238" s="12" t="s">
        <v>70</v>
      </c>
      <c r="D2238" s="14" t="s">
        <v>2296</v>
      </c>
      <c r="E2238" s="16"/>
      <c r="F2238" s="8"/>
      <c r="G2238" s="16"/>
      <c r="H2238" s="8"/>
      <c r="I2238" s="16"/>
    </row>
    <row r="2239" outlineLevel="1">
      <c r="A2239" s="9" t="s">
        <v>600</v>
      </c>
      <c r="B2239" s="9" t="s">
        <v>1963</v>
      </c>
      <c r="C2239" s="12" t="s">
        <v>80</v>
      </c>
      <c r="D2239" s="14" t="s">
        <v>2296</v>
      </c>
      <c r="E2239" s="16"/>
      <c r="F2239" s="8"/>
      <c r="G2239" s="16"/>
      <c r="H2239" s="8"/>
      <c r="I2239" s="16"/>
    </row>
    <row r="2240" outlineLevel="1">
      <c r="A2240" s="9" t="s">
        <v>2411</v>
      </c>
      <c r="B2240" s="9" t="s">
        <v>2412</v>
      </c>
      <c r="C2240" s="12" t="s">
        <v>70</v>
      </c>
      <c r="D2240" s="14" t="s">
        <v>2296</v>
      </c>
      <c r="E2240" s="16"/>
      <c r="F2240" s="8"/>
      <c r="G2240" s="16"/>
      <c r="H2240" s="8"/>
      <c r="I2240" s="16"/>
    </row>
    <row r="2241" outlineLevel="1">
      <c r="A2241" s="9" t="s">
        <v>1031</v>
      </c>
      <c r="B2241" s="9" t="s">
        <v>2413</v>
      </c>
      <c r="C2241" s="12" t="s">
        <v>38</v>
      </c>
      <c r="D2241" s="14" t="s">
        <v>2296</v>
      </c>
      <c r="E2241" s="16"/>
      <c r="F2241" s="8"/>
      <c r="G2241" s="16"/>
      <c r="H2241" s="8"/>
      <c r="I2241" s="16"/>
    </row>
    <row r="2242" outlineLevel="1">
      <c r="A2242" s="9" t="s">
        <v>2414</v>
      </c>
      <c r="B2242" s="9" t="s">
        <v>464</v>
      </c>
      <c r="C2242" s="12" t="s">
        <v>12</v>
      </c>
      <c r="D2242" s="14" t="s">
        <v>2296</v>
      </c>
      <c r="E2242" s="16"/>
      <c r="F2242" s="8"/>
      <c r="G2242" s="16"/>
      <c r="H2242" s="8"/>
      <c r="I2242" s="16"/>
    </row>
    <row r="2243" outlineLevel="1">
      <c r="A2243" s="9" t="s">
        <v>2415</v>
      </c>
      <c r="B2243" s="9" t="s">
        <v>1209</v>
      </c>
      <c r="C2243" s="12" t="s">
        <v>122</v>
      </c>
      <c r="D2243" s="14" t="s">
        <v>2296</v>
      </c>
      <c r="E2243" s="16"/>
      <c r="F2243" s="8"/>
      <c r="G2243" s="16"/>
      <c r="H2243" s="8"/>
      <c r="I2243" s="16"/>
    </row>
    <row r="2244" outlineLevel="1">
      <c r="A2244" s="9" t="s">
        <v>2416</v>
      </c>
      <c r="B2244" s="9" t="s">
        <v>1486</v>
      </c>
      <c r="C2244" s="12" t="s">
        <v>93</v>
      </c>
      <c r="D2244" s="14" t="s">
        <v>2296</v>
      </c>
      <c r="E2244" s="16"/>
      <c r="F2244" s="8"/>
      <c r="G2244" s="16"/>
      <c r="H2244" s="8"/>
      <c r="I2244" s="16"/>
    </row>
    <row r="2245" outlineLevel="1">
      <c r="A2245" s="9" t="s">
        <v>2417</v>
      </c>
      <c r="B2245" s="9" t="s">
        <v>214</v>
      </c>
      <c r="C2245" s="12" t="s">
        <v>16</v>
      </c>
      <c r="D2245" s="14" t="s">
        <v>2296</v>
      </c>
      <c r="E2245" s="16"/>
      <c r="F2245" s="8"/>
      <c r="G2245" s="16"/>
      <c r="H2245" s="8"/>
      <c r="I2245" s="16"/>
    </row>
    <row r="2246" outlineLevel="1">
      <c r="A2246" s="9" t="s">
        <v>1615</v>
      </c>
      <c r="B2246" s="9" t="s">
        <v>550</v>
      </c>
      <c r="C2246" s="12" t="s">
        <v>138</v>
      </c>
      <c r="D2246" s="14" t="s">
        <v>2296</v>
      </c>
      <c r="E2246" s="16"/>
      <c r="F2246" s="8"/>
      <c r="G2246" s="16"/>
      <c r="H2246" s="8"/>
      <c r="I2246" s="16"/>
    </row>
    <row r="2247" outlineLevel="1">
      <c r="A2247" s="9" t="s">
        <v>99</v>
      </c>
      <c r="B2247" s="9" t="s">
        <v>1051</v>
      </c>
      <c r="C2247" s="12" t="s">
        <v>65</v>
      </c>
      <c r="D2247" s="14" t="s">
        <v>2296</v>
      </c>
      <c r="E2247" s="16"/>
      <c r="F2247" s="8"/>
      <c r="G2247" s="16"/>
      <c r="H2247" s="8"/>
      <c r="I2247" s="16"/>
    </row>
    <row r="2248" outlineLevel="1">
      <c r="A2248" s="9" t="s">
        <v>99</v>
      </c>
      <c r="B2248" s="9" t="s">
        <v>277</v>
      </c>
      <c r="C2248" s="12" t="s">
        <v>186</v>
      </c>
      <c r="D2248" s="14" t="s">
        <v>2296</v>
      </c>
      <c r="E2248" s="16"/>
      <c r="F2248" s="8"/>
      <c r="G2248" s="16"/>
      <c r="H2248" s="8"/>
      <c r="I2248" s="16"/>
    </row>
    <row r="2249" outlineLevel="1">
      <c r="A2249" s="9" t="s">
        <v>99</v>
      </c>
      <c r="B2249" s="9" t="s">
        <v>52</v>
      </c>
      <c r="C2249" s="12" t="s">
        <v>186</v>
      </c>
      <c r="D2249" s="14" t="s">
        <v>2296</v>
      </c>
      <c r="E2249" s="16"/>
      <c r="F2249" s="8"/>
      <c r="G2249" s="16"/>
      <c r="H2249" s="8"/>
      <c r="I2249" s="16"/>
    </row>
    <row r="2250" outlineLevel="1">
      <c r="A2250" s="9" t="s">
        <v>2246</v>
      </c>
      <c r="B2250" s="9" t="s">
        <v>800</v>
      </c>
      <c r="C2250" s="12" t="s">
        <v>65</v>
      </c>
      <c r="D2250" s="14" t="s">
        <v>2296</v>
      </c>
      <c r="E2250" s="16"/>
      <c r="F2250" s="8"/>
      <c r="G2250" s="16"/>
      <c r="H2250" s="8"/>
      <c r="I2250" s="16"/>
    </row>
    <row r="2251" outlineLevel="1">
      <c r="A2251" s="9" t="s">
        <v>2418</v>
      </c>
      <c r="B2251" s="9" t="s">
        <v>381</v>
      </c>
      <c r="C2251" s="12" t="s">
        <v>46</v>
      </c>
      <c r="D2251" s="14" t="s">
        <v>2296</v>
      </c>
      <c r="E2251" s="16"/>
      <c r="F2251" s="8"/>
      <c r="G2251" s="16"/>
      <c r="H2251" s="8"/>
      <c r="I2251" s="16"/>
    </row>
    <row r="2252" outlineLevel="1">
      <c r="A2252" s="9" t="s">
        <v>99</v>
      </c>
      <c r="B2252" s="9" t="s">
        <v>1779</v>
      </c>
      <c r="C2252" s="12" t="s">
        <v>24</v>
      </c>
      <c r="D2252" s="14" t="s">
        <v>2296</v>
      </c>
      <c r="E2252" s="16"/>
      <c r="F2252" s="8"/>
      <c r="G2252" s="16"/>
      <c r="H2252" s="8"/>
      <c r="I2252" s="16"/>
    </row>
    <row r="2253" outlineLevel="1">
      <c r="A2253" s="9" t="s">
        <v>99</v>
      </c>
      <c r="B2253" s="9" t="s">
        <v>2419</v>
      </c>
      <c r="C2253" s="12" t="s">
        <v>186</v>
      </c>
      <c r="D2253" s="14" t="s">
        <v>2296</v>
      </c>
      <c r="E2253" s="16"/>
      <c r="F2253" s="8"/>
      <c r="G2253" s="16"/>
      <c r="H2253" s="8"/>
      <c r="I2253" s="16"/>
    </row>
    <row r="2254" outlineLevel="1">
      <c r="A2254" s="9" t="s">
        <v>2420</v>
      </c>
      <c r="B2254" s="9" t="s">
        <v>2421</v>
      </c>
      <c r="C2254" s="12" t="s">
        <v>65</v>
      </c>
      <c r="D2254" s="14" t="s">
        <v>2296</v>
      </c>
      <c r="E2254" s="16"/>
      <c r="F2254" s="8"/>
      <c r="G2254" s="16"/>
      <c r="H2254" s="8"/>
      <c r="I2254" s="16"/>
    </row>
    <row r="2255" outlineLevel="1">
      <c r="A2255" s="9" t="s">
        <v>2422</v>
      </c>
      <c r="B2255" s="9" t="s">
        <v>2423</v>
      </c>
      <c r="C2255" s="12" t="s">
        <v>65</v>
      </c>
      <c r="D2255" s="14" t="s">
        <v>2296</v>
      </c>
      <c r="E2255" s="16"/>
      <c r="F2255" s="8"/>
      <c r="G2255" s="16"/>
      <c r="H2255" s="8"/>
      <c r="I2255" s="16"/>
    </row>
    <row r="2256" outlineLevel="1">
      <c r="A2256" s="9" t="s">
        <v>2424</v>
      </c>
      <c r="B2256" s="9" t="s">
        <v>2425</v>
      </c>
      <c r="C2256" s="12" t="s">
        <v>24</v>
      </c>
      <c r="D2256" s="14" t="s">
        <v>2296</v>
      </c>
      <c r="E2256" s="16"/>
      <c r="F2256" s="8"/>
      <c r="G2256" s="16"/>
      <c r="H2256" s="8"/>
      <c r="I2256" s="16"/>
    </row>
    <row r="2257" outlineLevel="1">
      <c r="A2257" s="9" t="s">
        <v>2426</v>
      </c>
      <c r="B2257" s="9" t="s">
        <v>894</v>
      </c>
      <c r="C2257" s="12" t="s">
        <v>16</v>
      </c>
      <c r="D2257" s="14" t="s">
        <v>2296</v>
      </c>
      <c r="E2257" s="16"/>
      <c r="F2257" s="8"/>
      <c r="G2257" s="16"/>
      <c r="H2257" s="8"/>
      <c r="I2257" s="16"/>
    </row>
    <row r="2258" outlineLevel="1">
      <c r="A2258" s="9" t="s">
        <v>2427</v>
      </c>
      <c r="B2258" s="9" t="s">
        <v>1205</v>
      </c>
      <c r="C2258" s="12" t="s">
        <v>16</v>
      </c>
      <c r="D2258" s="14" t="s">
        <v>2296</v>
      </c>
      <c r="E2258" s="16"/>
      <c r="F2258" s="8"/>
      <c r="G2258" s="16"/>
      <c r="H2258" s="8"/>
      <c r="I2258" s="16"/>
    </row>
    <row r="2259" outlineLevel="1">
      <c r="A2259" s="9" t="s">
        <v>2428</v>
      </c>
      <c r="B2259" s="9" t="s">
        <v>301</v>
      </c>
      <c r="C2259" s="12" t="s">
        <v>215</v>
      </c>
      <c r="D2259" s="14" t="s">
        <v>2296</v>
      </c>
      <c r="E2259" s="16"/>
      <c r="F2259" s="8"/>
      <c r="G2259" s="16"/>
      <c r="H2259" s="8"/>
      <c r="I2259" s="16"/>
    </row>
    <row r="2260" outlineLevel="1">
      <c r="A2260" s="9" t="s">
        <v>2428</v>
      </c>
      <c r="B2260" s="9" t="s">
        <v>2429</v>
      </c>
      <c r="C2260" s="12" t="s">
        <v>59</v>
      </c>
      <c r="D2260" s="14" t="s">
        <v>2296</v>
      </c>
      <c r="E2260" s="16"/>
      <c r="F2260" s="8"/>
      <c r="G2260" s="16"/>
      <c r="H2260" s="8"/>
      <c r="I2260" s="16"/>
    </row>
    <row r="2261" outlineLevel="1">
      <c r="A2261" s="9" t="s">
        <v>2430</v>
      </c>
      <c r="B2261" s="9" t="s">
        <v>692</v>
      </c>
      <c r="C2261" s="12" t="s">
        <v>149</v>
      </c>
      <c r="D2261" s="14" t="s">
        <v>2296</v>
      </c>
      <c r="E2261" s="16"/>
      <c r="F2261" s="8"/>
      <c r="G2261" s="16"/>
      <c r="H2261" s="8"/>
      <c r="I2261" s="16"/>
    </row>
    <row r="2262" outlineLevel="1">
      <c r="A2262" s="9" t="s">
        <v>324</v>
      </c>
      <c r="B2262" s="9" t="s">
        <v>2431</v>
      </c>
      <c r="C2262" s="12" t="s">
        <v>65</v>
      </c>
      <c r="D2262" s="14" t="s">
        <v>2296</v>
      </c>
      <c r="E2262" s="16"/>
      <c r="F2262" s="18"/>
      <c r="G2262" s="19"/>
      <c r="H2262" s="18"/>
      <c r="I2262" s="19"/>
    </row>
    <row r="2263" outlineLevel="1">
      <c r="A2263" s="9" t="s">
        <v>2432</v>
      </c>
      <c r="B2263" s="9" t="s">
        <v>2433</v>
      </c>
      <c r="C2263" s="12" t="s">
        <v>93</v>
      </c>
      <c r="D2263" s="14" t="s">
        <v>2296</v>
      </c>
      <c r="E2263" s="16"/>
      <c r="F2263" s="8"/>
      <c r="G2263" s="16"/>
      <c r="H2263" s="8"/>
      <c r="I2263" s="16"/>
    </row>
    <row r="2264" outlineLevel="1">
      <c r="A2264" s="9" t="s">
        <v>2434</v>
      </c>
      <c r="B2264" s="9" t="s">
        <v>2435</v>
      </c>
      <c r="C2264" s="12" t="s">
        <v>186</v>
      </c>
      <c r="D2264" s="14" t="s">
        <v>2296</v>
      </c>
      <c r="E2264" s="16"/>
      <c r="F2264" s="8"/>
      <c r="G2264" s="16"/>
      <c r="H2264" s="8"/>
      <c r="I2264" s="16"/>
    </row>
    <row r="2265" outlineLevel="1">
      <c r="A2265" s="9" t="s">
        <v>444</v>
      </c>
      <c r="B2265" s="9" t="s">
        <v>2436</v>
      </c>
      <c r="C2265" s="12" t="s">
        <v>70</v>
      </c>
      <c r="D2265" s="14" t="s">
        <v>2296</v>
      </c>
      <c r="E2265" s="16"/>
      <c r="F2265" s="8"/>
      <c r="G2265" s="16"/>
      <c r="H2265" s="8"/>
      <c r="I2265" s="16"/>
    </row>
    <row r="2266" outlineLevel="1">
      <c r="A2266" s="9" t="s">
        <v>444</v>
      </c>
      <c r="B2266" s="9" t="s">
        <v>2437</v>
      </c>
      <c r="C2266" s="12" t="s">
        <v>80</v>
      </c>
      <c r="D2266" s="14" t="s">
        <v>2296</v>
      </c>
      <c r="E2266" s="16"/>
      <c r="F2266" s="8"/>
      <c r="G2266" s="16"/>
      <c r="H2266" s="8"/>
      <c r="I2266" s="16"/>
    </row>
    <row r="2267" outlineLevel="1">
      <c r="A2267" s="9" t="s">
        <v>2438</v>
      </c>
      <c r="B2267" s="9" t="s">
        <v>279</v>
      </c>
      <c r="C2267" s="12" t="s">
        <v>122</v>
      </c>
      <c r="D2267" s="14" t="s">
        <v>2296</v>
      </c>
      <c r="E2267" s="16"/>
      <c r="F2267" s="18"/>
      <c r="G2267" s="19"/>
      <c r="H2267" s="18"/>
      <c r="I2267" s="19"/>
    </row>
    <row r="2268" outlineLevel="1">
      <c r="A2268" s="18" t="s">
        <v>2269</v>
      </c>
      <c r="B2268" s="9" t="s">
        <v>2439</v>
      </c>
      <c r="C2268" s="12" t="s">
        <v>93</v>
      </c>
      <c r="D2268" s="14" t="s">
        <v>2296</v>
      </c>
      <c r="E2268" s="16"/>
      <c r="F2268" s="8"/>
      <c r="G2268" s="16"/>
      <c r="H2268" s="8"/>
      <c r="I2268" s="16"/>
    </row>
    <row r="2269" outlineLevel="1">
      <c r="A2269" s="9" t="s">
        <v>2440</v>
      </c>
      <c r="B2269" s="18" t="s">
        <v>2441</v>
      </c>
      <c r="C2269" s="19" t="s">
        <v>149</v>
      </c>
      <c r="D2269" s="14" t="s">
        <v>2296</v>
      </c>
      <c r="E2269" s="16"/>
      <c r="F2269" s="8"/>
      <c r="G2269" s="16"/>
      <c r="H2269" s="8"/>
      <c r="I2269" s="16"/>
    </row>
    <row r="2270" outlineLevel="1">
      <c r="A2270" s="18" t="s">
        <v>104</v>
      </c>
      <c r="B2270" s="9" t="s">
        <v>2442</v>
      </c>
      <c r="C2270" s="12" t="s">
        <v>53</v>
      </c>
      <c r="D2270" s="14" t="s">
        <v>2296</v>
      </c>
      <c r="E2270" s="16"/>
      <c r="F2270" s="8"/>
      <c r="G2270" s="16"/>
      <c r="H2270" s="8"/>
      <c r="I2270" s="16"/>
    </row>
    <row r="2271" outlineLevel="1">
      <c r="A2271" s="9" t="s">
        <v>2443</v>
      </c>
      <c r="B2271" s="18" t="s">
        <v>471</v>
      </c>
      <c r="C2271" s="19" t="s">
        <v>70</v>
      </c>
      <c r="D2271" s="14" t="s">
        <v>2296</v>
      </c>
      <c r="E2271" s="16"/>
      <c r="F2271" s="8"/>
      <c r="G2271" s="16"/>
      <c r="H2271" s="8"/>
      <c r="I2271" s="16"/>
    </row>
    <row r="2272" outlineLevel="1">
      <c r="A2272" s="9" t="s">
        <v>825</v>
      </c>
      <c r="B2272" s="9" t="s">
        <v>1285</v>
      </c>
      <c r="C2272" s="12" t="s">
        <v>93</v>
      </c>
      <c r="D2272" s="14" t="s">
        <v>2296</v>
      </c>
      <c r="E2272" s="16"/>
      <c r="F2272" s="8"/>
      <c r="G2272" s="16"/>
      <c r="H2272" s="8"/>
      <c r="I2272" s="16"/>
    </row>
    <row r="2273" outlineLevel="1">
      <c r="A2273" s="9" t="s">
        <v>2444</v>
      </c>
      <c r="B2273" s="9" t="s">
        <v>2364</v>
      </c>
      <c r="C2273" s="12" t="s">
        <v>59</v>
      </c>
      <c r="D2273" s="14" t="s">
        <v>2296</v>
      </c>
      <c r="E2273" s="16"/>
      <c r="F2273" s="8"/>
      <c r="G2273" s="16"/>
      <c r="H2273" s="8"/>
      <c r="I2273" s="16"/>
    </row>
    <row r="2274" outlineLevel="1">
      <c r="A2274" s="9" t="s">
        <v>2445</v>
      </c>
      <c r="B2274" s="9" t="s">
        <v>2446</v>
      </c>
      <c r="C2274" s="12" t="s">
        <v>24</v>
      </c>
      <c r="D2274" s="14" t="s">
        <v>2296</v>
      </c>
      <c r="E2274" s="16"/>
      <c r="F2274" s="8"/>
      <c r="G2274" s="16"/>
      <c r="H2274" s="8"/>
      <c r="I2274" s="16"/>
    </row>
    <row r="2275" outlineLevel="1">
      <c r="A2275" s="9" t="s">
        <v>2447</v>
      </c>
      <c r="B2275" s="9" t="s">
        <v>183</v>
      </c>
      <c r="C2275" s="12" t="s">
        <v>70</v>
      </c>
      <c r="D2275" s="14" t="s">
        <v>2296</v>
      </c>
      <c r="E2275" s="16"/>
      <c r="F2275" s="8"/>
      <c r="G2275" s="16"/>
      <c r="H2275" s="8"/>
      <c r="I2275" s="16"/>
    </row>
    <row r="2276" outlineLevel="1">
      <c r="A2276" s="9" t="s">
        <v>2448</v>
      </c>
      <c r="B2276" s="9" t="s">
        <v>2449</v>
      </c>
      <c r="C2276" s="12" t="s">
        <v>70</v>
      </c>
      <c r="D2276" s="14" t="s">
        <v>2296</v>
      </c>
      <c r="E2276" s="16"/>
      <c r="F2276" s="8"/>
      <c r="G2276" s="16"/>
      <c r="H2276" s="8"/>
      <c r="I2276" s="16"/>
    </row>
    <row r="2277" outlineLevel="1">
      <c r="A2277" s="9" t="s">
        <v>78</v>
      </c>
      <c r="B2277" s="9" t="s">
        <v>1131</v>
      </c>
      <c r="C2277" s="12" t="s">
        <v>75</v>
      </c>
      <c r="D2277" s="14" t="s">
        <v>2296</v>
      </c>
      <c r="E2277" s="16"/>
      <c r="F2277" s="8"/>
      <c r="G2277" s="16"/>
      <c r="H2277" s="8"/>
      <c r="I2277" s="16"/>
    </row>
    <row r="2278" outlineLevel="1">
      <c r="A2278" s="9" t="s">
        <v>78</v>
      </c>
      <c r="B2278" s="9" t="s">
        <v>2450</v>
      </c>
      <c r="C2278" s="12" t="s">
        <v>70</v>
      </c>
      <c r="D2278" s="14" t="s">
        <v>2296</v>
      </c>
      <c r="E2278" s="16"/>
      <c r="F2278" s="8"/>
      <c r="G2278" s="16"/>
      <c r="H2278" s="8"/>
      <c r="I2278" s="16"/>
    </row>
    <row r="2279" outlineLevel="1">
      <c r="A2279" s="9" t="s">
        <v>78</v>
      </c>
      <c r="B2279" s="9" t="s">
        <v>247</v>
      </c>
      <c r="C2279" s="12" t="s">
        <v>80</v>
      </c>
      <c r="D2279" s="14" t="s">
        <v>2296</v>
      </c>
      <c r="E2279" s="16"/>
      <c r="F2279" s="8"/>
      <c r="G2279" s="16"/>
      <c r="H2279" s="8"/>
      <c r="I2279" s="16"/>
    </row>
    <row r="2280" outlineLevel="1">
      <c r="A2280" s="9" t="s">
        <v>617</v>
      </c>
      <c r="B2280" s="9" t="s">
        <v>263</v>
      </c>
      <c r="C2280" s="12" t="s">
        <v>192</v>
      </c>
      <c r="D2280" s="14" t="s">
        <v>2296</v>
      </c>
      <c r="E2280" s="16"/>
      <c r="F2280" s="8"/>
      <c r="G2280" s="16"/>
      <c r="H2280" s="8"/>
      <c r="I2280" s="16"/>
    </row>
    <row r="2281" outlineLevel="1">
      <c r="A2281" s="9" t="s">
        <v>2451</v>
      </c>
      <c r="B2281" s="9" t="s">
        <v>2452</v>
      </c>
      <c r="C2281" s="12" t="s">
        <v>65</v>
      </c>
      <c r="D2281" s="14" t="s">
        <v>2296</v>
      </c>
      <c r="E2281" s="16"/>
      <c r="F2281" s="8"/>
      <c r="G2281" s="16"/>
      <c r="H2281" s="8"/>
      <c r="I2281" s="16"/>
    </row>
    <row r="2282" outlineLevel="1">
      <c r="A2282" s="9" t="s">
        <v>2453</v>
      </c>
      <c r="B2282" s="9" t="s">
        <v>55</v>
      </c>
      <c r="C2282" s="12" t="s">
        <v>80</v>
      </c>
      <c r="D2282" s="14" t="s">
        <v>2296</v>
      </c>
      <c r="E2282" s="16"/>
      <c r="F2282" s="8"/>
      <c r="G2282" s="16"/>
      <c r="H2282" s="8"/>
      <c r="I2282" s="16"/>
    </row>
    <row r="2283" outlineLevel="1">
      <c r="A2283" s="9" t="s">
        <v>233</v>
      </c>
      <c r="B2283" s="9" t="s">
        <v>2454</v>
      </c>
      <c r="C2283" s="12" t="s">
        <v>192</v>
      </c>
      <c r="D2283" s="14" t="s">
        <v>2296</v>
      </c>
      <c r="E2283" s="16"/>
      <c r="F2283" s="8"/>
      <c r="G2283" s="16"/>
      <c r="H2283" s="8"/>
      <c r="I2283" s="16"/>
    </row>
    <row r="2284" outlineLevel="1">
      <c r="A2284" s="9" t="s">
        <v>2455</v>
      </c>
      <c r="B2284" s="9" t="s">
        <v>2456</v>
      </c>
      <c r="C2284" s="12" t="s">
        <v>59</v>
      </c>
      <c r="D2284" s="14" t="s">
        <v>2296</v>
      </c>
      <c r="E2284" s="16"/>
      <c r="F2284" s="8"/>
      <c r="G2284" s="16"/>
      <c r="H2284" s="8"/>
      <c r="I2284" s="16"/>
    </row>
    <row r="2285" outlineLevel="1">
      <c r="A2285" s="9" t="s">
        <v>2457</v>
      </c>
      <c r="B2285" s="9" t="s">
        <v>2458</v>
      </c>
      <c r="C2285" s="12" t="s">
        <v>59</v>
      </c>
      <c r="D2285" s="14" t="s">
        <v>2459</v>
      </c>
      <c r="E2285" s="16"/>
      <c r="F2285" s="8"/>
      <c r="G2285" s="16"/>
      <c r="H2285" s="8"/>
      <c r="I2285" s="16"/>
    </row>
    <row r="2286" outlineLevel="1">
      <c r="A2286" s="9" t="s">
        <v>1709</v>
      </c>
      <c r="B2286" s="9" t="s">
        <v>231</v>
      </c>
      <c r="C2286" s="12" t="s">
        <v>215</v>
      </c>
      <c r="D2286" s="14" t="s">
        <v>2459</v>
      </c>
      <c r="E2286" s="16"/>
      <c r="F2286" s="8"/>
      <c r="G2286" s="16"/>
      <c r="H2286" s="8"/>
      <c r="I2286" s="16"/>
    </row>
    <row r="2287" outlineLevel="1">
      <c r="A2287" s="9" t="s">
        <v>355</v>
      </c>
      <c r="B2287" s="9" t="s">
        <v>2460</v>
      </c>
      <c r="C2287" s="12" t="s">
        <v>65</v>
      </c>
      <c r="D2287" s="14" t="s">
        <v>2459</v>
      </c>
      <c r="E2287" s="16"/>
      <c r="F2287" s="8"/>
      <c r="G2287" s="16"/>
      <c r="H2287" s="8"/>
      <c r="I2287" s="16"/>
    </row>
    <row r="2288" outlineLevel="1">
      <c r="A2288" s="9" t="s">
        <v>1725</v>
      </c>
      <c r="B2288" s="9" t="s">
        <v>157</v>
      </c>
      <c r="C2288" s="12" t="s">
        <v>53</v>
      </c>
      <c r="D2288" s="14" t="s">
        <v>2459</v>
      </c>
      <c r="E2288" s="16"/>
      <c r="F2288" s="8"/>
      <c r="G2288" s="16"/>
      <c r="H2288" s="8"/>
      <c r="I2288" s="16"/>
    </row>
    <row r="2289" outlineLevel="1">
      <c r="A2289" s="9" t="s">
        <v>2461</v>
      </c>
      <c r="B2289" s="9" t="s">
        <v>50</v>
      </c>
      <c r="C2289" s="12" t="s">
        <v>186</v>
      </c>
      <c r="D2289" s="14" t="s">
        <v>2459</v>
      </c>
      <c r="E2289" s="16"/>
      <c r="F2289" s="8"/>
      <c r="G2289" s="16"/>
      <c r="H2289" s="8"/>
      <c r="I2289" s="16"/>
    </row>
    <row r="2290" outlineLevel="1">
      <c r="A2290" s="9" t="s">
        <v>190</v>
      </c>
      <c r="B2290" s="9" t="s">
        <v>217</v>
      </c>
      <c r="C2290" s="12" t="s">
        <v>186</v>
      </c>
      <c r="D2290" s="14" t="s">
        <v>2459</v>
      </c>
      <c r="E2290" s="16"/>
      <c r="F2290" s="8"/>
      <c r="G2290" s="16"/>
      <c r="H2290" s="8"/>
      <c r="I2290" s="16"/>
    </row>
    <row r="2291" outlineLevel="1">
      <c r="A2291" s="9" t="s">
        <v>2462</v>
      </c>
      <c r="B2291" s="9" t="s">
        <v>33</v>
      </c>
      <c r="C2291" s="12" t="s">
        <v>70</v>
      </c>
      <c r="D2291" s="14" t="s">
        <v>2459</v>
      </c>
      <c r="E2291" s="16"/>
      <c r="F2291" s="8"/>
      <c r="G2291" s="16"/>
      <c r="H2291" s="8"/>
      <c r="I2291" s="16"/>
    </row>
    <row r="2292" outlineLevel="1">
      <c r="A2292" s="9" t="s">
        <v>2463</v>
      </c>
      <c r="B2292" s="9" t="s">
        <v>464</v>
      </c>
      <c r="C2292" s="12" t="s">
        <v>24</v>
      </c>
      <c r="D2292" s="14" t="s">
        <v>2459</v>
      </c>
      <c r="E2292" s="16"/>
      <c r="F2292" s="8"/>
      <c r="G2292" s="16"/>
      <c r="H2292" s="8"/>
      <c r="I2292" s="16"/>
    </row>
    <row r="2293" outlineLevel="1">
      <c r="A2293" s="9" t="s">
        <v>361</v>
      </c>
      <c r="B2293" s="9" t="s">
        <v>260</v>
      </c>
      <c r="C2293" s="12" t="s">
        <v>75</v>
      </c>
      <c r="D2293" s="14" t="s">
        <v>2459</v>
      </c>
      <c r="E2293" s="16"/>
      <c r="F2293" s="8"/>
      <c r="G2293" s="16"/>
      <c r="H2293" s="8"/>
      <c r="I2293" s="16"/>
    </row>
    <row r="2294" outlineLevel="1">
      <c r="A2294" s="9" t="s">
        <v>2464</v>
      </c>
      <c r="B2294" s="9" t="s">
        <v>124</v>
      </c>
      <c r="C2294" s="12" t="s">
        <v>65</v>
      </c>
      <c r="D2294" s="14" t="s">
        <v>2459</v>
      </c>
      <c r="E2294" s="16"/>
      <c r="F2294" s="8"/>
      <c r="G2294" s="16"/>
      <c r="H2294" s="8"/>
      <c r="I2294" s="16"/>
    </row>
    <row r="2295" outlineLevel="1">
      <c r="A2295" s="9" t="s">
        <v>1772</v>
      </c>
      <c r="B2295" s="9" t="s">
        <v>2465</v>
      </c>
      <c r="C2295" s="12" t="s">
        <v>186</v>
      </c>
      <c r="D2295" s="14" t="s">
        <v>2459</v>
      </c>
      <c r="E2295" s="16"/>
      <c r="F2295" s="8"/>
      <c r="G2295" s="16"/>
      <c r="H2295" s="8"/>
      <c r="I2295" s="16"/>
    </row>
    <row r="2296" outlineLevel="1">
      <c r="A2296" s="9" t="s">
        <v>906</v>
      </c>
      <c r="B2296" s="9" t="s">
        <v>1621</v>
      </c>
      <c r="C2296" s="12" t="s">
        <v>24</v>
      </c>
      <c r="D2296" s="14" t="s">
        <v>2459</v>
      </c>
      <c r="E2296" s="16"/>
      <c r="F2296" s="8"/>
      <c r="G2296" s="16"/>
      <c r="H2296" s="8"/>
      <c r="I2296" s="16"/>
    </row>
    <row r="2297" outlineLevel="1">
      <c r="A2297" s="9" t="s">
        <v>2466</v>
      </c>
      <c r="B2297" s="9" t="s">
        <v>2467</v>
      </c>
      <c r="C2297" s="12" t="s">
        <v>80</v>
      </c>
      <c r="D2297" s="14" t="s">
        <v>2459</v>
      </c>
      <c r="E2297" s="16"/>
      <c r="F2297" s="8"/>
      <c r="G2297" s="16"/>
      <c r="H2297" s="8"/>
      <c r="I2297" s="16"/>
    </row>
    <row r="2298" outlineLevel="1">
      <c r="A2298" s="9" t="s">
        <v>2157</v>
      </c>
      <c r="B2298" s="9" t="s">
        <v>2468</v>
      </c>
      <c r="C2298" s="12" t="s">
        <v>138</v>
      </c>
      <c r="D2298" s="14" t="s">
        <v>2459</v>
      </c>
      <c r="E2298" s="16"/>
      <c r="F2298" s="8"/>
      <c r="G2298" s="16"/>
      <c r="H2298" s="8"/>
      <c r="I2298" s="16"/>
    </row>
    <row r="2299" outlineLevel="1">
      <c r="A2299" s="9" t="s">
        <v>2469</v>
      </c>
      <c r="B2299" s="9" t="s">
        <v>2113</v>
      </c>
      <c r="C2299" s="12" t="s">
        <v>70</v>
      </c>
      <c r="D2299" s="14" t="s">
        <v>2459</v>
      </c>
      <c r="E2299" s="16"/>
      <c r="F2299" s="8"/>
      <c r="G2299" s="16"/>
      <c r="H2299" s="8"/>
      <c r="I2299" s="16"/>
    </row>
    <row r="2300" outlineLevel="1">
      <c r="A2300" s="9" t="s">
        <v>1848</v>
      </c>
      <c r="B2300" s="9" t="s">
        <v>2313</v>
      </c>
      <c r="C2300" s="12" t="s">
        <v>65</v>
      </c>
      <c r="D2300" s="14" t="s">
        <v>2459</v>
      </c>
      <c r="E2300" s="16"/>
      <c r="F2300" s="8"/>
      <c r="G2300" s="16"/>
      <c r="H2300" s="8"/>
      <c r="I2300" s="16"/>
    </row>
    <row r="2301" outlineLevel="1">
      <c r="A2301" s="9" t="s">
        <v>2470</v>
      </c>
      <c r="B2301" s="9" t="s">
        <v>1940</v>
      </c>
      <c r="C2301" s="12" t="s">
        <v>132</v>
      </c>
      <c r="D2301" s="14" t="s">
        <v>2459</v>
      </c>
      <c r="E2301" s="16"/>
      <c r="F2301" s="8"/>
      <c r="G2301" s="16"/>
      <c r="H2301" s="8"/>
      <c r="I2301" s="16"/>
    </row>
    <row r="2302" outlineLevel="1">
      <c r="A2302" s="9" t="s">
        <v>2471</v>
      </c>
      <c r="B2302" s="9" t="s">
        <v>2472</v>
      </c>
      <c r="C2302" s="12" t="s">
        <v>65</v>
      </c>
      <c r="D2302" s="14" t="s">
        <v>2459</v>
      </c>
      <c r="E2302" s="16"/>
      <c r="F2302" s="8"/>
      <c r="G2302" s="16"/>
      <c r="H2302" s="8"/>
      <c r="I2302" s="16"/>
    </row>
    <row r="2303" outlineLevel="1">
      <c r="A2303" s="18" t="s">
        <v>2473</v>
      </c>
      <c r="B2303" s="9" t="s">
        <v>2474</v>
      </c>
      <c r="C2303" s="12" t="s">
        <v>65</v>
      </c>
      <c r="D2303" s="14" t="s">
        <v>2459</v>
      </c>
      <c r="E2303" s="16"/>
      <c r="F2303" s="8"/>
      <c r="G2303" s="16"/>
      <c r="H2303" s="8"/>
      <c r="I2303" s="16"/>
    </row>
    <row r="2304" outlineLevel="1">
      <c r="A2304" s="9" t="s">
        <v>537</v>
      </c>
      <c r="B2304" s="18" t="s">
        <v>1883</v>
      </c>
      <c r="C2304" s="19" t="s">
        <v>70</v>
      </c>
      <c r="D2304" s="14" t="s">
        <v>2459</v>
      </c>
      <c r="E2304" s="16"/>
      <c r="F2304" s="8"/>
      <c r="G2304" s="16"/>
      <c r="H2304" s="8"/>
      <c r="I2304" s="16"/>
    </row>
    <row r="2305" outlineLevel="1">
      <c r="A2305" s="9" t="s">
        <v>537</v>
      </c>
      <c r="B2305" s="9" t="s">
        <v>2475</v>
      </c>
      <c r="C2305" s="12" t="s">
        <v>122</v>
      </c>
      <c r="D2305" s="14" t="s">
        <v>2459</v>
      </c>
      <c r="E2305" s="16"/>
      <c r="F2305" s="8"/>
      <c r="G2305" s="16"/>
      <c r="H2305" s="8"/>
      <c r="I2305" s="16"/>
    </row>
    <row r="2306" outlineLevel="1">
      <c r="A2306" s="9" t="s">
        <v>2476</v>
      </c>
      <c r="B2306" s="9" t="s">
        <v>1528</v>
      </c>
      <c r="C2306" s="12" t="s">
        <v>70</v>
      </c>
      <c r="D2306" s="14" t="s">
        <v>2459</v>
      </c>
      <c r="E2306" s="16"/>
      <c r="F2306" s="8"/>
      <c r="G2306" s="16"/>
      <c r="H2306" s="8"/>
      <c r="I2306" s="16"/>
    </row>
    <row r="2307" outlineLevel="1">
      <c r="A2307" s="9" t="s">
        <v>2477</v>
      </c>
      <c r="B2307" s="9" t="s">
        <v>472</v>
      </c>
      <c r="C2307" s="12" t="s">
        <v>70</v>
      </c>
      <c r="D2307" s="14" t="s">
        <v>2459</v>
      </c>
      <c r="E2307" s="16"/>
      <c r="F2307" s="8"/>
      <c r="G2307" s="16"/>
      <c r="H2307" s="8"/>
      <c r="I2307" s="16"/>
    </row>
    <row r="2308" outlineLevel="1">
      <c r="A2308" s="9" t="s">
        <v>2136</v>
      </c>
      <c r="B2308" s="9" t="s">
        <v>2211</v>
      </c>
      <c r="C2308" s="12" t="s">
        <v>192</v>
      </c>
      <c r="D2308" s="14" t="s">
        <v>2459</v>
      </c>
      <c r="E2308" s="16"/>
      <c r="F2308" s="8"/>
      <c r="G2308" s="16"/>
      <c r="H2308" s="8"/>
      <c r="I2308" s="16"/>
    </row>
    <row r="2309" outlineLevel="1">
      <c r="A2309" s="18" t="s">
        <v>2142</v>
      </c>
      <c r="B2309" s="9" t="s">
        <v>2478</v>
      </c>
      <c r="C2309" s="12" t="s">
        <v>65</v>
      </c>
      <c r="D2309" s="14" t="s">
        <v>2459</v>
      </c>
      <c r="E2309" s="16"/>
      <c r="F2309" s="8"/>
      <c r="G2309" s="16"/>
      <c r="H2309" s="8"/>
      <c r="I2309" s="16"/>
    </row>
    <row r="2310" outlineLevel="1">
      <c r="A2310" s="9" t="s">
        <v>208</v>
      </c>
      <c r="B2310" s="18" t="s">
        <v>1593</v>
      </c>
      <c r="C2310" s="19" t="s">
        <v>16</v>
      </c>
      <c r="D2310" s="14" t="s">
        <v>2459</v>
      </c>
      <c r="E2310" s="16"/>
      <c r="F2310" s="8"/>
      <c r="G2310" s="16"/>
      <c r="H2310" s="8"/>
      <c r="I2310" s="16"/>
    </row>
    <row r="2311" outlineLevel="1">
      <c r="A2311" s="9" t="s">
        <v>208</v>
      </c>
      <c r="B2311" s="9" t="s">
        <v>337</v>
      </c>
      <c r="C2311" s="12" t="s">
        <v>93</v>
      </c>
      <c r="D2311" s="14" t="s">
        <v>2459</v>
      </c>
      <c r="E2311" s="16"/>
      <c r="F2311" s="8"/>
      <c r="G2311" s="16"/>
      <c r="H2311" s="8"/>
      <c r="I2311" s="16"/>
    </row>
    <row r="2312" outlineLevel="1">
      <c r="A2312" s="9" t="s">
        <v>2150</v>
      </c>
      <c r="B2312" s="9" t="s">
        <v>301</v>
      </c>
      <c r="C2312" s="12" t="s">
        <v>70</v>
      </c>
      <c r="D2312" s="14" t="s">
        <v>2459</v>
      </c>
      <c r="E2312" s="16"/>
      <c r="F2312" s="8"/>
      <c r="G2312" s="16"/>
      <c r="H2312" s="8"/>
      <c r="I2312" s="16"/>
    </row>
    <row r="2313" outlineLevel="1">
      <c r="A2313" s="9" t="s">
        <v>389</v>
      </c>
      <c r="B2313" s="9" t="s">
        <v>170</v>
      </c>
      <c r="C2313" s="12" t="s">
        <v>70</v>
      </c>
      <c r="D2313" s="14" t="s">
        <v>2459</v>
      </c>
      <c r="E2313" s="16"/>
      <c r="F2313" s="18"/>
      <c r="G2313" s="19"/>
      <c r="H2313" s="18"/>
      <c r="I2313" s="19"/>
    </row>
    <row r="2314" outlineLevel="1">
      <c r="A2314" s="9" t="s">
        <v>263</v>
      </c>
      <c r="B2314" s="9" t="s">
        <v>137</v>
      </c>
      <c r="C2314" s="12" t="s">
        <v>141</v>
      </c>
      <c r="D2314" s="14" t="s">
        <v>2459</v>
      </c>
      <c r="E2314" s="16"/>
      <c r="F2314" s="8"/>
      <c r="G2314" s="16"/>
      <c r="H2314" s="8"/>
      <c r="I2314" s="16"/>
    </row>
    <row r="2315" outlineLevel="1">
      <c r="A2315" s="9" t="s">
        <v>91</v>
      </c>
      <c r="B2315" s="9" t="s">
        <v>2479</v>
      </c>
      <c r="C2315" s="12" t="s">
        <v>186</v>
      </c>
      <c r="D2315" s="14" t="s">
        <v>2459</v>
      </c>
      <c r="E2315" s="16"/>
      <c r="F2315" s="8"/>
      <c r="G2315" s="16"/>
      <c r="H2315" s="8"/>
      <c r="I2315" s="16"/>
    </row>
    <row r="2316" outlineLevel="1">
      <c r="A2316" s="9" t="s">
        <v>761</v>
      </c>
      <c r="B2316" s="9" t="s">
        <v>1633</v>
      </c>
      <c r="C2316" s="12" t="s">
        <v>186</v>
      </c>
      <c r="D2316" s="14" t="s">
        <v>2459</v>
      </c>
      <c r="E2316" s="16"/>
      <c r="F2316" s="8"/>
      <c r="G2316" s="16"/>
      <c r="H2316" s="8"/>
      <c r="I2316" s="16"/>
    </row>
    <row r="2317" outlineLevel="1">
      <c r="A2317" s="9" t="s">
        <v>524</v>
      </c>
      <c r="B2317" s="9" t="s">
        <v>2450</v>
      </c>
      <c r="C2317" s="12" t="s">
        <v>122</v>
      </c>
      <c r="D2317" s="14" t="s">
        <v>2459</v>
      </c>
      <c r="E2317" s="16"/>
      <c r="F2317" s="8"/>
      <c r="G2317" s="16"/>
      <c r="H2317" s="8"/>
      <c r="I2317" s="16"/>
    </row>
    <row r="2318" outlineLevel="1">
      <c r="A2318" s="9" t="s">
        <v>2480</v>
      </c>
      <c r="B2318" s="9" t="s">
        <v>381</v>
      </c>
      <c r="C2318" s="12" t="s">
        <v>93</v>
      </c>
      <c r="D2318" s="14" t="s">
        <v>2459</v>
      </c>
      <c r="E2318" s="16"/>
      <c r="F2318" s="8"/>
      <c r="G2318" s="16"/>
      <c r="H2318" s="8"/>
      <c r="I2318" s="16"/>
    </row>
    <row r="2319" outlineLevel="1">
      <c r="A2319" s="9" t="s">
        <v>1510</v>
      </c>
      <c r="B2319" s="9" t="s">
        <v>842</v>
      </c>
      <c r="C2319" s="12" t="s">
        <v>138</v>
      </c>
      <c r="D2319" s="14" t="s">
        <v>2459</v>
      </c>
      <c r="E2319" s="16"/>
      <c r="F2319" s="8"/>
      <c r="G2319" s="16"/>
      <c r="H2319" s="8"/>
      <c r="I2319" s="16"/>
    </row>
    <row r="2320" outlineLevel="1">
      <c r="A2320" s="9" t="s">
        <v>2481</v>
      </c>
      <c r="B2320" s="9" t="s">
        <v>124</v>
      </c>
      <c r="C2320" s="12" t="s">
        <v>46</v>
      </c>
      <c r="D2320" s="14" t="s">
        <v>2459</v>
      </c>
      <c r="E2320" s="16"/>
      <c r="F2320" s="8"/>
      <c r="G2320" s="16"/>
      <c r="H2320" s="8"/>
      <c r="I2320" s="16"/>
    </row>
    <row r="2321" outlineLevel="1">
      <c r="A2321" s="9" t="s">
        <v>2482</v>
      </c>
      <c r="B2321" s="9" t="s">
        <v>2483</v>
      </c>
      <c r="C2321" s="12" t="s">
        <v>65</v>
      </c>
      <c r="D2321" s="14" t="s">
        <v>2459</v>
      </c>
      <c r="E2321" s="16"/>
      <c r="F2321" s="8"/>
      <c r="G2321" s="16"/>
      <c r="H2321" s="8"/>
      <c r="I2321" s="16"/>
    </row>
    <row r="2322" outlineLevel="1">
      <c r="A2322" s="9" t="s">
        <v>395</v>
      </c>
      <c r="B2322" s="9" t="s">
        <v>506</v>
      </c>
      <c r="C2322" s="12" t="s">
        <v>93</v>
      </c>
      <c r="D2322" s="14" t="s">
        <v>2459</v>
      </c>
      <c r="E2322" s="16"/>
      <c r="F2322" s="8"/>
      <c r="G2322" s="16"/>
      <c r="H2322" s="8"/>
      <c r="I2322" s="16"/>
    </row>
    <row r="2323" outlineLevel="1">
      <c r="A2323" s="9" t="s">
        <v>213</v>
      </c>
      <c r="B2323" s="9" t="s">
        <v>151</v>
      </c>
      <c r="C2323" s="12" t="s">
        <v>93</v>
      </c>
      <c r="D2323" s="14" t="s">
        <v>2459</v>
      </c>
      <c r="E2323" s="16"/>
      <c r="F2323" s="8"/>
      <c r="G2323" s="16"/>
      <c r="H2323" s="8"/>
      <c r="I2323" s="16"/>
    </row>
    <row r="2324" outlineLevel="1">
      <c r="A2324" s="9" t="s">
        <v>213</v>
      </c>
      <c r="B2324" s="9" t="s">
        <v>871</v>
      </c>
      <c r="C2324" s="12" t="s">
        <v>70</v>
      </c>
      <c r="D2324" s="14" t="s">
        <v>2459</v>
      </c>
      <c r="E2324" s="16"/>
      <c r="F2324" s="8"/>
      <c r="G2324" s="16"/>
      <c r="H2324" s="8"/>
      <c r="I2324" s="16"/>
    </row>
    <row r="2325" outlineLevel="1">
      <c r="A2325" s="9" t="s">
        <v>2484</v>
      </c>
      <c r="B2325" s="9" t="s">
        <v>57</v>
      </c>
      <c r="C2325" s="12" t="s">
        <v>70</v>
      </c>
      <c r="D2325" s="14" t="s">
        <v>2459</v>
      </c>
      <c r="E2325" s="16"/>
      <c r="F2325" s="8"/>
      <c r="G2325" s="16"/>
      <c r="H2325" s="8"/>
      <c r="I2325" s="16"/>
    </row>
    <row r="2326" outlineLevel="1">
      <c r="A2326" s="9" t="s">
        <v>1253</v>
      </c>
      <c r="B2326" s="9" t="s">
        <v>1131</v>
      </c>
      <c r="C2326" s="12" t="s">
        <v>132</v>
      </c>
      <c r="D2326" s="14" t="s">
        <v>2459</v>
      </c>
      <c r="E2326" s="16"/>
      <c r="F2326" s="8"/>
      <c r="G2326" s="16"/>
      <c r="H2326" s="8"/>
      <c r="I2326" s="16"/>
    </row>
    <row r="2327" outlineLevel="1">
      <c r="A2327" s="9" t="s">
        <v>2485</v>
      </c>
      <c r="B2327" s="9" t="s">
        <v>2486</v>
      </c>
      <c r="C2327" s="12" t="s">
        <v>65</v>
      </c>
      <c r="D2327" s="14" t="s">
        <v>2459</v>
      </c>
      <c r="E2327" s="16"/>
      <c r="F2327" s="8"/>
      <c r="G2327" s="16"/>
      <c r="H2327" s="8"/>
      <c r="I2327" s="16"/>
    </row>
    <row r="2328" outlineLevel="1">
      <c r="A2328" s="9" t="s">
        <v>2487</v>
      </c>
      <c r="B2328" s="9" t="s">
        <v>1833</v>
      </c>
      <c r="C2328" s="12" t="s">
        <v>93</v>
      </c>
      <c r="D2328" s="14" t="s">
        <v>2459</v>
      </c>
      <c r="E2328" s="16"/>
      <c r="F2328" s="8"/>
      <c r="G2328" s="16"/>
      <c r="H2328" s="8"/>
      <c r="I2328" s="16"/>
    </row>
    <row r="2329" outlineLevel="1">
      <c r="A2329" s="9" t="s">
        <v>766</v>
      </c>
      <c r="B2329" s="9" t="s">
        <v>1210</v>
      </c>
      <c r="C2329" s="12" t="s">
        <v>93</v>
      </c>
      <c r="D2329" s="14" t="s">
        <v>2459</v>
      </c>
      <c r="E2329" s="16"/>
      <c r="F2329" s="18"/>
      <c r="G2329" s="19"/>
      <c r="H2329" s="18"/>
      <c r="I2329" s="19"/>
    </row>
    <row r="2330" outlineLevel="1">
      <c r="A2330" s="9" t="s">
        <v>2393</v>
      </c>
      <c r="B2330" s="9" t="s">
        <v>201</v>
      </c>
      <c r="C2330" s="12" t="s">
        <v>122</v>
      </c>
      <c r="D2330" s="14" t="s">
        <v>2459</v>
      </c>
      <c r="E2330" s="16"/>
      <c r="F2330" s="18"/>
      <c r="G2330" s="19"/>
      <c r="H2330" s="18"/>
      <c r="I2330" s="19"/>
    </row>
    <row r="2331" outlineLevel="1">
      <c r="A2331" s="9" t="s">
        <v>2488</v>
      </c>
      <c r="B2331" s="9" t="s">
        <v>441</v>
      </c>
      <c r="C2331" s="12" t="s">
        <v>192</v>
      </c>
      <c r="D2331" s="14" t="s">
        <v>2459</v>
      </c>
      <c r="E2331" s="16"/>
      <c r="F2331" s="8"/>
      <c r="G2331" s="16"/>
      <c r="H2331" s="8"/>
      <c r="I2331" s="16"/>
    </row>
    <row r="2332" outlineLevel="1">
      <c r="A2332" s="9" t="s">
        <v>2489</v>
      </c>
      <c r="B2332" s="9" t="s">
        <v>217</v>
      </c>
      <c r="C2332" s="12" t="s">
        <v>70</v>
      </c>
      <c r="D2332" s="14" t="s">
        <v>2459</v>
      </c>
      <c r="E2332" s="16"/>
      <c r="F2332" s="8"/>
      <c r="G2332" s="16"/>
      <c r="H2332" s="8"/>
      <c r="I2332" s="16"/>
    </row>
    <row r="2333" outlineLevel="1">
      <c r="A2333" s="9" t="s">
        <v>99</v>
      </c>
      <c r="B2333" s="9" t="s">
        <v>2490</v>
      </c>
      <c r="C2333" s="12" t="s">
        <v>24</v>
      </c>
      <c r="D2333" s="14" t="s">
        <v>2459</v>
      </c>
      <c r="E2333" s="16"/>
      <c r="F2333" s="8"/>
      <c r="G2333" s="16"/>
      <c r="H2333" s="8"/>
      <c r="I2333" s="16"/>
    </row>
    <row r="2334" outlineLevel="1">
      <c r="A2334" s="9" t="s">
        <v>99</v>
      </c>
      <c r="B2334" s="9" t="s">
        <v>2491</v>
      </c>
      <c r="C2334" s="12" t="s">
        <v>93</v>
      </c>
      <c r="D2334" s="14" t="s">
        <v>2459</v>
      </c>
      <c r="E2334" s="16"/>
      <c r="F2334" s="8"/>
      <c r="G2334" s="16"/>
      <c r="H2334" s="8"/>
      <c r="I2334" s="16"/>
    </row>
    <row r="2335" outlineLevel="1">
      <c r="A2335" s="9" t="s">
        <v>2492</v>
      </c>
      <c r="B2335" s="9" t="s">
        <v>503</v>
      </c>
      <c r="C2335" s="12" t="s">
        <v>70</v>
      </c>
      <c r="D2335" s="14" t="s">
        <v>2459</v>
      </c>
      <c r="E2335" s="16"/>
      <c r="F2335" s="8"/>
      <c r="G2335" s="16"/>
      <c r="H2335" s="8"/>
      <c r="I2335" s="16"/>
    </row>
    <row r="2336" outlineLevel="1">
      <c r="A2336" s="9" t="s">
        <v>2493</v>
      </c>
      <c r="B2336" s="9" t="s">
        <v>2494</v>
      </c>
      <c r="C2336" s="12" t="s">
        <v>93</v>
      </c>
      <c r="D2336" s="14" t="s">
        <v>2459</v>
      </c>
      <c r="E2336" s="16"/>
      <c r="F2336" s="8"/>
      <c r="G2336" s="16"/>
      <c r="H2336" s="8"/>
      <c r="I2336" s="16"/>
    </row>
    <row r="2337" outlineLevel="1">
      <c r="A2337" s="9" t="s">
        <v>441</v>
      </c>
      <c r="B2337" s="9" t="s">
        <v>2495</v>
      </c>
      <c r="C2337" s="12" t="s">
        <v>149</v>
      </c>
      <c r="D2337" s="14" t="s">
        <v>2459</v>
      </c>
      <c r="E2337" s="16"/>
      <c r="F2337" s="8"/>
      <c r="G2337" s="16"/>
      <c r="H2337" s="8"/>
      <c r="I2337" s="16"/>
    </row>
    <row r="2338" outlineLevel="1">
      <c r="A2338" s="9" t="s">
        <v>1055</v>
      </c>
      <c r="B2338" s="9" t="s">
        <v>217</v>
      </c>
      <c r="C2338" s="12" t="s">
        <v>186</v>
      </c>
      <c r="D2338" s="14" t="s">
        <v>2459</v>
      </c>
      <c r="E2338" s="16"/>
      <c r="F2338" s="8"/>
      <c r="G2338" s="16"/>
      <c r="H2338" s="8"/>
      <c r="I2338" s="16"/>
    </row>
    <row r="2339" outlineLevel="1">
      <c r="A2339" s="9" t="s">
        <v>78</v>
      </c>
      <c r="B2339" s="9" t="s">
        <v>2496</v>
      </c>
      <c r="C2339" s="12" t="s">
        <v>46</v>
      </c>
      <c r="D2339" s="14" t="s">
        <v>2459</v>
      </c>
      <c r="E2339" s="16"/>
      <c r="F2339" s="8"/>
      <c r="G2339" s="16"/>
      <c r="H2339" s="8"/>
      <c r="I2339" s="16"/>
    </row>
    <row r="2340" outlineLevel="1">
      <c r="A2340" s="9" t="s">
        <v>78</v>
      </c>
      <c r="B2340" s="9" t="s">
        <v>2497</v>
      </c>
      <c r="C2340" s="12" t="s">
        <v>93</v>
      </c>
      <c r="D2340" s="14" t="s">
        <v>2459</v>
      </c>
      <c r="E2340" s="16"/>
      <c r="F2340" s="8"/>
      <c r="G2340" s="16"/>
      <c r="H2340" s="8"/>
      <c r="I2340" s="16"/>
    </row>
    <row r="2341" outlineLevel="1">
      <c r="A2341" s="9" t="s">
        <v>78</v>
      </c>
      <c r="B2341" s="9" t="s">
        <v>2498</v>
      </c>
      <c r="C2341" s="12" t="s">
        <v>93</v>
      </c>
      <c r="D2341" s="14" t="s">
        <v>2459</v>
      </c>
      <c r="E2341" s="16"/>
      <c r="F2341" s="8"/>
      <c r="G2341" s="16"/>
      <c r="H2341" s="8"/>
      <c r="I2341" s="16"/>
    </row>
    <row r="2342" outlineLevel="1">
      <c r="A2342" s="9" t="s">
        <v>78</v>
      </c>
      <c r="B2342" s="9" t="s">
        <v>2499</v>
      </c>
      <c r="C2342" s="12" t="s">
        <v>70</v>
      </c>
      <c r="D2342" s="14" t="s">
        <v>2459</v>
      </c>
      <c r="E2342" s="16"/>
      <c r="F2342" s="8"/>
      <c r="G2342" s="16"/>
      <c r="H2342" s="8"/>
      <c r="I2342" s="16"/>
    </row>
    <row r="2343" outlineLevel="1">
      <c r="A2343" s="9" t="s">
        <v>78</v>
      </c>
      <c r="B2343" s="9" t="s">
        <v>2500</v>
      </c>
      <c r="C2343" s="12" t="s">
        <v>122</v>
      </c>
      <c r="D2343" s="14" t="s">
        <v>2459</v>
      </c>
      <c r="E2343" s="16"/>
      <c r="F2343" s="8"/>
      <c r="G2343" s="16"/>
      <c r="H2343" s="8"/>
      <c r="I2343" s="16"/>
    </row>
    <row r="2344" outlineLevel="1">
      <c r="A2344" s="9" t="s">
        <v>451</v>
      </c>
      <c r="B2344" s="9" t="s">
        <v>163</v>
      </c>
      <c r="C2344" s="12" t="s">
        <v>186</v>
      </c>
      <c r="D2344" s="14" t="s">
        <v>2459</v>
      </c>
      <c r="E2344" s="16"/>
      <c r="F2344" s="8"/>
      <c r="G2344" s="16"/>
      <c r="H2344" s="8"/>
      <c r="I2344" s="16"/>
    </row>
    <row r="2345" outlineLevel="1">
      <c r="A2345" s="9" t="s">
        <v>2501</v>
      </c>
      <c r="B2345" s="9" t="s">
        <v>2502</v>
      </c>
      <c r="C2345" s="16" t="s">
        <v>192</v>
      </c>
      <c r="D2345" s="14" t="s">
        <v>2503</v>
      </c>
      <c r="E2345" s="16"/>
      <c r="F2345" s="8"/>
      <c r="G2345" s="16"/>
      <c r="H2345" s="8"/>
      <c r="I2345" s="16"/>
    </row>
    <row r="2346">
      <c r="A2346" s="8"/>
      <c r="B2346" s="21"/>
      <c r="C2346" s="22"/>
      <c r="D2346" s="21"/>
      <c r="E2346" s="22"/>
      <c r="F2346" s="21"/>
      <c r="G2346" s="22"/>
      <c r="H2346" s="21"/>
      <c r="I2346" s="22"/>
    </row>
    <row r="2347">
      <c r="A2347" s="8"/>
      <c r="B2347" s="16"/>
      <c r="C2347" s="8"/>
      <c r="D2347" s="16"/>
      <c r="E2347" s="8"/>
      <c r="F2347" s="16"/>
      <c r="G2347" s="8"/>
      <c r="H2347" s="16"/>
      <c r="I2347" s="8"/>
    </row>
    <row r="2348">
      <c r="B2348" s="23"/>
      <c r="D2348" s="23"/>
      <c r="F2348" s="23"/>
      <c r="H2348" s="23"/>
    </row>
    <row r="2349">
      <c r="B2349" s="23"/>
      <c r="D2349" s="23"/>
      <c r="F2349" s="23"/>
      <c r="H2349" s="23"/>
    </row>
    <row r="2350">
      <c r="B2350" s="23"/>
      <c r="D2350" s="23"/>
      <c r="F2350" s="23"/>
      <c r="H2350" s="23"/>
    </row>
    <row r="2351">
      <c r="B2351" s="23"/>
      <c r="D2351" s="23"/>
      <c r="F2351" s="23"/>
      <c r="H2351" s="23"/>
    </row>
    <row r="2352">
      <c r="B2352" s="23"/>
      <c r="D2352" s="23"/>
      <c r="F2352" s="23"/>
      <c r="H2352" s="23"/>
    </row>
    <row r="2353">
      <c r="B2353" s="23"/>
      <c r="D2353" s="23"/>
      <c r="F2353" s="23"/>
      <c r="H2353" s="23"/>
    </row>
    <row r="2354">
      <c r="B2354" s="23"/>
      <c r="D2354" s="23"/>
      <c r="F2354" s="23"/>
      <c r="H2354" s="23"/>
    </row>
    <row r="2355">
      <c r="B2355" s="23"/>
      <c r="D2355" s="23"/>
      <c r="F2355" s="23"/>
      <c r="H2355" s="23"/>
    </row>
    <row r="2356">
      <c r="B2356" s="23"/>
      <c r="D2356" s="23"/>
      <c r="F2356" s="23"/>
      <c r="H2356" s="23"/>
    </row>
    <row r="2357">
      <c r="B2357" s="23"/>
      <c r="D2357" s="23"/>
      <c r="F2357" s="23"/>
      <c r="H2357" s="23"/>
    </row>
    <row r="2358">
      <c r="B2358" s="23"/>
      <c r="D2358" s="23"/>
      <c r="F2358" s="23"/>
      <c r="H2358" s="23"/>
    </row>
    <row r="2359">
      <c r="B2359" s="23"/>
      <c r="D2359" s="23"/>
      <c r="F2359" s="23"/>
      <c r="H2359" s="23"/>
    </row>
    <row r="2360">
      <c r="B2360" s="23"/>
      <c r="D2360" s="23"/>
      <c r="F2360" s="23"/>
      <c r="H2360" s="23"/>
    </row>
    <row r="2361">
      <c r="B2361" s="23"/>
      <c r="D2361" s="23"/>
      <c r="F2361" s="23"/>
      <c r="H2361" s="23"/>
    </row>
    <row r="2362">
      <c r="B2362" s="23"/>
      <c r="D2362" s="23"/>
      <c r="F2362" s="23"/>
      <c r="H2362" s="23"/>
    </row>
    <row r="2363">
      <c r="B2363" s="23"/>
      <c r="D2363" s="23"/>
      <c r="F2363" s="23"/>
      <c r="H2363" s="23"/>
    </row>
    <row r="2364">
      <c r="B2364" s="23"/>
      <c r="D2364" s="23"/>
      <c r="F2364" s="23"/>
      <c r="H2364" s="23"/>
    </row>
    <row r="2365">
      <c r="B2365" s="23"/>
      <c r="D2365" s="23"/>
      <c r="F2365" s="23"/>
      <c r="H2365" s="23"/>
    </row>
    <row r="2366">
      <c r="B2366" s="23"/>
      <c r="D2366" s="23"/>
      <c r="F2366" s="23"/>
      <c r="H2366" s="23"/>
    </row>
    <row r="2367">
      <c r="B2367" s="23"/>
      <c r="D2367" s="23"/>
      <c r="F2367" s="23"/>
      <c r="H2367" s="23"/>
    </row>
    <row r="2368">
      <c r="B2368" s="23"/>
      <c r="D2368" s="23"/>
      <c r="F2368" s="23"/>
      <c r="H2368" s="23"/>
    </row>
    <row r="2369">
      <c r="B2369" s="23"/>
      <c r="D2369" s="23"/>
      <c r="F2369" s="23"/>
      <c r="H2369" s="23"/>
    </row>
    <row r="2370">
      <c r="B2370" s="23"/>
      <c r="D2370" s="23"/>
      <c r="F2370" s="23"/>
      <c r="H2370" s="23"/>
    </row>
    <row r="2371">
      <c r="B2371" s="23"/>
      <c r="D2371" s="23"/>
      <c r="F2371" s="23"/>
      <c r="H2371" s="23"/>
    </row>
    <row r="2372">
      <c r="B2372" s="23"/>
      <c r="D2372" s="23"/>
      <c r="F2372" s="23"/>
      <c r="H2372" s="23"/>
    </row>
    <row r="2373">
      <c r="B2373" s="23"/>
      <c r="D2373" s="23"/>
      <c r="F2373" s="23"/>
      <c r="H2373" s="23"/>
    </row>
    <row r="2374">
      <c r="B2374" s="23"/>
      <c r="D2374" s="23"/>
      <c r="F2374" s="23"/>
      <c r="H2374" s="23"/>
    </row>
    <row r="2375">
      <c r="B2375" s="23"/>
      <c r="D2375" s="23"/>
      <c r="F2375" s="23"/>
      <c r="H2375" s="23"/>
    </row>
    <row r="2376">
      <c r="B2376" s="23"/>
      <c r="D2376" s="23"/>
      <c r="F2376" s="23"/>
      <c r="H2376" s="23"/>
    </row>
    <row r="2377">
      <c r="B2377" s="23"/>
      <c r="D2377" s="23"/>
      <c r="F2377" s="23"/>
      <c r="H2377" s="23"/>
    </row>
    <row r="2378">
      <c r="B2378" s="23"/>
      <c r="D2378" s="23"/>
      <c r="F2378" s="23"/>
      <c r="H2378" s="23"/>
    </row>
    <row r="2379">
      <c r="B2379" s="23"/>
      <c r="D2379" s="23"/>
      <c r="F2379" s="23"/>
      <c r="H2379" s="23"/>
    </row>
    <row r="2380">
      <c r="B2380" s="23"/>
      <c r="D2380" s="23"/>
      <c r="F2380" s="23"/>
      <c r="H2380" s="23"/>
    </row>
    <row r="2381">
      <c r="B2381" s="23"/>
      <c r="D2381" s="23"/>
      <c r="F2381" s="23"/>
      <c r="H2381" s="23"/>
    </row>
    <row r="2382">
      <c r="B2382" s="23"/>
      <c r="D2382" s="23"/>
      <c r="F2382" s="23"/>
      <c r="H2382" s="23"/>
    </row>
    <row r="2383">
      <c r="B2383" s="23"/>
      <c r="D2383" s="23"/>
      <c r="F2383" s="23"/>
      <c r="H2383" s="23"/>
    </row>
    <row r="2384">
      <c r="B2384" s="23"/>
      <c r="D2384" s="23"/>
      <c r="F2384" s="23"/>
      <c r="H2384" s="23"/>
    </row>
    <row r="2385">
      <c r="B2385" s="23"/>
      <c r="D2385" s="23"/>
      <c r="F2385" s="23"/>
      <c r="H2385" s="23"/>
    </row>
    <row r="2386">
      <c r="B2386" s="23"/>
      <c r="D2386" s="23"/>
      <c r="F2386" s="23"/>
      <c r="H2386" s="23"/>
    </row>
    <row r="2387">
      <c r="B2387" s="23"/>
      <c r="D2387" s="23"/>
      <c r="F2387" s="23"/>
      <c r="H2387" s="23"/>
    </row>
    <row r="2388">
      <c r="B2388" s="23"/>
      <c r="D2388" s="23"/>
      <c r="F2388" s="23"/>
      <c r="H2388" s="23"/>
    </row>
    <row r="2389">
      <c r="B2389" s="23"/>
      <c r="D2389" s="23"/>
      <c r="F2389" s="23"/>
      <c r="H2389" s="23"/>
    </row>
    <row r="2390">
      <c r="B2390" s="23"/>
      <c r="D2390" s="23"/>
      <c r="F2390" s="23"/>
      <c r="H2390" s="23"/>
    </row>
    <row r="2391">
      <c r="B2391" s="23"/>
      <c r="D2391" s="23"/>
      <c r="F2391" s="23"/>
      <c r="H2391" s="23"/>
    </row>
    <row r="2392">
      <c r="B2392" s="23"/>
      <c r="D2392" s="23"/>
      <c r="F2392" s="23"/>
      <c r="H2392" s="23"/>
    </row>
    <row r="2393">
      <c r="B2393" s="23"/>
      <c r="D2393" s="23"/>
      <c r="F2393" s="23"/>
      <c r="H2393" s="23"/>
    </row>
    <row r="2394">
      <c r="B2394" s="23"/>
      <c r="D2394" s="23"/>
      <c r="F2394" s="23"/>
      <c r="H2394" s="23"/>
    </row>
    <row r="2395">
      <c r="B2395" s="23"/>
      <c r="D2395" s="23"/>
      <c r="F2395" s="23"/>
      <c r="H2395" s="23"/>
    </row>
    <row r="2396">
      <c r="B2396" s="23"/>
      <c r="D2396" s="23"/>
      <c r="F2396" s="23"/>
      <c r="H2396" s="23"/>
    </row>
    <row r="2397">
      <c r="B2397" s="23"/>
      <c r="D2397" s="23"/>
      <c r="F2397" s="23"/>
      <c r="H2397" s="23"/>
    </row>
    <row r="2398">
      <c r="B2398" s="23"/>
      <c r="D2398" s="23"/>
      <c r="F2398" s="23"/>
      <c r="H2398" s="23"/>
    </row>
    <row r="2399">
      <c r="B2399" s="23"/>
      <c r="D2399" s="23"/>
      <c r="F2399" s="23"/>
      <c r="H2399" s="23"/>
    </row>
    <row r="2400">
      <c r="B2400" s="23"/>
      <c r="D2400" s="23"/>
      <c r="F2400" s="23"/>
      <c r="H2400" s="23"/>
    </row>
    <row r="2401">
      <c r="B2401" s="23"/>
      <c r="D2401" s="23"/>
      <c r="F2401" s="23"/>
      <c r="H2401" s="23"/>
    </row>
    <row r="2402">
      <c r="B2402" s="23"/>
      <c r="D2402" s="23"/>
      <c r="F2402" s="23"/>
      <c r="H2402" s="23"/>
    </row>
    <row r="2403">
      <c r="B2403" s="23"/>
      <c r="D2403" s="23"/>
      <c r="F2403" s="23"/>
      <c r="H2403" s="23"/>
    </row>
    <row r="2404">
      <c r="B2404" s="23"/>
      <c r="D2404" s="23"/>
      <c r="F2404" s="23"/>
      <c r="H2404" s="23"/>
    </row>
    <row r="2405">
      <c r="B2405" s="23"/>
      <c r="D2405" s="23"/>
      <c r="F2405" s="23"/>
      <c r="H2405" s="23"/>
    </row>
    <row r="2406">
      <c r="B2406" s="23"/>
      <c r="D2406" s="23"/>
      <c r="F2406" s="23"/>
      <c r="H2406" s="23"/>
    </row>
    <row r="2407">
      <c r="B2407" s="23"/>
      <c r="D2407" s="23"/>
      <c r="F2407" s="23"/>
      <c r="H2407" s="23"/>
    </row>
    <row r="2408">
      <c r="B2408" s="23"/>
      <c r="D2408" s="23"/>
      <c r="F2408" s="23"/>
      <c r="H2408" s="23"/>
    </row>
    <row r="2409">
      <c r="B2409" s="23"/>
      <c r="D2409" s="23"/>
      <c r="F2409" s="23"/>
      <c r="H2409" s="23"/>
    </row>
    <row r="2410">
      <c r="B2410" s="23"/>
      <c r="D2410" s="23"/>
      <c r="F2410" s="23"/>
      <c r="H2410" s="23"/>
    </row>
    <row r="2411">
      <c r="B2411" s="23"/>
      <c r="D2411" s="23"/>
      <c r="F2411" s="23"/>
      <c r="H2411" s="23"/>
    </row>
    <row r="2412">
      <c r="B2412" s="23"/>
      <c r="D2412" s="23"/>
      <c r="F2412" s="23"/>
      <c r="H2412" s="23"/>
    </row>
    <row r="2413">
      <c r="B2413" s="23"/>
      <c r="D2413" s="23"/>
      <c r="F2413" s="23"/>
      <c r="H2413" s="23"/>
    </row>
    <row r="2414">
      <c r="B2414" s="23"/>
      <c r="D2414" s="23"/>
      <c r="F2414" s="23"/>
      <c r="H2414" s="23"/>
    </row>
    <row r="2415">
      <c r="B2415" s="23"/>
      <c r="D2415" s="23"/>
      <c r="F2415" s="23"/>
      <c r="H2415" s="23"/>
    </row>
    <row r="2416">
      <c r="B2416" s="23"/>
      <c r="D2416" s="23"/>
      <c r="F2416" s="23"/>
      <c r="H2416" s="23"/>
    </row>
    <row r="2417">
      <c r="B2417" s="23"/>
      <c r="D2417" s="23"/>
      <c r="F2417" s="23"/>
      <c r="H2417" s="23"/>
    </row>
    <row r="2418">
      <c r="B2418" s="23"/>
      <c r="D2418" s="23"/>
      <c r="F2418" s="23"/>
      <c r="H2418" s="23"/>
    </row>
    <row r="2419">
      <c r="B2419" s="23"/>
      <c r="D2419" s="23"/>
      <c r="F2419" s="23"/>
      <c r="H2419" s="23"/>
    </row>
    <row r="2420">
      <c r="B2420" s="23"/>
      <c r="D2420" s="23"/>
      <c r="F2420" s="23"/>
      <c r="H2420" s="23"/>
    </row>
    <row r="2421">
      <c r="B2421" s="23"/>
      <c r="D2421" s="23"/>
      <c r="F2421" s="23"/>
      <c r="H2421" s="23"/>
    </row>
    <row r="2422">
      <c r="B2422" s="23"/>
      <c r="D2422" s="23"/>
      <c r="F2422" s="23"/>
      <c r="H2422" s="23"/>
    </row>
    <row r="2423">
      <c r="B2423" s="23"/>
      <c r="D2423" s="23"/>
      <c r="F2423" s="23"/>
      <c r="H2423" s="23"/>
    </row>
    <row r="2424">
      <c r="B2424" s="23"/>
      <c r="D2424" s="23"/>
      <c r="F2424" s="23"/>
      <c r="H2424" s="23"/>
    </row>
    <row r="2425">
      <c r="B2425" s="23"/>
      <c r="D2425" s="23"/>
      <c r="F2425" s="23"/>
      <c r="H2425" s="23"/>
    </row>
    <row r="2426">
      <c r="B2426" s="23"/>
      <c r="D2426" s="23"/>
      <c r="F2426" s="23"/>
      <c r="H2426" s="23"/>
    </row>
    <row r="2427">
      <c r="B2427" s="23"/>
      <c r="D2427" s="23"/>
      <c r="F2427" s="23"/>
      <c r="H2427" s="23"/>
    </row>
    <row r="2428">
      <c r="B2428" s="23"/>
      <c r="D2428" s="23"/>
      <c r="F2428" s="23"/>
      <c r="H2428" s="23"/>
    </row>
    <row r="2429">
      <c r="B2429" s="23"/>
      <c r="D2429" s="23"/>
      <c r="F2429" s="23"/>
      <c r="H2429" s="23"/>
    </row>
    <row r="2430">
      <c r="B2430" s="23"/>
      <c r="D2430" s="23"/>
      <c r="F2430" s="23"/>
      <c r="H2430" s="23"/>
    </row>
    <row r="2431">
      <c r="B2431" s="23"/>
      <c r="D2431" s="23"/>
      <c r="F2431" s="23"/>
      <c r="H2431" s="23"/>
    </row>
    <row r="2432">
      <c r="B2432" s="23"/>
      <c r="D2432" s="23"/>
      <c r="F2432" s="23"/>
      <c r="H2432" s="23"/>
    </row>
    <row r="2433">
      <c r="B2433" s="23"/>
      <c r="D2433" s="23"/>
      <c r="F2433" s="23"/>
      <c r="H2433" s="23"/>
    </row>
    <row r="2434">
      <c r="B2434" s="23"/>
      <c r="D2434" s="23"/>
      <c r="F2434" s="23"/>
      <c r="H2434" s="23"/>
    </row>
    <row r="2435">
      <c r="B2435" s="23"/>
      <c r="D2435" s="23"/>
      <c r="F2435" s="23"/>
      <c r="H2435" s="23"/>
    </row>
    <row r="2436">
      <c r="B2436" s="23"/>
      <c r="D2436" s="23"/>
      <c r="F2436" s="23"/>
      <c r="H2436" s="23"/>
    </row>
    <row r="2437">
      <c r="B2437" s="23"/>
      <c r="D2437" s="23"/>
      <c r="F2437" s="23"/>
      <c r="H2437" s="23"/>
    </row>
    <row r="2438">
      <c r="B2438" s="23"/>
      <c r="D2438" s="23"/>
      <c r="F2438" s="23"/>
      <c r="H2438" s="23"/>
    </row>
    <row r="2439">
      <c r="B2439" s="23"/>
      <c r="D2439" s="23"/>
      <c r="F2439" s="23"/>
      <c r="H2439" s="23"/>
    </row>
    <row r="2440">
      <c r="B2440" s="23"/>
      <c r="D2440" s="23"/>
      <c r="F2440" s="23"/>
      <c r="H2440" s="23"/>
    </row>
    <row r="2441">
      <c r="B2441" s="23"/>
      <c r="D2441" s="23"/>
      <c r="F2441" s="23"/>
      <c r="H2441" s="23"/>
    </row>
    <row r="2442">
      <c r="B2442" s="23"/>
      <c r="D2442" s="23"/>
      <c r="F2442" s="23"/>
      <c r="H2442" s="23"/>
    </row>
    <row r="2443">
      <c r="B2443" s="23"/>
      <c r="D2443" s="23"/>
      <c r="F2443" s="23"/>
      <c r="H2443" s="23"/>
    </row>
    <row r="2444">
      <c r="B2444" s="23"/>
      <c r="D2444" s="23"/>
      <c r="F2444" s="23"/>
      <c r="H2444" s="23"/>
    </row>
    <row r="2445">
      <c r="B2445" s="23"/>
      <c r="D2445" s="23"/>
      <c r="F2445" s="23"/>
      <c r="H2445" s="23"/>
    </row>
    <row r="2446">
      <c r="B2446" s="23"/>
      <c r="D2446" s="23"/>
      <c r="F2446" s="23"/>
      <c r="H2446" s="23"/>
    </row>
    <row r="2447">
      <c r="B2447" s="23"/>
      <c r="D2447" s="23"/>
      <c r="F2447" s="23"/>
      <c r="H2447" s="23"/>
    </row>
    <row r="2448">
      <c r="B2448" s="23"/>
      <c r="D2448" s="23"/>
      <c r="F2448" s="23"/>
      <c r="H2448" s="23"/>
    </row>
    <row r="2449">
      <c r="B2449" s="23"/>
      <c r="D2449" s="23"/>
      <c r="F2449" s="23"/>
      <c r="H2449" s="23"/>
    </row>
    <row r="2450">
      <c r="B2450" s="23"/>
      <c r="D2450" s="23"/>
      <c r="F2450" s="23"/>
      <c r="H2450" s="23"/>
    </row>
    <row r="2451">
      <c r="B2451" s="23"/>
      <c r="D2451" s="23"/>
      <c r="F2451" s="23"/>
      <c r="H2451" s="23"/>
    </row>
    <row r="2452">
      <c r="B2452" s="23"/>
      <c r="D2452" s="23"/>
      <c r="F2452" s="23"/>
      <c r="H2452" s="23"/>
    </row>
    <row r="2453">
      <c r="B2453" s="23"/>
      <c r="D2453" s="23"/>
      <c r="F2453" s="23"/>
      <c r="H2453" s="23"/>
    </row>
    <row r="2454">
      <c r="B2454" s="23"/>
      <c r="D2454" s="23"/>
      <c r="F2454" s="23"/>
      <c r="H2454" s="23"/>
    </row>
    <row r="2455">
      <c r="B2455" s="23"/>
      <c r="D2455" s="23"/>
      <c r="F2455" s="23"/>
      <c r="H2455" s="23"/>
    </row>
    <row r="2456">
      <c r="B2456" s="23"/>
      <c r="D2456" s="23"/>
      <c r="F2456" s="23"/>
      <c r="H2456" s="23"/>
    </row>
    <row r="2457">
      <c r="B2457" s="23"/>
      <c r="D2457" s="23"/>
      <c r="F2457" s="23"/>
      <c r="H2457" s="23"/>
    </row>
    <row r="2458">
      <c r="B2458" s="23"/>
      <c r="D2458" s="23"/>
      <c r="F2458" s="23"/>
      <c r="H2458" s="23"/>
    </row>
    <row r="2459">
      <c r="B2459" s="23"/>
      <c r="D2459" s="23"/>
      <c r="F2459" s="23"/>
      <c r="H2459" s="23"/>
    </row>
    <row r="2460">
      <c r="B2460" s="23"/>
      <c r="D2460" s="23"/>
      <c r="F2460" s="23"/>
      <c r="H2460" s="23"/>
    </row>
    <row r="2461">
      <c r="B2461" s="23"/>
      <c r="D2461" s="23"/>
      <c r="F2461" s="23"/>
      <c r="H2461" s="23"/>
    </row>
    <row r="2462">
      <c r="B2462" s="23"/>
      <c r="D2462" s="23"/>
      <c r="F2462" s="23"/>
      <c r="H2462" s="23"/>
    </row>
    <row r="2463">
      <c r="B2463" s="23"/>
      <c r="D2463" s="23"/>
      <c r="F2463" s="23"/>
      <c r="H2463" s="23"/>
    </row>
    <row r="2464">
      <c r="B2464" s="23"/>
      <c r="D2464" s="23"/>
      <c r="F2464" s="23"/>
      <c r="H2464" s="23"/>
    </row>
    <row r="2465">
      <c r="B2465" s="23"/>
      <c r="D2465" s="23"/>
      <c r="F2465" s="23"/>
      <c r="H2465" s="23"/>
    </row>
    <row r="2466">
      <c r="B2466" s="23"/>
      <c r="D2466" s="23"/>
      <c r="F2466" s="23"/>
      <c r="H2466" s="23"/>
    </row>
    <row r="2467">
      <c r="B2467" s="23"/>
      <c r="D2467" s="23"/>
      <c r="F2467" s="23"/>
      <c r="H2467" s="23"/>
    </row>
    <row r="2468">
      <c r="B2468" s="23"/>
      <c r="D2468" s="23"/>
      <c r="F2468" s="23"/>
      <c r="H2468" s="23"/>
    </row>
    <row r="2469">
      <c r="B2469" s="23"/>
      <c r="D2469" s="23"/>
      <c r="F2469" s="23"/>
      <c r="H2469" s="23"/>
    </row>
    <row r="2470">
      <c r="B2470" s="23"/>
      <c r="D2470" s="23"/>
      <c r="F2470" s="23"/>
      <c r="H2470" s="23"/>
    </row>
    <row r="2471">
      <c r="B2471" s="23"/>
      <c r="D2471" s="23"/>
      <c r="F2471" s="23"/>
      <c r="H2471" s="23"/>
    </row>
    <row r="2472">
      <c r="B2472" s="23"/>
      <c r="D2472" s="23"/>
      <c r="F2472" s="23"/>
      <c r="H2472" s="23"/>
    </row>
    <row r="2473">
      <c r="B2473" s="23"/>
      <c r="D2473" s="23"/>
      <c r="F2473" s="23"/>
      <c r="H2473" s="23"/>
    </row>
    <row r="2474">
      <c r="B2474" s="23"/>
      <c r="D2474" s="23"/>
      <c r="F2474" s="23"/>
      <c r="H2474" s="23"/>
    </row>
    <row r="2475">
      <c r="B2475" s="23"/>
      <c r="D2475" s="23"/>
      <c r="F2475" s="23"/>
      <c r="H2475" s="23"/>
    </row>
    <row r="2476">
      <c r="B2476" s="23"/>
      <c r="D2476" s="23"/>
      <c r="F2476" s="23"/>
      <c r="H2476" s="23"/>
    </row>
    <row r="2477">
      <c r="B2477" s="23"/>
      <c r="D2477" s="23"/>
      <c r="F2477" s="23"/>
      <c r="H2477" s="23"/>
    </row>
    <row r="2478">
      <c r="B2478" s="23"/>
      <c r="D2478" s="23"/>
      <c r="F2478" s="23"/>
      <c r="H2478" s="23"/>
    </row>
    <row r="2479">
      <c r="B2479" s="23"/>
      <c r="D2479" s="23"/>
      <c r="F2479" s="23"/>
      <c r="H2479" s="23"/>
    </row>
    <row r="2480">
      <c r="B2480" s="23"/>
      <c r="D2480" s="23"/>
      <c r="F2480" s="23"/>
      <c r="H2480" s="23"/>
    </row>
    <row r="2481">
      <c r="B2481" s="23"/>
      <c r="D2481" s="23"/>
      <c r="F2481" s="23"/>
      <c r="H2481" s="23"/>
    </row>
    <row r="2482">
      <c r="B2482" s="23"/>
      <c r="D2482" s="23"/>
      <c r="F2482" s="23"/>
      <c r="H2482" s="23"/>
    </row>
    <row r="2483">
      <c r="B2483" s="23"/>
      <c r="D2483" s="23"/>
      <c r="F2483" s="23"/>
      <c r="H2483" s="23"/>
    </row>
    <row r="2484">
      <c r="B2484" s="23"/>
      <c r="D2484" s="23"/>
      <c r="F2484" s="23"/>
      <c r="H2484" s="23"/>
    </row>
    <row r="2485">
      <c r="B2485" s="23"/>
      <c r="D2485" s="23"/>
      <c r="F2485" s="23"/>
      <c r="H2485" s="23"/>
    </row>
    <row r="2486">
      <c r="B2486" s="23"/>
      <c r="D2486" s="23"/>
      <c r="F2486" s="23"/>
      <c r="H2486" s="23"/>
    </row>
    <row r="2487">
      <c r="B2487" s="23"/>
      <c r="D2487" s="23"/>
      <c r="F2487" s="23"/>
      <c r="H2487" s="23"/>
    </row>
    <row r="2488">
      <c r="B2488" s="23"/>
      <c r="D2488" s="23"/>
      <c r="F2488" s="23"/>
      <c r="H2488" s="23"/>
    </row>
    <row r="2489">
      <c r="B2489" s="23"/>
      <c r="D2489" s="23"/>
      <c r="F2489" s="23"/>
      <c r="H2489" s="23"/>
    </row>
    <row r="2490">
      <c r="B2490" s="23"/>
      <c r="D2490" s="23"/>
      <c r="F2490" s="23"/>
      <c r="H2490" s="23"/>
    </row>
    <row r="2491">
      <c r="B2491" s="23"/>
      <c r="D2491" s="23"/>
      <c r="F2491" s="23"/>
      <c r="H2491" s="23"/>
    </row>
    <row r="2492">
      <c r="B2492" s="23"/>
      <c r="D2492" s="23"/>
      <c r="F2492" s="23"/>
      <c r="H2492" s="23"/>
    </row>
    <row r="2493">
      <c r="B2493" s="23"/>
      <c r="D2493" s="23"/>
      <c r="F2493" s="23"/>
      <c r="H2493" s="23"/>
    </row>
    <row r="2494">
      <c r="B2494" s="23"/>
      <c r="D2494" s="23"/>
      <c r="F2494" s="23"/>
      <c r="H2494" s="23"/>
    </row>
    <row r="2495">
      <c r="B2495" s="23"/>
      <c r="D2495" s="23"/>
      <c r="F2495" s="23"/>
      <c r="H2495" s="23"/>
    </row>
    <row r="2496">
      <c r="B2496" s="23"/>
      <c r="D2496" s="23"/>
      <c r="F2496" s="23"/>
      <c r="H2496" s="23"/>
    </row>
    <row r="2497">
      <c r="B2497" s="23"/>
      <c r="D2497" s="23"/>
      <c r="F2497" s="23"/>
      <c r="H2497" s="23"/>
    </row>
    <row r="2498">
      <c r="B2498" s="23"/>
      <c r="D2498" s="23"/>
      <c r="F2498" s="23"/>
      <c r="H2498" s="23"/>
    </row>
    <row r="2499">
      <c r="B2499" s="23"/>
      <c r="D2499" s="23"/>
      <c r="F2499" s="23"/>
      <c r="H2499" s="23"/>
    </row>
    <row r="2500">
      <c r="B2500" s="23"/>
      <c r="D2500" s="23"/>
      <c r="F2500" s="23"/>
      <c r="H2500" s="23"/>
    </row>
    <row r="2501">
      <c r="B2501" s="23"/>
      <c r="D2501" s="23"/>
      <c r="F2501" s="23"/>
      <c r="H2501" s="23"/>
    </row>
    <row r="2502">
      <c r="B2502" s="23"/>
      <c r="D2502" s="23"/>
      <c r="F2502" s="23"/>
      <c r="H2502" s="23"/>
    </row>
    <row r="2503">
      <c r="B2503" s="23"/>
      <c r="D2503" s="23"/>
      <c r="F2503" s="23"/>
      <c r="H2503" s="23"/>
    </row>
    <row r="2504">
      <c r="B2504" s="23"/>
      <c r="D2504" s="23"/>
      <c r="F2504" s="23"/>
      <c r="H2504" s="23"/>
    </row>
    <row r="2505">
      <c r="B2505" s="23"/>
      <c r="D2505" s="23"/>
      <c r="F2505" s="23"/>
      <c r="H2505" s="23"/>
    </row>
    <row r="2506">
      <c r="B2506" s="23"/>
      <c r="D2506" s="23"/>
      <c r="F2506" s="23"/>
      <c r="H2506" s="23"/>
    </row>
    <row r="2507">
      <c r="B2507" s="23"/>
      <c r="D2507" s="23"/>
      <c r="F2507" s="23"/>
      <c r="H2507" s="23"/>
    </row>
    <row r="2508">
      <c r="B2508" s="23"/>
      <c r="D2508" s="23"/>
      <c r="F2508" s="23"/>
      <c r="H2508" s="23"/>
    </row>
    <row r="2509">
      <c r="B2509" s="23"/>
      <c r="D2509" s="23"/>
      <c r="F2509" s="23"/>
      <c r="H2509" s="23"/>
    </row>
    <row r="2510">
      <c r="B2510" s="23"/>
      <c r="D2510" s="23"/>
      <c r="F2510" s="23"/>
      <c r="H2510" s="23"/>
    </row>
    <row r="2511">
      <c r="B2511" s="23"/>
      <c r="D2511" s="23"/>
      <c r="F2511" s="23"/>
      <c r="H2511" s="23"/>
    </row>
    <row r="2512">
      <c r="B2512" s="23"/>
      <c r="D2512" s="23"/>
      <c r="F2512" s="23"/>
      <c r="H2512" s="23"/>
    </row>
    <row r="2513">
      <c r="B2513" s="23"/>
      <c r="D2513" s="23"/>
      <c r="F2513" s="23"/>
      <c r="H2513" s="23"/>
    </row>
    <row r="2514">
      <c r="B2514" s="23"/>
      <c r="D2514" s="23"/>
      <c r="F2514" s="23"/>
      <c r="H2514" s="23"/>
    </row>
    <row r="2515">
      <c r="B2515" s="23"/>
      <c r="D2515" s="23"/>
      <c r="F2515" s="23"/>
      <c r="H2515" s="23"/>
    </row>
    <row r="2516">
      <c r="B2516" s="23"/>
      <c r="D2516" s="23"/>
      <c r="F2516" s="23"/>
      <c r="H2516" s="23"/>
    </row>
    <row r="2517">
      <c r="B2517" s="23"/>
      <c r="D2517" s="23"/>
      <c r="F2517" s="23"/>
      <c r="H2517" s="23"/>
    </row>
    <row r="2518">
      <c r="B2518" s="23"/>
      <c r="D2518" s="23"/>
      <c r="F2518" s="23"/>
      <c r="H2518" s="23"/>
    </row>
    <row r="2519">
      <c r="B2519" s="23"/>
      <c r="D2519" s="23"/>
      <c r="F2519" s="23"/>
      <c r="H2519" s="23"/>
    </row>
    <row r="2520">
      <c r="B2520" s="23"/>
      <c r="D2520" s="23"/>
      <c r="F2520" s="23"/>
      <c r="H2520" s="23"/>
    </row>
    <row r="2521">
      <c r="B2521" s="23"/>
      <c r="D2521" s="23"/>
      <c r="F2521" s="23"/>
      <c r="H2521" s="23"/>
    </row>
    <row r="2522">
      <c r="B2522" s="23"/>
      <c r="D2522" s="23"/>
      <c r="F2522" s="23"/>
      <c r="H2522" s="23"/>
    </row>
    <row r="2523">
      <c r="B2523" s="23"/>
      <c r="D2523" s="23"/>
      <c r="F2523" s="23"/>
      <c r="H2523" s="23"/>
    </row>
    <row r="2524">
      <c r="B2524" s="23"/>
      <c r="D2524" s="23"/>
      <c r="F2524" s="23"/>
      <c r="H2524" s="23"/>
    </row>
    <row r="2525">
      <c r="B2525" s="23"/>
      <c r="D2525" s="23"/>
      <c r="F2525" s="23"/>
      <c r="H2525" s="23"/>
    </row>
    <row r="2526">
      <c r="B2526" s="23"/>
      <c r="D2526" s="23"/>
      <c r="F2526" s="23"/>
      <c r="H2526" s="23"/>
    </row>
    <row r="2527">
      <c r="B2527" s="23"/>
      <c r="D2527" s="23"/>
      <c r="F2527" s="23"/>
      <c r="H2527" s="23"/>
    </row>
    <row r="2528">
      <c r="B2528" s="23"/>
      <c r="D2528" s="23"/>
      <c r="F2528" s="23"/>
      <c r="H2528" s="23"/>
    </row>
    <row r="2529">
      <c r="B2529" s="23"/>
      <c r="D2529" s="23"/>
      <c r="F2529" s="23"/>
      <c r="H2529" s="23"/>
    </row>
    <row r="2530">
      <c r="B2530" s="23"/>
      <c r="D2530" s="23"/>
      <c r="F2530" s="23"/>
      <c r="H2530" s="23"/>
    </row>
    <row r="2531">
      <c r="B2531" s="23"/>
      <c r="D2531" s="23"/>
      <c r="F2531" s="23"/>
      <c r="H2531" s="23"/>
    </row>
    <row r="2532">
      <c r="B2532" s="23"/>
      <c r="D2532" s="23"/>
      <c r="F2532" s="23"/>
      <c r="H2532" s="23"/>
    </row>
    <row r="2533">
      <c r="B2533" s="23"/>
      <c r="D2533" s="23"/>
      <c r="F2533" s="23"/>
      <c r="H2533" s="23"/>
    </row>
    <row r="2534">
      <c r="B2534" s="23"/>
      <c r="D2534" s="23"/>
      <c r="F2534" s="23"/>
      <c r="H2534" s="23"/>
    </row>
    <row r="2535">
      <c r="B2535" s="23"/>
      <c r="D2535" s="23"/>
      <c r="F2535" s="23"/>
      <c r="H2535" s="23"/>
    </row>
    <row r="2536">
      <c r="B2536" s="23"/>
      <c r="D2536" s="23"/>
      <c r="F2536" s="23"/>
      <c r="H2536" s="23"/>
    </row>
    <row r="2537">
      <c r="B2537" s="23"/>
      <c r="D2537" s="23"/>
      <c r="F2537" s="23"/>
      <c r="H2537" s="23"/>
    </row>
    <row r="2538">
      <c r="B2538" s="23"/>
      <c r="D2538" s="23"/>
      <c r="F2538" s="23"/>
      <c r="H2538" s="23"/>
    </row>
    <row r="2539">
      <c r="B2539" s="23"/>
      <c r="D2539" s="23"/>
      <c r="F2539" s="23"/>
      <c r="H2539" s="23"/>
    </row>
    <row r="2540">
      <c r="B2540" s="23"/>
      <c r="D2540" s="23"/>
      <c r="F2540" s="23"/>
      <c r="H2540" s="23"/>
    </row>
    <row r="2541">
      <c r="B2541" s="23"/>
      <c r="D2541" s="23"/>
      <c r="F2541" s="23"/>
      <c r="H2541" s="23"/>
    </row>
    <row r="2542">
      <c r="B2542" s="23"/>
      <c r="D2542" s="23"/>
      <c r="F2542" s="23"/>
      <c r="H2542" s="23"/>
    </row>
    <row r="2543">
      <c r="B2543" s="23"/>
      <c r="D2543" s="23"/>
      <c r="F2543" s="23"/>
      <c r="H2543" s="23"/>
    </row>
    <row r="2544">
      <c r="B2544" s="23"/>
      <c r="D2544" s="23"/>
      <c r="F2544" s="23"/>
      <c r="H2544" s="23"/>
    </row>
    <row r="2545">
      <c r="B2545" s="23"/>
      <c r="D2545" s="23"/>
      <c r="F2545" s="23"/>
      <c r="H2545" s="23"/>
    </row>
    <row r="2546">
      <c r="B2546" s="23"/>
      <c r="D2546" s="23"/>
      <c r="F2546" s="23"/>
      <c r="H2546" s="23"/>
    </row>
    <row r="2547">
      <c r="B2547" s="23"/>
      <c r="D2547" s="23"/>
      <c r="F2547" s="23"/>
      <c r="H2547" s="23"/>
    </row>
    <row r="2548">
      <c r="B2548" s="23"/>
      <c r="D2548" s="23"/>
      <c r="F2548" s="23"/>
      <c r="H2548" s="23"/>
    </row>
    <row r="2549">
      <c r="B2549" s="23"/>
      <c r="D2549" s="23"/>
      <c r="F2549" s="23"/>
      <c r="H2549" s="23"/>
    </row>
    <row r="2550">
      <c r="B2550" s="23"/>
      <c r="D2550" s="23"/>
      <c r="F2550" s="23"/>
      <c r="H2550" s="23"/>
    </row>
    <row r="2551">
      <c r="B2551" s="23"/>
      <c r="D2551" s="23"/>
      <c r="F2551" s="23"/>
      <c r="H2551" s="23"/>
    </row>
    <row r="2552">
      <c r="B2552" s="23"/>
      <c r="D2552" s="23"/>
      <c r="F2552" s="23"/>
      <c r="H2552" s="23"/>
    </row>
    <row r="2553">
      <c r="B2553" s="23"/>
      <c r="D2553" s="23"/>
      <c r="F2553" s="23"/>
      <c r="H2553" s="23"/>
    </row>
    <row r="2554">
      <c r="B2554" s="23"/>
      <c r="D2554" s="23"/>
      <c r="F2554" s="23"/>
      <c r="H2554" s="23"/>
    </row>
    <row r="2555">
      <c r="B2555" s="23"/>
      <c r="D2555" s="23"/>
      <c r="F2555" s="23"/>
      <c r="H2555" s="23"/>
    </row>
    <row r="2556">
      <c r="B2556" s="23"/>
      <c r="D2556" s="23"/>
      <c r="F2556" s="23"/>
      <c r="H2556" s="23"/>
    </row>
    <row r="2557">
      <c r="B2557" s="23"/>
      <c r="D2557" s="23"/>
      <c r="F2557" s="23"/>
      <c r="H2557" s="23"/>
    </row>
    <row r="2558">
      <c r="B2558" s="23"/>
      <c r="D2558" s="23"/>
      <c r="F2558" s="23"/>
      <c r="H2558" s="23"/>
    </row>
    <row r="2559">
      <c r="B2559" s="23"/>
      <c r="D2559" s="23"/>
      <c r="F2559" s="23"/>
      <c r="H2559" s="23"/>
    </row>
    <row r="2560">
      <c r="B2560" s="23"/>
      <c r="D2560" s="23"/>
      <c r="F2560" s="23"/>
      <c r="H2560" s="23"/>
    </row>
    <row r="2561">
      <c r="B2561" s="23"/>
      <c r="D2561" s="23"/>
      <c r="F2561" s="23"/>
      <c r="H2561" s="23"/>
    </row>
    <row r="2562">
      <c r="B2562" s="23"/>
      <c r="D2562" s="23"/>
      <c r="F2562" s="23"/>
      <c r="H2562" s="23"/>
    </row>
    <row r="2563">
      <c r="B2563" s="23"/>
      <c r="D2563" s="23"/>
      <c r="F2563" s="23"/>
      <c r="H2563" s="23"/>
    </row>
    <row r="2564">
      <c r="B2564" s="23"/>
      <c r="D2564" s="23"/>
      <c r="F2564" s="23"/>
      <c r="H2564" s="23"/>
    </row>
    <row r="2565">
      <c r="B2565" s="23"/>
      <c r="D2565" s="23"/>
      <c r="F2565" s="23"/>
      <c r="H2565" s="23"/>
    </row>
    <row r="2566">
      <c r="B2566" s="23"/>
      <c r="D2566" s="23"/>
      <c r="F2566" s="23"/>
      <c r="H2566" s="23"/>
    </row>
    <row r="2567">
      <c r="B2567" s="23"/>
      <c r="D2567" s="23"/>
      <c r="F2567" s="23"/>
      <c r="H2567" s="23"/>
    </row>
    <row r="2568">
      <c r="B2568" s="23"/>
      <c r="D2568" s="23"/>
      <c r="F2568" s="23"/>
      <c r="H2568" s="23"/>
    </row>
    <row r="2569">
      <c r="B2569" s="23"/>
      <c r="D2569" s="23"/>
      <c r="F2569" s="23"/>
      <c r="H2569" s="23"/>
    </row>
    <row r="2570">
      <c r="B2570" s="23"/>
      <c r="D2570" s="23"/>
      <c r="F2570" s="23"/>
      <c r="H2570" s="23"/>
    </row>
    <row r="2571">
      <c r="B2571" s="23"/>
      <c r="D2571" s="23"/>
      <c r="F2571" s="23"/>
      <c r="H2571" s="23"/>
    </row>
    <row r="2572">
      <c r="B2572" s="23"/>
      <c r="D2572" s="23"/>
      <c r="F2572" s="23"/>
      <c r="H2572" s="23"/>
    </row>
    <row r="2573">
      <c r="B2573" s="23"/>
      <c r="D2573" s="23"/>
      <c r="F2573" s="23"/>
      <c r="H2573" s="23"/>
    </row>
    <row r="2574">
      <c r="B2574" s="23"/>
      <c r="D2574" s="23"/>
      <c r="F2574" s="23"/>
      <c r="H2574" s="23"/>
    </row>
    <row r="2575">
      <c r="B2575" s="23"/>
      <c r="D2575" s="23"/>
      <c r="F2575" s="23"/>
      <c r="H2575" s="23"/>
    </row>
    <row r="2576">
      <c r="B2576" s="23"/>
      <c r="D2576" s="23"/>
      <c r="F2576" s="23"/>
      <c r="H2576" s="23"/>
    </row>
    <row r="2577">
      <c r="B2577" s="23"/>
      <c r="D2577" s="23"/>
      <c r="F2577" s="23"/>
      <c r="H2577" s="23"/>
    </row>
    <row r="2578">
      <c r="B2578" s="23"/>
      <c r="D2578" s="23"/>
      <c r="F2578" s="23"/>
      <c r="H2578" s="23"/>
    </row>
    <row r="2579">
      <c r="B2579" s="23"/>
      <c r="D2579" s="23"/>
      <c r="F2579" s="23"/>
      <c r="H2579" s="23"/>
    </row>
    <row r="2580">
      <c r="B2580" s="23"/>
      <c r="D2580" s="23"/>
      <c r="F2580" s="23"/>
      <c r="H2580" s="23"/>
    </row>
    <row r="2581">
      <c r="B2581" s="23"/>
      <c r="D2581" s="23"/>
      <c r="F2581" s="23"/>
      <c r="H2581" s="23"/>
    </row>
    <row r="2582">
      <c r="B2582" s="23"/>
      <c r="D2582" s="23"/>
      <c r="F2582" s="23"/>
      <c r="H2582" s="23"/>
    </row>
    <row r="2583">
      <c r="B2583" s="23"/>
      <c r="D2583" s="23"/>
      <c r="F2583" s="23"/>
      <c r="H2583" s="23"/>
    </row>
    <row r="2584">
      <c r="B2584" s="23"/>
      <c r="D2584" s="23"/>
      <c r="F2584" s="23"/>
      <c r="H2584" s="23"/>
    </row>
    <row r="2585">
      <c r="B2585" s="23"/>
      <c r="D2585" s="23"/>
      <c r="F2585" s="23"/>
      <c r="H2585" s="23"/>
    </row>
    <row r="2586">
      <c r="B2586" s="23"/>
      <c r="D2586" s="23"/>
      <c r="F2586" s="23"/>
      <c r="H2586" s="23"/>
    </row>
    <row r="2587">
      <c r="B2587" s="23"/>
      <c r="D2587" s="23"/>
      <c r="F2587" s="23"/>
      <c r="H2587" s="23"/>
    </row>
    <row r="2588">
      <c r="B2588" s="23"/>
      <c r="D2588" s="23"/>
      <c r="F2588" s="23"/>
      <c r="H2588" s="23"/>
    </row>
    <row r="2589">
      <c r="B2589" s="23"/>
      <c r="D2589" s="23"/>
      <c r="F2589" s="23"/>
      <c r="H2589" s="23"/>
    </row>
    <row r="2590">
      <c r="B2590" s="23"/>
      <c r="D2590" s="23"/>
      <c r="F2590" s="23"/>
      <c r="H2590" s="23"/>
    </row>
    <row r="2591">
      <c r="B2591" s="23"/>
      <c r="D2591" s="23"/>
      <c r="F2591" s="23"/>
      <c r="H2591" s="23"/>
    </row>
    <row r="2592">
      <c r="B2592" s="23"/>
      <c r="D2592" s="23"/>
      <c r="F2592" s="23"/>
      <c r="H2592" s="23"/>
    </row>
    <row r="2593">
      <c r="B2593" s="23"/>
      <c r="D2593" s="23"/>
      <c r="F2593" s="23"/>
      <c r="H2593" s="23"/>
    </row>
    <row r="2594">
      <c r="B2594" s="23"/>
      <c r="D2594" s="23"/>
      <c r="F2594" s="23"/>
      <c r="H2594" s="23"/>
    </row>
    <row r="2595">
      <c r="B2595" s="23"/>
      <c r="D2595" s="23"/>
      <c r="F2595" s="23"/>
      <c r="H2595" s="23"/>
    </row>
    <row r="2596">
      <c r="B2596" s="23"/>
      <c r="D2596" s="23"/>
      <c r="F2596" s="23"/>
      <c r="H2596" s="23"/>
    </row>
    <row r="2597">
      <c r="B2597" s="23"/>
      <c r="D2597" s="23"/>
      <c r="F2597" s="23"/>
      <c r="H2597" s="23"/>
    </row>
    <row r="2598">
      <c r="B2598" s="23"/>
      <c r="D2598" s="23"/>
      <c r="F2598" s="23"/>
      <c r="H2598" s="23"/>
    </row>
    <row r="2599">
      <c r="B2599" s="23"/>
      <c r="D2599" s="23"/>
      <c r="F2599" s="23"/>
      <c r="H2599" s="23"/>
    </row>
    <row r="2600">
      <c r="B2600" s="23"/>
      <c r="D2600" s="23"/>
      <c r="F2600" s="23"/>
      <c r="H2600" s="23"/>
    </row>
    <row r="2601">
      <c r="B2601" s="23"/>
      <c r="D2601" s="23"/>
      <c r="F2601" s="23"/>
      <c r="H2601" s="23"/>
    </row>
    <row r="2602">
      <c r="B2602" s="23"/>
      <c r="D2602" s="23"/>
      <c r="F2602" s="23"/>
      <c r="H2602" s="23"/>
    </row>
    <row r="2603">
      <c r="B2603" s="23"/>
      <c r="D2603" s="23"/>
      <c r="F2603" s="23"/>
      <c r="H2603" s="23"/>
    </row>
    <row r="2604">
      <c r="B2604" s="23"/>
      <c r="D2604" s="23"/>
      <c r="F2604" s="23"/>
      <c r="H2604" s="23"/>
    </row>
    <row r="2605">
      <c r="B2605" s="23"/>
      <c r="D2605" s="23"/>
      <c r="F2605" s="23"/>
      <c r="H2605" s="23"/>
    </row>
    <row r="2606">
      <c r="B2606" s="23"/>
      <c r="D2606" s="23"/>
      <c r="F2606" s="23"/>
      <c r="H2606" s="23"/>
    </row>
    <row r="2607">
      <c r="B2607" s="23"/>
      <c r="D2607" s="23"/>
      <c r="F2607" s="23"/>
      <c r="H2607" s="23"/>
    </row>
    <row r="2608">
      <c r="B2608" s="23"/>
      <c r="D2608" s="23"/>
      <c r="F2608" s="23"/>
      <c r="H2608" s="23"/>
    </row>
    <row r="2609">
      <c r="B2609" s="23"/>
      <c r="D2609" s="23"/>
      <c r="F2609" s="23"/>
      <c r="H2609" s="23"/>
    </row>
    <row r="2610">
      <c r="B2610" s="23"/>
      <c r="D2610" s="23"/>
      <c r="F2610" s="23"/>
      <c r="H2610" s="23"/>
    </row>
    <row r="2611">
      <c r="B2611" s="23"/>
      <c r="D2611" s="23"/>
      <c r="F2611" s="23"/>
      <c r="H2611" s="23"/>
    </row>
    <row r="2612">
      <c r="B2612" s="23"/>
      <c r="D2612" s="23"/>
      <c r="F2612" s="23"/>
      <c r="H2612" s="23"/>
    </row>
    <row r="2613">
      <c r="B2613" s="23"/>
      <c r="D2613" s="23"/>
      <c r="F2613" s="23"/>
      <c r="H2613" s="23"/>
    </row>
    <row r="2614">
      <c r="B2614" s="23"/>
      <c r="D2614" s="23"/>
      <c r="F2614" s="23"/>
      <c r="H2614" s="23"/>
    </row>
    <row r="2615">
      <c r="B2615" s="23"/>
      <c r="D2615" s="23"/>
      <c r="F2615" s="23"/>
      <c r="H2615" s="23"/>
    </row>
    <row r="2616">
      <c r="B2616" s="23"/>
      <c r="D2616" s="23"/>
      <c r="F2616" s="23"/>
      <c r="H2616" s="23"/>
    </row>
    <row r="2617">
      <c r="B2617" s="23"/>
      <c r="D2617" s="23"/>
      <c r="F2617" s="23"/>
      <c r="H2617" s="23"/>
    </row>
    <row r="2618">
      <c r="B2618" s="23"/>
      <c r="D2618" s="23"/>
      <c r="F2618" s="23"/>
      <c r="H2618" s="23"/>
    </row>
    <row r="2619">
      <c r="B2619" s="23"/>
      <c r="D2619" s="23"/>
      <c r="F2619" s="23"/>
      <c r="H2619" s="23"/>
    </row>
    <row r="2620">
      <c r="B2620" s="23"/>
      <c r="D2620" s="23"/>
      <c r="F2620" s="23"/>
      <c r="H2620" s="23"/>
    </row>
    <row r="2621">
      <c r="B2621" s="23"/>
      <c r="D2621" s="23"/>
      <c r="F2621" s="23"/>
      <c r="H2621" s="23"/>
    </row>
    <row r="2622">
      <c r="B2622" s="23"/>
      <c r="D2622" s="23"/>
      <c r="F2622" s="23"/>
      <c r="H2622" s="23"/>
    </row>
    <row r="2623">
      <c r="B2623" s="23"/>
      <c r="D2623" s="23"/>
      <c r="F2623" s="23"/>
      <c r="H2623" s="23"/>
    </row>
    <row r="2624">
      <c r="B2624" s="23"/>
      <c r="D2624" s="23"/>
      <c r="F2624" s="23"/>
      <c r="H2624" s="23"/>
    </row>
    <row r="2625">
      <c r="B2625" s="23"/>
      <c r="D2625" s="23"/>
      <c r="F2625" s="23"/>
      <c r="H2625" s="23"/>
    </row>
    <row r="2626">
      <c r="B2626" s="23"/>
      <c r="D2626" s="23"/>
      <c r="F2626" s="23"/>
      <c r="H2626" s="23"/>
    </row>
    <row r="2627">
      <c r="B2627" s="23"/>
      <c r="D2627" s="23"/>
      <c r="F2627" s="23"/>
      <c r="H2627" s="23"/>
    </row>
    <row r="2628">
      <c r="B2628" s="23"/>
      <c r="D2628" s="23"/>
      <c r="F2628" s="23"/>
      <c r="H2628" s="23"/>
    </row>
    <row r="2629">
      <c r="B2629" s="23"/>
      <c r="D2629" s="23"/>
      <c r="F2629" s="23"/>
      <c r="H2629" s="23"/>
    </row>
    <row r="2630">
      <c r="B2630" s="23"/>
      <c r="D2630" s="23"/>
      <c r="F2630" s="23"/>
      <c r="H2630" s="23"/>
    </row>
    <row r="2631">
      <c r="B2631" s="23"/>
      <c r="D2631" s="23"/>
      <c r="F2631" s="23"/>
      <c r="H2631" s="23"/>
    </row>
    <row r="2632">
      <c r="B2632" s="23"/>
      <c r="D2632" s="23"/>
      <c r="F2632" s="23"/>
      <c r="H2632" s="23"/>
    </row>
    <row r="2633">
      <c r="B2633" s="23"/>
      <c r="D2633" s="23"/>
      <c r="F2633" s="23"/>
      <c r="H2633" s="23"/>
    </row>
    <row r="2634">
      <c r="B2634" s="23"/>
      <c r="D2634" s="23"/>
      <c r="F2634" s="23"/>
      <c r="H2634" s="23"/>
    </row>
    <row r="2635">
      <c r="B2635" s="23"/>
      <c r="D2635" s="23"/>
      <c r="F2635" s="23"/>
      <c r="H2635" s="23"/>
    </row>
    <row r="2636">
      <c r="B2636" s="23"/>
      <c r="D2636" s="23"/>
      <c r="F2636" s="23"/>
      <c r="H2636" s="23"/>
    </row>
    <row r="2637">
      <c r="B2637" s="23"/>
      <c r="D2637" s="23"/>
      <c r="F2637" s="23"/>
      <c r="H2637" s="23"/>
    </row>
    <row r="2638">
      <c r="B2638" s="23"/>
      <c r="D2638" s="23"/>
      <c r="F2638" s="23"/>
      <c r="H2638" s="23"/>
    </row>
    <row r="2639">
      <c r="B2639" s="23"/>
      <c r="D2639" s="23"/>
      <c r="F2639" s="23"/>
      <c r="H2639" s="23"/>
    </row>
    <row r="2640">
      <c r="B2640" s="23"/>
      <c r="D2640" s="23"/>
      <c r="F2640" s="23"/>
      <c r="H2640" s="23"/>
    </row>
    <row r="2641">
      <c r="B2641" s="23"/>
      <c r="D2641" s="23"/>
      <c r="F2641" s="23"/>
      <c r="H2641" s="23"/>
    </row>
    <row r="2642">
      <c r="B2642" s="23"/>
      <c r="D2642" s="23"/>
      <c r="F2642" s="23"/>
      <c r="H2642" s="23"/>
    </row>
    <row r="2643">
      <c r="B2643" s="23"/>
      <c r="D2643" s="23"/>
      <c r="F2643" s="23"/>
      <c r="H2643" s="23"/>
    </row>
    <row r="2644">
      <c r="B2644" s="23"/>
      <c r="D2644" s="23"/>
      <c r="F2644" s="23"/>
      <c r="H2644" s="23"/>
    </row>
    <row r="2645">
      <c r="B2645" s="23"/>
      <c r="D2645" s="23"/>
      <c r="F2645" s="23"/>
      <c r="H2645" s="23"/>
    </row>
    <row r="2646">
      <c r="B2646" s="23"/>
      <c r="D2646" s="23"/>
      <c r="F2646" s="23"/>
      <c r="H2646" s="23"/>
    </row>
    <row r="2647">
      <c r="B2647" s="23"/>
      <c r="D2647" s="23"/>
      <c r="F2647" s="23"/>
      <c r="H2647" s="23"/>
    </row>
    <row r="2648">
      <c r="B2648" s="23"/>
      <c r="D2648" s="23"/>
      <c r="F2648" s="23"/>
      <c r="H2648" s="23"/>
    </row>
    <row r="2649">
      <c r="B2649" s="23"/>
      <c r="D2649" s="23"/>
      <c r="F2649" s="23"/>
      <c r="H2649" s="23"/>
    </row>
    <row r="2650">
      <c r="B2650" s="23"/>
      <c r="D2650" s="23"/>
      <c r="F2650" s="23"/>
      <c r="H2650" s="23"/>
    </row>
    <row r="2651">
      <c r="B2651" s="23"/>
      <c r="D2651" s="23"/>
      <c r="F2651" s="23"/>
      <c r="H2651" s="23"/>
    </row>
    <row r="2652">
      <c r="B2652" s="23"/>
      <c r="D2652" s="23"/>
      <c r="F2652" s="23"/>
      <c r="H2652" s="23"/>
    </row>
    <row r="2653">
      <c r="B2653" s="23"/>
      <c r="D2653" s="23"/>
      <c r="F2653" s="23"/>
      <c r="H2653" s="23"/>
    </row>
    <row r="2654">
      <c r="B2654" s="23"/>
      <c r="D2654" s="23"/>
      <c r="F2654" s="23"/>
      <c r="H2654" s="23"/>
    </row>
    <row r="2655">
      <c r="B2655" s="23"/>
      <c r="D2655" s="23"/>
      <c r="F2655" s="23"/>
      <c r="H2655" s="23"/>
    </row>
    <row r="2656">
      <c r="B2656" s="23"/>
      <c r="D2656" s="23"/>
      <c r="F2656" s="23"/>
      <c r="H2656" s="23"/>
    </row>
    <row r="2657">
      <c r="B2657" s="23"/>
      <c r="D2657" s="23"/>
      <c r="F2657" s="23"/>
      <c r="H2657" s="23"/>
    </row>
    <row r="2658">
      <c r="B2658" s="23"/>
      <c r="D2658" s="23"/>
      <c r="F2658" s="23"/>
      <c r="H2658" s="23"/>
    </row>
    <row r="2659">
      <c r="B2659" s="23"/>
      <c r="D2659" s="23"/>
      <c r="F2659" s="23"/>
      <c r="H2659" s="23"/>
    </row>
    <row r="2660">
      <c r="B2660" s="23"/>
      <c r="D2660" s="23"/>
      <c r="F2660" s="23"/>
      <c r="H2660" s="23"/>
    </row>
    <row r="2661">
      <c r="B2661" s="23"/>
      <c r="D2661" s="23"/>
      <c r="F2661" s="23"/>
      <c r="H2661" s="23"/>
    </row>
    <row r="2662">
      <c r="B2662" s="23"/>
      <c r="D2662" s="23"/>
      <c r="F2662" s="23"/>
      <c r="H2662" s="23"/>
    </row>
    <row r="2663">
      <c r="B2663" s="23"/>
      <c r="D2663" s="23"/>
      <c r="F2663" s="23"/>
      <c r="H2663" s="23"/>
    </row>
    <row r="2664">
      <c r="B2664" s="23"/>
      <c r="D2664" s="23"/>
      <c r="F2664" s="23"/>
      <c r="H2664" s="23"/>
    </row>
    <row r="2665">
      <c r="B2665" s="23"/>
      <c r="D2665" s="23"/>
      <c r="F2665" s="23"/>
      <c r="H2665" s="23"/>
    </row>
    <row r="2666">
      <c r="B2666" s="23"/>
      <c r="D2666" s="23"/>
      <c r="F2666" s="23"/>
      <c r="H2666" s="23"/>
    </row>
    <row r="2667">
      <c r="B2667" s="23"/>
      <c r="D2667" s="23"/>
      <c r="F2667" s="23"/>
      <c r="H2667" s="23"/>
    </row>
    <row r="2668">
      <c r="B2668" s="23"/>
      <c r="D2668" s="23"/>
      <c r="F2668" s="23"/>
      <c r="H2668" s="23"/>
    </row>
    <row r="2669">
      <c r="B2669" s="23"/>
      <c r="D2669" s="23"/>
      <c r="F2669" s="23"/>
      <c r="H2669" s="23"/>
    </row>
    <row r="2670">
      <c r="B2670" s="23"/>
      <c r="D2670" s="23"/>
      <c r="F2670" s="23"/>
      <c r="H2670" s="23"/>
    </row>
    <row r="2671">
      <c r="B2671" s="23"/>
      <c r="D2671" s="23"/>
      <c r="F2671" s="23"/>
      <c r="H2671" s="23"/>
    </row>
    <row r="2672">
      <c r="B2672" s="23"/>
      <c r="D2672" s="23"/>
      <c r="F2672" s="23"/>
      <c r="H2672" s="23"/>
    </row>
    <row r="2673">
      <c r="B2673" s="23"/>
      <c r="D2673" s="23"/>
      <c r="F2673" s="23"/>
      <c r="H2673" s="23"/>
    </row>
    <row r="2674">
      <c r="B2674" s="23"/>
      <c r="D2674" s="23"/>
      <c r="F2674" s="23"/>
      <c r="H2674" s="23"/>
    </row>
    <row r="2675">
      <c r="B2675" s="23"/>
      <c r="D2675" s="23"/>
      <c r="F2675" s="23"/>
      <c r="H2675" s="23"/>
    </row>
    <row r="2676">
      <c r="B2676" s="23"/>
      <c r="D2676" s="23"/>
      <c r="F2676" s="23"/>
      <c r="H2676" s="23"/>
    </row>
    <row r="2677">
      <c r="B2677" s="23"/>
      <c r="D2677" s="23"/>
      <c r="F2677" s="23"/>
      <c r="H2677" s="23"/>
    </row>
    <row r="2678">
      <c r="B2678" s="23"/>
      <c r="D2678" s="23"/>
      <c r="F2678" s="23"/>
      <c r="H2678" s="23"/>
    </row>
    <row r="2679">
      <c r="B2679" s="23"/>
      <c r="D2679" s="23"/>
      <c r="F2679" s="23"/>
      <c r="H2679" s="23"/>
    </row>
    <row r="2680">
      <c r="B2680" s="23"/>
      <c r="D2680" s="23"/>
      <c r="F2680" s="23"/>
      <c r="H2680" s="23"/>
    </row>
    <row r="2681">
      <c r="B2681" s="23"/>
      <c r="D2681" s="23"/>
      <c r="F2681" s="23"/>
      <c r="H2681" s="23"/>
    </row>
    <row r="2682">
      <c r="B2682" s="23"/>
      <c r="D2682" s="23"/>
      <c r="F2682" s="23"/>
      <c r="H2682" s="23"/>
    </row>
    <row r="2683">
      <c r="B2683" s="23"/>
      <c r="D2683" s="23"/>
      <c r="F2683" s="23"/>
      <c r="H2683" s="23"/>
    </row>
    <row r="2684">
      <c r="B2684" s="23"/>
      <c r="D2684" s="23"/>
      <c r="F2684" s="23"/>
      <c r="H2684" s="23"/>
    </row>
    <row r="2685">
      <c r="B2685" s="23"/>
      <c r="D2685" s="23"/>
      <c r="F2685" s="23"/>
      <c r="H2685" s="23"/>
    </row>
    <row r="2686">
      <c r="B2686" s="23"/>
      <c r="D2686" s="23"/>
      <c r="F2686" s="23"/>
      <c r="H2686" s="23"/>
    </row>
    <row r="2687">
      <c r="B2687" s="23"/>
      <c r="D2687" s="23"/>
      <c r="F2687" s="23"/>
      <c r="H2687" s="23"/>
    </row>
    <row r="2688">
      <c r="B2688" s="23"/>
      <c r="D2688" s="23"/>
      <c r="F2688" s="23"/>
      <c r="H2688" s="23"/>
    </row>
    <row r="2689">
      <c r="B2689" s="23"/>
      <c r="D2689" s="23"/>
      <c r="F2689" s="23"/>
      <c r="H2689" s="23"/>
    </row>
    <row r="2690">
      <c r="B2690" s="23"/>
      <c r="D2690" s="23"/>
      <c r="F2690" s="23"/>
      <c r="H2690" s="23"/>
    </row>
    <row r="2691">
      <c r="B2691" s="23"/>
      <c r="D2691" s="23"/>
      <c r="F2691" s="23"/>
      <c r="H2691" s="23"/>
    </row>
    <row r="2692">
      <c r="B2692" s="23"/>
      <c r="D2692" s="23"/>
      <c r="F2692" s="23"/>
      <c r="H2692" s="23"/>
    </row>
    <row r="2693">
      <c r="B2693" s="23"/>
      <c r="D2693" s="23"/>
      <c r="F2693" s="23"/>
      <c r="H2693" s="23"/>
    </row>
    <row r="2694">
      <c r="B2694" s="23"/>
      <c r="D2694" s="23"/>
      <c r="F2694" s="23"/>
      <c r="H2694" s="23"/>
    </row>
    <row r="2695">
      <c r="B2695" s="23"/>
      <c r="D2695" s="23"/>
      <c r="F2695" s="23"/>
      <c r="H2695" s="23"/>
    </row>
    <row r="2696">
      <c r="B2696" s="23"/>
      <c r="D2696" s="23"/>
      <c r="F2696" s="23"/>
      <c r="H2696" s="23"/>
    </row>
    <row r="2697">
      <c r="B2697" s="23"/>
      <c r="D2697" s="23"/>
      <c r="F2697" s="23"/>
      <c r="H2697" s="23"/>
    </row>
    <row r="2698">
      <c r="B2698" s="23"/>
      <c r="D2698" s="23"/>
      <c r="F2698" s="23"/>
      <c r="H2698" s="23"/>
    </row>
    <row r="2699">
      <c r="B2699" s="23"/>
      <c r="D2699" s="23"/>
      <c r="F2699" s="23"/>
      <c r="H2699" s="23"/>
    </row>
    <row r="2700">
      <c r="B2700" s="23"/>
      <c r="D2700" s="23"/>
      <c r="F2700" s="23"/>
      <c r="H2700" s="23"/>
    </row>
    <row r="2701">
      <c r="B2701" s="23"/>
      <c r="D2701" s="23"/>
      <c r="F2701" s="23"/>
      <c r="H2701" s="23"/>
    </row>
    <row r="2702">
      <c r="B2702" s="23"/>
      <c r="D2702" s="23"/>
      <c r="F2702" s="23"/>
      <c r="H2702" s="23"/>
    </row>
    <row r="2703">
      <c r="B2703" s="23"/>
      <c r="D2703" s="23"/>
      <c r="F2703" s="23"/>
      <c r="H2703" s="23"/>
    </row>
    <row r="2704">
      <c r="B2704" s="23"/>
      <c r="D2704" s="23"/>
      <c r="F2704" s="23"/>
      <c r="H2704" s="23"/>
    </row>
    <row r="2705">
      <c r="B2705" s="23"/>
      <c r="D2705" s="23"/>
      <c r="F2705" s="23"/>
      <c r="H2705" s="23"/>
    </row>
    <row r="2706">
      <c r="B2706" s="23"/>
      <c r="D2706" s="23"/>
      <c r="F2706" s="23"/>
      <c r="H2706" s="23"/>
    </row>
    <row r="2707">
      <c r="B2707" s="23"/>
      <c r="D2707" s="23"/>
      <c r="F2707" s="23"/>
      <c r="H2707" s="23"/>
    </row>
    <row r="2708">
      <c r="B2708" s="23"/>
      <c r="D2708" s="23"/>
      <c r="F2708" s="23"/>
      <c r="H2708" s="23"/>
    </row>
    <row r="2709">
      <c r="B2709" s="23"/>
      <c r="D2709" s="23"/>
      <c r="F2709" s="23"/>
      <c r="H2709" s="23"/>
    </row>
    <row r="2710">
      <c r="B2710" s="23"/>
      <c r="D2710" s="23"/>
      <c r="F2710" s="23"/>
      <c r="H2710" s="23"/>
    </row>
    <row r="2711">
      <c r="B2711" s="23"/>
      <c r="D2711" s="23"/>
      <c r="F2711" s="23"/>
      <c r="H2711" s="23"/>
    </row>
    <row r="2712">
      <c r="B2712" s="23"/>
      <c r="D2712" s="23"/>
      <c r="F2712" s="23"/>
      <c r="H2712" s="23"/>
    </row>
    <row r="2713">
      <c r="B2713" s="23"/>
      <c r="D2713" s="23"/>
      <c r="F2713" s="23"/>
      <c r="H2713" s="23"/>
    </row>
    <row r="2714">
      <c r="B2714" s="23"/>
      <c r="D2714" s="23"/>
      <c r="F2714" s="23"/>
      <c r="H2714" s="23"/>
    </row>
    <row r="2715">
      <c r="B2715" s="23"/>
      <c r="D2715" s="23"/>
      <c r="F2715" s="23"/>
      <c r="H2715" s="23"/>
    </row>
    <row r="2716">
      <c r="B2716" s="23"/>
      <c r="D2716" s="23"/>
      <c r="F2716" s="23"/>
      <c r="H2716" s="23"/>
    </row>
    <row r="2717">
      <c r="B2717" s="23"/>
      <c r="D2717" s="23"/>
      <c r="F2717" s="23"/>
      <c r="H2717" s="23"/>
    </row>
    <row r="2718">
      <c r="B2718" s="23"/>
      <c r="D2718" s="23"/>
      <c r="F2718" s="23"/>
      <c r="H2718" s="23"/>
    </row>
    <row r="2719">
      <c r="B2719" s="23"/>
      <c r="D2719" s="23"/>
      <c r="F2719" s="23"/>
      <c r="H2719" s="23"/>
    </row>
    <row r="2720">
      <c r="B2720" s="23"/>
      <c r="D2720" s="23"/>
      <c r="F2720" s="23"/>
      <c r="H2720" s="23"/>
    </row>
    <row r="2721">
      <c r="B2721" s="23"/>
      <c r="D2721" s="23"/>
      <c r="F2721" s="23"/>
      <c r="H2721" s="23"/>
    </row>
    <row r="2722">
      <c r="B2722" s="23"/>
      <c r="D2722" s="23"/>
      <c r="F2722" s="23"/>
      <c r="H2722" s="23"/>
    </row>
    <row r="2723">
      <c r="B2723" s="23"/>
      <c r="D2723" s="23"/>
      <c r="F2723" s="23"/>
      <c r="H2723" s="23"/>
    </row>
    <row r="2724">
      <c r="B2724" s="23"/>
      <c r="D2724" s="23"/>
      <c r="F2724" s="23"/>
      <c r="H2724" s="23"/>
    </row>
    <row r="2725">
      <c r="B2725" s="23"/>
      <c r="D2725" s="23"/>
      <c r="F2725" s="23"/>
      <c r="H2725" s="23"/>
    </row>
    <row r="2726">
      <c r="B2726" s="23"/>
      <c r="D2726" s="23"/>
      <c r="F2726" s="23"/>
      <c r="H2726" s="23"/>
    </row>
    <row r="2727">
      <c r="B2727" s="23"/>
      <c r="D2727" s="23"/>
      <c r="F2727" s="23"/>
      <c r="H2727" s="23"/>
    </row>
    <row r="2728">
      <c r="B2728" s="23"/>
      <c r="D2728" s="23"/>
      <c r="F2728" s="23"/>
      <c r="H2728" s="23"/>
    </row>
    <row r="2729">
      <c r="B2729" s="23"/>
      <c r="D2729" s="23"/>
      <c r="F2729" s="23"/>
      <c r="H2729" s="23"/>
    </row>
    <row r="2730">
      <c r="B2730" s="23"/>
      <c r="D2730" s="23"/>
      <c r="F2730" s="23"/>
      <c r="H2730" s="23"/>
    </row>
    <row r="2731">
      <c r="B2731" s="23"/>
      <c r="D2731" s="23"/>
      <c r="F2731" s="23"/>
      <c r="H2731" s="23"/>
    </row>
    <row r="2732">
      <c r="B2732" s="23"/>
      <c r="D2732" s="23"/>
      <c r="F2732" s="23"/>
      <c r="H2732" s="23"/>
    </row>
    <row r="2733">
      <c r="B2733" s="23"/>
      <c r="D2733" s="23"/>
      <c r="F2733" s="23"/>
      <c r="H2733" s="23"/>
    </row>
    <row r="2734">
      <c r="B2734" s="23"/>
      <c r="D2734" s="23"/>
      <c r="F2734" s="23"/>
      <c r="H2734" s="23"/>
    </row>
    <row r="2735">
      <c r="B2735" s="23"/>
      <c r="D2735" s="23"/>
      <c r="F2735" s="23"/>
      <c r="H2735" s="23"/>
    </row>
    <row r="2736">
      <c r="B2736" s="23"/>
      <c r="D2736" s="23"/>
      <c r="F2736" s="23"/>
      <c r="H2736" s="23"/>
    </row>
    <row r="2737">
      <c r="B2737" s="23"/>
      <c r="D2737" s="23"/>
      <c r="F2737" s="23"/>
      <c r="H2737" s="23"/>
    </row>
    <row r="2738">
      <c r="B2738" s="23"/>
      <c r="D2738" s="23"/>
      <c r="F2738" s="23"/>
      <c r="H2738" s="23"/>
    </row>
    <row r="2739">
      <c r="B2739" s="23"/>
      <c r="D2739" s="23"/>
      <c r="F2739" s="23"/>
      <c r="H2739" s="23"/>
    </row>
    <row r="2740">
      <c r="B2740" s="23"/>
      <c r="D2740" s="23"/>
      <c r="F2740" s="23"/>
      <c r="H2740" s="23"/>
    </row>
    <row r="2741">
      <c r="B2741" s="23"/>
      <c r="D2741" s="23"/>
      <c r="F2741" s="23"/>
      <c r="H2741" s="23"/>
    </row>
    <row r="2742">
      <c r="B2742" s="23"/>
      <c r="D2742" s="23"/>
      <c r="F2742" s="23"/>
      <c r="H2742" s="23"/>
    </row>
    <row r="2743">
      <c r="B2743" s="23"/>
      <c r="D2743" s="23"/>
      <c r="F2743" s="23"/>
      <c r="H2743" s="23"/>
    </row>
    <row r="2744">
      <c r="B2744" s="23"/>
      <c r="D2744" s="23"/>
      <c r="F2744" s="23"/>
      <c r="H2744" s="23"/>
    </row>
    <row r="2745">
      <c r="B2745" s="23"/>
      <c r="D2745" s="23"/>
      <c r="F2745" s="23"/>
      <c r="H2745" s="23"/>
    </row>
    <row r="2746">
      <c r="B2746" s="23"/>
      <c r="D2746" s="23"/>
      <c r="F2746" s="23"/>
      <c r="H2746" s="23"/>
    </row>
    <row r="2747">
      <c r="B2747" s="23"/>
      <c r="D2747" s="23"/>
      <c r="F2747" s="23"/>
      <c r="H2747" s="23"/>
    </row>
    <row r="2748">
      <c r="B2748" s="23"/>
      <c r="D2748" s="23"/>
      <c r="F2748" s="23"/>
      <c r="H2748" s="23"/>
    </row>
    <row r="2749">
      <c r="B2749" s="23"/>
      <c r="D2749" s="23"/>
      <c r="F2749" s="23"/>
      <c r="H2749" s="23"/>
    </row>
    <row r="2750">
      <c r="B2750" s="23"/>
      <c r="D2750" s="23"/>
      <c r="F2750" s="23"/>
      <c r="H2750" s="23"/>
    </row>
    <row r="2751">
      <c r="B2751" s="23"/>
      <c r="D2751" s="23"/>
      <c r="F2751" s="23"/>
      <c r="H2751" s="23"/>
    </row>
    <row r="2752">
      <c r="B2752" s="23"/>
      <c r="D2752" s="23"/>
      <c r="F2752" s="23"/>
      <c r="H2752" s="23"/>
    </row>
    <row r="2753">
      <c r="B2753" s="23"/>
      <c r="D2753" s="23"/>
      <c r="F2753" s="23"/>
      <c r="H2753" s="23"/>
    </row>
    <row r="2754">
      <c r="B2754" s="23"/>
      <c r="D2754" s="23"/>
      <c r="F2754" s="23"/>
      <c r="H2754" s="23"/>
    </row>
    <row r="2755">
      <c r="B2755" s="23"/>
      <c r="D2755" s="23"/>
      <c r="F2755" s="23"/>
      <c r="H2755" s="23"/>
    </row>
    <row r="2756">
      <c r="B2756" s="23"/>
      <c r="D2756" s="23"/>
      <c r="F2756" s="23"/>
      <c r="H2756" s="23"/>
    </row>
    <row r="2757">
      <c r="B2757" s="23"/>
      <c r="D2757" s="23"/>
      <c r="F2757" s="23"/>
      <c r="H2757" s="23"/>
    </row>
    <row r="2758">
      <c r="B2758" s="23"/>
      <c r="D2758" s="23"/>
      <c r="F2758" s="23"/>
      <c r="H2758" s="23"/>
    </row>
    <row r="2759">
      <c r="B2759" s="23"/>
      <c r="D2759" s="23"/>
      <c r="F2759" s="23"/>
      <c r="H2759" s="23"/>
    </row>
    <row r="2760">
      <c r="B2760" s="23"/>
      <c r="D2760" s="23"/>
      <c r="F2760" s="23"/>
      <c r="H2760" s="23"/>
    </row>
    <row r="2761">
      <c r="B2761" s="23"/>
      <c r="D2761" s="23"/>
      <c r="F2761" s="23"/>
      <c r="H2761" s="23"/>
    </row>
    <row r="2762">
      <c r="B2762" s="23"/>
      <c r="D2762" s="23"/>
      <c r="F2762" s="23"/>
      <c r="H2762" s="23"/>
    </row>
    <row r="2763">
      <c r="B2763" s="23"/>
      <c r="D2763" s="23"/>
      <c r="F2763" s="23"/>
      <c r="H2763" s="23"/>
    </row>
    <row r="2764">
      <c r="B2764" s="23"/>
      <c r="D2764" s="23"/>
      <c r="F2764" s="23"/>
      <c r="H2764" s="23"/>
    </row>
    <row r="2765">
      <c r="B2765" s="23"/>
      <c r="D2765" s="23"/>
      <c r="F2765" s="23"/>
      <c r="H2765" s="23"/>
    </row>
    <row r="2766">
      <c r="B2766" s="23"/>
      <c r="D2766" s="23"/>
      <c r="F2766" s="23"/>
      <c r="H2766" s="23"/>
    </row>
    <row r="2767">
      <c r="B2767" s="23"/>
      <c r="D2767" s="23"/>
      <c r="F2767" s="23"/>
      <c r="H2767" s="23"/>
    </row>
    <row r="2768">
      <c r="B2768" s="23"/>
      <c r="D2768" s="23"/>
      <c r="F2768" s="23"/>
      <c r="H2768" s="23"/>
    </row>
    <row r="2769">
      <c r="B2769" s="23"/>
      <c r="D2769" s="23"/>
      <c r="F2769" s="23"/>
      <c r="H2769" s="23"/>
    </row>
    <row r="2770">
      <c r="B2770" s="23"/>
      <c r="D2770" s="23"/>
      <c r="F2770" s="23"/>
      <c r="H2770" s="23"/>
    </row>
    <row r="2771">
      <c r="B2771" s="23"/>
      <c r="D2771" s="23"/>
      <c r="F2771" s="23"/>
      <c r="H2771" s="23"/>
    </row>
    <row r="2772">
      <c r="B2772" s="23"/>
      <c r="D2772" s="23"/>
      <c r="F2772" s="23"/>
      <c r="H2772" s="23"/>
    </row>
    <row r="2773">
      <c r="B2773" s="23"/>
      <c r="D2773" s="23"/>
      <c r="F2773" s="23"/>
      <c r="H2773" s="23"/>
    </row>
    <row r="2774">
      <c r="B2774" s="23"/>
      <c r="D2774" s="23"/>
      <c r="F2774" s="23"/>
      <c r="H2774" s="23"/>
    </row>
    <row r="2775">
      <c r="B2775" s="23"/>
      <c r="D2775" s="23"/>
      <c r="F2775" s="23"/>
      <c r="H2775" s="23"/>
    </row>
    <row r="2776">
      <c r="B2776" s="23"/>
      <c r="D2776" s="23"/>
      <c r="F2776" s="23"/>
      <c r="H2776" s="23"/>
    </row>
    <row r="2777">
      <c r="B2777" s="23"/>
      <c r="D2777" s="23"/>
      <c r="F2777" s="23"/>
      <c r="H2777" s="23"/>
    </row>
    <row r="2778">
      <c r="B2778" s="23"/>
      <c r="D2778" s="23"/>
      <c r="F2778" s="23"/>
      <c r="H2778" s="23"/>
    </row>
    <row r="2779">
      <c r="B2779" s="23"/>
      <c r="D2779" s="23"/>
      <c r="F2779" s="23"/>
      <c r="H2779" s="23"/>
    </row>
    <row r="2780">
      <c r="B2780" s="23"/>
      <c r="D2780" s="23"/>
      <c r="F2780" s="23"/>
      <c r="H2780" s="23"/>
    </row>
    <row r="2781">
      <c r="B2781" s="23"/>
      <c r="D2781" s="23"/>
      <c r="F2781" s="23"/>
      <c r="H2781" s="23"/>
    </row>
    <row r="2782">
      <c r="B2782" s="23"/>
      <c r="D2782" s="23"/>
      <c r="F2782" s="23"/>
      <c r="H2782" s="23"/>
    </row>
    <row r="2783">
      <c r="B2783" s="23"/>
      <c r="D2783" s="23"/>
      <c r="F2783" s="23"/>
      <c r="H2783" s="23"/>
    </row>
    <row r="2784">
      <c r="B2784" s="23"/>
      <c r="D2784" s="23"/>
      <c r="F2784" s="23"/>
      <c r="H2784" s="23"/>
    </row>
    <row r="2785">
      <c r="B2785" s="23"/>
      <c r="D2785" s="23"/>
      <c r="F2785" s="23"/>
      <c r="H2785" s="23"/>
    </row>
    <row r="2786">
      <c r="B2786" s="23"/>
      <c r="D2786" s="23"/>
      <c r="F2786" s="23"/>
      <c r="H2786" s="23"/>
    </row>
    <row r="2787">
      <c r="B2787" s="23"/>
      <c r="D2787" s="23"/>
      <c r="F2787" s="23"/>
      <c r="H2787" s="23"/>
    </row>
    <row r="2788">
      <c r="B2788" s="23"/>
      <c r="D2788" s="23"/>
      <c r="F2788" s="23"/>
      <c r="H2788" s="23"/>
    </row>
    <row r="2789">
      <c r="B2789" s="23"/>
      <c r="D2789" s="23"/>
      <c r="F2789" s="23"/>
      <c r="H2789" s="23"/>
    </row>
    <row r="2790">
      <c r="B2790" s="23"/>
      <c r="D2790" s="23"/>
      <c r="F2790" s="23"/>
      <c r="H2790" s="23"/>
    </row>
    <row r="2791">
      <c r="B2791" s="23"/>
      <c r="D2791" s="23"/>
      <c r="F2791" s="23"/>
      <c r="H2791" s="23"/>
    </row>
    <row r="2792">
      <c r="B2792" s="23"/>
      <c r="D2792" s="23"/>
      <c r="F2792" s="23"/>
      <c r="H2792" s="23"/>
    </row>
    <row r="2793">
      <c r="B2793" s="23"/>
      <c r="D2793" s="23"/>
      <c r="F2793" s="23"/>
      <c r="H2793" s="23"/>
    </row>
    <row r="2794">
      <c r="B2794" s="23"/>
      <c r="D2794" s="23"/>
      <c r="F2794" s="23"/>
      <c r="H2794" s="23"/>
    </row>
    <row r="2795">
      <c r="B2795" s="23"/>
      <c r="D2795" s="23"/>
      <c r="F2795" s="23"/>
      <c r="H2795" s="23"/>
    </row>
    <row r="2796">
      <c r="B2796" s="23"/>
      <c r="D2796" s="23"/>
      <c r="F2796" s="23"/>
      <c r="H2796" s="23"/>
    </row>
    <row r="2797">
      <c r="B2797" s="23"/>
      <c r="D2797" s="23"/>
      <c r="F2797" s="23"/>
      <c r="H2797" s="23"/>
    </row>
    <row r="2798">
      <c r="B2798" s="23"/>
      <c r="D2798" s="23"/>
      <c r="F2798" s="23"/>
      <c r="H2798" s="23"/>
    </row>
    <row r="2799">
      <c r="B2799" s="23"/>
      <c r="D2799" s="23"/>
      <c r="F2799" s="23"/>
      <c r="H2799" s="23"/>
    </row>
    <row r="2800">
      <c r="B2800" s="23"/>
      <c r="D2800" s="23"/>
      <c r="F2800" s="23"/>
      <c r="H2800" s="23"/>
    </row>
    <row r="2801">
      <c r="B2801" s="23"/>
      <c r="D2801" s="23"/>
      <c r="F2801" s="23"/>
      <c r="H2801" s="23"/>
    </row>
    <row r="2802">
      <c r="B2802" s="23"/>
      <c r="D2802" s="23"/>
      <c r="F2802" s="23"/>
      <c r="H2802" s="23"/>
    </row>
    <row r="2803">
      <c r="B2803" s="23"/>
      <c r="D2803" s="23"/>
      <c r="F2803" s="23"/>
      <c r="H2803" s="23"/>
    </row>
    <row r="2804">
      <c r="B2804" s="23"/>
      <c r="D2804" s="23"/>
      <c r="F2804" s="23"/>
      <c r="H2804" s="23"/>
    </row>
    <row r="2805">
      <c r="B2805" s="23"/>
      <c r="D2805" s="23"/>
      <c r="F2805" s="23"/>
      <c r="H2805" s="23"/>
    </row>
    <row r="2806">
      <c r="B2806" s="23"/>
      <c r="D2806" s="23"/>
      <c r="F2806" s="23"/>
      <c r="H2806" s="23"/>
    </row>
    <row r="2807">
      <c r="B2807" s="23"/>
      <c r="D2807" s="23"/>
      <c r="F2807" s="23"/>
      <c r="H2807" s="23"/>
    </row>
    <row r="2808">
      <c r="B2808" s="23"/>
      <c r="D2808" s="23"/>
      <c r="F2808" s="23"/>
      <c r="H2808" s="23"/>
    </row>
    <row r="2809">
      <c r="B2809" s="23"/>
      <c r="D2809" s="23"/>
      <c r="F2809" s="23"/>
      <c r="H2809" s="23"/>
    </row>
    <row r="2810">
      <c r="B2810" s="23"/>
      <c r="D2810" s="23"/>
      <c r="F2810" s="23"/>
      <c r="H2810" s="23"/>
    </row>
    <row r="2811">
      <c r="B2811" s="23"/>
      <c r="D2811" s="23"/>
      <c r="F2811" s="23"/>
      <c r="H2811" s="23"/>
    </row>
    <row r="2812">
      <c r="B2812" s="23"/>
      <c r="D2812" s="23"/>
      <c r="F2812" s="23"/>
      <c r="H2812" s="23"/>
    </row>
    <row r="2813">
      <c r="B2813" s="23"/>
      <c r="D2813" s="23"/>
      <c r="F2813" s="23"/>
      <c r="H2813" s="23"/>
    </row>
    <row r="2814">
      <c r="B2814" s="23"/>
      <c r="D2814" s="23"/>
      <c r="F2814" s="23"/>
      <c r="H2814" s="23"/>
    </row>
    <row r="2815">
      <c r="B2815" s="23"/>
      <c r="D2815" s="23"/>
      <c r="F2815" s="23"/>
      <c r="H2815" s="23"/>
    </row>
    <row r="2816">
      <c r="B2816" s="23"/>
      <c r="D2816" s="23"/>
      <c r="F2816" s="23"/>
      <c r="H2816" s="23"/>
    </row>
    <row r="2817">
      <c r="B2817" s="23"/>
      <c r="D2817" s="23"/>
      <c r="F2817" s="23"/>
      <c r="H2817" s="23"/>
    </row>
    <row r="2818">
      <c r="B2818" s="23"/>
      <c r="D2818" s="23"/>
      <c r="F2818" s="23"/>
      <c r="H2818" s="23"/>
    </row>
    <row r="2819">
      <c r="B2819" s="23"/>
      <c r="D2819" s="23"/>
      <c r="F2819" s="23"/>
      <c r="H2819" s="23"/>
    </row>
    <row r="2820">
      <c r="B2820" s="23"/>
      <c r="D2820" s="23"/>
      <c r="F2820" s="23"/>
      <c r="H2820" s="23"/>
    </row>
    <row r="2821">
      <c r="B2821" s="23"/>
      <c r="D2821" s="23"/>
      <c r="F2821" s="23"/>
      <c r="H2821" s="23"/>
    </row>
    <row r="2822">
      <c r="B2822" s="23"/>
      <c r="D2822" s="23"/>
      <c r="F2822" s="23"/>
      <c r="H2822" s="23"/>
    </row>
    <row r="2823">
      <c r="B2823" s="23"/>
      <c r="D2823" s="23"/>
      <c r="F2823" s="23"/>
      <c r="H2823" s="23"/>
    </row>
    <row r="2824">
      <c r="B2824" s="23"/>
      <c r="D2824" s="23"/>
      <c r="F2824" s="23"/>
      <c r="H2824" s="23"/>
    </row>
    <row r="2825">
      <c r="B2825" s="23"/>
      <c r="D2825" s="23"/>
      <c r="F2825" s="23"/>
      <c r="H2825" s="23"/>
    </row>
    <row r="2826">
      <c r="B2826" s="23"/>
      <c r="D2826" s="23"/>
      <c r="F2826" s="23"/>
      <c r="H2826" s="23"/>
    </row>
    <row r="2827">
      <c r="B2827" s="23"/>
      <c r="D2827" s="23"/>
      <c r="F2827" s="23"/>
      <c r="H2827" s="23"/>
    </row>
    <row r="2828">
      <c r="B2828" s="23"/>
      <c r="D2828" s="23"/>
      <c r="F2828" s="23"/>
      <c r="H2828" s="23"/>
    </row>
    <row r="2829">
      <c r="B2829" s="23"/>
      <c r="D2829" s="23"/>
      <c r="F2829" s="23"/>
      <c r="H2829" s="23"/>
    </row>
    <row r="2830">
      <c r="B2830" s="23"/>
      <c r="D2830" s="23"/>
      <c r="F2830" s="23"/>
      <c r="H2830" s="23"/>
    </row>
    <row r="2831">
      <c r="B2831" s="23"/>
      <c r="D2831" s="23"/>
      <c r="F2831" s="23"/>
      <c r="H2831" s="23"/>
    </row>
    <row r="2832">
      <c r="B2832" s="23"/>
      <c r="D2832" s="23"/>
      <c r="F2832" s="23"/>
      <c r="H2832" s="23"/>
    </row>
    <row r="2833">
      <c r="B2833" s="23"/>
      <c r="D2833" s="23"/>
      <c r="F2833" s="23"/>
      <c r="H2833" s="23"/>
    </row>
    <row r="2834">
      <c r="B2834" s="23"/>
      <c r="D2834" s="23"/>
      <c r="F2834" s="23"/>
      <c r="H2834" s="23"/>
    </row>
    <row r="2835">
      <c r="B2835" s="23"/>
      <c r="D2835" s="23"/>
      <c r="F2835" s="23"/>
      <c r="H2835" s="23"/>
    </row>
    <row r="2836">
      <c r="B2836" s="23"/>
      <c r="D2836" s="23"/>
      <c r="F2836" s="23"/>
      <c r="H2836" s="23"/>
    </row>
    <row r="2837">
      <c r="B2837" s="23"/>
      <c r="D2837" s="23"/>
      <c r="F2837" s="23"/>
      <c r="H2837" s="23"/>
    </row>
    <row r="2838">
      <c r="B2838" s="23"/>
      <c r="D2838" s="23"/>
      <c r="F2838" s="23"/>
      <c r="H2838" s="23"/>
    </row>
    <row r="2839">
      <c r="B2839" s="23"/>
      <c r="D2839" s="23"/>
      <c r="F2839" s="23"/>
      <c r="H2839" s="23"/>
    </row>
    <row r="2840">
      <c r="B2840" s="23"/>
      <c r="D2840" s="23"/>
      <c r="F2840" s="23"/>
      <c r="H2840" s="23"/>
    </row>
    <row r="2841">
      <c r="B2841" s="23"/>
      <c r="D2841" s="23"/>
      <c r="F2841" s="23"/>
      <c r="H2841" s="23"/>
    </row>
    <row r="2842">
      <c r="B2842" s="23"/>
      <c r="D2842" s="23"/>
      <c r="F2842" s="23"/>
      <c r="H2842" s="23"/>
    </row>
    <row r="2843">
      <c r="B2843" s="23"/>
      <c r="D2843" s="23"/>
      <c r="F2843" s="23"/>
      <c r="H2843" s="23"/>
    </row>
    <row r="2844">
      <c r="B2844" s="23"/>
      <c r="D2844" s="23"/>
      <c r="F2844" s="23"/>
      <c r="H2844" s="23"/>
    </row>
    <row r="2845">
      <c r="B2845" s="23"/>
      <c r="D2845" s="23"/>
      <c r="F2845" s="23"/>
      <c r="H2845" s="23"/>
    </row>
    <row r="2846">
      <c r="B2846" s="23"/>
      <c r="D2846" s="23"/>
      <c r="F2846" s="23"/>
      <c r="H2846" s="23"/>
    </row>
    <row r="2847">
      <c r="B2847" s="23"/>
      <c r="D2847" s="23"/>
      <c r="F2847" s="23"/>
      <c r="H2847" s="23"/>
    </row>
    <row r="2848">
      <c r="B2848" s="23"/>
      <c r="D2848" s="23"/>
      <c r="F2848" s="23"/>
      <c r="H2848" s="23"/>
    </row>
    <row r="2849">
      <c r="B2849" s="23"/>
      <c r="D2849" s="23"/>
      <c r="F2849" s="23"/>
      <c r="H2849" s="23"/>
    </row>
    <row r="2850">
      <c r="B2850" s="23"/>
      <c r="D2850" s="23"/>
      <c r="F2850" s="23"/>
      <c r="H2850" s="23"/>
    </row>
    <row r="2851">
      <c r="B2851" s="23"/>
      <c r="D2851" s="23"/>
      <c r="F2851" s="23"/>
      <c r="H2851" s="23"/>
    </row>
    <row r="2852">
      <c r="B2852" s="23"/>
      <c r="D2852" s="23"/>
      <c r="F2852" s="23"/>
      <c r="H2852" s="23"/>
    </row>
    <row r="2853">
      <c r="B2853" s="23"/>
      <c r="D2853" s="23"/>
      <c r="F2853" s="23"/>
      <c r="H2853" s="23"/>
    </row>
    <row r="2854">
      <c r="B2854" s="23"/>
      <c r="D2854" s="23"/>
      <c r="F2854" s="23"/>
      <c r="H2854" s="23"/>
    </row>
    <row r="2855">
      <c r="B2855" s="23"/>
      <c r="D2855" s="23"/>
      <c r="F2855" s="23"/>
      <c r="H2855" s="23"/>
    </row>
    <row r="2856">
      <c r="B2856" s="23"/>
      <c r="D2856" s="23"/>
      <c r="F2856" s="23"/>
      <c r="H2856" s="23"/>
    </row>
    <row r="2857">
      <c r="B2857" s="23"/>
      <c r="D2857" s="23"/>
      <c r="F2857" s="23"/>
      <c r="H2857" s="23"/>
    </row>
    <row r="2858">
      <c r="B2858" s="23"/>
      <c r="D2858" s="23"/>
      <c r="F2858" s="23"/>
      <c r="H2858" s="23"/>
    </row>
    <row r="2859">
      <c r="B2859" s="23"/>
      <c r="D2859" s="23"/>
      <c r="F2859" s="23"/>
      <c r="H2859" s="23"/>
    </row>
    <row r="2860">
      <c r="B2860" s="23"/>
      <c r="D2860" s="23"/>
      <c r="F2860" s="23"/>
      <c r="H2860" s="23"/>
    </row>
    <row r="2861">
      <c r="B2861" s="23"/>
      <c r="D2861" s="23"/>
      <c r="F2861" s="23"/>
      <c r="H2861" s="23"/>
    </row>
    <row r="2862">
      <c r="B2862" s="23"/>
      <c r="D2862" s="23"/>
      <c r="F2862" s="23"/>
      <c r="H2862" s="23"/>
    </row>
    <row r="2863">
      <c r="B2863" s="23"/>
      <c r="D2863" s="23"/>
      <c r="F2863" s="23"/>
      <c r="H2863" s="23"/>
    </row>
    <row r="2864">
      <c r="B2864" s="23"/>
      <c r="D2864" s="23"/>
      <c r="F2864" s="23"/>
      <c r="H2864" s="23"/>
    </row>
    <row r="2865">
      <c r="B2865" s="23"/>
      <c r="D2865" s="23"/>
      <c r="F2865" s="23"/>
      <c r="H2865" s="23"/>
    </row>
    <row r="2866">
      <c r="B2866" s="23"/>
      <c r="D2866" s="23"/>
      <c r="F2866" s="23"/>
      <c r="H2866" s="23"/>
    </row>
    <row r="2867">
      <c r="B2867" s="23"/>
      <c r="D2867" s="23"/>
      <c r="F2867" s="23"/>
      <c r="H2867" s="23"/>
    </row>
    <row r="2868">
      <c r="B2868" s="23"/>
      <c r="D2868" s="23"/>
      <c r="F2868" s="23"/>
      <c r="H2868" s="23"/>
    </row>
    <row r="2869">
      <c r="B2869" s="23"/>
      <c r="D2869" s="23"/>
      <c r="F2869" s="23"/>
      <c r="H2869" s="23"/>
    </row>
    <row r="2870">
      <c r="B2870" s="23"/>
      <c r="D2870" s="23"/>
      <c r="F2870" s="23"/>
      <c r="H2870" s="23"/>
    </row>
    <row r="2871">
      <c r="B2871" s="23"/>
      <c r="D2871" s="23"/>
      <c r="F2871" s="23"/>
      <c r="H2871" s="23"/>
    </row>
    <row r="2872">
      <c r="B2872" s="23"/>
      <c r="D2872" s="23"/>
      <c r="F2872" s="23"/>
      <c r="H2872" s="23"/>
    </row>
    <row r="2873">
      <c r="B2873" s="23"/>
      <c r="D2873" s="23"/>
      <c r="F2873" s="23"/>
      <c r="H2873" s="23"/>
    </row>
    <row r="2874">
      <c r="B2874" s="23"/>
      <c r="D2874" s="23"/>
      <c r="F2874" s="23"/>
      <c r="H2874" s="23"/>
    </row>
    <row r="2875">
      <c r="B2875" s="23"/>
      <c r="D2875" s="23"/>
      <c r="F2875" s="23"/>
      <c r="H2875" s="23"/>
    </row>
    <row r="2876">
      <c r="B2876" s="23"/>
      <c r="D2876" s="23"/>
      <c r="F2876" s="23"/>
      <c r="H2876" s="23"/>
    </row>
    <row r="2877">
      <c r="B2877" s="23"/>
      <c r="D2877" s="23"/>
      <c r="F2877" s="23"/>
      <c r="H2877" s="23"/>
    </row>
    <row r="2878">
      <c r="B2878" s="23"/>
      <c r="D2878" s="23"/>
      <c r="F2878" s="23"/>
      <c r="H2878" s="23"/>
    </row>
    <row r="2879">
      <c r="B2879" s="23"/>
      <c r="D2879" s="23"/>
      <c r="F2879" s="23"/>
      <c r="H2879" s="23"/>
    </row>
    <row r="2880">
      <c r="B2880" s="23"/>
      <c r="D2880" s="23"/>
      <c r="F2880" s="23"/>
      <c r="H2880" s="23"/>
    </row>
    <row r="2881">
      <c r="B2881" s="23"/>
      <c r="D2881" s="23"/>
      <c r="F2881" s="23"/>
      <c r="H2881" s="23"/>
    </row>
    <row r="2882">
      <c r="B2882" s="23"/>
      <c r="D2882" s="23"/>
      <c r="F2882" s="23"/>
      <c r="H2882" s="23"/>
    </row>
    <row r="2883">
      <c r="B2883" s="23"/>
      <c r="D2883" s="23"/>
      <c r="F2883" s="23"/>
      <c r="H2883" s="23"/>
    </row>
    <row r="2884">
      <c r="B2884" s="23"/>
      <c r="D2884" s="23"/>
      <c r="F2884" s="23"/>
      <c r="H2884" s="23"/>
    </row>
    <row r="2885">
      <c r="B2885" s="23"/>
      <c r="D2885" s="23"/>
      <c r="F2885" s="23"/>
      <c r="H2885" s="23"/>
    </row>
    <row r="2886">
      <c r="B2886" s="23"/>
      <c r="D2886" s="23"/>
      <c r="F2886" s="23"/>
      <c r="H2886" s="23"/>
    </row>
    <row r="2887">
      <c r="B2887" s="23"/>
      <c r="D2887" s="23"/>
      <c r="F2887" s="23"/>
      <c r="H2887" s="23"/>
    </row>
    <row r="2888">
      <c r="B2888" s="23"/>
      <c r="D2888" s="23"/>
      <c r="F2888" s="23"/>
      <c r="H2888" s="23"/>
    </row>
    <row r="2889">
      <c r="B2889" s="23"/>
      <c r="D2889" s="23"/>
      <c r="F2889" s="23"/>
      <c r="H2889" s="23"/>
    </row>
    <row r="2890">
      <c r="B2890" s="23"/>
      <c r="D2890" s="23"/>
      <c r="F2890" s="23"/>
      <c r="H2890" s="23"/>
    </row>
    <row r="2891">
      <c r="B2891" s="23"/>
      <c r="D2891" s="23"/>
      <c r="F2891" s="23"/>
      <c r="H2891" s="23"/>
    </row>
    <row r="2892">
      <c r="B2892" s="23"/>
      <c r="D2892" s="23"/>
      <c r="F2892" s="23"/>
      <c r="H2892" s="23"/>
    </row>
    <row r="2893">
      <c r="B2893" s="23"/>
      <c r="D2893" s="23"/>
      <c r="F2893" s="23"/>
      <c r="H2893" s="23"/>
    </row>
    <row r="2894">
      <c r="B2894" s="23"/>
      <c r="D2894" s="23"/>
      <c r="F2894" s="23"/>
      <c r="H2894" s="23"/>
    </row>
    <row r="2895">
      <c r="B2895" s="23"/>
      <c r="D2895" s="23"/>
      <c r="F2895" s="23"/>
      <c r="H2895" s="23"/>
    </row>
    <row r="2896">
      <c r="B2896" s="23"/>
      <c r="D2896" s="23"/>
      <c r="F2896" s="23"/>
      <c r="H2896" s="23"/>
    </row>
    <row r="2897">
      <c r="B2897" s="23"/>
      <c r="D2897" s="23"/>
      <c r="F2897" s="23"/>
      <c r="H2897" s="23"/>
    </row>
    <row r="2898">
      <c r="B2898" s="23"/>
      <c r="D2898" s="23"/>
      <c r="F2898" s="23"/>
      <c r="H2898" s="23"/>
    </row>
    <row r="2899">
      <c r="B2899" s="23"/>
      <c r="D2899" s="23"/>
      <c r="F2899" s="23"/>
      <c r="H2899" s="23"/>
    </row>
    <row r="2900">
      <c r="B2900" s="23"/>
      <c r="D2900" s="23"/>
      <c r="F2900" s="23"/>
      <c r="H2900" s="23"/>
    </row>
    <row r="2901">
      <c r="B2901" s="23"/>
      <c r="D2901" s="23"/>
      <c r="F2901" s="23"/>
      <c r="H2901" s="23"/>
    </row>
    <row r="2902">
      <c r="B2902" s="23"/>
      <c r="D2902" s="23"/>
      <c r="F2902" s="23"/>
      <c r="H2902" s="23"/>
    </row>
    <row r="2903">
      <c r="B2903" s="23"/>
      <c r="D2903" s="23"/>
      <c r="F2903" s="23"/>
      <c r="H2903" s="23"/>
    </row>
    <row r="2904">
      <c r="B2904" s="23"/>
      <c r="D2904" s="23"/>
      <c r="F2904" s="23"/>
      <c r="H2904" s="23"/>
    </row>
    <row r="2905">
      <c r="B2905" s="23"/>
      <c r="D2905" s="23"/>
      <c r="F2905" s="23"/>
      <c r="H2905" s="23"/>
    </row>
    <row r="2906">
      <c r="B2906" s="23"/>
      <c r="D2906" s="23"/>
      <c r="F2906" s="23"/>
      <c r="H2906" s="23"/>
    </row>
    <row r="2907">
      <c r="B2907" s="23"/>
      <c r="D2907" s="23"/>
      <c r="F2907" s="23"/>
      <c r="H2907" s="23"/>
    </row>
    <row r="2908">
      <c r="B2908" s="23"/>
      <c r="D2908" s="23"/>
      <c r="F2908" s="23"/>
      <c r="H2908" s="23"/>
    </row>
    <row r="2909">
      <c r="B2909" s="23"/>
      <c r="D2909" s="23"/>
      <c r="F2909" s="23"/>
      <c r="H2909" s="23"/>
    </row>
    <row r="2910">
      <c r="B2910" s="23"/>
      <c r="D2910" s="23"/>
      <c r="F2910" s="23"/>
      <c r="H2910" s="23"/>
    </row>
    <row r="2911">
      <c r="B2911" s="23"/>
      <c r="D2911" s="23"/>
      <c r="F2911" s="23"/>
      <c r="H2911" s="23"/>
    </row>
    <row r="2912">
      <c r="B2912" s="23"/>
      <c r="D2912" s="23"/>
      <c r="F2912" s="23"/>
      <c r="H2912" s="23"/>
    </row>
    <row r="2913">
      <c r="B2913" s="23"/>
      <c r="D2913" s="23"/>
      <c r="F2913" s="23"/>
      <c r="H2913" s="23"/>
    </row>
    <row r="2914">
      <c r="B2914" s="23"/>
      <c r="D2914" s="23"/>
      <c r="F2914" s="23"/>
      <c r="H2914" s="23"/>
    </row>
    <row r="2915">
      <c r="B2915" s="23"/>
      <c r="D2915" s="23"/>
      <c r="F2915" s="23"/>
      <c r="H2915" s="23"/>
    </row>
    <row r="2916">
      <c r="B2916" s="23"/>
      <c r="D2916" s="23"/>
      <c r="F2916" s="23"/>
      <c r="H2916" s="23"/>
    </row>
    <row r="2917">
      <c r="B2917" s="23"/>
      <c r="D2917" s="23"/>
      <c r="F2917" s="23"/>
      <c r="H2917" s="23"/>
    </row>
    <row r="2918">
      <c r="B2918" s="23"/>
      <c r="D2918" s="23"/>
      <c r="F2918" s="23"/>
      <c r="H2918" s="23"/>
    </row>
    <row r="2919">
      <c r="B2919" s="23"/>
      <c r="D2919" s="23"/>
      <c r="F2919" s="23"/>
      <c r="H2919" s="23"/>
    </row>
    <row r="2920">
      <c r="B2920" s="23"/>
      <c r="D2920" s="23"/>
      <c r="F2920" s="23"/>
      <c r="H2920" s="23"/>
    </row>
    <row r="2921">
      <c r="B2921" s="23"/>
      <c r="D2921" s="23"/>
      <c r="F2921" s="23"/>
      <c r="H2921" s="23"/>
    </row>
    <row r="2922">
      <c r="B2922" s="23"/>
      <c r="D2922" s="23"/>
      <c r="F2922" s="23"/>
      <c r="H2922" s="23"/>
    </row>
    <row r="2923">
      <c r="B2923" s="23"/>
      <c r="D2923" s="23"/>
      <c r="F2923" s="23"/>
      <c r="H2923" s="23"/>
    </row>
    <row r="2924">
      <c r="B2924" s="23"/>
      <c r="D2924" s="23"/>
      <c r="F2924" s="23"/>
      <c r="H2924" s="23"/>
    </row>
    <row r="2925">
      <c r="B2925" s="23"/>
      <c r="D2925" s="23"/>
      <c r="F2925" s="23"/>
      <c r="H2925" s="23"/>
    </row>
    <row r="2926">
      <c r="B2926" s="23"/>
      <c r="D2926" s="23"/>
      <c r="F2926" s="23"/>
      <c r="H2926" s="23"/>
    </row>
    <row r="2927">
      <c r="B2927" s="23"/>
      <c r="D2927" s="23"/>
      <c r="F2927" s="23"/>
      <c r="H2927" s="23"/>
    </row>
    <row r="2928">
      <c r="B2928" s="23"/>
      <c r="D2928" s="23"/>
      <c r="F2928" s="23"/>
      <c r="H2928" s="23"/>
    </row>
    <row r="2929">
      <c r="B2929" s="23"/>
      <c r="D2929" s="23"/>
      <c r="F2929" s="23"/>
      <c r="H2929" s="23"/>
    </row>
    <row r="2930">
      <c r="B2930" s="23"/>
      <c r="D2930" s="23"/>
      <c r="F2930" s="23"/>
      <c r="H2930" s="23"/>
    </row>
    <row r="2931">
      <c r="B2931" s="23"/>
      <c r="D2931" s="23"/>
      <c r="F2931" s="23"/>
      <c r="H2931" s="23"/>
    </row>
    <row r="2932">
      <c r="B2932" s="23"/>
      <c r="D2932" s="23"/>
      <c r="F2932" s="23"/>
      <c r="H2932" s="23"/>
    </row>
    <row r="2933">
      <c r="B2933" s="23"/>
      <c r="D2933" s="23"/>
      <c r="F2933" s="23"/>
      <c r="H2933" s="23"/>
    </row>
    <row r="2934">
      <c r="B2934" s="23"/>
      <c r="D2934" s="23"/>
      <c r="F2934" s="23"/>
      <c r="H2934" s="23"/>
    </row>
    <row r="2935">
      <c r="B2935" s="23"/>
      <c r="D2935" s="23"/>
      <c r="F2935" s="23"/>
      <c r="H2935" s="23"/>
    </row>
    <row r="2936">
      <c r="B2936" s="23"/>
      <c r="D2936" s="23"/>
      <c r="F2936" s="23"/>
      <c r="H2936" s="23"/>
    </row>
    <row r="2937">
      <c r="B2937" s="23"/>
      <c r="D2937" s="23"/>
      <c r="F2937" s="23"/>
      <c r="H2937" s="23"/>
    </row>
    <row r="2938">
      <c r="B2938" s="23"/>
      <c r="D2938" s="23"/>
      <c r="F2938" s="23"/>
      <c r="H2938" s="23"/>
    </row>
    <row r="2939">
      <c r="B2939" s="23"/>
      <c r="D2939" s="23"/>
      <c r="F2939" s="23"/>
      <c r="H2939" s="23"/>
    </row>
    <row r="2940">
      <c r="B2940" s="23"/>
      <c r="D2940" s="23"/>
      <c r="F2940" s="23"/>
      <c r="H2940" s="23"/>
    </row>
    <row r="2941">
      <c r="B2941" s="23"/>
      <c r="D2941" s="23"/>
      <c r="F2941" s="23"/>
      <c r="H2941" s="23"/>
    </row>
    <row r="2942">
      <c r="B2942" s="23"/>
      <c r="D2942" s="23"/>
      <c r="F2942" s="23"/>
      <c r="H2942" s="23"/>
    </row>
    <row r="2943">
      <c r="B2943" s="23"/>
      <c r="D2943" s="23"/>
      <c r="F2943" s="23"/>
      <c r="H2943" s="23"/>
    </row>
    <row r="2944">
      <c r="B2944" s="23"/>
      <c r="D2944" s="23"/>
      <c r="F2944" s="23"/>
      <c r="H2944" s="23"/>
    </row>
    <row r="2945">
      <c r="B2945" s="23"/>
      <c r="D2945" s="23"/>
      <c r="F2945" s="23"/>
      <c r="H2945" s="23"/>
    </row>
    <row r="2946">
      <c r="B2946" s="23"/>
      <c r="D2946" s="23"/>
      <c r="F2946" s="23"/>
      <c r="H2946" s="23"/>
    </row>
    <row r="2947">
      <c r="B2947" s="23"/>
      <c r="D2947" s="23"/>
      <c r="F2947" s="23"/>
      <c r="H2947" s="23"/>
    </row>
    <row r="2948">
      <c r="B2948" s="23"/>
      <c r="D2948" s="23"/>
      <c r="F2948" s="23"/>
      <c r="H2948" s="23"/>
    </row>
    <row r="2949">
      <c r="B2949" s="23"/>
      <c r="D2949" s="23"/>
      <c r="F2949" s="23"/>
      <c r="H2949" s="23"/>
    </row>
    <row r="2950">
      <c r="B2950" s="23"/>
      <c r="D2950" s="23"/>
      <c r="F2950" s="23"/>
      <c r="H2950" s="23"/>
    </row>
    <row r="2951">
      <c r="B2951" s="23"/>
      <c r="D2951" s="23"/>
      <c r="F2951" s="23"/>
      <c r="H2951" s="23"/>
    </row>
    <row r="2952">
      <c r="B2952" s="23"/>
      <c r="D2952" s="23"/>
      <c r="F2952" s="23"/>
      <c r="H2952" s="23"/>
    </row>
    <row r="2953">
      <c r="B2953" s="23"/>
      <c r="D2953" s="23"/>
      <c r="F2953" s="23"/>
      <c r="H2953" s="23"/>
    </row>
    <row r="2954">
      <c r="B2954" s="23"/>
      <c r="D2954" s="23"/>
      <c r="F2954" s="23"/>
      <c r="H2954" s="23"/>
    </row>
    <row r="2955">
      <c r="B2955" s="23"/>
      <c r="D2955" s="23"/>
      <c r="F2955" s="23"/>
      <c r="H2955" s="23"/>
    </row>
    <row r="2956">
      <c r="B2956" s="23"/>
      <c r="D2956" s="23"/>
      <c r="F2956" s="23"/>
      <c r="H2956" s="23"/>
    </row>
    <row r="2957">
      <c r="B2957" s="23"/>
      <c r="D2957" s="23"/>
      <c r="F2957" s="23"/>
      <c r="H2957" s="23"/>
    </row>
    <row r="2958">
      <c r="B2958" s="23"/>
      <c r="D2958" s="23"/>
      <c r="F2958" s="23"/>
      <c r="H2958" s="23"/>
    </row>
    <row r="2959">
      <c r="B2959" s="23"/>
      <c r="D2959" s="23"/>
      <c r="F2959" s="23"/>
      <c r="H2959" s="23"/>
    </row>
    <row r="2960">
      <c r="B2960" s="23"/>
      <c r="D2960" s="23"/>
      <c r="F2960" s="23"/>
      <c r="H2960" s="23"/>
    </row>
    <row r="2961">
      <c r="B2961" s="23"/>
      <c r="D2961" s="23"/>
      <c r="F2961" s="23"/>
      <c r="H2961" s="23"/>
    </row>
    <row r="2962">
      <c r="B2962" s="23"/>
      <c r="D2962" s="23"/>
      <c r="F2962" s="23"/>
      <c r="H2962" s="23"/>
    </row>
    <row r="2963">
      <c r="B2963" s="23"/>
      <c r="D2963" s="23"/>
      <c r="F2963" s="23"/>
      <c r="H2963" s="23"/>
    </row>
    <row r="2964">
      <c r="B2964" s="23"/>
      <c r="D2964" s="23"/>
      <c r="F2964" s="23"/>
      <c r="H2964" s="23"/>
    </row>
    <row r="2965">
      <c r="B2965" s="23"/>
      <c r="D2965" s="23"/>
      <c r="F2965" s="23"/>
      <c r="H2965" s="23"/>
    </row>
    <row r="2966">
      <c r="B2966" s="23"/>
      <c r="D2966" s="23"/>
      <c r="F2966" s="23"/>
      <c r="H2966" s="23"/>
    </row>
    <row r="2967">
      <c r="B2967" s="23"/>
      <c r="D2967" s="23"/>
      <c r="F2967" s="23"/>
      <c r="H2967" s="23"/>
    </row>
    <row r="2968">
      <c r="B2968" s="23"/>
      <c r="D2968" s="23"/>
      <c r="F2968" s="23"/>
      <c r="H2968" s="23"/>
    </row>
    <row r="2969">
      <c r="B2969" s="23"/>
      <c r="D2969" s="23"/>
      <c r="F2969" s="23"/>
      <c r="H2969" s="23"/>
    </row>
    <row r="2970">
      <c r="B2970" s="23"/>
      <c r="D2970" s="23"/>
      <c r="F2970" s="23"/>
      <c r="H2970" s="23"/>
    </row>
    <row r="2971">
      <c r="B2971" s="23"/>
      <c r="D2971" s="23"/>
      <c r="F2971" s="23"/>
      <c r="H2971" s="23"/>
    </row>
    <row r="2972">
      <c r="B2972" s="23"/>
      <c r="D2972" s="23"/>
      <c r="F2972" s="23"/>
      <c r="H2972" s="23"/>
    </row>
    <row r="2973">
      <c r="B2973" s="23"/>
      <c r="D2973" s="23"/>
      <c r="F2973" s="23"/>
      <c r="H2973" s="23"/>
    </row>
    <row r="2974">
      <c r="B2974" s="23"/>
      <c r="D2974" s="23"/>
      <c r="F2974" s="23"/>
      <c r="H2974" s="23"/>
    </row>
    <row r="2975">
      <c r="B2975" s="23"/>
      <c r="D2975" s="23"/>
      <c r="F2975" s="23"/>
      <c r="H2975" s="23"/>
    </row>
    <row r="2976">
      <c r="B2976" s="23"/>
      <c r="D2976" s="23"/>
      <c r="F2976" s="23"/>
      <c r="H2976" s="23"/>
    </row>
    <row r="2977">
      <c r="B2977" s="23"/>
      <c r="D2977" s="23"/>
      <c r="F2977" s="23"/>
      <c r="H2977" s="23"/>
    </row>
    <row r="2978">
      <c r="B2978" s="23"/>
      <c r="D2978" s="23"/>
      <c r="F2978" s="23"/>
      <c r="H2978" s="23"/>
    </row>
    <row r="2979">
      <c r="B2979" s="23"/>
      <c r="D2979" s="23"/>
      <c r="F2979" s="23"/>
      <c r="H2979" s="23"/>
    </row>
    <row r="2980">
      <c r="B2980" s="23"/>
      <c r="D2980" s="23"/>
      <c r="F2980" s="23"/>
      <c r="H2980" s="23"/>
    </row>
    <row r="2981">
      <c r="B2981" s="23"/>
      <c r="D2981" s="23"/>
      <c r="F2981" s="23"/>
      <c r="H2981" s="23"/>
    </row>
    <row r="2982">
      <c r="B2982" s="23"/>
      <c r="D2982" s="23"/>
      <c r="F2982" s="23"/>
      <c r="H2982" s="23"/>
    </row>
    <row r="2983">
      <c r="B2983" s="23"/>
      <c r="D2983" s="23"/>
      <c r="F2983" s="23"/>
      <c r="H2983" s="23"/>
    </row>
    <row r="2984">
      <c r="B2984" s="23"/>
      <c r="D2984" s="23"/>
      <c r="F2984" s="23"/>
      <c r="H2984" s="23"/>
    </row>
    <row r="2985">
      <c r="B2985" s="23"/>
      <c r="D2985" s="23"/>
      <c r="F2985" s="23"/>
      <c r="H2985" s="23"/>
    </row>
    <row r="2986">
      <c r="B2986" s="23"/>
      <c r="D2986" s="23"/>
      <c r="F2986" s="23"/>
      <c r="H2986" s="23"/>
    </row>
    <row r="2987">
      <c r="B2987" s="23"/>
      <c r="D2987" s="23"/>
      <c r="F2987" s="23"/>
      <c r="H2987" s="23"/>
    </row>
    <row r="2988">
      <c r="B2988" s="23"/>
      <c r="D2988" s="23"/>
      <c r="F2988" s="23"/>
      <c r="H2988" s="23"/>
    </row>
    <row r="2989">
      <c r="B2989" s="23"/>
      <c r="D2989" s="23"/>
      <c r="F2989" s="23"/>
      <c r="H2989" s="23"/>
    </row>
    <row r="2990">
      <c r="B2990" s="23"/>
      <c r="D2990" s="23"/>
      <c r="F2990" s="23"/>
      <c r="H2990" s="23"/>
    </row>
    <row r="2991">
      <c r="B2991" s="23"/>
      <c r="D2991" s="23"/>
      <c r="F2991" s="23"/>
      <c r="H2991" s="23"/>
    </row>
    <row r="2992">
      <c r="B2992" s="23"/>
      <c r="D2992" s="23"/>
      <c r="F2992" s="23"/>
      <c r="H2992" s="23"/>
    </row>
    <row r="2993">
      <c r="B2993" s="23"/>
      <c r="D2993" s="23"/>
      <c r="F2993" s="23"/>
      <c r="H2993" s="23"/>
    </row>
    <row r="2994">
      <c r="B2994" s="23"/>
      <c r="D2994" s="23"/>
      <c r="F2994" s="23"/>
      <c r="H2994" s="23"/>
    </row>
    <row r="2995">
      <c r="B2995" s="23"/>
      <c r="D2995" s="23"/>
      <c r="F2995" s="23"/>
      <c r="H2995" s="23"/>
    </row>
    <row r="2996">
      <c r="B2996" s="23"/>
      <c r="D2996" s="23"/>
      <c r="F2996" s="23"/>
      <c r="H2996" s="23"/>
    </row>
    <row r="2997">
      <c r="B2997" s="23"/>
      <c r="D2997" s="23"/>
      <c r="F2997" s="23"/>
      <c r="H2997" s="23"/>
    </row>
    <row r="2998">
      <c r="B2998" s="23"/>
      <c r="D2998" s="23"/>
      <c r="F2998" s="23"/>
      <c r="H2998" s="23"/>
    </row>
    <row r="2999">
      <c r="B2999" s="23"/>
      <c r="D2999" s="23"/>
      <c r="F2999" s="23"/>
      <c r="H2999" s="23"/>
    </row>
    <row r="3000">
      <c r="B3000" s="23"/>
      <c r="D3000" s="23"/>
      <c r="F3000" s="23"/>
      <c r="H3000" s="23"/>
    </row>
    <row r="3001">
      <c r="B3001" s="23"/>
      <c r="D3001" s="23"/>
      <c r="F3001" s="23"/>
      <c r="H3001" s="23"/>
    </row>
    <row r="3002">
      <c r="B3002" s="23"/>
      <c r="D3002" s="23"/>
      <c r="F3002" s="23"/>
      <c r="H3002" s="23"/>
    </row>
    <row r="3003">
      <c r="B3003" s="23"/>
      <c r="D3003" s="23"/>
      <c r="F3003" s="23"/>
      <c r="H3003" s="23"/>
    </row>
    <row r="3004">
      <c r="B3004" s="23"/>
      <c r="D3004" s="23"/>
      <c r="F3004" s="23"/>
      <c r="H3004" s="23"/>
    </row>
    <row r="3005">
      <c r="B3005" s="23"/>
      <c r="D3005" s="23"/>
      <c r="F3005" s="23"/>
      <c r="H3005" s="23"/>
    </row>
    <row r="3006">
      <c r="B3006" s="23"/>
      <c r="D3006" s="23"/>
      <c r="F3006" s="23"/>
      <c r="H3006" s="23"/>
    </row>
    <row r="3007">
      <c r="B3007" s="23"/>
      <c r="D3007" s="23"/>
      <c r="F3007" s="23"/>
      <c r="H3007" s="23"/>
    </row>
    <row r="3008">
      <c r="B3008" s="23"/>
      <c r="D3008" s="23"/>
      <c r="F3008" s="23"/>
      <c r="H3008" s="23"/>
    </row>
    <row r="3009">
      <c r="B3009" s="23"/>
      <c r="D3009" s="23"/>
      <c r="F3009" s="23"/>
      <c r="H3009" s="23"/>
    </row>
    <row r="3010">
      <c r="B3010" s="23"/>
      <c r="D3010" s="23"/>
      <c r="F3010" s="23"/>
      <c r="H3010" s="23"/>
    </row>
    <row r="3011">
      <c r="B3011" s="23"/>
      <c r="D3011" s="23"/>
      <c r="F3011" s="23"/>
      <c r="H3011" s="23"/>
    </row>
    <row r="3012">
      <c r="B3012" s="23"/>
      <c r="D3012" s="23"/>
      <c r="F3012" s="23"/>
      <c r="H3012" s="23"/>
    </row>
    <row r="3013">
      <c r="B3013" s="23"/>
      <c r="D3013" s="23"/>
      <c r="F3013" s="23"/>
      <c r="H3013" s="23"/>
    </row>
    <row r="3014">
      <c r="B3014" s="23"/>
      <c r="D3014" s="23"/>
      <c r="F3014" s="23"/>
      <c r="H3014" s="23"/>
    </row>
    <row r="3015">
      <c r="B3015" s="23"/>
      <c r="D3015" s="23"/>
      <c r="F3015" s="23"/>
      <c r="H3015" s="23"/>
    </row>
    <row r="3016">
      <c r="B3016" s="23"/>
      <c r="D3016" s="23"/>
      <c r="F3016" s="23"/>
      <c r="H3016" s="23"/>
    </row>
    <row r="3017">
      <c r="B3017" s="23"/>
      <c r="D3017" s="23"/>
      <c r="F3017" s="23"/>
      <c r="H3017" s="23"/>
    </row>
    <row r="3018">
      <c r="B3018" s="23"/>
      <c r="D3018" s="23"/>
      <c r="F3018" s="23"/>
      <c r="H3018" s="23"/>
    </row>
    <row r="3019">
      <c r="B3019" s="23"/>
      <c r="D3019" s="23"/>
      <c r="F3019" s="23"/>
      <c r="H3019" s="23"/>
    </row>
    <row r="3020">
      <c r="B3020" s="23"/>
      <c r="D3020" s="23"/>
      <c r="F3020" s="23"/>
      <c r="H3020" s="23"/>
    </row>
    <row r="3021">
      <c r="B3021" s="23"/>
      <c r="D3021" s="23"/>
      <c r="F3021" s="23"/>
      <c r="H3021" s="23"/>
    </row>
    <row r="3022">
      <c r="B3022" s="23"/>
      <c r="D3022" s="23"/>
      <c r="F3022" s="23"/>
      <c r="H3022" s="23"/>
    </row>
    <row r="3023">
      <c r="B3023" s="23"/>
      <c r="D3023" s="23"/>
      <c r="F3023" s="23"/>
      <c r="H3023" s="23"/>
    </row>
    <row r="3024">
      <c r="B3024" s="23"/>
      <c r="D3024" s="23"/>
      <c r="F3024" s="23"/>
      <c r="H3024" s="23"/>
    </row>
    <row r="3025">
      <c r="B3025" s="23"/>
      <c r="D3025" s="23"/>
      <c r="F3025" s="23"/>
      <c r="H3025" s="23"/>
    </row>
    <row r="3026">
      <c r="B3026" s="23"/>
      <c r="D3026" s="23"/>
      <c r="F3026" s="23"/>
      <c r="H3026" s="23"/>
    </row>
    <row r="3027">
      <c r="B3027" s="23"/>
      <c r="D3027" s="23"/>
      <c r="F3027" s="23"/>
      <c r="H3027" s="23"/>
    </row>
    <row r="3028">
      <c r="B3028" s="23"/>
      <c r="D3028" s="23"/>
      <c r="F3028" s="23"/>
      <c r="H3028" s="23"/>
    </row>
    <row r="3029">
      <c r="B3029" s="23"/>
      <c r="D3029" s="23"/>
      <c r="F3029" s="23"/>
      <c r="H3029" s="23"/>
    </row>
    <row r="3030">
      <c r="B3030" s="23"/>
      <c r="D3030" s="23"/>
      <c r="F3030" s="23"/>
      <c r="H3030" s="23"/>
    </row>
    <row r="3031">
      <c r="B3031" s="23"/>
      <c r="D3031" s="23"/>
      <c r="F3031" s="23"/>
      <c r="H3031" s="23"/>
    </row>
    <row r="3032">
      <c r="B3032" s="23"/>
      <c r="D3032" s="23"/>
      <c r="F3032" s="23"/>
      <c r="H3032" s="23"/>
    </row>
    <row r="3033">
      <c r="B3033" s="23"/>
      <c r="D3033" s="23"/>
      <c r="F3033" s="23"/>
      <c r="H3033" s="23"/>
    </row>
    <row r="3034">
      <c r="B3034" s="23"/>
      <c r="D3034" s="23"/>
      <c r="F3034" s="23"/>
      <c r="H3034" s="23"/>
    </row>
    <row r="3035">
      <c r="B3035" s="23"/>
      <c r="D3035" s="23"/>
      <c r="F3035" s="23"/>
      <c r="H3035" s="23"/>
    </row>
    <row r="3036">
      <c r="B3036" s="23"/>
      <c r="D3036" s="23"/>
      <c r="F3036" s="23"/>
      <c r="H3036" s="23"/>
    </row>
    <row r="3037">
      <c r="B3037" s="23"/>
      <c r="D3037" s="23"/>
      <c r="F3037" s="23"/>
      <c r="H3037" s="23"/>
    </row>
    <row r="3038">
      <c r="B3038" s="23"/>
      <c r="D3038" s="23"/>
      <c r="F3038" s="23"/>
      <c r="H3038" s="23"/>
    </row>
    <row r="3039">
      <c r="B3039" s="23"/>
      <c r="D3039" s="23"/>
      <c r="F3039" s="23"/>
      <c r="H3039" s="23"/>
    </row>
    <row r="3040">
      <c r="B3040" s="23"/>
      <c r="D3040" s="23"/>
      <c r="F3040" s="23"/>
      <c r="H3040" s="23"/>
    </row>
    <row r="3041">
      <c r="B3041" s="23"/>
      <c r="D3041" s="23"/>
      <c r="F3041" s="23"/>
      <c r="H3041" s="23"/>
    </row>
    <row r="3042">
      <c r="B3042" s="23"/>
      <c r="D3042" s="23"/>
      <c r="F3042" s="23"/>
      <c r="H3042" s="23"/>
    </row>
    <row r="3043">
      <c r="B3043" s="23"/>
      <c r="D3043" s="23"/>
      <c r="F3043" s="23"/>
      <c r="H3043" s="23"/>
    </row>
    <row r="3044">
      <c r="B3044" s="23"/>
      <c r="D3044" s="23"/>
      <c r="F3044" s="23"/>
      <c r="H3044" s="23"/>
    </row>
    <row r="3045">
      <c r="B3045" s="23"/>
      <c r="D3045" s="23"/>
      <c r="F3045" s="23"/>
      <c r="H3045" s="23"/>
    </row>
    <row r="3046">
      <c r="B3046" s="23"/>
      <c r="D3046" s="23"/>
      <c r="F3046" s="23"/>
      <c r="H3046" s="23"/>
    </row>
    <row r="3047">
      <c r="B3047" s="23"/>
      <c r="D3047" s="23"/>
      <c r="F3047" s="23"/>
      <c r="H3047" s="23"/>
    </row>
    <row r="3048">
      <c r="B3048" s="23"/>
      <c r="D3048" s="23"/>
      <c r="F3048" s="23"/>
      <c r="H3048" s="23"/>
    </row>
    <row r="3049">
      <c r="B3049" s="23"/>
      <c r="D3049" s="23"/>
      <c r="F3049" s="23"/>
      <c r="H3049" s="23"/>
    </row>
    <row r="3050">
      <c r="B3050" s="23"/>
      <c r="D3050" s="23"/>
      <c r="F3050" s="23"/>
      <c r="H3050" s="23"/>
    </row>
    <row r="3051">
      <c r="B3051" s="23"/>
      <c r="D3051" s="23"/>
      <c r="F3051" s="23"/>
      <c r="H3051" s="23"/>
    </row>
    <row r="3052">
      <c r="B3052" s="23"/>
      <c r="D3052" s="23"/>
      <c r="F3052" s="23"/>
      <c r="H3052" s="23"/>
    </row>
    <row r="3053">
      <c r="B3053" s="23"/>
      <c r="D3053" s="23"/>
      <c r="F3053" s="23"/>
      <c r="H3053" s="23"/>
    </row>
    <row r="3054">
      <c r="B3054" s="23"/>
      <c r="D3054" s="23"/>
      <c r="F3054" s="23"/>
      <c r="H3054" s="23"/>
    </row>
    <row r="3055">
      <c r="B3055" s="23"/>
      <c r="D3055" s="23"/>
      <c r="F3055" s="23"/>
      <c r="H3055" s="23"/>
    </row>
    <row r="3056">
      <c r="B3056" s="23"/>
      <c r="D3056" s="23"/>
      <c r="F3056" s="23"/>
      <c r="H3056" s="23"/>
    </row>
    <row r="3057">
      <c r="B3057" s="23"/>
      <c r="D3057" s="23"/>
      <c r="F3057" s="23"/>
      <c r="H3057" s="23"/>
    </row>
    <row r="3058">
      <c r="B3058" s="23"/>
      <c r="D3058" s="23"/>
      <c r="F3058" s="23"/>
      <c r="H3058" s="23"/>
    </row>
    <row r="3059">
      <c r="B3059" s="23"/>
      <c r="D3059" s="23"/>
      <c r="F3059" s="23"/>
      <c r="H3059" s="23"/>
    </row>
    <row r="3060">
      <c r="B3060" s="23"/>
      <c r="D3060" s="23"/>
      <c r="F3060" s="23"/>
      <c r="H3060" s="23"/>
    </row>
    <row r="3061">
      <c r="B3061" s="23"/>
      <c r="D3061" s="23"/>
      <c r="F3061" s="23"/>
      <c r="H3061" s="23"/>
    </row>
    <row r="3062">
      <c r="B3062" s="23"/>
      <c r="D3062" s="23"/>
      <c r="F3062" s="23"/>
      <c r="H3062" s="23"/>
    </row>
    <row r="3063">
      <c r="B3063" s="23"/>
      <c r="D3063" s="23"/>
      <c r="F3063" s="23"/>
      <c r="H3063" s="23"/>
    </row>
    <row r="3064">
      <c r="B3064" s="23"/>
      <c r="D3064" s="23"/>
      <c r="F3064" s="23"/>
      <c r="H3064" s="23"/>
    </row>
    <row r="3065">
      <c r="B3065" s="23"/>
      <c r="D3065" s="23"/>
      <c r="F3065" s="23"/>
      <c r="H3065" s="23"/>
    </row>
    <row r="3066">
      <c r="B3066" s="23"/>
      <c r="D3066" s="23"/>
      <c r="F3066" s="23"/>
      <c r="H3066" s="23"/>
    </row>
    <row r="3067">
      <c r="B3067" s="23"/>
      <c r="D3067" s="23"/>
      <c r="F3067" s="23"/>
      <c r="H3067" s="23"/>
    </row>
    <row r="3068">
      <c r="B3068" s="23"/>
      <c r="D3068" s="23"/>
      <c r="F3068" s="23"/>
      <c r="H3068" s="23"/>
    </row>
    <row r="3069">
      <c r="B3069" s="23"/>
      <c r="D3069" s="23"/>
      <c r="F3069" s="23"/>
      <c r="H3069" s="23"/>
    </row>
    <row r="3070">
      <c r="B3070" s="23"/>
      <c r="D3070" s="23"/>
      <c r="F3070" s="23"/>
      <c r="H3070" s="23"/>
    </row>
    <row r="3071">
      <c r="B3071" s="23"/>
      <c r="D3071" s="23"/>
      <c r="F3071" s="23"/>
      <c r="H3071" s="23"/>
    </row>
    <row r="3072">
      <c r="B3072" s="23"/>
      <c r="D3072" s="23"/>
      <c r="F3072" s="23"/>
      <c r="H3072" s="23"/>
    </row>
    <row r="3073">
      <c r="B3073" s="23"/>
      <c r="D3073" s="23"/>
      <c r="F3073" s="23"/>
      <c r="H3073" s="23"/>
    </row>
    <row r="3074">
      <c r="B3074" s="23"/>
      <c r="D3074" s="23"/>
      <c r="F3074" s="23"/>
      <c r="H3074" s="23"/>
    </row>
    <row r="3075">
      <c r="B3075" s="23"/>
      <c r="D3075" s="23"/>
      <c r="F3075" s="23"/>
      <c r="H3075" s="23"/>
    </row>
    <row r="3076">
      <c r="B3076" s="23"/>
      <c r="D3076" s="23"/>
      <c r="F3076" s="23"/>
      <c r="H3076" s="23"/>
    </row>
    <row r="3077">
      <c r="B3077" s="23"/>
      <c r="D3077" s="23"/>
      <c r="F3077" s="23"/>
      <c r="H3077" s="23"/>
    </row>
    <row r="3078">
      <c r="B3078" s="23"/>
      <c r="D3078" s="23"/>
      <c r="F3078" s="23"/>
      <c r="H3078" s="23"/>
    </row>
    <row r="3079">
      <c r="B3079" s="23"/>
      <c r="D3079" s="23"/>
      <c r="F3079" s="23"/>
      <c r="H3079" s="23"/>
    </row>
    <row r="3080">
      <c r="B3080" s="23"/>
      <c r="D3080" s="23"/>
      <c r="F3080" s="23"/>
      <c r="H3080" s="23"/>
    </row>
    <row r="3081">
      <c r="B3081" s="23"/>
      <c r="D3081" s="23"/>
      <c r="F3081" s="23"/>
      <c r="H3081" s="23"/>
    </row>
    <row r="3082">
      <c r="B3082" s="23"/>
      <c r="D3082" s="23"/>
      <c r="F3082" s="23"/>
      <c r="H3082" s="23"/>
    </row>
    <row r="3083">
      <c r="B3083" s="23"/>
      <c r="D3083" s="23"/>
      <c r="F3083" s="23"/>
      <c r="H3083" s="23"/>
    </row>
    <row r="3084">
      <c r="B3084" s="23"/>
      <c r="D3084" s="23"/>
      <c r="F3084" s="23"/>
      <c r="H3084" s="23"/>
    </row>
    <row r="3085">
      <c r="B3085" s="23"/>
      <c r="D3085" s="23"/>
      <c r="F3085" s="23"/>
      <c r="H3085" s="23"/>
    </row>
    <row r="3086">
      <c r="B3086" s="23"/>
      <c r="D3086" s="23"/>
      <c r="F3086" s="23"/>
      <c r="H3086" s="23"/>
    </row>
    <row r="3087">
      <c r="B3087" s="23"/>
      <c r="D3087" s="23"/>
      <c r="F3087" s="23"/>
      <c r="H3087" s="23"/>
    </row>
    <row r="3088">
      <c r="B3088" s="23"/>
      <c r="D3088" s="23"/>
      <c r="F3088" s="23"/>
      <c r="H3088" s="23"/>
    </row>
    <row r="3089">
      <c r="B3089" s="23"/>
      <c r="D3089" s="23"/>
      <c r="F3089" s="23"/>
      <c r="H3089" s="23"/>
    </row>
    <row r="3090">
      <c r="B3090" s="23"/>
      <c r="D3090" s="23"/>
      <c r="F3090" s="23"/>
      <c r="H3090" s="23"/>
    </row>
    <row r="3091">
      <c r="B3091" s="23"/>
      <c r="D3091" s="23"/>
      <c r="F3091" s="23"/>
      <c r="H3091" s="23"/>
    </row>
    <row r="3092">
      <c r="B3092" s="23"/>
      <c r="D3092" s="23"/>
      <c r="F3092" s="23"/>
      <c r="H3092" s="23"/>
    </row>
    <row r="3093">
      <c r="B3093" s="23"/>
      <c r="D3093" s="23"/>
      <c r="F3093" s="23"/>
      <c r="H3093" s="23"/>
    </row>
    <row r="3094">
      <c r="B3094" s="23"/>
      <c r="D3094" s="23"/>
      <c r="F3094" s="23"/>
      <c r="H3094" s="23"/>
    </row>
    <row r="3095">
      <c r="B3095" s="23"/>
      <c r="D3095" s="23"/>
      <c r="F3095" s="23"/>
      <c r="H3095" s="23"/>
    </row>
    <row r="3096">
      <c r="B3096" s="23"/>
      <c r="D3096" s="23"/>
      <c r="F3096" s="23"/>
      <c r="H3096" s="23"/>
    </row>
    <row r="3097">
      <c r="B3097" s="23"/>
      <c r="D3097" s="23"/>
      <c r="F3097" s="23"/>
      <c r="H3097" s="23"/>
    </row>
    <row r="3098">
      <c r="B3098" s="23"/>
      <c r="D3098" s="23"/>
      <c r="F3098" s="23"/>
      <c r="H3098" s="23"/>
    </row>
    <row r="3099">
      <c r="B3099" s="23"/>
      <c r="D3099" s="23"/>
      <c r="F3099" s="23"/>
      <c r="H3099" s="23"/>
    </row>
    <row r="3100">
      <c r="B3100" s="23"/>
      <c r="D3100" s="23"/>
      <c r="F3100" s="23"/>
      <c r="H3100" s="23"/>
    </row>
    <row r="3101">
      <c r="B3101" s="23"/>
      <c r="D3101" s="23"/>
      <c r="F3101" s="23"/>
      <c r="H3101" s="23"/>
    </row>
    <row r="3102">
      <c r="B3102" s="23"/>
      <c r="D3102" s="23"/>
      <c r="F3102" s="23"/>
      <c r="H3102" s="23"/>
    </row>
    <row r="3103">
      <c r="B3103" s="23"/>
      <c r="D3103" s="23"/>
      <c r="F3103" s="23"/>
      <c r="H3103" s="23"/>
    </row>
    <row r="3104">
      <c r="B3104" s="23"/>
      <c r="D3104" s="23"/>
      <c r="F3104" s="23"/>
      <c r="H3104" s="23"/>
    </row>
    <row r="3105">
      <c r="B3105" s="23"/>
      <c r="D3105" s="23"/>
      <c r="F3105" s="23"/>
      <c r="H3105" s="23"/>
    </row>
    <row r="3106">
      <c r="B3106" s="23"/>
      <c r="D3106" s="23"/>
      <c r="F3106" s="23"/>
      <c r="H3106" s="23"/>
    </row>
    <row r="3107">
      <c r="B3107" s="23"/>
      <c r="D3107" s="23"/>
      <c r="F3107" s="23"/>
      <c r="H3107" s="23"/>
    </row>
    <row r="3108">
      <c r="B3108" s="23"/>
      <c r="D3108" s="23"/>
      <c r="F3108" s="23"/>
      <c r="H3108" s="23"/>
    </row>
    <row r="3109">
      <c r="B3109" s="23"/>
      <c r="D3109" s="23"/>
      <c r="F3109" s="23"/>
      <c r="H3109" s="23"/>
    </row>
    <row r="3110">
      <c r="B3110" s="23"/>
      <c r="D3110" s="23"/>
      <c r="F3110" s="23"/>
      <c r="H3110" s="23"/>
    </row>
    <row r="3111">
      <c r="B3111" s="23"/>
      <c r="D3111" s="23"/>
      <c r="F3111" s="23"/>
      <c r="H3111" s="23"/>
    </row>
    <row r="3112">
      <c r="B3112" s="23"/>
      <c r="D3112" s="23"/>
      <c r="F3112" s="23"/>
      <c r="H3112" s="23"/>
    </row>
    <row r="3113">
      <c r="B3113" s="23"/>
      <c r="D3113" s="23"/>
      <c r="F3113" s="23"/>
      <c r="H3113" s="23"/>
    </row>
    <row r="3114">
      <c r="B3114" s="23"/>
      <c r="D3114" s="23"/>
      <c r="F3114" s="23"/>
      <c r="H3114" s="23"/>
    </row>
    <row r="3115">
      <c r="B3115" s="23"/>
      <c r="D3115" s="23"/>
      <c r="F3115" s="23"/>
      <c r="H3115" s="23"/>
    </row>
    <row r="3116">
      <c r="B3116" s="23"/>
      <c r="D3116" s="23"/>
      <c r="F3116" s="23"/>
      <c r="H3116" s="23"/>
    </row>
    <row r="3117">
      <c r="B3117" s="23"/>
      <c r="D3117" s="23"/>
      <c r="F3117" s="23"/>
      <c r="H3117" s="23"/>
    </row>
    <row r="3118">
      <c r="B3118" s="23"/>
      <c r="D3118" s="23"/>
      <c r="F3118" s="23"/>
      <c r="H3118" s="23"/>
    </row>
    <row r="3119">
      <c r="B3119" s="23"/>
      <c r="D3119" s="23"/>
      <c r="F3119" s="23"/>
      <c r="H3119" s="23"/>
    </row>
    <row r="3120">
      <c r="B3120" s="23"/>
      <c r="D3120" s="23"/>
      <c r="F3120" s="23"/>
      <c r="H3120" s="23"/>
    </row>
    <row r="3121">
      <c r="B3121" s="23"/>
      <c r="D3121" s="23"/>
      <c r="F3121" s="23"/>
      <c r="H3121" s="23"/>
    </row>
    <row r="3122">
      <c r="B3122" s="23"/>
      <c r="D3122" s="23"/>
      <c r="F3122" s="23"/>
      <c r="H3122" s="23"/>
    </row>
    <row r="3123">
      <c r="B3123" s="23"/>
      <c r="D3123" s="23"/>
      <c r="F3123" s="23"/>
      <c r="H3123" s="23"/>
    </row>
    <row r="3124">
      <c r="B3124" s="23"/>
      <c r="D3124" s="23"/>
      <c r="F3124" s="23"/>
      <c r="H3124" s="23"/>
    </row>
    <row r="3125">
      <c r="B3125" s="23"/>
      <c r="D3125" s="23"/>
      <c r="F3125" s="23"/>
      <c r="H3125" s="23"/>
    </row>
    <row r="3126">
      <c r="B3126" s="23"/>
      <c r="D3126" s="23"/>
      <c r="F3126" s="23"/>
      <c r="H3126" s="23"/>
    </row>
    <row r="3127">
      <c r="B3127" s="23"/>
      <c r="D3127" s="23"/>
      <c r="F3127" s="23"/>
      <c r="H3127" s="23"/>
    </row>
    <row r="3128">
      <c r="B3128" s="23"/>
      <c r="D3128" s="23"/>
      <c r="F3128" s="23"/>
      <c r="H3128" s="23"/>
    </row>
    <row r="3129">
      <c r="B3129" s="23"/>
      <c r="D3129" s="23"/>
      <c r="F3129" s="23"/>
      <c r="H3129" s="23"/>
    </row>
    <row r="3130">
      <c r="B3130" s="23"/>
      <c r="D3130" s="23"/>
      <c r="F3130" s="23"/>
      <c r="H3130" s="23"/>
    </row>
    <row r="3131">
      <c r="B3131" s="23"/>
      <c r="D3131" s="23"/>
      <c r="F3131" s="23"/>
      <c r="H3131" s="23"/>
    </row>
    <row r="3132">
      <c r="B3132" s="23"/>
      <c r="D3132" s="23"/>
      <c r="F3132" s="23"/>
      <c r="H3132" s="23"/>
    </row>
    <row r="3133">
      <c r="B3133" s="23"/>
      <c r="D3133" s="23"/>
      <c r="F3133" s="23"/>
      <c r="H3133" s="23"/>
    </row>
    <row r="3134">
      <c r="B3134" s="23"/>
      <c r="D3134" s="23"/>
      <c r="F3134" s="23"/>
      <c r="H3134" s="23"/>
    </row>
    <row r="3135">
      <c r="B3135" s="23"/>
      <c r="D3135" s="23"/>
      <c r="F3135" s="23"/>
      <c r="H3135" s="23"/>
    </row>
    <row r="3136">
      <c r="B3136" s="23"/>
      <c r="D3136" s="23"/>
      <c r="F3136" s="23"/>
      <c r="H3136" s="23"/>
    </row>
    <row r="3137">
      <c r="B3137" s="23"/>
      <c r="D3137" s="23"/>
      <c r="F3137" s="23"/>
      <c r="H3137" s="23"/>
    </row>
    <row r="3138">
      <c r="B3138" s="23"/>
      <c r="D3138" s="23"/>
      <c r="F3138" s="23"/>
      <c r="H3138" s="23"/>
    </row>
    <row r="3139">
      <c r="B3139" s="23"/>
      <c r="D3139" s="23"/>
      <c r="F3139" s="23"/>
      <c r="H3139" s="23"/>
    </row>
    <row r="3140">
      <c r="B3140" s="23"/>
      <c r="D3140" s="23"/>
      <c r="F3140" s="23"/>
      <c r="H3140" s="23"/>
    </row>
    <row r="3141">
      <c r="B3141" s="23"/>
      <c r="D3141" s="23"/>
      <c r="F3141" s="23"/>
      <c r="H3141" s="23"/>
    </row>
    <row r="3142">
      <c r="B3142" s="23"/>
      <c r="D3142" s="23"/>
      <c r="F3142" s="23"/>
      <c r="H3142" s="23"/>
    </row>
    <row r="3143">
      <c r="B3143" s="23"/>
      <c r="D3143" s="23"/>
      <c r="F3143" s="23"/>
      <c r="H3143" s="23"/>
    </row>
    <row r="3144">
      <c r="B3144" s="23"/>
      <c r="D3144" s="23"/>
      <c r="F3144" s="23"/>
      <c r="H3144" s="23"/>
    </row>
    <row r="3145">
      <c r="B3145" s="23"/>
      <c r="D3145" s="23"/>
      <c r="F3145" s="23"/>
      <c r="H3145" s="23"/>
    </row>
    <row r="3146">
      <c r="B3146" s="23"/>
      <c r="D3146" s="23"/>
      <c r="F3146" s="23"/>
      <c r="H3146" s="23"/>
    </row>
    <row r="3147">
      <c r="B3147" s="23"/>
      <c r="D3147" s="23"/>
      <c r="F3147" s="23"/>
      <c r="H3147" s="23"/>
    </row>
    <row r="3148">
      <c r="B3148" s="23"/>
      <c r="D3148" s="23"/>
      <c r="F3148" s="23"/>
      <c r="H3148" s="23"/>
    </row>
    <row r="3149">
      <c r="B3149" s="23"/>
      <c r="D3149" s="23"/>
      <c r="F3149" s="23"/>
      <c r="H3149" s="23"/>
    </row>
    <row r="3150">
      <c r="B3150" s="23"/>
      <c r="D3150" s="23"/>
      <c r="F3150" s="23"/>
      <c r="H3150" s="23"/>
    </row>
    <row r="3151">
      <c r="B3151" s="23"/>
      <c r="D3151" s="23"/>
      <c r="F3151" s="23"/>
      <c r="H3151" s="23"/>
    </row>
    <row r="3152">
      <c r="B3152" s="23"/>
      <c r="D3152" s="23"/>
      <c r="F3152" s="23"/>
      <c r="H3152" s="23"/>
    </row>
    <row r="3153">
      <c r="B3153" s="23"/>
      <c r="D3153" s="23"/>
      <c r="F3153" s="23"/>
      <c r="H3153" s="23"/>
    </row>
    <row r="3154">
      <c r="B3154" s="23"/>
      <c r="D3154" s="23"/>
      <c r="F3154" s="23"/>
      <c r="H3154" s="23"/>
    </row>
    <row r="3155">
      <c r="B3155" s="23"/>
      <c r="D3155" s="23"/>
      <c r="F3155" s="23"/>
      <c r="H3155" s="23"/>
    </row>
    <row r="3156">
      <c r="B3156" s="23"/>
      <c r="D3156" s="23"/>
      <c r="F3156" s="23"/>
      <c r="H3156" s="23"/>
    </row>
    <row r="3157">
      <c r="B3157" s="23"/>
      <c r="D3157" s="23"/>
      <c r="F3157" s="23"/>
      <c r="H3157" s="23"/>
    </row>
    <row r="3158">
      <c r="B3158" s="23"/>
      <c r="D3158" s="23"/>
      <c r="F3158" s="23"/>
      <c r="H3158" s="23"/>
    </row>
    <row r="3159">
      <c r="B3159" s="23"/>
      <c r="D3159" s="23"/>
      <c r="F3159" s="23"/>
      <c r="H3159" s="23"/>
    </row>
    <row r="3160">
      <c r="B3160" s="23"/>
      <c r="D3160" s="23"/>
      <c r="F3160" s="23"/>
      <c r="H3160" s="23"/>
    </row>
    <row r="3161">
      <c r="B3161" s="23"/>
      <c r="D3161" s="23"/>
      <c r="F3161" s="23"/>
      <c r="H3161" s="23"/>
    </row>
    <row r="3162">
      <c r="B3162" s="23"/>
      <c r="D3162" s="23"/>
      <c r="F3162" s="23"/>
      <c r="H3162" s="23"/>
    </row>
    <row r="3163">
      <c r="B3163" s="23"/>
      <c r="D3163" s="23"/>
      <c r="F3163" s="23"/>
      <c r="H3163" s="23"/>
    </row>
    <row r="3164">
      <c r="B3164" s="23"/>
      <c r="D3164" s="23"/>
      <c r="F3164" s="23"/>
      <c r="H3164" s="23"/>
    </row>
    <row r="3165">
      <c r="B3165" s="23"/>
      <c r="D3165" s="23"/>
      <c r="F3165" s="23"/>
      <c r="H3165" s="23"/>
    </row>
    <row r="3166">
      <c r="B3166" s="23"/>
      <c r="D3166" s="23"/>
      <c r="F3166" s="23"/>
      <c r="H3166" s="23"/>
    </row>
    <row r="3167">
      <c r="B3167" s="23"/>
      <c r="D3167" s="23"/>
      <c r="F3167" s="23"/>
      <c r="H3167" s="23"/>
    </row>
    <row r="3168">
      <c r="B3168" s="23"/>
      <c r="D3168" s="23"/>
      <c r="F3168" s="23"/>
      <c r="H3168" s="23"/>
    </row>
    <row r="3169">
      <c r="B3169" s="23"/>
      <c r="D3169" s="23"/>
      <c r="F3169" s="23"/>
      <c r="H3169" s="23"/>
    </row>
    <row r="3170">
      <c r="B3170" s="23"/>
      <c r="D3170" s="23"/>
      <c r="F3170" s="23"/>
      <c r="H3170" s="23"/>
    </row>
    <row r="3171">
      <c r="B3171" s="23"/>
      <c r="D3171" s="23"/>
      <c r="F3171" s="23"/>
      <c r="H3171" s="23"/>
    </row>
    <row r="3172">
      <c r="B3172" s="23"/>
      <c r="D3172" s="23"/>
      <c r="F3172" s="23"/>
      <c r="H3172" s="23"/>
    </row>
    <row r="3173">
      <c r="B3173" s="23"/>
      <c r="D3173" s="23"/>
      <c r="F3173" s="23"/>
      <c r="H3173" s="23"/>
    </row>
    <row r="3174">
      <c r="B3174" s="23"/>
      <c r="D3174" s="23"/>
      <c r="F3174" s="23"/>
      <c r="H3174" s="23"/>
    </row>
    <row r="3175">
      <c r="B3175" s="23"/>
      <c r="D3175" s="23"/>
      <c r="F3175" s="23"/>
      <c r="H3175" s="23"/>
    </row>
    <row r="3176">
      <c r="B3176" s="23"/>
      <c r="D3176" s="23"/>
      <c r="F3176" s="23"/>
      <c r="H3176" s="23"/>
    </row>
    <row r="3177">
      <c r="B3177" s="23"/>
      <c r="D3177" s="23"/>
      <c r="F3177" s="23"/>
      <c r="H3177" s="23"/>
    </row>
    <row r="3178">
      <c r="B3178" s="23"/>
      <c r="D3178" s="23"/>
      <c r="F3178" s="23"/>
      <c r="H3178" s="23"/>
    </row>
    <row r="3179">
      <c r="B3179" s="23"/>
      <c r="D3179" s="23"/>
      <c r="F3179" s="23"/>
      <c r="H3179" s="23"/>
    </row>
    <row r="3180">
      <c r="B3180" s="23"/>
      <c r="D3180" s="23"/>
      <c r="F3180" s="23"/>
      <c r="H3180" s="23"/>
    </row>
    <row r="3181">
      <c r="B3181" s="23"/>
      <c r="D3181" s="23"/>
      <c r="F3181" s="23"/>
      <c r="H3181" s="23"/>
    </row>
    <row r="3182">
      <c r="B3182" s="23"/>
      <c r="D3182" s="23"/>
      <c r="F3182" s="23"/>
      <c r="H3182" s="23"/>
    </row>
    <row r="3183">
      <c r="B3183" s="23"/>
      <c r="D3183" s="23"/>
      <c r="F3183" s="23"/>
      <c r="H3183" s="23"/>
    </row>
    <row r="3184">
      <c r="B3184" s="23"/>
      <c r="D3184" s="23"/>
      <c r="F3184" s="23"/>
      <c r="H3184" s="23"/>
    </row>
    <row r="3185">
      <c r="B3185" s="23"/>
      <c r="D3185" s="23"/>
      <c r="F3185" s="23"/>
      <c r="H3185" s="23"/>
    </row>
    <row r="3186">
      <c r="B3186" s="23"/>
      <c r="D3186" s="23"/>
      <c r="F3186" s="23"/>
      <c r="H3186" s="23"/>
    </row>
    <row r="3187">
      <c r="B3187" s="23"/>
      <c r="D3187" s="23"/>
      <c r="F3187" s="23"/>
      <c r="H3187" s="23"/>
    </row>
    <row r="3188">
      <c r="B3188" s="23"/>
      <c r="D3188" s="23"/>
      <c r="F3188" s="23"/>
      <c r="H3188" s="23"/>
    </row>
    <row r="3189">
      <c r="B3189" s="23"/>
      <c r="D3189" s="23"/>
      <c r="F3189" s="23"/>
      <c r="H3189" s="23"/>
    </row>
    <row r="3190">
      <c r="B3190" s="23"/>
      <c r="D3190" s="23"/>
      <c r="F3190" s="23"/>
      <c r="H3190" s="23"/>
    </row>
    <row r="3191">
      <c r="B3191" s="23"/>
      <c r="D3191" s="23"/>
      <c r="F3191" s="23"/>
      <c r="H3191" s="23"/>
    </row>
    <row r="3192">
      <c r="B3192" s="23"/>
      <c r="D3192" s="23"/>
      <c r="F3192" s="23"/>
      <c r="H3192" s="23"/>
    </row>
    <row r="3193">
      <c r="B3193" s="23"/>
      <c r="D3193" s="23"/>
      <c r="F3193" s="23"/>
      <c r="H3193" s="23"/>
    </row>
    <row r="3194">
      <c r="B3194" s="23"/>
      <c r="D3194" s="23"/>
      <c r="F3194" s="23"/>
      <c r="H3194" s="23"/>
    </row>
    <row r="3195">
      <c r="B3195" s="23"/>
      <c r="D3195" s="23"/>
      <c r="F3195" s="23"/>
      <c r="H3195" s="23"/>
    </row>
    <row r="3196">
      <c r="B3196" s="23"/>
      <c r="D3196" s="23"/>
      <c r="F3196" s="23"/>
      <c r="H3196" s="23"/>
    </row>
    <row r="3197">
      <c r="B3197" s="23"/>
      <c r="D3197" s="23"/>
      <c r="F3197" s="23"/>
      <c r="H3197" s="23"/>
    </row>
    <row r="3198">
      <c r="B3198" s="23"/>
      <c r="D3198" s="23"/>
      <c r="F3198" s="23"/>
      <c r="H3198" s="23"/>
    </row>
    <row r="3199">
      <c r="B3199" s="23"/>
      <c r="D3199" s="23"/>
      <c r="F3199" s="23"/>
      <c r="H3199" s="23"/>
    </row>
    <row r="3200">
      <c r="B3200" s="23"/>
      <c r="D3200" s="23"/>
      <c r="F3200" s="23"/>
      <c r="H3200" s="23"/>
    </row>
    <row r="3201">
      <c r="B3201" s="23"/>
      <c r="D3201" s="23"/>
      <c r="F3201" s="23"/>
      <c r="H3201" s="23"/>
    </row>
    <row r="3202">
      <c r="B3202" s="23"/>
      <c r="D3202" s="23"/>
      <c r="F3202" s="23"/>
      <c r="H3202" s="23"/>
    </row>
    <row r="3203">
      <c r="B3203" s="23"/>
      <c r="D3203" s="23"/>
      <c r="F3203" s="23"/>
      <c r="H3203" s="23"/>
    </row>
    <row r="3204">
      <c r="B3204" s="23"/>
      <c r="D3204" s="23"/>
      <c r="F3204" s="23"/>
      <c r="H3204" s="23"/>
    </row>
    <row r="3205">
      <c r="B3205" s="23"/>
      <c r="D3205" s="23"/>
      <c r="F3205" s="23"/>
      <c r="H3205" s="23"/>
    </row>
    <row r="3206">
      <c r="B3206" s="23"/>
      <c r="D3206" s="23"/>
      <c r="F3206" s="23"/>
      <c r="H3206" s="23"/>
    </row>
    <row r="3207">
      <c r="B3207" s="23"/>
      <c r="D3207" s="23"/>
      <c r="F3207" s="23"/>
      <c r="H3207" s="23"/>
    </row>
    <row r="3208">
      <c r="B3208" s="23"/>
      <c r="D3208" s="23"/>
      <c r="F3208" s="23"/>
      <c r="H3208" s="23"/>
    </row>
    <row r="3209">
      <c r="B3209" s="23"/>
      <c r="D3209" s="23"/>
      <c r="F3209" s="23"/>
      <c r="H3209" s="23"/>
    </row>
    <row r="3210">
      <c r="B3210" s="23"/>
      <c r="D3210" s="23"/>
      <c r="F3210" s="23"/>
      <c r="H3210" s="23"/>
    </row>
    <row r="3211">
      <c r="B3211" s="23"/>
      <c r="D3211" s="23"/>
      <c r="F3211" s="23"/>
      <c r="H3211" s="23"/>
    </row>
    <row r="3212">
      <c r="B3212" s="23"/>
      <c r="D3212" s="23"/>
      <c r="F3212" s="23"/>
      <c r="H3212" s="23"/>
    </row>
    <row r="3213">
      <c r="B3213" s="23"/>
      <c r="D3213" s="23"/>
      <c r="F3213" s="23"/>
      <c r="H3213" s="23"/>
    </row>
    <row r="3214">
      <c r="B3214" s="23"/>
      <c r="D3214" s="23"/>
      <c r="F3214" s="23"/>
      <c r="H3214" s="23"/>
    </row>
    <row r="3215">
      <c r="B3215" s="23"/>
      <c r="D3215" s="23"/>
      <c r="F3215" s="23"/>
      <c r="H3215" s="23"/>
    </row>
    <row r="3216">
      <c r="B3216" s="23"/>
      <c r="D3216" s="23"/>
      <c r="F3216" s="23"/>
      <c r="H3216" s="23"/>
    </row>
    <row r="3217">
      <c r="B3217" s="23"/>
      <c r="D3217" s="23"/>
      <c r="F3217" s="23"/>
      <c r="H3217" s="23"/>
    </row>
    <row r="3218">
      <c r="B3218" s="23"/>
      <c r="D3218" s="23"/>
      <c r="F3218" s="23"/>
      <c r="H3218" s="23"/>
    </row>
    <row r="3219">
      <c r="B3219" s="23"/>
      <c r="D3219" s="23"/>
      <c r="F3219" s="23"/>
      <c r="H3219" s="23"/>
    </row>
    <row r="3220">
      <c r="B3220" s="23"/>
      <c r="D3220" s="23"/>
      <c r="F3220" s="23"/>
      <c r="H3220" s="23"/>
    </row>
    <row r="3221">
      <c r="B3221" s="23"/>
      <c r="D3221" s="23"/>
      <c r="F3221" s="23"/>
      <c r="H3221" s="23"/>
    </row>
    <row r="3222">
      <c r="B3222" s="23"/>
      <c r="D3222" s="23"/>
      <c r="F3222" s="23"/>
      <c r="H3222" s="23"/>
    </row>
    <row r="3223">
      <c r="B3223" s="23"/>
      <c r="D3223" s="23"/>
      <c r="F3223" s="23"/>
      <c r="H3223" s="23"/>
    </row>
    <row r="3224">
      <c r="B3224" s="23"/>
      <c r="D3224" s="23"/>
      <c r="F3224" s="23"/>
      <c r="H3224" s="23"/>
    </row>
    <row r="3225">
      <c r="B3225" s="23"/>
      <c r="D3225" s="23"/>
      <c r="F3225" s="23"/>
      <c r="H3225" s="23"/>
    </row>
    <row r="3226">
      <c r="B3226" s="23"/>
      <c r="D3226" s="23"/>
      <c r="F3226" s="23"/>
      <c r="H3226" s="23"/>
    </row>
    <row r="3227">
      <c r="B3227" s="23"/>
      <c r="D3227" s="23"/>
      <c r="F3227" s="23"/>
      <c r="H3227" s="23"/>
    </row>
    <row r="3228">
      <c r="B3228" s="23"/>
      <c r="D3228" s="23"/>
      <c r="F3228" s="23"/>
      <c r="H3228" s="23"/>
    </row>
    <row r="3229">
      <c r="B3229" s="23"/>
      <c r="D3229" s="23"/>
      <c r="F3229" s="23"/>
      <c r="H3229" s="23"/>
    </row>
    <row r="3230">
      <c r="B3230" s="23"/>
      <c r="D3230" s="23"/>
      <c r="F3230" s="23"/>
      <c r="H3230" s="23"/>
    </row>
    <row r="3231">
      <c r="B3231" s="23"/>
      <c r="D3231" s="23"/>
      <c r="F3231" s="23"/>
      <c r="H3231" s="23"/>
    </row>
    <row r="3232">
      <c r="B3232" s="23"/>
      <c r="D3232" s="23"/>
      <c r="F3232" s="23"/>
      <c r="H3232" s="23"/>
    </row>
    <row r="3233">
      <c r="B3233" s="23"/>
      <c r="D3233" s="23"/>
      <c r="F3233" s="23"/>
      <c r="H3233" s="23"/>
    </row>
    <row r="3234">
      <c r="B3234" s="23"/>
      <c r="D3234" s="23"/>
      <c r="F3234" s="23"/>
      <c r="H3234" s="23"/>
    </row>
    <row r="3235">
      <c r="B3235" s="23"/>
      <c r="D3235" s="23"/>
      <c r="F3235" s="23"/>
      <c r="H3235" s="23"/>
    </row>
    <row r="3236">
      <c r="B3236" s="23"/>
      <c r="D3236" s="23"/>
      <c r="F3236" s="23"/>
      <c r="H3236" s="23"/>
    </row>
    <row r="3237">
      <c r="B3237" s="23"/>
      <c r="D3237" s="23"/>
      <c r="F3237" s="23"/>
      <c r="H3237" s="23"/>
    </row>
    <row r="3238">
      <c r="B3238" s="23"/>
      <c r="D3238" s="23"/>
      <c r="F3238" s="23"/>
      <c r="H3238" s="23"/>
    </row>
    <row r="3239">
      <c r="B3239" s="23"/>
      <c r="D3239" s="23"/>
      <c r="F3239" s="23"/>
      <c r="H3239" s="23"/>
    </row>
    <row r="3240">
      <c r="B3240" s="23"/>
      <c r="D3240" s="23"/>
      <c r="F3240" s="23"/>
      <c r="H3240" s="23"/>
    </row>
    <row r="3241">
      <c r="B3241" s="23"/>
      <c r="D3241" s="23"/>
      <c r="F3241" s="23"/>
      <c r="H3241" s="23"/>
    </row>
    <row r="3242">
      <c r="B3242" s="23"/>
      <c r="D3242" s="23"/>
      <c r="F3242" s="23"/>
      <c r="H3242" s="23"/>
    </row>
    <row r="3243">
      <c r="B3243" s="23"/>
      <c r="D3243" s="23"/>
      <c r="F3243" s="23"/>
      <c r="H3243" s="23"/>
    </row>
    <row r="3244">
      <c r="B3244" s="23"/>
      <c r="D3244" s="23"/>
      <c r="F3244" s="23"/>
      <c r="H3244" s="23"/>
    </row>
    <row r="3245">
      <c r="B3245" s="23"/>
      <c r="D3245" s="23"/>
      <c r="F3245" s="23"/>
      <c r="H3245" s="23"/>
    </row>
    <row r="3246">
      <c r="B3246" s="23"/>
      <c r="D3246" s="23"/>
      <c r="F3246" s="23"/>
      <c r="H3246" s="23"/>
    </row>
    <row r="3247">
      <c r="B3247" s="23"/>
      <c r="D3247" s="23"/>
      <c r="F3247" s="23"/>
      <c r="H3247" s="23"/>
    </row>
    <row r="3248">
      <c r="B3248" s="23"/>
      <c r="D3248" s="23"/>
      <c r="F3248" s="23"/>
      <c r="H3248" s="23"/>
    </row>
    <row r="3249">
      <c r="B3249" s="23"/>
      <c r="D3249" s="23"/>
      <c r="F3249" s="23"/>
      <c r="H3249" s="23"/>
    </row>
    <row r="3250">
      <c r="B3250" s="23"/>
      <c r="D3250" s="23"/>
      <c r="F3250" s="23"/>
      <c r="H3250" s="23"/>
    </row>
    <row r="3251">
      <c r="B3251" s="23"/>
      <c r="D3251" s="23"/>
      <c r="F3251" s="23"/>
      <c r="H3251" s="23"/>
    </row>
    <row r="3252">
      <c r="B3252" s="23"/>
      <c r="D3252" s="23"/>
      <c r="F3252" s="23"/>
      <c r="H3252" s="23"/>
    </row>
    <row r="3253">
      <c r="B3253" s="23"/>
      <c r="D3253" s="23"/>
      <c r="F3253" s="23"/>
      <c r="H3253" s="23"/>
    </row>
    <row r="3254">
      <c r="B3254" s="23"/>
      <c r="D3254" s="23"/>
      <c r="F3254" s="23"/>
      <c r="H3254" s="23"/>
    </row>
    <row r="3255">
      <c r="B3255" s="23"/>
      <c r="D3255" s="23"/>
      <c r="F3255" s="23"/>
      <c r="H3255" s="23"/>
    </row>
    <row r="3256">
      <c r="B3256" s="23"/>
      <c r="D3256" s="23"/>
      <c r="F3256" s="23"/>
      <c r="H3256" s="23"/>
    </row>
    <row r="3257">
      <c r="B3257" s="23"/>
      <c r="D3257" s="23"/>
      <c r="F3257" s="23"/>
      <c r="H3257" s="23"/>
    </row>
    <row r="3258">
      <c r="B3258" s="23"/>
      <c r="D3258" s="23"/>
      <c r="F3258" s="23"/>
      <c r="H3258" s="23"/>
    </row>
    <row r="3259">
      <c r="B3259" s="23"/>
      <c r="D3259" s="23"/>
      <c r="F3259" s="23"/>
      <c r="H3259" s="23"/>
    </row>
    <row r="3260">
      <c r="B3260" s="23"/>
      <c r="D3260" s="23"/>
      <c r="F3260" s="23"/>
      <c r="H3260" s="23"/>
    </row>
    <row r="3261">
      <c r="B3261" s="23"/>
      <c r="D3261" s="23"/>
      <c r="F3261" s="23"/>
      <c r="H3261" s="23"/>
    </row>
    <row r="3262">
      <c r="B3262" s="23"/>
      <c r="D3262" s="23"/>
      <c r="F3262" s="23"/>
      <c r="H3262" s="23"/>
    </row>
    <row r="3263">
      <c r="B3263" s="23"/>
      <c r="D3263" s="23"/>
      <c r="F3263" s="23"/>
      <c r="H3263" s="23"/>
    </row>
    <row r="3264">
      <c r="B3264" s="23"/>
      <c r="D3264" s="23"/>
      <c r="F3264" s="23"/>
      <c r="H3264" s="23"/>
    </row>
    <row r="3265">
      <c r="B3265" s="23"/>
      <c r="D3265" s="23"/>
      <c r="F3265" s="23"/>
      <c r="H3265" s="23"/>
    </row>
    <row r="3266">
      <c r="B3266" s="23"/>
      <c r="D3266" s="23"/>
      <c r="F3266" s="23"/>
      <c r="H3266" s="23"/>
    </row>
    <row r="3267">
      <c r="B3267" s="23"/>
      <c r="D3267" s="23"/>
      <c r="F3267" s="23"/>
      <c r="H3267" s="23"/>
    </row>
    <row r="3268">
      <c r="B3268" s="23"/>
      <c r="D3268" s="23"/>
      <c r="F3268" s="23"/>
      <c r="H3268" s="23"/>
    </row>
    <row r="3269">
      <c r="B3269" s="23"/>
      <c r="D3269" s="23"/>
      <c r="F3269" s="23"/>
      <c r="H3269" s="23"/>
    </row>
    <row r="3270">
      <c r="B3270" s="23"/>
      <c r="D3270" s="23"/>
      <c r="F3270" s="23"/>
      <c r="H3270" s="23"/>
    </row>
    <row r="3271">
      <c r="B3271" s="23"/>
      <c r="D3271" s="23"/>
      <c r="F3271" s="23"/>
      <c r="H3271" s="23"/>
    </row>
    <row r="3272">
      <c r="B3272" s="23"/>
      <c r="D3272" s="23"/>
      <c r="F3272" s="23"/>
      <c r="H3272" s="23"/>
    </row>
    <row r="3273">
      <c r="B3273" s="23"/>
      <c r="D3273" s="23"/>
      <c r="F3273" s="23"/>
      <c r="H3273" s="23"/>
    </row>
    <row r="3274">
      <c r="B3274" s="23"/>
      <c r="D3274" s="23"/>
      <c r="F3274" s="23"/>
      <c r="H3274" s="23"/>
    </row>
    <row r="3275">
      <c r="B3275" s="23"/>
      <c r="D3275" s="23"/>
      <c r="F3275" s="23"/>
      <c r="H3275" s="23"/>
    </row>
    <row r="3276">
      <c r="B3276" s="23"/>
      <c r="D3276" s="23"/>
      <c r="F3276" s="23"/>
      <c r="H3276" s="23"/>
    </row>
    <row r="3277">
      <c r="B3277" s="23"/>
      <c r="D3277" s="23"/>
      <c r="F3277" s="23"/>
      <c r="H3277" s="23"/>
    </row>
    <row r="3278">
      <c r="B3278" s="23"/>
      <c r="D3278" s="23"/>
      <c r="F3278" s="23"/>
      <c r="H3278" s="23"/>
    </row>
    <row r="3279">
      <c r="B3279" s="23"/>
      <c r="D3279" s="23"/>
      <c r="F3279" s="23"/>
      <c r="H3279" s="23"/>
    </row>
    <row r="3280">
      <c r="B3280" s="23"/>
      <c r="D3280" s="23"/>
      <c r="F3280" s="23"/>
      <c r="H3280" s="23"/>
    </row>
    <row r="3281">
      <c r="B3281" s="23"/>
      <c r="D3281" s="23"/>
      <c r="F3281" s="23"/>
      <c r="H3281" s="23"/>
    </row>
    <row r="3282">
      <c r="B3282" s="23"/>
      <c r="D3282" s="23"/>
      <c r="F3282" s="23"/>
      <c r="H3282" s="23"/>
    </row>
    <row r="3283">
      <c r="B3283" s="23"/>
      <c r="D3283" s="23"/>
      <c r="F3283" s="23"/>
      <c r="H3283" s="23"/>
    </row>
    <row r="3284">
      <c r="B3284" s="23"/>
      <c r="D3284" s="23"/>
      <c r="F3284" s="23"/>
      <c r="H3284" s="23"/>
    </row>
    <row r="3285">
      <c r="B3285" s="23"/>
      <c r="D3285" s="23"/>
      <c r="F3285" s="23"/>
      <c r="H3285" s="23"/>
    </row>
    <row r="3286">
      <c r="B3286" s="23"/>
      <c r="D3286" s="23"/>
      <c r="F3286" s="23"/>
      <c r="H3286" s="23"/>
    </row>
    <row r="3287">
      <c r="B3287" s="23"/>
      <c r="D3287" s="23"/>
      <c r="F3287" s="23"/>
      <c r="H3287" s="23"/>
    </row>
    <row r="3288">
      <c r="B3288" s="23"/>
      <c r="D3288" s="23"/>
      <c r="F3288" s="23"/>
      <c r="H3288" s="23"/>
    </row>
    <row r="3289">
      <c r="B3289" s="23"/>
      <c r="D3289" s="23"/>
      <c r="F3289" s="23"/>
      <c r="H3289" s="23"/>
    </row>
    <row r="3290">
      <c r="B3290" s="23"/>
      <c r="D3290" s="23"/>
      <c r="F3290" s="23"/>
      <c r="H3290" s="23"/>
    </row>
    <row r="3291">
      <c r="B3291" s="23"/>
      <c r="D3291" s="23"/>
      <c r="F3291" s="23"/>
      <c r="H3291" s="23"/>
    </row>
    <row r="3292">
      <c r="B3292" s="23"/>
      <c r="D3292" s="23"/>
      <c r="F3292" s="23"/>
      <c r="H3292" s="23"/>
    </row>
    <row r="3293">
      <c r="B3293" s="23"/>
      <c r="D3293" s="23"/>
      <c r="F3293" s="23"/>
      <c r="H3293" s="23"/>
    </row>
    <row r="3294">
      <c r="B3294" s="23"/>
      <c r="D3294" s="23"/>
      <c r="F3294" s="23"/>
      <c r="H3294" s="23"/>
    </row>
    <row r="3295">
      <c r="B3295" s="23"/>
      <c r="D3295" s="23"/>
      <c r="F3295" s="23"/>
      <c r="H3295" s="23"/>
    </row>
    <row r="3296">
      <c r="B3296" s="23"/>
      <c r="D3296" s="23"/>
      <c r="F3296" s="23"/>
      <c r="H3296" s="23"/>
    </row>
    <row r="3297">
      <c r="B3297" s="23"/>
      <c r="D3297" s="23"/>
      <c r="F3297" s="23"/>
      <c r="H3297" s="23"/>
    </row>
    <row r="3298">
      <c r="B3298" s="23"/>
      <c r="D3298" s="23"/>
      <c r="F3298" s="23"/>
      <c r="H3298" s="23"/>
    </row>
    <row r="3299">
      <c r="B3299" s="23"/>
      <c r="D3299" s="23"/>
      <c r="F3299" s="23"/>
      <c r="H3299" s="23"/>
    </row>
    <row r="3300">
      <c r="B3300" s="23"/>
      <c r="D3300" s="23"/>
      <c r="F3300" s="23"/>
      <c r="H3300" s="23"/>
    </row>
    <row r="3301">
      <c r="B3301" s="23"/>
      <c r="D3301" s="23"/>
      <c r="F3301" s="23"/>
      <c r="H3301" s="23"/>
    </row>
    <row r="3302">
      <c r="B3302" s="23"/>
      <c r="D3302" s="23"/>
      <c r="F3302" s="23"/>
      <c r="H3302" s="23"/>
    </row>
    <row r="3303">
      <c r="B3303" s="23"/>
      <c r="D3303" s="23"/>
      <c r="F3303" s="23"/>
      <c r="H3303" s="23"/>
    </row>
    <row r="3304">
      <c r="B3304" s="23"/>
      <c r="D3304" s="23"/>
      <c r="F3304" s="23"/>
      <c r="H3304" s="23"/>
    </row>
    <row r="3305">
      <c r="B3305" s="23"/>
      <c r="D3305" s="23"/>
      <c r="F3305" s="23"/>
      <c r="H3305" s="23"/>
    </row>
    <row r="3306">
      <c r="B3306" s="23"/>
      <c r="D3306" s="23"/>
      <c r="F3306" s="23"/>
      <c r="H3306" s="23"/>
    </row>
    <row r="3307">
      <c r="B3307" s="23"/>
      <c r="D3307" s="23"/>
      <c r="F3307" s="23"/>
      <c r="H3307" s="23"/>
    </row>
    <row r="3308">
      <c r="B3308" s="23"/>
      <c r="D3308" s="23"/>
      <c r="F3308" s="23"/>
      <c r="H3308" s="23"/>
    </row>
    <row r="3309">
      <c r="B3309" s="23"/>
      <c r="D3309" s="23"/>
      <c r="F3309" s="23"/>
      <c r="H3309" s="23"/>
    </row>
    <row r="3310">
      <c r="B3310" s="23"/>
      <c r="D3310" s="23"/>
      <c r="F3310" s="23"/>
      <c r="H3310" s="23"/>
    </row>
    <row r="3311">
      <c r="B3311" s="23"/>
      <c r="D3311" s="23"/>
      <c r="F3311" s="23"/>
      <c r="H3311" s="23"/>
    </row>
    <row r="3312">
      <c r="B3312" s="23"/>
      <c r="D3312" s="23"/>
      <c r="F3312" s="23"/>
      <c r="H3312" s="23"/>
    </row>
    <row r="3313">
      <c r="B3313" s="23"/>
      <c r="D3313" s="23"/>
      <c r="F3313" s="23"/>
      <c r="H3313" s="23"/>
    </row>
    <row r="3314">
      <c r="B3314" s="23"/>
      <c r="D3314" s="23"/>
      <c r="F3314" s="23"/>
      <c r="H3314" s="23"/>
    </row>
    <row r="3315">
      <c r="B3315" s="23"/>
      <c r="D3315" s="23"/>
      <c r="F3315" s="23"/>
      <c r="H3315" s="23"/>
    </row>
    <row r="3316">
      <c r="B3316" s="23"/>
      <c r="D3316" s="23"/>
      <c r="F3316" s="23"/>
      <c r="H3316" s="23"/>
    </row>
    <row r="3317">
      <c r="B3317" s="23"/>
      <c r="D3317" s="23"/>
      <c r="F3317" s="23"/>
      <c r="H3317" s="23"/>
    </row>
    <row r="3318">
      <c r="B3318" s="23"/>
      <c r="D3318" s="23"/>
      <c r="F3318" s="23"/>
      <c r="H3318" s="23"/>
    </row>
    <row r="3319">
      <c r="B3319" s="23"/>
      <c r="D3319" s="23"/>
      <c r="F3319" s="23"/>
      <c r="H3319" s="23"/>
    </row>
    <row r="3320">
      <c r="B3320" s="23"/>
      <c r="D3320" s="23"/>
      <c r="F3320" s="23"/>
      <c r="H3320" s="23"/>
    </row>
    <row r="3321">
      <c r="B3321" s="23"/>
      <c r="D3321" s="23"/>
      <c r="F3321" s="23"/>
      <c r="H3321" s="23"/>
    </row>
    <row r="3322">
      <c r="B3322" s="23"/>
      <c r="D3322" s="23"/>
      <c r="F3322" s="23"/>
      <c r="H3322" s="23"/>
    </row>
    <row r="3323">
      <c r="B3323" s="23"/>
      <c r="D3323" s="23"/>
      <c r="F3323" s="23"/>
      <c r="H3323" s="23"/>
    </row>
    <row r="3324">
      <c r="B3324" s="23"/>
      <c r="D3324" s="23"/>
      <c r="F3324" s="23"/>
      <c r="H3324" s="23"/>
    </row>
    <row r="3325">
      <c r="B3325" s="23"/>
      <c r="D3325" s="23"/>
      <c r="F3325" s="23"/>
      <c r="H3325" s="23"/>
    </row>
    <row r="3326">
      <c r="B3326" s="23"/>
      <c r="D3326" s="23"/>
      <c r="F3326" s="23"/>
      <c r="H3326" s="23"/>
    </row>
    <row r="3327">
      <c r="B3327" s="23"/>
      <c r="D3327" s="23"/>
      <c r="F3327" s="23"/>
      <c r="H3327" s="23"/>
    </row>
    <row r="3328">
      <c r="B3328" s="23"/>
      <c r="D3328" s="23"/>
      <c r="F3328" s="23"/>
      <c r="H3328" s="23"/>
    </row>
    <row r="3329">
      <c r="B3329" s="23"/>
      <c r="D3329" s="23"/>
      <c r="F3329" s="23"/>
      <c r="H3329" s="23"/>
    </row>
    <row r="3330">
      <c r="B3330" s="23"/>
      <c r="D3330" s="23"/>
      <c r="F3330" s="23"/>
      <c r="H3330" s="23"/>
    </row>
    <row r="3331">
      <c r="B3331" s="23"/>
      <c r="D3331" s="23"/>
      <c r="F3331" s="23"/>
      <c r="H3331" s="23"/>
    </row>
    <row r="3332">
      <c r="B3332" s="23"/>
      <c r="D3332" s="23"/>
      <c r="F3332" s="23"/>
      <c r="H3332" s="23"/>
    </row>
    <row r="3333">
      <c r="B3333" s="23"/>
      <c r="D3333" s="23"/>
      <c r="F3333" s="23"/>
      <c r="H3333" s="23"/>
    </row>
    <row r="3334">
      <c r="B3334" s="23"/>
      <c r="D3334" s="23"/>
      <c r="F3334" s="23"/>
      <c r="H3334" s="23"/>
    </row>
    <row r="3335">
      <c r="B3335" s="23"/>
      <c r="D3335" s="23"/>
      <c r="F3335" s="23"/>
      <c r="H3335" s="23"/>
    </row>
    <row r="3336">
      <c r="B3336" s="23"/>
      <c r="D3336" s="23"/>
      <c r="F3336" s="23"/>
      <c r="H3336" s="23"/>
    </row>
    <row r="3337">
      <c r="B3337" s="23"/>
      <c r="D3337" s="23"/>
      <c r="F3337" s="23"/>
      <c r="H3337" s="23"/>
    </row>
    <row r="3338">
      <c r="B3338" s="23"/>
      <c r="D3338" s="23"/>
      <c r="F3338" s="23"/>
      <c r="H3338" s="23"/>
    </row>
    <row r="3339">
      <c r="B3339" s="23"/>
      <c r="D3339" s="23"/>
      <c r="F3339" s="23"/>
      <c r="H3339" s="23"/>
    </row>
    <row r="3340">
      <c r="B3340" s="23"/>
      <c r="D3340" s="23"/>
      <c r="F3340" s="23"/>
      <c r="H3340" s="23"/>
    </row>
    <row r="3341">
      <c r="B3341" s="23"/>
      <c r="D3341" s="23"/>
      <c r="F3341" s="23"/>
      <c r="H3341" s="23"/>
    </row>
    <row r="3342">
      <c r="B3342" s="23"/>
      <c r="D3342" s="23"/>
      <c r="F3342" s="23"/>
      <c r="H3342" s="23"/>
    </row>
    <row r="3343">
      <c r="B3343" s="23"/>
      <c r="D3343" s="23"/>
      <c r="F3343" s="23"/>
      <c r="H3343" s="23"/>
    </row>
    <row r="3344">
      <c r="B3344" s="23"/>
      <c r="D3344" s="23"/>
      <c r="F3344" s="23"/>
      <c r="H3344" s="23"/>
    </row>
    <row r="3345">
      <c r="B3345" s="23"/>
      <c r="D3345" s="23"/>
      <c r="F3345" s="23"/>
      <c r="H3345" s="23"/>
    </row>
    <row r="3346">
      <c r="B3346" s="23"/>
      <c r="D3346" s="23"/>
      <c r="F3346" s="23"/>
      <c r="H3346" s="23"/>
    </row>
    <row r="3347">
      <c r="B3347" s="23"/>
      <c r="D3347" s="23"/>
      <c r="F3347" s="23"/>
      <c r="H3347" s="23"/>
    </row>
    <row r="3348">
      <c r="B3348" s="23"/>
      <c r="D3348" s="23"/>
      <c r="F3348" s="23"/>
      <c r="H3348" s="23"/>
    </row>
    <row r="3349">
      <c r="B3349" s="23"/>
      <c r="D3349" s="23"/>
      <c r="F3349" s="23"/>
      <c r="H3349" s="23"/>
    </row>
    <row r="3350">
      <c r="B3350" s="23"/>
      <c r="D3350" s="23"/>
      <c r="F3350" s="23"/>
      <c r="H3350" s="23"/>
    </row>
    <row r="3351">
      <c r="B3351" s="23"/>
      <c r="D3351" s="23"/>
      <c r="F3351" s="23"/>
      <c r="H3351" s="23"/>
    </row>
    <row r="3352">
      <c r="B3352" s="23"/>
      <c r="D3352" s="23"/>
      <c r="F3352" s="23"/>
      <c r="H3352" s="23"/>
    </row>
    <row r="3353">
      <c r="B3353" s="23"/>
      <c r="D3353" s="23"/>
      <c r="F3353" s="23"/>
      <c r="H3353" s="23"/>
    </row>
    <row r="3354">
      <c r="B3354" s="23"/>
      <c r="D3354" s="23"/>
      <c r="F3354" s="23"/>
      <c r="H3354" s="23"/>
    </row>
    <row r="3355">
      <c r="B3355" s="23"/>
      <c r="D3355" s="23"/>
      <c r="F3355" s="23"/>
      <c r="H3355" s="23"/>
    </row>
    <row r="3356">
      <c r="B3356" s="23"/>
      <c r="D3356" s="23"/>
      <c r="F3356" s="23"/>
      <c r="H3356" s="23"/>
    </row>
    <row r="3357">
      <c r="B3357" s="23"/>
      <c r="D3357" s="23"/>
      <c r="F3357" s="23"/>
      <c r="H3357" s="23"/>
    </row>
    <row r="3358">
      <c r="B3358" s="23"/>
      <c r="D3358" s="23"/>
      <c r="F3358" s="23"/>
      <c r="H3358" s="23"/>
    </row>
    <row r="3359">
      <c r="B3359" s="23"/>
      <c r="D3359" s="23"/>
      <c r="F3359" s="23"/>
      <c r="H3359" s="23"/>
    </row>
    <row r="3360">
      <c r="B3360" s="23"/>
      <c r="D3360" s="23"/>
      <c r="F3360" s="23"/>
      <c r="H3360" s="23"/>
    </row>
    <row r="3361">
      <c r="B3361" s="23"/>
      <c r="D3361" s="23"/>
      <c r="F3361" s="23"/>
      <c r="H3361" s="23"/>
    </row>
    <row r="3362">
      <c r="B3362" s="23"/>
      <c r="D3362" s="23"/>
      <c r="F3362" s="23"/>
      <c r="H3362" s="23"/>
    </row>
    <row r="3363">
      <c r="B3363" s="23"/>
      <c r="D3363" s="23"/>
      <c r="F3363" s="23"/>
      <c r="H3363" s="23"/>
    </row>
    <row r="3364">
      <c r="B3364" s="23"/>
      <c r="D3364" s="23"/>
      <c r="F3364" s="23"/>
      <c r="H3364" s="23"/>
    </row>
    <row r="3365">
      <c r="B3365" s="23"/>
      <c r="D3365" s="23"/>
      <c r="F3365" s="23"/>
      <c r="H3365" s="23"/>
    </row>
    <row r="3366">
      <c r="B3366" s="23"/>
      <c r="D3366" s="23"/>
      <c r="F3366" s="23"/>
      <c r="H3366" s="23"/>
    </row>
    <row r="3367">
      <c r="B3367" s="23"/>
      <c r="D3367" s="23"/>
      <c r="F3367" s="23"/>
      <c r="H3367" s="23"/>
    </row>
    <row r="3368">
      <c r="B3368" s="23"/>
      <c r="D3368" s="23"/>
      <c r="F3368" s="23"/>
      <c r="H3368" s="23"/>
    </row>
    <row r="3369">
      <c r="B3369" s="23"/>
      <c r="D3369" s="23"/>
      <c r="F3369" s="23"/>
      <c r="H3369" s="23"/>
    </row>
    <row r="3370">
      <c r="B3370" s="23"/>
      <c r="D3370" s="23"/>
      <c r="F3370" s="23"/>
      <c r="H3370" s="23"/>
    </row>
  </sheetData>
  <customSheetViews>
    <customSheetView guid="{5EA2F1EB-572B-4B07-BDA7-4097B69F3A23}" filter="1" showAutoFilter="1">
      <autoFilter ref="$A$1:$H$2346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14"/>
    <col customWidth="1" min="2" max="2" width="6.86"/>
    <col customWidth="1" min="4" max="5" width="11.29"/>
    <col customWidth="1" min="6" max="6" width="9.86"/>
  </cols>
  <sheetData>
    <row r="1">
      <c r="A1" s="1" t="s">
        <v>0</v>
      </c>
      <c r="B1" s="1" t="s">
        <v>2</v>
      </c>
      <c r="C1" s="5"/>
      <c r="D1" s="11" t="str">
        <f>IFERROR(__xludf.DUMMYFUNCTION("QUERY({QUERY(INDIRECT(""LNAME, A-Z M""&amp;RIGHT(A2,2)&amp;""!A2:E""),""select A,B,E,""&amp;B2&amp;"" label ""&amp;B2&amp;""''"");QUERY(INDIRECT(""LNAME, A-Z M""&amp;RIGHT(A3,2)&amp;""!A2:E""),""select A,B,E,""&amp;B3&amp;"" label ""&amp;B3&amp;""''"");QUERY(INDIRECT(""LNAME, A-Z M""&amp;RIGHT(A4,2)&amp;""!A2:"&amp;"E""),""select A,B,D,""&amp;B4&amp;"" label ""&amp;B4&amp;""''"");QUERY(INDIRECT(""LNAME, A-Z M""&amp;RIGHT(A5,2)&amp;""!A2:F""),""select A,B,F,""&amp;B5&amp;"" label ""&amp;B5&amp;""''"")},""select Col1,Col2,Col3*Col4 where Col1&lt;&gt;''"",0)"),"")</f>
        <v/>
      </c>
      <c r="E1" s="11" t="str">
        <f>IFERROR(__xludf.DUMMYFUNCTION("""COMPUTED_VALUE"""),"")</f>
        <v/>
      </c>
      <c r="F1" s="11" t="str">
        <f>IFERROR(__xludf.DUMMYFUNCTION("""COMPUTED_VALUE"""),"product()")</f>
        <v>product()</v>
      </c>
    </row>
    <row r="2">
      <c r="A2" s="15">
        <v>2017.0</v>
      </c>
      <c r="B2" s="17">
        <v>0.15</v>
      </c>
      <c r="D2" t="str">
        <f>IFERROR(__xludf.DUMMYFUNCTION("""COMPUTED_VALUE"""),"Abbrederis")</f>
        <v>Abbrederis</v>
      </c>
      <c r="E2" t="str">
        <f>IFERROR(__xludf.DUMMYFUNCTION("""COMPUTED_VALUE"""),"Jared")</f>
        <v>Jared</v>
      </c>
      <c r="F2">
        <f>IFERROR(__xludf.DUMMYFUNCTION("""COMPUTED_VALUE"""),10.2)</f>
        <v>10.2</v>
      </c>
    </row>
    <row r="3">
      <c r="A3" s="15">
        <v>2018.0</v>
      </c>
      <c r="B3" s="17">
        <v>0.2</v>
      </c>
      <c r="D3" t="str">
        <f>IFERROR(__xludf.DUMMYFUNCTION("""COMPUTED_VALUE"""),"Abdesmad")</f>
        <v>Abdesmad</v>
      </c>
      <c r="E3" t="str">
        <f>IFERROR(__xludf.DUMMYFUNCTION("""COMPUTED_VALUE"""),"Mehdi")</f>
        <v>Mehdi</v>
      </c>
      <c r="F3">
        <f>IFERROR(__xludf.DUMMYFUNCTION("""COMPUTED_VALUE"""),9.0)</f>
        <v>9</v>
      </c>
    </row>
    <row r="4">
      <c r="A4" s="15">
        <v>2019.0</v>
      </c>
      <c r="B4" s="17">
        <v>0.25</v>
      </c>
      <c r="D4" t="str">
        <f>IFERROR(__xludf.DUMMYFUNCTION("""COMPUTED_VALUE"""),"Abdul-Quddus")</f>
        <v>Abdul-Quddus</v>
      </c>
      <c r="E4" t="str">
        <f>IFERROR(__xludf.DUMMYFUNCTION("""COMPUTED_VALUE"""),"Isa")</f>
        <v>Isa</v>
      </c>
      <c r="F4">
        <f>IFERROR(__xludf.DUMMYFUNCTION("""COMPUTED_VALUE"""),11.4)</f>
        <v>11.4</v>
      </c>
    </row>
    <row r="5">
      <c r="A5" s="15">
        <v>2020.0</v>
      </c>
      <c r="B5" s="17">
        <v>0.4</v>
      </c>
      <c r="D5" t="str">
        <f>IFERROR(__xludf.DUMMYFUNCTION("""COMPUTED_VALUE"""),"Abdullah")</f>
        <v>Abdullah</v>
      </c>
      <c r="E5" t="str">
        <f>IFERROR(__xludf.DUMMYFUNCTION("""COMPUTED_VALUE"""),"Ameer")</f>
        <v>Ameer</v>
      </c>
      <c r="F5">
        <f>IFERROR(__xludf.DUMMYFUNCTION("""COMPUTED_VALUE"""),11.7)</f>
        <v>11.7</v>
      </c>
    </row>
    <row r="6">
      <c r="D6" t="str">
        <f>IFERROR(__xludf.DUMMYFUNCTION("""COMPUTED_VALUE"""),"Aboushi")</f>
        <v>Aboushi</v>
      </c>
      <c r="E6" t="str">
        <f>IFERROR(__xludf.DUMMYFUNCTION("""COMPUTED_VALUE"""),"Oday")</f>
        <v>Oday</v>
      </c>
      <c r="F6">
        <f>IFERROR(__xludf.DUMMYFUNCTION("""COMPUTED_VALUE"""),10.2)</f>
        <v>10.2</v>
      </c>
    </row>
    <row r="7">
      <c r="D7" t="str">
        <f>IFERROR(__xludf.DUMMYFUNCTION("""COMPUTED_VALUE"""),"Acho")</f>
        <v>Acho</v>
      </c>
      <c r="E7" t="str">
        <f>IFERROR(__xludf.DUMMYFUNCTION("""COMPUTED_VALUE"""),"Sam")</f>
        <v>Sam</v>
      </c>
      <c r="F7">
        <f>IFERROR(__xludf.DUMMYFUNCTION("""COMPUTED_VALUE"""),11.25)</f>
        <v>11.25</v>
      </c>
    </row>
    <row r="8">
      <c r="D8" t="str">
        <f>IFERROR(__xludf.DUMMYFUNCTION("""COMPUTED_VALUE"""),"Acker")</f>
        <v>Acker</v>
      </c>
      <c r="E8" t="str">
        <f>IFERROR(__xludf.DUMMYFUNCTION("""COMPUTED_VALUE"""),"Kenneth")</f>
        <v>Kenneth</v>
      </c>
      <c r="F8">
        <f>IFERROR(__xludf.DUMMYFUNCTION("""COMPUTED_VALUE"""),11.25)</f>
        <v>11.25</v>
      </c>
    </row>
    <row r="9">
      <c r="D9" t="str">
        <f>IFERROR(__xludf.DUMMYFUNCTION("""COMPUTED_VALUE"""),"Adams")</f>
        <v>Adams</v>
      </c>
      <c r="E9" t="str">
        <f>IFERROR(__xludf.DUMMYFUNCTION("""COMPUTED_VALUE"""),"Davante")</f>
        <v>Davante</v>
      </c>
      <c r="F9">
        <f>IFERROR(__xludf.DUMMYFUNCTION("""COMPUTED_VALUE"""),11.25)</f>
        <v>11.25</v>
      </c>
    </row>
    <row r="10">
      <c r="D10" t="str">
        <f>IFERROR(__xludf.DUMMYFUNCTION("""COMPUTED_VALUE"""),"Adams")</f>
        <v>Adams</v>
      </c>
      <c r="E10" t="str">
        <f>IFERROR(__xludf.DUMMYFUNCTION("""COMPUTED_VALUE"""),"Jeff")</f>
        <v>Jeff</v>
      </c>
      <c r="F10">
        <f>IFERROR(__xludf.DUMMYFUNCTION("""COMPUTED_VALUE"""),10.95)</f>
        <v>10.95</v>
      </c>
    </row>
    <row r="11">
      <c r="D11" t="str">
        <f>IFERROR(__xludf.DUMMYFUNCTION("""COMPUTED_VALUE"""),"Adams")</f>
        <v>Adams</v>
      </c>
      <c r="E11" t="str">
        <f>IFERROR(__xludf.DUMMYFUNCTION("""COMPUTED_VALUE"""),"Jerell")</f>
        <v>Jerell</v>
      </c>
      <c r="F11">
        <f>IFERROR(__xludf.DUMMYFUNCTION("""COMPUTED_VALUE"""),9.9)</f>
        <v>9.9</v>
      </c>
    </row>
    <row r="12">
      <c r="D12" t="str">
        <f>IFERROR(__xludf.DUMMYFUNCTION("""COMPUTED_VALUE"""),"Adams")</f>
        <v>Adams</v>
      </c>
      <c r="E12" t="str">
        <f>IFERROR(__xludf.DUMMYFUNCTION("""COMPUTED_VALUE"""),"Mike")</f>
        <v>Mike</v>
      </c>
      <c r="F12">
        <f>IFERROR(__xludf.DUMMYFUNCTION("""COMPUTED_VALUE"""),11.7)</f>
        <v>11.7</v>
      </c>
    </row>
    <row r="13">
      <c r="D13" t="str">
        <f>IFERROR(__xludf.DUMMYFUNCTION("""COMPUTED_VALUE"""),"Addae")</f>
        <v>Addae</v>
      </c>
      <c r="E13" t="str">
        <f>IFERROR(__xludf.DUMMYFUNCTION("""COMPUTED_VALUE"""),"Jahleel")</f>
        <v>Jahleel</v>
      </c>
      <c r="F13">
        <f>IFERROR(__xludf.DUMMYFUNCTION("""COMPUTED_VALUE"""),11.1)</f>
        <v>11.1</v>
      </c>
    </row>
    <row r="14">
      <c r="D14" t="str">
        <f>IFERROR(__xludf.DUMMYFUNCTION("""COMPUTED_VALUE"""),"Addison")</f>
        <v>Addison</v>
      </c>
      <c r="E14" t="str">
        <f>IFERROR(__xludf.DUMMYFUNCTION("""COMPUTED_VALUE"""),"Bralon")</f>
        <v>Bralon</v>
      </c>
      <c r="F14">
        <f>IFERROR(__xludf.DUMMYFUNCTION("""COMPUTED_VALUE"""),9.0)</f>
        <v>9</v>
      </c>
    </row>
    <row r="15">
      <c r="D15" t="str">
        <f>IFERROR(__xludf.DUMMYFUNCTION("""COMPUTED_VALUE"""),"Addison")</f>
        <v>Addison</v>
      </c>
      <c r="E15" t="str">
        <f>IFERROR(__xludf.DUMMYFUNCTION("""COMPUTED_VALUE"""),"Mario")</f>
        <v>Mario</v>
      </c>
      <c r="F15">
        <f>IFERROR(__xludf.DUMMYFUNCTION("""COMPUTED_VALUE"""),11.4)</f>
        <v>11.4</v>
      </c>
    </row>
    <row r="16">
      <c r="D16" t="str">
        <f>IFERROR(__xludf.DUMMYFUNCTION("""COMPUTED_VALUE"""),"Adeyemi")</f>
        <v>Adeyemi</v>
      </c>
      <c r="E16" t="str">
        <f>IFERROR(__xludf.DUMMYFUNCTION("""COMPUTED_VALUE"""),"Kenton")</f>
        <v>Kenton</v>
      </c>
      <c r="F16">
        <f>IFERROR(__xludf.DUMMYFUNCTION("""COMPUTED_VALUE"""),9.0)</f>
        <v>9</v>
      </c>
    </row>
    <row r="17">
      <c r="D17" t="str">
        <f>IFERROR(__xludf.DUMMYFUNCTION("""COMPUTED_VALUE"""),"Adjei-Barimah")</f>
        <v>Adjei-Barimah</v>
      </c>
      <c r="E17" t="str">
        <f>IFERROR(__xludf.DUMMYFUNCTION("""COMPUTED_VALUE"""),"Jude")</f>
        <v>Jude</v>
      </c>
      <c r="F17">
        <f>IFERROR(__xludf.DUMMYFUNCTION("""COMPUTED_VALUE"""),10.35)</f>
        <v>10.35</v>
      </c>
    </row>
    <row r="18">
      <c r="D18" t="str">
        <f>IFERROR(__xludf.DUMMYFUNCTION("""COMPUTED_VALUE"""),"Agholor")</f>
        <v>Agholor</v>
      </c>
      <c r="E18" t="str">
        <f>IFERROR(__xludf.DUMMYFUNCTION("""COMPUTED_VALUE"""),"Nelson")</f>
        <v>Nelson</v>
      </c>
      <c r="F18">
        <f>IFERROR(__xludf.DUMMYFUNCTION("""COMPUTED_VALUE"""),10.799999999999999)</f>
        <v>10.8</v>
      </c>
    </row>
    <row r="19">
      <c r="D19" t="str">
        <f>IFERROR(__xludf.DUMMYFUNCTION("""COMPUTED_VALUE"""),"Aguayo")</f>
        <v>Aguayo</v>
      </c>
      <c r="E19" t="str">
        <f>IFERROR(__xludf.DUMMYFUNCTION("""COMPUTED_VALUE"""),"Roberto")</f>
        <v>Roberto</v>
      </c>
      <c r="F19">
        <f>IFERROR(__xludf.DUMMYFUNCTION("""COMPUTED_VALUE"""),11.85)</f>
        <v>11.85</v>
      </c>
    </row>
    <row r="20">
      <c r="D20" t="str">
        <f>IFERROR(__xludf.DUMMYFUNCTION("""COMPUTED_VALUE"""),"Ahmed")</f>
        <v>Ahmed</v>
      </c>
      <c r="E20" t="str">
        <f>IFERROR(__xludf.DUMMYFUNCTION("""COMPUTED_VALUE"""),"Shahbaz")</f>
        <v>Shahbaz</v>
      </c>
      <c r="F20">
        <f>IFERROR(__xludf.DUMMYFUNCTION("""COMPUTED_VALUE"""),9.15)</f>
        <v>9.15</v>
      </c>
    </row>
    <row r="21">
      <c r="D21" t="str">
        <f>IFERROR(__xludf.DUMMYFUNCTION("""COMPUTED_VALUE"""),"Aiken")</f>
        <v>Aiken</v>
      </c>
      <c r="E21" t="str">
        <f>IFERROR(__xludf.DUMMYFUNCTION("""COMPUTED_VALUE"""),"Kamar")</f>
        <v>Kamar</v>
      </c>
      <c r="F21">
        <f>IFERROR(__xludf.DUMMYFUNCTION("""COMPUTED_VALUE"""),11.7)</f>
        <v>11.7</v>
      </c>
    </row>
    <row r="22">
      <c r="D22" t="str">
        <f>IFERROR(__xludf.DUMMYFUNCTION("""COMPUTED_VALUE"""),"Aikens")</f>
        <v>Aikens</v>
      </c>
      <c r="E22" t="str">
        <f>IFERROR(__xludf.DUMMYFUNCTION("""COMPUTED_VALUE"""),"Walt")</f>
        <v>Walt</v>
      </c>
      <c r="F22">
        <f>IFERROR(__xludf.DUMMYFUNCTION("""COMPUTED_VALUE"""),10.65)</f>
        <v>10.65</v>
      </c>
    </row>
    <row r="23">
      <c r="D23" t="str">
        <f>IFERROR(__xludf.DUMMYFUNCTION("""COMPUTED_VALUE"""),"Ajayi")</f>
        <v>Ajayi</v>
      </c>
      <c r="E23" t="str">
        <f>IFERROR(__xludf.DUMMYFUNCTION("""COMPUTED_VALUE"""),"Jay")</f>
        <v>Jay</v>
      </c>
      <c r="F23">
        <f>IFERROR(__xludf.DUMMYFUNCTION("""COMPUTED_VALUE"""),11.25)</f>
        <v>11.25</v>
      </c>
    </row>
    <row r="24">
      <c r="D24" t="str">
        <f>IFERROR(__xludf.DUMMYFUNCTION("""COMPUTED_VALUE"""),"Albert")</f>
        <v>Albert</v>
      </c>
      <c r="E24" t="str">
        <f>IFERROR(__xludf.DUMMYFUNCTION("""COMPUTED_VALUE"""),"Branden")</f>
        <v>Branden</v>
      </c>
      <c r="F24">
        <f>IFERROR(__xludf.DUMMYFUNCTION("""COMPUTED_VALUE"""),12.0)</f>
        <v>12</v>
      </c>
    </row>
    <row r="25">
      <c r="D25" t="str">
        <f>IFERROR(__xludf.DUMMYFUNCTION("""COMPUTED_VALUE"""),"Alecxih")</f>
        <v>Alecxih</v>
      </c>
      <c r="E25" t="str">
        <f>IFERROR(__xludf.DUMMYFUNCTION("""COMPUTED_VALUE"""),"Chas")</f>
        <v>Chas</v>
      </c>
      <c r="F25">
        <f>IFERROR(__xludf.DUMMYFUNCTION("""COMPUTED_VALUE"""),9.0)</f>
        <v>9</v>
      </c>
    </row>
    <row r="26">
      <c r="D26" t="str">
        <f>IFERROR(__xludf.DUMMYFUNCTION("""COMPUTED_VALUE"""),"Alexander")</f>
        <v>Alexander</v>
      </c>
      <c r="E26" t="str">
        <f>IFERROR(__xludf.DUMMYFUNCTION("""COMPUTED_VALUE"""),"DJ")</f>
        <v>DJ</v>
      </c>
      <c r="F26">
        <f>IFERROR(__xludf.DUMMYFUNCTION("""COMPUTED_VALUE"""),8.4)</f>
        <v>8.4</v>
      </c>
    </row>
    <row r="27">
      <c r="D27" t="str">
        <f>IFERROR(__xludf.DUMMYFUNCTION("""COMPUTED_VALUE"""),"Alexander")</f>
        <v>Alexander</v>
      </c>
      <c r="E27" t="str">
        <f>IFERROR(__xludf.DUMMYFUNCTION("""COMPUTED_VALUE"""),"Dominique")</f>
        <v>Dominique</v>
      </c>
      <c r="F27">
        <f>IFERROR(__xludf.DUMMYFUNCTION("""COMPUTED_VALUE"""),8.7)</f>
        <v>8.7</v>
      </c>
    </row>
    <row r="28">
      <c r="D28" t="str">
        <f>IFERROR(__xludf.DUMMYFUNCTION("""COMPUTED_VALUE"""),"Alexander")</f>
        <v>Alexander</v>
      </c>
      <c r="E28" t="str">
        <f>IFERROR(__xludf.DUMMYFUNCTION("""COMPUTED_VALUE"""),"Kwon")</f>
        <v>Kwon</v>
      </c>
      <c r="F28">
        <f>IFERROR(__xludf.DUMMYFUNCTION("""COMPUTED_VALUE"""),11.4)</f>
        <v>11.4</v>
      </c>
    </row>
    <row r="29">
      <c r="D29" t="str">
        <f>IFERROR(__xludf.DUMMYFUNCTION("""COMPUTED_VALUE"""),"Alexander")</f>
        <v>Alexander</v>
      </c>
      <c r="E29" t="str">
        <f>IFERROR(__xludf.DUMMYFUNCTION("""COMPUTED_VALUE"""),"Lorenzo")</f>
        <v>Lorenzo</v>
      </c>
      <c r="F29">
        <f>IFERROR(__xludf.DUMMYFUNCTION("""COMPUTED_VALUE"""),10.799999999999999)</f>
        <v>10.8</v>
      </c>
    </row>
    <row r="30">
      <c r="D30" t="str">
        <f>IFERROR(__xludf.DUMMYFUNCTION("""COMPUTED_VALUE"""),"Alexander")</f>
        <v>Alexander</v>
      </c>
      <c r="E30" t="str">
        <f>IFERROR(__xludf.DUMMYFUNCTION("""COMPUTED_VALUE"""),"Mackensie")</f>
        <v>Mackensie</v>
      </c>
      <c r="F30">
        <f>IFERROR(__xludf.DUMMYFUNCTION("""COMPUTED_VALUE"""),11.25)</f>
        <v>11.25</v>
      </c>
    </row>
    <row r="31">
      <c r="D31" t="str">
        <f>IFERROR(__xludf.DUMMYFUNCTION("""COMPUTED_VALUE"""),"Alexander")</f>
        <v>Alexander</v>
      </c>
      <c r="E31" t="str">
        <f>IFERROR(__xludf.DUMMYFUNCTION("""COMPUTED_VALUE"""),"Maurice")</f>
        <v>Maurice</v>
      </c>
      <c r="F31">
        <f>IFERROR(__xludf.DUMMYFUNCTION("""COMPUTED_VALUE"""),10.35)</f>
        <v>10.35</v>
      </c>
    </row>
    <row r="32">
      <c r="D32" t="str">
        <f>IFERROR(__xludf.DUMMYFUNCTION("""COMPUTED_VALUE"""),"Alexander")</f>
        <v>Alexander</v>
      </c>
      <c r="E32" t="str">
        <f>IFERROR(__xludf.DUMMYFUNCTION("""COMPUTED_VALUE"""),"Vadal")</f>
        <v>Vadal</v>
      </c>
      <c r="F32">
        <f>IFERROR(__xludf.DUMMYFUNCTION("""COMPUTED_VALUE"""),9.9)</f>
        <v>9.9</v>
      </c>
    </row>
    <row r="33">
      <c r="D33" t="str">
        <f>IFERROR(__xludf.DUMMYFUNCTION("""COMPUTED_VALUE"""),"Alford")</f>
        <v>Alford</v>
      </c>
      <c r="E33" t="str">
        <f>IFERROR(__xludf.DUMMYFUNCTION("""COMPUTED_VALUE"""),"Mario")</f>
        <v>Mario</v>
      </c>
      <c r="F33">
        <f>IFERROR(__xludf.DUMMYFUNCTION("""COMPUTED_VALUE"""),8.85)</f>
        <v>8.85</v>
      </c>
    </row>
    <row r="34">
      <c r="D34" t="str">
        <f>IFERROR(__xludf.DUMMYFUNCTION("""COMPUTED_VALUE"""),"Alford")</f>
        <v>Alford</v>
      </c>
      <c r="E34" t="str">
        <f>IFERROR(__xludf.DUMMYFUNCTION("""COMPUTED_VALUE"""),"Robert")</f>
        <v>Robert</v>
      </c>
      <c r="F34">
        <f>IFERROR(__xludf.DUMMYFUNCTION("""COMPUTED_VALUE"""),11.549999999999999)</f>
        <v>11.55</v>
      </c>
    </row>
    <row r="35">
      <c r="D35" t="str">
        <f>IFERROR(__xludf.DUMMYFUNCTION("""COMPUTED_VALUE"""),"Allen")</f>
        <v>Allen</v>
      </c>
      <c r="E35" t="str">
        <f>IFERROR(__xludf.DUMMYFUNCTION("""COMPUTED_VALUE"""),"Antonio")</f>
        <v>Antonio</v>
      </c>
      <c r="F35">
        <f>IFERROR(__xludf.DUMMYFUNCTION("""COMPUTED_VALUE"""),11.85)</f>
        <v>11.85</v>
      </c>
    </row>
    <row r="36">
      <c r="D36" t="str">
        <f>IFERROR(__xludf.DUMMYFUNCTION("""COMPUTED_VALUE"""),"Allen")</f>
        <v>Allen</v>
      </c>
      <c r="E36" t="str">
        <f>IFERROR(__xludf.DUMMYFUNCTION("""COMPUTED_VALUE"""),"Beau")</f>
        <v>Beau</v>
      </c>
      <c r="F36">
        <f>IFERROR(__xludf.DUMMYFUNCTION("""COMPUTED_VALUE"""),9.75)</f>
        <v>9.75</v>
      </c>
    </row>
    <row r="37">
      <c r="D37" t="str">
        <f>IFERROR(__xludf.DUMMYFUNCTION("""COMPUTED_VALUE"""),"Allen")</f>
        <v>Allen</v>
      </c>
      <c r="E37" t="str">
        <f>IFERROR(__xludf.DUMMYFUNCTION("""COMPUTED_VALUE"""),"Brandon")</f>
        <v>Brandon</v>
      </c>
      <c r="F37">
        <f>IFERROR(__xludf.DUMMYFUNCTION("""COMPUTED_VALUE"""),9.75)</f>
        <v>9.75</v>
      </c>
    </row>
    <row r="38">
      <c r="D38" t="str">
        <f>IFERROR(__xludf.DUMMYFUNCTION("""COMPUTED_VALUE"""),"Allen")</f>
        <v>Allen</v>
      </c>
      <c r="E38" t="str">
        <f>IFERROR(__xludf.DUMMYFUNCTION("""COMPUTED_VALUE"""),"Dwayne")</f>
        <v>Dwayne</v>
      </c>
      <c r="F38">
        <f>IFERROR(__xludf.DUMMYFUNCTION("""COMPUTED_VALUE"""),12.0)</f>
        <v>12</v>
      </c>
    </row>
    <row r="39">
      <c r="D39" t="str">
        <f>IFERROR(__xludf.DUMMYFUNCTION("""COMPUTED_VALUE"""),"Allen")</f>
        <v>Allen</v>
      </c>
      <c r="E39" t="str">
        <f>IFERROR(__xludf.DUMMYFUNCTION("""COMPUTED_VALUE"""),"Jack")</f>
        <v>Jack</v>
      </c>
      <c r="F39">
        <f>IFERROR(__xludf.DUMMYFUNCTION("""COMPUTED_VALUE"""),8.85)</f>
        <v>8.85</v>
      </c>
    </row>
    <row r="40">
      <c r="D40" t="str">
        <f>IFERROR(__xludf.DUMMYFUNCTION("""COMPUTED_VALUE"""),"Allen")</f>
        <v>Allen</v>
      </c>
      <c r="E40" t="str">
        <f>IFERROR(__xludf.DUMMYFUNCTION("""COMPUTED_VALUE"""),"Javorius")</f>
        <v>Javorius</v>
      </c>
      <c r="F40">
        <f>IFERROR(__xludf.DUMMYFUNCTION("""COMPUTED_VALUE"""),11.1)</f>
        <v>11.1</v>
      </c>
    </row>
    <row r="41">
      <c r="D41" t="str">
        <f>IFERROR(__xludf.DUMMYFUNCTION("""COMPUTED_VALUE"""),"Allen")</f>
        <v>Allen</v>
      </c>
      <c r="E41" t="str">
        <f>IFERROR(__xludf.DUMMYFUNCTION("""COMPUTED_VALUE"""),"Jeff")</f>
        <v>Jeff</v>
      </c>
      <c r="F41">
        <f>IFERROR(__xludf.DUMMYFUNCTION("""COMPUTED_VALUE"""),11.7)</f>
        <v>11.7</v>
      </c>
    </row>
    <row r="42">
      <c r="D42" t="str">
        <f>IFERROR(__xludf.DUMMYFUNCTION("""COMPUTED_VALUE"""),"Allen")</f>
        <v>Allen</v>
      </c>
      <c r="E42" t="str">
        <f>IFERROR(__xludf.DUMMYFUNCTION("""COMPUTED_VALUE"""),"Josh")</f>
        <v>Josh</v>
      </c>
      <c r="F42">
        <f>IFERROR(__xludf.DUMMYFUNCTION("""COMPUTED_VALUE"""),9.299999999999999)</f>
        <v>9.3</v>
      </c>
    </row>
    <row r="43">
      <c r="D43" t="str">
        <f>IFERROR(__xludf.DUMMYFUNCTION("""COMPUTED_VALUE"""),"Allen")</f>
        <v>Allen</v>
      </c>
      <c r="E43" t="str">
        <f>IFERROR(__xludf.DUMMYFUNCTION("""COMPUTED_VALUE"""),"Keenan")</f>
        <v>Keenan</v>
      </c>
      <c r="F43">
        <f>IFERROR(__xludf.DUMMYFUNCTION("""COMPUTED_VALUE"""),13.2)</f>
        <v>13.2</v>
      </c>
    </row>
    <row r="44">
      <c r="D44" t="str">
        <f>IFERROR(__xludf.DUMMYFUNCTION("""COMPUTED_VALUE"""),"Allen")</f>
        <v>Allen</v>
      </c>
      <c r="E44" t="str">
        <f>IFERROR(__xludf.DUMMYFUNCTION("""COMPUTED_VALUE"""),"Nate")</f>
        <v>Nate</v>
      </c>
      <c r="F44">
        <f>IFERROR(__xludf.DUMMYFUNCTION("""COMPUTED_VALUE"""),11.549999999999999)</f>
        <v>11.55</v>
      </c>
    </row>
    <row r="45">
      <c r="D45" t="str">
        <f>IFERROR(__xludf.DUMMYFUNCTION("""COMPUTED_VALUE"""),"Allen")</f>
        <v>Allen</v>
      </c>
      <c r="E45" t="str">
        <f>IFERROR(__xludf.DUMMYFUNCTION("""COMPUTED_VALUE"""),"RaShaun")</f>
        <v>RaShaun</v>
      </c>
      <c r="F45">
        <f>IFERROR(__xludf.DUMMYFUNCTION("""COMPUTED_VALUE"""),9.299999999999999)</f>
        <v>9.3</v>
      </c>
    </row>
    <row r="46">
      <c r="D46" t="str">
        <f>IFERROR(__xludf.DUMMYFUNCTION("""COMPUTED_VALUE"""),"Allen")</f>
        <v>Allen</v>
      </c>
      <c r="E46" t="str">
        <f>IFERROR(__xludf.DUMMYFUNCTION("""COMPUTED_VALUE"""),"Ricardo")</f>
        <v>Ricardo</v>
      </c>
      <c r="F46">
        <f>IFERROR(__xludf.DUMMYFUNCTION("""COMPUTED_VALUE"""),11.25)</f>
        <v>11.25</v>
      </c>
    </row>
    <row r="47">
      <c r="D47" t="str">
        <f>IFERROR(__xludf.DUMMYFUNCTION("""COMPUTED_VALUE"""),"Allen")</f>
        <v>Allen</v>
      </c>
      <c r="E47" t="str">
        <f>IFERROR(__xludf.DUMMYFUNCTION("""COMPUTED_VALUE"""),"Ryan")</f>
        <v>Ryan</v>
      </c>
      <c r="F47">
        <f>IFERROR(__xludf.DUMMYFUNCTION("""COMPUTED_VALUE"""),11.7)</f>
        <v>11.7</v>
      </c>
    </row>
    <row r="48">
      <c r="D48" t="str">
        <f>IFERROR(__xludf.DUMMYFUNCTION("""COMPUTED_VALUE"""),"Allen")</f>
        <v>Allen</v>
      </c>
      <c r="E48" t="str">
        <f>IFERROR(__xludf.DUMMYFUNCTION("""COMPUTED_VALUE"""),"Torrence")</f>
        <v>Torrence</v>
      </c>
      <c r="F48">
        <f>IFERROR(__xludf.DUMMYFUNCTION("""COMPUTED_VALUE"""),9.45)</f>
        <v>9.45</v>
      </c>
    </row>
    <row r="49">
      <c r="D49" t="str">
        <f>IFERROR(__xludf.DUMMYFUNCTION("""COMPUTED_VALUE"""),"Allison")</f>
        <v>Allison</v>
      </c>
      <c r="E49" t="str">
        <f>IFERROR(__xludf.DUMMYFUNCTION("""COMPUTED_VALUE"""),"Geronimo")</f>
        <v>Geronimo</v>
      </c>
      <c r="F49">
        <f>IFERROR(__xludf.DUMMYFUNCTION("""COMPUTED_VALUE"""),9.15)</f>
        <v>9.15</v>
      </c>
    </row>
    <row r="50">
      <c r="D50" t="str">
        <f>IFERROR(__xludf.DUMMYFUNCTION("""COMPUTED_VALUE"""),"Alonso")</f>
        <v>Alonso</v>
      </c>
      <c r="E50" t="str">
        <f>IFERROR(__xludf.DUMMYFUNCTION("""COMPUTED_VALUE"""),"Kiko")</f>
        <v>Kiko</v>
      </c>
      <c r="F50">
        <f>IFERROR(__xludf.DUMMYFUNCTION("""COMPUTED_VALUE"""),11.4)</f>
        <v>11.4</v>
      </c>
    </row>
    <row r="51">
      <c r="D51" t="str">
        <f>IFERROR(__xludf.DUMMYFUNCTION("""COMPUTED_VALUE"""),"Alualu")</f>
        <v>Alualu</v>
      </c>
      <c r="E51" t="str">
        <f>IFERROR(__xludf.DUMMYFUNCTION("""COMPUTED_VALUE"""),"Tyson")</f>
        <v>Tyson</v>
      </c>
      <c r="F51">
        <f>IFERROR(__xludf.DUMMYFUNCTION("""COMPUTED_VALUE"""),11.4)</f>
        <v>11.4</v>
      </c>
    </row>
    <row r="52">
      <c r="D52" t="str">
        <f>IFERROR(__xludf.DUMMYFUNCTION("""COMPUTED_VALUE"""),"Amaro")</f>
        <v>Amaro</v>
      </c>
      <c r="E52" t="str">
        <f>IFERROR(__xludf.DUMMYFUNCTION("""COMPUTED_VALUE"""),"Jace")</f>
        <v>Jace</v>
      </c>
      <c r="F52">
        <f>IFERROR(__xludf.DUMMYFUNCTION("""COMPUTED_VALUE"""),11.1)</f>
        <v>11.1</v>
      </c>
    </row>
    <row r="53">
      <c r="D53" t="str">
        <f>IFERROR(__xludf.DUMMYFUNCTION("""COMPUTED_VALUE"""),"Amendola")</f>
        <v>Amendola</v>
      </c>
      <c r="E53" t="str">
        <f>IFERROR(__xludf.DUMMYFUNCTION("""COMPUTED_VALUE"""),"Danny")</f>
        <v>Danny</v>
      </c>
      <c r="F53">
        <f>IFERROR(__xludf.DUMMYFUNCTION("""COMPUTED_VALUE"""),12.45)</f>
        <v>12.45</v>
      </c>
    </row>
    <row r="54">
      <c r="D54" t="str">
        <f>IFERROR(__xludf.DUMMYFUNCTION("""COMPUTED_VALUE"""),"Amerson")</f>
        <v>Amerson</v>
      </c>
      <c r="E54" t="str">
        <f>IFERROR(__xludf.DUMMYFUNCTION("""COMPUTED_VALUE"""),"David")</f>
        <v>David</v>
      </c>
      <c r="F54">
        <f>IFERROR(__xludf.DUMMYFUNCTION("""COMPUTED_VALUE"""),12.6)</f>
        <v>12.6</v>
      </c>
    </row>
    <row r="55">
      <c r="D55" t="str">
        <f>IFERROR(__xludf.DUMMYFUNCTION("""COMPUTED_VALUE"""),"Amos")</f>
        <v>Amos</v>
      </c>
      <c r="E55" t="str">
        <f>IFERROR(__xludf.DUMMYFUNCTION("""COMPUTED_VALUE"""),"Adrian")</f>
        <v>Adrian</v>
      </c>
      <c r="F55">
        <f>IFERROR(__xludf.DUMMYFUNCTION("""COMPUTED_VALUE"""),11.549999999999999)</f>
        <v>11.55</v>
      </c>
    </row>
    <row r="56">
      <c r="D56" t="str">
        <f>IFERROR(__xludf.DUMMYFUNCTION("""COMPUTED_VALUE"""),"Amukamara")</f>
        <v>Amukamara</v>
      </c>
      <c r="E56" t="str">
        <f>IFERROR(__xludf.DUMMYFUNCTION("""COMPUTED_VALUE"""),"Prince")</f>
        <v>Prince</v>
      </c>
      <c r="F56">
        <f>IFERROR(__xludf.DUMMYFUNCTION("""COMPUTED_VALUE"""),12.45)</f>
        <v>12.45</v>
      </c>
    </row>
    <row r="57">
      <c r="D57" t="str">
        <f>IFERROR(__xludf.DUMMYFUNCTION("""COMPUTED_VALUE"""),"Anderson")</f>
        <v>Anderson</v>
      </c>
      <c r="E57" t="str">
        <f>IFERROR(__xludf.DUMMYFUNCTION("""COMPUTED_VALUE"""),"Busta")</f>
        <v>Busta</v>
      </c>
      <c r="F57">
        <f>IFERROR(__xludf.DUMMYFUNCTION("""COMPUTED_VALUE"""),9.6)</f>
        <v>9.6</v>
      </c>
    </row>
    <row r="58">
      <c r="D58" t="str">
        <f>IFERROR(__xludf.DUMMYFUNCTION("""COMPUTED_VALUE"""),"Anderson")</f>
        <v>Anderson</v>
      </c>
      <c r="E58" t="str">
        <f>IFERROR(__xludf.DUMMYFUNCTION("""COMPUTED_VALUE"""),"CJ")</f>
        <v>CJ</v>
      </c>
      <c r="F58">
        <f>IFERROR(__xludf.DUMMYFUNCTION("""COMPUTED_VALUE"""),12.6)</f>
        <v>12.6</v>
      </c>
    </row>
    <row r="59">
      <c r="D59" t="str">
        <f>IFERROR(__xludf.DUMMYFUNCTION("""COMPUTED_VALUE"""),"Anderson")</f>
        <v>Anderson</v>
      </c>
      <c r="E59" t="str">
        <f>IFERROR(__xludf.DUMMYFUNCTION("""COMPUTED_VALUE"""),"Colt")</f>
        <v>Colt</v>
      </c>
      <c r="F59">
        <f>IFERROR(__xludf.DUMMYFUNCTION("""COMPUTED_VALUE"""),10.65)</f>
        <v>10.65</v>
      </c>
    </row>
    <row r="60">
      <c r="D60" t="str">
        <f>IFERROR(__xludf.DUMMYFUNCTION("""COMPUTED_VALUE"""),"Anderson")</f>
        <v>Anderson</v>
      </c>
      <c r="E60" t="str">
        <f>IFERROR(__xludf.DUMMYFUNCTION("""COMPUTED_VALUE"""),"Demetris")</f>
        <v>Demetris</v>
      </c>
      <c r="F60">
        <f>IFERROR(__xludf.DUMMYFUNCTION("""COMPUTED_VALUE"""),8.549999999999999)</f>
        <v>8.55</v>
      </c>
    </row>
    <row r="61">
      <c r="D61" t="str">
        <f>IFERROR(__xludf.DUMMYFUNCTION("""COMPUTED_VALUE"""),"Anderson")</f>
        <v>Anderson</v>
      </c>
      <c r="E61" t="str">
        <f>IFERROR(__xludf.DUMMYFUNCTION("""COMPUTED_VALUE"""),"Derek")</f>
        <v>Derek</v>
      </c>
      <c r="F61">
        <f>IFERROR(__xludf.DUMMYFUNCTION("""COMPUTED_VALUE"""),10.5)</f>
        <v>10.5</v>
      </c>
    </row>
    <row r="62">
      <c r="D62" t="str">
        <f>IFERROR(__xludf.DUMMYFUNCTION("""COMPUTED_VALUE"""),"Anderson")</f>
        <v>Anderson</v>
      </c>
      <c r="E62" t="str">
        <f>IFERROR(__xludf.DUMMYFUNCTION("""COMPUTED_VALUE"""),"Dres")</f>
        <v>Dres</v>
      </c>
      <c r="F62">
        <f>IFERROR(__xludf.DUMMYFUNCTION("""COMPUTED_VALUE"""),9.299999999999999)</f>
        <v>9.3</v>
      </c>
    </row>
    <row r="63">
      <c r="D63" t="str">
        <f>IFERROR(__xludf.DUMMYFUNCTION("""COMPUTED_VALUE"""),"Anderson")</f>
        <v>Anderson</v>
      </c>
      <c r="E63" t="str">
        <f>IFERROR(__xludf.DUMMYFUNCTION("""COMPUTED_VALUE"""),"Henry")</f>
        <v>Henry</v>
      </c>
      <c r="F63">
        <f>IFERROR(__xludf.DUMMYFUNCTION("""COMPUTED_VALUE"""),11.4)</f>
        <v>11.4</v>
      </c>
    </row>
    <row r="64">
      <c r="D64" t="str">
        <f>IFERROR(__xludf.DUMMYFUNCTION("""COMPUTED_VALUE"""),"Anderson")</f>
        <v>Anderson</v>
      </c>
      <c r="E64" t="str">
        <f>IFERROR(__xludf.DUMMYFUNCTION("""COMPUTED_VALUE"""),"Jonathan")</f>
        <v>Jonathan</v>
      </c>
      <c r="F64">
        <f>IFERROR(__xludf.DUMMYFUNCTION("""COMPUTED_VALUE"""),9.9)</f>
        <v>9.9</v>
      </c>
    </row>
    <row r="65">
      <c r="D65" t="str">
        <f>IFERROR(__xludf.DUMMYFUNCTION("""COMPUTED_VALUE"""),"Anderson")</f>
        <v>Anderson</v>
      </c>
      <c r="E65" t="str">
        <f>IFERROR(__xludf.DUMMYFUNCTION("""COMPUTED_VALUE"""),"Robby")</f>
        <v>Robby</v>
      </c>
      <c r="F65">
        <f>IFERROR(__xludf.DUMMYFUNCTION("""COMPUTED_VALUE"""),9.45)</f>
        <v>9.45</v>
      </c>
    </row>
    <row r="66">
      <c r="D66" t="str">
        <f>IFERROR(__xludf.DUMMYFUNCTION("""COMPUTED_VALUE"""),"Anderson")</f>
        <v>Anderson</v>
      </c>
      <c r="E66" t="str">
        <f>IFERROR(__xludf.DUMMYFUNCTION("""COMPUTED_VALUE"""),"Stephen")</f>
        <v>Stephen</v>
      </c>
      <c r="F66">
        <f>IFERROR(__xludf.DUMMYFUNCTION("""COMPUTED_VALUE"""),9.45)</f>
        <v>9.45</v>
      </c>
    </row>
    <row r="67">
      <c r="D67" t="str">
        <f>IFERROR(__xludf.DUMMYFUNCTION("""COMPUTED_VALUE"""),"Andrews")</f>
        <v>Andrews</v>
      </c>
      <c r="E67" t="str">
        <f>IFERROR(__xludf.DUMMYFUNCTION("""COMPUTED_VALUE"""),"Antonio")</f>
        <v>Antonio</v>
      </c>
      <c r="F67">
        <f>IFERROR(__xludf.DUMMYFUNCTION("""COMPUTED_VALUE"""),11.4)</f>
        <v>11.4</v>
      </c>
    </row>
    <row r="68">
      <c r="D68" t="str">
        <f>IFERROR(__xludf.DUMMYFUNCTION("""COMPUTED_VALUE"""),"Andrews")</f>
        <v>Andrews</v>
      </c>
      <c r="E68" t="str">
        <f>IFERROR(__xludf.DUMMYFUNCTION("""COMPUTED_VALUE"""),"David")</f>
        <v>David</v>
      </c>
      <c r="F68">
        <f>IFERROR(__xludf.DUMMYFUNCTION("""COMPUTED_VALUE"""),10.65)</f>
        <v>10.65</v>
      </c>
    </row>
    <row r="69">
      <c r="D69" t="str">
        <f>IFERROR(__xludf.DUMMYFUNCTION("""COMPUTED_VALUE"""),"Andrews")</f>
        <v>Andrews</v>
      </c>
      <c r="E69" t="str">
        <f>IFERROR(__xludf.DUMMYFUNCTION("""COMPUTED_VALUE"""),"Josh")</f>
        <v>Josh</v>
      </c>
      <c r="F69">
        <f>IFERROR(__xludf.DUMMYFUNCTION("""COMPUTED_VALUE"""),9.0)</f>
        <v>9</v>
      </c>
    </row>
    <row r="70">
      <c r="D70" t="str">
        <f>IFERROR(__xludf.DUMMYFUNCTION("""COMPUTED_VALUE"""),"Anger")</f>
        <v>Anger</v>
      </c>
      <c r="E70" t="str">
        <f>IFERROR(__xludf.DUMMYFUNCTION("""COMPUTED_VALUE"""),"Bryan")</f>
        <v>Bryan</v>
      </c>
      <c r="F70">
        <f>IFERROR(__xludf.DUMMYFUNCTION("""COMPUTED_VALUE"""),12.299999999999999)</f>
        <v>12.3</v>
      </c>
    </row>
    <row r="71">
      <c r="D71" t="str">
        <f>IFERROR(__xludf.DUMMYFUNCTION("""COMPUTED_VALUE"""),"Annen")</f>
        <v>Annen</v>
      </c>
      <c r="E71" t="str">
        <f>IFERROR(__xludf.DUMMYFUNCTION("""COMPUTED_VALUE"""),"Blake")</f>
        <v>Blake</v>
      </c>
      <c r="F71">
        <f>IFERROR(__xludf.DUMMYFUNCTION("""COMPUTED_VALUE"""),9.45)</f>
        <v>9.45</v>
      </c>
    </row>
    <row r="72">
      <c r="D72" t="str">
        <f>IFERROR(__xludf.DUMMYFUNCTION("""COMPUTED_VALUE"""),"Ansah")</f>
        <v>Ansah</v>
      </c>
      <c r="E72" t="str">
        <f>IFERROR(__xludf.DUMMYFUNCTION("""COMPUTED_VALUE"""),"Ezekiel")</f>
        <v>Ezekiel</v>
      </c>
      <c r="F72">
        <f>IFERROR(__xludf.DUMMYFUNCTION("""COMPUTED_VALUE"""),13.5)</f>
        <v>13.5</v>
      </c>
    </row>
    <row r="73">
      <c r="D73" t="str">
        <f>IFERROR(__xludf.DUMMYFUNCTION("""COMPUTED_VALUE"""),"Anthony")</f>
        <v>Anthony</v>
      </c>
      <c r="E73" t="str">
        <f>IFERROR(__xludf.DUMMYFUNCTION("""COMPUTED_VALUE"""),"Stephone")</f>
        <v>Stephone</v>
      </c>
      <c r="F73">
        <f>IFERROR(__xludf.DUMMYFUNCTION("""COMPUTED_VALUE"""),11.1)</f>
        <v>11.1</v>
      </c>
    </row>
    <row r="74">
      <c r="D74" t="str">
        <f>IFERROR(__xludf.DUMMYFUNCTION("""COMPUTED_VALUE"""),"Anthrop")</f>
        <v>Anthrop</v>
      </c>
      <c r="E74" t="str">
        <f>IFERROR(__xludf.DUMMYFUNCTION("""COMPUTED_VALUE"""),"Daniel")</f>
        <v>Daniel</v>
      </c>
      <c r="F74">
        <f>IFERROR(__xludf.DUMMYFUNCTION("""COMPUTED_VALUE"""),9.0)</f>
        <v>9</v>
      </c>
    </row>
    <row r="75">
      <c r="D75" t="str">
        <f>IFERROR(__xludf.DUMMYFUNCTION("""COMPUTED_VALUE"""),"Anunike")</f>
        <v>Anunike</v>
      </c>
      <c r="E75" t="str">
        <f>IFERROR(__xludf.DUMMYFUNCTION("""COMPUTED_VALUE"""),"Kenny")</f>
        <v>Kenny</v>
      </c>
      <c r="F75">
        <f>IFERROR(__xludf.DUMMYFUNCTION("""COMPUTED_VALUE"""),8.549999999999999)</f>
        <v>8.55</v>
      </c>
    </row>
    <row r="76">
      <c r="D76" t="str">
        <f>IFERROR(__xludf.DUMMYFUNCTION("""COMPUTED_VALUE"""),"Apple")</f>
        <v>Apple</v>
      </c>
      <c r="E76" t="str">
        <f>IFERROR(__xludf.DUMMYFUNCTION("""COMPUTED_VALUE"""),"Eli")</f>
        <v>Eli</v>
      </c>
      <c r="F76">
        <f>IFERROR(__xludf.DUMMYFUNCTION("""COMPUTED_VALUE"""),11.4)</f>
        <v>11.4</v>
      </c>
    </row>
    <row r="77">
      <c r="D77" t="str">
        <f>IFERROR(__xludf.DUMMYFUNCTION("""COMPUTED_VALUE"""),"Arenas")</f>
        <v>Arenas</v>
      </c>
      <c r="E77" t="str">
        <f>IFERROR(__xludf.DUMMYFUNCTION("""COMPUTED_VALUE"""),"Javier")</f>
        <v>Javier</v>
      </c>
      <c r="F77">
        <f>IFERROR(__xludf.DUMMYFUNCTION("""COMPUTED_VALUE"""),10.95)</f>
        <v>10.95</v>
      </c>
    </row>
    <row r="78">
      <c r="D78" t="str">
        <f>IFERROR(__xludf.DUMMYFUNCTION("""COMPUTED_VALUE"""),"Arkin")</f>
        <v>Arkin</v>
      </c>
      <c r="E78" t="str">
        <f>IFERROR(__xludf.DUMMYFUNCTION("""COMPUTED_VALUE"""),"David")</f>
        <v>David</v>
      </c>
      <c r="F78">
        <f>IFERROR(__xludf.DUMMYFUNCTION("""COMPUTED_VALUE"""),9.45)</f>
        <v>9.45</v>
      </c>
    </row>
    <row r="79">
      <c r="D79" t="str">
        <f>IFERROR(__xludf.DUMMYFUNCTION("""COMPUTED_VALUE"""),"Armbrister")</f>
        <v>Armbrister</v>
      </c>
      <c r="E79" t="str">
        <f>IFERROR(__xludf.DUMMYFUNCTION("""COMPUTED_VALUE"""),"Thurston")</f>
        <v>Thurston</v>
      </c>
      <c r="F79">
        <f>IFERROR(__xludf.DUMMYFUNCTION("""COMPUTED_VALUE"""),8.549999999999999)</f>
        <v>8.55</v>
      </c>
    </row>
    <row r="80">
      <c r="D80" t="str">
        <f>IFERROR(__xludf.DUMMYFUNCTION("""COMPUTED_VALUE"""),"Armstead")</f>
        <v>Armstead</v>
      </c>
      <c r="E80" t="str">
        <f>IFERROR(__xludf.DUMMYFUNCTION("""COMPUTED_VALUE"""),"Arik")</f>
        <v>Arik</v>
      </c>
      <c r="F80">
        <f>IFERROR(__xludf.DUMMYFUNCTION("""COMPUTED_VALUE"""),11.549999999999999)</f>
        <v>11.55</v>
      </c>
    </row>
    <row r="81">
      <c r="D81" t="str">
        <f>IFERROR(__xludf.DUMMYFUNCTION("""COMPUTED_VALUE"""),"Armstead")</f>
        <v>Armstead</v>
      </c>
      <c r="E81" t="str">
        <f>IFERROR(__xludf.DUMMYFUNCTION("""COMPUTED_VALUE"""),"Terron")</f>
        <v>Terron</v>
      </c>
      <c r="F81">
        <f>IFERROR(__xludf.DUMMYFUNCTION("""COMPUTED_VALUE"""),13.799999999999999)</f>
        <v>13.8</v>
      </c>
    </row>
    <row r="82">
      <c r="D82" t="str">
        <f>IFERROR(__xludf.DUMMYFUNCTION("""COMPUTED_VALUE"""),"Armstrong")</f>
        <v>Armstrong</v>
      </c>
      <c r="E82" t="str">
        <f>IFERROR(__xludf.DUMMYFUNCTION("""COMPUTED_VALUE"""),"Ray-Ray")</f>
        <v>Ray-Ray</v>
      </c>
      <c r="F82">
        <f>IFERROR(__xludf.DUMMYFUNCTION("""COMPUTED_VALUE"""),10.65)</f>
        <v>10.65</v>
      </c>
    </row>
    <row r="83">
      <c r="D83" t="str">
        <f>IFERROR(__xludf.DUMMYFUNCTION("""COMPUTED_VALUE"""),"Arrington")</f>
        <v>Arrington</v>
      </c>
      <c r="E83" t="str">
        <f>IFERROR(__xludf.DUMMYFUNCTION("""COMPUTED_VALUE"""),"Kyle")</f>
        <v>Kyle</v>
      </c>
      <c r="F83">
        <f>IFERROR(__xludf.DUMMYFUNCTION("""COMPUTED_VALUE"""),11.1)</f>
        <v>11.1</v>
      </c>
    </row>
    <row r="84">
      <c r="D84" t="str">
        <f>IFERROR(__xludf.DUMMYFUNCTION("""COMPUTED_VALUE"""),"Artis-Payne")</f>
        <v>Artis-Payne</v>
      </c>
      <c r="E84" t="str">
        <f>IFERROR(__xludf.DUMMYFUNCTION("""COMPUTED_VALUE"""),"Cameron")</f>
        <v>Cameron</v>
      </c>
      <c r="F84">
        <f>IFERROR(__xludf.DUMMYFUNCTION("""COMPUTED_VALUE"""),10.5)</f>
        <v>10.5</v>
      </c>
    </row>
    <row r="85">
      <c r="D85" t="str">
        <f>IFERROR(__xludf.DUMMYFUNCTION("""COMPUTED_VALUE"""),"Asiata")</f>
        <v>Asiata</v>
      </c>
      <c r="E85" t="str">
        <f>IFERROR(__xludf.DUMMYFUNCTION("""COMPUTED_VALUE"""),"Matt")</f>
        <v>Matt</v>
      </c>
      <c r="F85">
        <f>IFERROR(__xludf.DUMMYFUNCTION("""COMPUTED_VALUE"""),10.95)</f>
        <v>10.95</v>
      </c>
    </row>
    <row r="86">
      <c r="D86" t="str">
        <f>IFERROR(__xludf.DUMMYFUNCTION("""COMPUTED_VALUE"""),"Atkins")</f>
        <v>Atkins</v>
      </c>
      <c r="E86" t="str">
        <f>IFERROR(__xludf.DUMMYFUNCTION("""COMPUTED_VALUE"""),"Geno")</f>
        <v>Geno</v>
      </c>
      <c r="F86">
        <f>IFERROR(__xludf.DUMMYFUNCTION("""COMPUTED_VALUE"""),14.1)</f>
        <v>14.1</v>
      </c>
    </row>
    <row r="87">
      <c r="D87" t="str">
        <f>IFERROR(__xludf.DUMMYFUNCTION("""COMPUTED_VALUE"""),"Atkinson III")</f>
        <v>Atkinson III</v>
      </c>
      <c r="E87" t="str">
        <f>IFERROR(__xludf.DUMMYFUNCTION("""COMPUTED_VALUE"""),"George")</f>
        <v>George</v>
      </c>
      <c r="F87">
        <f>IFERROR(__xludf.DUMMYFUNCTION("""COMPUTED_VALUE"""),9.6)</f>
        <v>9.6</v>
      </c>
    </row>
    <row r="88">
      <c r="D88" t="str">
        <f>IFERROR(__xludf.DUMMYFUNCTION("""COMPUTED_VALUE"""),"Attaochu")</f>
        <v>Attaochu</v>
      </c>
      <c r="E88" t="str">
        <f>IFERROR(__xludf.DUMMYFUNCTION("""COMPUTED_VALUE"""),"Jeremiah")</f>
        <v>Jeremiah</v>
      </c>
      <c r="F88">
        <f>IFERROR(__xludf.DUMMYFUNCTION("""COMPUTED_VALUE"""),12.15)</f>
        <v>12.15</v>
      </c>
    </row>
    <row r="89">
      <c r="D89" t="str">
        <f>IFERROR(__xludf.DUMMYFUNCTION("""COMPUTED_VALUE"""),"Aubrey")</f>
        <v>Aubrey</v>
      </c>
      <c r="E89" t="str">
        <f>IFERROR(__xludf.DUMMYFUNCTION("""COMPUTED_VALUE"""),"Josh")</f>
        <v>Josh</v>
      </c>
      <c r="F89">
        <f>IFERROR(__xludf.DUMMYFUNCTION("""COMPUTED_VALUE"""),10.049999999999999)</f>
        <v>10.05</v>
      </c>
    </row>
    <row r="90">
      <c r="D90" t="str">
        <f>IFERROR(__xludf.DUMMYFUNCTION("""COMPUTED_VALUE"""),"Austin")</f>
        <v>Austin</v>
      </c>
      <c r="E90" t="str">
        <f>IFERROR(__xludf.DUMMYFUNCTION("""COMPUTED_VALUE"""),"Tavon")</f>
        <v>Tavon</v>
      </c>
      <c r="F90">
        <f>IFERROR(__xludf.DUMMYFUNCTION("""COMPUTED_VALUE"""),12.0)</f>
        <v>12</v>
      </c>
    </row>
    <row r="91">
      <c r="D91" t="str">
        <f>IFERROR(__xludf.DUMMYFUNCTION("""COMPUTED_VALUE"""),"Autry")</f>
        <v>Autry</v>
      </c>
      <c r="E91" t="str">
        <f>IFERROR(__xludf.DUMMYFUNCTION("""COMPUTED_VALUE"""),"Denico")</f>
        <v>Denico</v>
      </c>
      <c r="F91">
        <f>IFERROR(__xludf.DUMMYFUNCTION("""COMPUTED_VALUE"""),9.45)</f>
        <v>9.45</v>
      </c>
    </row>
    <row r="92">
      <c r="D92" t="str">
        <f>IFERROR(__xludf.DUMMYFUNCTION("""COMPUTED_VALUE"""),"Avril")</f>
        <v>Avril</v>
      </c>
      <c r="E92" t="str">
        <f>IFERROR(__xludf.DUMMYFUNCTION("""COMPUTED_VALUE"""),"Cliff")</f>
        <v>Cliff</v>
      </c>
      <c r="F92">
        <f>IFERROR(__xludf.DUMMYFUNCTION("""COMPUTED_VALUE"""),13.5)</f>
        <v>13.5</v>
      </c>
    </row>
    <row r="93">
      <c r="D93" t="str">
        <f>IFERROR(__xludf.DUMMYFUNCTION("""COMPUTED_VALUE"""),"Awe")</f>
        <v>Awe</v>
      </c>
      <c r="E93" t="str">
        <f>IFERROR(__xludf.DUMMYFUNCTION("""COMPUTED_VALUE"""),"Micah")</f>
        <v>Micah</v>
      </c>
      <c r="F93">
        <f>IFERROR(__xludf.DUMMYFUNCTION("""COMPUTED_VALUE"""),8.85)</f>
        <v>8.85</v>
      </c>
    </row>
    <row r="94">
      <c r="D94" t="str">
        <f>IFERROR(__xludf.DUMMYFUNCTION("""COMPUTED_VALUE"""),"Ayers")</f>
        <v>Ayers</v>
      </c>
      <c r="E94" t="str">
        <f>IFERROR(__xludf.DUMMYFUNCTION("""COMPUTED_VALUE"""),"Akeem")</f>
        <v>Akeem</v>
      </c>
      <c r="F94">
        <f>IFERROR(__xludf.DUMMYFUNCTION("""COMPUTED_VALUE"""),11.549999999999999)</f>
        <v>11.55</v>
      </c>
    </row>
    <row r="95">
      <c r="D95" t="str">
        <f>IFERROR(__xludf.DUMMYFUNCTION("""COMPUTED_VALUE"""),"Ayers")</f>
        <v>Ayers</v>
      </c>
      <c r="E95" t="str">
        <f>IFERROR(__xludf.DUMMYFUNCTION("""COMPUTED_VALUE"""),"Demarcus")</f>
        <v>Demarcus</v>
      </c>
      <c r="F95">
        <f>IFERROR(__xludf.DUMMYFUNCTION("""COMPUTED_VALUE"""),9.299999999999999)</f>
        <v>9.3</v>
      </c>
    </row>
    <row r="96">
      <c r="D96" t="str">
        <f>IFERROR(__xludf.DUMMYFUNCTION("""COMPUTED_VALUE"""),"Ayers Jr.")</f>
        <v>Ayers Jr.</v>
      </c>
      <c r="E96" t="str">
        <f>IFERROR(__xludf.DUMMYFUNCTION("""COMPUTED_VALUE"""),"Robert")</f>
        <v>Robert</v>
      </c>
      <c r="F96">
        <f>IFERROR(__xludf.DUMMYFUNCTION("""COMPUTED_VALUE"""),12.6)</f>
        <v>12.6</v>
      </c>
    </row>
    <row r="97">
      <c r="D97" t="str">
        <f>IFERROR(__xludf.DUMMYFUNCTION("""COMPUTED_VALUE"""),"Babineaux")</f>
        <v>Babineaux</v>
      </c>
      <c r="E97" t="str">
        <f>IFERROR(__xludf.DUMMYFUNCTION("""COMPUTED_VALUE"""),"Jonathan")</f>
        <v>Jonathan</v>
      </c>
      <c r="F97">
        <f>IFERROR(__xludf.DUMMYFUNCTION("""COMPUTED_VALUE"""),12.15)</f>
        <v>12.15</v>
      </c>
    </row>
    <row r="98">
      <c r="D98" t="str">
        <f>IFERROR(__xludf.DUMMYFUNCTION("""COMPUTED_VALUE"""),"Backman")</f>
        <v>Backman</v>
      </c>
      <c r="E98" t="str">
        <f>IFERROR(__xludf.DUMMYFUNCTION("""COMPUTED_VALUE"""),"Kennard")</f>
        <v>Kennard</v>
      </c>
      <c r="F98">
        <f>IFERROR(__xludf.DUMMYFUNCTION("""COMPUTED_VALUE"""),9.75)</f>
        <v>9.75</v>
      </c>
    </row>
    <row r="99">
      <c r="D99" t="str">
        <f>IFERROR(__xludf.DUMMYFUNCTION("""COMPUTED_VALUE"""),"Bademosi")</f>
        <v>Bademosi</v>
      </c>
      <c r="E99" t="str">
        <f>IFERROR(__xludf.DUMMYFUNCTION("""COMPUTED_VALUE"""),"Johnson")</f>
        <v>Johnson</v>
      </c>
      <c r="F99">
        <f>IFERROR(__xludf.DUMMYFUNCTION("""COMPUTED_VALUE"""),11.1)</f>
        <v>11.1</v>
      </c>
    </row>
    <row r="100">
      <c r="D100" t="str">
        <f>IFERROR(__xludf.DUMMYFUNCTION("""COMPUTED_VALUE"""),"Bailey")</f>
        <v>Bailey</v>
      </c>
      <c r="E100" t="str">
        <f>IFERROR(__xludf.DUMMYFUNCTION("""COMPUTED_VALUE"""),"Allen")</f>
        <v>Allen</v>
      </c>
      <c r="F100">
        <f>IFERROR(__xludf.DUMMYFUNCTION("""COMPUTED_VALUE"""),11.85)</f>
        <v>11.85</v>
      </c>
    </row>
    <row r="101">
      <c r="D101" t="str">
        <f>IFERROR(__xludf.DUMMYFUNCTION("""COMPUTED_VALUE"""),"Bailey")</f>
        <v>Bailey</v>
      </c>
      <c r="E101" t="str">
        <f>IFERROR(__xludf.DUMMYFUNCTION("""COMPUTED_VALUE"""),"Alvin")</f>
        <v>Alvin</v>
      </c>
      <c r="F101">
        <f>IFERROR(__xludf.DUMMYFUNCTION("""COMPUTED_VALUE"""),10.65)</f>
        <v>10.65</v>
      </c>
    </row>
    <row r="102">
      <c r="D102" t="str">
        <f>IFERROR(__xludf.DUMMYFUNCTION("""COMPUTED_VALUE"""),"Bailey")</f>
        <v>Bailey</v>
      </c>
      <c r="E102" t="str">
        <f>IFERROR(__xludf.DUMMYFUNCTION("""COMPUTED_VALUE"""),"Dan")</f>
        <v>Dan</v>
      </c>
      <c r="F102">
        <f>IFERROR(__xludf.DUMMYFUNCTION("""COMPUTED_VALUE"""),12.75)</f>
        <v>12.75</v>
      </c>
    </row>
    <row r="103">
      <c r="D103" t="str">
        <f>IFERROR(__xludf.DUMMYFUNCTION("""COMPUTED_VALUE"""),"Bailey")</f>
        <v>Bailey</v>
      </c>
      <c r="E103" t="str">
        <f>IFERROR(__xludf.DUMMYFUNCTION("""COMPUTED_VALUE"""),"Dion")</f>
        <v>Dion</v>
      </c>
      <c r="F103">
        <f>IFERROR(__xludf.DUMMYFUNCTION("""COMPUTED_VALUE"""),10.95)</f>
        <v>10.95</v>
      </c>
    </row>
    <row r="104">
      <c r="D104" t="str">
        <f>IFERROR(__xludf.DUMMYFUNCTION("""COMPUTED_VALUE"""),"Bailey")</f>
        <v>Bailey</v>
      </c>
      <c r="E104" t="str">
        <f>IFERROR(__xludf.DUMMYFUNCTION("""COMPUTED_VALUE"""),"Sterling")</f>
        <v>Sterling</v>
      </c>
      <c r="F104">
        <f>IFERROR(__xludf.DUMMYFUNCTION("""COMPUTED_VALUE"""),8.85)</f>
        <v>8.85</v>
      </c>
    </row>
    <row r="105">
      <c r="D105" t="str">
        <f>IFERROR(__xludf.DUMMYFUNCTION("""COMPUTED_VALUE"""),"Baker")</f>
        <v>Baker</v>
      </c>
      <c r="E105" t="str">
        <f>IFERROR(__xludf.DUMMYFUNCTION("""COMPUTED_VALUE"""),"Chris")</f>
        <v>Chris</v>
      </c>
      <c r="F105">
        <f>IFERROR(__xludf.DUMMYFUNCTION("""COMPUTED_VALUE"""),12.15)</f>
        <v>12.15</v>
      </c>
    </row>
    <row r="106">
      <c r="D106" t="str">
        <f>IFERROR(__xludf.DUMMYFUNCTION("""COMPUTED_VALUE"""),"Baker")</f>
        <v>Baker</v>
      </c>
      <c r="E106" t="str">
        <f>IFERROR(__xludf.DUMMYFUNCTION("""COMPUTED_VALUE"""),"Sean")</f>
        <v>Sean</v>
      </c>
      <c r="F106">
        <f>IFERROR(__xludf.DUMMYFUNCTION("""COMPUTED_VALUE"""),10.049999999999999)</f>
        <v>10.05</v>
      </c>
    </row>
    <row r="107">
      <c r="D107" t="str">
        <f>IFERROR(__xludf.DUMMYFUNCTION("""COMPUTED_VALUE"""),"Bakhtiari")</f>
        <v>Bakhtiari</v>
      </c>
      <c r="E107" t="str">
        <f>IFERROR(__xludf.DUMMYFUNCTION("""COMPUTED_VALUE"""),"David")</f>
        <v>David</v>
      </c>
      <c r="F107">
        <f>IFERROR(__xludf.DUMMYFUNCTION("""COMPUTED_VALUE"""),11.85)</f>
        <v>11.85</v>
      </c>
    </row>
    <row r="108">
      <c r="D108" t="str">
        <f>IFERROR(__xludf.DUMMYFUNCTION("""COMPUTED_VALUE"""),"Baldwin")</f>
        <v>Baldwin</v>
      </c>
      <c r="E108" t="str">
        <f>IFERROR(__xludf.DUMMYFUNCTION("""COMPUTED_VALUE"""),"Doug")</f>
        <v>Doug</v>
      </c>
      <c r="F108">
        <f>IFERROR(__xludf.DUMMYFUNCTION("""COMPUTED_VALUE"""),13.35)</f>
        <v>13.35</v>
      </c>
    </row>
    <row r="109">
      <c r="D109" t="str">
        <f>IFERROR(__xludf.DUMMYFUNCTION("""COMPUTED_VALUE"""),"Ball")</f>
        <v>Ball</v>
      </c>
      <c r="E109" t="str">
        <f>IFERROR(__xludf.DUMMYFUNCTION("""COMPUTED_VALUE"""),"Marcus")</f>
        <v>Marcus</v>
      </c>
      <c r="F109">
        <f>IFERROR(__xludf.DUMMYFUNCTION("""COMPUTED_VALUE"""),9.75)</f>
        <v>9.75</v>
      </c>
    </row>
    <row r="110">
      <c r="D110" t="str">
        <f>IFERROR(__xludf.DUMMYFUNCTION("""COMPUTED_VALUE"""),"Ball")</f>
        <v>Ball</v>
      </c>
      <c r="E110" t="str">
        <f>IFERROR(__xludf.DUMMYFUNCTION("""COMPUTED_VALUE"""),"Neiron")</f>
        <v>Neiron</v>
      </c>
      <c r="F110">
        <f>IFERROR(__xludf.DUMMYFUNCTION("""COMPUTED_VALUE"""),9.75)</f>
        <v>9.75</v>
      </c>
    </row>
    <row r="111">
      <c r="D111" t="str">
        <f>IFERROR(__xludf.DUMMYFUNCTION("""COMPUTED_VALUE"""),"Ballentine")</f>
        <v>Ballentine</v>
      </c>
      <c r="E111" t="str">
        <f>IFERROR(__xludf.DUMMYFUNCTION("""COMPUTED_VALUE"""),"Lonnie")</f>
        <v>Lonnie</v>
      </c>
      <c r="F111">
        <f>IFERROR(__xludf.DUMMYFUNCTION("""COMPUTED_VALUE"""),10.2)</f>
        <v>10.2</v>
      </c>
    </row>
    <row r="112">
      <c r="D112" t="str">
        <f>IFERROR(__xludf.DUMMYFUNCTION("""COMPUTED_VALUE"""),"Banjo")</f>
        <v>Banjo</v>
      </c>
      <c r="E112" t="str">
        <f>IFERROR(__xludf.DUMMYFUNCTION("""COMPUTED_VALUE"""),"Chris")</f>
        <v>Chris</v>
      </c>
      <c r="F112">
        <f>IFERROR(__xludf.DUMMYFUNCTION("""COMPUTED_VALUE"""),10.799999999999999)</f>
        <v>10.8</v>
      </c>
    </row>
    <row r="113">
      <c r="D113" t="str">
        <f>IFERROR(__xludf.DUMMYFUNCTION("""COMPUTED_VALUE"""),"Banks")</f>
        <v>Banks</v>
      </c>
      <c r="E113" t="str">
        <f>IFERROR(__xludf.DUMMYFUNCTION("""COMPUTED_VALUE"""),"Johnthan")</f>
        <v>Johnthan</v>
      </c>
      <c r="F113">
        <f>IFERROR(__xludf.DUMMYFUNCTION("""COMPUTED_VALUE"""),10.65)</f>
        <v>10.65</v>
      </c>
    </row>
    <row r="114">
      <c r="D114" t="str">
        <f>IFERROR(__xludf.DUMMYFUNCTION("""COMPUTED_VALUE"""),"Barber")</f>
        <v>Barber</v>
      </c>
      <c r="E114" t="str">
        <f>IFERROR(__xludf.DUMMYFUNCTION("""COMPUTED_VALUE"""),"Peyton")</f>
        <v>Peyton</v>
      </c>
      <c r="F114">
        <f>IFERROR(__xludf.DUMMYFUNCTION("""COMPUTED_VALUE"""),9.299999999999999)</f>
        <v>9.3</v>
      </c>
    </row>
    <row r="115">
      <c r="D115" t="str">
        <f>IFERROR(__xludf.DUMMYFUNCTION("""COMPUTED_VALUE"""),"Barbre")</f>
        <v>Barbre</v>
      </c>
      <c r="E115" t="str">
        <f>IFERROR(__xludf.DUMMYFUNCTION("""COMPUTED_VALUE"""),"Allen")</f>
        <v>Allen</v>
      </c>
      <c r="F115">
        <f>IFERROR(__xludf.DUMMYFUNCTION("""COMPUTED_VALUE"""),10.65)</f>
        <v>10.65</v>
      </c>
    </row>
    <row r="116">
      <c r="D116" t="str">
        <f>IFERROR(__xludf.DUMMYFUNCTION("""COMPUTED_VALUE"""),"Barclay")</f>
        <v>Barclay</v>
      </c>
      <c r="E116" t="str">
        <f>IFERROR(__xludf.DUMMYFUNCTION("""COMPUTED_VALUE"""),"Don")</f>
        <v>Don</v>
      </c>
      <c r="F116">
        <f>IFERROR(__xludf.DUMMYFUNCTION("""COMPUTED_VALUE"""),9.75)</f>
        <v>9.75</v>
      </c>
    </row>
    <row r="117">
      <c r="D117" t="str">
        <f>IFERROR(__xludf.DUMMYFUNCTION("""COMPUTED_VALUE"""),"Barker")</f>
        <v>Barker</v>
      </c>
      <c r="E117" t="str">
        <f>IFERROR(__xludf.DUMMYFUNCTION("""COMPUTED_VALUE"""),"Chris")</f>
        <v>Chris</v>
      </c>
      <c r="F117">
        <f>IFERROR(__xludf.DUMMYFUNCTION("""COMPUTED_VALUE"""),9.75)</f>
        <v>9.75</v>
      </c>
    </row>
    <row r="118">
      <c r="D118" t="str">
        <f>IFERROR(__xludf.DUMMYFUNCTION("""COMPUTED_VALUE"""),"Barkley")</f>
        <v>Barkley</v>
      </c>
      <c r="E118" t="str">
        <f>IFERROR(__xludf.DUMMYFUNCTION("""COMPUTED_VALUE"""),"Matt")</f>
        <v>Matt</v>
      </c>
      <c r="F118">
        <f>IFERROR(__xludf.DUMMYFUNCTION("""COMPUTED_VALUE"""),9.6)</f>
        <v>9.6</v>
      </c>
    </row>
    <row r="119">
      <c r="D119" t="str">
        <f>IFERROR(__xludf.DUMMYFUNCTION("""COMPUTED_VALUE"""),"Barksdale")</f>
        <v>Barksdale</v>
      </c>
      <c r="E119" t="str">
        <f>IFERROR(__xludf.DUMMYFUNCTION("""COMPUTED_VALUE"""),"Joe")</f>
        <v>Joe</v>
      </c>
      <c r="F119">
        <f>IFERROR(__xludf.DUMMYFUNCTION("""COMPUTED_VALUE"""),12.0)</f>
        <v>12</v>
      </c>
    </row>
    <row r="120">
      <c r="D120" t="str">
        <f>IFERROR(__xludf.DUMMYFUNCTION("""COMPUTED_VALUE"""),"Barner")</f>
        <v>Barner</v>
      </c>
      <c r="E120" t="str">
        <f>IFERROR(__xludf.DUMMYFUNCTION("""COMPUTED_VALUE"""),"Kenjon")</f>
        <v>Kenjon</v>
      </c>
      <c r="F120">
        <f>IFERROR(__xludf.DUMMYFUNCTION("""COMPUTED_VALUE"""),10.35)</f>
        <v>10.35</v>
      </c>
    </row>
    <row r="121">
      <c r="D121" t="str">
        <f>IFERROR(__xludf.DUMMYFUNCTION("""COMPUTED_VALUE"""),"Barnes")</f>
        <v>Barnes</v>
      </c>
      <c r="E121" t="str">
        <f>IFERROR(__xludf.DUMMYFUNCTION("""COMPUTED_VALUE"""),"Tavaris")</f>
        <v>Tavaris</v>
      </c>
      <c r="F121">
        <f>IFERROR(__xludf.DUMMYFUNCTION("""COMPUTED_VALUE"""),9.299999999999999)</f>
        <v>9.3</v>
      </c>
    </row>
    <row r="122">
      <c r="D122" t="str">
        <f>IFERROR(__xludf.DUMMYFUNCTION("""COMPUTED_VALUE"""),"Barnes")</f>
        <v>Barnes</v>
      </c>
      <c r="E122" t="str">
        <f>IFERROR(__xludf.DUMMYFUNCTION("""COMPUTED_VALUE"""),"Tim")</f>
        <v>Tim</v>
      </c>
      <c r="F122">
        <f>IFERROR(__xludf.DUMMYFUNCTION("""COMPUTED_VALUE"""),10.35)</f>
        <v>10.35</v>
      </c>
    </row>
    <row r="123">
      <c r="D123" t="str">
        <f>IFERROR(__xludf.DUMMYFUNCTION("""COMPUTED_VALUE"""),"Barnes")</f>
        <v>Barnes</v>
      </c>
      <c r="E123" t="str">
        <f>IFERROR(__xludf.DUMMYFUNCTION("""COMPUTED_VALUE"""),"TJ")</f>
        <v>TJ</v>
      </c>
      <c r="F123">
        <f>IFERROR(__xludf.DUMMYFUNCTION("""COMPUTED_VALUE"""),10.049999999999999)</f>
        <v>10.05</v>
      </c>
    </row>
    <row r="124">
      <c r="D124" t="str">
        <f>IFERROR(__xludf.DUMMYFUNCTION("""COMPUTED_VALUE"""),"Barney")</f>
        <v>Barney</v>
      </c>
      <c r="E124" t="str">
        <f>IFERROR(__xludf.DUMMYFUNCTION("""COMPUTED_VALUE"""),"Tarow")</f>
        <v>Tarow</v>
      </c>
      <c r="F124">
        <f>IFERROR(__xludf.DUMMYFUNCTION("""COMPUTED_VALUE"""),9.299999999999999)</f>
        <v>9.3</v>
      </c>
    </row>
    <row r="125">
      <c r="D125" t="str">
        <f>IFERROR(__xludf.DUMMYFUNCTION("""COMPUTED_VALUE"""),"Barnidge")</f>
        <v>Barnidge</v>
      </c>
      <c r="E125" t="str">
        <f>IFERROR(__xludf.DUMMYFUNCTION("""COMPUTED_VALUE"""),"Gary")</f>
        <v>Gary</v>
      </c>
      <c r="F125">
        <f>IFERROR(__xludf.DUMMYFUNCTION("""COMPUTED_VALUE"""),12.6)</f>
        <v>12.6</v>
      </c>
    </row>
    <row r="126">
      <c r="D126" t="str">
        <f>IFERROR(__xludf.DUMMYFUNCTION("""COMPUTED_VALUE"""),"Barr")</f>
        <v>Barr</v>
      </c>
      <c r="E126" t="str">
        <f>IFERROR(__xludf.DUMMYFUNCTION("""COMPUTED_VALUE"""),"Anthony")</f>
        <v>Anthony</v>
      </c>
      <c r="F126">
        <f>IFERROR(__xludf.DUMMYFUNCTION("""COMPUTED_VALUE"""),13.2)</f>
        <v>13.2</v>
      </c>
    </row>
    <row r="127">
      <c r="D127" t="str">
        <f>IFERROR(__xludf.DUMMYFUNCTION("""COMPUTED_VALUE"""),"Barrett")</f>
        <v>Barrett</v>
      </c>
      <c r="E127" t="str">
        <f>IFERROR(__xludf.DUMMYFUNCTION("""COMPUTED_VALUE"""),"Shaquil")</f>
        <v>Shaquil</v>
      </c>
      <c r="F127">
        <f>IFERROR(__xludf.DUMMYFUNCTION("""COMPUTED_VALUE"""),12.0)</f>
        <v>12</v>
      </c>
    </row>
    <row r="128">
      <c r="D128" t="str">
        <f>IFERROR(__xludf.DUMMYFUNCTION("""COMPUTED_VALUE"""),"Barrington")</f>
        <v>Barrington</v>
      </c>
      <c r="E128" t="str">
        <f>IFERROR(__xludf.DUMMYFUNCTION("""COMPUTED_VALUE"""),"Sam")</f>
        <v>Sam</v>
      </c>
      <c r="F128">
        <f>IFERROR(__xludf.DUMMYFUNCTION("""COMPUTED_VALUE"""),10.95)</f>
        <v>10.95</v>
      </c>
    </row>
    <row r="129">
      <c r="D129" t="str">
        <f>IFERROR(__xludf.DUMMYFUNCTION("""COMPUTED_VALUE"""),"Barron")</f>
        <v>Barron</v>
      </c>
      <c r="E129" t="str">
        <f>IFERROR(__xludf.DUMMYFUNCTION("""COMPUTED_VALUE"""),"Mark")</f>
        <v>Mark</v>
      </c>
      <c r="F129">
        <f>IFERROR(__xludf.DUMMYFUNCTION("""COMPUTED_VALUE"""),11.25)</f>
        <v>11.25</v>
      </c>
    </row>
    <row r="130">
      <c r="D130" t="str">
        <f>IFERROR(__xludf.DUMMYFUNCTION("""COMPUTED_VALUE"""),"Barrow")</f>
        <v>Barrow</v>
      </c>
      <c r="E130" t="str">
        <f>IFERROR(__xludf.DUMMYFUNCTION("""COMPUTED_VALUE"""),"Lamin")</f>
        <v>Lamin</v>
      </c>
      <c r="F130">
        <f>IFERROR(__xludf.DUMMYFUNCTION("""COMPUTED_VALUE"""),9.6)</f>
        <v>9.6</v>
      </c>
    </row>
    <row r="131">
      <c r="D131" t="str">
        <f>IFERROR(__xludf.DUMMYFUNCTION("""COMPUTED_VALUE"""),"Barth")</f>
        <v>Barth</v>
      </c>
      <c r="E131" t="str">
        <f>IFERROR(__xludf.DUMMYFUNCTION("""COMPUTED_VALUE"""),"Connor")</f>
        <v>Connor</v>
      </c>
      <c r="F131">
        <f>IFERROR(__xludf.DUMMYFUNCTION("""COMPUTED_VALUE"""),11.85)</f>
        <v>11.85</v>
      </c>
    </row>
    <row r="132">
      <c r="D132" t="str">
        <f>IFERROR(__xludf.DUMMYFUNCTION("""COMPUTED_VALUE"""),"Barton")</f>
        <v>Barton</v>
      </c>
      <c r="E132" t="str">
        <f>IFERROR(__xludf.DUMMYFUNCTION("""COMPUTED_VALUE"""),"Karim")</f>
        <v>Karim</v>
      </c>
      <c r="F132">
        <f>IFERROR(__xludf.DUMMYFUNCTION("""COMPUTED_VALUE"""),9.0)</f>
        <v>9</v>
      </c>
    </row>
    <row r="133">
      <c r="D133" t="str">
        <f>IFERROR(__xludf.DUMMYFUNCTION("""COMPUTED_VALUE"""),"Bartu")</f>
        <v>Bartu</v>
      </c>
      <c r="E133" t="str">
        <f>IFERROR(__xludf.DUMMYFUNCTION("""COMPUTED_VALUE"""),"Joplo")</f>
        <v>Joplo</v>
      </c>
      <c r="F133">
        <f>IFERROR(__xludf.DUMMYFUNCTION("""COMPUTED_VALUE"""),10.95)</f>
        <v>10.95</v>
      </c>
    </row>
    <row r="134">
      <c r="D134" t="str">
        <f>IFERROR(__xludf.DUMMYFUNCTION("""COMPUTED_VALUE"""),"Barwin")</f>
        <v>Barwin</v>
      </c>
      <c r="E134" t="str">
        <f>IFERROR(__xludf.DUMMYFUNCTION("""COMPUTED_VALUE"""),"Connor")</f>
        <v>Connor</v>
      </c>
      <c r="F134">
        <f>IFERROR(__xludf.DUMMYFUNCTION("""COMPUTED_VALUE"""),12.6)</f>
        <v>12.6</v>
      </c>
    </row>
    <row r="135">
      <c r="D135" t="str">
        <f>IFERROR(__xludf.DUMMYFUNCTION("""COMPUTED_VALUE"""),"Bass")</f>
        <v>Bass</v>
      </c>
      <c r="E135" t="str">
        <f>IFERROR(__xludf.DUMMYFUNCTION("""COMPUTED_VALUE"""),"David")</f>
        <v>David</v>
      </c>
      <c r="F135">
        <f>IFERROR(__xludf.DUMMYFUNCTION("""COMPUTED_VALUE"""),9.9)</f>
        <v>9.9</v>
      </c>
    </row>
    <row r="136">
      <c r="D136" t="str">
        <f>IFERROR(__xludf.DUMMYFUNCTION("""COMPUTED_VALUE"""),"Bates")</f>
        <v>Bates</v>
      </c>
      <c r="E136" t="str">
        <f>IFERROR(__xludf.DUMMYFUNCTION("""COMPUTED_VALUE"""),"Daren")</f>
        <v>Daren</v>
      </c>
      <c r="F136">
        <f>IFERROR(__xludf.DUMMYFUNCTION("""COMPUTED_VALUE"""),9.15)</f>
        <v>9.15</v>
      </c>
    </row>
    <row r="137">
      <c r="D137" t="str">
        <f>IFERROR(__xludf.DUMMYFUNCTION("""COMPUTED_VALUE"""),"Bates")</f>
        <v>Bates</v>
      </c>
      <c r="E137" t="str">
        <f>IFERROR(__xludf.DUMMYFUNCTION("""COMPUTED_VALUE"""),"Houston")</f>
        <v>Houston</v>
      </c>
      <c r="F137">
        <f>IFERROR(__xludf.DUMMYFUNCTION("""COMPUTED_VALUE"""),9.0)</f>
        <v>9</v>
      </c>
    </row>
    <row r="138">
      <c r="D138" t="str">
        <f>IFERROR(__xludf.DUMMYFUNCTION("""COMPUTED_VALUE"""),"Bates")</f>
        <v>Bates</v>
      </c>
      <c r="E138" t="str">
        <f>IFERROR(__xludf.DUMMYFUNCTION("""COMPUTED_VALUE"""),"Trevor")</f>
        <v>Trevor</v>
      </c>
      <c r="F138">
        <f>IFERROR(__xludf.DUMMYFUNCTION("""COMPUTED_VALUE"""),9.15)</f>
        <v>9.15</v>
      </c>
    </row>
    <row r="139">
      <c r="D139" t="str">
        <f>IFERROR(__xludf.DUMMYFUNCTION("""COMPUTED_VALUE"""),"Battle")</f>
        <v>Battle</v>
      </c>
      <c r="E139" t="str">
        <f>IFERROR(__xludf.DUMMYFUNCTION("""COMPUTED_VALUE"""),"Isaiah")</f>
        <v>Isaiah</v>
      </c>
      <c r="F139">
        <f>IFERROR(__xludf.DUMMYFUNCTION("""COMPUTED_VALUE"""),10.2)</f>
        <v>10.2</v>
      </c>
    </row>
    <row r="140">
      <c r="D140" t="str">
        <f>IFERROR(__xludf.DUMMYFUNCTION("""COMPUTED_VALUE"""),"Beachum")</f>
        <v>Beachum</v>
      </c>
      <c r="E140" t="str">
        <f>IFERROR(__xludf.DUMMYFUNCTION("""COMPUTED_VALUE"""),"Kelvin")</f>
        <v>Kelvin</v>
      </c>
      <c r="F140">
        <f>IFERROR(__xludf.DUMMYFUNCTION("""COMPUTED_VALUE"""),12.299999999999999)</f>
        <v>12.3</v>
      </c>
    </row>
    <row r="141">
      <c r="D141" t="str">
        <f>IFERROR(__xludf.DUMMYFUNCTION("""COMPUTED_VALUE"""),"Beadles")</f>
        <v>Beadles</v>
      </c>
      <c r="E141" t="str">
        <f>IFERROR(__xludf.DUMMYFUNCTION("""COMPUTED_VALUE"""),"Zane")</f>
        <v>Zane</v>
      </c>
      <c r="F141">
        <f>IFERROR(__xludf.DUMMYFUNCTION("""COMPUTED_VALUE"""),10.95)</f>
        <v>10.95</v>
      </c>
    </row>
    <row r="142">
      <c r="D142" t="str">
        <f>IFERROR(__xludf.DUMMYFUNCTION("""COMPUTED_VALUE"""),"Beasley")</f>
        <v>Beasley</v>
      </c>
      <c r="E142" t="str">
        <f>IFERROR(__xludf.DUMMYFUNCTION("""COMPUTED_VALUE"""),"Cole")</f>
        <v>Cole</v>
      </c>
      <c r="F142">
        <f>IFERROR(__xludf.DUMMYFUNCTION("""COMPUTED_VALUE"""),11.549999999999999)</f>
        <v>11.55</v>
      </c>
    </row>
    <row r="143">
      <c r="D143" t="str">
        <f>IFERROR(__xludf.DUMMYFUNCTION("""COMPUTED_VALUE"""),"Beasley Jr.")</f>
        <v>Beasley Jr.</v>
      </c>
      <c r="E143" t="str">
        <f>IFERROR(__xludf.DUMMYFUNCTION("""COMPUTED_VALUE"""),"Vic")</f>
        <v>Vic</v>
      </c>
      <c r="F143">
        <f>IFERROR(__xludf.DUMMYFUNCTION("""COMPUTED_VALUE"""),11.85)</f>
        <v>11.85</v>
      </c>
    </row>
    <row r="144">
      <c r="D144" t="str">
        <f>IFERROR(__xludf.DUMMYFUNCTION("""COMPUTED_VALUE"""),"Beavers")</f>
        <v>Beavers</v>
      </c>
      <c r="E144" t="str">
        <f>IFERROR(__xludf.DUMMYFUNCTION("""COMPUTED_VALUE"""),"Willie")</f>
        <v>Willie</v>
      </c>
      <c r="F144">
        <f>IFERROR(__xludf.DUMMYFUNCTION("""COMPUTED_VALUE"""),10.35)</f>
        <v>10.35</v>
      </c>
    </row>
    <row r="145">
      <c r="D145" t="str">
        <f>IFERROR(__xludf.DUMMYFUNCTION("""COMPUTED_VALUE"""),"Beckham Jr.")</f>
        <v>Beckham Jr.</v>
      </c>
      <c r="E145" t="str">
        <f>IFERROR(__xludf.DUMMYFUNCTION("""COMPUTED_VALUE"""),"Odell")</f>
        <v>Odell</v>
      </c>
      <c r="F145">
        <f>IFERROR(__xludf.DUMMYFUNCTION("""COMPUTED_VALUE"""),13.95)</f>
        <v>13.95</v>
      </c>
    </row>
    <row r="146">
      <c r="D146" t="str">
        <f>IFERROR(__xludf.DUMMYFUNCTION("""COMPUTED_VALUE"""),"Becton")</f>
        <v>Becton</v>
      </c>
      <c r="E146" t="str">
        <f>IFERROR(__xludf.DUMMYFUNCTION("""COMPUTED_VALUE"""),"Nick")</f>
        <v>Nick</v>
      </c>
      <c r="F146">
        <f>IFERROR(__xludf.DUMMYFUNCTION("""COMPUTED_VALUE"""),9.75)</f>
        <v>9.75</v>
      </c>
    </row>
    <row r="147">
      <c r="D147" t="str">
        <f>IFERROR(__xludf.DUMMYFUNCTION("""COMPUTED_VALUE"""),"Bell")</f>
        <v>Bell</v>
      </c>
      <c r="E147" t="str">
        <f>IFERROR(__xludf.DUMMYFUNCTION("""COMPUTED_VALUE"""),"Blake")</f>
        <v>Blake</v>
      </c>
      <c r="F147">
        <f>IFERROR(__xludf.DUMMYFUNCTION("""COMPUTED_VALUE"""),9.75)</f>
        <v>9.75</v>
      </c>
    </row>
    <row r="148">
      <c r="D148" t="str">
        <f>IFERROR(__xludf.DUMMYFUNCTION("""COMPUTED_VALUE"""),"Bell")</f>
        <v>Bell</v>
      </c>
      <c r="E148" t="str">
        <f>IFERROR(__xludf.DUMMYFUNCTION("""COMPUTED_VALUE"""),"Byron")</f>
        <v>Byron</v>
      </c>
      <c r="F148">
        <f>IFERROR(__xludf.DUMMYFUNCTION("""COMPUTED_VALUE"""),10.5)</f>
        <v>10.5</v>
      </c>
    </row>
    <row r="149">
      <c r="D149" t="str">
        <f>IFERROR(__xludf.DUMMYFUNCTION("""COMPUTED_VALUE"""),"Bell")</f>
        <v>Bell</v>
      </c>
      <c r="E149" t="str">
        <f>IFERROR(__xludf.DUMMYFUNCTION("""COMPUTED_VALUE"""),"Jered")</f>
        <v>Jered</v>
      </c>
      <c r="F149">
        <f>IFERROR(__xludf.DUMMYFUNCTION("""COMPUTED_VALUE"""),9.0)</f>
        <v>9</v>
      </c>
    </row>
    <row r="150">
      <c r="D150" t="str">
        <f>IFERROR(__xludf.DUMMYFUNCTION("""COMPUTED_VALUE"""),"Bell")</f>
        <v>Bell</v>
      </c>
      <c r="E150" t="str">
        <f>IFERROR(__xludf.DUMMYFUNCTION("""COMPUTED_VALUE"""),"Kenny")</f>
        <v>Kenny</v>
      </c>
      <c r="F150">
        <f>IFERROR(__xludf.DUMMYFUNCTION("""COMPUTED_VALUE"""),9.45)</f>
        <v>9.45</v>
      </c>
    </row>
    <row r="151">
      <c r="D151" t="str">
        <f>IFERROR(__xludf.DUMMYFUNCTION("""COMPUTED_VALUE"""),"Bell")</f>
        <v>Bell</v>
      </c>
      <c r="E151" t="str">
        <f>IFERROR(__xludf.DUMMYFUNCTION("""COMPUTED_VALUE"""),"LeVeon")</f>
        <v>LeVeon</v>
      </c>
      <c r="F151">
        <f>IFERROR(__xludf.DUMMYFUNCTION("""COMPUTED_VALUE"""),14.1)</f>
        <v>14.1</v>
      </c>
    </row>
    <row r="152">
      <c r="D152" t="str">
        <f>IFERROR(__xludf.DUMMYFUNCTION("""COMPUTED_VALUE"""),"Bell")</f>
        <v>Bell</v>
      </c>
      <c r="E152" t="str">
        <f>IFERROR(__xludf.DUMMYFUNCTION("""COMPUTED_VALUE"""),"Vonn")</f>
        <v>Vonn</v>
      </c>
      <c r="F152">
        <f>IFERROR(__xludf.DUMMYFUNCTION("""COMPUTED_VALUE"""),10.65)</f>
        <v>10.65</v>
      </c>
    </row>
    <row r="153">
      <c r="D153" t="str">
        <f>IFERROR(__xludf.DUMMYFUNCTION("""COMPUTED_VALUE"""),"Bellamy")</f>
        <v>Bellamy</v>
      </c>
      <c r="E153" t="str">
        <f>IFERROR(__xludf.DUMMYFUNCTION("""COMPUTED_VALUE"""),"Joshua")</f>
        <v>Joshua</v>
      </c>
      <c r="F153">
        <f>IFERROR(__xludf.DUMMYFUNCTION("""COMPUTED_VALUE"""),10.2)</f>
        <v>10.2</v>
      </c>
    </row>
    <row r="154">
      <c r="D154" t="str">
        <f>IFERROR(__xludf.DUMMYFUNCTION("""COMPUTED_VALUE"""),"Bellore")</f>
        <v>Bellore</v>
      </c>
      <c r="E154" t="str">
        <f>IFERROR(__xludf.DUMMYFUNCTION("""COMPUTED_VALUE"""),"Nick")</f>
        <v>Nick</v>
      </c>
      <c r="F154">
        <f>IFERROR(__xludf.DUMMYFUNCTION("""COMPUTED_VALUE"""),9.9)</f>
        <v>9.9</v>
      </c>
    </row>
    <row r="155">
      <c r="D155" t="str">
        <f>IFERROR(__xludf.DUMMYFUNCTION("""COMPUTED_VALUE"""),"Benenoch")</f>
        <v>Benenoch</v>
      </c>
      <c r="E155" t="str">
        <f>IFERROR(__xludf.DUMMYFUNCTION("""COMPUTED_VALUE"""),"Caleb")</f>
        <v>Caleb</v>
      </c>
      <c r="F155">
        <f>IFERROR(__xludf.DUMMYFUNCTION("""COMPUTED_VALUE"""),9.9)</f>
        <v>9.9</v>
      </c>
    </row>
    <row r="156">
      <c r="D156" t="str">
        <f>IFERROR(__xludf.DUMMYFUNCTION("""COMPUTED_VALUE"""),"Benjamin")</f>
        <v>Benjamin</v>
      </c>
      <c r="E156" t="str">
        <f>IFERROR(__xludf.DUMMYFUNCTION("""COMPUTED_VALUE"""),"Kelvin")</f>
        <v>Kelvin</v>
      </c>
      <c r="F156">
        <f>IFERROR(__xludf.DUMMYFUNCTION("""COMPUTED_VALUE"""),12.45)</f>
        <v>12.45</v>
      </c>
    </row>
    <row r="157">
      <c r="D157" t="str">
        <f>IFERROR(__xludf.DUMMYFUNCTION("""COMPUTED_VALUE"""),"Benjamin")</f>
        <v>Benjamin</v>
      </c>
      <c r="E157" t="str">
        <f>IFERROR(__xludf.DUMMYFUNCTION("""COMPUTED_VALUE"""),"Travis")</f>
        <v>Travis</v>
      </c>
      <c r="F157">
        <f>IFERROR(__xludf.DUMMYFUNCTION("""COMPUTED_VALUE"""),11.7)</f>
        <v>11.7</v>
      </c>
    </row>
    <row r="158">
      <c r="D158" t="str">
        <f>IFERROR(__xludf.DUMMYFUNCTION("""COMPUTED_VALUE"""),"Bennett")</f>
        <v>Bennett</v>
      </c>
      <c r="E158" t="str">
        <f>IFERROR(__xludf.DUMMYFUNCTION("""COMPUTED_VALUE"""),"Martellus")</f>
        <v>Martellus</v>
      </c>
      <c r="F158">
        <f>IFERROR(__xludf.DUMMYFUNCTION("""COMPUTED_VALUE"""),12.75)</f>
        <v>12.75</v>
      </c>
    </row>
    <row r="159">
      <c r="D159" t="str">
        <f>IFERROR(__xludf.DUMMYFUNCTION("""COMPUTED_VALUE"""),"Bennett")</f>
        <v>Bennett</v>
      </c>
      <c r="E159" t="str">
        <f>IFERROR(__xludf.DUMMYFUNCTION("""COMPUTED_VALUE"""),"Michael")</f>
        <v>Michael</v>
      </c>
      <c r="F159">
        <f>IFERROR(__xludf.DUMMYFUNCTION("""COMPUTED_VALUE"""),13.65)</f>
        <v>13.65</v>
      </c>
    </row>
    <row r="160">
      <c r="D160" t="str">
        <f>IFERROR(__xludf.DUMMYFUNCTION("""COMPUTED_VALUE"""),"Bennett")</f>
        <v>Bennett</v>
      </c>
      <c r="E160" t="str">
        <f>IFERROR(__xludf.DUMMYFUNCTION("""COMPUTED_VALUE"""),"Michael")</f>
        <v>Michael</v>
      </c>
      <c r="F160">
        <f>IFERROR(__xludf.DUMMYFUNCTION("""COMPUTED_VALUE"""),9.9)</f>
        <v>9.9</v>
      </c>
    </row>
    <row r="161">
      <c r="D161" t="str">
        <f>IFERROR(__xludf.DUMMYFUNCTION("""COMPUTED_VALUE"""),"Benwikere")</f>
        <v>Benwikere</v>
      </c>
      <c r="E161" t="str">
        <f>IFERROR(__xludf.DUMMYFUNCTION("""COMPUTED_VALUE"""),"Bene")</f>
        <v>Bene</v>
      </c>
      <c r="F161">
        <f>IFERROR(__xludf.DUMMYFUNCTION("""COMPUTED_VALUE"""),12.0)</f>
        <v>12</v>
      </c>
    </row>
    <row r="162">
      <c r="D162" t="str">
        <f>IFERROR(__xludf.DUMMYFUNCTION("""COMPUTED_VALUE"""),"Bercovici")</f>
        <v>Bercovici</v>
      </c>
      <c r="E162" t="str">
        <f>IFERROR(__xludf.DUMMYFUNCTION("""COMPUTED_VALUE"""),"Mike")</f>
        <v>Mike</v>
      </c>
      <c r="F162">
        <f>IFERROR(__xludf.DUMMYFUNCTION("""COMPUTED_VALUE"""),9.45)</f>
        <v>9.45</v>
      </c>
    </row>
    <row r="163">
      <c r="D163" t="str">
        <f>IFERROR(__xludf.DUMMYFUNCTION("""COMPUTED_VALUE"""),"Berger")</f>
        <v>Berger</v>
      </c>
      <c r="E163" t="str">
        <f>IFERROR(__xludf.DUMMYFUNCTION("""COMPUTED_VALUE"""),"Joe")</f>
        <v>Joe</v>
      </c>
      <c r="F163">
        <f>IFERROR(__xludf.DUMMYFUNCTION("""COMPUTED_VALUE"""),12.45)</f>
        <v>12.45</v>
      </c>
    </row>
    <row r="164">
      <c r="D164" t="str">
        <f>IFERROR(__xludf.DUMMYFUNCTION("""COMPUTED_VALUE"""),"Bergstrom")</f>
        <v>Bergstrom</v>
      </c>
      <c r="E164" t="str">
        <f>IFERROR(__xludf.DUMMYFUNCTION("""COMPUTED_VALUE"""),"Tony")</f>
        <v>Tony</v>
      </c>
      <c r="F164">
        <f>IFERROR(__xludf.DUMMYFUNCTION("""COMPUTED_VALUE"""),10.35)</f>
        <v>10.35</v>
      </c>
    </row>
    <row r="165">
      <c r="D165" t="str">
        <f>IFERROR(__xludf.DUMMYFUNCTION("""COMPUTED_VALUE"""),"Berhe")</f>
        <v>Berhe</v>
      </c>
      <c r="E165" t="str">
        <f>IFERROR(__xludf.DUMMYFUNCTION("""COMPUTED_VALUE"""),"Nat")</f>
        <v>Nat</v>
      </c>
      <c r="F165">
        <f>IFERROR(__xludf.DUMMYFUNCTION("""COMPUTED_VALUE"""),9.9)</f>
        <v>9.9</v>
      </c>
    </row>
    <row r="166">
      <c r="D166" t="str">
        <f>IFERROR(__xludf.DUMMYFUNCTION("""COMPUTED_VALUE"""),"Bernadeau")</f>
        <v>Bernadeau</v>
      </c>
      <c r="E166" t="str">
        <f>IFERROR(__xludf.DUMMYFUNCTION("""COMPUTED_VALUE"""),"Mackenzy")</f>
        <v>Mackenzy</v>
      </c>
      <c r="F166">
        <f>IFERROR(__xludf.DUMMYFUNCTION("""COMPUTED_VALUE"""),11.1)</f>
        <v>11.1</v>
      </c>
    </row>
    <row r="167">
      <c r="D167" t="str">
        <f>IFERROR(__xludf.DUMMYFUNCTION("""COMPUTED_VALUE"""),"Bernard")</f>
        <v>Bernard</v>
      </c>
      <c r="E167" t="str">
        <f>IFERROR(__xludf.DUMMYFUNCTION("""COMPUTED_VALUE"""),"Giovani")</f>
        <v>Giovani</v>
      </c>
      <c r="F167">
        <f>IFERROR(__xludf.DUMMYFUNCTION("""COMPUTED_VALUE"""),12.75)</f>
        <v>12.75</v>
      </c>
    </row>
    <row r="168">
      <c r="D168" t="str">
        <f>IFERROR(__xludf.DUMMYFUNCTION("""COMPUTED_VALUE"""),"Berry")</f>
        <v>Berry</v>
      </c>
      <c r="E168" t="str">
        <f>IFERROR(__xludf.DUMMYFUNCTION("""COMPUTED_VALUE"""),"Eric")</f>
        <v>Eric</v>
      </c>
      <c r="F168">
        <f>IFERROR(__xludf.DUMMYFUNCTION("""COMPUTED_VALUE"""),13.95)</f>
        <v>13.95</v>
      </c>
    </row>
    <row r="169">
      <c r="D169" t="str">
        <f>IFERROR(__xludf.DUMMYFUNCTION("""COMPUTED_VALUE"""),"Berry")</f>
        <v>Berry</v>
      </c>
      <c r="E169" t="str">
        <f>IFERROR(__xludf.DUMMYFUNCTION("""COMPUTED_VALUE"""),"Jordan")</f>
        <v>Jordan</v>
      </c>
      <c r="F169">
        <f>IFERROR(__xludf.DUMMYFUNCTION("""COMPUTED_VALUE"""),11.85)</f>
        <v>11.85</v>
      </c>
    </row>
    <row r="170">
      <c r="D170" t="str">
        <f>IFERROR(__xludf.DUMMYFUNCTION("""COMPUTED_VALUE"""),"Bersin")</f>
        <v>Bersin</v>
      </c>
      <c r="E170" t="str">
        <f>IFERROR(__xludf.DUMMYFUNCTION("""COMPUTED_VALUE"""),"Brenton")</f>
        <v>Brenton</v>
      </c>
      <c r="F170">
        <f>IFERROR(__xludf.DUMMYFUNCTION("""COMPUTED_VALUE"""),10.35)</f>
        <v>10.35</v>
      </c>
    </row>
    <row r="171">
      <c r="D171" t="str">
        <f>IFERROR(__xludf.DUMMYFUNCTION("""COMPUTED_VALUE"""),"Bertolet")</f>
        <v>Bertolet</v>
      </c>
      <c r="E171" t="str">
        <f>IFERROR(__xludf.DUMMYFUNCTION("""COMPUTED_VALUE"""),"Taylor")</f>
        <v>Taylor</v>
      </c>
      <c r="F171">
        <f>IFERROR(__xludf.DUMMYFUNCTION("""COMPUTED_VALUE"""),9.75)</f>
        <v>9.75</v>
      </c>
    </row>
    <row r="172">
      <c r="D172" t="str">
        <f>IFERROR(__xludf.DUMMYFUNCTION("""COMPUTED_VALUE"""),"Bethea")</f>
        <v>Bethea</v>
      </c>
      <c r="E172" t="str">
        <f>IFERROR(__xludf.DUMMYFUNCTION("""COMPUTED_VALUE"""),"Antoine")</f>
        <v>Antoine</v>
      </c>
      <c r="F172">
        <f>IFERROR(__xludf.DUMMYFUNCTION("""COMPUTED_VALUE"""),11.549999999999999)</f>
        <v>11.55</v>
      </c>
    </row>
    <row r="173">
      <c r="D173" t="str">
        <f>IFERROR(__xludf.DUMMYFUNCTION("""COMPUTED_VALUE"""),"Bethel")</f>
        <v>Bethel</v>
      </c>
      <c r="E173" t="str">
        <f>IFERROR(__xludf.DUMMYFUNCTION("""COMPUTED_VALUE"""),"Justin")</f>
        <v>Justin</v>
      </c>
      <c r="F173">
        <f>IFERROR(__xludf.DUMMYFUNCTION("""COMPUTED_VALUE"""),11.1)</f>
        <v>11.1</v>
      </c>
    </row>
    <row r="174">
      <c r="D174" t="str">
        <f>IFERROR(__xludf.DUMMYFUNCTION("""COMPUTED_VALUE"""),"Bethel-Thompson")</f>
        <v>Bethel-Thompson</v>
      </c>
      <c r="E174" t="str">
        <f>IFERROR(__xludf.DUMMYFUNCTION("""COMPUTED_VALUE"""),"McLeod")</f>
        <v>McLeod</v>
      </c>
      <c r="F174">
        <f>IFERROR(__xludf.DUMMYFUNCTION("""COMPUTED_VALUE"""),9.45)</f>
        <v>9.45</v>
      </c>
    </row>
    <row r="175">
      <c r="D175" t="str">
        <f>IFERROR(__xludf.DUMMYFUNCTION("""COMPUTED_VALUE"""),"Bibbs")</f>
        <v>Bibbs</v>
      </c>
      <c r="E175" t="str">
        <f>IFERROR(__xludf.DUMMYFUNCTION("""COMPUTED_VALUE"""),"EJ")</f>
        <v>EJ</v>
      </c>
      <c r="F175">
        <f>IFERROR(__xludf.DUMMYFUNCTION("""COMPUTED_VALUE"""),9.75)</f>
        <v>9.75</v>
      </c>
    </row>
    <row r="176">
      <c r="D176" t="str">
        <f>IFERROR(__xludf.DUMMYFUNCTION("""COMPUTED_VALUE"""),"Bibbs")</f>
        <v>Bibbs</v>
      </c>
      <c r="E176" t="str">
        <f>IFERROR(__xludf.DUMMYFUNCTION("""COMPUTED_VALUE"""),"Kapri")</f>
        <v>Kapri</v>
      </c>
      <c r="F176">
        <f>IFERROR(__xludf.DUMMYFUNCTION("""COMPUTED_VALUE"""),9.6)</f>
        <v>9.6</v>
      </c>
    </row>
    <row r="177">
      <c r="D177" t="str">
        <f>IFERROR(__xludf.DUMMYFUNCTION("""COMPUTED_VALUE"""),"Biggers")</f>
        <v>Biggers</v>
      </c>
      <c r="E177" t="str">
        <f>IFERROR(__xludf.DUMMYFUNCTION("""COMPUTED_VALUE"""),"EJ")</f>
        <v>EJ</v>
      </c>
      <c r="F177">
        <f>IFERROR(__xludf.DUMMYFUNCTION("""COMPUTED_VALUE"""),10.5)</f>
        <v>10.5</v>
      </c>
    </row>
    <row r="178">
      <c r="D178" t="str">
        <f>IFERROR(__xludf.DUMMYFUNCTION("""COMPUTED_VALUE"""),"Billings")</f>
        <v>Billings</v>
      </c>
      <c r="E178" t="str">
        <f>IFERROR(__xludf.DUMMYFUNCTION("""COMPUTED_VALUE"""),"Andrew")</f>
        <v>Andrew</v>
      </c>
      <c r="F178">
        <f>IFERROR(__xludf.DUMMYFUNCTION("""COMPUTED_VALUE"""),10.049999999999999)</f>
        <v>10.05</v>
      </c>
    </row>
    <row r="179">
      <c r="D179" t="str">
        <f>IFERROR(__xludf.DUMMYFUNCTION("""COMPUTED_VALUE"""),"Bitonio")</f>
        <v>Bitonio</v>
      </c>
      <c r="E179" t="str">
        <f>IFERROR(__xludf.DUMMYFUNCTION("""COMPUTED_VALUE"""),"Joel")</f>
        <v>Joel</v>
      </c>
      <c r="F179">
        <f>IFERROR(__xludf.DUMMYFUNCTION("""COMPUTED_VALUE"""),12.45)</f>
        <v>12.45</v>
      </c>
    </row>
    <row r="180">
      <c r="D180" t="str">
        <f>IFERROR(__xludf.DUMMYFUNCTION("""COMPUTED_VALUE"""),"Blackmon")</f>
        <v>Blackmon</v>
      </c>
      <c r="E180" t="str">
        <f>IFERROR(__xludf.DUMMYFUNCTION("""COMPUTED_VALUE"""),"Justin")</f>
        <v>Justin</v>
      </c>
      <c r="F180">
        <f>IFERROR(__xludf.DUMMYFUNCTION("""COMPUTED_VALUE"""),10.2)</f>
        <v>10.2</v>
      </c>
    </row>
    <row r="181">
      <c r="D181" t="str">
        <f>IFERROR(__xludf.DUMMYFUNCTION("""COMPUTED_VALUE"""),"Blackmon")</f>
        <v>Blackmon</v>
      </c>
      <c r="E181" t="str">
        <f>IFERROR(__xludf.DUMMYFUNCTION("""COMPUTED_VALUE"""),"Will")</f>
        <v>Will</v>
      </c>
      <c r="F181">
        <f>IFERROR(__xludf.DUMMYFUNCTION("""COMPUTED_VALUE"""),10.799999999999999)</f>
        <v>10.8</v>
      </c>
    </row>
    <row r="182">
      <c r="D182" t="str">
        <f>IFERROR(__xludf.DUMMYFUNCTION("""COMPUTED_VALUE"""),"Blackson")</f>
        <v>Blackson</v>
      </c>
      <c r="E182" t="str">
        <f>IFERROR(__xludf.DUMMYFUNCTION("""COMPUTED_VALUE"""),"Angelo")</f>
        <v>Angelo</v>
      </c>
      <c r="F182">
        <f>IFERROR(__xludf.DUMMYFUNCTION("""COMPUTED_VALUE"""),9.15)</f>
        <v>9.15</v>
      </c>
    </row>
    <row r="183">
      <c r="D183" t="str">
        <f>IFERROR(__xludf.DUMMYFUNCTION("""COMPUTED_VALUE"""),"Blair III")</f>
        <v>Blair III</v>
      </c>
      <c r="E183" t="str">
        <f>IFERROR(__xludf.DUMMYFUNCTION("""COMPUTED_VALUE"""),"Ronald")</f>
        <v>Ronald</v>
      </c>
      <c r="F183">
        <f>IFERROR(__xludf.DUMMYFUNCTION("""COMPUTED_VALUE"""),9.299999999999999)</f>
        <v>9.3</v>
      </c>
    </row>
    <row r="184">
      <c r="D184" t="str">
        <f>IFERROR(__xludf.DUMMYFUNCTION("""COMPUTED_VALUE"""),"Blake")</f>
        <v>Blake</v>
      </c>
      <c r="E184" t="str">
        <f>IFERROR(__xludf.DUMMYFUNCTION("""COMPUTED_VALUE"""),"Antwon")</f>
        <v>Antwon</v>
      </c>
      <c r="F184">
        <f>IFERROR(__xludf.DUMMYFUNCTION("""COMPUTED_VALUE"""),11.25)</f>
        <v>11.25</v>
      </c>
    </row>
    <row r="185">
      <c r="D185" t="str">
        <f>IFERROR(__xludf.DUMMYFUNCTION("""COMPUTED_VALUE"""),"Blanton")</f>
        <v>Blanton</v>
      </c>
      <c r="E185" t="str">
        <f>IFERROR(__xludf.DUMMYFUNCTION("""COMPUTED_VALUE"""),"Robert")</f>
        <v>Robert</v>
      </c>
      <c r="F185">
        <f>IFERROR(__xludf.DUMMYFUNCTION("""COMPUTED_VALUE"""),11.4)</f>
        <v>11.4</v>
      </c>
    </row>
    <row r="186">
      <c r="D186" t="str">
        <f>IFERROR(__xludf.DUMMYFUNCTION("""COMPUTED_VALUE"""),"Blount")</f>
        <v>Blount</v>
      </c>
      <c r="E186" t="str">
        <f>IFERROR(__xludf.DUMMYFUNCTION("""COMPUTED_VALUE"""),"LeGarrette")</f>
        <v>LeGarrette</v>
      </c>
      <c r="F186">
        <f>IFERROR(__xludf.DUMMYFUNCTION("""COMPUTED_VALUE"""),12.15)</f>
        <v>12.15</v>
      </c>
    </row>
    <row r="187">
      <c r="D187" t="str">
        <f>IFERROR(__xludf.DUMMYFUNCTION("""COMPUTED_VALUE"""),"Blue")</f>
        <v>Blue</v>
      </c>
      <c r="E187" t="str">
        <f>IFERROR(__xludf.DUMMYFUNCTION("""COMPUTED_VALUE"""),"Alfred")</f>
        <v>Alfred</v>
      </c>
      <c r="F187">
        <f>IFERROR(__xludf.DUMMYFUNCTION("""COMPUTED_VALUE"""),11.4)</f>
        <v>11.4</v>
      </c>
    </row>
    <row r="188">
      <c r="D188" t="str">
        <f>IFERROR(__xludf.DUMMYFUNCTION("""COMPUTED_VALUE"""),"Blythe")</f>
        <v>Blythe</v>
      </c>
      <c r="E188" t="str">
        <f>IFERROR(__xludf.DUMMYFUNCTION("""COMPUTED_VALUE"""),"Austin")</f>
        <v>Austin</v>
      </c>
      <c r="F188">
        <f>IFERROR(__xludf.DUMMYFUNCTION("""COMPUTED_VALUE"""),9.45)</f>
        <v>9.45</v>
      </c>
    </row>
    <row r="189">
      <c r="D189" t="str">
        <f>IFERROR(__xludf.DUMMYFUNCTION("""COMPUTED_VALUE"""),"Bodine")</f>
        <v>Bodine</v>
      </c>
      <c r="E189" t="str">
        <f>IFERROR(__xludf.DUMMYFUNCTION("""COMPUTED_VALUE"""),"Russell")</f>
        <v>Russell</v>
      </c>
      <c r="F189">
        <f>IFERROR(__xludf.DUMMYFUNCTION("""COMPUTED_VALUE"""),10.35)</f>
        <v>10.35</v>
      </c>
    </row>
    <row r="190">
      <c r="D190" t="str">
        <f>IFERROR(__xludf.DUMMYFUNCTION("""COMPUTED_VALUE"""),"Boehm")</f>
        <v>Boehm</v>
      </c>
      <c r="E190" t="str">
        <f>IFERROR(__xludf.DUMMYFUNCTION("""COMPUTED_VALUE"""),"Evan")</f>
        <v>Evan</v>
      </c>
      <c r="F190">
        <f>IFERROR(__xludf.DUMMYFUNCTION("""COMPUTED_VALUE"""),10.049999999999999)</f>
        <v>10.05</v>
      </c>
    </row>
    <row r="191">
      <c r="D191" t="str">
        <f>IFERROR(__xludf.DUMMYFUNCTION("""COMPUTED_VALUE"""),"Boehringer")</f>
        <v>Boehringer</v>
      </c>
      <c r="E191" t="str">
        <f>IFERROR(__xludf.DUMMYFUNCTION("""COMPUTED_VALUE"""),"Moritz")</f>
        <v>Moritz</v>
      </c>
      <c r="F191">
        <f>IFERROR(__xludf.DUMMYFUNCTION("""COMPUTED_VALUE"""),9.299999999999999)</f>
        <v>9.3</v>
      </c>
    </row>
    <row r="192">
      <c r="D192" t="str">
        <f>IFERROR(__xludf.DUMMYFUNCTION("""COMPUTED_VALUE"""),"Boggs")</f>
        <v>Boggs</v>
      </c>
      <c r="E192" t="str">
        <f>IFERROR(__xludf.DUMMYFUNCTION("""COMPUTED_VALUE"""),"Taylor")</f>
        <v>Taylor</v>
      </c>
      <c r="F192">
        <f>IFERROR(__xludf.DUMMYFUNCTION("""COMPUTED_VALUE"""),10.049999999999999)</f>
        <v>10.05</v>
      </c>
    </row>
    <row r="193">
      <c r="D193" t="str">
        <f>IFERROR(__xludf.DUMMYFUNCTION("""COMPUTED_VALUE"""),"Bohanon")</f>
        <v>Bohanon</v>
      </c>
      <c r="E193" t="str">
        <f>IFERROR(__xludf.DUMMYFUNCTION("""COMPUTED_VALUE"""),"Tommy")</f>
        <v>Tommy</v>
      </c>
      <c r="F193">
        <f>IFERROR(__xludf.DUMMYFUNCTION("""COMPUTED_VALUE"""),10.2)</f>
        <v>10.2</v>
      </c>
    </row>
    <row r="194">
      <c r="D194" t="str">
        <f>IFERROR(__xludf.DUMMYFUNCTION("""COMPUTED_VALUE"""),"Bolden")</f>
        <v>Bolden</v>
      </c>
      <c r="E194" t="str">
        <f>IFERROR(__xludf.DUMMYFUNCTION("""COMPUTED_VALUE"""),"Brandon")</f>
        <v>Brandon</v>
      </c>
      <c r="F194">
        <f>IFERROR(__xludf.DUMMYFUNCTION("""COMPUTED_VALUE"""),10.799999999999999)</f>
        <v>10.8</v>
      </c>
    </row>
    <row r="195">
      <c r="D195" t="str">
        <f>IFERROR(__xludf.DUMMYFUNCTION("""COMPUTED_VALUE"""),"Boldin")</f>
        <v>Boldin</v>
      </c>
      <c r="E195" t="str">
        <f>IFERROR(__xludf.DUMMYFUNCTION("""COMPUTED_VALUE"""),"Anquan")</f>
        <v>Anquan</v>
      </c>
      <c r="F195">
        <f>IFERROR(__xludf.DUMMYFUNCTION("""COMPUTED_VALUE"""),11.85)</f>
        <v>11.85</v>
      </c>
    </row>
    <row r="196">
      <c r="D196" t="str">
        <f>IFERROR(__xludf.DUMMYFUNCTION("""COMPUTED_VALUE"""),"Boling")</f>
        <v>Boling</v>
      </c>
      <c r="E196" t="str">
        <f>IFERROR(__xludf.DUMMYFUNCTION("""COMPUTED_VALUE"""),"Clint")</f>
        <v>Clint</v>
      </c>
      <c r="F196">
        <f>IFERROR(__xludf.DUMMYFUNCTION("""COMPUTED_VALUE"""),12.15)</f>
        <v>12.15</v>
      </c>
    </row>
    <row r="197">
      <c r="D197" t="str">
        <f>IFERROR(__xludf.DUMMYFUNCTION("""COMPUTED_VALUE"""),"Bond")</f>
        <v>Bond</v>
      </c>
      <c r="E197" t="str">
        <f>IFERROR(__xludf.DUMMYFUNCTION("""COMPUTED_VALUE"""),"Devante")</f>
        <v>Devante</v>
      </c>
      <c r="F197">
        <f>IFERROR(__xludf.DUMMYFUNCTION("""COMPUTED_VALUE"""),9.299999999999999)</f>
        <v>9.3</v>
      </c>
    </row>
    <row r="198">
      <c r="D198" t="str">
        <f>IFERROR(__xludf.DUMMYFUNCTION("""COMPUTED_VALUE"""),"Booker")</f>
        <v>Booker</v>
      </c>
      <c r="E198" t="str">
        <f>IFERROR(__xludf.DUMMYFUNCTION("""COMPUTED_VALUE"""),"Devontae")</f>
        <v>Devontae</v>
      </c>
      <c r="F198">
        <f>IFERROR(__xludf.DUMMYFUNCTION("""COMPUTED_VALUE"""),10.799999999999999)</f>
        <v>10.8</v>
      </c>
    </row>
    <row r="199">
      <c r="D199" t="str">
        <f>IFERROR(__xludf.DUMMYFUNCTION("""COMPUTED_VALUE"""),"Boone")</f>
        <v>Boone</v>
      </c>
      <c r="E199" t="str">
        <f>IFERROR(__xludf.DUMMYFUNCTION("""COMPUTED_VALUE"""),"Alex")</f>
        <v>Alex</v>
      </c>
      <c r="F199">
        <f>IFERROR(__xludf.DUMMYFUNCTION("""COMPUTED_VALUE"""),12.15)</f>
        <v>12.15</v>
      </c>
    </row>
    <row r="200">
      <c r="D200" t="str">
        <f>IFERROR(__xludf.DUMMYFUNCTION("""COMPUTED_VALUE"""),"Booth")</f>
        <v>Booth</v>
      </c>
      <c r="E200" t="str">
        <f>IFERROR(__xludf.DUMMYFUNCTION("""COMPUTED_VALUE"""),"Cody")</f>
        <v>Cody</v>
      </c>
      <c r="F200">
        <f>IFERROR(__xludf.DUMMYFUNCTION("""COMPUTED_VALUE"""),9.75)</f>
        <v>9.75</v>
      </c>
    </row>
    <row r="201">
      <c r="D201" t="str">
        <f>IFERROR(__xludf.DUMMYFUNCTION("""COMPUTED_VALUE"""),"Bortles")</f>
        <v>Bortles</v>
      </c>
      <c r="E201" t="str">
        <f>IFERROR(__xludf.DUMMYFUNCTION("""COMPUTED_VALUE"""),"Blake")</f>
        <v>Blake</v>
      </c>
      <c r="F201">
        <f>IFERROR(__xludf.DUMMYFUNCTION("""COMPUTED_VALUE"""),12.299999999999999)</f>
        <v>12.3</v>
      </c>
    </row>
    <row r="202">
      <c r="D202" t="str">
        <f>IFERROR(__xludf.DUMMYFUNCTION("""COMPUTED_VALUE"""),"Bosa")</f>
        <v>Bosa</v>
      </c>
      <c r="E202" t="str">
        <f>IFERROR(__xludf.DUMMYFUNCTION("""COMPUTED_VALUE"""),"Joey")</f>
        <v>Joey</v>
      </c>
      <c r="F202">
        <f>IFERROR(__xludf.DUMMYFUNCTION("""COMPUTED_VALUE"""),11.85)</f>
        <v>11.85</v>
      </c>
    </row>
    <row r="203">
      <c r="D203" t="str">
        <f>IFERROR(__xludf.DUMMYFUNCTION("""COMPUTED_VALUE"""),"Bosher")</f>
        <v>Bosher</v>
      </c>
      <c r="E203" t="str">
        <f>IFERROR(__xludf.DUMMYFUNCTION("""COMPUTED_VALUE"""),"Matt")</f>
        <v>Matt</v>
      </c>
      <c r="F203">
        <f>IFERROR(__xludf.DUMMYFUNCTION("""COMPUTED_VALUE"""),12.15)</f>
        <v>12.15</v>
      </c>
    </row>
    <row r="204">
      <c r="D204" t="str">
        <f>IFERROR(__xludf.DUMMYFUNCTION("""COMPUTED_VALUE"""),"Bostic")</f>
        <v>Bostic</v>
      </c>
      <c r="E204" t="str">
        <f>IFERROR(__xludf.DUMMYFUNCTION("""COMPUTED_VALUE"""),"Jon")</f>
        <v>Jon</v>
      </c>
      <c r="F204">
        <f>IFERROR(__xludf.DUMMYFUNCTION("""COMPUTED_VALUE"""),10.2)</f>
        <v>10.2</v>
      </c>
    </row>
    <row r="205">
      <c r="D205" t="str">
        <f>IFERROR(__xludf.DUMMYFUNCTION("""COMPUTED_VALUE"""),"Bostick")</f>
        <v>Bostick</v>
      </c>
      <c r="E205" t="str">
        <f>IFERROR(__xludf.DUMMYFUNCTION("""COMPUTED_VALUE"""),"Brandon")</f>
        <v>Brandon</v>
      </c>
      <c r="F205">
        <f>IFERROR(__xludf.DUMMYFUNCTION("""COMPUTED_VALUE"""),10.35)</f>
        <v>10.35</v>
      </c>
    </row>
    <row r="206">
      <c r="D206" t="str">
        <f>IFERROR(__xludf.DUMMYFUNCTION("""COMPUTED_VALUE"""),"Boston")</f>
        <v>Boston</v>
      </c>
      <c r="E206" t="str">
        <f>IFERROR(__xludf.DUMMYFUNCTION("""COMPUTED_VALUE"""),"Tre")</f>
        <v>Tre</v>
      </c>
      <c r="F206">
        <f>IFERROR(__xludf.DUMMYFUNCTION("""COMPUTED_VALUE"""),11.7)</f>
        <v>11.7</v>
      </c>
    </row>
    <row r="207">
      <c r="D207" t="str">
        <f>IFERROR(__xludf.DUMMYFUNCTION("""COMPUTED_VALUE"""),"Boswell")</f>
        <v>Boswell</v>
      </c>
      <c r="E207" t="str">
        <f>IFERROR(__xludf.DUMMYFUNCTION("""COMPUTED_VALUE"""),"Chris")</f>
        <v>Chris</v>
      </c>
      <c r="F207">
        <f>IFERROR(__xludf.DUMMYFUNCTION("""COMPUTED_VALUE"""),11.549999999999999)</f>
        <v>11.55</v>
      </c>
    </row>
    <row r="208">
      <c r="D208" t="str">
        <f>IFERROR(__xludf.DUMMYFUNCTION("""COMPUTED_VALUE"""),"Bouye")</f>
        <v>Bouye</v>
      </c>
      <c r="E208" t="str">
        <f>IFERROR(__xludf.DUMMYFUNCTION("""COMPUTED_VALUE"""),"AJ")</f>
        <v>AJ</v>
      </c>
      <c r="F208">
        <f>IFERROR(__xludf.DUMMYFUNCTION("""COMPUTED_VALUE"""),10.95)</f>
        <v>10.95</v>
      </c>
    </row>
    <row r="209">
      <c r="D209" t="str">
        <f>IFERROR(__xludf.DUMMYFUNCTION("""COMPUTED_VALUE"""),"Bowanko")</f>
        <v>Bowanko</v>
      </c>
      <c r="E209" t="str">
        <f>IFERROR(__xludf.DUMMYFUNCTION("""COMPUTED_VALUE"""),"Luke")</f>
        <v>Luke</v>
      </c>
      <c r="F209">
        <f>IFERROR(__xludf.DUMMYFUNCTION("""COMPUTED_VALUE"""),11.4)</f>
        <v>11.4</v>
      </c>
    </row>
    <row r="210">
      <c r="D210" t="str">
        <f>IFERROR(__xludf.DUMMYFUNCTION("""COMPUTED_VALUE"""),"Bowie")</f>
        <v>Bowie</v>
      </c>
      <c r="E210" t="str">
        <f>IFERROR(__xludf.DUMMYFUNCTION("""COMPUTED_VALUE"""),"Michael")</f>
        <v>Michael</v>
      </c>
      <c r="F210">
        <f>IFERROR(__xludf.DUMMYFUNCTION("""COMPUTED_VALUE"""),10.799999999999999)</f>
        <v>10.8</v>
      </c>
    </row>
    <row r="211">
      <c r="D211" t="str">
        <f>IFERROR(__xludf.DUMMYFUNCTION("""COMPUTED_VALUE"""),"Bowman")</f>
        <v>Bowman</v>
      </c>
      <c r="E211" t="str">
        <f>IFERROR(__xludf.DUMMYFUNCTION("""COMPUTED_VALUE"""),"NaVorro")</f>
        <v>NaVorro</v>
      </c>
      <c r="F211">
        <f>IFERROR(__xludf.DUMMYFUNCTION("""COMPUTED_VALUE"""),13.2)</f>
        <v>13.2</v>
      </c>
    </row>
    <row r="212">
      <c r="D212" t="str">
        <f>IFERROR(__xludf.DUMMYFUNCTION("""COMPUTED_VALUE"""),"Boyce")</f>
        <v>Boyce</v>
      </c>
      <c r="E212" t="str">
        <f>IFERROR(__xludf.DUMMYFUNCTION("""COMPUTED_VALUE"""),"Josh")</f>
        <v>Josh</v>
      </c>
      <c r="F212">
        <f>IFERROR(__xludf.DUMMYFUNCTION("""COMPUTED_VALUE"""),9.6)</f>
        <v>9.6</v>
      </c>
    </row>
    <row r="213">
      <c r="D213" t="str">
        <f>IFERROR(__xludf.DUMMYFUNCTION("""COMPUTED_VALUE"""),"Boyd")</f>
        <v>Boyd</v>
      </c>
      <c r="E213" t="str">
        <f>IFERROR(__xludf.DUMMYFUNCTION("""COMPUTED_VALUE"""),"Tyler")</f>
        <v>Tyler</v>
      </c>
      <c r="F213">
        <f>IFERROR(__xludf.DUMMYFUNCTION("""COMPUTED_VALUE"""),10.5)</f>
        <v>10.5</v>
      </c>
    </row>
    <row r="214">
      <c r="D214" t="str">
        <f>IFERROR(__xludf.DUMMYFUNCTION("""COMPUTED_VALUE"""),"Boykin")</f>
        <v>Boykin</v>
      </c>
      <c r="E214" t="str">
        <f>IFERROR(__xludf.DUMMYFUNCTION("""COMPUTED_VALUE"""),"Brandon")</f>
        <v>Brandon</v>
      </c>
      <c r="F214">
        <f>IFERROR(__xludf.DUMMYFUNCTION("""COMPUTED_VALUE"""),10.65)</f>
        <v>10.65</v>
      </c>
    </row>
    <row r="215">
      <c r="D215" t="str">
        <f>IFERROR(__xludf.DUMMYFUNCTION("""COMPUTED_VALUE"""),"Boykin")</f>
        <v>Boykin</v>
      </c>
      <c r="E215" t="str">
        <f>IFERROR(__xludf.DUMMYFUNCTION("""COMPUTED_VALUE"""),"Jarrett")</f>
        <v>Jarrett</v>
      </c>
      <c r="F215">
        <f>IFERROR(__xludf.DUMMYFUNCTION("""COMPUTED_VALUE"""),10.049999999999999)</f>
        <v>10.05</v>
      </c>
    </row>
    <row r="216">
      <c r="D216" t="str">
        <f>IFERROR(__xludf.DUMMYFUNCTION("""COMPUTED_VALUE"""),"Boykin")</f>
        <v>Boykin</v>
      </c>
      <c r="E216" t="str">
        <f>IFERROR(__xludf.DUMMYFUNCTION("""COMPUTED_VALUE"""),"Trevone")</f>
        <v>Trevone</v>
      </c>
      <c r="F216">
        <f>IFERROR(__xludf.DUMMYFUNCTION("""COMPUTED_VALUE"""),9.45)</f>
        <v>9.45</v>
      </c>
    </row>
    <row r="217">
      <c r="D217" t="str">
        <f>IFERROR(__xludf.DUMMYFUNCTION("""COMPUTED_VALUE"""),"Boyle")</f>
        <v>Boyle</v>
      </c>
      <c r="E217" t="str">
        <f>IFERROR(__xludf.DUMMYFUNCTION("""COMPUTED_VALUE"""),"Nick")</f>
        <v>Nick</v>
      </c>
      <c r="F217">
        <f>IFERROR(__xludf.DUMMYFUNCTION("""COMPUTED_VALUE"""),11.4)</f>
        <v>11.4</v>
      </c>
    </row>
    <row r="218">
      <c r="D218" t="str">
        <f>IFERROR(__xludf.DUMMYFUNCTION("""COMPUTED_VALUE"""),"Bradberry")</f>
        <v>Bradberry</v>
      </c>
      <c r="E218" t="str">
        <f>IFERROR(__xludf.DUMMYFUNCTION("""COMPUTED_VALUE"""),"James")</f>
        <v>James</v>
      </c>
      <c r="F218">
        <f>IFERROR(__xludf.DUMMYFUNCTION("""COMPUTED_VALUE"""),10.5)</f>
        <v>10.5</v>
      </c>
    </row>
    <row r="219">
      <c r="D219" t="str">
        <f>IFERROR(__xludf.DUMMYFUNCTION("""COMPUTED_VALUE"""),"Bradfield")</f>
        <v>Bradfield</v>
      </c>
      <c r="E219" t="str">
        <f>IFERROR(__xludf.DUMMYFUNCTION("""COMPUTED_VALUE"""),"Cameron")</f>
        <v>Cameron</v>
      </c>
      <c r="F219">
        <f>IFERROR(__xludf.DUMMYFUNCTION("""COMPUTED_VALUE"""),10.799999999999999)</f>
        <v>10.8</v>
      </c>
    </row>
    <row r="220">
      <c r="D220" t="str">
        <f>IFERROR(__xludf.DUMMYFUNCTION("""COMPUTED_VALUE"""),"Bradford")</f>
        <v>Bradford</v>
      </c>
      <c r="E220" t="str">
        <f>IFERROR(__xludf.DUMMYFUNCTION("""COMPUTED_VALUE"""),"Carl")</f>
        <v>Carl</v>
      </c>
      <c r="F220">
        <f>IFERROR(__xludf.DUMMYFUNCTION("""COMPUTED_VALUE"""),10.2)</f>
        <v>10.2</v>
      </c>
    </row>
    <row r="221">
      <c r="D221" t="str">
        <f>IFERROR(__xludf.DUMMYFUNCTION("""COMPUTED_VALUE"""),"Bradford")</f>
        <v>Bradford</v>
      </c>
      <c r="E221" t="str">
        <f>IFERROR(__xludf.DUMMYFUNCTION("""COMPUTED_VALUE"""),"Sam")</f>
        <v>Sam</v>
      </c>
      <c r="F221">
        <f>IFERROR(__xludf.DUMMYFUNCTION("""COMPUTED_VALUE"""),11.7)</f>
        <v>11.7</v>
      </c>
    </row>
    <row r="222">
      <c r="D222" t="str">
        <f>IFERROR(__xludf.DUMMYFUNCTION("""COMPUTED_VALUE"""),"Bradham")</f>
        <v>Bradham</v>
      </c>
      <c r="E222" t="str">
        <f>IFERROR(__xludf.DUMMYFUNCTION("""COMPUTED_VALUE"""),"Nigel")</f>
        <v>Nigel</v>
      </c>
      <c r="F222">
        <f>IFERROR(__xludf.DUMMYFUNCTION("""COMPUTED_VALUE"""),11.4)</f>
        <v>11.4</v>
      </c>
    </row>
    <row r="223">
      <c r="D223" t="str">
        <f>IFERROR(__xludf.DUMMYFUNCTION("""COMPUTED_VALUE"""),"Brady")</f>
        <v>Brady</v>
      </c>
      <c r="E223" t="str">
        <f>IFERROR(__xludf.DUMMYFUNCTION("""COMPUTED_VALUE"""),"Tom")</f>
        <v>Tom</v>
      </c>
      <c r="F223">
        <f>IFERROR(__xludf.DUMMYFUNCTION("""COMPUTED_VALUE"""),14.1)</f>
        <v>14.1</v>
      </c>
    </row>
    <row r="224">
      <c r="D224" t="str">
        <f>IFERROR(__xludf.DUMMYFUNCTION("""COMPUTED_VALUE"""),"Braman")</f>
        <v>Braman</v>
      </c>
      <c r="E224" t="str">
        <f>IFERROR(__xludf.DUMMYFUNCTION("""COMPUTED_VALUE"""),"Bryan")</f>
        <v>Bryan</v>
      </c>
      <c r="F224">
        <f>IFERROR(__xludf.DUMMYFUNCTION("""COMPUTED_VALUE"""),10.65)</f>
        <v>10.65</v>
      </c>
    </row>
    <row r="225">
      <c r="D225" t="str">
        <f>IFERROR(__xludf.DUMMYFUNCTION("""COMPUTED_VALUE"""),"Branch")</f>
        <v>Branch</v>
      </c>
      <c r="E225" t="str">
        <f>IFERROR(__xludf.DUMMYFUNCTION("""COMPUTED_VALUE"""),"Alan")</f>
        <v>Alan</v>
      </c>
      <c r="F225">
        <f>IFERROR(__xludf.DUMMYFUNCTION("""COMPUTED_VALUE"""),11.549999999999999)</f>
        <v>11.55</v>
      </c>
    </row>
    <row r="226">
      <c r="D226" t="str">
        <f>IFERROR(__xludf.DUMMYFUNCTION("""COMPUTED_VALUE"""),"Branch")</f>
        <v>Branch</v>
      </c>
      <c r="E226" t="str">
        <f>IFERROR(__xludf.DUMMYFUNCTION("""COMPUTED_VALUE"""),"Andre")</f>
        <v>Andre</v>
      </c>
      <c r="F226">
        <f>IFERROR(__xludf.DUMMYFUNCTION("""COMPUTED_VALUE"""),10.5)</f>
        <v>10.5</v>
      </c>
    </row>
    <row r="227">
      <c r="D227" t="str">
        <f>IFERROR(__xludf.DUMMYFUNCTION("""COMPUTED_VALUE"""),"Branch")</f>
        <v>Branch</v>
      </c>
      <c r="E227" t="str">
        <f>IFERROR(__xludf.DUMMYFUNCTION("""COMPUTED_VALUE"""),"Tyvon")</f>
        <v>Tyvon</v>
      </c>
      <c r="F227">
        <f>IFERROR(__xludf.DUMMYFUNCTION("""COMPUTED_VALUE"""),12.15)</f>
        <v>12.15</v>
      </c>
    </row>
    <row r="228">
      <c r="D228" t="str">
        <f>IFERROR(__xludf.DUMMYFUNCTION("""COMPUTED_VALUE"""),"Brate")</f>
        <v>Brate</v>
      </c>
      <c r="E228" t="str">
        <f>IFERROR(__xludf.DUMMYFUNCTION("""COMPUTED_VALUE"""),"Cameron")</f>
        <v>Cameron</v>
      </c>
      <c r="F228">
        <f>IFERROR(__xludf.DUMMYFUNCTION("""COMPUTED_VALUE"""),11.25)</f>
        <v>11.25</v>
      </c>
    </row>
    <row r="229">
      <c r="D229" t="str">
        <f>IFERROR(__xludf.DUMMYFUNCTION("""COMPUTED_VALUE"""),"Braverman")</f>
        <v>Braverman</v>
      </c>
      <c r="E229" t="str">
        <f>IFERROR(__xludf.DUMMYFUNCTION("""COMPUTED_VALUE"""),"Daniel")</f>
        <v>Daniel</v>
      </c>
      <c r="F229">
        <f>IFERROR(__xludf.DUMMYFUNCTION("""COMPUTED_VALUE"""),9.75)</f>
        <v>9.75</v>
      </c>
    </row>
    <row r="230">
      <c r="D230" t="str">
        <f>IFERROR(__xludf.DUMMYFUNCTION("""COMPUTED_VALUE"""),"Bray")</f>
        <v>Bray</v>
      </c>
      <c r="E230" t="str">
        <f>IFERROR(__xludf.DUMMYFUNCTION("""COMPUTED_VALUE"""),"Quan")</f>
        <v>Quan</v>
      </c>
      <c r="F230">
        <f>IFERROR(__xludf.DUMMYFUNCTION("""COMPUTED_VALUE"""),9.6)</f>
        <v>9.6</v>
      </c>
    </row>
    <row r="231">
      <c r="D231" t="str">
        <f>IFERROR(__xludf.DUMMYFUNCTION("""COMPUTED_VALUE"""),"Bray")</f>
        <v>Bray</v>
      </c>
      <c r="E231" t="str">
        <f>IFERROR(__xludf.DUMMYFUNCTION("""COMPUTED_VALUE"""),"Tyler")</f>
        <v>Tyler</v>
      </c>
      <c r="F231">
        <f>IFERROR(__xludf.DUMMYFUNCTION("""COMPUTED_VALUE"""),9.299999999999999)</f>
        <v>9.3</v>
      </c>
    </row>
    <row r="232">
      <c r="D232" t="str">
        <f>IFERROR(__xludf.DUMMYFUNCTION("""COMPUTED_VALUE"""),"Breaux")</f>
        <v>Breaux</v>
      </c>
      <c r="E232" t="str">
        <f>IFERROR(__xludf.DUMMYFUNCTION("""COMPUTED_VALUE"""),"Delvin")</f>
        <v>Delvin</v>
      </c>
      <c r="F232">
        <f>IFERROR(__xludf.DUMMYFUNCTION("""COMPUTED_VALUE"""),12.299999999999999)</f>
        <v>12.3</v>
      </c>
    </row>
    <row r="233">
      <c r="D233" t="str">
        <f>IFERROR(__xludf.DUMMYFUNCTION("""COMPUTED_VALUE"""),"Breeland")</f>
        <v>Breeland</v>
      </c>
      <c r="E233" t="str">
        <f>IFERROR(__xludf.DUMMYFUNCTION("""COMPUTED_VALUE"""),"Bashaud")</f>
        <v>Bashaud</v>
      </c>
      <c r="F233">
        <f>IFERROR(__xludf.DUMMYFUNCTION("""COMPUTED_VALUE"""),12.15)</f>
        <v>12.15</v>
      </c>
    </row>
    <row r="234">
      <c r="D234" t="str">
        <f>IFERROR(__xludf.DUMMYFUNCTION("""COMPUTED_VALUE"""),"Brees")</f>
        <v>Brees</v>
      </c>
      <c r="E234" t="str">
        <f>IFERROR(__xludf.DUMMYFUNCTION("""COMPUTED_VALUE"""),"Drew")</f>
        <v>Drew</v>
      </c>
      <c r="F234">
        <f>IFERROR(__xludf.DUMMYFUNCTION("""COMPUTED_VALUE"""),13.5)</f>
        <v>13.5</v>
      </c>
    </row>
    <row r="235">
      <c r="D235" t="str">
        <f>IFERROR(__xludf.DUMMYFUNCTION("""COMPUTED_VALUE"""),"Brendel")</f>
        <v>Brendel</v>
      </c>
      <c r="E235" t="str">
        <f>IFERROR(__xludf.DUMMYFUNCTION("""COMPUTED_VALUE"""),"Jake")</f>
        <v>Jake</v>
      </c>
      <c r="F235">
        <f>IFERROR(__xludf.DUMMYFUNCTION("""COMPUTED_VALUE"""),9.0)</f>
        <v>9</v>
      </c>
    </row>
    <row r="236">
      <c r="D236" t="str">
        <f>IFERROR(__xludf.DUMMYFUNCTION("""COMPUTED_VALUE"""),"Brenner")</f>
        <v>Brenner</v>
      </c>
      <c r="E236" t="str">
        <f>IFERROR(__xludf.DUMMYFUNCTION("""COMPUTED_VALUE"""),"Sam")</f>
        <v>Sam</v>
      </c>
      <c r="F236">
        <f>IFERROR(__xludf.DUMMYFUNCTION("""COMPUTED_VALUE"""),10.2)</f>
        <v>10.2</v>
      </c>
    </row>
    <row r="237">
      <c r="D237" t="str">
        <f>IFERROR(__xludf.DUMMYFUNCTION("""COMPUTED_VALUE"""),"Brent")</f>
        <v>Brent</v>
      </c>
      <c r="E237" t="str">
        <f>IFERROR(__xludf.DUMMYFUNCTION("""COMPUTED_VALUE"""),"KJ")</f>
        <v>KJ</v>
      </c>
      <c r="F237">
        <f>IFERROR(__xludf.DUMMYFUNCTION("""COMPUTED_VALUE"""),9.299999999999999)</f>
        <v>9.3</v>
      </c>
    </row>
    <row r="238">
      <c r="D238" t="str">
        <f>IFERROR(__xludf.DUMMYFUNCTION("""COMPUTED_VALUE"""),"Brewer")</f>
        <v>Brewer</v>
      </c>
      <c r="E238" t="str">
        <f>IFERROR(__xludf.DUMMYFUNCTION("""COMPUTED_VALUE"""),"Aaron")</f>
        <v>Aaron</v>
      </c>
      <c r="F238">
        <f>IFERROR(__xludf.DUMMYFUNCTION("""COMPUTED_VALUE"""),6.75)</f>
        <v>6.75</v>
      </c>
    </row>
    <row r="239">
      <c r="D239" t="str">
        <f>IFERROR(__xludf.DUMMYFUNCTION("""COMPUTED_VALUE"""),"Brice")</f>
        <v>Brice</v>
      </c>
      <c r="E239" t="str">
        <f>IFERROR(__xludf.DUMMYFUNCTION("""COMPUTED_VALUE"""),"Kentrell")</f>
        <v>Kentrell</v>
      </c>
      <c r="F239">
        <f>IFERROR(__xludf.DUMMYFUNCTION("""COMPUTED_VALUE"""),9.45)</f>
        <v>9.45</v>
      </c>
    </row>
    <row r="240">
      <c r="D240" t="str">
        <f>IFERROR(__xludf.DUMMYFUNCTION("""COMPUTED_VALUE"""),"Bridgewater")</f>
        <v>Bridgewater</v>
      </c>
      <c r="E240" t="str">
        <f>IFERROR(__xludf.DUMMYFUNCTION("""COMPUTED_VALUE"""),"Teddy")</f>
        <v>Teddy</v>
      </c>
      <c r="F240">
        <f>IFERROR(__xludf.DUMMYFUNCTION("""COMPUTED_VALUE"""),12.15)</f>
        <v>12.15</v>
      </c>
    </row>
    <row r="241">
      <c r="D241" t="str">
        <f>IFERROR(__xludf.DUMMYFUNCTION("""COMPUTED_VALUE"""),"Brinkley")</f>
        <v>Brinkley</v>
      </c>
      <c r="E241" t="str">
        <f>IFERROR(__xludf.DUMMYFUNCTION("""COMPUTED_VALUE"""),"Beau")</f>
        <v>Beau</v>
      </c>
      <c r="F241">
        <f>IFERROR(__xludf.DUMMYFUNCTION("""COMPUTED_VALUE"""),6.8999999999999995)</f>
        <v>6.9</v>
      </c>
    </row>
    <row r="242">
      <c r="D242" t="str">
        <f>IFERROR(__xludf.DUMMYFUNCTION("""COMPUTED_VALUE"""),"Brinkley")</f>
        <v>Brinkley</v>
      </c>
      <c r="E242" t="str">
        <f>IFERROR(__xludf.DUMMYFUNCTION("""COMPUTED_VALUE"""),"Jasper")</f>
        <v>Jasper</v>
      </c>
      <c r="F242">
        <f>IFERROR(__xludf.DUMMYFUNCTION("""COMPUTED_VALUE"""),10.799999999999999)</f>
        <v>10.8</v>
      </c>
    </row>
    <row r="243">
      <c r="D243" t="str">
        <f>IFERROR(__xludf.DUMMYFUNCTION("""COMPUTED_VALUE"""),"Brissett")</f>
        <v>Brissett</v>
      </c>
      <c r="E243" t="str">
        <f>IFERROR(__xludf.DUMMYFUNCTION("""COMPUTED_VALUE"""),"Jacoby")</f>
        <v>Jacoby</v>
      </c>
      <c r="F243">
        <f>IFERROR(__xludf.DUMMYFUNCTION("""COMPUTED_VALUE"""),10.5)</f>
        <v>10.5</v>
      </c>
    </row>
    <row r="244">
      <c r="D244" t="str">
        <f>IFERROR(__xludf.DUMMYFUNCTION("""COMPUTED_VALUE"""),"Britt")</f>
        <v>Britt</v>
      </c>
      <c r="E244" t="str">
        <f>IFERROR(__xludf.DUMMYFUNCTION("""COMPUTED_VALUE"""),"Justin")</f>
        <v>Justin</v>
      </c>
      <c r="F244">
        <f>IFERROR(__xludf.DUMMYFUNCTION("""COMPUTED_VALUE"""),10.65)</f>
        <v>10.65</v>
      </c>
    </row>
    <row r="245">
      <c r="D245" t="str">
        <f>IFERROR(__xludf.DUMMYFUNCTION("""COMPUTED_VALUE"""),"Britt")</f>
        <v>Britt</v>
      </c>
      <c r="E245" t="str">
        <f>IFERROR(__xludf.DUMMYFUNCTION("""COMPUTED_VALUE"""),"Kenny")</f>
        <v>Kenny</v>
      </c>
      <c r="F245">
        <f>IFERROR(__xludf.DUMMYFUNCTION("""COMPUTED_VALUE"""),12.0)</f>
        <v>12</v>
      </c>
    </row>
    <row r="246">
      <c r="D246" t="str">
        <f>IFERROR(__xludf.DUMMYFUNCTION("""COMPUTED_VALUE"""),"Britz")</f>
        <v>Britz</v>
      </c>
      <c r="E246" t="str">
        <f>IFERROR(__xludf.DUMMYFUNCTION("""COMPUTED_VALUE"""),"Travis")</f>
        <v>Travis</v>
      </c>
      <c r="F246">
        <f>IFERROR(__xludf.DUMMYFUNCTION("""COMPUTED_VALUE"""),8.549999999999999)</f>
        <v>8.55</v>
      </c>
    </row>
    <row r="247">
      <c r="D247" t="str">
        <f>IFERROR(__xludf.DUMMYFUNCTION("""COMPUTED_VALUE"""),"Brock")</f>
        <v>Brock</v>
      </c>
      <c r="E247" t="str">
        <f>IFERROR(__xludf.DUMMYFUNCTION("""COMPUTED_VALUE"""),"Tramaine")</f>
        <v>Tramaine</v>
      </c>
      <c r="F247">
        <f>IFERROR(__xludf.DUMMYFUNCTION("""COMPUTED_VALUE"""),12.15)</f>
        <v>12.15</v>
      </c>
    </row>
    <row r="248">
      <c r="D248" t="str">
        <f>IFERROR(__xludf.DUMMYFUNCTION("""COMPUTED_VALUE"""),"Brockers")</f>
        <v>Brockers</v>
      </c>
      <c r="E248" t="str">
        <f>IFERROR(__xludf.DUMMYFUNCTION("""COMPUTED_VALUE"""),"Michael")</f>
        <v>Michael</v>
      </c>
      <c r="F248">
        <f>IFERROR(__xludf.DUMMYFUNCTION("""COMPUTED_VALUE"""),11.85)</f>
        <v>11.85</v>
      </c>
    </row>
    <row r="249">
      <c r="D249" t="str">
        <f>IFERROR(__xludf.DUMMYFUNCTION("""COMPUTED_VALUE"""),"Bromley")</f>
        <v>Bromley</v>
      </c>
      <c r="E249" t="str">
        <f>IFERROR(__xludf.DUMMYFUNCTION("""COMPUTED_VALUE"""),"Jay")</f>
        <v>Jay</v>
      </c>
      <c r="F249">
        <f>IFERROR(__xludf.DUMMYFUNCTION("""COMPUTED_VALUE"""),10.049999999999999)</f>
        <v>10.05</v>
      </c>
    </row>
    <row r="250">
      <c r="D250" t="str">
        <f>IFERROR(__xludf.DUMMYFUNCTION("""COMPUTED_VALUE"""),"Brooks")</f>
        <v>Brooks</v>
      </c>
      <c r="E250" t="str">
        <f>IFERROR(__xludf.DUMMYFUNCTION("""COMPUTED_VALUE"""),"Ahmad")</f>
        <v>Ahmad</v>
      </c>
      <c r="F250">
        <f>IFERROR(__xludf.DUMMYFUNCTION("""COMPUTED_VALUE"""),11.1)</f>
        <v>11.1</v>
      </c>
    </row>
    <row r="251">
      <c r="D251" t="str">
        <f>IFERROR(__xludf.DUMMYFUNCTION("""COMPUTED_VALUE"""),"Brooks")</f>
        <v>Brooks</v>
      </c>
      <c r="E251" t="str">
        <f>IFERROR(__xludf.DUMMYFUNCTION("""COMPUTED_VALUE"""),"Brandon")</f>
        <v>Brandon</v>
      </c>
      <c r="F251">
        <f>IFERROR(__xludf.DUMMYFUNCTION("""COMPUTED_VALUE"""),12.0)</f>
        <v>12</v>
      </c>
    </row>
    <row r="252">
      <c r="D252" t="str">
        <f>IFERROR(__xludf.DUMMYFUNCTION("""COMPUTED_VALUE"""),"Brooks")</f>
        <v>Brooks</v>
      </c>
      <c r="E252" t="str">
        <f>IFERROR(__xludf.DUMMYFUNCTION("""COMPUTED_VALUE"""),"Cariel")</f>
        <v>Cariel</v>
      </c>
      <c r="F252">
        <f>IFERROR(__xludf.DUMMYFUNCTION("""COMPUTED_VALUE"""),8.85)</f>
        <v>8.85</v>
      </c>
    </row>
    <row r="253">
      <c r="D253" t="str">
        <f>IFERROR(__xludf.DUMMYFUNCTION("""COMPUTED_VALUE"""),"Brooks")</f>
        <v>Brooks</v>
      </c>
      <c r="E253" t="str">
        <f>IFERROR(__xludf.DUMMYFUNCTION("""COMPUTED_VALUE"""),"Ron")</f>
        <v>Ron</v>
      </c>
      <c r="F253">
        <f>IFERROR(__xludf.DUMMYFUNCTION("""COMPUTED_VALUE"""),10.2)</f>
        <v>10.2</v>
      </c>
    </row>
    <row r="254">
      <c r="D254" t="str">
        <f>IFERROR(__xludf.DUMMYFUNCTION("""COMPUTED_VALUE"""),"Brooks")</f>
        <v>Brooks</v>
      </c>
      <c r="E254" t="str">
        <f>IFERROR(__xludf.DUMMYFUNCTION("""COMPUTED_VALUE"""),"Terrence")</f>
        <v>Terrence</v>
      </c>
      <c r="F254">
        <f>IFERROR(__xludf.DUMMYFUNCTION("""COMPUTED_VALUE"""),10.799999999999999)</f>
        <v>10.8</v>
      </c>
    </row>
    <row r="255">
      <c r="D255" t="str">
        <f>IFERROR(__xludf.DUMMYFUNCTION("""COMPUTED_VALUE"""),"Brooks")</f>
        <v>Brooks</v>
      </c>
      <c r="E255" t="str">
        <f>IFERROR(__xludf.DUMMYFUNCTION("""COMPUTED_VALUE"""),"Zac")</f>
        <v>Zac</v>
      </c>
      <c r="F255">
        <f>IFERROR(__xludf.DUMMYFUNCTION("""COMPUTED_VALUE"""),10.5)</f>
        <v>10.5</v>
      </c>
    </row>
    <row r="256">
      <c r="D256" t="str">
        <f>IFERROR(__xludf.DUMMYFUNCTION("""COMPUTED_VALUE"""),"Brothers")</f>
        <v>Brothers</v>
      </c>
      <c r="E256" t="str">
        <f>IFERROR(__xludf.DUMMYFUNCTION("""COMPUTED_VALUE"""),"Kentrell")</f>
        <v>Kentrell</v>
      </c>
      <c r="F256">
        <f>IFERROR(__xludf.DUMMYFUNCTION("""COMPUTED_VALUE"""),9.9)</f>
        <v>9.9</v>
      </c>
    </row>
    <row r="257">
      <c r="D257" t="str">
        <f>IFERROR(__xludf.DUMMYFUNCTION("""COMPUTED_VALUE"""),"Brown")</f>
        <v>Brown</v>
      </c>
      <c r="E257" t="str">
        <f>IFERROR(__xludf.DUMMYFUNCTION("""COMPUTED_VALUE"""),"Anthony")</f>
        <v>Anthony</v>
      </c>
      <c r="F257">
        <f>IFERROR(__xludf.DUMMYFUNCTION("""COMPUTED_VALUE"""),10.2)</f>
        <v>10.2</v>
      </c>
    </row>
    <row r="258">
      <c r="D258" t="str">
        <f>IFERROR(__xludf.DUMMYFUNCTION("""COMPUTED_VALUE"""),"Brown")</f>
        <v>Brown</v>
      </c>
      <c r="E258" t="str">
        <f>IFERROR(__xludf.DUMMYFUNCTION("""COMPUTED_VALUE"""),"Antonio")</f>
        <v>Antonio</v>
      </c>
      <c r="F258">
        <f>IFERROR(__xludf.DUMMYFUNCTION("""COMPUTED_VALUE"""),14.549999999999999)</f>
        <v>14.55</v>
      </c>
    </row>
    <row r="259">
      <c r="D259" t="str">
        <f>IFERROR(__xludf.DUMMYFUNCTION("""COMPUTED_VALUE"""),"Brown")</f>
        <v>Brown</v>
      </c>
      <c r="E259" t="str">
        <f>IFERROR(__xludf.DUMMYFUNCTION("""COMPUTED_VALUE"""),"Arthur")</f>
        <v>Arthur</v>
      </c>
      <c r="F259">
        <f>IFERROR(__xludf.DUMMYFUNCTION("""COMPUTED_VALUE"""),10.799999999999999)</f>
        <v>10.8</v>
      </c>
    </row>
    <row r="260">
      <c r="D260" t="str">
        <f>IFERROR(__xludf.DUMMYFUNCTION("""COMPUTED_VALUE"""),"Brown")</f>
        <v>Brown</v>
      </c>
      <c r="E260" t="str">
        <f>IFERROR(__xludf.DUMMYFUNCTION("""COMPUTED_VALUE"""),"Beniquez")</f>
        <v>Beniquez</v>
      </c>
      <c r="F260">
        <f>IFERROR(__xludf.DUMMYFUNCTION("""COMPUTED_VALUE"""),8.85)</f>
        <v>8.85</v>
      </c>
    </row>
    <row r="261">
      <c r="D261" t="str">
        <f>IFERROR(__xludf.DUMMYFUNCTION("""COMPUTED_VALUE"""),"Brown")</f>
        <v>Brown</v>
      </c>
      <c r="E261" t="str">
        <f>IFERROR(__xludf.DUMMYFUNCTION("""COMPUTED_VALUE"""),"Chris")</f>
        <v>Chris</v>
      </c>
      <c r="F261">
        <f>IFERROR(__xludf.DUMMYFUNCTION("""COMPUTED_VALUE"""),9.299999999999999)</f>
        <v>9.3</v>
      </c>
    </row>
    <row r="262">
      <c r="D262" t="str">
        <f>IFERROR(__xludf.DUMMYFUNCTION("""COMPUTED_VALUE"""),"Brown")</f>
        <v>Brown</v>
      </c>
      <c r="E262" t="str">
        <f>IFERROR(__xludf.DUMMYFUNCTION("""COMPUTED_VALUE"""),"Chykie")</f>
        <v>Chykie</v>
      </c>
      <c r="F262">
        <f>IFERROR(__xludf.DUMMYFUNCTION("""COMPUTED_VALUE"""),10.5)</f>
        <v>10.5</v>
      </c>
    </row>
    <row r="263">
      <c r="D263" t="str">
        <f>IFERROR(__xludf.DUMMYFUNCTION("""COMPUTED_VALUE"""),"Brown")</f>
        <v>Brown</v>
      </c>
      <c r="E263" t="str">
        <f>IFERROR(__xludf.DUMMYFUNCTION("""COMPUTED_VALUE"""),"Daniel")</f>
        <v>Daniel</v>
      </c>
      <c r="F263">
        <f>IFERROR(__xludf.DUMMYFUNCTION("""COMPUTED_VALUE"""),9.15)</f>
        <v>9.15</v>
      </c>
    </row>
    <row r="264">
      <c r="D264" t="str">
        <f>IFERROR(__xludf.DUMMYFUNCTION("""COMPUTED_VALUE"""),"Brown")</f>
        <v>Brown</v>
      </c>
      <c r="E264" t="str">
        <f>IFERROR(__xludf.DUMMYFUNCTION("""COMPUTED_VALUE"""),"Donald")</f>
        <v>Donald</v>
      </c>
      <c r="F264">
        <f>IFERROR(__xludf.DUMMYFUNCTION("""COMPUTED_VALUE"""),11.4)</f>
        <v>11.4</v>
      </c>
    </row>
    <row r="265">
      <c r="D265" t="str">
        <f>IFERROR(__xludf.DUMMYFUNCTION("""COMPUTED_VALUE"""),"Brown")</f>
        <v>Brown</v>
      </c>
      <c r="E265" t="str">
        <f>IFERROR(__xludf.DUMMYFUNCTION("""COMPUTED_VALUE"""),"Duane")</f>
        <v>Duane</v>
      </c>
      <c r="F265">
        <f>IFERROR(__xludf.DUMMYFUNCTION("""COMPUTED_VALUE"""),12.9)</f>
        <v>12.9</v>
      </c>
    </row>
    <row r="266">
      <c r="D266" t="str">
        <f>IFERROR(__xludf.DUMMYFUNCTION("""COMPUTED_VALUE"""),"Brown")</f>
        <v>Brown</v>
      </c>
      <c r="E266" t="str">
        <f>IFERROR(__xludf.DUMMYFUNCTION("""COMPUTED_VALUE"""),"Jalil")</f>
        <v>Jalil</v>
      </c>
      <c r="F266">
        <f>IFERROR(__xludf.DUMMYFUNCTION("""COMPUTED_VALUE"""),10.049999999999999)</f>
        <v>10.05</v>
      </c>
    </row>
    <row r="267">
      <c r="D267" t="str">
        <f>IFERROR(__xludf.DUMMYFUNCTION("""COMPUTED_VALUE"""),"Brown")</f>
        <v>Brown</v>
      </c>
      <c r="E267" t="str">
        <f>IFERROR(__xludf.DUMMYFUNCTION("""COMPUTED_VALUE"""),"Jamon")</f>
        <v>Jamon</v>
      </c>
      <c r="F267">
        <f>IFERROR(__xludf.DUMMYFUNCTION("""COMPUTED_VALUE"""),10.2)</f>
        <v>10.2</v>
      </c>
    </row>
    <row r="268">
      <c r="D268" t="str">
        <f>IFERROR(__xludf.DUMMYFUNCTION("""COMPUTED_VALUE"""),"Brown")</f>
        <v>Brown</v>
      </c>
      <c r="E268" t="str">
        <f>IFERROR(__xludf.DUMMYFUNCTION("""COMPUTED_VALUE"""),"Jaron")</f>
        <v>Jaron</v>
      </c>
      <c r="F268">
        <f>IFERROR(__xludf.DUMMYFUNCTION("""COMPUTED_VALUE"""),10.799999999999999)</f>
        <v>10.8</v>
      </c>
    </row>
    <row r="269">
      <c r="D269" t="str">
        <f>IFERROR(__xludf.DUMMYFUNCTION("""COMPUTED_VALUE"""),"Brown")</f>
        <v>Brown</v>
      </c>
      <c r="E269" t="str">
        <f>IFERROR(__xludf.DUMMYFUNCTION("""COMPUTED_VALUE"""),"Jatavis")</f>
        <v>Jatavis</v>
      </c>
      <c r="F269">
        <f>IFERROR(__xludf.DUMMYFUNCTION("""COMPUTED_VALUE"""),9.75)</f>
        <v>9.75</v>
      </c>
    </row>
    <row r="270">
      <c r="D270" t="str">
        <f>IFERROR(__xludf.DUMMYFUNCTION("""COMPUTED_VALUE"""),"Brown")</f>
        <v>Brown</v>
      </c>
      <c r="E270" t="str">
        <f>IFERROR(__xludf.DUMMYFUNCTION("""COMPUTED_VALUE"""),"John")</f>
        <v>John</v>
      </c>
      <c r="F270">
        <f>IFERROR(__xludf.DUMMYFUNCTION("""COMPUTED_VALUE"""),12.9)</f>
        <v>12.9</v>
      </c>
    </row>
    <row r="271">
      <c r="D271" t="str">
        <f>IFERROR(__xludf.DUMMYFUNCTION("""COMPUTED_VALUE"""),"Brown")</f>
        <v>Brown</v>
      </c>
      <c r="E271" t="str">
        <f>IFERROR(__xludf.DUMMYFUNCTION("""COMPUTED_VALUE"""),"Josh")</f>
        <v>Josh</v>
      </c>
      <c r="F271">
        <f>IFERROR(__xludf.DUMMYFUNCTION("""COMPUTED_VALUE"""),12.45)</f>
        <v>12.45</v>
      </c>
    </row>
    <row r="272">
      <c r="D272" t="str">
        <f>IFERROR(__xludf.DUMMYFUNCTION("""COMPUTED_VALUE"""),"Brown")</f>
        <v>Brown</v>
      </c>
      <c r="E272" t="str">
        <f>IFERROR(__xludf.DUMMYFUNCTION("""COMPUTED_VALUE"""),"Kourtnei")</f>
        <v>Kourtnei</v>
      </c>
      <c r="F272">
        <f>IFERROR(__xludf.DUMMYFUNCTION("""COMPUTED_VALUE"""),9.15)</f>
        <v>9.15</v>
      </c>
    </row>
    <row r="273">
      <c r="D273" t="str">
        <f>IFERROR(__xludf.DUMMYFUNCTION("""COMPUTED_VALUE"""),"Brown")</f>
        <v>Brown</v>
      </c>
      <c r="E273" t="str">
        <f>IFERROR(__xludf.DUMMYFUNCTION("""COMPUTED_VALUE"""),"Malcolm")</f>
        <v>Malcolm</v>
      </c>
      <c r="F273">
        <f>IFERROR(__xludf.DUMMYFUNCTION("""COMPUTED_VALUE"""),9.9)</f>
        <v>9.9</v>
      </c>
    </row>
    <row r="274">
      <c r="D274" t="str">
        <f>IFERROR(__xludf.DUMMYFUNCTION("""COMPUTED_VALUE"""),"Brown")</f>
        <v>Brown</v>
      </c>
      <c r="E274" t="str">
        <f>IFERROR(__xludf.DUMMYFUNCTION("""COMPUTED_VALUE"""),"Malcom")</f>
        <v>Malcom</v>
      </c>
      <c r="F274">
        <f>IFERROR(__xludf.DUMMYFUNCTION("""COMPUTED_VALUE"""),10.65)</f>
        <v>10.65</v>
      </c>
    </row>
    <row r="275">
      <c r="D275" t="str">
        <f>IFERROR(__xludf.DUMMYFUNCTION("""COMPUTED_VALUE"""),"Brown")</f>
        <v>Brown</v>
      </c>
      <c r="E275" t="str">
        <f>IFERROR(__xludf.DUMMYFUNCTION("""COMPUTED_VALUE"""),"Marlon")</f>
        <v>Marlon</v>
      </c>
      <c r="F275">
        <f>IFERROR(__xludf.DUMMYFUNCTION("""COMPUTED_VALUE"""),10.95)</f>
        <v>10.95</v>
      </c>
    </row>
    <row r="276">
      <c r="D276" t="str">
        <f>IFERROR(__xludf.DUMMYFUNCTION("""COMPUTED_VALUE"""),"Brown")</f>
        <v>Brown</v>
      </c>
      <c r="E276" t="str">
        <f>IFERROR(__xludf.DUMMYFUNCTION("""COMPUTED_VALUE"""),"Philly")</f>
        <v>Philly</v>
      </c>
      <c r="F276">
        <f>IFERROR(__xludf.DUMMYFUNCTION("""COMPUTED_VALUE"""),11.4)</f>
        <v>11.4</v>
      </c>
    </row>
    <row r="277">
      <c r="D277" t="str">
        <f>IFERROR(__xludf.DUMMYFUNCTION("""COMPUTED_VALUE"""),"Brown")</f>
        <v>Brown</v>
      </c>
      <c r="E277" t="str">
        <f>IFERROR(__xludf.DUMMYFUNCTION("""COMPUTED_VALUE"""),"Preston")</f>
        <v>Preston</v>
      </c>
      <c r="F277">
        <f>IFERROR(__xludf.DUMMYFUNCTION("""COMPUTED_VALUE"""),10.95)</f>
        <v>10.95</v>
      </c>
    </row>
    <row r="278">
      <c r="D278" t="str">
        <f>IFERROR(__xludf.DUMMYFUNCTION("""COMPUTED_VALUE"""),"Brown")</f>
        <v>Brown</v>
      </c>
      <c r="E278" t="str">
        <f>IFERROR(__xludf.DUMMYFUNCTION("""COMPUTED_VALUE"""),"Ryan")</f>
        <v>Ryan</v>
      </c>
      <c r="F278">
        <f>IFERROR(__xludf.DUMMYFUNCTION("""COMPUTED_VALUE"""),8.85)</f>
        <v>8.85</v>
      </c>
    </row>
    <row r="279">
      <c r="D279" t="str">
        <f>IFERROR(__xludf.DUMMYFUNCTION("""COMPUTED_VALUE"""),"Brown")</f>
        <v>Brown</v>
      </c>
      <c r="E279" t="str">
        <f>IFERROR(__xludf.DUMMYFUNCTION("""COMPUTED_VALUE"""),"Stevie")</f>
        <v>Stevie</v>
      </c>
      <c r="F279">
        <f>IFERROR(__xludf.DUMMYFUNCTION("""COMPUTED_VALUE"""),11.549999999999999)</f>
        <v>11.55</v>
      </c>
    </row>
    <row r="280">
      <c r="D280" t="str">
        <f>IFERROR(__xludf.DUMMYFUNCTION("""COMPUTED_VALUE"""),"Brown")</f>
        <v>Brown</v>
      </c>
      <c r="E280" t="str">
        <f>IFERROR(__xludf.DUMMYFUNCTION("""COMPUTED_VALUE"""),"Trent")</f>
        <v>Trent</v>
      </c>
      <c r="F280">
        <f>IFERROR(__xludf.DUMMYFUNCTION("""COMPUTED_VALUE"""),9.75)</f>
        <v>9.75</v>
      </c>
    </row>
    <row r="281">
      <c r="D281" t="str">
        <f>IFERROR(__xludf.DUMMYFUNCTION("""COMPUTED_VALUE"""),"Brown")</f>
        <v>Brown</v>
      </c>
      <c r="E281" t="str">
        <f>IFERROR(__xludf.DUMMYFUNCTION("""COMPUTED_VALUE"""),"Zach")</f>
        <v>Zach</v>
      </c>
      <c r="F281">
        <f>IFERROR(__xludf.DUMMYFUNCTION("""COMPUTED_VALUE"""),12.299999999999999)</f>
        <v>12.3</v>
      </c>
    </row>
    <row r="282">
      <c r="D282" t="str">
        <f>IFERROR(__xludf.DUMMYFUNCTION("""COMPUTED_VALUE"""),"Browner")</f>
        <v>Browner</v>
      </c>
      <c r="E282" t="str">
        <f>IFERROR(__xludf.DUMMYFUNCTION("""COMPUTED_VALUE"""),"Brandon")</f>
        <v>Brandon</v>
      </c>
      <c r="F282">
        <f>IFERROR(__xludf.DUMMYFUNCTION("""COMPUTED_VALUE"""),10.95)</f>
        <v>10.95</v>
      </c>
    </row>
    <row r="283">
      <c r="D283" t="str">
        <f>IFERROR(__xludf.DUMMYFUNCTION("""COMPUTED_VALUE"""),"Bruton Jr.")</f>
        <v>Bruton Jr.</v>
      </c>
      <c r="E283" t="str">
        <f>IFERROR(__xludf.DUMMYFUNCTION("""COMPUTED_VALUE"""),"David")</f>
        <v>David</v>
      </c>
      <c r="F283">
        <f>IFERROR(__xludf.DUMMYFUNCTION("""COMPUTED_VALUE"""),11.549999999999999)</f>
        <v>11.55</v>
      </c>
    </row>
    <row r="284">
      <c r="D284" t="str">
        <f>IFERROR(__xludf.DUMMYFUNCTION("""COMPUTED_VALUE"""),"Brutus")</f>
        <v>Brutus</v>
      </c>
      <c r="E284" t="str">
        <f>IFERROR(__xludf.DUMMYFUNCTION("""COMPUTED_VALUE"""),"Lamarcus")</f>
        <v>Lamarcus</v>
      </c>
      <c r="F284">
        <f>IFERROR(__xludf.DUMMYFUNCTION("""COMPUTED_VALUE"""),9.15)</f>
        <v>9.15</v>
      </c>
    </row>
    <row r="285">
      <c r="D285" t="str">
        <f>IFERROR(__xludf.DUMMYFUNCTION("""COMPUTED_VALUE"""),"Bryant")</f>
        <v>Bryant</v>
      </c>
      <c r="E285" t="str">
        <f>IFERROR(__xludf.DUMMYFUNCTION("""COMPUTED_VALUE"""),"Armonty")</f>
        <v>Armonty</v>
      </c>
      <c r="F285">
        <f>IFERROR(__xludf.DUMMYFUNCTION("""COMPUTED_VALUE"""),10.5)</f>
        <v>10.5</v>
      </c>
    </row>
    <row r="286">
      <c r="D286" t="str">
        <f>IFERROR(__xludf.DUMMYFUNCTION("""COMPUTED_VALUE"""),"Bryant")</f>
        <v>Bryant</v>
      </c>
      <c r="E286" t="str">
        <f>IFERROR(__xludf.DUMMYFUNCTION("""COMPUTED_VALUE"""),"Christian")</f>
        <v>Christian</v>
      </c>
      <c r="F286">
        <f>IFERROR(__xludf.DUMMYFUNCTION("""COMPUTED_VALUE"""),9.6)</f>
        <v>9.6</v>
      </c>
    </row>
    <row r="287">
      <c r="D287" t="str">
        <f>IFERROR(__xludf.DUMMYFUNCTION("""COMPUTED_VALUE"""),"Bryant")</f>
        <v>Bryant</v>
      </c>
      <c r="E287" t="str">
        <f>IFERROR(__xludf.DUMMYFUNCTION("""COMPUTED_VALUE"""),"Corbin")</f>
        <v>Corbin</v>
      </c>
      <c r="F287">
        <f>IFERROR(__xludf.DUMMYFUNCTION("""COMPUTED_VALUE"""),10.65)</f>
        <v>10.65</v>
      </c>
    </row>
    <row r="288">
      <c r="D288" t="str">
        <f>IFERROR(__xludf.DUMMYFUNCTION("""COMPUTED_VALUE"""),"Bryant")</f>
        <v>Bryant</v>
      </c>
      <c r="E288" t="str">
        <f>IFERROR(__xludf.DUMMYFUNCTION("""COMPUTED_VALUE"""),"Desmond")</f>
        <v>Desmond</v>
      </c>
      <c r="F288">
        <f>IFERROR(__xludf.DUMMYFUNCTION("""COMPUTED_VALUE"""),11.549999999999999)</f>
        <v>11.55</v>
      </c>
    </row>
    <row r="289">
      <c r="D289" t="str">
        <f>IFERROR(__xludf.DUMMYFUNCTION("""COMPUTED_VALUE"""),"Bryant")</f>
        <v>Bryant</v>
      </c>
      <c r="E289" t="str">
        <f>IFERROR(__xludf.DUMMYFUNCTION("""COMPUTED_VALUE"""),"Dez")</f>
        <v>Dez</v>
      </c>
      <c r="F289">
        <f>IFERROR(__xludf.DUMMYFUNCTION("""COMPUTED_VALUE"""),13.5)</f>
        <v>13.5</v>
      </c>
    </row>
    <row r="290">
      <c r="D290" t="str">
        <f>IFERROR(__xludf.DUMMYFUNCTION("""COMPUTED_VALUE"""),"Bryant")</f>
        <v>Bryant</v>
      </c>
      <c r="E290" t="str">
        <f>IFERROR(__xludf.DUMMYFUNCTION("""COMPUTED_VALUE"""),"Martavis")</f>
        <v>Martavis</v>
      </c>
      <c r="F290">
        <f>IFERROR(__xludf.DUMMYFUNCTION("""COMPUTED_VALUE"""),12.299999999999999)</f>
        <v>12.3</v>
      </c>
    </row>
    <row r="291">
      <c r="D291" t="str">
        <f>IFERROR(__xludf.DUMMYFUNCTION("""COMPUTED_VALUE"""),"Bryant")</f>
        <v>Bryant</v>
      </c>
      <c r="E291" t="str">
        <f>IFERROR(__xludf.DUMMYFUNCTION("""COMPUTED_VALUE"""),"Matt")</f>
        <v>Matt</v>
      </c>
      <c r="F291">
        <f>IFERROR(__xludf.DUMMYFUNCTION("""COMPUTED_VALUE"""),12.15)</f>
        <v>12.15</v>
      </c>
    </row>
    <row r="292">
      <c r="D292" t="str">
        <f>IFERROR(__xludf.DUMMYFUNCTION("""COMPUTED_VALUE"""),"Bryant")</f>
        <v>Bryant</v>
      </c>
      <c r="E292" t="str">
        <f>IFERROR(__xludf.DUMMYFUNCTION("""COMPUTED_VALUE"""),"Red")</f>
        <v>Red</v>
      </c>
      <c r="F292">
        <f>IFERROR(__xludf.DUMMYFUNCTION("""COMPUTED_VALUE"""),10.95)</f>
        <v>10.95</v>
      </c>
    </row>
    <row r="293">
      <c r="D293" t="str">
        <f>IFERROR(__xludf.DUMMYFUNCTION("""COMPUTED_VALUE"""),"Bucannon")</f>
        <v>Bucannon</v>
      </c>
      <c r="E293" t="str">
        <f>IFERROR(__xludf.DUMMYFUNCTION("""COMPUTED_VALUE"""),"Deone")</f>
        <v>Deone</v>
      </c>
      <c r="F293">
        <f>IFERROR(__xludf.DUMMYFUNCTION("""COMPUTED_VALUE"""),11.7)</f>
        <v>11.7</v>
      </c>
    </row>
    <row r="294">
      <c r="D294" t="str">
        <f>IFERROR(__xludf.DUMMYFUNCTION("""COMPUTED_VALUE"""),"Buckner")</f>
        <v>Buckner</v>
      </c>
      <c r="E294" t="str">
        <f>IFERROR(__xludf.DUMMYFUNCTION("""COMPUTED_VALUE"""),"DeForest")</f>
        <v>DeForest</v>
      </c>
      <c r="F294">
        <f>IFERROR(__xludf.DUMMYFUNCTION("""COMPUTED_VALUE"""),11.7)</f>
        <v>11.7</v>
      </c>
    </row>
    <row r="295">
      <c r="D295" t="str">
        <f>IFERROR(__xludf.DUMMYFUNCTION("""COMPUTED_VALUE"""),"Bulaga")</f>
        <v>Bulaga</v>
      </c>
      <c r="E295" t="str">
        <f>IFERROR(__xludf.DUMMYFUNCTION("""COMPUTED_VALUE"""),"Bryan")</f>
        <v>Bryan</v>
      </c>
      <c r="F295">
        <f>IFERROR(__xludf.DUMMYFUNCTION("""COMPUTED_VALUE"""),11.85)</f>
        <v>11.85</v>
      </c>
    </row>
    <row r="296">
      <c r="D296" t="str">
        <f>IFERROR(__xludf.DUMMYFUNCTION("""COMPUTED_VALUE"""),"Bullard")</f>
        <v>Bullard</v>
      </c>
      <c r="E296" t="str">
        <f>IFERROR(__xludf.DUMMYFUNCTION("""COMPUTED_VALUE"""),"Jonathan")</f>
        <v>Jonathan</v>
      </c>
      <c r="F296">
        <f>IFERROR(__xludf.DUMMYFUNCTION("""COMPUTED_VALUE"""),10.2)</f>
        <v>10.2</v>
      </c>
    </row>
    <row r="297">
      <c r="D297" t="str">
        <f>IFERROR(__xludf.DUMMYFUNCTION("""COMPUTED_VALUE"""),"Bullough")</f>
        <v>Bullough</v>
      </c>
      <c r="E297" t="str">
        <f>IFERROR(__xludf.DUMMYFUNCTION("""COMPUTED_VALUE"""),"Max")</f>
        <v>Max</v>
      </c>
      <c r="F297">
        <f>IFERROR(__xludf.DUMMYFUNCTION("""COMPUTED_VALUE"""),10.2)</f>
        <v>10.2</v>
      </c>
    </row>
    <row r="298">
      <c r="D298" t="str">
        <f>IFERROR(__xludf.DUMMYFUNCTION("""COMPUTED_VALUE"""),"Burbridge")</f>
        <v>Burbridge</v>
      </c>
      <c r="E298" t="str">
        <f>IFERROR(__xludf.DUMMYFUNCTION("""COMPUTED_VALUE"""),"Aaron")</f>
        <v>Aaron</v>
      </c>
      <c r="F298">
        <f>IFERROR(__xludf.DUMMYFUNCTION("""COMPUTED_VALUE"""),9.45)</f>
        <v>9.45</v>
      </c>
    </row>
    <row r="299">
      <c r="D299" t="str">
        <f>IFERROR(__xludf.DUMMYFUNCTION("""COMPUTED_VALUE"""),"Burfict")</f>
        <v>Burfict</v>
      </c>
      <c r="E299" t="str">
        <f>IFERROR(__xludf.DUMMYFUNCTION("""COMPUTED_VALUE"""),"Vontaze")</f>
        <v>Vontaze</v>
      </c>
      <c r="F299">
        <f>IFERROR(__xludf.DUMMYFUNCTION("""COMPUTED_VALUE"""),13.2)</f>
        <v>13.2</v>
      </c>
    </row>
    <row r="300">
      <c r="D300" t="str">
        <f>IFERROR(__xludf.DUMMYFUNCTION("""COMPUTED_VALUE"""),"Burkhead")</f>
        <v>Burkhead</v>
      </c>
      <c r="E300" t="str">
        <f>IFERROR(__xludf.DUMMYFUNCTION("""COMPUTED_VALUE"""),"Rex")</f>
        <v>Rex</v>
      </c>
      <c r="F300">
        <f>IFERROR(__xludf.DUMMYFUNCTION("""COMPUTED_VALUE"""),10.65)</f>
        <v>10.65</v>
      </c>
    </row>
    <row r="301">
      <c r="D301" t="str">
        <f>IFERROR(__xludf.DUMMYFUNCTION("""COMPUTED_VALUE"""),"Burks")</f>
        <v>Burks</v>
      </c>
      <c r="E301" t="str">
        <f>IFERROR(__xludf.DUMMYFUNCTION("""COMPUTED_VALUE"""),"Brandon")</f>
        <v>Brandon</v>
      </c>
      <c r="F301">
        <f>IFERROR(__xludf.DUMMYFUNCTION("""COMPUTED_VALUE"""),9.15)</f>
        <v>9.15</v>
      </c>
    </row>
    <row r="302">
      <c r="D302" t="str">
        <f>IFERROR(__xludf.DUMMYFUNCTION("""COMPUTED_VALUE"""),"Burley")</f>
        <v>Burley</v>
      </c>
      <c r="E302" t="str">
        <f>IFERROR(__xludf.DUMMYFUNCTION("""COMPUTED_VALUE"""),"Marcus")</f>
        <v>Marcus</v>
      </c>
      <c r="F302">
        <f>IFERROR(__xludf.DUMMYFUNCTION("""COMPUTED_VALUE"""),10.65)</f>
        <v>10.65</v>
      </c>
    </row>
    <row r="303">
      <c r="D303" t="str">
        <f>IFERROR(__xludf.DUMMYFUNCTION("""COMPUTED_VALUE"""),"Burnett")</f>
        <v>Burnett</v>
      </c>
      <c r="E303" t="str">
        <f>IFERROR(__xludf.DUMMYFUNCTION("""COMPUTED_VALUE"""),"Morgan")</f>
        <v>Morgan</v>
      </c>
      <c r="F303">
        <f>IFERROR(__xludf.DUMMYFUNCTION("""COMPUTED_VALUE"""),12.75)</f>
        <v>12.75</v>
      </c>
    </row>
    <row r="304">
      <c r="D304" t="str">
        <f>IFERROR(__xludf.DUMMYFUNCTION("""COMPUTED_VALUE"""),"Burns")</f>
        <v>Burns</v>
      </c>
      <c r="E304" t="str">
        <f>IFERROR(__xludf.DUMMYFUNCTION("""COMPUTED_VALUE"""),"Artie")</f>
        <v>Artie</v>
      </c>
      <c r="F304">
        <f>IFERROR(__xludf.DUMMYFUNCTION("""COMPUTED_VALUE"""),10.799999999999999)</f>
        <v>10.8</v>
      </c>
    </row>
    <row r="305">
      <c r="D305" t="str">
        <f>IFERROR(__xludf.DUMMYFUNCTION("""COMPUTED_VALUE"""),"Burris")</f>
        <v>Burris</v>
      </c>
      <c r="E305" t="str">
        <f>IFERROR(__xludf.DUMMYFUNCTION("""COMPUTED_VALUE"""),"Juston")</f>
        <v>Juston</v>
      </c>
      <c r="F305">
        <f>IFERROR(__xludf.DUMMYFUNCTION("""COMPUTED_VALUE"""),10.2)</f>
        <v>10.2</v>
      </c>
    </row>
    <row r="306">
      <c r="D306" t="str">
        <f>IFERROR(__xludf.DUMMYFUNCTION("""COMPUTED_VALUE"""),"Burse")</f>
        <v>Burse</v>
      </c>
      <c r="E306" t="str">
        <f>IFERROR(__xludf.DUMMYFUNCTION("""COMPUTED_VALUE"""),"Isaiah")</f>
        <v>Isaiah</v>
      </c>
      <c r="F306">
        <f>IFERROR(__xludf.DUMMYFUNCTION("""COMPUTED_VALUE"""),9.15)</f>
        <v>9.15</v>
      </c>
    </row>
    <row r="307">
      <c r="D307" t="str">
        <f>IFERROR(__xludf.DUMMYFUNCTION("""COMPUTED_VALUE"""),"Burton")</f>
        <v>Burton</v>
      </c>
      <c r="E307" t="str">
        <f>IFERROR(__xludf.DUMMYFUNCTION("""COMPUTED_VALUE"""),"Michael")</f>
        <v>Michael</v>
      </c>
      <c r="F307">
        <f>IFERROR(__xludf.DUMMYFUNCTION("""COMPUTED_VALUE"""),12.45)</f>
        <v>12.45</v>
      </c>
    </row>
    <row r="308">
      <c r="D308" t="str">
        <f>IFERROR(__xludf.DUMMYFUNCTION("""COMPUTED_VALUE"""),"Burton")</f>
        <v>Burton</v>
      </c>
      <c r="E308" t="str">
        <f>IFERROR(__xludf.DUMMYFUNCTION("""COMPUTED_VALUE"""),"Trey")</f>
        <v>Trey</v>
      </c>
      <c r="F308">
        <f>IFERROR(__xludf.DUMMYFUNCTION("""COMPUTED_VALUE"""),10.35)</f>
        <v>10.35</v>
      </c>
    </row>
    <row r="309">
      <c r="D309" t="str">
        <f>IFERROR(__xludf.DUMMYFUNCTION("""COMPUTED_VALUE"""),"Burwell")</f>
        <v>Burwell</v>
      </c>
      <c r="E309" t="str">
        <f>IFERROR(__xludf.DUMMYFUNCTION("""COMPUTED_VALUE"""),"Tyreek")</f>
        <v>Tyreek</v>
      </c>
      <c r="F309">
        <f>IFERROR(__xludf.DUMMYFUNCTION("""COMPUTED_VALUE"""),9.45)</f>
        <v>9.45</v>
      </c>
    </row>
    <row r="310">
      <c r="D310" t="str">
        <f>IFERROR(__xludf.DUMMYFUNCTION("""COMPUTED_VALUE"""),"Bush")</f>
        <v>Bush</v>
      </c>
      <c r="E310" t="str">
        <f>IFERROR(__xludf.DUMMYFUNCTION("""COMPUTED_VALUE"""),"Deon")</f>
        <v>Deon</v>
      </c>
      <c r="F310">
        <f>IFERROR(__xludf.DUMMYFUNCTION("""COMPUTED_VALUE"""),10.2)</f>
        <v>10.2</v>
      </c>
    </row>
    <row r="311">
      <c r="D311" t="str">
        <f>IFERROR(__xludf.DUMMYFUNCTION("""COMPUTED_VALUE"""),"Bush")</f>
        <v>Bush</v>
      </c>
      <c r="E311" t="str">
        <f>IFERROR(__xludf.DUMMYFUNCTION("""COMPUTED_VALUE"""),"Rafael")</f>
        <v>Rafael</v>
      </c>
      <c r="F311">
        <f>IFERROR(__xludf.DUMMYFUNCTION("""COMPUTED_VALUE"""),11.549999999999999)</f>
        <v>11.55</v>
      </c>
    </row>
    <row r="312">
      <c r="D312" t="str">
        <f>IFERROR(__xludf.DUMMYFUNCTION("""COMPUTED_VALUE"""),"Bush")</f>
        <v>Bush</v>
      </c>
      <c r="E312" t="str">
        <f>IFERROR(__xludf.DUMMYFUNCTION("""COMPUTED_VALUE"""),"Reggie")</f>
        <v>Reggie</v>
      </c>
      <c r="F312">
        <f>IFERROR(__xludf.DUMMYFUNCTION("""COMPUTED_VALUE"""),11.1)</f>
        <v>11.1</v>
      </c>
    </row>
    <row r="313">
      <c r="D313" t="str">
        <f>IFERROR(__xludf.DUMMYFUNCTION("""COMPUTED_VALUE"""),"Bushrod")</f>
        <v>Bushrod</v>
      </c>
      <c r="E313" t="str">
        <f>IFERROR(__xludf.DUMMYFUNCTION("""COMPUTED_VALUE"""),"Jermon")</f>
        <v>Jermon</v>
      </c>
      <c r="F313">
        <f>IFERROR(__xludf.DUMMYFUNCTION("""COMPUTED_VALUE"""),12.15)</f>
        <v>12.15</v>
      </c>
    </row>
    <row r="314">
      <c r="D314" t="str">
        <f>IFERROR(__xludf.DUMMYFUNCTION("""COMPUTED_VALUE"""),"Butler")</f>
        <v>Butler</v>
      </c>
      <c r="E314" t="str">
        <f>IFERROR(__xludf.DUMMYFUNCTION("""COMPUTED_VALUE"""),"Brice")</f>
        <v>Brice</v>
      </c>
      <c r="F314">
        <f>IFERROR(__xludf.DUMMYFUNCTION("""COMPUTED_VALUE"""),10.65)</f>
        <v>10.65</v>
      </c>
    </row>
    <row r="315">
      <c r="D315" t="str">
        <f>IFERROR(__xludf.DUMMYFUNCTION("""COMPUTED_VALUE"""),"Butler")</f>
        <v>Butler</v>
      </c>
      <c r="E315" t="str">
        <f>IFERROR(__xludf.DUMMYFUNCTION("""COMPUTED_VALUE"""),"Crezdon")</f>
        <v>Crezdon</v>
      </c>
      <c r="F315">
        <f>IFERROR(__xludf.DUMMYFUNCTION("""COMPUTED_VALUE"""),10.2)</f>
        <v>10.2</v>
      </c>
    </row>
    <row r="316">
      <c r="D316" t="str">
        <f>IFERROR(__xludf.DUMMYFUNCTION("""COMPUTED_VALUE"""),"Butler")</f>
        <v>Butler</v>
      </c>
      <c r="E316" t="str">
        <f>IFERROR(__xludf.DUMMYFUNCTION("""COMPUTED_VALUE"""),"Darius")</f>
        <v>Darius</v>
      </c>
      <c r="F316">
        <f>IFERROR(__xludf.DUMMYFUNCTION("""COMPUTED_VALUE"""),10.799999999999999)</f>
        <v>10.8</v>
      </c>
    </row>
    <row r="317">
      <c r="D317" t="str">
        <f>IFERROR(__xludf.DUMMYFUNCTION("""COMPUTED_VALUE"""),"Butler")</f>
        <v>Butler</v>
      </c>
      <c r="E317" t="str">
        <f>IFERROR(__xludf.DUMMYFUNCTION("""COMPUTED_VALUE"""),"Donald")</f>
        <v>Donald</v>
      </c>
      <c r="F317">
        <f>IFERROR(__xludf.DUMMYFUNCTION("""COMPUTED_VALUE"""),10.95)</f>
        <v>10.95</v>
      </c>
    </row>
    <row r="318">
      <c r="D318" t="str">
        <f>IFERROR(__xludf.DUMMYFUNCTION("""COMPUTED_VALUE"""),"Butler")</f>
        <v>Butler</v>
      </c>
      <c r="E318" t="str">
        <f>IFERROR(__xludf.DUMMYFUNCTION("""COMPUTED_VALUE"""),"Drew")</f>
        <v>Drew</v>
      </c>
      <c r="F318">
        <f>IFERROR(__xludf.DUMMYFUNCTION("""COMPUTED_VALUE"""),11.4)</f>
        <v>11.4</v>
      </c>
    </row>
    <row r="319">
      <c r="D319" t="str">
        <f>IFERROR(__xludf.DUMMYFUNCTION("""COMPUTED_VALUE"""),"Butler")</f>
        <v>Butler</v>
      </c>
      <c r="E319" t="str">
        <f>IFERROR(__xludf.DUMMYFUNCTION("""COMPUTED_VALUE"""),"Malcolm")</f>
        <v>Malcolm</v>
      </c>
      <c r="F319">
        <f>IFERROR(__xludf.DUMMYFUNCTION("""COMPUTED_VALUE"""),12.75)</f>
        <v>12.75</v>
      </c>
    </row>
    <row r="320">
      <c r="D320" t="str">
        <f>IFERROR(__xludf.DUMMYFUNCTION("""COMPUTED_VALUE"""),"Butler")</f>
        <v>Butler</v>
      </c>
      <c r="E320" t="str">
        <f>IFERROR(__xludf.DUMMYFUNCTION("""COMPUTED_VALUE"""),"Vernon")</f>
        <v>Vernon</v>
      </c>
      <c r="F320">
        <f>IFERROR(__xludf.DUMMYFUNCTION("""COMPUTED_VALUE"""),11.1)</f>
        <v>11.1</v>
      </c>
    </row>
    <row r="321">
      <c r="D321" t="str">
        <f>IFERROR(__xludf.DUMMYFUNCTION("""COMPUTED_VALUE"""),"Byard")</f>
        <v>Byard</v>
      </c>
      <c r="E321" t="str">
        <f>IFERROR(__xludf.DUMMYFUNCTION("""COMPUTED_VALUE"""),"Kevin")</f>
        <v>Kevin</v>
      </c>
      <c r="F321">
        <f>IFERROR(__xludf.DUMMYFUNCTION("""COMPUTED_VALUE"""),10.65)</f>
        <v>10.65</v>
      </c>
    </row>
    <row r="322">
      <c r="D322" t="str">
        <f>IFERROR(__xludf.DUMMYFUNCTION("""COMPUTED_VALUE"""),"Bynes")</f>
        <v>Bynes</v>
      </c>
      <c r="E322" t="str">
        <f>IFERROR(__xludf.DUMMYFUNCTION("""COMPUTED_VALUE"""),"Josh")</f>
        <v>Josh</v>
      </c>
      <c r="F322">
        <f>IFERROR(__xludf.DUMMYFUNCTION("""COMPUTED_VALUE"""),11.85)</f>
        <v>11.85</v>
      </c>
    </row>
    <row r="323">
      <c r="D323" t="str">
        <f>IFERROR(__xludf.DUMMYFUNCTION("""COMPUTED_VALUE"""),"Byrd")</f>
        <v>Byrd</v>
      </c>
      <c r="E323" t="str">
        <f>IFERROR(__xludf.DUMMYFUNCTION("""COMPUTED_VALUE"""),"Jairus")</f>
        <v>Jairus</v>
      </c>
      <c r="F323">
        <f>IFERROR(__xludf.DUMMYFUNCTION("""COMPUTED_VALUE"""),12.45)</f>
        <v>12.45</v>
      </c>
    </row>
    <row r="324">
      <c r="D324" t="str">
        <f>IFERROR(__xludf.DUMMYFUNCTION("""COMPUTED_VALUE"""),"Cadet")</f>
        <v>Cadet</v>
      </c>
      <c r="E324" t="str">
        <f>IFERROR(__xludf.DUMMYFUNCTION("""COMPUTED_VALUE"""),"Travaris")</f>
        <v>Travaris</v>
      </c>
      <c r="F324">
        <f>IFERROR(__xludf.DUMMYFUNCTION("""COMPUTED_VALUE"""),10.65)</f>
        <v>10.65</v>
      </c>
    </row>
    <row r="325">
      <c r="D325" t="str">
        <f>IFERROR(__xludf.DUMMYFUNCTION("""COMPUTED_VALUE"""),"Cajuste")</f>
        <v>Cajuste</v>
      </c>
      <c r="E325" t="str">
        <f>IFERROR(__xludf.DUMMYFUNCTION("""COMPUTED_VALUE"""),"Devon")</f>
        <v>Devon</v>
      </c>
      <c r="F325">
        <f>IFERROR(__xludf.DUMMYFUNCTION("""COMPUTED_VALUE"""),9.45)</f>
        <v>9.45</v>
      </c>
    </row>
    <row r="326">
      <c r="D326" t="str">
        <f>IFERROR(__xludf.DUMMYFUNCTION("""COMPUTED_VALUE"""),"Caldwell")</f>
        <v>Caldwell</v>
      </c>
      <c r="E326" t="str">
        <f>IFERROR(__xludf.DUMMYFUNCTION("""COMPUTED_VALUE"""),"Andre")</f>
        <v>Andre</v>
      </c>
      <c r="F326">
        <f>IFERROR(__xludf.DUMMYFUNCTION("""COMPUTED_VALUE"""),10.5)</f>
        <v>10.5</v>
      </c>
    </row>
    <row r="327">
      <c r="D327" t="str">
        <f>IFERROR(__xludf.DUMMYFUNCTION("""COMPUTED_VALUE"""),"Caldwell")</f>
        <v>Caldwell</v>
      </c>
      <c r="E327" t="str">
        <f>IFERROR(__xludf.DUMMYFUNCTION("""COMPUTED_VALUE"""),"Trey")</f>
        <v>Trey</v>
      </c>
      <c r="F327">
        <f>IFERROR(__xludf.DUMMYFUNCTION("""COMPUTED_VALUE"""),9.299999999999999)</f>
        <v>9.3</v>
      </c>
    </row>
    <row r="328">
      <c r="D328" t="str">
        <f>IFERROR(__xludf.DUMMYFUNCTION("""COMPUTED_VALUE"""),"Calhoun")</f>
        <v>Calhoun</v>
      </c>
      <c r="E328" t="str">
        <f>IFERROR(__xludf.DUMMYFUNCTION("""COMPUTED_VALUE"""),"Shilique")</f>
        <v>Shilique</v>
      </c>
      <c r="F328">
        <f>IFERROR(__xludf.DUMMYFUNCTION("""COMPUTED_VALUE"""),10.35)</f>
        <v>10.35</v>
      </c>
    </row>
    <row r="329">
      <c r="D329" t="str">
        <f>IFERROR(__xludf.DUMMYFUNCTION("""COMPUTED_VALUE"""),"Calhoun")</f>
        <v>Calhoun</v>
      </c>
      <c r="E329" t="str">
        <f>IFERROR(__xludf.DUMMYFUNCTION("""COMPUTED_VALUE"""),"Taveze")</f>
        <v>Taveze</v>
      </c>
      <c r="F329">
        <f>IFERROR(__xludf.DUMMYFUNCTION("""COMPUTED_VALUE"""),9.299999999999999)</f>
        <v>9.3</v>
      </c>
    </row>
    <row r="330">
      <c r="D330" t="str">
        <f>IFERROR(__xludf.DUMMYFUNCTION("""COMPUTED_VALUE"""),"Callahan")</f>
        <v>Callahan</v>
      </c>
      <c r="E330" t="str">
        <f>IFERROR(__xludf.DUMMYFUNCTION("""COMPUTED_VALUE"""),"Bryce")</f>
        <v>Bryce</v>
      </c>
      <c r="F330">
        <f>IFERROR(__xludf.DUMMYFUNCTION("""COMPUTED_VALUE"""),10.35)</f>
        <v>10.35</v>
      </c>
    </row>
    <row r="331">
      <c r="D331" t="str">
        <f>IFERROR(__xludf.DUMMYFUNCTION("""COMPUTED_VALUE"""),"Callahan")</f>
        <v>Callahan</v>
      </c>
      <c r="E331" t="str">
        <f>IFERROR(__xludf.DUMMYFUNCTION("""COMPUTED_VALUE"""),"Joe")</f>
        <v>Joe</v>
      </c>
      <c r="F331">
        <f>IFERROR(__xludf.DUMMYFUNCTION("""COMPUTED_VALUE"""),9.299999999999999)</f>
        <v>9.3</v>
      </c>
    </row>
    <row r="332">
      <c r="D332" t="str">
        <f>IFERROR(__xludf.DUMMYFUNCTION("""COMPUTED_VALUE"""),"Cameron")</f>
        <v>Cameron</v>
      </c>
      <c r="E332" t="str">
        <f>IFERROR(__xludf.DUMMYFUNCTION("""COMPUTED_VALUE"""),"Jordan")</f>
        <v>Jordan</v>
      </c>
      <c r="F332">
        <f>IFERROR(__xludf.DUMMYFUNCTION("""COMPUTED_VALUE"""),12.15)</f>
        <v>12.15</v>
      </c>
    </row>
    <row r="333">
      <c r="D333" t="str">
        <f>IFERROR(__xludf.DUMMYFUNCTION("""COMPUTED_VALUE"""),"Campanaro")</f>
        <v>Campanaro</v>
      </c>
      <c r="E333" t="str">
        <f>IFERROR(__xludf.DUMMYFUNCTION("""COMPUTED_VALUE"""),"Michael")</f>
        <v>Michael</v>
      </c>
      <c r="F333">
        <f>IFERROR(__xludf.DUMMYFUNCTION("""COMPUTED_VALUE"""),10.2)</f>
        <v>10.2</v>
      </c>
    </row>
    <row r="334">
      <c r="D334" t="str">
        <f>IFERROR(__xludf.DUMMYFUNCTION("""COMPUTED_VALUE"""),"Campbell")</f>
        <v>Campbell</v>
      </c>
      <c r="E334" t="str">
        <f>IFERROR(__xludf.DUMMYFUNCTION("""COMPUTED_VALUE"""),"Calais")</f>
        <v>Calais</v>
      </c>
      <c r="F334">
        <f>IFERROR(__xludf.DUMMYFUNCTION("""COMPUTED_VALUE"""),13.2)</f>
        <v>13.2</v>
      </c>
    </row>
    <row r="335">
      <c r="D335" t="str">
        <f>IFERROR(__xludf.DUMMYFUNCTION("""COMPUTED_VALUE"""),"Campbell")</f>
        <v>Campbell</v>
      </c>
      <c r="E335" t="str">
        <f>IFERROR(__xludf.DUMMYFUNCTION("""COMPUTED_VALUE"""),"DeVondre")</f>
        <v>DeVondre</v>
      </c>
      <c r="F335">
        <f>IFERROR(__xludf.DUMMYFUNCTION("""COMPUTED_VALUE"""),9.6)</f>
        <v>9.6</v>
      </c>
    </row>
    <row r="336">
      <c r="D336" t="str">
        <f>IFERROR(__xludf.DUMMYFUNCTION("""COMPUTED_VALUE"""),"Campbell")</f>
        <v>Campbell</v>
      </c>
      <c r="E336" t="str">
        <f>IFERROR(__xludf.DUMMYFUNCTION("""COMPUTED_VALUE"""),"Ibraheim")</f>
        <v>Ibraheim</v>
      </c>
      <c r="F336">
        <f>IFERROR(__xludf.DUMMYFUNCTION("""COMPUTED_VALUE"""),10.5)</f>
        <v>10.5</v>
      </c>
    </row>
    <row r="337">
      <c r="D337" t="str">
        <f>IFERROR(__xludf.DUMMYFUNCTION("""COMPUTED_VALUE"""),"Canaday")</f>
        <v>Canaday</v>
      </c>
      <c r="E337" t="str">
        <f>IFERROR(__xludf.DUMMYFUNCTION("""COMPUTED_VALUE"""),"Kameron")</f>
        <v>Kameron</v>
      </c>
      <c r="F337">
        <f>IFERROR(__xludf.DUMMYFUNCTION("""COMPUTED_VALUE"""),6.3)</f>
        <v>6.3</v>
      </c>
    </row>
    <row r="338">
      <c r="D338" t="str">
        <f>IFERROR(__xludf.DUMMYFUNCTION("""COMPUTED_VALUE"""),"Canady")</f>
        <v>Canady</v>
      </c>
      <c r="E338" t="str">
        <f>IFERROR(__xludf.DUMMYFUNCTION("""COMPUTED_VALUE"""),"Maurice")</f>
        <v>Maurice</v>
      </c>
      <c r="F338">
        <f>IFERROR(__xludf.DUMMYFUNCTION("""COMPUTED_VALUE"""),9.75)</f>
        <v>9.75</v>
      </c>
    </row>
    <row r="339">
      <c r="D339" t="str">
        <f>IFERROR(__xludf.DUMMYFUNCTION("""COMPUTED_VALUE"""),"Cann")</f>
        <v>Cann</v>
      </c>
      <c r="E339" t="str">
        <f>IFERROR(__xludf.DUMMYFUNCTION("""COMPUTED_VALUE"""),"AJ")</f>
        <v>AJ</v>
      </c>
      <c r="F339">
        <f>IFERROR(__xludf.DUMMYFUNCTION("""COMPUTED_VALUE"""),10.35)</f>
        <v>10.35</v>
      </c>
    </row>
    <row r="340">
      <c r="D340" t="str">
        <f>IFERROR(__xludf.DUMMYFUNCTION("""COMPUTED_VALUE"""),"Cannon")</f>
        <v>Cannon</v>
      </c>
      <c r="E340" t="str">
        <f>IFERROR(__xludf.DUMMYFUNCTION("""COMPUTED_VALUE"""),"Marcus")</f>
        <v>Marcus</v>
      </c>
      <c r="F340">
        <f>IFERROR(__xludf.DUMMYFUNCTION("""COMPUTED_VALUE"""),11.1)</f>
        <v>11.1</v>
      </c>
    </row>
    <row r="341">
      <c r="D341" t="str">
        <f>IFERROR(__xludf.DUMMYFUNCTION("""COMPUTED_VALUE"""),"Carder")</f>
        <v>Carder</v>
      </c>
      <c r="E341" t="str">
        <f>IFERROR(__xludf.DUMMYFUNCTION("""COMPUTED_VALUE"""),"Tank")</f>
        <v>Tank</v>
      </c>
      <c r="F341">
        <f>IFERROR(__xludf.DUMMYFUNCTION("""COMPUTED_VALUE"""),9.75)</f>
        <v>9.75</v>
      </c>
    </row>
    <row r="342">
      <c r="D342" t="str">
        <f>IFERROR(__xludf.DUMMYFUNCTION("""COMPUTED_VALUE"""),"Cardona")</f>
        <v>Cardona</v>
      </c>
      <c r="E342" t="str">
        <f>IFERROR(__xludf.DUMMYFUNCTION("""COMPUTED_VALUE"""),"Joe")</f>
        <v>Joe</v>
      </c>
      <c r="F342">
        <f>IFERROR(__xludf.DUMMYFUNCTION("""COMPUTED_VALUE"""),6.0)</f>
        <v>6</v>
      </c>
    </row>
    <row r="343">
      <c r="D343" t="str">
        <f>IFERROR(__xludf.DUMMYFUNCTION("""COMPUTED_VALUE"""),"Carey")</f>
        <v>Carey</v>
      </c>
      <c r="E343" t="str">
        <f>IFERROR(__xludf.DUMMYFUNCTION("""COMPUTED_VALUE"""),"Don")</f>
        <v>Don</v>
      </c>
      <c r="F343">
        <f>IFERROR(__xludf.DUMMYFUNCTION("""COMPUTED_VALUE"""),10.5)</f>
        <v>10.5</v>
      </c>
    </row>
    <row r="344">
      <c r="D344" t="str">
        <f>IFERROR(__xludf.DUMMYFUNCTION("""COMPUTED_VALUE"""),"Carey")</f>
        <v>Carey</v>
      </c>
      <c r="E344" t="str">
        <f>IFERROR(__xludf.DUMMYFUNCTION("""COMPUTED_VALUE"""),"KaDeem")</f>
        <v>KaDeem</v>
      </c>
      <c r="F344">
        <f>IFERROR(__xludf.DUMMYFUNCTION("""COMPUTED_VALUE"""),10.95)</f>
        <v>10.95</v>
      </c>
    </row>
    <row r="345">
      <c r="D345" t="str">
        <f>IFERROR(__xludf.DUMMYFUNCTION("""COMPUTED_VALUE"""),"Carlisle")</f>
        <v>Carlisle</v>
      </c>
      <c r="E345" t="str">
        <f>IFERROR(__xludf.DUMMYFUNCTION("""COMPUTED_VALUE"""),"Amir")</f>
        <v>Amir</v>
      </c>
      <c r="F345">
        <f>IFERROR(__xludf.DUMMYFUNCTION("""COMPUTED_VALUE"""),9.15)</f>
        <v>9.15</v>
      </c>
    </row>
    <row r="346">
      <c r="D346" t="str">
        <f>IFERROR(__xludf.DUMMYFUNCTION("""COMPUTED_VALUE"""),"Carpenter")</f>
        <v>Carpenter</v>
      </c>
      <c r="E346" t="str">
        <f>IFERROR(__xludf.DUMMYFUNCTION("""COMPUTED_VALUE"""),"Dan")</f>
        <v>Dan</v>
      </c>
      <c r="F346">
        <f>IFERROR(__xludf.DUMMYFUNCTION("""COMPUTED_VALUE"""),11.85)</f>
        <v>11.85</v>
      </c>
    </row>
    <row r="347">
      <c r="D347" t="str">
        <f>IFERROR(__xludf.DUMMYFUNCTION("""COMPUTED_VALUE"""),"Carpenter")</f>
        <v>Carpenter</v>
      </c>
      <c r="E347" t="str">
        <f>IFERROR(__xludf.DUMMYFUNCTION("""COMPUTED_VALUE"""),"James")</f>
        <v>James</v>
      </c>
      <c r="F347">
        <f>IFERROR(__xludf.DUMMYFUNCTION("""COMPUTED_VALUE"""),11.85)</f>
        <v>11.85</v>
      </c>
    </row>
    <row r="348">
      <c r="D348" t="str">
        <f>IFERROR(__xludf.DUMMYFUNCTION("""COMPUTED_VALUE"""),"Carr")</f>
        <v>Carr</v>
      </c>
      <c r="E348" t="str">
        <f>IFERROR(__xludf.DUMMYFUNCTION("""COMPUTED_VALUE"""),"Brandon")</f>
        <v>Brandon</v>
      </c>
      <c r="F348">
        <f>IFERROR(__xludf.DUMMYFUNCTION("""COMPUTED_VALUE"""),11.4)</f>
        <v>11.4</v>
      </c>
    </row>
    <row r="349">
      <c r="D349" t="str">
        <f>IFERROR(__xludf.DUMMYFUNCTION("""COMPUTED_VALUE"""),"Carr")</f>
        <v>Carr</v>
      </c>
      <c r="E349" t="str">
        <f>IFERROR(__xludf.DUMMYFUNCTION("""COMPUTED_VALUE"""),"Derek")</f>
        <v>Derek</v>
      </c>
      <c r="F349">
        <f>IFERROR(__xludf.DUMMYFUNCTION("""COMPUTED_VALUE"""),12.45)</f>
        <v>12.45</v>
      </c>
    </row>
    <row r="350">
      <c r="D350" t="str">
        <f>IFERROR(__xludf.DUMMYFUNCTION("""COMPUTED_VALUE"""),"Carr")</f>
        <v>Carr</v>
      </c>
      <c r="E350" t="str">
        <f>IFERROR(__xludf.DUMMYFUNCTION("""COMPUTED_VALUE"""),"Deveron")</f>
        <v>Deveron</v>
      </c>
      <c r="F350">
        <f>IFERROR(__xludf.DUMMYFUNCTION("""COMPUTED_VALUE"""),8.85)</f>
        <v>8.85</v>
      </c>
    </row>
    <row r="351">
      <c r="D351" t="str">
        <f>IFERROR(__xludf.DUMMYFUNCTION("""COMPUTED_VALUE"""),"Carradine")</f>
        <v>Carradine</v>
      </c>
      <c r="E351" t="str">
        <f>IFERROR(__xludf.DUMMYFUNCTION("""COMPUTED_VALUE"""),"Tank")</f>
        <v>Tank</v>
      </c>
      <c r="F351">
        <f>IFERROR(__xludf.DUMMYFUNCTION("""COMPUTED_VALUE"""),10.65)</f>
        <v>10.65</v>
      </c>
    </row>
    <row r="352">
      <c r="D352" t="str">
        <f>IFERROR(__xludf.DUMMYFUNCTION("""COMPUTED_VALUE"""),"Carrethers")</f>
        <v>Carrethers</v>
      </c>
      <c r="E352" t="str">
        <f>IFERROR(__xludf.DUMMYFUNCTION("""COMPUTED_VALUE"""),"Ryan")</f>
        <v>Ryan</v>
      </c>
      <c r="F352">
        <f>IFERROR(__xludf.DUMMYFUNCTION("""COMPUTED_VALUE"""),10.2)</f>
        <v>10.2</v>
      </c>
    </row>
    <row r="353">
      <c r="D353" t="str">
        <f>IFERROR(__xludf.DUMMYFUNCTION("""COMPUTED_VALUE"""),"Carrie")</f>
        <v>Carrie</v>
      </c>
      <c r="E353" t="str">
        <f>IFERROR(__xludf.DUMMYFUNCTION("""COMPUTED_VALUE"""),"TJ")</f>
        <v>TJ</v>
      </c>
      <c r="F353">
        <f>IFERROR(__xludf.DUMMYFUNCTION("""COMPUTED_VALUE"""),10.95)</f>
        <v>10.95</v>
      </c>
    </row>
    <row r="354">
      <c r="D354" t="str">
        <f>IFERROR(__xludf.DUMMYFUNCTION("""COMPUTED_VALUE"""),"Carrier")</f>
        <v>Carrier</v>
      </c>
      <c r="E354" t="str">
        <f>IFERROR(__xludf.DUMMYFUNCTION("""COMPUTED_VALUE"""),"Derek")</f>
        <v>Derek</v>
      </c>
      <c r="F354">
        <f>IFERROR(__xludf.DUMMYFUNCTION("""COMPUTED_VALUE"""),10.95)</f>
        <v>10.95</v>
      </c>
    </row>
    <row r="355">
      <c r="D355" t="str">
        <f>IFERROR(__xludf.DUMMYFUNCTION("""COMPUTED_VALUE"""),"Carroll II")</f>
        <v>Carroll II</v>
      </c>
      <c r="E355" t="str">
        <f>IFERROR(__xludf.DUMMYFUNCTION("""COMPUTED_VALUE"""),"Nolan")</f>
        <v>Nolan</v>
      </c>
      <c r="F355">
        <f>IFERROR(__xludf.DUMMYFUNCTION("""COMPUTED_VALUE"""),11.4)</f>
        <v>11.4</v>
      </c>
    </row>
    <row r="356">
      <c r="D356" t="str">
        <f>IFERROR(__xludf.DUMMYFUNCTION("""COMPUTED_VALUE"""),"Carroo")</f>
        <v>Carroo</v>
      </c>
      <c r="E356" t="str">
        <f>IFERROR(__xludf.DUMMYFUNCTION("""COMPUTED_VALUE"""),"Leonte")</f>
        <v>Leonte</v>
      </c>
      <c r="F356">
        <f>IFERROR(__xludf.DUMMYFUNCTION("""COMPUTED_VALUE"""),10.5)</f>
        <v>10.5</v>
      </c>
    </row>
    <row r="357">
      <c r="D357" t="str">
        <f>IFERROR(__xludf.DUMMYFUNCTION("""COMPUTED_VALUE"""),"Carson")</f>
        <v>Carson</v>
      </c>
      <c r="E357" t="str">
        <f>IFERROR(__xludf.DUMMYFUNCTION("""COMPUTED_VALUE"""),"Tra")</f>
        <v>Tra</v>
      </c>
      <c r="F357">
        <f>IFERROR(__xludf.DUMMYFUNCTION("""COMPUTED_VALUE"""),9.299999999999999)</f>
        <v>9.3</v>
      </c>
    </row>
    <row r="358">
      <c r="D358" t="str">
        <f>IFERROR(__xludf.DUMMYFUNCTION("""COMPUTED_VALUE"""),"Carter")</f>
        <v>Carter</v>
      </c>
      <c r="E358" t="str">
        <f>IFERROR(__xludf.DUMMYFUNCTION("""COMPUTED_VALUE"""),"Alex")</f>
        <v>Alex</v>
      </c>
      <c r="F358">
        <f>IFERROR(__xludf.DUMMYFUNCTION("""COMPUTED_VALUE"""),10.049999999999999)</f>
        <v>10.05</v>
      </c>
    </row>
    <row r="359">
      <c r="D359" t="str">
        <f>IFERROR(__xludf.DUMMYFUNCTION("""COMPUTED_VALUE"""),"Carter")</f>
        <v>Carter</v>
      </c>
      <c r="E359" t="str">
        <f>IFERROR(__xludf.DUMMYFUNCTION("""COMPUTED_VALUE"""),"Bruce")</f>
        <v>Bruce</v>
      </c>
      <c r="F359">
        <f>IFERROR(__xludf.DUMMYFUNCTION("""COMPUTED_VALUE"""),10.95)</f>
        <v>10.95</v>
      </c>
    </row>
    <row r="360">
      <c r="D360" t="str">
        <f>IFERROR(__xludf.DUMMYFUNCTION("""COMPUTED_VALUE"""),"Carter")</f>
        <v>Carter</v>
      </c>
      <c r="E360" t="str">
        <f>IFERROR(__xludf.DUMMYFUNCTION("""COMPUTED_VALUE"""),"Chris")</f>
        <v>Chris</v>
      </c>
      <c r="F360">
        <f>IFERROR(__xludf.DUMMYFUNCTION("""COMPUTED_VALUE"""),10.049999999999999)</f>
        <v>10.05</v>
      </c>
    </row>
    <row r="361">
      <c r="D361" t="str">
        <f>IFERROR(__xludf.DUMMYFUNCTION("""COMPUTED_VALUE"""),"Carter")</f>
        <v>Carter</v>
      </c>
      <c r="E361" t="str">
        <f>IFERROR(__xludf.DUMMYFUNCTION("""COMPUTED_VALUE"""),"Kyle")</f>
        <v>Kyle</v>
      </c>
      <c r="F361">
        <f>IFERROR(__xludf.DUMMYFUNCTION("""COMPUTED_VALUE"""),8.7)</f>
        <v>8.7</v>
      </c>
    </row>
    <row r="362">
      <c r="D362" t="str">
        <f>IFERROR(__xludf.DUMMYFUNCTION("""COMPUTED_VALUE"""),"Carter")</f>
        <v>Carter</v>
      </c>
      <c r="E362" t="str">
        <f>IFERROR(__xludf.DUMMYFUNCTION("""COMPUTED_VALUE"""),"Tony")</f>
        <v>Tony</v>
      </c>
      <c r="F362">
        <f>IFERROR(__xludf.DUMMYFUNCTION("""COMPUTED_VALUE"""),10.35)</f>
        <v>10.35</v>
      </c>
    </row>
    <row r="363">
      <c r="D363" t="str">
        <f>IFERROR(__xludf.DUMMYFUNCTION("""COMPUTED_VALUE"""),"Cartwright")</f>
        <v>Cartwright</v>
      </c>
      <c r="E363" t="str">
        <f>IFERROR(__xludf.DUMMYFUNCTION("""COMPUTED_VALUE"""),"Kivon")</f>
        <v>Kivon</v>
      </c>
      <c r="F363">
        <f>IFERROR(__xludf.DUMMYFUNCTION("""COMPUTED_VALUE"""),9.45)</f>
        <v>9.45</v>
      </c>
    </row>
    <row r="364">
      <c r="D364" t="str">
        <f>IFERROR(__xludf.DUMMYFUNCTION("""COMPUTED_VALUE"""),"Casey")</f>
        <v>Casey</v>
      </c>
      <c r="E364" t="str">
        <f>IFERROR(__xludf.DUMMYFUNCTION("""COMPUTED_VALUE"""),"Jurrell")</f>
        <v>Jurrell</v>
      </c>
      <c r="F364">
        <f>IFERROR(__xludf.DUMMYFUNCTION("""COMPUTED_VALUE"""),13.95)</f>
        <v>13.95</v>
      </c>
    </row>
    <row r="365">
      <c r="D365" t="str">
        <f>IFERROR(__xludf.DUMMYFUNCTION("""COMPUTED_VALUE"""),"Cash")</f>
        <v>Cash</v>
      </c>
      <c r="E365" t="str">
        <f>IFERROR(__xludf.DUMMYFUNCTION("""COMPUTED_VALUE"""),"Jeremy")</f>
        <v>Jeremy</v>
      </c>
      <c r="F365">
        <f>IFERROR(__xludf.DUMMYFUNCTION("""COMPUTED_VALUE"""),9.299999999999999)</f>
        <v>9.3</v>
      </c>
    </row>
    <row r="366">
      <c r="D366" t="str">
        <f>IFERROR(__xludf.DUMMYFUNCTION("""COMPUTED_VALUE"""),"Casillas")</f>
        <v>Casillas</v>
      </c>
      <c r="E366" t="str">
        <f>IFERROR(__xludf.DUMMYFUNCTION("""COMPUTED_VALUE"""),"Jonathan")</f>
        <v>Jonathan</v>
      </c>
      <c r="F366">
        <f>IFERROR(__xludf.DUMMYFUNCTION("""COMPUTED_VALUE"""),10.65)</f>
        <v>10.65</v>
      </c>
    </row>
    <row r="367">
      <c r="D367" t="str">
        <f>IFERROR(__xludf.DUMMYFUNCTION("""COMPUTED_VALUE"""),"Cassel")</f>
        <v>Cassel</v>
      </c>
      <c r="E367" t="str">
        <f>IFERROR(__xludf.DUMMYFUNCTION("""COMPUTED_VALUE"""),"Matt")</f>
        <v>Matt</v>
      </c>
      <c r="F367">
        <f>IFERROR(__xludf.DUMMYFUNCTION("""COMPUTED_VALUE"""),10.5)</f>
        <v>10.5</v>
      </c>
    </row>
    <row r="368">
      <c r="D368" t="str">
        <f>IFERROR(__xludf.DUMMYFUNCTION("""COMPUTED_VALUE"""),"Castonzo")</f>
        <v>Castonzo</v>
      </c>
      <c r="E368" t="str">
        <f>IFERROR(__xludf.DUMMYFUNCTION("""COMPUTED_VALUE"""),"Anthony")</f>
        <v>Anthony</v>
      </c>
      <c r="F368">
        <f>IFERROR(__xludf.DUMMYFUNCTION("""COMPUTED_VALUE"""),12.15)</f>
        <v>12.15</v>
      </c>
    </row>
    <row r="369">
      <c r="D369" t="str">
        <f>IFERROR(__xludf.DUMMYFUNCTION("""COMPUTED_VALUE"""),"Catanzaro")</f>
        <v>Catanzaro</v>
      </c>
      <c r="E369" t="str">
        <f>IFERROR(__xludf.DUMMYFUNCTION("""COMPUTED_VALUE"""),"Chandler")</f>
        <v>Chandler</v>
      </c>
      <c r="F369">
        <f>IFERROR(__xludf.DUMMYFUNCTION("""COMPUTED_VALUE"""),12.0)</f>
        <v>12</v>
      </c>
    </row>
    <row r="370">
      <c r="D370" t="str">
        <f>IFERROR(__xludf.DUMMYFUNCTION("""COMPUTED_VALUE"""),"Catapano")</f>
        <v>Catapano</v>
      </c>
      <c r="E370" t="str">
        <f>IFERROR(__xludf.DUMMYFUNCTION("""COMPUTED_VALUE"""),"Mike")</f>
        <v>Mike</v>
      </c>
      <c r="F370">
        <f>IFERROR(__xludf.DUMMYFUNCTION("""COMPUTED_VALUE"""),9.75)</f>
        <v>9.75</v>
      </c>
    </row>
    <row r="371">
      <c r="D371" t="str">
        <f>IFERROR(__xludf.DUMMYFUNCTION("""COMPUTED_VALUE"""),"Celek")</f>
        <v>Celek</v>
      </c>
      <c r="E371" t="str">
        <f>IFERROR(__xludf.DUMMYFUNCTION("""COMPUTED_VALUE"""),"Brent")</f>
        <v>Brent</v>
      </c>
      <c r="F371">
        <f>IFERROR(__xludf.DUMMYFUNCTION("""COMPUTED_VALUE"""),11.85)</f>
        <v>11.85</v>
      </c>
    </row>
    <row r="372">
      <c r="D372" t="str">
        <f>IFERROR(__xludf.DUMMYFUNCTION("""COMPUTED_VALUE"""),"Celek")</f>
        <v>Celek</v>
      </c>
      <c r="E372" t="str">
        <f>IFERROR(__xludf.DUMMYFUNCTION("""COMPUTED_VALUE"""),"Garrett")</f>
        <v>Garrett</v>
      </c>
      <c r="F372">
        <f>IFERROR(__xludf.DUMMYFUNCTION("""COMPUTED_VALUE"""),11.25)</f>
        <v>11.25</v>
      </c>
    </row>
    <row r="373">
      <c r="D373" t="str">
        <f>IFERROR(__xludf.DUMMYFUNCTION("""COMPUTED_VALUE"""),"Chancellor")</f>
        <v>Chancellor</v>
      </c>
      <c r="E373" t="str">
        <f>IFERROR(__xludf.DUMMYFUNCTION("""COMPUTED_VALUE"""),"Kam")</f>
        <v>Kam</v>
      </c>
      <c r="F373">
        <f>IFERROR(__xludf.DUMMYFUNCTION("""COMPUTED_VALUE"""),13.65)</f>
        <v>13.65</v>
      </c>
    </row>
    <row r="374">
      <c r="D374" t="str">
        <f>IFERROR(__xludf.DUMMYFUNCTION("""COMPUTED_VALUE"""),"Charles")</f>
        <v>Charles</v>
      </c>
      <c r="E374" t="str">
        <f>IFERROR(__xludf.DUMMYFUNCTION("""COMPUTED_VALUE"""),"Jamaal")</f>
        <v>Jamaal</v>
      </c>
      <c r="F374">
        <f>IFERROR(__xludf.DUMMYFUNCTION("""COMPUTED_VALUE"""),13.35)</f>
        <v>13.35</v>
      </c>
    </row>
    <row r="375">
      <c r="D375" t="str">
        <f>IFERROR(__xludf.DUMMYFUNCTION("""COMPUTED_VALUE"""),"Charles")</f>
        <v>Charles</v>
      </c>
      <c r="E375" t="str">
        <f>IFERROR(__xludf.DUMMYFUNCTION("""COMPUTED_VALUE"""),"Stefan")</f>
        <v>Stefan</v>
      </c>
      <c r="F375">
        <f>IFERROR(__xludf.DUMMYFUNCTION("""COMPUTED_VALUE"""),10.2)</f>
        <v>10.2</v>
      </c>
    </row>
    <row r="376">
      <c r="D376" t="str">
        <f>IFERROR(__xludf.DUMMYFUNCTION("""COMPUTED_VALUE"""),"Chekwa")</f>
        <v>Chekwa</v>
      </c>
      <c r="E376" t="str">
        <f>IFERROR(__xludf.DUMMYFUNCTION("""COMPUTED_VALUE"""),"Chimdi")</f>
        <v>Chimdi</v>
      </c>
      <c r="F376">
        <f>IFERROR(__xludf.DUMMYFUNCTION("""COMPUTED_VALUE"""),10.2)</f>
        <v>10.2</v>
      </c>
    </row>
    <row r="377">
      <c r="D377" t="str">
        <f>IFERROR(__xludf.DUMMYFUNCTION("""COMPUTED_VALUE"""),"Cherilus")</f>
        <v>Cherilus</v>
      </c>
      <c r="E377" t="str">
        <f>IFERROR(__xludf.DUMMYFUNCTION("""COMPUTED_VALUE"""),"Gosder")</f>
        <v>Gosder</v>
      </c>
      <c r="F377">
        <f>IFERROR(__xludf.DUMMYFUNCTION("""COMPUTED_VALUE"""),10.5)</f>
        <v>10.5</v>
      </c>
    </row>
    <row r="378">
      <c r="D378" t="str">
        <f>IFERROR(__xludf.DUMMYFUNCTION("""COMPUTED_VALUE"""),"Chester")</f>
        <v>Chester</v>
      </c>
      <c r="E378" t="str">
        <f>IFERROR(__xludf.DUMMYFUNCTION("""COMPUTED_VALUE"""),"Chris")</f>
        <v>Chris</v>
      </c>
      <c r="F378">
        <f>IFERROR(__xludf.DUMMYFUNCTION("""COMPUTED_VALUE"""),11.7)</f>
        <v>11.7</v>
      </c>
    </row>
    <row r="379">
      <c r="D379" t="str">
        <f>IFERROR(__xludf.DUMMYFUNCTION("""COMPUTED_VALUE"""),"Chestnut")</f>
        <v>Chestnut</v>
      </c>
      <c r="E379" t="str">
        <f>IFERROR(__xludf.DUMMYFUNCTION("""COMPUTED_VALUE"""),"Terrell")</f>
        <v>Terrell</v>
      </c>
      <c r="F379">
        <f>IFERROR(__xludf.DUMMYFUNCTION("""COMPUTED_VALUE"""),9.0)</f>
        <v>9</v>
      </c>
    </row>
    <row r="380">
      <c r="D380" t="str">
        <f>IFERROR(__xludf.DUMMYFUNCTION("""COMPUTED_VALUE"""),"Chickillo")</f>
        <v>Chickillo</v>
      </c>
      <c r="E380" t="str">
        <f>IFERROR(__xludf.DUMMYFUNCTION("""COMPUTED_VALUE"""),"Anthony")</f>
        <v>Anthony</v>
      </c>
      <c r="F380">
        <f>IFERROR(__xludf.DUMMYFUNCTION("""COMPUTED_VALUE"""),9.299999999999999)</f>
        <v>9.3</v>
      </c>
    </row>
    <row r="381">
      <c r="D381" t="str">
        <f>IFERROR(__xludf.DUMMYFUNCTION("""COMPUTED_VALUE"""),"Christian")</f>
        <v>Christian</v>
      </c>
      <c r="E381" t="str">
        <f>IFERROR(__xludf.DUMMYFUNCTION("""COMPUTED_VALUE"""),"Gerald")</f>
        <v>Gerald</v>
      </c>
      <c r="F381">
        <f>IFERROR(__xludf.DUMMYFUNCTION("""COMPUTED_VALUE"""),9.45)</f>
        <v>9.45</v>
      </c>
    </row>
    <row r="382">
      <c r="D382" t="str">
        <f>IFERROR(__xludf.DUMMYFUNCTION("""COMPUTED_VALUE"""),"Christian")</f>
        <v>Christian</v>
      </c>
      <c r="E382" t="str">
        <f>IFERROR(__xludf.DUMMYFUNCTION("""COMPUTED_VALUE"""),"Marqui")</f>
        <v>Marqui</v>
      </c>
      <c r="F382">
        <f>IFERROR(__xludf.DUMMYFUNCTION("""COMPUTED_VALUE"""),9.6)</f>
        <v>9.6</v>
      </c>
    </row>
    <row r="383">
      <c r="D383" t="str">
        <f>IFERROR(__xludf.DUMMYFUNCTION("""COMPUTED_VALUE"""),"Chubb")</f>
        <v>Chubb</v>
      </c>
      <c r="E383" t="str">
        <f>IFERROR(__xludf.DUMMYFUNCTION("""COMPUTED_VALUE"""),"Brandon")</f>
        <v>Brandon</v>
      </c>
      <c r="F383">
        <f>IFERROR(__xludf.DUMMYFUNCTION("""COMPUTED_VALUE"""),9.0)</f>
        <v>9</v>
      </c>
    </row>
    <row r="384">
      <c r="D384" t="str">
        <f>IFERROR(__xludf.DUMMYFUNCTION("""COMPUTED_VALUE"""),"Chung")</f>
        <v>Chung</v>
      </c>
      <c r="E384" t="str">
        <f>IFERROR(__xludf.DUMMYFUNCTION("""COMPUTED_VALUE"""),"Patrick")</f>
        <v>Patrick</v>
      </c>
      <c r="F384">
        <f>IFERROR(__xludf.DUMMYFUNCTION("""COMPUTED_VALUE"""),12.9)</f>
        <v>12.9</v>
      </c>
    </row>
    <row r="385">
      <c r="D385" t="str">
        <f>IFERROR(__xludf.DUMMYFUNCTION("""COMPUTED_VALUE"""),"Church")</f>
        <v>Church</v>
      </c>
      <c r="E385" t="str">
        <f>IFERROR(__xludf.DUMMYFUNCTION("""COMPUTED_VALUE"""),"Barry")</f>
        <v>Barry</v>
      </c>
      <c r="F385">
        <f>IFERROR(__xludf.DUMMYFUNCTION("""COMPUTED_VALUE"""),12.299999999999999)</f>
        <v>12.3</v>
      </c>
    </row>
    <row r="386">
      <c r="D386" t="str">
        <f>IFERROR(__xludf.DUMMYFUNCTION("""COMPUTED_VALUE"""),"Clady")</f>
        <v>Clady</v>
      </c>
      <c r="E386" t="str">
        <f>IFERROR(__xludf.DUMMYFUNCTION("""COMPUTED_VALUE"""),"Ryan")</f>
        <v>Ryan</v>
      </c>
      <c r="F386">
        <f>IFERROR(__xludf.DUMMYFUNCTION("""COMPUTED_VALUE"""),12.6)</f>
        <v>12.6</v>
      </c>
    </row>
    <row r="387">
      <c r="D387" t="str">
        <f>IFERROR(__xludf.DUMMYFUNCTION("""COMPUTED_VALUE"""),"Claiborne")</f>
        <v>Claiborne</v>
      </c>
      <c r="E387" t="str">
        <f>IFERROR(__xludf.DUMMYFUNCTION("""COMPUTED_VALUE"""),"Morris")</f>
        <v>Morris</v>
      </c>
      <c r="F387">
        <f>IFERROR(__xludf.DUMMYFUNCTION("""COMPUTED_VALUE"""),10.5)</f>
        <v>10.5</v>
      </c>
    </row>
    <row r="388">
      <c r="D388" t="str">
        <f>IFERROR(__xludf.DUMMYFUNCTION("""COMPUTED_VALUE"""),"Clark")</f>
        <v>Clark</v>
      </c>
      <c r="E388" t="str">
        <f>IFERROR(__xludf.DUMMYFUNCTION("""COMPUTED_VALUE"""),"Chris")</f>
        <v>Chris</v>
      </c>
      <c r="F388">
        <f>IFERROR(__xludf.DUMMYFUNCTION("""COMPUTED_VALUE"""),11.25)</f>
        <v>11.25</v>
      </c>
    </row>
    <row r="389">
      <c r="D389" t="str">
        <f>IFERROR(__xludf.DUMMYFUNCTION("""COMPUTED_VALUE"""),"Clark")</f>
        <v>Clark</v>
      </c>
      <c r="E389" t="str">
        <f>IFERROR(__xludf.DUMMYFUNCTION("""COMPUTED_VALUE"""),"Donavon")</f>
        <v>Donavon</v>
      </c>
      <c r="F389">
        <f>IFERROR(__xludf.DUMMYFUNCTION("""COMPUTED_VALUE"""),9.15)</f>
        <v>9.15</v>
      </c>
    </row>
    <row r="390">
      <c r="D390" t="str">
        <f>IFERROR(__xludf.DUMMYFUNCTION("""COMPUTED_VALUE"""),"Clark")</f>
        <v>Clark</v>
      </c>
      <c r="E390" t="str">
        <f>IFERROR(__xludf.DUMMYFUNCTION("""COMPUTED_VALUE"""),"Frank")</f>
        <v>Frank</v>
      </c>
      <c r="F390">
        <f>IFERROR(__xludf.DUMMYFUNCTION("""COMPUTED_VALUE"""),9.75)</f>
        <v>9.75</v>
      </c>
    </row>
    <row r="391">
      <c r="D391" t="str">
        <f>IFERROR(__xludf.DUMMYFUNCTION("""COMPUTED_VALUE"""),"Clark")</f>
        <v>Clark</v>
      </c>
      <c r="E391" t="str">
        <f>IFERROR(__xludf.DUMMYFUNCTION("""COMPUTED_VALUE"""),"Kenny")</f>
        <v>Kenny</v>
      </c>
      <c r="F391">
        <f>IFERROR(__xludf.DUMMYFUNCTION("""COMPUTED_VALUE"""),10.95)</f>
        <v>10.95</v>
      </c>
    </row>
    <row r="392">
      <c r="D392" t="str">
        <f>IFERROR(__xludf.DUMMYFUNCTION("""COMPUTED_VALUE"""),"Clark")</f>
        <v>Clark</v>
      </c>
      <c r="E392" t="str">
        <f>IFERROR(__xludf.DUMMYFUNCTION("""COMPUTED_VALUE"""),"LeRaven")</f>
        <v>LeRaven</v>
      </c>
      <c r="F392">
        <f>IFERROR(__xludf.DUMMYFUNCTION("""COMPUTED_VALUE"""),10.35)</f>
        <v>10.35</v>
      </c>
    </row>
    <row r="393">
      <c r="D393" t="str">
        <f>IFERROR(__xludf.DUMMYFUNCTION("""COMPUTED_VALUE"""),"Clarke")</f>
        <v>Clarke</v>
      </c>
      <c r="E393" t="str">
        <f>IFERROR(__xludf.DUMMYFUNCTION("""COMPUTED_VALUE"""),"Will")</f>
        <v>Will</v>
      </c>
      <c r="F393">
        <f>IFERROR(__xludf.DUMMYFUNCTION("""COMPUTED_VALUE"""),10.049999999999999)</f>
        <v>10.05</v>
      </c>
    </row>
    <row r="394">
      <c r="D394" t="str">
        <f>IFERROR(__xludf.DUMMYFUNCTION("""COMPUTED_VALUE"""),"Clay")</f>
        <v>Clay</v>
      </c>
      <c r="E394" t="str">
        <f>IFERROR(__xludf.DUMMYFUNCTION("""COMPUTED_VALUE"""),"Charles")</f>
        <v>Charles</v>
      </c>
      <c r="F394">
        <f>IFERROR(__xludf.DUMMYFUNCTION("""COMPUTED_VALUE"""),12.6)</f>
        <v>12.6</v>
      </c>
    </row>
    <row r="395">
      <c r="D395" t="str">
        <f>IFERROR(__xludf.DUMMYFUNCTION("""COMPUTED_VALUE"""),"Clay")</f>
        <v>Clay</v>
      </c>
      <c r="E395" t="str">
        <f>IFERROR(__xludf.DUMMYFUNCTION("""COMPUTED_VALUE"""),"Kaelin")</f>
        <v>Kaelin</v>
      </c>
      <c r="F395">
        <f>IFERROR(__xludf.DUMMYFUNCTION("""COMPUTED_VALUE"""),8.7)</f>
        <v>8.7</v>
      </c>
    </row>
    <row r="396">
      <c r="D396" t="str">
        <f>IFERROR(__xludf.DUMMYFUNCTION("""COMPUTED_VALUE"""),"Clayborn")</f>
        <v>Clayborn</v>
      </c>
      <c r="E396" t="str">
        <f>IFERROR(__xludf.DUMMYFUNCTION("""COMPUTED_VALUE"""),"Adrian")</f>
        <v>Adrian</v>
      </c>
      <c r="F396">
        <f>IFERROR(__xludf.DUMMYFUNCTION("""COMPUTED_VALUE"""),11.549999999999999)</f>
        <v>11.55</v>
      </c>
    </row>
    <row r="397">
      <c r="D397" t="str">
        <f>IFERROR(__xludf.DUMMYFUNCTION("""COMPUTED_VALUE"""),"Cleary")</f>
        <v>Cleary</v>
      </c>
      <c r="E397" t="str">
        <f>IFERROR(__xludf.DUMMYFUNCTION("""COMPUTED_VALUE"""),"Emmett")</f>
        <v>Emmett</v>
      </c>
      <c r="F397">
        <f>IFERROR(__xludf.DUMMYFUNCTION("""COMPUTED_VALUE"""),9.9)</f>
        <v>9.9</v>
      </c>
    </row>
    <row r="398">
      <c r="D398" t="str">
        <f>IFERROR(__xludf.DUMMYFUNCTION("""COMPUTED_VALUE"""),"Clemens")</f>
        <v>Clemens</v>
      </c>
      <c r="E398" t="str">
        <f>IFERROR(__xludf.DUMMYFUNCTION("""COMPUTED_VALUE"""),"Kellen")</f>
        <v>Kellen</v>
      </c>
      <c r="F398">
        <f>IFERROR(__xludf.DUMMYFUNCTION("""COMPUTED_VALUE"""),10.2)</f>
        <v>10.2</v>
      </c>
    </row>
    <row r="399">
      <c r="D399" t="str">
        <f>IFERROR(__xludf.DUMMYFUNCTION("""COMPUTED_VALUE"""),"Clemmings")</f>
        <v>Clemmings</v>
      </c>
      <c r="E399" t="str">
        <f>IFERROR(__xludf.DUMMYFUNCTION("""COMPUTED_VALUE"""),"TJ")</f>
        <v>TJ</v>
      </c>
      <c r="F399">
        <f>IFERROR(__xludf.DUMMYFUNCTION("""COMPUTED_VALUE"""),10.35)</f>
        <v>10.35</v>
      </c>
    </row>
    <row r="400">
      <c r="D400" t="str">
        <f>IFERROR(__xludf.DUMMYFUNCTION("""COMPUTED_VALUE"""),"Clemons")</f>
        <v>Clemons</v>
      </c>
      <c r="E400" t="str">
        <f>IFERROR(__xludf.DUMMYFUNCTION("""COMPUTED_VALUE"""),"Chris")</f>
        <v>Chris</v>
      </c>
      <c r="F400">
        <f>IFERROR(__xludf.DUMMYFUNCTION("""COMPUTED_VALUE"""),11.4)</f>
        <v>11.4</v>
      </c>
    </row>
    <row r="401">
      <c r="D401" t="str">
        <f>IFERROR(__xludf.DUMMYFUNCTION("""COMPUTED_VALUE"""),"Cleveland")</f>
        <v>Cleveland</v>
      </c>
      <c r="E401" t="str">
        <f>IFERROR(__xludf.DUMMYFUNCTION("""COMPUTED_VALUE"""),"Asante")</f>
        <v>Asante</v>
      </c>
      <c r="F401">
        <f>IFERROR(__xludf.DUMMYFUNCTION("""COMPUTED_VALUE"""),10.2)</f>
        <v>10.2</v>
      </c>
    </row>
    <row r="402">
      <c r="D402" t="str">
        <f>IFERROR(__xludf.DUMMYFUNCTION("""COMPUTED_VALUE"""),"Cliett")</f>
        <v>Cliett</v>
      </c>
      <c r="E402" t="str">
        <f>IFERROR(__xludf.DUMMYFUNCTION("""COMPUTED_VALUE"""),"Reshard")</f>
        <v>Reshard</v>
      </c>
      <c r="F402">
        <f>IFERROR(__xludf.DUMMYFUNCTION("""COMPUTED_VALUE"""),8.1)</f>
        <v>8.1</v>
      </c>
    </row>
    <row r="403">
      <c r="D403" t="str">
        <f>IFERROR(__xludf.DUMMYFUNCTION("""COMPUTED_VALUE"""),"Clinton-Dix")</f>
        <v>Clinton-Dix</v>
      </c>
      <c r="E403" t="str">
        <f>IFERROR(__xludf.DUMMYFUNCTION("""COMPUTED_VALUE"""),"Ha Ha")</f>
        <v>Ha Ha</v>
      </c>
      <c r="F403">
        <f>IFERROR(__xludf.DUMMYFUNCTION("""COMPUTED_VALUE"""),12.45)</f>
        <v>12.45</v>
      </c>
    </row>
    <row r="404">
      <c r="D404" t="str">
        <f>IFERROR(__xludf.DUMMYFUNCTION("""COMPUTED_VALUE"""),"Clowney")</f>
        <v>Clowney</v>
      </c>
      <c r="E404" t="str">
        <f>IFERROR(__xludf.DUMMYFUNCTION("""COMPUTED_VALUE"""),"Jadeveon")</f>
        <v>Jadeveon</v>
      </c>
      <c r="F404">
        <f>IFERROR(__xludf.DUMMYFUNCTION("""COMPUTED_VALUE"""),12.45)</f>
        <v>12.45</v>
      </c>
    </row>
    <row r="405">
      <c r="D405" t="str">
        <f>IFERROR(__xludf.DUMMYFUNCTION("""COMPUTED_VALUE"""),"Coates")</f>
        <v>Coates</v>
      </c>
      <c r="E405" t="str">
        <f>IFERROR(__xludf.DUMMYFUNCTION("""COMPUTED_VALUE"""),"Sammie")</f>
        <v>Sammie</v>
      </c>
      <c r="F405">
        <f>IFERROR(__xludf.DUMMYFUNCTION("""COMPUTED_VALUE"""),10.5)</f>
        <v>10.5</v>
      </c>
    </row>
    <row r="406">
      <c r="D406" t="str">
        <f>IFERROR(__xludf.DUMMYFUNCTION("""COMPUTED_VALUE"""),"Cobb")</f>
        <v>Cobb</v>
      </c>
      <c r="E406" t="str">
        <f>IFERROR(__xludf.DUMMYFUNCTION("""COMPUTED_VALUE"""),"David")</f>
        <v>David</v>
      </c>
      <c r="F406">
        <f>IFERROR(__xludf.DUMMYFUNCTION("""COMPUTED_VALUE"""),10.5)</f>
        <v>10.5</v>
      </c>
    </row>
    <row r="407">
      <c r="D407" t="str">
        <f>IFERROR(__xludf.DUMMYFUNCTION("""COMPUTED_VALUE"""),"Cobb")</f>
        <v>Cobb</v>
      </c>
      <c r="E407" t="str">
        <f>IFERROR(__xludf.DUMMYFUNCTION("""COMPUTED_VALUE"""),"Randall")</f>
        <v>Randall</v>
      </c>
      <c r="F407">
        <f>IFERROR(__xludf.DUMMYFUNCTION("""COMPUTED_VALUE"""),12.9)</f>
        <v>12.9</v>
      </c>
    </row>
    <row r="408">
      <c r="D408" t="str">
        <f>IFERROR(__xludf.DUMMYFUNCTION("""COMPUTED_VALUE"""),"Cockrell")</f>
        <v>Cockrell</v>
      </c>
      <c r="E408" t="str">
        <f>IFERROR(__xludf.DUMMYFUNCTION("""COMPUTED_VALUE"""),"Ross")</f>
        <v>Ross</v>
      </c>
      <c r="F408">
        <f>IFERROR(__xludf.DUMMYFUNCTION("""COMPUTED_VALUE"""),10.95)</f>
        <v>10.95</v>
      </c>
    </row>
    <row r="409">
      <c r="D409" t="str">
        <f>IFERROR(__xludf.DUMMYFUNCTION("""COMPUTED_VALUE"""),"Coffman")</f>
        <v>Coffman</v>
      </c>
      <c r="E409" t="str">
        <f>IFERROR(__xludf.DUMMYFUNCTION("""COMPUTED_VALUE"""),"Chase")</f>
        <v>Chase</v>
      </c>
      <c r="F409">
        <f>IFERROR(__xludf.DUMMYFUNCTION("""COMPUTED_VALUE"""),10.2)</f>
        <v>10.2</v>
      </c>
    </row>
    <row r="410">
      <c r="D410" t="str">
        <f>IFERROR(__xludf.DUMMYFUNCTION("""COMPUTED_VALUE"""),"Cofield")</f>
        <v>Cofield</v>
      </c>
      <c r="E410" t="str">
        <f>IFERROR(__xludf.DUMMYFUNCTION("""COMPUTED_VALUE"""),"Takoby")</f>
        <v>Takoby</v>
      </c>
      <c r="F410">
        <f>IFERROR(__xludf.DUMMYFUNCTION("""COMPUTED_VALUE"""),9.75)</f>
        <v>9.75</v>
      </c>
    </row>
    <row r="411">
      <c r="D411" t="str">
        <f>IFERROR(__xludf.DUMMYFUNCTION("""COMPUTED_VALUE"""),"Coker")</f>
        <v>Coker</v>
      </c>
      <c r="E411" t="str">
        <f>IFERROR(__xludf.DUMMYFUNCTION("""COMPUTED_VALUE"""),"Jake")</f>
        <v>Jake</v>
      </c>
      <c r="F411">
        <f>IFERROR(__xludf.DUMMYFUNCTION("""COMPUTED_VALUE"""),9.299999999999999)</f>
        <v>9.3</v>
      </c>
    </row>
    <row r="412">
      <c r="D412" t="str">
        <f>IFERROR(__xludf.DUMMYFUNCTION("""COMPUTED_VALUE"""),"Cole")</f>
        <v>Cole</v>
      </c>
      <c r="E412" t="str">
        <f>IFERROR(__xludf.DUMMYFUNCTION("""COMPUTED_VALUE"""),"Audie")</f>
        <v>Audie</v>
      </c>
      <c r="F412">
        <f>IFERROR(__xludf.DUMMYFUNCTION("""COMPUTED_VALUE"""),10.049999999999999)</f>
        <v>10.05</v>
      </c>
    </row>
    <row r="413">
      <c r="D413" t="str">
        <f>IFERROR(__xludf.DUMMYFUNCTION("""COMPUTED_VALUE"""),"Cole")</f>
        <v>Cole</v>
      </c>
      <c r="E413" t="str">
        <f>IFERROR(__xludf.DUMMYFUNCTION("""COMPUTED_VALUE"""),"Trent")</f>
        <v>Trent</v>
      </c>
      <c r="F413">
        <f>IFERROR(__xludf.DUMMYFUNCTION("""COMPUTED_VALUE"""),12.299999999999999)</f>
        <v>12.3</v>
      </c>
    </row>
    <row r="414">
      <c r="D414" t="str">
        <f>IFERROR(__xludf.DUMMYFUNCTION("""COMPUTED_VALUE"""),"Coleman")</f>
        <v>Coleman</v>
      </c>
      <c r="E414" t="str">
        <f>IFERROR(__xludf.DUMMYFUNCTION("""COMPUTED_VALUE"""),"Brandon")</f>
        <v>Brandon</v>
      </c>
      <c r="F414">
        <f>IFERROR(__xludf.DUMMYFUNCTION("""COMPUTED_VALUE"""),10.35)</f>
        <v>10.35</v>
      </c>
    </row>
    <row r="415">
      <c r="D415" t="str">
        <f>IFERROR(__xludf.DUMMYFUNCTION("""COMPUTED_VALUE"""),"Coleman")</f>
        <v>Coleman</v>
      </c>
      <c r="E415" t="str">
        <f>IFERROR(__xludf.DUMMYFUNCTION("""COMPUTED_VALUE"""),"Corey")</f>
        <v>Corey</v>
      </c>
      <c r="F415">
        <f>IFERROR(__xludf.DUMMYFUNCTION("""COMPUTED_VALUE"""),11.7)</f>
        <v>11.7</v>
      </c>
    </row>
    <row r="416">
      <c r="D416" t="str">
        <f>IFERROR(__xludf.DUMMYFUNCTION("""COMPUTED_VALUE"""),"Coleman")</f>
        <v>Coleman</v>
      </c>
      <c r="E416" t="str">
        <f>IFERROR(__xludf.DUMMYFUNCTION("""COMPUTED_VALUE"""),"Deandre")</f>
        <v>Deandre</v>
      </c>
      <c r="F416">
        <f>IFERROR(__xludf.DUMMYFUNCTION("""COMPUTED_VALUE"""),9.299999999999999)</f>
        <v>9.3</v>
      </c>
    </row>
    <row r="417">
      <c r="D417" t="str">
        <f>IFERROR(__xludf.DUMMYFUNCTION("""COMPUTED_VALUE"""),"Coleman")</f>
        <v>Coleman</v>
      </c>
      <c r="E417" t="str">
        <f>IFERROR(__xludf.DUMMYFUNCTION("""COMPUTED_VALUE"""),"Justin")</f>
        <v>Justin</v>
      </c>
      <c r="F417">
        <f>IFERROR(__xludf.DUMMYFUNCTION("""COMPUTED_VALUE"""),10.049999999999999)</f>
        <v>10.05</v>
      </c>
    </row>
    <row r="418">
      <c r="D418" t="str">
        <f>IFERROR(__xludf.DUMMYFUNCTION("""COMPUTED_VALUE"""),"Coleman")</f>
        <v>Coleman</v>
      </c>
      <c r="E418" t="str">
        <f>IFERROR(__xludf.DUMMYFUNCTION("""COMPUTED_VALUE"""),"Kurt")</f>
        <v>Kurt</v>
      </c>
      <c r="F418">
        <f>IFERROR(__xludf.DUMMYFUNCTION("""COMPUTED_VALUE"""),13.049999999999999)</f>
        <v>13.05</v>
      </c>
    </row>
    <row r="419">
      <c r="D419" t="str">
        <f>IFERROR(__xludf.DUMMYFUNCTION("""COMPUTED_VALUE"""),"Coleman")</f>
        <v>Coleman</v>
      </c>
      <c r="E419" t="str">
        <f>IFERROR(__xludf.DUMMYFUNCTION("""COMPUTED_VALUE"""),"Shon")</f>
        <v>Shon</v>
      </c>
      <c r="F419">
        <f>IFERROR(__xludf.DUMMYFUNCTION("""COMPUTED_VALUE"""),10.049999999999999)</f>
        <v>10.05</v>
      </c>
    </row>
    <row r="420">
      <c r="D420" t="str">
        <f>IFERROR(__xludf.DUMMYFUNCTION("""COMPUTED_VALUE"""),"Coleman")</f>
        <v>Coleman</v>
      </c>
      <c r="E420" t="str">
        <f>IFERROR(__xludf.DUMMYFUNCTION("""COMPUTED_VALUE"""),"Tevin")</f>
        <v>Tevin</v>
      </c>
      <c r="F420">
        <f>IFERROR(__xludf.DUMMYFUNCTION("""COMPUTED_VALUE"""),11.25)</f>
        <v>11.25</v>
      </c>
    </row>
    <row r="421">
      <c r="D421" t="str">
        <f>IFERROR(__xludf.DUMMYFUNCTION("""COMPUTED_VALUE"""),"Collins")</f>
        <v>Collins</v>
      </c>
      <c r="E421" t="str">
        <f>IFERROR(__xludf.DUMMYFUNCTION("""COMPUTED_VALUE"""),"Alex")</f>
        <v>Alex</v>
      </c>
      <c r="F421">
        <f>IFERROR(__xludf.DUMMYFUNCTION("""COMPUTED_VALUE"""),10.35)</f>
        <v>10.35</v>
      </c>
    </row>
    <row r="422">
      <c r="D422" t="str">
        <f>IFERROR(__xludf.DUMMYFUNCTION("""COMPUTED_VALUE"""),"Collins")</f>
        <v>Collins</v>
      </c>
      <c r="E422" t="str">
        <f>IFERROR(__xludf.DUMMYFUNCTION("""COMPUTED_VALUE"""),"Jalen")</f>
        <v>Jalen</v>
      </c>
      <c r="F422">
        <f>IFERROR(__xludf.DUMMYFUNCTION("""COMPUTED_VALUE"""),10.65)</f>
        <v>10.65</v>
      </c>
    </row>
    <row r="423">
      <c r="D423" t="str">
        <f>IFERROR(__xludf.DUMMYFUNCTION("""COMPUTED_VALUE"""),"Collins")</f>
        <v>Collins</v>
      </c>
      <c r="E423" t="str">
        <f>IFERROR(__xludf.DUMMYFUNCTION("""COMPUTED_VALUE"""),"Jamie")</f>
        <v>Jamie</v>
      </c>
      <c r="F423">
        <f>IFERROR(__xludf.DUMMYFUNCTION("""COMPUTED_VALUE"""),13.2)</f>
        <v>13.2</v>
      </c>
    </row>
    <row r="424">
      <c r="D424" t="str">
        <f>IFERROR(__xludf.DUMMYFUNCTION("""COMPUTED_VALUE"""),"Collins")</f>
        <v>Collins</v>
      </c>
      <c r="E424" t="str">
        <f>IFERROR(__xludf.DUMMYFUNCTION("""COMPUTED_VALUE"""),"Lael")</f>
        <v>Lael</v>
      </c>
      <c r="F424">
        <f>IFERROR(__xludf.DUMMYFUNCTION("""COMPUTED_VALUE"""),11.7)</f>
        <v>11.7</v>
      </c>
    </row>
    <row r="425">
      <c r="D425" t="str">
        <f>IFERROR(__xludf.DUMMYFUNCTION("""COMPUTED_VALUE"""),"Collins")</f>
        <v>Collins</v>
      </c>
      <c r="E425" t="str">
        <f>IFERROR(__xludf.DUMMYFUNCTION("""COMPUTED_VALUE"""),"Landon")</f>
        <v>Landon</v>
      </c>
      <c r="F425">
        <f>IFERROR(__xludf.DUMMYFUNCTION("""COMPUTED_VALUE"""),11.25)</f>
        <v>11.25</v>
      </c>
    </row>
    <row r="426">
      <c r="D426" t="str">
        <f>IFERROR(__xludf.DUMMYFUNCTION("""COMPUTED_VALUE"""),"Collins")</f>
        <v>Collins</v>
      </c>
      <c r="E426" t="str">
        <f>IFERROR(__xludf.DUMMYFUNCTION("""COMPUTED_VALUE"""),"Maliek")</f>
        <v>Maliek</v>
      </c>
      <c r="F426">
        <f>IFERROR(__xludf.DUMMYFUNCTION("""COMPUTED_VALUE"""),10.35)</f>
        <v>10.35</v>
      </c>
    </row>
    <row r="427">
      <c r="D427" t="str">
        <f>IFERROR(__xludf.DUMMYFUNCTION("""COMPUTED_VALUE"""),"Colquitt")</f>
        <v>Colquitt</v>
      </c>
      <c r="E427" t="str">
        <f>IFERROR(__xludf.DUMMYFUNCTION("""COMPUTED_VALUE"""),"Britton")</f>
        <v>Britton</v>
      </c>
      <c r="F427">
        <f>IFERROR(__xludf.DUMMYFUNCTION("""COMPUTED_VALUE"""),12.0)</f>
        <v>12</v>
      </c>
    </row>
    <row r="428">
      <c r="D428" t="str">
        <f>IFERROR(__xludf.DUMMYFUNCTION("""COMPUTED_VALUE"""),"Colquitt")</f>
        <v>Colquitt</v>
      </c>
      <c r="E428" t="str">
        <f>IFERROR(__xludf.DUMMYFUNCTION("""COMPUTED_VALUE"""),"Dustin")</f>
        <v>Dustin</v>
      </c>
      <c r="F428">
        <f>IFERROR(__xludf.DUMMYFUNCTION("""COMPUTED_VALUE"""),12.299999999999999)</f>
        <v>12.3</v>
      </c>
    </row>
    <row r="429">
      <c r="D429" t="str">
        <f>IFERROR(__xludf.DUMMYFUNCTION("""COMPUTED_VALUE"""),"Colvin")</f>
        <v>Colvin</v>
      </c>
      <c r="E429" t="str">
        <f>IFERROR(__xludf.DUMMYFUNCTION("""COMPUTED_VALUE"""),"Aaron")</f>
        <v>Aaron</v>
      </c>
      <c r="F429">
        <f>IFERROR(__xludf.DUMMYFUNCTION("""COMPUTED_VALUE"""),11.7)</f>
        <v>11.7</v>
      </c>
    </row>
    <row r="430">
      <c r="D430" t="str">
        <f>IFERROR(__xludf.DUMMYFUNCTION("""COMPUTED_VALUE"""),"Compton")</f>
        <v>Compton</v>
      </c>
      <c r="E430" t="str">
        <f>IFERROR(__xludf.DUMMYFUNCTION("""COMPUTED_VALUE"""),"Tom")</f>
        <v>Tom</v>
      </c>
      <c r="F430">
        <f>IFERROR(__xludf.DUMMYFUNCTION("""COMPUTED_VALUE"""),10.95)</f>
        <v>10.95</v>
      </c>
    </row>
    <row r="431">
      <c r="D431" t="str">
        <f>IFERROR(__xludf.DUMMYFUNCTION("""COMPUTED_VALUE"""),"Compton")</f>
        <v>Compton</v>
      </c>
      <c r="E431" t="str">
        <f>IFERROR(__xludf.DUMMYFUNCTION("""COMPUTED_VALUE"""),"Will")</f>
        <v>Will</v>
      </c>
      <c r="F431">
        <f>IFERROR(__xludf.DUMMYFUNCTION("""COMPUTED_VALUE"""),10.5)</f>
        <v>10.5</v>
      </c>
    </row>
    <row r="432">
      <c r="D432" t="str">
        <f>IFERROR(__xludf.DUMMYFUNCTION("""COMPUTED_VALUE"""),"Condo")</f>
        <v>Condo</v>
      </c>
      <c r="E432" t="str">
        <f>IFERROR(__xludf.DUMMYFUNCTION("""COMPUTED_VALUE"""),"Jon")</f>
        <v>Jon</v>
      </c>
      <c r="F432">
        <f>IFERROR(__xludf.DUMMYFUNCTION("""COMPUTED_VALUE"""),6.3)</f>
        <v>6.3</v>
      </c>
    </row>
    <row r="433">
      <c r="D433" t="str">
        <f>IFERROR(__xludf.DUMMYFUNCTION("""COMPUTED_VALUE"""),"Conklin")</f>
        <v>Conklin</v>
      </c>
      <c r="E433" t="str">
        <f>IFERROR(__xludf.DUMMYFUNCTION("""COMPUTED_VALUE"""),"Jack")</f>
        <v>Jack</v>
      </c>
      <c r="F433">
        <f>IFERROR(__xludf.DUMMYFUNCTION("""COMPUTED_VALUE"""),11.85)</f>
        <v>11.85</v>
      </c>
    </row>
    <row r="434">
      <c r="D434" t="str">
        <f>IFERROR(__xludf.DUMMYFUNCTION("""COMPUTED_VALUE"""),"Conley")</f>
        <v>Conley</v>
      </c>
      <c r="E434" t="str">
        <f>IFERROR(__xludf.DUMMYFUNCTION("""COMPUTED_VALUE"""),"Chris")</f>
        <v>Chris</v>
      </c>
      <c r="F434">
        <f>IFERROR(__xludf.DUMMYFUNCTION("""COMPUTED_VALUE"""),10.5)</f>
        <v>10.5</v>
      </c>
    </row>
    <row r="435">
      <c r="D435" t="str">
        <f>IFERROR(__xludf.DUMMYFUNCTION("""COMPUTED_VALUE"""),"Conner")</f>
        <v>Conner</v>
      </c>
      <c r="E435" t="str">
        <f>IFERROR(__xludf.DUMMYFUNCTION("""COMPUTED_VALUE"""),"Kavell")</f>
        <v>Kavell</v>
      </c>
      <c r="F435">
        <f>IFERROR(__xludf.DUMMYFUNCTION("""COMPUTED_VALUE"""),10.95)</f>
        <v>10.95</v>
      </c>
    </row>
    <row r="436">
      <c r="D436" t="str">
        <f>IFERROR(__xludf.DUMMYFUNCTION("""COMPUTED_VALUE"""),"Conte")</f>
        <v>Conte</v>
      </c>
      <c r="E436" t="str">
        <f>IFERROR(__xludf.DUMMYFUNCTION("""COMPUTED_VALUE"""),"Chris")</f>
        <v>Chris</v>
      </c>
      <c r="F436">
        <f>IFERROR(__xludf.DUMMYFUNCTION("""COMPUTED_VALUE"""),11.4)</f>
        <v>11.4</v>
      </c>
    </row>
    <row r="437">
      <c r="D437" t="str">
        <f>IFERROR(__xludf.DUMMYFUNCTION("""COMPUTED_VALUE"""),"Cook")</f>
        <v>Cook</v>
      </c>
      <c r="E437" t="str">
        <f>IFERROR(__xludf.DUMMYFUNCTION("""COMPUTED_VALUE"""),"Connor")</f>
        <v>Connor</v>
      </c>
      <c r="F437">
        <f>IFERROR(__xludf.DUMMYFUNCTION("""COMPUTED_VALUE"""),10.799999999999999)</f>
        <v>10.8</v>
      </c>
    </row>
    <row r="438">
      <c r="D438" t="str">
        <f>IFERROR(__xludf.DUMMYFUNCTION("""COMPUTED_VALUE"""),"Cook")</f>
        <v>Cook</v>
      </c>
      <c r="E438" t="str">
        <f>IFERROR(__xludf.DUMMYFUNCTION("""COMPUTED_VALUE"""),"Jared")</f>
        <v>Jared</v>
      </c>
      <c r="F438">
        <f>IFERROR(__xludf.DUMMYFUNCTION("""COMPUTED_VALUE"""),12.0)</f>
        <v>12</v>
      </c>
    </row>
    <row r="439">
      <c r="D439" t="str">
        <f>IFERROR(__xludf.DUMMYFUNCTION("""COMPUTED_VALUE"""),"Cooks")</f>
        <v>Cooks</v>
      </c>
      <c r="E439" t="str">
        <f>IFERROR(__xludf.DUMMYFUNCTION("""COMPUTED_VALUE"""),"Brandin")</f>
        <v>Brandin</v>
      </c>
      <c r="F439">
        <f>IFERROR(__xludf.DUMMYFUNCTION("""COMPUTED_VALUE"""),12.45)</f>
        <v>12.45</v>
      </c>
    </row>
    <row r="440">
      <c r="D440" t="str">
        <f>IFERROR(__xludf.DUMMYFUNCTION("""COMPUTED_VALUE"""),"Coons")</f>
        <v>Coons</v>
      </c>
      <c r="E440" t="str">
        <f>IFERROR(__xludf.DUMMYFUNCTION("""COMPUTED_VALUE"""),"Travis")</f>
        <v>Travis</v>
      </c>
      <c r="F440">
        <f>IFERROR(__xludf.DUMMYFUNCTION("""COMPUTED_VALUE"""),11.4)</f>
        <v>11.4</v>
      </c>
    </row>
    <row r="441">
      <c r="D441" t="str">
        <f>IFERROR(__xludf.DUMMYFUNCTION("""COMPUTED_VALUE"""),"Cooper")</f>
        <v>Cooper</v>
      </c>
      <c r="E441" t="str">
        <f>IFERROR(__xludf.DUMMYFUNCTION("""COMPUTED_VALUE"""),"Alex")</f>
        <v>Alex</v>
      </c>
      <c r="F441">
        <f>IFERROR(__xludf.DUMMYFUNCTION("""COMPUTED_VALUE"""),8.85)</f>
        <v>8.85</v>
      </c>
    </row>
    <row r="442">
      <c r="D442" t="str">
        <f>IFERROR(__xludf.DUMMYFUNCTION("""COMPUTED_VALUE"""),"Cooper")</f>
        <v>Cooper</v>
      </c>
      <c r="E442" t="str">
        <f>IFERROR(__xludf.DUMMYFUNCTION("""COMPUTED_VALUE"""),"Amari")</f>
        <v>Amari</v>
      </c>
      <c r="F442">
        <f>IFERROR(__xludf.DUMMYFUNCTION("""COMPUTED_VALUE"""),12.45)</f>
        <v>12.45</v>
      </c>
    </row>
    <row r="443">
      <c r="D443" t="str">
        <f>IFERROR(__xludf.DUMMYFUNCTION("""COMPUTED_VALUE"""),"Cooper")</f>
        <v>Cooper</v>
      </c>
      <c r="E443" t="str">
        <f>IFERROR(__xludf.DUMMYFUNCTION("""COMPUTED_VALUE"""),"Fahn")</f>
        <v>Fahn</v>
      </c>
      <c r="F443">
        <f>IFERROR(__xludf.DUMMYFUNCTION("""COMPUTED_VALUE"""),9.9)</f>
        <v>9.9</v>
      </c>
    </row>
    <row r="444">
      <c r="D444" t="str">
        <f>IFERROR(__xludf.DUMMYFUNCTION("""COMPUTED_VALUE"""),"Cooper")</f>
        <v>Cooper</v>
      </c>
      <c r="E444" t="str">
        <f>IFERROR(__xludf.DUMMYFUNCTION("""COMPUTED_VALUE"""),"Jonathan")</f>
        <v>Jonathan</v>
      </c>
      <c r="F444">
        <f>IFERROR(__xludf.DUMMYFUNCTION("""COMPUTED_VALUE"""),11.4)</f>
        <v>11.4</v>
      </c>
    </row>
    <row r="445">
      <c r="D445" t="str">
        <f>IFERROR(__xludf.DUMMYFUNCTION("""COMPUTED_VALUE"""),"Cooper")</f>
        <v>Cooper</v>
      </c>
      <c r="E445" t="str">
        <f>IFERROR(__xludf.DUMMYFUNCTION("""COMPUTED_VALUE"""),"Marcus")</f>
        <v>Marcus</v>
      </c>
      <c r="F445">
        <f>IFERROR(__xludf.DUMMYFUNCTION("""COMPUTED_VALUE"""),10.65)</f>
        <v>10.65</v>
      </c>
    </row>
    <row r="446">
      <c r="D446" t="str">
        <f>IFERROR(__xludf.DUMMYFUNCTION("""COMPUTED_VALUE"""),"Cooper")</f>
        <v>Cooper</v>
      </c>
      <c r="E446" t="str">
        <f>IFERROR(__xludf.DUMMYFUNCTION("""COMPUTED_VALUE"""),"Pharoh")</f>
        <v>Pharoh</v>
      </c>
      <c r="F446">
        <f>IFERROR(__xludf.DUMMYFUNCTION("""COMPUTED_VALUE"""),9.45)</f>
        <v>9.45</v>
      </c>
    </row>
    <row r="447">
      <c r="D447" t="str">
        <f>IFERROR(__xludf.DUMMYFUNCTION("""COMPUTED_VALUE"""),"Cooper")</f>
        <v>Cooper</v>
      </c>
      <c r="E447" t="str">
        <f>IFERROR(__xludf.DUMMYFUNCTION("""COMPUTED_VALUE"""),"Xavier")</f>
        <v>Xavier</v>
      </c>
      <c r="F447">
        <f>IFERROR(__xludf.DUMMYFUNCTION("""COMPUTED_VALUE"""),9.299999999999999)</f>
        <v>9.3</v>
      </c>
    </row>
    <row r="448">
      <c r="D448" t="str">
        <f>IFERROR(__xludf.DUMMYFUNCTION("""COMPUTED_VALUE"""),"Copeland")</f>
        <v>Copeland</v>
      </c>
      <c r="E448" t="str">
        <f>IFERROR(__xludf.DUMMYFUNCTION("""COMPUTED_VALUE"""),"Brandon")</f>
        <v>Brandon</v>
      </c>
      <c r="F448">
        <f>IFERROR(__xludf.DUMMYFUNCTION("""COMPUTED_VALUE"""),9.6)</f>
        <v>9.6</v>
      </c>
    </row>
    <row r="449">
      <c r="D449" t="str">
        <f>IFERROR(__xludf.DUMMYFUNCTION("""COMPUTED_VALUE"""),"Coples")</f>
        <v>Coples</v>
      </c>
      <c r="E449" t="str">
        <f>IFERROR(__xludf.DUMMYFUNCTION("""COMPUTED_VALUE"""),"Quinton")</f>
        <v>Quinton</v>
      </c>
      <c r="F449">
        <f>IFERROR(__xludf.DUMMYFUNCTION("""COMPUTED_VALUE"""),11.4)</f>
        <v>11.4</v>
      </c>
    </row>
    <row r="450">
      <c r="D450" t="str">
        <f>IFERROR(__xludf.DUMMYFUNCTION("""COMPUTED_VALUE"""),"Coprich")</f>
        <v>Coprich</v>
      </c>
      <c r="E450" t="str">
        <f>IFERROR(__xludf.DUMMYFUNCTION("""COMPUTED_VALUE"""),"Marshaun")</f>
        <v>Marshaun</v>
      </c>
      <c r="F450">
        <f>IFERROR(__xludf.DUMMYFUNCTION("""COMPUTED_VALUE"""),9.45)</f>
        <v>9.45</v>
      </c>
    </row>
    <row r="451">
      <c r="D451" t="str">
        <f>IFERROR(__xludf.DUMMYFUNCTION("""COMPUTED_VALUE"""),"Core")</f>
        <v>Core</v>
      </c>
      <c r="E451" t="str">
        <f>IFERROR(__xludf.DUMMYFUNCTION("""COMPUTED_VALUE"""),"Cody")</f>
        <v>Cody</v>
      </c>
      <c r="F451">
        <f>IFERROR(__xludf.DUMMYFUNCTION("""COMPUTED_VALUE"""),9.75)</f>
        <v>9.75</v>
      </c>
    </row>
    <row r="452">
      <c r="D452" t="str">
        <f>IFERROR(__xludf.DUMMYFUNCTION("""COMPUTED_VALUE"""),"Correa")</f>
        <v>Correa</v>
      </c>
      <c r="E452" t="str">
        <f>IFERROR(__xludf.DUMMYFUNCTION("""COMPUTED_VALUE"""),"Kamalei")</f>
        <v>Kamalei</v>
      </c>
      <c r="F452">
        <f>IFERROR(__xludf.DUMMYFUNCTION("""COMPUTED_VALUE"""),10.799999999999999)</f>
        <v>10.8</v>
      </c>
    </row>
    <row r="453">
      <c r="D453" t="str">
        <f>IFERROR(__xludf.DUMMYFUNCTION("""COMPUTED_VALUE"""),"Countess")</f>
        <v>Countess</v>
      </c>
      <c r="E453" t="str">
        <f>IFERROR(__xludf.DUMMYFUNCTION("""COMPUTED_VALUE"""),"Blake")</f>
        <v>Blake</v>
      </c>
      <c r="F453">
        <f>IFERROR(__xludf.DUMMYFUNCTION("""COMPUTED_VALUE"""),10.049999999999999)</f>
        <v>10.05</v>
      </c>
    </row>
    <row r="454">
      <c r="D454" t="str">
        <f>IFERROR(__xludf.DUMMYFUNCTION("""COMPUTED_VALUE"""),"Cousins")</f>
        <v>Cousins</v>
      </c>
      <c r="E454" t="str">
        <f>IFERROR(__xludf.DUMMYFUNCTION("""COMPUTED_VALUE"""),"Kirk")</f>
        <v>Kirk</v>
      </c>
      <c r="F454">
        <f>IFERROR(__xludf.DUMMYFUNCTION("""COMPUTED_VALUE"""),12.45)</f>
        <v>12.45</v>
      </c>
    </row>
    <row r="455">
      <c r="D455" t="str">
        <f>IFERROR(__xludf.DUMMYFUNCTION("""COMPUTED_VALUE"""),"Covington")</f>
        <v>Covington</v>
      </c>
      <c r="E455" t="str">
        <f>IFERROR(__xludf.DUMMYFUNCTION("""COMPUTED_VALUE"""),"Christian")</f>
        <v>Christian</v>
      </c>
      <c r="F455">
        <f>IFERROR(__xludf.DUMMYFUNCTION("""COMPUTED_VALUE"""),9.9)</f>
        <v>9.9</v>
      </c>
    </row>
    <row r="456">
      <c r="D456" t="str">
        <f>IFERROR(__xludf.DUMMYFUNCTION("""COMPUTED_VALUE"""),"Cowser")</f>
        <v>Cowser</v>
      </c>
      <c r="E456" t="str">
        <f>IFERROR(__xludf.DUMMYFUNCTION("""COMPUTED_VALUE"""),"James")</f>
        <v>James</v>
      </c>
      <c r="F456">
        <f>IFERROR(__xludf.DUMMYFUNCTION("""COMPUTED_VALUE"""),9.15)</f>
        <v>9.15</v>
      </c>
    </row>
    <row r="457">
      <c r="D457" t="str">
        <f>IFERROR(__xludf.DUMMYFUNCTION("""COMPUTED_VALUE"""),"Cox")</f>
        <v>Cox</v>
      </c>
      <c r="E457" t="str">
        <f>IFERROR(__xludf.DUMMYFUNCTION("""COMPUTED_VALUE"""),"Fletcher")</f>
        <v>Fletcher</v>
      </c>
      <c r="F457">
        <f>IFERROR(__xludf.DUMMYFUNCTION("""COMPUTED_VALUE"""),13.95)</f>
        <v>13.95</v>
      </c>
    </row>
    <row r="458">
      <c r="D458" t="str">
        <f>IFERROR(__xludf.DUMMYFUNCTION("""COMPUTED_VALUE"""),"Cox")</f>
        <v>Cox</v>
      </c>
      <c r="E458" t="str">
        <f>IFERROR(__xludf.DUMMYFUNCTION("""COMPUTED_VALUE"""),"Morgan")</f>
        <v>Morgan</v>
      </c>
      <c r="F458">
        <f>IFERROR(__xludf.DUMMYFUNCTION("""COMPUTED_VALUE"""),6.0)</f>
        <v>6</v>
      </c>
    </row>
    <row r="459">
      <c r="D459" t="str">
        <f>IFERROR(__xludf.DUMMYFUNCTION("""COMPUTED_VALUE"""),"Cox")</f>
        <v>Cox</v>
      </c>
      <c r="E459" t="str">
        <f>IFERROR(__xludf.DUMMYFUNCTION("""COMPUTED_VALUE"""),"Perrish")</f>
        <v>Perrish</v>
      </c>
      <c r="F459">
        <f>IFERROR(__xludf.DUMMYFUNCTION("""COMPUTED_VALUE"""),11.7)</f>
        <v>11.7</v>
      </c>
    </row>
    <row r="460">
      <c r="D460" t="str">
        <f>IFERROR(__xludf.DUMMYFUNCTION("""COMPUTED_VALUE"""),"Coyle")</f>
        <v>Coyle</v>
      </c>
      <c r="E460" t="str">
        <f>IFERROR(__xludf.DUMMYFUNCTION("""COMPUTED_VALUE"""),"Brock")</f>
        <v>Brock</v>
      </c>
      <c r="F460">
        <f>IFERROR(__xludf.DUMMYFUNCTION("""COMPUTED_VALUE"""),9.9)</f>
        <v>9.9</v>
      </c>
    </row>
    <row r="461">
      <c r="D461" t="str">
        <f>IFERROR(__xludf.DUMMYFUNCTION("""COMPUTED_VALUE"""),"Crabtree")</f>
        <v>Crabtree</v>
      </c>
      <c r="E461" t="str">
        <f>IFERROR(__xludf.DUMMYFUNCTION("""COMPUTED_VALUE"""),"Michael")</f>
        <v>Michael</v>
      </c>
      <c r="F461">
        <f>IFERROR(__xludf.DUMMYFUNCTION("""COMPUTED_VALUE"""),12.45)</f>
        <v>12.45</v>
      </c>
    </row>
    <row r="462">
      <c r="D462" t="str">
        <f>IFERROR(__xludf.DUMMYFUNCTION("""COMPUTED_VALUE"""),"Cravens")</f>
        <v>Cravens</v>
      </c>
      <c r="E462" t="str">
        <f>IFERROR(__xludf.DUMMYFUNCTION("""COMPUTED_VALUE"""),"Sua")</f>
        <v>Sua</v>
      </c>
      <c r="F462">
        <f>IFERROR(__xludf.DUMMYFUNCTION("""COMPUTED_VALUE"""),11.1)</f>
        <v>11.1</v>
      </c>
    </row>
    <row r="463">
      <c r="D463" t="str">
        <f>IFERROR(__xludf.DUMMYFUNCTION("""COMPUTED_VALUE"""),"Crawford")</f>
        <v>Crawford</v>
      </c>
      <c r="E463" t="str">
        <f>IFERROR(__xludf.DUMMYFUNCTION("""COMPUTED_VALUE"""),"Jack")</f>
        <v>Jack</v>
      </c>
      <c r="F463">
        <f>IFERROR(__xludf.DUMMYFUNCTION("""COMPUTED_VALUE"""),9.6)</f>
        <v>9.6</v>
      </c>
    </row>
    <row r="464">
      <c r="D464" t="str">
        <f>IFERROR(__xludf.DUMMYFUNCTION("""COMPUTED_VALUE"""),"Crawford")</f>
        <v>Crawford</v>
      </c>
      <c r="E464" t="str">
        <f>IFERROR(__xludf.DUMMYFUNCTION("""COMPUTED_VALUE"""),"Tyrone")</f>
        <v>Tyrone</v>
      </c>
      <c r="F464">
        <f>IFERROR(__xludf.DUMMYFUNCTION("""COMPUTED_VALUE"""),12.0)</f>
        <v>12</v>
      </c>
    </row>
    <row r="465">
      <c r="D465" t="str">
        <f>IFERROR(__xludf.DUMMYFUNCTION("""COMPUTED_VALUE"""),"Crichton")</f>
        <v>Crichton</v>
      </c>
      <c r="E465" t="str">
        <f>IFERROR(__xludf.DUMMYFUNCTION("""COMPUTED_VALUE"""),"Scott")</f>
        <v>Scott</v>
      </c>
      <c r="F465">
        <f>IFERROR(__xludf.DUMMYFUNCTION("""COMPUTED_VALUE"""),10.65)</f>
        <v>10.65</v>
      </c>
    </row>
    <row r="466">
      <c r="D466" t="str">
        <f>IFERROR(__xludf.DUMMYFUNCTION("""COMPUTED_VALUE"""),"Crick")</f>
        <v>Crick</v>
      </c>
      <c r="E466" t="str">
        <f>IFERROR(__xludf.DUMMYFUNCTION("""COMPUTED_VALUE"""),"Jared")</f>
        <v>Jared</v>
      </c>
      <c r="F466">
        <f>IFERROR(__xludf.DUMMYFUNCTION("""COMPUTED_VALUE"""),10.5)</f>
        <v>10.5</v>
      </c>
    </row>
    <row r="467">
      <c r="D467" t="str">
        <f>IFERROR(__xludf.DUMMYFUNCTION("""COMPUTED_VALUE"""),"Crockett")</f>
        <v>Crockett</v>
      </c>
      <c r="E467" t="str">
        <f>IFERROR(__xludf.DUMMYFUNCTION("""COMPUTED_VALUE"""),"John")</f>
        <v>John</v>
      </c>
      <c r="F467">
        <f>IFERROR(__xludf.DUMMYFUNCTION("""COMPUTED_VALUE"""),10.049999999999999)</f>
        <v>10.05</v>
      </c>
    </row>
    <row r="468">
      <c r="D468" t="str">
        <f>IFERROR(__xludf.DUMMYFUNCTION("""COMPUTED_VALUE"""),"Cromartie")</f>
        <v>Cromartie</v>
      </c>
      <c r="E468" t="str">
        <f>IFERROR(__xludf.DUMMYFUNCTION("""COMPUTED_VALUE"""),"Marcus")</f>
        <v>Marcus</v>
      </c>
      <c r="F468">
        <f>IFERROR(__xludf.DUMMYFUNCTION("""COMPUTED_VALUE"""),9.75)</f>
        <v>9.75</v>
      </c>
    </row>
    <row r="469">
      <c r="D469" t="str">
        <f>IFERROR(__xludf.DUMMYFUNCTION("""COMPUTED_VALUE"""),"Crosby")</f>
        <v>Crosby</v>
      </c>
      <c r="E469" t="str">
        <f>IFERROR(__xludf.DUMMYFUNCTION("""COMPUTED_VALUE"""),"Mason")</f>
        <v>Mason</v>
      </c>
      <c r="F469">
        <f>IFERROR(__xludf.DUMMYFUNCTION("""COMPUTED_VALUE"""),12.15)</f>
        <v>12.15</v>
      </c>
    </row>
    <row r="470">
      <c r="D470" t="str">
        <f>IFERROR(__xludf.DUMMYFUNCTION("""COMPUTED_VALUE"""),"Cross")</f>
        <v>Cross</v>
      </c>
      <c r="E470" t="str">
        <f>IFERROR(__xludf.DUMMYFUNCTION("""COMPUTED_VALUE"""),"Alan")</f>
        <v>Alan</v>
      </c>
      <c r="F470">
        <f>IFERROR(__xludf.DUMMYFUNCTION("""COMPUTED_VALUE"""),9.299999999999999)</f>
        <v>9.3</v>
      </c>
    </row>
    <row r="471">
      <c r="D471" t="str">
        <f>IFERROR(__xludf.DUMMYFUNCTION("""COMPUTED_VALUE"""),"Crowder")</f>
        <v>Crowder</v>
      </c>
      <c r="E471" t="str">
        <f>IFERROR(__xludf.DUMMYFUNCTION("""COMPUTED_VALUE"""),"Jamison")</f>
        <v>Jamison</v>
      </c>
      <c r="F471">
        <f>IFERROR(__xludf.DUMMYFUNCTION("""COMPUTED_VALUE"""),11.1)</f>
        <v>11.1</v>
      </c>
    </row>
    <row r="472">
      <c r="D472" t="str">
        <f>IFERROR(__xludf.DUMMYFUNCTION("""COMPUTED_VALUE"""),"Crowell")</f>
        <v>Crowell</v>
      </c>
      <c r="E472" t="str">
        <f>IFERROR(__xludf.DUMMYFUNCTION("""COMPUTED_VALUE"""),"Isaiah")</f>
        <v>Isaiah</v>
      </c>
      <c r="F472">
        <f>IFERROR(__xludf.DUMMYFUNCTION("""COMPUTED_VALUE"""),11.4)</f>
        <v>11.4</v>
      </c>
    </row>
    <row r="473">
      <c r="D473" t="str">
        <f>IFERROR(__xludf.DUMMYFUNCTION("""COMPUTED_VALUE"""),"Cruz")</f>
        <v>Cruz</v>
      </c>
      <c r="E473" t="str">
        <f>IFERROR(__xludf.DUMMYFUNCTION("""COMPUTED_VALUE"""),"Victor")</f>
        <v>Victor</v>
      </c>
      <c r="F473">
        <f>IFERROR(__xludf.DUMMYFUNCTION("""COMPUTED_VALUE"""),12.15)</f>
        <v>12.15</v>
      </c>
    </row>
    <row r="474">
      <c r="D474" t="str">
        <f>IFERROR(__xludf.DUMMYFUNCTION("""COMPUTED_VALUE"""),"Cumberland")</f>
        <v>Cumberland</v>
      </c>
      <c r="E474" t="str">
        <f>IFERROR(__xludf.DUMMYFUNCTION("""COMPUTED_VALUE"""),"Jeff")</f>
        <v>Jeff</v>
      </c>
      <c r="F474">
        <f>IFERROR(__xludf.DUMMYFUNCTION("""COMPUTED_VALUE"""),10.799999999999999)</f>
        <v>10.8</v>
      </c>
    </row>
    <row r="475">
      <c r="D475" t="str">
        <f>IFERROR(__xludf.DUMMYFUNCTION("""COMPUTED_VALUE"""),"Cunningham")</f>
        <v>Cunningham</v>
      </c>
      <c r="E475" t="str">
        <f>IFERROR(__xludf.DUMMYFUNCTION("""COMPUTED_VALUE"""),"Benny")</f>
        <v>Benny</v>
      </c>
      <c r="F475">
        <f>IFERROR(__xludf.DUMMYFUNCTION("""COMPUTED_VALUE"""),11.1)</f>
        <v>11.1</v>
      </c>
    </row>
    <row r="476">
      <c r="D476" t="str">
        <f>IFERROR(__xludf.DUMMYFUNCTION("""COMPUTED_VALUE"""),"Cunningham")</f>
        <v>Cunningham</v>
      </c>
      <c r="E476" t="str">
        <f>IFERROR(__xludf.DUMMYFUNCTION("""COMPUTED_VALUE"""),"Jerome")</f>
        <v>Jerome</v>
      </c>
      <c r="F476">
        <f>IFERROR(__xludf.DUMMYFUNCTION("""COMPUTED_VALUE"""),9.9)</f>
        <v>9.9</v>
      </c>
    </row>
    <row r="477">
      <c r="D477" t="str">
        <f>IFERROR(__xludf.DUMMYFUNCTION("""COMPUTED_VALUE"""),"Cunningham")</f>
        <v>Cunningham</v>
      </c>
      <c r="E477" t="str">
        <f>IFERROR(__xludf.DUMMYFUNCTION("""COMPUTED_VALUE"""),"Justice")</f>
        <v>Justice</v>
      </c>
      <c r="F477">
        <f>IFERROR(__xludf.DUMMYFUNCTION("""COMPUTED_VALUE"""),10.2)</f>
        <v>10.2</v>
      </c>
    </row>
    <row r="478">
      <c r="D478" t="str">
        <f>IFERROR(__xludf.DUMMYFUNCTION("""COMPUTED_VALUE"""),"Curry")</f>
        <v>Curry</v>
      </c>
      <c r="E478" t="str">
        <f>IFERROR(__xludf.DUMMYFUNCTION("""COMPUTED_VALUE"""),"Vinny")</f>
        <v>Vinny</v>
      </c>
      <c r="F478">
        <f>IFERROR(__xludf.DUMMYFUNCTION("""COMPUTED_VALUE"""),11.85)</f>
        <v>11.85</v>
      </c>
    </row>
    <row r="479">
      <c r="D479" t="str">
        <f>IFERROR(__xludf.DUMMYFUNCTION("""COMPUTED_VALUE"""),"Cushing")</f>
        <v>Cushing</v>
      </c>
      <c r="E479" t="str">
        <f>IFERROR(__xludf.DUMMYFUNCTION("""COMPUTED_VALUE"""),"Brian")</f>
        <v>Brian</v>
      </c>
      <c r="F479">
        <f>IFERROR(__xludf.DUMMYFUNCTION("""COMPUTED_VALUE"""),12.15)</f>
        <v>12.15</v>
      </c>
    </row>
    <row r="480">
      <c r="D480" t="str">
        <f>IFERROR(__xludf.DUMMYFUNCTION("""COMPUTED_VALUE"""),"Cutler")</f>
        <v>Cutler</v>
      </c>
      <c r="E480" t="str">
        <f>IFERROR(__xludf.DUMMYFUNCTION("""COMPUTED_VALUE"""),"Jay")</f>
        <v>Jay</v>
      </c>
      <c r="F480">
        <f>IFERROR(__xludf.DUMMYFUNCTION("""COMPUTED_VALUE"""),12.0)</f>
        <v>12</v>
      </c>
    </row>
    <row r="481">
      <c r="D481" t="str">
        <f>IFERROR(__xludf.DUMMYFUNCTION("""COMPUTED_VALUE"""),"Cyprien")</f>
        <v>Cyprien</v>
      </c>
      <c r="E481" t="str">
        <f>IFERROR(__xludf.DUMMYFUNCTION("""COMPUTED_VALUE"""),"Johnathan")</f>
        <v>Johnathan</v>
      </c>
      <c r="F481">
        <f>IFERROR(__xludf.DUMMYFUNCTION("""COMPUTED_VALUE"""),11.4)</f>
        <v>11.4</v>
      </c>
    </row>
    <row r="482">
      <c r="D482" t="str">
        <f>IFERROR(__xludf.DUMMYFUNCTION("""COMPUTED_VALUE"""),"Dahl")</f>
        <v>Dahl</v>
      </c>
      <c r="E482" t="str">
        <f>IFERROR(__xludf.DUMMYFUNCTION("""COMPUTED_VALUE"""),"Joe")</f>
        <v>Joe</v>
      </c>
      <c r="F482">
        <f>IFERROR(__xludf.DUMMYFUNCTION("""COMPUTED_VALUE"""),9.75)</f>
        <v>9.75</v>
      </c>
    </row>
    <row r="483">
      <c r="D483" t="str">
        <f>IFERROR(__xludf.DUMMYFUNCTION("""COMPUTED_VALUE"""),"Dalton")</f>
        <v>Dalton</v>
      </c>
      <c r="E483" t="str">
        <f>IFERROR(__xludf.DUMMYFUNCTION("""COMPUTED_VALUE"""),"Andy")</f>
        <v>Andy</v>
      </c>
      <c r="F483">
        <f>IFERROR(__xludf.DUMMYFUNCTION("""COMPUTED_VALUE"""),13.049999999999999)</f>
        <v>13.05</v>
      </c>
    </row>
    <row r="484">
      <c r="D484" t="str">
        <f>IFERROR(__xludf.DUMMYFUNCTION("""COMPUTED_VALUE"""),"Dangerfield")</f>
        <v>Dangerfield</v>
      </c>
      <c r="E484" t="str">
        <f>IFERROR(__xludf.DUMMYFUNCTION("""COMPUTED_VALUE"""),"Jared")</f>
        <v>Jared</v>
      </c>
      <c r="F484">
        <f>IFERROR(__xludf.DUMMYFUNCTION("""COMPUTED_VALUE"""),9.299999999999999)</f>
        <v>9.3</v>
      </c>
    </row>
    <row r="485">
      <c r="D485" t="str">
        <f>IFERROR(__xludf.DUMMYFUNCTION("""COMPUTED_VALUE"""),"Daniel")</f>
        <v>Daniel</v>
      </c>
      <c r="E485" t="str">
        <f>IFERROR(__xludf.DUMMYFUNCTION("""COMPUTED_VALUE"""),"Chase")</f>
        <v>Chase</v>
      </c>
      <c r="F485">
        <f>IFERROR(__xludf.DUMMYFUNCTION("""COMPUTED_VALUE"""),10.65)</f>
        <v>10.65</v>
      </c>
    </row>
    <row r="486">
      <c r="D486" t="str">
        <f>IFERROR(__xludf.DUMMYFUNCTION("""COMPUTED_VALUE"""),"Daniels")</f>
        <v>Daniels</v>
      </c>
      <c r="E486" t="str">
        <f>IFERROR(__xludf.DUMMYFUNCTION("""COMPUTED_VALUE"""),"BJ")</f>
        <v>BJ</v>
      </c>
      <c r="F486">
        <f>IFERROR(__xludf.DUMMYFUNCTION("""COMPUTED_VALUE"""),8.549999999999999)</f>
        <v>8.55</v>
      </c>
    </row>
    <row r="487">
      <c r="D487" t="str">
        <f>IFERROR(__xludf.DUMMYFUNCTION("""COMPUTED_VALUE"""),"Daniels")</f>
        <v>Daniels</v>
      </c>
      <c r="E487" t="str">
        <f>IFERROR(__xludf.DUMMYFUNCTION("""COMPUTED_VALUE"""),"Mike")</f>
        <v>Mike</v>
      </c>
      <c r="F487">
        <f>IFERROR(__xludf.DUMMYFUNCTION("""COMPUTED_VALUE"""),13.799999999999999)</f>
        <v>13.8</v>
      </c>
    </row>
    <row r="488">
      <c r="D488" t="str">
        <f>IFERROR(__xludf.DUMMYFUNCTION("""COMPUTED_VALUE"""),"Daniels")</f>
        <v>Daniels</v>
      </c>
      <c r="E488" t="str">
        <f>IFERROR(__xludf.DUMMYFUNCTION("""COMPUTED_VALUE"""),"Steven")</f>
        <v>Steven</v>
      </c>
      <c r="F488">
        <f>IFERROR(__xludf.DUMMYFUNCTION("""COMPUTED_VALUE"""),9.15)</f>
        <v>9.15</v>
      </c>
    </row>
    <row r="489">
      <c r="D489" t="str">
        <f>IFERROR(__xludf.DUMMYFUNCTION("""COMPUTED_VALUE"""),"Dansby")</f>
        <v>Dansby</v>
      </c>
      <c r="E489" t="str">
        <f>IFERROR(__xludf.DUMMYFUNCTION("""COMPUTED_VALUE"""),"Karlos")</f>
        <v>Karlos</v>
      </c>
      <c r="F489">
        <f>IFERROR(__xludf.DUMMYFUNCTION("""COMPUTED_VALUE"""),12.45)</f>
        <v>12.45</v>
      </c>
    </row>
    <row r="490">
      <c r="D490" t="str">
        <f>IFERROR(__xludf.DUMMYFUNCTION("""COMPUTED_VALUE"""),"Darby")</f>
        <v>Darby</v>
      </c>
      <c r="E490" t="str">
        <f>IFERROR(__xludf.DUMMYFUNCTION("""COMPUTED_VALUE"""),"Ronald")</f>
        <v>Ronald</v>
      </c>
      <c r="F490">
        <f>IFERROR(__xludf.DUMMYFUNCTION("""COMPUTED_VALUE"""),12.45)</f>
        <v>12.45</v>
      </c>
    </row>
    <row r="491">
      <c r="D491" t="str">
        <f>IFERROR(__xludf.DUMMYFUNCTION("""COMPUTED_VALUE"""),"Dareus")</f>
        <v>Dareus</v>
      </c>
      <c r="E491" t="str">
        <f>IFERROR(__xludf.DUMMYFUNCTION("""COMPUTED_VALUE"""),"Marcell")</f>
        <v>Marcell</v>
      </c>
      <c r="F491">
        <f>IFERROR(__xludf.DUMMYFUNCTION("""COMPUTED_VALUE"""),13.2)</f>
        <v>13.2</v>
      </c>
    </row>
    <row r="492">
      <c r="D492" t="str">
        <f>IFERROR(__xludf.DUMMYFUNCTION("""COMPUTED_VALUE"""),"Darkwa")</f>
        <v>Darkwa</v>
      </c>
      <c r="E492" t="str">
        <f>IFERROR(__xludf.DUMMYFUNCTION("""COMPUTED_VALUE"""),"Orleans")</f>
        <v>Orleans</v>
      </c>
      <c r="F492">
        <f>IFERROR(__xludf.DUMMYFUNCTION("""COMPUTED_VALUE"""),10.95)</f>
        <v>10.95</v>
      </c>
    </row>
    <row r="493">
      <c r="D493" t="str">
        <f>IFERROR(__xludf.DUMMYFUNCTION("""COMPUTED_VALUE"""),"Darr")</f>
        <v>Darr</v>
      </c>
      <c r="E493" t="str">
        <f>IFERROR(__xludf.DUMMYFUNCTION("""COMPUTED_VALUE"""),"Matt")</f>
        <v>Matt</v>
      </c>
      <c r="F493">
        <f>IFERROR(__xludf.DUMMYFUNCTION("""COMPUTED_VALUE"""),11.4)</f>
        <v>11.4</v>
      </c>
    </row>
    <row r="494">
      <c r="D494" t="str">
        <f>IFERROR(__xludf.DUMMYFUNCTION("""COMPUTED_VALUE"""),"David")</f>
        <v>David</v>
      </c>
      <c r="E494" t="str">
        <f>IFERROR(__xludf.DUMMYFUNCTION("""COMPUTED_VALUE"""),"Lavonte")</f>
        <v>Lavonte</v>
      </c>
      <c r="F494">
        <f>IFERROR(__xludf.DUMMYFUNCTION("""COMPUTED_VALUE"""),12.9)</f>
        <v>12.9</v>
      </c>
    </row>
    <row r="495">
      <c r="D495" t="str">
        <f>IFERROR(__xludf.DUMMYFUNCTION("""COMPUTED_VALUE"""),"Davis")</f>
        <v>Davis</v>
      </c>
      <c r="E495" t="str">
        <f>IFERROR(__xludf.DUMMYFUNCTION("""COMPUTED_VALUE"""),"Anthony")</f>
        <v>Anthony</v>
      </c>
      <c r="F495">
        <f>IFERROR(__xludf.DUMMYFUNCTION("""COMPUTED_VALUE"""),11.7)</f>
        <v>11.7</v>
      </c>
    </row>
    <row r="496">
      <c r="D496" t="str">
        <f>IFERROR(__xludf.DUMMYFUNCTION("""COMPUTED_VALUE"""),"Davis")</f>
        <v>Davis</v>
      </c>
      <c r="E496" t="str">
        <f>IFERROR(__xludf.DUMMYFUNCTION("""COMPUTED_VALUE"""),"Austin")</f>
        <v>Austin</v>
      </c>
      <c r="F496">
        <f>IFERROR(__xludf.DUMMYFUNCTION("""COMPUTED_VALUE"""),10.35)</f>
        <v>10.35</v>
      </c>
    </row>
    <row r="497">
      <c r="D497" t="str">
        <f>IFERROR(__xludf.DUMMYFUNCTION("""COMPUTED_VALUE"""),"Davis")</f>
        <v>Davis</v>
      </c>
      <c r="E497" t="str">
        <f>IFERROR(__xludf.DUMMYFUNCTION("""COMPUTED_VALUE"""),"Carl")</f>
        <v>Carl</v>
      </c>
      <c r="F497">
        <f>IFERROR(__xludf.DUMMYFUNCTION("""COMPUTED_VALUE"""),9.9)</f>
        <v>9.9</v>
      </c>
    </row>
    <row r="498">
      <c r="D498" t="str">
        <f>IFERROR(__xludf.DUMMYFUNCTION("""COMPUTED_VALUE"""),"Davis")</f>
        <v>Davis</v>
      </c>
      <c r="E498" t="str">
        <f>IFERROR(__xludf.DUMMYFUNCTION("""COMPUTED_VALUE"""),"Cody")</f>
        <v>Cody</v>
      </c>
      <c r="F498">
        <f>IFERROR(__xludf.DUMMYFUNCTION("""COMPUTED_VALUE"""),10.2)</f>
        <v>10.2</v>
      </c>
    </row>
    <row r="499">
      <c r="D499" t="str">
        <f>IFERROR(__xludf.DUMMYFUNCTION("""COMPUTED_VALUE"""),"Davis")</f>
        <v>Davis</v>
      </c>
      <c r="E499" t="str">
        <f>IFERROR(__xludf.DUMMYFUNCTION("""COMPUTED_VALUE"""),"Demario")</f>
        <v>Demario</v>
      </c>
      <c r="F499">
        <f>IFERROR(__xludf.DUMMYFUNCTION("""COMPUTED_VALUE"""),11.4)</f>
        <v>11.4</v>
      </c>
    </row>
    <row r="500">
      <c r="D500" t="str">
        <f>IFERROR(__xludf.DUMMYFUNCTION("""COMPUTED_VALUE"""),"Davis")</f>
        <v>Davis</v>
      </c>
      <c r="E500" t="str">
        <f>IFERROR(__xludf.DUMMYFUNCTION("""COMPUTED_VALUE"""),"Geremy")</f>
        <v>Geremy</v>
      </c>
      <c r="F500">
        <f>IFERROR(__xludf.DUMMYFUNCTION("""COMPUTED_VALUE"""),9.6)</f>
        <v>9.6</v>
      </c>
    </row>
    <row r="501">
      <c r="D501" t="str">
        <f>IFERROR(__xludf.DUMMYFUNCTION("""COMPUTED_VALUE"""),"Davis")</f>
        <v>Davis</v>
      </c>
      <c r="E501" t="str">
        <f>IFERROR(__xludf.DUMMYFUNCTION("""COMPUTED_VALUE"""),"Kellen")</f>
        <v>Kellen</v>
      </c>
      <c r="F501">
        <f>IFERROR(__xludf.DUMMYFUNCTION("""COMPUTED_VALUE"""),10.35)</f>
        <v>10.35</v>
      </c>
    </row>
    <row r="502">
      <c r="D502" t="str">
        <f>IFERROR(__xludf.DUMMYFUNCTION("""COMPUTED_VALUE"""),"Davis")</f>
        <v>Davis</v>
      </c>
      <c r="E502" t="str">
        <f>IFERROR(__xludf.DUMMYFUNCTION("""COMPUTED_VALUE"""),"Knile")</f>
        <v>Knile</v>
      </c>
      <c r="F502">
        <f>IFERROR(__xludf.DUMMYFUNCTION("""COMPUTED_VALUE"""),10.95)</f>
        <v>10.95</v>
      </c>
    </row>
    <row r="503">
      <c r="D503" t="str">
        <f>IFERROR(__xludf.DUMMYFUNCTION("""COMPUTED_VALUE"""),"Davis")</f>
        <v>Davis</v>
      </c>
      <c r="E503" t="str">
        <f>IFERROR(__xludf.DUMMYFUNCTION("""COMPUTED_VALUE"""),"Mike")</f>
        <v>Mike</v>
      </c>
      <c r="F503">
        <f>IFERROR(__xludf.DUMMYFUNCTION("""COMPUTED_VALUE"""),10.65)</f>
        <v>10.65</v>
      </c>
    </row>
    <row r="504">
      <c r="D504" t="str">
        <f>IFERROR(__xludf.DUMMYFUNCTION("""COMPUTED_VALUE"""),"Davis")</f>
        <v>Davis</v>
      </c>
      <c r="E504" t="str">
        <f>IFERROR(__xludf.DUMMYFUNCTION("""COMPUTED_VALUE"""),"Ryan")</f>
        <v>Ryan</v>
      </c>
      <c r="F504">
        <f>IFERROR(__xludf.DUMMYFUNCTION("""COMPUTED_VALUE"""),10.799999999999999)</f>
        <v>10.8</v>
      </c>
    </row>
    <row r="505">
      <c r="D505" t="str">
        <f>IFERROR(__xludf.DUMMYFUNCTION("""COMPUTED_VALUE"""),"Davis")</f>
        <v>Davis</v>
      </c>
      <c r="E505" t="str">
        <f>IFERROR(__xludf.DUMMYFUNCTION("""COMPUTED_VALUE"""),"Sean")</f>
        <v>Sean</v>
      </c>
      <c r="F505">
        <f>IFERROR(__xludf.DUMMYFUNCTION("""COMPUTED_VALUE"""),10.65)</f>
        <v>10.65</v>
      </c>
    </row>
    <row r="506">
      <c r="D506" t="str">
        <f>IFERROR(__xludf.DUMMYFUNCTION("""COMPUTED_VALUE"""),"Davis")</f>
        <v>Davis</v>
      </c>
      <c r="E506" t="str">
        <f>IFERROR(__xludf.DUMMYFUNCTION("""COMPUTED_VALUE"""),"Titus")</f>
        <v>Titus</v>
      </c>
      <c r="F506">
        <f>IFERROR(__xludf.DUMMYFUNCTION("""COMPUTED_VALUE"""),9.75)</f>
        <v>9.75</v>
      </c>
    </row>
    <row r="507">
      <c r="D507" t="str">
        <f>IFERROR(__xludf.DUMMYFUNCTION("""COMPUTED_VALUE"""),"Davis")</f>
        <v>Davis</v>
      </c>
      <c r="E507" t="str">
        <f>IFERROR(__xludf.DUMMYFUNCTION("""COMPUTED_VALUE"""),"Todd")</f>
        <v>Todd</v>
      </c>
      <c r="F507">
        <f>IFERROR(__xludf.DUMMYFUNCTION("""COMPUTED_VALUE"""),9.6)</f>
        <v>9.6</v>
      </c>
    </row>
    <row r="508">
      <c r="D508" t="str">
        <f>IFERROR(__xludf.DUMMYFUNCTION("""COMPUTED_VALUE"""),"Davis")</f>
        <v>Davis</v>
      </c>
      <c r="E508" t="str">
        <f>IFERROR(__xludf.DUMMYFUNCTION("""COMPUTED_VALUE"""),"Trevor")</f>
        <v>Trevor</v>
      </c>
      <c r="F508">
        <f>IFERROR(__xludf.DUMMYFUNCTION("""COMPUTED_VALUE"""),9.6)</f>
        <v>9.6</v>
      </c>
    </row>
    <row r="509">
      <c r="D509" t="str">
        <f>IFERROR(__xludf.DUMMYFUNCTION("""COMPUTED_VALUE"""),"Davis")</f>
        <v>Davis</v>
      </c>
      <c r="E509" t="str">
        <f>IFERROR(__xludf.DUMMYFUNCTION("""COMPUTED_VALUE"""),"Vernon")</f>
        <v>Vernon</v>
      </c>
      <c r="F509">
        <f>IFERROR(__xludf.DUMMYFUNCTION("""COMPUTED_VALUE"""),12.0)</f>
        <v>12</v>
      </c>
    </row>
    <row r="510">
      <c r="D510" t="str">
        <f>IFERROR(__xludf.DUMMYFUNCTION("""COMPUTED_VALUE"""),"Davis")</f>
        <v>Davis</v>
      </c>
      <c r="E510" t="str">
        <f>IFERROR(__xludf.DUMMYFUNCTION("""COMPUTED_VALUE"""),"Vontae")</f>
        <v>Vontae</v>
      </c>
      <c r="F510">
        <f>IFERROR(__xludf.DUMMYFUNCTION("""COMPUTED_VALUE"""),13.65)</f>
        <v>13.65</v>
      </c>
    </row>
    <row r="511">
      <c r="D511" t="str">
        <f>IFERROR(__xludf.DUMMYFUNCTION("""COMPUTED_VALUE"""),"Davis")</f>
        <v>Davis</v>
      </c>
      <c r="E511" t="str">
        <f>IFERROR(__xludf.DUMMYFUNCTION("""COMPUTED_VALUE"""),"Will")</f>
        <v>Will</v>
      </c>
      <c r="F511">
        <f>IFERROR(__xludf.DUMMYFUNCTION("""COMPUTED_VALUE"""),10.95)</f>
        <v>10.95</v>
      </c>
    </row>
    <row r="512">
      <c r="D512" t="str">
        <f>IFERROR(__xludf.DUMMYFUNCTION("""COMPUTED_VALUE"""),"Davis Sr.")</f>
        <v>Davis Sr.</v>
      </c>
      <c r="E512" t="str">
        <f>IFERROR(__xludf.DUMMYFUNCTION("""COMPUTED_VALUE"""),"Thomas")</f>
        <v>Thomas</v>
      </c>
      <c r="F512">
        <f>IFERROR(__xludf.DUMMYFUNCTION("""COMPUTED_VALUE"""),13.2)</f>
        <v>13.2</v>
      </c>
    </row>
    <row r="513">
      <c r="D513" t="str">
        <f>IFERROR(__xludf.DUMMYFUNCTION("""COMPUTED_VALUE"""),"Davison")</f>
        <v>Davison</v>
      </c>
      <c r="E513" t="str">
        <f>IFERROR(__xludf.DUMMYFUNCTION("""COMPUTED_VALUE"""),"Tyeler")</f>
        <v>Tyeler</v>
      </c>
      <c r="F513">
        <f>IFERROR(__xludf.DUMMYFUNCTION("""COMPUTED_VALUE"""),10.2)</f>
        <v>10.2</v>
      </c>
    </row>
    <row r="514">
      <c r="D514" t="str">
        <f>IFERROR(__xludf.DUMMYFUNCTION("""COMPUTED_VALUE"""),"Dawson")</f>
        <v>Dawson</v>
      </c>
      <c r="E514" t="str">
        <f>IFERROR(__xludf.DUMMYFUNCTION("""COMPUTED_VALUE"""),"Phil")</f>
        <v>Phil</v>
      </c>
      <c r="F514">
        <f>IFERROR(__xludf.DUMMYFUNCTION("""COMPUTED_VALUE"""),12.0)</f>
        <v>12</v>
      </c>
    </row>
    <row r="515">
      <c r="D515" t="str">
        <f>IFERROR(__xludf.DUMMYFUNCTION("""COMPUTED_VALUE"""),"Dawson")</f>
        <v>Dawson</v>
      </c>
      <c r="E515" t="str">
        <f>IFERROR(__xludf.DUMMYFUNCTION("""COMPUTED_VALUE"""),"PJ")</f>
        <v>PJ</v>
      </c>
      <c r="F515">
        <f>IFERROR(__xludf.DUMMYFUNCTION("""COMPUTED_VALUE"""),10.65)</f>
        <v>10.65</v>
      </c>
    </row>
    <row r="516">
      <c r="D516" t="str">
        <f>IFERROR(__xludf.DUMMYFUNCTION("""COMPUTED_VALUE"""),"Day")</f>
        <v>Day</v>
      </c>
      <c r="E516" t="str">
        <f>IFERROR(__xludf.DUMMYFUNCTION("""COMPUTED_VALUE"""),"Sheldon")</f>
        <v>Sheldon</v>
      </c>
      <c r="F516">
        <f>IFERROR(__xludf.DUMMYFUNCTION("""COMPUTED_VALUE"""),10.2)</f>
        <v>10.2</v>
      </c>
    </row>
    <row r="517">
      <c r="D517" t="str">
        <f>IFERROR(__xludf.DUMMYFUNCTION("""COMPUTED_VALUE"""),"Dean")</f>
        <v>Dean</v>
      </c>
      <c r="E517" t="str">
        <f>IFERROR(__xludf.DUMMYFUNCTION("""COMPUTED_VALUE"""),"David")</f>
        <v>David</v>
      </c>
      <c r="F517">
        <f>IFERROR(__xludf.DUMMYFUNCTION("""COMPUTED_VALUE"""),9.0)</f>
        <v>9</v>
      </c>
    </row>
    <row r="518">
      <c r="D518" t="str">
        <f>IFERROR(__xludf.DUMMYFUNCTION("""COMPUTED_VALUE"""),"DeBord")</f>
        <v>DeBord</v>
      </c>
      <c r="E518" t="str">
        <f>IFERROR(__xludf.DUMMYFUNCTION("""COMPUTED_VALUE"""),"Clay")</f>
        <v>Clay</v>
      </c>
      <c r="F518">
        <f>IFERROR(__xludf.DUMMYFUNCTION("""COMPUTED_VALUE"""),9.0)</f>
        <v>9</v>
      </c>
    </row>
    <row r="519">
      <c r="D519" t="str">
        <f>IFERROR(__xludf.DUMMYFUNCTION("""COMPUTED_VALUE"""),"Debose")</f>
        <v>Debose</v>
      </c>
      <c r="E519" t="str">
        <f>IFERROR(__xludf.DUMMYFUNCTION("""COMPUTED_VALUE"""),"Andre")</f>
        <v>Andre</v>
      </c>
      <c r="F519">
        <f>IFERROR(__xludf.DUMMYFUNCTION("""COMPUTED_VALUE"""),7.8)</f>
        <v>7.8</v>
      </c>
    </row>
    <row r="520">
      <c r="D520" t="str">
        <f>IFERROR(__xludf.DUMMYFUNCTION("""COMPUTED_VALUE"""),"DeCastro")</f>
        <v>DeCastro</v>
      </c>
      <c r="E520" t="str">
        <f>IFERROR(__xludf.DUMMYFUNCTION("""COMPUTED_VALUE"""),"David")</f>
        <v>David</v>
      </c>
      <c r="F520">
        <f>IFERROR(__xludf.DUMMYFUNCTION("""COMPUTED_VALUE"""),12.6)</f>
        <v>12.6</v>
      </c>
    </row>
    <row r="521">
      <c r="D521" t="str">
        <f>IFERROR(__xludf.DUMMYFUNCTION("""COMPUTED_VALUE"""),"Decker")</f>
        <v>Decker</v>
      </c>
      <c r="E521" t="str">
        <f>IFERROR(__xludf.DUMMYFUNCTION("""COMPUTED_VALUE"""),"Eric")</f>
        <v>Eric</v>
      </c>
      <c r="F521">
        <f>IFERROR(__xludf.DUMMYFUNCTION("""COMPUTED_VALUE"""),13.049999999999999)</f>
        <v>13.05</v>
      </c>
    </row>
    <row r="522">
      <c r="D522" t="str">
        <f>IFERROR(__xludf.DUMMYFUNCTION("""COMPUTED_VALUE"""),"Decker")</f>
        <v>Decker</v>
      </c>
      <c r="E522" t="str">
        <f>IFERROR(__xludf.DUMMYFUNCTION("""COMPUTED_VALUE"""),"Taylor")</f>
        <v>Taylor</v>
      </c>
      <c r="F522">
        <f>IFERROR(__xludf.DUMMYFUNCTION("""COMPUTED_VALUE"""),11.4)</f>
        <v>11.4</v>
      </c>
    </row>
    <row r="523">
      <c r="D523" t="str">
        <f>IFERROR(__xludf.DUMMYFUNCTION("""COMPUTED_VALUE"""),"Delaire")</f>
        <v>Delaire</v>
      </c>
      <c r="E523" t="str">
        <f>IFERROR(__xludf.DUMMYFUNCTION("""COMPUTED_VALUE"""),"Ryan")</f>
        <v>Ryan</v>
      </c>
      <c r="F523">
        <f>IFERROR(__xludf.DUMMYFUNCTION("""COMPUTED_VALUE"""),9.75)</f>
        <v>9.75</v>
      </c>
    </row>
    <row r="524">
      <c r="D524" t="str">
        <f>IFERROR(__xludf.DUMMYFUNCTION("""COMPUTED_VALUE"""),"Demps")</f>
        <v>Demps</v>
      </c>
      <c r="E524" t="str">
        <f>IFERROR(__xludf.DUMMYFUNCTION("""COMPUTED_VALUE"""),"Quintin")</f>
        <v>Quintin</v>
      </c>
      <c r="F524">
        <f>IFERROR(__xludf.DUMMYFUNCTION("""COMPUTED_VALUE"""),11.25)</f>
        <v>11.25</v>
      </c>
    </row>
    <row r="525">
      <c r="D525" t="str">
        <f>IFERROR(__xludf.DUMMYFUNCTION("""COMPUTED_VALUE"""),"Dennard")</f>
        <v>Dennard</v>
      </c>
      <c r="E525" t="str">
        <f>IFERROR(__xludf.DUMMYFUNCTION("""COMPUTED_VALUE"""),"Darqueze")</f>
        <v>Darqueze</v>
      </c>
      <c r="F525">
        <f>IFERROR(__xludf.DUMMYFUNCTION("""COMPUTED_VALUE"""),11.25)</f>
        <v>11.25</v>
      </c>
    </row>
    <row r="526">
      <c r="D526" t="str">
        <f>IFERROR(__xludf.DUMMYFUNCTION("""COMPUTED_VALUE"""),"Denney")</f>
        <v>Denney</v>
      </c>
      <c r="E526" t="str">
        <f>IFERROR(__xludf.DUMMYFUNCTION("""COMPUTED_VALUE"""),"John")</f>
        <v>John</v>
      </c>
      <c r="F526">
        <f>IFERROR(__xludf.DUMMYFUNCTION("""COMPUTED_VALUE"""),7.199999999999999)</f>
        <v>7.2</v>
      </c>
    </row>
    <row r="527">
      <c r="D527" t="str">
        <f>IFERROR(__xludf.DUMMYFUNCTION("""COMPUTED_VALUE"""),"Dent")</f>
        <v>Dent</v>
      </c>
      <c r="E527" t="str">
        <f>IFERROR(__xludf.DUMMYFUNCTION("""COMPUTED_VALUE"""),"Akeem")</f>
        <v>Akeem</v>
      </c>
      <c r="F527">
        <f>IFERROR(__xludf.DUMMYFUNCTION("""COMPUTED_VALUE"""),11.1)</f>
        <v>11.1</v>
      </c>
    </row>
    <row r="528">
      <c r="D528" t="str">
        <f>IFERROR(__xludf.DUMMYFUNCTION("""COMPUTED_VALUE"""),"DeOssie")</f>
        <v>DeOssie</v>
      </c>
      <c r="E528" t="str">
        <f>IFERROR(__xludf.DUMMYFUNCTION("""COMPUTED_VALUE"""),"Zak")</f>
        <v>Zak</v>
      </c>
      <c r="F528">
        <f>IFERROR(__xludf.DUMMYFUNCTION("""COMPUTED_VALUE"""),8.25)</f>
        <v>8.25</v>
      </c>
    </row>
    <row r="529">
      <c r="D529" t="str">
        <f>IFERROR(__xludf.DUMMYFUNCTION("""COMPUTED_VALUE"""),"DePalma")</f>
        <v>DePalma</v>
      </c>
      <c r="E529" t="str">
        <f>IFERROR(__xludf.DUMMYFUNCTION("""COMPUTED_VALUE"""),"John")</f>
        <v>John</v>
      </c>
      <c r="F529">
        <f>IFERROR(__xludf.DUMMYFUNCTION("""COMPUTED_VALUE"""),6.45)</f>
        <v>6.45</v>
      </c>
    </row>
    <row r="530">
      <c r="D530" t="str">
        <f>IFERROR(__xludf.DUMMYFUNCTION("""COMPUTED_VALUE"""),"DePaola")</f>
        <v>DePaola</v>
      </c>
      <c r="E530" t="str">
        <f>IFERROR(__xludf.DUMMYFUNCTION("""COMPUTED_VALUE"""),"Andrew")</f>
        <v>Andrew</v>
      </c>
      <c r="F530">
        <f>IFERROR(__xludf.DUMMYFUNCTION("""COMPUTED_VALUE"""),9.299999999999999)</f>
        <v>9.3</v>
      </c>
    </row>
    <row r="531">
      <c r="D531" t="str">
        <f>IFERROR(__xludf.DUMMYFUNCTION("""COMPUTED_VALUE"""),"Desir")</f>
        <v>Desir</v>
      </c>
      <c r="E531" t="str">
        <f>IFERROR(__xludf.DUMMYFUNCTION("""COMPUTED_VALUE"""),"Pierre")</f>
        <v>Pierre</v>
      </c>
      <c r="F531">
        <f>IFERROR(__xludf.DUMMYFUNCTION("""COMPUTED_VALUE"""),10.35)</f>
        <v>10.35</v>
      </c>
    </row>
    <row r="532">
      <c r="D532" t="str">
        <f>IFERROR(__xludf.DUMMYFUNCTION("""COMPUTED_VALUE"""),"DeValve")</f>
        <v>DeValve</v>
      </c>
      <c r="E532" t="str">
        <f>IFERROR(__xludf.DUMMYFUNCTION("""COMPUTED_VALUE"""),"Seth")</f>
        <v>Seth</v>
      </c>
      <c r="F532">
        <f>IFERROR(__xludf.DUMMYFUNCTION("""COMPUTED_VALUE"""),9.6)</f>
        <v>9.6</v>
      </c>
    </row>
    <row r="533">
      <c r="D533" t="str">
        <f>IFERROR(__xludf.DUMMYFUNCTION("""COMPUTED_VALUE"""),"Develin")</f>
        <v>Develin</v>
      </c>
      <c r="E533" t="str">
        <f>IFERROR(__xludf.DUMMYFUNCTION("""COMPUTED_VALUE"""),"James")</f>
        <v>James</v>
      </c>
      <c r="F533">
        <f>IFERROR(__xludf.DUMMYFUNCTION("""COMPUTED_VALUE"""),12.45)</f>
        <v>12.45</v>
      </c>
    </row>
    <row r="534">
      <c r="D534" t="str">
        <f>IFERROR(__xludf.DUMMYFUNCTION("""COMPUTED_VALUE"""),"Devey")</f>
        <v>Devey</v>
      </c>
      <c r="E534" t="str">
        <f>IFERROR(__xludf.DUMMYFUNCTION("""COMPUTED_VALUE"""),"Jordan")</f>
        <v>Jordan</v>
      </c>
      <c r="F534">
        <f>IFERROR(__xludf.DUMMYFUNCTION("""COMPUTED_VALUE"""),9.75)</f>
        <v>9.75</v>
      </c>
    </row>
    <row r="535">
      <c r="D535" t="str">
        <f>IFERROR(__xludf.DUMMYFUNCTION("""COMPUTED_VALUE"""),"Dial")</f>
        <v>Dial</v>
      </c>
      <c r="E535" t="str">
        <f>IFERROR(__xludf.DUMMYFUNCTION("""COMPUTED_VALUE"""),"Quinton")</f>
        <v>Quinton</v>
      </c>
      <c r="F535">
        <f>IFERROR(__xludf.DUMMYFUNCTION("""COMPUTED_VALUE"""),10.5)</f>
        <v>10.5</v>
      </c>
    </row>
    <row r="536">
      <c r="D536" t="str">
        <f>IFERROR(__xludf.DUMMYFUNCTION("""COMPUTED_VALUE"""),"Dickson")</f>
        <v>Dickson</v>
      </c>
      <c r="E536" t="str">
        <f>IFERROR(__xludf.DUMMYFUNCTION("""COMPUTED_VALUE"""),"Ed")</f>
        <v>Ed</v>
      </c>
      <c r="F536">
        <f>IFERROR(__xludf.DUMMYFUNCTION("""COMPUTED_VALUE"""),10.799999999999999)</f>
        <v>10.8</v>
      </c>
    </row>
    <row r="537">
      <c r="D537" t="str">
        <f>IFERROR(__xludf.DUMMYFUNCTION("""COMPUTED_VALUE"""),"Diggs")</f>
        <v>Diggs</v>
      </c>
      <c r="E537" t="str">
        <f>IFERROR(__xludf.DUMMYFUNCTION("""COMPUTED_VALUE"""),"Quandre")</f>
        <v>Quandre</v>
      </c>
      <c r="F537">
        <f>IFERROR(__xludf.DUMMYFUNCTION("""COMPUTED_VALUE"""),11.1)</f>
        <v>11.1</v>
      </c>
    </row>
    <row r="538">
      <c r="D538" t="str">
        <f>IFERROR(__xludf.DUMMYFUNCTION("""COMPUTED_VALUE"""),"Diggs")</f>
        <v>Diggs</v>
      </c>
      <c r="E538" t="str">
        <f>IFERROR(__xludf.DUMMYFUNCTION("""COMPUTED_VALUE"""),"Reggie")</f>
        <v>Reggie</v>
      </c>
      <c r="F538">
        <f>IFERROR(__xludf.DUMMYFUNCTION("""COMPUTED_VALUE"""),9.0)</f>
        <v>9</v>
      </c>
    </row>
    <row r="539">
      <c r="D539" t="str">
        <f>IFERROR(__xludf.DUMMYFUNCTION("""COMPUTED_VALUE"""),"Diggs")</f>
        <v>Diggs</v>
      </c>
      <c r="E539" t="str">
        <f>IFERROR(__xludf.DUMMYFUNCTION("""COMPUTED_VALUE"""),"Stefon")</f>
        <v>Stefon</v>
      </c>
      <c r="F539">
        <f>IFERROR(__xludf.DUMMYFUNCTION("""COMPUTED_VALUE"""),11.85)</f>
        <v>11.85</v>
      </c>
    </row>
    <row r="540">
      <c r="D540" t="str">
        <f>IFERROR(__xludf.DUMMYFUNCTION("""COMPUTED_VALUE"""),"Dillon")</f>
        <v>Dillon</v>
      </c>
      <c r="E540" t="str">
        <f>IFERROR(__xludf.DUMMYFUNCTION("""COMPUTED_VALUE"""),"KJ")</f>
        <v>KJ</v>
      </c>
      <c r="F540">
        <f>IFERROR(__xludf.DUMMYFUNCTION("""COMPUTED_VALUE"""),10.049999999999999)</f>
        <v>10.05</v>
      </c>
    </row>
    <row r="541">
      <c r="D541" t="str">
        <f>IFERROR(__xludf.DUMMYFUNCTION("""COMPUTED_VALUE"""),"DiManche")</f>
        <v>DiManche</v>
      </c>
      <c r="E541" t="str">
        <f>IFERROR(__xludf.DUMMYFUNCTION("""COMPUTED_VALUE"""),"Jayson")</f>
        <v>Jayson</v>
      </c>
      <c r="F541">
        <f>IFERROR(__xludf.DUMMYFUNCTION("""COMPUTED_VALUE"""),10.049999999999999)</f>
        <v>10.05</v>
      </c>
    </row>
    <row r="542">
      <c r="D542" t="str">
        <f>IFERROR(__xludf.DUMMYFUNCTION("""COMPUTED_VALUE"""),"DiMarco")</f>
        <v>DiMarco</v>
      </c>
      <c r="E542" t="str">
        <f>IFERROR(__xludf.DUMMYFUNCTION("""COMPUTED_VALUE"""),"Patrick")</f>
        <v>Patrick</v>
      </c>
      <c r="F542">
        <f>IFERROR(__xludf.DUMMYFUNCTION("""COMPUTED_VALUE"""),13.65)</f>
        <v>13.65</v>
      </c>
    </row>
    <row r="543">
      <c r="D543" t="str">
        <f>IFERROR(__xludf.DUMMYFUNCTION("""COMPUTED_VALUE"""),"Dismukes")</f>
        <v>Dismukes</v>
      </c>
      <c r="E543" t="str">
        <f>IFERROR(__xludf.DUMMYFUNCTION("""COMPUTED_VALUE"""),"Reese")</f>
        <v>Reese</v>
      </c>
      <c r="F543">
        <f>IFERROR(__xludf.DUMMYFUNCTION("""COMPUTED_VALUE"""),10.049999999999999)</f>
        <v>10.05</v>
      </c>
    </row>
    <row r="544">
      <c r="D544" t="str">
        <f>IFERROR(__xludf.DUMMYFUNCTION("""COMPUTED_VALUE"""),"Dixon")</f>
        <v>Dixon</v>
      </c>
      <c r="E544" t="str">
        <f>IFERROR(__xludf.DUMMYFUNCTION("""COMPUTED_VALUE"""),"Brandon")</f>
        <v>Brandon</v>
      </c>
      <c r="F544">
        <f>IFERROR(__xludf.DUMMYFUNCTION("""COMPUTED_VALUE"""),9.75)</f>
        <v>9.75</v>
      </c>
    </row>
    <row r="545">
      <c r="D545" t="str">
        <f>IFERROR(__xludf.DUMMYFUNCTION("""COMPUTED_VALUE"""),"Dixon")</f>
        <v>Dixon</v>
      </c>
      <c r="E545" t="str">
        <f>IFERROR(__xludf.DUMMYFUNCTION("""COMPUTED_VALUE"""),"Brian")</f>
        <v>Brian</v>
      </c>
      <c r="F545">
        <f>IFERROR(__xludf.DUMMYFUNCTION("""COMPUTED_VALUE"""),9.9)</f>
        <v>9.9</v>
      </c>
    </row>
    <row r="546">
      <c r="D546" t="str">
        <f>IFERROR(__xludf.DUMMYFUNCTION("""COMPUTED_VALUE"""),"Dixon")</f>
        <v>Dixon</v>
      </c>
      <c r="E546" t="str">
        <f>IFERROR(__xludf.DUMMYFUNCTION("""COMPUTED_VALUE"""),"Kenneth")</f>
        <v>Kenneth</v>
      </c>
      <c r="F546">
        <f>IFERROR(__xludf.DUMMYFUNCTION("""COMPUTED_VALUE"""),10.799999999999999)</f>
        <v>10.8</v>
      </c>
    </row>
    <row r="547">
      <c r="D547" t="str">
        <f>IFERROR(__xludf.DUMMYFUNCTION("""COMPUTED_VALUE"""),"Dixon")</f>
        <v>Dixon</v>
      </c>
      <c r="E547" t="str">
        <f>IFERROR(__xludf.DUMMYFUNCTION("""COMPUTED_VALUE"""),"Riley")</f>
        <v>Riley</v>
      </c>
      <c r="F547">
        <f>IFERROR(__xludf.DUMMYFUNCTION("""COMPUTED_VALUE"""),10.799999999999999)</f>
        <v>10.8</v>
      </c>
    </row>
    <row r="548">
      <c r="D548" t="str">
        <f>IFERROR(__xludf.DUMMYFUNCTION("""COMPUTED_VALUE"""),"Dobson")</f>
        <v>Dobson</v>
      </c>
      <c r="E548" t="str">
        <f>IFERROR(__xludf.DUMMYFUNCTION("""COMPUTED_VALUE"""),"Aaron")</f>
        <v>Aaron</v>
      </c>
      <c r="F548">
        <f>IFERROR(__xludf.DUMMYFUNCTION("""COMPUTED_VALUE"""),10.65)</f>
        <v>10.65</v>
      </c>
    </row>
    <row r="549">
      <c r="D549" t="str">
        <f>IFERROR(__xludf.DUMMYFUNCTION("""COMPUTED_VALUE"""),"Doctson")</f>
        <v>Doctson</v>
      </c>
      <c r="E549" t="str">
        <f>IFERROR(__xludf.DUMMYFUNCTION("""COMPUTED_VALUE"""),"Josh")</f>
        <v>Josh</v>
      </c>
      <c r="F549">
        <f>IFERROR(__xludf.DUMMYFUNCTION("""COMPUTED_VALUE"""),11.549999999999999)</f>
        <v>11.55</v>
      </c>
    </row>
    <row r="550">
      <c r="D550" t="str">
        <f>IFERROR(__xludf.DUMMYFUNCTION("""COMPUTED_VALUE"""),"Dodd")</f>
        <v>Dodd</v>
      </c>
      <c r="E550" t="str">
        <f>IFERROR(__xludf.DUMMYFUNCTION("""COMPUTED_VALUE"""),"Kevin")</f>
        <v>Kevin</v>
      </c>
      <c r="F550">
        <f>IFERROR(__xludf.DUMMYFUNCTION("""COMPUTED_VALUE"""),10.95)</f>
        <v>10.95</v>
      </c>
    </row>
    <row r="551">
      <c r="D551" t="str">
        <f>IFERROR(__xludf.DUMMYFUNCTION("""COMPUTED_VALUE"""),"Donald")</f>
        <v>Donald</v>
      </c>
      <c r="E551" t="str">
        <f>IFERROR(__xludf.DUMMYFUNCTION("""COMPUTED_VALUE"""),"Aaron")</f>
        <v>Aaron</v>
      </c>
      <c r="F551">
        <f>IFERROR(__xludf.DUMMYFUNCTION("""COMPUTED_VALUE"""),14.7)</f>
        <v>14.7</v>
      </c>
    </row>
    <row r="552">
      <c r="D552" t="str">
        <f>IFERROR(__xludf.DUMMYFUNCTION("""COMPUTED_VALUE"""),"Donnal")</f>
        <v>Donnal</v>
      </c>
      <c r="E552" t="str">
        <f>IFERROR(__xludf.DUMMYFUNCTION("""COMPUTED_VALUE"""),"Andrew")</f>
        <v>Andrew</v>
      </c>
      <c r="F552">
        <f>IFERROR(__xludf.DUMMYFUNCTION("""COMPUTED_VALUE"""),9.6)</f>
        <v>9.6</v>
      </c>
    </row>
    <row r="553">
      <c r="D553" t="str">
        <f>IFERROR(__xludf.DUMMYFUNCTION("""COMPUTED_VALUE"""),"Donnell")</f>
        <v>Donnell</v>
      </c>
      <c r="E553" t="str">
        <f>IFERROR(__xludf.DUMMYFUNCTION("""COMPUTED_VALUE"""),"Larry")</f>
        <v>Larry</v>
      </c>
      <c r="F553">
        <f>IFERROR(__xludf.DUMMYFUNCTION("""COMPUTED_VALUE"""),11.4)</f>
        <v>11.4</v>
      </c>
    </row>
    <row r="554">
      <c r="D554" t="str">
        <f>IFERROR(__xludf.DUMMYFUNCTION("""COMPUTED_VALUE"""),"Dora")</f>
        <v>Dora</v>
      </c>
      <c r="E554" t="str">
        <f>IFERROR(__xludf.DUMMYFUNCTION("""COMPUTED_VALUE"""),"Vontarrius")</f>
        <v>Vontarrius</v>
      </c>
      <c r="F554">
        <f>IFERROR(__xludf.DUMMYFUNCTION("""COMPUTED_VALUE"""),8.549999999999999)</f>
        <v>8.55</v>
      </c>
    </row>
    <row r="555">
      <c r="D555" t="str">
        <f>IFERROR(__xludf.DUMMYFUNCTION("""COMPUTED_VALUE"""),"Dorenbos")</f>
        <v>Dorenbos</v>
      </c>
      <c r="E555" t="str">
        <f>IFERROR(__xludf.DUMMYFUNCTION("""COMPUTED_VALUE"""),"Jon")</f>
        <v>Jon</v>
      </c>
      <c r="F555">
        <f>IFERROR(__xludf.DUMMYFUNCTION("""COMPUTED_VALUE"""),6.6)</f>
        <v>6.6</v>
      </c>
    </row>
    <row r="556">
      <c r="D556" t="str">
        <f>IFERROR(__xludf.DUMMYFUNCTION("""COMPUTED_VALUE"""),"Dorleant")</f>
        <v>Dorleant</v>
      </c>
      <c r="E556" t="str">
        <f>IFERROR(__xludf.DUMMYFUNCTION("""COMPUTED_VALUE"""),"Makinton")</f>
        <v>Makinton</v>
      </c>
      <c r="F556">
        <f>IFERROR(__xludf.DUMMYFUNCTION("""COMPUTED_VALUE"""),9.15)</f>
        <v>9.15</v>
      </c>
    </row>
    <row r="557">
      <c r="D557" t="str">
        <f>IFERROR(__xludf.DUMMYFUNCTION("""COMPUTED_VALUE"""),"Dorsett")</f>
        <v>Dorsett</v>
      </c>
      <c r="E557" t="str">
        <f>IFERROR(__xludf.DUMMYFUNCTION("""COMPUTED_VALUE"""),"Phillip")</f>
        <v>Phillip</v>
      </c>
      <c r="F557">
        <f>IFERROR(__xludf.DUMMYFUNCTION("""COMPUTED_VALUE"""),10.799999999999999)</f>
        <v>10.8</v>
      </c>
    </row>
    <row r="558">
      <c r="D558" t="str">
        <f>IFERROR(__xludf.DUMMYFUNCTION("""COMPUTED_VALUE"""),"Dorsey")</f>
        <v>Dorsey</v>
      </c>
      <c r="E558" t="str">
        <f>IFERROR(__xludf.DUMMYFUNCTION("""COMPUTED_VALUE"""),"Glenn")</f>
        <v>Glenn</v>
      </c>
      <c r="F558">
        <f>IFERROR(__xludf.DUMMYFUNCTION("""COMPUTED_VALUE"""),10.5)</f>
        <v>10.5</v>
      </c>
    </row>
    <row r="559">
      <c r="D559" t="str">
        <f>IFERROR(__xludf.DUMMYFUNCTION("""COMPUTED_VALUE"""),"Doss")</f>
        <v>Doss</v>
      </c>
      <c r="E559" t="str">
        <f>IFERROR(__xludf.DUMMYFUNCTION("""COMPUTED_VALUE"""),"Lorenzo")</f>
        <v>Lorenzo</v>
      </c>
      <c r="F559">
        <f>IFERROR(__xludf.DUMMYFUNCTION("""COMPUTED_VALUE"""),10.049999999999999)</f>
        <v>10.05</v>
      </c>
    </row>
    <row r="560">
      <c r="D560" t="str">
        <f>IFERROR(__xludf.DUMMYFUNCTION("""COMPUTED_VALUE"""),"Dotson")</f>
        <v>Dotson</v>
      </c>
      <c r="E560" t="str">
        <f>IFERROR(__xludf.DUMMYFUNCTION("""COMPUTED_VALUE"""),"Demar")</f>
        <v>Demar</v>
      </c>
      <c r="F560">
        <f>IFERROR(__xludf.DUMMYFUNCTION("""COMPUTED_VALUE"""),11.7)</f>
        <v>11.7</v>
      </c>
    </row>
    <row r="561">
      <c r="D561" t="str">
        <f>IFERROR(__xludf.DUMMYFUNCTION("""COMPUTED_VALUE"""),"Doughty")</f>
        <v>Doughty</v>
      </c>
      <c r="E561" t="str">
        <f>IFERROR(__xludf.DUMMYFUNCTION("""COMPUTED_VALUE"""),"Brandon")</f>
        <v>Brandon</v>
      </c>
      <c r="F561">
        <f>IFERROR(__xludf.DUMMYFUNCTION("""COMPUTED_VALUE"""),9.45)</f>
        <v>9.45</v>
      </c>
    </row>
    <row r="562">
      <c r="D562" t="str">
        <f>IFERROR(__xludf.DUMMYFUNCTION("""COMPUTED_VALUE"""),"Douglas")</f>
        <v>Douglas</v>
      </c>
      <c r="E562" t="str">
        <f>IFERROR(__xludf.DUMMYFUNCTION("""COMPUTED_VALUE"""),"Harry")</f>
        <v>Harry</v>
      </c>
      <c r="F562">
        <f>IFERROR(__xludf.DUMMYFUNCTION("""COMPUTED_VALUE"""),10.95)</f>
        <v>10.95</v>
      </c>
    </row>
    <row r="563">
      <c r="D563" t="str">
        <f>IFERROR(__xludf.DUMMYFUNCTION("""COMPUTED_VALUE"""),"Douzable")</f>
        <v>Douzable</v>
      </c>
      <c r="E563" t="str">
        <f>IFERROR(__xludf.DUMMYFUNCTION("""COMPUTED_VALUE"""),"Leger")</f>
        <v>Leger</v>
      </c>
      <c r="F563">
        <f>IFERROR(__xludf.DUMMYFUNCTION("""COMPUTED_VALUE"""),10.2)</f>
        <v>10.2</v>
      </c>
    </row>
    <row r="564">
      <c r="D564" t="str">
        <f>IFERROR(__xludf.DUMMYFUNCTION("""COMPUTED_VALUE"""),"Dowling")</f>
        <v>Dowling</v>
      </c>
      <c r="E564" t="str">
        <f>IFERROR(__xludf.DUMMYFUNCTION("""COMPUTED_VALUE"""),"Jonathan")</f>
        <v>Jonathan</v>
      </c>
      <c r="F564">
        <f>IFERROR(__xludf.DUMMYFUNCTION("""COMPUTED_VALUE"""),9.9)</f>
        <v>9.9</v>
      </c>
    </row>
    <row r="565">
      <c r="D565" t="str">
        <f>IFERROR(__xludf.DUMMYFUNCTION("""COMPUTED_VALUE"""),"Doyle")</f>
        <v>Doyle</v>
      </c>
      <c r="E565" t="str">
        <f>IFERROR(__xludf.DUMMYFUNCTION("""COMPUTED_VALUE"""),"Jack")</f>
        <v>Jack</v>
      </c>
      <c r="F565">
        <f>IFERROR(__xludf.DUMMYFUNCTION("""COMPUTED_VALUE"""),10.799999999999999)</f>
        <v>10.8</v>
      </c>
    </row>
    <row r="566">
      <c r="D566" t="str">
        <f>IFERROR(__xludf.DUMMYFUNCTION("""COMPUTED_VALUE"""),"Dozier")</f>
        <v>Dozier</v>
      </c>
      <c r="E566" t="str">
        <f>IFERROR(__xludf.DUMMYFUNCTION("""COMPUTED_VALUE"""),"Dakota")</f>
        <v>Dakota</v>
      </c>
      <c r="F566">
        <f>IFERROR(__xludf.DUMMYFUNCTION("""COMPUTED_VALUE"""),10.049999999999999)</f>
        <v>10.05</v>
      </c>
    </row>
    <row r="567">
      <c r="D567" t="str">
        <f>IFERROR(__xludf.DUMMYFUNCTION("""COMPUTED_VALUE"""),"Drake")</f>
        <v>Drake</v>
      </c>
      <c r="E567" t="str">
        <f>IFERROR(__xludf.DUMMYFUNCTION("""COMPUTED_VALUE"""),"Kenyan")</f>
        <v>Kenyan</v>
      </c>
      <c r="F567">
        <f>IFERROR(__xludf.DUMMYFUNCTION("""COMPUTED_VALUE"""),10.5)</f>
        <v>10.5</v>
      </c>
    </row>
    <row r="568">
      <c r="D568" t="str">
        <f>IFERROR(__xludf.DUMMYFUNCTION("""COMPUTED_VALUE"""),"Drango")</f>
        <v>Drango</v>
      </c>
      <c r="E568" t="str">
        <f>IFERROR(__xludf.DUMMYFUNCTION("""COMPUTED_VALUE"""),"Spencer")</f>
        <v>Spencer</v>
      </c>
      <c r="F568">
        <f>IFERROR(__xludf.DUMMYFUNCTION("""COMPUTED_VALUE"""),9.6)</f>
        <v>9.6</v>
      </c>
    </row>
    <row r="569">
      <c r="D569" t="str">
        <f>IFERROR(__xludf.DUMMYFUNCTION("""COMPUTED_VALUE"""),"Draughn")</f>
        <v>Draughn</v>
      </c>
      <c r="E569" t="str">
        <f>IFERROR(__xludf.DUMMYFUNCTION("""COMPUTED_VALUE"""),"Shaun")</f>
        <v>Shaun</v>
      </c>
      <c r="F569">
        <f>IFERROR(__xludf.DUMMYFUNCTION("""COMPUTED_VALUE"""),10.95)</f>
        <v>10.95</v>
      </c>
    </row>
    <row r="570">
      <c r="D570" t="str">
        <f>IFERROR(__xludf.DUMMYFUNCTION("""COMPUTED_VALUE"""),"Dray")</f>
        <v>Dray</v>
      </c>
      <c r="E570" t="str">
        <f>IFERROR(__xludf.DUMMYFUNCTION("""COMPUTED_VALUE"""),"Jim")</f>
        <v>Jim</v>
      </c>
      <c r="F570">
        <f>IFERROR(__xludf.DUMMYFUNCTION("""COMPUTED_VALUE"""),10.5)</f>
        <v>10.5</v>
      </c>
    </row>
    <row r="571">
      <c r="D571" t="str">
        <f>IFERROR(__xludf.DUMMYFUNCTION("""COMPUTED_VALUE"""),"Drescher")</f>
        <v>Drescher</v>
      </c>
      <c r="E571" t="str">
        <f>IFERROR(__xludf.DUMMYFUNCTION("""COMPUTED_VALUE"""),"Justin")</f>
        <v>Justin</v>
      </c>
      <c r="F571">
        <f>IFERROR(__xludf.DUMMYFUNCTION("""COMPUTED_VALUE"""),6.3)</f>
        <v>6.3</v>
      </c>
    </row>
    <row r="572">
      <c r="D572" t="str">
        <f>IFERROR(__xludf.DUMMYFUNCTION("""COMPUTED_VALUE"""),"Driskel")</f>
        <v>Driskel</v>
      </c>
      <c r="E572" t="str">
        <f>IFERROR(__xludf.DUMMYFUNCTION("""COMPUTED_VALUE"""),"Jeff")</f>
        <v>Jeff</v>
      </c>
      <c r="F572">
        <f>IFERROR(__xludf.DUMMYFUNCTION("""COMPUTED_VALUE"""),9.9)</f>
        <v>9.9</v>
      </c>
    </row>
    <row r="573">
      <c r="D573" t="str">
        <f>IFERROR(__xludf.DUMMYFUNCTION("""COMPUTED_VALUE"""),"Drummond")</f>
        <v>Drummond</v>
      </c>
      <c r="E573" t="str">
        <f>IFERROR(__xludf.DUMMYFUNCTION("""COMPUTED_VALUE"""),"Kurtis")</f>
        <v>Kurtis</v>
      </c>
      <c r="F573">
        <f>IFERROR(__xludf.DUMMYFUNCTION("""COMPUTED_VALUE"""),10.049999999999999)</f>
        <v>10.05</v>
      </c>
    </row>
    <row r="574">
      <c r="D574" t="str">
        <f>IFERROR(__xludf.DUMMYFUNCTION("""COMPUTED_VALUE"""),"Duarte")</f>
        <v>Duarte</v>
      </c>
      <c r="E574" t="str">
        <f>IFERROR(__xludf.DUMMYFUNCTION("""COMPUTED_VALUE"""),"Thomas")</f>
        <v>Thomas</v>
      </c>
      <c r="F574">
        <f>IFERROR(__xludf.DUMMYFUNCTION("""COMPUTED_VALUE"""),9.45)</f>
        <v>9.45</v>
      </c>
    </row>
    <row r="575">
      <c r="D575" t="str">
        <f>IFERROR(__xludf.DUMMYFUNCTION("""COMPUTED_VALUE"""),"Dubose")</f>
        <v>Dubose</v>
      </c>
      <c r="E575" t="str">
        <f>IFERROR(__xludf.DUMMYFUNCTION("""COMPUTED_VALUE"""),"BJ")</f>
        <v>BJ</v>
      </c>
      <c r="F575">
        <f>IFERROR(__xludf.DUMMYFUNCTION("""COMPUTED_VALUE"""),9.45)</f>
        <v>9.45</v>
      </c>
    </row>
    <row r="576">
      <c r="D576" t="str">
        <f>IFERROR(__xludf.DUMMYFUNCTION("""COMPUTED_VALUE"""),"Ducasse")</f>
        <v>Ducasse</v>
      </c>
      <c r="E576" t="str">
        <f>IFERROR(__xludf.DUMMYFUNCTION("""COMPUTED_VALUE"""),"Vladimir")</f>
        <v>Vladimir</v>
      </c>
      <c r="F576">
        <f>IFERROR(__xludf.DUMMYFUNCTION("""COMPUTED_VALUE"""),11.1)</f>
        <v>11.1</v>
      </c>
    </row>
    <row r="577">
      <c r="D577" t="str">
        <f>IFERROR(__xludf.DUMMYFUNCTION("""COMPUTED_VALUE"""),"Dumervil")</f>
        <v>Dumervil</v>
      </c>
      <c r="E577" t="str">
        <f>IFERROR(__xludf.DUMMYFUNCTION("""COMPUTED_VALUE"""),"Elvis")</f>
        <v>Elvis</v>
      </c>
      <c r="F577">
        <f>IFERROR(__xludf.DUMMYFUNCTION("""COMPUTED_VALUE"""),13.049999999999999)</f>
        <v>13.05</v>
      </c>
    </row>
    <row r="578">
      <c r="D578" t="str">
        <f>IFERROR(__xludf.DUMMYFUNCTION("""COMPUTED_VALUE"""),"Dunbar")</f>
        <v>Dunbar</v>
      </c>
      <c r="E578" t="str">
        <f>IFERROR(__xludf.DUMMYFUNCTION("""COMPUTED_VALUE"""),"Lance")</f>
        <v>Lance</v>
      </c>
      <c r="F578">
        <f>IFERROR(__xludf.DUMMYFUNCTION("""COMPUTED_VALUE"""),11.4)</f>
        <v>11.4</v>
      </c>
    </row>
    <row r="579">
      <c r="D579" t="str">
        <f>IFERROR(__xludf.DUMMYFUNCTION("""COMPUTED_VALUE"""),"Dunbar")</f>
        <v>Dunbar</v>
      </c>
      <c r="E579" t="str">
        <f>IFERROR(__xludf.DUMMYFUNCTION("""COMPUTED_VALUE"""),"Quinton")</f>
        <v>Quinton</v>
      </c>
      <c r="F579">
        <f>IFERROR(__xludf.DUMMYFUNCTION("""COMPUTED_VALUE"""),10.799999999999999)</f>
        <v>10.8</v>
      </c>
    </row>
    <row r="580">
      <c r="D580" t="str">
        <f>IFERROR(__xludf.DUMMYFUNCTION("""COMPUTED_VALUE"""),"Dunlap")</f>
        <v>Dunlap</v>
      </c>
      <c r="E580" t="str">
        <f>IFERROR(__xludf.DUMMYFUNCTION("""COMPUTED_VALUE"""),"Carlos")</f>
        <v>Carlos</v>
      </c>
      <c r="F580">
        <f>IFERROR(__xludf.DUMMYFUNCTION("""COMPUTED_VALUE"""),13.049999999999999)</f>
        <v>13.05</v>
      </c>
    </row>
    <row r="581">
      <c r="D581" t="str">
        <f>IFERROR(__xludf.DUMMYFUNCTION("""COMPUTED_VALUE"""),"Dunlap")</f>
        <v>Dunlap</v>
      </c>
      <c r="E581" t="str">
        <f>IFERROR(__xludf.DUMMYFUNCTION("""COMPUTED_VALUE"""),"King")</f>
        <v>King</v>
      </c>
      <c r="F581">
        <f>IFERROR(__xludf.DUMMYFUNCTION("""COMPUTED_VALUE"""),12.299999999999999)</f>
        <v>12.3</v>
      </c>
    </row>
    <row r="582">
      <c r="D582" t="str">
        <f>IFERROR(__xludf.DUMMYFUNCTION("""COMPUTED_VALUE"""),"Dunn")</f>
        <v>Dunn</v>
      </c>
      <c r="E582" t="str">
        <f>IFERROR(__xludf.DUMMYFUNCTION("""COMPUTED_VALUE"""),"Brandon")</f>
        <v>Brandon</v>
      </c>
      <c r="F582">
        <f>IFERROR(__xludf.DUMMYFUNCTION("""COMPUTED_VALUE"""),10.2)</f>
        <v>10.2</v>
      </c>
    </row>
    <row r="583">
      <c r="D583" t="str">
        <f>IFERROR(__xludf.DUMMYFUNCTION("""COMPUTED_VALUE"""),"Dupree")</f>
        <v>Dupree</v>
      </c>
      <c r="E583" t="str">
        <f>IFERROR(__xludf.DUMMYFUNCTION("""COMPUTED_VALUE"""),"Bud")</f>
        <v>Bud</v>
      </c>
      <c r="F583">
        <f>IFERROR(__xludf.DUMMYFUNCTION("""COMPUTED_VALUE"""),10.5)</f>
        <v>10.5</v>
      </c>
    </row>
    <row r="584">
      <c r="D584" t="str">
        <f>IFERROR(__xludf.DUMMYFUNCTION("""COMPUTED_VALUE"""),"Durant")</f>
        <v>Durant</v>
      </c>
      <c r="E584" t="str">
        <f>IFERROR(__xludf.DUMMYFUNCTION("""COMPUTED_VALUE"""),"Justin")</f>
        <v>Justin</v>
      </c>
      <c r="F584">
        <f>IFERROR(__xludf.DUMMYFUNCTION("""COMPUTED_VALUE"""),11.549999999999999)</f>
        <v>11.55</v>
      </c>
    </row>
    <row r="585">
      <c r="D585" t="str">
        <f>IFERROR(__xludf.DUMMYFUNCTION("""COMPUTED_VALUE"""),"Durden")</f>
        <v>Durden</v>
      </c>
      <c r="E585" t="str">
        <f>IFERROR(__xludf.DUMMYFUNCTION("""COMPUTED_VALUE"""),"Kenneth")</f>
        <v>Kenneth</v>
      </c>
      <c r="F585">
        <f>IFERROR(__xludf.DUMMYFUNCTION("""COMPUTED_VALUE"""),9.15)</f>
        <v>9.15</v>
      </c>
    </row>
    <row r="586">
      <c r="D586" t="str">
        <f>IFERROR(__xludf.DUMMYFUNCTION("""COMPUTED_VALUE"""),"Duvernay-Tardif")</f>
        <v>Duvernay-Tardif</v>
      </c>
      <c r="E586" t="str">
        <f>IFERROR(__xludf.DUMMYFUNCTION("""COMPUTED_VALUE"""),"Laurent")</f>
        <v>Laurent</v>
      </c>
      <c r="F586">
        <f>IFERROR(__xludf.DUMMYFUNCTION("""COMPUTED_VALUE"""),10.95)</f>
        <v>10.95</v>
      </c>
    </row>
    <row r="587">
      <c r="D587" t="str">
        <f>IFERROR(__xludf.DUMMYFUNCTION("""COMPUTED_VALUE"""),"Dye Jr.")</f>
        <v>Dye Jr.</v>
      </c>
      <c r="E587" t="str">
        <f>IFERROR(__xludf.DUMMYFUNCTION("""COMPUTED_VALUE"""),"Donteea")</f>
        <v>Donteea</v>
      </c>
      <c r="F587">
        <f>IFERROR(__xludf.DUMMYFUNCTION("""COMPUTED_VALUE"""),9.6)</f>
        <v>9.6</v>
      </c>
    </row>
    <row r="588">
      <c r="D588" t="str">
        <f>IFERROR(__xludf.DUMMYFUNCTION("""COMPUTED_VALUE"""),"Dysert")</f>
        <v>Dysert</v>
      </c>
      <c r="E588" t="str">
        <f>IFERROR(__xludf.DUMMYFUNCTION("""COMPUTED_VALUE"""),"Zac")</f>
        <v>Zac</v>
      </c>
      <c r="F588">
        <f>IFERROR(__xludf.DUMMYFUNCTION("""COMPUTED_VALUE"""),9.15)</f>
        <v>9.15</v>
      </c>
    </row>
    <row r="589">
      <c r="D589" t="str">
        <f>IFERROR(__xludf.DUMMYFUNCTION("""COMPUTED_VALUE"""),"Dzubnar")</f>
        <v>Dzubnar</v>
      </c>
      <c r="E589" t="str">
        <f>IFERROR(__xludf.DUMMYFUNCTION("""COMPUTED_VALUE"""),"Nick")</f>
        <v>Nick</v>
      </c>
      <c r="F589">
        <f>IFERROR(__xludf.DUMMYFUNCTION("""COMPUTED_VALUE"""),9.299999999999999)</f>
        <v>9.3</v>
      </c>
    </row>
    <row r="590">
      <c r="D590" t="str">
        <f>IFERROR(__xludf.DUMMYFUNCTION("""COMPUTED_VALUE"""),"Ealy")</f>
        <v>Ealy</v>
      </c>
      <c r="E590" t="str">
        <f>IFERROR(__xludf.DUMMYFUNCTION("""COMPUTED_VALUE"""),"Kony")</f>
        <v>Kony</v>
      </c>
      <c r="F590">
        <f>IFERROR(__xludf.DUMMYFUNCTION("""COMPUTED_VALUE"""),11.85)</f>
        <v>11.85</v>
      </c>
    </row>
    <row r="591">
      <c r="D591" t="str">
        <f>IFERROR(__xludf.DUMMYFUNCTION("""COMPUTED_VALUE"""),"Easley")</f>
        <v>Easley</v>
      </c>
      <c r="E591" t="str">
        <f>IFERROR(__xludf.DUMMYFUNCTION("""COMPUTED_VALUE"""),"Dominique")</f>
        <v>Dominique</v>
      </c>
      <c r="F591">
        <f>IFERROR(__xludf.DUMMYFUNCTION("""COMPUTED_VALUE"""),11.1)</f>
        <v>11.1</v>
      </c>
    </row>
    <row r="592">
      <c r="D592" t="str">
        <f>IFERROR(__xludf.DUMMYFUNCTION("""COMPUTED_VALUE"""),"Easley")</f>
        <v>Easley</v>
      </c>
      <c r="E592" t="str">
        <f>IFERROR(__xludf.DUMMYFUNCTION("""COMPUTED_VALUE"""),"Marcus")</f>
        <v>Marcus</v>
      </c>
      <c r="F592">
        <f>IFERROR(__xludf.DUMMYFUNCTION("""COMPUTED_VALUE"""),10.049999999999999)</f>
        <v>10.05</v>
      </c>
    </row>
    <row r="593">
      <c r="D593" t="str">
        <f>IFERROR(__xludf.DUMMYFUNCTION("""COMPUTED_VALUE"""),"Easton")</f>
        <v>Easton</v>
      </c>
      <c r="E593" t="str">
        <f>IFERROR(__xludf.DUMMYFUNCTION("""COMPUTED_VALUE"""),"Nick")</f>
        <v>Nick</v>
      </c>
      <c r="F593">
        <f>IFERROR(__xludf.DUMMYFUNCTION("""COMPUTED_VALUE"""),9.0)</f>
        <v>9</v>
      </c>
    </row>
    <row r="594">
      <c r="D594" t="str">
        <f>IFERROR(__xludf.DUMMYFUNCTION("""COMPUTED_VALUE"""),"Ebner")</f>
        <v>Ebner</v>
      </c>
      <c r="E594" t="str">
        <f>IFERROR(__xludf.DUMMYFUNCTION("""COMPUTED_VALUE"""),"Nate")</f>
        <v>Nate</v>
      </c>
      <c r="F594">
        <f>IFERROR(__xludf.DUMMYFUNCTION("""COMPUTED_VALUE"""),9.75)</f>
        <v>9.75</v>
      </c>
    </row>
    <row r="595">
      <c r="D595" t="str">
        <f>IFERROR(__xludf.DUMMYFUNCTION("""COMPUTED_VALUE"""),"Ebron")</f>
        <v>Ebron</v>
      </c>
      <c r="E595" t="str">
        <f>IFERROR(__xludf.DUMMYFUNCTION("""COMPUTED_VALUE"""),"Eric")</f>
        <v>Eric</v>
      </c>
      <c r="F595">
        <f>IFERROR(__xludf.DUMMYFUNCTION("""COMPUTED_VALUE"""),11.4)</f>
        <v>11.4</v>
      </c>
    </row>
    <row r="596">
      <c r="D596" t="str">
        <f>IFERROR(__xludf.DUMMYFUNCTION("""COMPUTED_VALUE"""),"Edebali")</f>
        <v>Edebali</v>
      </c>
      <c r="E596" t="str">
        <f>IFERROR(__xludf.DUMMYFUNCTION("""COMPUTED_VALUE"""),"Kasim")</f>
        <v>Kasim</v>
      </c>
      <c r="F596">
        <f>IFERROR(__xludf.DUMMYFUNCTION("""COMPUTED_VALUE"""),10.049999999999999)</f>
        <v>10.05</v>
      </c>
    </row>
    <row r="597">
      <c r="D597" t="str">
        <f>IFERROR(__xludf.DUMMYFUNCTION("""COMPUTED_VALUE"""),"Edelman")</f>
        <v>Edelman</v>
      </c>
      <c r="E597" t="str">
        <f>IFERROR(__xludf.DUMMYFUNCTION("""COMPUTED_VALUE"""),"Julian")</f>
        <v>Julian</v>
      </c>
      <c r="F597">
        <f>IFERROR(__xludf.DUMMYFUNCTION("""COMPUTED_VALUE"""),13.35)</f>
        <v>13.35</v>
      </c>
    </row>
    <row r="598">
      <c r="D598" t="str">
        <f>IFERROR(__xludf.DUMMYFUNCTION("""COMPUTED_VALUE"""),"Edwards")</f>
        <v>Edwards</v>
      </c>
      <c r="E598" t="str">
        <f>IFERROR(__xludf.DUMMYFUNCTION("""COMPUTED_VALUE"""),"Chris")</f>
        <v>Chris</v>
      </c>
      <c r="F598">
        <f>IFERROR(__xludf.DUMMYFUNCTION("""COMPUTED_VALUE"""),9.15)</f>
        <v>9.15</v>
      </c>
    </row>
    <row r="599">
      <c r="D599" t="str">
        <f>IFERROR(__xludf.DUMMYFUNCTION("""COMPUTED_VALUE"""),"Edwards")</f>
        <v>Edwards</v>
      </c>
      <c r="E599" t="str">
        <f>IFERROR(__xludf.DUMMYFUNCTION("""COMPUTED_VALUE"""),"Kadeem")</f>
        <v>Kadeem</v>
      </c>
      <c r="F599">
        <f>IFERROR(__xludf.DUMMYFUNCTION("""COMPUTED_VALUE"""),9.6)</f>
        <v>9.6</v>
      </c>
    </row>
    <row r="600">
      <c r="D600" t="str">
        <f>IFERROR(__xludf.DUMMYFUNCTION("""COMPUTED_VALUE"""),"Edwards")</f>
        <v>Edwards</v>
      </c>
      <c r="E600" t="str">
        <f>IFERROR(__xludf.DUMMYFUNCTION("""COMPUTED_VALUE"""),"Lachlan")</f>
        <v>Lachlan</v>
      </c>
      <c r="F600">
        <f>IFERROR(__xludf.DUMMYFUNCTION("""COMPUTED_VALUE"""),10.799999999999999)</f>
        <v>10.8</v>
      </c>
    </row>
    <row r="601">
      <c r="D601" t="str">
        <f>IFERROR(__xludf.DUMMYFUNCTION("""COMPUTED_VALUE"""),"Edwards")</f>
        <v>Edwards</v>
      </c>
      <c r="E601" t="str">
        <f>IFERROR(__xludf.DUMMYFUNCTION("""COMPUTED_VALUE"""),"Lavar")</f>
        <v>Lavar</v>
      </c>
      <c r="F601">
        <f>IFERROR(__xludf.DUMMYFUNCTION("""COMPUTED_VALUE"""),9.9)</f>
        <v>9.9</v>
      </c>
    </row>
    <row r="602">
      <c r="D602" t="str">
        <f>IFERROR(__xludf.DUMMYFUNCTION("""COMPUTED_VALUE"""),"Edwards Jr.")</f>
        <v>Edwards Jr.</v>
      </c>
      <c r="E602" t="str">
        <f>IFERROR(__xludf.DUMMYFUNCTION("""COMPUTED_VALUE"""),"Mario")</f>
        <v>Mario</v>
      </c>
      <c r="F602">
        <f>IFERROR(__xludf.DUMMYFUNCTION("""COMPUTED_VALUE"""),11.7)</f>
        <v>11.7</v>
      </c>
    </row>
    <row r="603">
      <c r="D603" t="str">
        <f>IFERROR(__xludf.DUMMYFUNCTION("""COMPUTED_VALUE"""),"Ehinger")</f>
        <v>Ehinger</v>
      </c>
      <c r="E603" t="str">
        <f>IFERROR(__xludf.DUMMYFUNCTION("""COMPUTED_VALUE"""),"Parker")</f>
        <v>Parker</v>
      </c>
      <c r="F603">
        <f>IFERROR(__xludf.DUMMYFUNCTION("""COMPUTED_VALUE"""),9.9)</f>
        <v>9.9</v>
      </c>
    </row>
    <row r="604">
      <c r="D604" t="str">
        <f>IFERROR(__xludf.DUMMYFUNCTION("""COMPUTED_VALUE"""),"Eifert")</f>
        <v>Eifert</v>
      </c>
      <c r="E604" t="str">
        <f>IFERROR(__xludf.DUMMYFUNCTION("""COMPUTED_VALUE"""),"Tyler")</f>
        <v>Tyler</v>
      </c>
      <c r="F604">
        <f>IFERROR(__xludf.DUMMYFUNCTION("""COMPUTED_VALUE"""),13.5)</f>
        <v>13.5</v>
      </c>
    </row>
    <row r="605">
      <c r="D605" t="str">
        <f>IFERROR(__xludf.DUMMYFUNCTION("""COMPUTED_VALUE"""),"Ekpre-Olomu")</f>
        <v>Ekpre-Olomu</v>
      </c>
      <c r="E605" t="str">
        <f>IFERROR(__xludf.DUMMYFUNCTION("""COMPUTED_VALUE"""),"Ifo")</f>
        <v>Ifo</v>
      </c>
      <c r="F605">
        <f>IFERROR(__xludf.DUMMYFUNCTION("""COMPUTED_VALUE"""),10.049999999999999)</f>
        <v>10.05</v>
      </c>
    </row>
    <row r="606">
      <c r="D606" t="str">
        <f>IFERROR(__xludf.DUMMYFUNCTION("""COMPUTED_VALUE"""),"Elam")</f>
        <v>Elam</v>
      </c>
      <c r="E606" t="str">
        <f>IFERROR(__xludf.DUMMYFUNCTION("""COMPUTED_VALUE"""),"Matt")</f>
        <v>Matt</v>
      </c>
      <c r="F606">
        <f>IFERROR(__xludf.DUMMYFUNCTION("""COMPUTED_VALUE"""),10.35)</f>
        <v>10.35</v>
      </c>
    </row>
    <row r="607">
      <c r="D607" t="str">
        <f>IFERROR(__xludf.DUMMYFUNCTION("""COMPUTED_VALUE"""),"Ellerbe")</f>
        <v>Ellerbe</v>
      </c>
      <c r="E607" t="str">
        <f>IFERROR(__xludf.DUMMYFUNCTION("""COMPUTED_VALUE"""),"Dannell")</f>
        <v>Dannell</v>
      </c>
      <c r="F607">
        <f>IFERROR(__xludf.DUMMYFUNCTION("""COMPUTED_VALUE"""),11.549999999999999)</f>
        <v>11.55</v>
      </c>
    </row>
    <row r="608">
      <c r="D608" t="str">
        <f>IFERROR(__xludf.DUMMYFUNCTION("""COMPUTED_VALUE"""),"Ellington")</f>
        <v>Ellington</v>
      </c>
      <c r="E608" t="str">
        <f>IFERROR(__xludf.DUMMYFUNCTION("""COMPUTED_VALUE"""),"Andre")</f>
        <v>Andre</v>
      </c>
      <c r="F608">
        <f>IFERROR(__xludf.DUMMYFUNCTION("""COMPUTED_VALUE"""),11.7)</f>
        <v>11.7</v>
      </c>
    </row>
    <row r="609">
      <c r="D609" t="str">
        <f>IFERROR(__xludf.DUMMYFUNCTION("""COMPUTED_VALUE"""),"Ellington")</f>
        <v>Ellington</v>
      </c>
      <c r="E609" t="str">
        <f>IFERROR(__xludf.DUMMYFUNCTION("""COMPUTED_VALUE"""),"Bruce")</f>
        <v>Bruce</v>
      </c>
      <c r="F609">
        <f>IFERROR(__xludf.DUMMYFUNCTION("""COMPUTED_VALUE"""),10.35)</f>
        <v>10.35</v>
      </c>
    </row>
    <row r="610">
      <c r="D610" t="str">
        <f>IFERROR(__xludf.DUMMYFUNCTION("""COMPUTED_VALUE"""),"Elliott")</f>
        <v>Elliott</v>
      </c>
      <c r="E610" t="str">
        <f>IFERROR(__xludf.DUMMYFUNCTION("""COMPUTED_VALUE"""),"DeAndre")</f>
        <v>DeAndre</v>
      </c>
      <c r="F610">
        <f>IFERROR(__xludf.DUMMYFUNCTION("""COMPUTED_VALUE"""),9.15)</f>
        <v>9.15</v>
      </c>
    </row>
    <row r="611">
      <c r="D611" t="str">
        <f>IFERROR(__xludf.DUMMYFUNCTION("""COMPUTED_VALUE"""),"Elliott")</f>
        <v>Elliott</v>
      </c>
      <c r="E611" t="str">
        <f>IFERROR(__xludf.DUMMYFUNCTION("""COMPUTED_VALUE"""),"Ezekiel")</f>
        <v>Ezekiel</v>
      </c>
      <c r="F611">
        <f>IFERROR(__xludf.DUMMYFUNCTION("""COMPUTED_VALUE"""),12.0)</f>
        <v>12</v>
      </c>
    </row>
    <row r="612">
      <c r="D612" t="str">
        <f>IFERROR(__xludf.DUMMYFUNCTION("""COMPUTED_VALUE"""),"Elliott")</f>
        <v>Elliott</v>
      </c>
      <c r="E612" t="str">
        <f>IFERROR(__xludf.DUMMYFUNCTION("""COMPUTED_VALUE"""),"Jayrone")</f>
        <v>Jayrone</v>
      </c>
      <c r="F612">
        <f>IFERROR(__xludf.DUMMYFUNCTION("""COMPUTED_VALUE"""),10.2)</f>
        <v>10.2</v>
      </c>
    </row>
    <row r="613">
      <c r="D613" t="str">
        <f>IFERROR(__xludf.DUMMYFUNCTION("""COMPUTED_VALUE"""),"Ellis")</f>
        <v>Ellis</v>
      </c>
      <c r="E613" t="str">
        <f>IFERROR(__xludf.DUMMYFUNCTION("""COMPUTED_VALUE"""),"Justin")</f>
        <v>Justin</v>
      </c>
      <c r="F613">
        <f>IFERROR(__xludf.DUMMYFUNCTION("""COMPUTED_VALUE"""),10.65)</f>
        <v>10.65</v>
      </c>
    </row>
    <row r="614">
      <c r="D614" t="str">
        <f>IFERROR(__xludf.DUMMYFUNCTION("""COMPUTED_VALUE"""),"Ellis")</f>
        <v>Ellis</v>
      </c>
      <c r="E614" t="str">
        <f>IFERROR(__xludf.DUMMYFUNCTION("""COMPUTED_VALUE"""),"Kenrick")</f>
        <v>Kenrick</v>
      </c>
      <c r="F614">
        <f>IFERROR(__xludf.DUMMYFUNCTION("""COMPUTED_VALUE"""),10.65)</f>
        <v>10.65</v>
      </c>
    </row>
    <row r="615">
      <c r="D615" t="str">
        <f>IFERROR(__xludf.DUMMYFUNCTION("""COMPUTED_VALUE"""),"Ellison")</f>
        <v>Ellison</v>
      </c>
      <c r="E615" t="str">
        <f>IFERROR(__xludf.DUMMYFUNCTION("""COMPUTED_VALUE"""),"Rhett")</f>
        <v>Rhett</v>
      </c>
      <c r="F615">
        <f>IFERROR(__xludf.DUMMYFUNCTION("""COMPUTED_VALUE"""),10.799999999999999)</f>
        <v>10.8</v>
      </c>
    </row>
    <row r="616">
      <c r="D616" t="str">
        <f>IFERROR(__xludf.DUMMYFUNCTION("""COMPUTED_VALUE"""),"Elston")</f>
        <v>Elston</v>
      </c>
      <c r="E616" t="str">
        <f>IFERROR(__xludf.DUMMYFUNCTION("""COMPUTED_VALUE"""),"Trae")</f>
        <v>Trae</v>
      </c>
      <c r="F616">
        <f>IFERROR(__xludf.DUMMYFUNCTION("""COMPUTED_VALUE"""),8.85)</f>
        <v>8.85</v>
      </c>
    </row>
    <row r="617">
      <c r="D617" t="str">
        <f>IFERROR(__xludf.DUMMYFUNCTION("""COMPUTED_VALUE"""),"Emanuel")</f>
        <v>Emanuel</v>
      </c>
      <c r="E617" t="str">
        <f>IFERROR(__xludf.DUMMYFUNCTION("""COMPUTED_VALUE"""),"Kyle")</f>
        <v>Kyle</v>
      </c>
      <c r="F617">
        <f>IFERROR(__xludf.DUMMYFUNCTION("""COMPUTED_VALUE"""),10.35)</f>
        <v>10.35</v>
      </c>
    </row>
    <row r="618">
      <c r="D618" t="str">
        <f>IFERROR(__xludf.DUMMYFUNCTION("""COMPUTED_VALUE"""),"Enemkpali")</f>
        <v>Enemkpali</v>
      </c>
      <c r="E618" t="str">
        <f>IFERROR(__xludf.DUMMYFUNCTION("""COMPUTED_VALUE"""),"IK")</f>
        <v>IK</v>
      </c>
      <c r="F618">
        <f>IFERROR(__xludf.DUMMYFUNCTION("""COMPUTED_VALUE"""),9.9)</f>
        <v>9.9</v>
      </c>
    </row>
    <row r="619">
      <c r="D619" t="str">
        <f>IFERROR(__xludf.DUMMYFUNCTION("""COMPUTED_VALUE"""),"Enunwa")</f>
        <v>Enunwa</v>
      </c>
      <c r="E619" t="str">
        <f>IFERROR(__xludf.DUMMYFUNCTION("""COMPUTED_VALUE"""),"Quincy")</f>
        <v>Quincy</v>
      </c>
      <c r="F619">
        <f>IFERROR(__xludf.DUMMYFUNCTION("""COMPUTED_VALUE"""),9.45)</f>
        <v>9.45</v>
      </c>
    </row>
    <row r="620">
      <c r="D620" t="str">
        <f>IFERROR(__xludf.DUMMYFUNCTION("""COMPUTED_VALUE"""),"Epps")</f>
        <v>Epps</v>
      </c>
      <c r="E620" t="str">
        <f>IFERROR(__xludf.DUMMYFUNCTION("""COMPUTED_VALUE"""),"Aaron")</f>
        <v>Aaron</v>
      </c>
      <c r="F620">
        <f>IFERROR(__xludf.DUMMYFUNCTION("""COMPUTED_VALUE"""),9.299999999999999)</f>
        <v>9.3</v>
      </c>
    </row>
    <row r="621">
      <c r="D621" t="str">
        <f>IFERROR(__xludf.DUMMYFUNCTION("""COMPUTED_VALUE"""),"Ertz")</f>
        <v>Ertz</v>
      </c>
      <c r="E621" t="str">
        <f>IFERROR(__xludf.DUMMYFUNCTION("""COMPUTED_VALUE"""),"Zach")</f>
        <v>Zach</v>
      </c>
      <c r="F621">
        <f>IFERROR(__xludf.DUMMYFUNCTION("""COMPUTED_VALUE"""),13.049999999999999)</f>
        <v>13.05</v>
      </c>
    </row>
    <row r="622">
      <c r="D622" t="str">
        <f>IFERROR(__xludf.DUMMYFUNCTION("""COMPUTED_VALUE"""),"Ervin")</f>
        <v>Ervin</v>
      </c>
      <c r="E622" t="str">
        <f>IFERROR(__xludf.DUMMYFUNCTION("""COMPUTED_VALUE"""),"Tyler")</f>
        <v>Tyler</v>
      </c>
      <c r="F622">
        <f>IFERROR(__xludf.DUMMYFUNCTION("""COMPUTED_VALUE"""),10.049999999999999)</f>
        <v>10.05</v>
      </c>
    </row>
    <row r="623">
      <c r="D623" t="str">
        <f>IFERROR(__xludf.DUMMYFUNCTION("""COMPUTED_VALUE"""),"Erving")</f>
        <v>Erving</v>
      </c>
      <c r="E623" t="str">
        <f>IFERROR(__xludf.DUMMYFUNCTION("""COMPUTED_VALUE"""),"Cameron")</f>
        <v>Cameron</v>
      </c>
      <c r="F623">
        <f>IFERROR(__xludf.DUMMYFUNCTION("""COMPUTED_VALUE"""),10.2)</f>
        <v>10.2</v>
      </c>
    </row>
    <row r="624">
      <c r="D624" t="str">
        <f>IFERROR(__xludf.DUMMYFUNCTION("""COMPUTED_VALUE"""),"Escobar")</f>
        <v>Escobar</v>
      </c>
      <c r="E624" t="str">
        <f>IFERROR(__xludf.DUMMYFUNCTION("""COMPUTED_VALUE"""),"Gavin")</f>
        <v>Gavin</v>
      </c>
      <c r="F624">
        <f>IFERROR(__xludf.DUMMYFUNCTION("""COMPUTED_VALUE"""),11.1)</f>
        <v>11.1</v>
      </c>
    </row>
    <row r="625">
      <c r="D625" t="str">
        <f>IFERROR(__xludf.DUMMYFUNCTION("""COMPUTED_VALUE"""),"Eulls")</f>
        <v>Eulls</v>
      </c>
      <c r="E625" t="str">
        <f>IFERROR(__xludf.DUMMYFUNCTION("""COMPUTED_VALUE"""),"Kaleb")</f>
        <v>Kaleb</v>
      </c>
      <c r="F625">
        <f>IFERROR(__xludf.DUMMYFUNCTION("""COMPUTED_VALUE"""),9.299999999999999)</f>
        <v>9.3</v>
      </c>
    </row>
    <row r="626">
      <c r="D626" t="str">
        <f>IFERROR(__xludf.DUMMYFUNCTION("""COMPUTED_VALUE"""),"Evans")</f>
        <v>Evans</v>
      </c>
      <c r="E626" t="str">
        <f>IFERROR(__xludf.DUMMYFUNCTION("""COMPUTED_VALUE"""),"Josh")</f>
        <v>Josh</v>
      </c>
      <c r="F626">
        <f>IFERROR(__xludf.DUMMYFUNCTION("""COMPUTED_VALUE"""),10.65)</f>
        <v>10.65</v>
      </c>
    </row>
    <row r="627">
      <c r="D627" t="str">
        <f>IFERROR(__xludf.DUMMYFUNCTION("""COMPUTED_VALUE"""),"Evans")</f>
        <v>Evans</v>
      </c>
      <c r="E627" t="str">
        <f>IFERROR(__xludf.DUMMYFUNCTION("""COMPUTED_VALUE"""),"Marwin")</f>
        <v>Marwin</v>
      </c>
      <c r="F627">
        <f>IFERROR(__xludf.DUMMYFUNCTION("""COMPUTED_VALUE"""),9.45)</f>
        <v>9.45</v>
      </c>
    </row>
    <row r="628">
      <c r="D628" t="str">
        <f>IFERROR(__xludf.DUMMYFUNCTION("""COMPUTED_VALUE"""),"Evans")</f>
        <v>Evans</v>
      </c>
      <c r="E628" t="str">
        <f>IFERROR(__xludf.DUMMYFUNCTION("""COMPUTED_VALUE"""),"Mike")</f>
        <v>Mike</v>
      </c>
      <c r="F628">
        <f>IFERROR(__xludf.DUMMYFUNCTION("""COMPUTED_VALUE"""),12.9)</f>
        <v>12.9</v>
      </c>
    </row>
    <row r="629">
      <c r="D629" t="str">
        <f>IFERROR(__xludf.DUMMYFUNCTION("""COMPUTED_VALUE"""),"Evans")</f>
        <v>Evans</v>
      </c>
      <c r="E629" t="str">
        <f>IFERROR(__xludf.DUMMYFUNCTION("""COMPUTED_VALUE"""),"Randall")</f>
        <v>Randall</v>
      </c>
      <c r="F629">
        <f>IFERROR(__xludf.DUMMYFUNCTION("""COMPUTED_VALUE"""),10.2)</f>
        <v>10.2</v>
      </c>
    </row>
    <row r="630">
      <c r="D630" t="str">
        <f>IFERROR(__xludf.DUMMYFUNCTION("""COMPUTED_VALUE"""),"Evans")</f>
        <v>Evans</v>
      </c>
      <c r="E630" t="str">
        <f>IFERROR(__xludf.DUMMYFUNCTION("""COMPUTED_VALUE"""),"Shaq")</f>
        <v>Shaq</v>
      </c>
      <c r="F630">
        <f>IFERROR(__xludf.DUMMYFUNCTION("""COMPUTED_VALUE"""),9.45)</f>
        <v>9.45</v>
      </c>
    </row>
    <row r="631">
      <c r="D631" t="str">
        <f>IFERROR(__xludf.DUMMYFUNCTION("""COMPUTED_VALUE"""),"Everett")</f>
        <v>Everett</v>
      </c>
      <c r="E631" t="str">
        <f>IFERROR(__xludf.DUMMYFUNCTION("""COMPUTED_VALUE"""),"Deshazor")</f>
        <v>Deshazor</v>
      </c>
      <c r="F631">
        <f>IFERROR(__xludf.DUMMYFUNCTION("""COMPUTED_VALUE"""),9.9)</f>
        <v>9.9</v>
      </c>
    </row>
    <row r="632">
      <c r="D632" t="str">
        <f>IFERROR(__xludf.DUMMYFUNCTION("""COMPUTED_VALUE"""),"Exum Jr.")</f>
        <v>Exum Jr.</v>
      </c>
      <c r="E632" t="str">
        <f>IFERROR(__xludf.DUMMYFUNCTION("""COMPUTED_VALUE"""),"Antone")</f>
        <v>Antone</v>
      </c>
      <c r="F632">
        <f>IFERROR(__xludf.DUMMYFUNCTION("""COMPUTED_VALUE"""),10.799999999999999)</f>
        <v>10.8</v>
      </c>
    </row>
    <row r="633">
      <c r="D633" t="str">
        <f>IFERROR(__xludf.DUMMYFUNCTION("""COMPUTED_VALUE"""),"Fackrell")</f>
        <v>Fackrell</v>
      </c>
      <c r="E633" t="str">
        <f>IFERROR(__xludf.DUMMYFUNCTION("""COMPUTED_VALUE"""),"Kyler")</f>
        <v>Kyler</v>
      </c>
      <c r="F633">
        <f>IFERROR(__xludf.DUMMYFUNCTION("""COMPUTED_VALUE"""),10.2)</f>
        <v>10.2</v>
      </c>
    </row>
    <row r="634">
      <c r="D634" t="str">
        <f>IFERROR(__xludf.DUMMYFUNCTION("""COMPUTED_VALUE"""),"Fairbairn")</f>
        <v>Fairbairn</v>
      </c>
      <c r="E634" t="str">
        <f>IFERROR(__xludf.DUMMYFUNCTION("""COMPUTED_VALUE"""),"Kaimi")</f>
        <v>Kaimi</v>
      </c>
      <c r="F634">
        <f>IFERROR(__xludf.DUMMYFUNCTION("""COMPUTED_VALUE"""),10.65)</f>
        <v>10.65</v>
      </c>
    </row>
    <row r="635">
      <c r="D635" t="str">
        <f>IFERROR(__xludf.DUMMYFUNCTION("""COMPUTED_VALUE"""),"Fairley")</f>
        <v>Fairley</v>
      </c>
      <c r="E635" t="str">
        <f>IFERROR(__xludf.DUMMYFUNCTION("""COMPUTED_VALUE"""),"Nick")</f>
        <v>Nick</v>
      </c>
      <c r="F635">
        <f>IFERROR(__xludf.DUMMYFUNCTION("""COMPUTED_VALUE"""),11.85)</f>
        <v>11.85</v>
      </c>
    </row>
    <row r="636">
      <c r="D636" t="str">
        <f>IFERROR(__xludf.DUMMYFUNCTION("""COMPUTED_VALUE"""),"Fales")</f>
        <v>Fales</v>
      </c>
      <c r="E636" t="str">
        <f>IFERROR(__xludf.DUMMYFUNCTION("""COMPUTED_VALUE"""),"David")</f>
        <v>David</v>
      </c>
      <c r="F636">
        <f>IFERROR(__xludf.DUMMYFUNCTION("""COMPUTED_VALUE"""),9.45)</f>
        <v>9.45</v>
      </c>
    </row>
    <row r="637">
      <c r="D637" t="str">
        <f>IFERROR(__xludf.DUMMYFUNCTION("""COMPUTED_VALUE"""),"Fallin")</f>
        <v>Fallin</v>
      </c>
      <c r="E637" t="str">
        <f>IFERROR(__xludf.DUMMYFUNCTION("""COMPUTED_VALUE"""),"Taylor")</f>
        <v>Taylor</v>
      </c>
      <c r="F637">
        <f>IFERROR(__xludf.DUMMYFUNCTION("""COMPUTED_VALUE"""),8.7)</f>
        <v>8.7</v>
      </c>
    </row>
    <row r="638">
      <c r="D638" t="str">
        <f>IFERROR(__xludf.DUMMYFUNCTION("""COMPUTED_VALUE"""),"Fanaika")</f>
        <v>Fanaika</v>
      </c>
      <c r="E638" t="str">
        <f>IFERROR(__xludf.DUMMYFUNCTION("""COMPUTED_VALUE"""),"Jason")</f>
        <v>Jason</v>
      </c>
      <c r="F638">
        <f>IFERROR(__xludf.DUMMYFUNCTION("""COMPUTED_VALUE"""),9.0)</f>
        <v>9</v>
      </c>
    </row>
    <row r="639">
      <c r="D639" t="str">
        <f>IFERROR(__xludf.DUMMYFUNCTION("""COMPUTED_VALUE"""),"Farmer")</f>
        <v>Farmer</v>
      </c>
      <c r="E639" t="str">
        <f>IFERROR(__xludf.DUMMYFUNCTION("""COMPUTED_VALUE"""),"George")</f>
        <v>George</v>
      </c>
      <c r="F639">
        <f>IFERROR(__xludf.DUMMYFUNCTION("""COMPUTED_VALUE"""),8.85)</f>
        <v>8.85</v>
      </c>
    </row>
    <row r="640">
      <c r="D640" t="str">
        <f>IFERROR(__xludf.DUMMYFUNCTION("""COMPUTED_VALUE"""),"Farrell")</f>
        <v>Farrell</v>
      </c>
      <c r="E640" t="str">
        <f>IFERROR(__xludf.DUMMYFUNCTION("""COMPUTED_VALUE"""),"Dillon")</f>
        <v>Dillon</v>
      </c>
      <c r="F640">
        <f>IFERROR(__xludf.DUMMYFUNCTION("""COMPUTED_VALUE"""),9.75)</f>
        <v>9.75</v>
      </c>
    </row>
    <row r="641">
      <c r="D641" t="str">
        <f>IFERROR(__xludf.DUMMYFUNCTION("""COMPUTED_VALUE"""),"Farris")</f>
        <v>Farris</v>
      </c>
      <c r="E641" t="str">
        <f>IFERROR(__xludf.DUMMYFUNCTION("""COMPUTED_VALUE"""),"Chase")</f>
        <v>Chase</v>
      </c>
      <c r="F641">
        <f>IFERROR(__xludf.DUMMYFUNCTION("""COMPUTED_VALUE"""),8.85)</f>
        <v>8.85</v>
      </c>
    </row>
    <row r="642">
      <c r="D642" t="str">
        <f>IFERROR(__xludf.DUMMYFUNCTION("""COMPUTED_VALUE"""),"Farrow")</f>
        <v>Farrow</v>
      </c>
      <c r="E642" t="str">
        <f>IFERROR(__xludf.DUMMYFUNCTION("""COMPUTED_VALUE"""),"Kenneth")</f>
        <v>Kenneth</v>
      </c>
      <c r="F642">
        <f>IFERROR(__xludf.DUMMYFUNCTION("""COMPUTED_VALUE"""),9.15)</f>
        <v>9.15</v>
      </c>
    </row>
    <row r="643">
      <c r="D643" t="str">
        <f>IFERROR(__xludf.DUMMYFUNCTION("""COMPUTED_VALUE"""),"Fasano")</f>
        <v>Fasano</v>
      </c>
      <c r="E643" t="str">
        <f>IFERROR(__xludf.DUMMYFUNCTION("""COMPUTED_VALUE"""),"Anthony")</f>
        <v>Anthony</v>
      </c>
      <c r="F643">
        <f>IFERROR(__xludf.DUMMYFUNCTION("""COMPUTED_VALUE"""),12.0)</f>
        <v>12</v>
      </c>
    </row>
    <row r="644">
      <c r="D644" t="str">
        <f>IFERROR(__xludf.DUMMYFUNCTION("""COMPUTED_VALUE"""),"Fede")</f>
        <v>Fede</v>
      </c>
      <c r="E644" t="str">
        <f>IFERROR(__xludf.DUMMYFUNCTION("""COMPUTED_VALUE"""),"Terrence")</f>
        <v>Terrence</v>
      </c>
      <c r="F644">
        <f>IFERROR(__xludf.DUMMYFUNCTION("""COMPUTED_VALUE"""),9.9)</f>
        <v>9.9</v>
      </c>
    </row>
    <row r="645">
      <c r="D645" t="str">
        <f>IFERROR(__xludf.DUMMYFUNCTION("""COMPUTED_VALUE"""),"Feeney")</f>
        <v>Feeney</v>
      </c>
      <c r="E645" t="str">
        <f>IFERROR(__xludf.DUMMYFUNCTION("""COMPUTED_VALUE"""),"Travis")</f>
        <v>Travis</v>
      </c>
      <c r="F645">
        <f>IFERROR(__xludf.DUMMYFUNCTION("""COMPUTED_VALUE"""),9.299999999999999)</f>
        <v>9.3</v>
      </c>
    </row>
    <row r="646">
      <c r="D646" t="str">
        <f>IFERROR(__xludf.DUMMYFUNCTION("""COMPUTED_VALUE"""),"Fejedelem")</f>
        <v>Fejedelem</v>
      </c>
      <c r="E646" t="str">
        <f>IFERROR(__xludf.DUMMYFUNCTION("""COMPUTED_VALUE"""),"Clayton")</f>
        <v>Clayton</v>
      </c>
      <c r="F646">
        <f>IFERROR(__xludf.DUMMYFUNCTION("""COMPUTED_VALUE"""),9.75)</f>
        <v>9.75</v>
      </c>
    </row>
    <row r="647">
      <c r="D647" t="str">
        <f>IFERROR(__xludf.DUMMYFUNCTION("""COMPUTED_VALUE"""),"Feliciano")</f>
        <v>Feliciano</v>
      </c>
      <c r="E647" t="str">
        <f>IFERROR(__xludf.DUMMYFUNCTION("""COMPUTED_VALUE"""),"Jon")</f>
        <v>Jon</v>
      </c>
      <c r="F647">
        <f>IFERROR(__xludf.DUMMYFUNCTION("""COMPUTED_VALUE"""),9.6)</f>
        <v>9.6</v>
      </c>
    </row>
    <row r="648">
      <c r="D648" t="str">
        <f>IFERROR(__xludf.DUMMYFUNCTION("""COMPUTED_VALUE"""),"Fells")</f>
        <v>Fells</v>
      </c>
      <c r="E648" t="str">
        <f>IFERROR(__xludf.DUMMYFUNCTION("""COMPUTED_VALUE"""),"Darren")</f>
        <v>Darren</v>
      </c>
      <c r="F648">
        <f>IFERROR(__xludf.DUMMYFUNCTION("""COMPUTED_VALUE"""),10.95)</f>
        <v>10.95</v>
      </c>
    </row>
    <row r="649">
      <c r="D649" t="str">
        <f>IFERROR(__xludf.DUMMYFUNCTION("""COMPUTED_VALUE"""),"Felton")</f>
        <v>Felton</v>
      </c>
      <c r="E649" t="str">
        <f>IFERROR(__xludf.DUMMYFUNCTION("""COMPUTED_VALUE"""),"Jerome")</f>
        <v>Jerome</v>
      </c>
      <c r="F649">
        <f>IFERROR(__xludf.DUMMYFUNCTION("""COMPUTED_VALUE"""),10.95)</f>
        <v>10.95</v>
      </c>
    </row>
    <row r="650">
      <c r="D650" t="str">
        <f>IFERROR(__xludf.DUMMYFUNCTION("""COMPUTED_VALUE"""),"Ferentz")</f>
        <v>Ferentz</v>
      </c>
      <c r="E650" t="str">
        <f>IFERROR(__xludf.DUMMYFUNCTION("""COMPUTED_VALUE"""),"James")</f>
        <v>James</v>
      </c>
      <c r="F650">
        <f>IFERROR(__xludf.DUMMYFUNCTION("""COMPUTED_VALUE"""),9.6)</f>
        <v>9.6</v>
      </c>
    </row>
    <row r="651">
      <c r="D651" t="str">
        <f>IFERROR(__xludf.DUMMYFUNCTION("""COMPUTED_VALUE"""),"Ferguson")</f>
        <v>Ferguson</v>
      </c>
      <c r="E651" t="str">
        <f>IFERROR(__xludf.DUMMYFUNCTION("""COMPUTED_VALUE"""),"Ego")</f>
        <v>Ego</v>
      </c>
      <c r="F651">
        <f>IFERROR(__xludf.DUMMYFUNCTION("""COMPUTED_VALUE"""),10.049999999999999)</f>
        <v>10.05</v>
      </c>
    </row>
    <row r="652">
      <c r="D652" t="str">
        <f>IFERROR(__xludf.DUMMYFUNCTION("""COMPUTED_VALUE"""),"Ferguson")</f>
        <v>Ferguson</v>
      </c>
      <c r="E652" t="str">
        <f>IFERROR(__xludf.DUMMYFUNCTION("""COMPUTED_VALUE"""),"Josh")</f>
        <v>Josh</v>
      </c>
      <c r="F652">
        <f>IFERROR(__xludf.DUMMYFUNCTION("""COMPUTED_VALUE"""),9.45)</f>
        <v>9.45</v>
      </c>
    </row>
    <row r="653">
      <c r="D653" t="str">
        <f>IFERROR(__xludf.DUMMYFUNCTION("""COMPUTED_VALUE"""),"Ferris")</f>
        <v>Ferris</v>
      </c>
      <c r="E653" t="str">
        <f>IFERROR(__xludf.DUMMYFUNCTION("""COMPUTED_VALUE"""),"Drew")</f>
        <v>Drew</v>
      </c>
      <c r="F653">
        <f>IFERROR(__xludf.DUMMYFUNCTION("""COMPUTED_VALUE"""),6.0)</f>
        <v>6</v>
      </c>
    </row>
    <row r="654">
      <c r="D654" t="str">
        <f>IFERROR(__xludf.DUMMYFUNCTION("""COMPUTED_VALUE"""),"Fiedorowicz")</f>
        <v>Fiedorowicz</v>
      </c>
      <c r="E654" t="str">
        <f>IFERROR(__xludf.DUMMYFUNCTION("""COMPUTED_VALUE"""),"CJ")</f>
        <v>CJ</v>
      </c>
      <c r="F654">
        <f>IFERROR(__xludf.DUMMYFUNCTION("""COMPUTED_VALUE"""),11.549999999999999)</f>
        <v>11.55</v>
      </c>
    </row>
    <row r="655">
      <c r="D655" t="str">
        <f>IFERROR(__xludf.DUMMYFUNCTION("""COMPUTED_VALUE"""),"Fields")</f>
        <v>Fields</v>
      </c>
      <c r="E655" t="str">
        <f>IFERROR(__xludf.DUMMYFUNCTION("""COMPUTED_VALUE"""),"Carlos")</f>
        <v>Carlos</v>
      </c>
      <c r="F655">
        <f>IFERROR(__xludf.DUMMYFUNCTION("""COMPUTED_VALUE"""),9.15)</f>
        <v>9.15</v>
      </c>
    </row>
    <row r="656">
      <c r="D656" t="str">
        <f>IFERROR(__xludf.DUMMYFUNCTION("""COMPUTED_VALUE"""),"Finney")</f>
        <v>Finney</v>
      </c>
      <c r="E656" t="str">
        <f>IFERROR(__xludf.DUMMYFUNCTION("""COMPUTED_VALUE"""),"BJ")</f>
        <v>BJ</v>
      </c>
      <c r="F656">
        <f>IFERROR(__xludf.DUMMYFUNCTION("""COMPUTED_VALUE"""),9.75)</f>
        <v>9.75</v>
      </c>
    </row>
    <row r="657">
      <c r="D657" t="str">
        <f>IFERROR(__xludf.DUMMYFUNCTION("""COMPUTED_VALUE"""),"Fisher")</f>
        <v>Fisher</v>
      </c>
      <c r="E657" t="str">
        <f>IFERROR(__xludf.DUMMYFUNCTION("""COMPUTED_VALUE"""),"Eric")</f>
        <v>Eric</v>
      </c>
      <c r="F657">
        <f>IFERROR(__xludf.DUMMYFUNCTION("""COMPUTED_VALUE"""),11.7)</f>
        <v>11.7</v>
      </c>
    </row>
    <row r="658">
      <c r="D658" t="str">
        <f>IFERROR(__xludf.DUMMYFUNCTION("""COMPUTED_VALUE"""),"Fisher")</f>
        <v>Fisher</v>
      </c>
      <c r="E658" t="str">
        <f>IFERROR(__xludf.DUMMYFUNCTION("""COMPUTED_VALUE"""),"Jake")</f>
        <v>Jake</v>
      </c>
      <c r="F658">
        <f>IFERROR(__xludf.DUMMYFUNCTION("""COMPUTED_VALUE"""),11.549999999999999)</f>
        <v>11.55</v>
      </c>
    </row>
    <row r="659">
      <c r="D659" t="str">
        <f>IFERROR(__xludf.DUMMYFUNCTION("""COMPUTED_VALUE"""),"Fitzgerald")</f>
        <v>Fitzgerald</v>
      </c>
      <c r="E659" t="str">
        <f>IFERROR(__xludf.DUMMYFUNCTION("""COMPUTED_VALUE"""),"Larry")</f>
        <v>Larry</v>
      </c>
      <c r="F659">
        <f>IFERROR(__xludf.DUMMYFUNCTION("""COMPUTED_VALUE"""),13.65)</f>
        <v>13.65</v>
      </c>
    </row>
    <row r="660">
      <c r="D660" t="str">
        <f>IFERROR(__xludf.DUMMYFUNCTION("""COMPUTED_VALUE"""),"Fitzpatrick")</f>
        <v>Fitzpatrick</v>
      </c>
      <c r="E660" t="str">
        <f>IFERROR(__xludf.DUMMYFUNCTION("""COMPUTED_VALUE"""),"Ryan")</f>
        <v>Ryan</v>
      </c>
      <c r="F660">
        <f>IFERROR(__xludf.DUMMYFUNCTION("""COMPUTED_VALUE"""),11.85)</f>
        <v>11.85</v>
      </c>
    </row>
    <row r="661">
      <c r="D661" t="str">
        <f>IFERROR(__xludf.DUMMYFUNCTION("""COMPUTED_VALUE"""),"Flacco")</f>
        <v>Flacco</v>
      </c>
      <c r="E661" t="str">
        <f>IFERROR(__xludf.DUMMYFUNCTION("""COMPUTED_VALUE"""),"Joe")</f>
        <v>Joe</v>
      </c>
      <c r="F661">
        <f>IFERROR(__xludf.DUMMYFUNCTION("""COMPUTED_VALUE"""),12.15)</f>
        <v>12.15</v>
      </c>
    </row>
    <row r="662">
      <c r="D662" t="str">
        <f>IFERROR(__xludf.DUMMYFUNCTION("""COMPUTED_VALUE"""),"Fleener")</f>
        <v>Fleener</v>
      </c>
      <c r="E662" t="str">
        <f>IFERROR(__xludf.DUMMYFUNCTION("""COMPUTED_VALUE"""),"Coby")</f>
        <v>Coby</v>
      </c>
      <c r="F662">
        <f>IFERROR(__xludf.DUMMYFUNCTION("""COMPUTED_VALUE"""),12.6)</f>
        <v>12.6</v>
      </c>
    </row>
    <row r="663">
      <c r="D663" t="str">
        <f>IFERROR(__xludf.DUMMYFUNCTION("""COMPUTED_VALUE"""),"Fleming")</f>
        <v>Fleming</v>
      </c>
      <c r="E663" t="str">
        <f>IFERROR(__xludf.DUMMYFUNCTION("""COMPUTED_VALUE"""),"Cameron")</f>
        <v>Cameron</v>
      </c>
      <c r="F663">
        <f>IFERROR(__xludf.DUMMYFUNCTION("""COMPUTED_VALUE"""),10.35)</f>
        <v>10.35</v>
      </c>
    </row>
    <row r="664">
      <c r="D664" t="str">
        <f>IFERROR(__xludf.DUMMYFUNCTION("""COMPUTED_VALUE"""),"Fleming")</f>
        <v>Fleming</v>
      </c>
      <c r="E664" t="str">
        <f>IFERROR(__xludf.DUMMYFUNCTION("""COMPUTED_VALUE"""),"Jamell")</f>
        <v>Jamell</v>
      </c>
      <c r="F664">
        <f>IFERROR(__xludf.DUMMYFUNCTION("""COMPUTED_VALUE"""),9.9)</f>
        <v>9.9</v>
      </c>
    </row>
    <row r="665">
      <c r="D665" t="str">
        <f>IFERROR(__xludf.DUMMYFUNCTION("""COMPUTED_VALUE"""),"Flores")</f>
        <v>Flores</v>
      </c>
      <c r="E665" t="str">
        <f>IFERROR(__xludf.DUMMYFUNCTION("""COMPUTED_VALUE"""),"Jacob")</f>
        <v>Jacob</v>
      </c>
      <c r="F665">
        <f>IFERROR(__xludf.DUMMYFUNCTION("""COMPUTED_VALUE"""),8.7)</f>
        <v>8.7</v>
      </c>
    </row>
    <row r="666">
      <c r="D666" t="str">
        <f>IFERROR(__xludf.DUMMYFUNCTION("""COMPUTED_VALUE"""),"Flowers")</f>
        <v>Flowers</v>
      </c>
      <c r="E666" t="str">
        <f>IFERROR(__xludf.DUMMYFUNCTION("""COMPUTED_VALUE"""),"Brandon")</f>
        <v>Brandon</v>
      </c>
      <c r="F666">
        <f>IFERROR(__xludf.DUMMYFUNCTION("""COMPUTED_VALUE"""),11.7)</f>
        <v>11.7</v>
      </c>
    </row>
    <row r="667">
      <c r="D667" t="str">
        <f>IFERROR(__xludf.DUMMYFUNCTION("""COMPUTED_VALUE"""),"Flowers")</f>
        <v>Flowers</v>
      </c>
      <c r="E667" t="str">
        <f>IFERROR(__xludf.DUMMYFUNCTION("""COMPUTED_VALUE"""),"Ereck")</f>
        <v>Ereck</v>
      </c>
      <c r="F667">
        <f>IFERROR(__xludf.DUMMYFUNCTION("""COMPUTED_VALUE"""),11.4)</f>
        <v>11.4</v>
      </c>
    </row>
    <row r="668">
      <c r="D668" t="str">
        <f>IFERROR(__xludf.DUMMYFUNCTION("""COMPUTED_VALUE"""),"Flowers")</f>
        <v>Flowers</v>
      </c>
      <c r="E668" t="str">
        <f>IFERROR(__xludf.DUMMYFUNCTION("""COMPUTED_VALUE"""),"Marquis")</f>
        <v>Marquis</v>
      </c>
      <c r="F668">
        <f>IFERROR(__xludf.DUMMYFUNCTION("""COMPUTED_VALUE"""),9.45)</f>
        <v>9.45</v>
      </c>
    </row>
    <row r="669">
      <c r="D669" t="str">
        <f>IFERROR(__xludf.DUMMYFUNCTION("""COMPUTED_VALUE"""),"Flowers")</f>
        <v>Flowers</v>
      </c>
      <c r="E669" t="str">
        <f>IFERROR(__xludf.DUMMYFUNCTION("""COMPUTED_VALUE"""),"Trey")</f>
        <v>Trey</v>
      </c>
      <c r="F669">
        <f>IFERROR(__xludf.DUMMYFUNCTION("""COMPUTED_VALUE"""),10.2)</f>
        <v>10.2</v>
      </c>
    </row>
    <row r="670">
      <c r="D670" t="str">
        <f>IFERROR(__xludf.DUMMYFUNCTION("""COMPUTED_VALUE"""),"Floyd")</f>
        <v>Floyd</v>
      </c>
      <c r="E670" t="str">
        <f>IFERROR(__xludf.DUMMYFUNCTION("""COMPUTED_VALUE"""),"Leonard")</f>
        <v>Leonard</v>
      </c>
      <c r="F670">
        <f>IFERROR(__xludf.DUMMYFUNCTION("""COMPUTED_VALUE"""),11.4)</f>
        <v>11.4</v>
      </c>
    </row>
    <row r="671">
      <c r="D671" t="str">
        <f>IFERROR(__xludf.DUMMYFUNCTION("""COMPUTED_VALUE"""),"Floyd")</f>
        <v>Floyd</v>
      </c>
      <c r="E671" t="str">
        <f>IFERROR(__xludf.DUMMYFUNCTION("""COMPUTED_VALUE"""),"Michael")</f>
        <v>Michael</v>
      </c>
      <c r="F671">
        <f>IFERROR(__xludf.DUMMYFUNCTION("""COMPUTED_VALUE"""),12.75)</f>
        <v>12.75</v>
      </c>
    </row>
    <row r="672">
      <c r="D672" t="str">
        <f>IFERROR(__xludf.DUMMYFUNCTION("""COMPUTED_VALUE"""),"Floyd")</f>
        <v>Floyd</v>
      </c>
      <c r="E672" t="str">
        <f>IFERROR(__xludf.DUMMYFUNCTION("""COMPUTED_VALUE"""),"Sharrif")</f>
        <v>Sharrif</v>
      </c>
      <c r="F672">
        <f>IFERROR(__xludf.DUMMYFUNCTION("""COMPUTED_VALUE"""),12.45)</f>
        <v>12.45</v>
      </c>
    </row>
    <row r="673">
      <c r="D673" t="str">
        <f>IFERROR(__xludf.DUMMYFUNCTION("""COMPUTED_VALUE"""),"Fluellen")</f>
        <v>Fluellen</v>
      </c>
      <c r="E673" t="str">
        <f>IFERROR(__xludf.DUMMYFUNCTION("""COMPUTED_VALUE"""),"David")</f>
        <v>David</v>
      </c>
      <c r="F673">
        <f>IFERROR(__xludf.DUMMYFUNCTION("""COMPUTED_VALUE"""),9.6)</f>
        <v>9.6</v>
      </c>
    </row>
    <row r="674">
      <c r="D674" t="str">
        <f>IFERROR(__xludf.DUMMYFUNCTION("""COMPUTED_VALUE"""),"Fluker")</f>
        <v>Fluker</v>
      </c>
      <c r="E674" t="str">
        <f>IFERROR(__xludf.DUMMYFUNCTION("""COMPUTED_VALUE"""),"DJ")</f>
        <v>DJ</v>
      </c>
      <c r="F674">
        <f>IFERROR(__xludf.DUMMYFUNCTION("""COMPUTED_VALUE"""),11.1)</f>
        <v>11.1</v>
      </c>
    </row>
    <row r="675">
      <c r="D675" t="str">
        <f>IFERROR(__xludf.DUMMYFUNCTION("""COMPUTED_VALUE"""),"Folk")</f>
        <v>Folk</v>
      </c>
      <c r="E675" t="str">
        <f>IFERROR(__xludf.DUMMYFUNCTION("""COMPUTED_VALUE"""),"Nick")</f>
        <v>Nick</v>
      </c>
      <c r="F675">
        <f>IFERROR(__xludf.DUMMYFUNCTION("""COMPUTED_VALUE"""),11.85)</f>
        <v>11.85</v>
      </c>
    </row>
    <row r="676">
      <c r="D676" t="str">
        <f>IFERROR(__xludf.DUMMYFUNCTION("""COMPUTED_VALUE"""),"Folkerts")</f>
        <v>Folkerts</v>
      </c>
      <c r="E676" t="str">
        <f>IFERROR(__xludf.DUMMYFUNCTION("""COMPUTED_VALUE"""),"Brian")</f>
        <v>Brian</v>
      </c>
      <c r="F676">
        <f>IFERROR(__xludf.DUMMYFUNCTION("""COMPUTED_VALUE"""),10.049999999999999)</f>
        <v>10.05</v>
      </c>
    </row>
    <row r="677">
      <c r="D677" t="str">
        <f>IFERROR(__xludf.DUMMYFUNCTION("""COMPUTED_VALUE"""),"Forbath")</f>
        <v>Forbath</v>
      </c>
      <c r="E677" t="str">
        <f>IFERROR(__xludf.DUMMYFUNCTION("""COMPUTED_VALUE"""),"Kai")</f>
        <v>Kai</v>
      </c>
      <c r="F677">
        <f>IFERROR(__xludf.DUMMYFUNCTION("""COMPUTED_VALUE"""),11.25)</f>
        <v>11.25</v>
      </c>
    </row>
    <row r="678">
      <c r="D678" t="str">
        <f>IFERROR(__xludf.DUMMYFUNCTION("""COMPUTED_VALUE"""),"Ford")</f>
        <v>Ford</v>
      </c>
      <c r="E678" t="str">
        <f>IFERROR(__xludf.DUMMYFUNCTION("""COMPUTED_VALUE"""),"Dee")</f>
        <v>Dee</v>
      </c>
      <c r="F678">
        <f>IFERROR(__xludf.DUMMYFUNCTION("""COMPUTED_VALUE"""),10.95)</f>
        <v>10.95</v>
      </c>
    </row>
    <row r="679">
      <c r="D679" t="str">
        <f>IFERROR(__xludf.DUMMYFUNCTION("""COMPUTED_VALUE"""),"Forrest")</f>
        <v>Forrest</v>
      </c>
      <c r="E679" t="str">
        <f>IFERROR(__xludf.DUMMYFUNCTION("""COMPUTED_VALUE"""),"Josh")</f>
        <v>Josh</v>
      </c>
      <c r="F679">
        <f>IFERROR(__xludf.DUMMYFUNCTION("""COMPUTED_VALUE"""),9.45)</f>
        <v>9.45</v>
      </c>
    </row>
    <row r="680">
      <c r="D680" t="str">
        <f>IFERROR(__xludf.DUMMYFUNCTION("""COMPUTED_VALUE"""),"Forsett")</f>
        <v>Forsett</v>
      </c>
      <c r="E680" t="str">
        <f>IFERROR(__xludf.DUMMYFUNCTION("""COMPUTED_VALUE"""),"Justin")</f>
        <v>Justin</v>
      </c>
      <c r="F680">
        <f>IFERROR(__xludf.DUMMYFUNCTION("""COMPUTED_VALUE"""),12.299999999999999)</f>
        <v>12.3</v>
      </c>
    </row>
    <row r="681">
      <c r="D681" t="str">
        <f>IFERROR(__xludf.DUMMYFUNCTION("""COMPUTED_VALUE"""),"Fort")</f>
        <v>Fort</v>
      </c>
      <c r="E681" t="str">
        <f>IFERROR(__xludf.DUMMYFUNCTION("""COMPUTED_VALUE"""),"LJ")</f>
        <v>LJ</v>
      </c>
      <c r="F681">
        <f>IFERROR(__xludf.DUMMYFUNCTION("""COMPUTED_VALUE"""),10.2)</f>
        <v>10.2</v>
      </c>
    </row>
    <row r="682">
      <c r="D682" t="str">
        <f>IFERROR(__xludf.DUMMYFUNCTION("""COMPUTED_VALUE"""),"Forte")</f>
        <v>Forte</v>
      </c>
      <c r="E682" t="str">
        <f>IFERROR(__xludf.DUMMYFUNCTION("""COMPUTED_VALUE"""),"Matt")</f>
        <v>Matt</v>
      </c>
      <c r="F682">
        <f>IFERROR(__xludf.DUMMYFUNCTION("""COMPUTED_VALUE"""),12.9)</f>
        <v>12.9</v>
      </c>
    </row>
    <row r="683">
      <c r="D683" t="str">
        <f>IFERROR(__xludf.DUMMYFUNCTION("""COMPUTED_VALUE"""),"Foster")</f>
        <v>Foster</v>
      </c>
      <c r="E683" t="str">
        <f>IFERROR(__xludf.DUMMYFUNCTION("""COMPUTED_VALUE"""),"Arian")</f>
        <v>Arian</v>
      </c>
      <c r="F683">
        <f>IFERROR(__xludf.DUMMYFUNCTION("""COMPUTED_VALUE"""),12.15)</f>
        <v>12.15</v>
      </c>
    </row>
    <row r="684">
      <c r="D684" t="str">
        <f>IFERROR(__xludf.DUMMYFUNCTION("""COMPUTED_VALUE"""),"Foster")</f>
        <v>Foster</v>
      </c>
      <c r="E684" t="str">
        <f>IFERROR(__xludf.DUMMYFUNCTION("""COMPUTED_VALUE"""),"DJ")</f>
        <v>DJ</v>
      </c>
      <c r="F684">
        <f>IFERROR(__xludf.DUMMYFUNCTION("""COMPUTED_VALUE"""),9.75)</f>
        <v>9.75</v>
      </c>
    </row>
    <row r="685">
      <c r="D685" t="str">
        <f>IFERROR(__xludf.DUMMYFUNCTION("""COMPUTED_VALUE"""),"Foster")</f>
        <v>Foster</v>
      </c>
      <c r="E685" t="str">
        <f>IFERROR(__xludf.DUMMYFUNCTION("""COMPUTED_VALUE"""),"Mason")</f>
        <v>Mason</v>
      </c>
      <c r="F685">
        <f>IFERROR(__xludf.DUMMYFUNCTION("""COMPUTED_VALUE"""),10.799999999999999)</f>
        <v>10.8</v>
      </c>
    </row>
    <row r="686">
      <c r="D686" t="str">
        <f>IFERROR(__xludf.DUMMYFUNCTION("""COMPUTED_VALUE"""),"Foster")</f>
        <v>Foster</v>
      </c>
      <c r="E686" t="str">
        <f>IFERROR(__xludf.DUMMYFUNCTION("""COMPUTED_VALUE"""),"Ramon")</f>
        <v>Ramon</v>
      </c>
      <c r="F686">
        <f>IFERROR(__xludf.DUMMYFUNCTION("""COMPUTED_VALUE"""),12.299999999999999)</f>
        <v>12.3</v>
      </c>
    </row>
    <row r="687">
      <c r="D687" t="str">
        <f>IFERROR(__xludf.DUMMYFUNCTION("""COMPUTED_VALUE"""),"Foucault")</f>
        <v>Foucault</v>
      </c>
      <c r="E687" t="str">
        <f>IFERROR(__xludf.DUMMYFUNCTION("""COMPUTED_VALUE"""),"David")</f>
        <v>David</v>
      </c>
      <c r="F687">
        <f>IFERROR(__xludf.DUMMYFUNCTION("""COMPUTED_VALUE"""),9.6)</f>
        <v>9.6</v>
      </c>
    </row>
    <row r="688">
      <c r="D688" t="str">
        <f>IFERROR(__xludf.DUMMYFUNCTION("""COMPUTED_VALUE"""),"Fowler")</f>
        <v>Fowler</v>
      </c>
      <c r="E688" t="str">
        <f>IFERROR(__xludf.DUMMYFUNCTION("""COMPUTED_VALUE"""),"Bennie")</f>
        <v>Bennie</v>
      </c>
      <c r="F688">
        <f>IFERROR(__xludf.DUMMYFUNCTION("""COMPUTED_VALUE"""),10.65)</f>
        <v>10.65</v>
      </c>
    </row>
    <row r="689">
      <c r="D689" t="str">
        <f>IFERROR(__xludf.DUMMYFUNCTION("""COMPUTED_VALUE"""),"Fowler")</f>
        <v>Fowler</v>
      </c>
      <c r="E689" t="str">
        <f>IFERROR(__xludf.DUMMYFUNCTION("""COMPUTED_VALUE"""),"Jalston")</f>
        <v>Jalston</v>
      </c>
      <c r="F689">
        <f>IFERROR(__xludf.DUMMYFUNCTION("""COMPUTED_VALUE"""),13.2)</f>
        <v>13.2</v>
      </c>
    </row>
    <row r="690">
      <c r="D690" t="str">
        <f>IFERROR(__xludf.DUMMYFUNCTION("""COMPUTED_VALUE"""),"Fowler Jr.")</f>
        <v>Fowler Jr.</v>
      </c>
      <c r="E690" t="str">
        <f>IFERROR(__xludf.DUMMYFUNCTION("""COMPUTED_VALUE"""),"Dante")</f>
        <v>Dante</v>
      </c>
      <c r="F690">
        <f>IFERROR(__xludf.DUMMYFUNCTION("""COMPUTED_VALUE"""),11.549999999999999)</f>
        <v>11.55</v>
      </c>
    </row>
    <row r="691">
      <c r="D691" t="str">
        <f>IFERROR(__xludf.DUMMYFUNCTION("""COMPUTED_VALUE"""),"Fragel")</f>
        <v>Fragel</v>
      </c>
      <c r="E691" t="str">
        <f>IFERROR(__xludf.DUMMYFUNCTION("""COMPUTED_VALUE"""),"Reid")</f>
        <v>Reid</v>
      </c>
      <c r="F691">
        <f>IFERROR(__xludf.DUMMYFUNCTION("""COMPUTED_VALUE"""),10.35)</f>
        <v>10.35</v>
      </c>
    </row>
    <row r="692">
      <c r="D692" t="str">
        <f>IFERROR(__xludf.DUMMYFUNCTION("""COMPUTED_VALUE"""),"Franklin")</f>
        <v>Franklin</v>
      </c>
      <c r="E692" t="str">
        <f>IFERROR(__xludf.DUMMYFUNCTION("""COMPUTED_VALUE"""),"Jerry")</f>
        <v>Jerry</v>
      </c>
      <c r="F692">
        <f>IFERROR(__xludf.DUMMYFUNCTION("""COMPUTED_VALUE"""),9.45)</f>
        <v>9.45</v>
      </c>
    </row>
    <row r="693">
      <c r="D693" t="str">
        <f>IFERROR(__xludf.DUMMYFUNCTION("""COMPUTED_VALUE"""),"Franklin")</f>
        <v>Franklin</v>
      </c>
      <c r="E693" t="str">
        <f>IFERROR(__xludf.DUMMYFUNCTION("""COMPUTED_VALUE"""),"Orlando")</f>
        <v>Orlando</v>
      </c>
      <c r="F693">
        <f>IFERROR(__xludf.DUMMYFUNCTION("""COMPUTED_VALUE"""),10.799999999999999)</f>
        <v>10.8</v>
      </c>
    </row>
    <row r="694">
      <c r="D694" t="str">
        <f>IFERROR(__xludf.DUMMYFUNCTION("""COMPUTED_VALUE"""),"Franks")</f>
        <v>Franks</v>
      </c>
      <c r="E694" t="str">
        <f>IFERROR(__xludf.DUMMYFUNCTION("""COMPUTED_VALUE"""),"Andrew")</f>
        <v>Andrew</v>
      </c>
      <c r="F694">
        <f>IFERROR(__xludf.DUMMYFUNCTION("""COMPUTED_VALUE"""),11.4)</f>
        <v>11.4</v>
      </c>
    </row>
    <row r="695">
      <c r="D695" t="str">
        <f>IFERROR(__xludf.DUMMYFUNCTION("""COMPUTED_VALUE"""),"Frazier")</f>
        <v>Frazier</v>
      </c>
      <c r="E695" t="str">
        <f>IFERROR(__xludf.DUMMYFUNCTION("""COMPUTED_VALUE"""),"Kavon")</f>
        <v>Kavon</v>
      </c>
      <c r="F695">
        <f>IFERROR(__xludf.DUMMYFUNCTION("""COMPUTED_VALUE"""),9.9)</f>
        <v>9.9</v>
      </c>
    </row>
    <row r="696">
      <c r="D696" t="str">
        <f>IFERROR(__xludf.DUMMYFUNCTION("""COMPUTED_VALUE"""),"Frazier")</f>
        <v>Frazier</v>
      </c>
      <c r="E696" t="str">
        <f>IFERROR(__xludf.DUMMYFUNCTION("""COMPUTED_VALUE"""),"Mose")</f>
        <v>Mose</v>
      </c>
      <c r="F696">
        <f>IFERROR(__xludf.DUMMYFUNCTION("""COMPUTED_VALUE"""),9.45)</f>
        <v>9.45</v>
      </c>
    </row>
    <row r="697">
      <c r="D697" t="str">
        <f>IFERROR(__xludf.DUMMYFUNCTION("""COMPUTED_VALUE"""),"Frederick")</f>
        <v>Frederick</v>
      </c>
      <c r="E697" t="str">
        <f>IFERROR(__xludf.DUMMYFUNCTION("""COMPUTED_VALUE"""),"Travis")</f>
        <v>Travis</v>
      </c>
      <c r="F697">
        <f>IFERROR(__xludf.DUMMYFUNCTION("""COMPUTED_VALUE"""),13.65)</f>
        <v>13.65</v>
      </c>
    </row>
    <row r="698">
      <c r="D698" t="str">
        <f>IFERROR(__xludf.DUMMYFUNCTION("""COMPUTED_VALUE"""),"Free")</f>
        <v>Free</v>
      </c>
      <c r="E698" t="str">
        <f>IFERROR(__xludf.DUMMYFUNCTION("""COMPUTED_VALUE"""),"Doug")</f>
        <v>Doug</v>
      </c>
      <c r="F698">
        <f>IFERROR(__xludf.DUMMYFUNCTION("""COMPUTED_VALUE"""),12.0)</f>
        <v>12</v>
      </c>
    </row>
    <row r="699">
      <c r="D699" t="str">
        <f>IFERROR(__xludf.DUMMYFUNCTION("""COMPUTED_VALUE"""),"Freeman")</f>
        <v>Freeman</v>
      </c>
      <c r="E699" t="str">
        <f>IFERROR(__xludf.DUMMYFUNCTION("""COMPUTED_VALUE"""),"Dalton")</f>
        <v>Dalton</v>
      </c>
      <c r="F699">
        <f>IFERROR(__xludf.DUMMYFUNCTION("""COMPUTED_VALUE"""),10.35)</f>
        <v>10.35</v>
      </c>
    </row>
    <row r="700">
      <c r="D700" t="str">
        <f>IFERROR(__xludf.DUMMYFUNCTION("""COMPUTED_VALUE"""),"Freeman")</f>
        <v>Freeman</v>
      </c>
      <c r="E700" t="str">
        <f>IFERROR(__xludf.DUMMYFUNCTION("""COMPUTED_VALUE"""),"Devonta")</f>
        <v>Devonta</v>
      </c>
      <c r="F700">
        <f>IFERROR(__xludf.DUMMYFUNCTION("""COMPUTED_VALUE"""),12.9)</f>
        <v>12.9</v>
      </c>
    </row>
    <row r="701">
      <c r="D701" t="str">
        <f>IFERROR(__xludf.DUMMYFUNCTION("""COMPUTED_VALUE"""),"Freeman")</f>
        <v>Freeman</v>
      </c>
      <c r="E701" t="str">
        <f>IFERROR(__xludf.DUMMYFUNCTION("""COMPUTED_VALUE"""),"Jerrell")</f>
        <v>Jerrell</v>
      </c>
      <c r="F701">
        <f>IFERROR(__xludf.DUMMYFUNCTION("""COMPUTED_VALUE"""),12.9)</f>
        <v>12.9</v>
      </c>
    </row>
    <row r="702">
      <c r="D702" t="str">
        <f>IFERROR(__xludf.DUMMYFUNCTION("""COMPUTED_VALUE"""),"Freeny")</f>
        <v>Freeny</v>
      </c>
      <c r="E702" t="str">
        <f>IFERROR(__xludf.DUMMYFUNCTION("""COMPUTED_VALUE"""),"Jonathan")</f>
        <v>Jonathan</v>
      </c>
      <c r="F702">
        <f>IFERROR(__xludf.DUMMYFUNCTION("""COMPUTED_VALUE"""),10.35)</f>
        <v>10.35</v>
      </c>
    </row>
    <row r="703">
      <c r="D703" t="str">
        <f>IFERROR(__xludf.DUMMYFUNCTION("""COMPUTED_VALUE"""),"Frey")</f>
        <v>Frey</v>
      </c>
      <c r="E703" t="str">
        <f>IFERROR(__xludf.DUMMYFUNCTION("""COMPUTED_VALUE"""),"Isaiah")</f>
        <v>Isaiah</v>
      </c>
      <c r="F703">
        <f>IFERROR(__xludf.DUMMYFUNCTION("""COMPUTED_VALUE"""),10.5)</f>
        <v>10.5</v>
      </c>
    </row>
    <row r="704">
      <c r="D704" t="str">
        <f>IFERROR(__xludf.DUMMYFUNCTION("""COMPUTED_VALUE"""),"Friend")</f>
        <v>Friend</v>
      </c>
      <c r="E704" t="str">
        <f>IFERROR(__xludf.DUMMYFUNCTION("""COMPUTED_VALUE"""),"Kyle")</f>
        <v>Kyle</v>
      </c>
      <c r="F704">
        <f>IFERROR(__xludf.DUMMYFUNCTION("""COMPUTED_VALUE"""),9.299999999999999)</f>
        <v>9.3</v>
      </c>
    </row>
    <row r="705">
      <c r="D705" t="str">
        <f>IFERROR(__xludf.DUMMYFUNCTION("""COMPUTED_VALUE"""),"Fua")</f>
        <v>Fua</v>
      </c>
      <c r="E705" t="str">
        <f>IFERROR(__xludf.DUMMYFUNCTION("""COMPUTED_VALUE"""),"Alani")</f>
        <v>Alani</v>
      </c>
      <c r="F705">
        <f>IFERROR(__xludf.DUMMYFUNCTION("""COMPUTED_VALUE"""),9.15)</f>
        <v>9.15</v>
      </c>
    </row>
    <row r="706">
      <c r="D706" t="str">
        <f>IFERROR(__xludf.DUMMYFUNCTION("""COMPUTED_VALUE"""),"Fuehne")</f>
        <v>Fuehne</v>
      </c>
      <c r="E706" t="str">
        <f>IFERROR(__xludf.DUMMYFUNCTION("""COMPUTED_VALUE"""),"Adam")</f>
        <v>Adam</v>
      </c>
      <c r="F706">
        <f>IFERROR(__xludf.DUMMYFUNCTION("""COMPUTED_VALUE"""),9.6)</f>
        <v>9.6</v>
      </c>
    </row>
    <row r="707">
      <c r="D707" t="str">
        <f>IFERROR(__xludf.DUMMYFUNCTION("""COMPUTED_VALUE"""),"Fuller")</f>
        <v>Fuller</v>
      </c>
      <c r="E707" t="str">
        <f>IFERROR(__xludf.DUMMYFUNCTION("""COMPUTED_VALUE"""),"Corey")</f>
        <v>Corey</v>
      </c>
      <c r="F707">
        <f>IFERROR(__xludf.DUMMYFUNCTION("""COMPUTED_VALUE"""),10.5)</f>
        <v>10.5</v>
      </c>
    </row>
    <row r="708">
      <c r="D708" t="str">
        <f>IFERROR(__xludf.DUMMYFUNCTION("""COMPUTED_VALUE"""),"Fuller")</f>
        <v>Fuller</v>
      </c>
      <c r="E708" t="str">
        <f>IFERROR(__xludf.DUMMYFUNCTION("""COMPUTED_VALUE"""),"Devin")</f>
        <v>Devin</v>
      </c>
      <c r="F708">
        <f>IFERROR(__xludf.DUMMYFUNCTION("""COMPUTED_VALUE"""),9.299999999999999)</f>
        <v>9.3</v>
      </c>
    </row>
    <row r="709">
      <c r="D709" t="str">
        <f>IFERROR(__xludf.DUMMYFUNCTION("""COMPUTED_VALUE"""),"Fuller")</f>
        <v>Fuller</v>
      </c>
      <c r="E709" t="str">
        <f>IFERROR(__xludf.DUMMYFUNCTION("""COMPUTED_VALUE"""),"Jeff")</f>
        <v>Jeff</v>
      </c>
      <c r="F709">
        <f>IFERROR(__xludf.DUMMYFUNCTION("""COMPUTED_VALUE"""),9.299999999999999)</f>
        <v>9.3</v>
      </c>
    </row>
    <row r="710">
      <c r="D710" t="str">
        <f>IFERROR(__xludf.DUMMYFUNCTION("""COMPUTED_VALUE"""),"Fuller")</f>
        <v>Fuller</v>
      </c>
      <c r="E710" t="str">
        <f>IFERROR(__xludf.DUMMYFUNCTION("""COMPUTED_VALUE"""),"Kendall")</f>
        <v>Kendall</v>
      </c>
      <c r="F710">
        <f>IFERROR(__xludf.DUMMYFUNCTION("""COMPUTED_VALUE"""),10.5)</f>
        <v>10.5</v>
      </c>
    </row>
    <row r="711">
      <c r="D711" t="str">
        <f>IFERROR(__xludf.DUMMYFUNCTION("""COMPUTED_VALUE"""),"Fuller")</f>
        <v>Fuller</v>
      </c>
      <c r="E711" t="str">
        <f>IFERROR(__xludf.DUMMYFUNCTION("""COMPUTED_VALUE"""),"Kyle")</f>
        <v>Kyle</v>
      </c>
      <c r="F711">
        <f>IFERROR(__xludf.DUMMYFUNCTION("""COMPUTED_VALUE"""),12.0)</f>
        <v>12</v>
      </c>
    </row>
    <row r="712">
      <c r="D712" t="str">
        <f>IFERROR(__xludf.DUMMYFUNCTION("""COMPUTED_VALUE"""),"Fuller V")</f>
        <v>Fuller V</v>
      </c>
      <c r="E712" t="str">
        <f>IFERROR(__xludf.DUMMYFUNCTION("""COMPUTED_VALUE"""),"Will")</f>
        <v>Will</v>
      </c>
      <c r="F712">
        <f>IFERROR(__xludf.DUMMYFUNCTION("""COMPUTED_VALUE"""),11.1)</f>
        <v>11.1</v>
      </c>
    </row>
    <row r="713">
      <c r="D713" t="str">
        <f>IFERROR(__xludf.DUMMYFUNCTION("""COMPUTED_VALUE"""),"Fulton")</f>
        <v>Fulton</v>
      </c>
      <c r="E713" t="str">
        <f>IFERROR(__xludf.DUMMYFUNCTION("""COMPUTED_VALUE"""),"Zach")</f>
        <v>Zach</v>
      </c>
      <c r="F713">
        <f>IFERROR(__xludf.DUMMYFUNCTION("""COMPUTED_VALUE"""),10.2)</f>
        <v>10.2</v>
      </c>
    </row>
    <row r="714">
      <c r="D714" t="str">
        <f>IFERROR(__xludf.DUMMYFUNCTION("""COMPUTED_VALUE"""),"Funchess")</f>
        <v>Funchess</v>
      </c>
      <c r="E714" t="str">
        <f>IFERROR(__xludf.DUMMYFUNCTION("""COMPUTED_VALUE"""),"Devin")</f>
        <v>Devin</v>
      </c>
      <c r="F714">
        <f>IFERROR(__xludf.DUMMYFUNCTION("""COMPUTED_VALUE"""),11.1)</f>
        <v>11.1</v>
      </c>
    </row>
    <row r="715">
      <c r="D715" t="str">
        <f>IFERROR(__xludf.DUMMYFUNCTION("""COMPUTED_VALUE"""),"Fusco")</f>
        <v>Fusco</v>
      </c>
      <c r="E715" t="str">
        <f>IFERROR(__xludf.DUMMYFUNCTION("""COMPUTED_VALUE"""),"Brandon")</f>
        <v>Brandon</v>
      </c>
      <c r="F715">
        <f>IFERROR(__xludf.DUMMYFUNCTION("""COMPUTED_VALUE"""),10.799999999999999)</f>
        <v>10.8</v>
      </c>
    </row>
    <row r="716">
      <c r="D716" t="str">
        <f>IFERROR(__xludf.DUMMYFUNCTION("""COMPUTED_VALUE"""),"Gabbert")</f>
        <v>Gabbert</v>
      </c>
      <c r="E716" t="str">
        <f>IFERROR(__xludf.DUMMYFUNCTION("""COMPUTED_VALUE"""),"Blaine")</f>
        <v>Blaine</v>
      </c>
      <c r="F716">
        <f>IFERROR(__xludf.DUMMYFUNCTION("""COMPUTED_VALUE"""),11.1)</f>
        <v>11.1</v>
      </c>
    </row>
    <row r="717">
      <c r="D717" t="str">
        <f>IFERROR(__xludf.DUMMYFUNCTION("""COMPUTED_VALUE"""),"Gabriel")</f>
        <v>Gabriel</v>
      </c>
      <c r="E717" t="str">
        <f>IFERROR(__xludf.DUMMYFUNCTION("""COMPUTED_VALUE"""),"Taylor")</f>
        <v>Taylor</v>
      </c>
      <c r="F717">
        <f>IFERROR(__xludf.DUMMYFUNCTION("""COMPUTED_VALUE"""),10.799999999999999)</f>
        <v>10.8</v>
      </c>
    </row>
    <row r="718">
      <c r="D718" t="str">
        <f>IFERROR(__xludf.DUMMYFUNCTION("""COMPUTED_VALUE"""),"Gachkar")</f>
        <v>Gachkar</v>
      </c>
      <c r="E718" t="str">
        <f>IFERROR(__xludf.DUMMYFUNCTION("""COMPUTED_VALUE"""),"Andrew")</f>
        <v>Andrew</v>
      </c>
      <c r="F718">
        <f>IFERROR(__xludf.DUMMYFUNCTION("""COMPUTED_VALUE"""),10.65)</f>
        <v>10.65</v>
      </c>
    </row>
    <row r="719">
      <c r="D719" t="str">
        <f>IFERROR(__xludf.DUMMYFUNCTION("""COMPUTED_VALUE"""),"Gaines")</f>
        <v>Gaines</v>
      </c>
      <c r="E719" t="str">
        <f>IFERROR(__xludf.DUMMYFUNCTION("""COMPUTED_VALUE"""),"Charles")</f>
        <v>Charles</v>
      </c>
      <c r="F719">
        <f>IFERROR(__xludf.DUMMYFUNCTION("""COMPUTED_VALUE"""),10.049999999999999)</f>
        <v>10.05</v>
      </c>
    </row>
    <row r="720">
      <c r="D720" t="str">
        <f>IFERROR(__xludf.DUMMYFUNCTION("""COMPUTED_VALUE"""),"Gaines")</f>
        <v>Gaines</v>
      </c>
      <c r="E720" t="str">
        <f>IFERROR(__xludf.DUMMYFUNCTION("""COMPUTED_VALUE"""),"EJ")</f>
        <v>EJ</v>
      </c>
      <c r="F720">
        <f>IFERROR(__xludf.DUMMYFUNCTION("""COMPUTED_VALUE"""),11.85)</f>
        <v>11.85</v>
      </c>
    </row>
    <row r="721">
      <c r="D721" t="str">
        <f>IFERROR(__xludf.DUMMYFUNCTION("""COMPUTED_VALUE"""),"Gaines")</f>
        <v>Gaines</v>
      </c>
      <c r="E721" t="str">
        <f>IFERROR(__xludf.DUMMYFUNCTION("""COMPUTED_VALUE"""),"Phillip")</f>
        <v>Phillip</v>
      </c>
      <c r="F721">
        <f>IFERROR(__xludf.DUMMYFUNCTION("""COMPUTED_VALUE"""),11.25)</f>
        <v>11.25</v>
      </c>
    </row>
    <row r="722">
      <c r="D722" t="str">
        <f>IFERROR(__xludf.DUMMYFUNCTION("""COMPUTED_VALUE"""),"Galette")</f>
        <v>Galette</v>
      </c>
      <c r="E722" t="str">
        <f>IFERROR(__xludf.DUMMYFUNCTION("""COMPUTED_VALUE"""),"Junior")</f>
        <v>Junior</v>
      </c>
      <c r="F722">
        <f>IFERROR(__xludf.DUMMYFUNCTION("""COMPUTED_VALUE"""),12.0)</f>
        <v>12</v>
      </c>
    </row>
    <row r="723">
      <c r="D723" t="str">
        <f>IFERROR(__xludf.DUMMYFUNCTION("""COMPUTED_VALUE"""),"Gallik")</f>
        <v>Gallik</v>
      </c>
      <c r="E723" t="str">
        <f>IFERROR(__xludf.DUMMYFUNCTION("""COMPUTED_VALUE"""),"Andy")</f>
        <v>Andy</v>
      </c>
      <c r="F723">
        <f>IFERROR(__xludf.DUMMYFUNCTION("""COMPUTED_VALUE"""),9.6)</f>
        <v>9.6</v>
      </c>
    </row>
    <row r="724">
      <c r="D724" t="str">
        <f>IFERROR(__xludf.DUMMYFUNCTION("""COMPUTED_VALUE"""),"Gano")</f>
        <v>Gano</v>
      </c>
      <c r="E724" t="str">
        <f>IFERROR(__xludf.DUMMYFUNCTION("""COMPUTED_VALUE"""),"Graham")</f>
        <v>Graham</v>
      </c>
      <c r="F724">
        <f>IFERROR(__xludf.DUMMYFUNCTION("""COMPUTED_VALUE"""),12.75)</f>
        <v>12.75</v>
      </c>
    </row>
    <row r="725">
      <c r="D725" t="str">
        <f>IFERROR(__xludf.DUMMYFUNCTION("""COMPUTED_VALUE"""),"Garcia")</f>
        <v>Garcia</v>
      </c>
      <c r="E725" t="str">
        <f>IFERROR(__xludf.DUMMYFUNCTION("""COMPUTED_VALUE"""),"Max")</f>
        <v>Max</v>
      </c>
      <c r="F725">
        <f>IFERROR(__xludf.DUMMYFUNCTION("""COMPUTED_VALUE"""),10.5)</f>
        <v>10.5</v>
      </c>
    </row>
    <row r="726">
      <c r="D726" t="str">
        <f>IFERROR(__xludf.DUMMYFUNCTION("""COMPUTED_VALUE"""),"Garcon")</f>
        <v>Garcon</v>
      </c>
      <c r="E726" t="str">
        <f>IFERROR(__xludf.DUMMYFUNCTION("""COMPUTED_VALUE"""),"Pierre")</f>
        <v>Pierre</v>
      </c>
      <c r="F726">
        <f>IFERROR(__xludf.DUMMYFUNCTION("""COMPUTED_VALUE"""),12.15)</f>
        <v>12.15</v>
      </c>
    </row>
    <row r="727">
      <c r="D727" t="str">
        <f>IFERROR(__xludf.DUMMYFUNCTION("""COMPUTED_VALUE"""),"Gardner")</f>
        <v>Gardner</v>
      </c>
      <c r="E727" t="str">
        <f>IFERROR(__xludf.DUMMYFUNCTION("""COMPUTED_VALUE"""),"Andrew")</f>
        <v>Andrew</v>
      </c>
      <c r="F727">
        <f>IFERROR(__xludf.DUMMYFUNCTION("""COMPUTED_VALUE"""),11.25)</f>
        <v>11.25</v>
      </c>
    </row>
    <row r="728">
      <c r="D728" t="str">
        <f>IFERROR(__xludf.DUMMYFUNCTION("""COMPUTED_VALUE"""),"Garland")</f>
        <v>Garland</v>
      </c>
      <c r="E728" t="str">
        <f>IFERROR(__xludf.DUMMYFUNCTION("""COMPUTED_VALUE"""),"Ben")</f>
        <v>Ben</v>
      </c>
      <c r="F728">
        <f>IFERROR(__xludf.DUMMYFUNCTION("""COMPUTED_VALUE"""),9.9)</f>
        <v>9.9</v>
      </c>
    </row>
    <row r="729">
      <c r="D729" t="str">
        <f>IFERROR(__xludf.DUMMYFUNCTION("""COMPUTED_VALUE"""),"Garnett")</f>
        <v>Garnett</v>
      </c>
      <c r="E729" t="str">
        <f>IFERROR(__xludf.DUMMYFUNCTION("""COMPUTED_VALUE"""),"Joshua")</f>
        <v>Joshua</v>
      </c>
      <c r="F729">
        <f>IFERROR(__xludf.DUMMYFUNCTION("""COMPUTED_VALUE"""),11.1)</f>
        <v>11.1</v>
      </c>
    </row>
    <row r="730">
      <c r="D730" t="str">
        <f>IFERROR(__xludf.DUMMYFUNCTION("""COMPUTED_VALUE"""),"Garoppolo")</f>
        <v>Garoppolo</v>
      </c>
      <c r="E730" t="str">
        <f>IFERROR(__xludf.DUMMYFUNCTION("""COMPUTED_VALUE"""),"Jimmy")</f>
        <v>Jimmy</v>
      </c>
      <c r="F730">
        <f>IFERROR(__xludf.DUMMYFUNCTION("""COMPUTED_VALUE"""),10.799999999999999)</f>
        <v>10.8</v>
      </c>
    </row>
    <row r="731">
      <c r="D731" t="str">
        <f>IFERROR(__xludf.DUMMYFUNCTION("""COMPUTED_VALUE"""),"Garvin")</f>
        <v>Garvin</v>
      </c>
      <c r="E731" t="str">
        <f>IFERROR(__xludf.DUMMYFUNCTION("""COMPUTED_VALUE"""),"Terence")</f>
        <v>Terence</v>
      </c>
      <c r="F731">
        <f>IFERROR(__xludf.DUMMYFUNCTION("""COMPUTED_VALUE"""),10.049999999999999)</f>
        <v>10.05</v>
      </c>
    </row>
    <row r="732">
      <c r="D732" t="str">
        <f>IFERROR(__xludf.DUMMYFUNCTION("""COMPUTED_VALUE"""),"Gary")</f>
        <v>Gary</v>
      </c>
      <c r="E732" t="str">
        <f>IFERROR(__xludf.DUMMYFUNCTION("""COMPUTED_VALUE"""),"Shamiel")</f>
        <v>Shamiel</v>
      </c>
      <c r="F732">
        <f>IFERROR(__xludf.DUMMYFUNCTION("""COMPUTED_VALUE"""),9.6)</f>
        <v>9.6</v>
      </c>
    </row>
    <row r="733">
      <c r="D733" t="str">
        <f>IFERROR(__xludf.DUMMYFUNCTION("""COMPUTED_VALUE"""),"Gates")</f>
        <v>Gates</v>
      </c>
      <c r="E733" t="str">
        <f>IFERROR(__xludf.DUMMYFUNCTION("""COMPUTED_VALUE"""),"Antonio")</f>
        <v>Antonio</v>
      </c>
      <c r="F733">
        <f>IFERROR(__xludf.DUMMYFUNCTION("""COMPUTED_VALUE"""),12.75)</f>
        <v>12.75</v>
      </c>
    </row>
    <row r="734">
      <c r="D734" t="str">
        <f>IFERROR(__xludf.DUMMYFUNCTION("""COMPUTED_VALUE"""),"Gathers")</f>
        <v>Gathers</v>
      </c>
      <c r="E734" t="str">
        <f>IFERROR(__xludf.DUMMYFUNCTION("""COMPUTED_VALUE"""),"Rico")</f>
        <v>Rico</v>
      </c>
      <c r="F734">
        <f>IFERROR(__xludf.DUMMYFUNCTION("""COMPUTED_VALUE"""),9.0)</f>
        <v>9</v>
      </c>
    </row>
    <row r="735">
      <c r="D735" t="str">
        <f>IFERROR(__xludf.DUMMYFUNCTION("""COMPUTED_VALUE"""),"Gause")</f>
        <v>Gause</v>
      </c>
      <c r="E735" t="str">
        <f>IFERROR(__xludf.DUMMYFUNCTION("""COMPUTED_VALUE"""),"Quentin")</f>
        <v>Quentin</v>
      </c>
      <c r="F735">
        <f>IFERROR(__xludf.DUMMYFUNCTION("""COMPUTED_VALUE"""),8.549999999999999)</f>
        <v>8.55</v>
      </c>
    </row>
    <row r="736">
      <c r="D736" t="str">
        <f>IFERROR(__xludf.DUMMYFUNCTION("""COMPUTED_VALUE"""),"Gay")</f>
        <v>Gay</v>
      </c>
      <c r="E736" t="str">
        <f>IFERROR(__xludf.DUMMYFUNCTION("""COMPUTED_VALUE"""),"Jordan")</f>
        <v>Jordan</v>
      </c>
      <c r="F736">
        <f>IFERROR(__xludf.DUMMYFUNCTION("""COMPUTED_VALUE"""),10.65)</f>
        <v>10.65</v>
      </c>
    </row>
    <row r="737">
      <c r="D737" t="str">
        <f>IFERROR(__xludf.DUMMYFUNCTION("""COMPUTED_VALUE"""),"Gay")</f>
        <v>Gay</v>
      </c>
      <c r="E737" t="str">
        <f>IFERROR(__xludf.DUMMYFUNCTION("""COMPUTED_VALUE"""),"William")</f>
        <v>William</v>
      </c>
      <c r="F737">
        <f>IFERROR(__xludf.DUMMYFUNCTION("""COMPUTED_VALUE"""),12.299999999999999)</f>
        <v>12.3</v>
      </c>
    </row>
    <row r="738">
      <c r="D738" t="str">
        <f>IFERROR(__xludf.DUMMYFUNCTION("""COMPUTED_VALUE"""),"Geathers")</f>
        <v>Geathers</v>
      </c>
      <c r="E738" t="str">
        <f>IFERROR(__xludf.DUMMYFUNCTION("""COMPUTED_VALUE"""),"Clayton")</f>
        <v>Clayton</v>
      </c>
      <c r="F738">
        <f>IFERROR(__xludf.DUMMYFUNCTION("""COMPUTED_VALUE"""),10.5)</f>
        <v>10.5</v>
      </c>
    </row>
    <row r="739">
      <c r="D739" t="str">
        <f>IFERROR(__xludf.DUMMYFUNCTION("""COMPUTED_VALUE"""),"George")</f>
        <v>George</v>
      </c>
      <c r="E739" t="str">
        <f>IFERROR(__xludf.DUMMYFUNCTION("""COMPUTED_VALUE"""),"Jeremiah")</f>
        <v>Jeremiah</v>
      </c>
      <c r="F739">
        <f>IFERROR(__xludf.DUMMYFUNCTION("""COMPUTED_VALUE"""),10.2)</f>
        <v>10.2</v>
      </c>
    </row>
    <row r="740">
      <c r="D740" t="str">
        <f>IFERROR(__xludf.DUMMYFUNCTION("""COMPUTED_VALUE"""),"Gerhart")</f>
        <v>Gerhart</v>
      </c>
      <c r="E740" t="str">
        <f>IFERROR(__xludf.DUMMYFUNCTION("""COMPUTED_VALUE"""),"Garth")</f>
        <v>Garth</v>
      </c>
      <c r="F740">
        <f>IFERROR(__xludf.DUMMYFUNCTION("""COMPUTED_VALUE"""),9.9)</f>
        <v>9.9</v>
      </c>
    </row>
    <row r="741">
      <c r="D741" t="str">
        <f>IFERROR(__xludf.DUMMYFUNCTION("""COMPUTED_VALUE"""),"Gettis")</f>
        <v>Gettis</v>
      </c>
      <c r="E741" t="str">
        <f>IFERROR(__xludf.DUMMYFUNCTION("""COMPUTED_VALUE"""),"Adam")</f>
        <v>Adam</v>
      </c>
      <c r="F741">
        <f>IFERROR(__xludf.DUMMYFUNCTION("""COMPUTED_VALUE"""),9.9)</f>
        <v>9.9</v>
      </c>
    </row>
    <row r="742">
      <c r="D742" t="str">
        <f>IFERROR(__xludf.DUMMYFUNCTION("""COMPUTED_VALUE"""),"Gholston")</f>
        <v>Gholston</v>
      </c>
      <c r="E742" t="str">
        <f>IFERROR(__xludf.DUMMYFUNCTION("""COMPUTED_VALUE"""),"William")</f>
        <v>William</v>
      </c>
      <c r="F742">
        <f>IFERROR(__xludf.DUMMYFUNCTION("""COMPUTED_VALUE"""),11.7)</f>
        <v>11.7</v>
      </c>
    </row>
    <row r="743">
      <c r="D743" t="str">
        <f>IFERROR(__xludf.DUMMYFUNCTION("""COMPUTED_VALUE"""),"Giacomini")</f>
        <v>Giacomini</v>
      </c>
      <c r="E743" t="str">
        <f>IFERROR(__xludf.DUMMYFUNCTION("""COMPUTED_VALUE"""),"Breno")</f>
        <v>Breno</v>
      </c>
      <c r="F743">
        <f>IFERROR(__xludf.DUMMYFUNCTION("""COMPUTED_VALUE"""),10.35)</f>
        <v>10.35</v>
      </c>
    </row>
    <row r="744">
      <c r="D744" t="str">
        <f>IFERROR(__xludf.DUMMYFUNCTION("""COMPUTED_VALUE"""),"Gibson")</f>
        <v>Gibson</v>
      </c>
      <c r="E744" t="str">
        <f>IFERROR(__xludf.DUMMYFUNCTION("""COMPUTED_VALUE"""),"Laurence")</f>
        <v>Laurence</v>
      </c>
      <c r="F744">
        <f>IFERROR(__xludf.DUMMYFUNCTION("""COMPUTED_VALUE"""),9.6)</f>
        <v>9.6</v>
      </c>
    </row>
    <row r="745">
      <c r="D745" t="str">
        <f>IFERROR(__xludf.DUMMYFUNCTION("""COMPUTED_VALUE"""),"Gilberry")</f>
        <v>Gilberry</v>
      </c>
      <c r="E745" t="str">
        <f>IFERROR(__xludf.DUMMYFUNCTION("""COMPUTED_VALUE"""),"Wallace")</f>
        <v>Wallace</v>
      </c>
      <c r="F745">
        <f>IFERROR(__xludf.DUMMYFUNCTION("""COMPUTED_VALUE"""),11.1)</f>
        <v>11.1</v>
      </c>
    </row>
    <row r="746">
      <c r="D746" t="str">
        <f>IFERROR(__xludf.DUMMYFUNCTION("""COMPUTED_VALUE"""),"Gilbert")</f>
        <v>Gilbert</v>
      </c>
      <c r="E746" t="str">
        <f>IFERROR(__xludf.DUMMYFUNCTION("""COMPUTED_VALUE"""),"Justin")</f>
        <v>Justin</v>
      </c>
      <c r="F746">
        <f>IFERROR(__xludf.DUMMYFUNCTION("""COMPUTED_VALUE"""),11.1)</f>
        <v>11.1</v>
      </c>
    </row>
    <row r="747">
      <c r="D747" t="str">
        <f>IFERROR(__xludf.DUMMYFUNCTION("""COMPUTED_VALUE"""),"Gilbert")</f>
        <v>Gilbert</v>
      </c>
      <c r="E747" t="str">
        <f>IFERROR(__xludf.DUMMYFUNCTION("""COMPUTED_VALUE"""),"Marcus")</f>
        <v>Marcus</v>
      </c>
      <c r="F747">
        <f>IFERROR(__xludf.DUMMYFUNCTION("""COMPUTED_VALUE"""),12.45)</f>
        <v>12.45</v>
      </c>
    </row>
    <row r="748">
      <c r="D748" t="str">
        <f>IFERROR(__xludf.DUMMYFUNCTION("""COMPUTED_VALUE"""),"Gilbert")</f>
        <v>Gilbert</v>
      </c>
      <c r="E748" t="str">
        <f>IFERROR(__xludf.DUMMYFUNCTION("""COMPUTED_VALUE"""),"Reggie")</f>
        <v>Reggie</v>
      </c>
      <c r="F748">
        <f>IFERROR(__xludf.DUMMYFUNCTION("""COMPUTED_VALUE"""),8.549999999999999)</f>
        <v>8.55</v>
      </c>
    </row>
    <row r="749">
      <c r="D749" t="str">
        <f>IFERROR(__xludf.DUMMYFUNCTION("""COMPUTED_VALUE"""),"Gilchrist")</f>
        <v>Gilchrist</v>
      </c>
      <c r="E749" t="str">
        <f>IFERROR(__xludf.DUMMYFUNCTION("""COMPUTED_VALUE"""),"Marcus")</f>
        <v>Marcus</v>
      </c>
      <c r="F749">
        <f>IFERROR(__xludf.DUMMYFUNCTION("""COMPUTED_VALUE"""),12.299999999999999)</f>
        <v>12.3</v>
      </c>
    </row>
    <row r="750">
      <c r="D750" t="str">
        <f>IFERROR(__xludf.DUMMYFUNCTION("""COMPUTED_VALUE"""),"Gilliam")</f>
        <v>Gilliam</v>
      </c>
      <c r="E750" t="str">
        <f>IFERROR(__xludf.DUMMYFUNCTION("""COMPUTED_VALUE"""),"Garry")</f>
        <v>Garry</v>
      </c>
      <c r="F750">
        <f>IFERROR(__xludf.DUMMYFUNCTION("""COMPUTED_VALUE"""),10.799999999999999)</f>
        <v>10.8</v>
      </c>
    </row>
    <row r="751">
      <c r="D751" t="str">
        <f>IFERROR(__xludf.DUMMYFUNCTION("""COMPUTED_VALUE"""),"Gillislee")</f>
        <v>Gillislee</v>
      </c>
      <c r="E751" t="str">
        <f>IFERROR(__xludf.DUMMYFUNCTION("""COMPUTED_VALUE"""),"Mike")</f>
        <v>Mike</v>
      </c>
      <c r="F751">
        <f>IFERROR(__xludf.DUMMYFUNCTION("""COMPUTED_VALUE"""),10.5)</f>
        <v>10.5</v>
      </c>
    </row>
    <row r="752">
      <c r="D752" t="str">
        <f>IFERROR(__xludf.DUMMYFUNCTION("""COMPUTED_VALUE"""),"Gillmore")</f>
        <v>Gillmore</v>
      </c>
      <c r="E752" t="str">
        <f>IFERROR(__xludf.DUMMYFUNCTION("""COMPUTED_VALUE"""),"Crockett")</f>
        <v>Crockett</v>
      </c>
      <c r="F752">
        <f>IFERROR(__xludf.DUMMYFUNCTION("""COMPUTED_VALUE"""),11.7)</f>
        <v>11.7</v>
      </c>
    </row>
    <row r="753">
      <c r="D753" t="str">
        <f>IFERROR(__xludf.DUMMYFUNCTION("""COMPUTED_VALUE"""),"Gilmore")</f>
        <v>Gilmore</v>
      </c>
      <c r="E753" t="str">
        <f>IFERROR(__xludf.DUMMYFUNCTION("""COMPUTED_VALUE"""),"Stephon")</f>
        <v>Stephon</v>
      </c>
      <c r="F753">
        <f>IFERROR(__xludf.DUMMYFUNCTION("""COMPUTED_VALUE"""),12.75)</f>
        <v>12.75</v>
      </c>
    </row>
    <row r="754">
      <c r="D754" t="str">
        <f>IFERROR(__xludf.DUMMYFUNCTION("""COMPUTED_VALUE"""),"Ginn Jr.")</f>
        <v>Ginn Jr.</v>
      </c>
      <c r="E754" t="str">
        <f>IFERROR(__xludf.DUMMYFUNCTION("""COMPUTED_VALUE"""),"Ted")</f>
        <v>Ted</v>
      </c>
      <c r="F754">
        <f>IFERROR(__xludf.DUMMYFUNCTION("""COMPUTED_VALUE"""),11.549999999999999)</f>
        <v>11.55</v>
      </c>
    </row>
    <row r="755">
      <c r="D755" t="str">
        <f>IFERROR(__xludf.DUMMYFUNCTION("""COMPUTED_VALUE"""),"Gipson")</f>
        <v>Gipson</v>
      </c>
      <c r="E755" t="str">
        <f>IFERROR(__xludf.DUMMYFUNCTION("""COMPUTED_VALUE"""),"Tashaun")</f>
        <v>Tashaun</v>
      </c>
      <c r="F755">
        <f>IFERROR(__xludf.DUMMYFUNCTION("""COMPUTED_VALUE"""),11.549999999999999)</f>
        <v>11.55</v>
      </c>
    </row>
    <row r="756">
      <c r="D756" t="str">
        <f>IFERROR(__xludf.DUMMYFUNCTION("""COMPUTED_VALUE"""),"Givens")</f>
        <v>Givens</v>
      </c>
      <c r="E756" t="str">
        <f>IFERROR(__xludf.DUMMYFUNCTION("""COMPUTED_VALUE"""),"Chris")</f>
        <v>Chris</v>
      </c>
      <c r="F756">
        <f>IFERROR(__xludf.DUMMYFUNCTION("""COMPUTED_VALUE"""),10.2)</f>
        <v>10.2</v>
      </c>
    </row>
    <row r="757">
      <c r="D757" t="str">
        <f>IFERROR(__xludf.DUMMYFUNCTION("""COMPUTED_VALUE"""),"Glanton")</f>
        <v>Glanton</v>
      </c>
      <c r="E757" t="str">
        <f>IFERROR(__xludf.DUMMYFUNCTION("""COMPUTED_VALUE"""),"Adarius")</f>
        <v>Adarius</v>
      </c>
      <c r="F757">
        <f>IFERROR(__xludf.DUMMYFUNCTION("""COMPUTED_VALUE"""),9.15)</f>
        <v>9.15</v>
      </c>
    </row>
    <row r="758">
      <c r="D758" t="str">
        <f>IFERROR(__xludf.DUMMYFUNCTION("""COMPUTED_VALUE"""),"Glasgow")</f>
        <v>Glasgow</v>
      </c>
      <c r="E758" t="str">
        <f>IFERROR(__xludf.DUMMYFUNCTION("""COMPUTED_VALUE"""),"Graham")</f>
        <v>Graham</v>
      </c>
      <c r="F758">
        <f>IFERROR(__xludf.DUMMYFUNCTION("""COMPUTED_VALUE"""),10.35)</f>
        <v>10.35</v>
      </c>
    </row>
    <row r="759">
      <c r="D759" t="str">
        <f>IFERROR(__xludf.DUMMYFUNCTION("""COMPUTED_VALUE"""),"Glenn")</f>
        <v>Glenn</v>
      </c>
      <c r="E759" t="str">
        <f>IFERROR(__xludf.DUMMYFUNCTION("""COMPUTED_VALUE"""),"Cordy")</f>
        <v>Cordy</v>
      </c>
      <c r="F759">
        <f>IFERROR(__xludf.DUMMYFUNCTION("""COMPUTED_VALUE"""),13.35)</f>
        <v>13.35</v>
      </c>
    </row>
    <row r="760">
      <c r="D760" t="str">
        <f>IFERROR(__xludf.DUMMYFUNCTION("""COMPUTED_VALUE"""),"Glenn")</f>
        <v>Glenn</v>
      </c>
      <c r="E760" t="str">
        <f>IFERROR(__xludf.DUMMYFUNCTION("""COMPUTED_VALUE"""),"Jacoby")</f>
        <v>Jacoby</v>
      </c>
      <c r="F760">
        <f>IFERROR(__xludf.DUMMYFUNCTION("""COMPUTED_VALUE"""),9.299999999999999)</f>
        <v>9.3</v>
      </c>
    </row>
    <row r="761">
      <c r="D761" t="str">
        <f>IFERROR(__xludf.DUMMYFUNCTION("""COMPUTED_VALUE"""),"Glennon")</f>
        <v>Glennon</v>
      </c>
      <c r="E761" t="str">
        <f>IFERROR(__xludf.DUMMYFUNCTION("""COMPUTED_VALUE"""),"Mike")</f>
        <v>Mike</v>
      </c>
      <c r="F761">
        <f>IFERROR(__xludf.DUMMYFUNCTION("""COMPUTED_VALUE"""),10.65)</f>
        <v>10.65</v>
      </c>
    </row>
    <row r="762">
      <c r="D762" t="str">
        <f>IFERROR(__xludf.DUMMYFUNCTION("""COMPUTED_VALUE"""),"Glover")</f>
        <v>Glover</v>
      </c>
      <c r="E762" t="str">
        <f>IFERROR(__xludf.DUMMYFUNCTION("""COMPUTED_VALUE"""),"Antonio")</f>
        <v>Antonio</v>
      </c>
      <c r="F762">
        <f>IFERROR(__xludf.DUMMYFUNCTION("""COMPUTED_VALUE"""),9.45)</f>
        <v>9.45</v>
      </c>
    </row>
    <row r="763">
      <c r="D763" t="str">
        <f>IFERROR(__xludf.DUMMYFUNCTION("""COMPUTED_VALUE"""),"Glover-Wright")</f>
        <v>Glover-Wright</v>
      </c>
      <c r="E763" t="str">
        <f>IFERROR(__xludf.DUMMYFUNCTION("""COMPUTED_VALUE"""),"Tay")</f>
        <v>Tay</v>
      </c>
      <c r="F763">
        <f>IFERROR(__xludf.DUMMYFUNCTION("""COMPUTED_VALUE"""),10.049999999999999)</f>
        <v>10.05</v>
      </c>
    </row>
    <row r="764">
      <c r="D764" t="str">
        <f>IFERROR(__xludf.DUMMYFUNCTION("""COMPUTED_VALUE"""),"Glowinski")</f>
        <v>Glowinski</v>
      </c>
      <c r="E764" t="str">
        <f>IFERROR(__xludf.DUMMYFUNCTION("""COMPUTED_VALUE"""),"Mark")</f>
        <v>Mark</v>
      </c>
      <c r="F764">
        <f>IFERROR(__xludf.DUMMYFUNCTION("""COMPUTED_VALUE"""),10.35)</f>
        <v>10.35</v>
      </c>
    </row>
    <row r="765">
      <c r="D765" t="str">
        <f>IFERROR(__xludf.DUMMYFUNCTION("""COMPUTED_VALUE"""),"Godfrey")</f>
        <v>Godfrey</v>
      </c>
      <c r="E765" t="str">
        <f>IFERROR(__xludf.DUMMYFUNCTION("""COMPUTED_VALUE"""),"Charles")</f>
        <v>Charles</v>
      </c>
      <c r="F765">
        <f>IFERROR(__xludf.DUMMYFUNCTION("""COMPUTED_VALUE"""),10.799999999999999)</f>
        <v>10.8</v>
      </c>
    </row>
    <row r="766">
      <c r="D766" t="str">
        <f>IFERROR(__xludf.DUMMYFUNCTION("""COMPUTED_VALUE"""),"Goff")</f>
        <v>Goff</v>
      </c>
      <c r="E766" t="str">
        <f>IFERROR(__xludf.DUMMYFUNCTION("""COMPUTED_VALUE"""),"Jared")</f>
        <v>Jared</v>
      </c>
      <c r="F766">
        <f>IFERROR(__xludf.DUMMYFUNCTION("""COMPUTED_VALUE"""),11.549999999999999)</f>
        <v>11.55</v>
      </c>
    </row>
    <row r="767">
      <c r="D767" t="str">
        <f>IFERROR(__xludf.DUMMYFUNCTION("""COMPUTED_VALUE"""),"Golden")</f>
        <v>Golden</v>
      </c>
      <c r="E767" t="str">
        <f>IFERROR(__xludf.DUMMYFUNCTION("""COMPUTED_VALUE"""),"Brittan")</f>
        <v>Brittan</v>
      </c>
      <c r="F767">
        <f>IFERROR(__xludf.DUMMYFUNCTION("""COMPUTED_VALUE"""),9.299999999999999)</f>
        <v>9.3</v>
      </c>
    </row>
    <row r="768">
      <c r="D768" t="str">
        <f>IFERROR(__xludf.DUMMYFUNCTION("""COMPUTED_VALUE"""),"Golden")</f>
        <v>Golden</v>
      </c>
      <c r="E768" t="str">
        <f>IFERROR(__xludf.DUMMYFUNCTION("""COMPUTED_VALUE"""),"Markus")</f>
        <v>Markus</v>
      </c>
      <c r="F768">
        <f>IFERROR(__xludf.DUMMYFUNCTION("""COMPUTED_VALUE"""),10.35)</f>
        <v>10.35</v>
      </c>
    </row>
    <row r="769">
      <c r="D769" t="str">
        <f>IFERROR(__xludf.DUMMYFUNCTION("""COMPUTED_VALUE"""),"Golden")</f>
        <v>Golden</v>
      </c>
      <c r="E769" t="str">
        <f>IFERROR(__xludf.DUMMYFUNCTION("""COMPUTED_VALUE"""),"Robert")</f>
        <v>Robert</v>
      </c>
      <c r="F769">
        <f>IFERROR(__xludf.DUMMYFUNCTION("""COMPUTED_VALUE"""),11.1)</f>
        <v>11.1</v>
      </c>
    </row>
    <row r="770">
      <c r="D770" t="str">
        <f>IFERROR(__xludf.DUMMYFUNCTION("""COMPUTED_VALUE"""),"Goldman")</f>
        <v>Goldman</v>
      </c>
      <c r="E770" t="str">
        <f>IFERROR(__xludf.DUMMYFUNCTION("""COMPUTED_VALUE"""),"Eddie")</f>
        <v>Eddie</v>
      </c>
      <c r="F770">
        <f>IFERROR(__xludf.DUMMYFUNCTION("""COMPUTED_VALUE"""),11.4)</f>
        <v>11.4</v>
      </c>
    </row>
    <row r="771">
      <c r="D771" t="str">
        <f>IFERROR(__xludf.DUMMYFUNCTION("""COMPUTED_VALUE"""),"Golson")</f>
        <v>Golson</v>
      </c>
      <c r="E771" t="str">
        <f>IFERROR(__xludf.DUMMYFUNCTION("""COMPUTED_VALUE"""),"Senquez")</f>
        <v>Senquez</v>
      </c>
      <c r="F771">
        <f>IFERROR(__xludf.DUMMYFUNCTION("""COMPUTED_VALUE"""),10.65)</f>
        <v>10.65</v>
      </c>
    </row>
    <row r="772">
      <c r="D772" t="str">
        <f>IFERROR(__xludf.DUMMYFUNCTION("""COMPUTED_VALUE"""),"Golston")</f>
        <v>Golston</v>
      </c>
      <c r="E772" t="str">
        <f>IFERROR(__xludf.DUMMYFUNCTION("""COMPUTED_VALUE"""),"Kedric")</f>
        <v>Kedric</v>
      </c>
      <c r="F772">
        <f>IFERROR(__xludf.DUMMYFUNCTION("""COMPUTED_VALUE"""),10.65)</f>
        <v>10.65</v>
      </c>
    </row>
    <row r="773">
      <c r="D773" t="str">
        <f>IFERROR(__xludf.DUMMYFUNCTION("""COMPUTED_VALUE"""),"Good")</f>
        <v>Good</v>
      </c>
      <c r="E773" t="str">
        <f>IFERROR(__xludf.DUMMYFUNCTION("""COMPUTED_VALUE"""),"Denzelle")</f>
        <v>Denzelle</v>
      </c>
      <c r="F773">
        <f>IFERROR(__xludf.DUMMYFUNCTION("""COMPUTED_VALUE"""),10.35)</f>
        <v>10.35</v>
      </c>
    </row>
    <row r="774">
      <c r="D774" t="str">
        <f>IFERROR(__xludf.DUMMYFUNCTION("""COMPUTED_VALUE"""),"Goode")</f>
        <v>Goode</v>
      </c>
      <c r="E774" t="str">
        <f>IFERROR(__xludf.DUMMYFUNCTION("""COMPUTED_VALUE"""),"Najee")</f>
        <v>Najee</v>
      </c>
      <c r="F774">
        <f>IFERROR(__xludf.DUMMYFUNCTION("""COMPUTED_VALUE"""),9.6)</f>
        <v>9.6</v>
      </c>
    </row>
    <row r="775">
      <c r="D775" t="str">
        <f>IFERROR(__xludf.DUMMYFUNCTION("""COMPUTED_VALUE"""),"Gooden")</f>
        <v>Gooden</v>
      </c>
      <c r="E775" t="str">
        <f>IFERROR(__xludf.DUMMYFUNCTION("""COMPUTED_VALUE"""),"Zaviar")</f>
        <v>Zaviar</v>
      </c>
      <c r="F775">
        <f>IFERROR(__xludf.DUMMYFUNCTION("""COMPUTED_VALUE"""),10.049999999999999)</f>
        <v>10.05</v>
      </c>
    </row>
    <row r="776">
      <c r="D776" t="str">
        <f>IFERROR(__xludf.DUMMYFUNCTION("""COMPUTED_VALUE"""),"Goodley")</f>
        <v>Goodley</v>
      </c>
      <c r="E776" t="str">
        <f>IFERROR(__xludf.DUMMYFUNCTION("""COMPUTED_VALUE"""),"Antwan")</f>
        <v>Antwan</v>
      </c>
      <c r="F776">
        <f>IFERROR(__xludf.DUMMYFUNCTION("""COMPUTED_VALUE"""),9.75)</f>
        <v>9.75</v>
      </c>
    </row>
    <row r="777">
      <c r="D777" t="str">
        <f>IFERROR(__xludf.DUMMYFUNCTION("""COMPUTED_VALUE"""),"Goodman")</f>
        <v>Goodman</v>
      </c>
      <c r="E777" t="str">
        <f>IFERROR(__xludf.DUMMYFUNCTION("""COMPUTED_VALUE"""),"Malliciah")</f>
        <v>Malliciah</v>
      </c>
      <c r="F777">
        <f>IFERROR(__xludf.DUMMYFUNCTION("""COMPUTED_VALUE"""),10.2)</f>
        <v>10.2</v>
      </c>
    </row>
    <row r="778">
      <c r="D778" t="str">
        <f>IFERROR(__xludf.DUMMYFUNCTION("""COMPUTED_VALUE"""),"Goodson")</f>
        <v>Goodson</v>
      </c>
      <c r="E778" t="str">
        <f>IFERROR(__xludf.DUMMYFUNCTION("""COMPUTED_VALUE"""),"BJ")</f>
        <v>BJ</v>
      </c>
      <c r="F778">
        <f>IFERROR(__xludf.DUMMYFUNCTION("""COMPUTED_VALUE"""),9.9)</f>
        <v>9.9</v>
      </c>
    </row>
    <row r="779">
      <c r="D779" t="str">
        <f>IFERROR(__xludf.DUMMYFUNCTION("""COMPUTED_VALUE"""),"Goodson")</f>
        <v>Goodson</v>
      </c>
      <c r="E779" t="str">
        <f>IFERROR(__xludf.DUMMYFUNCTION("""COMPUTED_VALUE"""),"Demetri")</f>
        <v>Demetri</v>
      </c>
      <c r="F779">
        <f>IFERROR(__xludf.DUMMYFUNCTION("""COMPUTED_VALUE"""),10.2)</f>
        <v>10.2</v>
      </c>
    </row>
    <row r="780">
      <c r="D780" t="str">
        <f>IFERROR(__xludf.DUMMYFUNCTION("""COMPUTED_VALUE"""),"Goodwin")</f>
        <v>Goodwin</v>
      </c>
      <c r="E780" t="str">
        <f>IFERROR(__xludf.DUMMYFUNCTION("""COMPUTED_VALUE"""),"CJ")</f>
        <v>CJ</v>
      </c>
      <c r="F780">
        <f>IFERROR(__xludf.DUMMYFUNCTION("""COMPUTED_VALUE"""),9.15)</f>
        <v>9.15</v>
      </c>
    </row>
    <row r="781">
      <c r="D781" t="str">
        <f>IFERROR(__xludf.DUMMYFUNCTION("""COMPUTED_VALUE"""),"Goodwin")</f>
        <v>Goodwin</v>
      </c>
      <c r="E781" t="str">
        <f>IFERROR(__xludf.DUMMYFUNCTION("""COMPUTED_VALUE"""),"Marquise")</f>
        <v>Marquise</v>
      </c>
      <c r="F781">
        <f>IFERROR(__xludf.DUMMYFUNCTION("""COMPUTED_VALUE"""),10.2)</f>
        <v>10.2</v>
      </c>
    </row>
    <row r="782">
      <c r="D782" t="str">
        <f>IFERROR(__xludf.DUMMYFUNCTION("""COMPUTED_VALUE"""),"Gordon")</f>
        <v>Gordon</v>
      </c>
      <c r="E782" t="str">
        <f>IFERROR(__xludf.DUMMYFUNCTION("""COMPUTED_VALUE"""),"Josh")</f>
        <v>Josh</v>
      </c>
      <c r="F782">
        <f>IFERROR(__xludf.DUMMYFUNCTION("""COMPUTED_VALUE"""),11.4)</f>
        <v>11.4</v>
      </c>
    </row>
    <row r="783">
      <c r="D783" t="str">
        <f>IFERROR(__xludf.DUMMYFUNCTION("""COMPUTED_VALUE"""),"Gordon")</f>
        <v>Gordon</v>
      </c>
      <c r="E783" t="str">
        <f>IFERROR(__xludf.DUMMYFUNCTION("""COMPUTED_VALUE"""),"Melvin")</f>
        <v>Melvin</v>
      </c>
      <c r="F783">
        <f>IFERROR(__xludf.DUMMYFUNCTION("""COMPUTED_VALUE"""),11.4)</f>
        <v>11.4</v>
      </c>
    </row>
    <row r="784">
      <c r="D784" t="str">
        <f>IFERROR(__xludf.DUMMYFUNCTION("""COMPUTED_VALUE"""),"Gore")</f>
        <v>Gore</v>
      </c>
      <c r="E784" t="str">
        <f>IFERROR(__xludf.DUMMYFUNCTION("""COMPUTED_VALUE"""),"Frank")</f>
        <v>Frank</v>
      </c>
      <c r="F784">
        <f>IFERROR(__xludf.DUMMYFUNCTION("""COMPUTED_VALUE"""),11.85)</f>
        <v>11.85</v>
      </c>
    </row>
    <row r="785">
      <c r="D785" t="str">
        <f>IFERROR(__xludf.DUMMYFUNCTION("""COMPUTED_VALUE"""),"Gostkowski")</f>
        <v>Gostkowski</v>
      </c>
      <c r="E785" t="str">
        <f>IFERROR(__xludf.DUMMYFUNCTION("""COMPUTED_VALUE"""),"Stephen")</f>
        <v>Stephen</v>
      </c>
      <c r="F785">
        <f>IFERROR(__xludf.DUMMYFUNCTION("""COMPUTED_VALUE"""),12.75)</f>
        <v>12.75</v>
      </c>
    </row>
    <row r="786">
      <c r="D786" t="str">
        <f>IFERROR(__xludf.DUMMYFUNCTION("""COMPUTED_VALUE"""),"Gotsis")</f>
        <v>Gotsis</v>
      </c>
      <c r="E786" t="str">
        <f>IFERROR(__xludf.DUMMYFUNCTION("""COMPUTED_VALUE"""),"Adam")</f>
        <v>Adam</v>
      </c>
      <c r="F786">
        <f>IFERROR(__xludf.DUMMYFUNCTION("""COMPUTED_VALUE"""),10.2)</f>
        <v>10.2</v>
      </c>
    </row>
    <row r="787">
      <c r="D787" t="str">
        <f>IFERROR(__xludf.DUMMYFUNCTION("""COMPUTED_VALUE"""),"Gould")</f>
        <v>Gould</v>
      </c>
      <c r="E787" t="str">
        <f>IFERROR(__xludf.DUMMYFUNCTION("""COMPUTED_VALUE"""),"Robbie")</f>
        <v>Robbie</v>
      </c>
      <c r="F787">
        <f>IFERROR(__xludf.DUMMYFUNCTION("""COMPUTED_VALUE"""),11.85)</f>
        <v>11.85</v>
      </c>
    </row>
    <row r="788">
      <c r="D788" t="str">
        <f>IFERROR(__xludf.DUMMYFUNCTION("""COMPUTED_VALUE"""),"Gradkowski")</f>
        <v>Gradkowski</v>
      </c>
      <c r="E788" t="str">
        <f>IFERROR(__xludf.DUMMYFUNCTION("""COMPUTED_VALUE"""),"Bruce")</f>
        <v>Bruce</v>
      </c>
      <c r="F788">
        <f>IFERROR(__xludf.DUMMYFUNCTION("""COMPUTED_VALUE"""),10.35)</f>
        <v>10.35</v>
      </c>
    </row>
    <row r="789">
      <c r="D789" t="str">
        <f>IFERROR(__xludf.DUMMYFUNCTION("""COMPUTED_VALUE"""),"Gradkowski")</f>
        <v>Gradkowski</v>
      </c>
      <c r="E789" t="str">
        <f>IFERROR(__xludf.DUMMYFUNCTION("""COMPUTED_VALUE"""),"Gino")</f>
        <v>Gino</v>
      </c>
      <c r="F789">
        <f>IFERROR(__xludf.DUMMYFUNCTION("""COMPUTED_VALUE"""),10.5)</f>
        <v>10.5</v>
      </c>
    </row>
    <row r="790">
      <c r="D790" t="str">
        <f>IFERROR(__xludf.DUMMYFUNCTION("""COMPUTED_VALUE"""),"Graf")</f>
        <v>Graf</v>
      </c>
      <c r="E790" t="str">
        <f>IFERROR(__xludf.DUMMYFUNCTION("""COMPUTED_VALUE"""),"Kevin")</f>
        <v>Kevin</v>
      </c>
      <c r="F790">
        <f>IFERROR(__xludf.DUMMYFUNCTION("""COMPUTED_VALUE"""),9.6)</f>
        <v>9.6</v>
      </c>
    </row>
    <row r="791">
      <c r="D791" t="str">
        <f>IFERROR(__xludf.DUMMYFUNCTION("""COMPUTED_VALUE"""),"Gragg")</f>
        <v>Gragg</v>
      </c>
      <c r="E791" t="str">
        <f>IFERROR(__xludf.DUMMYFUNCTION("""COMPUTED_VALUE"""),"Chris")</f>
        <v>Chris</v>
      </c>
      <c r="F791">
        <f>IFERROR(__xludf.DUMMYFUNCTION("""COMPUTED_VALUE"""),10.799999999999999)</f>
        <v>10.8</v>
      </c>
    </row>
    <row r="792">
      <c r="D792" t="str">
        <f>IFERROR(__xludf.DUMMYFUNCTION("""COMPUTED_VALUE"""),"Graham")</f>
        <v>Graham</v>
      </c>
      <c r="E792" t="str">
        <f>IFERROR(__xludf.DUMMYFUNCTION("""COMPUTED_VALUE"""),"Brandon")</f>
        <v>Brandon</v>
      </c>
      <c r="F792">
        <f>IFERROR(__xludf.DUMMYFUNCTION("""COMPUTED_VALUE"""),13.799999999999999)</f>
        <v>13.8</v>
      </c>
    </row>
    <row r="793">
      <c r="D793" t="str">
        <f>IFERROR(__xludf.DUMMYFUNCTION("""COMPUTED_VALUE"""),"Graham")</f>
        <v>Graham</v>
      </c>
      <c r="E793" t="str">
        <f>IFERROR(__xludf.DUMMYFUNCTION("""COMPUTED_VALUE"""),"Corey")</f>
        <v>Corey</v>
      </c>
      <c r="F793">
        <f>IFERROR(__xludf.DUMMYFUNCTION("""COMPUTED_VALUE"""),12.299999999999999)</f>
        <v>12.3</v>
      </c>
    </row>
    <row r="794">
      <c r="D794" t="str">
        <f>IFERROR(__xludf.DUMMYFUNCTION("""COMPUTED_VALUE"""),"Graham")</f>
        <v>Graham</v>
      </c>
      <c r="E794" t="str">
        <f>IFERROR(__xludf.DUMMYFUNCTION("""COMPUTED_VALUE"""),"Garrett")</f>
        <v>Garrett</v>
      </c>
      <c r="F794">
        <f>IFERROR(__xludf.DUMMYFUNCTION("""COMPUTED_VALUE"""),10.5)</f>
        <v>10.5</v>
      </c>
    </row>
    <row r="795">
      <c r="D795" t="str">
        <f>IFERROR(__xludf.DUMMYFUNCTION("""COMPUTED_VALUE"""),"Graham")</f>
        <v>Graham</v>
      </c>
      <c r="E795" t="str">
        <f>IFERROR(__xludf.DUMMYFUNCTION("""COMPUTED_VALUE"""),"Jimmy")</f>
        <v>Jimmy</v>
      </c>
      <c r="F795">
        <f>IFERROR(__xludf.DUMMYFUNCTION("""COMPUTED_VALUE"""),13.35)</f>
        <v>13.35</v>
      </c>
    </row>
    <row r="796">
      <c r="D796" t="str">
        <f>IFERROR(__xludf.DUMMYFUNCTION("""COMPUTED_VALUE"""),"Graham")</f>
        <v>Graham</v>
      </c>
      <c r="E796" t="str">
        <f>IFERROR(__xludf.DUMMYFUNCTION("""COMPUTED_VALUE"""),"TJ")</f>
        <v>TJ</v>
      </c>
      <c r="F796">
        <f>IFERROR(__xludf.DUMMYFUNCTION("""COMPUTED_VALUE"""),9.9)</f>
        <v>9.9</v>
      </c>
    </row>
    <row r="797">
      <c r="D797" t="str">
        <f>IFERROR(__xludf.DUMMYFUNCTION("""COMPUTED_VALUE"""),"Grant")</f>
        <v>Grant</v>
      </c>
      <c r="E797" t="str">
        <f>IFERROR(__xludf.DUMMYFUNCTION("""COMPUTED_VALUE"""),"Antwane")</f>
        <v>Antwane</v>
      </c>
      <c r="F797">
        <f>IFERROR(__xludf.DUMMYFUNCTION("""COMPUTED_VALUE"""),8.85)</f>
        <v>8.85</v>
      </c>
    </row>
    <row r="798">
      <c r="D798" t="str">
        <f>IFERROR(__xludf.DUMMYFUNCTION("""COMPUTED_VALUE"""),"Grant")</f>
        <v>Grant</v>
      </c>
      <c r="E798" t="str">
        <f>IFERROR(__xludf.DUMMYFUNCTION("""COMPUTED_VALUE"""),"Corey")</f>
        <v>Corey</v>
      </c>
      <c r="F798">
        <f>IFERROR(__xludf.DUMMYFUNCTION("""COMPUTED_VALUE"""),8.85)</f>
        <v>8.85</v>
      </c>
    </row>
    <row r="799">
      <c r="D799" t="str">
        <f>IFERROR(__xludf.DUMMYFUNCTION("""COMPUTED_VALUE"""),"Grant")</f>
        <v>Grant</v>
      </c>
      <c r="E799" t="str">
        <f>IFERROR(__xludf.DUMMYFUNCTION("""COMPUTED_VALUE"""),"Doran")</f>
        <v>Doran</v>
      </c>
      <c r="F799">
        <f>IFERROR(__xludf.DUMMYFUNCTION("""COMPUTED_VALUE"""),9.9)</f>
        <v>9.9</v>
      </c>
    </row>
    <row r="800">
      <c r="D800" t="str">
        <f>IFERROR(__xludf.DUMMYFUNCTION("""COMPUTED_VALUE"""),"Grant")</f>
        <v>Grant</v>
      </c>
      <c r="E800" t="str">
        <f>IFERROR(__xludf.DUMMYFUNCTION("""COMPUTED_VALUE"""),"Jakeem")</f>
        <v>Jakeem</v>
      </c>
      <c r="F800">
        <f>IFERROR(__xludf.DUMMYFUNCTION("""COMPUTED_VALUE"""),9.9)</f>
        <v>9.9</v>
      </c>
    </row>
    <row r="801">
      <c r="D801" t="str">
        <f>IFERROR(__xludf.DUMMYFUNCTION("""COMPUTED_VALUE"""),"Grant")</f>
        <v>Grant</v>
      </c>
      <c r="E801" t="str">
        <f>IFERROR(__xludf.DUMMYFUNCTION("""COMPUTED_VALUE"""),"Ryan")</f>
        <v>Ryan</v>
      </c>
      <c r="F801">
        <f>IFERROR(__xludf.DUMMYFUNCTION("""COMPUTED_VALUE"""),10.35)</f>
        <v>10.35</v>
      </c>
    </row>
    <row r="802">
      <c r="D802" t="str">
        <f>IFERROR(__xludf.DUMMYFUNCTION("""COMPUTED_VALUE"""),"Grasu")</f>
        <v>Grasu</v>
      </c>
      <c r="E802" t="str">
        <f>IFERROR(__xludf.DUMMYFUNCTION("""COMPUTED_VALUE"""),"Hroniss")</f>
        <v>Hroniss</v>
      </c>
      <c r="F802">
        <f>IFERROR(__xludf.DUMMYFUNCTION("""COMPUTED_VALUE"""),10.2)</f>
        <v>10.2</v>
      </c>
    </row>
    <row r="803">
      <c r="D803" t="str">
        <f>IFERROR(__xludf.DUMMYFUNCTION("""COMPUTED_VALUE"""),"Gratz")</f>
        <v>Gratz</v>
      </c>
      <c r="E803" t="str">
        <f>IFERROR(__xludf.DUMMYFUNCTION("""COMPUTED_VALUE"""),"Dwayne")</f>
        <v>Dwayne</v>
      </c>
      <c r="F803">
        <f>IFERROR(__xludf.DUMMYFUNCTION("""COMPUTED_VALUE"""),11.1)</f>
        <v>11.1</v>
      </c>
    </row>
    <row r="804">
      <c r="D804" t="str">
        <f>IFERROR(__xludf.DUMMYFUNCTION("""COMPUTED_VALUE"""),"Gray")</f>
        <v>Gray</v>
      </c>
      <c r="E804" t="str">
        <f>IFERROR(__xludf.DUMMYFUNCTION("""COMPUTED_VALUE"""),"MarQueis")</f>
        <v>MarQueis</v>
      </c>
      <c r="F804">
        <f>IFERROR(__xludf.DUMMYFUNCTION("""COMPUTED_VALUE"""),10.35)</f>
        <v>10.35</v>
      </c>
    </row>
    <row r="805">
      <c r="D805" t="str">
        <f>IFERROR(__xludf.DUMMYFUNCTION("""COMPUTED_VALUE"""),"Grayson")</f>
        <v>Grayson</v>
      </c>
      <c r="E805" t="str">
        <f>IFERROR(__xludf.DUMMYFUNCTION("""COMPUTED_VALUE"""),"Garrett")</f>
        <v>Garrett</v>
      </c>
      <c r="F805">
        <f>IFERROR(__xludf.DUMMYFUNCTION("""COMPUTED_VALUE"""),9.6)</f>
        <v>9.6</v>
      </c>
    </row>
    <row r="806">
      <c r="D806" t="str">
        <f>IFERROR(__xludf.DUMMYFUNCTION("""COMPUTED_VALUE"""),"Greco")</f>
        <v>Greco</v>
      </c>
      <c r="E806" t="str">
        <f>IFERROR(__xludf.DUMMYFUNCTION("""COMPUTED_VALUE"""),"John")</f>
        <v>John</v>
      </c>
      <c r="F806">
        <f>IFERROR(__xludf.DUMMYFUNCTION("""COMPUTED_VALUE"""),11.549999999999999)</f>
        <v>11.55</v>
      </c>
    </row>
    <row r="807">
      <c r="D807" t="str">
        <f>IFERROR(__xludf.DUMMYFUNCTION("""COMPUTED_VALUE"""),"Green")</f>
        <v>Green</v>
      </c>
      <c r="E807" t="str">
        <f>IFERROR(__xludf.DUMMYFUNCTION("""COMPUTED_VALUE"""),"AJ")</f>
        <v>AJ</v>
      </c>
      <c r="F807">
        <f>IFERROR(__xludf.DUMMYFUNCTION("""COMPUTED_VALUE"""),13.95)</f>
        <v>13.95</v>
      </c>
    </row>
    <row r="808">
      <c r="D808" t="str">
        <f>IFERROR(__xludf.DUMMYFUNCTION("""COMPUTED_VALUE"""),"Green")</f>
        <v>Green</v>
      </c>
      <c r="E808" t="str">
        <f>IFERROR(__xludf.DUMMYFUNCTION("""COMPUTED_VALUE"""),"Chaz")</f>
        <v>Chaz</v>
      </c>
      <c r="F808">
        <f>IFERROR(__xludf.DUMMYFUNCTION("""COMPUTED_VALUE"""),10.2)</f>
        <v>10.2</v>
      </c>
    </row>
    <row r="809">
      <c r="D809" t="str">
        <f>IFERROR(__xludf.DUMMYFUNCTION("""COMPUTED_VALUE"""),"Green")</f>
        <v>Green</v>
      </c>
      <c r="E809" t="str">
        <f>IFERROR(__xludf.DUMMYFUNCTION("""COMPUTED_VALUE"""),"Ladarius")</f>
        <v>Ladarius</v>
      </c>
      <c r="F809">
        <f>IFERROR(__xludf.DUMMYFUNCTION("""COMPUTED_VALUE"""),12.15)</f>
        <v>12.15</v>
      </c>
    </row>
    <row r="810">
      <c r="D810" t="str">
        <f>IFERROR(__xludf.DUMMYFUNCTION("""COMPUTED_VALUE"""),"Green")</f>
        <v>Green</v>
      </c>
      <c r="E810" t="str">
        <f>IFERROR(__xludf.DUMMYFUNCTION("""COMPUTED_VALUE"""),"TJ")</f>
        <v>TJ</v>
      </c>
      <c r="F810">
        <f>IFERROR(__xludf.DUMMYFUNCTION("""COMPUTED_VALUE"""),10.65)</f>
        <v>10.65</v>
      </c>
    </row>
    <row r="811">
      <c r="D811" t="str">
        <f>IFERROR(__xludf.DUMMYFUNCTION("""COMPUTED_VALUE"""),"Green")</f>
        <v>Green</v>
      </c>
      <c r="E811" t="str">
        <f>IFERROR(__xludf.DUMMYFUNCTION("""COMPUTED_VALUE"""),"Torrey")</f>
        <v>Torrey</v>
      </c>
      <c r="F811">
        <f>IFERROR(__xludf.DUMMYFUNCTION("""COMPUTED_VALUE"""),8.549999999999999)</f>
        <v>8.55</v>
      </c>
    </row>
    <row r="812">
      <c r="D812" t="str">
        <f>IFERROR(__xludf.DUMMYFUNCTION("""COMPUTED_VALUE"""),"Green")</f>
        <v>Green</v>
      </c>
      <c r="E812" t="str">
        <f>IFERROR(__xludf.DUMMYFUNCTION("""COMPUTED_VALUE"""),"Virgil")</f>
        <v>Virgil</v>
      </c>
      <c r="F812">
        <f>IFERROR(__xludf.DUMMYFUNCTION("""COMPUTED_VALUE"""),11.85)</f>
        <v>11.85</v>
      </c>
    </row>
    <row r="813">
      <c r="D813" t="str">
        <f>IFERROR(__xludf.DUMMYFUNCTION("""COMPUTED_VALUE"""),"Green-Beckham")</f>
        <v>Green-Beckham</v>
      </c>
      <c r="E813" t="str">
        <f>IFERROR(__xludf.DUMMYFUNCTION("""COMPUTED_VALUE"""),"Dorial")</f>
        <v>Dorial</v>
      </c>
      <c r="F813">
        <f>IFERROR(__xludf.DUMMYFUNCTION("""COMPUTED_VALUE"""),11.4)</f>
        <v>11.4</v>
      </c>
    </row>
    <row r="814">
      <c r="D814" t="str">
        <f>IFERROR(__xludf.DUMMYFUNCTION("""COMPUTED_VALUE"""),"Greene")</f>
        <v>Greene</v>
      </c>
      <c r="E814" t="str">
        <f>IFERROR(__xludf.DUMMYFUNCTION("""COMPUTED_VALUE"""),"Darrell")</f>
        <v>Darrell</v>
      </c>
      <c r="F814">
        <f>IFERROR(__xludf.DUMMYFUNCTION("""COMPUTED_VALUE"""),8.85)</f>
        <v>8.85</v>
      </c>
    </row>
    <row r="815">
      <c r="D815" t="str">
        <f>IFERROR(__xludf.DUMMYFUNCTION("""COMPUTED_VALUE"""),"Greene")</f>
        <v>Greene</v>
      </c>
      <c r="E815" t="str">
        <f>IFERROR(__xludf.DUMMYFUNCTION("""COMPUTED_VALUE"""),"Khaseem")</f>
        <v>Khaseem</v>
      </c>
      <c r="F815">
        <f>IFERROR(__xludf.DUMMYFUNCTION("""COMPUTED_VALUE"""),10.65)</f>
        <v>10.65</v>
      </c>
    </row>
    <row r="816">
      <c r="D816" t="str">
        <f>IFERROR(__xludf.DUMMYFUNCTION("""COMPUTED_VALUE"""),"Greene")</f>
        <v>Greene</v>
      </c>
      <c r="E816" t="str">
        <f>IFERROR(__xludf.DUMMYFUNCTION("""COMPUTED_VALUE"""),"Rashad")</f>
        <v>Rashad</v>
      </c>
      <c r="F816">
        <f>IFERROR(__xludf.DUMMYFUNCTION("""COMPUTED_VALUE"""),10.5)</f>
        <v>10.5</v>
      </c>
    </row>
    <row r="817">
      <c r="D817" t="str">
        <f>IFERROR(__xludf.DUMMYFUNCTION("""COMPUTED_VALUE"""),"Greenway")</f>
        <v>Greenway</v>
      </c>
      <c r="E817" t="str">
        <f>IFERROR(__xludf.DUMMYFUNCTION("""COMPUTED_VALUE"""),"Chad")</f>
        <v>Chad</v>
      </c>
      <c r="F817">
        <f>IFERROR(__xludf.DUMMYFUNCTION("""COMPUTED_VALUE"""),11.7)</f>
        <v>11.7</v>
      </c>
    </row>
    <row r="818">
      <c r="D818" t="str">
        <f>IFERROR(__xludf.DUMMYFUNCTION("""COMPUTED_VALUE"""),"Gregory")</f>
        <v>Gregory</v>
      </c>
      <c r="E818" t="str">
        <f>IFERROR(__xludf.DUMMYFUNCTION("""COMPUTED_VALUE"""),"Randy")</f>
        <v>Randy</v>
      </c>
      <c r="F818">
        <f>IFERROR(__xludf.DUMMYFUNCTION("""COMPUTED_VALUE"""),11.25)</f>
        <v>11.25</v>
      </c>
    </row>
    <row r="819">
      <c r="D819" t="str">
        <f>IFERROR(__xludf.DUMMYFUNCTION("""COMPUTED_VALUE"""),"Gresham")</f>
        <v>Gresham</v>
      </c>
      <c r="E819" t="str">
        <f>IFERROR(__xludf.DUMMYFUNCTION("""COMPUTED_VALUE"""),"Jermaine")</f>
        <v>Jermaine</v>
      </c>
      <c r="F819">
        <f>IFERROR(__xludf.DUMMYFUNCTION("""COMPUTED_VALUE"""),12.6)</f>
        <v>12.6</v>
      </c>
    </row>
    <row r="820">
      <c r="D820" t="str">
        <f>IFERROR(__xludf.DUMMYFUNCTION("""COMPUTED_VALUE"""),"Griffen")</f>
        <v>Griffen</v>
      </c>
      <c r="E820" t="str">
        <f>IFERROR(__xludf.DUMMYFUNCTION("""COMPUTED_VALUE"""),"Everson")</f>
        <v>Everson</v>
      </c>
      <c r="F820">
        <f>IFERROR(__xludf.DUMMYFUNCTION("""COMPUTED_VALUE"""),13.2)</f>
        <v>13.2</v>
      </c>
    </row>
    <row r="821">
      <c r="D821" t="str">
        <f>IFERROR(__xludf.DUMMYFUNCTION("""COMPUTED_VALUE"""),"Griffin")</f>
        <v>Griffin</v>
      </c>
      <c r="E821" t="str">
        <f>IFERROR(__xludf.DUMMYFUNCTION("""COMPUTED_VALUE"""),"Michael")</f>
        <v>Michael</v>
      </c>
      <c r="F821">
        <f>IFERROR(__xludf.DUMMYFUNCTION("""COMPUTED_VALUE"""),11.7)</f>
        <v>11.7</v>
      </c>
    </row>
    <row r="822">
      <c r="D822" t="str">
        <f>IFERROR(__xludf.DUMMYFUNCTION("""COMPUTED_VALUE"""),"Griffin")</f>
        <v>Griffin</v>
      </c>
      <c r="E822" t="str">
        <f>IFERROR(__xludf.DUMMYFUNCTION("""COMPUTED_VALUE"""),"Ryan")</f>
        <v>Ryan</v>
      </c>
      <c r="F822">
        <f>IFERROR(__xludf.DUMMYFUNCTION("""COMPUTED_VALUE"""),10.799999999999999)</f>
        <v>10.8</v>
      </c>
    </row>
    <row r="823">
      <c r="D823" t="str">
        <f>IFERROR(__xludf.DUMMYFUNCTION("""COMPUTED_VALUE"""),"Griffin")</f>
        <v>Griffin</v>
      </c>
      <c r="E823" t="str">
        <f>IFERROR(__xludf.DUMMYFUNCTION("""COMPUTED_VALUE"""),"Ryan")</f>
        <v>Ryan</v>
      </c>
      <c r="F823">
        <f>IFERROR(__xludf.DUMMYFUNCTION("""COMPUTED_VALUE"""),9.299999999999999)</f>
        <v>9.3</v>
      </c>
    </row>
    <row r="824">
      <c r="D824" t="str">
        <f>IFERROR(__xludf.DUMMYFUNCTION("""COMPUTED_VALUE"""),"Griffin III")</f>
        <v>Griffin III</v>
      </c>
      <c r="E824" t="str">
        <f>IFERROR(__xludf.DUMMYFUNCTION("""COMPUTED_VALUE"""),"Robert")</f>
        <v>Robert</v>
      </c>
      <c r="F824">
        <f>IFERROR(__xludf.DUMMYFUNCTION("""COMPUTED_VALUE"""),10.95)</f>
        <v>10.95</v>
      </c>
    </row>
    <row r="825">
      <c r="D825" t="str">
        <f>IFERROR(__xludf.DUMMYFUNCTION("""COMPUTED_VALUE"""),"Grimble")</f>
        <v>Grimble</v>
      </c>
      <c r="E825" t="str">
        <f>IFERROR(__xludf.DUMMYFUNCTION("""COMPUTED_VALUE"""),"Xavier")</f>
        <v>Xavier</v>
      </c>
      <c r="F825">
        <f>IFERROR(__xludf.DUMMYFUNCTION("""COMPUTED_VALUE"""),9.299999999999999)</f>
        <v>9.3</v>
      </c>
    </row>
    <row r="826">
      <c r="D826" t="str">
        <f>IFERROR(__xludf.DUMMYFUNCTION("""COMPUTED_VALUE"""),"Grimes")</f>
        <v>Grimes</v>
      </c>
      <c r="E826" t="str">
        <f>IFERROR(__xludf.DUMMYFUNCTION("""COMPUTED_VALUE"""),"Brent")</f>
        <v>Brent</v>
      </c>
      <c r="F826">
        <f>IFERROR(__xludf.DUMMYFUNCTION("""COMPUTED_VALUE"""),12.75)</f>
        <v>12.75</v>
      </c>
    </row>
    <row r="827">
      <c r="D827" t="str">
        <f>IFERROR(__xludf.DUMMYFUNCTION("""COMPUTED_VALUE"""),"Grimes")</f>
        <v>Grimes</v>
      </c>
      <c r="E827" t="str">
        <f>IFERROR(__xludf.DUMMYFUNCTION("""COMPUTED_VALUE"""),"Jonathan")</f>
        <v>Jonathan</v>
      </c>
      <c r="F827">
        <f>IFERROR(__xludf.DUMMYFUNCTION("""COMPUTED_VALUE"""),10.95)</f>
        <v>10.95</v>
      </c>
    </row>
    <row r="828">
      <c r="D828" t="str">
        <f>IFERROR(__xludf.DUMMYFUNCTION("""COMPUTED_VALUE"""),"Grissom")</f>
        <v>Grissom</v>
      </c>
      <c r="E828" t="str">
        <f>IFERROR(__xludf.DUMMYFUNCTION("""COMPUTED_VALUE"""),"Geneo")</f>
        <v>Geneo</v>
      </c>
      <c r="F828">
        <f>IFERROR(__xludf.DUMMYFUNCTION("""COMPUTED_VALUE"""),9.45)</f>
        <v>9.45</v>
      </c>
    </row>
    <row r="829">
      <c r="D829" t="str">
        <f>IFERROR(__xludf.DUMMYFUNCTION("""COMPUTED_VALUE"""),"Gronkowski")</f>
        <v>Gronkowski</v>
      </c>
      <c r="E829" t="str">
        <f>IFERROR(__xludf.DUMMYFUNCTION("""COMPUTED_VALUE"""),"Rob")</f>
        <v>Rob</v>
      </c>
      <c r="F829">
        <f>IFERROR(__xludf.DUMMYFUNCTION("""COMPUTED_VALUE"""),14.85)</f>
        <v>14.85</v>
      </c>
    </row>
    <row r="830">
      <c r="D830" t="str">
        <f>IFERROR(__xludf.DUMMYFUNCTION("""COMPUTED_VALUE"""),"Groy")</f>
        <v>Groy</v>
      </c>
      <c r="E830" t="str">
        <f>IFERROR(__xludf.DUMMYFUNCTION("""COMPUTED_VALUE"""),"Ryan")</f>
        <v>Ryan</v>
      </c>
      <c r="F830">
        <f>IFERROR(__xludf.DUMMYFUNCTION("""COMPUTED_VALUE"""),9.6)</f>
        <v>9.6</v>
      </c>
    </row>
    <row r="831">
      <c r="D831" t="str">
        <f>IFERROR(__xludf.DUMMYFUNCTION("""COMPUTED_VALUE"""),"Grugier-Hill")</f>
        <v>Grugier-Hill</v>
      </c>
      <c r="E831" t="str">
        <f>IFERROR(__xludf.DUMMYFUNCTION("""COMPUTED_VALUE"""),"Kamu")</f>
        <v>Kamu</v>
      </c>
      <c r="F831">
        <f>IFERROR(__xludf.DUMMYFUNCTION("""COMPUTED_VALUE"""),9.15)</f>
        <v>9.15</v>
      </c>
    </row>
    <row r="832">
      <c r="D832" t="str">
        <f>IFERROR(__xludf.DUMMYFUNCTION("""COMPUTED_VALUE"""),"Guion")</f>
        <v>Guion</v>
      </c>
      <c r="E832" t="str">
        <f>IFERROR(__xludf.DUMMYFUNCTION("""COMPUTED_VALUE"""),"Letroy")</f>
        <v>Letroy</v>
      </c>
      <c r="F832">
        <f>IFERROR(__xludf.DUMMYFUNCTION("""COMPUTED_VALUE"""),10.95)</f>
        <v>10.95</v>
      </c>
    </row>
    <row r="833">
      <c r="D833" t="str">
        <f>IFERROR(__xludf.DUMMYFUNCTION("""COMPUTED_VALUE"""),"Gunter")</f>
        <v>Gunter</v>
      </c>
      <c r="E833" t="str">
        <f>IFERROR(__xludf.DUMMYFUNCTION("""COMPUTED_VALUE"""),"LaDarius")</f>
        <v>LaDarius</v>
      </c>
      <c r="F833">
        <f>IFERROR(__xludf.DUMMYFUNCTION("""COMPUTED_VALUE"""),9.6)</f>
        <v>9.6</v>
      </c>
    </row>
    <row r="834">
      <c r="D834" t="str">
        <f>IFERROR(__xludf.DUMMYFUNCTION("""COMPUTED_VALUE"""),"Gunter")</f>
        <v>Gunter</v>
      </c>
      <c r="E834" t="str">
        <f>IFERROR(__xludf.DUMMYFUNCTION("""COMPUTED_VALUE"""),"Rodney")</f>
        <v>Rodney</v>
      </c>
      <c r="F834">
        <f>IFERROR(__xludf.DUMMYFUNCTION("""COMPUTED_VALUE"""),9.9)</f>
        <v>9.9</v>
      </c>
    </row>
    <row r="835">
      <c r="D835" t="str">
        <f>IFERROR(__xludf.DUMMYFUNCTION("""COMPUTED_VALUE"""),"Gurley II")</f>
        <v>Gurley II</v>
      </c>
      <c r="E835" t="str">
        <f>IFERROR(__xludf.DUMMYFUNCTION("""COMPUTED_VALUE"""),"Todd")</f>
        <v>Todd</v>
      </c>
      <c r="F835">
        <f>IFERROR(__xludf.DUMMYFUNCTION("""COMPUTED_VALUE"""),12.75)</f>
        <v>12.75</v>
      </c>
    </row>
    <row r="836">
      <c r="D836" t="str">
        <f>IFERROR(__xludf.DUMMYFUNCTION("""COMPUTED_VALUE"""),"Guy")</f>
        <v>Guy</v>
      </c>
      <c r="E836" t="str">
        <f>IFERROR(__xludf.DUMMYFUNCTION("""COMPUTED_VALUE"""),"Lawrence")</f>
        <v>Lawrence</v>
      </c>
      <c r="F836">
        <f>IFERROR(__xludf.DUMMYFUNCTION("""COMPUTED_VALUE"""),10.65)</f>
        <v>10.65</v>
      </c>
    </row>
    <row r="837">
      <c r="D837" t="str">
        <f>IFERROR(__xludf.DUMMYFUNCTION("""COMPUTED_VALUE"""),"Guy Jr.")</f>
        <v>Guy Jr.</v>
      </c>
      <c r="E837" t="str">
        <f>IFERROR(__xludf.DUMMYFUNCTION("""COMPUTED_VALUE"""),"Winston")</f>
        <v>Winston</v>
      </c>
      <c r="F837">
        <f>IFERROR(__xludf.DUMMYFUNCTION("""COMPUTED_VALUE"""),10.35)</f>
        <v>10.35</v>
      </c>
    </row>
    <row r="838">
      <c r="D838" t="str">
        <f>IFERROR(__xludf.DUMMYFUNCTION("""COMPUTED_VALUE"""),"Gwacham")</f>
        <v>Gwacham</v>
      </c>
      <c r="E838" t="str">
        <f>IFERROR(__xludf.DUMMYFUNCTION("""COMPUTED_VALUE"""),"Obum")</f>
        <v>Obum</v>
      </c>
      <c r="F838">
        <f>IFERROR(__xludf.DUMMYFUNCTION("""COMPUTED_VALUE"""),8.549999999999999)</f>
        <v>8.55</v>
      </c>
    </row>
    <row r="839">
      <c r="D839" t="str">
        <f>IFERROR(__xludf.DUMMYFUNCTION("""COMPUTED_VALUE"""),"Hackenberg")</f>
        <v>Hackenberg</v>
      </c>
      <c r="E839" t="str">
        <f>IFERROR(__xludf.DUMMYFUNCTION("""COMPUTED_VALUE"""),"Christian")</f>
        <v>Christian</v>
      </c>
      <c r="F839">
        <f>IFERROR(__xludf.DUMMYFUNCTION("""COMPUTED_VALUE"""),10.049999999999999)</f>
        <v>10.05</v>
      </c>
    </row>
    <row r="840">
      <c r="D840" t="str">
        <f>IFERROR(__xludf.DUMMYFUNCTION("""COMPUTED_VALUE"""),"Hackett")</f>
        <v>Hackett</v>
      </c>
      <c r="E840" t="str">
        <f>IFERROR(__xludf.DUMMYFUNCTION("""COMPUTED_VALUE"""),"Chris")</f>
        <v>Chris</v>
      </c>
      <c r="F840">
        <f>IFERROR(__xludf.DUMMYFUNCTION("""COMPUTED_VALUE"""),9.45)</f>
        <v>9.45</v>
      </c>
    </row>
    <row r="841">
      <c r="D841" t="str">
        <f>IFERROR(__xludf.DUMMYFUNCTION("""COMPUTED_VALUE"""),"Haden")</f>
        <v>Haden</v>
      </c>
      <c r="E841" t="str">
        <f>IFERROR(__xludf.DUMMYFUNCTION("""COMPUTED_VALUE"""),"Joe")</f>
        <v>Joe</v>
      </c>
      <c r="F841">
        <f>IFERROR(__xludf.DUMMYFUNCTION("""COMPUTED_VALUE"""),12.9)</f>
        <v>12.9</v>
      </c>
    </row>
    <row r="842">
      <c r="D842" t="str">
        <f>IFERROR(__xludf.DUMMYFUNCTION("""COMPUTED_VALUE"""),"Haeg")</f>
        <v>Haeg</v>
      </c>
      <c r="E842" t="str">
        <f>IFERROR(__xludf.DUMMYFUNCTION("""COMPUTED_VALUE"""),"Joe")</f>
        <v>Joe</v>
      </c>
      <c r="F842">
        <f>IFERROR(__xludf.DUMMYFUNCTION("""COMPUTED_VALUE"""),10.35)</f>
        <v>10.35</v>
      </c>
    </row>
    <row r="843">
      <c r="D843" t="str">
        <f>IFERROR(__xludf.DUMMYFUNCTION("""COMPUTED_VALUE"""),"Hageman")</f>
        <v>Hageman</v>
      </c>
      <c r="E843" t="str">
        <f>IFERROR(__xludf.DUMMYFUNCTION("""COMPUTED_VALUE"""),"RaShede")</f>
        <v>RaShede</v>
      </c>
      <c r="F843">
        <f>IFERROR(__xludf.DUMMYFUNCTION("""COMPUTED_VALUE"""),11.1)</f>
        <v>11.1</v>
      </c>
    </row>
    <row r="844">
      <c r="D844" t="str">
        <f>IFERROR(__xludf.DUMMYFUNCTION("""COMPUTED_VALUE"""),"Hager")</f>
        <v>Hager</v>
      </c>
      <c r="E844" t="str">
        <f>IFERROR(__xludf.DUMMYFUNCTION("""COMPUTED_VALUE"""),"Bryce")</f>
        <v>Bryce</v>
      </c>
      <c r="F844">
        <f>IFERROR(__xludf.DUMMYFUNCTION("""COMPUTED_VALUE"""),9.0)</f>
        <v>9</v>
      </c>
    </row>
    <row r="845">
      <c r="D845" t="str">
        <f>IFERROR(__xludf.DUMMYFUNCTION("""COMPUTED_VALUE"""),"Hairston")</f>
        <v>Hairston</v>
      </c>
      <c r="E845" t="str">
        <f>IFERROR(__xludf.DUMMYFUNCTION("""COMPUTED_VALUE"""),"Chris")</f>
        <v>Chris</v>
      </c>
      <c r="F845">
        <f>IFERROR(__xludf.DUMMYFUNCTION("""COMPUTED_VALUE"""),10.35)</f>
        <v>10.35</v>
      </c>
    </row>
    <row r="846">
      <c r="D846" t="str">
        <f>IFERROR(__xludf.DUMMYFUNCTION("""COMPUTED_VALUE"""),"Hal")</f>
        <v>Hal</v>
      </c>
      <c r="E846" t="str">
        <f>IFERROR(__xludf.DUMMYFUNCTION("""COMPUTED_VALUE"""),"Andre")</f>
        <v>Andre</v>
      </c>
      <c r="F846">
        <f>IFERROR(__xludf.DUMMYFUNCTION("""COMPUTED_VALUE"""),11.549999999999999)</f>
        <v>11.55</v>
      </c>
    </row>
    <row r="847">
      <c r="D847" t="str">
        <f>IFERROR(__xludf.DUMMYFUNCTION("""COMPUTED_VALUE"""),"Hali")</f>
        <v>Hali</v>
      </c>
      <c r="E847" t="str">
        <f>IFERROR(__xludf.DUMMYFUNCTION("""COMPUTED_VALUE"""),"Tamba")</f>
        <v>Tamba</v>
      </c>
      <c r="F847">
        <f>IFERROR(__xludf.DUMMYFUNCTION("""COMPUTED_VALUE"""),13.5)</f>
        <v>13.5</v>
      </c>
    </row>
    <row r="848">
      <c r="D848" t="str">
        <f>IFERROR(__xludf.DUMMYFUNCTION("""COMPUTED_VALUE"""),"Hall")</f>
        <v>Hall</v>
      </c>
      <c r="E848" t="str">
        <f>IFERROR(__xludf.DUMMYFUNCTION("""COMPUTED_VALUE"""),"DeAngelo")</f>
        <v>DeAngelo</v>
      </c>
      <c r="F848">
        <f>IFERROR(__xludf.DUMMYFUNCTION("""COMPUTED_VALUE"""),12.299999999999999)</f>
        <v>12.3</v>
      </c>
    </row>
    <row r="849">
      <c r="D849" t="str">
        <f>IFERROR(__xludf.DUMMYFUNCTION("""COMPUTED_VALUE"""),"Hall")</f>
        <v>Hall</v>
      </c>
      <c r="E849" t="str">
        <f>IFERROR(__xludf.DUMMYFUNCTION("""COMPUTED_VALUE"""),"Deiondre")</f>
        <v>Deiondre</v>
      </c>
      <c r="F849">
        <f>IFERROR(__xludf.DUMMYFUNCTION("""COMPUTED_VALUE"""),9.6)</f>
        <v>9.6</v>
      </c>
    </row>
    <row r="850">
      <c r="D850" t="str">
        <f>IFERROR(__xludf.DUMMYFUNCTION("""COMPUTED_VALUE"""),"Hall")</f>
        <v>Hall</v>
      </c>
      <c r="E850" t="str">
        <f>IFERROR(__xludf.DUMMYFUNCTION("""COMPUTED_VALUE"""),"Rannell")</f>
        <v>Rannell</v>
      </c>
      <c r="F850">
        <f>IFERROR(__xludf.DUMMYFUNCTION("""COMPUTED_VALUE"""),9.299999999999999)</f>
        <v>9.3</v>
      </c>
    </row>
    <row r="851">
      <c r="D851" t="str">
        <f>IFERROR(__xludf.DUMMYFUNCTION("""COMPUTED_VALUE"""),"Hamilton")</f>
        <v>Hamilton</v>
      </c>
      <c r="E851" t="str">
        <f>IFERROR(__xludf.DUMMYFUNCTION("""COMPUTED_VALUE"""),"Cobi")</f>
        <v>Cobi</v>
      </c>
      <c r="F851">
        <f>IFERROR(__xludf.DUMMYFUNCTION("""COMPUTED_VALUE"""),9.75)</f>
        <v>9.75</v>
      </c>
    </row>
    <row r="852">
      <c r="D852" t="str">
        <f>IFERROR(__xludf.DUMMYFUNCTION("""COMPUTED_VALUE"""),"Hamilton")</f>
        <v>Hamilton</v>
      </c>
      <c r="E852" t="str">
        <f>IFERROR(__xludf.DUMMYFUNCTION("""COMPUTED_VALUE"""),"Justin")</f>
        <v>Justin</v>
      </c>
      <c r="F852">
        <f>IFERROR(__xludf.DUMMYFUNCTION("""COMPUTED_VALUE"""),9.45)</f>
        <v>9.45</v>
      </c>
    </row>
    <row r="853">
      <c r="D853" t="str">
        <f>IFERROR(__xludf.DUMMYFUNCTION("""COMPUTED_VALUE"""),"Hamm")</f>
        <v>Hamm</v>
      </c>
      <c r="E853" t="str">
        <f>IFERROR(__xludf.DUMMYFUNCTION("""COMPUTED_VALUE"""),"JeRon")</f>
        <v>JeRon</v>
      </c>
      <c r="F853">
        <f>IFERROR(__xludf.DUMMYFUNCTION("""COMPUTED_VALUE"""),9.75)</f>
        <v>9.75</v>
      </c>
    </row>
    <row r="854">
      <c r="D854" t="str">
        <f>IFERROR(__xludf.DUMMYFUNCTION("""COMPUTED_VALUE"""),"Hammond")</f>
        <v>Hammond</v>
      </c>
      <c r="E854" t="str">
        <f>IFERROR(__xludf.DUMMYFUNCTION("""COMPUTED_VALUE"""),"Frankie")</f>
        <v>Frankie</v>
      </c>
      <c r="F854">
        <f>IFERROR(__xludf.DUMMYFUNCTION("""COMPUTED_VALUE"""),9.45)</f>
        <v>9.45</v>
      </c>
    </row>
    <row r="855">
      <c r="D855" t="str">
        <f>IFERROR(__xludf.DUMMYFUNCTION("""COMPUTED_VALUE"""),"Hankerson")</f>
        <v>Hankerson</v>
      </c>
      <c r="E855" t="str">
        <f>IFERROR(__xludf.DUMMYFUNCTION("""COMPUTED_VALUE"""),"Leonard")</f>
        <v>Leonard</v>
      </c>
      <c r="F855">
        <f>IFERROR(__xludf.DUMMYFUNCTION("""COMPUTED_VALUE"""),10.5)</f>
        <v>10.5</v>
      </c>
    </row>
    <row r="856">
      <c r="D856" t="str">
        <f>IFERROR(__xludf.DUMMYFUNCTION("""COMPUTED_VALUE"""),"Hankins")</f>
        <v>Hankins</v>
      </c>
      <c r="E856" t="str">
        <f>IFERROR(__xludf.DUMMYFUNCTION("""COMPUTED_VALUE"""),"Johnathan")</f>
        <v>Johnathan</v>
      </c>
      <c r="F856">
        <f>IFERROR(__xludf.DUMMYFUNCTION("""COMPUTED_VALUE"""),12.15)</f>
        <v>12.15</v>
      </c>
    </row>
    <row r="857">
      <c r="D857" t="str">
        <f>IFERROR(__xludf.DUMMYFUNCTION("""COMPUTED_VALUE"""),"Hanna")</f>
        <v>Hanna</v>
      </c>
      <c r="E857" t="str">
        <f>IFERROR(__xludf.DUMMYFUNCTION("""COMPUTED_VALUE"""),"James")</f>
        <v>James</v>
      </c>
      <c r="F857">
        <f>IFERROR(__xludf.DUMMYFUNCTION("""COMPUTED_VALUE"""),11.1)</f>
        <v>11.1</v>
      </c>
    </row>
    <row r="858">
      <c r="D858" t="str">
        <f>IFERROR(__xludf.DUMMYFUNCTION("""COMPUTED_VALUE"""),"Hanson")</f>
        <v>Hanson</v>
      </c>
      <c r="E858" t="str">
        <f>IFERROR(__xludf.DUMMYFUNCTION("""COMPUTED_VALUE"""),"Lars")</f>
        <v>Lars</v>
      </c>
      <c r="F858">
        <f>IFERROR(__xludf.DUMMYFUNCTION("""COMPUTED_VALUE"""),9.299999999999999)</f>
        <v>9.3</v>
      </c>
    </row>
    <row r="859">
      <c r="D859" t="str">
        <f>IFERROR(__xludf.DUMMYFUNCTION("""COMPUTED_VALUE"""),"Harbor")</f>
        <v>Harbor</v>
      </c>
      <c r="E859" t="str">
        <f>IFERROR(__xludf.DUMMYFUNCTION("""COMPUTED_VALUE"""),"Clay")</f>
        <v>Clay</v>
      </c>
      <c r="F859">
        <f>IFERROR(__xludf.DUMMYFUNCTION("""COMPUTED_VALUE"""),10.5)</f>
        <v>10.5</v>
      </c>
    </row>
    <row r="860">
      <c r="D860" t="str">
        <f>IFERROR(__xludf.DUMMYFUNCTION("""COMPUTED_VALUE"""),"Hardison")</f>
        <v>Hardison</v>
      </c>
      <c r="E860" t="str">
        <f>IFERROR(__xludf.DUMMYFUNCTION("""COMPUTED_VALUE"""),"Marcus")</f>
        <v>Marcus</v>
      </c>
      <c r="F860">
        <f>IFERROR(__xludf.DUMMYFUNCTION("""COMPUTED_VALUE"""),9.0)</f>
        <v>9</v>
      </c>
    </row>
    <row r="861">
      <c r="D861" t="str">
        <f>IFERROR(__xludf.DUMMYFUNCTION("""COMPUTED_VALUE"""),"Hardy")</f>
        <v>Hardy</v>
      </c>
      <c r="E861" t="str">
        <f>IFERROR(__xludf.DUMMYFUNCTION("""COMPUTED_VALUE"""),"Justin")</f>
        <v>Justin</v>
      </c>
      <c r="F861">
        <f>IFERROR(__xludf.DUMMYFUNCTION("""COMPUTED_VALUE"""),10.35)</f>
        <v>10.35</v>
      </c>
    </row>
    <row r="862">
      <c r="D862" t="str">
        <f>IFERROR(__xludf.DUMMYFUNCTION("""COMPUTED_VALUE"""),"Hargrave")</f>
        <v>Hargrave</v>
      </c>
      <c r="E862" t="str">
        <f>IFERROR(__xludf.DUMMYFUNCTION("""COMPUTED_VALUE"""),"Javon")</f>
        <v>Javon</v>
      </c>
      <c r="F862">
        <f>IFERROR(__xludf.DUMMYFUNCTION("""COMPUTED_VALUE"""),10.2)</f>
        <v>10.2</v>
      </c>
    </row>
    <row r="863">
      <c r="D863" t="str">
        <f>IFERROR(__xludf.DUMMYFUNCTION("""COMPUTED_VALUE"""),"Hargreaves III")</f>
        <v>Hargreaves III</v>
      </c>
      <c r="E863" t="str">
        <f>IFERROR(__xludf.DUMMYFUNCTION("""COMPUTED_VALUE"""),"Vernon")</f>
        <v>Vernon</v>
      </c>
      <c r="F863">
        <f>IFERROR(__xludf.DUMMYFUNCTION("""COMPUTED_VALUE"""),11.549999999999999)</f>
        <v>11.55</v>
      </c>
    </row>
    <row r="864">
      <c r="D864" t="str">
        <f>IFERROR(__xludf.DUMMYFUNCTION("""COMPUTED_VALUE"""),"Harkey")</f>
        <v>Harkey</v>
      </c>
      <c r="E864" t="str">
        <f>IFERROR(__xludf.DUMMYFUNCTION("""COMPUTED_VALUE"""),"Cory")</f>
        <v>Cory</v>
      </c>
      <c r="F864">
        <f>IFERROR(__xludf.DUMMYFUNCTION("""COMPUTED_VALUE"""),12.0)</f>
        <v>12</v>
      </c>
    </row>
    <row r="865">
      <c r="D865" t="str">
        <f>IFERROR(__xludf.DUMMYFUNCTION("""COMPUTED_VALUE"""),"Harmon")</f>
        <v>Harmon</v>
      </c>
      <c r="E865" t="str">
        <f>IFERROR(__xludf.DUMMYFUNCTION("""COMPUTED_VALUE"""),"Duron")</f>
        <v>Duron</v>
      </c>
      <c r="F865">
        <f>IFERROR(__xludf.DUMMYFUNCTION("""COMPUTED_VALUE"""),11.25)</f>
        <v>11.25</v>
      </c>
    </row>
    <row r="866">
      <c r="D866" t="str">
        <f>IFERROR(__xludf.DUMMYFUNCTION("""COMPUTED_VALUE"""),"Harold")</f>
        <v>Harold</v>
      </c>
      <c r="E866" t="str">
        <f>IFERROR(__xludf.DUMMYFUNCTION("""COMPUTED_VALUE"""),"Eli")</f>
        <v>Eli</v>
      </c>
      <c r="F866">
        <f>IFERROR(__xludf.DUMMYFUNCTION("""COMPUTED_VALUE"""),10.5)</f>
        <v>10.5</v>
      </c>
    </row>
    <row r="867">
      <c r="D867" t="str">
        <f>IFERROR(__xludf.DUMMYFUNCTION("""COMPUTED_VALUE"""),"Harper")</f>
        <v>Harper</v>
      </c>
      <c r="E867" t="str">
        <f>IFERROR(__xludf.DUMMYFUNCTION("""COMPUTED_VALUE"""),"Roman")</f>
        <v>Roman</v>
      </c>
      <c r="F867">
        <f>IFERROR(__xludf.DUMMYFUNCTION("""COMPUTED_VALUE"""),11.1)</f>
        <v>11.1</v>
      </c>
    </row>
    <row r="868">
      <c r="D868" t="str">
        <f>IFERROR(__xludf.DUMMYFUNCTION("""COMPUTED_VALUE"""),"Harris")</f>
        <v>Harris</v>
      </c>
      <c r="E868" t="str">
        <f>IFERROR(__xludf.DUMMYFUNCTION("""COMPUTED_VALUE"""),"Anthony")</f>
        <v>Anthony</v>
      </c>
      <c r="F868">
        <f>IFERROR(__xludf.DUMMYFUNCTION("""COMPUTED_VALUE"""),10.2)</f>
        <v>10.2</v>
      </c>
    </row>
    <row r="869">
      <c r="D869" t="str">
        <f>IFERROR(__xludf.DUMMYFUNCTION("""COMPUTED_VALUE"""),"Harris")</f>
        <v>Harris</v>
      </c>
      <c r="E869" t="str">
        <f>IFERROR(__xludf.DUMMYFUNCTION("""COMPUTED_VALUE"""),"Brandon")</f>
        <v>Brandon</v>
      </c>
      <c r="F869">
        <f>IFERROR(__xludf.DUMMYFUNCTION("""COMPUTED_VALUE"""),10.65)</f>
        <v>10.65</v>
      </c>
    </row>
    <row r="870">
      <c r="D870" t="str">
        <f>IFERROR(__xludf.DUMMYFUNCTION("""COMPUTED_VALUE"""),"Harris")</f>
        <v>Harris</v>
      </c>
      <c r="E870" t="str">
        <f>IFERROR(__xludf.DUMMYFUNCTION("""COMPUTED_VALUE"""),"Bryce")</f>
        <v>Bryce</v>
      </c>
      <c r="F870">
        <f>IFERROR(__xludf.DUMMYFUNCTION("""COMPUTED_VALUE"""),10.95)</f>
        <v>10.95</v>
      </c>
    </row>
    <row r="871">
      <c r="D871" t="str">
        <f>IFERROR(__xludf.DUMMYFUNCTION("""COMPUTED_VALUE"""),"Harris")</f>
        <v>Harris</v>
      </c>
      <c r="E871" t="str">
        <f>IFERROR(__xludf.DUMMYFUNCTION("""COMPUTED_VALUE"""),"Clark")</f>
        <v>Clark</v>
      </c>
      <c r="F871">
        <f>IFERROR(__xludf.DUMMYFUNCTION("""COMPUTED_VALUE"""),8.4)</f>
        <v>8.4</v>
      </c>
    </row>
    <row r="872">
      <c r="D872" t="str">
        <f>IFERROR(__xludf.DUMMYFUNCTION("""COMPUTED_VALUE"""),"Harris")</f>
        <v>Harris</v>
      </c>
      <c r="E872" t="str">
        <f>IFERROR(__xludf.DUMMYFUNCTION("""COMPUTED_VALUE"""),"Darien")</f>
        <v>Darien</v>
      </c>
      <c r="F872">
        <f>IFERROR(__xludf.DUMMYFUNCTION("""COMPUTED_VALUE"""),9.299999999999999)</f>
        <v>9.3</v>
      </c>
    </row>
    <row r="873">
      <c r="D873" t="str">
        <f>IFERROR(__xludf.DUMMYFUNCTION("""COMPUTED_VALUE"""),"Harris")</f>
        <v>Harris</v>
      </c>
      <c r="E873" t="str">
        <f>IFERROR(__xludf.DUMMYFUNCTION("""COMPUTED_VALUE"""),"David")</f>
        <v>David</v>
      </c>
      <c r="F873">
        <f>IFERROR(__xludf.DUMMYFUNCTION("""COMPUTED_VALUE"""),12.15)</f>
        <v>12.15</v>
      </c>
    </row>
    <row r="874">
      <c r="D874" t="str">
        <f>IFERROR(__xludf.DUMMYFUNCTION("""COMPUTED_VALUE"""),"Harris")</f>
        <v>Harris</v>
      </c>
      <c r="E874" t="str">
        <f>IFERROR(__xludf.DUMMYFUNCTION("""COMPUTED_VALUE"""),"Demetrius")</f>
        <v>Demetrius</v>
      </c>
      <c r="F874">
        <f>IFERROR(__xludf.DUMMYFUNCTION("""COMPUTED_VALUE"""),9.9)</f>
        <v>9.9</v>
      </c>
    </row>
    <row r="875">
      <c r="D875" t="str">
        <f>IFERROR(__xludf.DUMMYFUNCTION("""COMPUTED_VALUE"""),"Harris")</f>
        <v>Harris</v>
      </c>
      <c r="E875" t="str">
        <f>IFERROR(__xludf.DUMMYFUNCTION("""COMPUTED_VALUE"""),"DeVante")</f>
        <v>DeVante</v>
      </c>
      <c r="F875">
        <f>IFERROR(__xludf.DUMMYFUNCTION("""COMPUTED_VALUE"""),9.0)</f>
        <v>9</v>
      </c>
    </row>
    <row r="876">
      <c r="D876" t="str">
        <f>IFERROR(__xludf.DUMMYFUNCTION("""COMPUTED_VALUE"""),"Harris")</f>
        <v>Harris</v>
      </c>
      <c r="E876" t="str">
        <f>IFERROR(__xludf.DUMMYFUNCTION("""COMPUTED_VALUE"""),"DuJuan")</f>
        <v>DuJuan</v>
      </c>
      <c r="F876">
        <f>IFERROR(__xludf.DUMMYFUNCTION("""COMPUTED_VALUE"""),10.5)</f>
        <v>10.5</v>
      </c>
    </row>
    <row r="877">
      <c r="D877" t="str">
        <f>IFERROR(__xludf.DUMMYFUNCTION("""COMPUTED_VALUE"""),"Harris")</f>
        <v>Harris</v>
      </c>
      <c r="E877" t="str">
        <f>IFERROR(__xludf.DUMMYFUNCTION("""COMPUTED_VALUE"""),"Dwayne")</f>
        <v>Dwayne</v>
      </c>
      <c r="F877">
        <f>IFERROR(__xludf.DUMMYFUNCTION("""COMPUTED_VALUE"""),10.95)</f>
        <v>10.95</v>
      </c>
    </row>
    <row r="878">
      <c r="D878" t="str">
        <f>IFERROR(__xludf.DUMMYFUNCTION("""COMPUTED_VALUE"""),"Harris")</f>
        <v>Harris</v>
      </c>
      <c r="E878" t="str">
        <f>IFERROR(__xludf.DUMMYFUNCTION("""COMPUTED_VALUE"""),"Jeremy")</f>
        <v>Jeremy</v>
      </c>
      <c r="F878">
        <f>IFERROR(__xludf.DUMMYFUNCTION("""COMPUTED_VALUE"""),10.049999999999999)</f>
        <v>10.05</v>
      </c>
    </row>
    <row r="879">
      <c r="D879" t="str">
        <f>IFERROR(__xludf.DUMMYFUNCTION("""COMPUTED_VALUE"""),"Harris")</f>
        <v>Harris</v>
      </c>
      <c r="E879" t="str">
        <f>IFERROR(__xludf.DUMMYFUNCTION("""COMPUTED_VALUE"""),"Josh")</f>
        <v>Josh</v>
      </c>
      <c r="F879">
        <f>IFERROR(__xludf.DUMMYFUNCTION("""COMPUTED_VALUE"""),8.1)</f>
        <v>8.1</v>
      </c>
    </row>
    <row r="880">
      <c r="D880" t="str">
        <f>IFERROR(__xludf.DUMMYFUNCTION("""COMPUTED_VALUE"""),"Harris")</f>
        <v>Harris</v>
      </c>
      <c r="E880" t="str">
        <f>IFERROR(__xludf.DUMMYFUNCTION("""COMPUTED_VALUE"""),"Mike")</f>
        <v>Mike</v>
      </c>
      <c r="F880">
        <f>IFERROR(__xludf.DUMMYFUNCTION("""COMPUTED_VALUE"""),11.1)</f>
        <v>11.1</v>
      </c>
    </row>
    <row r="881">
      <c r="D881" t="str">
        <f>IFERROR(__xludf.DUMMYFUNCTION("""COMPUTED_VALUE"""),"Harris")</f>
        <v>Harris</v>
      </c>
      <c r="E881" t="str">
        <f>IFERROR(__xludf.DUMMYFUNCTION("""COMPUTED_VALUE"""),"Ryan")</f>
        <v>Ryan</v>
      </c>
      <c r="F881">
        <f>IFERROR(__xludf.DUMMYFUNCTION("""COMPUTED_VALUE"""),11.4)</f>
        <v>11.4</v>
      </c>
    </row>
    <row r="882">
      <c r="D882" t="str">
        <f>IFERROR(__xludf.DUMMYFUNCTION("""COMPUTED_VALUE"""),"Harris")</f>
        <v>Harris</v>
      </c>
      <c r="E882" t="str">
        <f>IFERROR(__xludf.DUMMYFUNCTION("""COMPUTED_VALUE"""),"Shelby")</f>
        <v>Shelby</v>
      </c>
      <c r="F882">
        <f>IFERROR(__xludf.DUMMYFUNCTION("""COMPUTED_VALUE"""),9.9)</f>
        <v>9.9</v>
      </c>
    </row>
    <row r="883">
      <c r="D883" t="str">
        <f>IFERROR(__xludf.DUMMYFUNCTION("""COMPUTED_VALUE"""),"Harris Jr.")</f>
        <v>Harris Jr.</v>
      </c>
      <c r="E883" t="str">
        <f>IFERROR(__xludf.DUMMYFUNCTION("""COMPUTED_VALUE"""),"Chris")</f>
        <v>Chris</v>
      </c>
      <c r="F883">
        <f>IFERROR(__xludf.DUMMYFUNCTION("""COMPUTED_VALUE"""),13.95)</f>
        <v>13.95</v>
      </c>
    </row>
    <row r="884">
      <c r="D884" t="str">
        <f>IFERROR(__xludf.DUMMYFUNCTION("""COMPUTED_VALUE"""),"Harrison")</f>
        <v>Harrison</v>
      </c>
      <c r="E884" t="str">
        <f>IFERROR(__xludf.DUMMYFUNCTION("""COMPUTED_VALUE"""),"Damon")</f>
        <v>Damon</v>
      </c>
      <c r="F884">
        <f>IFERROR(__xludf.DUMMYFUNCTION("""COMPUTED_VALUE"""),12.6)</f>
        <v>12.6</v>
      </c>
    </row>
    <row r="885">
      <c r="D885" t="str">
        <f>IFERROR(__xludf.DUMMYFUNCTION("""COMPUTED_VALUE"""),"Harrison")</f>
        <v>Harrison</v>
      </c>
      <c r="E885" t="str">
        <f>IFERROR(__xludf.DUMMYFUNCTION("""COMPUTED_VALUE"""),"James")</f>
        <v>James</v>
      </c>
      <c r="F885">
        <f>IFERROR(__xludf.DUMMYFUNCTION("""COMPUTED_VALUE"""),12.75)</f>
        <v>12.75</v>
      </c>
    </row>
    <row r="886">
      <c r="D886" t="str">
        <f>IFERROR(__xludf.DUMMYFUNCTION("""COMPUTED_VALUE"""),"Harrison")</f>
        <v>Harrison</v>
      </c>
      <c r="E886" t="str">
        <f>IFERROR(__xludf.DUMMYFUNCTION("""COMPUTED_VALUE"""),"Jarvis")</f>
        <v>Jarvis</v>
      </c>
      <c r="F886">
        <f>IFERROR(__xludf.DUMMYFUNCTION("""COMPUTED_VALUE"""),10.049999999999999)</f>
        <v>10.05</v>
      </c>
    </row>
    <row r="887">
      <c r="D887" t="str">
        <f>IFERROR(__xludf.DUMMYFUNCTION("""COMPUTED_VALUE"""),"Harrison")</f>
        <v>Harrison</v>
      </c>
      <c r="E887" t="str">
        <f>IFERROR(__xludf.DUMMYFUNCTION("""COMPUTED_VALUE"""),"Jonotthan")</f>
        <v>Jonotthan</v>
      </c>
      <c r="F887">
        <f>IFERROR(__xludf.DUMMYFUNCTION("""COMPUTED_VALUE"""),10.95)</f>
        <v>10.95</v>
      </c>
    </row>
    <row r="888">
      <c r="D888" t="str">
        <f>IFERROR(__xludf.DUMMYFUNCTION("""COMPUTED_VALUE"""),"Hart")</f>
        <v>Hart</v>
      </c>
      <c r="E888" t="str">
        <f>IFERROR(__xludf.DUMMYFUNCTION("""COMPUTED_VALUE"""),"Bobby")</f>
        <v>Bobby</v>
      </c>
      <c r="F888">
        <f>IFERROR(__xludf.DUMMYFUNCTION("""COMPUTED_VALUE"""),10.049999999999999)</f>
        <v>10.05</v>
      </c>
    </row>
    <row r="889">
      <c r="D889" t="str">
        <f>IFERROR(__xludf.DUMMYFUNCTION("""COMPUTED_VALUE"""),"Hart")</f>
        <v>Hart</v>
      </c>
      <c r="E889" t="str">
        <f>IFERROR(__xludf.DUMMYFUNCTION("""COMPUTED_VALUE"""),"Taylor")</f>
        <v>Taylor</v>
      </c>
      <c r="F889">
        <f>IFERROR(__xludf.DUMMYFUNCTION("""COMPUTED_VALUE"""),9.75)</f>
        <v>9.75</v>
      </c>
    </row>
    <row r="890">
      <c r="D890" t="str">
        <f>IFERROR(__xludf.DUMMYFUNCTION("""COMPUTED_VALUE"""),"Hauschka")</f>
        <v>Hauschka</v>
      </c>
      <c r="E890" t="str">
        <f>IFERROR(__xludf.DUMMYFUNCTION("""COMPUTED_VALUE"""),"Steven")</f>
        <v>Steven</v>
      </c>
      <c r="F890">
        <f>IFERROR(__xludf.DUMMYFUNCTION("""COMPUTED_VALUE"""),12.6)</f>
        <v>12.6</v>
      </c>
    </row>
    <row r="891">
      <c r="D891" t="str">
        <f>IFERROR(__xludf.DUMMYFUNCTION("""COMPUTED_VALUE"""),"Havenstein")</f>
        <v>Havenstein</v>
      </c>
      <c r="E891" t="str">
        <f>IFERROR(__xludf.DUMMYFUNCTION("""COMPUTED_VALUE"""),"Rob")</f>
        <v>Rob</v>
      </c>
      <c r="F891">
        <f>IFERROR(__xludf.DUMMYFUNCTION("""COMPUTED_VALUE"""),10.799999999999999)</f>
        <v>10.8</v>
      </c>
    </row>
    <row r="892">
      <c r="D892" t="str">
        <f>IFERROR(__xludf.DUMMYFUNCTION("""COMPUTED_VALUE"""),"Hawkins")</f>
        <v>Hawkins</v>
      </c>
      <c r="E892" t="str">
        <f>IFERROR(__xludf.DUMMYFUNCTION("""COMPUTED_VALUE"""),"Andrew")</f>
        <v>Andrew</v>
      </c>
      <c r="F892">
        <f>IFERROR(__xludf.DUMMYFUNCTION("""COMPUTED_VALUE"""),10.95)</f>
        <v>10.95</v>
      </c>
    </row>
    <row r="893">
      <c r="D893" t="str">
        <f>IFERROR(__xludf.DUMMYFUNCTION("""COMPUTED_VALUE"""),"Hawkins")</f>
        <v>Hawkins</v>
      </c>
      <c r="E893" t="str">
        <f>IFERROR(__xludf.DUMMYFUNCTION("""COMPUTED_VALUE"""),"Donald")</f>
        <v>Donald</v>
      </c>
      <c r="F893">
        <f>IFERROR(__xludf.DUMMYFUNCTION("""COMPUTED_VALUE"""),9.299999999999999)</f>
        <v>9.3</v>
      </c>
    </row>
    <row r="894">
      <c r="D894" t="str">
        <f>IFERROR(__xludf.DUMMYFUNCTION("""COMPUTED_VALUE"""),"Hawkins")</f>
        <v>Hawkins</v>
      </c>
      <c r="E894" t="str">
        <f>IFERROR(__xludf.DUMMYFUNCTION("""COMPUTED_VALUE"""),"Jerald")</f>
        <v>Jerald</v>
      </c>
      <c r="F894">
        <f>IFERROR(__xludf.DUMMYFUNCTION("""COMPUTED_VALUE"""),10.049999999999999)</f>
        <v>10.05</v>
      </c>
    </row>
    <row r="895">
      <c r="D895" t="str">
        <f>IFERROR(__xludf.DUMMYFUNCTION("""COMPUTED_VALUE"""),"Hawkins")</f>
        <v>Hawkins</v>
      </c>
      <c r="E895" t="str">
        <f>IFERROR(__xludf.DUMMYFUNCTION("""COMPUTED_VALUE"""),"Josh")</f>
        <v>Josh</v>
      </c>
      <c r="F895">
        <f>IFERROR(__xludf.DUMMYFUNCTION("""COMPUTED_VALUE"""),9.299999999999999)</f>
        <v>9.3</v>
      </c>
    </row>
    <row r="896">
      <c r="D896" t="str">
        <f>IFERROR(__xludf.DUMMYFUNCTION("""COMPUTED_VALUE"""),"Hawley")</f>
        <v>Hawley</v>
      </c>
      <c r="E896" t="str">
        <f>IFERROR(__xludf.DUMMYFUNCTION("""COMPUTED_VALUE"""),"Joe")</f>
        <v>Joe</v>
      </c>
      <c r="F896">
        <f>IFERROR(__xludf.DUMMYFUNCTION("""COMPUTED_VALUE"""),10.049999999999999)</f>
        <v>10.05</v>
      </c>
    </row>
    <row r="897">
      <c r="D897" t="str">
        <f>IFERROR(__xludf.DUMMYFUNCTION("""COMPUTED_VALUE"""),"Hayden")</f>
        <v>Hayden</v>
      </c>
      <c r="E897" t="str">
        <f>IFERROR(__xludf.DUMMYFUNCTION("""COMPUTED_VALUE"""),"DJ")</f>
        <v>DJ</v>
      </c>
      <c r="F897">
        <f>IFERROR(__xludf.DUMMYFUNCTION("""COMPUTED_VALUE"""),10.5)</f>
        <v>10.5</v>
      </c>
    </row>
    <row r="898">
      <c r="D898" t="str">
        <f>IFERROR(__xludf.DUMMYFUNCTION("""COMPUTED_VALUE"""),"Hayden")</f>
        <v>Hayden</v>
      </c>
      <c r="E898" t="str">
        <f>IFERROR(__xludf.DUMMYFUNCTION("""COMPUTED_VALUE"""),"Nick")</f>
        <v>Nick</v>
      </c>
      <c r="F898">
        <f>IFERROR(__xludf.DUMMYFUNCTION("""COMPUTED_VALUE"""),9.299999999999999)</f>
        <v>9.3</v>
      </c>
    </row>
    <row r="899">
      <c r="D899" t="str">
        <f>IFERROR(__xludf.DUMMYFUNCTION("""COMPUTED_VALUE"""),"Hayes")</f>
        <v>Hayes</v>
      </c>
      <c r="E899" t="str">
        <f>IFERROR(__xludf.DUMMYFUNCTION("""COMPUTED_VALUE"""),"William")</f>
        <v>William</v>
      </c>
      <c r="F899">
        <f>IFERROR(__xludf.DUMMYFUNCTION("""COMPUTED_VALUE"""),12.75)</f>
        <v>12.75</v>
      </c>
    </row>
    <row r="900">
      <c r="D900" t="str">
        <f>IFERROR(__xludf.DUMMYFUNCTION("""COMPUTED_VALUE"""),"Hayward")</f>
        <v>Hayward</v>
      </c>
      <c r="E900" t="str">
        <f>IFERROR(__xludf.DUMMYFUNCTION("""COMPUTED_VALUE"""),"Adam")</f>
        <v>Adam</v>
      </c>
      <c r="F900">
        <f>IFERROR(__xludf.DUMMYFUNCTION("""COMPUTED_VALUE"""),10.5)</f>
        <v>10.5</v>
      </c>
    </row>
    <row r="901">
      <c r="D901" t="str">
        <f>IFERROR(__xludf.DUMMYFUNCTION("""COMPUTED_VALUE"""),"Hayward")</f>
        <v>Hayward</v>
      </c>
      <c r="E901" t="str">
        <f>IFERROR(__xludf.DUMMYFUNCTION("""COMPUTED_VALUE"""),"Casey")</f>
        <v>Casey</v>
      </c>
      <c r="F901">
        <f>IFERROR(__xludf.DUMMYFUNCTION("""COMPUTED_VALUE"""),12.6)</f>
        <v>12.6</v>
      </c>
    </row>
    <row r="902">
      <c r="D902" t="str">
        <f>IFERROR(__xludf.DUMMYFUNCTION("""COMPUTED_VALUE"""),"Hazel")</f>
        <v>Hazel</v>
      </c>
      <c r="E902" t="str">
        <f>IFERROR(__xludf.DUMMYFUNCTION("""COMPUTED_VALUE"""),"Matt")</f>
        <v>Matt</v>
      </c>
      <c r="F902">
        <f>IFERROR(__xludf.DUMMYFUNCTION("""COMPUTED_VALUE"""),9.6)</f>
        <v>9.6</v>
      </c>
    </row>
    <row r="903">
      <c r="D903" t="str">
        <f>IFERROR(__xludf.DUMMYFUNCTION("""COMPUTED_VALUE"""),"Heaps")</f>
        <v>Heaps</v>
      </c>
      <c r="E903" t="str">
        <f>IFERROR(__xludf.DUMMYFUNCTION("""COMPUTED_VALUE"""),"Jake")</f>
        <v>Jake</v>
      </c>
      <c r="F903">
        <f>IFERROR(__xludf.DUMMYFUNCTION("""COMPUTED_VALUE"""),9.299999999999999)</f>
        <v>9.3</v>
      </c>
    </row>
    <row r="904">
      <c r="D904" t="str">
        <f>IFERROR(__xludf.DUMMYFUNCTION("""COMPUTED_VALUE"""),"Heath")</f>
        <v>Heath</v>
      </c>
      <c r="E904" t="str">
        <f>IFERROR(__xludf.DUMMYFUNCTION("""COMPUTED_VALUE"""),"Jeff")</f>
        <v>Jeff</v>
      </c>
      <c r="F904">
        <f>IFERROR(__xludf.DUMMYFUNCTION("""COMPUTED_VALUE"""),10.95)</f>
        <v>10.95</v>
      </c>
    </row>
    <row r="905">
      <c r="D905" t="str">
        <f>IFERROR(__xludf.DUMMYFUNCTION("""COMPUTED_VALUE"""),"Heath")</f>
        <v>Heath</v>
      </c>
      <c r="E905" t="str">
        <f>IFERROR(__xludf.DUMMYFUNCTION("""COMPUTED_VALUE"""),"Joel")</f>
        <v>Joel</v>
      </c>
      <c r="F905">
        <f>IFERROR(__xludf.DUMMYFUNCTION("""COMPUTED_VALUE"""),8.549999999999999)</f>
        <v>8.55</v>
      </c>
    </row>
    <row r="906">
      <c r="D906" t="str">
        <f>IFERROR(__xludf.DUMMYFUNCTION("""COMPUTED_VALUE"""),"Heeney")</f>
        <v>Heeney</v>
      </c>
      <c r="E906" t="str">
        <f>IFERROR(__xludf.DUMMYFUNCTION("""COMPUTED_VALUE"""),"Ben")</f>
        <v>Ben</v>
      </c>
      <c r="F906">
        <f>IFERROR(__xludf.DUMMYFUNCTION("""COMPUTED_VALUE"""),10.5)</f>
        <v>10.5</v>
      </c>
    </row>
    <row r="907">
      <c r="D907" t="str">
        <f>IFERROR(__xludf.DUMMYFUNCTION("""COMPUTED_VALUE"""),"Heinicke")</f>
        <v>Heinicke</v>
      </c>
      <c r="E907" t="str">
        <f>IFERROR(__xludf.DUMMYFUNCTION("""COMPUTED_VALUE"""),"Taylor")</f>
        <v>Taylor</v>
      </c>
      <c r="F907">
        <f>IFERROR(__xludf.DUMMYFUNCTION("""COMPUTED_VALUE"""),9.0)</f>
        <v>9</v>
      </c>
    </row>
    <row r="908">
      <c r="D908" t="str">
        <f>IFERROR(__xludf.DUMMYFUNCTION("""COMPUTED_VALUE"""),"Hekker")</f>
        <v>Hekker</v>
      </c>
      <c r="E908" t="str">
        <f>IFERROR(__xludf.DUMMYFUNCTION("""COMPUTED_VALUE"""),"Johnny")</f>
        <v>Johnny</v>
      </c>
      <c r="F908">
        <f>IFERROR(__xludf.DUMMYFUNCTION("""COMPUTED_VALUE"""),12.299999999999999)</f>
        <v>12.3</v>
      </c>
    </row>
    <row r="909">
      <c r="D909" t="str">
        <f>IFERROR(__xludf.DUMMYFUNCTION("""COMPUTED_VALUE"""),"Helfet")</f>
        <v>Helfet</v>
      </c>
      <c r="E909" t="str">
        <f>IFERROR(__xludf.DUMMYFUNCTION("""COMPUTED_VALUE"""),"Cooper")</f>
        <v>Cooper</v>
      </c>
      <c r="F909">
        <f>IFERROR(__xludf.DUMMYFUNCTION("""COMPUTED_VALUE"""),10.65)</f>
        <v>10.65</v>
      </c>
    </row>
    <row r="910">
      <c r="D910" t="str">
        <f>IFERROR(__xludf.DUMMYFUNCTION("""COMPUTED_VALUE"""),"Hemingway")</f>
        <v>Hemingway</v>
      </c>
      <c r="E910" t="str">
        <f>IFERROR(__xludf.DUMMYFUNCTION("""COMPUTED_VALUE"""),"Temarrick")</f>
        <v>Temarrick</v>
      </c>
      <c r="F910">
        <f>IFERROR(__xludf.DUMMYFUNCTION("""COMPUTED_VALUE"""),9.45)</f>
        <v>9.45</v>
      </c>
    </row>
    <row r="911">
      <c r="D911" t="str">
        <f>IFERROR(__xludf.DUMMYFUNCTION("""COMPUTED_VALUE"""),"Henderson")</f>
        <v>Henderson</v>
      </c>
      <c r="E911" t="str">
        <f>IFERROR(__xludf.DUMMYFUNCTION("""COMPUTED_VALUE"""),"Erin")</f>
        <v>Erin</v>
      </c>
      <c r="F911">
        <f>IFERROR(__xludf.DUMMYFUNCTION("""COMPUTED_VALUE"""),11.25)</f>
        <v>11.25</v>
      </c>
    </row>
    <row r="912">
      <c r="D912" t="str">
        <f>IFERROR(__xludf.DUMMYFUNCTION("""COMPUTED_VALUE"""),"Henderson")</f>
        <v>Henderson</v>
      </c>
      <c r="E912" t="str">
        <f>IFERROR(__xludf.DUMMYFUNCTION("""COMPUTED_VALUE"""),"Seantrel")</f>
        <v>Seantrel</v>
      </c>
      <c r="F912">
        <f>IFERROR(__xludf.DUMMYFUNCTION("""COMPUTED_VALUE"""),10.2)</f>
        <v>10.2</v>
      </c>
    </row>
    <row r="913">
      <c r="D913" t="str">
        <f>IFERROR(__xludf.DUMMYFUNCTION("""COMPUTED_VALUE"""),"Henne")</f>
        <v>Henne</v>
      </c>
      <c r="E913" t="str">
        <f>IFERROR(__xludf.DUMMYFUNCTION("""COMPUTED_VALUE"""),"Chad")</f>
        <v>Chad</v>
      </c>
      <c r="F913">
        <f>IFERROR(__xludf.DUMMYFUNCTION("""COMPUTED_VALUE"""),10.35)</f>
        <v>10.35</v>
      </c>
    </row>
    <row r="914">
      <c r="D914" t="str">
        <f>IFERROR(__xludf.DUMMYFUNCTION("""COMPUTED_VALUE"""),"Henry")</f>
        <v>Henry</v>
      </c>
      <c r="E914" t="str">
        <f>IFERROR(__xludf.DUMMYFUNCTION("""COMPUTED_VALUE"""),"Derrick")</f>
        <v>Derrick</v>
      </c>
      <c r="F914">
        <f>IFERROR(__xludf.DUMMYFUNCTION("""COMPUTED_VALUE"""),11.1)</f>
        <v>11.1</v>
      </c>
    </row>
    <row r="915">
      <c r="D915" t="str">
        <f>IFERROR(__xludf.DUMMYFUNCTION("""COMPUTED_VALUE"""),"Henry")</f>
        <v>Henry</v>
      </c>
      <c r="E915" t="str">
        <f>IFERROR(__xludf.DUMMYFUNCTION("""COMPUTED_VALUE"""),"Hunter")</f>
        <v>Hunter</v>
      </c>
      <c r="F915">
        <f>IFERROR(__xludf.DUMMYFUNCTION("""COMPUTED_VALUE"""),11.7)</f>
        <v>11.7</v>
      </c>
    </row>
    <row r="916">
      <c r="D916" t="str">
        <f>IFERROR(__xludf.DUMMYFUNCTION("""COMPUTED_VALUE"""),"Henry")</f>
        <v>Henry</v>
      </c>
      <c r="E916" t="str">
        <f>IFERROR(__xludf.DUMMYFUNCTION("""COMPUTED_VALUE"""),"Marcus")</f>
        <v>Marcus</v>
      </c>
      <c r="F916">
        <f>IFERROR(__xludf.DUMMYFUNCTION("""COMPUTED_VALUE"""),9.0)</f>
        <v>9</v>
      </c>
    </row>
    <row r="917">
      <c r="D917" t="str">
        <f>IFERROR(__xludf.DUMMYFUNCTION("""COMPUTED_VALUE"""),"Henry")</f>
        <v>Henry</v>
      </c>
      <c r="E917" t="str">
        <f>IFERROR(__xludf.DUMMYFUNCTION("""COMPUTED_VALUE"""),"Mitchell")</f>
        <v>Mitchell</v>
      </c>
      <c r="F917">
        <f>IFERROR(__xludf.DUMMYFUNCTION("""COMPUTED_VALUE"""),10.35)</f>
        <v>10.35</v>
      </c>
    </row>
    <row r="918">
      <c r="D918" t="str">
        <f>IFERROR(__xludf.DUMMYFUNCTION("""COMPUTED_VALUE"""),"Henry")</f>
        <v>Henry</v>
      </c>
      <c r="E918" t="str">
        <f>IFERROR(__xludf.DUMMYFUNCTION("""COMPUTED_VALUE"""),"Willie")</f>
        <v>Willie</v>
      </c>
      <c r="F918">
        <f>IFERROR(__xludf.DUMMYFUNCTION("""COMPUTED_VALUE"""),10.2)</f>
        <v>10.2</v>
      </c>
    </row>
    <row r="919">
      <c r="D919" t="str">
        <f>IFERROR(__xludf.DUMMYFUNCTION("""COMPUTED_VALUE"""),"Hepburn")</f>
        <v>Hepburn</v>
      </c>
      <c r="E919" t="str">
        <f>IFERROR(__xludf.DUMMYFUNCTION("""COMPUTED_VALUE"""),"Brandon")</f>
        <v>Brandon</v>
      </c>
      <c r="F919">
        <f>IFERROR(__xludf.DUMMYFUNCTION("""COMPUTED_VALUE"""),10.2)</f>
        <v>10.2</v>
      </c>
    </row>
    <row r="920">
      <c r="D920" t="str">
        <f>IFERROR(__xludf.DUMMYFUNCTION("""COMPUTED_VALUE"""),"Herndon")</f>
        <v>Herndon</v>
      </c>
      <c r="E920" t="str">
        <f>IFERROR(__xludf.DUMMYFUNCTION("""COMPUTED_VALUE"""),"Javontee")</f>
        <v>Javontee</v>
      </c>
      <c r="F920">
        <f>IFERROR(__xludf.DUMMYFUNCTION("""COMPUTED_VALUE"""),10.049999999999999)</f>
        <v>10.05</v>
      </c>
    </row>
    <row r="921">
      <c r="D921" t="str">
        <f>IFERROR(__xludf.DUMMYFUNCTION("""COMPUTED_VALUE"""),"Herrera")</f>
        <v>Herrera</v>
      </c>
      <c r="E921" t="str">
        <f>IFERROR(__xludf.DUMMYFUNCTION("""COMPUTED_VALUE"""),"Amarlo")</f>
        <v>Amarlo</v>
      </c>
      <c r="F921">
        <f>IFERROR(__xludf.DUMMYFUNCTION("""COMPUTED_VALUE"""),8.85)</f>
        <v>8.85</v>
      </c>
    </row>
    <row r="922">
      <c r="D922" t="str">
        <f>IFERROR(__xludf.DUMMYFUNCTION("""COMPUTED_VALUE"""),"Herzlich")</f>
        <v>Herzlich</v>
      </c>
      <c r="E922" t="str">
        <f>IFERROR(__xludf.DUMMYFUNCTION("""COMPUTED_VALUE"""),"Mark")</f>
        <v>Mark</v>
      </c>
      <c r="F922">
        <f>IFERROR(__xludf.DUMMYFUNCTION("""COMPUTED_VALUE"""),10.2)</f>
        <v>10.2</v>
      </c>
    </row>
    <row r="923">
      <c r="D923" t="str">
        <f>IFERROR(__xludf.DUMMYFUNCTION("""COMPUTED_VALUE"""),"Heuerman")</f>
        <v>Heuerman</v>
      </c>
      <c r="E923" t="str">
        <f>IFERROR(__xludf.DUMMYFUNCTION("""COMPUTED_VALUE"""),"Jeff")</f>
        <v>Jeff</v>
      </c>
      <c r="F923">
        <f>IFERROR(__xludf.DUMMYFUNCTION("""COMPUTED_VALUE"""),10.65)</f>
        <v>10.65</v>
      </c>
    </row>
    <row r="924">
      <c r="D924" t="str">
        <f>IFERROR(__xludf.DUMMYFUNCTION("""COMPUTED_VALUE"""),"Heurtelou")</f>
        <v>Heurtelou</v>
      </c>
      <c r="E924" t="str">
        <f>IFERROR(__xludf.DUMMYFUNCTION("""COMPUTED_VALUE"""),"Calvin")</f>
        <v>Calvin</v>
      </c>
      <c r="F924">
        <f>IFERROR(__xludf.DUMMYFUNCTION("""COMPUTED_VALUE"""),8.85)</f>
        <v>8.85</v>
      </c>
    </row>
    <row r="925">
      <c r="D925" t="str">
        <f>IFERROR(__xludf.DUMMYFUNCTION("""COMPUTED_VALUE"""),"Hewitt")</f>
        <v>Hewitt</v>
      </c>
      <c r="E925" t="str">
        <f>IFERROR(__xludf.DUMMYFUNCTION("""COMPUTED_VALUE"""),"Neville")</f>
        <v>Neville</v>
      </c>
      <c r="F925">
        <f>IFERROR(__xludf.DUMMYFUNCTION("""COMPUTED_VALUE"""),9.9)</f>
        <v>9.9</v>
      </c>
    </row>
    <row r="926">
      <c r="D926" t="str">
        <f>IFERROR(__xludf.DUMMYFUNCTION("""COMPUTED_VALUE"""),"Hewitt")</f>
        <v>Hewitt</v>
      </c>
      <c r="E926" t="str">
        <f>IFERROR(__xludf.DUMMYFUNCTION("""COMPUTED_VALUE"""),"Ryan")</f>
        <v>Ryan</v>
      </c>
      <c r="F926">
        <f>IFERROR(__xludf.DUMMYFUNCTION("""COMPUTED_VALUE"""),11.1)</f>
        <v>11.1</v>
      </c>
    </row>
    <row r="927">
      <c r="D927" t="str">
        <f>IFERROR(__xludf.DUMMYFUNCTION("""COMPUTED_VALUE"""),"Heyward")</f>
        <v>Heyward</v>
      </c>
      <c r="E927" t="str">
        <f>IFERROR(__xludf.DUMMYFUNCTION("""COMPUTED_VALUE"""),"Cameron")</f>
        <v>Cameron</v>
      </c>
      <c r="F927">
        <f>IFERROR(__xludf.DUMMYFUNCTION("""COMPUTED_VALUE"""),13.2)</f>
        <v>13.2</v>
      </c>
    </row>
    <row r="928">
      <c r="D928" t="str">
        <f>IFERROR(__xludf.DUMMYFUNCTION("""COMPUTED_VALUE"""),"Heyward-Bey")</f>
        <v>Heyward-Bey</v>
      </c>
      <c r="E928" t="str">
        <f>IFERROR(__xludf.DUMMYFUNCTION("""COMPUTED_VALUE"""),"Darrius")</f>
        <v>Darrius</v>
      </c>
      <c r="F928">
        <f>IFERROR(__xludf.DUMMYFUNCTION("""COMPUTED_VALUE"""),10.65)</f>
        <v>10.65</v>
      </c>
    </row>
    <row r="929">
      <c r="D929" t="str">
        <f>IFERROR(__xludf.DUMMYFUNCTION("""COMPUTED_VALUE"""),"Hicks")</f>
        <v>Hicks</v>
      </c>
      <c r="E929" t="str">
        <f>IFERROR(__xludf.DUMMYFUNCTION("""COMPUTED_VALUE"""),"Akiem")</f>
        <v>Akiem</v>
      </c>
      <c r="F929">
        <f>IFERROR(__xludf.DUMMYFUNCTION("""COMPUTED_VALUE"""),11.7)</f>
        <v>11.7</v>
      </c>
    </row>
    <row r="930">
      <c r="D930" t="str">
        <f>IFERROR(__xludf.DUMMYFUNCTION("""COMPUTED_VALUE"""),"Hicks")</f>
        <v>Hicks</v>
      </c>
      <c r="E930" t="str">
        <f>IFERROR(__xludf.DUMMYFUNCTION("""COMPUTED_VALUE"""),"Jordan")</f>
        <v>Jordan</v>
      </c>
      <c r="F930">
        <f>IFERROR(__xludf.DUMMYFUNCTION("""COMPUTED_VALUE"""),11.1)</f>
        <v>11.1</v>
      </c>
    </row>
    <row r="931">
      <c r="D931" t="str">
        <f>IFERROR(__xludf.DUMMYFUNCTION("""COMPUTED_VALUE"""),"Higbee")</f>
        <v>Higbee</v>
      </c>
      <c r="E931" t="str">
        <f>IFERROR(__xludf.DUMMYFUNCTION("""COMPUTED_VALUE"""),"Tyler")</f>
        <v>Tyler</v>
      </c>
      <c r="F931">
        <f>IFERROR(__xludf.DUMMYFUNCTION("""COMPUTED_VALUE"""),10.5)</f>
        <v>10.5</v>
      </c>
    </row>
    <row r="932">
      <c r="D932" t="str">
        <f>IFERROR(__xludf.DUMMYFUNCTION("""COMPUTED_VALUE"""),"Higgins")</f>
        <v>Higgins</v>
      </c>
      <c r="E932" t="str">
        <f>IFERROR(__xludf.DUMMYFUNCTION("""COMPUTED_VALUE"""),"Rashard")</f>
        <v>Rashard</v>
      </c>
      <c r="F932">
        <f>IFERROR(__xludf.DUMMYFUNCTION("""COMPUTED_VALUE"""),9.45)</f>
        <v>9.45</v>
      </c>
    </row>
    <row r="933">
      <c r="D933" t="str">
        <f>IFERROR(__xludf.DUMMYFUNCTION("""COMPUTED_VALUE"""),"Hightower")</f>
        <v>Hightower</v>
      </c>
      <c r="E933" t="str">
        <f>IFERROR(__xludf.DUMMYFUNCTION("""COMPUTED_VALUE"""),"Donta")</f>
        <v>Donta</v>
      </c>
      <c r="F933">
        <f>IFERROR(__xludf.DUMMYFUNCTION("""COMPUTED_VALUE"""),13.5)</f>
        <v>13.5</v>
      </c>
    </row>
    <row r="934">
      <c r="D934" t="str">
        <f>IFERROR(__xludf.DUMMYFUNCTION("""COMPUTED_VALUE"""),"Hightower")</f>
        <v>Hightower</v>
      </c>
      <c r="E934" t="str">
        <f>IFERROR(__xludf.DUMMYFUNCTION("""COMPUTED_VALUE"""),"Tim")</f>
        <v>Tim</v>
      </c>
      <c r="F934">
        <f>IFERROR(__xludf.DUMMYFUNCTION("""COMPUTED_VALUE"""),10.95)</f>
        <v>10.95</v>
      </c>
    </row>
    <row r="935">
      <c r="D935" t="str">
        <f>IFERROR(__xludf.DUMMYFUNCTION("""COMPUTED_VALUE"""),"Hill")</f>
        <v>Hill</v>
      </c>
      <c r="E935" t="str">
        <f>IFERROR(__xludf.DUMMYFUNCTION("""COMPUTED_VALUE"""),"Jeremy")</f>
        <v>Jeremy</v>
      </c>
      <c r="F935">
        <f>IFERROR(__xludf.DUMMYFUNCTION("""COMPUTED_VALUE"""),12.15)</f>
        <v>12.15</v>
      </c>
    </row>
    <row r="936">
      <c r="D936" t="str">
        <f>IFERROR(__xludf.DUMMYFUNCTION("""COMPUTED_VALUE"""),"Hill")</f>
        <v>Hill</v>
      </c>
      <c r="E936" t="str">
        <f>IFERROR(__xludf.DUMMYFUNCTION("""COMPUTED_VALUE"""),"Jordan")</f>
        <v>Jordan</v>
      </c>
      <c r="F936">
        <f>IFERROR(__xludf.DUMMYFUNCTION("""COMPUTED_VALUE"""),10.799999999999999)</f>
        <v>10.8</v>
      </c>
    </row>
    <row r="937">
      <c r="D937" t="str">
        <f>IFERROR(__xludf.DUMMYFUNCTION("""COMPUTED_VALUE"""),"Hill")</f>
        <v>Hill</v>
      </c>
      <c r="E937" t="str">
        <f>IFERROR(__xludf.DUMMYFUNCTION("""COMPUTED_VALUE"""),"Josh")</f>
        <v>Josh</v>
      </c>
      <c r="F937">
        <f>IFERROR(__xludf.DUMMYFUNCTION("""COMPUTED_VALUE"""),11.7)</f>
        <v>11.7</v>
      </c>
    </row>
    <row r="938">
      <c r="D938" t="str">
        <f>IFERROR(__xludf.DUMMYFUNCTION("""COMPUTED_VALUE"""),"Hill")</f>
        <v>Hill</v>
      </c>
      <c r="E938" t="str">
        <f>IFERROR(__xludf.DUMMYFUNCTION("""COMPUTED_VALUE"""),"Shaun")</f>
        <v>Shaun</v>
      </c>
      <c r="F938">
        <f>IFERROR(__xludf.DUMMYFUNCTION("""COMPUTED_VALUE"""),10.2)</f>
        <v>10.2</v>
      </c>
    </row>
    <row r="939">
      <c r="D939" t="str">
        <f>IFERROR(__xludf.DUMMYFUNCTION("""COMPUTED_VALUE"""),"Hill")</f>
        <v>Hill</v>
      </c>
      <c r="E939" t="str">
        <f>IFERROR(__xludf.DUMMYFUNCTION("""COMPUTED_VALUE"""),"Stephen")</f>
        <v>Stephen</v>
      </c>
      <c r="F939">
        <f>IFERROR(__xludf.DUMMYFUNCTION("""COMPUTED_VALUE"""),9.299999999999999)</f>
        <v>9.3</v>
      </c>
    </row>
    <row r="940">
      <c r="D940" t="str">
        <f>IFERROR(__xludf.DUMMYFUNCTION("""COMPUTED_VALUE"""),"Hill")</f>
        <v>Hill</v>
      </c>
      <c r="E940" t="str">
        <f>IFERROR(__xludf.DUMMYFUNCTION("""COMPUTED_VALUE"""),"Troy")</f>
        <v>Troy</v>
      </c>
      <c r="F940">
        <f>IFERROR(__xludf.DUMMYFUNCTION("""COMPUTED_VALUE"""),9.0)</f>
        <v>9</v>
      </c>
    </row>
    <row r="941">
      <c r="D941" t="str">
        <f>IFERROR(__xludf.DUMMYFUNCTION("""COMPUTED_VALUE"""),"Hill")</f>
        <v>Hill</v>
      </c>
      <c r="E941" t="str">
        <f>IFERROR(__xludf.DUMMYFUNCTION("""COMPUTED_VALUE"""),"Tyreek")</f>
        <v>Tyreek</v>
      </c>
      <c r="F941">
        <f>IFERROR(__xludf.DUMMYFUNCTION("""COMPUTED_VALUE"""),9.75)</f>
        <v>9.75</v>
      </c>
    </row>
    <row r="942">
      <c r="D942" t="str">
        <f>IFERROR(__xludf.DUMMYFUNCTION("""COMPUTED_VALUE"""),"Hillary")</f>
        <v>Hillary</v>
      </c>
      <c r="E942" t="str">
        <f>IFERROR(__xludf.DUMMYFUNCTION("""COMPUTED_VALUE"""),"Darius")</f>
        <v>Darius</v>
      </c>
      <c r="F942">
        <f>IFERROR(__xludf.DUMMYFUNCTION("""COMPUTED_VALUE"""),9.0)</f>
        <v>9</v>
      </c>
    </row>
    <row r="943">
      <c r="D943" t="str">
        <f>IFERROR(__xludf.DUMMYFUNCTION("""COMPUTED_VALUE"""),"Hilliard")</f>
        <v>Hilliard</v>
      </c>
      <c r="E943" t="str">
        <f>IFERROR(__xludf.DUMMYFUNCTION("""COMPUTED_VALUE"""),"Kenny")</f>
        <v>Kenny</v>
      </c>
      <c r="F943">
        <f>IFERROR(__xludf.DUMMYFUNCTION("""COMPUTED_VALUE"""),9.299999999999999)</f>
        <v>9.3</v>
      </c>
    </row>
    <row r="944">
      <c r="D944" t="str">
        <f>IFERROR(__xludf.DUMMYFUNCTION("""COMPUTED_VALUE"""),"Hillman")</f>
        <v>Hillman</v>
      </c>
      <c r="E944" t="str">
        <f>IFERROR(__xludf.DUMMYFUNCTION("""COMPUTED_VALUE"""),"Ronnie")</f>
        <v>Ronnie</v>
      </c>
      <c r="F944">
        <f>IFERROR(__xludf.DUMMYFUNCTION("""COMPUTED_VALUE"""),11.4)</f>
        <v>11.4</v>
      </c>
    </row>
    <row r="945">
      <c r="D945" t="str">
        <f>IFERROR(__xludf.DUMMYFUNCTION("""COMPUTED_VALUE"""),"Hilton")</f>
        <v>Hilton</v>
      </c>
      <c r="E945" t="str">
        <f>IFERROR(__xludf.DUMMYFUNCTION("""COMPUTED_VALUE"""),"TY")</f>
        <v>TY</v>
      </c>
      <c r="F945">
        <f>IFERROR(__xludf.DUMMYFUNCTION("""COMPUTED_VALUE"""),13.35)</f>
        <v>13.35</v>
      </c>
    </row>
    <row r="946">
      <c r="D946" t="str">
        <f>IFERROR(__xludf.DUMMYFUNCTION("""COMPUTED_VALUE"""),"Hitchens")</f>
        <v>Hitchens</v>
      </c>
      <c r="E946" t="str">
        <f>IFERROR(__xludf.DUMMYFUNCTION("""COMPUTED_VALUE"""),"Anthony")</f>
        <v>Anthony</v>
      </c>
      <c r="F946">
        <f>IFERROR(__xludf.DUMMYFUNCTION("""COMPUTED_VALUE"""),11.1)</f>
        <v>11.1</v>
      </c>
    </row>
    <row r="947">
      <c r="D947" t="str">
        <f>IFERROR(__xludf.DUMMYFUNCTION("""COMPUTED_VALUE"""),"Hocker")</f>
        <v>Hocker</v>
      </c>
      <c r="E947" t="str">
        <f>IFERROR(__xludf.DUMMYFUNCTION("""COMPUTED_VALUE"""),"Zach")</f>
        <v>Zach</v>
      </c>
      <c r="F947">
        <f>IFERROR(__xludf.DUMMYFUNCTION("""COMPUTED_VALUE"""),10.35)</f>
        <v>10.35</v>
      </c>
    </row>
    <row r="948">
      <c r="D948" t="str">
        <f>IFERROR(__xludf.DUMMYFUNCTION("""COMPUTED_VALUE"""),"Hodges Jr.")</f>
        <v>Hodges Jr.</v>
      </c>
      <c r="E948" t="str">
        <f>IFERROR(__xludf.DUMMYFUNCTION("""COMPUTED_VALUE"""),"Gerald")</f>
        <v>Gerald</v>
      </c>
      <c r="F948">
        <f>IFERROR(__xludf.DUMMYFUNCTION("""COMPUTED_VALUE"""),10.35)</f>
        <v>10.35</v>
      </c>
    </row>
    <row r="949">
      <c r="D949" t="str">
        <f>IFERROR(__xludf.DUMMYFUNCTION("""COMPUTED_VALUE"""),"Hogan")</f>
        <v>Hogan</v>
      </c>
      <c r="E949" t="str">
        <f>IFERROR(__xludf.DUMMYFUNCTION("""COMPUTED_VALUE"""),"Chris")</f>
        <v>Chris</v>
      </c>
      <c r="F949">
        <f>IFERROR(__xludf.DUMMYFUNCTION("""COMPUTED_VALUE"""),11.25)</f>
        <v>11.25</v>
      </c>
    </row>
    <row r="950">
      <c r="D950" t="str">
        <f>IFERROR(__xludf.DUMMYFUNCTION("""COMPUTED_VALUE"""),"Hogan")</f>
        <v>Hogan</v>
      </c>
      <c r="E950" t="str">
        <f>IFERROR(__xludf.DUMMYFUNCTION("""COMPUTED_VALUE"""),"Kevin")</f>
        <v>Kevin</v>
      </c>
      <c r="F950">
        <f>IFERROR(__xludf.DUMMYFUNCTION("""COMPUTED_VALUE"""),10.049999999999999)</f>
        <v>10.05</v>
      </c>
    </row>
    <row r="951">
      <c r="D951" t="str">
        <f>IFERROR(__xludf.DUMMYFUNCTION("""COMPUTED_VALUE"""),"Holmes")</f>
        <v>Holmes</v>
      </c>
      <c r="E951" t="str">
        <f>IFERROR(__xludf.DUMMYFUNCTION("""COMPUTED_VALUE"""),"Andre")</f>
        <v>Andre</v>
      </c>
      <c r="F951">
        <f>IFERROR(__xludf.DUMMYFUNCTION("""COMPUTED_VALUE"""),10.95)</f>
        <v>10.95</v>
      </c>
    </row>
    <row r="952">
      <c r="D952" t="str">
        <f>IFERROR(__xludf.DUMMYFUNCTION("""COMPUTED_VALUE"""),"Holmes")</f>
        <v>Holmes</v>
      </c>
      <c r="E952" t="str">
        <f>IFERROR(__xludf.DUMMYFUNCTION("""COMPUTED_VALUE"""),"Gabe")</f>
        <v>Gabe</v>
      </c>
      <c r="F952">
        <f>IFERROR(__xludf.DUMMYFUNCTION("""COMPUTED_VALUE"""),9.0)</f>
        <v>9</v>
      </c>
    </row>
    <row r="953">
      <c r="D953" t="str">
        <f>IFERROR(__xludf.DUMMYFUNCTION("""COMPUTED_VALUE"""),"Holmes")</f>
        <v>Holmes</v>
      </c>
      <c r="E953" t="str">
        <f>IFERROR(__xludf.DUMMYFUNCTION("""COMPUTED_VALUE"""),"Tyrone")</f>
        <v>Tyrone</v>
      </c>
      <c r="F953">
        <f>IFERROR(__xludf.DUMMYFUNCTION("""COMPUTED_VALUE"""),9.9)</f>
        <v>9.9</v>
      </c>
    </row>
    <row r="954">
      <c r="D954" t="str">
        <f>IFERROR(__xludf.DUMMYFUNCTION("""COMPUTED_VALUE"""),"Holton")</f>
        <v>Holton</v>
      </c>
      <c r="E954" t="str">
        <f>IFERROR(__xludf.DUMMYFUNCTION("""COMPUTED_VALUE"""),"Johnny")</f>
        <v>Johnny</v>
      </c>
      <c r="F954">
        <f>IFERROR(__xludf.DUMMYFUNCTION("""COMPUTED_VALUE"""),9.45)</f>
        <v>9.45</v>
      </c>
    </row>
    <row r="955">
      <c r="D955" t="str">
        <f>IFERROR(__xludf.DUMMYFUNCTION("""COMPUTED_VALUE"""),"Hood")</f>
        <v>Hood</v>
      </c>
      <c r="E955" t="str">
        <f>IFERROR(__xludf.DUMMYFUNCTION("""COMPUTED_VALUE"""),"Ziggy")</f>
        <v>Ziggy</v>
      </c>
      <c r="F955">
        <f>IFERROR(__xludf.DUMMYFUNCTION("""COMPUTED_VALUE"""),10.5)</f>
        <v>10.5</v>
      </c>
    </row>
    <row r="956">
      <c r="D956" t="str">
        <f>IFERROR(__xludf.DUMMYFUNCTION("""COMPUTED_VALUE"""),"Hooks")</f>
        <v>Hooks</v>
      </c>
      <c r="E956" t="str">
        <f>IFERROR(__xludf.DUMMYFUNCTION("""COMPUTED_VALUE"""),"Lavon")</f>
        <v>Lavon</v>
      </c>
      <c r="F956">
        <f>IFERROR(__xludf.DUMMYFUNCTION("""COMPUTED_VALUE"""),9.0)</f>
        <v>9</v>
      </c>
    </row>
    <row r="957">
      <c r="D957" t="str">
        <f>IFERROR(__xludf.DUMMYFUNCTION("""COMPUTED_VALUE"""),"Hoomanawanui")</f>
        <v>Hoomanawanui</v>
      </c>
      <c r="E957" t="str">
        <f>IFERROR(__xludf.DUMMYFUNCTION("""COMPUTED_VALUE"""),"Michael")</f>
        <v>Michael</v>
      </c>
      <c r="F957">
        <f>IFERROR(__xludf.DUMMYFUNCTION("""COMPUTED_VALUE"""),11.1)</f>
        <v>11.1</v>
      </c>
    </row>
    <row r="958">
      <c r="D958" t="str">
        <f>IFERROR(__xludf.DUMMYFUNCTION("""COMPUTED_VALUE"""),"Hooper")</f>
        <v>Hooper</v>
      </c>
      <c r="E958" t="str">
        <f>IFERROR(__xludf.DUMMYFUNCTION("""COMPUTED_VALUE"""),"Austin")</f>
        <v>Austin</v>
      </c>
      <c r="F958">
        <f>IFERROR(__xludf.DUMMYFUNCTION("""COMPUTED_VALUE"""),10.5)</f>
        <v>10.5</v>
      </c>
    </row>
    <row r="959">
      <c r="D959" t="str">
        <f>IFERROR(__xludf.DUMMYFUNCTION("""COMPUTED_VALUE"""),"Hopkins")</f>
        <v>Hopkins</v>
      </c>
      <c r="E959" t="str">
        <f>IFERROR(__xludf.DUMMYFUNCTION("""COMPUTED_VALUE"""),"DeAndre")</f>
        <v>DeAndre</v>
      </c>
      <c r="F959">
        <f>IFERROR(__xludf.DUMMYFUNCTION("""COMPUTED_VALUE"""),13.95)</f>
        <v>13.95</v>
      </c>
    </row>
    <row r="960">
      <c r="D960" t="str">
        <f>IFERROR(__xludf.DUMMYFUNCTION("""COMPUTED_VALUE"""),"Hopkins")</f>
        <v>Hopkins</v>
      </c>
      <c r="E960" t="str">
        <f>IFERROR(__xludf.DUMMYFUNCTION("""COMPUTED_VALUE"""),"Dustin")</f>
        <v>Dustin</v>
      </c>
      <c r="F960">
        <f>IFERROR(__xludf.DUMMYFUNCTION("""COMPUTED_VALUE"""),11.549999999999999)</f>
        <v>11.55</v>
      </c>
    </row>
    <row r="961">
      <c r="D961" t="str">
        <f>IFERROR(__xludf.DUMMYFUNCTION("""COMPUTED_VALUE"""),"Hopkins")</f>
        <v>Hopkins</v>
      </c>
      <c r="E961" t="str">
        <f>IFERROR(__xludf.DUMMYFUNCTION("""COMPUTED_VALUE"""),"Trey")</f>
        <v>Trey</v>
      </c>
      <c r="F961">
        <f>IFERROR(__xludf.DUMMYFUNCTION("""COMPUTED_VALUE"""),9.75)</f>
        <v>9.75</v>
      </c>
    </row>
    <row r="962">
      <c r="D962" t="str">
        <f>IFERROR(__xludf.DUMMYFUNCTION("""COMPUTED_VALUE"""),"Horton")</f>
        <v>Horton</v>
      </c>
      <c r="E962" t="str">
        <f>IFERROR(__xludf.DUMMYFUNCTION("""COMPUTED_VALUE"""),"Wes")</f>
        <v>Wes</v>
      </c>
      <c r="F962">
        <f>IFERROR(__xludf.DUMMYFUNCTION("""COMPUTED_VALUE"""),10.5)</f>
        <v>10.5</v>
      </c>
    </row>
    <row r="963">
      <c r="D963" t="str">
        <f>IFERROR(__xludf.DUMMYFUNCTION("""COMPUTED_VALUE"""),"Houma")</f>
        <v>Houma</v>
      </c>
      <c r="E963" t="str">
        <f>IFERROR(__xludf.DUMMYFUNCTION("""COMPUTED_VALUE"""),"Sione")</f>
        <v>Sione</v>
      </c>
      <c r="F963">
        <f>IFERROR(__xludf.DUMMYFUNCTION("""COMPUTED_VALUE"""),9.45)</f>
        <v>9.45</v>
      </c>
    </row>
    <row r="964">
      <c r="D964" t="str">
        <f>IFERROR(__xludf.DUMMYFUNCTION("""COMPUTED_VALUE"""),"House")</f>
        <v>House</v>
      </c>
      <c r="E964" t="str">
        <f>IFERROR(__xludf.DUMMYFUNCTION("""COMPUTED_VALUE"""),"Davon")</f>
        <v>Davon</v>
      </c>
      <c r="F964">
        <f>IFERROR(__xludf.DUMMYFUNCTION("""COMPUTED_VALUE"""),11.4)</f>
        <v>11.4</v>
      </c>
    </row>
    <row r="965">
      <c r="D965" t="str">
        <f>IFERROR(__xludf.DUMMYFUNCTION("""COMPUTED_VALUE"""),"Housler")</f>
        <v>Housler</v>
      </c>
      <c r="E965" t="str">
        <f>IFERROR(__xludf.DUMMYFUNCTION("""COMPUTED_VALUE"""),"Rob")</f>
        <v>Rob</v>
      </c>
      <c r="F965">
        <f>IFERROR(__xludf.DUMMYFUNCTION("""COMPUTED_VALUE"""),10.2)</f>
        <v>10.2</v>
      </c>
    </row>
    <row r="966">
      <c r="D966" t="str">
        <f>IFERROR(__xludf.DUMMYFUNCTION("""COMPUTED_VALUE"""),"Houston")</f>
        <v>Houston</v>
      </c>
      <c r="E966" t="str">
        <f>IFERROR(__xludf.DUMMYFUNCTION("""COMPUTED_VALUE"""),"Justin")</f>
        <v>Justin</v>
      </c>
      <c r="F966">
        <f>IFERROR(__xludf.DUMMYFUNCTION("""COMPUTED_VALUE"""),14.549999999999999)</f>
        <v>14.55</v>
      </c>
    </row>
    <row r="967">
      <c r="D967" t="str">
        <f>IFERROR(__xludf.DUMMYFUNCTION("""COMPUTED_VALUE"""),"Houston")</f>
        <v>Houston</v>
      </c>
      <c r="E967" t="str">
        <f>IFERROR(__xludf.DUMMYFUNCTION("""COMPUTED_VALUE"""),"Lamarr")</f>
        <v>Lamarr</v>
      </c>
      <c r="F967">
        <f>IFERROR(__xludf.DUMMYFUNCTION("""COMPUTED_VALUE"""),12.15)</f>
        <v>12.15</v>
      </c>
    </row>
    <row r="968">
      <c r="D968" t="str">
        <f>IFERROR(__xludf.DUMMYFUNCTION("""COMPUTED_VALUE"""),"Houston-Carson")</f>
        <v>Houston-Carson</v>
      </c>
      <c r="E968" t="str">
        <f>IFERROR(__xludf.DUMMYFUNCTION("""COMPUTED_VALUE"""),"DeAndre")</f>
        <v>DeAndre</v>
      </c>
      <c r="F968">
        <f>IFERROR(__xludf.DUMMYFUNCTION("""COMPUTED_VALUE"""),10.2)</f>
        <v>10.2</v>
      </c>
    </row>
    <row r="969">
      <c r="D969" t="str">
        <f>IFERROR(__xludf.DUMMYFUNCTION("""COMPUTED_VALUE"""),"Howard")</f>
        <v>Howard</v>
      </c>
      <c r="E969" t="str">
        <f>IFERROR(__xludf.DUMMYFUNCTION("""COMPUTED_VALUE"""),"Austin")</f>
        <v>Austin</v>
      </c>
      <c r="F969">
        <f>IFERROR(__xludf.DUMMYFUNCTION("""COMPUTED_VALUE"""),12.0)</f>
        <v>12</v>
      </c>
    </row>
    <row r="970">
      <c r="D970" t="str">
        <f>IFERROR(__xludf.DUMMYFUNCTION("""COMPUTED_VALUE"""),"Howard")</f>
        <v>Howard</v>
      </c>
      <c r="E970" t="str">
        <f>IFERROR(__xludf.DUMMYFUNCTION("""COMPUTED_VALUE"""),"Jaye")</f>
        <v>Jaye</v>
      </c>
      <c r="F970">
        <f>IFERROR(__xludf.DUMMYFUNCTION("""COMPUTED_VALUE"""),12.45)</f>
        <v>12.45</v>
      </c>
    </row>
    <row r="971">
      <c r="D971" t="str">
        <f>IFERROR(__xludf.DUMMYFUNCTION("""COMPUTED_VALUE"""),"Howard")</f>
        <v>Howard</v>
      </c>
      <c r="E971" t="str">
        <f>IFERROR(__xludf.DUMMYFUNCTION("""COMPUTED_VALUE"""),"Jordan")</f>
        <v>Jordan</v>
      </c>
      <c r="F971">
        <f>IFERROR(__xludf.DUMMYFUNCTION("""COMPUTED_VALUE"""),9.9)</f>
        <v>9.9</v>
      </c>
    </row>
    <row r="972">
      <c r="D972" t="str">
        <f>IFERROR(__xludf.DUMMYFUNCTION("""COMPUTED_VALUE"""),"Howard")</f>
        <v>Howard</v>
      </c>
      <c r="E972" t="str">
        <f>IFERROR(__xludf.DUMMYFUNCTION("""COMPUTED_VALUE"""),"Xavien")</f>
        <v>Xavien</v>
      </c>
      <c r="F972">
        <f>IFERROR(__xludf.DUMMYFUNCTION("""COMPUTED_VALUE"""),10.799999999999999)</f>
        <v>10.8</v>
      </c>
    </row>
    <row r="973">
      <c r="D973" t="str">
        <f>IFERROR(__xludf.DUMMYFUNCTION("""COMPUTED_VALUE"""),"Hoyer")</f>
        <v>Hoyer</v>
      </c>
      <c r="E973" t="str">
        <f>IFERROR(__xludf.DUMMYFUNCTION("""COMPUTED_VALUE"""),"Brian")</f>
        <v>Brian</v>
      </c>
      <c r="F973">
        <f>IFERROR(__xludf.DUMMYFUNCTION("""COMPUTED_VALUE"""),10.95)</f>
        <v>10.95</v>
      </c>
    </row>
    <row r="974">
      <c r="D974" t="str">
        <f>IFERROR(__xludf.DUMMYFUNCTION("""COMPUTED_VALUE"""),"Hubbard")</f>
        <v>Hubbard</v>
      </c>
      <c r="E974" t="str">
        <f>IFERROR(__xludf.DUMMYFUNCTION("""COMPUTED_VALUE"""),"Chris")</f>
        <v>Chris</v>
      </c>
      <c r="F974">
        <f>IFERROR(__xludf.DUMMYFUNCTION("""COMPUTED_VALUE"""),10.049999999999999)</f>
        <v>10.05</v>
      </c>
    </row>
    <row r="975">
      <c r="D975" t="str">
        <f>IFERROR(__xludf.DUMMYFUNCTION("""COMPUTED_VALUE"""),"Huber")</f>
        <v>Huber</v>
      </c>
      <c r="E975" t="str">
        <f>IFERROR(__xludf.DUMMYFUNCTION("""COMPUTED_VALUE"""),"Kevin")</f>
        <v>Kevin</v>
      </c>
      <c r="F975">
        <f>IFERROR(__xludf.DUMMYFUNCTION("""COMPUTED_VALUE"""),11.549999999999999)</f>
        <v>11.55</v>
      </c>
    </row>
    <row r="976">
      <c r="D976" t="str">
        <f>IFERROR(__xludf.DUMMYFUNCTION("""COMPUTED_VALUE"""),"Hudson")</f>
        <v>Hudson</v>
      </c>
      <c r="E976" t="str">
        <f>IFERROR(__xludf.DUMMYFUNCTION("""COMPUTED_VALUE"""),"Rodney")</f>
        <v>Rodney</v>
      </c>
      <c r="F976">
        <f>IFERROR(__xludf.DUMMYFUNCTION("""COMPUTED_VALUE"""),12.75)</f>
        <v>12.75</v>
      </c>
    </row>
    <row r="977">
      <c r="D977" t="str">
        <f>IFERROR(__xludf.DUMMYFUNCTION("""COMPUTED_VALUE"""),"Huff")</f>
        <v>Huff</v>
      </c>
      <c r="E977" t="str">
        <f>IFERROR(__xludf.DUMMYFUNCTION("""COMPUTED_VALUE"""),"Josh")</f>
        <v>Josh</v>
      </c>
      <c r="F977">
        <f>IFERROR(__xludf.DUMMYFUNCTION("""COMPUTED_VALUE"""),10.5)</f>
        <v>10.5</v>
      </c>
    </row>
    <row r="978">
      <c r="D978" t="str">
        <f>IFERROR(__xludf.DUMMYFUNCTION("""COMPUTED_VALUE"""),"Huff")</f>
        <v>Huff</v>
      </c>
      <c r="E978" t="str">
        <f>IFERROR(__xludf.DUMMYFUNCTION("""COMPUTED_VALUE"""),"Marqueston")</f>
        <v>Marqueston</v>
      </c>
      <c r="F978">
        <f>IFERROR(__xludf.DUMMYFUNCTION("""COMPUTED_VALUE"""),10.799999999999999)</f>
        <v>10.8</v>
      </c>
    </row>
    <row r="979">
      <c r="D979" t="str">
        <f>IFERROR(__xludf.DUMMYFUNCTION("""COMPUTED_VALUE"""),"Hughes")</f>
        <v>Hughes</v>
      </c>
      <c r="E979" t="str">
        <f>IFERROR(__xludf.DUMMYFUNCTION("""COMPUTED_VALUE"""),"Jerry")</f>
        <v>Jerry</v>
      </c>
      <c r="F979">
        <f>IFERROR(__xludf.DUMMYFUNCTION("""COMPUTED_VALUE"""),13.2)</f>
        <v>13.2</v>
      </c>
    </row>
    <row r="980">
      <c r="D980" t="str">
        <f>IFERROR(__xludf.DUMMYFUNCTION("""COMPUTED_VALUE"""),"Hughes")</f>
        <v>Hughes</v>
      </c>
      <c r="E980" t="str">
        <f>IFERROR(__xludf.DUMMYFUNCTION("""COMPUTED_VALUE"""),"Montori")</f>
        <v>Montori</v>
      </c>
      <c r="F980">
        <f>IFERROR(__xludf.DUMMYFUNCTION("""COMPUTED_VALUE"""),9.75)</f>
        <v>9.75</v>
      </c>
    </row>
    <row r="981">
      <c r="D981" t="str">
        <f>IFERROR(__xludf.DUMMYFUNCTION("""COMPUTED_VALUE"""),"Hughes III")</f>
        <v>Hughes III</v>
      </c>
      <c r="E981" t="str">
        <f>IFERROR(__xludf.DUMMYFUNCTION("""COMPUTED_VALUE"""),"John")</f>
        <v>John</v>
      </c>
      <c r="F981">
        <f>IFERROR(__xludf.DUMMYFUNCTION("""COMPUTED_VALUE"""),10.5)</f>
        <v>10.5</v>
      </c>
    </row>
    <row r="982">
      <c r="D982" t="str">
        <f>IFERROR(__xludf.DUMMYFUNCTION("""COMPUTED_VALUE"""),"Hughlett")</f>
        <v>Hughlett</v>
      </c>
      <c r="E982" t="str">
        <f>IFERROR(__xludf.DUMMYFUNCTION("""COMPUTED_VALUE"""),"Charley")</f>
        <v>Charley</v>
      </c>
      <c r="F982">
        <f>IFERROR(__xludf.DUMMYFUNCTION("""COMPUTED_VALUE"""),7.6499999999999995)</f>
        <v>7.65</v>
      </c>
    </row>
    <row r="983">
      <c r="D983" t="str">
        <f>IFERROR(__xludf.DUMMYFUNCTION("""COMPUTED_VALUE"""),"Hull")</f>
        <v>Hull</v>
      </c>
      <c r="E983" t="str">
        <f>IFERROR(__xludf.DUMMYFUNCTION("""COMPUTED_VALUE"""),"Mike")</f>
        <v>Mike</v>
      </c>
      <c r="F983">
        <f>IFERROR(__xludf.DUMMYFUNCTION("""COMPUTED_VALUE"""),9.15)</f>
        <v>9.15</v>
      </c>
    </row>
    <row r="984">
      <c r="D984" t="str">
        <f>IFERROR(__xludf.DUMMYFUNCTION("""COMPUTED_VALUE"""),"Humber")</f>
        <v>Humber</v>
      </c>
      <c r="E984" t="str">
        <f>IFERROR(__xludf.DUMMYFUNCTION("""COMPUTED_VALUE"""),"Ramon")</f>
        <v>Ramon</v>
      </c>
      <c r="F984">
        <f>IFERROR(__xludf.DUMMYFUNCTION("""COMPUTED_VALUE"""),10.2)</f>
        <v>10.2</v>
      </c>
    </row>
    <row r="985">
      <c r="D985" t="str">
        <f>IFERROR(__xludf.DUMMYFUNCTION("""COMPUTED_VALUE"""),"Humphries")</f>
        <v>Humphries</v>
      </c>
      <c r="E985" t="str">
        <f>IFERROR(__xludf.DUMMYFUNCTION("""COMPUTED_VALUE"""),"Adam")</f>
        <v>Adam</v>
      </c>
      <c r="F985">
        <f>IFERROR(__xludf.DUMMYFUNCTION("""COMPUTED_VALUE"""),10.049999999999999)</f>
        <v>10.05</v>
      </c>
    </row>
    <row r="986">
      <c r="D986" t="str">
        <f>IFERROR(__xludf.DUMMYFUNCTION("""COMPUTED_VALUE"""),"Humphries")</f>
        <v>Humphries</v>
      </c>
      <c r="E986" t="str">
        <f>IFERROR(__xludf.DUMMYFUNCTION("""COMPUTED_VALUE"""),"DJ")</f>
        <v>DJ</v>
      </c>
      <c r="F986">
        <f>IFERROR(__xludf.DUMMYFUNCTION("""COMPUTED_VALUE"""),10.95)</f>
        <v>10.95</v>
      </c>
    </row>
    <row r="987">
      <c r="D987" t="str">
        <f>IFERROR(__xludf.DUMMYFUNCTION("""COMPUTED_VALUE"""),"Hundley")</f>
        <v>Hundley</v>
      </c>
      <c r="E987" t="str">
        <f>IFERROR(__xludf.DUMMYFUNCTION("""COMPUTED_VALUE"""),"Brett")</f>
        <v>Brett</v>
      </c>
      <c r="F987">
        <f>IFERROR(__xludf.DUMMYFUNCTION("""COMPUTED_VALUE"""),10.5)</f>
        <v>10.5</v>
      </c>
    </row>
    <row r="988">
      <c r="D988" t="str">
        <f>IFERROR(__xludf.DUMMYFUNCTION("""COMPUTED_VALUE"""),"Hunt")</f>
        <v>Hunt</v>
      </c>
      <c r="E988" t="str">
        <f>IFERROR(__xludf.DUMMYFUNCTION("""COMPUTED_VALUE"""),"Akeem")</f>
        <v>Akeem</v>
      </c>
      <c r="F988">
        <f>IFERROR(__xludf.DUMMYFUNCTION("""COMPUTED_VALUE"""),9.6)</f>
        <v>9.6</v>
      </c>
    </row>
    <row r="989">
      <c r="D989" t="str">
        <f>IFERROR(__xludf.DUMMYFUNCTION("""COMPUTED_VALUE"""),"Hunt")</f>
        <v>Hunt</v>
      </c>
      <c r="E989" t="str">
        <f>IFERROR(__xludf.DUMMYFUNCTION("""COMPUTED_VALUE"""),"Joey")</f>
        <v>Joey</v>
      </c>
      <c r="F989">
        <f>IFERROR(__xludf.DUMMYFUNCTION("""COMPUTED_VALUE"""),10.049999999999999)</f>
        <v>10.05</v>
      </c>
    </row>
    <row r="990">
      <c r="D990" t="str">
        <f>IFERROR(__xludf.DUMMYFUNCTION("""COMPUTED_VALUE"""),"Hunt")</f>
        <v>Hunt</v>
      </c>
      <c r="E990" t="str">
        <f>IFERROR(__xludf.DUMMYFUNCTION("""COMPUTED_VALUE"""),"Margus")</f>
        <v>Margus</v>
      </c>
      <c r="F990">
        <f>IFERROR(__xludf.DUMMYFUNCTION("""COMPUTED_VALUE"""),9.75)</f>
        <v>9.75</v>
      </c>
    </row>
    <row r="991">
      <c r="D991" t="str">
        <f>IFERROR(__xludf.DUMMYFUNCTION("""COMPUTED_VALUE"""),"Hunter")</f>
        <v>Hunter</v>
      </c>
      <c r="E991" t="str">
        <f>IFERROR(__xludf.DUMMYFUNCTION("""COMPUTED_VALUE"""),"Danielle")</f>
        <v>Danielle</v>
      </c>
      <c r="F991">
        <f>IFERROR(__xludf.DUMMYFUNCTION("""COMPUTED_VALUE"""),10.799999999999999)</f>
        <v>10.8</v>
      </c>
    </row>
    <row r="992">
      <c r="D992" t="str">
        <f>IFERROR(__xludf.DUMMYFUNCTION("""COMPUTED_VALUE"""),"Hunter")</f>
        <v>Hunter</v>
      </c>
      <c r="E992" t="str">
        <f>IFERROR(__xludf.DUMMYFUNCTION("""COMPUTED_VALUE"""),"Justin")</f>
        <v>Justin</v>
      </c>
      <c r="F992">
        <f>IFERROR(__xludf.DUMMYFUNCTION("""COMPUTED_VALUE"""),10.65)</f>
        <v>10.65</v>
      </c>
    </row>
    <row r="993">
      <c r="D993" t="str">
        <f>IFERROR(__xludf.DUMMYFUNCTION("""COMPUTED_VALUE"""),"Hurns")</f>
        <v>Hurns</v>
      </c>
      <c r="E993" t="str">
        <f>IFERROR(__xludf.DUMMYFUNCTION("""COMPUTED_VALUE"""),"Allen")</f>
        <v>Allen</v>
      </c>
      <c r="F993">
        <f>IFERROR(__xludf.DUMMYFUNCTION("""COMPUTED_VALUE"""),12.75)</f>
        <v>12.75</v>
      </c>
    </row>
    <row r="994">
      <c r="D994" t="str">
        <f>IFERROR(__xludf.DUMMYFUNCTION("""COMPUTED_VALUE"""),"Hurst")</f>
        <v>Hurst</v>
      </c>
      <c r="E994" t="str">
        <f>IFERROR(__xludf.DUMMYFUNCTION("""COMPUTED_VALUE"""),"Demontre")</f>
        <v>Demontre</v>
      </c>
      <c r="F994">
        <f>IFERROR(__xludf.DUMMYFUNCTION("""COMPUTED_VALUE"""),9.45)</f>
        <v>9.45</v>
      </c>
    </row>
    <row r="995">
      <c r="D995" t="str">
        <f>IFERROR(__xludf.DUMMYFUNCTION("""COMPUTED_VALUE"""),"Hurst")</f>
        <v>Hurst</v>
      </c>
      <c r="E995" t="str">
        <f>IFERROR(__xludf.DUMMYFUNCTION("""COMPUTED_VALUE"""),"James")</f>
        <v>James</v>
      </c>
      <c r="F995">
        <f>IFERROR(__xludf.DUMMYFUNCTION("""COMPUTED_VALUE"""),9.9)</f>
        <v>9.9</v>
      </c>
    </row>
    <row r="996">
      <c r="D996" t="str">
        <f>IFERROR(__xludf.DUMMYFUNCTION("""COMPUTED_VALUE"""),"Hyde")</f>
        <v>Hyde</v>
      </c>
      <c r="E996" t="str">
        <f>IFERROR(__xludf.DUMMYFUNCTION("""COMPUTED_VALUE"""),"Carlos")</f>
        <v>Carlos</v>
      </c>
      <c r="F996">
        <f>IFERROR(__xludf.DUMMYFUNCTION("""COMPUTED_VALUE"""),12.15)</f>
        <v>12.15</v>
      </c>
    </row>
    <row r="997">
      <c r="D997" t="str">
        <f>IFERROR(__xludf.DUMMYFUNCTION("""COMPUTED_VALUE"""),"Hyde")</f>
        <v>Hyde</v>
      </c>
      <c r="E997" t="str">
        <f>IFERROR(__xludf.DUMMYFUNCTION("""COMPUTED_VALUE"""),"Micah")</f>
        <v>Micah</v>
      </c>
      <c r="F997">
        <f>IFERROR(__xludf.DUMMYFUNCTION("""COMPUTED_VALUE"""),12.0)</f>
        <v>12</v>
      </c>
    </row>
    <row r="998">
      <c r="D998" t="str">
        <f>IFERROR(__xludf.DUMMYFUNCTION("""COMPUTED_VALUE"""),"Ifedi")</f>
        <v>Ifedi</v>
      </c>
      <c r="E998" t="str">
        <f>IFERROR(__xludf.DUMMYFUNCTION("""COMPUTED_VALUE"""),"Germain")</f>
        <v>Germain</v>
      </c>
      <c r="F998">
        <f>IFERROR(__xludf.DUMMYFUNCTION("""COMPUTED_VALUE"""),11.25)</f>
        <v>11.25</v>
      </c>
    </row>
    <row r="999">
      <c r="D999" t="str">
        <f>IFERROR(__xludf.DUMMYFUNCTION("""COMPUTED_VALUE"""),"Ihenacho")</f>
        <v>Ihenacho</v>
      </c>
      <c r="E999" t="str">
        <f>IFERROR(__xludf.DUMMYFUNCTION("""COMPUTED_VALUE"""),"Duke")</f>
        <v>Duke</v>
      </c>
      <c r="F999">
        <f>IFERROR(__xludf.DUMMYFUNCTION("""COMPUTED_VALUE"""),11.549999999999999)</f>
        <v>11.55</v>
      </c>
    </row>
    <row r="1000">
      <c r="D1000" t="str">
        <f>IFERROR(__xludf.DUMMYFUNCTION("""COMPUTED_VALUE"""),"Ijalana")</f>
        <v>Ijalana</v>
      </c>
      <c r="E1000" t="str">
        <f>IFERROR(__xludf.DUMMYFUNCTION("""COMPUTED_VALUE"""),"Ben")</f>
        <v>Ben</v>
      </c>
      <c r="F1000">
        <f>IFERROR(__xludf.DUMMYFUNCTION("""COMPUTED_VALUE"""),10.35)</f>
        <v>10.35</v>
      </c>
    </row>
    <row r="1001">
      <c r="D1001" t="str">
        <f>IFERROR(__xludf.DUMMYFUNCTION("""COMPUTED_VALUE"""),"Ikard")</f>
        <v>Ikard</v>
      </c>
      <c r="E1001" t="str">
        <f>IFERROR(__xludf.DUMMYFUNCTION("""COMPUTED_VALUE"""),"Gabe")</f>
        <v>Gabe</v>
      </c>
      <c r="F1001">
        <f>IFERROR(__xludf.DUMMYFUNCTION("""COMPUTED_VALUE"""),9.75)</f>
        <v>9.75</v>
      </c>
    </row>
    <row r="1002">
      <c r="D1002" t="str">
        <f>IFERROR(__xludf.DUMMYFUNCTION("""COMPUTED_VALUE"""),"Iloka")</f>
        <v>Iloka</v>
      </c>
      <c r="E1002" t="str">
        <f>IFERROR(__xludf.DUMMYFUNCTION("""COMPUTED_VALUE"""),"George")</f>
        <v>George</v>
      </c>
      <c r="F1002">
        <f>IFERROR(__xludf.DUMMYFUNCTION("""COMPUTED_VALUE"""),12.6)</f>
        <v>12.6</v>
      </c>
    </row>
    <row r="1003">
      <c r="D1003" t="str">
        <f>IFERROR(__xludf.DUMMYFUNCTION("""COMPUTED_VALUE"""),"Incognito")</f>
        <v>Incognito</v>
      </c>
      <c r="E1003" t="str">
        <f>IFERROR(__xludf.DUMMYFUNCTION("""COMPUTED_VALUE"""),"Richie")</f>
        <v>Richie</v>
      </c>
      <c r="F1003">
        <f>IFERROR(__xludf.DUMMYFUNCTION("""COMPUTED_VALUE"""),13.5)</f>
        <v>13.5</v>
      </c>
    </row>
    <row r="1004">
      <c r="D1004" t="str">
        <f>IFERROR(__xludf.DUMMYFUNCTION("""COMPUTED_VALUE"""),"Ingram")</f>
        <v>Ingram</v>
      </c>
      <c r="E1004" t="str">
        <f>IFERROR(__xludf.DUMMYFUNCTION("""COMPUTED_VALUE"""),"Mark")</f>
        <v>Mark</v>
      </c>
      <c r="F1004">
        <f>IFERROR(__xludf.DUMMYFUNCTION("""COMPUTED_VALUE"""),12.45)</f>
        <v>12.45</v>
      </c>
    </row>
    <row r="1005">
      <c r="D1005" t="str">
        <f>IFERROR(__xludf.DUMMYFUNCTION("""COMPUTED_VALUE"""),"Ingram")</f>
        <v>Ingram</v>
      </c>
      <c r="E1005" t="str">
        <f>IFERROR(__xludf.DUMMYFUNCTION("""COMPUTED_VALUE"""),"Melvin")</f>
        <v>Melvin</v>
      </c>
      <c r="F1005">
        <f>IFERROR(__xludf.DUMMYFUNCTION("""COMPUTED_VALUE"""),12.9)</f>
        <v>12.9</v>
      </c>
    </row>
    <row r="1006">
      <c r="D1006" t="str">
        <f>IFERROR(__xludf.DUMMYFUNCTION("""COMPUTED_VALUE"""),"Inman")</f>
        <v>Inman</v>
      </c>
      <c r="E1006" t="str">
        <f>IFERROR(__xludf.DUMMYFUNCTION("""COMPUTED_VALUE"""),"Dontrelle")</f>
        <v>Dontrelle</v>
      </c>
      <c r="F1006">
        <f>IFERROR(__xludf.DUMMYFUNCTION("""COMPUTED_VALUE"""),10.799999999999999)</f>
        <v>10.8</v>
      </c>
    </row>
    <row r="1007">
      <c r="D1007" t="str">
        <f>IFERROR(__xludf.DUMMYFUNCTION("""COMPUTED_VALUE"""),"Ioannidis")</f>
        <v>Ioannidis</v>
      </c>
      <c r="E1007" t="str">
        <f>IFERROR(__xludf.DUMMYFUNCTION("""COMPUTED_VALUE"""),"Matthew")</f>
        <v>Matthew</v>
      </c>
      <c r="F1007">
        <f>IFERROR(__xludf.DUMMYFUNCTION("""COMPUTED_VALUE"""),9.9)</f>
        <v>9.9</v>
      </c>
    </row>
    <row r="1008">
      <c r="D1008" t="str">
        <f>IFERROR(__xludf.DUMMYFUNCTION("""COMPUTED_VALUE"""),"Irvin")</f>
        <v>Irvin</v>
      </c>
      <c r="E1008" t="str">
        <f>IFERROR(__xludf.DUMMYFUNCTION("""COMPUTED_VALUE"""),"Bruce")</f>
        <v>Bruce</v>
      </c>
      <c r="F1008">
        <f>IFERROR(__xludf.DUMMYFUNCTION("""COMPUTED_VALUE"""),12.15)</f>
        <v>12.15</v>
      </c>
    </row>
    <row r="1009">
      <c r="D1009" t="str">
        <f>IFERROR(__xludf.DUMMYFUNCTION("""COMPUTED_VALUE"""),"Irving")</f>
        <v>Irving</v>
      </c>
      <c r="E1009" t="str">
        <f>IFERROR(__xludf.DUMMYFUNCTION("""COMPUTED_VALUE"""),"David")</f>
        <v>David</v>
      </c>
      <c r="F1009">
        <f>IFERROR(__xludf.DUMMYFUNCTION("""COMPUTED_VALUE"""),10.049999999999999)</f>
        <v>10.05</v>
      </c>
    </row>
    <row r="1010">
      <c r="D1010" t="str">
        <f>IFERROR(__xludf.DUMMYFUNCTION("""COMPUTED_VALUE"""),"Irving")</f>
        <v>Irving</v>
      </c>
      <c r="E1010" t="str">
        <f>IFERROR(__xludf.DUMMYFUNCTION("""COMPUTED_VALUE"""),"Nate")</f>
        <v>Nate</v>
      </c>
      <c r="F1010">
        <f>IFERROR(__xludf.DUMMYFUNCTION("""COMPUTED_VALUE"""),11.4)</f>
        <v>11.4</v>
      </c>
    </row>
    <row r="1011">
      <c r="D1011" t="str">
        <f>IFERROR(__xludf.DUMMYFUNCTION("""COMPUTED_VALUE"""),"Ishmael")</f>
        <v>Ishmael</v>
      </c>
      <c r="E1011" t="str">
        <f>IFERROR(__xludf.DUMMYFUNCTION("""COMPUTED_VALUE"""),"Kemal")</f>
        <v>Kemal</v>
      </c>
      <c r="F1011">
        <f>IFERROR(__xludf.DUMMYFUNCTION("""COMPUTED_VALUE"""),11.4)</f>
        <v>11.4</v>
      </c>
    </row>
    <row r="1012">
      <c r="D1012" t="str">
        <f>IFERROR(__xludf.DUMMYFUNCTION("""COMPUTED_VALUE"""),"Iupati")</f>
        <v>Iupati</v>
      </c>
      <c r="E1012" t="str">
        <f>IFERROR(__xludf.DUMMYFUNCTION("""COMPUTED_VALUE"""),"Mike")</f>
        <v>Mike</v>
      </c>
      <c r="F1012">
        <f>IFERROR(__xludf.DUMMYFUNCTION("""COMPUTED_VALUE"""),12.9)</f>
        <v>12.9</v>
      </c>
    </row>
    <row r="1013">
      <c r="D1013" t="str">
        <f>IFERROR(__xludf.DUMMYFUNCTION("""COMPUTED_VALUE"""),"Ivory")</f>
        <v>Ivory</v>
      </c>
      <c r="E1013" t="str">
        <f>IFERROR(__xludf.DUMMYFUNCTION("""COMPUTED_VALUE"""),"Chris")</f>
        <v>Chris</v>
      </c>
      <c r="F1013">
        <f>IFERROR(__xludf.DUMMYFUNCTION("""COMPUTED_VALUE"""),12.299999999999999)</f>
        <v>12.3</v>
      </c>
    </row>
    <row r="1014">
      <c r="D1014" t="str">
        <f>IFERROR(__xludf.DUMMYFUNCTION("""COMPUTED_VALUE"""),"Iworah")</f>
        <v>Iworah</v>
      </c>
      <c r="E1014" t="str">
        <f>IFERROR(__xludf.DUMMYFUNCTION("""COMPUTED_VALUE"""),"Prince")</f>
        <v>Prince</v>
      </c>
      <c r="F1014">
        <f>IFERROR(__xludf.DUMMYFUNCTION("""COMPUTED_VALUE"""),9.45)</f>
        <v>9.45</v>
      </c>
    </row>
    <row r="1015">
      <c r="D1015" t="str">
        <f>IFERROR(__xludf.DUMMYFUNCTION("""COMPUTED_VALUE"""),"Jack")</f>
        <v>Jack</v>
      </c>
      <c r="E1015" t="str">
        <f>IFERROR(__xludf.DUMMYFUNCTION("""COMPUTED_VALUE"""),"Myles")</f>
        <v>Myles</v>
      </c>
      <c r="F1015">
        <f>IFERROR(__xludf.DUMMYFUNCTION("""COMPUTED_VALUE"""),11.4)</f>
        <v>11.4</v>
      </c>
    </row>
    <row r="1016">
      <c r="D1016" t="str">
        <f>IFERROR(__xludf.DUMMYFUNCTION("""COMPUTED_VALUE"""),"Jackson")</f>
        <v>Jackson</v>
      </c>
      <c r="E1016" t="str">
        <f>IFERROR(__xludf.DUMMYFUNCTION("""COMPUTED_VALUE"""),"Asa")</f>
        <v>Asa</v>
      </c>
      <c r="F1016">
        <f>IFERROR(__xludf.DUMMYFUNCTION("""COMPUTED_VALUE"""),10.35)</f>
        <v>10.35</v>
      </c>
    </row>
    <row r="1017">
      <c r="D1017" t="str">
        <f>IFERROR(__xludf.DUMMYFUNCTION("""COMPUTED_VALUE"""),"Jackson")</f>
        <v>Jackson</v>
      </c>
      <c r="E1017" t="str">
        <f>IFERROR(__xludf.DUMMYFUNCTION("""COMPUTED_VALUE"""),"Bennett")</f>
        <v>Bennett</v>
      </c>
      <c r="F1017">
        <f>IFERROR(__xludf.DUMMYFUNCTION("""COMPUTED_VALUE"""),10.2)</f>
        <v>10.2</v>
      </c>
    </row>
    <row r="1018">
      <c r="D1018" t="str">
        <f>IFERROR(__xludf.DUMMYFUNCTION("""COMPUTED_VALUE"""),"Jackson")</f>
        <v>Jackson</v>
      </c>
      <c r="E1018" t="str">
        <f>IFERROR(__xludf.DUMMYFUNCTION("""COMPUTED_VALUE"""),"Darius")</f>
        <v>Darius</v>
      </c>
      <c r="F1018">
        <f>IFERROR(__xludf.DUMMYFUNCTION("""COMPUTED_VALUE"""),10.049999999999999)</f>
        <v>10.05</v>
      </c>
    </row>
    <row r="1019">
      <c r="D1019" t="str">
        <f>IFERROR(__xludf.DUMMYFUNCTION("""COMPUTED_VALUE"""),"Jackson")</f>
        <v>Jackson</v>
      </c>
      <c r="E1019" t="str">
        <f>IFERROR(__xludf.DUMMYFUNCTION("""COMPUTED_VALUE"""),"DeSean")</f>
        <v>DeSean</v>
      </c>
      <c r="F1019">
        <f>IFERROR(__xludf.DUMMYFUNCTION("""COMPUTED_VALUE"""),12.6)</f>
        <v>12.6</v>
      </c>
    </row>
    <row r="1020">
      <c r="D1020" t="str">
        <f>IFERROR(__xludf.DUMMYFUNCTION("""COMPUTED_VALUE"""),"Jackson")</f>
        <v>Jackson</v>
      </c>
      <c r="E1020" t="str">
        <f>IFERROR(__xludf.DUMMYFUNCTION("""COMPUTED_VALUE"""),"Don")</f>
        <v>Don</v>
      </c>
      <c r="F1020">
        <f>IFERROR(__xludf.DUMMYFUNCTION("""COMPUTED_VALUE"""),9.0)</f>
        <v>9</v>
      </c>
    </row>
    <row r="1021">
      <c r="D1021" t="str">
        <f>IFERROR(__xludf.DUMMYFUNCTION("""COMPUTED_VALUE"""),"Jackson")</f>
        <v>Jackson</v>
      </c>
      <c r="E1021" t="str">
        <f>IFERROR(__xludf.DUMMYFUNCTION("""COMPUTED_VALUE"""),"DQwell")</f>
        <v>DQwell</v>
      </c>
      <c r="F1021">
        <f>IFERROR(__xludf.DUMMYFUNCTION("""COMPUTED_VALUE"""),11.85)</f>
        <v>11.85</v>
      </c>
    </row>
    <row r="1022">
      <c r="D1022" t="str">
        <f>IFERROR(__xludf.DUMMYFUNCTION("""COMPUTED_VALUE"""),"Jackson")</f>
        <v>Jackson</v>
      </c>
      <c r="E1022" t="str">
        <f>IFERROR(__xludf.DUMMYFUNCTION("""COMPUTED_VALUE"""),"Gabe")</f>
        <v>Gabe</v>
      </c>
      <c r="F1022">
        <f>IFERROR(__xludf.DUMMYFUNCTION("""COMPUTED_VALUE"""),12.45)</f>
        <v>12.45</v>
      </c>
    </row>
    <row r="1023">
      <c r="D1023" t="str">
        <f>IFERROR(__xludf.DUMMYFUNCTION("""COMPUTED_VALUE"""),"Jackson")</f>
        <v>Jackson</v>
      </c>
      <c r="E1023" t="str">
        <f>IFERROR(__xludf.DUMMYFUNCTION("""COMPUTED_VALUE"""),"Kareem")</f>
        <v>Kareem</v>
      </c>
      <c r="F1023">
        <f>IFERROR(__xludf.DUMMYFUNCTION("""COMPUTED_VALUE"""),11.7)</f>
        <v>11.7</v>
      </c>
    </row>
    <row r="1024">
      <c r="D1024" t="str">
        <f>IFERROR(__xludf.DUMMYFUNCTION("""COMPUTED_VALUE"""),"Jackson")</f>
        <v>Jackson</v>
      </c>
      <c r="E1024" t="str">
        <f>IFERROR(__xludf.DUMMYFUNCTION("""COMPUTED_VALUE"""),"Malik")</f>
        <v>Malik</v>
      </c>
      <c r="F1024">
        <f>IFERROR(__xludf.DUMMYFUNCTION("""COMPUTED_VALUE"""),12.9)</f>
        <v>12.9</v>
      </c>
    </row>
    <row r="1025">
      <c r="D1025" t="str">
        <f>IFERROR(__xludf.DUMMYFUNCTION("""COMPUTED_VALUE"""),"Jackson")</f>
        <v>Jackson</v>
      </c>
      <c r="E1025" t="str">
        <f>IFERROR(__xludf.DUMMYFUNCTION("""COMPUTED_VALUE"""),"Tre")</f>
        <v>Tre</v>
      </c>
      <c r="F1025">
        <f>IFERROR(__xludf.DUMMYFUNCTION("""COMPUTED_VALUE"""),10.65)</f>
        <v>10.65</v>
      </c>
    </row>
    <row r="1026">
      <c r="D1026" t="str">
        <f>IFERROR(__xludf.DUMMYFUNCTION("""COMPUTED_VALUE"""),"Jackson")</f>
        <v>Jackson</v>
      </c>
      <c r="E1026" t="str">
        <f>IFERROR(__xludf.DUMMYFUNCTION("""COMPUTED_VALUE"""),"Tyson")</f>
        <v>Tyson</v>
      </c>
      <c r="F1026">
        <f>IFERROR(__xludf.DUMMYFUNCTION("""COMPUTED_VALUE"""),11.549999999999999)</f>
        <v>11.55</v>
      </c>
    </row>
    <row r="1027">
      <c r="D1027" t="str">
        <f>IFERROR(__xludf.DUMMYFUNCTION("""COMPUTED_VALUE"""),"Jackson")</f>
        <v>Jackson</v>
      </c>
      <c r="E1027" t="str">
        <f>IFERROR(__xludf.DUMMYFUNCTION("""COMPUTED_VALUE"""),"Vincent")</f>
        <v>Vincent</v>
      </c>
      <c r="F1027">
        <f>IFERROR(__xludf.DUMMYFUNCTION("""COMPUTED_VALUE"""),12.299999999999999)</f>
        <v>12.3</v>
      </c>
    </row>
    <row r="1028">
      <c r="D1028" t="str">
        <f>IFERROR(__xludf.DUMMYFUNCTION("""COMPUTED_VALUE"""),"Jackson III")</f>
        <v>Jackson III</v>
      </c>
      <c r="E1028" t="str">
        <f>IFERROR(__xludf.DUMMYFUNCTION("""COMPUTED_VALUE"""),"William")</f>
        <v>William</v>
      </c>
      <c r="F1028">
        <f>IFERROR(__xludf.DUMMYFUNCTION("""COMPUTED_VALUE"""),10.95)</f>
        <v>10.95</v>
      </c>
    </row>
    <row r="1029">
      <c r="D1029" t="str">
        <f>IFERROR(__xludf.DUMMYFUNCTION("""COMPUTED_VALUE"""),"Jacobs")</f>
        <v>Jacobs</v>
      </c>
      <c r="E1029" t="str">
        <f>IFERROR(__xludf.DUMMYFUNCTION("""COMPUTED_VALUE"""),"Ben")</f>
        <v>Ben</v>
      </c>
      <c r="F1029">
        <f>IFERROR(__xludf.DUMMYFUNCTION("""COMPUTED_VALUE"""),10.049999999999999)</f>
        <v>10.05</v>
      </c>
    </row>
    <row r="1030">
      <c r="D1030" t="str">
        <f>IFERROR(__xludf.DUMMYFUNCTION("""COMPUTED_VALUE"""),"Jacobs")</f>
        <v>Jacobs</v>
      </c>
      <c r="E1030" t="str">
        <f>IFERROR(__xludf.DUMMYFUNCTION("""COMPUTED_VALUE"""),"Nic")</f>
        <v>Nic</v>
      </c>
      <c r="F1030">
        <f>IFERROR(__xludf.DUMMYFUNCTION("""COMPUTED_VALUE"""),10.65)</f>
        <v>10.65</v>
      </c>
    </row>
    <row r="1031">
      <c r="D1031" t="str">
        <f>IFERROR(__xludf.DUMMYFUNCTION("""COMPUTED_VALUE"""),"Jacobs")</f>
        <v>Jacobs</v>
      </c>
      <c r="E1031" t="str">
        <f>IFERROR(__xludf.DUMMYFUNCTION("""COMPUTED_VALUE"""),"Tramain")</f>
        <v>Tramain</v>
      </c>
      <c r="F1031">
        <f>IFERROR(__xludf.DUMMYFUNCTION("""COMPUTED_VALUE"""),9.299999999999999)</f>
        <v>9.3</v>
      </c>
    </row>
    <row r="1032">
      <c r="D1032" t="str">
        <f>IFERROR(__xludf.DUMMYFUNCTION("""COMPUTED_VALUE"""),"James")</f>
        <v>James</v>
      </c>
      <c r="E1032" t="str">
        <f>IFERROR(__xludf.DUMMYFUNCTION("""COMPUTED_VALUE"""),"Cory")</f>
        <v>Cory</v>
      </c>
      <c r="F1032">
        <f>IFERROR(__xludf.DUMMYFUNCTION("""COMPUTED_VALUE"""),9.15)</f>
        <v>9.15</v>
      </c>
    </row>
    <row r="1033">
      <c r="D1033" t="str">
        <f>IFERROR(__xludf.DUMMYFUNCTION("""COMPUTED_VALUE"""),"James")</f>
        <v>James</v>
      </c>
      <c r="E1033" t="str">
        <f>IFERROR(__xludf.DUMMYFUNCTION("""COMPUTED_VALUE"""),"JaWuan")</f>
        <v>JaWuan</v>
      </c>
      <c r="F1033">
        <f>IFERROR(__xludf.DUMMYFUNCTION("""COMPUTED_VALUE"""),11.25)</f>
        <v>11.25</v>
      </c>
    </row>
    <row r="1034">
      <c r="D1034" t="str">
        <f>IFERROR(__xludf.DUMMYFUNCTION("""COMPUTED_VALUE"""),"James")</f>
        <v>James</v>
      </c>
      <c r="E1034" t="str">
        <f>IFERROR(__xludf.DUMMYFUNCTION("""COMPUTED_VALUE"""),"Jesse")</f>
        <v>Jesse</v>
      </c>
      <c r="F1034">
        <f>IFERROR(__xludf.DUMMYFUNCTION("""COMPUTED_VALUE"""),10.049999999999999)</f>
        <v>10.05</v>
      </c>
    </row>
    <row r="1035">
      <c r="D1035" t="str">
        <f>IFERROR(__xludf.DUMMYFUNCTION("""COMPUTED_VALUE"""),"James")</f>
        <v>James</v>
      </c>
      <c r="E1035" t="str">
        <f>IFERROR(__xludf.DUMMYFUNCTION("""COMPUTED_VALUE"""),"Josh")</f>
        <v>Josh</v>
      </c>
      <c r="F1035">
        <f>IFERROR(__xludf.DUMMYFUNCTION("""COMPUTED_VALUE"""),8.85)</f>
        <v>8.85</v>
      </c>
    </row>
    <row r="1036">
      <c r="D1036" t="str">
        <f>IFERROR(__xludf.DUMMYFUNCTION("""COMPUTED_VALUE"""),"James")</f>
        <v>James</v>
      </c>
      <c r="E1036" t="str">
        <f>IFERROR(__xludf.DUMMYFUNCTION("""COMPUTED_VALUE"""),"Kendall")</f>
        <v>Kendall</v>
      </c>
      <c r="F1036">
        <f>IFERROR(__xludf.DUMMYFUNCTION("""COMPUTED_VALUE"""),10.049999999999999)</f>
        <v>10.05</v>
      </c>
    </row>
    <row r="1037">
      <c r="D1037" t="str">
        <f>IFERROR(__xludf.DUMMYFUNCTION("""COMPUTED_VALUE"""),"James")</f>
        <v>James</v>
      </c>
      <c r="E1037" t="str">
        <f>IFERROR(__xludf.DUMMYFUNCTION("""COMPUTED_VALUE"""),"Mike")</f>
        <v>Mike</v>
      </c>
      <c r="F1037">
        <f>IFERROR(__xludf.DUMMYFUNCTION("""COMPUTED_VALUE"""),10.65)</f>
        <v>10.65</v>
      </c>
    </row>
    <row r="1038">
      <c r="D1038" t="str">
        <f>IFERROR(__xludf.DUMMYFUNCTION("""COMPUTED_VALUE"""),"James II")</f>
        <v>James II</v>
      </c>
      <c r="E1038" t="str">
        <f>IFERROR(__xludf.DUMMYFUNCTION("""COMPUTED_VALUE"""),"Charles")</f>
        <v>Charles</v>
      </c>
      <c r="F1038">
        <f>IFERROR(__xludf.DUMMYFUNCTION("""COMPUTED_VALUE"""),10.799999999999999)</f>
        <v>10.8</v>
      </c>
    </row>
    <row r="1039">
      <c r="D1039" t="str">
        <f>IFERROR(__xludf.DUMMYFUNCTION("""COMPUTED_VALUE"""),"Janikowski")</f>
        <v>Janikowski</v>
      </c>
      <c r="E1039" t="str">
        <f>IFERROR(__xludf.DUMMYFUNCTION("""COMPUTED_VALUE"""),"Sebastian")</f>
        <v>Sebastian</v>
      </c>
      <c r="F1039">
        <f>IFERROR(__xludf.DUMMYFUNCTION("""COMPUTED_VALUE"""),11.85)</f>
        <v>11.85</v>
      </c>
    </row>
    <row r="1040">
      <c r="D1040" t="str">
        <f>IFERROR(__xludf.DUMMYFUNCTION("""COMPUTED_VALUE"""),"Janis")</f>
        <v>Janis</v>
      </c>
      <c r="E1040" t="str">
        <f>IFERROR(__xludf.DUMMYFUNCTION("""COMPUTED_VALUE"""),"Jeff")</f>
        <v>Jeff</v>
      </c>
      <c r="F1040">
        <f>IFERROR(__xludf.DUMMYFUNCTION("""COMPUTED_VALUE"""),10.65)</f>
        <v>10.65</v>
      </c>
    </row>
    <row r="1041">
      <c r="D1041" t="str">
        <f>IFERROR(__xludf.DUMMYFUNCTION("""COMPUTED_VALUE"""),"Janovich")</f>
        <v>Janovich</v>
      </c>
      <c r="E1041" t="str">
        <f>IFERROR(__xludf.DUMMYFUNCTION("""COMPUTED_VALUE"""),"Andy")</f>
        <v>Andy</v>
      </c>
      <c r="F1041">
        <f>IFERROR(__xludf.DUMMYFUNCTION("""COMPUTED_VALUE"""),10.049999999999999)</f>
        <v>10.05</v>
      </c>
    </row>
    <row r="1042">
      <c r="D1042" t="str">
        <f>IFERROR(__xludf.DUMMYFUNCTION("""COMPUTED_VALUE"""),"Jansen")</f>
        <v>Jansen</v>
      </c>
      <c r="E1042" t="str">
        <f>IFERROR(__xludf.DUMMYFUNCTION("""COMPUTED_VALUE"""),"JJ")</f>
        <v>JJ</v>
      </c>
      <c r="F1042">
        <f>IFERROR(__xludf.DUMMYFUNCTION("""COMPUTED_VALUE"""),6.6)</f>
        <v>6.6</v>
      </c>
    </row>
    <row r="1043">
      <c r="D1043" t="str">
        <f>IFERROR(__xludf.DUMMYFUNCTION("""COMPUTED_VALUE"""),"Jarrett")</f>
        <v>Jarrett</v>
      </c>
      <c r="E1043" t="str">
        <f>IFERROR(__xludf.DUMMYFUNCTION("""COMPUTED_VALUE"""),"Grady")</f>
        <v>Grady</v>
      </c>
      <c r="F1043">
        <f>IFERROR(__xludf.DUMMYFUNCTION("""COMPUTED_VALUE"""),10.799999999999999)</f>
        <v>10.8</v>
      </c>
    </row>
    <row r="1044">
      <c r="D1044" t="str">
        <f>IFERROR(__xludf.DUMMYFUNCTION("""COMPUTED_VALUE"""),"Jarrett")</f>
        <v>Jarrett</v>
      </c>
      <c r="E1044" t="str">
        <f>IFERROR(__xludf.DUMMYFUNCTION("""COMPUTED_VALUE"""),"Kyshoen")</f>
        <v>Kyshoen</v>
      </c>
      <c r="F1044">
        <f>IFERROR(__xludf.DUMMYFUNCTION("""COMPUTED_VALUE"""),11.1)</f>
        <v>11.1</v>
      </c>
    </row>
    <row r="1045">
      <c r="D1045" t="str">
        <f>IFERROR(__xludf.DUMMYFUNCTION("""COMPUTED_VALUE"""),"Jean Francois")</f>
        <v>Jean Francois</v>
      </c>
      <c r="E1045" t="str">
        <f>IFERROR(__xludf.DUMMYFUNCTION("""COMPUTED_VALUE"""),"Ricky")</f>
        <v>Ricky</v>
      </c>
      <c r="F1045">
        <f>IFERROR(__xludf.DUMMYFUNCTION("""COMPUTED_VALUE"""),11.1)</f>
        <v>11.1</v>
      </c>
    </row>
    <row r="1046">
      <c r="D1046" t="str">
        <f>IFERROR(__xludf.DUMMYFUNCTION("""COMPUTED_VALUE"""),"Jean-Baptiste")</f>
        <v>Jean-Baptiste</v>
      </c>
      <c r="E1046" t="str">
        <f>IFERROR(__xludf.DUMMYFUNCTION("""COMPUTED_VALUE"""),"Stanley")</f>
        <v>Stanley</v>
      </c>
      <c r="F1046">
        <f>IFERROR(__xludf.DUMMYFUNCTION("""COMPUTED_VALUE"""),9.9)</f>
        <v>9.9</v>
      </c>
    </row>
    <row r="1047">
      <c r="D1047" t="str">
        <f>IFERROR(__xludf.DUMMYFUNCTION("""COMPUTED_VALUE"""),"Jefferson")</f>
        <v>Jefferson</v>
      </c>
      <c r="E1047" t="str">
        <f>IFERROR(__xludf.DUMMYFUNCTION("""COMPUTED_VALUE"""),"Quinton")</f>
        <v>Quinton</v>
      </c>
      <c r="F1047">
        <f>IFERROR(__xludf.DUMMYFUNCTION("""COMPUTED_VALUE"""),9.75)</f>
        <v>9.75</v>
      </c>
    </row>
    <row r="1048">
      <c r="D1048" t="str">
        <f>IFERROR(__xludf.DUMMYFUNCTION("""COMPUTED_VALUE"""),"Jefferson")</f>
        <v>Jefferson</v>
      </c>
      <c r="E1048" t="str">
        <f>IFERROR(__xludf.DUMMYFUNCTION("""COMPUTED_VALUE"""),"Tony")</f>
        <v>Tony</v>
      </c>
      <c r="F1048">
        <f>IFERROR(__xludf.DUMMYFUNCTION("""COMPUTED_VALUE"""),12.15)</f>
        <v>12.15</v>
      </c>
    </row>
    <row r="1049">
      <c r="D1049" t="str">
        <f>IFERROR(__xludf.DUMMYFUNCTION("""COMPUTED_VALUE"""),"Jeffery")</f>
        <v>Jeffery</v>
      </c>
      <c r="E1049" t="str">
        <f>IFERROR(__xludf.DUMMYFUNCTION("""COMPUTED_VALUE"""),"Alshon")</f>
        <v>Alshon</v>
      </c>
      <c r="F1049">
        <f>IFERROR(__xludf.DUMMYFUNCTION("""COMPUTED_VALUE"""),13.65)</f>
        <v>13.65</v>
      </c>
    </row>
    <row r="1050">
      <c r="D1050" t="str">
        <f>IFERROR(__xludf.DUMMYFUNCTION("""COMPUTED_VALUE"""),"Jenkins")</f>
        <v>Jenkins</v>
      </c>
      <c r="E1050" t="str">
        <f>IFERROR(__xludf.DUMMYFUNCTION("""COMPUTED_VALUE"""),"Janoris")</f>
        <v>Janoris</v>
      </c>
      <c r="F1050">
        <f>IFERROR(__xludf.DUMMYFUNCTION("""COMPUTED_VALUE"""),12.75)</f>
        <v>12.75</v>
      </c>
    </row>
    <row r="1051">
      <c r="D1051" t="str">
        <f>IFERROR(__xludf.DUMMYFUNCTION("""COMPUTED_VALUE"""),"Jenkins")</f>
        <v>Jenkins</v>
      </c>
      <c r="E1051" t="str">
        <f>IFERROR(__xludf.DUMMYFUNCTION("""COMPUTED_VALUE"""),"Jarvis")</f>
        <v>Jarvis</v>
      </c>
      <c r="F1051">
        <f>IFERROR(__xludf.DUMMYFUNCTION("""COMPUTED_VALUE"""),9.9)</f>
        <v>9.9</v>
      </c>
    </row>
    <row r="1052">
      <c r="D1052" t="str">
        <f>IFERROR(__xludf.DUMMYFUNCTION("""COMPUTED_VALUE"""),"Jenkins")</f>
        <v>Jenkins</v>
      </c>
      <c r="E1052" t="str">
        <f>IFERROR(__xludf.DUMMYFUNCTION("""COMPUTED_VALUE"""),"Jelani")</f>
        <v>Jelani</v>
      </c>
      <c r="F1052">
        <f>IFERROR(__xludf.DUMMYFUNCTION("""COMPUTED_VALUE"""),11.7)</f>
        <v>11.7</v>
      </c>
    </row>
    <row r="1053">
      <c r="D1053" t="str">
        <f>IFERROR(__xludf.DUMMYFUNCTION("""COMPUTED_VALUE"""),"Jenkins")</f>
        <v>Jenkins</v>
      </c>
      <c r="E1053" t="str">
        <f>IFERROR(__xludf.DUMMYFUNCTION("""COMPUTED_VALUE"""),"John")</f>
        <v>John</v>
      </c>
      <c r="F1053">
        <f>IFERROR(__xludf.DUMMYFUNCTION("""COMPUTED_VALUE"""),11.7)</f>
        <v>11.7</v>
      </c>
    </row>
    <row r="1054">
      <c r="D1054" t="str">
        <f>IFERROR(__xludf.DUMMYFUNCTION("""COMPUTED_VALUE"""),"Jenkins")</f>
        <v>Jenkins</v>
      </c>
      <c r="E1054" t="str">
        <f>IFERROR(__xludf.DUMMYFUNCTION("""COMPUTED_VALUE"""),"Jordan")</f>
        <v>Jordan</v>
      </c>
      <c r="F1054">
        <f>IFERROR(__xludf.DUMMYFUNCTION("""COMPUTED_VALUE"""),10.35)</f>
        <v>10.35</v>
      </c>
    </row>
    <row r="1055">
      <c r="D1055" t="str">
        <f>IFERROR(__xludf.DUMMYFUNCTION("""COMPUTED_VALUE"""),"Jenkins")</f>
        <v>Jenkins</v>
      </c>
      <c r="E1055" t="str">
        <f>IFERROR(__xludf.DUMMYFUNCTION("""COMPUTED_VALUE"""),"Malcolm")</f>
        <v>Malcolm</v>
      </c>
      <c r="F1055">
        <f>IFERROR(__xludf.DUMMYFUNCTION("""COMPUTED_VALUE"""),13.95)</f>
        <v>13.95</v>
      </c>
    </row>
    <row r="1056">
      <c r="D1056" t="str">
        <f>IFERROR(__xludf.DUMMYFUNCTION("""COMPUTED_VALUE"""),"Jenkins")</f>
        <v>Jenkins</v>
      </c>
      <c r="E1056" t="str">
        <f>IFERROR(__xludf.DUMMYFUNCTION("""COMPUTED_VALUE"""),"Mike")</f>
        <v>Mike</v>
      </c>
      <c r="F1056">
        <f>IFERROR(__xludf.DUMMYFUNCTION("""COMPUTED_VALUE"""),10.799999999999999)</f>
        <v>10.8</v>
      </c>
    </row>
    <row r="1057">
      <c r="D1057" t="str">
        <f>IFERROR(__xludf.DUMMYFUNCTION("""COMPUTED_VALUE"""),"Jenkins")</f>
        <v>Jenkins</v>
      </c>
      <c r="E1057" t="str">
        <f>IFERROR(__xludf.DUMMYFUNCTION("""COMPUTED_VALUE"""),"Shaneil")</f>
        <v>Shaneil</v>
      </c>
      <c r="F1057">
        <f>IFERROR(__xludf.DUMMYFUNCTION("""COMPUTED_VALUE"""),9.15)</f>
        <v>9.15</v>
      </c>
    </row>
    <row r="1058">
      <c r="D1058" t="str">
        <f>IFERROR(__xludf.DUMMYFUNCTION("""COMPUTED_VALUE"""),"Jennings")</f>
        <v>Jennings</v>
      </c>
      <c r="E1058" t="str">
        <f>IFERROR(__xludf.DUMMYFUNCTION("""COMPUTED_VALUE"""),"Darius")</f>
        <v>Darius</v>
      </c>
      <c r="F1058">
        <f>IFERROR(__xludf.DUMMYFUNCTION("""COMPUTED_VALUE"""),9.15)</f>
        <v>9.15</v>
      </c>
    </row>
    <row r="1059">
      <c r="D1059" t="str">
        <f>IFERROR(__xludf.DUMMYFUNCTION("""COMPUTED_VALUE"""),"Jennings")</f>
        <v>Jennings</v>
      </c>
      <c r="E1059" t="str">
        <f>IFERROR(__xludf.DUMMYFUNCTION("""COMPUTED_VALUE"""),"Rashad")</f>
        <v>Rashad</v>
      </c>
      <c r="F1059">
        <f>IFERROR(__xludf.DUMMYFUNCTION("""COMPUTED_VALUE"""),12.0)</f>
        <v>12</v>
      </c>
    </row>
    <row r="1060">
      <c r="D1060" t="str">
        <f>IFERROR(__xludf.DUMMYFUNCTION("""COMPUTED_VALUE"""),"Jensen")</f>
        <v>Jensen</v>
      </c>
      <c r="E1060" t="str">
        <f>IFERROR(__xludf.DUMMYFUNCTION("""COMPUTED_VALUE"""),"Marcel")</f>
        <v>Marcel</v>
      </c>
      <c r="F1060">
        <f>IFERROR(__xludf.DUMMYFUNCTION("""COMPUTED_VALUE"""),9.9)</f>
        <v>9.9</v>
      </c>
    </row>
    <row r="1061">
      <c r="D1061" t="str">
        <f>IFERROR(__xludf.DUMMYFUNCTION("""COMPUTED_VALUE"""),"Jensen")</f>
        <v>Jensen</v>
      </c>
      <c r="E1061" t="str">
        <f>IFERROR(__xludf.DUMMYFUNCTION("""COMPUTED_VALUE"""),"Ryan")</f>
        <v>Ryan</v>
      </c>
      <c r="F1061">
        <f>IFERROR(__xludf.DUMMYFUNCTION("""COMPUTED_VALUE"""),10.35)</f>
        <v>10.35</v>
      </c>
    </row>
    <row r="1062">
      <c r="D1062" t="str">
        <f>IFERROR(__xludf.DUMMYFUNCTION("""COMPUTED_VALUE"""),"Jernigan")</f>
        <v>Jernigan</v>
      </c>
      <c r="E1062" t="str">
        <f>IFERROR(__xludf.DUMMYFUNCTION("""COMPUTED_VALUE"""),"Timmy")</f>
        <v>Timmy</v>
      </c>
      <c r="F1062">
        <f>IFERROR(__xludf.DUMMYFUNCTION("""COMPUTED_VALUE"""),11.4)</f>
        <v>11.4</v>
      </c>
    </row>
    <row r="1063">
      <c r="D1063" t="str">
        <f>IFERROR(__xludf.DUMMYFUNCTION("""COMPUTED_VALUE"""),"Jerod-Eddie")</f>
        <v>Jerod-Eddie</v>
      </c>
      <c r="E1063" t="str">
        <f>IFERROR(__xludf.DUMMYFUNCTION("""COMPUTED_VALUE"""),"Tony")</f>
        <v>Tony</v>
      </c>
      <c r="F1063">
        <f>IFERROR(__xludf.DUMMYFUNCTION("""COMPUTED_VALUE"""),10.2)</f>
        <v>10.2</v>
      </c>
    </row>
    <row r="1064">
      <c r="D1064" t="str">
        <f>IFERROR(__xludf.DUMMYFUNCTION("""COMPUTED_VALUE"""),"Jerry")</f>
        <v>Jerry</v>
      </c>
      <c r="E1064" t="str">
        <f>IFERROR(__xludf.DUMMYFUNCTION("""COMPUTED_VALUE"""),"John")</f>
        <v>John</v>
      </c>
      <c r="F1064">
        <f>IFERROR(__xludf.DUMMYFUNCTION("""COMPUTED_VALUE"""),10.95)</f>
        <v>10.95</v>
      </c>
    </row>
    <row r="1065">
      <c r="D1065" t="str">
        <f>IFERROR(__xludf.DUMMYFUNCTION("""COMPUTED_VALUE"""),"Joeckel")</f>
        <v>Joeckel</v>
      </c>
      <c r="E1065" t="str">
        <f>IFERROR(__xludf.DUMMYFUNCTION("""COMPUTED_VALUE"""),"Luke")</f>
        <v>Luke</v>
      </c>
      <c r="F1065">
        <f>IFERROR(__xludf.DUMMYFUNCTION("""COMPUTED_VALUE"""),11.85)</f>
        <v>11.85</v>
      </c>
    </row>
    <row r="1066">
      <c r="D1066" t="str">
        <f>IFERROR(__xludf.DUMMYFUNCTION("""COMPUTED_VALUE"""),"John")</f>
        <v>John</v>
      </c>
      <c r="E1066" t="str">
        <f>IFERROR(__xludf.DUMMYFUNCTION("""COMPUTED_VALUE"""),"Ulrick")</f>
        <v>Ulrick</v>
      </c>
      <c r="F1066">
        <f>IFERROR(__xludf.DUMMYFUNCTION("""COMPUTED_VALUE"""),10.65)</f>
        <v>10.65</v>
      </c>
    </row>
    <row r="1067">
      <c r="D1067" t="str">
        <f>IFERROR(__xludf.DUMMYFUNCTION("""COMPUTED_VALUE"""),"Johnson")</f>
        <v>Johnson</v>
      </c>
      <c r="E1067" t="str">
        <f>IFERROR(__xludf.DUMMYFUNCTION("""COMPUTED_VALUE"""),"Andre")</f>
        <v>Andre</v>
      </c>
      <c r="F1067">
        <f>IFERROR(__xludf.DUMMYFUNCTION("""COMPUTED_VALUE"""),11.4)</f>
        <v>11.4</v>
      </c>
    </row>
    <row r="1068">
      <c r="D1068" t="str">
        <f>IFERROR(__xludf.DUMMYFUNCTION("""COMPUTED_VALUE"""),"Johnson")</f>
        <v>Johnson</v>
      </c>
      <c r="E1068" t="str">
        <f>IFERROR(__xludf.DUMMYFUNCTION("""COMPUTED_VALUE"""),"Austin")</f>
        <v>Austin</v>
      </c>
      <c r="F1068">
        <f>IFERROR(__xludf.DUMMYFUNCTION("""COMPUTED_VALUE"""),10.5)</f>
        <v>10.5</v>
      </c>
    </row>
    <row r="1069">
      <c r="D1069" t="str">
        <f>IFERROR(__xludf.DUMMYFUNCTION("""COMPUTED_VALUE"""),"Johnson")</f>
        <v>Johnson</v>
      </c>
      <c r="E1069" t="str">
        <f>IFERROR(__xludf.DUMMYFUNCTION("""COMPUTED_VALUE"""),"Austin")</f>
        <v>Austin</v>
      </c>
      <c r="F1069">
        <f>IFERROR(__xludf.DUMMYFUNCTION("""COMPUTED_VALUE"""),10.5)</f>
        <v>10.5</v>
      </c>
    </row>
    <row r="1070">
      <c r="D1070" t="str">
        <f>IFERROR(__xludf.DUMMYFUNCTION("""COMPUTED_VALUE"""),"Johnson")</f>
        <v>Johnson</v>
      </c>
      <c r="E1070" t="str">
        <f>IFERROR(__xludf.DUMMYFUNCTION("""COMPUTED_VALUE"""),"Cam")</f>
        <v>Cam</v>
      </c>
      <c r="F1070">
        <f>IFERROR(__xludf.DUMMYFUNCTION("""COMPUTED_VALUE"""),9.6)</f>
        <v>9.6</v>
      </c>
    </row>
    <row r="1071">
      <c r="D1071" t="str">
        <f>IFERROR(__xludf.DUMMYFUNCTION("""COMPUTED_VALUE"""),"Johnson")</f>
        <v>Johnson</v>
      </c>
      <c r="E1071" t="str">
        <f>IFERROR(__xludf.DUMMYFUNCTION("""COMPUTED_VALUE"""),"Charles")</f>
        <v>Charles</v>
      </c>
      <c r="F1071">
        <f>IFERROR(__xludf.DUMMYFUNCTION("""COMPUTED_VALUE"""),12.299999999999999)</f>
        <v>12.3</v>
      </c>
    </row>
    <row r="1072">
      <c r="D1072" t="str">
        <f>IFERROR(__xludf.DUMMYFUNCTION("""COMPUTED_VALUE"""),"Johnson")</f>
        <v>Johnson</v>
      </c>
      <c r="E1072" t="str">
        <f>IFERROR(__xludf.DUMMYFUNCTION("""COMPUTED_VALUE"""),"Charles")</f>
        <v>Charles</v>
      </c>
      <c r="F1072">
        <f>IFERROR(__xludf.DUMMYFUNCTION("""COMPUTED_VALUE"""),11.1)</f>
        <v>11.1</v>
      </c>
    </row>
    <row r="1073">
      <c r="D1073" t="str">
        <f>IFERROR(__xludf.DUMMYFUNCTION("""COMPUTED_VALUE"""),"Johnson")</f>
        <v>Johnson</v>
      </c>
      <c r="E1073" t="str">
        <f>IFERROR(__xludf.DUMMYFUNCTION("""COMPUTED_VALUE"""),"Chris")</f>
        <v>Chris</v>
      </c>
      <c r="F1073">
        <f>IFERROR(__xludf.DUMMYFUNCTION("""COMPUTED_VALUE"""),11.25)</f>
        <v>11.25</v>
      </c>
    </row>
    <row r="1074">
      <c r="D1074" t="str">
        <f>IFERROR(__xludf.DUMMYFUNCTION("""COMPUTED_VALUE"""),"Johnson")</f>
        <v>Johnson</v>
      </c>
      <c r="E1074" t="str">
        <f>IFERROR(__xludf.DUMMYFUNCTION("""COMPUTED_VALUE"""),"Cory")</f>
        <v>Cory</v>
      </c>
      <c r="F1074">
        <f>IFERROR(__xludf.DUMMYFUNCTION("""COMPUTED_VALUE"""),8.7)</f>
        <v>8.7</v>
      </c>
    </row>
    <row r="1075">
      <c r="D1075" t="str">
        <f>IFERROR(__xludf.DUMMYFUNCTION("""COMPUTED_VALUE"""),"Johnson")</f>
        <v>Johnson</v>
      </c>
      <c r="E1075" t="str">
        <f>IFERROR(__xludf.DUMMYFUNCTION("""COMPUTED_VALUE"""),"David")</f>
        <v>David</v>
      </c>
      <c r="F1075">
        <f>IFERROR(__xludf.DUMMYFUNCTION("""COMPUTED_VALUE"""),12.45)</f>
        <v>12.45</v>
      </c>
    </row>
    <row r="1076">
      <c r="D1076" t="str">
        <f>IFERROR(__xludf.DUMMYFUNCTION("""COMPUTED_VALUE"""),"Johnson")</f>
        <v>Johnson</v>
      </c>
      <c r="E1076" t="str">
        <f>IFERROR(__xludf.DUMMYFUNCTION("""COMPUTED_VALUE"""),"David")</f>
        <v>David</v>
      </c>
      <c r="F1076">
        <f>IFERROR(__xludf.DUMMYFUNCTION("""COMPUTED_VALUE"""),11.1)</f>
        <v>11.1</v>
      </c>
    </row>
    <row r="1077">
      <c r="D1077" t="str">
        <f>IFERROR(__xludf.DUMMYFUNCTION("""COMPUTED_VALUE"""),"Johnson")</f>
        <v>Johnson</v>
      </c>
      <c r="E1077" t="str">
        <f>IFERROR(__xludf.DUMMYFUNCTION("""COMPUTED_VALUE"""),"Derrick")</f>
        <v>Derrick</v>
      </c>
      <c r="F1077">
        <f>IFERROR(__xludf.DUMMYFUNCTION("""COMPUTED_VALUE"""),13.5)</f>
        <v>13.5</v>
      </c>
    </row>
    <row r="1078">
      <c r="D1078" t="str">
        <f>IFERROR(__xludf.DUMMYFUNCTION("""COMPUTED_VALUE"""),"Johnson")</f>
        <v>Johnson</v>
      </c>
      <c r="E1078" t="str">
        <f>IFERROR(__xludf.DUMMYFUNCTION("""COMPUTED_VALUE"""),"Devon")</f>
        <v>Devon</v>
      </c>
      <c r="F1078">
        <f>IFERROR(__xludf.DUMMYFUNCTION("""COMPUTED_VALUE"""),9.299999999999999)</f>
        <v>9.3</v>
      </c>
    </row>
    <row r="1079">
      <c r="D1079" t="str">
        <f>IFERROR(__xludf.DUMMYFUNCTION("""COMPUTED_VALUE"""),"Johnson")</f>
        <v>Johnson</v>
      </c>
      <c r="E1079" t="str">
        <f>IFERROR(__xludf.DUMMYFUNCTION("""COMPUTED_VALUE"""),"Devonte")</f>
        <v>Devonte</v>
      </c>
      <c r="F1079">
        <f>IFERROR(__xludf.DUMMYFUNCTION("""COMPUTED_VALUE"""),9.15)</f>
        <v>9.15</v>
      </c>
    </row>
    <row r="1080">
      <c r="D1080" t="str">
        <f>IFERROR(__xludf.DUMMYFUNCTION("""COMPUTED_VALUE"""),"Johnson")</f>
        <v>Johnson</v>
      </c>
      <c r="E1080" t="str">
        <f>IFERROR(__xludf.DUMMYFUNCTION("""COMPUTED_VALUE"""),"Dontae")</f>
        <v>Dontae</v>
      </c>
      <c r="F1080">
        <f>IFERROR(__xludf.DUMMYFUNCTION("""COMPUTED_VALUE"""),11.25)</f>
        <v>11.25</v>
      </c>
    </row>
    <row r="1081">
      <c r="D1081" t="str">
        <f>IFERROR(__xludf.DUMMYFUNCTION("""COMPUTED_VALUE"""),"Johnson")</f>
        <v>Johnson</v>
      </c>
      <c r="E1081" t="str">
        <f>IFERROR(__xludf.DUMMYFUNCTION("""COMPUTED_VALUE"""),"George")</f>
        <v>George</v>
      </c>
      <c r="F1081">
        <f>IFERROR(__xludf.DUMMYFUNCTION("""COMPUTED_VALUE"""),10.5)</f>
        <v>10.5</v>
      </c>
    </row>
    <row r="1082">
      <c r="D1082" t="str">
        <f>IFERROR(__xludf.DUMMYFUNCTION("""COMPUTED_VALUE"""),"Johnson")</f>
        <v>Johnson</v>
      </c>
      <c r="E1082" t="str">
        <f>IFERROR(__xludf.DUMMYFUNCTION("""COMPUTED_VALUE"""),"Gus")</f>
        <v>Gus</v>
      </c>
      <c r="F1082">
        <f>IFERROR(__xludf.DUMMYFUNCTION("""COMPUTED_VALUE"""),9.45)</f>
        <v>9.45</v>
      </c>
    </row>
    <row r="1083">
      <c r="D1083" t="str">
        <f>IFERROR(__xludf.DUMMYFUNCTION("""COMPUTED_VALUE"""),"Johnson")</f>
        <v>Johnson</v>
      </c>
      <c r="E1083" t="str">
        <f>IFERROR(__xludf.DUMMYFUNCTION("""COMPUTED_VALUE"""),"Isaiah")</f>
        <v>Isaiah</v>
      </c>
      <c r="F1083">
        <f>IFERROR(__xludf.DUMMYFUNCTION("""COMPUTED_VALUE"""),9.15)</f>
        <v>9.15</v>
      </c>
    </row>
    <row r="1084">
      <c r="D1084" t="str">
        <f>IFERROR(__xludf.DUMMYFUNCTION("""COMPUTED_VALUE"""),"Johnson")</f>
        <v>Johnson</v>
      </c>
      <c r="E1084" t="str">
        <f>IFERROR(__xludf.DUMMYFUNCTION("""COMPUTED_VALUE"""),"James-Michael")</f>
        <v>James-Michael</v>
      </c>
      <c r="F1084">
        <f>IFERROR(__xludf.DUMMYFUNCTION("""COMPUTED_VALUE"""),10.799999999999999)</f>
        <v>10.8</v>
      </c>
    </row>
    <row r="1085">
      <c r="D1085" t="str">
        <f>IFERROR(__xludf.DUMMYFUNCTION("""COMPUTED_VALUE"""),"Johnson")</f>
        <v>Johnson</v>
      </c>
      <c r="E1085" t="str">
        <f>IFERROR(__xludf.DUMMYFUNCTION("""COMPUTED_VALUE"""),"Josh")</f>
        <v>Josh</v>
      </c>
      <c r="F1085">
        <f>IFERROR(__xludf.DUMMYFUNCTION("""COMPUTED_VALUE"""),9.75)</f>
        <v>9.75</v>
      </c>
    </row>
    <row r="1086">
      <c r="D1086" t="str">
        <f>IFERROR(__xludf.DUMMYFUNCTION("""COMPUTED_VALUE"""),"Johnson")</f>
        <v>Johnson</v>
      </c>
      <c r="E1086" t="str">
        <f>IFERROR(__xludf.DUMMYFUNCTION("""COMPUTED_VALUE"""),"Kaleb")</f>
        <v>Kaleb</v>
      </c>
      <c r="F1086">
        <f>IFERROR(__xludf.DUMMYFUNCTION("""COMPUTED_VALUE"""),10.049999999999999)</f>
        <v>10.05</v>
      </c>
    </row>
    <row r="1087">
      <c r="D1087" t="str">
        <f>IFERROR(__xludf.DUMMYFUNCTION("""COMPUTED_VALUE"""),"Johnson")</f>
        <v>Johnson</v>
      </c>
      <c r="E1087" t="str">
        <f>IFERROR(__xludf.DUMMYFUNCTION("""COMPUTED_VALUE"""),"Kevin")</f>
        <v>Kevin</v>
      </c>
      <c r="F1087">
        <f>IFERROR(__xludf.DUMMYFUNCTION("""COMPUTED_VALUE"""),11.1)</f>
        <v>11.1</v>
      </c>
    </row>
    <row r="1088">
      <c r="D1088" t="str">
        <f>IFERROR(__xludf.DUMMYFUNCTION("""COMPUTED_VALUE"""),"Johnson")</f>
        <v>Johnson</v>
      </c>
      <c r="E1088" t="str">
        <f>IFERROR(__xludf.DUMMYFUNCTION("""COMPUTED_VALUE"""),"Lane")</f>
        <v>Lane</v>
      </c>
      <c r="F1088">
        <f>IFERROR(__xludf.DUMMYFUNCTION("""COMPUTED_VALUE"""),12.9)</f>
        <v>12.9</v>
      </c>
    </row>
    <row r="1089">
      <c r="D1089" t="str">
        <f>IFERROR(__xludf.DUMMYFUNCTION("""COMPUTED_VALUE"""),"Johnson")</f>
        <v>Johnson</v>
      </c>
      <c r="E1089" t="str">
        <f>IFERROR(__xludf.DUMMYFUNCTION("""COMPUTED_VALUE"""),"Leonard")</f>
        <v>Leonard</v>
      </c>
      <c r="F1089">
        <f>IFERROR(__xludf.DUMMYFUNCTION("""COMPUTED_VALUE"""),10.65)</f>
        <v>10.65</v>
      </c>
    </row>
    <row r="1090">
      <c r="D1090" t="str">
        <f>IFERROR(__xludf.DUMMYFUNCTION("""COMPUTED_VALUE"""),"Johnson")</f>
        <v>Johnson</v>
      </c>
      <c r="E1090" t="str">
        <f>IFERROR(__xludf.DUMMYFUNCTION("""COMPUTED_VALUE"""),"Malcolm")</f>
        <v>Malcolm</v>
      </c>
      <c r="F1090">
        <f>IFERROR(__xludf.DUMMYFUNCTION("""COMPUTED_VALUE"""),9.15)</f>
        <v>9.15</v>
      </c>
    </row>
    <row r="1091">
      <c r="D1091" t="str">
        <f>IFERROR(__xludf.DUMMYFUNCTION("""COMPUTED_VALUE"""),"Johnson")</f>
        <v>Johnson</v>
      </c>
      <c r="E1091" t="str">
        <f>IFERROR(__xludf.DUMMYFUNCTION("""COMPUTED_VALUE"""),"Michael")</f>
        <v>Michael</v>
      </c>
      <c r="F1091">
        <f>IFERROR(__xludf.DUMMYFUNCTION("""COMPUTED_VALUE"""),11.85)</f>
        <v>11.85</v>
      </c>
    </row>
    <row r="1092">
      <c r="D1092" t="str">
        <f>IFERROR(__xludf.DUMMYFUNCTION("""COMPUTED_VALUE"""),"Johnson")</f>
        <v>Johnson</v>
      </c>
      <c r="E1092" t="str">
        <f>IFERROR(__xludf.DUMMYFUNCTION("""COMPUTED_VALUE"""),"Randell")</f>
        <v>Randell</v>
      </c>
      <c r="F1092">
        <f>IFERROR(__xludf.DUMMYFUNCTION("""COMPUTED_VALUE"""),10.049999999999999)</f>
        <v>10.05</v>
      </c>
    </row>
    <row r="1093">
      <c r="D1093" t="str">
        <f>IFERROR(__xludf.DUMMYFUNCTION("""COMPUTED_VALUE"""),"Johnson")</f>
        <v>Johnson</v>
      </c>
      <c r="E1093" t="str">
        <f>IFERROR(__xludf.DUMMYFUNCTION("""COMPUTED_VALUE"""),"Rashad")</f>
        <v>Rashad</v>
      </c>
      <c r="F1093">
        <f>IFERROR(__xludf.DUMMYFUNCTION("""COMPUTED_VALUE"""),12.299999999999999)</f>
        <v>12.3</v>
      </c>
    </row>
    <row r="1094">
      <c r="D1094" t="str">
        <f>IFERROR(__xludf.DUMMYFUNCTION("""COMPUTED_VALUE"""),"Johnson")</f>
        <v>Johnson</v>
      </c>
      <c r="E1094" t="str">
        <f>IFERROR(__xludf.DUMMYFUNCTION("""COMPUTED_VALUE"""),"Rufus")</f>
        <v>Rufus</v>
      </c>
      <c r="F1094">
        <f>IFERROR(__xludf.DUMMYFUNCTION("""COMPUTED_VALUE"""),9.75)</f>
        <v>9.75</v>
      </c>
    </row>
    <row r="1095">
      <c r="D1095" t="str">
        <f>IFERROR(__xludf.DUMMYFUNCTION("""COMPUTED_VALUE"""),"Johnson")</f>
        <v>Johnson</v>
      </c>
      <c r="E1095" t="str">
        <f>IFERROR(__xludf.DUMMYFUNCTION("""COMPUTED_VALUE"""),"Steven")</f>
        <v>Steven</v>
      </c>
      <c r="F1095">
        <f>IFERROR(__xludf.DUMMYFUNCTION("""COMPUTED_VALUE"""),10.2)</f>
        <v>10.2</v>
      </c>
    </row>
    <row r="1096">
      <c r="D1096" t="str">
        <f>IFERROR(__xludf.DUMMYFUNCTION("""COMPUTED_VALUE"""),"Johnson")</f>
        <v>Johnson</v>
      </c>
      <c r="E1096" t="str">
        <f>IFERROR(__xludf.DUMMYFUNCTION("""COMPUTED_VALUE"""),"Stevie")</f>
        <v>Stevie</v>
      </c>
      <c r="F1096">
        <f>IFERROR(__xludf.DUMMYFUNCTION("""COMPUTED_VALUE"""),11.549999999999999)</f>
        <v>11.55</v>
      </c>
    </row>
    <row r="1097">
      <c r="D1097" t="str">
        <f>IFERROR(__xludf.DUMMYFUNCTION("""COMPUTED_VALUE"""),"Johnson")</f>
        <v>Johnson</v>
      </c>
      <c r="E1097" t="str">
        <f>IFERROR(__xludf.DUMMYFUNCTION("""COMPUTED_VALUE"""),"Storm")</f>
        <v>Storm</v>
      </c>
      <c r="F1097">
        <f>IFERROR(__xludf.DUMMYFUNCTION("""COMPUTED_VALUE"""),10.35)</f>
        <v>10.35</v>
      </c>
    </row>
    <row r="1098">
      <c r="D1098" t="str">
        <f>IFERROR(__xludf.DUMMYFUNCTION("""COMPUTED_VALUE"""),"Johnson")</f>
        <v>Johnson</v>
      </c>
      <c r="E1098" t="str">
        <f>IFERROR(__xludf.DUMMYFUNCTION("""COMPUTED_VALUE"""),"TJ")</f>
        <v>TJ</v>
      </c>
      <c r="F1098">
        <f>IFERROR(__xludf.DUMMYFUNCTION("""COMPUTED_VALUE"""),10.049999999999999)</f>
        <v>10.05</v>
      </c>
    </row>
    <row r="1099">
      <c r="D1099" t="str">
        <f>IFERROR(__xludf.DUMMYFUNCTION("""COMPUTED_VALUE"""),"Johnson")</f>
        <v>Johnson</v>
      </c>
      <c r="E1099" t="str">
        <f>IFERROR(__xludf.DUMMYFUNCTION("""COMPUTED_VALUE"""),"Tom")</f>
        <v>Tom</v>
      </c>
      <c r="F1099">
        <f>IFERROR(__xludf.DUMMYFUNCTION("""COMPUTED_VALUE"""),10.799999999999999)</f>
        <v>10.8</v>
      </c>
    </row>
    <row r="1100">
      <c r="D1100" t="str">
        <f>IFERROR(__xludf.DUMMYFUNCTION("""COMPUTED_VALUE"""),"Johnson")</f>
        <v>Johnson</v>
      </c>
      <c r="E1100" t="str">
        <f>IFERROR(__xludf.DUMMYFUNCTION("""COMPUTED_VALUE"""),"Trumaine")</f>
        <v>Trumaine</v>
      </c>
      <c r="F1100">
        <f>IFERROR(__xludf.DUMMYFUNCTION("""COMPUTED_VALUE"""),12.0)</f>
        <v>12</v>
      </c>
    </row>
    <row r="1101">
      <c r="D1101" t="str">
        <f>IFERROR(__xludf.DUMMYFUNCTION("""COMPUTED_VALUE"""),"Johnson")</f>
        <v>Johnson</v>
      </c>
      <c r="E1101" t="str">
        <f>IFERROR(__xludf.DUMMYFUNCTION("""COMPUTED_VALUE"""),"Wesley")</f>
        <v>Wesley</v>
      </c>
      <c r="F1101">
        <f>IFERROR(__xludf.DUMMYFUNCTION("""COMPUTED_VALUE"""),10.5)</f>
        <v>10.5</v>
      </c>
    </row>
    <row r="1102">
      <c r="D1102" t="str">
        <f>IFERROR(__xludf.DUMMYFUNCTION("""COMPUTED_VALUE"""),"Johnson")</f>
        <v>Johnson</v>
      </c>
      <c r="E1102" t="str">
        <f>IFERROR(__xludf.DUMMYFUNCTION("""COMPUTED_VALUE"""),"Will")</f>
        <v>Will</v>
      </c>
      <c r="F1102">
        <f>IFERROR(__xludf.DUMMYFUNCTION("""COMPUTED_VALUE"""),12.299999999999999)</f>
        <v>12.3</v>
      </c>
    </row>
    <row r="1103">
      <c r="D1103" t="str">
        <f>IFERROR(__xludf.DUMMYFUNCTION("""COMPUTED_VALUE"""),"Johnson Jr.")</f>
        <v>Johnson Jr.</v>
      </c>
      <c r="E1103" t="str">
        <f>IFERROR(__xludf.DUMMYFUNCTION("""COMPUTED_VALUE"""),"Duke")</f>
        <v>Duke</v>
      </c>
      <c r="F1103">
        <f>IFERROR(__xludf.DUMMYFUNCTION("""COMPUTED_VALUE"""),11.7)</f>
        <v>11.7</v>
      </c>
    </row>
    <row r="1104">
      <c r="D1104" t="str">
        <f>IFERROR(__xludf.DUMMYFUNCTION("""COMPUTED_VALUE"""),"Johnstone")</f>
        <v>Johnstone</v>
      </c>
      <c r="E1104" t="str">
        <f>IFERROR(__xludf.DUMMYFUNCTION("""COMPUTED_VALUE"""),"Tyler")</f>
        <v>Tyler</v>
      </c>
      <c r="F1104">
        <f>IFERROR(__xludf.DUMMYFUNCTION("""COMPUTED_VALUE"""),9.299999999999999)</f>
        <v>9.3</v>
      </c>
    </row>
    <row r="1105">
      <c r="D1105" t="str">
        <f>IFERROR(__xludf.DUMMYFUNCTION("""COMPUTED_VALUE"""),"Jones")</f>
        <v>Jones</v>
      </c>
      <c r="E1105" t="str">
        <f>IFERROR(__xludf.DUMMYFUNCTION("""COMPUTED_VALUE"""),"Abry")</f>
        <v>Abry</v>
      </c>
      <c r="F1105">
        <f>IFERROR(__xludf.DUMMYFUNCTION("""COMPUTED_VALUE"""),10.2)</f>
        <v>10.2</v>
      </c>
    </row>
    <row r="1106">
      <c r="D1106" t="str">
        <f>IFERROR(__xludf.DUMMYFUNCTION("""COMPUTED_VALUE"""),"Jones")</f>
        <v>Jones</v>
      </c>
      <c r="E1106" t="str">
        <f>IFERROR(__xludf.DUMMYFUNCTION("""COMPUTED_VALUE"""),"Adam")</f>
        <v>Adam</v>
      </c>
      <c r="F1106">
        <f>IFERROR(__xludf.DUMMYFUNCTION("""COMPUTED_VALUE"""),13.2)</f>
        <v>13.2</v>
      </c>
    </row>
    <row r="1107">
      <c r="D1107" t="str">
        <f>IFERROR(__xludf.DUMMYFUNCTION("""COMPUTED_VALUE"""),"Jones")</f>
        <v>Jones</v>
      </c>
      <c r="E1107" t="str">
        <f>IFERROR(__xludf.DUMMYFUNCTION("""COMPUTED_VALUE"""),"Andy")</f>
        <v>Andy</v>
      </c>
      <c r="F1107">
        <f>IFERROR(__xludf.DUMMYFUNCTION("""COMPUTED_VALUE"""),9.0)</f>
        <v>9</v>
      </c>
    </row>
    <row r="1108">
      <c r="D1108" t="str">
        <f>IFERROR(__xludf.DUMMYFUNCTION("""COMPUTED_VALUE"""),"Jones")</f>
        <v>Jones</v>
      </c>
      <c r="E1108" t="str">
        <f>IFERROR(__xludf.DUMMYFUNCTION("""COMPUTED_VALUE"""),"Arthur")</f>
        <v>Arthur</v>
      </c>
      <c r="F1108">
        <f>IFERROR(__xludf.DUMMYFUNCTION("""COMPUTED_VALUE"""),10.65)</f>
        <v>10.65</v>
      </c>
    </row>
    <row r="1109">
      <c r="D1109" t="str">
        <f>IFERROR(__xludf.DUMMYFUNCTION("""COMPUTED_VALUE"""),"Jones")</f>
        <v>Jones</v>
      </c>
      <c r="E1109" t="str">
        <f>IFERROR(__xludf.DUMMYFUNCTION("""COMPUTED_VALUE"""),"Barrett")</f>
        <v>Barrett</v>
      </c>
      <c r="F1109">
        <f>IFERROR(__xludf.DUMMYFUNCTION("""COMPUTED_VALUE"""),10.799999999999999)</f>
        <v>10.8</v>
      </c>
    </row>
    <row r="1110">
      <c r="D1110" t="str">
        <f>IFERROR(__xludf.DUMMYFUNCTION("""COMPUTED_VALUE"""),"Jones")</f>
        <v>Jones</v>
      </c>
      <c r="E1110" t="str">
        <f>IFERROR(__xludf.DUMMYFUNCTION("""COMPUTED_VALUE"""),"Ben")</f>
        <v>Ben</v>
      </c>
      <c r="F1110">
        <f>IFERROR(__xludf.DUMMYFUNCTION("""COMPUTED_VALUE"""),11.1)</f>
        <v>11.1</v>
      </c>
    </row>
    <row r="1111">
      <c r="D1111" t="str">
        <f>IFERROR(__xludf.DUMMYFUNCTION("""COMPUTED_VALUE"""),"Jones")</f>
        <v>Jones</v>
      </c>
      <c r="E1111" t="str">
        <f>IFERROR(__xludf.DUMMYFUNCTION("""COMPUTED_VALUE"""),"Byron")</f>
        <v>Byron</v>
      </c>
      <c r="F1111">
        <f>IFERROR(__xludf.DUMMYFUNCTION("""COMPUTED_VALUE"""),12.15)</f>
        <v>12.15</v>
      </c>
    </row>
    <row r="1112">
      <c r="D1112" t="str">
        <f>IFERROR(__xludf.DUMMYFUNCTION("""COMPUTED_VALUE"""),"Jones")</f>
        <v>Jones</v>
      </c>
      <c r="E1112" t="str">
        <f>IFERROR(__xludf.DUMMYFUNCTION("""COMPUTED_VALUE"""),"Cardale")</f>
        <v>Cardale</v>
      </c>
      <c r="F1112">
        <f>IFERROR(__xludf.DUMMYFUNCTION("""COMPUTED_VALUE"""),9.9)</f>
        <v>9.9</v>
      </c>
    </row>
    <row r="1113">
      <c r="D1113" t="str">
        <f>IFERROR(__xludf.DUMMYFUNCTION("""COMPUTED_VALUE"""),"Jones")</f>
        <v>Jones</v>
      </c>
      <c r="E1113" t="str">
        <f>IFERROR(__xludf.DUMMYFUNCTION("""COMPUTED_VALUE"""),"Chandler")</f>
        <v>Chandler</v>
      </c>
      <c r="F1113">
        <f>IFERROR(__xludf.DUMMYFUNCTION("""COMPUTED_VALUE"""),12.299999999999999)</f>
        <v>12.3</v>
      </c>
    </row>
    <row r="1114">
      <c r="D1114" t="str">
        <f>IFERROR(__xludf.DUMMYFUNCTION("""COMPUTED_VALUE"""),"Jones")</f>
        <v>Jones</v>
      </c>
      <c r="E1114" t="str">
        <f>IFERROR(__xludf.DUMMYFUNCTION("""COMPUTED_VALUE"""),"Chris")</f>
        <v>Chris</v>
      </c>
      <c r="F1114">
        <f>IFERROR(__xludf.DUMMYFUNCTION("""COMPUTED_VALUE"""),12.299999999999999)</f>
        <v>12.3</v>
      </c>
    </row>
    <row r="1115">
      <c r="D1115" t="str">
        <f>IFERROR(__xludf.DUMMYFUNCTION("""COMPUTED_VALUE"""),"Jones")</f>
        <v>Jones</v>
      </c>
      <c r="E1115" t="str">
        <f>IFERROR(__xludf.DUMMYFUNCTION("""COMPUTED_VALUE"""),"Chris")</f>
        <v>Chris</v>
      </c>
      <c r="F1115">
        <f>IFERROR(__xludf.DUMMYFUNCTION("""COMPUTED_VALUE"""),10.799999999999999)</f>
        <v>10.8</v>
      </c>
    </row>
    <row r="1116">
      <c r="D1116" t="str">
        <f>IFERROR(__xludf.DUMMYFUNCTION("""COMPUTED_VALUE"""),"Jones")</f>
        <v>Jones</v>
      </c>
      <c r="E1116" t="str">
        <f>IFERROR(__xludf.DUMMYFUNCTION("""COMPUTED_VALUE"""),"Chris")</f>
        <v>Chris</v>
      </c>
      <c r="F1116">
        <f>IFERROR(__xludf.DUMMYFUNCTION("""COMPUTED_VALUE"""),9.75)</f>
        <v>9.75</v>
      </c>
    </row>
    <row r="1117">
      <c r="D1117" t="str">
        <f>IFERROR(__xludf.DUMMYFUNCTION("""COMPUTED_VALUE"""),"Jones")</f>
        <v>Jones</v>
      </c>
      <c r="E1117" t="str">
        <f>IFERROR(__xludf.DUMMYFUNCTION("""COMPUTED_VALUE"""),"Christian")</f>
        <v>Christian</v>
      </c>
      <c r="F1117">
        <f>IFERROR(__xludf.DUMMYFUNCTION("""COMPUTED_VALUE"""),10.799999999999999)</f>
        <v>10.8</v>
      </c>
    </row>
    <row r="1118">
      <c r="D1118" t="str">
        <f>IFERROR(__xludf.DUMMYFUNCTION("""COMPUTED_VALUE"""),"Jones")</f>
        <v>Jones</v>
      </c>
      <c r="E1118" t="str">
        <f>IFERROR(__xludf.DUMMYFUNCTION("""COMPUTED_VALUE"""),"Colin")</f>
        <v>Colin</v>
      </c>
      <c r="F1118">
        <f>IFERROR(__xludf.DUMMYFUNCTION("""COMPUTED_VALUE"""),10.35)</f>
        <v>10.35</v>
      </c>
    </row>
    <row r="1119">
      <c r="D1119" t="str">
        <f>IFERROR(__xludf.DUMMYFUNCTION("""COMPUTED_VALUE"""),"Jones")</f>
        <v>Jones</v>
      </c>
      <c r="E1119" t="str">
        <f>IFERROR(__xludf.DUMMYFUNCTION("""COMPUTED_VALUE"""),"Cyrus")</f>
        <v>Cyrus</v>
      </c>
      <c r="F1119">
        <f>IFERROR(__xludf.DUMMYFUNCTION("""COMPUTED_VALUE"""),10.65)</f>
        <v>10.65</v>
      </c>
    </row>
    <row r="1120">
      <c r="D1120" t="str">
        <f>IFERROR(__xludf.DUMMYFUNCTION("""COMPUTED_VALUE"""),"Jones")</f>
        <v>Jones</v>
      </c>
      <c r="E1120" t="str">
        <f>IFERROR(__xludf.DUMMYFUNCTION("""COMPUTED_VALUE"""),"DaQuan")</f>
        <v>DaQuan</v>
      </c>
      <c r="F1120">
        <f>IFERROR(__xludf.DUMMYFUNCTION("""COMPUTED_VALUE"""),10.2)</f>
        <v>10.2</v>
      </c>
    </row>
    <row r="1121">
      <c r="D1121" t="str">
        <f>IFERROR(__xludf.DUMMYFUNCTION("""COMPUTED_VALUE"""),"Jones")</f>
        <v>Jones</v>
      </c>
      <c r="E1121" t="str">
        <f>IFERROR(__xludf.DUMMYFUNCTION("""COMPUTED_VALUE"""),"Datone")</f>
        <v>Datone</v>
      </c>
      <c r="F1121">
        <f>IFERROR(__xludf.DUMMYFUNCTION("""COMPUTED_VALUE"""),11.4)</f>
        <v>11.4</v>
      </c>
    </row>
    <row r="1122">
      <c r="D1122" t="str">
        <f>IFERROR(__xludf.DUMMYFUNCTION("""COMPUTED_VALUE"""),"Jones")</f>
        <v>Jones</v>
      </c>
      <c r="E1122" t="str">
        <f>IFERROR(__xludf.DUMMYFUNCTION("""COMPUTED_VALUE"""),"Deion")</f>
        <v>Deion</v>
      </c>
      <c r="F1122">
        <f>IFERROR(__xludf.DUMMYFUNCTION("""COMPUTED_VALUE"""),10.65)</f>
        <v>10.65</v>
      </c>
    </row>
    <row r="1123">
      <c r="D1123" t="str">
        <f>IFERROR(__xludf.DUMMYFUNCTION("""COMPUTED_VALUE"""),"Jones")</f>
        <v>Jones</v>
      </c>
      <c r="E1123" t="str">
        <f>IFERROR(__xludf.DUMMYFUNCTION("""COMPUTED_VALUE"""),"Don")</f>
        <v>Don</v>
      </c>
      <c r="F1123">
        <f>IFERROR(__xludf.DUMMYFUNCTION("""COMPUTED_VALUE"""),10.5)</f>
        <v>10.5</v>
      </c>
    </row>
    <row r="1124">
      <c r="D1124" t="str">
        <f>IFERROR(__xludf.DUMMYFUNCTION("""COMPUTED_VALUE"""),"Jones")</f>
        <v>Jones</v>
      </c>
      <c r="E1124" t="str">
        <f>IFERROR(__xludf.DUMMYFUNCTION("""COMPUTED_VALUE"""),"Donnie")</f>
        <v>Donnie</v>
      </c>
      <c r="F1124">
        <f>IFERROR(__xludf.DUMMYFUNCTION("""COMPUTED_VALUE"""),11.85)</f>
        <v>11.85</v>
      </c>
    </row>
    <row r="1125">
      <c r="D1125" t="str">
        <f>IFERROR(__xludf.DUMMYFUNCTION("""COMPUTED_VALUE"""),"Jones")</f>
        <v>Jones</v>
      </c>
      <c r="E1125" t="str">
        <f>IFERROR(__xludf.DUMMYFUNCTION("""COMPUTED_VALUE"""),"Howard")</f>
        <v>Howard</v>
      </c>
      <c r="F1125">
        <f>IFERROR(__xludf.DUMMYFUNCTION("""COMPUTED_VALUE"""),10.5)</f>
        <v>10.5</v>
      </c>
    </row>
    <row r="1126">
      <c r="D1126" t="str">
        <f>IFERROR(__xludf.DUMMYFUNCTION("""COMPUTED_VALUE"""),"Jones")</f>
        <v>Jones</v>
      </c>
      <c r="E1126" t="str">
        <f>IFERROR(__xludf.DUMMYFUNCTION("""COMPUTED_VALUE"""),"Jamaal")</f>
        <v>Jamaal</v>
      </c>
      <c r="F1126">
        <f>IFERROR(__xludf.DUMMYFUNCTION("""COMPUTED_VALUE"""),9.15)</f>
        <v>9.15</v>
      </c>
    </row>
    <row r="1127">
      <c r="D1127" t="str">
        <f>IFERROR(__xludf.DUMMYFUNCTION("""COMPUTED_VALUE"""),"Jones")</f>
        <v>Jones</v>
      </c>
      <c r="E1127" t="str">
        <f>IFERROR(__xludf.DUMMYFUNCTION("""COMPUTED_VALUE"""),"Jarvis")</f>
        <v>Jarvis</v>
      </c>
      <c r="F1127">
        <f>IFERROR(__xludf.DUMMYFUNCTION("""COMPUTED_VALUE"""),10.95)</f>
        <v>10.95</v>
      </c>
    </row>
    <row r="1128">
      <c r="D1128" t="str">
        <f>IFERROR(__xludf.DUMMYFUNCTION("""COMPUTED_VALUE"""),"Jones")</f>
        <v>Jones</v>
      </c>
      <c r="E1128" t="str">
        <f>IFERROR(__xludf.DUMMYFUNCTION("""COMPUTED_VALUE"""),"Jason")</f>
        <v>Jason</v>
      </c>
      <c r="F1128">
        <f>IFERROR(__xludf.DUMMYFUNCTION("""COMPUTED_VALUE"""),11.549999999999999)</f>
        <v>11.55</v>
      </c>
    </row>
    <row r="1129">
      <c r="D1129" t="str">
        <f>IFERROR(__xludf.DUMMYFUNCTION("""COMPUTED_VALUE"""),"Jones")</f>
        <v>Jones</v>
      </c>
      <c r="E1129" t="str">
        <f>IFERROR(__xludf.DUMMYFUNCTION("""COMPUTED_VALUE"""),"Jonathan")</f>
        <v>Jonathan</v>
      </c>
      <c r="F1129">
        <f>IFERROR(__xludf.DUMMYFUNCTION("""COMPUTED_VALUE"""),9.299999999999999)</f>
        <v>9.3</v>
      </c>
    </row>
    <row r="1130">
      <c r="D1130" t="str">
        <f>IFERROR(__xludf.DUMMYFUNCTION("""COMPUTED_VALUE"""),"Jones")</f>
        <v>Jones</v>
      </c>
      <c r="E1130" t="str">
        <f>IFERROR(__xludf.DUMMYFUNCTION("""COMPUTED_VALUE"""),"Julio")</f>
        <v>Julio</v>
      </c>
      <c r="F1130">
        <f>IFERROR(__xludf.DUMMYFUNCTION("""COMPUTED_VALUE"""),14.399999999999999)</f>
        <v>14.4</v>
      </c>
    </row>
    <row r="1131">
      <c r="D1131" t="str">
        <f>IFERROR(__xludf.DUMMYFUNCTION("""COMPUTED_VALUE"""),"Jones")</f>
        <v>Jones</v>
      </c>
      <c r="E1131" t="str">
        <f>IFERROR(__xludf.DUMMYFUNCTION("""COMPUTED_VALUE"""),"Landry")</f>
        <v>Landry</v>
      </c>
      <c r="F1131">
        <f>IFERROR(__xludf.DUMMYFUNCTION("""COMPUTED_VALUE"""),9.9)</f>
        <v>9.9</v>
      </c>
    </row>
    <row r="1132">
      <c r="D1132" t="str">
        <f>IFERROR(__xludf.DUMMYFUNCTION("""COMPUTED_VALUE"""),"Jones")</f>
        <v>Jones</v>
      </c>
      <c r="E1132" t="str">
        <f>IFERROR(__xludf.DUMMYFUNCTION("""COMPUTED_VALUE"""),"Marvin")</f>
        <v>Marvin</v>
      </c>
      <c r="F1132">
        <f>IFERROR(__xludf.DUMMYFUNCTION("""COMPUTED_VALUE"""),12.299999999999999)</f>
        <v>12.3</v>
      </c>
    </row>
    <row r="1133">
      <c r="D1133" t="str">
        <f>IFERROR(__xludf.DUMMYFUNCTION("""COMPUTED_VALUE"""),"Jones")</f>
        <v>Jones</v>
      </c>
      <c r="E1133" t="str">
        <f>IFERROR(__xludf.DUMMYFUNCTION("""COMPUTED_VALUE"""),"Matt")</f>
        <v>Matt</v>
      </c>
      <c r="F1133">
        <f>IFERROR(__xludf.DUMMYFUNCTION("""COMPUTED_VALUE"""),11.549999999999999)</f>
        <v>11.55</v>
      </c>
    </row>
    <row r="1134">
      <c r="D1134" t="str">
        <f>IFERROR(__xludf.DUMMYFUNCTION("""COMPUTED_VALUE"""),"Jones")</f>
        <v>Jones</v>
      </c>
      <c r="E1134" t="str">
        <f>IFERROR(__xludf.DUMMYFUNCTION("""COMPUTED_VALUE"""),"Reshad")</f>
        <v>Reshad</v>
      </c>
      <c r="F1134">
        <f>IFERROR(__xludf.DUMMYFUNCTION("""COMPUTED_VALUE"""),13.95)</f>
        <v>13.95</v>
      </c>
    </row>
    <row r="1135">
      <c r="D1135" t="str">
        <f>IFERROR(__xludf.DUMMYFUNCTION("""COMPUTED_VALUE"""),"Jones")</f>
        <v>Jones</v>
      </c>
      <c r="E1135" t="str">
        <f>IFERROR(__xludf.DUMMYFUNCTION("""COMPUTED_VALUE"""),"Seantavius")</f>
        <v>Seantavius</v>
      </c>
      <c r="F1135">
        <f>IFERROR(__xludf.DUMMYFUNCTION("""COMPUTED_VALUE"""),9.0)</f>
        <v>9</v>
      </c>
    </row>
    <row r="1136">
      <c r="D1136" t="str">
        <f>IFERROR(__xludf.DUMMYFUNCTION("""COMPUTED_VALUE"""),"Jones")</f>
        <v>Jones</v>
      </c>
      <c r="E1136" t="str">
        <f>IFERROR(__xludf.DUMMYFUNCTION("""COMPUTED_VALUE"""),"Taiwan")</f>
        <v>Taiwan</v>
      </c>
      <c r="F1136">
        <f>IFERROR(__xludf.DUMMYFUNCTION("""COMPUTED_VALUE"""),10.95)</f>
        <v>10.95</v>
      </c>
    </row>
    <row r="1137">
      <c r="D1137" t="str">
        <f>IFERROR(__xludf.DUMMYFUNCTION("""COMPUTED_VALUE"""),"Jones")</f>
        <v>Jones</v>
      </c>
      <c r="E1137" t="str">
        <f>IFERROR(__xludf.DUMMYFUNCTION("""COMPUTED_VALUE"""),"Taiwan")</f>
        <v>Taiwan</v>
      </c>
      <c r="F1137">
        <f>IFERROR(__xludf.DUMMYFUNCTION("""COMPUTED_VALUE"""),9.6)</f>
        <v>9.6</v>
      </c>
    </row>
    <row r="1138">
      <c r="D1138" t="str">
        <f>IFERROR(__xludf.DUMMYFUNCTION("""COMPUTED_VALUE"""),"Jones")</f>
        <v>Jones</v>
      </c>
      <c r="E1138" t="str">
        <f>IFERROR(__xludf.DUMMYFUNCTION("""COMPUTED_VALUE"""),"TJ")</f>
        <v>TJ</v>
      </c>
      <c r="F1138">
        <f>IFERROR(__xludf.DUMMYFUNCTION("""COMPUTED_VALUE"""),9.9)</f>
        <v>9.9</v>
      </c>
    </row>
    <row r="1139">
      <c r="D1139" t="str">
        <f>IFERROR(__xludf.DUMMYFUNCTION("""COMPUTED_VALUE"""),"Jones-Quartey")</f>
        <v>Jones-Quartey</v>
      </c>
      <c r="E1139" t="str">
        <f>IFERROR(__xludf.DUMMYFUNCTION("""COMPUTED_VALUE"""),"Harold")</f>
        <v>Harold</v>
      </c>
      <c r="F1139">
        <f>IFERROR(__xludf.DUMMYFUNCTION("""COMPUTED_VALUE"""),10.65)</f>
        <v>10.65</v>
      </c>
    </row>
    <row r="1140">
      <c r="D1140" t="str">
        <f>IFERROR(__xludf.DUMMYFUNCTION("""COMPUTED_VALUE"""),"Jordan")</f>
        <v>Jordan</v>
      </c>
      <c r="E1140" t="str">
        <f>IFERROR(__xludf.DUMMYFUNCTION("""COMPUTED_VALUE"""),"Cameron")</f>
        <v>Cameron</v>
      </c>
      <c r="F1140">
        <f>IFERROR(__xludf.DUMMYFUNCTION("""COMPUTED_VALUE"""),13.5)</f>
        <v>13.5</v>
      </c>
    </row>
    <row r="1141">
      <c r="D1141" t="str">
        <f>IFERROR(__xludf.DUMMYFUNCTION("""COMPUTED_VALUE"""),"Jordan")</f>
        <v>Jordan</v>
      </c>
      <c r="E1141" t="str">
        <f>IFERROR(__xludf.DUMMYFUNCTION("""COMPUTED_VALUE"""),"Dion")</f>
        <v>Dion</v>
      </c>
      <c r="F1141">
        <f>IFERROR(__xludf.DUMMYFUNCTION("""COMPUTED_VALUE"""),10.2)</f>
        <v>10.2</v>
      </c>
    </row>
    <row r="1142">
      <c r="D1142" t="str">
        <f>IFERROR(__xludf.DUMMYFUNCTION("""COMPUTED_VALUE"""),"Jordan")</f>
        <v>Jordan</v>
      </c>
      <c r="E1142" t="str">
        <f>IFERROR(__xludf.DUMMYFUNCTION("""COMPUTED_VALUE"""),"Mike")</f>
        <v>Mike</v>
      </c>
      <c r="F1142">
        <f>IFERROR(__xludf.DUMMYFUNCTION("""COMPUTED_VALUE"""),8.85)</f>
        <v>8.85</v>
      </c>
    </row>
    <row r="1143">
      <c r="D1143" t="str">
        <f>IFERROR(__xludf.DUMMYFUNCTION("""COMPUTED_VALUE"""),"Joseph")</f>
        <v>Joseph</v>
      </c>
      <c r="E1143" t="str">
        <f>IFERROR(__xludf.DUMMYFUNCTION("""COMPUTED_VALUE"""),"Johnathan")</f>
        <v>Johnathan</v>
      </c>
      <c r="F1143">
        <f>IFERROR(__xludf.DUMMYFUNCTION("""COMPUTED_VALUE"""),13.65)</f>
        <v>13.65</v>
      </c>
    </row>
    <row r="1144">
      <c r="D1144" t="str">
        <f>IFERROR(__xludf.DUMMYFUNCTION("""COMPUTED_VALUE"""),"Joseph")</f>
        <v>Joseph</v>
      </c>
      <c r="E1144" t="str">
        <f>IFERROR(__xludf.DUMMYFUNCTION("""COMPUTED_VALUE"""),"Karl")</f>
        <v>Karl</v>
      </c>
      <c r="F1144">
        <f>IFERROR(__xludf.DUMMYFUNCTION("""COMPUTED_VALUE"""),11.4)</f>
        <v>11.4</v>
      </c>
    </row>
    <row r="1145">
      <c r="D1145" t="str">
        <f>IFERROR(__xludf.DUMMYFUNCTION("""COMPUTED_VALUE"""),"Joseph")</f>
        <v>Joseph</v>
      </c>
      <c r="E1145" t="str">
        <f>IFERROR(__xludf.DUMMYFUNCTION("""COMPUTED_VALUE"""),"Linval")</f>
        <v>Linval</v>
      </c>
      <c r="F1145">
        <f>IFERROR(__xludf.DUMMYFUNCTION("""COMPUTED_VALUE"""),13.35)</f>
        <v>13.35</v>
      </c>
    </row>
    <row r="1146">
      <c r="D1146" t="str">
        <f>IFERROR(__xludf.DUMMYFUNCTION("""COMPUTED_VALUE"""),"Joyner")</f>
        <v>Joyner</v>
      </c>
      <c r="E1146" t="str">
        <f>IFERROR(__xludf.DUMMYFUNCTION("""COMPUTED_VALUE"""),"Lamarcus")</f>
        <v>Lamarcus</v>
      </c>
      <c r="F1146">
        <f>IFERROR(__xludf.DUMMYFUNCTION("""COMPUTED_VALUE"""),11.25)</f>
        <v>11.25</v>
      </c>
    </row>
    <row r="1147">
      <c r="D1147" t="str">
        <f>IFERROR(__xludf.DUMMYFUNCTION("""COMPUTED_VALUE"""),"Judon")</f>
        <v>Judon</v>
      </c>
      <c r="E1147" t="str">
        <f>IFERROR(__xludf.DUMMYFUNCTION("""COMPUTED_VALUE"""),"Matt")</f>
        <v>Matt</v>
      </c>
      <c r="F1147">
        <f>IFERROR(__xludf.DUMMYFUNCTION("""COMPUTED_VALUE"""),10.049999999999999)</f>
        <v>10.05</v>
      </c>
    </row>
    <row r="1148">
      <c r="D1148" t="str">
        <f>IFERROR(__xludf.DUMMYFUNCTION("""COMPUTED_VALUE"""),"Juszczyk")</f>
        <v>Juszczyk</v>
      </c>
      <c r="E1148" t="str">
        <f>IFERROR(__xludf.DUMMYFUNCTION("""COMPUTED_VALUE"""),"Kyle")</f>
        <v>Kyle</v>
      </c>
      <c r="F1148">
        <f>IFERROR(__xludf.DUMMYFUNCTION("""COMPUTED_VALUE"""),12.45)</f>
        <v>12.45</v>
      </c>
    </row>
    <row r="1149">
      <c r="D1149" t="str">
        <f>IFERROR(__xludf.DUMMYFUNCTION("""COMPUTED_VALUE"""),"Kaepernick")</f>
        <v>Kaepernick</v>
      </c>
      <c r="E1149" t="str">
        <f>IFERROR(__xludf.DUMMYFUNCTION("""COMPUTED_VALUE"""),"Colin")</f>
        <v>Colin</v>
      </c>
      <c r="F1149">
        <f>IFERROR(__xludf.DUMMYFUNCTION("""COMPUTED_VALUE"""),11.1)</f>
        <v>11.1</v>
      </c>
    </row>
    <row r="1150">
      <c r="D1150" t="str">
        <f>IFERROR(__xludf.DUMMYFUNCTION("""COMPUTED_VALUE"""),"Kalil")</f>
        <v>Kalil</v>
      </c>
      <c r="E1150" t="str">
        <f>IFERROR(__xludf.DUMMYFUNCTION("""COMPUTED_VALUE"""),"Matt")</f>
        <v>Matt</v>
      </c>
      <c r="F1150">
        <f>IFERROR(__xludf.DUMMYFUNCTION("""COMPUTED_VALUE"""),12.0)</f>
        <v>12</v>
      </c>
    </row>
    <row r="1151">
      <c r="D1151" t="str">
        <f>IFERROR(__xludf.DUMMYFUNCTION("""COMPUTED_VALUE"""),"Kalil")</f>
        <v>Kalil</v>
      </c>
      <c r="E1151" t="str">
        <f>IFERROR(__xludf.DUMMYFUNCTION("""COMPUTED_VALUE"""),"Ryan")</f>
        <v>Ryan</v>
      </c>
      <c r="F1151">
        <f>IFERROR(__xludf.DUMMYFUNCTION("""COMPUTED_VALUE"""),13.35)</f>
        <v>13.35</v>
      </c>
    </row>
    <row r="1152">
      <c r="D1152" t="str">
        <f>IFERROR(__xludf.DUMMYFUNCTION("""COMPUTED_VALUE"""),"Kamalu")</f>
        <v>Kamalu</v>
      </c>
      <c r="E1152" t="str">
        <f>IFERROR(__xludf.DUMMYFUNCTION("""COMPUTED_VALUE"""),"Ufomba")</f>
        <v>Ufomba</v>
      </c>
      <c r="F1152">
        <f>IFERROR(__xludf.DUMMYFUNCTION("""COMPUTED_VALUE"""),8.85)</f>
        <v>8.85</v>
      </c>
    </row>
    <row r="1153">
      <c r="D1153" t="str">
        <f>IFERROR(__xludf.DUMMYFUNCTION("""COMPUTED_VALUE"""),"Karras")</f>
        <v>Karras</v>
      </c>
      <c r="E1153" t="str">
        <f>IFERROR(__xludf.DUMMYFUNCTION("""COMPUTED_VALUE"""),"Ted")</f>
        <v>Ted</v>
      </c>
      <c r="F1153">
        <f>IFERROR(__xludf.DUMMYFUNCTION("""COMPUTED_VALUE"""),9.9)</f>
        <v>9.9</v>
      </c>
    </row>
    <row r="1154">
      <c r="D1154" t="str">
        <f>IFERROR(__xludf.DUMMYFUNCTION("""COMPUTED_VALUE"""),"Kaser")</f>
        <v>Kaser</v>
      </c>
      <c r="E1154" t="str">
        <f>IFERROR(__xludf.DUMMYFUNCTION("""COMPUTED_VALUE"""),"Drew")</f>
        <v>Drew</v>
      </c>
      <c r="F1154">
        <f>IFERROR(__xludf.DUMMYFUNCTION("""COMPUTED_VALUE"""),11.4)</f>
        <v>11.4</v>
      </c>
    </row>
    <row r="1155">
      <c r="D1155" t="str">
        <f>IFERROR(__xludf.DUMMYFUNCTION("""COMPUTED_VALUE"""),"Kasitati")</f>
        <v>Kasitati</v>
      </c>
      <c r="E1155" t="str">
        <f>IFERROR(__xludf.DUMMYFUNCTION("""COMPUTED_VALUE"""),"Nila")</f>
        <v>Nila</v>
      </c>
      <c r="F1155">
        <f>IFERROR(__xludf.DUMMYFUNCTION("""COMPUTED_VALUE"""),9.15)</f>
        <v>9.15</v>
      </c>
    </row>
    <row r="1156">
      <c r="D1156" t="str">
        <f>IFERROR(__xludf.DUMMYFUNCTION("""COMPUTED_VALUE"""),"Kaufusi")</f>
        <v>Kaufusi</v>
      </c>
      <c r="E1156" t="str">
        <f>IFERROR(__xludf.DUMMYFUNCTION("""COMPUTED_VALUE"""),"Bronson")</f>
        <v>Bronson</v>
      </c>
      <c r="F1156">
        <f>IFERROR(__xludf.DUMMYFUNCTION("""COMPUTED_VALUE"""),10.35)</f>
        <v>10.35</v>
      </c>
    </row>
    <row r="1157">
      <c r="D1157" t="str">
        <f>IFERROR(__xludf.DUMMYFUNCTION("""COMPUTED_VALUE"""),"Kearse")</f>
        <v>Kearse</v>
      </c>
      <c r="E1157" t="str">
        <f>IFERROR(__xludf.DUMMYFUNCTION("""COMPUTED_VALUE"""),"Frank")</f>
        <v>Frank</v>
      </c>
      <c r="F1157">
        <f>IFERROR(__xludf.DUMMYFUNCTION("""COMPUTED_VALUE"""),9.45)</f>
        <v>9.45</v>
      </c>
    </row>
    <row r="1158">
      <c r="D1158" t="str">
        <f>IFERROR(__xludf.DUMMYFUNCTION("""COMPUTED_VALUE"""),"Kearse")</f>
        <v>Kearse</v>
      </c>
      <c r="E1158" t="str">
        <f>IFERROR(__xludf.DUMMYFUNCTION("""COMPUTED_VALUE"""),"Jayron")</f>
        <v>Jayron</v>
      </c>
      <c r="F1158">
        <f>IFERROR(__xludf.DUMMYFUNCTION("""COMPUTED_VALUE"""),9.6)</f>
        <v>9.6</v>
      </c>
    </row>
    <row r="1159">
      <c r="D1159" t="str">
        <f>IFERROR(__xludf.DUMMYFUNCTION("""COMPUTED_VALUE"""),"Kearse")</f>
        <v>Kearse</v>
      </c>
      <c r="E1159" t="str">
        <f>IFERROR(__xludf.DUMMYFUNCTION("""COMPUTED_VALUE"""),"Jermaine")</f>
        <v>Jermaine</v>
      </c>
      <c r="F1159">
        <f>IFERROR(__xludf.DUMMYFUNCTION("""COMPUTED_VALUE"""),12.0)</f>
        <v>12</v>
      </c>
    </row>
    <row r="1160">
      <c r="D1160" t="str">
        <f>IFERROR(__xludf.DUMMYFUNCTION("""COMPUTED_VALUE"""),"Keenum")</f>
        <v>Keenum</v>
      </c>
      <c r="E1160" t="str">
        <f>IFERROR(__xludf.DUMMYFUNCTION("""COMPUTED_VALUE"""),"Case")</f>
        <v>Case</v>
      </c>
      <c r="F1160">
        <f>IFERROR(__xludf.DUMMYFUNCTION("""COMPUTED_VALUE"""),11.25)</f>
        <v>11.25</v>
      </c>
    </row>
    <row r="1161">
      <c r="D1161" t="str">
        <f>IFERROR(__xludf.DUMMYFUNCTION("""COMPUTED_VALUE"""),"Kelce")</f>
        <v>Kelce</v>
      </c>
      <c r="E1161" t="str">
        <f>IFERROR(__xludf.DUMMYFUNCTION("""COMPUTED_VALUE"""),"Jason")</f>
        <v>Jason</v>
      </c>
      <c r="F1161">
        <f>IFERROR(__xludf.DUMMYFUNCTION("""COMPUTED_VALUE"""),12.75)</f>
        <v>12.75</v>
      </c>
    </row>
    <row r="1162">
      <c r="D1162" t="str">
        <f>IFERROR(__xludf.DUMMYFUNCTION("""COMPUTED_VALUE"""),"Kelce")</f>
        <v>Kelce</v>
      </c>
      <c r="E1162" t="str">
        <f>IFERROR(__xludf.DUMMYFUNCTION("""COMPUTED_VALUE"""),"Travis")</f>
        <v>Travis</v>
      </c>
      <c r="F1162">
        <f>IFERROR(__xludf.DUMMYFUNCTION("""COMPUTED_VALUE"""),13.2)</f>
        <v>13.2</v>
      </c>
    </row>
    <row r="1163">
      <c r="D1163" t="str">
        <f>IFERROR(__xludf.DUMMYFUNCTION("""COMPUTED_VALUE"""),"Kelemete")</f>
        <v>Kelemete</v>
      </c>
      <c r="E1163" t="str">
        <f>IFERROR(__xludf.DUMMYFUNCTION("""COMPUTED_VALUE"""),"Senio")</f>
        <v>Senio</v>
      </c>
      <c r="F1163">
        <f>IFERROR(__xludf.DUMMYFUNCTION("""COMPUTED_VALUE"""),10.65)</f>
        <v>10.65</v>
      </c>
    </row>
    <row r="1164">
      <c r="D1164" t="str">
        <f>IFERROR(__xludf.DUMMYFUNCTION("""COMPUTED_VALUE"""),"Kelly")</f>
        <v>Kelly</v>
      </c>
      <c r="E1164" t="str">
        <f>IFERROR(__xludf.DUMMYFUNCTION("""COMPUTED_VALUE"""),"Dennis")</f>
        <v>Dennis</v>
      </c>
      <c r="F1164">
        <f>IFERROR(__xludf.DUMMYFUNCTION("""COMPUTED_VALUE"""),10.799999999999999)</f>
        <v>10.8</v>
      </c>
    </row>
    <row r="1165">
      <c r="D1165" t="str">
        <f>IFERROR(__xludf.DUMMYFUNCTION("""COMPUTED_VALUE"""),"Kelly")</f>
        <v>Kelly</v>
      </c>
      <c r="E1165" t="str">
        <f>IFERROR(__xludf.DUMMYFUNCTION("""COMPUTED_VALUE"""),"Ryan")</f>
        <v>Ryan</v>
      </c>
      <c r="F1165">
        <f>IFERROR(__xludf.DUMMYFUNCTION("""COMPUTED_VALUE"""),11.4)</f>
        <v>11.4</v>
      </c>
    </row>
    <row r="1166">
      <c r="D1166" t="str">
        <f>IFERROR(__xludf.DUMMYFUNCTION("""COMPUTED_VALUE"""),"Kendricks")</f>
        <v>Kendricks</v>
      </c>
      <c r="E1166" t="str">
        <f>IFERROR(__xludf.DUMMYFUNCTION("""COMPUTED_VALUE"""),"Eric")</f>
        <v>Eric</v>
      </c>
      <c r="F1166">
        <f>IFERROR(__xludf.DUMMYFUNCTION("""COMPUTED_VALUE"""),11.4)</f>
        <v>11.4</v>
      </c>
    </row>
    <row r="1167">
      <c r="D1167" t="str">
        <f>IFERROR(__xludf.DUMMYFUNCTION("""COMPUTED_VALUE"""),"Kendricks")</f>
        <v>Kendricks</v>
      </c>
      <c r="E1167" t="str">
        <f>IFERROR(__xludf.DUMMYFUNCTION("""COMPUTED_VALUE"""),"Lance")</f>
        <v>Lance</v>
      </c>
      <c r="F1167">
        <f>IFERROR(__xludf.DUMMYFUNCTION("""COMPUTED_VALUE"""),11.25)</f>
        <v>11.25</v>
      </c>
    </row>
    <row r="1168">
      <c r="D1168" t="str">
        <f>IFERROR(__xludf.DUMMYFUNCTION("""COMPUTED_VALUE"""),"Kendricks")</f>
        <v>Kendricks</v>
      </c>
      <c r="E1168" t="str">
        <f>IFERROR(__xludf.DUMMYFUNCTION("""COMPUTED_VALUE"""),"Mychal")</f>
        <v>Mychal</v>
      </c>
      <c r="F1168">
        <f>IFERROR(__xludf.DUMMYFUNCTION("""COMPUTED_VALUE"""),12.75)</f>
        <v>12.75</v>
      </c>
    </row>
    <row r="1169">
      <c r="D1169" t="str">
        <f>IFERROR(__xludf.DUMMYFUNCTION("""COMPUTED_VALUE"""),"Kennard")</f>
        <v>Kennard</v>
      </c>
      <c r="E1169" t="str">
        <f>IFERROR(__xludf.DUMMYFUNCTION("""COMPUTED_VALUE"""),"Devon")</f>
        <v>Devon</v>
      </c>
      <c r="F1169">
        <f>IFERROR(__xludf.DUMMYFUNCTION("""COMPUTED_VALUE"""),11.7)</f>
        <v>11.7</v>
      </c>
    </row>
    <row r="1170">
      <c r="D1170" t="str">
        <f>IFERROR(__xludf.DUMMYFUNCTION("""COMPUTED_VALUE"""),"Keo")</f>
        <v>Keo</v>
      </c>
      <c r="E1170" t="str">
        <f>IFERROR(__xludf.DUMMYFUNCTION("""COMPUTED_VALUE"""),"Shiloh")</f>
        <v>Shiloh</v>
      </c>
      <c r="F1170">
        <f>IFERROR(__xludf.DUMMYFUNCTION("""COMPUTED_VALUE"""),10.65)</f>
        <v>10.65</v>
      </c>
    </row>
    <row r="1171">
      <c r="D1171" t="str">
        <f>IFERROR(__xludf.DUMMYFUNCTION("""COMPUTED_VALUE"""),"Kerin")</f>
        <v>Kerin</v>
      </c>
      <c r="E1171" t="str">
        <f>IFERROR(__xludf.DUMMYFUNCTION("""COMPUTED_VALUE"""),"Zac")</f>
        <v>Zac</v>
      </c>
      <c r="F1171">
        <f>IFERROR(__xludf.DUMMYFUNCTION("""COMPUTED_VALUE"""),9.299999999999999)</f>
        <v>9.3</v>
      </c>
    </row>
    <row r="1172">
      <c r="D1172" t="str">
        <f>IFERROR(__xludf.DUMMYFUNCTION("""COMPUTED_VALUE"""),"Kerley")</f>
        <v>Kerley</v>
      </c>
      <c r="E1172" t="str">
        <f>IFERROR(__xludf.DUMMYFUNCTION("""COMPUTED_VALUE"""),"Jeremy")</f>
        <v>Jeremy</v>
      </c>
      <c r="F1172">
        <f>IFERROR(__xludf.DUMMYFUNCTION("""COMPUTED_VALUE"""),10.799999999999999)</f>
        <v>10.8</v>
      </c>
    </row>
    <row r="1173">
      <c r="D1173" t="str">
        <f>IFERROR(__xludf.DUMMYFUNCTION("""COMPUTED_VALUE"""),"Kern")</f>
        <v>Kern</v>
      </c>
      <c r="E1173" t="str">
        <f>IFERROR(__xludf.DUMMYFUNCTION("""COMPUTED_VALUE"""),"Brett")</f>
        <v>Brett</v>
      </c>
      <c r="F1173">
        <f>IFERROR(__xludf.DUMMYFUNCTION("""COMPUTED_VALUE"""),12.75)</f>
        <v>12.75</v>
      </c>
    </row>
    <row r="1174">
      <c r="D1174" t="str">
        <f>IFERROR(__xludf.DUMMYFUNCTION("""COMPUTED_VALUE"""),"Kerr")</f>
        <v>Kerr</v>
      </c>
      <c r="E1174" t="str">
        <f>IFERROR(__xludf.DUMMYFUNCTION("""COMPUTED_VALUE"""),"Zach")</f>
        <v>Zach</v>
      </c>
      <c r="F1174">
        <f>IFERROR(__xludf.DUMMYFUNCTION("""COMPUTED_VALUE"""),10.95)</f>
        <v>10.95</v>
      </c>
    </row>
    <row r="1175">
      <c r="D1175" t="str">
        <f>IFERROR(__xludf.DUMMYFUNCTION("""COMPUTED_VALUE"""),"Kerrigan")</f>
        <v>Kerrigan</v>
      </c>
      <c r="E1175" t="str">
        <f>IFERROR(__xludf.DUMMYFUNCTION("""COMPUTED_VALUE"""),"Ryan")</f>
        <v>Ryan</v>
      </c>
      <c r="F1175">
        <f>IFERROR(__xludf.DUMMYFUNCTION("""COMPUTED_VALUE"""),13.2)</f>
        <v>13.2</v>
      </c>
    </row>
    <row r="1176">
      <c r="D1176" t="str">
        <f>IFERROR(__xludf.DUMMYFUNCTION("""COMPUTED_VALUE"""),"Kessler")</f>
        <v>Kessler</v>
      </c>
      <c r="E1176" t="str">
        <f>IFERROR(__xludf.DUMMYFUNCTION("""COMPUTED_VALUE"""),"Cody")</f>
        <v>Cody</v>
      </c>
      <c r="F1176">
        <f>IFERROR(__xludf.DUMMYFUNCTION("""COMPUTED_VALUE"""),10.5)</f>
        <v>10.5</v>
      </c>
    </row>
    <row r="1177">
      <c r="D1177" t="str">
        <f>IFERROR(__xludf.DUMMYFUNCTION("""COMPUTED_VALUE"""),"Keyes")</f>
        <v>Keyes</v>
      </c>
      <c r="E1177" t="str">
        <f>IFERROR(__xludf.DUMMYFUNCTION("""COMPUTED_VALUE"""),"Josh")</f>
        <v>Josh</v>
      </c>
      <c r="F1177">
        <f>IFERROR(__xludf.DUMMYFUNCTION("""COMPUTED_VALUE"""),8.85)</f>
        <v>8.85</v>
      </c>
    </row>
    <row r="1178">
      <c r="D1178" t="str">
        <f>IFERROR(__xludf.DUMMYFUNCTION("""COMPUTED_VALUE"""),"Kikaha")</f>
        <v>Kikaha</v>
      </c>
      <c r="E1178" t="str">
        <f>IFERROR(__xludf.DUMMYFUNCTION("""COMPUTED_VALUE"""),"Hauoli")</f>
        <v>Hauoli</v>
      </c>
      <c r="F1178">
        <f>IFERROR(__xludf.DUMMYFUNCTION("""COMPUTED_VALUE"""),11.25)</f>
        <v>11.25</v>
      </c>
    </row>
    <row r="1179">
      <c r="D1179" t="str">
        <f>IFERROR(__xludf.DUMMYFUNCTION("""COMPUTED_VALUE"""),"Kilgo")</f>
        <v>Kilgo</v>
      </c>
      <c r="E1179" t="str">
        <f>IFERROR(__xludf.DUMMYFUNCTION("""COMPUTED_VALUE"""),"Darius")</f>
        <v>Darius</v>
      </c>
      <c r="F1179">
        <f>IFERROR(__xludf.DUMMYFUNCTION("""COMPUTED_VALUE"""),9.15)</f>
        <v>9.15</v>
      </c>
    </row>
    <row r="1180">
      <c r="D1180" t="str">
        <f>IFERROR(__xludf.DUMMYFUNCTION("""COMPUTED_VALUE"""),"Kilgore")</f>
        <v>Kilgore</v>
      </c>
      <c r="E1180" t="str">
        <f>IFERROR(__xludf.DUMMYFUNCTION("""COMPUTED_VALUE"""),"Daniel")</f>
        <v>Daniel</v>
      </c>
      <c r="F1180">
        <f>IFERROR(__xludf.DUMMYFUNCTION("""COMPUTED_VALUE"""),10.65)</f>
        <v>10.65</v>
      </c>
    </row>
    <row r="1181">
      <c r="D1181" t="str">
        <f>IFERROR(__xludf.DUMMYFUNCTION("""COMPUTED_VALUE"""),"Killebrew")</f>
        <v>Killebrew</v>
      </c>
      <c r="E1181" t="str">
        <f>IFERROR(__xludf.DUMMYFUNCTION("""COMPUTED_VALUE"""),"Miles")</f>
        <v>Miles</v>
      </c>
      <c r="F1181">
        <f>IFERROR(__xludf.DUMMYFUNCTION("""COMPUTED_VALUE"""),10.2)</f>
        <v>10.2</v>
      </c>
    </row>
    <row r="1182">
      <c r="D1182" t="str">
        <f>IFERROR(__xludf.DUMMYFUNCTION("""COMPUTED_VALUE"""),"Kindred")</f>
        <v>Kindred</v>
      </c>
      <c r="E1182" t="str">
        <f>IFERROR(__xludf.DUMMYFUNCTION("""COMPUTED_VALUE"""),"Derrick")</f>
        <v>Derrick</v>
      </c>
      <c r="F1182">
        <f>IFERROR(__xludf.DUMMYFUNCTION("""COMPUTED_VALUE"""),9.75)</f>
        <v>9.75</v>
      </c>
    </row>
    <row r="1183">
      <c r="D1183" t="str">
        <f>IFERROR(__xludf.DUMMYFUNCTION("""COMPUTED_VALUE"""),"King")</f>
        <v>King</v>
      </c>
      <c r="E1183" t="str">
        <f>IFERROR(__xludf.DUMMYFUNCTION("""COMPUTED_VALUE"""),"Akeem")</f>
        <v>Akeem</v>
      </c>
      <c r="F1183">
        <f>IFERROR(__xludf.DUMMYFUNCTION("""COMPUTED_VALUE"""),9.15)</f>
        <v>9.15</v>
      </c>
    </row>
    <row r="1184">
      <c r="D1184" t="str">
        <f>IFERROR(__xludf.DUMMYFUNCTION("""COMPUTED_VALUE"""),"King")</f>
        <v>King</v>
      </c>
      <c r="E1184" t="str">
        <f>IFERROR(__xludf.DUMMYFUNCTION("""COMPUTED_VALUE"""),"David")</f>
        <v>David</v>
      </c>
      <c r="F1184">
        <f>IFERROR(__xludf.DUMMYFUNCTION("""COMPUTED_VALUE"""),10.049999999999999)</f>
        <v>10.05</v>
      </c>
    </row>
    <row r="1185">
      <c r="D1185" t="str">
        <f>IFERROR(__xludf.DUMMYFUNCTION("""COMPUTED_VALUE"""),"King")</f>
        <v>King</v>
      </c>
      <c r="E1185" t="str">
        <f>IFERROR(__xludf.DUMMYFUNCTION("""COMPUTED_VALUE"""),"Marquette")</f>
        <v>Marquette</v>
      </c>
      <c r="F1185">
        <f>IFERROR(__xludf.DUMMYFUNCTION("""COMPUTED_VALUE"""),12.299999999999999)</f>
        <v>12.3</v>
      </c>
    </row>
    <row r="1186">
      <c r="D1186" t="str">
        <f>IFERROR(__xludf.DUMMYFUNCTION("""COMPUTED_VALUE"""),"King")</f>
        <v>King</v>
      </c>
      <c r="E1186" t="str">
        <f>IFERROR(__xludf.DUMMYFUNCTION("""COMPUTED_VALUE"""),"Tavarres")</f>
        <v>Tavarres</v>
      </c>
      <c r="F1186">
        <f>IFERROR(__xludf.DUMMYFUNCTION("""COMPUTED_VALUE"""),9.15)</f>
        <v>9.15</v>
      </c>
    </row>
    <row r="1187">
      <c r="D1187" t="str">
        <f>IFERROR(__xludf.DUMMYFUNCTION("""COMPUTED_VALUE"""),"Kirkland")</f>
        <v>Kirkland</v>
      </c>
      <c r="E1187" t="str">
        <f>IFERROR(__xludf.DUMMYFUNCTION("""COMPUTED_VALUE"""),"Denver")</f>
        <v>Denver</v>
      </c>
      <c r="F1187">
        <f>IFERROR(__xludf.DUMMYFUNCTION("""COMPUTED_VALUE"""),8.549999999999999)</f>
        <v>8.55</v>
      </c>
    </row>
    <row r="1188">
      <c r="D1188" t="str">
        <f>IFERROR(__xludf.DUMMYFUNCTION("""COMPUTED_VALUE"""),"Kirkpatrick")</f>
        <v>Kirkpatrick</v>
      </c>
      <c r="E1188" t="str">
        <f>IFERROR(__xludf.DUMMYFUNCTION("""COMPUTED_VALUE"""),"Dre")</f>
        <v>Dre</v>
      </c>
      <c r="F1188">
        <f>IFERROR(__xludf.DUMMYFUNCTION("""COMPUTED_VALUE"""),11.4)</f>
        <v>11.4</v>
      </c>
    </row>
    <row r="1189">
      <c r="D1189" t="str">
        <f>IFERROR(__xludf.DUMMYFUNCTION("""COMPUTED_VALUE"""),"Kirksey")</f>
        <v>Kirksey</v>
      </c>
      <c r="E1189" t="str">
        <f>IFERROR(__xludf.DUMMYFUNCTION("""COMPUTED_VALUE"""),"Christian")</f>
        <v>Christian</v>
      </c>
      <c r="F1189">
        <f>IFERROR(__xludf.DUMMYFUNCTION("""COMPUTED_VALUE"""),11.1)</f>
        <v>11.1</v>
      </c>
    </row>
    <row r="1190">
      <c r="D1190" t="str">
        <f>IFERROR(__xludf.DUMMYFUNCTION("""COMPUTED_VALUE"""),"Klein")</f>
        <v>Klein</v>
      </c>
      <c r="E1190" t="str">
        <f>IFERROR(__xludf.DUMMYFUNCTION("""COMPUTED_VALUE"""),"AJ")</f>
        <v>AJ</v>
      </c>
      <c r="F1190">
        <f>IFERROR(__xludf.DUMMYFUNCTION("""COMPUTED_VALUE"""),11.1)</f>
        <v>11.1</v>
      </c>
    </row>
    <row r="1191">
      <c r="D1191" t="str">
        <f>IFERROR(__xludf.DUMMYFUNCTION("""COMPUTED_VALUE"""),"Kline")</f>
        <v>Kline</v>
      </c>
      <c r="E1191" t="str">
        <f>IFERROR(__xludf.DUMMYFUNCTION("""COMPUTED_VALUE"""),"Josh")</f>
        <v>Josh</v>
      </c>
      <c r="F1191">
        <f>IFERROR(__xludf.DUMMYFUNCTION("""COMPUTED_VALUE"""),10.799999999999999)</f>
        <v>10.8</v>
      </c>
    </row>
    <row r="1192">
      <c r="D1192" t="str">
        <f>IFERROR(__xludf.DUMMYFUNCTION("""COMPUTED_VALUE"""),"Klug")</f>
        <v>Klug</v>
      </c>
      <c r="E1192" t="str">
        <f>IFERROR(__xludf.DUMMYFUNCTION("""COMPUTED_VALUE"""),"Karl")</f>
        <v>Karl</v>
      </c>
      <c r="F1192">
        <f>IFERROR(__xludf.DUMMYFUNCTION("""COMPUTED_VALUE"""),10.95)</f>
        <v>10.95</v>
      </c>
    </row>
    <row r="1193">
      <c r="D1193" t="str">
        <f>IFERROR(__xludf.DUMMYFUNCTION("""COMPUTED_VALUE"""),"Knighton")</f>
        <v>Knighton</v>
      </c>
      <c r="E1193" t="str">
        <f>IFERROR(__xludf.DUMMYFUNCTION("""COMPUTED_VALUE"""),"Terrance")</f>
        <v>Terrance</v>
      </c>
      <c r="F1193">
        <f>IFERROR(__xludf.DUMMYFUNCTION("""COMPUTED_VALUE"""),12.45)</f>
        <v>12.45</v>
      </c>
    </row>
    <row r="1194">
      <c r="D1194" t="str">
        <f>IFERROR(__xludf.DUMMYFUNCTION("""COMPUTED_VALUE"""),"Koch")</f>
        <v>Koch</v>
      </c>
      <c r="E1194" t="str">
        <f>IFERROR(__xludf.DUMMYFUNCTION("""COMPUTED_VALUE"""),"Sam")</f>
        <v>Sam</v>
      </c>
      <c r="F1194">
        <f>IFERROR(__xludf.DUMMYFUNCTION("""COMPUTED_VALUE"""),12.6)</f>
        <v>12.6</v>
      </c>
    </row>
    <row r="1195">
      <c r="D1195" t="str">
        <f>IFERROR(__xludf.DUMMYFUNCTION("""COMPUTED_VALUE"""),"Kouandjio")</f>
        <v>Kouandjio</v>
      </c>
      <c r="E1195" t="str">
        <f>IFERROR(__xludf.DUMMYFUNCTION("""COMPUTED_VALUE"""),"Arie")</f>
        <v>Arie</v>
      </c>
      <c r="F1195">
        <f>IFERROR(__xludf.DUMMYFUNCTION("""COMPUTED_VALUE"""),9.299999999999999)</f>
        <v>9.3</v>
      </c>
    </row>
    <row r="1196">
      <c r="D1196" t="str">
        <f>IFERROR(__xludf.DUMMYFUNCTION("""COMPUTED_VALUE"""),"Kouandjio")</f>
        <v>Kouandjio</v>
      </c>
      <c r="E1196" t="str">
        <f>IFERROR(__xludf.DUMMYFUNCTION("""COMPUTED_VALUE"""),"Cyrus")</f>
        <v>Cyrus</v>
      </c>
      <c r="F1196">
        <f>IFERROR(__xludf.DUMMYFUNCTION("""COMPUTED_VALUE"""),10.799999999999999)</f>
        <v>10.8</v>
      </c>
    </row>
    <row r="1197">
      <c r="D1197" t="str">
        <f>IFERROR(__xludf.DUMMYFUNCTION("""COMPUTED_VALUE"""),"Koyack")</f>
        <v>Koyack</v>
      </c>
      <c r="E1197" t="str">
        <f>IFERROR(__xludf.DUMMYFUNCTION("""COMPUTED_VALUE"""),"Ben")</f>
        <v>Ben</v>
      </c>
      <c r="F1197">
        <f>IFERROR(__xludf.DUMMYFUNCTION("""COMPUTED_VALUE"""),9.6)</f>
        <v>9.6</v>
      </c>
    </row>
    <row r="1198">
      <c r="D1198" t="str">
        <f>IFERROR(__xludf.DUMMYFUNCTION("""COMPUTED_VALUE"""),"Kreiter")</f>
        <v>Kreiter</v>
      </c>
      <c r="E1198" t="str">
        <f>IFERROR(__xludf.DUMMYFUNCTION("""COMPUTED_VALUE"""),"Casey")</f>
        <v>Casey</v>
      </c>
      <c r="F1198">
        <f>IFERROR(__xludf.DUMMYFUNCTION("""COMPUTED_VALUE"""),6.0)</f>
        <v>6</v>
      </c>
    </row>
    <row r="1199">
      <c r="D1199" t="str">
        <f>IFERROR(__xludf.DUMMYFUNCTION("""COMPUTED_VALUE"""),"Krieger-Coble")</f>
        <v>Krieger-Coble</v>
      </c>
      <c r="E1199" t="str">
        <f>IFERROR(__xludf.DUMMYFUNCTION("""COMPUTED_VALUE"""),"Henry")</f>
        <v>Henry</v>
      </c>
      <c r="F1199">
        <f>IFERROR(__xludf.DUMMYFUNCTION("""COMPUTED_VALUE"""),9.15)</f>
        <v>9.15</v>
      </c>
    </row>
    <row r="1200">
      <c r="D1200" t="str">
        <f>IFERROR(__xludf.DUMMYFUNCTION("""COMPUTED_VALUE"""),"Kroft")</f>
        <v>Kroft</v>
      </c>
      <c r="E1200" t="str">
        <f>IFERROR(__xludf.DUMMYFUNCTION("""COMPUTED_VALUE"""),"Tyler")</f>
        <v>Tyler</v>
      </c>
      <c r="F1200">
        <f>IFERROR(__xludf.DUMMYFUNCTION("""COMPUTED_VALUE"""),10.65)</f>
        <v>10.65</v>
      </c>
    </row>
    <row r="1201">
      <c r="D1201" t="str">
        <f>IFERROR(__xludf.DUMMYFUNCTION("""COMPUTED_VALUE"""),"Kruger")</f>
        <v>Kruger</v>
      </c>
      <c r="E1201" t="str">
        <f>IFERROR(__xludf.DUMMYFUNCTION("""COMPUTED_VALUE"""),"Paul")</f>
        <v>Paul</v>
      </c>
      <c r="F1201">
        <f>IFERROR(__xludf.DUMMYFUNCTION("""COMPUTED_VALUE"""),12.75)</f>
        <v>12.75</v>
      </c>
    </row>
    <row r="1202">
      <c r="D1202" t="str">
        <f>IFERROR(__xludf.DUMMYFUNCTION("""COMPUTED_VALUE"""),"Kuder")</f>
        <v>Kuder</v>
      </c>
      <c r="E1202" t="str">
        <f>IFERROR(__xludf.DUMMYFUNCTION("""COMPUTED_VALUE"""),"Tyler")</f>
        <v>Tyler</v>
      </c>
      <c r="F1202">
        <f>IFERROR(__xludf.DUMMYFUNCTION("""COMPUTED_VALUE"""),8.7)</f>
        <v>8.7</v>
      </c>
    </row>
    <row r="1203">
      <c r="D1203" t="str">
        <f>IFERROR(__xludf.DUMMYFUNCTION("""COMPUTED_VALUE"""),"Kuechly")</f>
        <v>Kuechly</v>
      </c>
      <c r="E1203" t="str">
        <f>IFERROR(__xludf.DUMMYFUNCTION("""COMPUTED_VALUE"""),"Luke")</f>
        <v>Luke</v>
      </c>
      <c r="F1203">
        <f>IFERROR(__xludf.DUMMYFUNCTION("""COMPUTED_VALUE"""),14.85)</f>
        <v>14.85</v>
      </c>
    </row>
    <row r="1204">
      <c r="D1204" t="str">
        <f>IFERROR(__xludf.DUMMYFUNCTION("""COMPUTED_VALUE"""),"Kuhn")</f>
        <v>Kuhn</v>
      </c>
      <c r="E1204" t="str">
        <f>IFERROR(__xludf.DUMMYFUNCTION("""COMPUTED_VALUE"""),"Markus")</f>
        <v>Markus</v>
      </c>
      <c r="F1204">
        <f>IFERROR(__xludf.DUMMYFUNCTION("""COMPUTED_VALUE"""),10.049999999999999)</f>
        <v>10.05</v>
      </c>
    </row>
    <row r="1205">
      <c r="D1205" t="str">
        <f>IFERROR(__xludf.DUMMYFUNCTION("""COMPUTED_VALUE"""),"Kush")</f>
        <v>Kush</v>
      </c>
      <c r="E1205" t="str">
        <f>IFERROR(__xludf.DUMMYFUNCTION("""COMPUTED_VALUE"""),"Eric")</f>
        <v>Eric</v>
      </c>
      <c r="F1205">
        <f>IFERROR(__xludf.DUMMYFUNCTION("""COMPUTED_VALUE"""),9.9)</f>
        <v>9.9</v>
      </c>
    </row>
    <row r="1206">
      <c r="D1206" t="str">
        <f>IFERROR(__xludf.DUMMYFUNCTION("""COMPUTED_VALUE"""),"Kwiatkoski")</f>
        <v>Kwiatkoski</v>
      </c>
      <c r="E1206" t="str">
        <f>IFERROR(__xludf.DUMMYFUNCTION("""COMPUTED_VALUE"""),"Nick")</f>
        <v>Nick</v>
      </c>
      <c r="F1206">
        <f>IFERROR(__xludf.DUMMYFUNCTION("""COMPUTED_VALUE"""),9.6)</f>
        <v>9.6</v>
      </c>
    </row>
    <row r="1207">
      <c r="D1207" t="str">
        <f>IFERROR(__xludf.DUMMYFUNCTION("""COMPUTED_VALUE"""),"LaCosse")</f>
        <v>LaCosse</v>
      </c>
      <c r="E1207" t="str">
        <f>IFERROR(__xludf.DUMMYFUNCTION("""COMPUTED_VALUE"""),"Matt")</f>
        <v>Matt</v>
      </c>
      <c r="F1207">
        <f>IFERROR(__xludf.DUMMYFUNCTION("""COMPUTED_VALUE"""),9.75)</f>
        <v>9.75</v>
      </c>
    </row>
    <row r="1208">
      <c r="D1208" t="str">
        <f>IFERROR(__xludf.DUMMYFUNCTION("""COMPUTED_VALUE"""),"Lacy")</f>
        <v>Lacy</v>
      </c>
      <c r="E1208" t="str">
        <f>IFERROR(__xludf.DUMMYFUNCTION("""COMPUTED_VALUE"""),"Eddie")</f>
        <v>Eddie</v>
      </c>
      <c r="F1208">
        <f>IFERROR(__xludf.DUMMYFUNCTION("""COMPUTED_VALUE"""),12.45)</f>
        <v>12.45</v>
      </c>
    </row>
    <row r="1209">
      <c r="D1209" t="str">
        <f>IFERROR(__xludf.DUMMYFUNCTION("""COMPUTED_VALUE"""),"LaDouceur")</f>
        <v>LaDouceur</v>
      </c>
      <c r="E1209" t="str">
        <f>IFERROR(__xludf.DUMMYFUNCTION("""COMPUTED_VALUE"""),"LP")</f>
        <v>LP</v>
      </c>
      <c r="F1209">
        <f>IFERROR(__xludf.DUMMYFUNCTION("""COMPUTED_VALUE"""),7.199999999999999)</f>
        <v>7.2</v>
      </c>
    </row>
    <row r="1210">
      <c r="D1210" t="str">
        <f>IFERROR(__xludf.DUMMYFUNCTION("""COMPUTED_VALUE"""),"LaFell")</f>
        <v>LaFell</v>
      </c>
      <c r="E1210" t="str">
        <f>IFERROR(__xludf.DUMMYFUNCTION("""COMPUTED_VALUE"""),"Brandon")</f>
        <v>Brandon</v>
      </c>
      <c r="F1210">
        <f>IFERROR(__xludf.DUMMYFUNCTION("""COMPUTED_VALUE"""),11.549999999999999)</f>
        <v>11.55</v>
      </c>
    </row>
    <row r="1211">
      <c r="D1211" t="str">
        <f>IFERROR(__xludf.DUMMYFUNCTION("""COMPUTED_VALUE"""),"Lambo")</f>
        <v>Lambo</v>
      </c>
      <c r="E1211" t="str">
        <f>IFERROR(__xludf.DUMMYFUNCTION("""COMPUTED_VALUE"""),"Josh")</f>
        <v>Josh</v>
      </c>
      <c r="F1211">
        <f>IFERROR(__xludf.DUMMYFUNCTION("""COMPUTED_VALUE"""),11.4)</f>
        <v>11.4</v>
      </c>
    </row>
    <row r="1212">
      <c r="D1212" t="str">
        <f>IFERROR(__xludf.DUMMYFUNCTION("""COMPUTED_VALUE"""),"Lamm")</f>
        <v>Lamm</v>
      </c>
      <c r="E1212" t="str">
        <f>IFERROR(__xludf.DUMMYFUNCTION("""COMPUTED_VALUE"""),"Kendall")</f>
        <v>Kendall</v>
      </c>
      <c r="F1212">
        <f>IFERROR(__xludf.DUMMYFUNCTION("""COMPUTED_VALUE"""),9.9)</f>
        <v>9.9</v>
      </c>
    </row>
    <row r="1213">
      <c r="D1213" t="str">
        <f>IFERROR(__xludf.DUMMYFUNCTION("""COMPUTED_VALUE"""),"Lampman")</f>
        <v>Lampman</v>
      </c>
      <c r="E1213" t="str">
        <f>IFERROR(__xludf.DUMMYFUNCTION("""COMPUTED_VALUE"""),"Jake")</f>
        <v>Jake</v>
      </c>
      <c r="F1213">
        <f>IFERROR(__xludf.DUMMYFUNCTION("""COMPUTED_VALUE"""),9.15)</f>
        <v>9.15</v>
      </c>
    </row>
    <row r="1214">
      <c r="D1214" t="str">
        <f>IFERROR(__xludf.DUMMYFUNCTION("""COMPUTED_VALUE"""),"Lamur")</f>
        <v>Lamur</v>
      </c>
      <c r="E1214" t="str">
        <f>IFERROR(__xludf.DUMMYFUNCTION("""COMPUTED_VALUE"""),"Emmanuel")</f>
        <v>Emmanuel</v>
      </c>
      <c r="F1214">
        <f>IFERROR(__xludf.DUMMYFUNCTION("""COMPUTED_VALUE"""),10.799999999999999)</f>
        <v>10.8</v>
      </c>
    </row>
    <row r="1215">
      <c r="D1215" t="str">
        <f>IFERROR(__xludf.DUMMYFUNCTION("""COMPUTED_VALUE"""),"Landes")</f>
        <v>Landes</v>
      </c>
      <c r="E1215" t="str">
        <f>IFERROR(__xludf.DUMMYFUNCTION("""COMPUTED_VALUE"""),"Jimmy")</f>
        <v>Jimmy</v>
      </c>
      <c r="F1215">
        <f>IFERROR(__xludf.DUMMYFUNCTION("""COMPUTED_VALUE"""),6.8999999999999995)</f>
        <v>6.9</v>
      </c>
    </row>
    <row r="1216">
      <c r="D1216" t="str">
        <f>IFERROR(__xludf.DUMMYFUNCTION("""COMPUTED_VALUE"""),"Landrum")</f>
        <v>Landrum</v>
      </c>
      <c r="E1216" t="str">
        <f>IFERROR(__xludf.DUMMYFUNCTION("""COMPUTED_VALUE"""),"Chris")</f>
        <v>Chris</v>
      </c>
      <c r="F1216">
        <f>IFERROR(__xludf.DUMMYFUNCTION("""COMPUTED_VALUE"""),8.549999999999999)</f>
        <v>8.55</v>
      </c>
    </row>
    <row r="1217">
      <c r="D1217" t="str">
        <f>IFERROR(__xludf.DUMMYFUNCTION("""COMPUTED_VALUE"""),"Landry")</f>
        <v>Landry</v>
      </c>
      <c r="E1217" t="str">
        <f>IFERROR(__xludf.DUMMYFUNCTION("""COMPUTED_VALUE"""),"Jarvis")</f>
        <v>Jarvis</v>
      </c>
      <c r="F1217">
        <f>IFERROR(__xludf.DUMMYFUNCTION("""COMPUTED_VALUE"""),13.049999999999999)</f>
        <v>13.05</v>
      </c>
    </row>
    <row r="1218">
      <c r="D1218" t="str">
        <f>IFERROR(__xludf.DUMMYFUNCTION("""COMPUTED_VALUE"""),"Lane")</f>
        <v>Lane</v>
      </c>
      <c r="E1218" t="str">
        <f>IFERROR(__xludf.DUMMYFUNCTION("""COMPUTED_VALUE"""),"Jeremy")</f>
        <v>Jeremy</v>
      </c>
      <c r="F1218">
        <f>IFERROR(__xludf.DUMMYFUNCTION("""COMPUTED_VALUE"""),11.549999999999999)</f>
        <v>11.55</v>
      </c>
    </row>
    <row r="1219">
      <c r="D1219" t="str">
        <f>IFERROR(__xludf.DUMMYFUNCTION("""COMPUTED_VALUE"""),"Lang")</f>
        <v>Lang</v>
      </c>
      <c r="E1219" t="str">
        <f>IFERROR(__xludf.DUMMYFUNCTION("""COMPUTED_VALUE"""),"TJ")</f>
        <v>TJ</v>
      </c>
      <c r="F1219">
        <f>IFERROR(__xludf.DUMMYFUNCTION("""COMPUTED_VALUE"""),13.65)</f>
        <v>13.65</v>
      </c>
    </row>
    <row r="1220">
      <c r="D1220" t="str">
        <f>IFERROR(__xludf.DUMMYFUNCTION("""COMPUTED_VALUE"""),"Langford")</f>
        <v>Langford</v>
      </c>
      <c r="E1220" t="str">
        <f>IFERROR(__xludf.DUMMYFUNCTION("""COMPUTED_VALUE"""),"Jeremy")</f>
        <v>Jeremy</v>
      </c>
      <c r="F1220">
        <f>IFERROR(__xludf.DUMMYFUNCTION("""COMPUTED_VALUE"""),11.4)</f>
        <v>11.4</v>
      </c>
    </row>
    <row r="1221">
      <c r="D1221" t="str">
        <f>IFERROR(__xludf.DUMMYFUNCTION("""COMPUTED_VALUE"""),"Langford")</f>
        <v>Langford</v>
      </c>
      <c r="E1221" t="str">
        <f>IFERROR(__xludf.DUMMYFUNCTION("""COMPUTED_VALUE"""),"Kendall")</f>
        <v>Kendall</v>
      </c>
      <c r="F1221">
        <f>IFERROR(__xludf.DUMMYFUNCTION("""COMPUTED_VALUE"""),12.0)</f>
        <v>12</v>
      </c>
    </row>
    <row r="1222">
      <c r="D1222" t="str">
        <f>IFERROR(__xludf.DUMMYFUNCTION("""COMPUTED_VALUE"""),"LARey")</f>
        <v>LARey</v>
      </c>
      <c r="E1222" t="str">
        <f>IFERROR(__xludf.DUMMYFUNCTION("""COMPUTED_VALUE"""),"Jalen")</f>
        <v>Jalen</v>
      </c>
      <c r="F1222">
        <f>IFERROR(__xludf.DUMMYFUNCTION("""COMPUTED_VALUE"""),12.299999999999999)</f>
        <v>12.3</v>
      </c>
    </row>
    <row r="1223">
      <c r="D1223" t="str">
        <f>IFERROR(__xludf.DUMMYFUNCTION("""COMPUTED_VALUE"""),"Larsen")</f>
        <v>Larsen</v>
      </c>
      <c r="E1223" t="str">
        <f>IFERROR(__xludf.DUMMYFUNCTION("""COMPUTED_VALUE"""),"Ted")</f>
        <v>Ted</v>
      </c>
      <c r="F1223">
        <f>IFERROR(__xludf.DUMMYFUNCTION("""COMPUTED_VALUE"""),10.049999999999999)</f>
        <v>10.05</v>
      </c>
    </row>
    <row r="1224">
      <c r="D1224" t="str">
        <f>IFERROR(__xludf.DUMMYFUNCTION("""COMPUTED_VALUE"""),"Larsen")</f>
        <v>Larsen</v>
      </c>
      <c r="E1224" t="str">
        <f>IFERROR(__xludf.DUMMYFUNCTION("""COMPUTED_VALUE"""),"Tyler")</f>
        <v>Tyler</v>
      </c>
      <c r="F1224">
        <f>IFERROR(__xludf.DUMMYFUNCTION("""COMPUTED_VALUE"""),10.049999999999999)</f>
        <v>10.05</v>
      </c>
    </row>
    <row r="1225">
      <c r="D1225" t="str">
        <f>IFERROR(__xludf.DUMMYFUNCTION("""COMPUTED_VALUE"""),"Lasco")</f>
        <v>Lasco</v>
      </c>
      <c r="E1225" t="str">
        <f>IFERROR(__xludf.DUMMYFUNCTION("""COMPUTED_VALUE"""),"Daniel")</f>
        <v>Daniel</v>
      </c>
      <c r="F1225">
        <f>IFERROR(__xludf.DUMMYFUNCTION("""COMPUTED_VALUE"""),10.2)</f>
        <v>10.2</v>
      </c>
    </row>
    <row r="1226">
      <c r="D1226" t="str">
        <f>IFERROR(__xludf.DUMMYFUNCTION("""COMPUTED_VALUE"""),"Lasike")</f>
        <v>Lasike</v>
      </c>
      <c r="E1226" t="str">
        <f>IFERROR(__xludf.DUMMYFUNCTION("""COMPUTED_VALUE"""),"Paul")</f>
        <v>Paul</v>
      </c>
      <c r="F1226">
        <f>IFERROR(__xludf.DUMMYFUNCTION("""COMPUTED_VALUE"""),9.9)</f>
        <v>9.9</v>
      </c>
    </row>
    <row r="1227">
      <c r="D1227" t="str">
        <f>IFERROR(__xludf.DUMMYFUNCTION("""COMPUTED_VALUE"""),"Latham")</f>
        <v>Latham</v>
      </c>
      <c r="E1227" t="str">
        <f>IFERROR(__xludf.DUMMYFUNCTION("""COMPUTED_VALUE"""),"Darius")</f>
        <v>Darius</v>
      </c>
      <c r="F1227">
        <f>IFERROR(__xludf.DUMMYFUNCTION("""COMPUTED_VALUE"""),8.7)</f>
        <v>8.7</v>
      </c>
    </row>
    <row r="1228">
      <c r="D1228" t="str">
        <f>IFERROR(__xludf.DUMMYFUNCTION("""COMPUTED_VALUE"""),"Latimer")</f>
        <v>Latimer</v>
      </c>
      <c r="E1228" t="str">
        <f>IFERROR(__xludf.DUMMYFUNCTION("""COMPUTED_VALUE"""),"Cody")</f>
        <v>Cody</v>
      </c>
      <c r="F1228">
        <f>IFERROR(__xludf.DUMMYFUNCTION("""COMPUTED_VALUE"""),10.2)</f>
        <v>10.2</v>
      </c>
    </row>
    <row r="1229">
      <c r="D1229" t="str">
        <f>IFERROR(__xludf.DUMMYFUNCTION("""COMPUTED_VALUE"""),"Lattimore")</f>
        <v>Lattimore</v>
      </c>
      <c r="E1229" t="str">
        <f>IFERROR(__xludf.DUMMYFUNCTION("""COMPUTED_VALUE"""),"Jamari")</f>
        <v>Jamari</v>
      </c>
      <c r="F1229">
        <f>IFERROR(__xludf.DUMMYFUNCTION("""COMPUTED_VALUE"""),10.5)</f>
        <v>10.5</v>
      </c>
    </row>
    <row r="1230">
      <c r="D1230" t="str">
        <f>IFERROR(__xludf.DUMMYFUNCTION("""COMPUTED_VALUE"""),"Laurinaitis")</f>
        <v>Laurinaitis</v>
      </c>
      <c r="E1230" t="str">
        <f>IFERROR(__xludf.DUMMYFUNCTION("""COMPUTED_VALUE"""),"James")</f>
        <v>James</v>
      </c>
      <c r="F1230">
        <f>IFERROR(__xludf.DUMMYFUNCTION("""COMPUTED_VALUE"""),10.95)</f>
        <v>10.95</v>
      </c>
    </row>
    <row r="1231">
      <c r="D1231" t="str">
        <f>IFERROR(__xludf.DUMMYFUNCTION("""COMPUTED_VALUE"""),"Lauvao")</f>
        <v>Lauvao</v>
      </c>
      <c r="E1231" t="str">
        <f>IFERROR(__xludf.DUMMYFUNCTION("""COMPUTED_VALUE"""),"Shawn")</f>
        <v>Shawn</v>
      </c>
      <c r="F1231">
        <f>IFERROR(__xludf.DUMMYFUNCTION("""COMPUTED_VALUE"""),11.1)</f>
        <v>11.1</v>
      </c>
    </row>
    <row r="1232">
      <c r="D1232" t="str">
        <f>IFERROR(__xludf.DUMMYFUNCTION("""COMPUTED_VALUE"""),"Lawler")</f>
        <v>Lawler</v>
      </c>
      <c r="E1232" t="str">
        <f>IFERROR(__xludf.DUMMYFUNCTION("""COMPUTED_VALUE"""),"Kenny")</f>
        <v>Kenny</v>
      </c>
      <c r="F1232">
        <f>IFERROR(__xludf.DUMMYFUNCTION("""COMPUTED_VALUE"""),9.6)</f>
        <v>9.6</v>
      </c>
    </row>
    <row r="1233">
      <c r="D1233" t="str">
        <f>IFERROR(__xludf.DUMMYFUNCTION("""COMPUTED_VALUE"""),"Lawrence")</f>
        <v>Lawrence</v>
      </c>
      <c r="E1233" t="str">
        <f>IFERROR(__xludf.DUMMYFUNCTION("""COMPUTED_VALUE"""),"DeMarcus")</f>
        <v>DeMarcus</v>
      </c>
      <c r="F1233">
        <f>IFERROR(__xludf.DUMMYFUNCTION("""COMPUTED_VALUE"""),12.15)</f>
        <v>12.15</v>
      </c>
    </row>
    <row r="1234">
      <c r="D1234" t="str">
        <f>IFERROR(__xludf.DUMMYFUNCTION("""COMPUTED_VALUE"""),"Lawrence")</f>
        <v>Lawrence</v>
      </c>
      <c r="E1234" t="str">
        <f>IFERROR(__xludf.DUMMYFUNCTION("""COMPUTED_VALUE"""),"Rashad")</f>
        <v>Rashad</v>
      </c>
      <c r="F1234">
        <f>IFERROR(__xludf.DUMMYFUNCTION("""COMPUTED_VALUE"""),8.85)</f>
        <v>8.85</v>
      </c>
    </row>
    <row r="1235">
      <c r="D1235" t="str">
        <f>IFERROR(__xludf.DUMMYFUNCTION("""COMPUTED_VALUE"""),"Lawson")</f>
        <v>Lawson</v>
      </c>
      <c r="E1235" t="str">
        <f>IFERROR(__xludf.DUMMYFUNCTION("""COMPUTED_VALUE"""),"Manny")</f>
        <v>Manny</v>
      </c>
      <c r="F1235">
        <f>IFERROR(__xludf.DUMMYFUNCTION("""COMPUTED_VALUE"""),10.65)</f>
        <v>10.65</v>
      </c>
    </row>
    <row r="1236">
      <c r="D1236" t="str">
        <f>IFERROR(__xludf.DUMMYFUNCTION("""COMPUTED_VALUE"""),"Lawson")</f>
        <v>Lawson</v>
      </c>
      <c r="E1236" t="str">
        <f>IFERROR(__xludf.DUMMYFUNCTION("""COMPUTED_VALUE"""),"Nevin")</f>
        <v>Nevin</v>
      </c>
      <c r="F1236">
        <f>IFERROR(__xludf.DUMMYFUNCTION("""COMPUTED_VALUE"""),10.5)</f>
        <v>10.5</v>
      </c>
    </row>
    <row r="1237">
      <c r="D1237" t="str">
        <f>IFERROR(__xludf.DUMMYFUNCTION("""COMPUTED_VALUE"""),"Lawson")</f>
        <v>Lawson</v>
      </c>
      <c r="E1237" t="str">
        <f>IFERROR(__xludf.DUMMYFUNCTION("""COMPUTED_VALUE"""),"Shaq")</f>
        <v>Shaq</v>
      </c>
      <c r="F1237">
        <f>IFERROR(__xludf.DUMMYFUNCTION("""COMPUTED_VALUE"""),11.25)</f>
        <v>11.25</v>
      </c>
    </row>
    <row r="1238">
      <c r="D1238" t="str">
        <f>IFERROR(__xludf.DUMMYFUNCTION("""COMPUTED_VALUE"""),"Leary")</f>
        <v>Leary</v>
      </c>
      <c r="E1238" t="str">
        <f>IFERROR(__xludf.DUMMYFUNCTION("""COMPUTED_VALUE"""),"Ronald")</f>
        <v>Ronald</v>
      </c>
      <c r="F1238">
        <f>IFERROR(__xludf.DUMMYFUNCTION("""COMPUTED_VALUE"""),11.25)</f>
        <v>11.25</v>
      </c>
    </row>
    <row r="1239">
      <c r="D1239" t="str">
        <f>IFERROR(__xludf.DUMMYFUNCTION("""COMPUTED_VALUE"""),"Lechler")</f>
        <v>Lechler</v>
      </c>
      <c r="E1239" t="str">
        <f>IFERROR(__xludf.DUMMYFUNCTION("""COMPUTED_VALUE"""),"Shane")</f>
        <v>Shane</v>
      </c>
      <c r="F1239">
        <f>IFERROR(__xludf.DUMMYFUNCTION("""COMPUTED_VALUE"""),11.549999999999999)</f>
        <v>11.55</v>
      </c>
    </row>
    <row r="1240">
      <c r="D1240" t="str">
        <f>IFERROR(__xludf.DUMMYFUNCTION("""COMPUTED_VALUE"""),"Lee")</f>
        <v>Lee</v>
      </c>
      <c r="E1240" t="str">
        <f>IFERROR(__xludf.DUMMYFUNCTION("""COMPUTED_VALUE"""),"Andy")</f>
        <v>Andy</v>
      </c>
      <c r="F1240">
        <f>IFERROR(__xludf.DUMMYFUNCTION("""COMPUTED_VALUE"""),12.0)</f>
        <v>12</v>
      </c>
    </row>
    <row r="1241">
      <c r="D1241" t="str">
        <f>IFERROR(__xludf.DUMMYFUNCTION("""COMPUTED_VALUE"""),"Lee")</f>
        <v>Lee</v>
      </c>
      <c r="E1241" t="str">
        <f>IFERROR(__xludf.DUMMYFUNCTION("""COMPUTED_VALUE"""),"Darron")</f>
        <v>Darron</v>
      </c>
      <c r="F1241">
        <f>IFERROR(__xludf.DUMMYFUNCTION("""COMPUTED_VALUE"""),10.95)</f>
        <v>10.95</v>
      </c>
    </row>
    <row r="1242">
      <c r="D1242" t="str">
        <f>IFERROR(__xludf.DUMMYFUNCTION("""COMPUTED_VALUE"""),"Lee")</f>
        <v>Lee</v>
      </c>
      <c r="E1242" t="str">
        <f>IFERROR(__xludf.DUMMYFUNCTION("""COMPUTED_VALUE"""),"Dillon")</f>
        <v>Dillon</v>
      </c>
      <c r="F1242">
        <f>IFERROR(__xludf.DUMMYFUNCTION("""COMPUTED_VALUE"""),8.549999999999999)</f>
        <v>8.55</v>
      </c>
    </row>
    <row r="1243">
      <c r="D1243" t="str">
        <f>IFERROR(__xludf.DUMMYFUNCTION("""COMPUTED_VALUE"""),"Lee")</f>
        <v>Lee</v>
      </c>
      <c r="E1243" t="str">
        <f>IFERROR(__xludf.DUMMYFUNCTION("""COMPUTED_VALUE"""),"Jay")</f>
        <v>Jay</v>
      </c>
      <c r="F1243">
        <f>IFERROR(__xludf.DUMMYFUNCTION("""COMPUTED_VALUE"""),9.0)</f>
        <v>9</v>
      </c>
    </row>
    <row r="1244">
      <c r="D1244" t="str">
        <f>IFERROR(__xludf.DUMMYFUNCTION("""COMPUTED_VALUE"""),"Lee")</f>
        <v>Lee</v>
      </c>
      <c r="E1244" t="str">
        <f>IFERROR(__xludf.DUMMYFUNCTION("""COMPUTED_VALUE"""),"Khari")</f>
        <v>Khari</v>
      </c>
      <c r="F1244">
        <f>IFERROR(__xludf.DUMMYFUNCTION("""COMPUTED_VALUE"""),10.049999999999999)</f>
        <v>10.05</v>
      </c>
    </row>
    <row r="1245">
      <c r="D1245" t="str">
        <f>IFERROR(__xludf.DUMMYFUNCTION("""COMPUTED_VALUE"""),"Lee")</f>
        <v>Lee</v>
      </c>
      <c r="E1245" t="str">
        <f>IFERROR(__xludf.DUMMYFUNCTION("""COMPUTED_VALUE"""),"Marqise")</f>
        <v>Marqise</v>
      </c>
      <c r="F1245">
        <f>IFERROR(__xludf.DUMMYFUNCTION("""COMPUTED_VALUE"""),10.65)</f>
        <v>10.65</v>
      </c>
    </row>
    <row r="1246">
      <c r="D1246" t="str">
        <f>IFERROR(__xludf.DUMMYFUNCTION("""COMPUTED_VALUE"""),"Lee")</f>
        <v>Lee</v>
      </c>
      <c r="E1246" t="str">
        <f>IFERROR(__xludf.DUMMYFUNCTION("""COMPUTED_VALUE"""),"Sean")</f>
        <v>Sean</v>
      </c>
      <c r="F1246">
        <f>IFERROR(__xludf.DUMMYFUNCTION("""COMPUTED_VALUE"""),13.35)</f>
        <v>13.35</v>
      </c>
    </row>
    <row r="1247">
      <c r="D1247" t="str">
        <f>IFERROR(__xludf.DUMMYFUNCTION("""COMPUTED_VALUE"""),"LeFevour")</f>
        <v>LeFevour</v>
      </c>
      <c r="E1247" t="str">
        <f>IFERROR(__xludf.DUMMYFUNCTION("""COMPUTED_VALUE"""),"Dan")</f>
        <v>Dan</v>
      </c>
      <c r="F1247">
        <f>IFERROR(__xludf.DUMMYFUNCTION("""COMPUTED_VALUE"""),9.0)</f>
        <v>9</v>
      </c>
    </row>
    <row r="1248">
      <c r="D1248" t="str">
        <f>IFERROR(__xludf.DUMMYFUNCTION("""COMPUTED_VALUE"""),"Lelito")</f>
        <v>Lelito</v>
      </c>
      <c r="E1248" t="str">
        <f>IFERROR(__xludf.DUMMYFUNCTION("""COMPUTED_VALUE"""),"Tim")</f>
        <v>Tim</v>
      </c>
      <c r="F1248">
        <f>IFERROR(__xludf.DUMMYFUNCTION("""COMPUTED_VALUE"""),11.549999999999999)</f>
        <v>11.55</v>
      </c>
    </row>
    <row r="1249">
      <c r="D1249" t="str">
        <f>IFERROR(__xludf.DUMMYFUNCTION("""COMPUTED_VALUE"""),"Lemonier")</f>
        <v>Lemonier</v>
      </c>
      <c r="E1249" t="str">
        <f>IFERROR(__xludf.DUMMYFUNCTION("""COMPUTED_VALUE"""),"Corey")</f>
        <v>Corey</v>
      </c>
      <c r="F1249">
        <f>IFERROR(__xludf.DUMMYFUNCTION("""COMPUTED_VALUE"""),9.9)</f>
        <v>9.9</v>
      </c>
    </row>
    <row r="1250">
      <c r="D1250" t="str">
        <f>IFERROR(__xludf.DUMMYFUNCTION("""COMPUTED_VALUE"""),"Leno Jr.")</f>
        <v>Leno Jr.</v>
      </c>
      <c r="E1250" t="str">
        <f>IFERROR(__xludf.DUMMYFUNCTION("""COMPUTED_VALUE"""),"Charles")</f>
        <v>Charles</v>
      </c>
      <c r="F1250">
        <f>IFERROR(__xludf.DUMMYFUNCTION("""COMPUTED_VALUE"""),10.2)</f>
        <v>10.2</v>
      </c>
    </row>
    <row r="1251">
      <c r="D1251" t="str">
        <f>IFERROR(__xludf.DUMMYFUNCTION("""COMPUTED_VALUE"""),"Lenz")</f>
        <v>Lenz</v>
      </c>
      <c r="E1251" t="str">
        <f>IFERROR(__xludf.DUMMYFUNCTION("""COMPUTED_VALUE"""),"Josh")</f>
        <v>Josh</v>
      </c>
      <c r="F1251">
        <f>IFERROR(__xludf.DUMMYFUNCTION("""COMPUTED_VALUE"""),8.7)</f>
        <v>8.7</v>
      </c>
    </row>
    <row r="1252">
      <c r="D1252" t="str">
        <f>IFERROR(__xludf.DUMMYFUNCTION("""COMPUTED_VALUE"""),"Leonhardt")</f>
        <v>Leonhardt</v>
      </c>
      <c r="E1252" t="str">
        <f>IFERROR(__xludf.DUMMYFUNCTION("""COMPUTED_VALUE"""),"Brian")</f>
        <v>Brian</v>
      </c>
      <c r="F1252">
        <f>IFERROR(__xludf.DUMMYFUNCTION("""COMPUTED_VALUE"""),9.9)</f>
        <v>9.9</v>
      </c>
    </row>
    <row r="1253">
      <c r="D1253" t="str">
        <f>IFERROR(__xludf.DUMMYFUNCTION("""COMPUTED_VALUE"""),"LeRibeus")</f>
        <v>LeRibeus</v>
      </c>
      <c r="E1253" t="str">
        <f>IFERROR(__xludf.DUMMYFUNCTION("""COMPUTED_VALUE"""),"Josh")</f>
        <v>Josh</v>
      </c>
      <c r="F1253">
        <f>IFERROR(__xludf.DUMMYFUNCTION("""COMPUTED_VALUE"""),10.049999999999999)</f>
        <v>10.05</v>
      </c>
    </row>
    <row r="1254">
      <c r="D1254" t="str">
        <f>IFERROR(__xludf.DUMMYFUNCTION("""COMPUTED_VALUE"""),"Levine Sr.")</f>
        <v>Levine Sr.</v>
      </c>
      <c r="E1254" t="str">
        <f>IFERROR(__xludf.DUMMYFUNCTION("""COMPUTED_VALUE"""),"Anthony")</f>
        <v>Anthony</v>
      </c>
      <c r="F1254">
        <f>IFERROR(__xludf.DUMMYFUNCTION("""COMPUTED_VALUE"""),10.65)</f>
        <v>10.65</v>
      </c>
    </row>
    <row r="1255">
      <c r="D1255" t="str">
        <f>IFERROR(__xludf.DUMMYFUNCTION("""COMPUTED_VALUE"""),"Levitre")</f>
        <v>Levitre</v>
      </c>
      <c r="E1255" t="str">
        <f>IFERROR(__xludf.DUMMYFUNCTION("""COMPUTED_VALUE"""),"Andy")</f>
        <v>Andy</v>
      </c>
      <c r="F1255">
        <f>IFERROR(__xludf.DUMMYFUNCTION("""COMPUTED_VALUE"""),12.0)</f>
        <v>12</v>
      </c>
    </row>
    <row r="1256">
      <c r="D1256" t="str">
        <f>IFERROR(__xludf.DUMMYFUNCTION("""COMPUTED_VALUE"""),"Levy")</f>
        <v>Levy</v>
      </c>
      <c r="E1256" t="str">
        <f>IFERROR(__xludf.DUMMYFUNCTION("""COMPUTED_VALUE"""),"DeAndre")</f>
        <v>DeAndre</v>
      </c>
      <c r="F1256">
        <f>IFERROR(__xludf.DUMMYFUNCTION("""COMPUTED_VALUE"""),13.049999999999999)</f>
        <v>13.05</v>
      </c>
    </row>
    <row r="1257">
      <c r="D1257" t="str">
        <f>IFERROR(__xludf.DUMMYFUNCTION("""COMPUTED_VALUE"""),"Lewan")</f>
        <v>Lewan</v>
      </c>
      <c r="E1257" t="str">
        <f>IFERROR(__xludf.DUMMYFUNCTION("""COMPUTED_VALUE"""),"Taylor")</f>
        <v>Taylor</v>
      </c>
      <c r="F1257">
        <f>IFERROR(__xludf.DUMMYFUNCTION("""COMPUTED_VALUE"""),12.45)</f>
        <v>12.45</v>
      </c>
    </row>
    <row r="1258">
      <c r="D1258" t="str">
        <f>IFERROR(__xludf.DUMMYFUNCTION("""COMPUTED_VALUE"""),"Lewis")</f>
        <v>Lewis</v>
      </c>
      <c r="E1258" t="str">
        <f>IFERROR(__xludf.DUMMYFUNCTION("""COMPUTED_VALUE"""),"Alex")</f>
        <v>Alex</v>
      </c>
      <c r="F1258">
        <f>IFERROR(__xludf.DUMMYFUNCTION("""COMPUTED_VALUE"""),10.35)</f>
        <v>10.35</v>
      </c>
    </row>
    <row r="1259">
      <c r="D1259" t="str">
        <f>IFERROR(__xludf.DUMMYFUNCTION("""COMPUTED_VALUE"""),"Lewis")</f>
        <v>Lewis</v>
      </c>
      <c r="E1259" t="str">
        <f>IFERROR(__xludf.DUMMYFUNCTION("""COMPUTED_VALUE"""),"Dion")</f>
        <v>Dion</v>
      </c>
      <c r="F1259">
        <f>IFERROR(__xludf.DUMMYFUNCTION("""COMPUTED_VALUE"""),12.0)</f>
        <v>12</v>
      </c>
    </row>
    <row r="1260">
      <c r="D1260" t="str">
        <f>IFERROR(__xludf.DUMMYFUNCTION("""COMPUTED_VALUE"""),"Lewis")</f>
        <v>Lewis</v>
      </c>
      <c r="E1260" t="str">
        <f>IFERROR(__xludf.DUMMYFUNCTION("""COMPUTED_VALUE"""),"Keenan")</f>
        <v>Keenan</v>
      </c>
      <c r="F1260">
        <f>IFERROR(__xludf.DUMMYFUNCTION("""COMPUTED_VALUE"""),11.25)</f>
        <v>11.25</v>
      </c>
    </row>
    <row r="1261">
      <c r="D1261" t="str">
        <f>IFERROR(__xludf.DUMMYFUNCTION("""COMPUTED_VALUE"""),"Lewis")</f>
        <v>Lewis</v>
      </c>
      <c r="E1261" t="str">
        <f>IFERROR(__xludf.DUMMYFUNCTION("""COMPUTED_VALUE"""),"Kendrick")</f>
        <v>Kendrick</v>
      </c>
      <c r="F1261">
        <f>IFERROR(__xludf.DUMMYFUNCTION("""COMPUTED_VALUE"""),11.85)</f>
        <v>11.85</v>
      </c>
    </row>
    <row r="1262">
      <c r="D1262" t="str">
        <f>IFERROR(__xludf.DUMMYFUNCTION("""COMPUTED_VALUE"""),"Lewis")</f>
        <v>Lewis</v>
      </c>
      <c r="E1262" t="str">
        <f>IFERROR(__xludf.DUMMYFUNCTION("""COMPUTED_VALUE"""),"Marcedes")</f>
        <v>Marcedes</v>
      </c>
      <c r="F1262">
        <f>IFERROR(__xludf.DUMMYFUNCTION("""COMPUTED_VALUE"""),11.4)</f>
        <v>11.4</v>
      </c>
    </row>
    <row r="1263">
      <c r="D1263" t="str">
        <f>IFERROR(__xludf.DUMMYFUNCTION("""COMPUTED_VALUE"""),"Lewis")</f>
        <v>Lewis</v>
      </c>
      <c r="E1263" t="str">
        <f>IFERROR(__xludf.DUMMYFUNCTION("""COMPUTED_VALUE"""),"Patrick")</f>
        <v>Patrick</v>
      </c>
      <c r="F1263">
        <f>IFERROR(__xludf.DUMMYFUNCTION("""COMPUTED_VALUE"""),10.5)</f>
        <v>10.5</v>
      </c>
    </row>
    <row r="1264">
      <c r="D1264" t="str">
        <f>IFERROR(__xludf.DUMMYFUNCTION("""COMPUTED_VALUE"""),"Lewis")</f>
        <v>Lewis</v>
      </c>
      <c r="E1264" t="str">
        <f>IFERROR(__xludf.DUMMYFUNCTION("""COMPUTED_VALUE"""),"Roger")</f>
        <v>Roger</v>
      </c>
      <c r="F1264">
        <f>IFERROR(__xludf.DUMMYFUNCTION("""COMPUTED_VALUE"""),9.299999999999999)</f>
        <v>9.3</v>
      </c>
    </row>
    <row r="1265">
      <c r="D1265" t="str">
        <f>IFERROR(__xludf.DUMMYFUNCTION("""COMPUTED_VALUE"""),"Lewis")</f>
        <v>Lewis</v>
      </c>
      <c r="E1265" t="str">
        <f>IFERROR(__xludf.DUMMYFUNCTION("""COMPUTED_VALUE"""),"Thad")</f>
        <v>Thad</v>
      </c>
      <c r="F1265">
        <f>IFERROR(__xludf.DUMMYFUNCTION("""COMPUTED_VALUE"""),9.75)</f>
        <v>9.75</v>
      </c>
    </row>
    <row r="1266">
      <c r="D1266" t="str">
        <f>IFERROR(__xludf.DUMMYFUNCTION("""COMPUTED_VALUE"""),"Lewis-Harris")</f>
        <v>Lewis-Harris</v>
      </c>
      <c r="E1266" t="str">
        <f>IFERROR(__xludf.DUMMYFUNCTION("""COMPUTED_VALUE"""),"Chris")</f>
        <v>Chris</v>
      </c>
      <c r="F1266">
        <f>IFERROR(__xludf.DUMMYFUNCTION("""COMPUTED_VALUE"""),10.049999999999999)</f>
        <v>10.05</v>
      </c>
    </row>
    <row r="1267">
      <c r="D1267" t="str">
        <f>IFERROR(__xludf.DUMMYFUNCTION("""COMPUTED_VALUE"""),"Lewis-Moore")</f>
        <v>Lewis-Moore</v>
      </c>
      <c r="E1267" t="str">
        <f>IFERROR(__xludf.DUMMYFUNCTION("""COMPUTED_VALUE"""),"Kapron")</f>
        <v>Kapron</v>
      </c>
      <c r="F1267">
        <f>IFERROR(__xludf.DUMMYFUNCTION("""COMPUTED_VALUE"""),9.0)</f>
        <v>9</v>
      </c>
    </row>
    <row r="1268">
      <c r="D1268" t="str">
        <f>IFERROR(__xludf.DUMMYFUNCTION("""COMPUTED_VALUE"""),"Licata")</f>
        <v>Licata</v>
      </c>
      <c r="E1268" t="str">
        <f>IFERROR(__xludf.DUMMYFUNCTION("""COMPUTED_VALUE"""),"Joe")</f>
        <v>Joe</v>
      </c>
      <c r="F1268">
        <f>IFERROR(__xludf.DUMMYFUNCTION("""COMPUTED_VALUE"""),9.15)</f>
        <v>9.15</v>
      </c>
    </row>
    <row r="1269">
      <c r="D1269" t="str">
        <f>IFERROR(__xludf.DUMMYFUNCTION("""COMPUTED_VALUE"""),"Lichtensteiger")</f>
        <v>Lichtensteiger</v>
      </c>
      <c r="E1269" t="str">
        <f>IFERROR(__xludf.DUMMYFUNCTION("""COMPUTED_VALUE"""),"Kory")</f>
        <v>Kory</v>
      </c>
      <c r="F1269">
        <f>IFERROR(__xludf.DUMMYFUNCTION("""COMPUTED_VALUE"""),10.65)</f>
        <v>10.65</v>
      </c>
    </row>
    <row r="1270">
      <c r="D1270" t="str">
        <f>IFERROR(__xludf.DUMMYFUNCTION("""COMPUTED_VALUE"""),"Linder")</f>
        <v>Linder</v>
      </c>
      <c r="E1270" t="str">
        <f>IFERROR(__xludf.DUMMYFUNCTION("""COMPUTED_VALUE"""),"Brandon")</f>
        <v>Brandon</v>
      </c>
      <c r="F1270">
        <f>IFERROR(__xludf.DUMMYFUNCTION("""COMPUTED_VALUE"""),11.549999999999999)</f>
        <v>11.55</v>
      </c>
    </row>
    <row r="1271">
      <c r="D1271" t="str">
        <f>IFERROR(__xludf.DUMMYFUNCTION("""COMPUTED_VALUE"""),"Line")</f>
        <v>Line</v>
      </c>
      <c r="E1271" t="str">
        <f>IFERROR(__xludf.DUMMYFUNCTION("""COMPUTED_VALUE"""),"Zach")</f>
        <v>Zach</v>
      </c>
      <c r="F1271">
        <f>IFERROR(__xludf.DUMMYFUNCTION("""COMPUTED_VALUE"""),10.799999999999999)</f>
        <v>10.8</v>
      </c>
    </row>
    <row r="1272">
      <c r="D1272" t="str">
        <f>IFERROR(__xludf.DUMMYFUNCTION("""COMPUTED_VALUE"""),"Linkenbach")</f>
        <v>Linkenbach</v>
      </c>
      <c r="E1272" t="str">
        <f>IFERROR(__xludf.DUMMYFUNCTION("""COMPUTED_VALUE"""),"Jeff")</f>
        <v>Jeff</v>
      </c>
      <c r="F1272">
        <f>IFERROR(__xludf.DUMMYFUNCTION("""COMPUTED_VALUE"""),10.799999999999999)</f>
        <v>10.8</v>
      </c>
    </row>
    <row r="1273">
      <c r="D1273" t="str">
        <f>IFERROR(__xludf.DUMMYFUNCTION("""COMPUTED_VALUE"""),"Linsley")</f>
        <v>Linsley</v>
      </c>
      <c r="E1273" t="str">
        <f>IFERROR(__xludf.DUMMYFUNCTION("""COMPUTED_VALUE"""),"Corey")</f>
        <v>Corey</v>
      </c>
      <c r="F1273">
        <f>IFERROR(__xludf.DUMMYFUNCTION("""COMPUTED_VALUE"""),12.0)</f>
        <v>12</v>
      </c>
    </row>
    <row r="1274">
      <c r="D1274" t="str">
        <f>IFERROR(__xludf.DUMMYFUNCTION("""COMPUTED_VALUE"""),"Lippett")</f>
        <v>Lippett</v>
      </c>
      <c r="E1274" t="str">
        <f>IFERROR(__xludf.DUMMYFUNCTION("""COMPUTED_VALUE"""),"Tony")</f>
        <v>Tony</v>
      </c>
      <c r="F1274">
        <f>IFERROR(__xludf.DUMMYFUNCTION("""COMPUTED_VALUE"""),9.75)</f>
        <v>9.75</v>
      </c>
    </row>
    <row r="1275">
      <c r="D1275" t="str">
        <f>IFERROR(__xludf.DUMMYFUNCTION("""COMPUTED_VALUE"""),"Lissemore")</f>
        <v>Lissemore</v>
      </c>
      <c r="E1275" t="str">
        <f>IFERROR(__xludf.DUMMYFUNCTION("""COMPUTED_VALUE"""),"Sean")</f>
        <v>Sean</v>
      </c>
      <c r="F1275">
        <f>IFERROR(__xludf.DUMMYFUNCTION("""COMPUTED_VALUE"""),10.799999999999999)</f>
        <v>10.8</v>
      </c>
    </row>
    <row r="1276">
      <c r="D1276" t="str">
        <f>IFERROR(__xludf.DUMMYFUNCTION("""COMPUTED_VALUE"""),"Listenbee")</f>
        <v>Listenbee</v>
      </c>
      <c r="E1276" t="str">
        <f>IFERROR(__xludf.DUMMYFUNCTION("""COMPUTED_VALUE"""),"Kolby")</f>
        <v>Kolby</v>
      </c>
      <c r="F1276">
        <f>IFERROR(__xludf.DUMMYFUNCTION("""COMPUTED_VALUE"""),9.9)</f>
        <v>9.9</v>
      </c>
    </row>
    <row r="1277">
      <c r="D1277" t="str">
        <f>IFERROR(__xludf.DUMMYFUNCTION("""COMPUTED_VALUE"""),"Little")</f>
        <v>Little</v>
      </c>
      <c r="E1277" t="str">
        <f>IFERROR(__xludf.DUMMYFUNCTION("""COMPUTED_VALUE"""),"Greg")</f>
        <v>Greg</v>
      </c>
      <c r="F1277">
        <f>IFERROR(__xludf.DUMMYFUNCTION("""COMPUTED_VALUE"""),10.2)</f>
        <v>10.2</v>
      </c>
    </row>
    <row r="1278">
      <c r="D1278" t="str">
        <f>IFERROR(__xludf.DUMMYFUNCTION("""COMPUTED_VALUE"""),"Liuget")</f>
        <v>Liuget</v>
      </c>
      <c r="E1278" t="str">
        <f>IFERROR(__xludf.DUMMYFUNCTION("""COMPUTED_VALUE"""),"Corey")</f>
        <v>Corey</v>
      </c>
      <c r="F1278">
        <f>IFERROR(__xludf.DUMMYFUNCTION("""COMPUTED_VALUE"""),12.0)</f>
        <v>12</v>
      </c>
    </row>
    <row r="1279">
      <c r="D1279" t="str">
        <f>IFERROR(__xludf.DUMMYFUNCTION("""COMPUTED_VALUE"""),"Locke")</f>
        <v>Locke</v>
      </c>
      <c r="E1279" t="str">
        <f>IFERROR(__xludf.DUMMYFUNCTION("""COMPUTED_VALUE"""),"Jeff")</f>
        <v>Jeff</v>
      </c>
      <c r="F1279">
        <f>IFERROR(__xludf.DUMMYFUNCTION("""COMPUTED_VALUE"""),11.1)</f>
        <v>11.1</v>
      </c>
    </row>
    <row r="1280">
      <c r="D1280" t="str">
        <f>IFERROR(__xludf.DUMMYFUNCTION("""COMPUTED_VALUE"""),"Lockett")</f>
        <v>Lockett</v>
      </c>
      <c r="E1280" t="str">
        <f>IFERROR(__xludf.DUMMYFUNCTION("""COMPUTED_VALUE"""),"Tyler")</f>
        <v>Tyler</v>
      </c>
      <c r="F1280">
        <f>IFERROR(__xludf.DUMMYFUNCTION("""COMPUTED_VALUE"""),12.0)</f>
        <v>12</v>
      </c>
    </row>
    <row r="1281">
      <c r="D1281" t="str">
        <f>IFERROR(__xludf.DUMMYFUNCTION("""COMPUTED_VALUE"""),"Logan")</f>
        <v>Logan</v>
      </c>
      <c r="E1281" t="str">
        <f>IFERROR(__xludf.DUMMYFUNCTION("""COMPUTED_VALUE"""),"Bennie")</f>
        <v>Bennie</v>
      </c>
      <c r="F1281">
        <f>IFERROR(__xludf.DUMMYFUNCTION("""COMPUTED_VALUE"""),11.7)</f>
        <v>11.7</v>
      </c>
    </row>
    <row r="1282">
      <c r="D1282" t="str">
        <f>IFERROR(__xludf.DUMMYFUNCTION("""COMPUTED_VALUE"""),"Lomax")</f>
        <v>Lomax</v>
      </c>
      <c r="E1282" t="str">
        <f>IFERROR(__xludf.DUMMYFUNCTION("""COMPUTED_VALUE"""),"Jordan")</f>
        <v>Jordan</v>
      </c>
      <c r="F1282">
        <f>IFERROR(__xludf.DUMMYFUNCTION("""COMPUTED_VALUE"""),9.0)</f>
        <v>9</v>
      </c>
    </row>
    <row r="1283">
      <c r="D1283" t="str">
        <f>IFERROR(__xludf.DUMMYFUNCTION("""COMPUTED_VALUE"""),"Long")</f>
        <v>Long</v>
      </c>
      <c r="E1283" t="str">
        <f>IFERROR(__xludf.DUMMYFUNCTION("""COMPUTED_VALUE"""),"Chris")</f>
        <v>Chris</v>
      </c>
      <c r="F1283">
        <f>IFERROR(__xludf.DUMMYFUNCTION("""COMPUTED_VALUE"""),11.549999999999999)</f>
        <v>11.55</v>
      </c>
    </row>
    <row r="1284">
      <c r="D1284" t="str">
        <f>IFERROR(__xludf.DUMMYFUNCTION("""COMPUTED_VALUE"""),"Long")</f>
        <v>Long</v>
      </c>
      <c r="E1284" t="str">
        <f>IFERROR(__xludf.DUMMYFUNCTION("""COMPUTED_VALUE"""),"Deon")</f>
        <v>Deon</v>
      </c>
      <c r="F1284">
        <f>IFERROR(__xludf.DUMMYFUNCTION("""COMPUTED_VALUE"""),9.6)</f>
        <v>9.6</v>
      </c>
    </row>
    <row r="1285">
      <c r="D1285" t="str">
        <f>IFERROR(__xludf.DUMMYFUNCTION("""COMPUTED_VALUE"""),"Long")</f>
        <v>Long</v>
      </c>
      <c r="E1285" t="str">
        <f>IFERROR(__xludf.DUMMYFUNCTION("""COMPUTED_VALUE"""),"Kyle")</f>
        <v>Kyle</v>
      </c>
      <c r="F1285">
        <f>IFERROR(__xludf.DUMMYFUNCTION("""COMPUTED_VALUE"""),11.85)</f>
        <v>11.85</v>
      </c>
    </row>
    <row r="1286">
      <c r="D1286" t="str">
        <f>IFERROR(__xludf.DUMMYFUNCTION("""COMPUTED_VALUE"""),"Long")</f>
        <v>Long</v>
      </c>
      <c r="E1286" t="str">
        <f>IFERROR(__xludf.DUMMYFUNCTION("""COMPUTED_VALUE"""),"Spencer")</f>
        <v>Spencer</v>
      </c>
      <c r="F1286">
        <f>IFERROR(__xludf.DUMMYFUNCTION("""COMPUTED_VALUE"""),10.799999999999999)</f>
        <v>10.8</v>
      </c>
    </row>
    <row r="1287">
      <c r="D1287" t="str">
        <f>IFERROR(__xludf.DUMMYFUNCTION("""COMPUTED_VALUE"""),"Longa")</f>
        <v>Longa</v>
      </c>
      <c r="E1287" t="str">
        <f>IFERROR(__xludf.DUMMYFUNCTION("""COMPUTED_VALUE"""),"Steve")</f>
        <v>Steve</v>
      </c>
      <c r="F1287">
        <f>IFERROR(__xludf.DUMMYFUNCTION("""COMPUTED_VALUE"""),8.7)</f>
        <v>8.7</v>
      </c>
    </row>
    <row r="1288">
      <c r="D1288" t="str">
        <f>IFERROR(__xludf.DUMMYFUNCTION("""COMPUTED_VALUE"""),"Longacre")</f>
        <v>Longacre</v>
      </c>
      <c r="E1288" t="str">
        <f>IFERROR(__xludf.DUMMYFUNCTION("""COMPUTED_VALUE"""),"Matt")</f>
        <v>Matt</v>
      </c>
      <c r="F1288">
        <f>IFERROR(__xludf.DUMMYFUNCTION("""COMPUTED_VALUE"""),9.45)</f>
        <v>9.45</v>
      </c>
    </row>
    <row r="1289">
      <c r="D1289" t="str">
        <f>IFERROR(__xludf.DUMMYFUNCTION("""COMPUTED_VALUE"""),"Looney")</f>
        <v>Looney</v>
      </c>
      <c r="E1289" t="str">
        <f>IFERROR(__xludf.DUMMYFUNCTION("""COMPUTED_VALUE"""),"Joe")</f>
        <v>Joe</v>
      </c>
      <c r="F1289">
        <f>IFERROR(__xludf.DUMMYFUNCTION("""COMPUTED_VALUE"""),9.6)</f>
        <v>9.6</v>
      </c>
    </row>
    <row r="1290">
      <c r="D1290" t="str">
        <f>IFERROR(__xludf.DUMMYFUNCTION("""COMPUTED_VALUE"""),"Lotulelei")</f>
        <v>Lotulelei</v>
      </c>
      <c r="E1290" t="str">
        <f>IFERROR(__xludf.DUMMYFUNCTION("""COMPUTED_VALUE"""),"John")</f>
        <v>John</v>
      </c>
      <c r="F1290">
        <f>IFERROR(__xludf.DUMMYFUNCTION("""COMPUTED_VALUE"""),9.75)</f>
        <v>9.75</v>
      </c>
    </row>
    <row r="1291">
      <c r="D1291" t="str">
        <f>IFERROR(__xludf.DUMMYFUNCTION("""COMPUTED_VALUE"""),"Lotulelei")</f>
        <v>Lotulelei</v>
      </c>
      <c r="E1291" t="str">
        <f>IFERROR(__xludf.DUMMYFUNCTION("""COMPUTED_VALUE"""),"Star")</f>
        <v>Star</v>
      </c>
      <c r="F1291">
        <f>IFERROR(__xludf.DUMMYFUNCTION("""COMPUTED_VALUE"""),11.85)</f>
        <v>11.85</v>
      </c>
    </row>
    <row r="1292">
      <c r="D1292" t="str">
        <f>IFERROR(__xludf.DUMMYFUNCTION("""COMPUTED_VALUE"""),"Louis")</f>
        <v>Louis</v>
      </c>
      <c r="E1292" t="str">
        <f>IFERROR(__xludf.DUMMYFUNCTION("""COMPUTED_VALUE"""),"Lamar")</f>
        <v>Lamar</v>
      </c>
      <c r="F1292">
        <f>IFERROR(__xludf.DUMMYFUNCTION("""COMPUTED_VALUE"""),7.5)</f>
        <v>7.5</v>
      </c>
    </row>
    <row r="1293">
      <c r="D1293" t="str">
        <f>IFERROR(__xludf.DUMMYFUNCTION("""COMPUTED_VALUE"""),"Louis")</f>
        <v>Louis</v>
      </c>
      <c r="E1293" t="str">
        <f>IFERROR(__xludf.DUMMYFUNCTION("""COMPUTED_VALUE"""),"Ricardo")</f>
        <v>Ricardo</v>
      </c>
      <c r="F1293">
        <f>IFERROR(__xludf.DUMMYFUNCTION("""COMPUTED_VALUE"""),9.6)</f>
        <v>9.6</v>
      </c>
    </row>
    <row r="1294">
      <c r="D1294" t="str">
        <f>IFERROR(__xludf.DUMMYFUNCTION("""COMPUTED_VALUE"""),"Lovato")</f>
        <v>Lovato</v>
      </c>
      <c r="E1294" t="str">
        <f>IFERROR(__xludf.DUMMYFUNCTION("""COMPUTED_VALUE"""),"Rick")</f>
        <v>Rick</v>
      </c>
      <c r="F1294">
        <f>IFERROR(__xludf.DUMMYFUNCTION("""COMPUTED_VALUE"""),6.3)</f>
        <v>6.3</v>
      </c>
    </row>
    <row r="1295">
      <c r="D1295" t="str">
        <f>IFERROR(__xludf.DUMMYFUNCTION("""COMPUTED_VALUE"""),"Love")</f>
        <v>Love</v>
      </c>
      <c r="E1295" t="str">
        <f>IFERROR(__xludf.DUMMYFUNCTION("""COMPUTED_VALUE"""),"Kyle")</f>
        <v>Kyle</v>
      </c>
      <c r="F1295">
        <f>IFERROR(__xludf.DUMMYFUNCTION("""COMPUTED_VALUE"""),10.799999999999999)</f>
        <v>10.8</v>
      </c>
    </row>
    <row r="1296">
      <c r="D1296" t="str">
        <f>IFERROR(__xludf.DUMMYFUNCTION("""COMPUTED_VALUE"""),"Lowery")</f>
        <v>Lowery</v>
      </c>
      <c r="E1296" t="str">
        <f>IFERROR(__xludf.DUMMYFUNCTION("""COMPUTED_VALUE"""),"Dwight")</f>
        <v>Dwight</v>
      </c>
      <c r="F1296">
        <f>IFERROR(__xludf.DUMMYFUNCTION("""COMPUTED_VALUE"""),11.85)</f>
        <v>11.85</v>
      </c>
    </row>
    <row r="1297">
      <c r="D1297" t="str">
        <f>IFERROR(__xludf.DUMMYFUNCTION("""COMPUTED_VALUE"""),"Lowry")</f>
        <v>Lowry</v>
      </c>
      <c r="E1297" t="str">
        <f>IFERROR(__xludf.DUMMYFUNCTION("""COMPUTED_VALUE"""),"Dean")</f>
        <v>Dean</v>
      </c>
      <c r="F1297">
        <f>IFERROR(__xludf.DUMMYFUNCTION("""COMPUTED_VALUE"""),9.75)</f>
        <v>9.75</v>
      </c>
    </row>
    <row r="1298">
      <c r="D1298" t="str">
        <f>IFERROR(__xludf.DUMMYFUNCTION("""COMPUTED_VALUE"""),"Lucas")</f>
        <v>Lucas</v>
      </c>
      <c r="E1298" t="str">
        <f>IFERROR(__xludf.DUMMYFUNCTION("""COMPUTED_VALUE"""),"Cornelius")</f>
        <v>Cornelius</v>
      </c>
      <c r="F1298">
        <f>IFERROR(__xludf.DUMMYFUNCTION("""COMPUTED_VALUE"""),10.5)</f>
        <v>10.5</v>
      </c>
    </row>
    <row r="1299">
      <c r="D1299" t="str">
        <f>IFERROR(__xludf.DUMMYFUNCTION("""COMPUTED_VALUE"""),"Lucas")</f>
        <v>Lucas</v>
      </c>
      <c r="E1299" t="str">
        <f>IFERROR(__xludf.DUMMYFUNCTION("""COMPUTED_VALUE"""),"Jordan")</f>
        <v>Jordan</v>
      </c>
      <c r="F1299">
        <f>IFERROR(__xludf.DUMMYFUNCTION("""COMPUTED_VALUE"""),9.6)</f>
        <v>9.6</v>
      </c>
    </row>
    <row r="1300">
      <c r="D1300" t="str">
        <f>IFERROR(__xludf.DUMMYFUNCTION("""COMPUTED_VALUE"""),"Lucien")</f>
        <v>Lucien</v>
      </c>
      <c r="E1300" t="str">
        <f>IFERROR(__xludf.DUMMYFUNCTION("""COMPUTED_VALUE"""),"Devin")</f>
        <v>Devin</v>
      </c>
      <c r="F1300">
        <f>IFERROR(__xludf.DUMMYFUNCTION("""COMPUTED_VALUE"""),9.45)</f>
        <v>9.45</v>
      </c>
    </row>
    <row r="1301">
      <c r="D1301" t="str">
        <f>IFERROR(__xludf.DUMMYFUNCTION("""COMPUTED_VALUE"""),"Luck")</f>
        <v>Luck</v>
      </c>
      <c r="E1301" t="str">
        <f>IFERROR(__xludf.DUMMYFUNCTION("""COMPUTED_VALUE"""),"Andrew")</f>
        <v>Andrew</v>
      </c>
      <c r="F1301">
        <f>IFERROR(__xludf.DUMMYFUNCTION("""COMPUTED_VALUE"""),13.2)</f>
        <v>13.2</v>
      </c>
    </row>
    <row r="1302">
      <c r="D1302" t="str">
        <f>IFERROR(__xludf.DUMMYFUNCTION("""COMPUTED_VALUE"""),"Lumpkin")</f>
        <v>Lumpkin</v>
      </c>
      <c r="E1302" t="str">
        <f>IFERROR(__xludf.DUMMYFUNCTION("""COMPUTED_VALUE"""),"Ricky")</f>
        <v>Ricky</v>
      </c>
      <c r="F1302">
        <f>IFERROR(__xludf.DUMMYFUNCTION("""COMPUTED_VALUE"""),9.9)</f>
        <v>9.9</v>
      </c>
    </row>
    <row r="1303">
      <c r="D1303" t="str">
        <f>IFERROR(__xludf.DUMMYFUNCTION("""COMPUTED_VALUE"""),"Lynch")</f>
        <v>Lynch</v>
      </c>
      <c r="E1303" t="str">
        <f>IFERROR(__xludf.DUMMYFUNCTION("""COMPUTED_VALUE"""),"Aaron")</f>
        <v>Aaron</v>
      </c>
      <c r="F1303">
        <f>IFERROR(__xludf.DUMMYFUNCTION("""COMPUTED_VALUE"""),12.45)</f>
        <v>12.45</v>
      </c>
    </row>
    <row r="1304">
      <c r="D1304" t="str">
        <f>IFERROR(__xludf.DUMMYFUNCTION("""COMPUTED_VALUE"""),"Lynch")</f>
        <v>Lynch</v>
      </c>
      <c r="E1304" t="str">
        <f>IFERROR(__xludf.DUMMYFUNCTION("""COMPUTED_VALUE"""),"Arthur")</f>
        <v>Arthur</v>
      </c>
      <c r="F1304">
        <f>IFERROR(__xludf.DUMMYFUNCTION("""COMPUTED_VALUE"""),10.049999999999999)</f>
        <v>10.05</v>
      </c>
    </row>
    <row r="1305">
      <c r="D1305" t="str">
        <f>IFERROR(__xludf.DUMMYFUNCTION("""COMPUTED_VALUE"""),"Lynch")</f>
        <v>Lynch</v>
      </c>
      <c r="E1305" t="str">
        <f>IFERROR(__xludf.DUMMYFUNCTION("""COMPUTED_VALUE"""),"Cameron")</f>
        <v>Cameron</v>
      </c>
      <c r="F1305">
        <f>IFERROR(__xludf.DUMMYFUNCTION("""COMPUTED_VALUE"""),9.0)</f>
        <v>9</v>
      </c>
    </row>
    <row r="1306">
      <c r="D1306" t="str">
        <f>IFERROR(__xludf.DUMMYFUNCTION("""COMPUTED_VALUE"""),"Lynch")</f>
        <v>Lynch</v>
      </c>
      <c r="E1306" t="str">
        <f>IFERROR(__xludf.DUMMYFUNCTION("""COMPUTED_VALUE"""),"Paxton")</f>
        <v>Paxton</v>
      </c>
      <c r="F1306">
        <f>IFERROR(__xludf.DUMMYFUNCTION("""COMPUTED_VALUE"""),11.1)</f>
        <v>11.1</v>
      </c>
    </row>
    <row r="1307">
      <c r="D1307" t="str">
        <f>IFERROR(__xludf.DUMMYFUNCTION("""COMPUTED_VALUE"""),"Lyons")</f>
        <v>Lyons</v>
      </c>
      <c r="E1307" t="str">
        <f>IFERROR(__xludf.DUMMYFUNCTION("""COMPUTED_VALUE"""),"Caushaud")</f>
        <v>Caushaud</v>
      </c>
      <c r="F1307">
        <f>IFERROR(__xludf.DUMMYFUNCTION("""COMPUTED_VALUE"""),8.85)</f>
        <v>8.85</v>
      </c>
    </row>
    <row r="1308">
      <c r="D1308" t="str">
        <f>IFERROR(__xludf.DUMMYFUNCTION("""COMPUTED_VALUE"""),"Mack")</f>
        <v>Mack</v>
      </c>
      <c r="E1308" t="str">
        <f>IFERROR(__xludf.DUMMYFUNCTION("""COMPUTED_VALUE"""),"Alex")</f>
        <v>Alex</v>
      </c>
      <c r="F1308">
        <f>IFERROR(__xludf.DUMMYFUNCTION("""COMPUTED_VALUE"""),12.6)</f>
        <v>12.6</v>
      </c>
    </row>
    <row r="1309">
      <c r="D1309" t="str">
        <f>IFERROR(__xludf.DUMMYFUNCTION("""COMPUTED_VALUE"""),"Mack")</f>
        <v>Mack</v>
      </c>
      <c r="E1309" t="str">
        <f>IFERROR(__xludf.DUMMYFUNCTION("""COMPUTED_VALUE"""),"Khalil")</f>
        <v>Khalil</v>
      </c>
      <c r="F1309">
        <f>IFERROR(__xludf.DUMMYFUNCTION("""COMPUTED_VALUE"""),14.1)</f>
        <v>14.1</v>
      </c>
    </row>
    <row r="1310">
      <c r="D1310" t="str">
        <f>IFERROR(__xludf.DUMMYFUNCTION("""COMPUTED_VALUE"""),"Maclin")</f>
        <v>Maclin</v>
      </c>
      <c r="E1310" t="str">
        <f>IFERROR(__xludf.DUMMYFUNCTION("""COMPUTED_VALUE"""),"Jeremy")</f>
        <v>Jeremy</v>
      </c>
      <c r="F1310">
        <f>IFERROR(__xludf.DUMMYFUNCTION("""COMPUTED_VALUE"""),12.9)</f>
        <v>12.9</v>
      </c>
    </row>
    <row r="1311">
      <c r="D1311" t="str">
        <f>IFERROR(__xludf.DUMMYFUNCTION("""COMPUTED_VALUE"""),"Madden")</f>
        <v>Madden</v>
      </c>
      <c r="E1311" t="str">
        <f>IFERROR(__xludf.DUMMYFUNCTION("""COMPUTED_VALUE"""),"Tre")</f>
        <v>Tre</v>
      </c>
      <c r="F1311">
        <f>IFERROR(__xludf.DUMMYFUNCTION("""COMPUTED_VALUE"""),9.45)</f>
        <v>9.45</v>
      </c>
    </row>
    <row r="1312">
      <c r="D1312" t="str">
        <f>IFERROR(__xludf.DUMMYFUNCTION("""COMPUTED_VALUE"""),"Magee")</f>
        <v>Magee</v>
      </c>
      <c r="E1312" t="str">
        <f>IFERROR(__xludf.DUMMYFUNCTION("""COMPUTED_VALUE"""),"Terrence")</f>
        <v>Terrence</v>
      </c>
      <c r="F1312">
        <f>IFERROR(__xludf.DUMMYFUNCTION("""COMPUTED_VALUE"""),10.35)</f>
        <v>10.35</v>
      </c>
    </row>
    <row r="1313">
      <c r="D1313" t="str">
        <f>IFERROR(__xludf.DUMMYFUNCTION("""COMPUTED_VALUE"""),"Mager")</f>
        <v>Mager</v>
      </c>
      <c r="E1313" t="str">
        <f>IFERROR(__xludf.DUMMYFUNCTION("""COMPUTED_VALUE"""),"Craig")</f>
        <v>Craig</v>
      </c>
      <c r="F1313">
        <f>IFERROR(__xludf.DUMMYFUNCTION("""COMPUTED_VALUE"""),10.35)</f>
        <v>10.35</v>
      </c>
    </row>
    <row r="1314">
      <c r="D1314" t="str">
        <f>IFERROR(__xludf.DUMMYFUNCTION("""COMPUTED_VALUE"""),"Maggitt")</f>
        <v>Maggitt</v>
      </c>
      <c r="E1314" t="str">
        <f>IFERROR(__xludf.DUMMYFUNCTION("""COMPUTED_VALUE"""),"Curt")</f>
        <v>Curt</v>
      </c>
      <c r="F1314">
        <f>IFERROR(__xludf.DUMMYFUNCTION("""COMPUTED_VALUE"""),8.549999999999999)</f>
        <v>8.55</v>
      </c>
    </row>
    <row r="1315">
      <c r="D1315" t="str">
        <f>IFERROR(__xludf.DUMMYFUNCTION("""COMPUTED_VALUE"""),"Maiava")</f>
        <v>Maiava</v>
      </c>
      <c r="E1315" t="str">
        <f>IFERROR(__xludf.DUMMYFUNCTION("""COMPUTED_VALUE"""),"Lene")</f>
        <v>Lene</v>
      </c>
      <c r="F1315">
        <f>IFERROR(__xludf.DUMMYFUNCTION("""COMPUTED_VALUE"""),9.45)</f>
        <v>9.45</v>
      </c>
    </row>
    <row r="1316">
      <c r="D1316" t="str">
        <f>IFERROR(__xludf.DUMMYFUNCTION("""COMPUTED_VALUE"""),"Malleck")</f>
        <v>Malleck</v>
      </c>
      <c r="E1316" t="str">
        <f>IFERROR(__xludf.DUMMYFUNCTION("""COMPUTED_VALUE"""),"Ryan")</f>
        <v>Ryan</v>
      </c>
      <c r="F1316">
        <f>IFERROR(__xludf.DUMMYFUNCTION("""COMPUTED_VALUE"""),9.45)</f>
        <v>9.45</v>
      </c>
    </row>
    <row r="1317">
      <c r="D1317" t="str">
        <f>IFERROR(__xludf.DUMMYFUNCTION("""COMPUTED_VALUE"""),"Mallett")</f>
        <v>Mallett</v>
      </c>
      <c r="E1317" t="str">
        <f>IFERROR(__xludf.DUMMYFUNCTION("""COMPUTED_VALUE"""),"Ryan")</f>
        <v>Ryan</v>
      </c>
      <c r="F1317">
        <f>IFERROR(__xludf.DUMMYFUNCTION("""COMPUTED_VALUE"""),10.049999999999999)</f>
        <v>10.05</v>
      </c>
    </row>
    <row r="1318">
      <c r="D1318" t="str">
        <f>IFERROR(__xludf.DUMMYFUNCTION("""COMPUTED_VALUE"""),"Mancz")</f>
        <v>Mancz</v>
      </c>
      <c r="E1318" t="str">
        <f>IFERROR(__xludf.DUMMYFUNCTION("""COMPUTED_VALUE"""),"Greg")</f>
        <v>Greg</v>
      </c>
      <c r="F1318">
        <f>IFERROR(__xludf.DUMMYFUNCTION("""COMPUTED_VALUE"""),9.45)</f>
        <v>9.45</v>
      </c>
    </row>
    <row r="1319">
      <c r="D1319" t="str">
        <f>IFERROR(__xludf.DUMMYFUNCTION("""COMPUTED_VALUE"""),"Mangold")</f>
        <v>Mangold</v>
      </c>
      <c r="E1319" t="str">
        <f>IFERROR(__xludf.DUMMYFUNCTION("""COMPUTED_VALUE"""),"Nick")</f>
        <v>Nick</v>
      </c>
      <c r="F1319">
        <f>IFERROR(__xludf.DUMMYFUNCTION("""COMPUTED_VALUE"""),12.45)</f>
        <v>12.45</v>
      </c>
    </row>
    <row r="1320">
      <c r="D1320" t="str">
        <f>IFERROR(__xludf.DUMMYFUNCTION("""COMPUTED_VALUE"""),"Manning")</f>
        <v>Manning</v>
      </c>
      <c r="E1320" t="str">
        <f>IFERROR(__xludf.DUMMYFUNCTION("""COMPUTED_VALUE"""),"Eli")</f>
        <v>Eli</v>
      </c>
      <c r="F1320">
        <f>IFERROR(__xludf.DUMMYFUNCTION("""COMPUTED_VALUE"""),12.15)</f>
        <v>12.15</v>
      </c>
    </row>
    <row r="1321">
      <c r="D1321" t="str">
        <f>IFERROR(__xludf.DUMMYFUNCTION("""COMPUTED_VALUE"""),"Mannion")</f>
        <v>Mannion</v>
      </c>
      <c r="E1321" t="str">
        <f>IFERROR(__xludf.DUMMYFUNCTION("""COMPUTED_VALUE"""),"Sean")</f>
        <v>Sean</v>
      </c>
      <c r="F1321">
        <f>IFERROR(__xludf.DUMMYFUNCTION("""COMPUTED_VALUE"""),9.45)</f>
        <v>9.45</v>
      </c>
    </row>
    <row r="1322">
      <c r="D1322" t="str">
        <f>IFERROR(__xludf.DUMMYFUNCTION("""COMPUTED_VALUE"""),"Manuel")</f>
        <v>Manuel</v>
      </c>
      <c r="E1322" t="str">
        <f>IFERROR(__xludf.DUMMYFUNCTION("""COMPUTED_VALUE"""),"EJ")</f>
        <v>EJ</v>
      </c>
      <c r="F1322">
        <f>IFERROR(__xludf.DUMMYFUNCTION("""COMPUTED_VALUE"""),10.65)</f>
        <v>10.65</v>
      </c>
    </row>
    <row r="1323">
      <c r="D1323" t="str">
        <f>IFERROR(__xludf.DUMMYFUNCTION("""COMPUTED_VALUE"""),"Maponga")</f>
        <v>Maponga</v>
      </c>
      <c r="E1323" t="str">
        <f>IFERROR(__xludf.DUMMYFUNCTION("""COMPUTED_VALUE"""),"Stansly")</f>
        <v>Stansly</v>
      </c>
      <c r="F1323">
        <f>IFERROR(__xludf.DUMMYFUNCTION("""COMPUTED_VALUE"""),9.75)</f>
        <v>9.75</v>
      </c>
    </row>
    <row r="1324">
      <c r="D1324" t="str">
        <f>IFERROR(__xludf.DUMMYFUNCTION("""COMPUTED_VALUE"""),"Maragos")</f>
        <v>Maragos</v>
      </c>
      <c r="E1324" t="str">
        <f>IFERROR(__xludf.DUMMYFUNCTION("""COMPUTED_VALUE"""),"Chris")</f>
        <v>Chris</v>
      </c>
      <c r="F1324">
        <f>IFERROR(__xludf.DUMMYFUNCTION("""COMPUTED_VALUE"""),10.95)</f>
        <v>10.95</v>
      </c>
    </row>
    <row r="1325">
      <c r="D1325" t="str">
        <f>IFERROR(__xludf.DUMMYFUNCTION("""COMPUTED_VALUE"""),"Marcordes")</f>
        <v>Marcordes</v>
      </c>
      <c r="E1325" t="str">
        <f>IFERROR(__xludf.DUMMYFUNCTION("""COMPUTED_VALUE"""),"Tyler")</f>
        <v>Tyler</v>
      </c>
      <c r="F1325">
        <f>IFERROR(__xludf.DUMMYFUNCTION("""COMPUTED_VALUE"""),9.299999999999999)</f>
        <v>9.3</v>
      </c>
    </row>
    <row r="1326">
      <c r="D1326" t="str">
        <f>IFERROR(__xludf.DUMMYFUNCTION("""COMPUTED_VALUE"""),"Mariani")</f>
        <v>Mariani</v>
      </c>
      <c r="E1326" t="str">
        <f>IFERROR(__xludf.DUMMYFUNCTION("""COMPUTED_VALUE"""),"Marc")</f>
        <v>Marc</v>
      </c>
      <c r="F1326">
        <f>IFERROR(__xludf.DUMMYFUNCTION("""COMPUTED_VALUE"""),10.35)</f>
        <v>10.35</v>
      </c>
    </row>
    <row r="1327">
      <c r="D1327" t="str">
        <f>IFERROR(__xludf.DUMMYFUNCTION("""COMPUTED_VALUE"""),"Mariota")</f>
        <v>Mariota</v>
      </c>
      <c r="E1327" t="str">
        <f>IFERROR(__xludf.DUMMYFUNCTION("""COMPUTED_VALUE"""),"Marcus")</f>
        <v>Marcus</v>
      </c>
      <c r="F1327">
        <f>IFERROR(__xludf.DUMMYFUNCTION("""COMPUTED_VALUE"""),11.85)</f>
        <v>11.85</v>
      </c>
    </row>
    <row r="1328">
      <c r="D1328" t="str">
        <f>IFERROR(__xludf.DUMMYFUNCTION("""COMPUTED_VALUE"""),"Marks")</f>
        <v>Marks</v>
      </c>
      <c r="E1328" t="str">
        <f>IFERROR(__xludf.DUMMYFUNCTION("""COMPUTED_VALUE"""),"SenDerrick")</f>
        <v>SenDerrick</v>
      </c>
      <c r="F1328">
        <f>IFERROR(__xludf.DUMMYFUNCTION("""COMPUTED_VALUE"""),11.85)</f>
        <v>11.85</v>
      </c>
    </row>
    <row r="1329">
      <c r="D1329" t="str">
        <f>IFERROR(__xludf.DUMMYFUNCTION("""COMPUTED_VALUE"""),"Marlowe")</f>
        <v>Marlowe</v>
      </c>
      <c r="E1329" t="str">
        <f>IFERROR(__xludf.DUMMYFUNCTION("""COMPUTED_VALUE"""),"Dean")</f>
        <v>Dean</v>
      </c>
      <c r="F1329">
        <f>IFERROR(__xludf.DUMMYFUNCTION("""COMPUTED_VALUE"""),10.049999999999999)</f>
        <v>10.05</v>
      </c>
    </row>
    <row r="1330">
      <c r="D1330" t="str">
        <f>IFERROR(__xludf.DUMMYFUNCTION("""COMPUTED_VALUE"""),"Marpet")</f>
        <v>Marpet</v>
      </c>
      <c r="E1330" t="str">
        <f>IFERROR(__xludf.DUMMYFUNCTION("""COMPUTED_VALUE"""),"Ali")</f>
        <v>Ali</v>
      </c>
      <c r="F1330">
        <f>IFERROR(__xludf.DUMMYFUNCTION("""COMPUTED_VALUE"""),11.549999999999999)</f>
        <v>11.55</v>
      </c>
    </row>
    <row r="1331">
      <c r="D1331" t="str">
        <f>IFERROR(__xludf.DUMMYFUNCTION("""COMPUTED_VALUE"""),"Marquez")</f>
        <v>Marquez</v>
      </c>
      <c r="E1331" t="str">
        <f>IFERROR(__xludf.DUMMYFUNCTION("""COMPUTED_VALUE"""),"Bradley")</f>
        <v>Bradley</v>
      </c>
      <c r="F1331">
        <f>IFERROR(__xludf.DUMMYFUNCTION("""COMPUTED_VALUE"""),9.45)</f>
        <v>9.45</v>
      </c>
    </row>
    <row r="1332">
      <c r="D1332" t="str">
        <f>IFERROR(__xludf.DUMMYFUNCTION("""COMPUTED_VALUE"""),"Marsh")</f>
        <v>Marsh</v>
      </c>
      <c r="E1332" t="str">
        <f>IFERROR(__xludf.DUMMYFUNCTION("""COMPUTED_VALUE"""),"Cassius")</f>
        <v>Cassius</v>
      </c>
      <c r="F1332">
        <f>IFERROR(__xludf.DUMMYFUNCTION("""COMPUTED_VALUE"""),10.049999999999999)</f>
        <v>10.05</v>
      </c>
    </row>
    <row r="1333">
      <c r="D1333" t="str">
        <f>IFERROR(__xludf.DUMMYFUNCTION("""COMPUTED_VALUE"""),"Marshall")</f>
        <v>Marshall</v>
      </c>
      <c r="E1333" t="str">
        <f>IFERROR(__xludf.DUMMYFUNCTION("""COMPUTED_VALUE"""),"Brandon")</f>
        <v>Brandon</v>
      </c>
      <c r="F1333">
        <f>IFERROR(__xludf.DUMMYFUNCTION("""COMPUTED_VALUE"""),13.5)</f>
        <v>13.5</v>
      </c>
    </row>
    <row r="1334">
      <c r="D1334" t="str">
        <f>IFERROR(__xludf.DUMMYFUNCTION("""COMPUTED_VALUE"""),"Marshall")</f>
        <v>Marshall</v>
      </c>
      <c r="E1334" t="str">
        <f>IFERROR(__xludf.DUMMYFUNCTION("""COMPUTED_VALUE"""),"Brandon")</f>
        <v>Brandon</v>
      </c>
      <c r="F1334">
        <f>IFERROR(__xludf.DUMMYFUNCTION("""COMPUTED_VALUE"""),13.35)</f>
        <v>13.35</v>
      </c>
    </row>
    <row r="1335">
      <c r="D1335" t="str">
        <f>IFERROR(__xludf.DUMMYFUNCTION("""COMPUTED_VALUE"""),"Marshall")</f>
        <v>Marshall</v>
      </c>
      <c r="E1335" t="str">
        <f>IFERROR(__xludf.DUMMYFUNCTION("""COMPUTED_VALUE"""),"Byron")</f>
        <v>Byron</v>
      </c>
      <c r="F1335">
        <f>IFERROR(__xludf.DUMMYFUNCTION("""COMPUTED_VALUE"""),9.299999999999999)</f>
        <v>9.3</v>
      </c>
    </row>
    <row r="1336">
      <c r="D1336" t="str">
        <f>IFERROR(__xludf.DUMMYFUNCTION("""COMPUTED_VALUE"""),"Marshall")</f>
        <v>Marshall</v>
      </c>
      <c r="E1336" t="str">
        <f>IFERROR(__xludf.DUMMYFUNCTION("""COMPUTED_VALUE"""),"Keith")</f>
        <v>Keith</v>
      </c>
      <c r="F1336">
        <f>IFERROR(__xludf.DUMMYFUNCTION("""COMPUTED_VALUE"""),10.35)</f>
        <v>10.35</v>
      </c>
    </row>
    <row r="1337">
      <c r="D1337" t="str">
        <f>IFERROR(__xludf.DUMMYFUNCTION("""COMPUTED_VALUE"""),"Marshall")</f>
        <v>Marshall</v>
      </c>
      <c r="E1337" t="str">
        <f>IFERROR(__xludf.DUMMYFUNCTION("""COMPUTED_VALUE"""),"Nick")</f>
        <v>Nick</v>
      </c>
      <c r="F1337">
        <f>IFERROR(__xludf.DUMMYFUNCTION("""COMPUTED_VALUE"""),9.299999999999999)</f>
        <v>9.3</v>
      </c>
    </row>
    <row r="1338">
      <c r="D1338" t="str">
        <f>IFERROR(__xludf.DUMMYFUNCTION("""COMPUTED_VALUE"""),"Martin")</f>
        <v>Martin</v>
      </c>
      <c r="E1338" t="str">
        <f>IFERROR(__xludf.DUMMYFUNCTION("""COMPUTED_VALUE"""),"Doug")</f>
        <v>Doug</v>
      </c>
      <c r="F1338">
        <f>IFERROR(__xludf.DUMMYFUNCTION("""COMPUTED_VALUE"""),13.5)</f>
        <v>13.5</v>
      </c>
    </row>
    <row r="1339">
      <c r="D1339" t="str">
        <f>IFERROR(__xludf.DUMMYFUNCTION("""COMPUTED_VALUE"""),"Martin")</f>
        <v>Martin</v>
      </c>
      <c r="E1339" t="str">
        <f>IFERROR(__xludf.DUMMYFUNCTION("""COMPUTED_VALUE"""),"Gabe")</f>
        <v>Gabe</v>
      </c>
      <c r="F1339">
        <f>IFERROR(__xludf.DUMMYFUNCTION("""COMPUTED_VALUE"""),9.6)</f>
        <v>9.6</v>
      </c>
    </row>
    <row r="1340">
      <c r="D1340" t="str">
        <f>IFERROR(__xludf.DUMMYFUNCTION("""COMPUTED_VALUE"""),"Martin")</f>
        <v>Martin</v>
      </c>
      <c r="E1340" t="str">
        <f>IFERROR(__xludf.DUMMYFUNCTION("""COMPUTED_VALUE"""),"Josh")</f>
        <v>Josh</v>
      </c>
      <c r="F1340">
        <f>IFERROR(__xludf.DUMMYFUNCTION("""COMPUTED_VALUE"""),10.049999999999999)</f>
        <v>10.05</v>
      </c>
    </row>
    <row r="1341">
      <c r="D1341" t="str">
        <f>IFERROR(__xludf.DUMMYFUNCTION("""COMPUTED_VALUE"""),"Martin")</f>
        <v>Martin</v>
      </c>
      <c r="E1341" t="str">
        <f>IFERROR(__xludf.DUMMYFUNCTION("""COMPUTED_VALUE"""),"Kareem")</f>
        <v>Kareem</v>
      </c>
      <c r="F1341">
        <f>IFERROR(__xludf.DUMMYFUNCTION("""COMPUTED_VALUE"""),9.45)</f>
        <v>9.45</v>
      </c>
    </row>
    <row r="1342">
      <c r="D1342" t="str">
        <f>IFERROR(__xludf.DUMMYFUNCTION("""COMPUTED_VALUE"""),"Martin")</f>
        <v>Martin</v>
      </c>
      <c r="E1342" t="str">
        <f>IFERROR(__xludf.DUMMYFUNCTION("""COMPUTED_VALUE"""),"Keshawn")</f>
        <v>Keshawn</v>
      </c>
      <c r="F1342">
        <f>IFERROR(__xludf.DUMMYFUNCTION("""COMPUTED_VALUE"""),10.2)</f>
        <v>10.2</v>
      </c>
    </row>
    <row r="1343">
      <c r="D1343" t="str">
        <f>IFERROR(__xludf.DUMMYFUNCTION("""COMPUTED_VALUE"""),"Martin")</f>
        <v>Martin</v>
      </c>
      <c r="E1343" t="str">
        <f>IFERROR(__xludf.DUMMYFUNCTION("""COMPUTED_VALUE"""),"Marcus")</f>
        <v>Marcus</v>
      </c>
      <c r="F1343">
        <f>IFERROR(__xludf.DUMMYFUNCTION("""COMPUTED_VALUE"""),9.75)</f>
        <v>9.75</v>
      </c>
    </row>
    <row r="1344">
      <c r="D1344" t="str">
        <f>IFERROR(__xludf.DUMMYFUNCTION("""COMPUTED_VALUE"""),"Martin")</f>
        <v>Martin</v>
      </c>
      <c r="E1344" t="str">
        <f>IFERROR(__xludf.DUMMYFUNCTION("""COMPUTED_VALUE"""),"Mike")</f>
        <v>Mike</v>
      </c>
      <c r="F1344">
        <f>IFERROR(__xludf.DUMMYFUNCTION("""COMPUTED_VALUE"""),10.5)</f>
        <v>10.5</v>
      </c>
    </row>
    <row r="1345">
      <c r="D1345" t="str">
        <f>IFERROR(__xludf.DUMMYFUNCTION("""COMPUTED_VALUE"""),"Martin")</f>
        <v>Martin</v>
      </c>
      <c r="E1345" t="str">
        <f>IFERROR(__xludf.DUMMYFUNCTION("""COMPUTED_VALUE"""),"Nick")</f>
        <v>Nick</v>
      </c>
      <c r="F1345">
        <f>IFERROR(__xludf.DUMMYFUNCTION("""COMPUTED_VALUE"""),10.95)</f>
        <v>10.95</v>
      </c>
    </row>
    <row r="1346">
      <c r="D1346" t="str">
        <f>IFERROR(__xludf.DUMMYFUNCTION("""COMPUTED_VALUE"""),"Martin")</f>
        <v>Martin</v>
      </c>
      <c r="E1346" t="str">
        <f>IFERROR(__xludf.DUMMYFUNCTION("""COMPUTED_VALUE"""),"Ronald")</f>
        <v>Ronald</v>
      </c>
      <c r="F1346">
        <f>IFERROR(__xludf.DUMMYFUNCTION("""COMPUTED_VALUE"""),9.6)</f>
        <v>9.6</v>
      </c>
    </row>
    <row r="1347">
      <c r="D1347" t="str">
        <f>IFERROR(__xludf.DUMMYFUNCTION("""COMPUTED_VALUE"""),"Martin")</f>
        <v>Martin</v>
      </c>
      <c r="E1347" t="str">
        <f>IFERROR(__xludf.DUMMYFUNCTION("""COMPUTED_VALUE"""),"Sam")</f>
        <v>Sam</v>
      </c>
      <c r="F1347">
        <f>IFERROR(__xludf.DUMMYFUNCTION("""COMPUTED_VALUE"""),12.0)</f>
        <v>12</v>
      </c>
    </row>
    <row r="1348">
      <c r="D1348" t="str">
        <f>IFERROR(__xludf.DUMMYFUNCTION("""COMPUTED_VALUE"""),"Martin")</f>
        <v>Martin</v>
      </c>
      <c r="E1348" t="str">
        <f>IFERROR(__xludf.DUMMYFUNCTION("""COMPUTED_VALUE"""),"Zack")</f>
        <v>Zack</v>
      </c>
      <c r="F1348">
        <f>IFERROR(__xludf.DUMMYFUNCTION("""COMPUTED_VALUE"""),13.799999999999999)</f>
        <v>13.8</v>
      </c>
    </row>
    <row r="1349">
      <c r="D1349" t="str">
        <f>IFERROR(__xludf.DUMMYFUNCTION("""COMPUTED_VALUE"""),"Martinez")</f>
        <v>Martinez</v>
      </c>
      <c r="E1349" t="str">
        <f>IFERROR(__xludf.DUMMYFUNCTION("""COMPUTED_VALUE"""),"Blake")</f>
        <v>Blake</v>
      </c>
      <c r="F1349">
        <f>IFERROR(__xludf.DUMMYFUNCTION("""COMPUTED_VALUE"""),10.049999999999999)</f>
        <v>10.05</v>
      </c>
    </row>
    <row r="1350">
      <c r="D1350" t="str">
        <f>IFERROR(__xludf.DUMMYFUNCTION("""COMPUTED_VALUE"""),"Martino")</f>
        <v>Martino</v>
      </c>
      <c r="E1350" t="str">
        <f>IFERROR(__xludf.DUMMYFUNCTION("""COMPUTED_VALUE"""),"Freddie")</f>
        <v>Freddie</v>
      </c>
      <c r="F1350">
        <f>IFERROR(__xludf.DUMMYFUNCTION("""COMPUTED_VALUE"""),8.7)</f>
        <v>8.7</v>
      </c>
    </row>
    <row r="1351">
      <c r="D1351" t="str">
        <f>IFERROR(__xludf.DUMMYFUNCTION("""COMPUTED_VALUE"""),"Masifilo")</f>
        <v>Masifilo</v>
      </c>
      <c r="E1351" t="str">
        <f>IFERROR(__xludf.DUMMYFUNCTION("""COMPUTED_VALUE"""),"Matt")</f>
        <v>Matt</v>
      </c>
      <c r="F1351">
        <f>IFERROR(__xludf.DUMMYFUNCTION("""COMPUTED_VALUE"""),9.45)</f>
        <v>9.45</v>
      </c>
    </row>
    <row r="1352">
      <c r="D1352" t="str">
        <f>IFERROR(__xludf.DUMMYFUNCTION("""COMPUTED_VALUE"""),"Mason")</f>
        <v>Mason</v>
      </c>
      <c r="E1352" t="str">
        <f>IFERROR(__xludf.DUMMYFUNCTION("""COMPUTED_VALUE"""),"Shaq")</f>
        <v>Shaq</v>
      </c>
      <c r="F1352">
        <f>IFERROR(__xludf.DUMMYFUNCTION("""COMPUTED_VALUE"""),11.1)</f>
        <v>11.1</v>
      </c>
    </row>
    <row r="1353">
      <c r="D1353" t="str">
        <f>IFERROR(__xludf.DUMMYFUNCTION("""COMPUTED_VALUE"""),"Mason")</f>
        <v>Mason</v>
      </c>
      <c r="E1353" t="str">
        <f>IFERROR(__xludf.DUMMYFUNCTION("""COMPUTED_VALUE"""),"Tre")</f>
        <v>Tre</v>
      </c>
      <c r="F1353">
        <f>IFERROR(__xludf.DUMMYFUNCTION("""COMPUTED_VALUE"""),11.7)</f>
        <v>11.7</v>
      </c>
    </row>
    <row r="1354">
      <c r="D1354" t="str">
        <f>IFERROR(__xludf.DUMMYFUNCTION("""COMPUTED_VALUE"""),"Massaquoi")</f>
        <v>Massaquoi</v>
      </c>
      <c r="E1354" t="str">
        <f>IFERROR(__xludf.DUMMYFUNCTION("""COMPUTED_VALUE"""),"Jonathan")</f>
        <v>Jonathan</v>
      </c>
      <c r="F1354">
        <f>IFERROR(__xludf.DUMMYFUNCTION("""COMPUTED_VALUE"""),10.799999999999999)</f>
        <v>10.8</v>
      </c>
    </row>
    <row r="1355">
      <c r="D1355" t="str">
        <f>IFERROR(__xludf.DUMMYFUNCTION("""COMPUTED_VALUE"""),"Massie")</f>
        <v>Massie</v>
      </c>
      <c r="E1355" t="str">
        <f>IFERROR(__xludf.DUMMYFUNCTION("""COMPUTED_VALUE"""),"Bobby")</f>
        <v>Bobby</v>
      </c>
      <c r="F1355">
        <f>IFERROR(__xludf.DUMMYFUNCTION("""COMPUTED_VALUE"""),11.25)</f>
        <v>11.25</v>
      </c>
    </row>
    <row r="1356">
      <c r="D1356" t="str">
        <f>IFERROR(__xludf.DUMMYFUNCTION("""COMPUTED_VALUE"""),"Masthay")</f>
        <v>Masthay</v>
      </c>
      <c r="E1356" t="str">
        <f>IFERROR(__xludf.DUMMYFUNCTION("""COMPUTED_VALUE"""),"Tim")</f>
        <v>Tim</v>
      </c>
      <c r="F1356">
        <f>IFERROR(__xludf.DUMMYFUNCTION("""COMPUTED_VALUE"""),11.1)</f>
        <v>11.1</v>
      </c>
    </row>
    <row r="1357">
      <c r="D1357" t="str">
        <f>IFERROR(__xludf.DUMMYFUNCTION("""COMPUTED_VALUE"""),"Matakevich")</f>
        <v>Matakevich</v>
      </c>
      <c r="E1357" t="str">
        <f>IFERROR(__xludf.DUMMYFUNCTION("""COMPUTED_VALUE"""),"Tyler")</f>
        <v>Tyler</v>
      </c>
      <c r="F1357">
        <f>IFERROR(__xludf.DUMMYFUNCTION("""COMPUTED_VALUE"""),9.75)</f>
        <v>9.75</v>
      </c>
    </row>
    <row r="1358">
      <c r="D1358" t="str">
        <f>IFERROR(__xludf.DUMMYFUNCTION("""COMPUTED_VALUE"""),"Mathews")</f>
        <v>Mathews</v>
      </c>
      <c r="E1358" t="str">
        <f>IFERROR(__xludf.DUMMYFUNCTION("""COMPUTED_VALUE"""),"Mitch")</f>
        <v>Mitch</v>
      </c>
      <c r="F1358">
        <f>IFERROR(__xludf.DUMMYFUNCTION("""COMPUTED_VALUE"""),9.0)</f>
        <v>9</v>
      </c>
    </row>
    <row r="1359">
      <c r="D1359" t="str">
        <f>IFERROR(__xludf.DUMMYFUNCTION("""COMPUTED_VALUE"""),"Mathews")</f>
        <v>Mathews</v>
      </c>
      <c r="E1359" t="str">
        <f>IFERROR(__xludf.DUMMYFUNCTION("""COMPUTED_VALUE"""),"Ricardo")</f>
        <v>Ricardo</v>
      </c>
      <c r="F1359">
        <f>IFERROR(__xludf.DUMMYFUNCTION("""COMPUTED_VALUE"""),10.35)</f>
        <v>10.35</v>
      </c>
    </row>
    <row r="1360">
      <c r="D1360" t="str">
        <f>IFERROR(__xludf.DUMMYFUNCTION("""COMPUTED_VALUE"""),"Mathews")</f>
        <v>Mathews</v>
      </c>
      <c r="E1360" t="str">
        <f>IFERROR(__xludf.DUMMYFUNCTION("""COMPUTED_VALUE"""),"Ryan")</f>
        <v>Ryan</v>
      </c>
      <c r="F1360">
        <f>IFERROR(__xludf.DUMMYFUNCTION("""COMPUTED_VALUE"""),12.299999999999999)</f>
        <v>12.3</v>
      </c>
    </row>
    <row r="1361">
      <c r="D1361" t="str">
        <f>IFERROR(__xludf.DUMMYFUNCTION("""COMPUTED_VALUE"""),"Mathieu")</f>
        <v>Mathieu</v>
      </c>
      <c r="E1361" t="str">
        <f>IFERROR(__xludf.DUMMYFUNCTION("""COMPUTED_VALUE"""),"Tyrann")</f>
        <v>Tyrann</v>
      </c>
      <c r="F1361">
        <f>IFERROR(__xludf.DUMMYFUNCTION("""COMPUTED_VALUE"""),14.399999999999999)</f>
        <v>14.4</v>
      </c>
    </row>
    <row r="1362">
      <c r="D1362" t="str">
        <f>IFERROR(__xludf.DUMMYFUNCTION("""COMPUTED_VALUE"""),"Mathis")</f>
        <v>Mathis</v>
      </c>
      <c r="E1362" t="str">
        <f>IFERROR(__xludf.DUMMYFUNCTION("""COMPUTED_VALUE"""),"Evan")</f>
        <v>Evan</v>
      </c>
      <c r="F1362">
        <f>IFERROR(__xludf.DUMMYFUNCTION("""COMPUTED_VALUE"""),13.2)</f>
        <v>13.2</v>
      </c>
    </row>
    <row r="1363">
      <c r="D1363" t="str">
        <f>IFERROR(__xludf.DUMMYFUNCTION("""COMPUTED_VALUE"""),"Mathis")</f>
        <v>Mathis</v>
      </c>
      <c r="E1363" t="str">
        <f>IFERROR(__xludf.DUMMYFUNCTION("""COMPUTED_VALUE"""),"Robert")</f>
        <v>Robert</v>
      </c>
      <c r="F1363">
        <f>IFERROR(__xludf.DUMMYFUNCTION("""COMPUTED_VALUE"""),12.45)</f>
        <v>12.45</v>
      </c>
    </row>
    <row r="1364">
      <c r="D1364" t="str">
        <f>IFERROR(__xludf.DUMMYFUNCTION("""COMPUTED_VALUE"""),"Matias")</f>
        <v>Matias</v>
      </c>
      <c r="E1364" t="str">
        <f>IFERROR(__xludf.DUMMYFUNCTION("""COMPUTED_VALUE"""),"Josue")</f>
        <v>Josue</v>
      </c>
      <c r="F1364">
        <f>IFERROR(__xludf.DUMMYFUNCTION("""COMPUTED_VALUE"""),9.45)</f>
        <v>9.45</v>
      </c>
    </row>
    <row r="1365">
      <c r="D1365" t="str">
        <f>IFERROR(__xludf.DUMMYFUNCTION("""COMPUTED_VALUE"""),"Matthews")</f>
        <v>Matthews</v>
      </c>
      <c r="E1365" t="str">
        <f>IFERROR(__xludf.DUMMYFUNCTION("""COMPUTED_VALUE"""),"Chris")</f>
        <v>Chris</v>
      </c>
      <c r="F1365">
        <f>IFERROR(__xludf.DUMMYFUNCTION("""COMPUTED_VALUE"""),10.2)</f>
        <v>10.2</v>
      </c>
    </row>
    <row r="1366">
      <c r="D1366" t="str">
        <f>IFERROR(__xludf.DUMMYFUNCTION("""COMPUTED_VALUE"""),"Matthews")</f>
        <v>Matthews</v>
      </c>
      <c r="E1366" t="str">
        <f>IFERROR(__xludf.DUMMYFUNCTION("""COMPUTED_VALUE"""),"Clay")</f>
        <v>Clay</v>
      </c>
      <c r="F1366">
        <f>IFERROR(__xludf.DUMMYFUNCTION("""COMPUTED_VALUE"""),13.35)</f>
        <v>13.35</v>
      </c>
    </row>
    <row r="1367">
      <c r="D1367" t="str">
        <f>IFERROR(__xludf.DUMMYFUNCTION("""COMPUTED_VALUE"""),"Matthews")</f>
        <v>Matthews</v>
      </c>
      <c r="E1367" t="str">
        <f>IFERROR(__xludf.DUMMYFUNCTION("""COMPUTED_VALUE"""),"Cliff")</f>
        <v>Cliff</v>
      </c>
      <c r="F1367">
        <f>IFERROR(__xludf.DUMMYFUNCTION("""COMPUTED_VALUE"""),9.9)</f>
        <v>9.9</v>
      </c>
    </row>
    <row r="1368">
      <c r="D1368" t="str">
        <f>IFERROR(__xludf.DUMMYFUNCTION("""COMPUTED_VALUE"""),"Matthews")</f>
        <v>Matthews</v>
      </c>
      <c r="E1368" t="str">
        <f>IFERROR(__xludf.DUMMYFUNCTION("""COMPUTED_VALUE"""),"Jake")</f>
        <v>Jake</v>
      </c>
      <c r="F1368">
        <f>IFERROR(__xludf.DUMMYFUNCTION("""COMPUTED_VALUE"""),12.0)</f>
        <v>12</v>
      </c>
    </row>
    <row r="1369">
      <c r="D1369" t="str">
        <f>IFERROR(__xludf.DUMMYFUNCTION("""COMPUTED_VALUE"""),"Matthews")</f>
        <v>Matthews</v>
      </c>
      <c r="E1369" t="str">
        <f>IFERROR(__xludf.DUMMYFUNCTION("""COMPUTED_VALUE"""),"Jordan")</f>
        <v>Jordan</v>
      </c>
      <c r="F1369">
        <f>IFERROR(__xludf.DUMMYFUNCTION("""COMPUTED_VALUE"""),11.7)</f>
        <v>11.7</v>
      </c>
    </row>
    <row r="1370">
      <c r="D1370" t="str">
        <f>IFERROR(__xludf.DUMMYFUNCTION("""COMPUTED_VALUE"""),"Matthews")</f>
        <v>Matthews</v>
      </c>
      <c r="E1370" t="str">
        <f>IFERROR(__xludf.DUMMYFUNCTION("""COMPUTED_VALUE"""),"Rishard")</f>
        <v>Rishard</v>
      </c>
      <c r="F1370">
        <f>IFERROR(__xludf.DUMMYFUNCTION("""COMPUTED_VALUE"""),11.85)</f>
        <v>11.85</v>
      </c>
    </row>
    <row r="1371">
      <c r="D1371" t="str">
        <f>IFERROR(__xludf.DUMMYFUNCTION("""COMPUTED_VALUE"""),"Matungulu")</f>
        <v>Matungulu</v>
      </c>
      <c r="E1371" t="str">
        <f>IFERROR(__xludf.DUMMYFUNCTION("""COMPUTED_VALUE"""),"Helva")</f>
        <v>Helva</v>
      </c>
      <c r="F1371">
        <f>IFERROR(__xludf.DUMMYFUNCTION("""COMPUTED_VALUE"""),8.7)</f>
        <v>8.7</v>
      </c>
    </row>
    <row r="1372">
      <c r="D1372" t="str">
        <f>IFERROR(__xludf.DUMMYFUNCTION("""COMPUTED_VALUE"""),"Maualuga")</f>
        <v>Maualuga</v>
      </c>
      <c r="E1372" t="str">
        <f>IFERROR(__xludf.DUMMYFUNCTION("""COMPUTED_VALUE"""),"Rey")</f>
        <v>Rey</v>
      </c>
      <c r="F1372">
        <f>IFERROR(__xludf.DUMMYFUNCTION("""COMPUTED_VALUE"""),12.6)</f>
        <v>12.6</v>
      </c>
    </row>
    <row r="1373">
      <c r="D1373" t="str">
        <f>IFERROR(__xludf.DUMMYFUNCTION("""COMPUTED_VALUE"""),"Mauga")</f>
        <v>Mauga</v>
      </c>
      <c r="E1373" t="str">
        <f>IFERROR(__xludf.DUMMYFUNCTION("""COMPUTED_VALUE"""),"Josh")</f>
        <v>Josh</v>
      </c>
      <c r="F1373">
        <f>IFERROR(__xludf.DUMMYFUNCTION("""COMPUTED_VALUE"""),11.549999999999999)</f>
        <v>11.55</v>
      </c>
    </row>
    <row r="1374">
      <c r="D1374" t="str">
        <f>IFERROR(__xludf.DUMMYFUNCTION("""COMPUTED_VALUE"""),"Mauldin IV")</f>
        <v>Mauldin IV</v>
      </c>
      <c r="E1374" t="str">
        <f>IFERROR(__xludf.DUMMYFUNCTION("""COMPUTED_VALUE"""),"Lorenzo")</f>
        <v>Lorenzo</v>
      </c>
      <c r="F1374">
        <f>IFERROR(__xludf.DUMMYFUNCTION("""COMPUTED_VALUE"""),10.5)</f>
        <v>10.5</v>
      </c>
    </row>
    <row r="1375">
      <c r="D1375" t="str">
        <f>IFERROR(__xludf.DUMMYFUNCTION("""COMPUTED_VALUE"""),"Mauro")</f>
        <v>Mauro</v>
      </c>
      <c r="E1375" t="str">
        <f>IFERROR(__xludf.DUMMYFUNCTION("""COMPUTED_VALUE"""),"Josh")</f>
        <v>Josh</v>
      </c>
      <c r="F1375">
        <f>IFERROR(__xludf.DUMMYFUNCTION("""COMPUTED_VALUE"""),9.15)</f>
        <v>9.15</v>
      </c>
    </row>
    <row r="1376">
      <c r="D1376" t="str">
        <f>IFERROR(__xludf.DUMMYFUNCTION("""COMPUTED_VALUE"""),"Mauti")</f>
        <v>Mauti</v>
      </c>
      <c r="E1376" t="str">
        <f>IFERROR(__xludf.DUMMYFUNCTION("""COMPUTED_VALUE"""),"Michael")</f>
        <v>Michael</v>
      </c>
      <c r="F1376">
        <f>IFERROR(__xludf.DUMMYFUNCTION("""COMPUTED_VALUE"""),10.2)</f>
        <v>10.2</v>
      </c>
    </row>
    <row r="1377">
      <c r="D1377" t="str">
        <f>IFERROR(__xludf.DUMMYFUNCTION("""COMPUTED_VALUE"""),"Maxey")</f>
        <v>Maxey</v>
      </c>
      <c r="E1377" t="str">
        <f>IFERROR(__xludf.DUMMYFUNCTION("""COMPUTED_VALUE"""),"Johnny")</f>
        <v>Johnny</v>
      </c>
      <c r="F1377">
        <f>IFERROR(__xludf.DUMMYFUNCTION("""COMPUTED_VALUE"""),8.549999999999999)</f>
        <v>8.55</v>
      </c>
    </row>
    <row r="1378">
      <c r="D1378" t="str">
        <f>IFERROR(__xludf.DUMMYFUNCTION("""COMPUTED_VALUE"""),"Maxwell")</f>
        <v>Maxwell</v>
      </c>
      <c r="E1378" t="str">
        <f>IFERROR(__xludf.DUMMYFUNCTION("""COMPUTED_VALUE"""),"Byron")</f>
        <v>Byron</v>
      </c>
      <c r="F1378">
        <f>IFERROR(__xludf.DUMMYFUNCTION("""COMPUTED_VALUE"""),11.4)</f>
        <v>11.4</v>
      </c>
    </row>
    <row r="1379">
      <c r="D1379" t="str">
        <f>IFERROR(__xludf.DUMMYFUNCTION("""COMPUTED_VALUE"""),"Maye")</f>
        <v>Maye</v>
      </c>
      <c r="E1379" t="str">
        <f>IFERROR(__xludf.DUMMYFUNCTION("""COMPUTED_VALUE"""),"KJ")</f>
        <v>KJ</v>
      </c>
      <c r="F1379">
        <f>IFERROR(__xludf.DUMMYFUNCTION("""COMPUTED_VALUE"""),9.15)</f>
        <v>9.15</v>
      </c>
    </row>
    <row r="1380">
      <c r="D1380" t="str">
        <f>IFERROR(__xludf.DUMMYFUNCTION("""COMPUTED_VALUE"""),"Mayes")</f>
        <v>Mayes</v>
      </c>
      <c r="E1380" t="str">
        <f>IFERROR(__xludf.DUMMYFUNCTION("""COMPUTED_VALUE"""),"Chris")</f>
        <v>Chris</v>
      </c>
      <c r="F1380">
        <f>IFERROR(__xludf.DUMMYFUNCTION("""COMPUTED_VALUE"""),9.15)</f>
        <v>9.15</v>
      </c>
    </row>
    <row r="1381">
      <c r="D1381" t="str">
        <f>IFERROR(__xludf.DUMMYFUNCTION("""COMPUTED_VALUE"""),"Mayle")</f>
        <v>Mayle</v>
      </c>
      <c r="E1381" t="str">
        <f>IFERROR(__xludf.DUMMYFUNCTION("""COMPUTED_VALUE"""),"Vince")</f>
        <v>Vince</v>
      </c>
      <c r="F1381">
        <f>IFERROR(__xludf.DUMMYFUNCTION("""COMPUTED_VALUE"""),9.9)</f>
        <v>9.9</v>
      </c>
    </row>
    <row r="1382">
      <c r="D1382" t="str">
        <f>IFERROR(__xludf.DUMMYFUNCTION("""COMPUTED_VALUE"""),"Mayo")</f>
        <v>Mayo</v>
      </c>
      <c r="E1382" t="str">
        <f>IFERROR(__xludf.DUMMYFUNCTION("""COMPUTED_VALUE"""),"David")</f>
        <v>David</v>
      </c>
      <c r="F1382">
        <f>IFERROR(__xludf.DUMMYFUNCTION("""COMPUTED_VALUE"""),9.6)</f>
        <v>9.6</v>
      </c>
    </row>
    <row r="1383">
      <c r="D1383" t="str">
        <f>IFERROR(__xludf.DUMMYFUNCTION("""COMPUTED_VALUE"""),"Mayowa")</f>
        <v>Mayowa</v>
      </c>
      <c r="E1383" t="str">
        <f>IFERROR(__xludf.DUMMYFUNCTION("""COMPUTED_VALUE"""),"Benson")</f>
        <v>Benson</v>
      </c>
      <c r="F1383">
        <f>IFERROR(__xludf.DUMMYFUNCTION("""COMPUTED_VALUE"""),10.2)</f>
        <v>10.2</v>
      </c>
    </row>
    <row r="1384">
      <c r="D1384" t="str">
        <f>IFERROR(__xludf.DUMMYFUNCTION("""COMPUTED_VALUE"""),"Mbu")</f>
        <v>Mbu</v>
      </c>
      <c r="E1384" t="str">
        <f>IFERROR(__xludf.DUMMYFUNCTION("""COMPUTED_VALUE"""),"Joey")</f>
        <v>Joey</v>
      </c>
      <c r="F1384">
        <f>IFERROR(__xludf.DUMMYFUNCTION("""COMPUTED_VALUE"""),8.85)</f>
        <v>8.85</v>
      </c>
    </row>
    <row r="1385">
      <c r="D1385" t="str">
        <f>IFERROR(__xludf.DUMMYFUNCTION("""COMPUTED_VALUE"""),"McAfee")</f>
        <v>McAfee</v>
      </c>
      <c r="E1385" t="str">
        <f>IFERROR(__xludf.DUMMYFUNCTION("""COMPUTED_VALUE"""),"Pat")</f>
        <v>Pat</v>
      </c>
      <c r="F1385">
        <f>IFERROR(__xludf.DUMMYFUNCTION("""COMPUTED_VALUE"""),12.9)</f>
        <v>12.9</v>
      </c>
    </row>
    <row r="1386">
      <c r="D1386" t="str">
        <f>IFERROR(__xludf.DUMMYFUNCTION("""COMPUTED_VALUE"""),"McBride")</f>
        <v>McBride</v>
      </c>
      <c r="E1386" t="str">
        <f>IFERROR(__xludf.DUMMYFUNCTION("""COMPUTED_VALUE"""),"Tre")</f>
        <v>Tre</v>
      </c>
      <c r="F1386">
        <f>IFERROR(__xludf.DUMMYFUNCTION("""COMPUTED_VALUE"""),9.75)</f>
        <v>9.75</v>
      </c>
    </row>
    <row r="1387">
      <c r="D1387" t="str">
        <f>IFERROR(__xludf.DUMMYFUNCTION("""COMPUTED_VALUE"""),"McCaffrey")</f>
        <v>McCaffrey</v>
      </c>
      <c r="E1387" t="str">
        <f>IFERROR(__xludf.DUMMYFUNCTION("""COMPUTED_VALUE"""),"Max")</f>
        <v>Max</v>
      </c>
      <c r="F1387">
        <f>IFERROR(__xludf.DUMMYFUNCTION("""COMPUTED_VALUE"""),9.45)</f>
        <v>9.45</v>
      </c>
    </row>
    <row r="1388">
      <c r="D1388" t="str">
        <f>IFERROR(__xludf.DUMMYFUNCTION("""COMPUTED_VALUE"""),"McCain")</f>
        <v>McCain</v>
      </c>
      <c r="E1388" t="str">
        <f>IFERROR(__xludf.DUMMYFUNCTION("""COMPUTED_VALUE"""),"Bobby")</f>
        <v>Bobby</v>
      </c>
      <c r="F1388">
        <f>IFERROR(__xludf.DUMMYFUNCTION("""COMPUTED_VALUE"""),10.65)</f>
        <v>10.65</v>
      </c>
    </row>
    <row r="1389">
      <c r="D1389" t="str">
        <f>IFERROR(__xludf.DUMMYFUNCTION("""COMPUTED_VALUE"""),"McCain")</f>
        <v>McCain</v>
      </c>
      <c r="E1389" t="str">
        <f>IFERROR(__xludf.DUMMYFUNCTION("""COMPUTED_VALUE"""),"Brice")</f>
        <v>Brice</v>
      </c>
      <c r="F1389">
        <f>IFERROR(__xludf.DUMMYFUNCTION("""COMPUTED_VALUE"""),11.7)</f>
        <v>11.7</v>
      </c>
    </row>
    <row r="1390">
      <c r="D1390" t="str">
        <f>IFERROR(__xludf.DUMMYFUNCTION("""COMPUTED_VALUE"""),"McCain")</f>
        <v>McCain</v>
      </c>
      <c r="E1390" t="str">
        <f>IFERROR(__xludf.DUMMYFUNCTION("""COMPUTED_VALUE"""),"Chris")</f>
        <v>Chris</v>
      </c>
      <c r="F1390">
        <f>IFERROR(__xludf.DUMMYFUNCTION("""COMPUTED_VALUE"""),9.6)</f>
        <v>9.6</v>
      </c>
    </row>
    <row r="1391">
      <c r="D1391" t="str">
        <f>IFERROR(__xludf.DUMMYFUNCTION("""COMPUTED_VALUE"""),"McCalister")</f>
        <v>McCalister</v>
      </c>
      <c r="E1391" t="str">
        <f>IFERROR(__xludf.DUMMYFUNCTION("""COMPUTED_VALUE"""),"Alex")</f>
        <v>Alex</v>
      </c>
      <c r="F1391">
        <f>IFERROR(__xludf.DUMMYFUNCTION("""COMPUTED_VALUE"""),9.0)</f>
        <v>9</v>
      </c>
    </row>
    <row r="1392">
      <c r="D1392" t="str">
        <f>IFERROR(__xludf.DUMMYFUNCTION("""COMPUTED_VALUE"""),"McCants")</f>
        <v>McCants</v>
      </c>
      <c r="E1392" t="str">
        <f>IFERROR(__xludf.DUMMYFUNCTION("""COMPUTED_VALUE"""),"Matthew")</f>
        <v>Matthew</v>
      </c>
      <c r="F1392">
        <f>IFERROR(__xludf.DUMMYFUNCTION("""COMPUTED_VALUE"""),10.65)</f>
        <v>10.65</v>
      </c>
    </row>
    <row r="1393">
      <c r="D1393" t="str">
        <f>IFERROR(__xludf.DUMMYFUNCTION("""COMPUTED_VALUE"""),"McCarron")</f>
        <v>McCarron</v>
      </c>
      <c r="E1393" t="str">
        <f>IFERROR(__xludf.DUMMYFUNCTION("""COMPUTED_VALUE"""),"AJ")</f>
        <v>AJ</v>
      </c>
      <c r="F1393">
        <f>IFERROR(__xludf.DUMMYFUNCTION("""COMPUTED_VALUE"""),10.95)</f>
        <v>10.95</v>
      </c>
    </row>
    <row r="1394">
      <c r="D1394" t="str">
        <f>IFERROR(__xludf.DUMMYFUNCTION("""COMPUTED_VALUE"""),"McClain")</f>
        <v>McClain</v>
      </c>
      <c r="E1394" t="str">
        <f>IFERROR(__xludf.DUMMYFUNCTION("""COMPUTED_VALUE"""),"Antoine")</f>
        <v>Antoine</v>
      </c>
      <c r="F1394">
        <f>IFERROR(__xludf.DUMMYFUNCTION("""COMPUTED_VALUE"""),9.6)</f>
        <v>9.6</v>
      </c>
    </row>
    <row r="1395">
      <c r="D1395" t="str">
        <f>IFERROR(__xludf.DUMMYFUNCTION("""COMPUTED_VALUE"""),"McClain")</f>
        <v>McClain</v>
      </c>
      <c r="E1395" t="str">
        <f>IFERROR(__xludf.DUMMYFUNCTION("""COMPUTED_VALUE"""),"Robert")</f>
        <v>Robert</v>
      </c>
      <c r="F1395">
        <f>IFERROR(__xludf.DUMMYFUNCTION("""COMPUTED_VALUE"""),10.65)</f>
        <v>10.65</v>
      </c>
    </row>
    <row r="1396">
      <c r="D1396" t="str">
        <f>IFERROR(__xludf.DUMMYFUNCTION("""COMPUTED_VALUE"""),"McClain")</f>
        <v>McClain</v>
      </c>
      <c r="E1396" t="str">
        <f>IFERROR(__xludf.DUMMYFUNCTION("""COMPUTED_VALUE"""),"Rolando")</f>
        <v>Rolando</v>
      </c>
      <c r="F1396">
        <f>IFERROR(__xludf.DUMMYFUNCTION("""COMPUTED_VALUE"""),12.15)</f>
        <v>12.15</v>
      </c>
    </row>
    <row r="1397">
      <c r="D1397" t="str">
        <f>IFERROR(__xludf.DUMMYFUNCTION("""COMPUTED_VALUE"""),"McClain")</f>
        <v>McClain</v>
      </c>
      <c r="E1397" t="str">
        <f>IFERROR(__xludf.DUMMYFUNCTION("""COMPUTED_VALUE"""),"Terrell")</f>
        <v>Terrell</v>
      </c>
      <c r="F1397">
        <f>IFERROR(__xludf.DUMMYFUNCTION("""COMPUTED_VALUE"""),10.95)</f>
        <v>10.95</v>
      </c>
    </row>
    <row r="1398">
      <c r="D1398" t="str">
        <f>IFERROR(__xludf.DUMMYFUNCTION("""COMPUTED_VALUE"""),"McClellan")</f>
        <v>McClellan</v>
      </c>
      <c r="E1398" t="str">
        <f>IFERROR(__xludf.DUMMYFUNCTION("""COMPUTED_VALUE"""),"Albert")</f>
        <v>Albert</v>
      </c>
      <c r="F1398">
        <f>IFERROR(__xludf.DUMMYFUNCTION("""COMPUTED_VALUE"""),10.5)</f>
        <v>10.5</v>
      </c>
    </row>
    <row r="1399">
      <c r="D1399" t="str">
        <f>IFERROR(__xludf.DUMMYFUNCTION("""COMPUTED_VALUE"""),"McClellin")</f>
        <v>McClellin</v>
      </c>
      <c r="E1399" t="str">
        <f>IFERROR(__xludf.DUMMYFUNCTION("""COMPUTED_VALUE"""),"Shea")</f>
        <v>Shea</v>
      </c>
      <c r="F1399">
        <f>IFERROR(__xludf.DUMMYFUNCTION("""COMPUTED_VALUE"""),11.549999999999999)</f>
        <v>11.55</v>
      </c>
    </row>
    <row r="1400">
      <c r="D1400" t="str">
        <f>IFERROR(__xludf.DUMMYFUNCTION("""COMPUTED_VALUE"""),"McClendon")</f>
        <v>McClendon</v>
      </c>
      <c r="E1400" t="str">
        <f>IFERROR(__xludf.DUMMYFUNCTION("""COMPUTED_VALUE"""),"Jacques")</f>
        <v>Jacques</v>
      </c>
      <c r="F1400">
        <f>IFERROR(__xludf.DUMMYFUNCTION("""COMPUTED_VALUE"""),10.5)</f>
        <v>10.5</v>
      </c>
    </row>
    <row r="1401">
      <c r="D1401" t="str">
        <f>IFERROR(__xludf.DUMMYFUNCTION("""COMPUTED_VALUE"""),"McClure")</f>
        <v>McClure</v>
      </c>
      <c r="E1401" t="str">
        <f>IFERROR(__xludf.DUMMYFUNCTION("""COMPUTED_VALUE"""),"Stefan")</f>
        <v>Stefan</v>
      </c>
      <c r="F1401">
        <f>IFERROR(__xludf.DUMMYFUNCTION("""COMPUTED_VALUE"""),9.0)</f>
        <v>9</v>
      </c>
    </row>
    <row r="1402">
      <c r="D1402" t="str">
        <f>IFERROR(__xludf.DUMMYFUNCTION("""COMPUTED_VALUE"""),"McCluster")</f>
        <v>McCluster</v>
      </c>
      <c r="E1402" t="str">
        <f>IFERROR(__xludf.DUMMYFUNCTION("""COMPUTED_VALUE"""),"Dexter")</f>
        <v>Dexter</v>
      </c>
      <c r="F1402">
        <f>IFERROR(__xludf.DUMMYFUNCTION("""COMPUTED_VALUE"""),10.95)</f>
        <v>10.95</v>
      </c>
    </row>
    <row r="1403">
      <c r="D1403" t="str">
        <f>IFERROR(__xludf.DUMMYFUNCTION("""COMPUTED_VALUE"""),"McCourty")</f>
        <v>McCourty</v>
      </c>
      <c r="E1403" t="str">
        <f>IFERROR(__xludf.DUMMYFUNCTION("""COMPUTED_VALUE"""),"Devin")</f>
        <v>Devin</v>
      </c>
      <c r="F1403">
        <f>IFERROR(__xludf.DUMMYFUNCTION("""COMPUTED_VALUE"""),13.65)</f>
        <v>13.65</v>
      </c>
    </row>
    <row r="1404">
      <c r="D1404" t="str">
        <f>IFERROR(__xludf.DUMMYFUNCTION("""COMPUTED_VALUE"""),"McCourty")</f>
        <v>McCourty</v>
      </c>
      <c r="E1404" t="str">
        <f>IFERROR(__xludf.DUMMYFUNCTION("""COMPUTED_VALUE"""),"Jason")</f>
        <v>Jason</v>
      </c>
      <c r="F1404">
        <f>IFERROR(__xludf.DUMMYFUNCTION("""COMPUTED_VALUE"""),12.0)</f>
        <v>12</v>
      </c>
    </row>
    <row r="1405">
      <c r="D1405" t="str">
        <f>IFERROR(__xludf.DUMMYFUNCTION("""COMPUTED_VALUE"""),"McCown")</f>
        <v>McCown</v>
      </c>
      <c r="E1405" t="str">
        <f>IFERROR(__xludf.DUMMYFUNCTION("""COMPUTED_VALUE"""),"Josh")</f>
        <v>Josh</v>
      </c>
      <c r="F1405">
        <f>IFERROR(__xludf.DUMMYFUNCTION("""COMPUTED_VALUE"""),10.65)</f>
        <v>10.65</v>
      </c>
    </row>
    <row r="1406">
      <c r="D1406" t="str">
        <f>IFERROR(__xludf.DUMMYFUNCTION("""COMPUTED_VALUE"""),"McCown")</f>
        <v>McCown</v>
      </c>
      <c r="E1406" t="str">
        <f>IFERROR(__xludf.DUMMYFUNCTION("""COMPUTED_VALUE"""),"Luke")</f>
        <v>Luke</v>
      </c>
      <c r="F1406">
        <f>IFERROR(__xludf.DUMMYFUNCTION("""COMPUTED_VALUE"""),10.65)</f>
        <v>10.65</v>
      </c>
    </row>
    <row r="1407">
      <c r="D1407" t="str">
        <f>IFERROR(__xludf.DUMMYFUNCTION("""COMPUTED_VALUE"""),"McCoy")</f>
        <v>McCoy</v>
      </c>
      <c r="E1407" t="str">
        <f>IFERROR(__xludf.DUMMYFUNCTION("""COMPUTED_VALUE"""),"Colt")</f>
        <v>Colt</v>
      </c>
      <c r="F1407">
        <f>IFERROR(__xludf.DUMMYFUNCTION("""COMPUTED_VALUE"""),10.2)</f>
        <v>10.2</v>
      </c>
    </row>
    <row r="1408">
      <c r="D1408" t="str">
        <f>IFERROR(__xludf.DUMMYFUNCTION("""COMPUTED_VALUE"""),"McCoy")</f>
        <v>McCoy</v>
      </c>
      <c r="E1408" t="str">
        <f>IFERROR(__xludf.DUMMYFUNCTION("""COMPUTED_VALUE"""),"Gerald")</f>
        <v>Gerald</v>
      </c>
      <c r="F1408">
        <f>IFERROR(__xludf.DUMMYFUNCTION("""COMPUTED_VALUE"""),13.799999999999999)</f>
        <v>13.8</v>
      </c>
    </row>
    <row r="1409">
      <c r="D1409" t="str">
        <f>IFERROR(__xludf.DUMMYFUNCTION("""COMPUTED_VALUE"""),"McCoy")</f>
        <v>McCoy</v>
      </c>
      <c r="E1409" t="str">
        <f>IFERROR(__xludf.DUMMYFUNCTION("""COMPUTED_VALUE"""),"LeSean")</f>
        <v>LeSean</v>
      </c>
      <c r="F1409">
        <f>IFERROR(__xludf.DUMMYFUNCTION("""COMPUTED_VALUE"""),12.9)</f>
        <v>12.9</v>
      </c>
    </row>
    <row r="1410">
      <c r="D1410" t="str">
        <f>IFERROR(__xludf.DUMMYFUNCTION("""COMPUTED_VALUE"""),"McCray")</f>
        <v>McCray</v>
      </c>
      <c r="E1410" t="str">
        <f>IFERROR(__xludf.DUMMYFUNCTION("""COMPUTED_VALUE"""),"Demetrius")</f>
        <v>Demetrius</v>
      </c>
      <c r="F1410">
        <f>IFERROR(__xludf.DUMMYFUNCTION("""COMPUTED_VALUE"""),10.95)</f>
        <v>10.95</v>
      </c>
    </row>
    <row r="1411">
      <c r="D1411" t="str">
        <f>IFERROR(__xludf.DUMMYFUNCTION("""COMPUTED_VALUE"""),"McCray")</f>
        <v>McCray</v>
      </c>
      <c r="E1411" t="str">
        <f>IFERROR(__xludf.DUMMYFUNCTION("""COMPUTED_VALUE"""),"Kelcie")</f>
        <v>Kelcie</v>
      </c>
      <c r="F1411">
        <f>IFERROR(__xludf.DUMMYFUNCTION("""COMPUTED_VALUE"""),9.9)</f>
        <v>9.9</v>
      </c>
    </row>
    <row r="1412">
      <c r="D1412" t="str">
        <f>IFERROR(__xludf.DUMMYFUNCTION("""COMPUTED_VALUE"""),"McCray")</f>
        <v>McCray</v>
      </c>
      <c r="E1412" t="str">
        <f>IFERROR(__xludf.DUMMYFUNCTION("""COMPUTED_VALUE"""),"Lerentee")</f>
        <v>Lerentee</v>
      </c>
      <c r="F1412">
        <f>IFERROR(__xludf.DUMMYFUNCTION("""COMPUTED_VALUE"""),10.65)</f>
        <v>10.65</v>
      </c>
    </row>
    <row r="1413">
      <c r="D1413" t="str">
        <f>IFERROR(__xludf.DUMMYFUNCTION("""COMPUTED_VALUE"""),"McCray II")</f>
        <v>McCray II</v>
      </c>
      <c r="E1413" t="str">
        <f>IFERROR(__xludf.DUMMYFUNCTION("""COMPUTED_VALUE"""),"LJ")</f>
        <v>LJ</v>
      </c>
      <c r="F1413">
        <f>IFERROR(__xludf.DUMMYFUNCTION("""COMPUTED_VALUE"""),9.75)</f>
        <v>9.75</v>
      </c>
    </row>
    <row r="1414">
      <c r="D1414" t="str">
        <f>IFERROR(__xludf.DUMMYFUNCTION("""COMPUTED_VALUE"""),"McCullers")</f>
        <v>McCullers</v>
      </c>
      <c r="E1414" t="str">
        <f>IFERROR(__xludf.DUMMYFUNCTION("""COMPUTED_VALUE"""),"Daniel")</f>
        <v>Daniel</v>
      </c>
      <c r="F1414">
        <f>IFERROR(__xludf.DUMMYFUNCTION("""COMPUTED_VALUE"""),9.9)</f>
        <v>9.9</v>
      </c>
    </row>
    <row r="1415">
      <c r="D1415" t="str">
        <f>IFERROR(__xludf.DUMMYFUNCTION("""COMPUTED_VALUE"""),"McDermott")</f>
        <v>McDermott</v>
      </c>
      <c r="E1415" t="str">
        <f>IFERROR(__xludf.DUMMYFUNCTION("""COMPUTED_VALUE"""),"Kevin")</f>
        <v>Kevin</v>
      </c>
      <c r="F1415">
        <f>IFERROR(__xludf.DUMMYFUNCTION("""COMPUTED_VALUE"""),7.5)</f>
        <v>7.5</v>
      </c>
    </row>
    <row r="1416">
      <c r="D1416" t="str">
        <f>IFERROR(__xludf.DUMMYFUNCTION("""COMPUTED_VALUE"""),"McDermott")</f>
        <v>McDermott</v>
      </c>
      <c r="E1416" t="str">
        <f>IFERROR(__xludf.DUMMYFUNCTION("""COMPUTED_VALUE"""),"Shane")</f>
        <v>Shane</v>
      </c>
      <c r="F1416">
        <f>IFERROR(__xludf.DUMMYFUNCTION("""COMPUTED_VALUE"""),9.299999999999999)</f>
        <v>9.3</v>
      </c>
    </row>
    <row r="1417">
      <c r="D1417" t="str">
        <f>IFERROR(__xludf.DUMMYFUNCTION("""COMPUTED_VALUE"""),"McDonald")</f>
        <v>McDonald</v>
      </c>
      <c r="E1417" t="str">
        <f>IFERROR(__xludf.DUMMYFUNCTION("""COMPUTED_VALUE"""),"Andrew")</f>
        <v>Andrew</v>
      </c>
      <c r="F1417">
        <f>IFERROR(__xludf.DUMMYFUNCTION("""COMPUTED_VALUE"""),10.5)</f>
        <v>10.5</v>
      </c>
    </row>
    <row r="1418">
      <c r="D1418" t="str">
        <f>IFERROR(__xludf.DUMMYFUNCTION("""COMPUTED_VALUE"""),"McDonald")</f>
        <v>McDonald</v>
      </c>
      <c r="E1418" t="str">
        <f>IFERROR(__xludf.DUMMYFUNCTION("""COMPUTED_VALUE"""),"Clinton")</f>
        <v>Clinton</v>
      </c>
      <c r="F1418">
        <f>IFERROR(__xludf.DUMMYFUNCTION("""COMPUTED_VALUE"""),11.549999999999999)</f>
        <v>11.55</v>
      </c>
    </row>
    <row r="1419">
      <c r="D1419" t="str">
        <f>IFERROR(__xludf.DUMMYFUNCTION("""COMPUTED_VALUE"""),"McDonald")</f>
        <v>McDonald</v>
      </c>
      <c r="E1419" t="str">
        <f>IFERROR(__xludf.DUMMYFUNCTION("""COMPUTED_VALUE"""),"Dewey")</f>
        <v>Dewey</v>
      </c>
      <c r="F1419">
        <f>IFERROR(__xludf.DUMMYFUNCTION("""COMPUTED_VALUE"""),9.75)</f>
        <v>9.75</v>
      </c>
    </row>
    <row r="1420">
      <c r="D1420" t="str">
        <f>IFERROR(__xludf.DUMMYFUNCTION("""COMPUTED_VALUE"""),"McDonald")</f>
        <v>McDonald</v>
      </c>
      <c r="E1420" t="str">
        <f>IFERROR(__xludf.DUMMYFUNCTION("""COMPUTED_VALUE"""),"Dexter")</f>
        <v>Dexter</v>
      </c>
      <c r="F1420">
        <f>IFERROR(__xludf.DUMMYFUNCTION("""COMPUTED_VALUE"""),9.15)</f>
        <v>9.15</v>
      </c>
    </row>
    <row r="1421">
      <c r="D1421" t="str">
        <f>IFERROR(__xludf.DUMMYFUNCTION("""COMPUTED_VALUE"""),"McDonald")</f>
        <v>McDonald</v>
      </c>
      <c r="E1421" t="str">
        <f>IFERROR(__xludf.DUMMYFUNCTION("""COMPUTED_VALUE"""),"Vance")</f>
        <v>Vance</v>
      </c>
      <c r="F1421">
        <f>IFERROR(__xludf.DUMMYFUNCTION("""COMPUTED_VALUE"""),11.7)</f>
        <v>11.7</v>
      </c>
    </row>
    <row r="1422">
      <c r="D1422" t="str">
        <f>IFERROR(__xludf.DUMMYFUNCTION("""COMPUTED_VALUE"""),"McDonald Jr.")</f>
        <v>McDonald Jr.</v>
      </c>
      <c r="E1422" t="str">
        <f>IFERROR(__xludf.DUMMYFUNCTION("""COMPUTED_VALUE"""),"TJ")</f>
        <v>TJ</v>
      </c>
      <c r="F1422">
        <f>IFERROR(__xludf.DUMMYFUNCTION("""COMPUTED_VALUE"""),12.45)</f>
        <v>12.45</v>
      </c>
    </row>
    <row r="1423">
      <c r="D1423" t="str">
        <f>IFERROR(__xludf.DUMMYFUNCTION("""COMPUTED_VALUE"""),"McDougald")</f>
        <v>McDougald</v>
      </c>
      <c r="E1423" t="str">
        <f>IFERROR(__xludf.DUMMYFUNCTION("""COMPUTED_VALUE"""),"Bradley")</f>
        <v>Bradley</v>
      </c>
      <c r="F1423">
        <f>IFERROR(__xludf.DUMMYFUNCTION("""COMPUTED_VALUE"""),11.549999999999999)</f>
        <v>11.55</v>
      </c>
    </row>
    <row r="1424">
      <c r="D1424" t="str">
        <f>IFERROR(__xludf.DUMMYFUNCTION("""COMPUTED_VALUE"""),"McDougle")</f>
        <v>McDougle</v>
      </c>
      <c r="E1424" t="str">
        <f>IFERROR(__xludf.DUMMYFUNCTION("""COMPUTED_VALUE"""),"Dexter")</f>
        <v>Dexter</v>
      </c>
      <c r="F1424">
        <f>IFERROR(__xludf.DUMMYFUNCTION("""COMPUTED_VALUE"""),10.2)</f>
        <v>10.2</v>
      </c>
    </row>
    <row r="1425">
      <c r="D1425" t="str">
        <f>IFERROR(__xludf.DUMMYFUNCTION("""COMPUTED_VALUE"""),"McFadden")</f>
        <v>McFadden</v>
      </c>
      <c r="E1425" t="str">
        <f>IFERROR(__xludf.DUMMYFUNCTION("""COMPUTED_VALUE"""),"Darren")</f>
        <v>Darren</v>
      </c>
      <c r="F1425">
        <f>IFERROR(__xludf.DUMMYFUNCTION("""COMPUTED_VALUE"""),11.85)</f>
        <v>11.85</v>
      </c>
    </row>
    <row r="1426">
      <c r="D1426" t="str">
        <f>IFERROR(__xludf.DUMMYFUNCTION("""COMPUTED_VALUE"""),"McFadden")</f>
        <v>McFadden</v>
      </c>
      <c r="E1426" t="str">
        <f>IFERROR(__xludf.DUMMYFUNCTION("""COMPUTED_VALUE"""),"Kimario")</f>
        <v>Kimario</v>
      </c>
      <c r="F1426">
        <f>IFERROR(__xludf.DUMMYFUNCTION("""COMPUTED_VALUE"""),9.45)</f>
        <v>9.45</v>
      </c>
    </row>
    <row r="1427">
      <c r="D1427" t="str">
        <f>IFERROR(__xludf.DUMMYFUNCTION("""COMPUTED_VALUE"""),"McFadden")</f>
        <v>McFadden</v>
      </c>
      <c r="E1427" t="str">
        <f>IFERROR(__xludf.DUMMYFUNCTION("""COMPUTED_VALUE"""),"Leon")</f>
        <v>Leon</v>
      </c>
      <c r="F1427">
        <f>IFERROR(__xludf.DUMMYFUNCTION("""COMPUTED_VALUE"""),10.65)</f>
        <v>10.65</v>
      </c>
    </row>
    <row r="1428">
      <c r="D1428" t="str">
        <f>IFERROR(__xludf.DUMMYFUNCTION("""COMPUTED_VALUE"""),"McGee")</f>
        <v>McGee</v>
      </c>
      <c r="E1428" t="str">
        <f>IFERROR(__xludf.DUMMYFUNCTION("""COMPUTED_VALUE"""),"Stacy")</f>
        <v>Stacy</v>
      </c>
      <c r="F1428">
        <f>IFERROR(__xludf.DUMMYFUNCTION("""COMPUTED_VALUE"""),9.45)</f>
        <v>9.45</v>
      </c>
    </row>
    <row r="1429">
      <c r="D1429" t="str">
        <f>IFERROR(__xludf.DUMMYFUNCTION("""COMPUTED_VALUE"""),"McGill")</f>
        <v>McGill</v>
      </c>
      <c r="E1429" t="str">
        <f>IFERROR(__xludf.DUMMYFUNCTION("""COMPUTED_VALUE"""),"Keith")</f>
        <v>Keith</v>
      </c>
      <c r="F1429">
        <f>IFERROR(__xludf.DUMMYFUNCTION("""COMPUTED_VALUE"""),9.9)</f>
        <v>9.9</v>
      </c>
    </row>
    <row r="1430">
      <c r="D1430" t="str">
        <f>IFERROR(__xludf.DUMMYFUNCTION("""COMPUTED_VALUE"""),"McGill")</f>
        <v>McGill</v>
      </c>
      <c r="E1430" t="str">
        <f>IFERROR(__xludf.DUMMYFUNCTION("""COMPUTED_VALUE"""),"TY")</f>
        <v>TY</v>
      </c>
      <c r="F1430">
        <f>IFERROR(__xludf.DUMMYFUNCTION("""COMPUTED_VALUE"""),9.15)</f>
        <v>9.15</v>
      </c>
    </row>
    <row r="1431">
      <c r="D1431" t="str">
        <f>IFERROR(__xludf.DUMMYFUNCTION("""COMPUTED_VALUE"""),"McGloin")</f>
        <v>McGloin</v>
      </c>
      <c r="E1431" t="str">
        <f>IFERROR(__xludf.DUMMYFUNCTION("""COMPUTED_VALUE"""),"Matt")</f>
        <v>Matt</v>
      </c>
      <c r="F1431">
        <f>IFERROR(__xludf.DUMMYFUNCTION("""COMPUTED_VALUE"""),9.6)</f>
        <v>9.6</v>
      </c>
    </row>
    <row r="1432">
      <c r="D1432" t="str">
        <f>IFERROR(__xludf.DUMMYFUNCTION("""COMPUTED_VALUE"""),"McGovern")</f>
        <v>McGovern</v>
      </c>
      <c r="E1432" t="str">
        <f>IFERROR(__xludf.DUMMYFUNCTION("""COMPUTED_VALUE"""),"Connor")</f>
        <v>Connor</v>
      </c>
      <c r="F1432">
        <f>IFERROR(__xludf.DUMMYFUNCTION("""COMPUTED_VALUE"""),9.9)</f>
        <v>9.9</v>
      </c>
    </row>
    <row r="1433">
      <c r="D1433" t="str">
        <f>IFERROR(__xludf.DUMMYFUNCTION("""COMPUTED_VALUE"""),"McGrath")</f>
        <v>McGrath</v>
      </c>
      <c r="E1433" t="str">
        <f>IFERROR(__xludf.DUMMYFUNCTION("""COMPUTED_VALUE"""),"Sean")</f>
        <v>Sean</v>
      </c>
      <c r="F1433">
        <f>IFERROR(__xludf.DUMMYFUNCTION("""COMPUTED_VALUE"""),10.5)</f>
        <v>10.5</v>
      </c>
    </row>
    <row r="1434">
      <c r="D1434" t="str">
        <f>IFERROR(__xludf.DUMMYFUNCTION("""COMPUTED_VALUE"""),"McKay")</f>
        <v>McKay</v>
      </c>
      <c r="E1434" t="str">
        <f>IFERROR(__xludf.DUMMYFUNCTION("""COMPUTED_VALUE"""),"Mekale")</f>
        <v>Mekale</v>
      </c>
      <c r="F1434">
        <f>IFERROR(__xludf.DUMMYFUNCTION("""COMPUTED_VALUE"""),9.45)</f>
        <v>9.45</v>
      </c>
    </row>
    <row r="1435">
      <c r="D1435" t="str">
        <f>IFERROR(__xludf.DUMMYFUNCTION("""COMPUTED_VALUE"""),"McKelvin")</f>
        <v>McKelvin</v>
      </c>
      <c r="E1435" t="str">
        <f>IFERROR(__xludf.DUMMYFUNCTION("""COMPUTED_VALUE"""),"Leodis")</f>
        <v>Leodis</v>
      </c>
      <c r="F1435">
        <f>IFERROR(__xludf.DUMMYFUNCTION("""COMPUTED_VALUE"""),10.95)</f>
        <v>10.95</v>
      </c>
    </row>
    <row r="1436">
      <c r="D1436" t="str">
        <f>IFERROR(__xludf.DUMMYFUNCTION("""COMPUTED_VALUE"""),"McKinney")</f>
        <v>McKinney</v>
      </c>
      <c r="E1436" t="str">
        <f>IFERROR(__xludf.DUMMYFUNCTION("""COMPUTED_VALUE"""),"Benardrick")</f>
        <v>Benardrick</v>
      </c>
      <c r="F1436">
        <f>IFERROR(__xludf.DUMMYFUNCTION("""COMPUTED_VALUE"""),11.549999999999999)</f>
        <v>11.55</v>
      </c>
    </row>
    <row r="1437">
      <c r="D1437" t="str">
        <f>IFERROR(__xludf.DUMMYFUNCTION("""COMPUTED_VALUE"""),"McKinnon")</f>
        <v>McKinnon</v>
      </c>
      <c r="E1437" t="str">
        <f>IFERROR(__xludf.DUMMYFUNCTION("""COMPUTED_VALUE"""),"Jerick")</f>
        <v>Jerick</v>
      </c>
      <c r="F1437">
        <f>IFERROR(__xludf.DUMMYFUNCTION("""COMPUTED_VALUE"""),11.4)</f>
        <v>11.4</v>
      </c>
    </row>
    <row r="1438">
      <c r="D1438" t="str">
        <f>IFERROR(__xludf.DUMMYFUNCTION("""COMPUTED_VALUE"""),"McKinzy")</f>
        <v>McKinzy</v>
      </c>
      <c r="E1438" t="str">
        <f>IFERROR(__xludf.DUMMYFUNCTION("""COMPUTED_VALUE"""),"Cassanova")</f>
        <v>Cassanova</v>
      </c>
      <c r="F1438">
        <f>IFERROR(__xludf.DUMMYFUNCTION("""COMPUTED_VALUE"""),8.549999999999999)</f>
        <v>8.55</v>
      </c>
    </row>
    <row r="1439">
      <c r="D1439" t="str">
        <f>IFERROR(__xludf.DUMMYFUNCTION("""COMPUTED_VALUE"""),"McKissic")</f>
        <v>McKissic</v>
      </c>
      <c r="E1439" t="str">
        <f>IFERROR(__xludf.DUMMYFUNCTION("""COMPUTED_VALUE"""),"JD")</f>
        <v>JD</v>
      </c>
      <c r="F1439">
        <f>IFERROR(__xludf.DUMMYFUNCTION("""COMPUTED_VALUE"""),9.299999999999999)</f>
        <v>9.3</v>
      </c>
    </row>
    <row r="1440">
      <c r="D1440" t="str">
        <f>IFERROR(__xludf.DUMMYFUNCTION("""COMPUTED_VALUE"""),"McLendon")</f>
        <v>McLendon</v>
      </c>
      <c r="E1440" t="str">
        <f>IFERROR(__xludf.DUMMYFUNCTION("""COMPUTED_VALUE"""),"Steve")</f>
        <v>Steve</v>
      </c>
      <c r="F1440">
        <f>IFERROR(__xludf.DUMMYFUNCTION("""COMPUTED_VALUE"""),11.7)</f>
        <v>11.7</v>
      </c>
    </row>
    <row r="1441">
      <c r="D1441" t="str">
        <f>IFERROR(__xludf.DUMMYFUNCTION("""COMPUTED_VALUE"""),"McLennan")</f>
        <v>McLennan</v>
      </c>
      <c r="E1441" t="str">
        <f>IFERROR(__xludf.DUMMYFUNCTION("""COMPUTED_VALUE"""),"Ivan")</f>
        <v>Ivan</v>
      </c>
      <c r="F1441">
        <f>IFERROR(__xludf.DUMMYFUNCTION("""COMPUTED_VALUE"""),9.15)</f>
        <v>9.15</v>
      </c>
    </row>
    <row r="1442">
      <c r="D1442" t="str">
        <f>IFERROR(__xludf.DUMMYFUNCTION("""COMPUTED_VALUE"""),"McLeod Jr.")</f>
        <v>McLeod Jr.</v>
      </c>
      <c r="E1442" t="str">
        <f>IFERROR(__xludf.DUMMYFUNCTION("""COMPUTED_VALUE"""),"Rodney")</f>
        <v>Rodney</v>
      </c>
      <c r="F1442">
        <f>IFERROR(__xludf.DUMMYFUNCTION("""COMPUTED_VALUE"""),12.15)</f>
        <v>12.15</v>
      </c>
    </row>
    <row r="1443">
      <c r="D1443" t="str">
        <f>IFERROR(__xludf.DUMMYFUNCTION("""COMPUTED_VALUE"""),"McManis")</f>
        <v>McManis</v>
      </c>
      <c r="E1443" t="str">
        <f>IFERROR(__xludf.DUMMYFUNCTION("""COMPUTED_VALUE"""),"Sherrick")</f>
        <v>Sherrick</v>
      </c>
      <c r="F1443">
        <f>IFERROR(__xludf.DUMMYFUNCTION("""COMPUTED_VALUE"""),10.35)</f>
        <v>10.35</v>
      </c>
    </row>
    <row r="1444">
      <c r="D1444" t="str">
        <f>IFERROR(__xludf.DUMMYFUNCTION("""COMPUTED_VALUE"""),"McManus")</f>
        <v>McManus</v>
      </c>
      <c r="E1444" t="str">
        <f>IFERROR(__xludf.DUMMYFUNCTION("""COMPUTED_VALUE"""),"Brandon")</f>
        <v>Brandon</v>
      </c>
      <c r="F1444">
        <f>IFERROR(__xludf.DUMMYFUNCTION("""COMPUTED_VALUE"""),12.299999999999999)</f>
        <v>12.3</v>
      </c>
    </row>
    <row r="1445">
      <c r="D1445" t="str">
        <f>IFERROR(__xludf.DUMMYFUNCTION("""COMPUTED_VALUE"""),"McNary")</f>
        <v>McNary</v>
      </c>
      <c r="E1445" t="str">
        <f>IFERROR(__xludf.DUMMYFUNCTION("""COMPUTED_VALUE"""),"Josh")</f>
        <v>Josh</v>
      </c>
      <c r="F1445">
        <f>IFERROR(__xludf.DUMMYFUNCTION("""COMPUTED_VALUE"""),10.65)</f>
        <v>10.65</v>
      </c>
    </row>
    <row r="1446">
      <c r="D1446" t="str">
        <f>IFERROR(__xludf.DUMMYFUNCTION("""COMPUTED_VALUE"""),"McPhee")</f>
        <v>McPhee</v>
      </c>
      <c r="E1446" t="str">
        <f>IFERROR(__xludf.DUMMYFUNCTION("""COMPUTED_VALUE"""),"Pernell")</f>
        <v>Pernell</v>
      </c>
      <c r="F1446">
        <f>IFERROR(__xludf.DUMMYFUNCTION("""COMPUTED_VALUE"""),13.799999999999999)</f>
        <v>13.8</v>
      </c>
    </row>
    <row r="1447">
      <c r="D1447" t="str">
        <f>IFERROR(__xludf.DUMMYFUNCTION("""COMPUTED_VALUE"""),"McQuaide")</f>
        <v>McQuaide</v>
      </c>
      <c r="E1447" t="str">
        <f>IFERROR(__xludf.DUMMYFUNCTION("""COMPUTED_VALUE"""),"Jake")</f>
        <v>Jake</v>
      </c>
      <c r="F1447">
        <f>IFERROR(__xludf.DUMMYFUNCTION("""COMPUTED_VALUE"""),6.6)</f>
        <v>6.6</v>
      </c>
    </row>
    <row r="1448">
      <c r="D1448" t="str">
        <f>IFERROR(__xludf.DUMMYFUNCTION("""COMPUTED_VALUE"""),"McRoberts")</f>
        <v>McRoberts</v>
      </c>
      <c r="E1448" t="str">
        <f>IFERROR(__xludf.DUMMYFUNCTION("""COMPUTED_VALUE"""),"Paul")</f>
        <v>Paul</v>
      </c>
      <c r="F1448">
        <f>IFERROR(__xludf.DUMMYFUNCTION("""COMPUTED_VALUE"""),9.299999999999999)</f>
        <v>9.3</v>
      </c>
    </row>
    <row r="1449">
      <c r="D1449" t="str">
        <f>IFERROR(__xludf.DUMMYFUNCTION("""COMPUTED_VALUE"""),"Means")</f>
        <v>Means</v>
      </c>
      <c r="E1449" t="str">
        <f>IFERROR(__xludf.DUMMYFUNCTION("""COMPUTED_VALUE"""),"Steven")</f>
        <v>Steven</v>
      </c>
      <c r="F1449">
        <f>IFERROR(__xludf.DUMMYFUNCTION("""COMPUTED_VALUE"""),9.75)</f>
        <v>9.75</v>
      </c>
    </row>
    <row r="1450">
      <c r="D1450" t="str">
        <f>IFERROR(__xludf.DUMMYFUNCTION("""COMPUTED_VALUE"""),"Mebane")</f>
        <v>Mebane</v>
      </c>
      <c r="E1450" t="str">
        <f>IFERROR(__xludf.DUMMYFUNCTION("""COMPUTED_VALUE"""),"Brandon")</f>
        <v>Brandon</v>
      </c>
      <c r="F1450">
        <f>IFERROR(__xludf.DUMMYFUNCTION("""COMPUTED_VALUE"""),12.0)</f>
        <v>12</v>
      </c>
    </row>
    <row r="1451">
      <c r="D1451" t="str">
        <f>IFERROR(__xludf.DUMMYFUNCTION("""COMPUTED_VALUE"""),"Meder")</f>
        <v>Meder</v>
      </c>
      <c r="E1451" t="str">
        <f>IFERROR(__xludf.DUMMYFUNCTION("""COMPUTED_VALUE"""),"Jamie")</f>
        <v>Jamie</v>
      </c>
      <c r="F1451">
        <f>IFERROR(__xludf.DUMMYFUNCTION("""COMPUTED_VALUE"""),10.35)</f>
        <v>10.35</v>
      </c>
    </row>
    <row r="1452">
      <c r="D1452" t="str">
        <f>IFERROR(__xludf.DUMMYFUNCTION("""COMPUTED_VALUE"""),"Meeks")</f>
        <v>Meeks</v>
      </c>
      <c r="E1452" t="str">
        <f>IFERROR(__xludf.DUMMYFUNCTION("""COMPUTED_VALUE"""),"Jonathan")</f>
        <v>Jonathan</v>
      </c>
      <c r="F1452">
        <f>IFERROR(__xludf.DUMMYFUNCTION("""COMPUTED_VALUE"""),9.6)</f>
        <v>9.6</v>
      </c>
    </row>
    <row r="1453">
      <c r="D1453" t="str">
        <f>IFERROR(__xludf.DUMMYFUNCTION("""COMPUTED_VALUE"""),"Melvin")</f>
        <v>Melvin</v>
      </c>
      <c r="E1453" t="str">
        <f>IFERROR(__xludf.DUMMYFUNCTION("""COMPUTED_VALUE"""),"Rashaan")</f>
        <v>Rashaan</v>
      </c>
      <c r="F1453">
        <f>IFERROR(__xludf.DUMMYFUNCTION("""COMPUTED_VALUE"""),10.35)</f>
        <v>10.35</v>
      </c>
    </row>
    <row r="1454">
      <c r="D1454" t="str">
        <f>IFERROR(__xludf.DUMMYFUNCTION("""COMPUTED_VALUE"""),"Mercilus")</f>
        <v>Mercilus</v>
      </c>
      <c r="E1454" t="str">
        <f>IFERROR(__xludf.DUMMYFUNCTION("""COMPUTED_VALUE"""),"Whitney")</f>
        <v>Whitney</v>
      </c>
      <c r="F1454">
        <f>IFERROR(__xludf.DUMMYFUNCTION("""COMPUTED_VALUE"""),13.2)</f>
        <v>13.2</v>
      </c>
    </row>
    <row r="1455">
      <c r="D1455" t="str">
        <f>IFERROR(__xludf.DUMMYFUNCTION("""COMPUTED_VALUE"""),"Meredith")</f>
        <v>Meredith</v>
      </c>
      <c r="E1455" t="str">
        <f>IFERROR(__xludf.DUMMYFUNCTION("""COMPUTED_VALUE"""),"Cameron")</f>
        <v>Cameron</v>
      </c>
      <c r="F1455">
        <f>IFERROR(__xludf.DUMMYFUNCTION("""COMPUTED_VALUE"""),9.6)</f>
        <v>9.6</v>
      </c>
    </row>
    <row r="1456">
      <c r="D1456" t="str">
        <f>IFERROR(__xludf.DUMMYFUNCTION("""COMPUTED_VALUE"""),"Mettenberger")</f>
        <v>Mettenberger</v>
      </c>
      <c r="E1456" t="str">
        <f>IFERROR(__xludf.DUMMYFUNCTION("""COMPUTED_VALUE"""),"Zach")</f>
        <v>Zach</v>
      </c>
      <c r="F1456">
        <f>IFERROR(__xludf.DUMMYFUNCTION("""COMPUTED_VALUE"""),9.9)</f>
        <v>9.9</v>
      </c>
    </row>
    <row r="1457">
      <c r="D1457" t="str">
        <f>IFERROR(__xludf.DUMMYFUNCTION("""COMPUTED_VALUE"""),"Mewhort")</f>
        <v>Mewhort</v>
      </c>
      <c r="E1457" t="str">
        <f>IFERROR(__xludf.DUMMYFUNCTION("""COMPUTED_VALUE"""),"Jack")</f>
        <v>Jack</v>
      </c>
      <c r="F1457">
        <f>IFERROR(__xludf.DUMMYFUNCTION("""COMPUTED_VALUE"""),12.75)</f>
        <v>12.75</v>
      </c>
    </row>
    <row r="1458">
      <c r="D1458" t="str">
        <f>IFERROR(__xludf.DUMMYFUNCTION("""COMPUTED_VALUE"""),"Michael")</f>
        <v>Michael</v>
      </c>
      <c r="E1458" t="str">
        <f>IFERROR(__xludf.DUMMYFUNCTION("""COMPUTED_VALUE"""),"Christine")</f>
        <v>Christine</v>
      </c>
      <c r="F1458">
        <f>IFERROR(__xludf.DUMMYFUNCTION("""COMPUTED_VALUE"""),10.65)</f>
        <v>10.65</v>
      </c>
    </row>
    <row r="1459">
      <c r="D1459" t="str">
        <f>IFERROR(__xludf.DUMMYFUNCTION("""COMPUTED_VALUE"""),"Mihalik")</f>
        <v>Mihalik</v>
      </c>
      <c r="E1459" t="str">
        <f>IFERROR(__xludf.DUMMYFUNCTION("""COMPUTED_VALUE"""),"Brian")</f>
        <v>Brian</v>
      </c>
      <c r="F1459">
        <f>IFERROR(__xludf.DUMMYFUNCTION("""COMPUTED_VALUE"""),9.75)</f>
        <v>9.75</v>
      </c>
    </row>
    <row r="1460">
      <c r="D1460" t="str">
        <f>IFERROR(__xludf.DUMMYFUNCTION("""COMPUTED_VALUE"""),"Miles")</f>
        <v>Miles</v>
      </c>
      <c r="E1460" t="str">
        <f>IFERROR(__xludf.DUMMYFUNCTION("""COMPUTED_VALUE"""),"Rontez")</f>
        <v>Rontez</v>
      </c>
      <c r="F1460">
        <f>IFERROR(__xludf.DUMMYFUNCTION("""COMPUTED_VALUE"""),10.95)</f>
        <v>10.95</v>
      </c>
    </row>
    <row r="1461">
      <c r="D1461" t="str">
        <f>IFERROR(__xludf.DUMMYFUNCTION("""COMPUTED_VALUE"""),"Milhouse")</f>
        <v>Milhouse</v>
      </c>
      <c r="E1461" t="str">
        <f>IFERROR(__xludf.DUMMYFUNCTION("""COMPUTED_VALUE"""),"Greg")</f>
        <v>Greg</v>
      </c>
      <c r="F1461">
        <f>IFERROR(__xludf.DUMMYFUNCTION("""COMPUTED_VALUE"""),9.299999999999999)</f>
        <v>9.3</v>
      </c>
    </row>
    <row r="1462">
      <c r="D1462" t="str">
        <f>IFERROR(__xludf.DUMMYFUNCTION("""COMPUTED_VALUE"""),"Millard")</f>
        <v>Millard</v>
      </c>
      <c r="E1462" t="str">
        <f>IFERROR(__xludf.DUMMYFUNCTION("""COMPUTED_VALUE"""),"Trey")</f>
        <v>Trey</v>
      </c>
      <c r="F1462">
        <f>IFERROR(__xludf.DUMMYFUNCTION("""COMPUTED_VALUE"""),9.6)</f>
        <v>9.6</v>
      </c>
    </row>
    <row r="1463">
      <c r="D1463" t="str">
        <f>IFERROR(__xludf.DUMMYFUNCTION("""COMPUTED_VALUE"""),"Miller")</f>
        <v>Miller</v>
      </c>
      <c r="E1463" t="str">
        <f>IFERROR(__xludf.DUMMYFUNCTION("""COMPUTED_VALUE"""),"Braxton")</f>
        <v>Braxton</v>
      </c>
      <c r="F1463">
        <f>IFERROR(__xludf.DUMMYFUNCTION("""COMPUTED_VALUE"""),10.65)</f>
        <v>10.65</v>
      </c>
    </row>
    <row r="1464">
      <c r="D1464" t="str">
        <f>IFERROR(__xludf.DUMMYFUNCTION("""COMPUTED_VALUE"""),"Miller")</f>
        <v>Miller</v>
      </c>
      <c r="E1464" t="str">
        <f>IFERROR(__xludf.DUMMYFUNCTION("""COMPUTED_VALUE"""),"Bruce")</f>
        <v>Bruce</v>
      </c>
      <c r="F1464">
        <f>IFERROR(__xludf.DUMMYFUNCTION("""COMPUTED_VALUE"""),11.549999999999999)</f>
        <v>11.55</v>
      </c>
    </row>
    <row r="1465">
      <c r="D1465" t="str">
        <f>IFERROR(__xludf.DUMMYFUNCTION("""COMPUTED_VALUE"""),"Miller")</f>
        <v>Miller</v>
      </c>
      <c r="E1465" t="str">
        <f>IFERROR(__xludf.DUMMYFUNCTION("""COMPUTED_VALUE"""),"Harlan")</f>
        <v>Harlan</v>
      </c>
      <c r="F1465">
        <f>IFERROR(__xludf.DUMMYFUNCTION("""COMPUTED_VALUE"""),9.299999999999999)</f>
        <v>9.3</v>
      </c>
    </row>
    <row r="1466">
      <c r="D1466" t="str">
        <f>IFERROR(__xludf.DUMMYFUNCTION("""COMPUTED_VALUE"""),"Miller")</f>
        <v>Miller</v>
      </c>
      <c r="E1466" t="str">
        <f>IFERROR(__xludf.DUMMYFUNCTION("""COMPUTED_VALUE"""),"John")</f>
        <v>John</v>
      </c>
      <c r="F1466">
        <f>IFERROR(__xludf.DUMMYFUNCTION("""COMPUTED_VALUE"""),10.35)</f>
        <v>10.35</v>
      </c>
    </row>
    <row r="1467">
      <c r="D1467" t="str">
        <f>IFERROR(__xludf.DUMMYFUNCTION("""COMPUTED_VALUE"""),"Miller")</f>
        <v>Miller</v>
      </c>
      <c r="E1467" t="str">
        <f>IFERROR(__xludf.DUMMYFUNCTION("""COMPUTED_VALUE"""),"Lamar")</f>
        <v>Lamar</v>
      </c>
      <c r="F1467">
        <f>IFERROR(__xludf.DUMMYFUNCTION("""COMPUTED_VALUE"""),13.2)</f>
        <v>13.2</v>
      </c>
    </row>
    <row r="1468">
      <c r="D1468" t="str">
        <f>IFERROR(__xludf.DUMMYFUNCTION("""COMPUTED_VALUE"""),"Miller")</f>
        <v>Miller</v>
      </c>
      <c r="E1468" t="str">
        <f>IFERROR(__xludf.DUMMYFUNCTION("""COMPUTED_VALUE"""),"Von")</f>
        <v>Von</v>
      </c>
      <c r="F1468">
        <f>IFERROR(__xludf.DUMMYFUNCTION("""COMPUTED_VALUE"""),14.85)</f>
        <v>14.85</v>
      </c>
    </row>
    <row r="1469">
      <c r="D1469" t="str">
        <f>IFERROR(__xludf.DUMMYFUNCTION("""COMPUTED_VALUE"""),"Miller")</f>
        <v>Miller</v>
      </c>
      <c r="E1469" t="str">
        <f>IFERROR(__xludf.DUMMYFUNCTION("""COMPUTED_VALUE"""),"Zach")</f>
        <v>Zach</v>
      </c>
      <c r="F1469">
        <f>IFERROR(__xludf.DUMMYFUNCTION("""COMPUTED_VALUE"""),11.7)</f>
        <v>11.7</v>
      </c>
    </row>
    <row r="1470">
      <c r="D1470" t="str">
        <f>IFERROR(__xludf.DUMMYFUNCTION("""COMPUTED_VALUE"""),"Miller III")</f>
        <v>Miller III</v>
      </c>
      <c r="E1470" t="str">
        <f>IFERROR(__xludf.DUMMYFUNCTION("""COMPUTED_VALUE"""),"Roy")</f>
        <v>Roy</v>
      </c>
      <c r="F1470">
        <f>IFERROR(__xludf.DUMMYFUNCTION("""COMPUTED_VALUE"""),11.7)</f>
        <v>11.7</v>
      </c>
    </row>
    <row r="1471">
      <c r="D1471" t="str">
        <f>IFERROR(__xludf.DUMMYFUNCTION("""COMPUTED_VALUE"""),"Milliner")</f>
        <v>Milliner</v>
      </c>
      <c r="E1471" t="str">
        <f>IFERROR(__xludf.DUMMYFUNCTION("""COMPUTED_VALUE"""),"Dee")</f>
        <v>Dee</v>
      </c>
      <c r="F1471">
        <f>IFERROR(__xludf.DUMMYFUNCTION("""COMPUTED_VALUE"""),10.65)</f>
        <v>10.65</v>
      </c>
    </row>
    <row r="1472">
      <c r="D1472" t="str">
        <f>IFERROR(__xludf.DUMMYFUNCTION("""COMPUTED_VALUE"""),"Mills")</f>
        <v>Mills</v>
      </c>
      <c r="E1472" t="str">
        <f>IFERROR(__xludf.DUMMYFUNCTION("""COMPUTED_VALUE"""),"Jalen")</f>
        <v>Jalen</v>
      </c>
      <c r="F1472">
        <f>IFERROR(__xludf.DUMMYFUNCTION("""COMPUTED_VALUE"""),9.45)</f>
        <v>9.45</v>
      </c>
    </row>
    <row r="1473">
      <c r="D1473" t="str">
        <f>IFERROR(__xludf.DUMMYFUNCTION("""COMPUTED_VALUE"""),"Mills")</f>
        <v>Mills</v>
      </c>
      <c r="E1473" t="str">
        <f>IFERROR(__xludf.DUMMYFUNCTION("""COMPUTED_VALUE"""),"Jordan")</f>
        <v>Jordan</v>
      </c>
      <c r="F1473">
        <f>IFERROR(__xludf.DUMMYFUNCTION("""COMPUTED_VALUE"""),10.95)</f>
        <v>10.95</v>
      </c>
    </row>
    <row r="1474">
      <c r="D1474" t="str">
        <f>IFERROR(__xludf.DUMMYFUNCTION("""COMPUTED_VALUE"""),"Milton")</f>
        <v>Milton</v>
      </c>
      <c r="E1474" t="str">
        <f>IFERROR(__xludf.DUMMYFUNCTION("""COMPUTED_VALUE"""),"Keavon")</f>
        <v>Keavon</v>
      </c>
      <c r="F1474">
        <f>IFERROR(__xludf.DUMMYFUNCTION("""COMPUTED_VALUE"""),9.6)</f>
        <v>9.6</v>
      </c>
    </row>
    <row r="1475">
      <c r="D1475" t="str">
        <f>IFERROR(__xludf.DUMMYFUNCTION("""COMPUTED_VALUE"""),"Mims II")</f>
        <v>Mims II</v>
      </c>
      <c r="E1475" t="str">
        <f>IFERROR(__xludf.DUMMYFUNCTION("""COMPUTED_VALUE"""),"David")</f>
        <v>David</v>
      </c>
      <c r="F1475">
        <f>IFERROR(__xludf.DUMMYFUNCTION("""COMPUTED_VALUE"""),9.15)</f>
        <v>9.15</v>
      </c>
    </row>
    <row r="1476">
      <c r="D1476" t="str">
        <f>IFERROR(__xludf.DUMMYFUNCTION("""COMPUTED_VALUE"""),"Mingo")</f>
        <v>Mingo</v>
      </c>
      <c r="E1476" t="str">
        <f>IFERROR(__xludf.DUMMYFUNCTION("""COMPUTED_VALUE"""),"Barkevious")</f>
        <v>Barkevious</v>
      </c>
      <c r="F1476">
        <f>IFERROR(__xludf.DUMMYFUNCTION("""COMPUTED_VALUE"""),11.4)</f>
        <v>11.4</v>
      </c>
    </row>
    <row r="1477">
      <c r="D1477" t="str">
        <f>IFERROR(__xludf.DUMMYFUNCTION("""COMPUTED_VALUE"""),"Minter")</f>
        <v>Minter</v>
      </c>
      <c r="E1477" t="str">
        <f>IFERROR(__xludf.DUMMYFUNCTION("""COMPUTED_VALUE"""),"Kevin")</f>
        <v>Kevin</v>
      </c>
      <c r="F1477">
        <f>IFERROR(__xludf.DUMMYFUNCTION("""COMPUTED_VALUE"""),11.1)</f>
        <v>11.1</v>
      </c>
    </row>
    <row r="1478">
      <c r="D1478" t="str">
        <f>IFERROR(__xludf.DUMMYFUNCTION("""COMPUTED_VALUE"""),"Misi")</f>
        <v>Misi</v>
      </c>
      <c r="E1478" t="str">
        <f>IFERROR(__xludf.DUMMYFUNCTION("""COMPUTED_VALUE"""),"Koa")</f>
        <v>Koa</v>
      </c>
      <c r="F1478">
        <f>IFERROR(__xludf.DUMMYFUNCTION("""COMPUTED_VALUE"""),12.75)</f>
        <v>12.75</v>
      </c>
    </row>
    <row r="1479">
      <c r="D1479" t="str">
        <f>IFERROR(__xludf.DUMMYFUNCTION("""COMPUTED_VALUE"""),"Mitchel")</f>
        <v>Mitchel</v>
      </c>
      <c r="E1479" t="str">
        <f>IFERROR(__xludf.DUMMYFUNCTION("""COMPUTED_VALUE"""),"Tevin")</f>
        <v>Tevin</v>
      </c>
      <c r="F1479">
        <f>IFERROR(__xludf.DUMMYFUNCTION("""COMPUTED_VALUE"""),9.6)</f>
        <v>9.6</v>
      </c>
    </row>
    <row r="1480">
      <c r="D1480" t="str">
        <f>IFERROR(__xludf.DUMMYFUNCTION("""COMPUTED_VALUE"""),"Mitchell")</f>
        <v>Mitchell</v>
      </c>
      <c r="E1480" t="str">
        <f>IFERROR(__xludf.DUMMYFUNCTION("""COMPUTED_VALUE"""),"Earl")</f>
        <v>Earl</v>
      </c>
      <c r="F1480">
        <f>IFERROR(__xludf.DUMMYFUNCTION("""COMPUTED_VALUE"""),11.1)</f>
        <v>11.1</v>
      </c>
    </row>
    <row r="1481">
      <c r="D1481" t="str">
        <f>IFERROR(__xludf.DUMMYFUNCTION("""COMPUTED_VALUE"""),"Mitchell")</f>
        <v>Mitchell</v>
      </c>
      <c r="E1481" t="str">
        <f>IFERROR(__xludf.DUMMYFUNCTION("""COMPUTED_VALUE"""),"Malcolm")</f>
        <v>Malcolm</v>
      </c>
      <c r="F1481">
        <f>IFERROR(__xludf.DUMMYFUNCTION("""COMPUTED_VALUE"""),10.049999999999999)</f>
        <v>10.05</v>
      </c>
    </row>
    <row r="1482">
      <c r="D1482" t="str">
        <f>IFERROR(__xludf.DUMMYFUNCTION("""COMPUTED_VALUE"""),"Mitchell")</f>
        <v>Mitchell</v>
      </c>
      <c r="E1482" t="str">
        <f>IFERROR(__xludf.DUMMYFUNCTION("""COMPUTED_VALUE"""),"Mike")</f>
        <v>Mike</v>
      </c>
      <c r="F1482">
        <f>IFERROR(__xludf.DUMMYFUNCTION("""COMPUTED_VALUE"""),12.6)</f>
        <v>12.6</v>
      </c>
    </row>
    <row r="1483">
      <c r="D1483" t="str">
        <f>IFERROR(__xludf.DUMMYFUNCTION("""COMPUTED_VALUE"""),"Moala")</f>
        <v>Moala</v>
      </c>
      <c r="E1483" t="str">
        <f>IFERROR(__xludf.DUMMYFUNCTION("""COMPUTED_VALUE"""),"David")</f>
        <v>David</v>
      </c>
      <c r="F1483">
        <f>IFERROR(__xludf.DUMMYFUNCTION("""COMPUTED_VALUE"""),8.7)</f>
        <v>8.7</v>
      </c>
    </row>
    <row r="1484">
      <c r="D1484" t="str">
        <f>IFERROR(__xludf.DUMMYFUNCTION("""COMPUTED_VALUE"""),"Moats")</f>
        <v>Moats</v>
      </c>
      <c r="E1484" t="str">
        <f>IFERROR(__xludf.DUMMYFUNCTION("""COMPUTED_VALUE"""),"Arthur")</f>
        <v>Arthur</v>
      </c>
      <c r="F1484">
        <f>IFERROR(__xludf.DUMMYFUNCTION("""COMPUTED_VALUE"""),11.7)</f>
        <v>11.7</v>
      </c>
    </row>
    <row r="1485">
      <c r="D1485" t="str">
        <f>IFERROR(__xludf.DUMMYFUNCTION("""COMPUTED_VALUE"""),"Moeaki")</f>
        <v>Moeaki</v>
      </c>
      <c r="E1485" t="str">
        <f>IFERROR(__xludf.DUMMYFUNCTION("""COMPUTED_VALUE"""),"Tony")</f>
        <v>Tony</v>
      </c>
      <c r="F1485">
        <f>IFERROR(__xludf.DUMMYFUNCTION("""COMPUTED_VALUE"""),10.65)</f>
        <v>10.65</v>
      </c>
    </row>
    <row r="1486">
      <c r="D1486" t="str">
        <f>IFERROR(__xludf.DUMMYFUNCTION("""COMPUTED_VALUE"""),"Momah")</f>
        <v>Momah</v>
      </c>
      <c r="E1486" t="str">
        <f>IFERROR(__xludf.DUMMYFUNCTION("""COMPUTED_VALUE"""),"Ifeanyi")</f>
        <v>Ifeanyi</v>
      </c>
      <c r="F1486">
        <f>IFERROR(__xludf.DUMMYFUNCTION("""COMPUTED_VALUE"""),9.9)</f>
        <v>9.9</v>
      </c>
    </row>
    <row r="1487">
      <c r="D1487" t="str">
        <f>IFERROR(__xludf.DUMMYFUNCTION("""COMPUTED_VALUE"""),"Moncrief")</f>
        <v>Moncrief</v>
      </c>
      <c r="E1487" t="str">
        <f>IFERROR(__xludf.DUMMYFUNCTION("""COMPUTED_VALUE"""),"Donte")</f>
        <v>Donte</v>
      </c>
      <c r="F1487">
        <f>IFERROR(__xludf.DUMMYFUNCTION("""COMPUTED_VALUE"""),11.7)</f>
        <v>11.7</v>
      </c>
    </row>
    <row r="1488">
      <c r="D1488" t="str">
        <f>IFERROR(__xludf.DUMMYFUNCTION("""COMPUTED_VALUE"""),"Monday")</f>
        <v>Monday</v>
      </c>
      <c r="E1488" t="str">
        <f>IFERROR(__xludf.DUMMYFUNCTION("""COMPUTED_VALUE"""),"Will")</f>
        <v>Will</v>
      </c>
      <c r="F1488">
        <f>IFERROR(__xludf.DUMMYFUNCTION("""COMPUTED_VALUE"""),10.2)</f>
        <v>10.2</v>
      </c>
    </row>
    <row r="1489">
      <c r="D1489" t="str">
        <f>IFERROR(__xludf.DUMMYFUNCTION("""COMPUTED_VALUE"""),"Montgomery")</f>
        <v>Montgomery</v>
      </c>
      <c r="E1489" t="str">
        <f>IFERROR(__xludf.DUMMYFUNCTION("""COMPUTED_VALUE"""),"Ty")</f>
        <v>Ty</v>
      </c>
      <c r="F1489">
        <f>IFERROR(__xludf.DUMMYFUNCTION("""COMPUTED_VALUE"""),10.65)</f>
        <v>10.65</v>
      </c>
    </row>
    <row r="1490">
      <c r="D1490" t="str">
        <f>IFERROR(__xludf.DUMMYFUNCTION("""COMPUTED_VALUE"""),"Moore")</f>
        <v>Moore</v>
      </c>
      <c r="E1490" t="str">
        <f>IFERROR(__xludf.DUMMYFUNCTION("""COMPUTED_VALUE"""),"Chris")</f>
        <v>Chris</v>
      </c>
      <c r="F1490">
        <f>IFERROR(__xludf.DUMMYFUNCTION("""COMPUTED_VALUE"""),9.75)</f>
        <v>9.75</v>
      </c>
    </row>
    <row r="1491">
      <c r="D1491" t="str">
        <f>IFERROR(__xludf.DUMMYFUNCTION("""COMPUTED_VALUE"""),"Moore")</f>
        <v>Moore</v>
      </c>
      <c r="E1491" t="str">
        <f>IFERROR(__xludf.DUMMYFUNCTION("""COMPUTED_VALUE"""),"Corey")</f>
        <v>Corey</v>
      </c>
      <c r="F1491">
        <f>IFERROR(__xludf.DUMMYFUNCTION("""COMPUTED_VALUE"""),9.299999999999999)</f>
        <v>9.3</v>
      </c>
    </row>
    <row r="1492">
      <c r="D1492" t="str">
        <f>IFERROR(__xludf.DUMMYFUNCTION("""COMPUTED_VALUE"""),"Moore")</f>
        <v>Moore</v>
      </c>
      <c r="E1492" t="str">
        <f>IFERROR(__xludf.DUMMYFUNCTION("""COMPUTED_VALUE"""),"Damontre")</f>
        <v>Damontre</v>
      </c>
      <c r="F1492">
        <f>IFERROR(__xludf.DUMMYFUNCTION("""COMPUTED_VALUE"""),10.35)</f>
        <v>10.35</v>
      </c>
    </row>
    <row r="1493">
      <c r="D1493" t="str">
        <f>IFERROR(__xludf.DUMMYFUNCTION("""COMPUTED_VALUE"""),"Moore")</f>
        <v>Moore</v>
      </c>
      <c r="E1493" t="str">
        <f>IFERROR(__xludf.DUMMYFUNCTION("""COMPUTED_VALUE"""),"Kellen")</f>
        <v>Kellen</v>
      </c>
      <c r="F1493">
        <f>IFERROR(__xludf.DUMMYFUNCTION("""COMPUTED_VALUE"""),10.35)</f>
        <v>10.35</v>
      </c>
    </row>
    <row r="1494">
      <c r="D1494" t="str">
        <f>IFERROR(__xludf.DUMMYFUNCTION("""COMPUTED_VALUE"""),"Moore")</f>
        <v>Moore</v>
      </c>
      <c r="E1494" t="str">
        <f>IFERROR(__xludf.DUMMYFUNCTION("""COMPUTED_VALUE"""),"Marlon")</f>
        <v>Marlon</v>
      </c>
      <c r="F1494">
        <f>IFERROR(__xludf.DUMMYFUNCTION("""COMPUTED_VALUE"""),9.75)</f>
        <v>9.75</v>
      </c>
    </row>
    <row r="1495">
      <c r="D1495" t="str">
        <f>IFERROR(__xludf.DUMMYFUNCTION("""COMPUTED_VALUE"""),"Moore")</f>
        <v>Moore</v>
      </c>
      <c r="E1495" t="str">
        <f>IFERROR(__xludf.DUMMYFUNCTION("""COMPUTED_VALUE"""),"Matt")</f>
        <v>Matt</v>
      </c>
      <c r="F1495">
        <f>IFERROR(__xludf.DUMMYFUNCTION("""COMPUTED_VALUE"""),10.35)</f>
        <v>10.35</v>
      </c>
    </row>
    <row r="1496">
      <c r="D1496" t="str">
        <f>IFERROR(__xludf.DUMMYFUNCTION("""COMPUTED_VALUE"""),"Moore")</f>
        <v>Moore</v>
      </c>
      <c r="E1496" t="str">
        <f>IFERROR(__xludf.DUMMYFUNCTION("""COMPUTED_VALUE"""),"Sio")</f>
        <v>Sio</v>
      </c>
      <c r="F1496">
        <f>IFERROR(__xludf.DUMMYFUNCTION("""COMPUTED_VALUE"""),10.799999999999999)</f>
        <v>10.8</v>
      </c>
    </row>
    <row r="1497">
      <c r="D1497" t="str">
        <f>IFERROR(__xludf.DUMMYFUNCTION("""COMPUTED_VALUE"""),"Moore")</f>
        <v>Moore</v>
      </c>
      <c r="E1497" t="str">
        <f>IFERROR(__xludf.DUMMYFUNCTION("""COMPUTED_VALUE"""),"Sterling")</f>
        <v>Sterling</v>
      </c>
      <c r="F1497">
        <f>IFERROR(__xludf.DUMMYFUNCTION("""COMPUTED_VALUE"""),11.4)</f>
        <v>11.4</v>
      </c>
    </row>
    <row r="1498">
      <c r="D1498" t="str">
        <f>IFERROR(__xludf.DUMMYFUNCTION("""COMPUTED_VALUE"""),"Moore")</f>
        <v>Moore</v>
      </c>
      <c r="E1498" t="str">
        <f>IFERROR(__xludf.DUMMYFUNCTION("""COMPUTED_VALUE"""),"Zach")</f>
        <v>Zach</v>
      </c>
      <c r="F1498">
        <f>IFERROR(__xludf.DUMMYFUNCTION("""COMPUTED_VALUE"""),9.6)</f>
        <v>9.6</v>
      </c>
    </row>
    <row r="1499">
      <c r="D1499" t="str">
        <f>IFERROR(__xludf.DUMMYFUNCTION("""COMPUTED_VALUE"""),"Moore Sr.")</f>
        <v>Moore Sr.</v>
      </c>
      <c r="E1499" t="str">
        <f>IFERROR(__xludf.DUMMYFUNCTION("""COMPUTED_VALUE"""),"Rahim")</f>
        <v>Rahim</v>
      </c>
      <c r="F1499">
        <f>IFERROR(__xludf.DUMMYFUNCTION("""COMPUTED_VALUE"""),11.85)</f>
        <v>11.85</v>
      </c>
    </row>
    <row r="1500">
      <c r="D1500" t="str">
        <f>IFERROR(__xludf.DUMMYFUNCTION("""COMPUTED_VALUE"""),"Morgan")</f>
        <v>Morgan</v>
      </c>
      <c r="E1500" t="str">
        <f>IFERROR(__xludf.DUMMYFUNCTION("""COMPUTED_VALUE"""),"David")</f>
        <v>David</v>
      </c>
      <c r="F1500">
        <f>IFERROR(__xludf.DUMMYFUNCTION("""COMPUTED_VALUE"""),10.049999999999999)</f>
        <v>10.05</v>
      </c>
    </row>
    <row r="1501">
      <c r="D1501" t="str">
        <f>IFERROR(__xludf.DUMMYFUNCTION("""COMPUTED_VALUE"""),"Morgan")</f>
        <v>Morgan</v>
      </c>
      <c r="E1501" t="str">
        <f>IFERROR(__xludf.DUMMYFUNCTION("""COMPUTED_VALUE"""),"Derrick")</f>
        <v>Derrick</v>
      </c>
      <c r="F1501">
        <f>IFERROR(__xludf.DUMMYFUNCTION("""COMPUTED_VALUE"""),12.15)</f>
        <v>12.15</v>
      </c>
    </row>
    <row r="1502">
      <c r="D1502" t="str">
        <f>IFERROR(__xludf.DUMMYFUNCTION("""COMPUTED_VALUE"""),"Morgan")</f>
        <v>Morgan</v>
      </c>
      <c r="E1502" t="str">
        <f>IFERROR(__xludf.DUMMYFUNCTION("""COMPUTED_VALUE"""),"Mike")</f>
        <v>Mike</v>
      </c>
      <c r="F1502">
        <f>IFERROR(__xludf.DUMMYFUNCTION("""COMPUTED_VALUE"""),10.65)</f>
        <v>10.65</v>
      </c>
    </row>
    <row r="1503">
      <c r="D1503" t="str">
        <f>IFERROR(__xludf.DUMMYFUNCTION("""COMPUTED_VALUE"""),"Morris")</f>
        <v>Morris</v>
      </c>
      <c r="E1503" t="str">
        <f>IFERROR(__xludf.DUMMYFUNCTION("""COMPUTED_VALUE"""),"Alfred")</f>
        <v>Alfred</v>
      </c>
      <c r="F1503">
        <f>IFERROR(__xludf.DUMMYFUNCTION("""COMPUTED_VALUE"""),11.85)</f>
        <v>11.85</v>
      </c>
    </row>
    <row r="1504">
      <c r="D1504" t="str">
        <f>IFERROR(__xludf.DUMMYFUNCTION("""COMPUTED_VALUE"""),"Morris")</f>
        <v>Morris</v>
      </c>
      <c r="E1504" t="str">
        <f>IFERROR(__xludf.DUMMYFUNCTION("""COMPUTED_VALUE"""),"Darryl")</f>
        <v>Darryl</v>
      </c>
      <c r="F1504">
        <f>IFERROR(__xludf.DUMMYFUNCTION("""COMPUTED_VALUE"""),10.65)</f>
        <v>10.65</v>
      </c>
    </row>
    <row r="1505">
      <c r="D1505" t="str">
        <f>IFERROR(__xludf.DUMMYFUNCTION("""COMPUTED_VALUE"""),"Morris")</f>
        <v>Morris</v>
      </c>
      <c r="E1505" t="str">
        <f>IFERROR(__xludf.DUMMYFUNCTION("""COMPUTED_VALUE"""),"Stephen")</f>
        <v>Stephen</v>
      </c>
      <c r="F1505">
        <f>IFERROR(__xludf.DUMMYFUNCTION("""COMPUTED_VALUE"""),9.299999999999999)</f>
        <v>9.3</v>
      </c>
    </row>
    <row r="1506">
      <c r="D1506" t="str">
        <f>IFERROR(__xludf.DUMMYFUNCTION("""COMPUTED_VALUE"""),"Morrison")</f>
        <v>Morrison</v>
      </c>
      <c r="E1506" t="str">
        <f>IFERROR(__xludf.DUMMYFUNCTION("""COMPUTED_VALUE"""),"Antonio")</f>
        <v>Antonio</v>
      </c>
      <c r="F1506">
        <f>IFERROR(__xludf.DUMMYFUNCTION("""COMPUTED_VALUE"""),9.75)</f>
        <v>9.75</v>
      </c>
    </row>
    <row r="1507">
      <c r="D1507" t="str">
        <f>IFERROR(__xludf.DUMMYFUNCTION("""COMPUTED_VALUE"""),"Morse")</f>
        <v>Morse</v>
      </c>
      <c r="E1507" t="str">
        <f>IFERROR(__xludf.DUMMYFUNCTION("""COMPUTED_VALUE"""),"Mitch")</f>
        <v>Mitch</v>
      </c>
      <c r="F1507">
        <f>IFERROR(__xludf.DUMMYFUNCTION("""COMPUTED_VALUE"""),10.95)</f>
        <v>10.95</v>
      </c>
    </row>
    <row r="1508">
      <c r="D1508" t="str">
        <f>IFERROR(__xludf.DUMMYFUNCTION("""COMPUTED_VALUE"""),"Morstead")</f>
        <v>Morstead</v>
      </c>
      <c r="E1508" t="str">
        <f>IFERROR(__xludf.DUMMYFUNCTION("""COMPUTED_VALUE"""),"Thomas")</f>
        <v>Thomas</v>
      </c>
      <c r="F1508">
        <f>IFERROR(__xludf.DUMMYFUNCTION("""COMPUTED_VALUE"""),12.45)</f>
        <v>12.45</v>
      </c>
    </row>
    <row r="1509">
      <c r="D1509" t="str">
        <f>IFERROR(__xludf.DUMMYFUNCTION("""COMPUTED_VALUE"""),"Moses")</f>
        <v>Moses</v>
      </c>
      <c r="E1509" t="str">
        <f>IFERROR(__xludf.DUMMYFUNCTION("""COMPUTED_VALUE"""),"Dezman")</f>
        <v>Dezman</v>
      </c>
      <c r="F1509">
        <f>IFERROR(__xludf.DUMMYFUNCTION("""COMPUTED_VALUE"""),9.75)</f>
        <v>9.75</v>
      </c>
    </row>
    <row r="1510">
      <c r="D1510" t="str">
        <f>IFERROR(__xludf.DUMMYFUNCTION("""COMPUTED_VALUE"""),"Moses")</f>
        <v>Moses</v>
      </c>
      <c r="E1510" t="str">
        <f>IFERROR(__xludf.DUMMYFUNCTION("""COMPUTED_VALUE"""),"Morgan")</f>
        <v>Morgan</v>
      </c>
      <c r="F1510">
        <f>IFERROR(__xludf.DUMMYFUNCTION("""COMPUTED_VALUE"""),11.7)</f>
        <v>11.7</v>
      </c>
    </row>
    <row r="1511">
      <c r="D1511" t="str">
        <f>IFERROR(__xludf.DUMMYFUNCTION("""COMPUTED_VALUE"""),"Mosley")</f>
        <v>Mosley</v>
      </c>
      <c r="E1511" t="str">
        <f>IFERROR(__xludf.DUMMYFUNCTION("""COMPUTED_VALUE"""),"CJ")</f>
        <v>CJ</v>
      </c>
      <c r="F1511">
        <f>IFERROR(__xludf.DUMMYFUNCTION("""COMPUTED_VALUE"""),12.45)</f>
        <v>12.45</v>
      </c>
    </row>
    <row r="1512">
      <c r="D1512" t="str">
        <f>IFERROR(__xludf.DUMMYFUNCTION("""COMPUTED_VALUE"""),"Mostert")</f>
        <v>Mostert</v>
      </c>
      <c r="E1512" t="str">
        <f>IFERROR(__xludf.DUMMYFUNCTION("""COMPUTED_VALUE"""),"Raheem")</f>
        <v>Raheem</v>
      </c>
      <c r="F1512">
        <f>IFERROR(__xludf.DUMMYFUNCTION("""COMPUTED_VALUE"""),10.049999999999999)</f>
        <v>10.05</v>
      </c>
    </row>
    <row r="1513">
      <c r="D1513" t="str">
        <f>IFERROR(__xludf.DUMMYFUNCTION("""COMPUTED_VALUE"""),"Mount")</f>
        <v>Mount</v>
      </c>
      <c r="E1513" t="str">
        <f>IFERROR(__xludf.DUMMYFUNCTION("""COMPUTED_VALUE"""),"Deiontrez")</f>
        <v>Deiontrez</v>
      </c>
      <c r="F1513">
        <f>IFERROR(__xludf.DUMMYFUNCTION("""COMPUTED_VALUE"""),9.45)</f>
        <v>9.45</v>
      </c>
    </row>
    <row r="1514">
      <c r="D1514" t="str">
        <f>IFERROR(__xludf.DUMMYFUNCTION("""COMPUTED_VALUE"""),"Muhlbach")</f>
        <v>Muhlbach</v>
      </c>
      <c r="E1514" t="str">
        <f>IFERROR(__xludf.DUMMYFUNCTION("""COMPUTED_VALUE"""),"Don")</f>
        <v>Don</v>
      </c>
      <c r="F1514">
        <f>IFERROR(__xludf.DUMMYFUNCTION("""COMPUTED_VALUE"""),7.5)</f>
        <v>7.5</v>
      </c>
    </row>
    <row r="1515">
      <c r="D1515" t="str">
        <f>IFERROR(__xludf.DUMMYFUNCTION("""COMPUTED_VALUE"""),"Mulumba")</f>
        <v>Mulumba</v>
      </c>
      <c r="E1515" t="str">
        <f>IFERROR(__xludf.DUMMYFUNCTION("""COMPUTED_VALUE"""),"Andy")</f>
        <v>Andy</v>
      </c>
      <c r="F1515">
        <f>IFERROR(__xludf.DUMMYFUNCTION("""COMPUTED_VALUE"""),10.049999999999999)</f>
        <v>10.05</v>
      </c>
    </row>
    <row r="1516">
      <c r="D1516" t="str">
        <f>IFERROR(__xludf.DUMMYFUNCTION("""COMPUTED_VALUE"""),"Mumphery")</f>
        <v>Mumphery</v>
      </c>
      <c r="E1516" t="str">
        <f>IFERROR(__xludf.DUMMYFUNCTION("""COMPUTED_VALUE"""),"Keith")</f>
        <v>Keith</v>
      </c>
      <c r="F1516">
        <f>IFERROR(__xludf.DUMMYFUNCTION("""COMPUTED_VALUE"""),9.45)</f>
        <v>9.45</v>
      </c>
    </row>
    <row r="1517">
      <c r="D1517" t="str">
        <f>IFERROR(__xludf.DUMMYFUNCTION("""COMPUTED_VALUE"""),"Munnerlyn")</f>
        <v>Munnerlyn</v>
      </c>
      <c r="E1517" t="str">
        <f>IFERROR(__xludf.DUMMYFUNCTION("""COMPUTED_VALUE"""),"Captain")</f>
        <v>Captain</v>
      </c>
      <c r="F1517">
        <f>IFERROR(__xludf.DUMMYFUNCTION("""COMPUTED_VALUE"""),11.25)</f>
        <v>11.25</v>
      </c>
    </row>
    <row r="1518">
      <c r="D1518" t="str">
        <f>IFERROR(__xludf.DUMMYFUNCTION("""COMPUTED_VALUE"""),"Munyer")</f>
        <v>Munyer</v>
      </c>
      <c r="E1518" t="str">
        <f>IFERROR(__xludf.DUMMYFUNCTION("""COMPUTED_VALUE"""),"Daniel")</f>
        <v>Daniel</v>
      </c>
      <c r="F1518">
        <f>IFERROR(__xludf.DUMMYFUNCTION("""COMPUTED_VALUE"""),9.45)</f>
        <v>9.45</v>
      </c>
    </row>
    <row r="1519">
      <c r="D1519" t="str">
        <f>IFERROR(__xludf.DUMMYFUNCTION("""COMPUTED_VALUE"""),"Murphy")</f>
        <v>Murphy</v>
      </c>
      <c r="E1519" t="str">
        <f>IFERROR(__xludf.DUMMYFUNCTION("""COMPUTED_VALUE"""),"Kyle")</f>
        <v>Kyle</v>
      </c>
      <c r="F1519">
        <f>IFERROR(__xludf.DUMMYFUNCTION("""COMPUTED_VALUE"""),9.9)</f>
        <v>9.9</v>
      </c>
    </row>
    <row r="1520">
      <c r="D1520" t="str">
        <f>IFERROR(__xludf.DUMMYFUNCTION("""COMPUTED_VALUE"""),"Murphy")</f>
        <v>Murphy</v>
      </c>
      <c r="E1520" t="str">
        <f>IFERROR(__xludf.DUMMYFUNCTION("""COMPUTED_VALUE"""),"Louis")</f>
        <v>Louis</v>
      </c>
      <c r="F1520">
        <f>IFERROR(__xludf.DUMMYFUNCTION("""COMPUTED_VALUE"""),10.65)</f>
        <v>10.65</v>
      </c>
    </row>
    <row r="1521">
      <c r="D1521" t="str">
        <f>IFERROR(__xludf.DUMMYFUNCTION("""COMPUTED_VALUE"""),"Murphy")</f>
        <v>Murphy</v>
      </c>
      <c r="E1521" t="str">
        <f>IFERROR(__xludf.DUMMYFUNCTION("""COMPUTED_VALUE"""),"Marcus")</f>
        <v>Marcus</v>
      </c>
      <c r="F1521">
        <f>IFERROR(__xludf.DUMMYFUNCTION("""COMPUTED_VALUE"""),10.049999999999999)</f>
        <v>10.05</v>
      </c>
    </row>
    <row r="1522">
      <c r="D1522" t="str">
        <f>IFERROR(__xludf.DUMMYFUNCTION("""COMPUTED_VALUE"""),"Murphy")</f>
        <v>Murphy</v>
      </c>
      <c r="E1522" t="str">
        <f>IFERROR(__xludf.DUMMYFUNCTION("""COMPUTED_VALUE"""),"Trent")</f>
        <v>Trent</v>
      </c>
      <c r="F1522">
        <f>IFERROR(__xludf.DUMMYFUNCTION("""COMPUTED_VALUE"""),12.15)</f>
        <v>12.15</v>
      </c>
    </row>
    <row r="1523">
      <c r="D1523" t="str">
        <f>IFERROR(__xludf.DUMMYFUNCTION("""COMPUTED_VALUE"""),"Murphy")</f>
        <v>Murphy</v>
      </c>
      <c r="E1523" t="str">
        <f>IFERROR(__xludf.DUMMYFUNCTION("""COMPUTED_VALUE"""),"Tyler")</f>
        <v>Tyler</v>
      </c>
      <c r="F1523">
        <f>IFERROR(__xludf.DUMMYFUNCTION("""COMPUTED_VALUE"""),8.85)</f>
        <v>8.85</v>
      </c>
    </row>
    <row r="1524">
      <c r="D1524" t="str">
        <f>IFERROR(__xludf.DUMMYFUNCTION("""COMPUTED_VALUE"""),"Murray")</f>
        <v>Murray</v>
      </c>
      <c r="E1524" t="str">
        <f>IFERROR(__xludf.DUMMYFUNCTION("""COMPUTED_VALUE"""),"Aaron")</f>
        <v>Aaron</v>
      </c>
      <c r="F1524">
        <f>IFERROR(__xludf.DUMMYFUNCTION("""COMPUTED_VALUE"""),9.45)</f>
        <v>9.45</v>
      </c>
    </row>
    <row r="1525">
      <c r="D1525" t="str">
        <f>IFERROR(__xludf.DUMMYFUNCTION("""COMPUTED_VALUE"""),"Murray")</f>
        <v>Murray</v>
      </c>
      <c r="E1525" t="str">
        <f>IFERROR(__xludf.DUMMYFUNCTION("""COMPUTED_VALUE"""),"DeMarco")</f>
        <v>DeMarco</v>
      </c>
      <c r="F1525">
        <f>IFERROR(__xludf.DUMMYFUNCTION("""COMPUTED_VALUE"""),12.45)</f>
        <v>12.45</v>
      </c>
    </row>
    <row r="1526">
      <c r="D1526" t="str">
        <f>IFERROR(__xludf.DUMMYFUNCTION("""COMPUTED_VALUE"""),"Murray")</f>
        <v>Murray</v>
      </c>
      <c r="E1526" t="str">
        <f>IFERROR(__xludf.DUMMYFUNCTION("""COMPUTED_VALUE"""),"Eric")</f>
        <v>Eric</v>
      </c>
      <c r="F1526">
        <f>IFERROR(__xludf.DUMMYFUNCTION("""COMPUTED_VALUE"""),10.2)</f>
        <v>10.2</v>
      </c>
    </row>
    <row r="1527">
      <c r="D1527" t="str">
        <f>IFERROR(__xludf.DUMMYFUNCTION("""COMPUTED_VALUE"""),"Murray")</f>
        <v>Murray</v>
      </c>
      <c r="E1527" t="str">
        <f>IFERROR(__xludf.DUMMYFUNCTION("""COMPUTED_VALUE"""),"Justin")</f>
        <v>Justin</v>
      </c>
      <c r="F1527">
        <f>IFERROR(__xludf.DUMMYFUNCTION("""COMPUTED_VALUE"""),9.0)</f>
        <v>9</v>
      </c>
    </row>
    <row r="1528">
      <c r="D1528" t="str">
        <f>IFERROR(__xludf.DUMMYFUNCTION("""COMPUTED_VALUE"""),"Murray")</f>
        <v>Murray</v>
      </c>
      <c r="E1528" t="str">
        <f>IFERROR(__xludf.DUMMYFUNCTION("""COMPUTED_VALUE"""),"Latavius")</f>
        <v>Latavius</v>
      </c>
      <c r="F1528">
        <f>IFERROR(__xludf.DUMMYFUNCTION("""COMPUTED_VALUE"""),12.15)</f>
        <v>12.15</v>
      </c>
    </row>
    <row r="1529">
      <c r="D1529" t="str">
        <f>IFERROR(__xludf.DUMMYFUNCTION("""COMPUTED_VALUE"""),"Murray")</f>
        <v>Murray</v>
      </c>
      <c r="E1529" t="str">
        <f>IFERROR(__xludf.DUMMYFUNCTION("""COMPUTED_VALUE"""),"Patrick")</f>
        <v>Patrick</v>
      </c>
      <c r="F1529">
        <f>IFERROR(__xludf.DUMMYFUNCTION("""COMPUTED_VALUE"""),10.799999999999999)</f>
        <v>10.8</v>
      </c>
    </row>
    <row r="1530">
      <c r="D1530" t="str">
        <f>IFERROR(__xludf.DUMMYFUNCTION("""COMPUTED_VALUE"""),"Myers")</f>
        <v>Myers</v>
      </c>
      <c r="E1530" t="str">
        <f>IFERROR(__xludf.DUMMYFUNCTION("""COMPUTED_VALUE"""),"Brandon")</f>
        <v>Brandon</v>
      </c>
      <c r="F1530">
        <f>IFERROR(__xludf.DUMMYFUNCTION("""COMPUTED_VALUE"""),10.799999999999999)</f>
        <v>10.8</v>
      </c>
    </row>
    <row r="1531">
      <c r="D1531" t="str">
        <f>IFERROR(__xludf.DUMMYFUNCTION("""COMPUTED_VALUE"""),"Myers")</f>
        <v>Myers</v>
      </c>
      <c r="E1531" t="str">
        <f>IFERROR(__xludf.DUMMYFUNCTION("""COMPUTED_VALUE"""),"Jason")</f>
        <v>Jason</v>
      </c>
      <c r="F1531">
        <f>IFERROR(__xludf.DUMMYFUNCTION("""COMPUTED_VALUE"""),11.549999999999999)</f>
        <v>11.55</v>
      </c>
    </row>
    <row r="1532">
      <c r="D1532" t="str">
        <f>IFERROR(__xludf.DUMMYFUNCTION("""COMPUTED_VALUE"""),"Myers Jr.")</f>
        <v>Myers Jr.</v>
      </c>
      <c r="E1532" t="str">
        <f>IFERROR(__xludf.DUMMYFUNCTION("""COMPUTED_VALUE"""),"Robert")</f>
        <v>Robert</v>
      </c>
      <c r="F1532">
        <f>IFERROR(__xludf.DUMMYFUNCTION("""COMPUTED_VALUE"""),8.85)</f>
        <v>8.85</v>
      </c>
    </row>
    <row r="1533">
      <c r="D1533" t="str">
        <f>IFERROR(__xludf.DUMMYFUNCTION("""COMPUTED_VALUE"""),"Nassib")</f>
        <v>Nassib</v>
      </c>
      <c r="E1533" t="str">
        <f>IFERROR(__xludf.DUMMYFUNCTION("""COMPUTED_VALUE"""),"Carl")</f>
        <v>Carl</v>
      </c>
      <c r="F1533">
        <f>IFERROR(__xludf.DUMMYFUNCTION("""COMPUTED_VALUE"""),10.35)</f>
        <v>10.35</v>
      </c>
    </row>
    <row r="1534">
      <c r="D1534" t="str">
        <f>IFERROR(__xludf.DUMMYFUNCTION("""COMPUTED_VALUE"""),"Nassib")</f>
        <v>Nassib</v>
      </c>
      <c r="E1534" t="str">
        <f>IFERROR(__xludf.DUMMYFUNCTION("""COMPUTED_VALUE"""),"Ryan")</f>
        <v>Ryan</v>
      </c>
      <c r="F1534">
        <f>IFERROR(__xludf.DUMMYFUNCTION("""COMPUTED_VALUE"""),9.299999999999999)</f>
        <v>9.3</v>
      </c>
    </row>
    <row r="1535">
      <c r="D1535" t="str">
        <f>IFERROR(__xludf.DUMMYFUNCTION("""COMPUTED_VALUE"""),"Neal")</f>
        <v>Neal</v>
      </c>
      <c r="E1535" t="str">
        <f>IFERROR(__xludf.DUMMYFUNCTION("""COMPUTED_VALUE"""),"Keanu")</f>
        <v>Keanu</v>
      </c>
      <c r="F1535">
        <f>IFERROR(__xludf.DUMMYFUNCTION("""COMPUTED_VALUE"""),11.549999999999999)</f>
        <v>11.55</v>
      </c>
    </row>
    <row r="1536">
      <c r="D1536" t="str">
        <f>IFERROR(__xludf.DUMMYFUNCTION("""COMPUTED_VALUE"""),"Neasman")</f>
        <v>Neasman</v>
      </c>
      <c r="E1536" t="str">
        <f>IFERROR(__xludf.DUMMYFUNCTION("""COMPUTED_VALUE"""),"Sharrod")</f>
        <v>Sharrod</v>
      </c>
      <c r="F1536">
        <f>IFERROR(__xludf.DUMMYFUNCTION("""COMPUTED_VALUE"""),9.299999999999999)</f>
        <v>9.3</v>
      </c>
    </row>
    <row r="1537">
      <c r="D1537" t="str">
        <f>IFERROR(__xludf.DUMMYFUNCTION("""COMPUTED_VALUE"""),"Nelson")</f>
        <v>Nelson</v>
      </c>
      <c r="E1537" t="str">
        <f>IFERROR(__xludf.DUMMYFUNCTION("""COMPUTED_VALUE"""),"Corey")</f>
        <v>Corey</v>
      </c>
      <c r="F1537">
        <f>IFERROR(__xludf.DUMMYFUNCTION("""COMPUTED_VALUE"""),9.15)</f>
        <v>9.15</v>
      </c>
    </row>
    <row r="1538">
      <c r="D1538" t="str">
        <f>IFERROR(__xludf.DUMMYFUNCTION("""COMPUTED_VALUE"""),"Nelson")</f>
        <v>Nelson</v>
      </c>
      <c r="E1538" t="str">
        <f>IFERROR(__xludf.DUMMYFUNCTION("""COMPUTED_VALUE"""),"JJ")</f>
        <v>JJ</v>
      </c>
      <c r="F1538">
        <f>IFERROR(__xludf.DUMMYFUNCTION("""COMPUTED_VALUE"""),10.049999999999999)</f>
        <v>10.05</v>
      </c>
    </row>
    <row r="1539">
      <c r="D1539" t="str">
        <f>IFERROR(__xludf.DUMMYFUNCTION("""COMPUTED_VALUE"""),"Nelson")</f>
        <v>Nelson</v>
      </c>
      <c r="E1539" t="str">
        <f>IFERROR(__xludf.DUMMYFUNCTION("""COMPUTED_VALUE"""),"Jordy")</f>
        <v>Jordy</v>
      </c>
      <c r="F1539">
        <f>IFERROR(__xludf.DUMMYFUNCTION("""COMPUTED_VALUE"""),13.35)</f>
        <v>13.35</v>
      </c>
    </row>
    <row r="1540">
      <c r="D1540" t="str">
        <f>IFERROR(__xludf.DUMMYFUNCTION("""COMPUTED_VALUE"""),"Nelson")</f>
        <v>Nelson</v>
      </c>
      <c r="E1540" t="str">
        <f>IFERROR(__xludf.DUMMYFUNCTION("""COMPUTED_VALUE"""),"Kyle")</f>
        <v>Kyle</v>
      </c>
      <c r="F1540">
        <f>IFERROR(__xludf.DUMMYFUNCTION("""COMPUTED_VALUE"""),6.6)</f>
        <v>6.6</v>
      </c>
    </row>
    <row r="1541">
      <c r="D1541" t="str">
        <f>IFERROR(__xludf.DUMMYFUNCTION("""COMPUTED_VALUE"""),"Nelson")</f>
        <v>Nelson</v>
      </c>
      <c r="E1541" t="str">
        <f>IFERROR(__xludf.DUMMYFUNCTION("""COMPUTED_VALUE"""),"Reggie")</f>
        <v>Reggie</v>
      </c>
      <c r="F1541">
        <f>IFERROR(__xludf.DUMMYFUNCTION("""COMPUTED_VALUE"""),13.049999999999999)</f>
        <v>13.05</v>
      </c>
    </row>
    <row r="1542">
      <c r="D1542" t="str">
        <f>IFERROR(__xludf.DUMMYFUNCTION("""COMPUTED_VALUE"""),"Nelson")</f>
        <v>Nelson</v>
      </c>
      <c r="E1542" t="str">
        <f>IFERROR(__xludf.DUMMYFUNCTION("""COMPUTED_VALUE"""),"Robert")</f>
        <v>Robert</v>
      </c>
      <c r="F1542">
        <f>IFERROR(__xludf.DUMMYFUNCTION("""COMPUTED_VALUE"""),10.049999999999999)</f>
        <v>10.05</v>
      </c>
    </row>
    <row r="1543">
      <c r="D1543" t="str">
        <f>IFERROR(__xludf.DUMMYFUNCTION("""COMPUTED_VALUE"""),"Nelson")</f>
        <v>Nelson</v>
      </c>
      <c r="E1543" t="str">
        <f>IFERROR(__xludf.DUMMYFUNCTION("""COMPUTED_VALUE"""),"Steven")</f>
        <v>Steven</v>
      </c>
      <c r="F1543">
        <f>IFERROR(__xludf.DUMMYFUNCTION("""COMPUTED_VALUE"""),10.5)</f>
        <v>10.5</v>
      </c>
    </row>
    <row r="1544">
      <c r="D1544" t="str">
        <f>IFERROR(__xludf.DUMMYFUNCTION("""COMPUTED_VALUE"""),"Nembot")</f>
        <v>Nembot</v>
      </c>
      <c r="E1544" t="str">
        <f>IFERROR(__xludf.DUMMYFUNCTION("""COMPUTED_VALUE"""),"Stephane")</f>
        <v>Stephane</v>
      </c>
      <c r="F1544">
        <f>IFERROR(__xludf.DUMMYFUNCTION("""COMPUTED_VALUE"""),8.85)</f>
        <v>8.85</v>
      </c>
    </row>
    <row r="1545">
      <c r="D1545" t="str">
        <f>IFERROR(__xludf.DUMMYFUNCTION("""COMPUTED_VALUE"""),"Newberry")</f>
        <v>Newberry</v>
      </c>
      <c r="E1545" t="str">
        <f>IFERROR(__xludf.DUMMYFUNCTION("""COMPUTED_VALUE"""),"Giorgio")</f>
        <v>Giorgio</v>
      </c>
      <c r="F1545">
        <f>IFERROR(__xludf.DUMMYFUNCTION("""COMPUTED_VALUE"""),9.299999999999999)</f>
        <v>9.3</v>
      </c>
    </row>
    <row r="1546">
      <c r="D1546" t="str">
        <f>IFERROR(__xludf.DUMMYFUNCTION("""COMPUTED_VALUE"""),"Newhouse")</f>
        <v>Newhouse</v>
      </c>
      <c r="E1546" t="str">
        <f>IFERROR(__xludf.DUMMYFUNCTION("""COMPUTED_VALUE"""),"Marshall")</f>
        <v>Marshall</v>
      </c>
      <c r="F1546">
        <f>IFERROR(__xludf.DUMMYFUNCTION("""COMPUTED_VALUE"""),10.5)</f>
        <v>10.5</v>
      </c>
    </row>
    <row r="1547">
      <c r="D1547" t="str">
        <f>IFERROR(__xludf.DUMMYFUNCTION("""COMPUTED_VALUE"""),"Newman")</f>
        <v>Newman</v>
      </c>
      <c r="E1547" t="str">
        <f>IFERROR(__xludf.DUMMYFUNCTION("""COMPUTED_VALUE"""),"Terence")</f>
        <v>Terence</v>
      </c>
      <c r="F1547">
        <f>IFERROR(__xludf.DUMMYFUNCTION("""COMPUTED_VALUE"""),12.0)</f>
        <v>12</v>
      </c>
    </row>
    <row r="1548">
      <c r="D1548" t="str">
        <f>IFERROR(__xludf.DUMMYFUNCTION("""COMPUTED_VALUE"""),"Newton")</f>
        <v>Newton</v>
      </c>
      <c r="E1548" t="str">
        <f>IFERROR(__xludf.DUMMYFUNCTION("""COMPUTED_VALUE"""),"Cam")</f>
        <v>Cam</v>
      </c>
      <c r="F1548">
        <f>IFERROR(__xludf.DUMMYFUNCTION("""COMPUTED_VALUE"""),14.1)</f>
        <v>14.1</v>
      </c>
    </row>
    <row r="1549">
      <c r="D1549" t="str">
        <f>IFERROR(__xludf.DUMMYFUNCTION("""COMPUTED_VALUE"""),"Newton")</f>
        <v>Newton</v>
      </c>
      <c r="E1549" t="str">
        <f>IFERROR(__xludf.DUMMYFUNCTION("""COMPUTED_VALUE"""),"Derek")</f>
        <v>Derek</v>
      </c>
      <c r="F1549">
        <f>IFERROR(__xludf.DUMMYFUNCTION("""COMPUTED_VALUE"""),12.299999999999999)</f>
        <v>12.3</v>
      </c>
    </row>
    <row r="1550">
      <c r="D1550" t="str">
        <f>IFERROR(__xludf.DUMMYFUNCTION("""COMPUTED_VALUE"""),"Ngakoue")</f>
        <v>Ngakoue</v>
      </c>
      <c r="E1550" t="str">
        <f>IFERROR(__xludf.DUMMYFUNCTION("""COMPUTED_VALUE"""),"Yannick")</f>
        <v>Yannick</v>
      </c>
      <c r="F1550">
        <f>IFERROR(__xludf.DUMMYFUNCTION("""COMPUTED_VALUE"""),10.35)</f>
        <v>10.35</v>
      </c>
    </row>
    <row r="1551">
      <c r="D1551" t="str">
        <f>IFERROR(__xludf.DUMMYFUNCTION("""COMPUTED_VALUE"""),"Ngata")</f>
        <v>Ngata</v>
      </c>
      <c r="E1551" t="str">
        <f>IFERROR(__xludf.DUMMYFUNCTION("""COMPUTED_VALUE"""),"Haloti")</f>
        <v>Haloti</v>
      </c>
      <c r="F1551">
        <f>IFERROR(__xludf.DUMMYFUNCTION("""COMPUTED_VALUE"""),12.299999999999999)</f>
        <v>12.3</v>
      </c>
    </row>
    <row r="1552">
      <c r="D1552" t="str">
        <f>IFERROR(__xludf.DUMMYFUNCTION("""COMPUTED_VALUE"""),"Nicks")</f>
        <v>Nicks</v>
      </c>
      <c r="E1552" t="str">
        <f>IFERROR(__xludf.DUMMYFUNCTION("""COMPUTED_VALUE"""),"Hakeem")</f>
        <v>Hakeem</v>
      </c>
      <c r="F1552">
        <f>IFERROR(__xludf.DUMMYFUNCTION("""COMPUTED_VALUE"""),10.95)</f>
        <v>10.95</v>
      </c>
    </row>
    <row r="1553">
      <c r="D1553" t="str">
        <f>IFERROR(__xludf.DUMMYFUNCTION("""COMPUTED_VALUE"""),"Nicolas")</f>
        <v>Nicolas</v>
      </c>
      <c r="E1553" t="str">
        <f>IFERROR(__xludf.DUMMYFUNCTION("""COMPUTED_VALUE"""),"Dadi")</f>
        <v>Dadi</v>
      </c>
      <c r="F1553">
        <f>IFERROR(__xludf.DUMMYFUNCTION("""COMPUTED_VALUE"""),9.45)</f>
        <v>9.45</v>
      </c>
    </row>
    <row r="1554">
      <c r="D1554" t="str">
        <f>IFERROR(__xludf.DUMMYFUNCTION("""COMPUTED_VALUE"""),"Niklas")</f>
        <v>Niklas</v>
      </c>
      <c r="E1554" t="str">
        <f>IFERROR(__xludf.DUMMYFUNCTION("""COMPUTED_VALUE"""),"Troy")</f>
        <v>Troy</v>
      </c>
      <c r="F1554">
        <f>IFERROR(__xludf.DUMMYFUNCTION("""COMPUTED_VALUE"""),11.1)</f>
        <v>11.1</v>
      </c>
    </row>
    <row r="1555">
      <c r="D1555" t="str">
        <f>IFERROR(__xludf.DUMMYFUNCTION("""COMPUTED_VALUE"""),"Ninkovich")</f>
        <v>Ninkovich</v>
      </c>
      <c r="E1555" t="str">
        <f>IFERROR(__xludf.DUMMYFUNCTION("""COMPUTED_VALUE"""),"Rob")</f>
        <v>Rob</v>
      </c>
      <c r="F1555">
        <f>IFERROR(__xludf.DUMMYFUNCTION("""COMPUTED_VALUE"""),12.299999999999999)</f>
        <v>12.3</v>
      </c>
    </row>
    <row r="1556">
      <c r="D1556" t="str">
        <f>IFERROR(__xludf.DUMMYFUNCTION("""COMPUTED_VALUE"""),"Nix")</f>
        <v>Nix</v>
      </c>
      <c r="E1556" t="str">
        <f>IFERROR(__xludf.DUMMYFUNCTION("""COMPUTED_VALUE"""),"Roosevelt")</f>
        <v>Roosevelt</v>
      </c>
      <c r="F1556">
        <f>IFERROR(__xludf.DUMMYFUNCTION("""COMPUTED_VALUE"""),12.0)</f>
        <v>12</v>
      </c>
    </row>
    <row r="1557">
      <c r="D1557" t="str">
        <f>IFERROR(__xludf.DUMMYFUNCTION("""COMPUTED_VALUE"""),"Nix III")</f>
        <v>Nix III</v>
      </c>
      <c r="E1557" t="str">
        <f>IFERROR(__xludf.DUMMYFUNCTION("""COMPUTED_VALUE"""),"Louis")</f>
        <v>Louis</v>
      </c>
      <c r="F1557">
        <f>IFERROR(__xludf.DUMMYFUNCTION("""COMPUTED_VALUE"""),9.6)</f>
        <v>9.6</v>
      </c>
    </row>
    <row r="1558">
      <c r="D1558" t="str">
        <f>IFERROR(__xludf.DUMMYFUNCTION("""COMPUTED_VALUE"""),"Nixon")</f>
        <v>Nixon</v>
      </c>
      <c r="E1558" t="str">
        <f>IFERROR(__xludf.DUMMYFUNCTION("""COMPUTED_VALUE"""),"Taurean")</f>
        <v>Taurean</v>
      </c>
      <c r="F1558">
        <f>IFERROR(__xludf.DUMMYFUNCTION("""COMPUTED_VALUE"""),9.15)</f>
        <v>9.15</v>
      </c>
    </row>
    <row r="1559">
      <c r="D1559" t="str">
        <f>IFERROR(__xludf.DUMMYFUNCTION("""COMPUTED_VALUE"""),"Nkemdiche")</f>
        <v>Nkemdiche</v>
      </c>
      <c r="E1559" t="str">
        <f>IFERROR(__xludf.DUMMYFUNCTION("""COMPUTED_VALUE"""),"Robert")</f>
        <v>Robert</v>
      </c>
      <c r="F1559">
        <f>IFERROR(__xludf.DUMMYFUNCTION("""COMPUTED_VALUE"""),11.25)</f>
        <v>11.25</v>
      </c>
    </row>
    <row r="1560">
      <c r="D1560" t="str">
        <f>IFERROR(__xludf.DUMMYFUNCTION("""COMPUTED_VALUE"""),"Norman")</f>
        <v>Norman</v>
      </c>
      <c r="E1560" t="str">
        <f>IFERROR(__xludf.DUMMYFUNCTION("""COMPUTED_VALUE"""),"Josh")</f>
        <v>Josh</v>
      </c>
      <c r="F1560">
        <f>IFERROR(__xludf.DUMMYFUNCTION("""COMPUTED_VALUE"""),14.1)</f>
        <v>14.1</v>
      </c>
    </row>
    <row r="1561">
      <c r="D1561" t="str">
        <f>IFERROR(__xludf.DUMMYFUNCTION("""COMPUTED_VALUE"""),"Norris")</f>
        <v>Norris</v>
      </c>
      <c r="E1561" t="str">
        <f>IFERROR(__xludf.DUMMYFUNCTION("""COMPUTED_VALUE"""),"Jared")</f>
        <v>Jared</v>
      </c>
      <c r="F1561">
        <f>IFERROR(__xludf.DUMMYFUNCTION("""COMPUTED_VALUE"""),8.549999999999999)</f>
        <v>8.55</v>
      </c>
    </row>
    <row r="1562">
      <c r="D1562" t="str">
        <f>IFERROR(__xludf.DUMMYFUNCTION("""COMPUTED_VALUE"""),"North")</f>
        <v>North</v>
      </c>
      <c r="E1562" t="str">
        <f>IFERROR(__xludf.DUMMYFUNCTION("""COMPUTED_VALUE"""),"Marquez")</f>
        <v>Marquez</v>
      </c>
      <c r="F1562">
        <f>IFERROR(__xludf.DUMMYFUNCTION("""COMPUTED_VALUE"""),9.45)</f>
        <v>9.45</v>
      </c>
    </row>
    <row r="1563">
      <c r="D1563" t="str">
        <f>IFERROR(__xludf.DUMMYFUNCTION("""COMPUTED_VALUE"""),"Nortman")</f>
        <v>Nortman</v>
      </c>
      <c r="E1563" t="str">
        <f>IFERROR(__xludf.DUMMYFUNCTION("""COMPUTED_VALUE"""),"Brad")</f>
        <v>Brad</v>
      </c>
      <c r="F1563">
        <f>IFERROR(__xludf.DUMMYFUNCTION("""COMPUTED_VALUE"""),12.15)</f>
        <v>12.15</v>
      </c>
    </row>
    <row r="1564">
      <c r="D1564" t="str">
        <f>IFERROR(__xludf.DUMMYFUNCTION("""COMPUTED_VALUE"""),"Norwell")</f>
        <v>Norwell</v>
      </c>
      <c r="E1564" t="str">
        <f>IFERROR(__xludf.DUMMYFUNCTION("""COMPUTED_VALUE"""),"Andrew")</f>
        <v>Andrew</v>
      </c>
      <c r="F1564">
        <f>IFERROR(__xludf.DUMMYFUNCTION("""COMPUTED_VALUE"""),12.45)</f>
        <v>12.45</v>
      </c>
    </row>
    <row r="1565">
      <c r="D1565" t="str">
        <f>IFERROR(__xludf.DUMMYFUNCTION("""COMPUTED_VALUE"""),"Norwood")</f>
        <v>Norwood</v>
      </c>
      <c r="E1565" t="str">
        <f>IFERROR(__xludf.DUMMYFUNCTION("""COMPUTED_VALUE"""),"Jordan")</f>
        <v>Jordan</v>
      </c>
      <c r="F1565">
        <f>IFERROR(__xludf.DUMMYFUNCTION("""COMPUTED_VALUE"""),10.5)</f>
        <v>10.5</v>
      </c>
    </row>
    <row r="1566">
      <c r="D1566" t="str">
        <f>IFERROR(__xludf.DUMMYFUNCTION("""COMPUTED_VALUE"""),"Norwood")</f>
        <v>Norwood</v>
      </c>
      <c r="E1566" t="str">
        <f>IFERROR(__xludf.DUMMYFUNCTION("""COMPUTED_VALUE"""),"Kevin")</f>
        <v>Kevin</v>
      </c>
      <c r="F1566">
        <f>IFERROR(__xludf.DUMMYFUNCTION("""COMPUTED_VALUE"""),10.2)</f>
        <v>10.2</v>
      </c>
    </row>
    <row r="1567">
      <c r="D1567" t="str">
        <f>IFERROR(__xludf.DUMMYFUNCTION("""COMPUTED_VALUE"""),"Novak")</f>
        <v>Novak</v>
      </c>
      <c r="E1567" t="str">
        <f>IFERROR(__xludf.DUMMYFUNCTION("""COMPUTED_VALUE"""),"Nick")</f>
        <v>Nick</v>
      </c>
      <c r="F1567">
        <f>IFERROR(__xludf.DUMMYFUNCTION("""COMPUTED_VALUE"""),12.15)</f>
        <v>12.15</v>
      </c>
    </row>
    <row r="1568">
      <c r="D1568" t="str">
        <f>IFERROR(__xludf.DUMMYFUNCTION("""COMPUTED_VALUE"""),"Nowak")</f>
        <v>Nowak</v>
      </c>
      <c r="E1568" t="str">
        <f>IFERROR(__xludf.DUMMYFUNCTION("""COMPUTED_VALUE"""),"Drew")</f>
        <v>Drew</v>
      </c>
      <c r="F1568">
        <f>IFERROR(__xludf.DUMMYFUNCTION("""COMPUTED_VALUE"""),9.9)</f>
        <v>9.9</v>
      </c>
    </row>
    <row r="1569">
      <c r="D1569" t="str">
        <f>IFERROR(__xludf.DUMMYFUNCTION("""COMPUTED_VALUE"""),"Nsekhe")</f>
        <v>Nsekhe</v>
      </c>
      <c r="E1569" t="str">
        <f>IFERROR(__xludf.DUMMYFUNCTION("""COMPUTED_VALUE"""),"Ty")</f>
        <v>Ty</v>
      </c>
      <c r="F1569">
        <f>IFERROR(__xludf.DUMMYFUNCTION("""COMPUTED_VALUE"""),10.35)</f>
        <v>10.35</v>
      </c>
    </row>
    <row r="1570">
      <c r="D1570" t="str">
        <f>IFERROR(__xludf.DUMMYFUNCTION("""COMPUTED_VALUE"""),"Nugent")</f>
        <v>Nugent</v>
      </c>
      <c r="E1570" t="str">
        <f>IFERROR(__xludf.DUMMYFUNCTION("""COMPUTED_VALUE"""),"Mike")</f>
        <v>Mike</v>
      </c>
      <c r="F1570">
        <f>IFERROR(__xludf.DUMMYFUNCTION("""COMPUTED_VALUE"""),12.0)</f>
        <v>12</v>
      </c>
    </row>
    <row r="1571">
      <c r="D1571" t="str">
        <f>IFERROR(__xludf.DUMMYFUNCTION("""COMPUTED_VALUE"""),"Nunez-Roches")</f>
        <v>Nunez-Roches</v>
      </c>
      <c r="E1571" t="str">
        <f>IFERROR(__xludf.DUMMYFUNCTION("""COMPUTED_VALUE"""),"Rakeem")</f>
        <v>Rakeem</v>
      </c>
      <c r="F1571">
        <f>IFERROR(__xludf.DUMMYFUNCTION("""COMPUTED_VALUE"""),9.0)</f>
        <v>9</v>
      </c>
    </row>
    <row r="1572">
      <c r="D1572" t="str">
        <f>IFERROR(__xludf.DUMMYFUNCTION("""COMPUTED_VALUE"""),"Nzeocha")</f>
        <v>Nzeocha</v>
      </c>
      <c r="E1572" t="str">
        <f>IFERROR(__xludf.DUMMYFUNCTION("""COMPUTED_VALUE"""),"Mark")</f>
        <v>Mark</v>
      </c>
      <c r="F1572">
        <f>IFERROR(__xludf.DUMMYFUNCTION("""COMPUTED_VALUE"""),9.15)</f>
        <v>9.15</v>
      </c>
    </row>
    <row r="1573">
      <c r="D1573" t="str">
        <f>IFERROR(__xludf.DUMMYFUNCTION("""COMPUTED_VALUE"""),"Ochi")</f>
        <v>Ochi</v>
      </c>
      <c r="E1573" t="str">
        <f>IFERROR(__xludf.DUMMYFUNCTION("""COMPUTED_VALUE"""),"Victor")</f>
        <v>Victor</v>
      </c>
      <c r="F1573">
        <f>IFERROR(__xludf.DUMMYFUNCTION("""COMPUTED_VALUE"""),9.15)</f>
        <v>9.15</v>
      </c>
    </row>
    <row r="1574">
      <c r="D1574" t="str">
        <f>IFERROR(__xludf.DUMMYFUNCTION("""COMPUTED_VALUE"""),"Odhiambo")</f>
        <v>Odhiambo</v>
      </c>
      <c r="E1574" t="str">
        <f>IFERROR(__xludf.DUMMYFUNCTION("""COMPUTED_VALUE"""),"Rees")</f>
        <v>Rees</v>
      </c>
      <c r="F1574">
        <f>IFERROR(__xludf.DUMMYFUNCTION("""COMPUTED_VALUE"""),10.2)</f>
        <v>10.2</v>
      </c>
    </row>
    <row r="1575">
      <c r="D1575" t="str">
        <f>IFERROR(__xludf.DUMMYFUNCTION("""COMPUTED_VALUE"""),"Odighizuwa")</f>
        <v>Odighizuwa</v>
      </c>
      <c r="E1575" t="str">
        <f>IFERROR(__xludf.DUMMYFUNCTION("""COMPUTED_VALUE"""),"Owa")</f>
        <v>Owa</v>
      </c>
      <c r="F1575">
        <f>IFERROR(__xludf.DUMMYFUNCTION("""COMPUTED_VALUE"""),9.75)</f>
        <v>9.75</v>
      </c>
    </row>
    <row r="1576">
      <c r="D1576" t="str">
        <f>IFERROR(__xludf.DUMMYFUNCTION("""COMPUTED_VALUE"""),"ODonnell")</f>
        <v>ODonnell</v>
      </c>
      <c r="E1576" t="str">
        <f>IFERROR(__xludf.DUMMYFUNCTION("""COMPUTED_VALUE"""),"Pat")</f>
        <v>Pat</v>
      </c>
      <c r="F1576">
        <f>IFERROR(__xludf.DUMMYFUNCTION("""COMPUTED_VALUE"""),12.0)</f>
        <v>12</v>
      </c>
    </row>
    <row r="1577">
      <c r="D1577" t="str">
        <f>IFERROR(__xludf.DUMMYFUNCTION("""COMPUTED_VALUE"""),"Odrick")</f>
        <v>Odrick</v>
      </c>
      <c r="E1577" t="str">
        <f>IFERROR(__xludf.DUMMYFUNCTION("""COMPUTED_VALUE"""),"Jared")</f>
        <v>Jared</v>
      </c>
      <c r="F1577">
        <f>IFERROR(__xludf.DUMMYFUNCTION("""COMPUTED_VALUE"""),11.7)</f>
        <v>11.7</v>
      </c>
    </row>
    <row r="1578">
      <c r="D1578" t="str">
        <f>IFERROR(__xludf.DUMMYFUNCTION("""COMPUTED_VALUE"""),"Ogbah")</f>
        <v>Ogbah</v>
      </c>
      <c r="E1578" t="str">
        <f>IFERROR(__xludf.DUMMYFUNCTION("""COMPUTED_VALUE"""),"Emmanuel")</f>
        <v>Emmanuel</v>
      </c>
      <c r="F1578">
        <f>IFERROR(__xludf.DUMMYFUNCTION("""COMPUTED_VALUE"""),10.799999999999999)</f>
        <v>10.8</v>
      </c>
    </row>
    <row r="1579">
      <c r="D1579" t="str">
        <f>IFERROR(__xludf.DUMMYFUNCTION("""COMPUTED_VALUE"""),"Ogbuehi")</f>
        <v>Ogbuehi</v>
      </c>
      <c r="E1579" t="str">
        <f>IFERROR(__xludf.DUMMYFUNCTION("""COMPUTED_VALUE"""),"Cedric")</f>
        <v>Cedric</v>
      </c>
      <c r="F1579">
        <f>IFERROR(__xludf.DUMMYFUNCTION("""COMPUTED_VALUE"""),11.1)</f>
        <v>11.1</v>
      </c>
    </row>
    <row r="1580">
      <c r="D1580" t="str">
        <f>IFERROR(__xludf.DUMMYFUNCTION("""COMPUTED_VALUE"""),"Ogletree")</f>
        <v>Ogletree</v>
      </c>
      <c r="E1580" t="str">
        <f>IFERROR(__xludf.DUMMYFUNCTION("""COMPUTED_VALUE"""),"Alec")</f>
        <v>Alec</v>
      </c>
      <c r="F1580">
        <f>IFERROR(__xludf.DUMMYFUNCTION("""COMPUTED_VALUE"""),11.85)</f>
        <v>11.85</v>
      </c>
    </row>
    <row r="1581">
      <c r="D1581" t="str">
        <f>IFERROR(__xludf.DUMMYFUNCTION("""COMPUTED_VALUE"""),"Oher")</f>
        <v>Oher</v>
      </c>
      <c r="E1581" t="str">
        <f>IFERROR(__xludf.DUMMYFUNCTION("""COMPUTED_VALUE"""),"Michael")</f>
        <v>Michael</v>
      </c>
      <c r="F1581">
        <f>IFERROR(__xludf.DUMMYFUNCTION("""COMPUTED_VALUE"""),11.7)</f>
        <v>11.7</v>
      </c>
    </row>
    <row r="1582">
      <c r="D1582" t="str">
        <f>IFERROR(__xludf.DUMMYFUNCTION("""COMPUTED_VALUE"""),"Okafor")</f>
        <v>Okafor</v>
      </c>
      <c r="E1582" t="str">
        <f>IFERROR(__xludf.DUMMYFUNCTION("""COMPUTED_VALUE"""),"Alex")</f>
        <v>Alex</v>
      </c>
      <c r="F1582">
        <f>IFERROR(__xludf.DUMMYFUNCTION("""COMPUTED_VALUE"""),10.65)</f>
        <v>10.65</v>
      </c>
    </row>
    <row r="1583">
      <c r="D1583" t="str">
        <f>IFERROR(__xludf.DUMMYFUNCTION("""COMPUTED_VALUE"""),"Okine")</f>
        <v>Okine</v>
      </c>
      <c r="E1583" t="str">
        <f>IFERROR(__xludf.DUMMYFUNCTION("""COMPUTED_VALUE"""),"Earl")</f>
        <v>Earl</v>
      </c>
      <c r="F1583">
        <f>IFERROR(__xludf.DUMMYFUNCTION("""COMPUTED_VALUE"""),8.4)</f>
        <v>8.4</v>
      </c>
    </row>
    <row r="1584">
      <c r="D1584" t="str">
        <f>IFERROR(__xludf.DUMMYFUNCTION("""COMPUTED_VALUE"""),"Okoye")</f>
        <v>Okoye</v>
      </c>
      <c r="E1584" t="str">
        <f>IFERROR(__xludf.DUMMYFUNCTION("""COMPUTED_VALUE"""),"Lawrence")</f>
        <v>Lawrence</v>
      </c>
      <c r="F1584">
        <f>IFERROR(__xludf.DUMMYFUNCTION("""COMPUTED_VALUE"""),8.1)</f>
        <v>8.1</v>
      </c>
    </row>
    <row r="1585">
      <c r="D1585" t="str">
        <f>IFERROR(__xludf.DUMMYFUNCTION("""COMPUTED_VALUE"""),"Okung")</f>
        <v>Okung</v>
      </c>
      <c r="E1585" t="str">
        <f>IFERROR(__xludf.DUMMYFUNCTION("""COMPUTED_VALUE"""),"Russell")</f>
        <v>Russell</v>
      </c>
      <c r="F1585">
        <f>IFERROR(__xludf.DUMMYFUNCTION("""COMPUTED_VALUE"""),12.299999999999999)</f>
        <v>12.3</v>
      </c>
    </row>
    <row r="1586">
      <c r="D1586" t="str">
        <f>IFERROR(__xludf.DUMMYFUNCTION("""COMPUTED_VALUE"""),"Okwara")</f>
        <v>Okwara</v>
      </c>
      <c r="E1586" t="str">
        <f>IFERROR(__xludf.DUMMYFUNCTION("""COMPUTED_VALUE"""),"Romeo")</f>
        <v>Romeo</v>
      </c>
      <c r="F1586">
        <f>IFERROR(__xludf.DUMMYFUNCTION("""COMPUTED_VALUE"""),8.7)</f>
        <v>8.7</v>
      </c>
    </row>
    <row r="1587">
      <c r="D1587" t="str">
        <f>IFERROR(__xludf.DUMMYFUNCTION("""COMPUTED_VALUE"""),"Ola")</f>
        <v>Ola</v>
      </c>
      <c r="E1587" t="str">
        <f>IFERROR(__xludf.DUMMYFUNCTION("""COMPUTED_VALUE"""),"Michael")</f>
        <v>Michael</v>
      </c>
      <c r="F1587">
        <f>IFERROR(__xludf.DUMMYFUNCTION("""COMPUTED_VALUE"""),11.1)</f>
        <v>11.1</v>
      </c>
    </row>
    <row r="1588">
      <c r="D1588" t="str">
        <f>IFERROR(__xludf.DUMMYFUNCTION("""COMPUTED_VALUE"""),"Olatoye")</f>
        <v>Olatoye</v>
      </c>
      <c r="E1588" t="str">
        <f>IFERROR(__xludf.DUMMYFUNCTION("""COMPUTED_VALUE"""),"Deji")</f>
        <v>Deji</v>
      </c>
      <c r="F1588">
        <f>IFERROR(__xludf.DUMMYFUNCTION("""COMPUTED_VALUE"""),9.9)</f>
        <v>9.9</v>
      </c>
    </row>
    <row r="1589">
      <c r="D1589" t="str">
        <f>IFERROR(__xludf.DUMMYFUNCTION("""COMPUTED_VALUE"""),"Olawale")</f>
        <v>Olawale</v>
      </c>
      <c r="E1589" t="str">
        <f>IFERROR(__xludf.DUMMYFUNCTION("""COMPUTED_VALUE"""),"Jamize")</f>
        <v>Jamize</v>
      </c>
      <c r="F1589">
        <f>IFERROR(__xludf.DUMMYFUNCTION("""COMPUTED_VALUE"""),11.85)</f>
        <v>11.85</v>
      </c>
    </row>
    <row r="1590">
      <c r="D1590" t="str">
        <f>IFERROR(__xludf.DUMMYFUNCTION("""COMPUTED_VALUE"""),"OLeary")</f>
        <v>OLeary</v>
      </c>
      <c r="E1590" t="str">
        <f>IFERROR(__xludf.DUMMYFUNCTION("""COMPUTED_VALUE"""),"Nick")</f>
        <v>Nick</v>
      </c>
      <c r="F1590">
        <f>IFERROR(__xludf.DUMMYFUNCTION("""COMPUTED_VALUE"""),10.35)</f>
        <v>10.35</v>
      </c>
    </row>
    <row r="1591">
      <c r="D1591" t="str">
        <f>IFERROR(__xludf.DUMMYFUNCTION("""COMPUTED_VALUE"""),"Oliver")</f>
        <v>Oliver</v>
      </c>
      <c r="E1591" t="str">
        <f>IFERROR(__xludf.DUMMYFUNCTION("""COMPUTED_VALUE"""),"Branden")</f>
        <v>Branden</v>
      </c>
      <c r="F1591">
        <f>IFERROR(__xludf.DUMMYFUNCTION("""COMPUTED_VALUE"""),11.85)</f>
        <v>11.85</v>
      </c>
    </row>
    <row r="1592">
      <c r="D1592" t="str">
        <f>IFERROR(__xludf.DUMMYFUNCTION("""COMPUTED_VALUE"""),"Olsen")</f>
        <v>Olsen</v>
      </c>
      <c r="E1592" t="str">
        <f>IFERROR(__xludf.DUMMYFUNCTION("""COMPUTED_VALUE"""),"Greg")</f>
        <v>Greg</v>
      </c>
      <c r="F1592">
        <f>IFERROR(__xludf.DUMMYFUNCTION("""COMPUTED_VALUE"""),13.95)</f>
        <v>13.95</v>
      </c>
    </row>
    <row r="1593">
      <c r="D1593" t="str">
        <f>IFERROR(__xludf.DUMMYFUNCTION("""COMPUTED_VALUE"""),"Omameh")</f>
        <v>Omameh</v>
      </c>
      <c r="E1593" t="str">
        <f>IFERROR(__xludf.DUMMYFUNCTION("""COMPUTED_VALUE"""),"Patrick")</f>
        <v>Patrick</v>
      </c>
      <c r="F1593">
        <f>IFERROR(__xludf.DUMMYFUNCTION("""COMPUTED_VALUE"""),11.1)</f>
        <v>11.1</v>
      </c>
    </row>
    <row r="1594">
      <c r="D1594" t="str">
        <f>IFERROR(__xludf.DUMMYFUNCTION("""COMPUTED_VALUE"""),"Onyemata")</f>
        <v>Onyemata</v>
      </c>
      <c r="E1594" t="str">
        <f>IFERROR(__xludf.DUMMYFUNCTION("""COMPUTED_VALUE"""),"David")</f>
        <v>David</v>
      </c>
      <c r="F1594">
        <f>IFERROR(__xludf.DUMMYFUNCTION("""COMPUTED_VALUE"""),9.6)</f>
        <v>9.6</v>
      </c>
    </row>
    <row r="1595">
      <c r="D1595" t="str">
        <f>IFERROR(__xludf.DUMMYFUNCTION("""COMPUTED_VALUE"""),"Orakpo")</f>
        <v>Orakpo</v>
      </c>
      <c r="E1595" t="str">
        <f>IFERROR(__xludf.DUMMYFUNCTION("""COMPUTED_VALUE"""),"Brian")</f>
        <v>Brian</v>
      </c>
      <c r="F1595">
        <f>IFERROR(__xludf.DUMMYFUNCTION("""COMPUTED_VALUE"""),13.049999999999999)</f>
        <v>13.05</v>
      </c>
    </row>
    <row r="1596">
      <c r="D1596" t="str">
        <f>IFERROR(__xludf.DUMMYFUNCTION("""COMPUTED_VALUE"""),"Orchard")</f>
        <v>Orchard</v>
      </c>
      <c r="E1596" t="str">
        <f>IFERROR(__xludf.DUMMYFUNCTION("""COMPUTED_VALUE"""),"Nate")</f>
        <v>Nate</v>
      </c>
      <c r="F1596">
        <f>IFERROR(__xludf.DUMMYFUNCTION("""COMPUTED_VALUE"""),10.049999999999999)</f>
        <v>10.05</v>
      </c>
    </row>
    <row r="1597">
      <c r="D1597" t="str">
        <f>IFERROR(__xludf.DUMMYFUNCTION("""COMPUTED_VALUE"""),"Orlovsky")</f>
        <v>Orlovsky</v>
      </c>
      <c r="E1597" t="str">
        <f>IFERROR(__xludf.DUMMYFUNCTION("""COMPUTED_VALUE"""),"Dan")</f>
        <v>Dan</v>
      </c>
      <c r="F1597">
        <f>IFERROR(__xludf.DUMMYFUNCTION("""COMPUTED_VALUE"""),9.9)</f>
        <v>9.9</v>
      </c>
    </row>
    <row r="1598">
      <c r="D1598" t="str">
        <f>IFERROR(__xludf.DUMMYFUNCTION("""COMPUTED_VALUE"""),"Orr")</f>
        <v>Orr</v>
      </c>
      <c r="E1598" t="str">
        <f>IFERROR(__xludf.DUMMYFUNCTION("""COMPUTED_VALUE"""),"Leon")</f>
        <v>Leon</v>
      </c>
      <c r="F1598">
        <f>IFERROR(__xludf.DUMMYFUNCTION("""COMPUTED_VALUE"""),9.0)</f>
        <v>9</v>
      </c>
    </row>
    <row r="1599">
      <c r="D1599" t="str">
        <f>IFERROR(__xludf.DUMMYFUNCTION("""COMPUTED_VALUE"""),"Orr")</f>
        <v>Orr</v>
      </c>
      <c r="E1599" t="str">
        <f>IFERROR(__xludf.DUMMYFUNCTION("""COMPUTED_VALUE"""),"Zachary")</f>
        <v>Zachary</v>
      </c>
      <c r="F1599">
        <f>IFERROR(__xludf.DUMMYFUNCTION("""COMPUTED_VALUE"""),9.75)</f>
        <v>9.75</v>
      </c>
    </row>
    <row r="1600">
      <c r="D1600" t="str">
        <f>IFERROR(__xludf.DUMMYFUNCTION("""COMPUTED_VALUE"""),"Osemele")</f>
        <v>Osemele</v>
      </c>
      <c r="E1600" t="str">
        <f>IFERROR(__xludf.DUMMYFUNCTION("""COMPUTED_VALUE"""),"Kelechi")</f>
        <v>Kelechi</v>
      </c>
      <c r="F1600">
        <f>IFERROR(__xludf.DUMMYFUNCTION("""COMPUTED_VALUE"""),13.35)</f>
        <v>13.35</v>
      </c>
    </row>
    <row r="1601">
      <c r="D1601" t="str">
        <f>IFERROR(__xludf.DUMMYFUNCTION("""COMPUTED_VALUE"""),"OShaughnessy")</f>
        <v>OShaughnessy</v>
      </c>
      <c r="E1601" t="str">
        <f>IFERROR(__xludf.DUMMYFUNCTION("""COMPUTED_VALUE"""),"James")</f>
        <v>James</v>
      </c>
      <c r="F1601">
        <f>IFERROR(__xludf.DUMMYFUNCTION("""COMPUTED_VALUE"""),10.2)</f>
        <v>10.2</v>
      </c>
    </row>
    <row r="1602">
      <c r="D1602" t="str">
        <f>IFERROR(__xludf.DUMMYFUNCTION("""COMPUTED_VALUE"""),"Osweiler")</f>
        <v>Osweiler</v>
      </c>
      <c r="E1602" t="str">
        <f>IFERROR(__xludf.DUMMYFUNCTION("""COMPUTED_VALUE"""),"Brock")</f>
        <v>Brock</v>
      </c>
      <c r="F1602">
        <f>IFERROR(__xludf.DUMMYFUNCTION("""COMPUTED_VALUE"""),11.549999999999999)</f>
        <v>11.55</v>
      </c>
    </row>
    <row r="1603">
      <c r="D1603" t="str">
        <f>IFERROR(__xludf.DUMMYFUNCTION("""COMPUTED_VALUE"""),"Overton")</f>
        <v>Overton</v>
      </c>
      <c r="E1603" t="str">
        <f>IFERROR(__xludf.DUMMYFUNCTION("""COMPUTED_VALUE"""),"Matt")</f>
        <v>Matt</v>
      </c>
      <c r="F1603">
        <f>IFERROR(__xludf.DUMMYFUNCTION("""COMPUTED_VALUE"""),6.45)</f>
        <v>6.45</v>
      </c>
    </row>
    <row r="1604">
      <c r="D1604" t="str">
        <f>IFERROR(__xludf.DUMMYFUNCTION("""COMPUTED_VALUE"""),"Paea")</f>
        <v>Paea</v>
      </c>
      <c r="E1604" t="str">
        <f>IFERROR(__xludf.DUMMYFUNCTION("""COMPUTED_VALUE"""),"Stephen")</f>
        <v>Stephen</v>
      </c>
      <c r="F1604">
        <f>IFERROR(__xludf.DUMMYFUNCTION("""COMPUTED_VALUE"""),11.25)</f>
        <v>11.25</v>
      </c>
    </row>
    <row r="1605">
      <c r="D1605" t="str">
        <f>IFERROR(__xludf.DUMMYFUNCTION("""COMPUTED_VALUE"""),"Pagan")</f>
        <v>Pagan</v>
      </c>
      <c r="E1605" t="str">
        <f>IFERROR(__xludf.DUMMYFUNCTION("""COMPUTED_VALUE"""),"Jeoffrey")</f>
        <v>Jeoffrey</v>
      </c>
      <c r="F1605">
        <f>IFERROR(__xludf.DUMMYFUNCTION("""COMPUTED_VALUE"""),9.45)</f>
        <v>9.45</v>
      </c>
    </row>
    <row r="1606">
      <c r="D1606" t="str">
        <f>IFERROR(__xludf.DUMMYFUNCTION("""COMPUTED_VALUE"""),"Painter")</f>
        <v>Painter</v>
      </c>
      <c r="E1606" t="str">
        <f>IFERROR(__xludf.DUMMYFUNCTION("""COMPUTED_VALUE"""),"Vinston")</f>
        <v>Vinston</v>
      </c>
      <c r="F1606">
        <f>IFERROR(__xludf.DUMMYFUNCTION("""COMPUTED_VALUE"""),9.75)</f>
        <v>9.75</v>
      </c>
    </row>
    <row r="1607">
      <c r="D1607" t="str">
        <f>IFERROR(__xludf.DUMMYFUNCTION("""COMPUTED_VALUE"""),"Palepoi")</f>
        <v>Palepoi</v>
      </c>
      <c r="E1607" t="str">
        <f>IFERROR(__xludf.DUMMYFUNCTION("""COMPUTED_VALUE"""),"Tenny")</f>
        <v>Tenny</v>
      </c>
      <c r="F1607">
        <f>IFERROR(__xludf.DUMMYFUNCTION("""COMPUTED_VALUE"""),9.75)</f>
        <v>9.75</v>
      </c>
    </row>
    <row r="1608">
      <c r="D1608" t="str">
        <f>IFERROR(__xludf.DUMMYFUNCTION("""COMPUTED_VALUE"""),"Palmer")</f>
        <v>Palmer</v>
      </c>
      <c r="E1608" t="str">
        <f>IFERROR(__xludf.DUMMYFUNCTION("""COMPUTED_VALUE"""),"Carson")</f>
        <v>Carson</v>
      </c>
      <c r="F1608">
        <f>IFERROR(__xludf.DUMMYFUNCTION("""COMPUTED_VALUE"""),13.35)</f>
        <v>13.35</v>
      </c>
    </row>
    <row r="1609">
      <c r="D1609" t="str">
        <f>IFERROR(__xludf.DUMMYFUNCTION("""COMPUTED_VALUE"""),"Palmer")</f>
        <v>Palmer</v>
      </c>
      <c r="E1609" t="str">
        <f>IFERROR(__xludf.DUMMYFUNCTION("""COMPUTED_VALUE"""),"Nate")</f>
        <v>Nate</v>
      </c>
      <c r="F1609">
        <f>IFERROR(__xludf.DUMMYFUNCTION("""COMPUTED_VALUE"""),9.75)</f>
        <v>9.75</v>
      </c>
    </row>
    <row r="1610">
      <c r="D1610" t="str">
        <f>IFERROR(__xludf.DUMMYFUNCTION("""COMPUTED_VALUE"""),"Palmer")</f>
        <v>Palmer</v>
      </c>
      <c r="E1610" t="str">
        <f>IFERROR(__xludf.DUMMYFUNCTION("""COMPUTED_VALUE"""),"Nathan")</f>
        <v>Nathan</v>
      </c>
      <c r="F1610">
        <f>IFERROR(__xludf.DUMMYFUNCTION("""COMPUTED_VALUE"""),9.0)</f>
        <v>9</v>
      </c>
    </row>
    <row r="1611">
      <c r="D1611" t="str">
        <f>IFERROR(__xludf.DUMMYFUNCTION("""COMPUTED_VALUE"""),"Pamphile")</f>
        <v>Pamphile</v>
      </c>
      <c r="E1611" t="str">
        <f>IFERROR(__xludf.DUMMYFUNCTION("""COMPUTED_VALUE"""),"Kevin")</f>
        <v>Kevin</v>
      </c>
      <c r="F1611">
        <f>IFERROR(__xludf.DUMMYFUNCTION("""COMPUTED_VALUE"""),10.65)</f>
        <v>10.65</v>
      </c>
    </row>
    <row r="1612">
      <c r="D1612" t="str">
        <f>IFERROR(__xludf.DUMMYFUNCTION("""COMPUTED_VALUE"""),"Pantale")</f>
        <v>Pantale</v>
      </c>
      <c r="E1612" t="str">
        <f>IFERROR(__xludf.DUMMYFUNCTION("""COMPUTED_VALUE"""),"Chris")</f>
        <v>Chris</v>
      </c>
      <c r="F1612">
        <f>IFERROR(__xludf.DUMMYFUNCTION("""COMPUTED_VALUE"""),9.45)</f>
        <v>9.45</v>
      </c>
    </row>
    <row r="1613">
      <c r="D1613" t="str">
        <f>IFERROR(__xludf.DUMMYFUNCTION("""COMPUTED_VALUE"""),"Paradis")</f>
        <v>Paradis</v>
      </c>
      <c r="E1613" t="str">
        <f>IFERROR(__xludf.DUMMYFUNCTION("""COMPUTED_VALUE"""),"Matt")</f>
        <v>Matt</v>
      </c>
      <c r="F1613">
        <f>IFERROR(__xludf.DUMMYFUNCTION("""COMPUTED_VALUE"""),10.65)</f>
        <v>10.65</v>
      </c>
    </row>
    <row r="1614">
      <c r="D1614" t="str">
        <f>IFERROR(__xludf.DUMMYFUNCTION("""COMPUTED_VALUE"""),"Parker")</f>
        <v>Parker</v>
      </c>
      <c r="E1614" t="str">
        <f>IFERROR(__xludf.DUMMYFUNCTION("""COMPUTED_VALUE"""),"Brian")</f>
        <v>Brian</v>
      </c>
      <c r="F1614">
        <f>IFERROR(__xludf.DUMMYFUNCTION("""COMPUTED_VALUE"""),9.75)</f>
        <v>9.75</v>
      </c>
    </row>
    <row r="1615">
      <c r="D1615" t="str">
        <f>IFERROR(__xludf.DUMMYFUNCTION("""COMPUTED_VALUE"""),"Parker")</f>
        <v>Parker</v>
      </c>
      <c r="E1615" t="str">
        <f>IFERROR(__xludf.DUMMYFUNCTION("""COMPUTED_VALUE"""),"DeVante")</f>
        <v>DeVante</v>
      </c>
      <c r="F1615">
        <f>IFERROR(__xludf.DUMMYFUNCTION("""COMPUTED_VALUE"""),11.549999999999999)</f>
        <v>11.55</v>
      </c>
    </row>
    <row r="1616">
      <c r="D1616" t="str">
        <f>IFERROR(__xludf.DUMMYFUNCTION("""COMPUTED_VALUE"""),"Parker")</f>
        <v>Parker</v>
      </c>
      <c r="E1616" t="str">
        <f>IFERROR(__xludf.DUMMYFUNCTION("""COMPUTED_VALUE"""),"Ron")</f>
        <v>Ron</v>
      </c>
      <c r="F1616">
        <f>IFERROR(__xludf.DUMMYFUNCTION("""COMPUTED_VALUE"""),12.15)</f>
        <v>12.15</v>
      </c>
    </row>
    <row r="1617">
      <c r="D1617" t="str">
        <f>IFERROR(__xludf.DUMMYFUNCTION("""COMPUTED_VALUE"""),"Parkey")</f>
        <v>Parkey</v>
      </c>
      <c r="E1617" t="str">
        <f>IFERROR(__xludf.DUMMYFUNCTION("""COMPUTED_VALUE"""),"Cody")</f>
        <v>Cody</v>
      </c>
      <c r="F1617">
        <f>IFERROR(__xludf.DUMMYFUNCTION("""COMPUTED_VALUE"""),11.25)</f>
        <v>11.25</v>
      </c>
    </row>
    <row r="1618">
      <c r="D1618" t="str">
        <f>IFERROR(__xludf.DUMMYFUNCTION("""COMPUTED_VALUE"""),"Parks")</f>
        <v>Parks</v>
      </c>
      <c r="E1618" t="str">
        <f>IFERROR(__xludf.DUMMYFUNCTION("""COMPUTED_VALUE"""),"Will")</f>
        <v>Will</v>
      </c>
      <c r="F1618">
        <f>IFERROR(__xludf.DUMMYFUNCTION("""COMPUTED_VALUE"""),10.2)</f>
        <v>10.2</v>
      </c>
    </row>
    <row r="1619">
      <c r="D1619" t="str">
        <f>IFERROR(__xludf.DUMMYFUNCTION("""COMPUTED_VALUE"""),"Parnell")</f>
        <v>Parnell</v>
      </c>
      <c r="E1619" t="str">
        <f>IFERROR(__xludf.DUMMYFUNCTION("""COMPUTED_VALUE"""),"Jermey")</f>
        <v>Jermey</v>
      </c>
      <c r="F1619">
        <f>IFERROR(__xludf.DUMMYFUNCTION("""COMPUTED_VALUE"""),11.549999999999999)</f>
        <v>11.55</v>
      </c>
    </row>
    <row r="1620">
      <c r="D1620" t="str">
        <f>IFERROR(__xludf.DUMMYFUNCTION("""COMPUTED_VALUE"""),"Parry")</f>
        <v>Parry</v>
      </c>
      <c r="E1620" t="str">
        <f>IFERROR(__xludf.DUMMYFUNCTION("""COMPUTED_VALUE"""),"David")</f>
        <v>David</v>
      </c>
      <c r="F1620">
        <f>IFERROR(__xludf.DUMMYFUNCTION("""COMPUTED_VALUE"""),10.2)</f>
        <v>10.2</v>
      </c>
    </row>
    <row r="1621">
      <c r="D1621" t="str">
        <f>IFERROR(__xludf.DUMMYFUNCTION("""COMPUTED_VALUE"""),"Pasztor")</f>
        <v>Pasztor</v>
      </c>
      <c r="E1621" t="str">
        <f>IFERROR(__xludf.DUMMYFUNCTION("""COMPUTED_VALUE"""),"Austin")</f>
        <v>Austin</v>
      </c>
      <c r="F1621">
        <f>IFERROR(__xludf.DUMMYFUNCTION("""COMPUTED_VALUE"""),10.65)</f>
        <v>10.65</v>
      </c>
    </row>
    <row r="1622">
      <c r="D1622" t="str">
        <f>IFERROR(__xludf.DUMMYFUNCTION("""COMPUTED_VALUE"""),"Patterson")</f>
        <v>Patterson</v>
      </c>
      <c r="E1622" t="str">
        <f>IFERROR(__xludf.DUMMYFUNCTION("""COMPUTED_VALUE"""),"Cordarrelle")</f>
        <v>Cordarrelle</v>
      </c>
      <c r="F1622">
        <f>IFERROR(__xludf.DUMMYFUNCTION("""COMPUTED_VALUE"""),10.5)</f>
        <v>10.5</v>
      </c>
    </row>
    <row r="1623">
      <c r="D1623" t="str">
        <f>IFERROR(__xludf.DUMMYFUNCTION("""COMPUTED_VALUE"""),"Patterson")</f>
        <v>Patterson</v>
      </c>
      <c r="E1623" t="str">
        <f>IFERROR(__xludf.DUMMYFUNCTION("""COMPUTED_VALUE"""),"Eric")</f>
        <v>Eric</v>
      </c>
      <c r="F1623">
        <f>IFERROR(__xludf.DUMMYFUNCTION("""COMPUTED_VALUE"""),9.15)</f>
        <v>9.15</v>
      </c>
    </row>
    <row r="1624">
      <c r="D1624" t="str">
        <f>IFERROR(__xludf.DUMMYFUNCTION("""COMPUTED_VALUE"""),"Patton")</f>
        <v>Patton</v>
      </c>
      <c r="E1624" t="str">
        <f>IFERROR(__xludf.DUMMYFUNCTION("""COMPUTED_VALUE"""),"Quinton")</f>
        <v>Quinton</v>
      </c>
      <c r="F1624">
        <f>IFERROR(__xludf.DUMMYFUNCTION("""COMPUTED_VALUE"""),10.5)</f>
        <v>10.5</v>
      </c>
    </row>
    <row r="1625">
      <c r="D1625" t="str">
        <f>IFERROR(__xludf.DUMMYFUNCTION("""COMPUTED_VALUE"""),"Paul")</f>
        <v>Paul</v>
      </c>
      <c r="E1625" t="str">
        <f>IFERROR(__xludf.DUMMYFUNCTION("""COMPUTED_VALUE"""),"Niles")</f>
        <v>Niles</v>
      </c>
      <c r="F1625">
        <f>IFERROR(__xludf.DUMMYFUNCTION("""COMPUTED_VALUE"""),10.95)</f>
        <v>10.95</v>
      </c>
    </row>
    <row r="1626">
      <c r="D1626" t="str">
        <f>IFERROR(__xludf.DUMMYFUNCTION("""COMPUTED_VALUE"""),"Paulsen")</f>
        <v>Paulsen</v>
      </c>
      <c r="E1626" t="str">
        <f>IFERROR(__xludf.DUMMYFUNCTION("""COMPUTED_VALUE"""),"Logan")</f>
        <v>Logan</v>
      </c>
      <c r="F1626">
        <f>IFERROR(__xludf.DUMMYFUNCTION("""COMPUTED_VALUE"""),10.5)</f>
        <v>10.5</v>
      </c>
    </row>
    <row r="1627">
      <c r="D1627" t="str">
        <f>IFERROR(__xludf.DUMMYFUNCTION("""COMPUTED_VALUE"""),"Paysinger")</f>
        <v>Paysinger</v>
      </c>
      <c r="E1627" t="str">
        <f>IFERROR(__xludf.DUMMYFUNCTION("""COMPUTED_VALUE"""),"Spencer")</f>
        <v>Spencer</v>
      </c>
      <c r="F1627">
        <f>IFERROR(__xludf.DUMMYFUNCTION("""COMPUTED_VALUE"""),10.5)</f>
        <v>10.5</v>
      </c>
    </row>
    <row r="1628">
      <c r="D1628" t="str">
        <f>IFERROR(__xludf.DUMMYFUNCTION("""COMPUTED_VALUE"""),"Payton")</f>
        <v>Payton</v>
      </c>
      <c r="E1628" t="str">
        <f>IFERROR(__xludf.DUMMYFUNCTION("""COMPUTED_VALUE"""),"Jordan")</f>
        <v>Jordan</v>
      </c>
      <c r="F1628">
        <f>IFERROR(__xludf.DUMMYFUNCTION("""COMPUTED_VALUE"""),9.6)</f>
        <v>9.6</v>
      </c>
    </row>
    <row r="1629">
      <c r="D1629" t="str">
        <f>IFERROR(__xludf.DUMMYFUNCTION("""COMPUTED_VALUE"""),"Pead")</f>
        <v>Pead</v>
      </c>
      <c r="E1629" t="str">
        <f>IFERROR(__xludf.DUMMYFUNCTION("""COMPUTED_VALUE"""),"Isaiah")</f>
        <v>Isaiah</v>
      </c>
      <c r="F1629">
        <f>IFERROR(__xludf.DUMMYFUNCTION("""COMPUTED_VALUE"""),10.049999999999999)</f>
        <v>10.05</v>
      </c>
    </row>
    <row r="1630">
      <c r="D1630" t="str">
        <f>IFERROR(__xludf.DUMMYFUNCTION("""COMPUTED_VALUE"""),"Peake")</f>
        <v>Peake</v>
      </c>
      <c r="E1630" t="str">
        <f>IFERROR(__xludf.DUMMYFUNCTION("""COMPUTED_VALUE"""),"Charone")</f>
        <v>Charone</v>
      </c>
      <c r="F1630">
        <f>IFERROR(__xludf.DUMMYFUNCTION("""COMPUTED_VALUE"""),9.75)</f>
        <v>9.75</v>
      </c>
    </row>
    <row r="1631">
      <c r="D1631" t="str">
        <f>IFERROR(__xludf.DUMMYFUNCTION("""COMPUTED_VALUE"""),"Pears")</f>
        <v>Pears</v>
      </c>
      <c r="E1631" t="str">
        <f>IFERROR(__xludf.DUMMYFUNCTION("""COMPUTED_VALUE"""),"Erik")</f>
        <v>Erik</v>
      </c>
      <c r="F1631">
        <f>IFERROR(__xludf.DUMMYFUNCTION("""COMPUTED_VALUE"""),10.65)</f>
        <v>10.65</v>
      </c>
    </row>
    <row r="1632">
      <c r="D1632" t="str">
        <f>IFERROR(__xludf.DUMMYFUNCTION("""COMPUTED_VALUE"""),"Peat")</f>
        <v>Peat</v>
      </c>
      <c r="E1632" t="str">
        <f>IFERROR(__xludf.DUMMYFUNCTION("""COMPUTED_VALUE"""),"Andrus")</f>
        <v>Andrus</v>
      </c>
      <c r="F1632">
        <f>IFERROR(__xludf.DUMMYFUNCTION("""COMPUTED_VALUE"""),10.5)</f>
        <v>10.5</v>
      </c>
    </row>
    <row r="1633">
      <c r="D1633" t="str">
        <f>IFERROR(__xludf.DUMMYFUNCTION("""COMPUTED_VALUE"""),"Peerman")</f>
        <v>Peerman</v>
      </c>
      <c r="E1633" t="str">
        <f>IFERROR(__xludf.DUMMYFUNCTION("""COMPUTED_VALUE"""),"Cedric")</f>
        <v>Cedric</v>
      </c>
      <c r="F1633">
        <f>IFERROR(__xludf.DUMMYFUNCTION("""COMPUTED_VALUE"""),10.65)</f>
        <v>10.65</v>
      </c>
    </row>
    <row r="1634">
      <c r="D1634" t="str">
        <f>IFERROR(__xludf.DUMMYFUNCTION("""COMPUTED_VALUE"""),"Peko")</f>
        <v>Peko</v>
      </c>
      <c r="E1634" t="str">
        <f>IFERROR(__xludf.DUMMYFUNCTION("""COMPUTED_VALUE"""),"Domata")</f>
        <v>Domata</v>
      </c>
      <c r="F1634">
        <f>IFERROR(__xludf.DUMMYFUNCTION("""COMPUTED_VALUE"""),10.95)</f>
        <v>10.95</v>
      </c>
    </row>
    <row r="1635">
      <c r="D1635" t="str">
        <f>IFERROR(__xludf.DUMMYFUNCTION("""COMPUTED_VALUE"""),"Penn")</f>
        <v>Penn</v>
      </c>
      <c r="E1635" t="str">
        <f>IFERROR(__xludf.DUMMYFUNCTION("""COMPUTED_VALUE"""),"Donald")</f>
        <v>Donald</v>
      </c>
      <c r="F1635">
        <f>IFERROR(__xludf.DUMMYFUNCTION("""COMPUTED_VALUE"""),13.049999999999999)</f>
        <v>13.05</v>
      </c>
    </row>
    <row r="1636">
      <c r="D1636" t="str">
        <f>IFERROR(__xludf.DUMMYFUNCTION("""COMPUTED_VALUE"""),"Pennel")</f>
        <v>Pennel</v>
      </c>
      <c r="E1636" t="str">
        <f>IFERROR(__xludf.DUMMYFUNCTION("""COMPUTED_VALUE"""),"Mike")</f>
        <v>Mike</v>
      </c>
      <c r="F1636">
        <f>IFERROR(__xludf.DUMMYFUNCTION("""COMPUTED_VALUE"""),9.9)</f>
        <v>9.9</v>
      </c>
    </row>
    <row r="1637">
      <c r="D1637" t="str">
        <f>IFERROR(__xludf.DUMMYFUNCTION("""COMPUTED_VALUE"""),"Peppers")</f>
        <v>Peppers</v>
      </c>
      <c r="E1637" t="str">
        <f>IFERROR(__xludf.DUMMYFUNCTION("""COMPUTED_VALUE"""),"Julius")</f>
        <v>Julius</v>
      </c>
      <c r="F1637">
        <f>IFERROR(__xludf.DUMMYFUNCTION("""COMPUTED_VALUE"""),12.9)</f>
        <v>12.9</v>
      </c>
    </row>
    <row r="1638">
      <c r="D1638" t="str">
        <f>IFERROR(__xludf.DUMMYFUNCTION("""COMPUTED_VALUE"""),"Perillo")</f>
        <v>Perillo</v>
      </c>
      <c r="E1638" t="str">
        <f>IFERROR(__xludf.DUMMYFUNCTION("""COMPUTED_VALUE"""),"Justin")</f>
        <v>Justin</v>
      </c>
      <c r="F1638">
        <f>IFERROR(__xludf.DUMMYFUNCTION("""COMPUTED_VALUE"""),10.2)</f>
        <v>10.2</v>
      </c>
    </row>
    <row r="1639">
      <c r="D1639" t="str">
        <f>IFERROR(__xludf.DUMMYFUNCTION("""COMPUTED_VALUE"""),"Perkins")</f>
        <v>Perkins</v>
      </c>
      <c r="E1639" t="str">
        <f>IFERROR(__xludf.DUMMYFUNCTION("""COMPUTED_VALUE"""),"Paul")</f>
        <v>Paul</v>
      </c>
      <c r="F1639">
        <f>IFERROR(__xludf.DUMMYFUNCTION("""COMPUTED_VALUE"""),10.799999999999999)</f>
        <v>10.8</v>
      </c>
    </row>
    <row r="1640">
      <c r="D1640" t="str">
        <f>IFERROR(__xludf.DUMMYFUNCTION("""COMPUTED_VALUE"""),"Perriman")</f>
        <v>Perriman</v>
      </c>
      <c r="E1640" t="str">
        <f>IFERROR(__xludf.DUMMYFUNCTION("""COMPUTED_VALUE"""),"Breshad")</f>
        <v>Breshad</v>
      </c>
      <c r="F1640">
        <f>IFERROR(__xludf.DUMMYFUNCTION("""COMPUTED_VALUE"""),10.5)</f>
        <v>10.5</v>
      </c>
    </row>
    <row r="1641">
      <c r="D1641" t="str">
        <f>IFERROR(__xludf.DUMMYFUNCTION("""COMPUTED_VALUE"""),"Perry")</f>
        <v>Perry</v>
      </c>
      <c r="E1641" t="str">
        <f>IFERROR(__xludf.DUMMYFUNCTION("""COMPUTED_VALUE"""),"Joshua")</f>
        <v>Joshua</v>
      </c>
      <c r="F1641">
        <f>IFERROR(__xludf.DUMMYFUNCTION("""COMPUTED_VALUE"""),9.9)</f>
        <v>9.9</v>
      </c>
    </row>
    <row r="1642">
      <c r="D1642" t="str">
        <f>IFERROR(__xludf.DUMMYFUNCTION("""COMPUTED_VALUE"""),"Perry")</f>
        <v>Perry</v>
      </c>
      <c r="E1642" t="str">
        <f>IFERROR(__xludf.DUMMYFUNCTION("""COMPUTED_VALUE"""),"Nick")</f>
        <v>Nick</v>
      </c>
      <c r="F1642">
        <f>IFERROR(__xludf.DUMMYFUNCTION("""COMPUTED_VALUE"""),12.15)</f>
        <v>12.15</v>
      </c>
    </row>
    <row r="1643">
      <c r="D1643" t="str">
        <f>IFERROR(__xludf.DUMMYFUNCTION("""COMPUTED_VALUE"""),"Perry")</f>
        <v>Perry</v>
      </c>
      <c r="E1643" t="str">
        <f>IFERROR(__xludf.DUMMYFUNCTION("""COMPUTED_VALUE"""),"Senorise")</f>
        <v>Senorise</v>
      </c>
      <c r="F1643">
        <f>IFERROR(__xludf.DUMMYFUNCTION("""COMPUTED_VALUE"""),9.6)</f>
        <v>9.6</v>
      </c>
    </row>
    <row r="1644">
      <c r="D1644" t="str">
        <f>IFERROR(__xludf.DUMMYFUNCTION("""COMPUTED_VALUE"""),"Perryman")</f>
        <v>Perryman</v>
      </c>
      <c r="E1644" t="str">
        <f>IFERROR(__xludf.DUMMYFUNCTION("""COMPUTED_VALUE"""),"Denzel")</f>
        <v>Denzel</v>
      </c>
      <c r="F1644">
        <f>IFERROR(__xludf.DUMMYFUNCTION("""COMPUTED_VALUE"""),11.4)</f>
        <v>11.4</v>
      </c>
    </row>
    <row r="1645">
      <c r="D1645" t="str">
        <f>IFERROR(__xludf.DUMMYFUNCTION("""COMPUTED_VALUE"""),"Person")</f>
        <v>Person</v>
      </c>
      <c r="E1645" t="str">
        <f>IFERROR(__xludf.DUMMYFUNCTION("""COMPUTED_VALUE"""),"Mike")</f>
        <v>Mike</v>
      </c>
      <c r="F1645">
        <f>IFERROR(__xludf.DUMMYFUNCTION("""COMPUTED_VALUE"""),10.5)</f>
        <v>10.5</v>
      </c>
    </row>
    <row r="1646">
      <c r="D1646" t="str">
        <f>IFERROR(__xludf.DUMMYFUNCTION("""COMPUTED_VALUE"""),"Peters")</f>
        <v>Peters</v>
      </c>
      <c r="E1646" t="str">
        <f>IFERROR(__xludf.DUMMYFUNCTION("""COMPUTED_VALUE"""),"Brian")</f>
        <v>Brian</v>
      </c>
      <c r="F1646">
        <f>IFERROR(__xludf.DUMMYFUNCTION("""COMPUTED_VALUE"""),9.15)</f>
        <v>9.15</v>
      </c>
    </row>
    <row r="1647">
      <c r="D1647" t="str">
        <f>IFERROR(__xludf.DUMMYFUNCTION("""COMPUTED_VALUE"""),"Peters")</f>
        <v>Peters</v>
      </c>
      <c r="E1647" t="str">
        <f>IFERROR(__xludf.DUMMYFUNCTION("""COMPUTED_VALUE"""),"Corey")</f>
        <v>Corey</v>
      </c>
      <c r="F1647">
        <f>IFERROR(__xludf.DUMMYFUNCTION("""COMPUTED_VALUE"""),11.25)</f>
        <v>11.25</v>
      </c>
    </row>
    <row r="1648">
      <c r="D1648" t="str">
        <f>IFERROR(__xludf.DUMMYFUNCTION("""COMPUTED_VALUE"""),"Peters")</f>
        <v>Peters</v>
      </c>
      <c r="E1648" t="str">
        <f>IFERROR(__xludf.DUMMYFUNCTION("""COMPUTED_VALUE"""),"Jason")</f>
        <v>Jason</v>
      </c>
      <c r="F1648">
        <f>IFERROR(__xludf.DUMMYFUNCTION("""COMPUTED_VALUE"""),13.049999999999999)</f>
        <v>13.05</v>
      </c>
    </row>
    <row r="1649">
      <c r="D1649" t="str">
        <f>IFERROR(__xludf.DUMMYFUNCTION("""COMPUTED_VALUE"""),"Peters")</f>
        <v>Peters</v>
      </c>
      <c r="E1649" t="str">
        <f>IFERROR(__xludf.DUMMYFUNCTION("""COMPUTED_VALUE"""),"Marcus")</f>
        <v>Marcus</v>
      </c>
      <c r="F1649">
        <f>IFERROR(__xludf.DUMMYFUNCTION("""COMPUTED_VALUE"""),12.299999999999999)</f>
        <v>12.3</v>
      </c>
    </row>
    <row r="1650">
      <c r="D1650" t="str">
        <f>IFERROR(__xludf.DUMMYFUNCTION("""COMPUTED_VALUE"""),"Peterson")</f>
        <v>Peterson</v>
      </c>
      <c r="E1650" t="str">
        <f>IFERROR(__xludf.DUMMYFUNCTION("""COMPUTED_VALUE"""),"Adrian")</f>
        <v>Adrian</v>
      </c>
      <c r="F1650">
        <f>IFERROR(__xludf.DUMMYFUNCTION("""COMPUTED_VALUE"""),13.65)</f>
        <v>13.65</v>
      </c>
    </row>
    <row r="1651">
      <c r="D1651" t="str">
        <f>IFERROR(__xludf.DUMMYFUNCTION("""COMPUTED_VALUE"""),"Peterson")</f>
        <v>Peterson</v>
      </c>
      <c r="E1651" t="str">
        <f>IFERROR(__xludf.DUMMYFUNCTION("""COMPUTED_VALUE"""),"Kevin")</f>
        <v>Kevin</v>
      </c>
      <c r="F1651">
        <f>IFERROR(__xludf.DUMMYFUNCTION("""COMPUTED_VALUE"""),9.15)</f>
        <v>9.15</v>
      </c>
    </row>
    <row r="1652">
      <c r="D1652" t="str">
        <f>IFERROR(__xludf.DUMMYFUNCTION("""COMPUTED_VALUE"""),"Peterson")</f>
        <v>Peterson</v>
      </c>
      <c r="E1652" t="str">
        <f>IFERROR(__xludf.DUMMYFUNCTION("""COMPUTED_VALUE"""),"Patrick")</f>
        <v>Patrick</v>
      </c>
      <c r="F1652">
        <f>IFERROR(__xludf.DUMMYFUNCTION("""COMPUTED_VALUE"""),13.65)</f>
        <v>13.65</v>
      </c>
    </row>
    <row r="1653">
      <c r="D1653" t="str">
        <f>IFERROR(__xludf.DUMMYFUNCTION("""COMPUTED_VALUE"""),"Petteway")</f>
        <v>Petteway</v>
      </c>
      <c r="E1653" t="str">
        <f>IFERROR(__xludf.DUMMYFUNCTION("""COMPUTED_VALUE"""),"Shaq")</f>
        <v>Shaq</v>
      </c>
      <c r="F1653">
        <f>IFERROR(__xludf.DUMMYFUNCTION("""COMPUTED_VALUE"""),9.45)</f>
        <v>9.45</v>
      </c>
    </row>
    <row r="1654">
      <c r="D1654" t="str">
        <f>IFERROR(__xludf.DUMMYFUNCTION("""COMPUTED_VALUE"""),"Pettigrew")</f>
        <v>Pettigrew</v>
      </c>
      <c r="E1654" t="str">
        <f>IFERROR(__xludf.DUMMYFUNCTION("""COMPUTED_VALUE"""),"Brandon")</f>
        <v>Brandon</v>
      </c>
      <c r="F1654">
        <f>IFERROR(__xludf.DUMMYFUNCTION("""COMPUTED_VALUE"""),11.1)</f>
        <v>11.1</v>
      </c>
    </row>
    <row r="1655">
      <c r="D1655" t="str">
        <f>IFERROR(__xludf.DUMMYFUNCTION("""COMPUTED_VALUE"""),"Pettway")</f>
        <v>Pettway</v>
      </c>
      <c r="E1655" t="str">
        <f>IFERROR(__xludf.DUMMYFUNCTION("""COMPUTED_VALUE"""),"DJ")</f>
        <v>DJ</v>
      </c>
      <c r="F1655">
        <f>IFERROR(__xludf.DUMMYFUNCTION("""COMPUTED_VALUE"""),9.0)</f>
        <v>9</v>
      </c>
    </row>
    <row r="1656">
      <c r="D1656" t="str">
        <f>IFERROR(__xludf.DUMMYFUNCTION("""COMPUTED_VALUE"""),"Petty")</f>
        <v>Petty</v>
      </c>
      <c r="E1656" t="str">
        <f>IFERROR(__xludf.DUMMYFUNCTION("""COMPUTED_VALUE"""),"Bryce")</f>
        <v>Bryce</v>
      </c>
      <c r="F1656">
        <f>IFERROR(__xludf.DUMMYFUNCTION("""COMPUTED_VALUE"""),9.75)</f>
        <v>9.75</v>
      </c>
    </row>
    <row r="1657">
      <c r="D1657" t="str">
        <f>IFERROR(__xludf.DUMMYFUNCTION("""COMPUTED_VALUE"""),"Phillips")</f>
        <v>Phillips</v>
      </c>
      <c r="E1657" t="str">
        <f>IFERROR(__xludf.DUMMYFUNCTION("""COMPUTED_VALUE"""),"Adrian")</f>
        <v>Adrian</v>
      </c>
      <c r="F1657">
        <f>IFERROR(__xludf.DUMMYFUNCTION("""COMPUTED_VALUE"""),10.049999999999999)</f>
        <v>10.05</v>
      </c>
    </row>
    <row r="1658">
      <c r="D1658" t="str">
        <f>IFERROR(__xludf.DUMMYFUNCTION("""COMPUTED_VALUE"""),"Phillips")</f>
        <v>Phillips</v>
      </c>
      <c r="E1658" t="str">
        <f>IFERROR(__xludf.DUMMYFUNCTION("""COMPUTED_VALUE"""),"Dashaun")</f>
        <v>Dashaun</v>
      </c>
      <c r="F1658">
        <f>IFERROR(__xludf.DUMMYFUNCTION("""COMPUTED_VALUE"""),8.85)</f>
        <v>8.85</v>
      </c>
    </row>
    <row r="1659">
      <c r="D1659" t="str">
        <f>IFERROR(__xludf.DUMMYFUNCTION("""COMPUTED_VALUE"""),"Phillips")</f>
        <v>Phillips</v>
      </c>
      <c r="E1659" t="str">
        <f>IFERROR(__xludf.DUMMYFUNCTION("""COMPUTED_VALUE"""),"Jordan")</f>
        <v>Jordan</v>
      </c>
      <c r="F1659">
        <f>IFERROR(__xludf.DUMMYFUNCTION("""COMPUTED_VALUE"""),9.45)</f>
        <v>9.45</v>
      </c>
    </row>
    <row r="1660">
      <c r="D1660" t="str">
        <f>IFERROR(__xludf.DUMMYFUNCTION("""COMPUTED_VALUE"""),"Philon")</f>
        <v>Philon</v>
      </c>
      <c r="E1660" t="str">
        <f>IFERROR(__xludf.DUMMYFUNCTION("""COMPUTED_VALUE"""),"Darius")</f>
        <v>Darius</v>
      </c>
      <c r="F1660">
        <f>IFERROR(__xludf.DUMMYFUNCTION("""COMPUTED_VALUE"""),9.75)</f>
        <v>9.75</v>
      </c>
    </row>
    <row r="1661">
      <c r="D1661" t="str">
        <f>IFERROR(__xludf.DUMMYFUNCTION("""COMPUTED_VALUE"""),"Pierce")</f>
        <v>Pierce</v>
      </c>
      <c r="E1661" t="str">
        <f>IFERROR(__xludf.DUMMYFUNCTION("""COMPUTED_VALUE"""),"Bernard")</f>
        <v>Bernard</v>
      </c>
      <c r="F1661">
        <f>IFERROR(__xludf.DUMMYFUNCTION("""COMPUTED_VALUE"""),10.5)</f>
        <v>10.5</v>
      </c>
    </row>
    <row r="1662">
      <c r="D1662" t="str">
        <f>IFERROR(__xludf.DUMMYFUNCTION("""COMPUTED_VALUE"""),"Pierre")</f>
        <v>Pierre</v>
      </c>
      <c r="E1662" t="str">
        <f>IFERROR(__xludf.DUMMYFUNCTION("""COMPUTED_VALUE"""),"Olsen")</f>
        <v>Olsen</v>
      </c>
      <c r="F1662">
        <f>IFERROR(__xludf.DUMMYFUNCTION("""COMPUTED_VALUE"""),8.85)</f>
        <v>8.85</v>
      </c>
    </row>
    <row r="1663">
      <c r="D1663" t="str">
        <f>IFERROR(__xludf.DUMMYFUNCTION("""COMPUTED_VALUE"""),"Pierre-Louis")</f>
        <v>Pierre-Louis</v>
      </c>
      <c r="E1663" t="str">
        <f>IFERROR(__xludf.DUMMYFUNCTION("""COMPUTED_VALUE"""),"Kevin")</f>
        <v>Kevin</v>
      </c>
      <c r="F1663">
        <f>IFERROR(__xludf.DUMMYFUNCTION("""COMPUTED_VALUE"""),10.5)</f>
        <v>10.5</v>
      </c>
    </row>
    <row r="1664">
      <c r="D1664" t="str">
        <f>IFERROR(__xludf.DUMMYFUNCTION("""COMPUTED_VALUE"""),"Pierre-Paul")</f>
        <v>Pierre-Paul</v>
      </c>
      <c r="E1664" t="str">
        <f>IFERROR(__xludf.DUMMYFUNCTION("""COMPUTED_VALUE"""),"Jason")</f>
        <v>Jason</v>
      </c>
      <c r="F1664">
        <f>IFERROR(__xludf.DUMMYFUNCTION("""COMPUTED_VALUE"""),12.75)</f>
        <v>12.75</v>
      </c>
    </row>
    <row r="1665">
      <c r="D1665" t="str">
        <f>IFERROR(__xludf.DUMMYFUNCTION("""COMPUTED_VALUE"""),"Pinion")</f>
        <v>Pinion</v>
      </c>
      <c r="E1665" t="str">
        <f>IFERROR(__xludf.DUMMYFUNCTION("""COMPUTED_VALUE"""),"Bradley")</f>
        <v>Bradley</v>
      </c>
      <c r="F1665">
        <f>IFERROR(__xludf.DUMMYFUNCTION("""COMPUTED_VALUE"""),11.549999999999999)</f>
        <v>11.55</v>
      </c>
    </row>
    <row r="1666">
      <c r="D1666" t="str">
        <f>IFERROR(__xludf.DUMMYFUNCTION("""COMPUTED_VALUE"""),"Pinkins")</f>
        <v>Pinkins</v>
      </c>
      <c r="E1666" t="str">
        <f>IFERROR(__xludf.DUMMYFUNCTION("""COMPUTED_VALUE"""),"Eric")</f>
        <v>Eric</v>
      </c>
      <c r="F1666">
        <f>IFERROR(__xludf.DUMMYFUNCTION("""COMPUTED_VALUE"""),8.7)</f>
        <v>8.7</v>
      </c>
    </row>
    <row r="1667">
      <c r="D1667" t="str">
        <f>IFERROR(__xludf.DUMMYFUNCTION("""COMPUTED_VALUE"""),"Pitoitua")</f>
        <v>Pitoitua</v>
      </c>
      <c r="E1667" t="str">
        <f>IFERROR(__xludf.DUMMYFUNCTION("""COMPUTED_VALUE"""),"Ropati")</f>
        <v>Ropati</v>
      </c>
      <c r="F1667">
        <f>IFERROR(__xludf.DUMMYFUNCTION("""COMPUTED_VALUE"""),10.049999999999999)</f>
        <v>10.05</v>
      </c>
    </row>
    <row r="1668">
      <c r="D1668" t="str">
        <f>IFERROR(__xludf.DUMMYFUNCTION("""COMPUTED_VALUE"""),"Pitta")</f>
        <v>Pitta</v>
      </c>
      <c r="E1668" t="str">
        <f>IFERROR(__xludf.DUMMYFUNCTION("""COMPUTED_VALUE"""),"Dennis")</f>
        <v>Dennis</v>
      </c>
      <c r="F1668">
        <f>IFERROR(__xludf.DUMMYFUNCTION("""COMPUTED_VALUE"""),12.15)</f>
        <v>12.15</v>
      </c>
    </row>
    <row r="1669">
      <c r="D1669" t="str">
        <f>IFERROR(__xludf.DUMMYFUNCTION("""COMPUTED_VALUE"""),"Pleasant")</f>
        <v>Pleasant</v>
      </c>
      <c r="E1669" t="str">
        <f>IFERROR(__xludf.DUMMYFUNCTION("""COMPUTED_VALUE"""),"Eddie")</f>
        <v>Eddie</v>
      </c>
      <c r="F1669">
        <f>IFERROR(__xludf.DUMMYFUNCTION("""COMPUTED_VALUE"""),10.5)</f>
        <v>10.5</v>
      </c>
    </row>
    <row r="1670">
      <c r="D1670" t="str">
        <f>IFERROR(__xludf.DUMMYFUNCTION("""COMPUTED_VALUE"""),"Plummer")</f>
        <v>Plummer</v>
      </c>
      <c r="E1670" t="str">
        <f>IFERROR(__xludf.DUMMYFUNCTION("""COMPUTED_VALUE"""),"Terrance")</f>
        <v>Terrance</v>
      </c>
      <c r="F1670">
        <f>IFERROR(__xludf.DUMMYFUNCTION("""COMPUTED_VALUE"""),8.549999999999999)</f>
        <v>8.55</v>
      </c>
    </row>
    <row r="1671">
      <c r="D1671" t="str">
        <f>IFERROR(__xludf.DUMMYFUNCTION("""COMPUTED_VALUE"""),"Poe")</f>
        <v>Poe</v>
      </c>
      <c r="E1671" t="str">
        <f>IFERROR(__xludf.DUMMYFUNCTION("""COMPUTED_VALUE"""),"Dontari")</f>
        <v>Dontari</v>
      </c>
      <c r="F1671">
        <f>IFERROR(__xludf.DUMMYFUNCTION("""COMPUTED_VALUE"""),12.75)</f>
        <v>12.75</v>
      </c>
    </row>
    <row r="1672">
      <c r="D1672" t="str">
        <f>IFERROR(__xludf.DUMMYFUNCTION("""COMPUTED_VALUE"""),"Poole")</f>
        <v>Poole</v>
      </c>
      <c r="E1672" t="str">
        <f>IFERROR(__xludf.DUMMYFUNCTION("""COMPUTED_VALUE"""),"Brian")</f>
        <v>Brian</v>
      </c>
      <c r="F1672">
        <f>IFERROR(__xludf.DUMMYFUNCTION("""COMPUTED_VALUE"""),9.0)</f>
        <v>9</v>
      </c>
    </row>
    <row r="1673">
      <c r="D1673" t="str">
        <f>IFERROR(__xludf.DUMMYFUNCTION("""COMPUTED_VALUE"""),"Poole")</f>
        <v>Poole</v>
      </c>
      <c r="E1673" t="str">
        <f>IFERROR(__xludf.DUMMYFUNCTION("""COMPUTED_VALUE"""),"Terry")</f>
        <v>Terry</v>
      </c>
      <c r="F1673">
        <f>IFERROR(__xludf.DUMMYFUNCTION("""COMPUTED_VALUE"""),9.75)</f>
        <v>9.75</v>
      </c>
    </row>
    <row r="1674">
      <c r="D1674" t="str">
        <f>IFERROR(__xludf.DUMMYFUNCTION("""COMPUTED_VALUE"""),"Porter")</f>
        <v>Porter</v>
      </c>
      <c r="E1674" t="str">
        <f>IFERROR(__xludf.DUMMYFUNCTION("""COMPUTED_VALUE"""),"Sean")</f>
        <v>Sean</v>
      </c>
      <c r="F1674">
        <f>IFERROR(__xludf.DUMMYFUNCTION("""COMPUTED_VALUE"""),10.65)</f>
        <v>10.65</v>
      </c>
    </row>
    <row r="1675">
      <c r="D1675" t="str">
        <f>IFERROR(__xludf.DUMMYFUNCTION("""COMPUTED_VALUE"""),"Porter")</f>
        <v>Porter</v>
      </c>
      <c r="E1675" t="str">
        <f>IFERROR(__xludf.DUMMYFUNCTION("""COMPUTED_VALUE"""),"Tracy")</f>
        <v>Tracy</v>
      </c>
      <c r="F1675">
        <f>IFERROR(__xludf.DUMMYFUNCTION("""COMPUTED_VALUE"""),10.799999999999999)</f>
        <v>10.8</v>
      </c>
    </row>
    <row r="1676">
      <c r="D1676" t="str">
        <f>IFERROR(__xludf.DUMMYFUNCTION("""COMPUTED_VALUE"""),"Posey")</f>
        <v>Posey</v>
      </c>
      <c r="E1676" t="str">
        <f>IFERROR(__xludf.DUMMYFUNCTION("""COMPUTED_VALUE"""),"DeVier")</f>
        <v>DeVier</v>
      </c>
      <c r="F1676">
        <f>IFERROR(__xludf.DUMMYFUNCTION("""COMPUTED_VALUE"""),9.9)</f>
        <v>9.9</v>
      </c>
    </row>
    <row r="1677">
      <c r="D1677" t="str">
        <f>IFERROR(__xludf.DUMMYFUNCTION("""COMPUTED_VALUE"""),"Posluszny")</f>
        <v>Posluszny</v>
      </c>
      <c r="E1677" t="str">
        <f>IFERROR(__xludf.DUMMYFUNCTION("""COMPUTED_VALUE"""),"Paul")</f>
        <v>Paul</v>
      </c>
      <c r="F1677">
        <f>IFERROR(__xludf.DUMMYFUNCTION("""COMPUTED_VALUE"""),11.7)</f>
        <v>11.7</v>
      </c>
    </row>
    <row r="1678">
      <c r="D1678" t="str">
        <f>IFERROR(__xludf.DUMMYFUNCTION("""COMPUTED_VALUE"""),"Pouncey")</f>
        <v>Pouncey</v>
      </c>
      <c r="E1678" t="str">
        <f>IFERROR(__xludf.DUMMYFUNCTION("""COMPUTED_VALUE"""),"Maurkice")</f>
        <v>Maurkice</v>
      </c>
      <c r="F1678">
        <f>IFERROR(__xludf.DUMMYFUNCTION("""COMPUTED_VALUE"""),13.2)</f>
        <v>13.2</v>
      </c>
    </row>
    <row r="1679">
      <c r="D1679" t="str">
        <f>IFERROR(__xludf.DUMMYFUNCTION("""COMPUTED_VALUE"""),"Pouncey")</f>
        <v>Pouncey</v>
      </c>
      <c r="E1679" t="str">
        <f>IFERROR(__xludf.DUMMYFUNCTION("""COMPUTED_VALUE"""),"Mike")</f>
        <v>Mike</v>
      </c>
      <c r="F1679">
        <f>IFERROR(__xludf.DUMMYFUNCTION("""COMPUTED_VALUE"""),12.15)</f>
        <v>12.15</v>
      </c>
    </row>
    <row r="1680">
      <c r="D1680" t="str">
        <f>IFERROR(__xludf.DUMMYFUNCTION("""COMPUTED_VALUE"""),"Poutasi")</f>
        <v>Poutasi</v>
      </c>
      <c r="E1680" t="str">
        <f>IFERROR(__xludf.DUMMYFUNCTION("""COMPUTED_VALUE"""),"Jeremiah")</f>
        <v>Jeremiah</v>
      </c>
      <c r="F1680">
        <f>IFERROR(__xludf.DUMMYFUNCTION("""COMPUTED_VALUE"""),10.2)</f>
        <v>10.2</v>
      </c>
    </row>
    <row r="1681">
      <c r="D1681" t="str">
        <f>IFERROR(__xludf.DUMMYFUNCTION("""COMPUTED_VALUE"""),"Powe")</f>
        <v>Powe</v>
      </c>
      <c r="E1681" t="str">
        <f>IFERROR(__xludf.DUMMYFUNCTION("""COMPUTED_VALUE"""),"Jerrell")</f>
        <v>Jerrell</v>
      </c>
      <c r="F1681">
        <f>IFERROR(__xludf.DUMMYFUNCTION("""COMPUTED_VALUE"""),10.049999999999999)</f>
        <v>10.05</v>
      </c>
    </row>
    <row r="1682">
      <c r="D1682" t="str">
        <f>IFERROR(__xludf.DUMMYFUNCTION("""COMPUTED_VALUE"""),"Powell")</f>
        <v>Powell</v>
      </c>
      <c r="E1682" t="str">
        <f>IFERROR(__xludf.DUMMYFUNCTION("""COMPUTED_VALUE"""),"Bilal")</f>
        <v>Bilal</v>
      </c>
      <c r="F1682">
        <f>IFERROR(__xludf.DUMMYFUNCTION("""COMPUTED_VALUE"""),11.7)</f>
        <v>11.7</v>
      </c>
    </row>
    <row r="1683">
      <c r="D1683" t="str">
        <f>IFERROR(__xludf.DUMMYFUNCTION("""COMPUTED_VALUE"""),"Powell")</f>
        <v>Powell</v>
      </c>
      <c r="E1683" t="str">
        <f>IFERROR(__xludf.DUMMYFUNCTION("""COMPUTED_VALUE"""),"Tyvis")</f>
        <v>Tyvis</v>
      </c>
      <c r="F1683">
        <f>IFERROR(__xludf.DUMMYFUNCTION("""COMPUTED_VALUE"""),9.15)</f>
        <v>9.15</v>
      </c>
    </row>
    <row r="1684">
      <c r="D1684" t="str">
        <f>IFERROR(__xludf.DUMMYFUNCTION("""COMPUTED_VALUE"""),"Powell")</f>
        <v>Powell</v>
      </c>
      <c r="E1684" t="str">
        <f>IFERROR(__xludf.DUMMYFUNCTION("""COMPUTED_VALUE"""),"Walter")</f>
        <v>Walter</v>
      </c>
      <c r="F1684">
        <f>IFERROR(__xludf.DUMMYFUNCTION("""COMPUTED_VALUE"""),9.0)</f>
        <v>9</v>
      </c>
    </row>
    <row r="1685">
      <c r="D1685" t="str">
        <f>IFERROR(__xludf.DUMMYFUNCTION("""COMPUTED_VALUE"""),"Powers")</f>
        <v>Powers</v>
      </c>
      <c r="E1685" t="str">
        <f>IFERROR(__xludf.DUMMYFUNCTION("""COMPUTED_VALUE"""),"Jerraud")</f>
        <v>Jerraud</v>
      </c>
      <c r="F1685">
        <f>IFERROR(__xludf.DUMMYFUNCTION("""COMPUTED_VALUE"""),11.4)</f>
        <v>11.4</v>
      </c>
    </row>
    <row r="1686">
      <c r="D1686" t="str">
        <f>IFERROR(__xludf.DUMMYFUNCTION("""COMPUTED_VALUE"""),"Poyer")</f>
        <v>Poyer</v>
      </c>
      <c r="E1686" t="str">
        <f>IFERROR(__xludf.DUMMYFUNCTION("""COMPUTED_VALUE"""),"Jordan")</f>
        <v>Jordan</v>
      </c>
      <c r="F1686">
        <f>IFERROR(__xludf.DUMMYFUNCTION("""COMPUTED_VALUE"""),10.5)</f>
        <v>10.5</v>
      </c>
    </row>
    <row r="1687">
      <c r="D1687" t="str">
        <f>IFERROR(__xludf.DUMMYFUNCTION("""COMPUTED_VALUE"""),"Prater")</f>
        <v>Prater</v>
      </c>
      <c r="E1687" t="str">
        <f>IFERROR(__xludf.DUMMYFUNCTION("""COMPUTED_VALUE"""),"Matt")</f>
        <v>Matt</v>
      </c>
      <c r="F1687">
        <f>IFERROR(__xludf.DUMMYFUNCTION("""COMPUTED_VALUE"""),12.15)</f>
        <v>12.15</v>
      </c>
    </row>
    <row r="1688">
      <c r="D1688" t="str">
        <f>IFERROR(__xludf.DUMMYFUNCTION("""COMPUTED_VALUE"""),"Prater")</f>
        <v>Prater</v>
      </c>
      <c r="E1688" t="str">
        <f>IFERROR(__xludf.DUMMYFUNCTION("""COMPUTED_VALUE"""),"Shaun")</f>
        <v>Shaun</v>
      </c>
      <c r="F1688">
        <f>IFERROR(__xludf.DUMMYFUNCTION("""COMPUTED_VALUE"""),10.5)</f>
        <v>10.5</v>
      </c>
    </row>
    <row r="1689">
      <c r="D1689" t="str">
        <f>IFERROR(__xludf.DUMMYFUNCTION("""COMPUTED_VALUE"""),"Prescott")</f>
        <v>Prescott</v>
      </c>
      <c r="E1689" t="str">
        <f>IFERROR(__xludf.DUMMYFUNCTION("""COMPUTED_VALUE"""),"Dak")</f>
        <v>Dak</v>
      </c>
      <c r="F1689">
        <f>IFERROR(__xludf.DUMMYFUNCTION("""COMPUTED_VALUE"""),10.65)</f>
        <v>10.65</v>
      </c>
    </row>
    <row r="1690">
      <c r="D1690" t="str">
        <f>IFERROR(__xludf.DUMMYFUNCTION("""COMPUTED_VALUE"""),"Pressley")</f>
        <v>Pressley</v>
      </c>
      <c r="E1690" t="str">
        <f>IFERROR(__xludf.DUMMYFUNCTION("""COMPUTED_VALUE"""),"Jhurell")</f>
        <v>Jhurell</v>
      </c>
      <c r="F1690">
        <f>IFERROR(__xludf.DUMMYFUNCTION("""COMPUTED_VALUE"""),9.75)</f>
        <v>9.75</v>
      </c>
    </row>
    <row r="1691">
      <c r="D1691" t="str">
        <f>IFERROR(__xludf.DUMMYFUNCTION("""COMPUTED_VALUE"""),"Price")</f>
        <v>Price</v>
      </c>
      <c r="E1691" t="str">
        <f>IFERROR(__xludf.DUMMYFUNCTION("""COMPUTED_VALUE"""),"Brian")</f>
        <v>Brian</v>
      </c>
      <c r="F1691">
        <f>IFERROR(__xludf.DUMMYFUNCTION("""COMPUTED_VALUE"""),8.85)</f>
        <v>8.85</v>
      </c>
    </row>
    <row r="1692">
      <c r="D1692" t="str">
        <f>IFERROR(__xludf.DUMMYFUNCTION("""COMPUTED_VALUE"""),"Price")</f>
        <v>Price</v>
      </c>
      <c r="E1692" t="str">
        <f>IFERROR(__xludf.DUMMYFUNCTION("""COMPUTED_VALUE"""),"Givens")</f>
        <v>Givens</v>
      </c>
      <c r="F1692">
        <f>IFERROR(__xludf.DUMMYFUNCTION("""COMPUTED_VALUE"""),9.0)</f>
        <v>9</v>
      </c>
    </row>
    <row r="1693">
      <c r="D1693" t="str">
        <f>IFERROR(__xludf.DUMMYFUNCTION("""COMPUTED_VALUE"""),"Price")</f>
        <v>Price</v>
      </c>
      <c r="E1693" t="str">
        <f>IFERROR(__xludf.DUMMYFUNCTION("""COMPUTED_VALUE"""),"Jabari")</f>
        <v>Jabari</v>
      </c>
      <c r="F1693">
        <f>IFERROR(__xludf.DUMMYFUNCTION("""COMPUTED_VALUE"""),9.75)</f>
        <v>9.75</v>
      </c>
    </row>
    <row r="1694">
      <c r="D1694" t="str">
        <f>IFERROR(__xludf.DUMMYFUNCTION("""COMPUTED_VALUE"""),"Prosch")</f>
        <v>Prosch</v>
      </c>
      <c r="E1694" t="str">
        <f>IFERROR(__xludf.DUMMYFUNCTION("""COMPUTED_VALUE"""),"Jay")</f>
        <v>Jay</v>
      </c>
      <c r="F1694">
        <f>IFERROR(__xludf.DUMMYFUNCTION("""COMPUTED_VALUE"""),12.15)</f>
        <v>12.15</v>
      </c>
    </row>
    <row r="1695">
      <c r="D1695" t="str">
        <f>IFERROR(__xludf.DUMMYFUNCTION("""COMPUTED_VALUE"""),"Prosinski")</f>
        <v>Prosinski</v>
      </c>
      <c r="E1695" t="str">
        <f>IFERROR(__xludf.DUMMYFUNCTION("""COMPUTED_VALUE"""),"Chris")</f>
        <v>Chris</v>
      </c>
      <c r="F1695">
        <f>IFERROR(__xludf.DUMMYFUNCTION("""COMPUTED_VALUE"""),10.35)</f>
        <v>10.35</v>
      </c>
    </row>
    <row r="1696">
      <c r="D1696" t="str">
        <f>IFERROR(__xludf.DUMMYFUNCTION("""COMPUTED_VALUE"""),"Prosise")</f>
        <v>Prosise</v>
      </c>
      <c r="E1696" t="str">
        <f>IFERROR(__xludf.DUMMYFUNCTION("""COMPUTED_VALUE"""),"CJ")</f>
        <v>CJ</v>
      </c>
      <c r="F1696">
        <f>IFERROR(__xludf.DUMMYFUNCTION("""COMPUTED_VALUE"""),11.1)</f>
        <v>11.1</v>
      </c>
    </row>
    <row r="1697">
      <c r="D1697" t="str">
        <f>IFERROR(__xludf.DUMMYFUNCTION("""COMPUTED_VALUE"""),"Pruitt")</f>
        <v>Pruitt</v>
      </c>
      <c r="E1697" t="str">
        <f>IFERROR(__xludf.DUMMYFUNCTION("""COMPUTED_VALUE"""),"MyCole")</f>
        <v>MyCole</v>
      </c>
      <c r="F1697">
        <f>IFERROR(__xludf.DUMMYFUNCTION("""COMPUTED_VALUE"""),11.1)</f>
        <v>11.1</v>
      </c>
    </row>
    <row r="1698">
      <c r="D1698" t="str">
        <f>IFERROR(__xludf.DUMMYFUNCTION("""COMPUTED_VALUE"""),"Pryor")</f>
        <v>Pryor</v>
      </c>
      <c r="E1698" t="str">
        <f>IFERROR(__xludf.DUMMYFUNCTION("""COMPUTED_VALUE"""),"Terrelle")</f>
        <v>Terrelle</v>
      </c>
      <c r="F1698">
        <f>IFERROR(__xludf.DUMMYFUNCTION("""COMPUTED_VALUE"""),9.0)</f>
        <v>9</v>
      </c>
    </row>
    <row r="1699">
      <c r="D1699" t="str">
        <f>IFERROR(__xludf.DUMMYFUNCTION("""COMPUTED_VALUE"""),"Pryor III")</f>
        <v>Pryor III</v>
      </c>
      <c r="E1699" t="str">
        <f>IFERROR(__xludf.DUMMYFUNCTION("""COMPUTED_VALUE"""),"Calvin")</f>
        <v>Calvin</v>
      </c>
      <c r="F1699">
        <f>IFERROR(__xludf.DUMMYFUNCTION("""COMPUTED_VALUE"""),12.45)</f>
        <v>12.45</v>
      </c>
    </row>
    <row r="1700">
      <c r="D1700" t="str">
        <f>IFERROR(__xludf.DUMMYFUNCTION("""COMPUTED_VALUE"""),"Pugh")</f>
        <v>Pugh</v>
      </c>
      <c r="E1700" t="str">
        <f>IFERROR(__xludf.DUMMYFUNCTION("""COMPUTED_VALUE"""),"Justin")</f>
        <v>Justin</v>
      </c>
      <c r="F1700">
        <f>IFERROR(__xludf.DUMMYFUNCTION("""COMPUTED_VALUE"""),12.6)</f>
        <v>12.6</v>
      </c>
    </row>
    <row r="1701">
      <c r="D1701" t="str">
        <f>IFERROR(__xludf.DUMMYFUNCTION("""COMPUTED_VALUE"""),"Pughsley")</f>
        <v>Pughsley</v>
      </c>
      <c r="E1701" t="str">
        <f>IFERROR(__xludf.DUMMYFUNCTION("""COMPUTED_VALUE"""),"Jarrod")</f>
        <v>Jarrod</v>
      </c>
      <c r="F1701">
        <f>IFERROR(__xludf.DUMMYFUNCTION("""COMPUTED_VALUE"""),9.6)</f>
        <v>9.6</v>
      </c>
    </row>
    <row r="1702">
      <c r="D1702" t="str">
        <f>IFERROR(__xludf.DUMMYFUNCTION("""COMPUTED_VALUE"""),"Pullard III")</f>
        <v>Pullard III</v>
      </c>
      <c r="E1702" t="str">
        <f>IFERROR(__xludf.DUMMYFUNCTION("""COMPUTED_VALUE"""),"Hayes")</f>
        <v>Hayes</v>
      </c>
      <c r="F1702">
        <f>IFERROR(__xludf.DUMMYFUNCTION("""COMPUTED_VALUE"""),10.049999999999999)</f>
        <v>10.05</v>
      </c>
    </row>
    <row r="1703">
      <c r="D1703" t="str">
        <f>IFERROR(__xludf.DUMMYFUNCTION("""COMPUTED_VALUE"""),"Pulley")</f>
        <v>Pulley</v>
      </c>
      <c r="E1703" t="str">
        <f>IFERROR(__xludf.DUMMYFUNCTION("""COMPUTED_VALUE"""),"Spencer")</f>
        <v>Spencer</v>
      </c>
      <c r="F1703">
        <f>IFERROR(__xludf.DUMMYFUNCTION("""COMPUTED_VALUE"""),8.7)</f>
        <v>8.7</v>
      </c>
    </row>
    <row r="1704">
      <c r="D1704" t="str">
        <f>IFERROR(__xludf.DUMMYFUNCTION("""COMPUTED_VALUE"""),"Purcell")</f>
        <v>Purcell</v>
      </c>
      <c r="E1704" t="str">
        <f>IFERROR(__xludf.DUMMYFUNCTION("""COMPUTED_VALUE"""),"Mike")</f>
        <v>Mike</v>
      </c>
      <c r="F1704">
        <f>IFERROR(__xludf.DUMMYFUNCTION("""COMPUTED_VALUE"""),9.6)</f>
        <v>9.6</v>
      </c>
    </row>
    <row r="1705">
      <c r="D1705" t="str">
        <f>IFERROR(__xludf.DUMMYFUNCTION("""COMPUTED_VALUE"""),"Purdum")</f>
        <v>Purdum</v>
      </c>
      <c r="E1705" t="str">
        <f>IFERROR(__xludf.DUMMYFUNCTION("""COMPUTED_VALUE"""),"Tanner")</f>
        <v>Tanner</v>
      </c>
      <c r="F1705">
        <f>IFERROR(__xludf.DUMMYFUNCTION("""COMPUTED_VALUE"""),6.8999999999999995)</f>
        <v>6.9</v>
      </c>
    </row>
    <row r="1706">
      <c r="D1706" t="str">
        <f>IFERROR(__xludf.DUMMYFUNCTION("""COMPUTED_VALUE"""),"Quarles")</f>
        <v>Quarles</v>
      </c>
      <c r="E1706" t="str">
        <f>IFERROR(__xludf.DUMMYFUNCTION("""COMPUTED_VALUE"""),"Kelcy")</f>
        <v>Kelcy</v>
      </c>
      <c r="F1706">
        <f>IFERROR(__xludf.DUMMYFUNCTION("""COMPUTED_VALUE"""),8.85)</f>
        <v>8.85</v>
      </c>
    </row>
    <row r="1707">
      <c r="D1707" t="str">
        <f>IFERROR(__xludf.DUMMYFUNCTION("""COMPUTED_VALUE"""),"Quick")</f>
        <v>Quick</v>
      </c>
      <c r="E1707" t="str">
        <f>IFERROR(__xludf.DUMMYFUNCTION("""COMPUTED_VALUE"""),"Brian")</f>
        <v>Brian</v>
      </c>
      <c r="F1707">
        <f>IFERROR(__xludf.DUMMYFUNCTION("""COMPUTED_VALUE"""),11.1)</f>
        <v>11.1</v>
      </c>
    </row>
    <row r="1708">
      <c r="D1708" t="str">
        <f>IFERROR(__xludf.DUMMYFUNCTION("""COMPUTED_VALUE"""),"Quigley")</f>
        <v>Quigley</v>
      </c>
      <c r="E1708" t="str">
        <f>IFERROR(__xludf.DUMMYFUNCTION("""COMPUTED_VALUE"""),"Ryan")</f>
        <v>Ryan</v>
      </c>
      <c r="F1708">
        <f>IFERROR(__xludf.DUMMYFUNCTION("""COMPUTED_VALUE"""),12.0)</f>
        <v>12</v>
      </c>
    </row>
    <row r="1709">
      <c r="D1709" t="str">
        <f>IFERROR(__xludf.DUMMYFUNCTION("""COMPUTED_VALUE"""),"Quin")</f>
        <v>Quin</v>
      </c>
      <c r="E1709" t="str">
        <f>IFERROR(__xludf.DUMMYFUNCTION("""COMPUTED_VALUE"""),"Glover")</f>
        <v>Glover</v>
      </c>
      <c r="F1709">
        <f>IFERROR(__xludf.DUMMYFUNCTION("""COMPUTED_VALUE"""),12.45)</f>
        <v>12.45</v>
      </c>
    </row>
    <row r="1710">
      <c r="D1710" t="str">
        <f>IFERROR(__xludf.DUMMYFUNCTION("""COMPUTED_VALUE"""),"Quinn")</f>
        <v>Quinn</v>
      </c>
      <c r="E1710" t="str">
        <f>IFERROR(__xludf.DUMMYFUNCTION("""COMPUTED_VALUE"""),"Robert")</f>
        <v>Robert</v>
      </c>
      <c r="F1710">
        <f>IFERROR(__xludf.DUMMYFUNCTION("""COMPUTED_VALUE"""),13.35)</f>
        <v>13.35</v>
      </c>
    </row>
    <row r="1711">
      <c r="D1711" t="str">
        <f>IFERROR(__xludf.DUMMYFUNCTION("""COMPUTED_VALUE"""),"Qvale")</f>
        <v>Qvale</v>
      </c>
      <c r="E1711" t="str">
        <f>IFERROR(__xludf.DUMMYFUNCTION("""COMPUTED_VALUE"""),"Brent")</f>
        <v>Brent</v>
      </c>
      <c r="F1711">
        <f>IFERROR(__xludf.DUMMYFUNCTION("""COMPUTED_VALUE"""),9.45)</f>
        <v>9.45</v>
      </c>
    </row>
    <row r="1712">
      <c r="D1712" t="str">
        <f>IFERROR(__xludf.DUMMYFUNCTION("""COMPUTED_VALUE"""),"Ragland")</f>
        <v>Ragland</v>
      </c>
      <c r="E1712" t="str">
        <f>IFERROR(__xludf.DUMMYFUNCTION("""COMPUTED_VALUE"""),"Reggie")</f>
        <v>Reggie</v>
      </c>
      <c r="F1712">
        <f>IFERROR(__xludf.DUMMYFUNCTION("""COMPUTED_VALUE"""),11.1)</f>
        <v>11.1</v>
      </c>
    </row>
    <row r="1713">
      <c r="D1713" t="str">
        <f>IFERROR(__xludf.DUMMYFUNCTION("""COMPUTED_VALUE"""),"Rainey Jr.")</f>
        <v>Rainey Jr.</v>
      </c>
      <c r="E1713" t="str">
        <f>IFERROR(__xludf.DUMMYFUNCTION("""COMPUTED_VALUE"""),"Bobby")</f>
        <v>Bobby</v>
      </c>
      <c r="F1713">
        <f>IFERROR(__xludf.DUMMYFUNCTION("""COMPUTED_VALUE"""),10.95)</f>
        <v>10.95</v>
      </c>
    </row>
    <row r="1714">
      <c r="D1714" t="str">
        <f>IFERROR(__xludf.DUMMYFUNCTION("""COMPUTED_VALUE"""),"Randall")</f>
        <v>Randall</v>
      </c>
      <c r="E1714" t="str">
        <f>IFERROR(__xludf.DUMMYFUNCTION("""COMPUTED_VALUE"""),"Damarious")</f>
        <v>Damarious</v>
      </c>
      <c r="F1714">
        <f>IFERROR(__xludf.DUMMYFUNCTION("""COMPUTED_VALUE"""),11.4)</f>
        <v>11.4</v>
      </c>
    </row>
    <row r="1715">
      <c r="D1715" t="str">
        <f>IFERROR(__xludf.DUMMYFUNCTION("""COMPUTED_VALUE"""),"Randle")</f>
        <v>Randle</v>
      </c>
      <c r="E1715" t="str">
        <f>IFERROR(__xludf.DUMMYFUNCTION("""COMPUTED_VALUE"""),"Rueben")</f>
        <v>Rueben</v>
      </c>
      <c r="F1715">
        <f>IFERROR(__xludf.DUMMYFUNCTION("""COMPUTED_VALUE"""),11.7)</f>
        <v>11.7</v>
      </c>
    </row>
    <row r="1716">
      <c r="D1716" t="str">
        <f>IFERROR(__xludf.DUMMYFUNCTION("""COMPUTED_VALUE"""),"Rankins")</f>
        <v>Rankins</v>
      </c>
      <c r="E1716" t="str">
        <f>IFERROR(__xludf.DUMMYFUNCTION("""COMPUTED_VALUE"""),"Sheldon")</f>
        <v>Sheldon</v>
      </c>
      <c r="F1716">
        <f>IFERROR(__xludf.DUMMYFUNCTION("""COMPUTED_VALUE"""),11.549999999999999)</f>
        <v>11.55</v>
      </c>
    </row>
    <row r="1717">
      <c r="D1717" t="str">
        <f>IFERROR(__xludf.DUMMYFUNCTION("""COMPUTED_VALUE"""),"Rawls")</f>
        <v>Rawls</v>
      </c>
      <c r="E1717" t="str">
        <f>IFERROR(__xludf.DUMMYFUNCTION("""COMPUTED_VALUE"""),"Thomas")</f>
        <v>Thomas</v>
      </c>
      <c r="F1717">
        <f>IFERROR(__xludf.DUMMYFUNCTION("""COMPUTED_VALUE"""),12.0)</f>
        <v>12</v>
      </c>
    </row>
    <row r="1718">
      <c r="D1718" t="str">
        <f>IFERROR(__xludf.DUMMYFUNCTION("""COMPUTED_VALUE"""),"Ray")</f>
        <v>Ray</v>
      </c>
      <c r="E1718" t="str">
        <f>IFERROR(__xludf.DUMMYFUNCTION("""COMPUTED_VALUE"""),"Shane")</f>
        <v>Shane</v>
      </c>
      <c r="F1718">
        <f>IFERROR(__xludf.DUMMYFUNCTION("""COMPUTED_VALUE"""),10.95)</f>
        <v>10.95</v>
      </c>
    </row>
    <row r="1719">
      <c r="D1719" t="str">
        <f>IFERROR(__xludf.DUMMYFUNCTION("""COMPUTED_VALUE"""),"Reader")</f>
        <v>Reader</v>
      </c>
      <c r="E1719" t="str">
        <f>IFERROR(__xludf.DUMMYFUNCTION("""COMPUTED_VALUE"""),"DJ")</f>
        <v>DJ</v>
      </c>
      <c r="F1719">
        <f>IFERROR(__xludf.DUMMYFUNCTION("""COMPUTED_VALUE"""),9.75)</f>
        <v>9.75</v>
      </c>
    </row>
    <row r="1720">
      <c r="D1720" t="str">
        <f>IFERROR(__xludf.DUMMYFUNCTION("""COMPUTED_VALUE"""),"Reaser")</f>
        <v>Reaser</v>
      </c>
      <c r="E1720" t="str">
        <f>IFERROR(__xludf.DUMMYFUNCTION("""COMPUTED_VALUE"""),"Keith")</f>
        <v>Keith</v>
      </c>
      <c r="F1720">
        <f>IFERROR(__xludf.DUMMYFUNCTION("""COMPUTED_VALUE"""),9.9)</f>
        <v>9.9</v>
      </c>
    </row>
    <row r="1721">
      <c r="D1721" t="str">
        <f>IFERROR(__xludf.DUMMYFUNCTION("""COMPUTED_VALUE"""),"Reaves")</f>
        <v>Reaves</v>
      </c>
      <c r="E1721" t="str">
        <f>IFERROR(__xludf.DUMMYFUNCTION("""COMPUTED_VALUE"""),"Deandre")</f>
        <v>Deandre</v>
      </c>
      <c r="F1721">
        <f>IFERROR(__xludf.DUMMYFUNCTION("""COMPUTED_VALUE"""),9.299999999999999)</f>
        <v>9.3</v>
      </c>
    </row>
    <row r="1722">
      <c r="D1722" t="str">
        <f>IFERROR(__xludf.DUMMYFUNCTION("""COMPUTED_VALUE"""),"Redd Jr.")</f>
        <v>Redd Jr.</v>
      </c>
      <c r="E1722" t="str">
        <f>IFERROR(__xludf.DUMMYFUNCTION("""COMPUTED_VALUE"""),"Silas")</f>
        <v>Silas</v>
      </c>
      <c r="F1722">
        <f>IFERROR(__xludf.DUMMYFUNCTION("""COMPUTED_VALUE"""),10.35)</f>
        <v>10.35</v>
      </c>
    </row>
    <row r="1723">
      <c r="D1723" t="str">
        <f>IFERROR(__xludf.DUMMYFUNCTION("""COMPUTED_VALUE"""),"Reddick")</f>
        <v>Reddick</v>
      </c>
      <c r="E1723" t="str">
        <f>IFERROR(__xludf.DUMMYFUNCTION("""COMPUTED_VALUE"""),"Kevin")</f>
        <v>Kevin</v>
      </c>
      <c r="F1723">
        <f>IFERROR(__xludf.DUMMYFUNCTION("""COMPUTED_VALUE"""),10.049999999999999)</f>
        <v>10.05</v>
      </c>
    </row>
    <row r="1724">
      <c r="D1724" t="str">
        <f>IFERROR(__xludf.DUMMYFUNCTION("""COMPUTED_VALUE"""),"Redmond")</f>
        <v>Redmond</v>
      </c>
      <c r="E1724" t="str">
        <f>IFERROR(__xludf.DUMMYFUNCTION("""COMPUTED_VALUE"""),"Alex")</f>
        <v>Alex</v>
      </c>
      <c r="F1724">
        <f>IFERROR(__xludf.DUMMYFUNCTION("""COMPUTED_VALUE"""),8.549999999999999)</f>
        <v>8.55</v>
      </c>
    </row>
    <row r="1725">
      <c r="D1725" t="str">
        <f>IFERROR(__xludf.DUMMYFUNCTION("""COMPUTED_VALUE"""),"Redmond")</f>
        <v>Redmond</v>
      </c>
      <c r="E1725" t="str">
        <f>IFERROR(__xludf.DUMMYFUNCTION("""COMPUTED_VALUE"""),"Will")</f>
        <v>Will</v>
      </c>
      <c r="F1725">
        <f>IFERROR(__xludf.DUMMYFUNCTION("""COMPUTED_VALUE"""),10.2)</f>
        <v>10.2</v>
      </c>
    </row>
    <row r="1726">
      <c r="D1726" t="str">
        <f>IFERROR(__xludf.DUMMYFUNCTION("""COMPUTED_VALUE"""),"Reece")</f>
        <v>Reece</v>
      </c>
      <c r="E1726" t="str">
        <f>IFERROR(__xludf.DUMMYFUNCTION("""COMPUTED_VALUE"""),"Marcel")</f>
        <v>Marcel</v>
      </c>
      <c r="F1726">
        <f>IFERROR(__xludf.DUMMYFUNCTION("""COMPUTED_VALUE"""),12.9)</f>
        <v>12.9</v>
      </c>
    </row>
    <row r="1727">
      <c r="D1727" t="str">
        <f>IFERROR(__xludf.DUMMYFUNCTION("""COMPUTED_VALUE"""),"Reed")</f>
        <v>Reed</v>
      </c>
      <c r="E1727" t="str">
        <f>IFERROR(__xludf.DUMMYFUNCTION("""COMPUTED_VALUE"""),"Brooks")</f>
        <v>Brooks</v>
      </c>
      <c r="F1727">
        <f>IFERROR(__xludf.DUMMYFUNCTION("""COMPUTED_VALUE"""),11.4)</f>
        <v>11.4</v>
      </c>
    </row>
    <row r="1728">
      <c r="D1728" t="str">
        <f>IFERROR(__xludf.DUMMYFUNCTION("""COMPUTED_VALUE"""),"Reed")</f>
        <v>Reed</v>
      </c>
      <c r="E1728" t="str">
        <f>IFERROR(__xludf.DUMMYFUNCTION("""COMPUTED_VALUE"""),"Jarran")</f>
        <v>Jarran</v>
      </c>
      <c r="F1728">
        <f>IFERROR(__xludf.DUMMYFUNCTION("""COMPUTED_VALUE"""),10.95)</f>
        <v>10.95</v>
      </c>
    </row>
    <row r="1729">
      <c r="D1729" t="str">
        <f>IFERROR(__xludf.DUMMYFUNCTION("""COMPUTED_VALUE"""),"Reed")</f>
        <v>Reed</v>
      </c>
      <c r="E1729" t="str">
        <f>IFERROR(__xludf.DUMMYFUNCTION("""COMPUTED_VALUE"""),"Jordan")</f>
        <v>Jordan</v>
      </c>
      <c r="F1729">
        <f>IFERROR(__xludf.DUMMYFUNCTION("""COMPUTED_VALUE"""),13.35)</f>
        <v>13.35</v>
      </c>
    </row>
    <row r="1730">
      <c r="D1730" t="str">
        <f>IFERROR(__xludf.DUMMYFUNCTION("""COMPUTED_VALUE"""),"Reed")</f>
        <v>Reed</v>
      </c>
      <c r="E1730" t="str">
        <f>IFERROR(__xludf.DUMMYFUNCTION("""COMPUTED_VALUE"""),"Kalan")</f>
        <v>Kalan</v>
      </c>
      <c r="F1730">
        <f>IFERROR(__xludf.DUMMYFUNCTION("""COMPUTED_VALUE"""),9.15)</f>
        <v>9.15</v>
      </c>
    </row>
    <row r="1731">
      <c r="D1731" t="str">
        <f>IFERROR(__xludf.DUMMYFUNCTION("""COMPUTED_VALUE"""),"Reedy")</f>
        <v>Reedy</v>
      </c>
      <c r="E1731" t="str">
        <f>IFERROR(__xludf.DUMMYFUNCTION("""COMPUTED_VALUE"""),"Bernard")</f>
        <v>Bernard</v>
      </c>
      <c r="F1731">
        <f>IFERROR(__xludf.DUMMYFUNCTION("""COMPUTED_VALUE"""),8.85)</f>
        <v>8.85</v>
      </c>
    </row>
    <row r="1732">
      <c r="D1732" t="str">
        <f>IFERROR(__xludf.DUMMYFUNCTION("""COMPUTED_VALUE"""),"Reid")</f>
        <v>Reid</v>
      </c>
      <c r="E1732" t="str">
        <f>IFERROR(__xludf.DUMMYFUNCTION("""COMPUTED_VALUE"""),"Caraun")</f>
        <v>Caraun</v>
      </c>
      <c r="F1732">
        <f>IFERROR(__xludf.DUMMYFUNCTION("""COMPUTED_VALUE"""),10.049999999999999)</f>
        <v>10.05</v>
      </c>
    </row>
    <row r="1733">
      <c r="D1733" t="str">
        <f>IFERROR(__xludf.DUMMYFUNCTION("""COMPUTED_VALUE"""),"Reid")</f>
        <v>Reid</v>
      </c>
      <c r="E1733" t="str">
        <f>IFERROR(__xludf.DUMMYFUNCTION("""COMPUTED_VALUE"""),"Eric")</f>
        <v>Eric</v>
      </c>
      <c r="F1733">
        <f>IFERROR(__xludf.DUMMYFUNCTION("""COMPUTED_VALUE"""),11.549999999999999)</f>
        <v>11.55</v>
      </c>
    </row>
    <row r="1734">
      <c r="D1734" t="str">
        <f>IFERROR(__xludf.DUMMYFUNCTION("""COMPUTED_VALUE"""),"Reid")</f>
        <v>Reid</v>
      </c>
      <c r="E1734" t="str">
        <f>IFERROR(__xludf.DUMMYFUNCTION("""COMPUTED_VALUE"""),"Jah")</f>
        <v>Jah</v>
      </c>
      <c r="F1734">
        <f>IFERROR(__xludf.DUMMYFUNCTION("""COMPUTED_VALUE"""),10.799999999999999)</f>
        <v>10.8</v>
      </c>
    </row>
    <row r="1735">
      <c r="D1735" t="str">
        <f>IFERROR(__xludf.DUMMYFUNCTION("""COMPUTED_VALUE"""),"Reiff")</f>
        <v>Reiff</v>
      </c>
      <c r="E1735" t="str">
        <f>IFERROR(__xludf.DUMMYFUNCTION("""COMPUTED_VALUE"""),"Riley")</f>
        <v>Riley</v>
      </c>
      <c r="F1735">
        <f>IFERROR(__xludf.DUMMYFUNCTION("""COMPUTED_VALUE"""),12.45)</f>
        <v>12.45</v>
      </c>
    </row>
    <row r="1736">
      <c r="D1736" t="str">
        <f>IFERROR(__xludf.DUMMYFUNCTION("""COMPUTED_VALUE"""),"Reilly")</f>
        <v>Reilly</v>
      </c>
      <c r="E1736" t="str">
        <f>IFERROR(__xludf.DUMMYFUNCTION("""COMPUTED_VALUE"""),"Trevor")</f>
        <v>Trevor</v>
      </c>
      <c r="F1736">
        <f>IFERROR(__xludf.DUMMYFUNCTION("""COMPUTED_VALUE"""),9.9)</f>
        <v>9.9</v>
      </c>
    </row>
    <row r="1737">
      <c r="D1737" t="str">
        <f>IFERROR(__xludf.DUMMYFUNCTION("""COMPUTED_VALUE"""),"Reiter")</f>
        <v>Reiter</v>
      </c>
      <c r="E1737" t="str">
        <f>IFERROR(__xludf.DUMMYFUNCTION("""COMPUTED_VALUE"""),"Austin")</f>
        <v>Austin</v>
      </c>
      <c r="F1737">
        <f>IFERROR(__xludf.DUMMYFUNCTION("""COMPUTED_VALUE"""),9.45)</f>
        <v>9.45</v>
      </c>
    </row>
    <row r="1738">
      <c r="D1738" t="str">
        <f>IFERROR(__xludf.DUMMYFUNCTION("""COMPUTED_VALUE"""),"Reitz")</f>
        <v>Reitz</v>
      </c>
      <c r="E1738" t="str">
        <f>IFERROR(__xludf.DUMMYFUNCTION("""COMPUTED_VALUE"""),"Joe")</f>
        <v>Joe</v>
      </c>
      <c r="F1738">
        <f>IFERROR(__xludf.DUMMYFUNCTION("""COMPUTED_VALUE"""),11.85)</f>
        <v>11.85</v>
      </c>
    </row>
    <row r="1739">
      <c r="D1739" t="str">
        <f>IFERROR(__xludf.DUMMYFUNCTION("""COMPUTED_VALUE"""),"Remmers")</f>
        <v>Remmers</v>
      </c>
      <c r="E1739" t="str">
        <f>IFERROR(__xludf.DUMMYFUNCTION("""COMPUTED_VALUE"""),"Mike")</f>
        <v>Mike</v>
      </c>
      <c r="F1739">
        <f>IFERROR(__xludf.DUMMYFUNCTION("""COMPUTED_VALUE"""),11.4)</f>
        <v>11.4</v>
      </c>
    </row>
    <row r="1740">
      <c r="D1740" t="str">
        <f>IFERROR(__xludf.DUMMYFUNCTION("""COMPUTED_VALUE"""),"Renfree")</f>
        <v>Renfree</v>
      </c>
      <c r="E1740" t="str">
        <f>IFERROR(__xludf.DUMMYFUNCTION("""COMPUTED_VALUE"""),"Sean")</f>
        <v>Sean</v>
      </c>
      <c r="F1740">
        <f>IFERROR(__xludf.DUMMYFUNCTION("""COMPUTED_VALUE"""),9.6)</f>
        <v>9.6</v>
      </c>
    </row>
    <row r="1741">
      <c r="D1741" t="str">
        <f>IFERROR(__xludf.DUMMYFUNCTION("""COMPUTED_VALUE"""),"Revis")</f>
        <v>Revis</v>
      </c>
      <c r="E1741" t="str">
        <f>IFERROR(__xludf.DUMMYFUNCTION("""COMPUTED_VALUE"""),"Darrelle")</f>
        <v>Darrelle</v>
      </c>
      <c r="F1741">
        <f>IFERROR(__xludf.DUMMYFUNCTION("""COMPUTED_VALUE"""),13.65)</f>
        <v>13.65</v>
      </c>
    </row>
    <row r="1742">
      <c r="D1742" t="str">
        <f>IFERROR(__xludf.DUMMYFUNCTION("""COMPUTED_VALUE"""),"Rey")</f>
        <v>Rey</v>
      </c>
      <c r="E1742" t="str">
        <f>IFERROR(__xludf.DUMMYFUNCTION("""COMPUTED_VALUE"""),"Vincent")</f>
        <v>Vincent</v>
      </c>
      <c r="F1742">
        <f>IFERROR(__xludf.DUMMYFUNCTION("""COMPUTED_VALUE"""),11.25)</f>
        <v>11.25</v>
      </c>
    </row>
    <row r="1743">
      <c r="D1743" t="str">
        <f>IFERROR(__xludf.DUMMYFUNCTION("""COMPUTED_VALUE"""),"Reyes")</f>
        <v>Reyes</v>
      </c>
      <c r="E1743" t="str">
        <f>IFERROR(__xludf.DUMMYFUNCTION("""COMPUTED_VALUE"""),"Kendall")</f>
        <v>Kendall</v>
      </c>
      <c r="F1743">
        <f>IFERROR(__xludf.DUMMYFUNCTION("""COMPUTED_VALUE"""),10.35)</f>
        <v>10.35</v>
      </c>
    </row>
    <row r="1744">
      <c r="D1744" t="str">
        <f>IFERROR(__xludf.DUMMYFUNCTION("""COMPUTED_VALUE"""),"Reynolds")</f>
        <v>Reynolds</v>
      </c>
      <c r="E1744" t="str">
        <f>IFERROR(__xludf.DUMMYFUNCTION("""COMPUTED_VALUE"""),"Chase")</f>
        <v>Chase</v>
      </c>
      <c r="F1744">
        <f>IFERROR(__xludf.DUMMYFUNCTION("""COMPUTED_VALUE"""),10.049999999999999)</f>
        <v>10.05</v>
      </c>
    </row>
    <row r="1745">
      <c r="D1745" t="str">
        <f>IFERROR(__xludf.DUMMYFUNCTION("""COMPUTED_VALUE"""),"Reynolds")</f>
        <v>Reynolds</v>
      </c>
      <c r="E1745" t="str">
        <f>IFERROR(__xludf.DUMMYFUNCTION("""COMPUTED_VALUE"""),"Garrett")</f>
        <v>Garrett</v>
      </c>
      <c r="F1745">
        <f>IFERROR(__xludf.DUMMYFUNCTION("""COMPUTED_VALUE"""),11.7)</f>
        <v>11.7</v>
      </c>
    </row>
    <row r="1746">
      <c r="D1746" t="str">
        <f>IFERROR(__xludf.DUMMYFUNCTION("""COMPUTED_VALUE"""),"Reynolds")</f>
        <v>Reynolds</v>
      </c>
      <c r="E1746" t="str">
        <f>IFERROR(__xludf.DUMMYFUNCTION("""COMPUTED_VALUE"""),"Keenan")</f>
        <v>Keenan</v>
      </c>
      <c r="F1746">
        <f>IFERROR(__xludf.DUMMYFUNCTION("""COMPUTED_VALUE"""),9.299999999999999)</f>
        <v>9.3</v>
      </c>
    </row>
    <row r="1747">
      <c r="D1747" t="str">
        <f>IFERROR(__xludf.DUMMYFUNCTION("""COMPUTED_VALUE"""),"Reynolds")</f>
        <v>Reynolds</v>
      </c>
      <c r="E1747" t="str">
        <f>IFERROR(__xludf.DUMMYFUNCTION("""COMPUTED_VALUE"""),"LaRoy")</f>
        <v>LaRoy</v>
      </c>
      <c r="F1747">
        <f>IFERROR(__xludf.DUMMYFUNCTION("""COMPUTED_VALUE"""),10.049999999999999)</f>
        <v>10.05</v>
      </c>
    </row>
    <row r="1748">
      <c r="D1748" t="str">
        <f>IFERROR(__xludf.DUMMYFUNCTION("""COMPUTED_VALUE"""),"Reynolds II")</f>
        <v>Reynolds II</v>
      </c>
      <c r="E1748" t="str">
        <f>IFERROR(__xludf.DUMMYFUNCTION("""COMPUTED_VALUE"""),"Ed")</f>
        <v>Ed</v>
      </c>
      <c r="F1748">
        <f>IFERROR(__xludf.DUMMYFUNCTION("""COMPUTED_VALUE"""),10.5)</f>
        <v>10.5</v>
      </c>
    </row>
    <row r="1749">
      <c r="D1749" t="str">
        <f>IFERROR(__xludf.DUMMYFUNCTION("""COMPUTED_VALUE"""),"Rhaney")</f>
        <v>Rhaney</v>
      </c>
      <c r="E1749" t="str">
        <f>IFERROR(__xludf.DUMMYFUNCTION("""COMPUTED_VALUE"""),"Demetrius")</f>
        <v>Demetrius</v>
      </c>
      <c r="F1749">
        <f>IFERROR(__xludf.DUMMYFUNCTION("""COMPUTED_VALUE"""),9.299999999999999)</f>
        <v>9.3</v>
      </c>
    </row>
    <row r="1750">
      <c r="D1750" t="str">
        <f>IFERROR(__xludf.DUMMYFUNCTION("""COMPUTED_VALUE"""),"Rhodes")</f>
        <v>Rhodes</v>
      </c>
      <c r="E1750" t="str">
        <f>IFERROR(__xludf.DUMMYFUNCTION("""COMPUTED_VALUE"""),"Xavier")</f>
        <v>Xavier</v>
      </c>
      <c r="F1750">
        <f>IFERROR(__xludf.DUMMYFUNCTION("""COMPUTED_VALUE"""),12.0)</f>
        <v>12</v>
      </c>
    </row>
    <row r="1751">
      <c r="D1751" t="str">
        <f>IFERROR(__xludf.DUMMYFUNCTION("""COMPUTED_VALUE"""),"Rice")</f>
        <v>Rice</v>
      </c>
      <c r="E1751" t="str">
        <f>IFERROR(__xludf.DUMMYFUNCTION("""COMPUTED_VALUE"""),"Denzel")</f>
        <v>Denzel</v>
      </c>
      <c r="F1751">
        <f>IFERROR(__xludf.DUMMYFUNCTION("""COMPUTED_VALUE"""),9.45)</f>
        <v>9.45</v>
      </c>
    </row>
    <row r="1752">
      <c r="D1752" t="str">
        <f>IFERROR(__xludf.DUMMYFUNCTION("""COMPUTED_VALUE"""),"Richards")</f>
        <v>Richards</v>
      </c>
      <c r="E1752" t="str">
        <f>IFERROR(__xludf.DUMMYFUNCTION("""COMPUTED_VALUE"""),"Jordan")</f>
        <v>Jordan</v>
      </c>
      <c r="F1752">
        <f>IFERROR(__xludf.DUMMYFUNCTION("""COMPUTED_VALUE"""),10.35)</f>
        <v>10.35</v>
      </c>
    </row>
    <row r="1753">
      <c r="D1753" t="str">
        <f>IFERROR(__xludf.DUMMYFUNCTION("""COMPUTED_VALUE"""),"Richardson")</f>
        <v>Richardson</v>
      </c>
      <c r="E1753" t="str">
        <f>IFERROR(__xludf.DUMMYFUNCTION("""COMPUTED_VALUE"""),"Bobby")</f>
        <v>Bobby</v>
      </c>
      <c r="F1753">
        <f>IFERROR(__xludf.DUMMYFUNCTION("""COMPUTED_VALUE"""),9.9)</f>
        <v>9.9</v>
      </c>
    </row>
    <row r="1754">
      <c r="D1754" t="str">
        <f>IFERROR(__xludf.DUMMYFUNCTION("""COMPUTED_VALUE"""),"Richardson")</f>
        <v>Richardson</v>
      </c>
      <c r="E1754" t="str">
        <f>IFERROR(__xludf.DUMMYFUNCTION("""COMPUTED_VALUE"""),"Cyril")</f>
        <v>Cyril</v>
      </c>
      <c r="F1754">
        <f>IFERROR(__xludf.DUMMYFUNCTION("""COMPUTED_VALUE"""),9.45)</f>
        <v>9.45</v>
      </c>
    </row>
    <row r="1755">
      <c r="D1755" t="str">
        <f>IFERROR(__xludf.DUMMYFUNCTION("""COMPUTED_VALUE"""),"Richardson")</f>
        <v>Richardson</v>
      </c>
      <c r="E1755" t="str">
        <f>IFERROR(__xludf.DUMMYFUNCTION("""COMPUTED_VALUE"""),"Daryl")</f>
        <v>Daryl</v>
      </c>
      <c r="F1755">
        <f>IFERROR(__xludf.DUMMYFUNCTION("""COMPUTED_VALUE"""),10.049999999999999)</f>
        <v>10.05</v>
      </c>
    </row>
    <row r="1756">
      <c r="D1756" t="str">
        <f>IFERROR(__xludf.DUMMYFUNCTION("""COMPUTED_VALUE"""),"Richardson")</f>
        <v>Richardson</v>
      </c>
      <c r="E1756" t="str">
        <f>IFERROR(__xludf.DUMMYFUNCTION("""COMPUTED_VALUE"""),"Paul")</f>
        <v>Paul</v>
      </c>
      <c r="F1756">
        <f>IFERROR(__xludf.DUMMYFUNCTION("""COMPUTED_VALUE"""),10.65)</f>
        <v>10.65</v>
      </c>
    </row>
    <row r="1757">
      <c r="D1757" t="str">
        <f>IFERROR(__xludf.DUMMYFUNCTION("""COMPUTED_VALUE"""),"Richardson")</f>
        <v>Richardson</v>
      </c>
      <c r="E1757" t="str">
        <f>IFERROR(__xludf.DUMMYFUNCTION("""COMPUTED_VALUE"""),"Sheldon")</f>
        <v>Sheldon</v>
      </c>
      <c r="F1757">
        <f>IFERROR(__xludf.DUMMYFUNCTION("""COMPUTED_VALUE"""),12.9)</f>
        <v>12.9</v>
      </c>
    </row>
    <row r="1758">
      <c r="D1758" t="str">
        <f>IFERROR(__xludf.DUMMYFUNCTION("""COMPUTED_VALUE"""),"Richardson")</f>
        <v>Richardson</v>
      </c>
      <c r="E1758" t="str">
        <f>IFERROR(__xludf.DUMMYFUNCTION("""COMPUTED_VALUE"""),"Trent")</f>
        <v>Trent</v>
      </c>
      <c r="F1758">
        <f>IFERROR(__xludf.DUMMYFUNCTION("""COMPUTED_VALUE"""),10.799999999999999)</f>
        <v>10.8</v>
      </c>
    </row>
    <row r="1759">
      <c r="D1759" t="str">
        <f>IFERROR(__xludf.DUMMYFUNCTION("""COMPUTED_VALUE"""),"Richburg")</f>
        <v>Richburg</v>
      </c>
      <c r="E1759" t="str">
        <f>IFERROR(__xludf.DUMMYFUNCTION("""COMPUTED_VALUE"""),"Weston")</f>
        <v>Weston</v>
      </c>
      <c r="F1759">
        <f>IFERROR(__xludf.DUMMYFUNCTION("""COMPUTED_VALUE"""),13.2)</f>
        <v>13.2</v>
      </c>
    </row>
    <row r="1760">
      <c r="D1760" t="str">
        <f>IFERROR(__xludf.DUMMYFUNCTION("""COMPUTED_VALUE"""),"Riddick")</f>
        <v>Riddick</v>
      </c>
      <c r="E1760" t="str">
        <f>IFERROR(__xludf.DUMMYFUNCTION("""COMPUTED_VALUE"""),"Shaq")</f>
        <v>Shaq</v>
      </c>
      <c r="F1760">
        <f>IFERROR(__xludf.DUMMYFUNCTION("""COMPUTED_VALUE"""),8.85)</f>
        <v>8.85</v>
      </c>
    </row>
    <row r="1761">
      <c r="D1761" t="str">
        <f>IFERROR(__xludf.DUMMYFUNCTION("""COMPUTED_VALUE"""),"Riddick")</f>
        <v>Riddick</v>
      </c>
      <c r="E1761" t="str">
        <f>IFERROR(__xludf.DUMMYFUNCTION("""COMPUTED_VALUE"""),"Theo")</f>
        <v>Theo</v>
      </c>
      <c r="F1761">
        <f>IFERROR(__xludf.DUMMYFUNCTION("""COMPUTED_VALUE"""),12.15)</f>
        <v>12.15</v>
      </c>
    </row>
    <row r="1762">
      <c r="D1762" t="str">
        <f>IFERROR(__xludf.DUMMYFUNCTION("""COMPUTED_VALUE"""),"Ridgeway")</f>
        <v>Ridgeway</v>
      </c>
      <c r="E1762" t="str">
        <f>IFERROR(__xludf.DUMMYFUNCTION("""COMPUTED_VALUE"""),"Hassan")</f>
        <v>Hassan</v>
      </c>
      <c r="F1762">
        <f>IFERROR(__xludf.DUMMYFUNCTION("""COMPUTED_VALUE"""),10.2)</f>
        <v>10.2</v>
      </c>
    </row>
    <row r="1763">
      <c r="D1763" t="str">
        <f>IFERROR(__xludf.DUMMYFUNCTION("""COMPUTED_VALUE"""),"Ridley")</f>
        <v>Ridley</v>
      </c>
      <c r="E1763" t="str">
        <f>IFERROR(__xludf.DUMMYFUNCTION("""COMPUTED_VALUE"""),"Stevan")</f>
        <v>Stevan</v>
      </c>
      <c r="F1763">
        <f>IFERROR(__xludf.DUMMYFUNCTION("""COMPUTED_VALUE"""),10.65)</f>
        <v>10.65</v>
      </c>
    </row>
    <row r="1764">
      <c r="D1764" t="str">
        <f>IFERROR(__xludf.DUMMYFUNCTION("""COMPUTED_VALUE"""),"Riggs")</f>
        <v>Riggs</v>
      </c>
      <c r="E1764" t="str">
        <f>IFERROR(__xludf.DUMMYFUNCTION("""COMPUTED_VALUE"""),"Cody")</f>
        <v>Cody</v>
      </c>
      <c r="F1764">
        <f>IFERROR(__xludf.DUMMYFUNCTION("""COMPUTED_VALUE"""),10.799999999999999)</f>
        <v>10.8</v>
      </c>
    </row>
    <row r="1765">
      <c r="D1765" t="str">
        <f>IFERROR(__xludf.DUMMYFUNCTION("""COMPUTED_VALUE"""),"Riley Jr.")</f>
        <v>Riley Jr.</v>
      </c>
      <c r="E1765" t="str">
        <f>IFERROR(__xludf.DUMMYFUNCTION("""COMPUTED_VALUE"""),"Perry")</f>
        <v>Perry</v>
      </c>
      <c r="F1765">
        <f>IFERROR(__xludf.DUMMYFUNCTION("""COMPUTED_VALUE"""),11.1)</f>
        <v>11.1</v>
      </c>
    </row>
    <row r="1766">
      <c r="D1766" t="str">
        <f>IFERROR(__xludf.DUMMYFUNCTION("""COMPUTED_VALUE"""),"Ringo")</f>
        <v>Ringo</v>
      </c>
      <c r="E1766" t="str">
        <f>IFERROR(__xludf.DUMMYFUNCTION("""COMPUTED_VALUE"""),"Christian")</f>
        <v>Christian</v>
      </c>
      <c r="F1766">
        <f>IFERROR(__xludf.DUMMYFUNCTION("""COMPUTED_VALUE"""),9.0)</f>
        <v>9</v>
      </c>
    </row>
    <row r="1767">
      <c r="D1767" t="str">
        <f>IFERROR(__xludf.DUMMYFUNCTION("""COMPUTED_VALUE"""),"Ripkowski")</f>
        <v>Ripkowski</v>
      </c>
      <c r="E1767" t="str">
        <f>IFERROR(__xludf.DUMMYFUNCTION("""COMPUTED_VALUE"""),"Aaron")</f>
        <v>Aaron</v>
      </c>
      <c r="F1767">
        <f>IFERROR(__xludf.DUMMYFUNCTION("""COMPUTED_VALUE"""),10.65)</f>
        <v>10.65</v>
      </c>
    </row>
    <row r="1768">
      <c r="D1768" t="str">
        <f>IFERROR(__xludf.DUMMYFUNCTION("""COMPUTED_VALUE"""),"Rivera")</f>
        <v>Rivera</v>
      </c>
      <c r="E1768" t="str">
        <f>IFERROR(__xludf.DUMMYFUNCTION("""COMPUTED_VALUE"""),"Mychal")</f>
        <v>Mychal</v>
      </c>
      <c r="F1768">
        <f>IFERROR(__xludf.DUMMYFUNCTION("""COMPUTED_VALUE"""),10.95)</f>
        <v>10.95</v>
      </c>
    </row>
    <row r="1769">
      <c r="D1769" t="str">
        <f>IFERROR(__xludf.DUMMYFUNCTION("""COMPUTED_VALUE"""),"Rivers")</f>
        <v>Rivers</v>
      </c>
      <c r="E1769" t="str">
        <f>IFERROR(__xludf.DUMMYFUNCTION("""COMPUTED_VALUE"""),"Gerald")</f>
        <v>Gerald</v>
      </c>
      <c r="F1769">
        <f>IFERROR(__xludf.DUMMYFUNCTION("""COMPUTED_VALUE"""),9.15)</f>
        <v>9.15</v>
      </c>
    </row>
    <row r="1770">
      <c r="D1770" t="str">
        <f>IFERROR(__xludf.DUMMYFUNCTION("""COMPUTED_VALUE"""),"Rivers")</f>
        <v>Rivers</v>
      </c>
      <c r="E1770" t="str">
        <f>IFERROR(__xludf.DUMMYFUNCTION("""COMPUTED_VALUE"""),"Philip")</f>
        <v>Philip</v>
      </c>
      <c r="F1770">
        <f>IFERROR(__xludf.DUMMYFUNCTION("""COMPUTED_VALUE"""),12.6)</f>
        <v>12.6</v>
      </c>
    </row>
    <row r="1771">
      <c r="D1771" t="str">
        <f>IFERROR(__xludf.DUMMYFUNCTION("""COMPUTED_VALUE"""),"Roach")</f>
        <v>Roach</v>
      </c>
      <c r="E1771" t="str">
        <f>IFERROR(__xludf.DUMMYFUNCTION("""COMPUTED_VALUE"""),"Trevor")</f>
        <v>Trevor</v>
      </c>
      <c r="F1771">
        <f>IFERROR(__xludf.DUMMYFUNCTION("""COMPUTED_VALUE"""),9.15)</f>
        <v>9.15</v>
      </c>
    </row>
    <row r="1772">
      <c r="D1772" t="str">
        <f>IFERROR(__xludf.DUMMYFUNCTION("""COMPUTED_VALUE"""),"Roberson")</f>
        <v>Roberson</v>
      </c>
      <c r="E1772" t="str">
        <f>IFERROR(__xludf.DUMMYFUNCTION("""COMPUTED_VALUE"""),"Marcus")</f>
        <v>Marcus</v>
      </c>
      <c r="F1772">
        <f>IFERROR(__xludf.DUMMYFUNCTION("""COMPUTED_VALUE"""),10.5)</f>
        <v>10.5</v>
      </c>
    </row>
    <row r="1773">
      <c r="D1773" t="str">
        <f>IFERROR(__xludf.DUMMYFUNCTION("""COMPUTED_VALUE"""),"Roberts")</f>
        <v>Roberts</v>
      </c>
      <c r="E1773" t="str">
        <f>IFERROR(__xludf.DUMMYFUNCTION("""COMPUTED_VALUE"""),"Andre")</f>
        <v>Andre</v>
      </c>
      <c r="F1773">
        <f>IFERROR(__xludf.DUMMYFUNCTION("""COMPUTED_VALUE"""),10.65)</f>
        <v>10.65</v>
      </c>
    </row>
    <row r="1774">
      <c r="D1774" t="str">
        <f>IFERROR(__xludf.DUMMYFUNCTION("""COMPUTED_VALUE"""),"Roberts")</f>
        <v>Roberts</v>
      </c>
      <c r="E1774" t="str">
        <f>IFERROR(__xludf.DUMMYFUNCTION("""COMPUTED_VALUE"""),"Darryl")</f>
        <v>Darryl</v>
      </c>
      <c r="F1774">
        <f>IFERROR(__xludf.DUMMYFUNCTION("""COMPUTED_VALUE"""),9.6)</f>
        <v>9.6</v>
      </c>
    </row>
    <row r="1775">
      <c r="D1775" t="str">
        <f>IFERROR(__xludf.DUMMYFUNCTION("""COMPUTED_VALUE"""),"Roberts")</f>
        <v>Roberts</v>
      </c>
      <c r="E1775" t="str">
        <f>IFERROR(__xludf.DUMMYFUNCTION("""COMPUTED_VALUE"""),"Elandon")</f>
        <v>Elandon</v>
      </c>
      <c r="F1775">
        <f>IFERROR(__xludf.DUMMYFUNCTION("""COMPUTED_VALUE"""),9.75)</f>
        <v>9.75</v>
      </c>
    </row>
    <row r="1776">
      <c r="D1776" t="str">
        <f>IFERROR(__xludf.DUMMYFUNCTION("""COMPUTED_VALUE"""),"Roberts")</f>
        <v>Roberts</v>
      </c>
      <c r="E1776" t="str">
        <f>IFERROR(__xludf.DUMMYFUNCTION("""COMPUTED_VALUE"""),"Seth")</f>
        <v>Seth</v>
      </c>
      <c r="F1776">
        <f>IFERROR(__xludf.DUMMYFUNCTION("""COMPUTED_VALUE"""),10.799999999999999)</f>
        <v>10.8</v>
      </c>
    </row>
    <row r="1777">
      <c r="D1777" t="str">
        <f>IFERROR(__xludf.DUMMYFUNCTION("""COMPUTED_VALUE"""),"Robertson")</f>
        <v>Robertson</v>
      </c>
      <c r="E1777" t="str">
        <f>IFERROR(__xludf.DUMMYFUNCTION("""COMPUTED_VALUE"""),"Craig")</f>
        <v>Craig</v>
      </c>
      <c r="F1777">
        <f>IFERROR(__xludf.DUMMYFUNCTION("""COMPUTED_VALUE"""),11.7)</f>
        <v>11.7</v>
      </c>
    </row>
    <row r="1778">
      <c r="D1778" t="str">
        <f>IFERROR(__xludf.DUMMYFUNCTION("""COMPUTED_VALUE"""),"Robertson-Harris")</f>
        <v>Robertson-Harris</v>
      </c>
      <c r="E1778" t="str">
        <f>IFERROR(__xludf.DUMMYFUNCTION("""COMPUTED_VALUE"""),"Roy")</f>
        <v>Roy</v>
      </c>
      <c r="F1778">
        <f>IFERROR(__xludf.DUMMYFUNCTION("""COMPUTED_VALUE"""),9.15)</f>
        <v>9.15</v>
      </c>
    </row>
    <row r="1779">
      <c r="D1779" t="str">
        <f>IFERROR(__xludf.DUMMYFUNCTION("""COMPUTED_VALUE"""),"Robey-Coleman")</f>
        <v>Robey-Coleman</v>
      </c>
      <c r="E1779" t="str">
        <f>IFERROR(__xludf.DUMMYFUNCTION("""COMPUTED_VALUE"""),"Nickell")</f>
        <v>Nickell</v>
      </c>
      <c r="F1779">
        <f>IFERROR(__xludf.DUMMYFUNCTION("""COMPUTED_VALUE"""),11.1)</f>
        <v>11.1</v>
      </c>
    </row>
    <row r="1780">
      <c r="D1780" t="str">
        <f>IFERROR(__xludf.DUMMYFUNCTION("""COMPUTED_VALUE"""),"Robinson")</f>
        <v>Robinson</v>
      </c>
      <c r="E1780" t="str">
        <f>IFERROR(__xludf.DUMMYFUNCTION("""COMPUTED_VALUE"""),"Aldrick")</f>
        <v>Aldrick</v>
      </c>
      <c r="F1780">
        <f>IFERROR(__xludf.DUMMYFUNCTION("""COMPUTED_VALUE"""),10.049999999999999)</f>
        <v>10.05</v>
      </c>
    </row>
    <row r="1781">
      <c r="D1781" t="str">
        <f>IFERROR(__xludf.DUMMYFUNCTION("""COMPUTED_VALUE"""),"Robinson")</f>
        <v>Robinson</v>
      </c>
      <c r="E1781" t="str">
        <f>IFERROR(__xludf.DUMMYFUNCTION("""COMPUTED_VALUE"""),"Allen")</f>
        <v>Allen</v>
      </c>
      <c r="F1781">
        <f>IFERROR(__xludf.DUMMYFUNCTION("""COMPUTED_VALUE"""),13.2)</f>
        <v>13.2</v>
      </c>
    </row>
    <row r="1782">
      <c r="D1782" t="str">
        <f>IFERROR(__xludf.DUMMYFUNCTION("""COMPUTED_VALUE"""),"Robinson")</f>
        <v>Robinson</v>
      </c>
      <c r="E1782" t="str">
        <f>IFERROR(__xludf.DUMMYFUNCTION("""COMPUTED_VALUE"""),"AShawn")</f>
        <v>AShawn</v>
      </c>
      <c r="F1782">
        <f>IFERROR(__xludf.DUMMYFUNCTION("""COMPUTED_VALUE"""),10.799999999999999)</f>
        <v>10.8</v>
      </c>
    </row>
    <row r="1783">
      <c r="D1783" t="str">
        <f>IFERROR(__xludf.DUMMYFUNCTION("""COMPUTED_VALUE"""),"Robinson")</f>
        <v>Robinson</v>
      </c>
      <c r="E1783" t="str">
        <f>IFERROR(__xludf.DUMMYFUNCTION("""COMPUTED_VALUE"""),"Corey")</f>
        <v>Corey</v>
      </c>
      <c r="F1783">
        <f>IFERROR(__xludf.DUMMYFUNCTION("""COMPUTED_VALUE"""),10.35)</f>
        <v>10.35</v>
      </c>
    </row>
    <row r="1784">
      <c r="D1784" t="str">
        <f>IFERROR(__xludf.DUMMYFUNCTION("""COMPUTED_VALUE"""),"Robinson")</f>
        <v>Robinson</v>
      </c>
      <c r="E1784" t="str">
        <f>IFERROR(__xludf.DUMMYFUNCTION("""COMPUTED_VALUE"""),"Demarcus")</f>
        <v>Demarcus</v>
      </c>
      <c r="F1784">
        <f>IFERROR(__xludf.DUMMYFUNCTION("""COMPUTED_VALUE"""),9.75)</f>
        <v>9.75</v>
      </c>
    </row>
    <row r="1785">
      <c r="D1785" t="str">
        <f>IFERROR(__xludf.DUMMYFUNCTION("""COMPUTED_VALUE"""),"Robinson")</f>
        <v>Robinson</v>
      </c>
      <c r="E1785" t="str">
        <f>IFERROR(__xludf.DUMMYFUNCTION("""COMPUTED_VALUE"""),"Denard")</f>
        <v>Denard</v>
      </c>
      <c r="F1785">
        <f>IFERROR(__xludf.DUMMYFUNCTION("""COMPUTED_VALUE"""),10.95)</f>
        <v>10.95</v>
      </c>
    </row>
    <row r="1786">
      <c r="D1786" t="str">
        <f>IFERROR(__xludf.DUMMYFUNCTION("""COMPUTED_VALUE"""),"Robinson")</f>
        <v>Robinson</v>
      </c>
      <c r="E1786" t="str">
        <f>IFERROR(__xludf.DUMMYFUNCTION("""COMPUTED_VALUE"""),"Edmond")</f>
        <v>Edmond</v>
      </c>
      <c r="F1786">
        <f>IFERROR(__xludf.DUMMYFUNCTION("""COMPUTED_VALUE"""),8.4)</f>
        <v>8.4</v>
      </c>
    </row>
    <row r="1787">
      <c r="D1787" t="str">
        <f>IFERROR(__xludf.DUMMYFUNCTION("""COMPUTED_VALUE"""),"Robinson")</f>
        <v>Robinson</v>
      </c>
      <c r="E1787" t="str">
        <f>IFERROR(__xludf.DUMMYFUNCTION("""COMPUTED_VALUE"""),"Greg")</f>
        <v>Greg</v>
      </c>
      <c r="F1787">
        <f>IFERROR(__xludf.DUMMYFUNCTION("""COMPUTED_VALUE"""),11.549999999999999)</f>
        <v>11.55</v>
      </c>
    </row>
    <row r="1788">
      <c r="D1788" t="str">
        <f>IFERROR(__xludf.DUMMYFUNCTION("""COMPUTED_VALUE"""),"Robinson")</f>
        <v>Robinson</v>
      </c>
      <c r="E1788" t="str">
        <f>IFERROR(__xludf.DUMMYFUNCTION("""COMPUTED_VALUE"""),"Josh")</f>
        <v>Josh</v>
      </c>
      <c r="F1788">
        <f>IFERROR(__xludf.DUMMYFUNCTION("""COMPUTED_VALUE"""),11.25)</f>
        <v>11.25</v>
      </c>
    </row>
    <row r="1789">
      <c r="D1789" t="str">
        <f>IFERROR(__xludf.DUMMYFUNCTION("""COMPUTED_VALUE"""),"Robinson")</f>
        <v>Robinson</v>
      </c>
      <c r="E1789" t="str">
        <f>IFERROR(__xludf.DUMMYFUNCTION("""COMPUTED_VALUE"""),"Keenan")</f>
        <v>Keenan</v>
      </c>
      <c r="F1789">
        <f>IFERROR(__xludf.DUMMYFUNCTION("""COMPUTED_VALUE"""),11.25)</f>
        <v>11.25</v>
      </c>
    </row>
    <row r="1790">
      <c r="D1790" t="str">
        <f>IFERROR(__xludf.DUMMYFUNCTION("""COMPUTED_VALUE"""),"Robinson")</f>
        <v>Robinson</v>
      </c>
      <c r="E1790" t="str">
        <f>IFERROR(__xludf.DUMMYFUNCTION("""COMPUTED_VALUE"""),"Khiry")</f>
        <v>Khiry</v>
      </c>
      <c r="F1790">
        <f>IFERROR(__xludf.DUMMYFUNCTION("""COMPUTED_VALUE"""),11.1)</f>
        <v>11.1</v>
      </c>
    </row>
    <row r="1791">
      <c r="D1791" t="str">
        <f>IFERROR(__xludf.DUMMYFUNCTION("""COMPUTED_VALUE"""),"Robinson")</f>
        <v>Robinson</v>
      </c>
      <c r="E1791" t="str">
        <f>IFERROR(__xludf.DUMMYFUNCTION("""COMPUTED_VALUE"""),"Patrick")</f>
        <v>Patrick</v>
      </c>
      <c r="F1791">
        <f>IFERROR(__xludf.DUMMYFUNCTION("""COMPUTED_VALUE"""),11.7)</f>
        <v>11.7</v>
      </c>
    </row>
    <row r="1792">
      <c r="D1792" t="str">
        <f>IFERROR(__xludf.DUMMYFUNCTION("""COMPUTED_VALUE"""),"Robinson")</f>
        <v>Robinson</v>
      </c>
      <c r="E1792" t="str">
        <f>IFERROR(__xludf.DUMMYFUNCTION("""COMPUTED_VALUE"""),"Rashard")</f>
        <v>Rashard</v>
      </c>
      <c r="F1792">
        <f>IFERROR(__xludf.DUMMYFUNCTION("""COMPUTED_VALUE"""),9.6)</f>
        <v>9.6</v>
      </c>
    </row>
    <row r="1793">
      <c r="D1793" t="str">
        <f>IFERROR(__xludf.DUMMYFUNCTION("""COMPUTED_VALUE"""),"Robinson")</f>
        <v>Robinson</v>
      </c>
      <c r="E1793" t="str">
        <f>IFERROR(__xludf.DUMMYFUNCTION("""COMPUTED_VALUE"""),"Ryan")</f>
        <v>Ryan</v>
      </c>
      <c r="F1793">
        <f>IFERROR(__xludf.DUMMYFUNCTION("""COMPUTED_VALUE"""),8.7)</f>
        <v>8.7</v>
      </c>
    </row>
    <row r="1794">
      <c r="D1794" t="str">
        <f>IFERROR(__xludf.DUMMYFUNCTION("""COMPUTED_VALUE"""),"Robinson")</f>
        <v>Robinson</v>
      </c>
      <c r="E1794" t="str">
        <f>IFERROR(__xludf.DUMMYFUNCTION("""COMPUTED_VALUE"""),"Trenton")</f>
        <v>Trenton</v>
      </c>
      <c r="F1794">
        <f>IFERROR(__xludf.DUMMYFUNCTION("""COMPUTED_VALUE"""),10.2)</f>
        <v>10.2</v>
      </c>
    </row>
    <row r="1795">
      <c r="D1795" t="str">
        <f>IFERROR(__xludf.DUMMYFUNCTION("""COMPUTED_VALUE"""),"Robinson")</f>
        <v>Robinson</v>
      </c>
      <c r="E1795" t="str">
        <f>IFERROR(__xludf.DUMMYFUNCTION("""COMPUTED_VALUE"""),"Trevor")</f>
        <v>Trevor</v>
      </c>
      <c r="F1795">
        <f>IFERROR(__xludf.DUMMYFUNCTION("""COMPUTED_VALUE"""),9.75)</f>
        <v>9.75</v>
      </c>
    </row>
    <row r="1796">
      <c r="D1796" t="str">
        <f>IFERROR(__xludf.DUMMYFUNCTION("""COMPUTED_VALUE"""),"Robison")</f>
        <v>Robison</v>
      </c>
      <c r="E1796" t="str">
        <f>IFERROR(__xludf.DUMMYFUNCTION("""COMPUTED_VALUE"""),"Brian")</f>
        <v>Brian</v>
      </c>
      <c r="F1796">
        <f>IFERROR(__xludf.DUMMYFUNCTION("""COMPUTED_VALUE"""),11.85)</f>
        <v>11.85</v>
      </c>
    </row>
    <row r="1797">
      <c r="D1797" t="str">
        <f>IFERROR(__xludf.DUMMYFUNCTION("""COMPUTED_VALUE"""),"Roby")</f>
        <v>Roby</v>
      </c>
      <c r="E1797" t="str">
        <f>IFERROR(__xludf.DUMMYFUNCTION("""COMPUTED_VALUE"""),"Bradley")</f>
        <v>Bradley</v>
      </c>
      <c r="F1797">
        <f>IFERROR(__xludf.DUMMYFUNCTION("""COMPUTED_VALUE"""),12.45)</f>
        <v>12.45</v>
      </c>
    </row>
    <row r="1798">
      <c r="D1798" t="str">
        <f>IFERROR(__xludf.DUMMYFUNCTION("""COMPUTED_VALUE"""),"Rodgers")</f>
        <v>Rodgers</v>
      </c>
      <c r="E1798" t="str">
        <f>IFERROR(__xludf.DUMMYFUNCTION("""COMPUTED_VALUE"""),"Aaron")</f>
        <v>Aaron</v>
      </c>
      <c r="F1798">
        <f>IFERROR(__xludf.DUMMYFUNCTION("""COMPUTED_VALUE"""),14.399999999999999)</f>
        <v>14.4</v>
      </c>
    </row>
    <row r="1799">
      <c r="D1799" t="str">
        <f>IFERROR(__xludf.DUMMYFUNCTION("""COMPUTED_VALUE"""),"Rodgers")</f>
        <v>Rodgers</v>
      </c>
      <c r="E1799" t="str">
        <f>IFERROR(__xludf.DUMMYFUNCTION("""COMPUTED_VALUE"""),"Jacquizz")</f>
        <v>Jacquizz</v>
      </c>
      <c r="F1799">
        <f>IFERROR(__xludf.DUMMYFUNCTION("""COMPUTED_VALUE"""),11.25)</f>
        <v>11.25</v>
      </c>
    </row>
    <row r="1800">
      <c r="D1800" t="str">
        <f>IFERROR(__xludf.DUMMYFUNCTION("""COMPUTED_VALUE"""),"Rodgers")</f>
        <v>Rodgers</v>
      </c>
      <c r="E1800" t="str">
        <f>IFERROR(__xludf.DUMMYFUNCTION("""COMPUTED_VALUE"""),"Jake")</f>
        <v>Jake</v>
      </c>
      <c r="F1800">
        <f>IFERROR(__xludf.DUMMYFUNCTION("""COMPUTED_VALUE"""),9.9)</f>
        <v>9.9</v>
      </c>
    </row>
    <row r="1801">
      <c r="D1801" t="str">
        <f>IFERROR(__xludf.DUMMYFUNCTION("""COMPUTED_VALUE"""),"Rodgers")</f>
        <v>Rodgers</v>
      </c>
      <c r="E1801" t="str">
        <f>IFERROR(__xludf.DUMMYFUNCTION("""COMPUTED_VALUE"""),"Richard")</f>
        <v>Richard</v>
      </c>
      <c r="F1801">
        <f>IFERROR(__xludf.DUMMYFUNCTION("""COMPUTED_VALUE"""),11.85)</f>
        <v>11.85</v>
      </c>
    </row>
    <row r="1802">
      <c r="D1802" t="str">
        <f>IFERROR(__xludf.DUMMYFUNCTION("""COMPUTED_VALUE"""),"Rodgers-Cromartie")</f>
        <v>Rodgers-Cromartie</v>
      </c>
      <c r="E1802" t="str">
        <f>IFERROR(__xludf.DUMMYFUNCTION("""COMPUTED_VALUE"""),"Dominique")</f>
        <v>Dominique</v>
      </c>
      <c r="F1802">
        <f>IFERROR(__xludf.DUMMYFUNCTION("""COMPUTED_VALUE"""),13.049999999999999)</f>
        <v>13.05</v>
      </c>
    </row>
    <row r="1803">
      <c r="D1803" t="str">
        <f>IFERROR(__xludf.DUMMYFUNCTION("""COMPUTED_VALUE"""),"Roethlisberger")</f>
        <v>Roethlisberger</v>
      </c>
      <c r="E1803" t="str">
        <f>IFERROR(__xludf.DUMMYFUNCTION("""COMPUTED_VALUE"""),"Ben")</f>
        <v>Ben</v>
      </c>
      <c r="F1803">
        <f>IFERROR(__xludf.DUMMYFUNCTION("""COMPUTED_VALUE"""),13.95)</f>
        <v>13.95</v>
      </c>
    </row>
    <row r="1804">
      <c r="D1804" t="str">
        <f>IFERROR(__xludf.DUMMYFUNCTION("""COMPUTED_VALUE"""),"Rolle")</f>
        <v>Rolle</v>
      </c>
      <c r="E1804" t="str">
        <f>IFERROR(__xludf.DUMMYFUNCTION("""COMPUTED_VALUE"""),"Jumal")</f>
        <v>Jumal</v>
      </c>
      <c r="F1804">
        <f>IFERROR(__xludf.DUMMYFUNCTION("""COMPUTED_VALUE"""),10.049999999999999)</f>
        <v>10.05</v>
      </c>
    </row>
    <row r="1805">
      <c r="D1805" t="str">
        <f>IFERROR(__xludf.DUMMYFUNCTION("""COMPUTED_VALUE"""),"Rollins")</f>
        <v>Rollins</v>
      </c>
      <c r="E1805" t="str">
        <f>IFERROR(__xludf.DUMMYFUNCTION("""COMPUTED_VALUE"""),"Quinten")</f>
        <v>Quinten</v>
      </c>
      <c r="F1805">
        <f>IFERROR(__xludf.DUMMYFUNCTION("""COMPUTED_VALUE"""),10.799999999999999)</f>
        <v>10.8</v>
      </c>
    </row>
    <row r="1806">
      <c r="D1806" t="str">
        <f>IFERROR(__xludf.DUMMYFUNCTION("""COMPUTED_VALUE"""),"Romo")</f>
        <v>Romo</v>
      </c>
      <c r="E1806" t="str">
        <f>IFERROR(__xludf.DUMMYFUNCTION("""COMPUTED_VALUE"""),"Tony")</f>
        <v>Tony</v>
      </c>
      <c r="F1806">
        <f>IFERROR(__xludf.DUMMYFUNCTION("""COMPUTED_VALUE"""),12.9)</f>
        <v>12.9</v>
      </c>
    </row>
    <row r="1807">
      <c r="D1807" t="str">
        <f>IFERROR(__xludf.DUMMYFUNCTION("""COMPUTED_VALUE"""),"Ross")</f>
        <v>Ross</v>
      </c>
      <c r="E1807" t="str">
        <f>IFERROR(__xludf.DUMMYFUNCTION("""COMPUTED_VALUE"""),"Brandian")</f>
        <v>Brandian</v>
      </c>
      <c r="F1807">
        <f>IFERROR(__xludf.DUMMYFUNCTION("""COMPUTED_VALUE"""),10.799999999999999)</f>
        <v>10.8</v>
      </c>
    </row>
    <row r="1808">
      <c r="D1808" t="str">
        <f>IFERROR(__xludf.DUMMYFUNCTION("""COMPUTED_VALUE"""),"Ross")</f>
        <v>Ross</v>
      </c>
      <c r="E1808" t="str">
        <f>IFERROR(__xludf.DUMMYFUNCTION("""COMPUTED_VALUE"""),"Jeremy")</f>
        <v>Jeremy</v>
      </c>
      <c r="F1808">
        <f>IFERROR(__xludf.DUMMYFUNCTION("""COMPUTED_VALUE"""),9.9)</f>
        <v>9.9</v>
      </c>
    </row>
    <row r="1809">
      <c r="D1809" t="str">
        <f>IFERROR(__xludf.DUMMYFUNCTION("""COMPUTED_VALUE"""),"Ross")</f>
        <v>Ross</v>
      </c>
      <c r="E1809" t="str">
        <f>IFERROR(__xludf.DUMMYFUNCTION("""COMPUTED_VALUE"""),"Rashad")</f>
        <v>Rashad</v>
      </c>
      <c r="F1809">
        <f>IFERROR(__xludf.DUMMYFUNCTION("""COMPUTED_VALUE"""),9.45)</f>
        <v>9.45</v>
      </c>
    </row>
    <row r="1810">
      <c r="D1810" t="str">
        <f>IFERROR(__xludf.DUMMYFUNCTION("""COMPUTED_VALUE"""),"Rowe")</f>
        <v>Rowe</v>
      </c>
      <c r="E1810" t="str">
        <f>IFERROR(__xludf.DUMMYFUNCTION("""COMPUTED_VALUE"""),"Eric")</f>
        <v>Eric</v>
      </c>
      <c r="F1810">
        <f>IFERROR(__xludf.DUMMYFUNCTION("""COMPUTED_VALUE"""),11.1)</f>
        <v>11.1</v>
      </c>
    </row>
    <row r="1811">
      <c r="D1811" t="str">
        <f>IFERROR(__xludf.DUMMYFUNCTION("""COMPUTED_VALUE"""),"Royal")</f>
        <v>Royal</v>
      </c>
      <c r="E1811" t="str">
        <f>IFERROR(__xludf.DUMMYFUNCTION("""COMPUTED_VALUE"""),"Eddie")</f>
        <v>Eddie</v>
      </c>
      <c r="F1811">
        <f>IFERROR(__xludf.DUMMYFUNCTION("""COMPUTED_VALUE"""),11.549999999999999)</f>
        <v>11.55</v>
      </c>
    </row>
    <row r="1812">
      <c r="D1812" t="str">
        <f>IFERROR(__xludf.DUMMYFUNCTION("""COMPUTED_VALUE"""),"Rubin")</f>
        <v>Rubin</v>
      </c>
      <c r="E1812" t="str">
        <f>IFERROR(__xludf.DUMMYFUNCTION("""COMPUTED_VALUE"""),"Ahtyba")</f>
        <v>Ahtyba</v>
      </c>
      <c r="F1812">
        <f>IFERROR(__xludf.DUMMYFUNCTION("""COMPUTED_VALUE"""),11.1)</f>
        <v>11.1</v>
      </c>
    </row>
    <row r="1813">
      <c r="D1813" t="str">
        <f>IFERROR(__xludf.DUMMYFUNCTION("""COMPUTED_VALUE"""),"Rucker")</f>
        <v>Rucker</v>
      </c>
      <c r="E1813" t="str">
        <f>IFERROR(__xludf.DUMMYFUNCTION("""COMPUTED_VALUE"""),"Frostee")</f>
        <v>Frostee</v>
      </c>
      <c r="F1813">
        <f>IFERROR(__xludf.DUMMYFUNCTION("""COMPUTED_VALUE"""),11.4)</f>
        <v>11.4</v>
      </c>
    </row>
    <row r="1814">
      <c r="D1814" t="str">
        <f>IFERROR(__xludf.DUMMYFUNCTION("""COMPUTED_VALUE"""),"Rudock")</f>
        <v>Rudock</v>
      </c>
      <c r="E1814" t="str">
        <f>IFERROR(__xludf.DUMMYFUNCTION("""COMPUTED_VALUE"""),"Jake")</f>
        <v>Jake</v>
      </c>
      <c r="F1814">
        <f>IFERROR(__xludf.DUMMYFUNCTION("""COMPUTED_VALUE"""),9.6)</f>
        <v>9.6</v>
      </c>
    </row>
    <row r="1815">
      <c r="D1815" t="str">
        <f>IFERROR(__xludf.DUMMYFUNCTION("""COMPUTED_VALUE"""),"Rudolph")</f>
        <v>Rudolph</v>
      </c>
      <c r="E1815" t="str">
        <f>IFERROR(__xludf.DUMMYFUNCTION("""COMPUTED_VALUE"""),"Kyle")</f>
        <v>Kyle</v>
      </c>
      <c r="F1815">
        <f>IFERROR(__xludf.DUMMYFUNCTION("""COMPUTED_VALUE"""),12.15)</f>
        <v>12.15</v>
      </c>
    </row>
    <row r="1816">
      <c r="D1816" t="str">
        <f>IFERROR(__xludf.DUMMYFUNCTION("""COMPUTED_VALUE"""),"Russell")</f>
        <v>Russell</v>
      </c>
      <c r="E1816" t="str">
        <f>IFERROR(__xludf.DUMMYFUNCTION("""COMPUTED_VALUE"""),"Alonzo")</f>
        <v>Alonzo</v>
      </c>
      <c r="F1816">
        <f>IFERROR(__xludf.DUMMYFUNCTION("""COMPUTED_VALUE"""),9.299999999999999)</f>
        <v>9.3</v>
      </c>
    </row>
    <row r="1817">
      <c r="D1817" t="str">
        <f>IFERROR(__xludf.DUMMYFUNCTION("""COMPUTED_VALUE"""),"Russell")</f>
        <v>Russell</v>
      </c>
      <c r="E1817" t="str">
        <f>IFERROR(__xludf.DUMMYFUNCTION("""COMPUTED_VALUE"""),"KeiVarae")</f>
        <v>KeiVarae</v>
      </c>
      <c r="F1817">
        <f>IFERROR(__xludf.DUMMYFUNCTION("""COMPUTED_VALUE"""),10.5)</f>
        <v>10.5</v>
      </c>
    </row>
    <row r="1818">
      <c r="D1818" t="str">
        <f>IFERROR(__xludf.DUMMYFUNCTION("""COMPUTED_VALUE"""),"Russell")</f>
        <v>Russell</v>
      </c>
      <c r="E1818" t="str">
        <f>IFERROR(__xludf.DUMMYFUNCTION("""COMPUTED_VALUE"""),"Ryan")</f>
        <v>Ryan</v>
      </c>
      <c r="F1818">
        <f>IFERROR(__xludf.DUMMYFUNCTION("""COMPUTED_VALUE"""),9.45)</f>
        <v>9.45</v>
      </c>
    </row>
    <row r="1819">
      <c r="D1819" t="str">
        <f>IFERROR(__xludf.DUMMYFUNCTION("""COMPUTED_VALUE"""),"Ryan")</f>
        <v>Ryan</v>
      </c>
      <c r="E1819" t="str">
        <f>IFERROR(__xludf.DUMMYFUNCTION("""COMPUTED_VALUE"""),"Jake")</f>
        <v>Jake</v>
      </c>
      <c r="F1819">
        <f>IFERROR(__xludf.DUMMYFUNCTION("""COMPUTED_VALUE"""),10.5)</f>
        <v>10.5</v>
      </c>
    </row>
    <row r="1820">
      <c r="D1820" t="str">
        <f>IFERROR(__xludf.DUMMYFUNCTION("""COMPUTED_VALUE"""),"Ryan")</f>
        <v>Ryan</v>
      </c>
      <c r="E1820" t="str">
        <f>IFERROR(__xludf.DUMMYFUNCTION("""COMPUTED_VALUE"""),"Jon")</f>
        <v>Jon</v>
      </c>
      <c r="F1820">
        <f>IFERROR(__xludf.DUMMYFUNCTION("""COMPUTED_VALUE"""),12.15)</f>
        <v>12.15</v>
      </c>
    </row>
    <row r="1821">
      <c r="D1821" t="str">
        <f>IFERROR(__xludf.DUMMYFUNCTION("""COMPUTED_VALUE"""),"Ryan")</f>
        <v>Ryan</v>
      </c>
      <c r="E1821" t="str">
        <f>IFERROR(__xludf.DUMMYFUNCTION("""COMPUTED_VALUE"""),"Logan")</f>
        <v>Logan</v>
      </c>
      <c r="F1821">
        <f>IFERROR(__xludf.DUMMYFUNCTION("""COMPUTED_VALUE"""),12.6)</f>
        <v>12.6</v>
      </c>
    </row>
    <row r="1822">
      <c r="D1822" t="str">
        <f>IFERROR(__xludf.DUMMYFUNCTION("""COMPUTED_VALUE"""),"Ryan")</f>
        <v>Ryan</v>
      </c>
      <c r="E1822" t="str">
        <f>IFERROR(__xludf.DUMMYFUNCTION("""COMPUTED_VALUE"""),"Matt")</f>
        <v>Matt</v>
      </c>
      <c r="F1822">
        <f>IFERROR(__xludf.DUMMYFUNCTION("""COMPUTED_VALUE"""),12.6)</f>
        <v>12.6</v>
      </c>
    </row>
    <row r="1823">
      <c r="D1823" t="str">
        <f>IFERROR(__xludf.DUMMYFUNCTION("""COMPUTED_VALUE"""),"Saffold III")</f>
        <v>Saffold III</v>
      </c>
      <c r="E1823" t="str">
        <f>IFERROR(__xludf.DUMMYFUNCTION("""COMPUTED_VALUE"""),"Rodger")</f>
        <v>Rodger</v>
      </c>
      <c r="F1823">
        <f>IFERROR(__xludf.DUMMYFUNCTION("""COMPUTED_VALUE"""),10.95)</f>
        <v>10.95</v>
      </c>
    </row>
    <row r="1824">
      <c r="D1824" t="str">
        <f>IFERROR(__xludf.DUMMYFUNCTION("""COMPUTED_VALUE"""),"Salas")</f>
        <v>Salas</v>
      </c>
      <c r="E1824" t="str">
        <f>IFERROR(__xludf.DUMMYFUNCTION("""COMPUTED_VALUE"""),"Greg")</f>
        <v>Greg</v>
      </c>
      <c r="F1824">
        <f>IFERROR(__xludf.DUMMYFUNCTION("""COMPUTED_VALUE"""),10.049999999999999)</f>
        <v>10.05</v>
      </c>
    </row>
    <row r="1825">
      <c r="D1825" t="str">
        <f>IFERROR(__xludf.DUMMYFUNCTION("""COMPUTED_VALUE"""),"Sambrailo")</f>
        <v>Sambrailo</v>
      </c>
      <c r="E1825" t="str">
        <f>IFERROR(__xludf.DUMMYFUNCTION("""COMPUTED_VALUE"""),"Ty")</f>
        <v>Ty</v>
      </c>
      <c r="F1825">
        <f>IFERROR(__xludf.DUMMYFUNCTION("""COMPUTED_VALUE"""),10.5)</f>
        <v>10.5</v>
      </c>
    </row>
    <row r="1826">
      <c r="D1826" t="str">
        <f>IFERROR(__xludf.DUMMYFUNCTION("""COMPUTED_VALUE"""),"Sample")</f>
        <v>Sample</v>
      </c>
      <c r="E1826" t="str">
        <f>IFERROR(__xludf.DUMMYFUNCTION("""COMPUTED_VALUE"""),"James")</f>
        <v>James</v>
      </c>
      <c r="F1826">
        <f>IFERROR(__xludf.DUMMYFUNCTION("""COMPUTED_VALUE"""),10.35)</f>
        <v>10.35</v>
      </c>
    </row>
    <row r="1827">
      <c r="D1827" t="str">
        <f>IFERROR(__xludf.DUMMYFUNCTION("""COMPUTED_VALUE"""),"Sanborn")</f>
        <v>Sanborn</v>
      </c>
      <c r="E1827" t="str">
        <f>IFERROR(__xludf.DUMMYFUNCTION("""COMPUTED_VALUE"""),"Garrison")</f>
        <v>Garrison</v>
      </c>
      <c r="F1827">
        <f>IFERROR(__xludf.DUMMYFUNCTION("""COMPUTED_VALUE"""),8.1)</f>
        <v>8.1</v>
      </c>
    </row>
    <row r="1828">
      <c r="D1828" t="str">
        <f>IFERROR(__xludf.DUMMYFUNCTION("""COMPUTED_VALUE"""),"Sanchez")</f>
        <v>Sanchez</v>
      </c>
      <c r="E1828" t="str">
        <f>IFERROR(__xludf.DUMMYFUNCTION("""COMPUTED_VALUE"""),"Mark")</f>
        <v>Mark</v>
      </c>
      <c r="F1828">
        <f>IFERROR(__xludf.DUMMYFUNCTION("""COMPUTED_VALUE"""),10.799999999999999)</f>
        <v>10.8</v>
      </c>
    </row>
    <row r="1829">
      <c r="D1829" t="str">
        <f>IFERROR(__xludf.DUMMYFUNCTION("""COMPUTED_VALUE"""),"Sanchez")</f>
        <v>Sanchez</v>
      </c>
      <c r="E1829" t="str">
        <f>IFERROR(__xludf.DUMMYFUNCTION("""COMPUTED_VALUE"""),"Zack")</f>
        <v>Zack</v>
      </c>
      <c r="F1829">
        <f>IFERROR(__xludf.DUMMYFUNCTION("""COMPUTED_VALUE"""),9.6)</f>
        <v>9.6</v>
      </c>
    </row>
    <row r="1830">
      <c r="D1830" t="str">
        <f>IFERROR(__xludf.DUMMYFUNCTION("""COMPUTED_VALUE"""),"Sanders")</f>
        <v>Sanders</v>
      </c>
      <c r="E1830" t="str">
        <f>IFERROR(__xludf.DUMMYFUNCTION("""COMPUTED_VALUE"""),"Emmanuel")</f>
        <v>Emmanuel</v>
      </c>
      <c r="F1830">
        <f>IFERROR(__xludf.DUMMYFUNCTION("""COMPUTED_VALUE"""),13.2)</f>
        <v>13.2</v>
      </c>
    </row>
    <row r="1831">
      <c r="D1831" t="str">
        <f>IFERROR(__xludf.DUMMYFUNCTION("""COMPUTED_VALUE"""),"Sandland")</f>
        <v>Sandland</v>
      </c>
      <c r="E1831" t="str">
        <f>IFERROR(__xludf.DUMMYFUNCTION("""COMPUTED_VALUE"""),"Beau")</f>
        <v>Beau</v>
      </c>
      <c r="F1831">
        <f>IFERROR(__xludf.DUMMYFUNCTION("""COMPUTED_VALUE"""),9.75)</f>
        <v>9.75</v>
      </c>
    </row>
    <row r="1832">
      <c r="D1832" t="str">
        <f>IFERROR(__xludf.DUMMYFUNCTION("""COMPUTED_VALUE"""),"Sanford")</f>
        <v>Sanford</v>
      </c>
      <c r="E1832" t="str">
        <f>IFERROR(__xludf.DUMMYFUNCTION("""COMPUTED_VALUE"""),"Jamarca")</f>
        <v>Jamarca</v>
      </c>
      <c r="F1832">
        <f>IFERROR(__xludf.DUMMYFUNCTION("""COMPUTED_VALUE"""),10.95)</f>
        <v>10.95</v>
      </c>
    </row>
    <row r="1833">
      <c r="D1833" t="str">
        <f>IFERROR(__xludf.DUMMYFUNCTION("""COMPUTED_VALUE"""),"Sankey")</f>
        <v>Sankey</v>
      </c>
      <c r="E1833" t="str">
        <f>IFERROR(__xludf.DUMMYFUNCTION("""COMPUTED_VALUE"""),"Bishop")</f>
        <v>Bishop</v>
      </c>
      <c r="F1833">
        <f>IFERROR(__xludf.DUMMYFUNCTION("""COMPUTED_VALUE"""),10.95)</f>
        <v>10.95</v>
      </c>
    </row>
    <row r="1834">
      <c r="D1834" t="str">
        <f>IFERROR(__xludf.DUMMYFUNCTION("""COMPUTED_VALUE"""),"Santos")</f>
        <v>Santos</v>
      </c>
      <c r="E1834" t="str">
        <f>IFERROR(__xludf.DUMMYFUNCTION("""COMPUTED_VALUE"""),"Cairo")</f>
        <v>Cairo</v>
      </c>
      <c r="F1834">
        <f>IFERROR(__xludf.DUMMYFUNCTION("""COMPUTED_VALUE"""),11.4)</f>
        <v>11.4</v>
      </c>
    </row>
    <row r="1835">
      <c r="D1835" t="str">
        <f>IFERROR(__xludf.DUMMYFUNCTION("""COMPUTED_VALUE"""),"Sanu Sr.")</f>
        <v>Sanu Sr.</v>
      </c>
      <c r="E1835" t="str">
        <f>IFERROR(__xludf.DUMMYFUNCTION("""COMPUTED_VALUE"""),"Mohamed")</f>
        <v>Mohamed</v>
      </c>
      <c r="F1835">
        <f>IFERROR(__xludf.DUMMYFUNCTION("""COMPUTED_VALUE"""),11.549999999999999)</f>
        <v>11.55</v>
      </c>
    </row>
    <row r="1836">
      <c r="D1836" t="str">
        <f>IFERROR(__xludf.DUMMYFUNCTION("""COMPUTED_VALUE"""),"Savage")</f>
        <v>Savage</v>
      </c>
      <c r="E1836" t="str">
        <f>IFERROR(__xludf.DUMMYFUNCTION("""COMPUTED_VALUE"""),"Tom")</f>
        <v>Tom</v>
      </c>
      <c r="F1836">
        <f>IFERROR(__xludf.DUMMYFUNCTION("""COMPUTED_VALUE"""),9.75)</f>
        <v>9.75</v>
      </c>
    </row>
    <row r="1837">
      <c r="D1837" t="str">
        <f>IFERROR(__xludf.DUMMYFUNCTION("""COMPUTED_VALUE"""),"Saxton")</f>
        <v>Saxton</v>
      </c>
      <c r="E1837" t="str">
        <f>IFERROR(__xludf.DUMMYFUNCTION("""COMPUTED_VALUE"""),"Wes")</f>
        <v>Wes</v>
      </c>
      <c r="F1837">
        <f>IFERROR(__xludf.DUMMYFUNCTION("""COMPUTED_VALUE"""),9.299999999999999)</f>
        <v>9.3</v>
      </c>
    </row>
    <row r="1838">
      <c r="D1838" t="str">
        <f>IFERROR(__xludf.DUMMYFUNCTION("""COMPUTED_VALUE"""),"Scales")</f>
        <v>Scales</v>
      </c>
      <c r="E1838" t="str">
        <f>IFERROR(__xludf.DUMMYFUNCTION("""COMPUTED_VALUE"""),"Patrick")</f>
        <v>Patrick</v>
      </c>
      <c r="F1838">
        <f>IFERROR(__xludf.DUMMYFUNCTION("""COMPUTED_VALUE"""),6.0)</f>
        <v>6</v>
      </c>
    </row>
    <row r="1839">
      <c r="D1839" t="str">
        <f>IFERROR(__xludf.DUMMYFUNCTION("""COMPUTED_VALUE"""),"Scandrick")</f>
        <v>Scandrick</v>
      </c>
      <c r="E1839" t="str">
        <f>IFERROR(__xludf.DUMMYFUNCTION("""COMPUTED_VALUE"""),"Orlando")</f>
        <v>Orlando</v>
      </c>
      <c r="F1839">
        <f>IFERROR(__xludf.DUMMYFUNCTION("""COMPUTED_VALUE"""),13.049999999999999)</f>
        <v>13.05</v>
      </c>
    </row>
    <row r="1840">
      <c r="D1840" t="str">
        <f>IFERROR(__xludf.DUMMYFUNCTION("""COMPUTED_VALUE"""),"Schaub")</f>
        <v>Schaub</v>
      </c>
      <c r="E1840" t="str">
        <f>IFERROR(__xludf.DUMMYFUNCTION("""COMPUTED_VALUE"""),"Matt")</f>
        <v>Matt</v>
      </c>
      <c r="F1840">
        <f>IFERROR(__xludf.DUMMYFUNCTION("""COMPUTED_VALUE"""),10.5)</f>
        <v>10.5</v>
      </c>
    </row>
    <row r="1841">
      <c r="D1841" t="str">
        <f>IFERROR(__xludf.DUMMYFUNCTION("""COMPUTED_VALUE"""),"Scherff")</f>
        <v>Scherff</v>
      </c>
      <c r="E1841" t="str">
        <f>IFERROR(__xludf.DUMMYFUNCTION("""COMPUTED_VALUE"""),"Brandon")</f>
        <v>Brandon</v>
      </c>
      <c r="F1841">
        <f>IFERROR(__xludf.DUMMYFUNCTION("""COMPUTED_VALUE"""),11.7)</f>
        <v>11.7</v>
      </c>
    </row>
    <row r="1842">
      <c r="D1842" t="str">
        <f>IFERROR(__xludf.DUMMYFUNCTION("""COMPUTED_VALUE"""),"Schmidt")</f>
        <v>Schmidt</v>
      </c>
      <c r="E1842" t="str">
        <f>IFERROR(__xludf.DUMMYFUNCTION("""COMPUTED_VALUE"""),"Colton")</f>
        <v>Colton</v>
      </c>
      <c r="F1842">
        <f>IFERROR(__xludf.DUMMYFUNCTION("""COMPUTED_VALUE"""),11.549999999999999)</f>
        <v>11.55</v>
      </c>
    </row>
    <row r="1843">
      <c r="D1843" t="str">
        <f>IFERROR(__xludf.DUMMYFUNCTION("""COMPUTED_VALUE"""),"Schobert")</f>
        <v>Schobert</v>
      </c>
      <c r="E1843" t="str">
        <f>IFERROR(__xludf.DUMMYFUNCTION("""COMPUTED_VALUE"""),"Joe")</f>
        <v>Joe</v>
      </c>
      <c r="F1843">
        <f>IFERROR(__xludf.DUMMYFUNCTION("""COMPUTED_VALUE"""),9.75)</f>
        <v>9.75</v>
      </c>
    </row>
    <row r="1844">
      <c r="D1844" t="str">
        <f>IFERROR(__xludf.DUMMYFUNCTION("""COMPUTED_VALUE"""),"Schofield")</f>
        <v>Schofield</v>
      </c>
      <c r="E1844" t="str">
        <f>IFERROR(__xludf.DUMMYFUNCTION("""COMPUTED_VALUE"""),"Michael")</f>
        <v>Michael</v>
      </c>
      <c r="F1844">
        <f>IFERROR(__xludf.DUMMYFUNCTION("""COMPUTED_VALUE"""),10.2)</f>
        <v>10.2</v>
      </c>
    </row>
    <row r="1845">
      <c r="D1845" t="str">
        <f>IFERROR(__xludf.DUMMYFUNCTION("""COMPUTED_VALUE"""),"Schooley")</f>
        <v>Schooley</v>
      </c>
      <c r="E1845" t="str">
        <f>IFERROR(__xludf.DUMMYFUNCTION("""COMPUTED_VALUE"""),"Quinton")</f>
        <v>Quinton</v>
      </c>
      <c r="F1845">
        <f>IFERROR(__xludf.DUMMYFUNCTION("""COMPUTED_VALUE"""),8.85)</f>
        <v>8.85</v>
      </c>
    </row>
    <row r="1846">
      <c r="D1846" t="str">
        <f>IFERROR(__xludf.DUMMYFUNCTION("""COMPUTED_VALUE"""),"Schraeder")</f>
        <v>Schraeder</v>
      </c>
      <c r="E1846" t="str">
        <f>IFERROR(__xludf.DUMMYFUNCTION("""COMPUTED_VALUE"""),"Ryan")</f>
        <v>Ryan</v>
      </c>
      <c r="F1846">
        <f>IFERROR(__xludf.DUMMYFUNCTION("""COMPUTED_VALUE"""),12.75)</f>
        <v>12.75</v>
      </c>
    </row>
    <row r="1847">
      <c r="D1847" t="str">
        <f>IFERROR(__xludf.DUMMYFUNCTION("""COMPUTED_VALUE"""),"Schum")</f>
        <v>Schum</v>
      </c>
      <c r="E1847" t="str">
        <f>IFERROR(__xludf.DUMMYFUNCTION("""COMPUTED_VALUE"""),"Jacob")</f>
        <v>Jacob</v>
      </c>
      <c r="F1847">
        <f>IFERROR(__xludf.DUMMYFUNCTION("""COMPUTED_VALUE"""),11.7)</f>
        <v>11.7</v>
      </c>
    </row>
    <row r="1848">
      <c r="D1848" t="str">
        <f>IFERROR(__xludf.DUMMYFUNCTION("""COMPUTED_VALUE"""),"Schwartz")</f>
        <v>Schwartz</v>
      </c>
      <c r="E1848" t="str">
        <f>IFERROR(__xludf.DUMMYFUNCTION("""COMPUTED_VALUE"""),"Geoff")</f>
        <v>Geoff</v>
      </c>
      <c r="F1848">
        <f>IFERROR(__xludf.DUMMYFUNCTION("""COMPUTED_VALUE"""),12.15)</f>
        <v>12.15</v>
      </c>
    </row>
    <row r="1849">
      <c r="D1849" t="str">
        <f>IFERROR(__xludf.DUMMYFUNCTION("""COMPUTED_VALUE"""),"Schwartz")</f>
        <v>Schwartz</v>
      </c>
      <c r="E1849" t="str">
        <f>IFERROR(__xludf.DUMMYFUNCTION("""COMPUTED_VALUE"""),"Mitchell")</f>
        <v>Mitchell</v>
      </c>
      <c r="F1849">
        <f>IFERROR(__xludf.DUMMYFUNCTION("""COMPUTED_VALUE"""),12.9)</f>
        <v>12.9</v>
      </c>
    </row>
    <row r="1850">
      <c r="D1850" t="str">
        <f>IFERROR(__xludf.DUMMYFUNCTION("""COMPUTED_VALUE"""),"Schweitzer")</f>
        <v>Schweitzer</v>
      </c>
      <c r="E1850" t="str">
        <f>IFERROR(__xludf.DUMMYFUNCTION("""COMPUTED_VALUE"""),"Wes")</f>
        <v>Wes</v>
      </c>
      <c r="F1850">
        <f>IFERROR(__xludf.DUMMYFUNCTION("""COMPUTED_VALUE"""),9.6)</f>
        <v>9.6</v>
      </c>
    </row>
    <row r="1851">
      <c r="D1851" t="str">
        <f>IFERROR(__xludf.DUMMYFUNCTION("""COMPUTED_VALUE"""),"Schwenke")</f>
        <v>Schwenke</v>
      </c>
      <c r="E1851" t="str">
        <f>IFERROR(__xludf.DUMMYFUNCTION("""COMPUTED_VALUE"""),"Brian")</f>
        <v>Brian</v>
      </c>
      <c r="F1851">
        <f>IFERROR(__xludf.DUMMYFUNCTION("""COMPUTED_VALUE"""),10.65)</f>
        <v>10.65</v>
      </c>
    </row>
    <row r="1852">
      <c r="D1852" t="str">
        <f>IFERROR(__xludf.DUMMYFUNCTION("""COMPUTED_VALUE"""),"Scifres")</f>
        <v>Scifres</v>
      </c>
      <c r="E1852" t="str">
        <f>IFERROR(__xludf.DUMMYFUNCTION("""COMPUTED_VALUE"""),"Mike")</f>
        <v>Mike</v>
      </c>
      <c r="F1852">
        <f>IFERROR(__xludf.DUMMYFUNCTION("""COMPUTED_VALUE"""),11.549999999999999)</f>
        <v>11.55</v>
      </c>
    </row>
    <row r="1853">
      <c r="D1853" t="str">
        <f>IFERROR(__xludf.DUMMYFUNCTION("""COMPUTED_VALUE"""),"Scott")</f>
        <v>Scott</v>
      </c>
      <c r="E1853" t="str">
        <f>IFERROR(__xludf.DUMMYFUNCTION("""COMPUTED_VALUE"""),"Chris")</f>
        <v>Chris</v>
      </c>
      <c r="F1853">
        <f>IFERROR(__xludf.DUMMYFUNCTION("""COMPUTED_VALUE"""),10.5)</f>
        <v>10.5</v>
      </c>
    </row>
    <row r="1854">
      <c r="D1854" t="str">
        <f>IFERROR(__xludf.DUMMYFUNCTION("""COMPUTED_VALUE"""),"Scott")</f>
        <v>Scott</v>
      </c>
      <c r="E1854" t="str">
        <f>IFERROR(__xludf.DUMMYFUNCTION("""COMPUTED_VALUE"""),"Larry")</f>
        <v>Larry</v>
      </c>
      <c r="F1854">
        <f>IFERROR(__xludf.DUMMYFUNCTION("""COMPUTED_VALUE"""),8.85)</f>
        <v>8.85</v>
      </c>
    </row>
    <row r="1855">
      <c r="D1855" t="str">
        <f>IFERROR(__xludf.DUMMYFUNCTION("""COMPUTED_VALUE"""),"Scruggs")</f>
        <v>Scruggs</v>
      </c>
      <c r="E1855" t="str">
        <f>IFERROR(__xludf.DUMMYFUNCTION("""COMPUTED_VALUE"""),"Greg")</f>
        <v>Greg</v>
      </c>
      <c r="F1855">
        <f>IFERROR(__xludf.DUMMYFUNCTION("""COMPUTED_VALUE"""),9.0)</f>
        <v>9</v>
      </c>
    </row>
    <row r="1856">
      <c r="D1856" t="str">
        <f>IFERROR(__xludf.DUMMYFUNCTION("""COMPUTED_VALUE"""),"Seamster")</f>
        <v>Seamster</v>
      </c>
      <c r="E1856" t="str">
        <f>IFERROR(__xludf.DUMMYFUNCTION("""COMPUTED_VALUE"""),"Sammy")</f>
        <v>Sammy</v>
      </c>
      <c r="F1856">
        <f>IFERROR(__xludf.DUMMYFUNCTION("""COMPUTED_VALUE"""),9.75)</f>
        <v>9.75</v>
      </c>
    </row>
    <row r="1857">
      <c r="D1857" t="str">
        <f>IFERROR(__xludf.DUMMYFUNCTION("""COMPUTED_VALUE"""),"Searcy")</f>
        <v>Searcy</v>
      </c>
      <c r="E1857" t="str">
        <f>IFERROR(__xludf.DUMMYFUNCTION("""COMPUTED_VALUE"""),"DaNorris")</f>
        <v>DaNorris</v>
      </c>
      <c r="F1857">
        <f>IFERROR(__xludf.DUMMYFUNCTION("""COMPUTED_VALUE"""),12.75)</f>
        <v>12.75</v>
      </c>
    </row>
    <row r="1858">
      <c r="D1858" t="str">
        <f>IFERROR(__xludf.DUMMYFUNCTION("""COMPUTED_VALUE"""),"Seau")</f>
        <v>Seau</v>
      </c>
      <c r="E1858" t="str">
        <f>IFERROR(__xludf.DUMMYFUNCTION("""COMPUTED_VALUE"""),"Ian")</f>
        <v>Ian</v>
      </c>
      <c r="F1858">
        <f>IFERROR(__xludf.DUMMYFUNCTION("""COMPUTED_VALUE"""),8.85)</f>
        <v>8.85</v>
      </c>
    </row>
    <row r="1859">
      <c r="D1859" t="str">
        <f>IFERROR(__xludf.DUMMYFUNCTION("""COMPUTED_VALUE"""),"Seferian-Jenkins")</f>
        <v>Seferian-Jenkins</v>
      </c>
      <c r="E1859" t="str">
        <f>IFERROR(__xludf.DUMMYFUNCTION("""COMPUTED_VALUE"""),"Austin")</f>
        <v>Austin</v>
      </c>
      <c r="F1859">
        <f>IFERROR(__xludf.DUMMYFUNCTION("""COMPUTED_VALUE"""),11.7)</f>
        <v>11.7</v>
      </c>
    </row>
    <row r="1860">
      <c r="D1860" t="str">
        <f>IFERROR(__xludf.DUMMYFUNCTION("""COMPUTED_VALUE"""),"Sendejo")</f>
        <v>Sendejo</v>
      </c>
      <c r="E1860" t="str">
        <f>IFERROR(__xludf.DUMMYFUNCTION("""COMPUTED_VALUE"""),"Andrew")</f>
        <v>Andrew</v>
      </c>
      <c r="F1860">
        <f>IFERROR(__xludf.DUMMYFUNCTION("""COMPUTED_VALUE"""),11.7)</f>
        <v>11.7</v>
      </c>
    </row>
    <row r="1861">
      <c r="D1861" t="str">
        <f>IFERROR(__xludf.DUMMYFUNCTION("""COMPUTED_VALUE"""),"Sensabaugh")</f>
        <v>Sensabaugh</v>
      </c>
      <c r="E1861" t="str">
        <f>IFERROR(__xludf.DUMMYFUNCTION("""COMPUTED_VALUE"""),"Coty")</f>
        <v>Coty</v>
      </c>
      <c r="F1861">
        <f>IFERROR(__xludf.DUMMYFUNCTION("""COMPUTED_VALUE"""),10.65)</f>
        <v>10.65</v>
      </c>
    </row>
    <row r="1862">
      <c r="D1862" t="str">
        <f>IFERROR(__xludf.DUMMYFUNCTION("""COMPUTED_VALUE"""),"Seumalo")</f>
        <v>Seumalo</v>
      </c>
      <c r="E1862" t="str">
        <f>IFERROR(__xludf.DUMMYFUNCTION("""COMPUTED_VALUE"""),"Isaac")</f>
        <v>Isaac</v>
      </c>
      <c r="F1862">
        <f>IFERROR(__xludf.DUMMYFUNCTION("""COMPUTED_VALUE"""),10.35)</f>
        <v>10.35</v>
      </c>
    </row>
    <row r="1863">
      <c r="D1863" t="str">
        <f>IFERROR(__xludf.DUMMYFUNCTION("""COMPUTED_VALUE"""),"Severin")</f>
        <v>Severin</v>
      </c>
      <c r="E1863" t="str">
        <f>IFERROR(__xludf.DUMMYFUNCTION("""COMPUTED_VALUE"""),"Canaan")</f>
        <v>Canaan</v>
      </c>
      <c r="F1863">
        <f>IFERROR(__xludf.DUMMYFUNCTION("""COMPUTED_VALUE"""),9.299999999999999)</f>
        <v>9.3</v>
      </c>
    </row>
    <row r="1864">
      <c r="D1864" t="str">
        <f>IFERROR(__xludf.DUMMYFUNCTION("""COMPUTED_VALUE"""),"Seymour")</f>
        <v>Seymour</v>
      </c>
      <c r="E1864" t="str">
        <f>IFERROR(__xludf.DUMMYFUNCTION("""COMPUTED_VALUE"""),"Kevon")</f>
        <v>Kevon</v>
      </c>
      <c r="F1864">
        <f>IFERROR(__xludf.DUMMYFUNCTION("""COMPUTED_VALUE"""),9.45)</f>
        <v>9.45</v>
      </c>
    </row>
    <row r="1865">
      <c r="D1865" t="str">
        <f>IFERROR(__xludf.DUMMYFUNCTION("""COMPUTED_VALUE"""),"Seymour")</f>
        <v>Seymour</v>
      </c>
      <c r="E1865" t="str">
        <f>IFERROR(__xludf.DUMMYFUNCTION("""COMPUTED_VALUE"""),"Ryan")</f>
        <v>Ryan</v>
      </c>
      <c r="F1865">
        <f>IFERROR(__xludf.DUMMYFUNCTION("""COMPUTED_VALUE"""),10.2)</f>
        <v>10.2</v>
      </c>
    </row>
    <row r="1866">
      <c r="D1866" t="str">
        <f>IFERROR(__xludf.DUMMYFUNCTION("""COMPUTED_VALUE"""),"Sharp")</f>
        <v>Sharp</v>
      </c>
      <c r="E1866" t="str">
        <f>IFERROR(__xludf.DUMMYFUNCTION("""COMPUTED_VALUE"""),"Hunter")</f>
        <v>Hunter</v>
      </c>
      <c r="F1866">
        <f>IFERROR(__xludf.DUMMYFUNCTION("""COMPUTED_VALUE"""),9.45)</f>
        <v>9.45</v>
      </c>
    </row>
    <row r="1867">
      <c r="D1867" t="str">
        <f>IFERROR(__xludf.DUMMYFUNCTION("""COMPUTED_VALUE"""),"Sharpe")</f>
        <v>Sharpe</v>
      </c>
      <c r="E1867" t="str">
        <f>IFERROR(__xludf.DUMMYFUNCTION("""COMPUTED_VALUE"""),"Tajae")</f>
        <v>Tajae</v>
      </c>
      <c r="F1867">
        <f>IFERROR(__xludf.DUMMYFUNCTION("""COMPUTED_VALUE"""),10.35)</f>
        <v>10.35</v>
      </c>
    </row>
    <row r="1868">
      <c r="D1868" t="str">
        <f>IFERROR(__xludf.DUMMYFUNCTION("""COMPUTED_VALUE"""),"Shatley")</f>
        <v>Shatley</v>
      </c>
      <c r="E1868" t="str">
        <f>IFERROR(__xludf.DUMMYFUNCTION("""COMPUTED_VALUE"""),"Tyler")</f>
        <v>Tyler</v>
      </c>
      <c r="F1868">
        <f>IFERROR(__xludf.DUMMYFUNCTION("""COMPUTED_VALUE"""),9.9)</f>
        <v>9.9</v>
      </c>
    </row>
    <row r="1869">
      <c r="D1869" t="str">
        <f>IFERROR(__xludf.DUMMYFUNCTION("""COMPUTED_VALUE"""),"Shaw")</f>
        <v>Shaw</v>
      </c>
      <c r="E1869" t="str">
        <f>IFERROR(__xludf.DUMMYFUNCTION("""COMPUTED_VALUE"""),"Connor")</f>
        <v>Connor</v>
      </c>
      <c r="F1869">
        <f>IFERROR(__xludf.DUMMYFUNCTION("""COMPUTED_VALUE"""),8.85)</f>
        <v>8.85</v>
      </c>
    </row>
    <row r="1870">
      <c r="D1870" t="str">
        <f>IFERROR(__xludf.DUMMYFUNCTION("""COMPUTED_VALUE"""),"Shaw")</f>
        <v>Shaw</v>
      </c>
      <c r="E1870" t="str">
        <f>IFERROR(__xludf.DUMMYFUNCTION("""COMPUTED_VALUE"""),"Josh")</f>
        <v>Josh</v>
      </c>
      <c r="F1870">
        <f>IFERROR(__xludf.DUMMYFUNCTION("""COMPUTED_VALUE"""),10.5)</f>
        <v>10.5</v>
      </c>
    </row>
    <row r="1871">
      <c r="D1871" t="str">
        <f>IFERROR(__xludf.DUMMYFUNCTION("""COMPUTED_VALUE"""),"Shazier")</f>
        <v>Shazier</v>
      </c>
      <c r="E1871" t="str">
        <f>IFERROR(__xludf.DUMMYFUNCTION("""COMPUTED_VALUE"""),"Ryan")</f>
        <v>Ryan</v>
      </c>
      <c r="F1871">
        <f>IFERROR(__xludf.DUMMYFUNCTION("""COMPUTED_VALUE"""),11.85)</f>
        <v>11.85</v>
      </c>
    </row>
    <row r="1872">
      <c r="D1872" t="str">
        <f>IFERROR(__xludf.DUMMYFUNCTION("""COMPUTED_VALUE"""),"Shead")</f>
        <v>Shead</v>
      </c>
      <c r="E1872" t="str">
        <f>IFERROR(__xludf.DUMMYFUNCTION("""COMPUTED_VALUE"""),"DeShawn")</f>
        <v>DeShawn</v>
      </c>
      <c r="F1872">
        <f>IFERROR(__xludf.DUMMYFUNCTION("""COMPUTED_VALUE"""),10.049999999999999)</f>
        <v>10.05</v>
      </c>
    </row>
    <row r="1873">
      <c r="D1873" t="str">
        <f>IFERROR(__xludf.DUMMYFUNCTION("""COMPUTED_VALUE"""),"Sheard")</f>
        <v>Sheard</v>
      </c>
      <c r="E1873" t="str">
        <f>IFERROR(__xludf.DUMMYFUNCTION("""COMPUTED_VALUE"""),"Jabaal")</f>
        <v>Jabaal</v>
      </c>
      <c r="F1873">
        <f>IFERROR(__xludf.DUMMYFUNCTION("""COMPUTED_VALUE"""),13.2)</f>
        <v>13.2</v>
      </c>
    </row>
    <row r="1874">
      <c r="D1874" t="str">
        <f>IFERROR(__xludf.DUMMYFUNCTION("""COMPUTED_VALUE"""),"Shelby")</f>
        <v>Shelby</v>
      </c>
      <c r="E1874" t="str">
        <f>IFERROR(__xludf.DUMMYFUNCTION("""COMPUTED_VALUE"""),"Derrick")</f>
        <v>Derrick</v>
      </c>
      <c r="F1874">
        <f>IFERROR(__xludf.DUMMYFUNCTION("""COMPUTED_VALUE"""),10.799999999999999)</f>
        <v>10.8</v>
      </c>
    </row>
    <row r="1875">
      <c r="D1875" t="str">
        <f>IFERROR(__xludf.DUMMYFUNCTION("""COMPUTED_VALUE"""),"Shell")</f>
        <v>Shell</v>
      </c>
      <c r="E1875" t="str">
        <f>IFERROR(__xludf.DUMMYFUNCTION("""COMPUTED_VALUE"""),"Brandon")</f>
        <v>Brandon</v>
      </c>
      <c r="F1875">
        <f>IFERROR(__xludf.DUMMYFUNCTION("""COMPUTED_VALUE"""),9.9)</f>
        <v>9.9</v>
      </c>
    </row>
    <row r="1876">
      <c r="D1876" t="str">
        <f>IFERROR(__xludf.DUMMYFUNCTION("""COMPUTED_VALUE"""),"Shelton")</f>
        <v>Shelton</v>
      </c>
      <c r="E1876" t="str">
        <f>IFERROR(__xludf.DUMMYFUNCTION("""COMPUTED_VALUE"""),"Danny")</f>
        <v>Danny</v>
      </c>
      <c r="F1876">
        <f>IFERROR(__xludf.DUMMYFUNCTION("""COMPUTED_VALUE"""),10.799999999999999)</f>
        <v>10.8</v>
      </c>
    </row>
    <row r="1877">
      <c r="D1877" t="str">
        <f>IFERROR(__xludf.DUMMYFUNCTION("""COMPUTED_VALUE"""),"Shepard")</f>
        <v>Shepard</v>
      </c>
      <c r="E1877" t="str">
        <f>IFERROR(__xludf.DUMMYFUNCTION("""COMPUTED_VALUE"""),"Russell")</f>
        <v>Russell</v>
      </c>
      <c r="F1877">
        <f>IFERROR(__xludf.DUMMYFUNCTION("""COMPUTED_VALUE"""),9.75)</f>
        <v>9.75</v>
      </c>
    </row>
    <row r="1878">
      <c r="D1878" t="str">
        <f>IFERROR(__xludf.DUMMYFUNCTION("""COMPUTED_VALUE"""),"Shepard")</f>
        <v>Shepard</v>
      </c>
      <c r="E1878" t="str">
        <f>IFERROR(__xludf.DUMMYFUNCTION("""COMPUTED_VALUE"""),"Sterling")</f>
        <v>Sterling</v>
      </c>
      <c r="F1878">
        <f>IFERROR(__xludf.DUMMYFUNCTION("""COMPUTED_VALUE"""),11.1)</f>
        <v>11.1</v>
      </c>
    </row>
    <row r="1879">
      <c r="D1879" t="str">
        <f>IFERROR(__xludf.DUMMYFUNCTION("""COMPUTED_VALUE"""),"Shepherd")</f>
        <v>Shepherd</v>
      </c>
      <c r="E1879" t="str">
        <f>IFERROR(__xludf.DUMMYFUNCTION("""COMPUTED_VALUE"""),"Austin")</f>
        <v>Austin</v>
      </c>
      <c r="F1879">
        <f>IFERROR(__xludf.DUMMYFUNCTION("""COMPUTED_VALUE"""),9.45)</f>
        <v>9.45</v>
      </c>
    </row>
    <row r="1880">
      <c r="D1880" t="str">
        <f>IFERROR(__xludf.DUMMYFUNCTION("""COMPUTED_VALUE"""),"Shepherd")</f>
        <v>Shepherd</v>
      </c>
      <c r="E1880" t="str">
        <f>IFERROR(__xludf.DUMMYFUNCTION("""COMPUTED_VALUE"""),"JaCorey")</f>
        <v>JaCorey</v>
      </c>
      <c r="F1880">
        <f>IFERROR(__xludf.DUMMYFUNCTION("""COMPUTED_VALUE"""),9.6)</f>
        <v>9.6</v>
      </c>
    </row>
    <row r="1881">
      <c r="D1881" t="str">
        <f>IFERROR(__xludf.DUMMYFUNCTION("""COMPUTED_VALUE"""),"Sheppard")</f>
        <v>Sheppard</v>
      </c>
      <c r="E1881" t="str">
        <f>IFERROR(__xludf.DUMMYFUNCTION("""COMPUTED_VALUE"""),"Kelvin")</f>
        <v>Kelvin</v>
      </c>
      <c r="F1881">
        <f>IFERROR(__xludf.DUMMYFUNCTION("""COMPUTED_VALUE"""),10.2)</f>
        <v>10.2</v>
      </c>
    </row>
    <row r="1882">
      <c r="D1882" t="str">
        <f>IFERROR(__xludf.DUMMYFUNCTION("""COMPUTED_VALUE"""),"Sherels")</f>
        <v>Sherels</v>
      </c>
      <c r="E1882" t="str">
        <f>IFERROR(__xludf.DUMMYFUNCTION("""COMPUTED_VALUE"""),"Marcus")</f>
        <v>Marcus</v>
      </c>
      <c r="F1882">
        <f>IFERROR(__xludf.DUMMYFUNCTION("""COMPUTED_VALUE"""),10.35)</f>
        <v>10.35</v>
      </c>
    </row>
    <row r="1883">
      <c r="D1883" t="str">
        <f>IFERROR(__xludf.DUMMYFUNCTION("""COMPUTED_VALUE"""),"Sherman")</f>
        <v>Sherman</v>
      </c>
      <c r="E1883" t="str">
        <f>IFERROR(__xludf.DUMMYFUNCTION("""COMPUTED_VALUE"""),"Anthony")</f>
        <v>Anthony</v>
      </c>
      <c r="F1883">
        <f>IFERROR(__xludf.DUMMYFUNCTION("""COMPUTED_VALUE"""),12.15)</f>
        <v>12.15</v>
      </c>
    </row>
    <row r="1884">
      <c r="D1884" t="str">
        <f>IFERROR(__xludf.DUMMYFUNCTION("""COMPUTED_VALUE"""),"Sherman")</f>
        <v>Sherman</v>
      </c>
      <c r="E1884" t="str">
        <f>IFERROR(__xludf.DUMMYFUNCTION("""COMPUTED_VALUE"""),"Richard")</f>
        <v>Richard</v>
      </c>
      <c r="F1884">
        <f>IFERROR(__xludf.DUMMYFUNCTION("""COMPUTED_VALUE"""),13.799999999999999)</f>
        <v>13.8</v>
      </c>
    </row>
    <row r="1885">
      <c r="D1885" t="str">
        <f>IFERROR(__xludf.DUMMYFUNCTION("""COMPUTED_VALUE"""),"Shields")</f>
        <v>Shields</v>
      </c>
      <c r="E1885" t="str">
        <f>IFERROR(__xludf.DUMMYFUNCTION("""COMPUTED_VALUE"""),"Sam")</f>
        <v>Sam</v>
      </c>
      <c r="F1885">
        <f>IFERROR(__xludf.DUMMYFUNCTION("""COMPUTED_VALUE"""),12.9)</f>
        <v>12.9</v>
      </c>
    </row>
    <row r="1886">
      <c r="D1886" t="str">
        <f>IFERROR(__xludf.DUMMYFUNCTION("""COMPUTED_VALUE"""),"Shipley")</f>
        <v>Shipley</v>
      </c>
      <c r="E1886" t="str">
        <f>IFERROR(__xludf.DUMMYFUNCTION("""COMPUTED_VALUE"""),"AQ")</f>
        <v>AQ</v>
      </c>
      <c r="F1886">
        <f>IFERROR(__xludf.DUMMYFUNCTION("""COMPUTED_VALUE"""),10.65)</f>
        <v>10.65</v>
      </c>
    </row>
    <row r="1887">
      <c r="D1887" t="str">
        <f>IFERROR(__xludf.DUMMYFUNCTION("""COMPUTED_VALUE"""),"Shittu")</f>
        <v>Shittu</v>
      </c>
      <c r="E1887" t="str">
        <f>IFERROR(__xludf.DUMMYFUNCTION("""COMPUTED_VALUE"""),"Aziz")</f>
        <v>Aziz</v>
      </c>
      <c r="F1887">
        <f>IFERROR(__xludf.DUMMYFUNCTION("""COMPUTED_VALUE"""),9.0)</f>
        <v>9</v>
      </c>
    </row>
    <row r="1888">
      <c r="D1888" t="str">
        <f>IFERROR(__xludf.DUMMYFUNCTION("""COMPUTED_VALUE"""),"Short")</f>
        <v>Short</v>
      </c>
      <c r="E1888" t="str">
        <f>IFERROR(__xludf.DUMMYFUNCTION("""COMPUTED_VALUE"""),"Kawann")</f>
        <v>Kawann</v>
      </c>
      <c r="F1888">
        <f>IFERROR(__xludf.DUMMYFUNCTION("""COMPUTED_VALUE"""),13.799999999999999)</f>
        <v>13.8</v>
      </c>
    </row>
    <row r="1889">
      <c r="D1889" t="str">
        <f>IFERROR(__xludf.DUMMYFUNCTION("""COMPUTED_VALUE"""),"Shorts III")</f>
        <v>Shorts III</v>
      </c>
      <c r="E1889" t="str">
        <f>IFERROR(__xludf.DUMMYFUNCTION("""COMPUTED_VALUE"""),"Cecil")</f>
        <v>Cecil</v>
      </c>
      <c r="F1889">
        <f>IFERROR(__xludf.DUMMYFUNCTION("""COMPUTED_VALUE"""),10.95)</f>
        <v>10.95</v>
      </c>
    </row>
    <row r="1890">
      <c r="D1890" t="str">
        <f>IFERROR(__xludf.DUMMYFUNCTION("""COMPUTED_VALUE"""),"Showers")</f>
        <v>Showers</v>
      </c>
      <c r="E1890" t="str">
        <f>IFERROR(__xludf.DUMMYFUNCTION("""COMPUTED_VALUE"""),"Jameill")</f>
        <v>Jameill</v>
      </c>
      <c r="F1890">
        <f>IFERROR(__xludf.DUMMYFUNCTION("""COMPUTED_VALUE"""),8.4)</f>
        <v>8.4</v>
      </c>
    </row>
    <row r="1891">
      <c r="D1891" t="str">
        <f>IFERROR(__xludf.DUMMYFUNCTION("""COMPUTED_VALUE"""),"Showers")</f>
        <v>Showers</v>
      </c>
      <c r="E1891" t="str">
        <f>IFERROR(__xludf.DUMMYFUNCTION("""COMPUTED_VALUE"""),"Valdez")</f>
        <v>Valdez</v>
      </c>
      <c r="F1891">
        <f>IFERROR(__xludf.DUMMYFUNCTION("""COMPUTED_VALUE"""),9.0)</f>
        <v>9</v>
      </c>
    </row>
    <row r="1892">
      <c r="D1892" t="str">
        <f>IFERROR(__xludf.DUMMYFUNCTION("""COMPUTED_VALUE"""),"Siemian")</f>
        <v>Siemian</v>
      </c>
      <c r="E1892" t="str">
        <f>IFERROR(__xludf.DUMMYFUNCTION("""COMPUTED_VALUE"""),"Trevor")</f>
        <v>Trevor</v>
      </c>
      <c r="F1892">
        <f>IFERROR(__xludf.DUMMYFUNCTION("""COMPUTED_VALUE"""),9.0)</f>
        <v>9</v>
      </c>
    </row>
    <row r="1893">
      <c r="D1893" t="str">
        <f>IFERROR(__xludf.DUMMYFUNCTION("""COMPUTED_VALUE"""),"Sigler")</f>
        <v>Sigler</v>
      </c>
      <c r="E1893" t="str">
        <f>IFERROR(__xludf.DUMMYFUNCTION("""COMPUTED_VALUE"""),"Devaunte")</f>
        <v>Devaunte</v>
      </c>
      <c r="F1893">
        <f>IFERROR(__xludf.DUMMYFUNCTION("""COMPUTED_VALUE"""),8.7)</f>
        <v>8.7</v>
      </c>
    </row>
    <row r="1894">
      <c r="D1894" t="str">
        <f>IFERROR(__xludf.DUMMYFUNCTION("""COMPUTED_VALUE"""),"Silberman")</f>
        <v>Silberman</v>
      </c>
      <c r="E1894" t="str">
        <f>IFERROR(__xludf.DUMMYFUNCTION("""COMPUTED_VALUE"""),"Ian")</f>
        <v>Ian</v>
      </c>
      <c r="F1894">
        <f>IFERROR(__xludf.DUMMYFUNCTION("""COMPUTED_VALUE"""),10.049999999999999)</f>
        <v>10.05</v>
      </c>
    </row>
    <row r="1895">
      <c r="D1895" t="str">
        <f>IFERROR(__xludf.DUMMYFUNCTION("""COMPUTED_VALUE"""),"Siliga")</f>
        <v>Siliga</v>
      </c>
      <c r="E1895" t="str">
        <f>IFERROR(__xludf.DUMMYFUNCTION("""COMPUTED_VALUE"""),"Sealver")</f>
        <v>Sealver</v>
      </c>
      <c r="F1895">
        <f>IFERROR(__xludf.DUMMYFUNCTION("""COMPUTED_VALUE"""),10.95)</f>
        <v>10.95</v>
      </c>
    </row>
    <row r="1896">
      <c r="D1896" t="str">
        <f>IFERROR(__xludf.DUMMYFUNCTION("""COMPUTED_VALUE"""),"Simmons")</f>
        <v>Simmons</v>
      </c>
      <c r="E1896" t="str">
        <f>IFERROR(__xludf.DUMMYFUNCTION("""COMPUTED_VALUE"""),"Justin")</f>
        <v>Justin</v>
      </c>
      <c r="F1896">
        <f>IFERROR(__xludf.DUMMYFUNCTION("""COMPUTED_VALUE"""),10.5)</f>
        <v>10.5</v>
      </c>
    </row>
    <row r="1897">
      <c r="D1897" t="str">
        <f>IFERROR(__xludf.DUMMYFUNCTION("""COMPUTED_VALUE"""),"Simms")</f>
        <v>Simms</v>
      </c>
      <c r="E1897" t="str">
        <f>IFERROR(__xludf.DUMMYFUNCTION("""COMPUTED_VALUE"""),"Matt")</f>
        <v>Matt</v>
      </c>
      <c r="F1897">
        <f>IFERROR(__xludf.DUMMYFUNCTION("""COMPUTED_VALUE"""),9.15)</f>
        <v>9.15</v>
      </c>
    </row>
    <row r="1898">
      <c r="D1898" t="str">
        <f>IFERROR(__xludf.DUMMYFUNCTION("""COMPUTED_VALUE"""),"Simon")</f>
        <v>Simon</v>
      </c>
      <c r="E1898" t="str">
        <f>IFERROR(__xludf.DUMMYFUNCTION("""COMPUTED_VALUE"""),"Deon")</f>
        <v>Deon</v>
      </c>
      <c r="F1898">
        <f>IFERROR(__xludf.DUMMYFUNCTION("""COMPUTED_VALUE"""),8.7)</f>
        <v>8.7</v>
      </c>
    </row>
    <row r="1899">
      <c r="D1899" t="str">
        <f>IFERROR(__xludf.DUMMYFUNCTION("""COMPUTED_VALUE"""),"Simon")</f>
        <v>Simon</v>
      </c>
      <c r="E1899" t="str">
        <f>IFERROR(__xludf.DUMMYFUNCTION("""COMPUTED_VALUE"""),"John")</f>
        <v>John</v>
      </c>
      <c r="F1899">
        <f>IFERROR(__xludf.DUMMYFUNCTION("""COMPUTED_VALUE"""),11.1)</f>
        <v>11.1</v>
      </c>
    </row>
    <row r="1900">
      <c r="D1900" t="str">
        <f>IFERROR(__xludf.DUMMYFUNCTION("""COMPUTED_VALUE"""),"Simon")</f>
        <v>Simon</v>
      </c>
      <c r="E1900" t="str">
        <f>IFERROR(__xludf.DUMMYFUNCTION("""COMPUTED_VALUE"""),"Tharold")</f>
        <v>Tharold</v>
      </c>
      <c r="F1900">
        <f>IFERROR(__xludf.DUMMYFUNCTION("""COMPUTED_VALUE"""),10.65)</f>
        <v>10.65</v>
      </c>
    </row>
    <row r="1901">
      <c r="D1901" t="str">
        <f>IFERROR(__xludf.DUMMYFUNCTION("""COMPUTED_VALUE"""),"Simonson")</f>
        <v>Simonson</v>
      </c>
      <c r="E1901" t="str">
        <f>IFERROR(__xludf.DUMMYFUNCTION("""COMPUTED_VALUE"""),"Scott")</f>
        <v>Scott</v>
      </c>
      <c r="F1901">
        <f>IFERROR(__xludf.DUMMYFUNCTION("""COMPUTED_VALUE"""),9.6)</f>
        <v>9.6</v>
      </c>
    </row>
    <row r="1902">
      <c r="D1902" t="str">
        <f>IFERROR(__xludf.DUMMYFUNCTION("""COMPUTED_VALUE"""),"Simpson")</f>
        <v>Simpson</v>
      </c>
      <c r="E1902" t="str">
        <f>IFERROR(__xludf.DUMMYFUNCTION("""COMPUTED_VALUE"""),"Jerome")</f>
        <v>Jerome</v>
      </c>
      <c r="F1902">
        <f>IFERROR(__xludf.DUMMYFUNCTION("""COMPUTED_VALUE"""),10.2)</f>
        <v>10.2</v>
      </c>
    </row>
    <row r="1903">
      <c r="D1903" t="str">
        <f>IFERROR(__xludf.DUMMYFUNCTION("""COMPUTED_VALUE"""),"Sims")</f>
        <v>Sims</v>
      </c>
      <c r="E1903" t="str">
        <f>IFERROR(__xludf.DUMMYFUNCTION("""COMPUTED_VALUE"""),"Dion")</f>
        <v>Dion</v>
      </c>
      <c r="F1903">
        <f>IFERROR(__xludf.DUMMYFUNCTION("""COMPUTED_VALUE"""),11.25)</f>
        <v>11.25</v>
      </c>
    </row>
    <row r="1904">
      <c r="D1904" t="str">
        <f>IFERROR(__xludf.DUMMYFUNCTION("""COMPUTED_VALUE"""),"Sims")</f>
        <v>Sims</v>
      </c>
      <c r="E1904" t="str">
        <f>IFERROR(__xludf.DUMMYFUNCTION("""COMPUTED_VALUE"""),"Eugene")</f>
        <v>Eugene</v>
      </c>
      <c r="F1904">
        <f>IFERROR(__xludf.DUMMYFUNCTION("""COMPUTED_VALUE"""),10.35)</f>
        <v>10.35</v>
      </c>
    </row>
    <row r="1905">
      <c r="D1905" t="str">
        <f>IFERROR(__xludf.DUMMYFUNCTION("""COMPUTED_VALUE"""),"Sims")</f>
        <v>Sims</v>
      </c>
      <c r="E1905" t="str">
        <f>IFERROR(__xludf.DUMMYFUNCTION("""COMPUTED_VALUE"""),"LeShaun")</f>
        <v>LeShaun</v>
      </c>
      <c r="F1905">
        <f>IFERROR(__xludf.DUMMYFUNCTION("""COMPUTED_VALUE"""),9.6)</f>
        <v>9.6</v>
      </c>
    </row>
    <row r="1906">
      <c r="D1906" t="str">
        <f>IFERROR(__xludf.DUMMYFUNCTION("""COMPUTED_VALUE"""),"Sims")</f>
        <v>Sims</v>
      </c>
      <c r="E1906" t="str">
        <f>IFERROR(__xludf.DUMMYFUNCTION("""COMPUTED_VALUE"""),"Pat")</f>
        <v>Pat</v>
      </c>
      <c r="F1906">
        <f>IFERROR(__xludf.DUMMYFUNCTION("""COMPUTED_VALUE"""),10.799999999999999)</f>
        <v>10.8</v>
      </c>
    </row>
    <row r="1907">
      <c r="D1907" t="str">
        <f>IFERROR(__xludf.DUMMYFUNCTION("""COMPUTED_VALUE"""),"Sims III")</f>
        <v>Sims III</v>
      </c>
      <c r="E1907" t="str">
        <f>IFERROR(__xludf.DUMMYFUNCTION("""COMPUTED_VALUE"""),"Charles")</f>
        <v>Charles</v>
      </c>
      <c r="F1907">
        <f>IFERROR(__xludf.DUMMYFUNCTION("""COMPUTED_VALUE"""),12.299999999999999)</f>
        <v>12.3</v>
      </c>
    </row>
    <row r="1908">
      <c r="D1908" t="str">
        <f>IFERROR(__xludf.DUMMYFUNCTION("""COMPUTED_VALUE"""),"Sirles")</f>
        <v>Sirles</v>
      </c>
      <c r="E1908" t="str">
        <f>IFERROR(__xludf.DUMMYFUNCTION("""COMPUTED_VALUE"""),"Jeremiah")</f>
        <v>Jeremiah</v>
      </c>
      <c r="F1908">
        <f>IFERROR(__xludf.DUMMYFUNCTION("""COMPUTED_VALUE"""),9.299999999999999)</f>
        <v>9.3</v>
      </c>
    </row>
    <row r="1909">
      <c r="D1909" t="str">
        <f>IFERROR(__xludf.DUMMYFUNCTION("""COMPUTED_VALUE"""),"Sitton")</f>
        <v>Sitton</v>
      </c>
      <c r="E1909" t="str">
        <f>IFERROR(__xludf.DUMMYFUNCTION("""COMPUTED_VALUE"""),"Josh")</f>
        <v>Josh</v>
      </c>
      <c r="F1909">
        <f>IFERROR(__xludf.DUMMYFUNCTION("""COMPUTED_VALUE"""),13.65)</f>
        <v>13.65</v>
      </c>
    </row>
    <row r="1910">
      <c r="D1910" t="str">
        <f>IFERROR(__xludf.DUMMYFUNCTION("""COMPUTED_VALUE"""),"Skinner")</f>
        <v>Skinner</v>
      </c>
      <c r="E1910" t="str">
        <f>IFERROR(__xludf.DUMMYFUNCTION("""COMPUTED_VALUE"""),"Deontae")</f>
        <v>Deontae</v>
      </c>
      <c r="F1910">
        <f>IFERROR(__xludf.DUMMYFUNCTION("""COMPUTED_VALUE"""),9.15)</f>
        <v>9.15</v>
      </c>
    </row>
    <row r="1911">
      <c r="D1911" t="str">
        <f>IFERROR(__xludf.DUMMYFUNCTION("""COMPUTED_VALUE"""),"Skov")</f>
        <v>Skov</v>
      </c>
      <c r="E1911" t="str">
        <f>IFERROR(__xludf.DUMMYFUNCTION("""COMPUTED_VALUE"""),"Shayne")</f>
        <v>Shayne</v>
      </c>
      <c r="F1911">
        <f>IFERROR(__xludf.DUMMYFUNCTION("""COMPUTED_VALUE"""),9.15)</f>
        <v>9.15</v>
      </c>
    </row>
    <row r="1912">
      <c r="D1912" t="str">
        <f>IFERROR(__xludf.DUMMYFUNCTION("""COMPUTED_VALUE"""),"Skrine")</f>
        <v>Skrine</v>
      </c>
      <c r="E1912" t="str">
        <f>IFERROR(__xludf.DUMMYFUNCTION("""COMPUTED_VALUE"""),"Buster")</f>
        <v>Buster</v>
      </c>
      <c r="F1912">
        <f>IFERROR(__xludf.DUMMYFUNCTION("""COMPUTED_VALUE"""),11.25)</f>
        <v>11.25</v>
      </c>
    </row>
    <row r="1913">
      <c r="D1913" t="str">
        <f>IFERROR(__xludf.DUMMYFUNCTION("""COMPUTED_VALUE"""),"Skuta")</f>
        <v>Skuta</v>
      </c>
      <c r="E1913" t="str">
        <f>IFERROR(__xludf.DUMMYFUNCTION("""COMPUTED_VALUE"""),"Dan")</f>
        <v>Dan</v>
      </c>
      <c r="F1913">
        <f>IFERROR(__xludf.DUMMYFUNCTION("""COMPUTED_VALUE"""),11.85)</f>
        <v>11.85</v>
      </c>
    </row>
    <row r="1914">
      <c r="D1914" t="str">
        <f>IFERROR(__xludf.DUMMYFUNCTION("""COMPUTED_VALUE"""),"Slade")</f>
        <v>Slade</v>
      </c>
      <c r="E1914" t="str">
        <f>IFERROR(__xludf.DUMMYFUNCTION("""COMPUTED_VALUE"""),"Chad")</f>
        <v>Chad</v>
      </c>
      <c r="F1914">
        <f>IFERROR(__xludf.DUMMYFUNCTION("""COMPUTED_VALUE"""),9.45)</f>
        <v>9.45</v>
      </c>
    </row>
    <row r="1915">
      <c r="D1915" t="str">
        <f>IFERROR(__xludf.DUMMYFUNCTION("""COMPUTED_VALUE"""),"Slater")</f>
        <v>Slater</v>
      </c>
      <c r="E1915" t="str">
        <f>IFERROR(__xludf.DUMMYFUNCTION("""COMPUTED_VALUE"""),"Matthew")</f>
        <v>Matthew</v>
      </c>
      <c r="F1915">
        <f>IFERROR(__xludf.DUMMYFUNCTION("""COMPUTED_VALUE"""),10.35)</f>
        <v>10.35</v>
      </c>
    </row>
    <row r="1916">
      <c r="D1916" t="str">
        <f>IFERROR(__xludf.DUMMYFUNCTION("""COMPUTED_VALUE"""),"Slauson")</f>
        <v>Slauson</v>
      </c>
      <c r="E1916" t="str">
        <f>IFERROR(__xludf.DUMMYFUNCTION("""COMPUTED_VALUE"""),"Matt")</f>
        <v>Matt</v>
      </c>
      <c r="F1916">
        <f>IFERROR(__xludf.DUMMYFUNCTION("""COMPUTED_VALUE"""),12.6)</f>
        <v>12.6</v>
      </c>
    </row>
    <row r="1917">
      <c r="D1917" t="str">
        <f>IFERROR(__xludf.DUMMYFUNCTION("""COMPUTED_VALUE"""),"Slay")</f>
        <v>Slay</v>
      </c>
      <c r="E1917" t="str">
        <f>IFERROR(__xludf.DUMMYFUNCTION("""COMPUTED_VALUE"""),"Darius")</f>
        <v>Darius</v>
      </c>
      <c r="F1917">
        <f>IFERROR(__xludf.DUMMYFUNCTION("""COMPUTED_VALUE"""),13.5)</f>
        <v>13.5</v>
      </c>
    </row>
    <row r="1918">
      <c r="D1918" t="str">
        <f>IFERROR(__xludf.DUMMYFUNCTION("""COMPUTED_VALUE"""),"Smallwood")</f>
        <v>Smallwood</v>
      </c>
      <c r="E1918" t="str">
        <f>IFERROR(__xludf.DUMMYFUNCTION("""COMPUTED_VALUE"""),"Wendell")</f>
        <v>Wendell</v>
      </c>
      <c r="F1918">
        <f>IFERROR(__xludf.DUMMYFUNCTION("""COMPUTED_VALUE"""),10.5)</f>
        <v>10.5</v>
      </c>
    </row>
    <row r="1919">
      <c r="D1919" t="str">
        <f>IFERROR(__xludf.DUMMYFUNCTION("""COMPUTED_VALUE"""),"Smelter")</f>
        <v>Smelter</v>
      </c>
      <c r="E1919" t="str">
        <f>IFERROR(__xludf.DUMMYFUNCTION("""COMPUTED_VALUE"""),"DeAndre")</f>
        <v>DeAndre</v>
      </c>
      <c r="F1919">
        <f>IFERROR(__xludf.DUMMYFUNCTION("""COMPUTED_VALUE"""),9.6)</f>
        <v>9.6</v>
      </c>
    </row>
    <row r="1920">
      <c r="D1920" t="str">
        <f>IFERROR(__xludf.DUMMYFUNCTION("""COMPUTED_VALUE"""),"Smith")</f>
        <v>Smith</v>
      </c>
      <c r="E1920" t="str">
        <f>IFERROR(__xludf.DUMMYFUNCTION("""COMPUTED_VALUE"""),"Aldon")</f>
        <v>Aldon</v>
      </c>
      <c r="F1920">
        <f>IFERROR(__xludf.DUMMYFUNCTION("""COMPUTED_VALUE"""),12.75)</f>
        <v>12.75</v>
      </c>
    </row>
    <row r="1921">
      <c r="D1921" t="str">
        <f>IFERROR(__xludf.DUMMYFUNCTION("""COMPUTED_VALUE"""),"Smith")</f>
        <v>Smith</v>
      </c>
      <c r="E1921" t="str">
        <f>IFERROR(__xludf.DUMMYFUNCTION("""COMPUTED_VALUE"""),"Alex")</f>
        <v>Alex</v>
      </c>
      <c r="F1921">
        <f>IFERROR(__xludf.DUMMYFUNCTION("""COMPUTED_VALUE"""),12.299999999999999)</f>
        <v>12.3</v>
      </c>
    </row>
    <row r="1922">
      <c r="D1922" t="str">
        <f>IFERROR(__xludf.DUMMYFUNCTION("""COMPUTED_VALUE"""),"Smith")</f>
        <v>Smith</v>
      </c>
      <c r="E1922" t="str">
        <f>IFERROR(__xludf.DUMMYFUNCTION("""COMPUTED_VALUE"""),"Andre")</f>
        <v>Andre</v>
      </c>
      <c r="F1922">
        <f>IFERROR(__xludf.DUMMYFUNCTION("""COMPUTED_VALUE"""),11.549999999999999)</f>
        <v>11.55</v>
      </c>
    </row>
    <row r="1923">
      <c r="D1923" t="str">
        <f>IFERROR(__xludf.DUMMYFUNCTION("""COMPUTED_VALUE"""),"Smith")</f>
        <v>Smith</v>
      </c>
      <c r="E1923" t="str">
        <f>IFERROR(__xludf.DUMMYFUNCTION("""COMPUTED_VALUE"""),"Chris")</f>
        <v>Chris</v>
      </c>
      <c r="F1923">
        <f>IFERROR(__xludf.DUMMYFUNCTION("""COMPUTED_VALUE"""),10.049999999999999)</f>
        <v>10.05</v>
      </c>
    </row>
    <row r="1924">
      <c r="D1924" t="str">
        <f>IFERROR(__xludf.DUMMYFUNCTION("""COMPUTED_VALUE"""),"Smith")</f>
        <v>Smith</v>
      </c>
      <c r="E1924" t="str">
        <f>IFERROR(__xludf.DUMMYFUNCTION("""COMPUTED_VALUE"""),"Daryl")</f>
        <v>Daryl</v>
      </c>
      <c r="F1924">
        <f>IFERROR(__xludf.DUMMYFUNCTION("""COMPUTED_VALUE"""),12.299999999999999)</f>
        <v>12.3</v>
      </c>
    </row>
    <row r="1925">
      <c r="D1925" t="str">
        <f>IFERROR(__xludf.DUMMYFUNCTION("""COMPUTED_VALUE"""),"Smith")</f>
        <v>Smith</v>
      </c>
      <c r="E1925" t="str">
        <f>IFERROR(__xludf.DUMMYFUNCTION("""COMPUTED_VALUE"""),"Derron")</f>
        <v>Derron</v>
      </c>
      <c r="F1925">
        <f>IFERROR(__xludf.DUMMYFUNCTION("""COMPUTED_VALUE"""),10.049999999999999)</f>
        <v>10.05</v>
      </c>
    </row>
    <row r="1926">
      <c r="D1926" t="str">
        <f>IFERROR(__xludf.DUMMYFUNCTION("""COMPUTED_VALUE"""),"Smith")</f>
        <v>Smith</v>
      </c>
      <c r="E1926" t="str">
        <f>IFERROR(__xludf.DUMMYFUNCTION("""COMPUTED_VALUE"""),"Devin")</f>
        <v>Devin</v>
      </c>
      <c r="F1926">
        <f>IFERROR(__xludf.DUMMYFUNCTION("""COMPUTED_VALUE"""),10.5)</f>
        <v>10.5</v>
      </c>
    </row>
    <row r="1927">
      <c r="D1927" t="str">
        <f>IFERROR(__xludf.DUMMYFUNCTION("""COMPUTED_VALUE"""),"Smith")</f>
        <v>Smith</v>
      </c>
      <c r="E1927" t="str">
        <f>IFERROR(__xludf.DUMMYFUNCTION("""COMPUTED_VALUE"""),"DJoun")</f>
        <v>DJoun</v>
      </c>
      <c r="F1927">
        <f>IFERROR(__xludf.DUMMYFUNCTION("""COMPUTED_VALUE"""),10.35)</f>
        <v>10.35</v>
      </c>
    </row>
    <row r="1928">
      <c r="D1928" t="str">
        <f>IFERROR(__xludf.DUMMYFUNCTION("""COMPUTED_VALUE"""),"Smith")</f>
        <v>Smith</v>
      </c>
      <c r="E1928" t="str">
        <f>IFERROR(__xludf.DUMMYFUNCTION("""COMPUTED_VALUE"""),"Donovan")</f>
        <v>Donovan</v>
      </c>
      <c r="F1928">
        <f>IFERROR(__xludf.DUMMYFUNCTION("""COMPUTED_VALUE"""),11.549999999999999)</f>
        <v>11.55</v>
      </c>
    </row>
    <row r="1929">
      <c r="D1929" t="str">
        <f>IFERROR(__xludf.DUMMYFUNCTION("""COMPUTED_VALUE"""),"Smith")</f>
        <v>Smith</v>
      </c>
      <c r="E1929" t="str">
        <f>IFERROR(__xludf.DUMMYFUNCTION("""COMPUTED_VALUE"""),"Dreamius")</f>
        <v>Dreamius</v>
      </c>
      <c r="F1929">
        <f>IFERROR(__xludf.DUMMYFUNCTION("""COMPUTED_VALUE"""),9.15)</f>
        <v>9.15</v>
      </c>
    </row>
    <row r="1930">
      <c r="D1930" t="str">
        <f>IFERROR(__xludf.DUMMYFUNCTION("""COMPUTED_VALUE"""),"Smith")</f>
        <v>Smith</v>
      </c>
      <c r="E1930" t="str">
        <f>IFERROR(__xludf.DUMMYFUNCTION("""COMPUTED_VALUE"""),"Evan")</f>
        <v>Evan</v>
      </c>
      <c r="F1930">
        <f>IFERROR(__xludf.DUMMYFUNCTION("""COMPUTED_VALUE"""),11.25)</f>
        <v>11.25</v>
      </c>
    </row>
    <row r="1931">
      <c r="D1931" t="str">
        <f>IFERROR(__xludf.DUMMYFUNCTION("""COMPUTED_VALUE"""),"Smith")</f>
        <v>Smith</v>
      </c>
      <c r="E1931" t="str">
        <f>IFERROR(__xludf.DUMMYFUNCTION("""COMPUTED_VALUE"""),"Geno")</f>
        <v>Geno</v>
      </c>
      <c r="F1931">
        <f>IFERROR(__xludf.DUMMYFUNCTION("""COMPUTED_VALUE"""),10.95)</f>
        <v>10.95</v>
      </c>
    </row>
    <row r="1932">
      <c r="D1932" t="str">
        <f>IFERROR(__xludf.DUMMYFUNCTION("""COMPUTED_VALUE"""),"Smith")</f>
        <v>Smith</v>
      </c>
      <c r="E1932" t="str">
        <f>IFERROR(__xludf.DUMMYFUNCTION("""COMPUTED_VALUE"""),"Harrison")</f>
        <v>Harrison</v>
      </c>
      <c r="F1932">
        <f>IFERROR(__xludf.DUMMYFUNCTION("""COMPUTED_VALUE"""),14.1)</f>
        <v>14.1</v>
      </c>
    </row>
    <row r="1933">
      <c r="D1933" t="str">
        <f>IFERROR(__xludf.DUMMYFUNCTION("""COMPUTED_VALUE"""),"Smith")</f>
        <v>Smith</v>
      </c>
      <c r="E1933" t="str">
        <f>IFERROR(__xludf.DUMMYFUNCTION("""COMPUTED_VALUE"""),"Jacquies")</f>
        <v>Jacquies</v>
      </c>
      <c r="F1933">
        <f>IFERROR(__xludf.DUMMYFUNCTION("""COMPUTED_VALUE"""),11.1)</f>
        <v>11.1</v>
      </c>
    </row>
    <row r="1934">
      <c r="D1934" t="str">
        <f>IFERROR(__xludf.DUMMYFUNCTION("""COMPUTED_VALUE"""),"Smith")</f>
        <v>Smith</v>
      </c>
      <c r="E1934" t="str">
        <f>IFERROR(__xludf.DUMMYFUNCTION("""COMPUTED_VALUE"""),"Jaylon")</f>
        <v>Jaylon</v>
      </c>
      <c r="F1934">
        <f>IFERROR(__xludf.DUMMYFUNCTION("""COMPUTED_VALUE"""),11.4)</f>
        <v>11.4</v>
      </c>
    </row>
    <row r="1935">
      <c r="D1935" t="str">
        <f>IFERROR(__xludf.DUMMYFUNCTION("""COMPUTED_VALUE"""),"Smith")</f>
        <v>Smith</v>
      </c>
      <c r="E1935" t="str">
        <f>IFERROR(__xludf.DUMMYFUNCTION("""COMPUTED_VALUE"""),"Jimmy")</f>
        <v>Jimmy</v>
      </c>
      <c r="F1935">
        <f>IFERROR(__xludf.DUMMYFUNCTION("""COMPUTED_VALUE"""),12.15)</f>
        <v>12.15</v>
      </c>
    </row>
    <row r="1936">
      <c r="D1936" t="str">
        <f>IFERROR(__xludf.DUMMYFUNCTION("""COMPUTED_VALUE"""),"Smith")</f>
        <v>Smith</v>
      </c>
      <c r="E1936" t="str">
        <f>IFERROR(__xludf.DUMMYFUNCTION("""COMPUTED_VALUE"""),"Keith")</f>
        <v>Keith</v>
      </c>
      <c r="F1936">
        <f>IFERROR(__xludf.DUMMYFUNCTION("""COMPUTED_VALUE"""),8.1)</f>
        <v>8.1</v>
      </c>
    </row>
    <row r="1937">
      <c r="D1937" t="str">
        <f>IFERROR(__xludf.DUMMYFUNCTION("""COMPUTED_VALUE"""),"Smith")</f>
        <v>Smith</v>
      </c>
      <c r="E1937" t="str">
        <f>IFERROR(__xludf.DUMMYFUNCTION("""COMPUTED_VALUE"""),"Kevin")</f>
        <v>Kevin</v>
      </c>
      <c r="F1937">
        <f>IFERROR(__xludf.DUMMYFUNCTION("""COMPUTED_VALUE"""),9.6)</f>
        <v>9.6</v>
      </c>
    </row>
    <row r="1938">
      <c r="D1938" t="str">
        <f>IFERROR(__xludf.DUMMYFUNCTION("""COMPUTED_VALUE"""),"Smith")</f>
        <v>Smith</v>
      </c>
      <c r="E1938" t="str">
        <f>IFERROR(__xludf.DUMMYFUNCTION("""COMPUTED_VALUE"""),"Lee")</f>
        <v>Lee</v>
      </c>
      <c r="F1938">
        <f>IFERROR(__xludf.DUMMYFUNCTION("""COMPUTED_VALUE"""),11.25)</f>
        <v>11.25</v>
      </c>
    </row>
    <row r="1939">
      <c r="D1939" t="str">
        <f>IFERROR(__xludf.DUMMYFUNCTION("""COMPUTED_VALUE"""),"Smith")</f>
        <v>Smith</v>
      </c>
      <c r="E1939" t="str">
        <f>IFERROR(__xludf.DUMMYFUNCTION("""COMPUTED_VALUE"""),"Malcolm")</f>
        <v>Malcolm</v>
      </c>
      <c r="F1939">
        <f>IFERROR(__xludf.DUMMYFUNCTION("""COMPUTED_VALUE"""),10.65)</f>
        <v>10.65</v>
      </c>
    </row>
    <row r="1940">
      <c r="D1940" t="str">
        <f>IFERROR(__xludf.DUMMYFUNCTION("""COMPUTED_VALUE"""),"Smith")</f>
        <v>Smith</v>
      </c>
      <c r="E1940" t="str">
        <f>IFERROR(__xludf.DUMMYFUNCTION("""COMPUTED_VALUE"""),"Preston")</f>
        <v>Preston</v>
      </c>
      <c r="F1940">
        <f>IFERROR(__xludf.DUMMYFUNCTION("""COMPUTED_VALUE"""),11.549999999999999)</f>
        <v>11.55</v>
      </c>
    </row>
    <row r="1941">
      <c r="D1941" t="str">
        <f>IFERROR(__xludf.DUMMYFUNCTION("""COMPUTED_VALUE"""),"Smith")</f>
        <v>Smith</v>
      </c>
      <c r="E1941" t="str">
        <f>IFERROR(__xludf.DUMMYFUNCTION("""COMPUTED_VALUE"""),"Rod")</f>
        <v>Rod</v>
      </c>
      <c r="F1941">
        <f>IFERROR(__xludf.DUMMYFUNCTION("""COMPUTED_VALUE"""),9.9)</f>
        <v>9.9</v>
      </c>
    </row>
    <row r="1942">
      <c r="D1942" t="str">
        <f>IFERROR(__xludf.DUMMYFUNCTION("""COMPUTED_VALUE"""),"Smith")</f>
        <v>Smith</v>
      </c>
      <c r="E1942" t="str">
        <f>IFERROR(__xludf.DUMMYFUNCTION("""COMPUTED_VALUE"""),"Rodney")</f>
        <v>Rodney</v>
      </c>
      <c r="F1942">
        <f>IFERROR(__xludf.DUMMYFUNCTION("""COMPUTED_VALUE"""),8.85)</f>
        <v>8.85</v>
      </c>
    </row>
    <row r="1943">
      <c r="D1943" t="str">
        <f>IFERROR(__xludf.DUMMYFUNCTION("""COMPUTED_VALUE"""),"Smith")</f>
        <v>Smith</v>
      </c>
      <c r="E1943" t="str">
        <f>IFERROR(__xludf.DUMMYFUNCTION("""COMPUTED_VALUE"""),"Ryan")</f>
        <v>Ryan</v>
      </c>
      <c r="F1943">
        <f>IFERROR(__xludf.DUMMYFUNCTION("""COMPUTED_VALUE"""),9.6)</f>
        <v>9.6</v>
      </c>
    </row>
    <row r="1944">
      <c r="D1944" t="str">
        <f>IFERROR(__xludf.DUMMYFUNCTION("""COMPUTED_VALUE"""),"Smith")</f>
        <v>Smith</v>
      </c>
      <c r="E1944" t="str">
        <f>IFERROR(__xludf.DUMMYFUNCTION("""COMPUTED_VALUE"""),"Sean")</f>
        <v>Sean</v>
      </c>
      <c r="F1944">
        <f>IFERROR(__xludf.DUMMYFUNCTION("""COMPUTED_VALUE"""),13.2)</f>
        <v>13.2</v>
      </c>
    </row>
    <row r="1945">
      <c r="D1945" t="str">
        <f>IFERROR(__xludf.DUMMYFUNCTION("""COMPUTED_VALUE"""),"Smith")</f>
        <v>Smith</v>
      </c>
      <c r="E1945" t="str">
        <f>IFERROR(__xludf.DUMMYFUNCTION("""COMPUTED_VALUE"""),"Telvin")</f>
        <v>Telvin</v>
      </c>
      <c r="F1945">
        <f>IFERROR(__xludf.DUMMYFUNCTION("""COMPUTED_VALUE"""),12.0)</f>
        <v>12</v>
      </c>
    </row>
    <row r="1946">
      <c r="D1946" t="str">
        <f>IFERROR(__xludf.DUMMYFUNCTION("""COMPUTED_VALUE"""),"Smith")</f>
        <v>Smith</v>
      </c>
      <c r="E1946" t="str">
        <f>IFERROR(__xludf.DUMMYFUNCTION("""COMPUTED_VALUE"""),"Tevaun")</f>
        <v>Tevaun</v>
      </c>
      <c r="F1946">
        <f>IFERROR(__xludf.DUMMYFUNCTION("""COMPUTED_VALUE"""),9.45)</f>
        <v>9.45</v>
      </c>
    </row>
    <row r="1947">
      <c r="D1947" t="str">
        <f>IFERROR(__xludf.DUMMYFUNCTION("""COMPUTED_VALUE"""),"Smith")</f>
        <v>Smith</v>
      </c>
      <c r="E1947" t="str">
        <f>IFERROR(__xludf.DUMMYFUNCTION("""COMPUTED_VALUE"""),"Torrey")</f>
        <v>Torrey</v>
      </c>
      <c r="F1947">
        <f>IFERROR(__xludf.DUMMYFUNCTION("""COMPUTED_VALUE"""),11.7)</f>
        <v>11.7</v>
      </c>
    </row>
    <row r="1948">
      <c r="D1948" t="str">
        <f>IFERROR(__xludf.DUMMYFUNCTION("""COMPUTED_VALUE"""),"Smith")</f>
        <v>Smith</v>
      </c>
      <c r="E1948" t="str">
        <f>IFERROR(__xludf.DUMMYFUNCTION("""COMPUTED_VALUE"""),"Tye")</f>
        <v>Tye</v>
      </c>
      <c r="F1948">
        <f>IFERROR(__xludf.DUMMYFUNCTION("""COMPUTED_VALUE"""),9.299999999999999)</f>
        <v>9.3</v>
      </c>
    </row>
    <row r="1949">
      <c r="D1949" t="str">
        <f>IFERROR(__xludf.DUMMYFUNCTION("""COMPUTED_VALUE"""),"Smith")</f>
        <v>Smith</v>
      </c>
      <c r="E1949" t="str">
        <f>IFERROR(__xludf.DUMMYFUNCTION("""COMPUTED_VALUE"""),"Tyron")</f>
        <v>Tyron</v>
      </c>
      <c r="F1949">
        <f>IFERROR(__xludf.DUMMYFUNCTION("""COMPUTED_VALUE"""),14.549999999999999)</f>
        <v>14.55</v>
      </c>
    </row>
    <row r="1950">
      <c r="D1950" t="str">
        <f>IFERROR(__xludf.DUMMYFUNCTION("""COMPUTED_VALUE"""),"Smith")</f>
        <v>Smith</v>
      </c>
      <c r="E1950" t="str">
        <f>IFERROR(__xludf.DUMMYFUNCTION("""COMPUTED_VALUE"""),"ZaDarius")</f>
        <v>ZaDarius</v>
      </c>
      <c r="F1950">
        <f>IFERROR(__xludf.DUMMYFUNCTION("""COMPUTED_VALUE"""),9.75)</f>
        <v>9.75</v>
      </c>
    </row>
    <row r="1951">
      <c r="D1951" t="str">
        <f>IFERROR(__xludf.DUMMYFUNCTION("""COMPUTED_VALUE"""),"Smith II")</f>
        <v>Smith II</v>
      </c>
      <c r="E1951" t="str">
        <f>IFERROR(__xludf.DUMMYFUNCTION("""COMPUTED_VALUE"""),"Marcus")</f>
        <v>Marcus</v>
      </c>
      <c r="F1951">
        <f>IFERROR(__xludf.DUMMYFUNCTION("""COMPUTED_VALUE"""),9.9)</f>
        <v>9.9</v>
      </c>
    </row>
    <row r="1952">
      <c r="D1952" t="str">
        <f>IFERROR(__xludf.DUMMYFUNCTION("""COMPUTED_VALUE"""),"Smith Sr.")</f>
        <v>Smith Sr.</v>
      </c>
      <c r="E1952" t="str">
        <f>IFERROR(__xludf.DUMMYFUNCTION("""COMPUTED_VALUE"""),"Steve")</f>
        <v>Steve</v>
      </c>
      <c r="F1952">
        <f>IFERROR(__xludf.DUMMYFUNCTION("""COMPUTED_VALUE"""),13.35)</f>
        <v>13.35</v>
      </c>
    </row>
    <row r="1953">
      <c r="D1953" t="str">
        <f>IFERROR(__xludf.DUMMYFUNCTION("""COMPUTED_VALUE"""),"Snead")</f>
        <v>Snead</v>
      </c>
      <c r="E1953" t="str">
        <f>IFERROR(__xludf.DUMMYFUNCTION("""COMPUTED_VALUE"""),"Willie")</f>
        <v>Willie</v>
      </c>
      <c r="F1953">
        <f>IFERROR(__xludf.DUMMYFUNCTION("""COMPUTED_VALUE"""),11.549999999999999)</f>
        <v>11.55</v>
      </c>
    </row>
    <row r="1954">
      <c r="D1954" t="str">
        <f>IFERROR(__xludf.DUMMYFUNCTION("""COMPUTED_VALUE"""),"Sokoli")</f>
        <v>Sokoli</v>
      </c>
      <c r="E1954" t="str">
        <f>IFERROR(__xludf.DUMMYFUNCTION("""COMPUTED_VALUE"""),"Kristjan")</f>
        <v>Kristjan</v>
      </c>
      <c r="F1954">
        <f>IFERROR(__xludf.DUMMYFUNCTION("""COMPUTED_VALUE"""),9.299999999999999)</f>
        <v>9.3</v>
      </c>
    </row>
    <row r="1955">
      <c r="D1955" t="str">
        <f>IFERROR(__xludf.DUMMYFUNCTION("""COMPUTED_VALUE"""),"Solder")</f>
        <v>Solder</v>
      </c>
      <c r="E1955" t="str">
        <f>IFERROR(__xludf.DUMMYFUNCTION("""COMPUTED_VALUE"""),"Nate")</f>
        <v>Nate</v>
      </c>
      <c r="F1955">
        <f>IFERROR(__xludf.DUMMYFUNCTION("""COMPUTED_VALUE"""),12.6)</f>
        <v>12.6</v>
      </c>
    </row>
    <row r="1956">
      <c r="D1956" t="str">
        <f>IFERROR(__xludf.DUMMYFUNCTION("""COMPUTED_VALUE"""),"Soliai")</f>
        <v>Soliai</v>
      </c>
      <c r="E1956" t="str">
        <f>IFERROR(__xludf.DUMMYFUNCTION("""COMPUTED_VALUE"""),"Paul")</f>
        <v>Paul</v>
      </c>
      <c r="F1956">
        <f>IFERROR(__xludf.DUMMYFUNCTION("""COMPUTED_VALUE"""),12.0)</f>
        <v>12</v>
      </c>
    </row>
    <row r="1957">
      <c r="D1957" t="str">
        <f>IFERROR(__xludf.DUMMYFUNCTION("""COMPUTED_VALUE"""),"Sommers")</f>
        <v>Sommers</v>
      </c>
      <c r="E1957" t="str">
        <f>IFERROR(__xludf.DUMMYFUNCTION("""COMPUTED_VALUE"""),"Joe")</f>
        <v>Joe</v>
      </c>
      <c r="F1957">
        <f>IFERROR(__xludf.DUMMYFUNCTION("""COMPUTED_VALUE"""),9.45)</f>
        <v>9.45</v>
      </c>
    </row>
    <row r="1958">
      <c r="D1958" t="str">
        <f>IFERROR(__xludf.DUMMYFUNCTION("""COMPUTED_VALUE"""),"Sorensen")</f>
        <v>Sorensen</v>
      </c>
      <c r="E1958" t="str">
        <f>IFERROR(__xludf.DUMMYFUNCTION("""COMPUTED_VALUE"""),"Daniel")</f>
        <v>Daniel</v>
      </c>
      <c r="F1958">
        <f>IFERROR(__xludf.DUMMYFUNCTION("""COMPUTED_VALUE"""),10.35)</f>
        <v>10.35</v>
      </c>
    </row>
    <row r="1959">
      <c r="D1959" t="str">
        <f>IFERROR(__xludf.DUMMYFUNCTION("""COMPUTED_VALUE"""),"Southward")</f>
        <v>Southward</v>
      </c>
      <c r="E1959" t="str">
        <f>IFERROR(__xludf.DUMMYFUNCTION("""COMPUTED_VALUE"""),"Dezmen")</f>
        <v>Dezmen</v>
      </c>
      <c r="F1959">
        <f>IFERROR(__xludf.DUMMYFUNCTION("""COMPUTED_VALUE"""),9.9)</f>
        <v>9.9</v>
      </c>
    </row>
    <row r="1960">
      <c r="D1960" t="str">
        <f>IFERROR(__xludf.DUMMYFUNCTION("""COMPUTED_VALUE"""),"Sowell")</f>
        <v>Sowell</v>
      </c>
      <c r="E1960" t="str">
        <f>IFERROR(__xludf.DUMMYFUNCTION("""COMPUTED_VALUE"""),"Bradley")</f>
        <v>Bradley</v>
      </c>
      <c r="F1960">
        <f>IFERROR(__xludf.DUMMYFUNCTION("""COMPUTED_VALUE"""),11.1)</f>
        <v>11.1</v>
      </c>
    </row>
    <row r="1961">
      <c r="D1961" t="str">
        <f>IFERROR(__xludf.DUMMYFUNCTION("""COMPUTED_VALUE"""),"Spaight")</f>
        <v>Spaight</v>
      </c>
      <c r="E1961" t="str">
        <f>IFERROR(__xludf.DUMMYFUNCTION("""COMPUTED_VALUE"""),"Martrell")</f>
        <v>Martrell</v>
      </c>
      <c r="F1961">
        <f>IFERROR(__xludf.DUMMYFUNCTION("""COMPUTED_VALUE"""),9.0)</f>
        <v>9</v>
      </c>
    </row>
    <row r="1962">
      <c r="D1962" t="str">
        <f>IFERROR(__xludf.DUMMYFUNCTION("""COMPUTED_VALUE"""),"Spain")</f>
        <v>Spain</v>
      </c>
      <c r="E1962" t="str">
        <f>IFERROR(__xludf.DUMMYFUNCTION("""COMPUTED_VALUE"""),"Quinton")</f>
        <v>Quinton</v>
      </c>
      <c r="F1962">
        <f>IFERROR(__xludf.DUMMYFUNCTION("""COMPUTED_VALUE"""),10.2)</f>
        <v>10.2</v>
      </c>
    </row>
    <row r="1963">
      <c r="D1963" t="str">
        <f>IFERROR(__xludf.DUMMYFUNCTION("""COMPUTED_VALUE"""),"Spence")</f>
        <v>Spence</v>
      </c>
      <c r="E1963" t="str">
        <f>IFERROR(__xludf.DUMMYFUNCTION("""COMPUTED_VALUE"""),"Akeem")</f>
        <v>Akeem</v>
      </c>
      <c r="F1963">
        <f>IFERROR(__xludf.DUMMYFUNCTION("""COMPUTED_VALUE"""),10.95)</f>
        <v>10.95</v>
      </c>
    </row>
    <row r="1964">
      <c r="D1964" t="str">
        <f>IFERROR(__xludf.DUMMYFUNCTION("""COMPUTED_VALUE"""),"Spence")</f>
        <v>Spence</v>
      </c>
      <c r="E1964" t="str">
        <f>IFERROR(__xludf.DUMMYFUNCTION("""COMPUTED_VALUE"""),"Noah")</f>
        <v>Noah</v>
      </c>
      <c r="F1964">
        <f>IFERROR(__xludf.DUMMYFUNCTION("""COMPUTED_VALUE"""),10.65)</f>
        <v>10.65</v>
      </c>
    </row>
    <row r="1965">
      <c r="D1965" t="str">
        <f>IFERROR(__xludf.DUMMYFUNCTION("""COMPUTED_VALUE"""),"Spence")</f>
        <v>Spence</v>
      </c>
      <c r="E1965" t="str">
        <f>IFERROR(__xludf.DUMMYFUNCTION("""COMPUTED_VALUE"""),"Sean")</f>
        <v>Sean</v>
      </c>
      <c r="F1965">
        <f>IFERROR(__xludf.DUMMYFUNCTION("""COMPUTED_VALUE"""),10.799999999999999)</f>
        <v>10.8</v>
      </c>
    </row>
    <row r="1966">
      <c r="D1966" t="str">
        <f>IFERROR(__xludf.DUMMYFUNCTION("""COMPUTED_VALUE"""),"Spencer")</f>
        <v>Spencer</v>
      </c>
      <c r="E1966" t="str">
        <f>IFERROR(__xludf.DUMMYFUNCTION("""COMPUTED_VALUE"""),"Evan")</f>
        <v>Evan</v>
      </c>
      <c r="F1966">
        <f>IFERROR(__xludf.DUMMYFUNCTION("""COMPUTED_VALUE"""),8.549999999999999)</f>
        <v>8.55</v>
      </c>
    </row>
    <row r="1967">
      <c r="D1967" t="str">
        <f>IFERROR(__xludf.DUMMYFUNCTION("""COMPUTED_VALUE"""),"Spiller")</f>
        <v>Spiller</v>
      </c>
      <c r="E1967" t="str">
        <f>IFERROR(__xludf.DUMMYFUNCTION("""COMPUTED_VALUE"""),"CJ")</f>
        <v>CJ</v>
      </c>
      <c r="F1967">
        <f>IFERROR(__xludf.DUMMYFUNCTION("""COMPUTED_VALUE"""),11.7)</f>
        <v>11.7</v>
      </c>
    </row>
    <row r="1968">
      <c r="D1968" t="str">
        <f>IFERROR(__xludf.DUMMYFUNCTION("""COMPUTED_VALUE"""),"Spriggs")</f>
        <v>Spriggs</v>
      </c>
      <c r="E1968" t="str">
        <f>IFERROR(__xludf.DUMMYFUNCTION("""COMPUTED_VALUE"""),"Jason")</f>
        <v>Jason</v>
      </c>
      <c r="F1968">
        <f>IFERROR(__xludf.DUMMYFUNCTION("""COMPUTED_VALUE"""),10.5)</f>
        <v>10.5</v>
      </c>
    </row>
    <row r="1969">
      <c r="D1969" t="str">
        <f>IFERROR(__xludf.DUMMYFUNCTION("""COMPUTED_VALUE"""),"Sproles")</f>
        <v>Sproles</v>
      </c>
      <c r="E1969" t="str">
        <f>IFERROR(__xludf.DUMMYFUNCTION("""COMPUTED_VALUE"""),"Darren")</f>
        <v>Darren</v>
      </c>
      <c r="F1969">
        <f>IFERROR(__xludf.DUMMYFUNCTION("""COMPUTED_VALUE"""),12.15)</f>
        <v>12.15</v>
      </c>
    </row>
    <row r="1970">
      <c r="D1970" t="str">
        <f>IFERROR(__xludf.DUMMYFUNCTION("""COMPUTED_VALUE"""),"Square")</f>
        <v>Square</v>
      </c>
      <c r="E1970" t="str">
        <f>IFERROR(__xludf.DUMMYFUNCTION("""COMPUTED_VALUE"""),"Damion")</f>
        <v>Damion</v>
      </c>
      <c r="F1970">
        <f>IFERROR(__xludf.DUMMYFUNCTION("""COMPUTED_VALUE"""),9.299999999999999)</f>
        <v>9.3</v>
      </c>
    </row>
    <row r="1971">
      <c r="D1971" t="str">
        <f>IFERROR(__xludf.DUMMYFUNCTION("""COMPUTED_VALUE"""),"Stafford")</f>
        <v>Stafford</v>
      </c>
      <c r="E1971" t="str">
        <f>IFERROR(__xludf.DUMMYFUNCTION("""COMPUTED_VALUE"""),"Daimion")</f>
        <v>Daimion</v>
      </c>
      <c r="F1971">
        <f>IFERROR(__xludf.DUMMYFUNCTION("""COMPUTED_VALUE"""),10.35)</f>
        <v>10.35</v>
      </c>
    </row>
    <row r="1972">
      <c r="D1972" t="str">
        <f>IFERROR(__xludf.DUMMYFUNCTION("""COMPUTED_VALUE"""),"Stafford")</f>
        <v>Stafford</v>
      </c>
      <c r="E1972" t="str">
        <f>IFERROR(__xludf.DUMMYFUNCTION("""COMPUTED_VALUE"""),"Matthew")</f>
        <v>Matthew</v>
      </c>
      <c r="F1972">
        <f>IFERROR(__xludf.DUMMYFUNCTION("""COMPUTED_VALUE"""),12.75)</f>
        <v>12.75</v>
      </c>
    </row>
    <row r="1973">
      <c r="D1973" t="str">
        <f>IFERROR(__xludf.DUMMYFUNCTION("""COMPUTED_VALUE"""),"Staley")</f>
        <v>Staley</v>
      </c>
      <c r="E1973" t="str">
        <f>IFERROR(__xludf.DUMMYFUNCTION("""COMPUTED_VALUE"""),"Joe")</f>
        <v>Joe</v>
      </c>
      <c r="F1973">
        <f>IFERROR(__xludf.DUMMYFUNCTION("""COMPUTED_VALUE"""),13.35)</f>
        <v>13.35</v>
      </c>
    </row>
    <row r="1974">
      <c r="D1974" t="str">
        <f>IFERROR(__xludf.DUMMYFUNCTION("""COMPUTED_VALUE"""),"Stanford")</f>
        <v>Stanford</v>
      </c>
      <c r="E1974" t="str">
        <f>IFERROR(__xludf.DUMMYFUNCTION("""COMPUTED_VALUE"""),"Julian")</f>
        <v>Julian</v>
      </c>
      <c r="F1974">
        <f>IFERROR(__xludf.DUMMYFUNCTION("""COMPUTED_VALUE"""),10.35)</f>
        <v>10.35</v>
      </c>
    </row>
    <row r="1975">
      <c r="D1975" t="str">
        <f>IFERROR(__xludf.DUMMYFUNCTION("""COMPUTED_VALUE"""),"Stanley")</f>
        <v>Stanley</v>
      </c>
      <c r="E1975" t="str">
        <f>IFERROR(__xludf.DUMMYFUNCTION("""COMPUTED_VALUE"""),"Ronnie")</f>
        <v>Ronnie</v>
      </c>
      <c r="F1975">
        <f>IFERROR(__xludf.DUMMYFUNCTION("""COMPUTED_VALUE"""),11.85)</f>
        <v>11.85</v>
      </c>
    </row>
    <row r="1976">
      <c r="D1976" t="str">
        <f>IFERROR(__xludf.DUMMYFUNCTION("""COMPUTED_VALUE"""),"Stanton")</f>
        <v>Stanton</v>
      </c>
      <c r="E1976" t="str">
        <f>IFERROR(__xludf.DUMMYFUNCTION("""COMPUTED_VALUE"""),"Drew")</f>
        <v>Drew</v>
      </c>
      <c r="F1976">
        <f>IFERROR(__xludf.DUMMYFUNCTION("""COMPUTED_VALUE"""),10.2)</f>
        <v>10.2</v>
      </c>
    </row>
    <row r="1977">
      <c r="D1977" t="str">
        <f>IFERROR(__xludf.DUMMYFUNCTION("""COMPUTED_VALUE"""),"Staples")</f>
        <v>Staples</v>
      </c>
      <c r="E1977" t="str">
        <f>IFERROR(__xludf.DUMMYFUNCTION("""COMPUTED_VALUE"""),"Justin")</f>
        <v>Justin</v>
      </c>
      <c r="F1977">
        <f>IFERROR(__xludf.DUMMYFUNCTION("""COMPUTED_VALUE"""),8.7)</f>
        <v>8.7</v>
      </c>
    </row>
    <row r="1978">
      <c r="D1978" t="str">
        <f>IFERROR(__xludf.DUMMYFUNCTION("""COMPUTED_VALUE"""),"Starks")</f>
        <v>Starks</v>
      </c>
      <c r="E1978" t="str">
        <f>IFERROR(__xludf.DUMMYFUNCTION("""COMPUTED_VALUE"""),"James")</f>
        <v>James</v>
      </c>
      <c r="F1978">
        <f>IFERROR(__xludf.DUMMYFUNCTION("""COMPUTED_VALUE"""),11.85)</f>
        <v>11.85</v>
      </c>
    </row>
    <row r="1979">
      <c r="D1979" t="str">
        <f>IFERROR(__xludf.DUMMYFUNCTION("""COMPUTED_VALUE"""),"Starr")</f>
        <v>Starr</v>
      </c>
      <c r="E1979" t="str">
        <f>IFERROR(__xludf.DUMMYFUNCTION("""COMPUTED_VALUE"""),"Tyler")</f>
        <v>Tyler</v>
      </c>
      <c r="F1979">
        <f>IFERROR(__xludf.DUMMYFUNCTION("""COMPUTED_VALUE"""),9.6)</f>
        <v>9.6</v>
      </c>
    </row>
    <row r="1980">
      <c r="D1980" t="str">
        <f>IFERROR(__xludf.DUMMYFUNCTION("""COMPUTED_VALUE"""),"Staten")</f>
        <v>Staten</v>
      </c>
      <c r="E1980" t="str">
        <f>IFERROR(__xludf.DUMMYFUNCTION("""COMPUTED_VALUE"""),"Jimmy")</f>
        <v>Jimmy</v>
      </c>
      <c r="F1980">
        <f>IFERROR(__xludf.DUMMYFUNCTION("""COMPUTED_VALUE"""),8.4)</f>
        <v>8.4</v>
      </c>
    </row>
    <row r="1981">
      <c r="D1981" t="str">
        <f>IFERROR(__xludf.DUMMYFUNCTION("""COMPUTED_VALUE"""),"Stave")</f>
        <v>Stave</v>
      </c>
      <c r="E1981" t="str">
        <f>IFERROR(__xludf.DUMMYFUNCTION("""COMPUTED_VALUE"""),"Joel")</f>
        <v>Joel</v>
      </c>
      <c r="F1981">
        <f>IFERROR(__xludf.DUMMYFUNCTION("""COMPUTED_VALUE"""),9.45)</f>
        <v>9.45</v>
      </c>
    </row>
    <row r="1982">
      <c r="D1982" t="str">
        <f>IFERROR(__xludf.DUMMYFUNCTION("""COMPUTED_VALUE"""),"Steen")</f>
        <v>Steen</v>
      </c>
      <c r="E1982" t="str">
        <f>IFERROR(__xludf.DUMMYFUNCTION("""COMPUTED_VALUE"""),"Anthony")</f>
        <v>Anthony</v>
      </c>
      <c r="F1982">
        <f>IFERROR(__xludf.DUMMYFUNCTION("""COMPUTED_VALUE"""),9.299999999999999)</f>
        <v>9.3</v>
      </c>
    </row>
    <row r="1983">
      <c r="D1983" t="str">
        <f>IFERROR(__xludf.DUMMYFUNCTION("""COMPUTED_VALUE"""),"Stephen")</f>
        <v>Stephen</v>
      </c>
      <c r="E1983" t="str">
        <f>IFERROR(__xludf.DUMMYFUNCTION("""COMPUTED_VALUE"""),"Shamar")</f>
        <v>Shamar</v>
      </c>
      <c r="F1983">
        <f>IFERROR(__xludf.DUMMYFUNCTION("""COMPUTED_VALUE"""),9.75)</f>
        <v>9.75</v>
      </c>
    </row>
    <row r="1984">
      <c r="D1984" t="str">
        <f>IFERROR(__xludf.DUMMYFUNCTION("""COMPUTED_VALUE"""),"Stephenson")</f>
        <v>Stephenson</v>
      </c>
      <c r="E1984" t="str">
        <f>IFERROR(__xludf.DUMMYFUNCTION("""COMPUTED_VALUE"""),"Donald")</f>
        <v>Donald</v>
      </c>
      <c r="F1984">
        <f>IFERROR(__xludf.DUMMYFUNCTION("""COMPUTED_VALUE"""),10.799999999999999)</f>
        <v>10.8</v>
      </c>
    </row>
    <row r="1985">
      <c r="D1985" t="str">
        <f>IFERROR(__xludf.DUMMYFUNCTION("""COMPUTED_VALUE"""),"Sterling")</f>
        <v>Sterling</v>
      </c>
      <c r="E1985" t="str">
        <f>IFERROR(__xludf.DUMMYFUNCTION("""COMPUTED_VALUE"""),"Neal")</f>
        <v>Neal</v>
      </c>
      <c r="F1985">
        <f>IFERROR(__xludf.DUMMYFUNCTION("""COMPUTED_VALUE"""),8.549999999999999)</f>
        <v>8.55</v>
      </c>
    </row>
    <row r="1986">
      <c r="D1986" t="str">
        <f>IFERROR(__xludf.DUMMYFUNCTION("""COMPUTED_VALUE"""),"Stevens")</f>
        <v>Stevens</v>
      </c>
      <c r="E1986" t="str">
        <f>IFERROR(__xludf.DUMMYFUNCTION("""COMPUTED_VALUE"""),"Craig")</f>
        <v>Craig</v>
      </c>
      <c r="F1986">
        <f>IFERROR(__xludf.DUMMYFUNCTION("""COMPUTED_VALUE"""),12.0)</f>
        <v>12</v>
      </c>
    </row>
    <row r="1987">
      <c r="D1987" t="str">
        <f>IFERROR(__xludf.DUMMYFUNCTION("""COMPUTED_VALUE"""),"Steward")</f>
        <v>Steward</v>
      </c>
      <c r="E1987" t="str">
        <f>IFERROR(__xludf.DUMMYFUNCTION("""COMPUTED_VALUE"""),"Tony")</f>
        <v>Tony</v>
      </c>
      <c r="F1987">
        <f>IFERROR(__xludf.DUMMYFUNCTION("""COMPUTED_VALUE"""),9.75)</f>
        <v>9.75</v>
      </c>
    </row>
    <row r="1988">
      <c r="D1988" t="str">
        <f>IFERROR(__xludf.DUMMYFUNCTION("""COMPUTED_VALUE"""),"Stewart")</f>
        <v>Stewart</v>
      </c>
      <c r="E1988" t="str">
        <f>IFERROR(__xludf.DUMMYFUNCTION("""COMPUTED_VALUE"""),"Darian")</f>
        <v>Darian</v>
      </c>
      <c r="F1988">
        <f>IFERROR(__xludf.DUMMYFUNCTION("""COMPUTED_VALUE"""),12.9)</f>
        <v>12.9</v>
      </c>
    </row>
    <row r="1989">
      <c r="D1989" t="str">
        <f>IFERROR(__xludf.DUMMYFUNCTION("""COMPUTED_VALUE"""),"Stewart")</f>
        <v>Stewart</v>
      </c>
      <c r="E1989" t="str">
        <f>IFERROR(__xludf.DUMMYFUNCTION("""COMPUTED_VALUE"""),"Jonathan")</f>
        <v>Jonathan</v>
      </c>
      <c r="F1989">
        <f>IFERROR(__xludf.DUMMYFUNCTION("""COMPUTED_VALUE"""),13.049999999999999)</f>
        <v>13.05</v>
      </c>
    </row>
    <row r="1990">
      <c r="D1990" t="str">
        <f>IFERROR(__xludf.DUMMYFUNCTION("""COMPUTED_VALUE"""),"Still")</f>
        <v>Still</v>
      </c>
      <c r="E1990" t="str">
        <f>IFERROR(__xludf.DUMMYFUNCTION("""COMPUTED_VALUE"""),"Devon")</f>
        <v>Devon</v>
      </c>
      <c r="F1990">
        <f>IFERROR(__xludf.DUMMYFUNCTION("""COMPUTED_VALUE"""),10.049999999999999)</f>
        <v>10.05</v>
      </c>
    </row>
    <row r="1991">
      <c r="D1991" t="str">
        <f>IFERROR(__xludf.DUMMYFUNCTION("""COMPUTED_VALUE"""),"Stills")</f>
        <v>Stills</v>
      </c>
      <c r="E1991" t="str">
        <f>IFERROR(__xludf.DUMMYFUNCTION("""COMPUTED_VALUE"""),"Kenny")</f>
        <v>Kenny</v>
      </c>
      <c r="F1991">
        <f>IFERROR(__xludf.DUMMYFUNCTION("""COMPUTED_VALUE"""),11.1)</f>
        <v>11.1</v>
      </c>
    </row>
    <row r="1992">
      <c r="D1992" t="str">
        <f>IFERROR(__xludf.DUMMYFUNCTION("""COMPUTED_VALUE"""),"Stingily")</f>
        <v>Stingily</v>
      </c>
      <c r="E1992" t="str">
        <f>IFERROR(__xludf.DUMMYFUNCTION("""COMPUTED_VALUE"""),"Byron")</f>
        <v>Byron</v>
      </c>
      <c r="F1992">
        <f>IFERROR(__xludf.DUMMYFUNCTION("""COMPUTED_VALUE"""),10.35)</f>
        <v>10.35</v>
      </c>
    </row>
    <row r="1993">
      <c r="D1993" t="str">
        <f>IFERROR(__xludf.DUMMYFUNCTION("""COMPUTED_VALUE"""),"Stinson")</f>
        <v>Stinson</v>
      </c>
      <c r="E1993" t="str">
        <f>IFERROR(__xludf.DUMMYFUNCTION("""COMPUTED_VALUE"""),"Ed")</f>
        <v>Ed</v>
      </c>
      <c r="F1993">
        <f>IFERROR(__xludf.DUMMYFUNCTION("""COMPUTED_VALUE"""),9.299999999999999)</f>
        <v>9.3</v>
      </c>
    </row>
    <row r="1994">
      <c r="D1994" t="str">
        <f>IFERROR(__xludf.DUMMYFUNCTION("""COMPUTED_VALUE"""),"Stocker")</f>
        <v>Stocker</v>
      </c>
      <c r="E1994" t="str">
        <f>IFERROR(__xludf.DUMMYFUNCTION("""COMPUTED_VALUE"""),"Luke")</f>
        <v>Luke</v>
      </c>
      <c r="F1994">
        <f>IFERROR(__xludf.DUMMYFUNCTION("""COMPUTED_VALUE"""),10.95)</f>
        <v>10.95</v>
      </c>
    </row>
    <row r="1995">
      <c r="D1995" t="str">
        <f>IFERROR(__xludf.DUMMYFUNCTION("""COMPUTED_VALUE"""),"Stork")</f>
        <v>Stork</v>
      </c>
      <c r="E1995" t="str">
        <f>IFERROR(__xludf.DUMMYFUNCTION("""COMPUTED_VALUE"""),"Bryan")</f>
        <v>Bryan</v>
      </c>
      <c r="F1995">
        <f>IFERROR(__xludf.DUMMYFUNCTION("""COMPUTED_VALUE"""),10.95)</f>
        <v>10.95</v>
      </c>
    </row>
    <row r="1996">
      <c r="D1996" t="str">
        <f>IFERROR(__xludf.DUMMYFUNCTION("""COMPUTED_VALUE"""),"Streater")</f>
        <v>Streater</v>
      </c>
      <c r="E1996" t="str">
        <f>IFERROR(__xludf.DUMMYFUNCTION("""COMPUTED_VALUE"""),"Rod")</f>
        <v>Rod</v>
      </c>
      <c r="F1996">
        <f>IFERROR(__xludf.DUMMYFUNCTION("""COMPUTED_VALUE"""),10.799999999999999)</f>
        <v>10.8</v>
      </c>
    </row>
    <row r="1997">
      <c r="D1997" t="str">
        <f>IFERROR(__xludf.DUMMYFUNCTION("""COMPUTED_VALUE"""),"Street")</f>
        <v>Street</v>
      </c>
      <c r="E1997" t="str">
        <f>IFERROR(__xludf.DUMMYFUNCTION("""COMPUTED_VALUE"""),"Devin")</f>
        <v>Devin</v>
      </c>
      <c r="F1997">
        <f>IFERROR(__xludf.DUMMYFUNCTION("""COMPUTED_VALUE"""),10.2)</f>
        <v>10.2</v>
      </c>
    </row>
    <row r="1998">
      <c r="D1998" t="str">
        <f>IFERROR(__xludf.DUMMYFUNCTION("""COMPUTED_VALUE"""),"Strief")</f>
        <v>Strief</v>
      </c>
      <c r="E1998" t="str">
        <f>IFERROR(__xludf.DUMMYFUNCTION("""COMPUTED_VALUE"""),"Zach")</f>
        <v>Zach</v>
      </c>
      <c r="F1998">
        <f>IFERROR(__xludf.DUMMYFUNCTION("""COMPUTED_VALUE"""),12.299999999999999)</f>
        <v>12.3</v>
      </c>
    </row>
    <row r="1999">
      <c r="D1999" t="str">
        <f>IFERROR(__xludf.DUMMYFUNCTION("""COMPUTED_VALUE"""),"Strong")</f>
        <v>Strong</v>
      </c>
      <c r="E1999" t="str">
        <f>IFERROR(__xludf.DUMMYFUNCTION("""COMPUTED_VALUE"""),"Jaelen")</f>
        <v>Jaelen</v>
      </c>
      <c r="F1999">
        <f>IFERROR(__xludf.DUMMYFUNCTION("""COMPUTED_VALUE"""),10.95)</f>
        <v>10.95</v>
      </c>
    </row>
    <row r="2000">
      <c r="D2000" t="str">
        <f>IFERROR(__xludf.DUMMYFUNCTION("""COMPUTED_VALUE"""),"Stuckey")</f>
        <v>Stuckey</v>
      </c>
      <c r="E2000" t="str">
        <f>IFERROR(__xludf.DUMMYFUNCTION("""COMPUTED_VALUE"""),"Darrell")</f>
        <v>Darrell</v>
      </c>
      <c r="F2000">
        <f>IFERROR(__xludf.DUMMYFUNCTION("""COMPUTED_VALUE"""),10.799999999999999)</f>
        <v>10.8</v>
      </c>
    </row>
    <row r="2001">
      <c r="D2001" t="str">
        <f>IFERROR(__xludf.DUMMYFUNCTION("""COMPUTED_VALUE"""),"Stupar")</f>
        <v>Stupar</v>
      </c>
      <c r="E2001" t="str">
        <f>IFERROR(__xludf.DUMMYFUNCTION("""COMPUTED_VALUE"""),"Nathan")</f>
        <v>Nathan</v>
      </c>
      <c r="F2001">
        <f>IFERROR(__xludf.DUMMYFUNCTION("""COMPUTED_VALUE"""),10.65)</f>
        <v>10.65</v>
      </c>
    </row>
    <row r="2002">
      <c r="D2002" t="str">
        <f>IFERROR(__xludf.DUMMYFUNCTION("""COMPUTED_VALUE"""),"Sturgis")</f>
        <v>Sturgis</v>
      </c>
      <c r="E2002" t="str">
        <f>IFERROR(__xludf.DUMMYFUNCTION("""COMPUTED_VALUE"""),"Caleb")</f>
        <v>Caleb</v>
      </c>
      <c r="F2002">
        <f>IFERROR(__xludf.DUMMYFUNCTION("""COMPUTED_VALUE"""),11.4)</f>
        <v>11.4</v>
      </c>
    </row>
    <row r="2003">
      <c r="D2003" t="str">
        <f>IFERROR(__xludf.DUMMYFUNCTION("""COMPUTED_VALUE"""),"Sua-Filo")</f>
        <v>Sua-Filo</v>
      </c>
      <c r="E2003" t="str">
        <f>IFERROR(__xludf.DUMMYFUNCTION("""COMPUTED_VALUE"""),"Xavier")</f>
        <v>Xavier</v>
      </c>
      <c r="F2003">
        <f>IFERROR(__xludf.DUMMYFUNCTION("""COMPUTED_VALUE"""),10.65)</f>
        <v>10.65</v>
      </c>
    </row>
    <row r="2004">
      <c r="D2004" t="str">
        <f>IFERROR(__xludf.DUMMYFUNCTION("""COMPUTED_VALUE"""),"Succop")</f>
        <v>Succop</v>
      </c>
      <c r="E2004" t="str">
        <f>IFERROR(__xludf.DUMMYFUNCTION("""COMPUTED_VALUE"""),"Ryan")</f>
        <v>Ryan</v>
      </c>
      <c r="F2004">
        <f>IFERROR(__xludf.DUMMYFUNCTION("""COMPUTED_VALUE"""),12.15)</f>
        <v>12.15</v>
      </c>
    </row>
    <row r="2005">
      <c r="D2005" t="str">
        <f>IFERROR(__xludf.DUMMYFUNCTION("""COMPUTED_VALUE"""),"Sudfeld")</f>
        <v>Sudfeld</v>
      </c>
      <c r="E2005" t="str">
        <f>IFERROR(__xludf.DUMMYFUNCTION("""COMPUTED_VALUE"""),"Nate")</f>
        <v>Nate</v>
      </c>
      <c r="F2005">
        <f>IFERROR(__xludf.DUMMYFUNCTION("""COMPUTED_VALUE"""),9.75)</f>
        <v>9.75</v>
      </c>
    </row>
    <row r="2006">
      <c r="D2006" t="str">
        <f>IFERROR(__xludf.DUMMYFUNCTION("""COMPUTED_VALUE"""),"Sudfeld")</f>
        <v>Sudfeld</v>
      </c>
      <c r="E2006" t="str">
        <f>IFERROR(__xludf.DUMMYFUNCTION("""COMPUTED_VALUE"""),"Zach")</f>
        <v>Zach</v>
      </c>
      <c r="F2006">
        <f>IFERROR(__xludf.DUMMYFUNCTION("""COMPUTED_VALUE"""),10.5)</f>
        <v>10.5</v>
      </c>
    </row>
    <row r="2007">
      <c r="D2007" t="str">
        <f>IFERROR(__xludf.DUMMYFUNCTION("""COMPUTED_VALUE"""),"Suggs")</f>
        <v>Suggs</v>
      </c>
      <c r="E2007" t="str">
        <f>IFERROR(__xludf.DUMMYFUNCTION("""COMPUTED_VALUE"""),"Terrell")</f>
        <v>Terrell</v>
      </c>
      <c r="F2007">
        <f>IFERROR(__xludf.DUMMYFUNCTION("""COMPUTED_VALUE"""),13.5)</f>
        <v>13.5</v>
      </c>
    </row>
    <row r="2008">
      <c r="D2008" t="str">
        <f>IFERROR(__xludf.DUMMYFUNCTION("""COMPUTED_VALUE"""),"Suh")</f>
        <v>Suh</v>
      </c>
      <c r="E2008" t="str">
        <f>IFERROR(__xludf.DUMMYFUNCTION("""COMPUTED_VALUE"""),"Ndamukong")</f>
        <v>Ndamukong</v>
      </c>
      <c r="F2008">
        <f>IFERROR(__xludf.DUMMYFUNCTION("""COMPUTED_VALUE"""),13.95)</f>
        <v>13.95</v>
      </c>
    </row>
    <row r="2009">
      <c r="D2009" t="str">
        <f>IFERROR(__xludf.DUMMYFUNCTION("""COMPUTED_VALUE"""),"Sulleyman")</f>
        <v>Sulleyman</v>
      </c>
      <c r="E2009" t="str">
        <f>IFERROR(__xludf.DUMMYFUNCTION("""COMPUTED_VALUE"""),"Sadat")</f>
        <v>Sadat</v>
      </c>
      <c r="F2009">
        <f>IFERROR(__xludf.DUMMYFUNCTION("""COMPUTED_VALUE"""),9.0)</f>
        <v>9</v>
      </c>
    </row>
    <row r="2010">
      <c r="D2010" t="str">
        <f>IFERROR(__xludf.DUMMYFUNCTION("""COMPUTED_VALUE"""),"Sullivan")</f>
        <v>Sullivan</v>
      </c>
      <c r="E2010" t="str">
        <f>IFERROR(__xludf.DUMMYFUNCTION("""COMPUTED_VALUE"""),"John")</f>
        <v>John</v>
      </c>
      <c r="F2010">
        <f>IFERROR(__xludf.DUMMYFUNCTION("""COMPUTED_VALUE"""),12.9)</f>
        <v>12.9</v>
      </c>
    </row>
    <row r="2011">
      <c r="D2011" t="str">
        <f>IFERROR(__xludf.DUMMYFUNCTION("""COMPUTED_VALUE"""),"Sundberg")</f>
        <v>Sundberg</v>
      </c>
      <c r="E2011" t="str">
        <f>IFERROR(__xludf.DUMMYFUNCTION("""COMPUTED_VALUE"""),"Nick")</f>
        <v>Nick</v>
      </c>
      <c r="F2011">
        <f>IFERROR(__xludf.DUMMYFUNCTION("""COMPUTED_VALUE"""),8.1)</f>
        <v>8.1</v>
      </c>
    </row>
    <row r="2012">
      <c r="D2012" t="str">
        <f>IFERROR(__xludf.DUMMYFUNCTION("""COMPUTED_VALUE"""),"Supernaw")</f>
        <v>Supernaw</v>
      </c>
      <c r="E2012" t="str">
        <f>IFERROR(__xludf.DUMMYFUNCTION("""COMPUTED_VALUE"""),"Phillip")</f>
        <v>Phillip</v>
      </c>
      <c r="F2012">
        <f>IFERROR(__xludf.DUMMYFUNCTION("""COMPUTED_VALUE"""),10.799999999999999)</f>
        <v>10.8</v>
      </c>
    </row>
    <row r="2013">
      <c r="D2013" t="str">
        <f>IFERROR(__xludf.DUMMYFUNCTION("""COMPUTED_VALUE"""),"Sutton")</f>
        <v>Sutton</v>
      </c>
      <c r="E2013" t="str">
        <f>IFERROR(__xludf.DUMMYFUNCTION("""COMPUTED_VALUE"""),"Will")</f>
        <v>Will</v>
      </c>
      <c r="F2013">
        <f>IFERROR(__xludf.DUMMYFUNCTION("""COMPUTED_VALUE"""),9.75)</f>
        <v>9.75</v>
      </c>
    </row>
    <row r="2014">
      <c r="D2014" t="str">
        <f>IFERROR(__xludf.DUMMYFUNCTION("""COMPUTED_VALUE"""),"Swaim")</f>
        <v>Swaim</v>
      </c>
      <c r="E2014" t="str">
        <f>IFERROR(__xludf.DUMMYFUNCTION("""COMPUTED_VALUE"""),"Geoff")</f>
        <v>Geoff</v>
      </c>
      <c r="F2014">
        <f>IFERROR(__xludf.DUMMYFUNCTION("""COMPUTED_VALUE"""),9.6)</f>
        <v>9.6</v>
      </c>
    </row>
    <row r="2015">
      <c r="D2015" t="str">
        <f>IFERROR(__xludf.DUMMYFUNCTION("""COMPUTED_VALUE"""),"Swain")</f>
        <v>Swain</v>
      </c>
      <c r="E2015" t="str">
        <f>IFERROR(__xludf.DUMMYFUNCTION("""COMPUTED_VALUE"""),"Chris")</f>
        <v>Chris</v>
      </c>
      <c r="F2015">
        <f>IFERROR(__xludf.DUMMYFUNCTION("""COMPUTED_VALUE"""),9.0)</f>
        <v>9</v>
      </c>
    </row>
    <row r="2016">
      <c r="D2016" t="str">
        <f>IFERROR(__xludf.DUMMYFUNCTION("""COMPUTED_VALUE"""),"Swann")</f>
        <v>Swann</v>
      </c>
      <c r="E2016" t="str">
        <f>IFERROR(__xludf.DUMMYFUNCTION("""COMPUTED_VALUE"""),"Damian")</f>
        <v>Damian</v>
      </c>
      <c r="F2016">
        <f>IFERROR(__xludf.DUMMYFUNCTION("""COMPUTED_VALUE"""),10.2)</f>
        <v>10.2</v>
      </c>
    </row>
    <row r="2017">
      <c r="D2017" t="str">
        <f>IFERROR(__xludf.DUMMYFUNCTION("""COMPUTED_VALUE"""),"Swanson")</f>
        <v>Swanson</v>
      </c>
      <c r="E2017" t="str">
        <f>IFERROR(__xludf.DUMMYFUNCTION("""COMPUTED_VALUE"""),"Garrett")</f>
        <v>Garrett</v>
      </c>
      <c r="F2017">
        <f>IFERROR(__xludf.DUMMYFUNCTION("""COMPUTED_VALUE"""),10.35)</f>
        <v>10.35</v>
      </c>
    </row>
    <row r="2018">
      <c r="D2018" t="str">
        <f>IFERROR(__xludf.DUMMYFUNCTION("""COMPUTED_VALUE"""),"Swanson")</f>
        <v>Swanson</v>
      </c>
      <c r="E2018" t="str">
        <f>IFERROR(__xludf.DUMMYFUNCTION("""COMPUTED_VALUE"""),"Travis")</f>
        <v>Travis</v>
      </c>
      <c r="F2018">
        <f>IFERROR(__xludf.DUMMYFUNCTION("""COMPUTED_VALUE"""),10.049999999999999)</f>
        <v>10.05</v>
      </c>
    </row>
    <row r="2019">
      <c r="D2019" t="str">
        <f>IFERROR(__xludf.DUMMYFUNCTION("""COMPUTED_VALUE"""),"Swearinger")</f>
        <v>Swearinger</v>
      </c>
      <c r="E2019" t="str">
        <f>IFERROR(__xludf.DUMMYFUNCTION("""COMPUTED_VALUE"""),"DJ")</f>
        <v>DJ</v>
      </c>
      <c r="F2019">
        <f>IFERROR(__xludf.DUMMYFUNCTION("""COMPUTED_VALUE"""),10.799999999999999)</f>
        <v>10.8</v>
      </c>
    </row>
    <row r="2020">
      <c r="D2020" t="str">
        <f>IFERROR(__xludf.DUMMYFUNCTION("""COMPUTED_VALUE"""),"Sweezy")</f>
        <v>Sweezy</v>
      </c>
      <c r="E2020" t="str">
        <f>IFERROR(__xludf.DUMMYFUNCTION("""COMPUTED_VALUE"""),"JR")</f>
        <v>JR</v>
      </c>
      <c r="F2020">
        <f>IFERROR(__xludf.DUMMYFUNCTION("""COMPUTED_VALUE"""),11.4)</f>
        <v>11.4</v>
      </c>
    </row>
    <row r="2021">
      <c r="D2021" t="str">
        <f>IFERROR(__xludf.DUMMYFUNCTION("""COMPUTED_VALUE"""),"Swoope")</f>
        <v>Swoope</v>
      </c>
      <c r="E2021" t="str">
        <f>IFERROR(__xludf.DUMMYFUNCTION("""COMPUTED_VALUE"""),"Erik")</f>
        <v>Erik</v>
      </c>
      <c r="F2021">
        <f>IFERROR(__xludf.DUMMYFUNCTION("""COMPUTED_VALUE"""),8.7)</f>
        <v>8.7</v>
      </c>
    </row>
    <row r="2022">
      <c r="D2022" t="str">
        <f>IFERROR(__xludf.DUMMYFUNCTION("""COMPUTED_VALUE"""),"Taamu")</f>
        <v>Taamu</v>
      </c>
      <c r="E2022" t="str">
        <f>IFERROR(__xludf.DUMMYFUNCTION("""COMPUTED_VALUE"""),"Alameda")</f>
        <v>Alameda</v>
      </c>
      <c r="F2022">
        <f>IFERROR(__xludf.DUMMYFUNCTION("""COMPUTED_VALUE"""),10.65)</f>
        <v>10.65</v>
      </c>
    </row>
    <row r="2023">
      <c r="D2023" t="str">
        <f>IFERROR(__xludf.DUMMYFUNCTION("""COMPUTED_VALUE"""),"Taliaferro")</f>
        <v>Taliaferro</v>
      </c>
      <c r="E2023" t="str">
        <f>IFERROR(__xludf.DUMMYFUNCTION("""COMPUTED_VALUE"""),"Lorenzo")</f>
        <v>Lorenzo</v>
      </c>
      <c r="F2023">
        <f>IFERROR(__xludf.DUMMYFUNCTION("""COMPUTED_VALUE"""),10.95)</f>
        <v>10.95</v>
      </c>
    </row>
    <row r="2024">
      <c r="D2024" t="str">
        <f>IFERROR(__xludf.DUMMYFUNCTION("""COMPUTED_VALUE"""),"Talib")</f>
        <v>Talib</v>
      </c>
      <c r="E2024" t="str">
        <f>IFERROR(__xludf.DUMMYFUNCTION("""COMPUTED_VALUE"""),"Aqib")</f>
        <v>Aqib</v>
      </c>
      <c r="F2024">
        <f>IFERROR(__xludf.DUMMYFUNCTION("""COMPUTED_VALUE"""),13.5)</f>
        <v>13.5</v>
      </c>
    </row>
    <row r="2025">
      <c r="D2025" t="str">
        <f>IFERROR(__xludf.DUMMYFUNCTION("""COMPUTED_VALUE"""),"Tamme")</f>
        <v>Tamme</v>
      </c>
      <c r="E2025" t="str">
        <f>IFERROR(__xludf.DUMMYFUNCTION("""COMPUTED_VALUE"""),"Jacob")</f>
        <v>Jacob</v>
      </c>
      <c r="F2025">
        <f>IFERROR(__xludf.DUMMYFUNCTION("""COMPUTED_VALUE"""),11.85)</f>
        <v>11.85</v>
      </c>
    </row>
    <row r="2026">
      <c r="D2026" t="str">
        <f>IFERROR(__xludf.DUMMYFUNCTION("""COMPUTED_VALUE"""),"Tandy")</f>
        <v>Tandy</v>
      </c>
      <c r="E2026" t="str">
        <f>IFERROR(__xludf.DUMMYFUNCTION("""COMPUTED_VALUE"""),"Keith")</f>
        <v>Keith</v>
      </c>
      <c r="F2026">
        <f>IFERROR(__xludf.DUMMYFUNCTION("""COMPUTED_VALUE"""),10.65)</f>
        <v>10.65</v>
      </c>
    </row>
    <row r="2027">
      <c r="D2027" t="str">
        <f>IFERROR(__xludf.DUMMYFUNCTION("""COMPUTED_VALUE"""),"Tannehill")</f>
        <v>Tannehill</v>
      </c>
      <c r="E2027" t="str">
        <f>IFERROR(__xludf.DUMMYFUNCTION("""COMPUTED_VALUE"""),"Ryan")</f>
        <v>Ryan</v>
      </c>
      <c r="F2027">
        <f>IFERROR(__xludf.DUMMYFUNCTION("""COMPUTED_VALUE"""),11.85)</f>
        <v>11.85</v>
      </c>
    </row>
    <row r="2028">
      <c r="D2028" t="str">
        <f>IFERROR(__xludf.DUMMYFUNCTION("""COMPUTED_VALUE"""),"Tanney")</f>
        <v>Tanney</v>
      </c>
      <c r="E2028" t="str">
        <f>IFERROR(__xludf.DUMMYFUNCTION("""COMPUTED_VALUE"""),"Alex")</f>
        <v>Alex</v>
      </c>
      <c r="F2028">
        <f>IFERROR(__xludf.DUMMYFUNCTION("""COMPUTED_VALUE"""),9.45)</f>
        <v>9.45</v>
      </c>
    </row>
    <row r="2029">
      <c r="D2029" t="str">
        <f>IFERROR(__xludf.DUMMYFUNCTION("""COMPUTED_VALUE"""),"Tapper")</f>
        <v>Tapper</v>
      </c>
      <c r="E2029" t="str">
        <f>IFERROR(__xludf.DUMMYFUNCTION("""COMPUTED_VALUE"""),"Charles")</f>
        <v>Charles</v>
      </c>
      <c r="F2029">
        <f>IFERROR(__xludf.DUMMYFUNCTION("""COMPUTED_VALUE"""),10.2)</f>
        <v>10.2</v>
      </c>
    </row>
    <row r="2030">
      <c r="D2030" t="str">
        <f>IFERROR(__xludf.DUMMYFUNCTION("""COMPUTED_VALUE"""),"Tartt")</f>
        <v>Tartt</v>
      </c>
      <c r="E2030" t="str">
        <f>IFERROR(__xludf.DUMMYFUNCTION("""COMPUTED_VALUE"""),"Jaquiski")</f>
        <v>Jaquiski</v>
      </c>
      <c r="F2030">
        <f>IFERROR(__xludf.DUMMYFUNCTION("""COMPUTED_VALUE"""),10.65)</f>
        <v>10.65</v>
      </c>
    </row>
    <row r="2031">
      <c r="D2031" t="str">
        <f>IFERROR(__xludf.DUMMYFUNCTION("""COMPUTED_VALUE"""),"Tate")</f>
        <v>Tate</v>
      </c>
      <c r="E2031" t="str">
        <f>IFERROR(__xludf.DUMMYFUNCTION("""COMPUTED_VALUE"""),"Brandon")</f>
        <v>Brandon</v>
      </c>
      <c r="F2031">
        <f>IFERROR(__xludf.DUMMYFUNCTION("""COMPUTED_VALUE"""),10.65)</f>
        <v>10.65</v>
      </c>
    </row>
    <row r="2032">
      <c r="D2032" t="str">
        <f>IFERROR(__xludf.DUMMYFUNCTION("""COMPUTED_VALUE"""),"Tate III")</f>
        <v>Tate III</v>
      </c>
      <c r="E2032" t="str">
        <f>IFERROR(__xludf.DUMMYFUNCTION("""COMPUTED_VALUE"""),"Golden")</f>
        <v>Golden</v>
      </c>
      <c r="F2032">
        <f>IFERROR(__xludf.DUMMYFUNCTION("""COMPUTED_VALUE"""),13.35)</f>
        <v>13.35</v>
      </c>
    </row>
    <row r="2033">
      <c r="D2033" t="str">
        <f>IFERROR(__xludf.DUMMYFUNCTION("""COMPUTED_VALUE"""),"Tavai")</f>
        <v>Tavai</v>
      </c>
      <c r="E2033" t="str">
        <f>IFERROR(__xludf.DUMMYFUNCTION("""COMPUTED_VALUE"""),"JR")</f>
        <v>JR</v>
      </c>
      <c r="F2033">
        <f>IFERROR(__xludf.DUMMYFUNCTION("""COMPUTED_VALUE"""),8.85)</f>
        <v>8.85</v>
      </c>
    </row>
    <row r="2034">
      <c r="D2034" t="str">
        <f>IFERROR(__xludf.DUMMYFUNCTION("""COMPUTED_VALUE"""),"Tavecchio")</f>
        <v>Tavecchio</v>
      </c>
      <c r="E2034" t="str">
        <f>IFERROR(__xludf.DUMMYFUNCTION("""COMPUTED_VALUE"""),"Giorgio")</f>
        <v>Giorgio</v>
      </c>
      <c r="F2034">
        <f>IFERROR(__xludf.DUMMYFUNCTION("""COMPUTED_VALUE"""),10.049999999999999)</f>
        <v>10.05</v>
      </c>
    </row>
    <row r="2035">
      <c r="D2035" t="str">
        <f>IFERROR(__xludf.DUMMYFUNCTION("""COMPUTED_VALUE"""),"Taylor")</f>
        <v>Taylor</v>
      </c>
      <c r="E2035" t="str">
        <f>IFERROR(__xludf.DUMMYFUNCTION("""COMPUTED_VALUE"""),"Cooper")</f>
        <v>Cooper</v>
      </c>
      <c r="F2035">
        <f>IFERROR(__xludf.DUMMYFUNCTION("""COMPUTED_VALUE"""),10.35)</f>
        <v>10.35</v>
      </c>
    </row>
    <row r="2036">
      <c r="D2036" t="str">
        <f>IFERROR(__xludf.DUMMYFUNCTION("""COMPUTED_VALUE"""),"Taylor")</f>
        <v>Taylor</v>
      </c>
      <c r="E2036" t="str">
        <f>IFERROR(__xludf.DUMMYFUNCTION("""COMPUTED_VALUE"""),"Devin")</f>
        <v>Devin</v>
      </c>
      <c r="F2036">
        <f>IFERROR(__xludf.DUMMYFUNCTION("""COMPUTED_VALUE"""),10.799999999999999)</f>
        <v>10.8</v>
      </c>
    </row>
    <row r="2037">
      <c r="D2037" t="str">
        <f>IFERROR(__xludf.DUMMYFUNCTION("""COMPUTED_VALUE"""),"Taylor")</f>
        <v>Taylor</v>
      </c>
      <c r="E2037" t="str">
        <f>IFERROR(__xludf.DUMMYFUNCTION("""COMPUTED_VALUE"""),"Jamar")</f>
        <v>Jamar</v>
      </c>
      <c r="F2037">
        <f>IFERROR(__xludf.DUMMYFUNCTION("""COMPUTED_VALUE"""),10.5)</f>
        <v>10.5</v>
      </c>
    </row>
    <row r="2038">
      <c r="D2038" t="str">
        <f>IFERROR(__xludf.DUMMYFUNCTION("""COMPUTED_VALUE"""),"Taylor")</f>
        <v>Taylor</v>
      </c>
      <c r="E2038" t="str">
        <f>IFERROR(__xludf.DUMMYFUNCTION("""COMPUTED_VALUE"""),"Kelvin")</f>
        <v>Kelvin</v>
      </c>
      <c r="F2038">
        <f>IFERROR(__xludf.DUMMYFUNCTION("""COMPUTED_VALUE"""),10.049999999999999)</f>
        <v>10.05</v>
      </c>
    </row>
    <row r="2039">
      <c r="D2039" t="str">
        <f>IFERROR(__xludf.DUMMYFUNCTION("""COMPUTED_VALUE"""),"Taylor")</f>
        <v>Taylor</v>
      </c>
      <c r="E2039" t="str">
        <f>IFERROR(__xludf.DUMMYFUNCTION("""COMPUTED_VALUE"""),"Lane")</f>
        <v>Lane</v>
      </c>
      <c r="F2039">
        <f>IFERROR(__xludf.DUMMYFUNCTION("""COMPUTED_VALUE"""),10.049999999999999)</f>
        <v>10.05</v>
      </c>
    </row>
    <row r="2040">
      <c r="D2040" t="str">
        <f>IFERROR(__xludf.DUMMYFUNCTION("""COMPUTED_VALUE"""),"Taylor")</f>
        <v>Taylor</v>
      </c>
      <c r="E2040" t="str">
        <f>IFERROR(__xludf.DUMMYFUNCTION("""COMPUTED_VALUE"""),"Stepfan")</f>
        <v>Stepfan</v>
      </c>
      <c r="F2040">
        <f>IFERROR(__xludf.DUMMYFUNCTION("""COMPUTED_VALUE"""),10.95)</f>
        <v>10.95</v>
      </c>
    </row>
    <row r="2041">
      <c r="D2041" t="str">
        <f>IFERROR(__xludf.DUMMYFUNCTION("""COMPUTED_VALUE"""),"Taylor")</f>
        <v>Taylor</v>
      </c>
      <c r="E2041" t="str">
        <f>IFERROR(__xludf.DUMMYFUNCTION("""COMPUTED_VALUE"""),"Tyrod")</f>
        <v>Tyrod</v>
      </c>
      <c r="F2041">
        <f>IFERROR(__xludf.DUMMYFUNCTION("""COMPUTED_VALUE"""),12.299999999999999)</f>
        <v>12.3</v>
      </c>
    </row>
    <row r="2042">
      <c r="D2042" t="str">
        <f>IFERROR(__xludf.DUMMYFUNCTION("""COMPUTED_VALUE"""),"Telfer")</f>
        <v>Telfer</v>
      </c>
      <c r="E2042" t="str">
        <f>IFERROR(__xludf.DUMMYFUNCTION("""COMPUTED_VALUE"""),"Randall")</f>
        <v>Randall</v>
      </c>
      <c r="F2042">
        <f>IFERROR(__xludf.DUMMYFUNCTION("""COMPUTED_VALUE"""),9.9)</f>
        <v>9.9</v>
      </c>
    </row>
    <row r="2043">
      <c r="D2043" t="str">
        <f>IFERROR(__xludf.DUMMYFUNCTION("""COMPUTED_VALUE"""),"Teo")</f>
        <v>Teo</v>
      </c>
      <c r="E2043" t="str">
        <f>IFERROR(__xludf.DUMMYFUNCTION("""COMPUTED_VALUE"""),"Manti")</f>
        <v>Manti</v>
      </c>
      <c r="F2043">
        <f>IFERROR(__xludf.DUMMYFUNCTION("""COMPUTED_VALUE"""),11.25)</f>
        <v>11.25</v>
      </c>
    </row>
    <row r="2044">
      <c r="D2044" t="str">
        <f>IFERROR(__xludf.DUMMYFUNCTION("""COMPUTED_VALUE"""),"Terrell")</f>
        <v>Terrell</v>
      </c>
      <c r="E2044" t="str">
        <f>IFERROR(__xludf.DUMMYFUNCTION("""COMPUTED_VALUE"""),"Steven")</f>
        <v>Steven</v>
      </c>
      <c r="F2044">
        <f>IFERROR(__xludf.DUMMYFUNCTION("""COMPUTED_VALUE"""),10.2)</f>
        <v>10.2</v>
      </c>
    </row>
    <row r="2045">
      <c r="D2045" t="str">
        <f>IFERROR(__xludf.DUMMYFUNCTION("""COMPUTED_VALUE"""),"Therezie")</f>
        <v>Therezie</v>
      </c>
      <c r="E2045" t="str">
        <f>IFERROR(__xludf.DUMMYFUNCTION("""COMPUTED_VALUE"""),"Robenson")</f>
        <v>Robenson</v>
      </c>
      <c r="F2045">
        <f>IFERROR(__xludf.DUMMYFUNCTION("""COMPUTED_VALUE"""),10.2)</f>
        <v>10.2</v>
      </c>
    </row>
    <row r="2046">
      <c r="D2046" t="str">
        <f>IFERROR(__xludf.DUMMYFUNCTION("""COMPUTED_VALUE"""),"Theus")</f>
        <v>Theus</v>
      </c>
      <c r="E2046" t="str">
        <f>IFERROR(__xludf.DUMMYFUNCTION("""COMPUTED_VALUE"""),"John")</f>
        <v>John</v>
      </c>
      <c r="F2046">
        <f>IFERROR(__xludf.DUMMYFUNCTION("""COMPUTED_VALUE"""),9.45)</f>
        <v>9.45</v>
      </c>
    </row>
    <row r="2047">
      <c r="D2047" t="str">
        <f>IFERROR(__xludf.DUMMYFUNCTION("""COMPUTED_VALUE"""),"Thielen")</f>
        <v>Thielen</v>
      </c>
      <c r="E2047" t="str">
        <f>IFERROR(__xludf.DUMMYFUNCTION("""COMPUTED_VALUE"""),"Adam")</f>
        <v>Adam</v>
      </c>
      <c r="F2047">
        <f>IFERROR(__xludf.DUMMYFUNCTION("""COMPUTED_VALUE"""),10.35)</f>
        <v>10.35</v>
      </c>
    </row>
    <row r="2048">
      <c r="D2048" t="str">
        <f>IFERROR(__xludf.DUMMYFUNCTION("""COMPUTED_VALUE"""),"Thomas")</f>
        <v>Thomas</v>
      </c>
      <c r="E2048" t="str">
        <f>IFERROR(__xludf.DUMMYFUNCTION("""COMPUTED_VALUE"""),"Brandon")</f>
        <v>Brandon</v>
      </c>
      <c r="F2048">
        <f>IFERROR(__xludf.DUMMYFUNCTION("""COMPUTED_VALUE"""),10.049999999999999)</f>
        <v>10.05</v>
      </c>
    </row>
    <row r="2049">
      <c r="D2049" t="str">
        <f>IFERROR(__xludf.DUMMYFUNCTION("""COMPUTED_VALUE"""),"Thomas")</f>
        <v>Thomas</v>
      </c>
      <c r="E2049" t="str">
        <f>IFERROR(__xludf.DUMMYFUNCTION("""COMPUTED_VALUE"""),"Cam")</f>
        <v>Cam</v>
      </c>
      <c r="F2049">
        <f>IFERROR(__xludf.DUMMYFUNCTION("""COMPUTED_VALUE"""),9.9)</f>
        <v>9.9</v>
      </c>
    </row>
    <row r="2050">
      <c r="D2050" t="str">
        <f>IFERROR(__xludf.DUMMYFUNCTION("""COMPUTED_VALUE"""),"Thomas")</f>
        <v>Thomas</v>
      </c>
      <c r="E2050" t="str">
        <f>IFERROR(__xludf.DUMMYFUNCTION("""COMPUTED_VALUE"""),"Dallas")</f>
        <v>Dallas</v>
      </c>
      <c r="F2050">
        <f>IFERROR(__xludf.DUMMYFUNCTION("""COMPUTED_VALUE"""),9.9)</f>
        <v>9.9</v>
      </c>
    </row>
    <row r="2051">
      <c r="D2051" t="str">
        <f>IFERROR(__xludf.DUMMYFUNCTION("""COMPUTED_VALUE"""),"Thomas")</f>
        <v>Thomas</v>
      </c>
      <c r="E2051" t="str">
        <f>IFERROR(__xludf.DUMMYFUNCTION("""COMPUTED_VALUE"""),"Daniel")</f>
        <v>Daniel</v>
      </c>
      <c r="F2051">
        <f>IFERROR(__xludf.DUMMYFUNCTION("""COMPUTED_VALUE"""),10.799999999999999)</f>
        <v>10.8</v>
      </c>
    </row>
    <row r="2052">
      <c r="D2052" t="str">
        <f>IFERROR(__xludf.DUMMYFUNCTION("""COMPUTED_VALUE"""),"Thomas")</f>
        <v>Thomas</v>
      </c>
      <c r="E2052" t="str">
        <f>IFERROR(__xludf.DUMMYFUNCTION("""COMPUTED_VALUE"""),"DeAnthony")</f>
        <v>DeAnthony</v>
      </c>
      <c r="F2052">
        <f>IFERROR(__xludf.DUMMYFUNCTION("""COMPUTED_VALUE"""),10.65)</f>
        <v>10.65</v>
      </c>
    </row>
    <row r="2053">
      <c r="D2053" t="str">
        <f>IFERROR(__xludf.DUMMYFUNCTION("""COMPUTED_VALUE"""),"Thomas")</f>
        <v>Thomas</v>
      </c>
      <c r="E2053" t="str">
        <f>IFERROR(__xludf.DUMMYFUNCTION("""COMPUTED_VALUE"""),"Demaryius")</f>
        <v>Demaryius</v>
      </c>
      <c r="F2053">
        <f>IFERROR(__xludf.DUMMYFUNCTION("""COMPUTED_VALUE"""),13.049999999999999)</f>
        <v>13.05</v>
      </c>
    </row>
    <row r="2054">
      <c r="D2054" t="str">
        <f>IFERROR(__xludf.DUMMYFUNCTION("""COMPUTED_VALUE"""),"Thomas")</f>
        <v>Thomas</v>
      </c>
      <c r="E2054" t="str">
        <f>IFERROR(__xludf.DUMMYFUNCTION("""COMPUTED_VALUE"""),"Joe")</f>
        <v>Joe</v>
      </c>
      <c r="F2054">
        <f>IFERROR(__xludf.DUMMYFUNCTION("""COMPUTED_VALUE"""),14.549999999999999)</f>
        <v>14.55</v>
      </c>
    </row>
    <row r="2055">
      <c r="D2055" t="str">
        <f>IFERROR(__xludf.DUMMYFUNCTION("""COMPUTED_VALUE"""),"Thomas")</f>
        <v>Thomas</v>
      </c>
      <c r="E2055" t="str">
        <f>IFERROR(__xludf.DUMMYFUNCTION("""COMPUTED_VALUE"""),"Joe")</f>
        <v>Joe</v>
      </c>
      <c r="F2055">
        <f>IFERROR(__xludf.DUMMYFUNCTION("""COMPUTED_VALUE"""),10.5)</f>
        <v>10.5</v>
      </c>
    </row>
    <row r="2056">
      <c r="D2056" t="str">
        <f>IFERROR(__xludf.DUMMYFUNCTION("""COMPUTED_VALUE"""),"Thomas")</f>
        <v>Thomas</v>
      </c>
      <c r="E2056" t="str">
        <f>IFERROR(__xludf.DUMMYFUNCTION("""COMPUTED_VALUE"""),"Josh")</f>
        <v>Josh</v>
      </c>
      <c r="F2056">
        <f>IFERROR(__xludf.DUMMYFUNCTION("""COMPUTED_VALUE"""),9.9)</f>
        <v>9.9</v>
      </c>
    </row>
    <row r="2057">
      <c r="D2057" t="str">
        <f>IFERROR(__xludf.DUMMYFUNCTION("""COMPUTED_VALUE"""),"Thomas")</f>
        <v>Thomas</v>
      </c>
      <c r="E2057" t="str">
        <f>IFERROR(__xludf.DUMMYFUNCTION("""COMPUTED_VALUE"""),"Julius")</f>
        <v>Julius</v>
      </c>
      <c r="F2057">
        <f>IFERROR(__xludf.DUMMYFUNCTION("""COMPUTED_VALUE"""),12.45)</f>
        <v>12.45</v>
      </c>
    </row>
    <row r="2058">
      <c r="D2058" t="str">
        <f>IFERROR(__xludf.DUMMYFUNCTION("""COMPUTED_VALUE"""),"Thomas")</f>
        <v>Thomas</v>
      </c>
      <c r="E2058" t="str">
        <f>IFERROR(__xludf.DUMMYFUNCTION("""COMPUTED_VALUE"""),"Michael")</f>
        <v>Michael</v>
      </c>
      <c r="F2058">
        <f>IFERROR(__xludf.DUMMYFUNCTION("""COMPUTED_VALUE"""),11.1)</f>
        <v>11.1</v>
      </c>
    </row>
    <row r="2059">
      <c r="D2059" t="str">
        <f>IFERROR(__xludf.DUMMYFUNCTION("""COMPUTED_VALUE"""),"Thomas")</f>
        <v>Thomas</v>
      </c>
      <c r="E2059" t="str">
        <f>IFERROR(__xludf.DUMMYFUNCTION("""COMPUTED_VALUE"""),"Michael")</f>
        <v>Michael</v>
      </c>
      <c r="F2059">
        <f>IFERROR(__xludf.DUMMYFUNCTION("""COMPUTED_VALUE"""),10.5)</f>
        <v>10.5</v>
      </c>
    </row>
    <row r="2060">
      <c r="D2060" t="str">
        <f>IFERROR(__xludf.DUMMYFUNCTION("""COMPUTED_VALUE"""),"Thomas")</f>
        <v>Thomas</v>
      </c>
      <c r="E2060" t="str">
        <f>IFERROR(__xludf.DUMMYFUNCTION("""COMPUTED_VALUE"""),"Mike")</f>
        <v>Mike</v>
      </c>
      <c r="F2060">
        <f>IFERROR(__xludf.DUMMYFUNCTION("""COMPUTED_VALUE"""),9.45)</f>
        <v>9.45</v>
      </c>
    </row>
    <row r="2061">
      <c r="D2061" t="str">
        <f>IFERROR(__xludf.DUMMYFUNCTION("""COMPUTED_VALUE"""),"Thomas")</f>
        <v>Thomas</v>
      </c>
      <c r="E2061" t="str">
        <f>IFERROR(__xludf.DUMMYFUNCTION("""COMPUTED_VALUE"""),"Phillip")</f>
        <v>Phillip</v>
      </c>
      <c r="F2061">
        <f>IFERROR(__xludf.DUMMYFUNCTION("""COMPUTED_VALUE"""),10.2)</f>
        <v>10.2</v>
      </c>
    </row>
    <row r="2062">
      <c r="D2062" t="str">
        <f>IFERROR(__xludf.DUMMYFUNCTION("""COMPUTED_VALUE"""),"Thomas")</f>
        <v>Thomas</v>
      </c>
      <c r="E2062" t="str">
        <f>IFERROR(__xludf.DUMMYFUNCTION("""COMPUTED_VALUE"""),"Robert")</f>
        <v>Robert</v>
      </c>
      <c r="F2062">
        <f>IFERROR(__xludf.DUMMYFUNCTION("""COMPUTED_VALUE"""),7.6499999999999995)</f>
        <v>7.65</v>
      </c>
    </row>
    <row r="2063">
      <c r="D2063" t="str">
        <f>IFERROR(__xludf.DUMMYFUNCTION("""COMPUTED_VALUE"""),"Thomas")</f>
        <v>Thomas</v>
      </c>
      <c r="E2063" t="str">
        <f>IFERROR(__xludf.DUMMYFUNCTION("""COMPUTED_VALUE"""),"Shamarko")</f>
        <v>Shamarko</v>
      </c>
      <c r="F2063">
        <f>IFERROR(__xludf.DUMMYFUNCTION("""COMPUTED_VALUE"""),10.799999999999999)</f>
        <v>10.8</v>
      </c>
    </row>
    <row r="2064">
      <c r="D2064" t="str">
        <f>IFERROR(__xludf.DUMMYFUNCTION("""COMPUTED_VALUE"""),"Thomas III")</f>
        <v>Thomas III</v>
      </c>
      <c r="E2064" t="str">
        <f>IFERROR(__xludf.DUMMYFUNCTION("""COMPUTED_VALUE"""),"Earl")</f>
        <v>Earl</v>
      </c>
      <c r="F2064">
        <f>IFERROR(__xludf.DUMMYFUNCTION("""COMPUTED_VALUE"""),13.95)</f>
        <v>13.95</v>
      </c>
    </row>
    <row r="2065">
      <c r="D2065" t="str">
        <f>IFERROR(__xludf.DUMMYFUNCTION("""COMPUTED_VALUE"""),"Thomas III")</f>
        <v>Thomas III</v>
      </c>
      <c r="E2065" t="str">
        <f>IFERROR(__xludf.DUMMYFUNCTION("""COMPUTED_VALUE"""),"JT")</f>
        <v>JT</v>
      </c>
      <c r="F2065">
        <f>IFERROR(__xludf.DUMMYFUNCTION("""COMPUTED_VALUE"""),11.4)</f>
        <v>11.4</v>
      </c>
    </row>
    <row r="2066">
      <c r="D2066" t="str">
        <f>IFERROR(__xludf.DUMMYFUNCTION("""COMPUTED_VALUE"""),"Thompkins")</f>
        <v>Thompkins</v>
      </c>
      <c r="E2066" t="str">
        <f>IFERROR(__xludf.DUMMYFUNCTION("""COMPUTED_VALUE"""),"Kenbrell")</f>
        <v>Kenbrell</v>
      </c>
      <c r="F2066">
        <f>IFERROR(__xludf.DUMMYFUNCTION("""COMPUTED_VALUE"""),10.049999999999999)</f>
        <v>10.05</v>
      </c>
    </row>
    <row r="2067">
      <c r="D2067" t="str">
        <f>IFERROR(__xludf.DUMMYFUNCTION("""COMPUTED_VALUE"""),"Thompson")</f>
        <v>Thompson</v>
      </c>
      <c r="E2067" t="str">
        <f>IFERROR(__xludf.DUMMYFUNCTION("""COMPUTED_VALUE"""),"Brandon")</f>
        <v>Brandon</v>
      </c>
      <c r="F2067">
        <f>IFERROR(__xludf.DUMMYFUNCTION("""COMPUTED_VALUE"""),10.049999999999999)</f>
        <v>10.05</v>
      </c>
    </row>
    <row r="2068">
      <c r="D2068" t="str">
        <f>IFERROR(__xludf.DUMMYFUNCTION("""COMPUTED_VALUE"""),"Thompson")</f>
        <v>Thompson</v>
      </c>
      <c r="E2068" t="str">
        <f>IFERROR(__xludf.DUMMYFUNCTION("""COMPUTED_VALUE"""),"Carlos")</f>
        <v>Carlos</v>
      </c>
      <c r="F2068">
        <f>IFERROR(__xludf.DUMMYFUNCTION("""COMPUTED_VALUE"""),9.299999999999999)</f>
        <v>9.3</v>
      </c>
    </row>
    <row r="2069">
      <c r="D2069" t="str">
        <f>IFERROR(__xludf.DUMMYFUNCTION("""COMPUTED_VALUE"""),"Thompson")</f>
        <v>Thompson</v>
      </c>
      <c r="E2069" t="str">
        <f>IFERROR(__xludf.DUMMYFUNCTION("""COMPUTED_VALUE"""),"Chris")</f>
        <v>Chris</v>
      </c>
      <c r="F2069">
        <f>IFERROR(__xludf.DUMMYFUNCTION("""COMPUTED_VALUE"""),10.799999999999999)</f>
        <v>10.8</v>
      </c>
    </row>
    <row r="2070">
      <c r="D2070" t="str">
        <f>IFERROR(__xludf.DUMMYFUNCTION("""COMPUTED_VALUE"""),"Thompson")</f>
        <v>Thompson</v>
      </c>
      <c r="E2070" t="str">
        <f>IFERROR(__xludf.DUMMYFUNCTION("""COMPUTED_VALUE"""),"Darian")</f>
        <v>Darian</v>
      </c>
      <c r="F2070">
        <f>IFERROR(__xludf.DUMMYFUNCTION("""COMPUTED_VALUE"""),10.35)</f>
        <v>10.35</v>
      </c>
    </row>
    <row r="2071">
      <c r="D2071" t="str">
        <f>IFERROR(__xludf.DUMMYFUNCTION("""COMPUTED_VALUE"""),"Thompson")</f>
        <v>Thompson</v>
      </c>
      <c r="E2071" t="str">
        <f>IFERROR(__xludf.DUMMYFUNCTION("""COMPUTED_VALUE"""),"Deonte")</f>
        <v>Deonte</v>
      </c>
      <c r="F2071">
        <f>IFERROR(__xludf.DUMMYFUNCTION("""COMPUTED_VALUE"""),9.6)</f>
        <v>9.6</v>
      </c>
    </row>
    <row r="2072">
      <c r="D2072" t="str">
        <f>IFERROR(__xludf.DUMMYFUNCTION("""COMPUTED_VALUE"""),"Thompson")</f>
        <v>Thompson</v>
      </c>
      <c r="E2072" t="str">
        <f>IFERROR(__xludf.DUMMYFUNCTION("""COMPUTED_VALUE"""),"Dylan")</f>
        <v>Dylan</v>
      </c>
      <c r="F2072">
        <f>IFERROR(__xludf.DUMMYFUNCTION("""COMPUTED_VALUE"""),9.15)</f>
        <v>9.15</v>
      </c>
    </row>
    <row r="2073">
      <c r="D2073" t="str">
        <f>IFERROR(__xludf.DUMMYFUNCTION("""COMPUTED_VALUE"""),"Thompson")</f>
        <v>Thompson</v>
      </c>
      <c r="E2073" t="str">
        <f>IFERROR(__xludf.DUMMYFUNCTION("""COMPUTED_VALUE"""),"Juwan")</f>
        <v>Juwan</v>
      </c>
      <c r="F2073">
        <f>IFERROR(__xludf.DUMMYFUNCTION("""COMPUTED_VALUE"""),10.65)</f>
        <v>10.65</v>
      </c>
    </row>
    <row r="2074">
      <c r="D2074" t="str">
        <f>IFERROR(__xludf.DUMMYFUNCTION("""COMPUTED_VALUE"""),"Thompson")</f>
        <v>Thompson</v>
      </c>
      <c r="E2074" t="str">
        <f>IFERROR(__xludf.DUMMYFUNCTION("""COMPUTED_VALUE"""),"Mykkele")</f>
        <v>Mykkele</v>
      </c>
      <c r="F2074">
        <f>IFERROR(__xludf.DUMMYFUNCTION("""COMPUTED_VALUE"""),9.9)</f>
        <v>9.9</v>
      </c>
    </row>
    <row r="2075">
      <c r="D2075" t="str">
        <f>IFERROR(__xludf.DUMMYFUNCTION("""COMPUTED_VALUE"""),"Thompson")</f>
        <v>Thompson</v>
      </c>
      <c r="E2075" t="str">
        <f>IFERROR(__xludf.DUMMYFUNCTION("""COMPUTED_VALUE"""),"Peyton")</f>
        <v>Peyton</v>
      </c>
      <c r="F2075">
        <f>IFERROR(__xludf.DUMMYFUNCTION("""COMPUTED_VALUE"""),9.299999999999999)</f>
        <v>9.3</v>
      </c>
    </row>
    <row r="2076">
      <c r="D2076" t="str">
        <f>IFERROR(__xludf.DUMMYFUNCTION("""COMPUTED_VALUE"""),"Thompson")</f>
        <v>Thompson</v>
      </c>
      <c r="E2076" t="str">
        <f>IFERROR(__xludf.DUMMYFUNCTION("""COMPUTED_VALUE"""),"Ron")</f>
        <v>Ron</v>
      </c>
      <c r="F2076">
        <f>IFERROR(__xludf.DUMMYFUNCTION("""COMPUTED_VALUE"""),8.7)</f>
        <v>8.7</v>
      </c>
    </row>
    <row r="2077">
      <c r="D2077" t="str">
        <f>IFERROR(__xludf.DUMMYFUNCTION("""COMPUTED_VALUE"""),"Thompson")</f>
        <v>Thompson</v>
      </c>
      <c r="E2077" t="str">
        <f>IFERROR(__xludf.DUMMYFUNCTION("""COMPUTED_VALUE"""),"Shaq")</f>
        <v>Shaq</v>
      </c>
      <c r="F2077">
        <f>IFERROR(__xludf.DUMMYFUNCTION("""COMPUTED_VALUE"""),11.25)</f>
        <v>11.25</v>
      </c>
    </row>
    <row r="2078">
      <c r="D2078" t="str">
        <f>IFERROR(__xludf.DUMMYFUNCTION("""COMPUTED_VALUE"""),"Thompson")</f>
        <v>Thompson</v>
      </c>
      <c r="E2078" t="str">
        <f>IFERROR(__xludf.DUMMYFUNCTION("""COMPUTED_VALUE"""),"Tyrus")</f>
        <v>Tyrus</v>
      </c>
      <c r="F2078">
        <f>IFERROR(__xludf.DUMMYFUNCTION("""COMPUTED_VALUE"""),9.75)</f>
        <v>9.75</v>
      </c>
    </row>
    <row r="2079">
      <c r="D2079" t="str">
        <f>IFERROR(__xludf.DUMMYFUNCTION("""COMPUTED_VALUE"""),"Thornton")</f>
        <v>Thornton</v>
      </c>
      <c r="E2079" t="str">
        <f>IFERROR(__xludf.DUMMYFUNCTION("""COMPUTED_VALUE"""),"Cedric")</f>
        <v>Cedric</v>
      </c>
      <c r="F2079">
        <f>IFERROR(__xludf.DUMMYFUNCTION("""COMPUTED_VALUE"""),11.7)</f>
        <v>11.7</v>
      </c>
    </row>
    <row r="2080">
      <c r="D2080" t="str">
        <f>IFERROR(__xludf.DUMMYFUNCTION("""COMPUTED_VALUE"""),"Thornton")</f>
        <v>Thornton</v>
      </c>
      <c r="E2080" t="str">
        <f>IFERROR(__xludf.DUMMYFUNCTION("""COMPUTED_VALUE"""),"Hugh")</f>
        <v>Hugh</v>
      </c>
      <c r="F2080">
        <f>IFERROR(__xludf.DUMMYFUNCTION("""COMPUTED_VALUE"""),10.799999999999999)</f>
        <v>10.8</v>
      </c>
    </row>
    <row r="2081">
      <c r="D2081" t="str">
        <f>IFERROR(__xludf.DUMMYFUNCTION("""COMPUTED_VALUE"""),"Thorpe")</f>
        <v>Thorpe</v>
      </c>
      <c r="E2081" t="str">
        <f>IFERROR(__xludf.DUMMYFUNCTION("""COMPUTED_VALUE"""),"Neiko")</f>
        <v>Neiko</v>
      </c>
      <c r="F2081">
        <f>IFERROR(__xludf.DUMMYFUNCTION("""COMPUTED_VALUE"""),10.2)</f>
        <v>10.2</v>
      </c>
    </row>
    <row r="2082">
      <c r="D2082" t="str">
        <f>IFERROR(__xludf.DUMMYFUNCTION("""COMPUTED_VALUE"""),"Thuney")</f>
        <v>Thuney</v>
      </c>
      <c r="E2082" t="str">
        <f>IFERROR(__xludf.DUMMYFUNCTION("""COMPUTED_VALUE"""),"Joe")</f>
        <v>Joe</v>
      </c>
      <c r="F2082">
        <f>IFERROR(__xludf.DUMMYFUNCTION("""COMPUTED_VALUE"""),10.5)</f>
        <v>10.5</v>
      </c>
    </row>
    <row r="2083">
      <c r="D2083" t="str">
        <f>IFERROR(__xludf.DUMMYFUNCTION("""COMPUTED_VALUE"""),"Tiller")</f>
        <v>Tiller</v>
      </c>
      <c r="E2083" t="str">
        <f>IFERROR(__xludf.DUMMYFUNCTION("""COMPUTED_VALUE"""),"Andrew")</f>
        <v>Andrew</v>
      </c>
      <c r="F2083">
        <f>IFERROR(__xludf.DUMMYFUNCTION("""COMPUTED_VALUE"""),10.65)</f>
        <v>10.65</v>
      </c>
    </row>
    <row r="2084">
      <c r="D2084" t="str">
        <f>IFERROR(__xludf.DUMMYFUNCTION("""COMPUTED_VALUE"""),"Timmons")</f>
        <v>Timmons</v>
      </c>
      <c r="E2084" t="str">
        <f>IFERROR(__xludf.DUMMYFUNCTION("""COMPUTED_VALUE"""),"Lawrence")</f>
        <v>Lawrence</v>
      </c>
      <c r="F2084">
        <f>IFERROR(__xludf.DUMMYFUNCTION("""COMPUTED_VALUE"""),11.7)</f>
        <v>11.7</v>
      </c>
    </row>
    <row r="2085">
      <c r="D2085" t="str">
        <f>IFERROR(__xludf.DUMMYFUNCTION("""COMPUTED_VALUE"""),"Timu")</f>
        <v>Timu</v>
      </c>
      <c r="E2085" t="str">
        <f>IFERROR(__xludf.DUMMYFUNCTION("""COMPUTED_VALUE"""),"John")</f>
        <v>John</v>
      </c>
      <c r="F2085">
        <f>IFERROR(__xludf.DUMMYFUNCTION("""COMPUTED_VALUE"""),9.9)</f>
        <v>9.9</v>
      </c>
    </row>
    <row r="2086">
      <c r="D2086" t="str">
        <f>IFERROR(__xludf.DUMMYFUNCTION("""COMPUTED_VALUE"""),"Tinker")</f>
        <v>Tinker</v>
      </c>
      <c r="E2086" t="str">
        <f>IFERROR(__xludf.DUMMYFUNCTION("""COMPUTED_VALUE"""),"Carson")</f>
        <v>Carson</v>
      </c>
      <c r="F2086">
        <f>IFERROR(__xludf.DUMMYFUNCTION("""COMPUTED_VALUE"""),6.75)</f>
        <v>6.75</v>
      </c>
    </row>
    <row r="2087">
      <c r="D2087" t="str">
        <f>IFERROR(__xludf.DUMMYFUNCTION("""COMPUTED_VALUE"""),"Tobin")</f>
        <v>Tobin</v>
      </c>
      <c r="E2087" t="str">
        <f>IFERROR(__xludf.DUMMYFUNCTION("""COMPUTED_VALUE"""),"Matt")</f>
        <v>Matt</v>
      </c>
      <c r="F2087">
        <f>IFERROR(__xludf.DUMMYFUNCTION("""COMPUTED_VALUE"""),10.65)</f>
        <v>10.65</v>
      </c>
    </row>
    <row r="2088">
      <c r="D2088" t="str">
        <f>IFERROR(__xludf.DUMMYFUNCTION("""COMPUTED_VALUE"""),"Todman")</f>
        <v>Todman</v>
      </c>
      <c r="E2088" t="str">
        <f>IFERROR(__xludf.DUMMYFUNCTION("""COMPUTED_VALUE"""),"Jordan")</f>
        <v>Jordan</v>
      </c>
      <c r="F2088">
        <f>IFERROR(__xludf.DUMMYFUNCTION("""COMPUTED_VALUE"""),10.5)</f>
        <v>10.5</v>
      </c>
    </row>
    <row r="2089">
      <c r="D2089" t="str">
        <f>IFERROR(__xludf.DUMMYFUNCTION("""COMPUTED_VALUE"""),"Toilolo")</f>
        <v>Toilolo</v>
      </c>
      <c r="E2089" t="str">
        <f>IFERROR(__xludf.DUMMYFUNCTION("""COMPUTED_VALUE"""),"Levine")</f>
        <v>Levine</v>
      </c>
      <c r="F2089">
        <f>IFERROR(__xludf.DUMMYFUNCTION("""COMPUTED_VALUE"""),10.65)</f>
        <v>10.65</v>
      </c>
    </row>
    <row r="2090">
      <c r="D2090" t="str">
        <f>IFERROR(__xludf.DUMMYFUNCTION("""COMPUTED_VALUE"""),"Tolbert")</f>
        <v>Tolbert</v>
      </c>
      <c r="E2090" t="str">
        <f>IFERROR(__xludf.DUMMYFUNCTION("""COMPUTED_VALUE"""),"Mike")</f>
        <v>Mike</v>
      </c>
      <c r="F2090">
        <f>IFERROR(__xludf.DUMMYFUNCTION("""COMPUTED_VALUE"""),11.7)</f>
        <v>11.7</v>
      </c>
    </row>
    <row r="2091">
      <c r="D2091" t="str">
        <f>IFERROR(__xludf.DUMMYFUNCTION("""COMPUTED_VALUE"""),"Toler")</f>
        <v>Toler</v>
      </c>
      <c r="E2091" t="str">
        <f>IFERROR(__xludf.DUMMYFUNCTION("""COMPUTED_VALUE"""),"Greg")</f>
        <v>Greg</v>
      </c>
      <c r="F2091">
        <f>IFERROR(__xludf.DUMMYFUNCTION("""COMPUTED_VALUE"""),10.799999999999999)</f>
        <v>10.8</v>
      </c>
    </row>
    <row r="2092">
      <c r="D2092" t="str">
        <f>IFERROR(__xludf.DUMMYFUNCTION("""COMPUTED_VALUE"""),"Tolzien")</f>
        <v>Tolzien</v>
      </c>
      <c r="E2092" t="str">
        <f>IFERROR(__xludf.DUMMYFUNCTION("""COMPUTED_VALUE"""),"Scott")</f>
        <v>Scott</v>
      </c>
      <c r="F2092">
        <f>IFERROR(__xludf.DUMMYFUNCTION("""COMPUTED_VALUE"""),10.049999999999999)</f>
        <v>10.05</v>
      </c>
    </row>
    <row r="2093">
      <c r="D2093" t="str">
        <f>IFERROR(__xludf.DUMMYFUNCTION("""COMPUTED_VALUE"""),"Tomlinson")</f>
        <v>Tomlinson</v>
      </c>
      <c r="E2093" t="str">
        <f>IFERROR(__xludf.DUMMYFUNCTION("""COMPUTED_VALUE"""),"Eric")</f>
        <v>Eric</v>
      </c>
      <c r="F2093">
        <f>IFERROR(__xludf.DUMMYFUNCTION("""COMPUTED_VALUE"""),9.6)</f>
        <v>9.6</v>
      </c>
    </row>
    <row r="2094">
      <c r="D2094" t="str">
        <f>IFERROR(__xludf.DUMMYFUNCTION("""COMPUTED_VALUE"""),"Tomlinson")</f>
        <v>Tomlinson</v>
      </c>
      <c r="E2094" t="str">
        <f>IFERROR(__xludf.DUMMYFUNCTION("""COMPUTED_VALUE"""),"Laken")</f>
        <v>Laken</v>
      </c>
      <c r="F2094">
        <f>IFERROR(__xludf.DUMMYFUNCTION("""COMPUTED_VALUE"""),10.35)</f>
        <v>10.35</v>
      </c>
    </row>
    <row r="2095">
      <c r="D2095" t="str">
        <f>IFERROR(__xludf.DUMMYFUNCTION("""COMPUTED_VALUE"""),"Toner")</f>
        <v>Toner</v>
      </c>
      <c r="E2095" t="str">
        <f>IFERROR(__xludf.DUMMYFUNCTION("""COMPUTED_VALUE"""),"Cole")</f>
        <v>Cole</v>
      </c>
      <c r="F2095">
        <f>IFERROR(__xludf.DUMMYFUNCTION("""COMPUTED_VALUE"""),9.6)</f>
        <v>9.6</v>
      </c>
    </row>
    <row r="2096">
      <c r="D2096" t="str">
        <f>IFERROR(__xludf.DUMMYFUNCTION("""COMPUTED_VALUE"""),"Toomer")</f>
        <v>Toomer</v>
      </c>
      <c r="E2096" t="str">
        <f>IFERROR(__xludf.DUMMYFUNCTION("""COMPUTED_VALUE"""),"Korey")</f>
        <v>Korey</v>
      </c>
      <c r="F2096">
        <f>IFERROR(__xludf.DUMMYFUNCTION("""COMPUTED_VALUE"""),9.45)</f>
        <v>9.45</v>
      </c>
    </row>
    <row r="2097">
      <c r="D2097" t="str">
        <f>IFERROR(__xludf.DUMMYFUNCTION("""COMPUTED_VALUE"""),"Toussaint")</f>
        <v>Toussaint</v>
      </c>
      <c r="E2097" t="str">
        <f>IFERROR(__xludf.DUMMYFUNCTION("""COMPUTED_VALUE"""),"Fitzgerald")</f>
        <v>Fitzgerald</v>
      </c>
      <c r="F2097">
        <f>IFERROR(__xludf.DUMMYFUNCTION("""COMPUTED_VALUE"""),10.049999999999999)</f>
        <v>10.05</v>
      </c>
    </row>
    <row r="2098">
      <c r="D2098" t="str">
        <f>IFERROR(__xludf.DUMMYFUNCTION("""COMPUTED_VALUE"""),"Trail")</f>
        <v>Trail</v>
      </c>
      <c r="E2098" t="str">
        <f>IFERROR(__xludf.DUMMYFUNCTION("""COMPUTED_VALUE"""),"Lynden")</f>
        <v>Lynden</v>
      </c>
      <c r="F2098">
        <f>IFERROR(__xludf.DUMMYFUNCTION("""COMPUTED_VALUE"""),8.4)</f>
        <v>8.4</v>
      </c>
    </row>
    <row r="2099">
      <c r="D2099" t="str">
        <f>IFERROR(__xludf.DUMMYFUNCTION("""COMPUTED_VALUE"""),"Trattou")</f>
        <v>Trattou</v>
      </c>
      <c r="E2099" t="str">
        <f>IFERROR(__xludf.DUMMYFUNCTION("""COMPUTED_VALUE"""),"Justin")</f>
        <v>Justin</v>
      </c>
      <c r="F2099">
        <f>IFERROR(__xludf.DUMMYFUNCTION("""COMPUTED_VALUE"""),9.75)</f>
        <v>9.75</v>
      </c>
    </row>
    <row r="2100">
      <c r="D2100" t="str">
        <f>IFERROR(__xludf.DUMMYFUNCTION("""COMPUTED_VALUE"""),"Trawick")</f>
        <v>Trawick</v>
      </c>
      <c r="E2100" t="str">
        <f>IFERROR(__xludf.DUMMYFUNCTION("""COMPUTED_VALUE"""),"Brynden")</f>
        <v>Brynden</v>
      </c>
      <c r="F2100">
        <f>IFERROR(__xludf.DUMMYFUNCTION("""COMPUTED_VALUE"""),9.45)</f>
        <v>9.45</v>
      </c>
    </row>
    <row r="2101">
      <c r="D2101" t="str">
        <f>IFERROR(__xludf.DUMMYFUNCTION("""COMPUTED_VALUE"""),"Treadwell")</f>
        <v>Treadwell</v>
      </c>
      <c r="E2101" t="str">
        <f>IFERROR(__xludf.DUMMYFUNCTION("""COMPUTED_VALUE"""),"Laquon")</f>
        <v>Laquon</v>
      </c>
      <c r="F2101">
        <f>IFERROR(__xludf.DUMMYFUNCTION("""COMPUTED_VALUE"""),11.25)</f>
        <v>11.25</v>
      </c>
    </row>
    <row r="2102">
      <c r="D2102" t="str">
        <f>IFERROR(__xludf.DUMMYFUNCTION("""COMPUTED_VALUE"""),"Tretola")</f>
        <v>Tretola</v>
      </c>
      <c r="E2102" t="str">
        <f>IFERROR(__xludf.DUMMYFUNCTION("""COMPUTED_VALUE"""),"Sebastian")</f>
        <v>Sebastian</v>
      </c>
      <c r="F2102">
        <f>IFERROR(__xludf.DUMMYFUNCTION("""COMPUTED_VALUE"""),9.6)</f>
        <v>9.6</v>
      </c>
    </row>
    <row r="2103">
      <c r="D2103" t="str">
        <f>IFERROR(__xludf.DUMMYFUNCTION("""COMPUTED_VALUE"""),"Tretter")</f>
        <v>Tretter</v>
      </c>
      <c r="E2103" t="str">
        <f>IFERROR(__xludf.DUMMYFUNCTION("""COMPUTED_VALUE"""),"JC")</f>
        <v>JC</v>
      </c>
      <c r="F2103">
        <f>IFERROR(__xludf.DUMMYFUNCTION("""COMPUTED_VALUE"""),11.4)</f>
        <v>11.4</v>
      </c>
    </row>
    <row r="2104">
      <c r="D2104" t="str">
        <f>IFERROR(__xludf.DUMMYFUNCTION("""COMPUTED_VALUE"""),"Trevathan")</f>
        <v>Trevathan</v>
      </c>
      <c r="E2104" t="str">
        <f>IFERROR(__xludf.DUMMYFUNCTION("""COMPUTED_VALUE"""),"Danny")</f>
        <v>Danny</v>
      </c>
      <c r="F2104">
        <f>IFERROR(__xludf.DUMMYFUNCTION("""COMPUTED_VALUE"""),12.75)</f>
        <v>12.75</v>
      </c>
    </row>
    <row r="2105">
      <c r="D2105" t="str">
        <f>IFERROR(__xludf.DUMMYFUNCTION("""COMPUTED_VALUE"""),"Trinca-Pasat")</f>
        <v>Trinca-Pasat</v>
      </c>
      <c r="E2105" t="str">
        <f>IFERROR(__xludf.DUMMYFUNCTION("""COMPUTED_VALUE"""),"Louis")</f>
        <v>Louis</v>
      </c>
      <c r="F2105">
        <f>IFERROR(__xludf.DUMMYFUNCTION("""COMPUTED_VALUE"""),8.7)</f>
        <v>8.7</v>
      </c>
    </row>
    <row r="2106">
      <c r="D2106" t="str">
        <f>IFERROR(__xludf.DUMMYFUNCTION("""COMPUTED_VALUE"""),"Tripp")</f>
        <v>Tripp</v>
      </c>
      <c r="E2106" t="str">
        <f>IFERROR(__xludf.DUMMYFUNCTION("""COMPUTED_VALUE"""),"Jordan")</f>
        <v>Jordan</v>
      </c>
      <c r="F2106">
        <f>IFERROR(__xludf.DUMMYFUNCTION("""COMPUTED_VALUE"""),9.75)</f>
        <v>9.75</v>
      </c>
    </row>
    <row r="2107">
      <c r="D2107" t="str">
        <f>IFERROR(__xludf.DUMMYFUNCTION("""COMPUTED_VALUE"""),"Trufant")</f>
        <v>Trufant</v>
      </c>
      <c r="E2107" t="str">
        <f>IFERROR(__xludf.DUMMYFUNCTION("""COMPUTED_VALUE"""),"Desmond")</f>
        <v>Desmond</v>
      </c>
      <c r="F2107">
        <f>IFERROR(__xludf.DUMMYFUNCTION("""COMPUTED_VALUE"""),13.5)</f>
        <v>13.5</v>
      </c>
    </row>
    <row r="2108">
      <c r="D2108" t="str">
        <f>IFERROR(__xludf.DUMMYFUNCTION("""COMPUTED_VALUE"""),"Tuaau")</f>
        <v>Tuaau</v>
      </c>
      <c r="E2108" t="str">
        <f>IFERROR(__xludf.DUMMYFUNCTION("""COMPUTED_VALUE"""),"Charles")</f>
        <v>Charles</v>
      </c>
      <c r="F2108">
        <f>IFERROR(__xludf.DUMMYFUNCTION("""COMPUTED_VALUE"""),8.4)</f>
        <v>8.4</v>
      </c>
    </row>
    <row r="2109">
      <c r="D2109" t="str">
        <f>IFERROR(__xludf.DUMMYFUNCTION("""COMPUTED_VALUE"""),"Tucker")</f>
        <v>Tucker</v>
      </c>
      <c r="E2109" t="str">
        <f>IFERROR(__xludf.DUMMYFUNCTION("""COMPUTED_VALUE"""),"Justin")</f>
        <v>Justin</v>
      </c>
      <c r="F2109">
        <f>IFERROR(__xludf.DUMMYFUNCTION("""COMPUTED_VALUE"""),12.45)</f>
        <v>12.45</v>
      </c>
    </row>
    <row r="2110">
      <c r="D2110" t="str">
        <f>IFERROR(__xludf.DUMMYFUNCTION("""COMPUTED_VALUE"""),"Tucker")</f>
        <v>Tucker</v>
      </c>
      <c r="E2110" t="str">
        <f>IFERROR(__xludf.DUMMYFUNCTION("""COMPUTED_VALUE"""),"Marcus")</f>
        <v>Marcus</v>
      </c>
      <c r="F2110">
        <f>IFERROR(__xludf.DUMMYFUNCTION("""COMPUTED_VALUE"""),9.15)</f>
        <v>9.15</v>
      </c>
    </row>
    <row r="2111">
      <c r="D2111" t="str">
        <f>IFERROR(__xludf.DUMMYFUNCTION("""COMPUTED_VALUE"""),"Tuerk")</f>
        <v>Tuerk</v>
      </c>
      <c r="E2111" t="str">
        <f>IFERROR(__xludf.DUMMYFUNCTION("""COMPUTED_VALUE"""),"Max")</f>
        <v>Max</v>
      </c>
      <c r="F2111">
        <f>IFERROR(__xludf.DUMMYFUNCTION("""COMPUTED_VALUE"""),10.2)</f>
        <v>10.2</v>
      </c>
    </row>
    <row r="2112">
      <c r="D2112" t="str">
        <f>IFERROR(__xludf.DUMMYFUNCTION("""COMPUTED_VALUE"""),"Tuggle")</f>
        <v>Tuggle</v>
      </c>
      <c r="E2112" t="str">
        <f>IFERROR(__xludf.DUMMYFUNCTION("""COMPUTED_VALUE"""),"Justin")</f>
        <v>Justin</v>
      </c>
      <c r="F2112">
        <f>IFERROR(__xludf.DUMMYFUNCTION("""COMPUTED_VALUE"""),10.5)</f>
        <v>10.5</v>
      </c>
    </row>
    <row r="2113">
      <c r="D2113" t="str">
        <f>IFERROR(__xludf.DUMMYFUNCTION("""COMPUTED_VALUE"""),"Tuitt")</f>
        <v>Tuitt</v>
      </c>
      <c r="E2113" t="str">
        <f>IFERROR(__xludf.DUMMYFUNCTION("""COMPUTED_VALUE"""),"Stephon")</f>
        <v>Stephon</v>
      </c>
      <c r="F2113">
        <f>IFERROR(__xludf.DUMMYFUNCTION("""COMPUTED_VALUE"""),11.7)</f>
        <v>11.7</v>
      </c>
    </row>
    <row r="2114">
      <c r="D2114" t="str">
        <f>IFERROR(__xludf.DUMMYFUNCTION("""COMPUTED_VALUE"""),"Tull")</f>
        <v>Tull</v>
      </c>
      <c r="E2114" t="str">
        <f>IFERROR(__xludf.DUMMYFUNCTION("""COMPUTED_VALUE"""),"Davis")</f>
        <v>Davis</v>
      </c>
      <c r="F2114">
        <f>IFERROR(__xludf.DUMMYFUNCTION("""COMPUTED_VALUE"""),9.0)</f>
        <v>9</v>
      </c>
    </row>
    <row r="2115">
      <c r="D2115" t="str">
        <f>IFERROR(__xludf.DUMMYFUNCTION("""COMPUTED_VALUE"""),"Tunsil")</f>
        <v>Tunsil</v>
      </c>
      <c r="E2115" t="str">
        <f>IFERROR(__xludf.DUMMYFUNCTION("""COMPUTED_VALUE"""),"Laremy")</f>
        <v>Laremy</v>
      </c>
      <c r="F2115">
        <f>IFERROR(__xludf.DUMMYFUNCTION("""COMPUTED_VALUE"""),11.7)</f>
        <v>11.7</v>
      </c>
    </row>
    <row r="2116">
      <c r="D2116" t="str">
        <f>IFERROR(__xludf.DUMMYFUNCTION("""COMPUTED_VALUE"""),"Turbin")</f>
        <v>Turbin</v>
      </c>
      <c r="E2116" t="str">
        <f>IFERROR(__xludf.DUMMYFUNCTION("""COMPUTED_VALUE"""),"Robert")</f>
        <v>Robert</v>
      </c>
      <c r="F2116">
        <f>IFERROR(__xludf.DUMMYFUNCTION("""COMPUTED_VALUE"""),11.25)</f>
        <v>11.25</v>
      </c>
    </row>
    <row r="2117">
      <c r="D2117" t="str">
        <f>IFERROR(__xludf.DUMMYFUNCTION("""COMPUTED_VALUE"""),"Turner")</f>
        <v>Turner</v>
      </c>
      <c r="E2117" t="str">
        <f>IFERROR(__xludf.DUMMYFUNCTION("""COMPUTED_VALUE"""),"Billy")</f>
        <v>Billy</v>
      </c>
      <c r="F2117">
        <f>IFERROR(__xludf.DUMMYFUNCTION("""COMPUTED_VALUE"""),10.2)</f>
        <v>10.2</v>
      </c>
    </row>
    <row r="2118">
      <c r="D2118" t="str">
        <f>IFERROR(__xludf.DUMMYFUNCTION("""COMPUTED_VALUE"""),"Turner")</f>
        <v>Turner</v>
      </c>
      <c r="E2118" t="str">
        <f>IFERROR(__xludf.DUMMYFUNCTION("""COMPUTED_VALUE"""),"Landon")</f>
        <v>Landon</v>
      </c>
      <c r="F2118">
        <f>IFERROR(__xludf.DUMMYFUNCTION("""COMPUTED_VALUE"""),8.7)</f>
        <v>8.7</v>
      </c>
    </row>
    <row r="2119">
      <c r="D2119" t="str">
        <f>IFERROR(__xludf.DUMMYFUNCTION("""COMPUTED_VALUE"""),"Turner")</f>
        <v>Turner</v>
      </c>
      <c r="E2119" t="str">
        <f>IFERROR(__xludf.DUMMYFUNCTION("""COMPUTED_VALUE"""),"Trai")</f>
        <v>Trai</v>
      </c>
      <c r="F2119">
        <f>IFERROR(__xludf.DUMMYFUNCTION("""COMPUTED_VALUE"""),13.049999999999999)</f>
        <v>13.05</v>
      </c>
    </row>
    <row r="2120">
      <c r="D2120" t="str">
        <f>IFERROR(__xludf.DUMMYFUNCTION("""COMPUTED_VALUE"""),"Tye")</f>
        <v>Tye</v>
      </c>
      <c r="E2120" t="str">
        <f>IFERROR(__xludf.DUMMYFUNCTION("""COMPUTED_VALUE"""),"Will")</f>
        <v>Will</v>
      </c>
      <c r="F2120">
        <f>IFERROR(__xludf.DUMMYFUNCTION("""COMPUTED_VALUE"""),10.799999999999999)</f>
        <v>10.8</v>
      </c>
    </row>
    <row r="2121">
      <c r="D2121" t="str">
        <f>IFERROR(__xludf.DUMMYFUNCTION("""COMPUTED_VALUE"""),"Tyson")</f>
        <v>Tyson</v>
      </c>
      <c r="E2121" t="str">
        <f>IFERROR(__xludf.DUMMYFUNCTION("""COMPUTED_VALUE"""),"DeAngelo")</f>
        <v>DeAngelo</v>
      </c>
      <c r="F2121">
        <f>IFERROR(__xludf.DUMMYFUNCTION("""COMPUTED_VALUE"""),9.6)</f>
        <v>9.6</v>
      </c>
    </row>
    <row r="2122">
      <c r="D2122" t="str">
        <f>IFERROR(__xludf.DUMMYFUNCTION("""COMPUTED_VALUE"""),"Underwood")</f>
        <v>Underwood</v>
      </c>
      <c r="E2122" t="str">
        <f>IFERROR(__xludf.DUMMYFUNCTION("""COMPUTED_VALUE"""),"Colton")</f>
        <v>Colton</v>
      </c>
      <c r="F2122">
        <f>IFERROR(__xludf.DUMMYFUNCTION("""COMPUTED_VALUE"""),9.0)</f>
        <v>9</v>
      </c>
    </row>
    <row r="2123">
      <c r="D2123" t="str">
        <f>IFERROR(__xludf.DUMMYFUNCTION("""COMPUTED_VALUE"""),"Unger")</f>
        <v>Unger</v>
      </c>
      <c r="E2123" t="str">
        <f>IFERROR(__xludf.DUMMYFUNCTION("""COMPUTED_VALUE"""),"Max")</f>
        <v>Max</v>
      </c>
      <c r="F2123">
        <f>IFERROR(__xludf.DUMMYFUNCTION("""COMPUTED_VALUE"""),12.299999999999999)</f>
        <v>12.3</v>
      </c>
    </row>
    <row r="2124">
      <c r="D2124" t="str">
        <f>IFERROR(__xludf.DUMMYFUNCTION("""COMPUTED_VALUE"""),"Unrein")</f>
        <v>Unrein</v>
      </c>
      <c r="E2124" t="str">
        <f>IFERROR(__xludf.DUMMYFUNCTION("""COMPUTED_VALUE"""),"Mitch")</f>
        <v>Mitch</v>
      </c>
      <c r="F2124">
        <f>IFERROR(__xludf.DUMMYFUNCTION("""COMPUTED_VALUE"""),10.2)</f>
        <v>10.2</v>
      </c>
    </row>
    <row r="2125">
      <c r="D2125" t="str">
        <f>IFERROR(__xludf.DUMMYFUNCTION("""COMPUTED_VALUE"""),"Upshaw")</f>
        <v>Upshaw</v>
      </c>
      <c r="E2125" t="str">
        <f>IFERROR(__xludf.DUMMYFUNCTION("""COMPUTED_VALUE"""),"Courtney")</f>
        <v>Courtney</v>
      </c>
      <c r="F2125">
        <f>IFERROR(__xludf.DUMMYFUNCTION("""COMPUTED_VALUE"""),11.7)</f>
        <v>11.7</v>
      </c>
    </row>
    <row r="2126">
      <c r="D2126" t="str">
        <f>IFERROR(__xludf.DUMMYFUNCTION("""COMPUTED_VALUE"""),"Urban")</f>
        <v>Urban</v>
      </c>
      <c r="E2126" t="str">
        <f>IFERROR(__xludf.DUMMYFUNCTION("""COMPUTED_VALUE"""),"Brent")</f>
        <v>Brent</v>
      </c>
      <c r="F2126">
        <f>IFERROR(__xludf.DUMMYFUNCTION("""COMPUTED_VALUE"""),9.6)</f>
        <v>9.6</v>
      </c>
    </row>
    <row r="2127">
      <c r="D2127" t="str">
        <f>IFERROR(__xludf.DUMMYFUNCTION("""COMPUTED_VALUE"""),"Urbik")</f>
        <v>Urbik</v>
      </c>
      <c r="E2127" t="str">
        <f>IFERROR(__xludf.DUMMYFUNCTION("""COMPUTED_VALUE"""),"Kraig")</f>
        <v>Kraig</v>
      </c>
      <c r="F2127">
        <f>IFERROR(__xludf.DUMMYFUNCTION("""COMPUTED_VALUE"""),10.799999999999999)</f>
        <v>10.8</v>
      </c>
    </row>
    <row r="2128">
      <c r="D2128" t="str">
        <f>IFERROR(__xludf.DUMMYFUNCTION("""COMPUTED_VALUE"""),"Urschel")</f>
        <v>Urschel</v>
      </c>
      <c r="E2128" t="str">
        <f>IFERROR(__xludf.DUMMYFUNCTION("""COMPUTED_VALUE"""),"John")</f>
        <v>John</v>
      </c>
      <c r="F2128">
        <f>IFERROR(__xludf.DUMMYFUNCTION("""COMPUTED_VALUE"""),10.5)</f>
        <v>10.5</v>
      </c>
    </row>
    <row r="2129">
      <c r="D2129" t="str">
        <f>IFERROR(__xludf.DUMMYFUNCTION("""COMPUTED_VALUE"""),"Uzomah")</f>
        <v>Uzomah</v>
      </c>
      <c r="E2129" t="str">
        <f>IFERROR(__xludf.DUMMYFUNCTION("""COMPUTED_VALUE"""),"CJ")</f>
        <v>CJ</v>
      </c>
      <c r="F2129">
        <f>IFERROR(__xludf.DUMMYFUNCTION("""COMPUTED_VALUE"""),9.9)</f>
        <v>9.9</v>
      </c>
    </row>
    <row r="2130">
      <c r="D2130" t="str">
        <f>IFERROR(__xludf.DUMMYFUNCTION("""COMPUTED_VALUE"""),"Vaccaro")</f>
        <v>Vaccaro</v>
      </c>
      <c r="E2130" t="str">
        <f>IFERROR(__xludf.DUMMYFUNCTION("""COMPUTED_VALUE"""),"Kenny")</f>
        <v>Kenny</v>
      </c>
      <c r="F2130">
        <f>IFERROR(__xludf.DUMMYFUNCTION("""COMPUTED_VALUE"""),12.0)</f>
        <v>12</v>
      </c>
    </row>
    <row r="2131">
      <c r="D2131" t="str">
        <f>IFERROR(__xludf.DUMMYFUNCTION("""COMPUTED_VALUE"""),"Vaitai")</f>
        <v>Vaitai</v>
      </c>
      <c r="E2131" t="str">
        <f>IFERROR(__xludf.DUMMYFUNCTION("""COMPUTED_VALUE"""),"Hal")</f>
        <v>Hal</v>
      </c>
      <c r="F2131">
        <f>IFERROR(__xludf.DUMMYFUNCTION("""COMPUTED_VALUE"""),9.9)</f>
        <v>9.9</v>
      </c>
    </row>
    <row r="2132">
      <c r="D2132" t="str">
        <f>IFERROR(__xludf.DUMMYFUNCTION("""COMPUTED_VALUE"""),"Valentine")</f>
        <v>Valentine</v>
      </c>
      <c r="E2132" t="str">
        <f>IFERROR(__xludf.DUMMYFUNCTION("""COMPUTED_VALUE"""),"Vincent")</f>
        <v>Vincent</v>
      </c>
      <c r="F2132">
        <f>IFERROR(__xludf.DUMMYFUNCTION("""COMPUTED_VALUE"""),10.049999999999999)</f>
        <v>10.05</v>
      </c>
    </row>
    <row r="2133">
      <c r="D2133" t="str">
        <f>IFERROR(__xludf.DUMMYFUNCTION("""COMPUTED_VALUE"""),"Valles")</f>
        <v>Valles</v>
      </c>
      <c r="E2133" t="str">
        <f>IFERROR(__xludf.DUMMYFUNCTION("""COMPUTED_VALUE"""),"Hakeem")</f>
        <v>Hakeem</v>
      </c>
      <c r="F2133">
        <f>IFERROR(__xludf.DUMMYFUNCTION("""COMPUTED_VALUE"""),9.15)</f>
        <v>9.15</v>
      </c>
    </row>
    <row r="2134">
      <c r="D2134" t="str">
        <f>IFERROR(__xludf.DUMMYFUNCTION("""COMPUTED_VALUE"""),"Valles")</f>
        <v>Valles</v>
      </c>
      <c r="E2134" t="str">
        <f>IFERROR(__xludf.DUMMYFUNCTION("""COMPUTED_VALUE"""),"Max")</f>
        <v>Max</v>
      </c>
      <c r="F2134">
        <f>IFERROR(__xludf.DUMMYFUNCTION("""COMPUTED_VALUE"""),8.85)</f>
        <v>8.85</v>
      </c>
    </row>
    <row r="2135">
      <c r="D2135" t="str">
        <f>IFERROR(__xludf.DUMMYFUNCTION("""COMPUTED_VALUE"""),"Van Dyk")</f>
        <v>Van Dyk</v>
      </c>
      <c r="E2135" t="str">
        <f>IFERROR(__xludf.DUMMYFUNCTION("""COMPUTED_VALUE"""),"Mitchell")</f>
        <v>Mitchell</v>
      </c>
      <c r="F2135">
        <f>IFERROR(__xludf.DUMMYFUNCTION("""COMPUTED_VALUE"""),9.75)</f>
        <v>9.75</v>
      </c>
    </row>
    <row r="2136">
      <c r="D2136" t="str">
        <f>IFERROR(__xludf.DUMMYFUNCTION("""COMPUTED_VALUE"""),"Van Dyke")</f>
        <v>Van Dyke</v>
      </c>
      <c r="E2136" t="str">
        <f>IFERROR(__xludf.DUMMYFUNCTION("""COMPUTED_VALUE"""),"DeMarcus")</f>
        <v>DeMarcus</v>
      </c>
      <c r="F2136">
        <f>IFERROR(__xludf.DUMMYFUNCTION("""COMPUTED_VALUE"""),10.049999999999999)</f>
        <v>10.05</v>
      </c>
    </row>
    <row r="2137">
      <c r="D2137" t="str">
        <f>IFERROR(__xludf.DUMMYFUNCTION("""COMPUTED_VALUE"""),"Van Noy")</f>
        <v>Van Noy</v>
      </c>
      <c r="E2137" t="str">
        <f>IFERROR(__xludf.DUMMYFUNCTION("""COMPUTED_VALUE"""),"Kyle")</f>
        <v>Kyle</v>
      </c>
      <c r="F2137">
        <f>IFERROR(__xludf.DUMMYFUNCTION("""COMPUTED_VALUE"""),10.799999999999999)</f>
        <v>10.8</v>
      </c>
    </row>
    <row r="2138">
      <c r="D2138" t="str">
        <f>IFERROR(__xludf.DUMMYFUNCTION("""COMPUTED_VALUE"""),"Vannett")</f>
        <v>Vannett</v>
      </c>
      <c r="E2138" t="str">
        <f>IFERROR(__xludf.DUMMYFUNCTION("""COMPUTED_VALUE"""),"Nick")</f>
        <v>Nick</v>
      </c>
      <c r="F2138">
        <f>IFERROR(__xludf.DUMMYFUNCTION("""COMPUTED_VALUE"""),10.5)</f>
        <v>10.5</v>
      </c>
    </row>
    <row r="2139">
      <c r="D2139" t="str">
        <f>IFERROR(__xludf.DUMMYFUNCTION("""COMPUTED_VALUE"""),"Vaughan")</f>
        <v>Vaughan</v>
      </c>
      <c r="E2139" t="str">
        <f>IFERROR(__xludf.DUMMYFUNCTION("""COMPUTED_VALUE"""),"Dustin")</f>
        <v>Dustin</v>
      </c>
      <c r="F2139">
        <f>IFERROR(__xludf.DUMMYFUNCTION("""COMPUTED_VALUE"""),9.299999999999999)</f>
        <v>9.3</v>
      </c>
    </row>
    <row r="2140">
      <c r="D2140" t="str">
        <f>IFERROR(__xludf.DUMMYFUNCTION("""COMPUTED_VALUE"""),"Velasco")</f>
        <v>Velasco</v>
      </c>
      <c r="E2140" t="str">
        <f>IFERROR(__xludf.DUMMYFUNCTION("""COMPUTED_VALUE"""),"Fernando")</f>
        <v>Fernando</v>
      </c>
      <c r="F2140">
        <f>IFERROR(__xludf.DUMMYFUNCTION("""COMPUTED_VALUE"""),10.799999999999999)</f>
        <v>10.8</v>
      </c>
    </row>
    <row r="2141">
      <c r="D2141" t="str">
        <f>IFERROR(__xludf.DUMMYFUNCTION("""COMPUTED_VALUE"""),"Veldheer")</f>
        <v>Veldheer</v>
      </c>
      <c r="E2141" t="str">
        <f>IFERROR(__xludf.DUMMYFUNCTION("""COMPUTED_VALUE"""),"Jared")</f>
        <v>Jared</v>
      </c>
      <c r="F2141">
        <f>IFERROR(__xludf.DUMMYFUNCTION("""COMPUTED_VALUE"""),12.75)</f>
        <v>12.75</v>
      </c>
    </row>
    <row r="2142">
      <c r="D2142" t="str">
        <f>IFERROR(__xludf.DUMMYFUNCTION("""COMPUTED_VALUE"""),"Vellano")</f>
        <v>Vellano</v>
      </c>
      <c r="E2142" t="str">
        <f>IFERROR(__xludf.DUMMYFUNCTION("""COMPUTED_VALUE"""),"Joe")</f>
        <v>Joe</v>
      </c>
      <c r="F2142">
        <f>IFERROR(__xludf.DUMMYFUNCTION("""COMPUTED_VALUE"""),10.5)</f>
        <v>10.5</v>
      </c>
    </row>
    <row r="2143">
      <c r="D2143" t="str">
        <f>IFERROR(__xludf.DUMMYFUNCTION("""COMPUTED_VALUE"""),"Ventrone")</f>
        <v>Ventrone</v>
      </c>
      <c r="E2143" t="str">
        <f>IFERROR(__xludf.DUMMYFUNCTION("""COMPUTED_VALUE"""),"Ross")</f>
        <v>Ross</v>
      </c>
      <c r="F2143">
        <f>IFERROR(__xludf.DUMMYFUNCTION("""COMPUTED_VALUE"""),9.6)</f>
        <v>9.6</v>
      </c>
    </row>
    <row r="2144">
      <c r="D2144" t="str">
        <f>IFERROR(__xludf.DUMMYFUNCTION("""COMPUTED_VALUE"""),"Vereen")</f>
        <v>Vereen</v>
      </c>
      <c r="E2144" t="str">
        <f>IFERROR(__xludf.DUMMYFUNCTION("""COMPUTED_VALUE"""),"Brock")</f>
        <v>Brock</v>
      </c>
      <c r="F2144">
        <f>IFERROR(__xludf.DUMMYFUNCTION("""COMPUTED_VALUE"""),10.5)</f>
        <v>10.5</v>
      </c>
    </row>
    <row r="2145">
      <c r="D2145" t="str">
        <f>IFERROR(__xludf.DUMMYFUNCTION("""COMPUTED_VALUE"""),"Vereen")</f>
        <v>Vereen</v>
      </c>
      <c r="E2145" t="str">
        <f>IFERROR(__xludf.DUMMYFUNCTION("""COMPUTED_VALUE"""),"Shane")</f>
        <v>Shane</v>
      </c>
      <c r="F2145">
        <f>IFERROR(__xludf.DUMMYFUNCTION("""COMPUTED_VALUE"""),12.15)</f>
        <v>12.15</v>
      </c>
    </row>
    <row r="2146">
      <c r="D2146" t="str">
        <f>IFERROR(__xludf.DUMMYFUNCTION("""COMPUTED_VALUE"""),"Verner")</f>
        <v>Verner</v>
      </c>
      <c r="E2146" t="str">
        <f>IFERROR(__xludf.DUMMYFUNCTION("""COMPUTED_VALUE"""),"Alterraun")</f>
        <v>Alterraun</v>
      </c>
      <c r="F2146">
        <f>IFERROR(__xludf.DUMMYFUNCTION("""COMPUTED_VALUE"""),11.25)</f>
        <v>11.25</v>
      </c>
    </row>
    <row r="2147">
      <c r="D2147" t="str">
        <f>IFERROR(__xludf.DUMMYFUNCTION("""COMPUTED_VALUE"""),"Vernon")</f>
        <v>Vernon</v>
      </c>
      <c r="E2147" t="str">
        <f>IFERROR(__xludf.DUMMYFUNCTION("""COMPUTED_VALUE"""),"Olivier")</f>
        <v>Olivier</v>
      </c>
      <c r="F2147">
        <f>IFERROR(__xludf.DUMMYFUNCTION("""COMPUTED_VALUE"""),13.65)</f>
        <v>13.65</v>
      </c>
    </row>
    <row r="2148">
      <c r="D2148" t="str">
        <f>IFERROR(__xludf.DUMMYFUNCTION("""COMPUTED_VALUE"""),"Verrett")</f>
        <v>Verrett</v>
      </c>
      <c r="E2148" t="str">
        <f>IFERROR(__xludf.DUMMYFUNCTION("""COMPUTED_VALUE"""),"Jason")</f>
        <v>Jason</v>
      </c>
      <c r="F2148">
        <f>IFERROR(__xludf.DUMMYFUNCTION("""COMPUTED_VALUE"""),13.2)</f>
        <v>13.2</v>
      </c>
    </row>
    <row r="2149">
      <c r="D2149" t="str">
        <f>IFERROR(__xludf.DUMMYFUNCTION("""COMPUTED_VALUE"""),"Vigil")</f>
        <v>Vigil</v>
      </c>
      <c r="E2149" t="str">
        <f>IFERROR(__xludf.DUMMYFUNCTION("""COMPUTED_VALUE"""),"Nick")</f>
        <v>Nick</v>
      </c>
      <c r="F2149">
        <f>IFERROR(__xludf.DUMMYFUNCTION("""COMPUTED_VALUE"""),9.75)</f>
        <v>9.75</v>
      </c>
    </row>
    <row r="2150">
      <c r="D2150" t="str">
        <f>IFERROR(__xludf.DUMMYFUNCTION("""COMPUTED_VALUE"""),"Vigil")</f>
        <v>Vigil</v>
      </c>
      <c r="E2150" t="str">
        <f>IFERROR(__xludf.DUMMYFUNCTION("""COMPUTED_VALUE"""),"Zach")</f>
        <v>Zach</v>
      </c>
      <c r="F2150">
        <f>IFERROR(__xludf.DUMMYFUNCTION("""COMPUTED_VALUE"""),8.85)</f>
        <v>8.85</v>
      </c>
    </row>
    <row r="2151">
      <c r="D2151" t="str">
        <f>IFERROR(__xludf.DUMMYFUNCTION("""COMPUTED_VALUE"""),"Villanueva")</f>
        <v>Villanueva</v>
      </c>
      <c r="E2151" t="str">
        <f>IFERROR(__xludf.DUMMYFUNCTION("""COMPUTED_VALUE"""),"Alejandro")</f>
        <v>Alejandro</v>
      </c>
      <c r="F2151">
        <f>IFERROR(__xludf.DUMMYFUNCTION("""COMPUTED_VALUE"""),10.5)</f>
        <v>10.5</v>
      </c>
    </row>
    <row r="2152">
      <c r="D2152" t="str">
        <f>IFERROR(__xludf.DUMMYFUNCTION("""COMPUTED_VALUE"""),"Vinatieri")</f>
        <v>Vinatieri</v>
      </c>
      <c r="E2152" t="str">
        <f>IFERROR(__xludf.DUMMYFUNCTION("""COMPUTED_VALUE"""),"Adam")</f>
        <v>Adam</v>
      </c>
      <c r="F2152">
        <f>IFERROR(__xludf.DUMMYFUNCTION("""COMPUTED_VALUE"""),12.6)</f>
        <v>12.6</v>
      </c>
    </row>
    <row r="2153">
      <c r="D2153" t="str">
        <f>IFERROR(__xludf.DUMMYFUNCTION("""COMPUTED_VALUE"""),"Vitale")</f>
        <v>Vitale</v>
      </c>
      <c r="E2153" t="str">
        <f>IFERROR(__xludf.DUMMYFUNCTION("""COMPUTED_VALUE"""),"Danny")</f>
        <v>Danny</v>
      </c>
      <c r="F2153">
        <f>IFERROR(__xludf.DUMMYFUNCTION("""COMPUTED_VALUE"""),10.35)</f>
        <v>10.35</v>
      </c>
    </row>
    <row r="2154">
      <c r="D2154" t="str">
        <f>IFERROR(__xludf.DUMMYFUNCTION("""COMPUTED_VALUE"""),"Vollmer")</f>
        <v>Vollmer</v>
      </c>
      <c r="E2154" t="str">
        <f>IFERROR(__xludf.DUMMYFUNCTION("""COMPUTED_VALUE"""),"Sebastian")</f>
        <v>Sebastian</v>
      </c>
      <c r="F2154">
        <f>IFERROR(__xludf.DUMMYFUNCTION("""COMPUTED_VALUE"""),12.6)</f>
        <v>12.6</v>
      </c>
    </row>
    <row r="2155">
      <c r="D2155" t="str">
        <f>IFERROR(__xludf.DUMMYFUNCTION("""COMPUTED_VALUE"""),"Vujnovich")</f>
        <v>Vujnovich</v>
      </c>
      <c r="E2155" t="str">
        <f>IFERROR(__xludf.DUMMYFUNCTION("""COMPUTED_VALUE"""),"Jeremy")</f>
        <v>Jeremy</v>
      </c>
      <c r="F2155">
        <f>IFERROR(__xludf.DUMMYFUNCTION("""COMPUTED_VALUE"""),9.45)</f>
        <v>9.45</v>
      </c>
    </row>
    <row r="2156">
      <c r="D2156" t="str">
        <f>IFERROR(__xludf.DUMMYFUNCTION("""COMPUTED_VALUE"""),"Waddle")</f>
        <v>Waddle</v>
      </c>
      <c r="E2156" t="str">
        <f>IFERROR(__xludf.DUMMYFUNCTION("""COMPUTED_VALUE"""),"LaAdrian")</f>
        <v>LaAdrian</v>
      </c>
      <c r="F2156">
        <f>IFERROR(__xludf.DUMMYFUNCTION("""COMPUTED_VALUE"""),10.5)</f>
        <v>10.5</v>
      </c>
    </row>
    <row r="2157">
      <c r="D2157" t="str">
        <f>IFERROR(__xludf.DUMMYFUNCTION("""COMPUTED_VALUE"""),"Wade")</f>
        <v>Wade</v>
      </c>
      <c r="E2157" t="str">
        <f>IFERROR(__xludf.DUMMYFUNCTION("""COMPUTED_VALUE"""),"Trevin")</f>
        <v>Trevin</v>
      </c>
      <c r="F2157">
        <f>IFERROR(__xludf.DUMMYFUNCTION("""COMPUTED_VALUE"""),10.799999999999999)</f>
        <v>10.8</v>
      </c>
    </row>
    <row r="2158">
      <c r="D2158" t="str">
        <f>IFERROR(__xludf.DUMMYFUNCTION("""COMPUTED_VALUE"""),"Wagner")</f>
        <v>Wagner</v>
      </c>
      <c r="E2158" t="str">
        <f>IFERROR(__xludf.DUMMYFUNCTION("""COMPUTED_VALUE"""),"Bobby")</f>
        <v>Bobby</v>
      </c>
      <c r="F2158">
        <f>IFERROR(__xludf.DUMMYFUNCTION("""COMPUTED_VALUE"""),13.2)</f>
        <v>13.2</v>
      </c>
    </row>
    <row r="2159">
      <c r="D2159" t="str">
        <f>IFERROR(__xludf.DUMMYFUNCTION("""COMPUTED_VALUE"""),"Wagner")</f>
        <v>Wagner</v>
      </c>
      <c r="E2159" t="str">
        <f>IFERROR(__xludf.DUMMYFUNCTION("""COMPUTED_VALUE"""),"Rick")</f>
        <v>Rick</v>
      </c>
      <c r="F2159">
        <f>IFERROR(__xludf.DUMMYFUNCTION("""COMPUTED_VALUE"""),11.4)</f>
        <v>11.4</v>
      </c>
    </row>
    <row r="2160">
      <c r="D2160" t="str">
        <f>IFERROR(__xludf.DUMMYFUNCTION("""COMPUTED_VALUE"""),"Wake")</f>
        <v>Wake</v>
      </c>
      <c r="E2160" t="str">
        <f>IFERROR(__xludf.DUMMYFUNCTION("""COMPUTED_VALUE"""),"Cameron")</f>
        <v>Cameron</v>
      </c>
      <c r="F2160">
        <f>IFERROR(__xludf.DUMMYFUNCTION("""COMPUTED_VALUE"""),13.35)</f>
        <v>13.35</v>
      </c>
    </row>
    <row r="2161">
      <c r="D2161" t="str">
        <f>IFERROR(__xludf.DUMMYFUNCTION("""COMPUTED_VALUE"""),"Wakefield")</f>
        <v>Wakefield</v>
      </c>
      <c r="E2161" t="str">
        <f>IFERROR(__xludf.DUMMYFUNCTION("""COMPUTED_VALUE"""),"Mike")</f>
        <v>Mike</v>
      </c>
      <c r="F2161">
        <f>IFERROR(__xludf.DUMMYFUNCTION("""COMPUTED_VALUE"""),9.15)</f>
        <v>9.15</v>
      </c>
    </row>
    <row r="2162">
      <c r="D2162" t="str">
        <f>IFERROR(__xludf.DUMMYFUNCTION("""COMPUTED_VALUE"""),"Walden")</f>
        <v>Walden</v>
      </c>
      <c r="E2162" t="str">
        <f>IFERROR(__xludf.DUMMYFUNCTION("""COMPUTED_VALUE"""),"Erik")</f>
        <v>Erik</v>
      </c>
      <c r="F2162">
        <f>IFERROR(__xludf.DUMMYFUNCTION("""COMPUTED_VALUE"""),11.7)</f>
        <v>11.7</v>
      </c>
    </row>
    <row r="2163">
      <c r="D2163" t="str">
        <f>IFERROR(__xludf.DUMMYFUNCTION("""COMPUTED_VALUE"""),"Walford")</f>
        <v>Walford</v>
      </c>
      <c r="E2163" t="str">
        <f>IFERROR(__xludf.DUMMYFUNCTION("""COMPUTED_VALUE"""),"Clive")</f>
        <v>Clive</v>
      </c>
      <c r="F2163">
        <f>IFERROR(__xludf.DUMMYFUNCTION("""COMPUTED_VALUE"""),11.549999999999999)</f>
        <v>11.55</v>
      </c>
    </row>
    <row r="2164">
      <c r="D2164" t="str">
        <f>IFERROR(__xludf.DUMMYFUNCTION("""COMPUTED_VALUE"""),"Walker")</f>
        <v>Walker</v>
      </c>
      <c r="E2164" t="str">
        <f>IFERROR(__xludf.DUMMYFUNCTION("""COMPUTED_VALUE"""),"Delanie")</f>
        <v>Delanie</v>
      </c>
      <c r="F2164">
        <f>IFERROR(__xludf.DUMMYFUNCTION("""COMPUTED_VALUE"""),13.95)</f>
        <v>13.95</v>
      </c>
    </row>
    <row r="2165">
      <c r="D2165" t="str">
        <f>IFERROR(__xludf.DUMMYFUNCTION("""COMPUTED_VALUE"""),"Walker")</f>
        <v>Walker</v>
      </c>
      <c r="E2165" t="str">
        <f>IFERROR(__xludf.DUMMYFUNCTION("""COMPUTED_VALUE"""),"Joe")</f>
        <v>Joe</v>
      </c>
      <c r="F2165">
        <f>IFERROR(__xludf.DUMMYFUNCTION("""COMPUTED_VALUE"""),9.0)</f>
        <v>9</v>
      </c>
    </row>
    <row r="2166">
      <c r="D2166" t="str">
        <f>IFERROR(__xludf.DUMMYFUNCTION("""COMPUTED_VALUE"""),"Walker")</f>
        <v>Walker</v>
      </c>
      <c r="E2166" t="str">
        <f>IFERROR(__xludf.DUMMYFUNCTION("""COMPUTED_VALUE"""),"Josh")</f>
        <v>Josh</v>
      </c>
      <c r="F2166">
        <f>IFERROR(__xludf.DUMMYFUNCTION("""COMPUTED_VALUE"""),9.299999999999999)</f>
        <v>9.3</v>
      </c>
    </row>
    <row r="2167">
      <c r="D2167" t="str">
        <f>IFERROR(__xludf.DUMMYFUNCTION("""COMPUTED_VALUE"""),"Walker")</f>
        <v>Walker</v>
      </c>
      <c r="E2167" t="str">
        <f>IFERROR(__xludf.DUMMYFUNCTION("""COMPUTED_VALUE"""),"Tyrunn")</f>
        <v>Tyrunn</v>
      </c>
      <c r="F2167">
        <f>IFERROR(__xludf.DUMMYFUNCTION("""COMPUTED_VALUE"""),10.799999999999999)</f>
        <v>10.8</v>
      </c>
    </row>
    <row r="2168">
      <c r="D2168" t="str">
        <f>IFERROR(__xludf.DUMMYFUNCTION("""COMPUTED_VALUE"""),"Walker")</f>
        <v>Walker</v>
      </c>
      <c r="E2168" t="str">
        <f>IFERROR(__xludf.DUMMYFUNCTION("""COMPUTED_VALUE"""),"Vance")</f>
        <v>Vance</v>
      </c>
      <c r="F2168">
        <f>IFERROR(__xludf.DUMMYFUNCTION("""COMPUTED_VALUE"""),11.1)</f>
        <v>11.1</v>
      </c>
    </row>
    <row r="2169">
      <c r="D2169" t="str">
        <f>IFERROR(__xludf.DUMMYFUNCTION("""COMPUTED_VALUE"""),"Wallace")</f>
        <v>Wallace</v>
      </c>
      <c r="E2169" t="str">
        <f>IFERROR(__xludf.DUMMYFUNCTION("""COMPUTED_VALUE"""),"Aaron")</f>
        <v>Aaron</v>
      </c>
      <c r="F2169">
        <f>IFERROR(__xludf.DUMMYFUNCTION("""COMPUTED_VALUE"""),9.75)</f>
        <v>9.75</v>
      </c>
    </row>
    <row r="2170">
      <c r="D2170" t="str">
        <f>IFERROR(__xludf.DUMMYFUNCTION("""COMPUTED_VALUE"""),"Wallace")</f>
        <v>Wallace</v>
      </c>
      <c r="E2170" t="str">
        <f>IFERROR(__xludf.DUMMYFUNCTION("""COMPUTED_VALUE"""),"Cody")</f>
        <v>Cody</v>
      </c>
      <c r="F2170">
        <f>IFERROR(__xludf.DUMMYFUNCTION("""COMPUTED_VALUE"""),9.75)</f>
        <v>9.75</v>
      </c>
    </row>
    <row r="2171">
      <c r="D2171" t="str">
        <f>IFERROR(__xludf.DUMMYFUNCTION("""COMPUTED_VALUE"""),"Wallace")</f>
        <v>Wallace</v>
      </c>
      <c r="E2171" t="str">
        <f>IFERROR(__xludf.DUMMYFUNCTION("""COMPUTED_VALUE"""),"Martin")</f>
        <v>Martin</v>
      </c>
      <c r="F2171">
        <f>IFERROR(__xludf.DUMMYFUNCTION("""COMPUTED_VALUE"""),10.049999999999999)</f>
        <v>10.05</v>
      </c>
    </row>
    <row r="2172">
      <c r="D2172" t="str">
        <f>IFERROR(__xludf.DUMMYFUNCTION("""COMPUTED_VALUE"""),"Wallace")</f>
        <v>Wallace</v>
      </c>
      <c r="E2172" t="str">
        <f>IFERROR(__xludf.DUMMYFUNCTION("""COMPUTED_VALUE"""),"Mike")</f>
        <v>Mike</v>
      </c>
      <c r="F2172">
        <f>IFERROR(__xludf.DUMMYFUNCTION("""COMPUTED_VALUE"""),11.549999999999999)</f>
        <v>11.55</v>
      </c>
    </row>
    <row r="2173">
      <c r="D2173" t="str">
        <f>IFERROR(__xludf.DUMMYFUNCTION("""COMPUTED_VALUE"""),"Waller")</f>
        <v>Waller</v>
      </c>
      <c r="E2173" t="str">
        <f>IFERROR(__xludf.DUMMYFUNCTION("""COMPUTED_VALUE"""),"Darren")</f>
        <v>Darren</v>
      </c>
      <c r="F2173">
        <f>IFERROR(__xludf.DUMMYFUNCTION("""COMPUTED_VALUE"""),9.75)</f>
        <v>9.75</v>
      </c>
    </row>
    <row r="2174">
      <c r="D2174" t="str">
        <f>IFERROR(__xludf.DUMMYFUNCTION("""COMPUTED_VALUE"""),"Walls")</f>
        <v>Walls</v>
      </c>
      <c r="E2174" t="str">
        <f>IFERROR(__xludf.DUMMYFUNCTION("""COMPUTED_VALUE"""),"Darrin")</f>
        <v>Darrin</v>
      </c>
      <c r="F2174">
        <f>IFERROR(__xludf.DUMMYFUNCTION("""COMPUTED_VALUE"""),10.35)</f>
        <v>10.35</v>
      </c>
    </row>
    <row r="2175">
      <c r="D2175" t="str">
        <f>IFERROR(__xludf.DUMMYFUNCTION("""COMPUTED_VALUE"""),"Walsh")</f>
        <v>Walsh</v>
      </c>
      <c r="E2175" t="str">
        <f>IFERROR(__xludf.DUMMYFUNCTION("""COMPUTED_VALUE"""),"Blair")</f>
        <v>Blair</v>
      </c>
      <c r="F2175">
        <f>IFERROR(__xludf.DUMMYFUNCTION("""COMPUTED_VALUE"""),12.15)</f>
        <v>12.15</v>
      </c>
    </row>
    <row r="2176">
      <c r="D2176" t="str">
        <f>IFERROR(__xludf.DUMMYFUNCTION("""COMPUTED_VALUE"""),"Walters")</f>
        <v>Walters</v>
      </c>
      <c r="E2176" t="str">
        <f>IFERROR(__xludf.DUMMYFUNCTION("""COMPUTED_VALUE"""),"Bryan")</f>
        <v>Bryan</v>
      </c>
      <c r="F2176">
        <f>IFERROR(__xludf.DUMMYFUNCTION("""COMPUTED_VALUE"""),10.5)</f>
        <v>10.5</v>
      </c>
    </row>
    <row r="2177">
      <c r="D2177" t="str">
        <f>IFERROR(__xludf.DUMMYFUNCTION("""COMPUTED_VALUE"""),"Walton")</f>
        <v>Walton</v>
      </c>
      <c r="E2177" t="str">
        <f>IFERROR(__xludf.DUMMYFUNCTION("""COMPUTED_VALUE"""),"LT")</f>
        <v>LT</v>
      </c>
      <c r="F2177">
        <f>IFERROR(__xludf.DUMMYFUNCTION("""COMPUTED_VALUE"""),8.85)</f>
        <v>8.85</v>
      </c>
    </row>
    <row r="2178">
      <c r="D2178" t="str">
        <f>IFERROR(__xludf.DUMMYFUNCTION("""COMPUTED_VALUE"""),"Ward")</f>
        <v>Ward</v>
      </c>
      <c r="E2178" t="str">
        <f>IFERROR(__xludf.DUMMYFUNCTION("""COMPUTED_VALUE"""),"Jihad")</f>
        <v>Jihad</v>
      </c>
      <c r="F2178">
        <f>IFERROR(__xludf.DUMMYFUNCTION("""COMPUTED_VALUE"""),10.65)</f>
        <v>10.65</v>
      </c>
    </row>
    <row r="2179">
      <c r="D2179" t="str">
        <f>IFERROR(__xludf.DUMMYFUNCTION("""COMPUTED_VALUE"""),"Ward")</f>
        <v>Ward</v>
      </c>
      <c r="E2179" t="str">
        <f>IFERROR(__xludf.DUMMYFUNCTION("""COMPUTED_VALUE"""),"Jimmie")</f>
        <v>Jimmie</v>
      </c>
      <c r="F2179">
        <f>IFERROR(__xludf.DUMMYFUNCTION("""COMPUTED_VALUE"""),11.25)</f>
        <v>11.25</v>
      </c>
    </row>
    <row r="2180">
      <c r="D2180" t="str">
        <f>IFERROR(__xludf.DUMMYFUNCTION("""COMPUTED_VALUE"""),"Ward")</f>
        <v>Ward</v>
      </c>
      <c r="E2180" t="str">
        <f>IFERROR(__xludf.DUMMYFUNCTION("""COMPUTED_VALUE"""),"Terron")</f>
        <v>Terron</v>
      </c>
      <c r="F2180">
        <f>IFERROR(__xludf.DUMMYFUNCTION("""COMPUTED_VALUE"""),10.35)</f>
        <v>10.35</v>
      </c>
    </row>
    <row r="2181">
      <c r="D2181" t="str">
        <f>IFERROR(__xludf.DUMMYFUNCTION("""COMPUTED_VALUE"""),"Ward")</f>
        <v>Ward</v>
      </c>
      <c r="E2181" t="str">
        <f>IFERROR(__xludf.DUMMYFUNCTION("""COMPUTED_VALUE"""),"TJ")</f>
        <v>TJ</v>
      </c>
      <c r="F2181">
        <f>IFERROR(__xludf.DUMMYFUNCTION("""COMPUTED_VALUE"""),12.75)</f>
        <v>12.75</v>
      </c>
    </row>
    <row r="2182">
      <c r="D2182" t="str">
        <f>IFERROR(__xludf.DUMMYFUNCTION("""COMPUTED_VALUE"""),"Ware")</f>
        <v>Ware</v>
      </c>
      <c r="E2182" t="str">
        <f>IFERROR(__xludf.DUMMYFUNCTION("""COMPUTED_VALUE"""),"DeMarcus")</f>
        <v>DeMarcus</v>
      </c>
      <c r="F2182">
        <f>IFERROR(__xludf.DUMMYFUNCTION("""COMPUTED_VALUE"""),12.9)</f>
        <v>12.9</v>
      </c>
    </row>
    <row r="2183">
      <c r="D2183" t="str">
        <f>IFERROR(__xludf.DUMMYFUNCTION("""COMPUTED_VALUE"""),"Ware")</f>
        <v>Ware</v>
      </c>
      <c r="E2183" t="str">
        <f>IFERROR(__xludf.DUMMYFUNCTION("""COMPUTED_VALUE"""),"Spencer")</f>
        <v>Spencer</v>
      </c>
      <c r="F2183">
        <f>IFERROR(__xludf.DUMMYFUNCTION("""COMPUTED_VALUE"""),11.25)</f>
        <v>11.25</v>
      </c>
    </row>
    <row r="2184">
      <c r="D2184" t="str">
        <f>IFERROR(__xludf.DUMMYFUNCTION("""COMPUTED_VALUE"""),"Warford")</f>
        <v>Warford</v>
      </c>
      <c r="E2184" t="str">
        <f>IFERROR(__xludf.DUMMYFUNCTION("""COMPUTED_VALUE"""),"Larry")</f>
        <v>Larry</v>
      </c>
      <c r="F2184">
        <f>IFERROR(__xludf.DUMMYFUNCTION("""COMPUTED_VALUE"""),11.1)</f>
        <v>11.1</v>
      </c>
    </row>
    <row r="2185">
      <c r="D2185" t="str">
        <f>IFERROR(__xludf.DUMMYFUNCTION("""COMPUTED_VALUE"""),"Warmack")</f>
        <v>Warmack</v>
      </c>
      <c r="E2185" t="str">
        <f>IFERROR(__xludf.DUMMYFUNCTION("""COMPUTED_VALUE"""),"Chance")</f>
        <v>Chance</v>
      </c>
      <c r="F2185">
        <f>IFERROR(__xludf.DUMMYFUNCTION("""COMPUTED_VALUE"""),11.25)</f>
        <v>11.25</v>
      </c>
    </row>
    <row r="2186">
      <c r="D2186" t="str">
        <f>IFERROR(__xludf.DUMMYFUNCTION("""COMPUTED_VALUE"""),"Warren")</f>
        <v>Warren</v>
      </c>
      <c r="E2186" t="str">
        <f>IFERROR(__xludf.DUMMYFUNCTION("""COMPUTED_VALUE"""),"Greg")</f>
        <v>Greg</v>
      </c>
      <c r="F2186">
        <f>IFERROR(__xludf.DUMMYFUNCTION("""COMPUTED_VALUE"""),9.75)</f>
        <v>9.75</v>
      </c>
    </row>
    <row r="2187">
      <c r="D2187" t="str">
        <f>IFERROR(__xludf.DUMMYFUNCTION("""COMPUTED_VALUE"""),"Washington")</f>
        <v>Washington</v>
      </c>
      <c r="E2187" t="str">
        <f>IFERROR(__xludf.DUMMYFUNCTION("""COMPUTED_VALUE"""),"Adolphus")</f>
        <v>Adolphus</v>
      </c>
      <c r="F2187">
        <f>IFERROR(__xludf.DUMMYFUNCTION("""COMPUTED_VALUE"""),10.5)</f>
        <v>10.5</v>
      </c>
    </row>
    <row r="2188">
      <c r="D2188" t="str">
        <f>IFERROR(__xludf.DUMMYFUNCTION("""COMPUTED_VALUE"""),"Washington")</f>
        <v>Washington</v>
      </c>
      <c r="E2188" t="str">
        <f>IFERROR(__xludf.DUMMYFUNCTION("""COMPUTED_VALUE"""),"Corey")</f>
        <v>Corey</v>
      </c>
      <c r="F2188">
        <f>IFERROR(__xludf.DUMMYFUNCTION("""COMPUTED_VALUE"""),9.299999999999999)</f>
        <v>9.3</v>
      </c>
    </row>
    <row r="2189">
      <c r="D2189" t="str">
        <f>IFERROR(__xludf.DUMMYFUNCTION("""COMPUTED_VALUE"""),"Washington")</f>
        <v>Washington</v>
      </c>
      <c r="E2189" t="str">
        <f>IFERROR(__xludf.DUMMYFUNCTION("""COMPUTED_VALUE"""),"Cornelius")</f>
        <v>Cornelius</v>
      </c>
      <c r="F2189">
        <f>IFERROR(__xludf.DUMMYFUNCTION("""COMPUTED_VALUE"""),9.6)</f>
        <v>9.6</v>
      </c>
    </row>
    <row r="2190">
      <c r="D2190" t="str">
        <f>IFERROR(__xludf.DUMMYFUNCTION("""COMPUTED_VALUE"""),"Washington")</f>
        <v>Washington</v>
      </c>
      <c r="E2190" t="str">
        <f>IFERROR(__xludf.DUMMYFUNCTION("""COMPUTED_VALUE"""),"Daryl")</f>
        <v>Daryl</v>
      </c>
      <c r="F2190">
        <f>IFERROR(__xludf.DUMMYFUNCTION("""COMPUTED_VALUE"""),10.5)</f>
        <v>10.5</v>
      </c>
    </row>
    <row r="2191">
      <c r="D2191" t="str">
        <f>IFERROR(__xludf.DUMMYFUNCTION("""COMPUTED_VALUE"""),"Washington")</f>
        <v>Washington</v>
      </c>
      <c r="E2191" t="str">
        <f>IFERROR(__xludf.DUMMYFUNCTION("""COMPUTED_VALUE"""),"DeAndre")</f>
        <v>DeAndre</v>
      </c>
      <c r="F2191">
        <f>IFERROR(__xludf.DUMMYFUNCTION("""COMPUTED_VALUE"""),10.2)</f>
        <v>10.2</v>
      </c>
    </row>
    <row r="2192">
      <c r="D2192" t="str">
        <f>IFERROR(__xludf.DUMMYFUNCTION("""COMPUTED_VALUE"""),"Washington")</f>
        <v>Washington</v>
      </c>
      <c r="E2192" t="str">
        <f>IFERROR(__xludf.DUMMYFUNCTION("""COMPUTED_VALUE"""),"Donald")</f>
        <v>Donald</v>
      </c>
      <c r="F2192">
        <f>IFERROR(__xludf.DUMMYFUNCTION("""COMPUTED_VALUE"""),9.75)</f>
        <v>9.75</v>
      </c>
    </row>
    <row r="2193">
      <c r="D2193" t="str">
        <f>IFERROR(__xludf.DUMMYFUNCTION("""COMPUTED_VALUE"""),"Washington")</f>
        <v>Washington</v>
      </c>
      <c r="E2193" t="str">
        <f>IFERROR(__xludf.DUMMYFUNCTION("""COMPUTED_VALUE"""),"Dwayne")</f>
        <v>Dwayne</v>
      </c>
      <c r="F2193">
        <f>IFERROR(__xludf.DUMMYFUNCTION("""COMPUTED_VALUE"""),9.75)</f>
        <v>9.75</v>
      </c>
    </row>
    <row r="2194">
      <c r="D2194" t="str">
        <f>IFERROR(__xludf.DUMMYFUNCTION("""COMPUTED_VALUE"""),"Washington")</f>
        <v>Washington</v>
      </c>
      <c r="E2194" t="str">
        <f>IFERROR(__xludf.DUMMYFUNCTION("""COMPUTED_VALUE"""),"Nate")</f>
        <v>Nate</v>
      </c>
      <c r="F2194">
        <f>IFERROR(__xludf.DUMMYFUNCTION("""COMPUTED_VALUE"""),10.95)</f>
        <v>10.95</v>
      </c>
    </row>
    <row r="2195">
      <c r="D2195" t="str">
        <f>IFERROR(__xludf.DUMMYFUNCTION("""COMPUTED_VALUE"""),"Waters")</f>
        <v>Waters</v>
      </c>
      <c r="E2195" t="str">
        <f>IFERROR(__xludf.DUMMYFUNCTION("""COMPUTED_VALUE"""),"Swayze")</f>
        <v>Swayze</v>
      </c>
      <c r="F2195">
        <f>IFERROR(__xludf.DUMMYFUNCTION("""COMPUTED_VALUE"""),10.35)</f>
        <v>10.35</v>
      </c>
    </row>
    <row r="2196">
      <c r="D2196" t="str">
        <f>IFERROR(__xludf.DUMMYFUNCTION("""COMPUTED_VALUE"""),"Watford")</f>
        <v>Watford</v>
      </c>
      <c r="E2196" t="str">
        <f>IFERROR(__xludf.DUMMYFUNCTION("""COMPUTED_VALUE"""),"Earl")</f>
        <v>Earl</v>
      </c>
      <c r="F2196">
        <f>IFERROR(__xludf.DUMMYFUNCTION("""COMPUTED_VALUE"""),11.1)</f>
        <v>11.1</v>
      </c>
    </row>
    <row r="2197">
      <c r="D2197" t="str">
        <f>IFERROR(__xludf.DUMMYFUNCTION("""COMPUTED_VALUE"""),"Watkins")</f>
        <v>Watkins</v>
      </c>
      <c r="E2197" t="str">
        <f>IFERROR(__xludf.DUMMYFUNCTION("""COMPUTED_VALUE"""),"Jaylen")</f>
        <v>Jaylen</v>
      </c>
      <c r="F2197">
        <f>IFERROR(__xludf.DUMMYFUNCTION("""COMPUTED_VALUE"""),10.2)</f>
        <v>10.2</v>
      </c>
    </row>
    <row r="2198">
      <c r="D2198" t="str">
        <f>IFERROR(__xludf.DUMMYFUNCTION("""COMPUTED_VALUE"""),"Watkins")</f>
        <v>Watkins</v>
      </c>
      <c r="E2198" t="str">
        <f>IFERROR(__xludf.DUMMYFUNCTION("""COMPUTED_VALUE"""),"Sammy")</f>
        <v>Sammy</v>
      </c>
      <c r="F2198">
        <f>IFERROR(__xludf.DUMMYFUNCTION("""COMPUTED_VALUE"""),13.049999999999999)</f>
        <v>13.05</v>
      </c>
    </row>
    <row r="2199">
      <c r="D2199" t="str">
        <f>IFERROR(__xludf.DUMMYFUNCTION("""COMPUTED_VALUE"""),"Watson")</f>
        <v>Watson</v>
      </c>
      <c r="E2199" t="str">
        <f>IFERROR(__xludf.DUMMYFUNCTION("""COMPUTED_VALUE"""),"Benjamin")</f>
        <v>Benjamin</v>
      </c>
      <c r="F2199">
        <f>IFERROR(__xludf.DUMMYFUNCTION("""COMPUTED_VALUE"""),12.15)</f>
        <v>12.15</v>
      </c>
    </row>
    <row r="2200">
      <c r="D2200" t="str">
        <f>IFERROR(__xludf.DUMMYFUNCTION("""COMPUTED_VALUE"""),"Watson")</f>
        <v>Watson</v>
      </c>
      <c r="E2200" t="str">
        <f>IFERROR(__xludf.DUMMYFUNCTION("""COMPUTED_VALUE"""),"Dekoda")</f>
        <v>Dekoda</v>
      </c>
      <c r="F2200">
        <f>IFERROR(__xludf.DUMMYFUNCTION("""COMPUTED_VALUE"""),9.45)</f>
        <v>9.45</v>
      </c>
    </row>
    <row r="2201">
      <c r="D2201" t="str">
        <f>IFERROR(__xludf.DUMMYFUNCTION("""COMPUTED_VALUE"""),"Watson")</f>
        <v>Watson</v>
      </c>
      <c r="E2201" t="str">
        <f>IFERROR(__xludf.DUMMYFUNCTION("""COMPUTED_VALUE"""),"Menelik")</f>
        <v>Menelik</v>
      </c>
      <c r="F2201">
        <f>IFERROR(__xludf.DUMMYFUNCTION("""COMPUTED_VALUE"""),10.95)</f>
        <v>10.95</v>
      </c>
    </row>
    <row r="2202">
      <c r="D2202" t="str">
        <f>IFERROR(__xludf.DUMMYFUNCTION("""COMPUTED_VALUE"""),"Watt")</f>
        <v>Watt</v>
      </c>
      <c r="E2202" t="str">
        <f>IFERROR(__xludf.DUMMYFUNCTION("""COMPUTED_VALUE"""),"Chris")</f>
        <v>Chris</v>
      </c>
      <c r="F2202">
        <f>IFERROR(__xludf.DUMMYFUNCTION("""COMPUTED_VALUE"""),10.35)</f>
        <v>10.35</v>
      </c>
    </row>
    <row r="2203">
      <c r="D2203" t="str">
        <f>IFERROR(__xludf.DUMMYFUNCTION("""COMPUTED_VALUE"""),"Watt")</f>
        <v>Watt</v>
      </c>
      <c r="E2203" t="str">
        <f>IFERROR(__xludf.DUMMYFUNCTION("""COMPUTED_VALUE"""),"Derek")</f>
        <v>Derek</v>
      </c>
      <c r="F2203">
        <f>IFERROR(__xludf.DUMMYFUNCTION("""COMPUTED_VALUE"""),10.65)</f>
        <v>10.65</v>
      </c>
    </row>
    <row r="2204">
      <c r="D2204" t="str">
        <f>IFERROR(__xludf.DUMMYFUNCTION("""COMPUTED_VALUE"""),"Watt")</f>
        <v>Watt</v>
      </c>
      <c r="E2204" t="str">
        <f>IFERROR(__xludf.DUMMYFUNCTION("""COMPUTED_VALUE"""),"JJ")</f>
        <v>JJ</v>
      </c>
      <c r="F2204">
        <f>IFERROR(__xludf.DUMMYFUNCTION("""COMPUTED_VALUE"""),14.85)</f>
        <v>14.85</v>
      </c>
    </row>
    <row r="2205">
      <c r="D2205" t="str">
        <f>IFERROR(__xludf.DUMMYFUNCTION("""COMPUTED_VALUE"""),"Watts")</f>
        <v>Watts</v>
      </c>
      <c r="E2205" t="str">
        <f>IFERROR(__xludf.DUMMYFUNCTION("""COMPUTED_VALUE"""),"Brandon")</f>
        <v>Brandon</v>
      </c>
      <c r="F2205">
        <f>IFERROR(__xludf.DUMMYFUNCTION("""COMPUTED_VALUE"""),9.6)</f>
        <v>9.6</v>
      </c>
    </row>
    <row r="2206">
      <c r="D2206" t="str">
        <f>IFERROR(__xludf.DUMMYFUNCTION("""COMPUTED_VALUE"""),"Watts")</f>
        <v>Watts</v>
      </c>
      <c r="E2206" t="str">
        <f>IFERROR(__xludf.DUMMYFUNCTION("""COMPUTED_VALUE"""),"Craig")</f>
        <v>Craig</v>
      </c>
      <c r="F2206">
        <f>IFERROR(__xludf.DUMMYFUNCTION("""COMPUTED_VALUE"""),9.45)</f>
        <v>9.45</v>
      </c>
    </row>
    <row r="2207">
      <c r="D2207" t="str">
        <f>IFERROR(__xludf.DUMMYFUNCTION("""COMPUTED_VALUE"""),"Way")</f>
        <v>Way</v>
      </c>
      <c r="E2207" t="str">
        <f>IFERROR(__xludf.DUMMYFUNCTION("""COMPUTED_VALUE"""),"Tress")</f>
        <v>Tress</v>
      </c>
      <c r="F2207">
        <f>IFERROR(__xludf.DUMMYFUNCTION("""COMPUTED_VALUE"""),12.45)</f>
        <v>12.45</v>
      </c>
    </row>
    <row r="2208">
      <c r="D2208" t="str">
        <f>IFERROR(__xludf.DUMMYFUNCTION("""COMPUTED_VALUE"""),"Waynes")</f>
        <v>Waynes</v>
      </c>
      <c r="E2208" t="str">
        <f>IFERROR(__xludf.DUMMYFUNCTION("""COMPUTED_VALUE"""),"Trae")</f>
        <v>Trae</v>
      </c>
      <c r="F2208">
        <f>IFERROR(__xludf.DUMMYFUNCTION("""COMPUTED_VALUE"""),10.95)</f>
        <v>10.95</v>
      </c>
    </row>
    <row r="2209">
      <c r="D2209" t="str">
        <f>IFERROR(__xludf.DUMMYFUNCTION("""COMPUTED_VALUE"""),"Weatherly")</f>
        <v>Weatherly</v>
      </c>
      <c r="E2209" t="str">
        <f>IFERROR(__xludf.DUMMYFUNCTION("""COMPUTED_VALUE"""),"Stephen")</f>
        <v>Stephen</v>
      </c>
      <c r="F2209">
        <f>IFERROR(__xludf.DUMMYFUNCTION("""COMPUTED_VALUE"""),9.45)</f>
        <v>9.45</v>
      </c>
    </row>
    <row r="2210">
      <c r="D2210" t="str">
        <f>IFERROR(__xludf.DUMMYFUNCTION("""COMPUTED_VALUE"""),"Weatherspoon")</f>
        <v>Weatherspoon</v>
      </c>
      <c r="E2210" t="str">
        <f>IFERROR(__xludf.DUMMYFUNCTION("""COMPUTED_VALUE"""),"Sean")</f>
        <v>Sean</v>
      </c>
      <c r="F2210">
        <f>IFERROR(__xludf.DUMMYFUNCTION("""COMPUTED_VALUE"""),10.95)</f>
        <v>10.95</v>
      </c>
    </row>
    <row r="2211">
      <c r="D2211" t="str">
        <f>IFERROR(__xludf.DUMMYFUNCTION("""COMPUTED_VALUE"""),"Weaver")</f>
        <v>Weaver</v>
      </c>
      <c r="E2211" t="str">
        <f>IFERROR(__xludf.DUMMYFUNCTION("""COMPUTED_VALUE"""),"Jason")</f>
        <v>Jason</v>
      </c>
      <c r="F2211">
        <f>IFERROR(__xludf.DUMMYFUNCTION("""COMPUTED_VALUE"""),9.75)</f>
        <v>9.75</v>
      </c>
    </row>
    <row r="2212">
      <c r="D2212" t="str">
        <f>IFERROR(__xludf.DUMMYFUNCTION("""COMPUTED_VALUE"""),"Webb")</f>
        <v>Webb</v>
      </c>
      <c r="E2212" t="str">
        <f>IFERROR(__xludf.DUMMYFUNCTION("""COMPUTED_VALUE"""),"BW")</f>
        <v>BW</v>
      </c>
      <c r="F2212">
        <f>IFERROR(__xludf.DUMMYFUNCTION("""COMPUTED_VALUE"""),9.9)</f>
        <v>9.9</v>
      </c>
    </row>
    <row r="2213">
      <c r="D2213" t="str">
        <f>IFERROR(__xludf.DUMMYFUNCTION("""COMPUTED_VALUE"""),"Webb")</f>
        <v>Webb</v>
      </c>
      <c r="E2213" t="str">
        <f>IFERROR(__xludf.DUMMYFUNCTION("""COMPUTED_VALUE"""),"JMarcus")</f>
        <v>JMarcus</v>
      </c>
      <c r="F2213">
        <f>IFERROR(__xludf.DUMMYFUNCTION("""COMPUTED_VALUE"""),10.049999999999999)</f>
        <v>10.05</v>
      </c>
    </row>
    <row r="2214">
      <c r="D2214" t="str">
        <f>IFERROR(__xludf.DUMMYFUNCTION("""COMPUTED_VALUE"""),"Webb")</f>
        <v>Webb</v>
      </c>
      <c r="E2214" t="str">
        <f>IFERROR(__xludf.DUMMYFUNCTION("""COMPUTED_VALUE"""),"Joe")</f>
        <v>Joe</v>
      </c>
      <c r="F2214">
        <f>IFERROR(__xludf.DUMMYFUNCTION("""COMPUTED_VALUE"""),9.75)</f>
        <v>9.75</v>
      </c>
    </row>
    <row r="2215">
      <c r="D2215" t="str">
        <f>IFERROR(__xludf.DUMMYFUNCTION("""COMPUTED_VALUE"""),"Webb")</f>
        <v>Webb</v>
      </c>
      <c r="E2215" t="str">
        <f>IFERROR(__xludf.DUMMYFUNCTION("""COMPUTED_VALUE"""),"Lardarius")</f>
        <v>Lardarius</v>
      </c>
      <c r="F2215">
        <f>IFERROR(__xludf.DUMMYFUNCTION("""COMPUTED_VALUE"""),11.85)</f>
        <v>11.85</v>
      </c>
    </row>
    <row r="2216">
      <c r="D2216" t="str">
        <f>IFERROR(__xludf.DUMMYFUNCTION("""COMPUTED_VALUE"""),"Webster")</f>
        <v>Webster</v>
      </c>
      <c r="E2216" t="str">
        <f>IFERROR(__xludf.DUMMYFUNCTION("""COMPUTED_VALUE"""),"Kayvon")</f>
        <v>Kayvon</v>
      </c>
      <c r="F2216">
        <f>IFERROR(__xludf.DUMMYFUNCTION("""COMPUTED_VALUE"""),10.65)</f>
        <v>10.65</v>
      </c>
    </row>
    <row r="2217">
      <c r="D2217" t="str">
        <f>IFERROR(__xludf.DUMMYFUNCTION("""COMPUTED_VALUE"""),"Webster III")</f>
        <v>Webster III</v>
      </c>
      <c r="E2217" t="str">
        <f>IFERROR(__xludf.DUMMYFUNCTION("""COMPUTED_VALUE"""),"Larry")</f>
        <v>Larry</v>
      </c>
      <c r="F2217">
        <f>IFERROR(__xludf.DUMMYFUNCTION("""COMPUTED_VALUE"""),9.45)</f>
        <v>9.45</v>
      </c>
    </row>
    <row r="2218">
      <c r="D2218" t="str">
        <f>IFERROR(__xludf.DUMMYFUNCTION("""COMPUTED_VALUE"""),"Weddle")</f>
        <v>Weddle</v>
      </c>
      <c r="E2218" t="str">
        <f>IFERROR(__xludf.DUMMYFUNCTION("""COMPUTED_VALUE"""),"Eric")</f>
        <v>Eric</v>
      </c>
      <c r="F2218">
        <f>IFERROR(__xludf.DUMMYFUNCTION("""COMPUTED_VALUE"""),13.799999999999999)</f>
        <v>13.8</v>
      </c>
    </row>
    <row r="2219">
      <c r="D2219" t="str">
        <f>IFERROR(__xludf.DUMMYFUNCTION("""COMPUTED_VALUE"""),"Weeden")</f>
        <v>Weeden</v>
      </c>
      <c r="E2219" t="str">
        <f>IFERROR(__xludf.DUMMYFUNCTION("""COMPUTED_VALUE"""),"Brandon")</f>
        <v>Brandon</v>
      </c>
      <c r="F2219">
        <f>IFERROR(__xludf.DUMMYFUNCTION("""COMPUTED_VALUE"""),10.799999999999999)</f>
        <v>10.8</v>
      </c>
    </row>
    <row r="2220">
      <c r="D2220" t="str">
        <f>IFERROR(__xludf.DUMMYFUNCTION("""COMPUTED_VALUE"""),"Weeks")</f>
        <v>Weeks</v>
      </c>
      <c r="E2220" t="str">
        <f>IFERROR(__xludf.DUMMYFUNCTION("""COMPUTED_VALUE"""),"Jon")</f>
        <v>Jon</v>
      </c>
      <c r="F2220">
        <f>IFERROR(__xludf.DUMMYFUNCTION("""COMPUTED_VALUE"""),6.3)</f>
        <v>6.3</v>
      </c>
    </row>
    <row r="2221">
      <c r="D2221" t="str">
        <f>IFERROR(__xludf.DUMMYFUNCTION("""COMPUTED_VALUE"""),"Weems")</f>
        <v>Weems</v>
      </c>
      <c r="E2221" t="str">
        <f>IFERROR(__xludf.DUMMYFUNCTION("""COMPUTED_VALUE"""),"Darrion")</f>
        <v>Darrion</v>
      </c>
      <c r="F2221">
        <f>IFERROR(__xludf.DUMMYFUNCTION("""COMPUTED_VALUE"""),10.35)</f>
        <v>10.35</v>
      </c>
    </row>
    <row r="2222">
      <c r="D2222" t="str">
        <f>IFERROR(__xludf.DUMMYFUNCTION("""COMPUTED_VALUE"""),"Weems")</f>
        <v>Weems</v>
      </c>
      <c r="E2222" t="str">
        <f>IFERROR(__xludf.DUMMYFUNCTION("""COMPUTED_VALUE"""),"Eric")</f>
        <v>Eric</v>
      </c>
      <c r="F2222">
        <f>IFERROR(__xludf.DUMMYFUNCTION("""COMPUTED_VALUE"""),10.35)</f>
        <v>10.35</v>
      </c>
    </row>
    <row r="2223">
      <c r="D2223" t="str">
        <f>IFERROR(__xludf.DUMMYFUNCTION("""COMPUTED_VALUE"""),"Wegher")</f>
        <v>Wegher</v>
      </c>
      <c r="E2223" t="str">
        <f>IFERROR(__xludf.DUMMYFUNCTION("""COMPUTED_VALUE"""),"Brandon")</f>
        <v>Brandon</v>
      </c>
      <c r="F2223">
        <f>IFERROR(__xludf.DUMMYFUNCTION("""COMPUTED_VALUE"""),10.049999999999999)</f>
        <v>10.05</v>
      </c>
    </row>
    <row r="2224">
      <c r="D2224" t="str">
        <f>IFERROR(__xludf.DUMMYFUNCTION("""COMPUTED_VALUE"""),"Wells")</f>
        <v>Wells</v>
      </c>
      <c r="E2224" t="str">
        <f>IFERROR(__xludf.DUMMYFUNCTION("""COMPUTED_VALUE"""),"Ian")</f>
        <v>Ian</v>
      </c>
      <c r="F2224">
        <f>IFERROR(__xludf.DUMMYFUNCTION("""COMPUTED_VALUE"""),9.45)</f>
        <v>9.45</v>
      </c>
    </row>
    <row r="2225">
      <c r="D2225" t="str">
        <f>IFERROR(__xludf.DUMMYFUNCTION("""COMPUTED_VALUE"""),"Wells")</f>
        <v>Wells</v>
      </c>
      <c r="E2225" t="str">
        <f>IFERROR(__xludf.DUMMYFUNCTION("""COMPUTED_VALUE"""),"Josh")</f>
        <v>Josh</v>
      </c>
      <c r="F2225">
        <f>IFERROR(__xludf.DUMMYFUNCTION("""COMPUTED_VALUE"""),10.65)</f>
        <v>10.65</v>
      </c>
    </row>
    <row r="2226">
      <c r="D2226" t="str">
        <f>IFERROR(__xludf.DUMMYFUNCTION("""COMPUTED_VALUE"""),"Wenning")</f>
        <v>Wenning</v>
      </c>
      <c r="E2226" t="str">
        <f>IFERROR(__xludf.DUMMYFUNCTION("""COMPUTED_VALUE"""),"Keith")</f>
        <v>Keith</v>
      </c>
      <c r="F2226">
        <f>IFERROR(__xludf.DUMMYFUNCTION("""COMPUTED_VALUE"""),9.45)</f>
        <v>9.45</v>
      </c>
    </row>
    <row r="2227">
      <c r="D2227" t="str">
        <f>IFERROR(__xludf.DUMMYFUNCTION("""COMPUTED_VALUE"""),"Wentz")</f>
        <v>Wentz</v>
      </c>
      <c r="E2227" t="str">
        <f>IFERROR(__xludf.DUMMYFUNCTION("""COMPUTED_VALUE"""),"Carson")</f>
        <v>Carson</v>
      </c>
      <c r="F2227">
        <f>IFERROR(__xludf.DUMMYFUNCTION("""COMPUTED_VALUE"""),11.4)</f>
        <v>11.4</v>
      </c>
    </row>
    <row r="2228">
      <c r="D2228" t="str">
        <f>IFERROR(__xludf.DUMMYFUNCTION("""COMPUTED_VALUE"""),"Werner")</f>
        <v>Werner</v>
      </c>
      <c r="E2228" t="str">
        <f>IFERROR(__xludf.DUMMYFUNCTION("""COMPUTED_VALUE"""),"Bjoern")</f>
        <v>Bjoern</v>
      </c>
      <c r="F2228">
        <f>IFERROR(__xludf.DUMMYFUNCTION("""COMPUTED_VALUE"""),11.1)</f>
        <v>11.1</v>
      </c>
    </row>
    <row r="2229">
      <c r="D2229" t="str">
        <f>IFERROR(__xludf.DUMMYFUNCTION("""COMPUTED_VALUE"""),"Wesley")</f>
        <v>Wesley</v>
      </c>
      <c r="E2229" t="str">
        <f>IFERROR(__xludf.DUMMYFUNCTION("""COMPUTED_VALUE"""),"DeOndre")</f>
        <v>DeOndre</v>
      </c>
      <c r="F2229">
        <f>IFERROR(__xludf.DUMMYFUNCTION("""COMPUTED_VALUE"""),9.9)</f>
        <v>9.9</v>
      </c>
    </row>
    <row r="2230">
      <c r="D2230" t="str">
        <f>IFERROR(__xludf.DUMMYFUNCTION("""COMPUTED_VALUE"""),"West")</f>
        <v>West</v>
      </c>
      <c r="E2230" t="str">
        <f>IFERROR(__xludf.DUMMYFUNCTION("""COMPUTED_VALUE"""),"Charcandrick")</f>
        <v>Charcandrick</v>
      </c>
      <c r="F2230">
        <f>IFERROR(__xludf.DUMMYFUNCTION("""COMPUTED_VALUE"""),11.25)</f>
        <v>11.25</v>
      </c>
    </row>
    <row r="2231">
      <c r="D2231" t="str">
        <f>IFERROR(__xludf.DUMMYFUNCTION("""COMPUTED_VALUE"""),"West")</f>
        <v>West</v>
      </c>
      <c r="E2231" t="str">
        <f>IFERROR(__xludf.DUMMYFUNCTION("""COMPUTED_VALUE"""),"Terrance")</f>
        <v>Terrance</v>
      </c>
      <c r="F2231">
        <f>IFERROR(__xludf.DUMMYFUNCTION("""COMPUTED_VALUE"""),10.95)</f>
        <v>10.95</v>
      </c>
    </row>
    <row r="2232">
      <c r="D2232" t="str">
        <f>IFERROR(__xludf.DUMMYFUNCTION("""COMPUTED_VALUE"""),"Westbrooks")</f>
        <v>Westbrooks</v>
      </c>
      <c r="E2232" t="str">
        <f>IFERROR(__xludf.DUMMYFUNCTION("""COMPUTED_VALUE"""),"Ethan")</f>
        <v>Ethan</v>
      </c>
      <c r="F2232">
        <f>IFERROR(__xludf.DUMMYFUNCTION("""COMPUTED_VALUE"""),9.9)</f>
        <v>9.9</v>
      </c>
    </row>
    <row r="2233">
      <c r="D2233" t="str">
        <f>IFERROR(__xludf.DUMMYFUNCTION("""COMPUTED_VALUE"""),"Westerman")</f>
        <v>Westerman</v>
      </c>
      <c r="E2233" t="str">
        <f>IFERROR(__xludf.DUMMYFUNCTION("""COMPUTED_VALUE"""),"Christian")</f>
        <v>Christian</v>
      </c>
      <c r="F2233">
        <f>IFERROR(__xludf.DUMMYFUNCTION("""COMPUTED_VALUE"""),9.75)</f>
        <v>9.75</v>
      </c>
    </row>
    <row r="2234">
      <c r="D2234" t="str">
        <f>IFERROR(__xludf.DUMMYFUNCTION("""COMPUTED_VALUE"""),"Whalen")</f>
        <v>Whalen</v>
      </c>
      <c r="E2234" t="str">
        <f>IFERROR(__xludf.DUMMYFUNCTION("""COMPUTED_VALUE"""),"Griff")</f>
        <v>Griff</v>
      </c>
      <c r="F2234">
        <f>IFERROR(__xludf.DUMMYFUNCTION("""COMPUTED_VALUE"""),10.5)</f>
        <v>10.5</v>
      </c>
    </row>
    <row r="2235">
      <c r="D2235" t="str">
        <f>IFERROR(__xludf.DUMMYFUNCTION("""COMPUTED_VALUE"""),"Wheaton")</f>
        <v>Wheaton</v>
      </c>
      <c r="E2235" t="str">
        <f>IFERROR(__xludf.DUMMYFUNCTION("""COMPUTED_VALUE"""),"Markus")</f>
        <v>Markus</v>
      </c>
      <c r="F2235">
        <f>IFERROR(__xludf.DUMMYFUNCTION("""COMPUTED_VALUE"""),11.4)</f>
        <v>11.4</v>
      </c>
    </row>
    <row r="2236">
      <c r="D2236" t="str">
        <f>IFERROR(__xludf.DUMMYFUNCTION("""COMPUTED_VALUE"""),"Wheeler")</f>
        <v>Wheeler</v>
      </c>
      <c r="E2236" t="str">
        <f>IFERROR(__xludf.DUMMYFUNCTION("""COMPUTED_VALUE"""),"Philip")</f>
        <v>Philip</v>
      </c>
      <c r="F2236">
        <f>IFERROR(__xludf.DUMMYFUNCTION("""COMPUTED_VALUE"""),11.1)</f>
        <v>11.1</v>
      </c>
    </row>
    <row r="2237">
      <c r="D2237" t="str">
        <f>IFERROR(__xludf.DUMMYFUNCTION("""COMPUTED_VALUE"""),"White")</f>
        <v>White</v>
      </c>
      <c r="E2237" t="str">
        <f>IFERROR(__xludf.DUMMYFUNCTION("""COMPUTED_VALUE"""),"Corey")</f>
        <v>Corey</v>
      </c>
      <c r="F2237">
        <f>IFERROR(__xludf.DUMMYFUNCTION("""COMPUTED_VALUE"""),10.65)</f>
        <v>10.65</v>
      </c>
    </row>
    <row r="2238">
      <c r="D2238" t="str">
        <f>IFERROR(__xludf.DUMMYFUNCTION("""COMPUTED_VALUE"""),"White")</f>
        <v>White</v>
      </c>
      <c r="E2238" t="str">
        <f>IFERROR(__xludf.DUMMYFUNCTION("""COMPUTED_VALUE"""),"Darius")</f>
        <v>Darius</v>
      </c>
      <c r="F2238">
        <f>IFERROR(__xludf.DUMMYFUNCTION("""COMPUTED_VALUE"""),8.85)</f>
        <v>8.85</v>
      </c>
    </row>
    <row r="2239">
      <c r="D2239" t="str">
        <f>IFERROR(__xludf.DUMMYFUNCTION("""COMPUTED_VALUE"""),"White")</f>
        <v>White</v>
      </c>
      <c r="E2239" t="str">
        <f>IFERROR(__xludf.DUMMYFUNCTION("""COMPUTED_VALUE"""),"DeAndrew")</f>
        <v>DeAndrew</v>
      </c>
      <c r="F2239">
        <f>IFERROR(__xludf.DUMMYFUNCTION("""COMPUTED_VALUE"""),9.75)</f>
        <v>9.75</v>
      </c>
    </row>
    <row r="2240">
      <c r="D2240" t="str">
        <f>IFERROR(__xludf.DUMMYFUNCTION("""COMPUTED_VALUE"""),"White")</f>
        <v>White</v>
      </c>
      <c r="E2240" t="str">
        <f>IFERROR(__xludf.DUMMYFUNCTION("""COMPUTED_VALUE"""),"DJ")</f>
        <v>DJ</v>
      </c>
      <c r="F2240">
        <f>IFERROR(__xludf.DUMMYFUNCTION("""COMPUTED_VALUE"""),9.45)</f>
        <v>9.45</v>
      </c>
    </row>
    <row r="2241">
      <c r="D2241" t="str">
        <f>IFERROR(__xludf.DUMMYFUNCTION("""COMPUTED_VALUE"""),"White")</f>
        <v>White</v>
      </c>
      <c r="E2241" t="str">
        <f>IFERROR(__xludf.DUMMYFUNCTION("""COMPUTED_VALUE"""),"James")</f>
        <v>James</v>
      </c>
      <c r="F2241">
        <f>IFERROR(__xludf.DUMMYFUNCTION("""COMPUTED_VALUE"""),11.25)</f>
        <v>11.25</v>
      </c>
    </row>
    <row r="2242">
      <c r="D2242" t="str">
        <f>IFERROR(__xludf.DUMMYFUNCTION("""COMPUTED_VALUE"""),"White")</f>
        <v>White</v>
      </c>
      <c r="E2242" t="str">
        <f>IFERROR(__xludf.DUMMYFUNCTION("""COMPUTED_VALUE"""),"Kevin")</f>
        <v>Kevin</v>
      </c>
      <c r="F2242">
        <f>IFERROR(__xludf.DUMMYFUNCTION("""COMPUTED_VALUE"""),11.1)</f>
        <v>11.1</v>
      </c>
    </row>
    <row r="2243">
      <c r="D2243" t="str">
        <f>IFERROR(__xludf.DUMMYFUNCTION("""COMPUTED_VALUE"""),"White")</f>
        <v>White</v>
      </c>
      <c r="E2243" t="str">
        <f>IFERROR(__xludf.DUMMYFUNCTION("""COMPUTED_VALUE"""),"Melvin")</f>
        <v>Melvin</v>
      </c>
      <c r="F2243">
        <f>IFERROR(__xludf.DUMMYFUNCTION("""COMPUTED_VALUE"""),9.75)</f>
        <v>9.75</v>
      </c>
    </row>
    <row r="2244">
      <c r="D2244" t="str">
        <f>IFERROR(__xludf.DUMMYFUNCTION("""COMPUTED_VALUE"""),"White")</f>
        <v>White</v>
      </c>
      <c r="E2244" t="str">
        <f>IFERROR(__xludf.DUMMYFUNCTION("""COMPUTED_VALUE"""),"Myles")</f>
        <v>Myles</v>
      </c>
      <c r="F2244">
        <f>IFERROR(__xludf.DUMMYFUNCTION("""COMPUTED_VALUE"""),9.45)</f>
        <v>9.45</v>
      </c>
    </row>
    <row r="2245">
      <c r="D2245" t="str">
        <f>IFERROR(__xludf.DUMMYFUNCTION("""COMPUTED_VALUE"""),"Whitehair")</f>
        <v>Whitehair</v>
      </c>
      <c r="E2245" t="str">
        <f>IFERROR(__xludf.DUMMYFUNCTION("""COMPUTED_VALUE"""),"Cody")</f>
        <v>Cody</v>
      </c>
      <c r="F2245">
        <f>IFERROR(__xludf.DUMMYFUNCTION("""COMPUTED_VALUE"""),10.35)</f>
        <v>10.35</v>
      </c>
    </row>
    <row r="2246">
      <c r="D2246" t="str">
        <f>IFERROR(__xludf.DUMMYFUNCTION("""COMPUTED_VALUE"""),"Whitehead")</f>
        <v>Whitehead</v>
      </c>
      <c r="E2246" t="str">
        <f>IFERROR(__xludf.DUMMYFUNCTION("""COMPUTED_VALUE"""),"Lucky")</f>
        <v>Lucky</v>
      </c>
      <c r="F2246">
        <f>IFERROR(__xludf.DUMMYFUNCTION("""COMPUTED_VALUE"""),10.65)</f>
        <v>10.65</v>
      </c>
    </row>
    <row r="2247">
      <c r="D2247" t="str">
        <f>IFERROR(__xludf.DUMMYFUNCTION("""COMPUTED_VALUE"""),"Whitehead")</f>
        <v>Whitehead</v>
      </c>
      <c r="E2247" t="str">
        <f>IFERROR(__xludf.DUMMYFUNCTION("""COMPUTED_VALUE"""),"Tahir")</f>
        <v>Tahir</v>
      </c>
      <c r="F2247">
        <f>IFERROR(__xludf.DUMMYFUNCTION("""COMPUTED_VALUE"""),12.45)</f>
        <v>12.45</v>
      </c>
    </row>
    <row r="2248">
      <c r="D2248" t="str">
        <f>IFERROR(__xludf.DUMMYFUNCTION("""COMPUTED_VALUE"""),"Whitlock")</f>
        <v>Whitlock</v>
      </c>
      <c r="E2248" t="str">
        <f>IFERROR(__xludf.DUMMYFUNCTION("""COMPUTED_VALUE"""),"Nikita")</f>
        <v>Nikita</v>
      </c>
      <c r="F2248">
        <f>IFERROR(__xludf.DUMMYFUNCTION("""COMPUTED_VALUE"""),11.4)</f>
        <v>11.4</v>
      </c>
    </row>
    <row r="2249">
      <c r="D2249" t="str">
        <f>IFERROR(__xludf.DUMMYFUNCTION("""COMPUTED_VALUE"""),"Whittaker")</f>
        <v>Whittaker</v>
      </c>
      <c r="E2249" t="str">
        <f>IFERROR(__xludf.DUMMYFUNCTION("""COMPUTED_VALUE"""),"Fozzy")</f>
        <v>Fozzy</v>
      </c>
      <c r="F2249">
        <f>IFERROR(__xludf.DUMMYFUNCTION("""COMPUTED_VALUE"""),10.35)</f>
        <v>10.35</v>
      </c>
    </row>
    <row r="2250">
      <c r="D2250" t="str">
        <f>IFERROR(__xludf.DUMMYFUNCTION("""COMPUTED_VALUE"""),"Whitworth")</f>
        <v>Whitworth</v>
      </c>
      <c r="E2250" t="str">
        <f>IFERROR(__xludf.DUMMYFUNCTION("""COMPUTED_VALUE"""),"Andrew")</f>
        <v>Andrew</v>
      </c>
      <c r="F2250">
        <f>IFERROR(__xludf.DUMMYFUNCTION("""COMPUTED_VALUE"""),13.95)</f>
        <v>13.95</v>
      </c>
    </row>
    <row r="2251">
      <c r="D2251" t="str">
        <f>IFERROR(__xludf.DUMMYFUNCTION("""COMPUTED_VALUE"""),"Wichmann")</f>
        <v>Wichmann</v>
      </c>
      <c r="E2251" t="str">
        <f>IFERROR(__xludf.DUMMYFUNCTION("""COMPUTED_VALUE"""),"Cody")</f>
        <v>Cody</v>
      </c>
      <c r="F2251">
        <f>IFERROR(__xludf.DUMMYFUNCTION("""COMPUTED_VALUE"""),9.6)</f>
        <v>9.6</v>
      </c>
    </row>
    <row r="2252">
      <c r="D2252" t="str">
        <f>IFERROR(__xludf.DUMMYFUNCTION("""COMPUTED_VALUE"""),"Wiggins")</f>
        <v>Wiggins</v>
      </c>
      <c r="E2252" t="str">
        <f>IFERROR(__xludf.DUMMYFUNCTION("""COMPUTED_VALUE"""),"Kenny")</f>
        <v>Kenny</v>
      </c>
      <c r="F2252">
        <f>IFERROR(__xludf.DUMMYFUNCTION("""COMPUTED_VALUE"""),9.9)</f>
        <v>9.9</v>
      </c>
    </row>
    <row r="2253">
      <c r="D2253" t="str">
        <f>IFERROR(__xludf.DUMMYFUNCTION("""COMPUTED_VALUE"""),"Wilber")</f>
        <v>Wilber</v>
      </c>
      <c r="E2253" t="str">
        <f>IFERROR(__xludf.DUMMYFUNCTION("""COMPUTED_VALUE"""),"Kyle")</f>
        <v>Kyle</v>
      </c>
      <c r="F2253">
        <f>IFERROR(__xludf.DUMMYFUNCTION("""COMPUTED_VALUE"""),10.95)</f>
        <v>10.95</v>
      </c>
    </row>
    <row r="2254">
      <c r="D2254" t="str">
        <f>IFERROR(__xludf.DUMMYFUNCTION("""COMPUTED_VALUE"""),"Wilcox")</f>
        <v>Wilcox</v>
      </c>
      <c r="E2254" t="str">
        <f>IFERROR(__xludf.DUMMYFUNCTION("""COMPUTED_VALUE"""),"JJ")</f>
        <v>JJ</v>
      </c>
      <c r="F2254">
        <f>IFERROR(__xludf.DUMMYFUNCTION("""COMPUTED_VALUE"""),11.85)</f>
        <v>11.85</v>
      </c>
    </row>
    <row r="2255">
      <c r="D2255" t="str">
        <f>IFERROR(__xludf.DUMMYFUNCTION("""COMPUTED_VALUE"""),"Wilfork")</f>
        <v>Wilfork</v>
      </c>
      <c r="E2255" t="str">
        <f>IFERROR(__xludf.DUMMYFUNCTION("""COMPUTED_VALUE"""),"Vince")</f>
        <v>Vince</v>
      </c>
      <c r="F2255">
        <f>IFERROR(__xludf.DUMMYFUNCTION("""COMPUTED_VALUE"""),12.6)</f>
        <v>12.6</v>
      </c>
    </row>
    <row r="2256">
      <c r="D2256" t="str">
        <f>IFERROR(__xludf.DUMMYFUNCTION("""COMPUTED_VALUE"""),"Wilhoite")</f>
        <v>Wilhoite</v>
      </c>
      <c r="E2256" t="str">
        <f>IFERROR(__xludf.DUMMYFUNCTION("""COMPUTED_VALUE"""),"Michael")</f>
        <v>Michael</v>
      </c>
      <c r="F2256">
        <f>IFERROR(__xludf.DUMMYFUNCTION("""COMPUTED_VALUE"""),10.5)</f>
        <v>10.5</v>
      </c>
    </row>
    <row r="2257">
      <c r="D2257" t="str">
        <f>IFERROR(__xludf.DUMMYFUNCTION("""COMPUTED_VALUE"""),"Wilkerson")</f>
        <v>Wilkerson</v>
      </c>
      <c r="E2257" t="str">
        <f>IFERROR(__xludf.DUMMYFUNCTION("""COMPUTED_VALUE"""),"Muhammad")</f>
        <v>Muhammad</v>
      </c>
      <c r="F2257">
        <f>IFERROR(__xludf.DUMMYFUNCTION("""COMPUTED_VALUE"""),13.35)</f>
        <v>13.35</v>
      </c>
    </row>
    <row r="2258">
      <c r="D2258" t="str">
        <f>IFERROR(__xludf.DUMMYFUNCTION("""COMPUTED_VALUE"""),"Williams")</f>
        <v>Williams</v>
      </c>
      <c r="E2258" t="str">
        <f>IFERROR(__xludf.DUMMYFUNCTION("""COMPUTED_VALUE"""),"Aaron")</f>
        <v>Aaron</v>
      </c>
      <c r="F2258">
        <f>IFERROR(__xludf.DUMMYFUNCTION("""COMPUTED_VALUE"""),11.549999999999999)</f>
        <v>11.55</v>
      </c>
    </row>
    <row r="2259">
      <c r="D2259" t="str">
        <f>IFERROR(__xludf.DUMMYFUNCTION("""COMPUTED_VALUE"""),"Williams")</f>
        <v>Williams</v>
      </c>
      <c r="E2259" t="str">
        <f>IFERROR(__xludf.DUMMYFUNCTION("""COMPUTED_VALUE"""),"Andre")</f>
        <v>Andre</v>
      </c>
      <c r="F2259">
        <f>IFERROR(__xludf.DUMMYFUNCTION("""COMPUTED_VALUE"""),10.799999999999999)</f>
        <v>10.8</v>
      </c>
    </row>
    <row r="2260">
      <c r="D2260" t="str">
        <f>IFERROR(__xludf.DUMMYFUNCTION("""COMPUTED_VALUE"""),"Williams")</f>
        <v>Williams</v>
      </c>
      <c r="E2260" t="str">
        <f>IFERROR(__xludf.DUMMYFUNCTION("""COMPUTED_VALUE"""),"Antwione")</f>
        <v>Antwione</v>
      </c>
      <c r="F2260">
        <f>IFERROR(__xludf.DUMMYFUNCTION("""COMPUTED_VALUE"""),9.75)</f>
        <v>9.75</v>
      </c>
    </row>
    <row r="2261">
      <c r="D2261" t="str">
        <f>IFERROR(__xludf.DUMMYFUNCTION("""COMPUTED_VALUE"""),"Williams")</f>
        <v>Williams</v>
      </c>
      <c r="E2261" t="str">
        <f>IFERROR(__xludf.DUMMYFUNCTION("""COMPUTED_VALUE"""),"Brandon")</f>
        <v>Brandon</v>
      </c>
      <c r="F2261">
        <f>IFERROR(__xludf.DUMMYFUNCTION("""COMPUTED_VALUE"""),12.6)</f>
        <v>12.6</v>
      </c>
    </row>
    <row r="2262">
      <c r="D2262" t="str">
        <f>IFERROR(__xludf.DUMMYFUNCTION("""COMPUTED_VALUE"""),"Williams")</f>
        <v>Williams</v>
      </c>
      <c r="E2262" t="str">
        <f>IFERROR(__xludf.DUMMYFUNCTION("""COMPUTED_VALUE"""),"Brandon")</f>
        <v>Brandon</v>
      </c>
      <c r="F2262">
        <f>IFERROR(__xludf.DUMMYFUNCTION("""COMPUTED_VALUE"""),10.65)</f>
        <v>10.65</v>
      </c>
    </row>
    <row r="2263">
      <c r="D2263" t="str">
        <f>IFERROR(__xludf.DUMMYFUNCTION("""COMPUTED_VALUE"""),"Williams")</f>
        <v>Williams</v>
      </c>
      <c r="E2263" t="str">
        <f>IFERROR(__xludf.DUMMYFUNCTION("""COMPUTED_VALUE"""),"Brandon")</f>
        <v>Brandon</v>
      </c>
      <c r="F2263">
        <f>IFERROR(__xludf.DUMMYFUNCTION("""COMPUTED_VALUE"""),9.9)</f>
        <v>9.9</v>
      </c>
    </row>
    <row r="2264">
      <c r="D2264" t="str">
        <f>IFERROR(__xludf.DUMMYFUNCTION("""COMPUTED_VALUE"""),"Williams")</f>
        <v>Williams</v>
      </c>
      <c r="E2264" t="str">
        <f>IFERROR(__xludf.DUMMYFUNCTION("""COMPUTED_VALUE"""),"Damien")</f>
        <v>Damien</v>
      </c>
      <c r="F2264">
        <f>IFERROR(__xludf.DUMMYFUNCTION("""COMPUTED_VALUE"""),10.799999999999999)</f>
        <v>10.8</v>
      </c>
    </row>
    <row r="2265">
      <c r="D2265" t="str">
        <f>IFERROR(__xludf.DUMMYFUNCTION("""COMPUTED_VALUE"""),"Williams")</f>
        <v>Williams</v>
      </c>
      <c r="E2265" t="str">
        <f>IFERROR(__xludf.DUMMYFUNCTION("""COMPUTED_VALUE"""),"Dan")</f>
        <v>Dan</v>
      </c>
      <c r="F2265">
        <f>IFERROR(__xludf.DUMMYFUNCTION("""COMPUTED_VALUE"""),13.2)</f>
        <v>13.2</v>
      </c>
    </row>
    <row r="2266">
      <c r="D2266" t="str">
        <f>IFERROR(__xludf.DUMMYFUNCTION("""COMPUTED_VALUE"""),"Williams")</f>
        <v>Williams</v>
      </c>
      <c r="E2266" t="str">
        <f>IFERROR(__xludf.DUMMYFUNCTION("""COMPUTED_VALUE"""),"Darrell")</f>
        <v>Darrell</v>
      </c>
      <c r="F2266">
        <f>IFERROR(__xludf.DUMMYFUNCTION("""COMPUTED_VALUE"""),9.75)</f>
        <v>9.75</v>
      </c>
    </row>
    <row r="2267">
      <c r="D2267" t="str">
        <f>IFERROR(__xludf.DUMMYFUNCTION("""COMPUTED_VALUE"""),"Williams")</f>
        <v>Williams</v>
      </c>
      <c r="E2267" t="str">
        <f>IFERROR(__xludf.DUMMYFUNCTION("""COMPUTED_VALUE"""),"Daryl")</f>
        <v>Daryl</v>
      </c>
      <c r="F2267">
        <f>IFERROR(__xludf.DUMMYFUNCTION("""COMPUTED_VALUE"""),10.5)</f>
        <v>10.5</v>
      </c>
    </row>
    <row r="2268">
      <c r="D2268" t="str">
        <f>IFERROR(__xludf.DUMMYFUNCTION("""COMPUTED_VALUE"""),"Williams")</f>
        <v>Williams</v>
      </c>
      <c r="E2268" t="str">
        <f>IFERROR(__xludf.DUMMYFUNCTION("""COMPUTED_VALUE"""),"DeAngelo")</f>
        <v>DeAngelo</v>
      </c>
      <c r="F2268">
        <f>IFERROR(__xludf.DUMMYFUNCTION("""COMPUTED_VALUE"""),12.15)</f>
        <v>12.15</v>
      </c>
    </row>
    <row r="2269">
      <c r="D2269" t="str">
        <f>IFERROR(__xludf.DUMMYFUNCTION("""COMPUTED_VALUE"""),"Williams")</f>
        <v>Williams</v>
      </c>
      <c r="E2269" t="str">
        <f>IFERROR(__xludf.DUMMYFUNCTION("""COMPUTED_VALUE"""),"Duke")</f>
        <v>Duke</v>
      </c>
      <c r="F2269">
        <f>IFERROR(__xludf.DUMMYFUNCTION("""COMPUTED_VALUE"""),11.4)</f>
        <v>11.4</v>
      </c>
    </row>
    <row r="2270">
      <c r="D2270" t="str">
        <f>IFERROR(__xludf.DUMMYFUNCTION("""COMPUTED_VALUE"""),"Williams")</f>
        <v>Williams</v>
      </c>
      <c r="E2270" t="str">
        <f>IFERROR(__xludf.DUMMYFUNCTION("""COMPUTED_VALUE"""),"Ian")</f>
        <v>Ian</v>
      </c>
      <c r="F2270">
        <f>IFERROR(__xludf.DUMMYFUNCTION("""COMPUTED_VALUE"""),12.299999999999999)</f>
        <v>12.3</v>
      </c>
    </row>
    <row r="2271">
      <c r="D2271" t="str">
        <f>IFERROR(__xludf.DUMMYFUNCTION("""COMPUTED_VALUE"""),"Williams")</f>
        <v>Williams</v>
      </c>
      <c r="E2271" t="str">
        <f>IFERROR(__xludf.DUMMYFUNCTION("""COMPUTED_VALUE"""),"Jonathan")</f>
        <v>Jonathan</v>
      </c>
      <c r="F2271">
        <f>IFERROR(__xludf.DUMMYFUNCTION("""COMPUTED_VALUE"""),10.049999999999999)</f>
        <v>10.05</v>
      </c>
    </row>
    <row r="2272">
      <c r="D2272" t="str">
        <f>IFERROR(__xludf.DUMMYFUNCTION("""COMPUTED_VALUE"""),"Williams")</f>
        <v>Williams</v>
      </c>
      <c r="E2272" t="str">
        <f>IFERROR(__xludf.DUMMYFUNCTION("""COMPUTED_VALUE"""),"Jordan")</f>
        <v>Jordan</v>
      </c>
      <c r="F2272">
        <f>IFERROR(__xludf.DUMMYFUNCTION("""COMPUTED_VALUE"""),8.85)</f>
        <v>8.85</v>
      </c>
    </row>
    <row r="2273">
      <c r="D2273" t="str">
        <f>IFERROR(__xludf.DUMMYFUNCTION("""COMPUTED_VALUE"""),"Williams")</f>
        <v>Williams</v>
      </c>
      <c r="E2273" t="str">
        <f>IFERROR(__xludf.DUMMYFUNCTION("""COMPUTED_VALUE"""),"Kasen")</f>
        <v>Kasen</v>
      </c>
      <c r="F2273">
        <f>IFERROR(__xludf.DUMMYFUNCTION("""COMPUTED_VALUE"""),9.45)</f>
        <v>9.45</v>
      </c>
    </row>
    <row r="2274">
      <c r="D2274" t="str">
        <f>IFERROR(__xludf.DUMMYFUNCTION("""COMPUTED_VALUE"""),"Williams")</f>
        <v>Williams</v>
      </c>
      <c r="E2274" t="str">
        <f>IFERROR(__xludf.DUMMYFUNCTION("""COMPUTED_VALUE"""),"Kerwynn")</f>
        <v>Kerwynn</v>
      </c>
      <c r="F2274">
        <f>IFERROR(__xludf.DUMMYFUNCTION("""COMPUTED_VALUE"""),10.65)</f>
        <v>10.65</v>
      </c>
    </row>
    <row r="2275">
      <c r="D2275" t="str">
        <f>IFERROR(__xludf.DUMMYFUNCTION("""COMPUTED_VALUE"""),"Williams")</f>
        <v>Williams</v>
      </c>
      <c r="E2275" t="str">
        <f>IFERROR(__xludf.DUMMYFUNCTION("""COMPUTED_VALUE"""),"KWaun")</f>
        <v>KWaun</v>
      </c>
      <c r="F2275">
        <f>IFERROR(__xludf.DUMMYFUNCTION("""COMPUTED_VALUE"""),11.549999999999999)</f>
        <v>11.55</v>
      </c>
    </row>
    <row r="2276">
      <c r="D2276" t="str">
        <f>IFERROR(__xludf.DUMMYFUNCTION("""COMPUTED_VALUE"""),"Williams")</f>
        <v>Williams</v>
      </c>
      <c r="E2276" t="str">
        <f>IFERROR(__xludf.DUMMYFUNCTION("""COMPUTED_VALUE"""),"Kyle")</f>
        <v>Kyle</v>
      </c>
      <c r="F2276">
        <f>IFERROR(__xludf.DUMMYFUNCTION("""COMPUTED_VALUE"""),12.299999999999999)</f>
        <v>12.3</v>
      </c>
    </row>
    <row r="2277">
      <c r="D2277" t="str">
        <f>IFERROR(__xludf.DUMMYFUNCTION("""COMPUTED_VALUE"""),"Williams")</f>
        <v>Williams</v>
      </c>
      <c r="E2277" t="str">
        <f>IFERROR(__xludf.DUMMYFUNCTION("""COMPUTED_VALUE"""),"Kyle")</f>
        <v>Kyle</v>
      </c>
      <c r="F2277">
        <f>IFERROR(__xludf.DUMMYFUNCTION("""COMPUTED_VALUE"""),9.75)</f>
        <v>9.75</v>
      </c>
    </row>
    <row r="2278">
      <c r="D2278" t="str">
        <f>IFERROR(__xludf.DUMMYFUNCTION("""COMPUTED_VALUE"""),"Williams")</f>
        <v>Williams</v>
      </c>
      <c r="E2278" t="str">
        <f>IFERROR(__xludf.DUMMYFUNCTION("""COMPUTED_VALUE"""),"Leonard")</f>
        <v>Leonard</v>
      </c>
      <c r="F2278">
        <f>IFERROR(__xludf.DUMMYFUNCTION("""COMPUTED_VALUE"""),12.15)</f>
        <v>12.15</v>
      </c>
    </row>
    <row r="2279">
      <c r="D2279" t="str">
        <f>IFERROR(__xludf.DUMMYFUNCTION("""COMPUTED_VALUE"""),"Williams")</f>
        <v>Williams</v>
      </c>
      <c r="E2279" t="str">
        <f>IFERROR(__xludf.DUMMYFUNCTION("""COMPUTED_VALUE"""),"Marcus")</f>
        <v>Marcus</v>
      </c>
      <c r="F2279">
        <f>IFERROR(__xludf.DUMMYFUNCTION("""COMPUTED_VALUE"""),11.1)</f>
        <v>11.1</v>
      </c>
    </row>
    <row r="2280">
      <c r="D2280" t="str">
        <f>IFERROR(__xludf.DUMMYFUNCTION("""COMPUTED_VALUE"""),"Williams")</f>
        <v>Williams</v>
      </c>
      <c r="E2280" t="str">
        <f>IFERROR(__xludf.DUMMYFUNCTION("""COMPUTED_VALUE"""),"Mario")</f>
        <v>Mario</v>
      </c>
      <c r="F2280">
        <f>IFERROR(__xludf.DUMMYFUNCTION("""COMPUTED_VALUE"""),12.15)</f>
        <v>12.15</v>
      </c>
    </row>
    <row r="2281">
      <c r="D2281" t="str">
        <f>IFERROR(__xludf.DUMMYFUNCTION("""COMPUTED_VALUE"""),"Williams")</f>
        <v>Williams</v>
      </c>
      <c r="E2281" t="str">
        <f>IFERROR(__xludf.DUMMYFUNCTION("""COMPUTED_VALUE"""),"Maxx")</f>
        <v>Maxx</v>
      </c>
      <c r="F2281">
        <f>IFERROR(__xludf.DUMMYFUNCTION("""COMPUTED_VALUE"""),11.7)</f>
        <v>11.7</v>
      </c>
    </row>
    <row r="2282">
      <c r="D2282" t="str">
        <f>IFERROR(__xludf.DUMMYFUNCTION("""COMPUTED_VALUE"""),"Williams")</f>
        <v>Williams</v>
      </c>
      <c r="E2282" t="str">
        <f>IFERROR(__xludf.DUMMYFUNCTION("""COMPUTED_VALUE"""),"Michael")</f>
        <v>Michael</v>
      </c>
      <c r="F2282">
        <f>IFERROR(__xludf.DUMMYFUNCTION("""COMPUTED_VALUE"""),10.65)</f>
        <v>10.65</v>
      </c>
    </row>
    <row r="2283">
      <c r="D2283" t="str">
        <f>IFERROR(__xludf.DUMMYFUNCTION("""COMPUTED_VALUE"""),"Williams")</f>
        <v>Williams</v>
      </c>
      <c r="E2283" t="str">
        <f>IFERROR(__xludf.DUMMYFUNCTION("""COMPUTED_VALUE"""),"Mike")</f>
        <v>Mike</v>
      </c>
      <c r="F2283">
        <f>IFERROR(__xludf.DUMMYFUNCTION("""COMPUTED_VALUE"""),10.65)</f>
        <v>10.65</v>
      </c>
    </row>
    <row r="2284">
      <c r="D2284" t="str">
        <f>IFERROR(__xludf.DUMMYFUNCTION("""COMPUTED_VALUE"""),"Williams")</f>
        <v>Williams</v>
      </c>
      <c r="E2284" t="str">
        <f>IFERROR(__xludf.DUMMYFUNCTION("""COMPUTED_VALUE"""),"Nick")</f>
        <v>Nick</v>
      </c>
      <c r="F2284">
        <f>IFERROR(__xludf.DUMMYFUNCTION("""COMPUTED_VALUE"""),10.35)</f>
        <v>10.35</v>
      </c>
    </row>
    <row r="2285">
      <c r="D2285" t="str">
        <f>IFERROR(__xludf.DUMMYFUNCTION("""COMPUTED_VALUE"""),"Williams")</f>
        <v>Williams</v>
      </c>
      <c r="E2285" t="str">
        <f>IFERROR(__xludf.DUMMYFUNCTION("""COMPUTED_VALUE"""),"Nick")</f>
        <v>Nick</v>
      </c>
      <c r="F2285">
        <f>IFERROR(__xludf.DUMMYFUNCTION("""COMPUTED_VALUE"""),10.2)</f>
        <v>10.2</v>
      </c>
    </row>
    <row r="2286">
      <c r="D2286" t="str">
        <f>IFERROR(__xludf.DUMMYFUNCTION("""COMPUTED_VALUE"""),"Williams")</f>
        <v>Williams</v>
      </c>
      <c r="E2286" t="str">
        <f>IFERROR(__xludf.DUMMYFUNCTION("""COMPUTED_VALUE"""),"PJ")</f>
        <v>PJ</v>
      </c>
      <c r="F2286">
        <f>IFERROR(__xludf.DUMMYFUNCTION("""COMPUTED_VALUE"""),10.5)</f>
        <v>10.5</v>
      </c>
    </row>
    <row r="2287">
      <c r="D2287" t="str">
        <f>IFERROR(__xludf.DUMMYFUNCTION("""COMPUTED_VALUE"""),"Williams")</f>
        <v>Williams</v>
      </c>
      <c r="E2287" t="str">
        <f>IFERROR(__xludf.DUMMYFUNCTION("""COMPUTED_VALUE"""),"Shawn")</f>
        <v>Shawn</v>
      </c>
      <c r="F2287">
        <f>IFERROR(__xludf.DUMMYFUNCTION("""COMPUTED_VALUE"""),11.25)</f>
        <v>11.25</v>
      </c>
    </row>
    <row r="2288">
      <c r="D2288" t="str">
        <f>IFERROR(__xludf.DUMMYFUNCTION("""COMPUTED_VALUE"""),"Williams")</f>
        <v>Williams</v>
      </c>
      <c r="E2288" t="str">
        <f>IFERROR(__xludf.DUMMYFUNCTION("""COMPUTED_VALUE"""),"Steve")</f>
        <v>Steve</v>
      </c>
      <c r="F2288">
        <f>IFERROR(__xludf.DUMMYFUNCTION("""COMPUTED_VALUE"""),10.65)</f>
        <v>10.65</v>
      </c>
    </row>
    <row r="2289">
      <c r="D2289" t="str">
        <f>IFERROR(__xludf.DUMMYFUNCTION("""COMPUTED_VALUE"""),"Williams")</f>
        <v>Williams</v>
      </c>
      <c r="E2289" t="str">
        <f>IFERROR(__xludf.DUMMYFUNCTION("""COMPUTED_VALUE"""),"Sylvester")</f>
        <v>Sylvester</v>
      </c>
      <c r="F2289">
        <f>IFERROR(__xludf.DUMMYFUNCTION("""COMPUTED_VALUE"""),11.1)</f>
        <v>11.1</v>
      </c>
    </row>
    <row r="2290">
      <c r="D2290" t="str">
        <f>IFERROR(__xludf.DUMMYFUNCTION("""COMPUTED_VALUE"""),"Williams")</f>
        <v>Williams</v>
      </c>
      <c r="E2290" t="str">
        <f>IFERROR(__xludf.DUMMYFUNCTION("""COMPUTED_VALUE"""),"Teddy")</f>
        <v>Teddy</v>
      </c>
      <c r="F2290">
        <f>IFERROR(__xludf.DUMMYFUNCTION("""COMPUTED_VALUE"""),9.299999999999999)</f>
        <v>9.3</v>
      </c>
    </row>
    <row r="2291">
      <c r="D2291" t="str">
        <f>IFERROR(__xludf.DUMMYFUNCTION("""COMPUTED_VALUE"""),"Williams")</f>
        <v>Williams</v>
      </c>
      <c r="E2291" t="str">
        <f>IFERROR(__xludf.DUMMYFUNCTION("""COMPUTED_VALUE"""),"Terrance")</f>
        <v>Terrance</v>
      </c>
      <c r="F2291">
        <f>IFERROR(__xludf.DUMMYFUNCTION("""COMPUTED_VALUE"""),12.0)</f>
        <v>12</v>
      </c>
    </row>
    <row r="2292">
      <c r="D2292" t="str">
        <f>IFERROR(__xludf.DUMMYFUNCTION("""COMPUTED_VALUE"""),"Williams")</f>
        <v>Williams</v>
      </c>
      <c r="E2292" t="str">
        <f>IFERROR(__xludf.DUMMYFUNCTION("""COMPUTED_VALUE"""),"Tourek")</f>
        <v>Tourek</v>
      </c>
      <c r="F2292">
        <f>IFERROR(__xludf.DUMMYFUNCTION("""COMPUTED_VALUE"""),9.6)</f>
        <v>9.6</v>
      </c>
    </row>
    <row r="2293">
      <c r="D2293" t="str">
        <f>IFERROR(__xludf.DUMMYFUNCTION("""COMPUTED_VALUE"""),"Williams")</f>
        <v>Williams</v>
      </c>
      <c r="E2293" t="str">
        <f>IFERROR(__xludf.DUMMYFUNCTION("""COMPUTED_VALUE"""),"Tramon")</f>
        <v>Tramon</v>
      </c>
      <c r="F2293">
        <f>IFERROR(__xludf.DUMMYFUNCTION("""COMPUTED_VALUE"""),12.0)</f>
        <v>12</v>
      </c>
    </row>
    <row r="2294">
      <c r="D2294" t="str">
        <f>IFERROR(__xludf.DUMMYFUNCTION("""COMPUTED_VALUE"""),"Williams")</f>
        <v>Williams</v>
      </c>
      <c r="E2294" t="str">
        <f>IFERROR(__xludf.DUMMYFUNCTION("""COMPUTED_VALUE"""),"Trent")</f>
        <v>Trent</v>
      </c>
      <c r="F2294">
        <f>IFERROR(__xludf.DUMMYFUNCTION("""COMPUTED_VALUE"""),13.799999999999999)</f>
        <v>13.8</v>
      </c>
    </row>
    <row r="2295">
      <c r="D2295" t="str">
        <f>IFERROR(__xludf.DUMMYFUNCTION("""COMPUTED_VALUE"""),"Williams")</f>
        <v>Williams</v>
      </c>
      <c r="E2295" t="str">
        <f>IFERROR(__xludf.DUMMYFUNCTION("""COMPUTED_VALUE"""),"Trey")</f>
        <v>Trey</v>
      </c>
      <c r="F2295">
        <f>IFERROR(__xludf.DUMMYFUNCTION("""COMPUTED_VALUE"""),9.0)</f>
        <v>9</v>
      </c>
    </row>
    <row r="2296">
      <c r="D2296" t="str">
        <f>IFERROR(__xludf.DUMMYFUNCTION("""COMPUTED_VALUE"""),"Williams")</f>
        <v>Williams</v>
      </c>
      <c r="E2296" t="str">
        <f>IFERROR(__xludf.DUMMYFUNCTION("""COMPUTED_VALUE"""),"Tyrell")</f>
        <v>Tyrell</v>
      </c>
      <c r="F2296">
        <f>IFERROR(__xludf.DUMMYFUNCTION("""COMPUTED_VALUE"""),9.299999999999999)</f>
        <v>9.3</v>
      </c>
    </row>
    <row r="2297">
      <c r="D2297" t="str">
        <f>IFERROR(__xludf.DUMMYFUNCTION("""COMPUTED_VALUE"""),"Williams")</f>
        <v>Williams</v>
      </c>
      <c r="E2297" t="str">
        <f>IFERROR(__xludf.DUMMYFUNCTION("""COMPUTED_VALUE"""),"Vince")</f>
        <v>Vince</v>
      </c>
      <c r="F2297">
        <f>IFERROR(__xludf.DUMMYFUNCTION("""COMPUTED_VALUE"""),10.95)</f>
        <v>10.95</v>
      </c>
    </row>
    <row r="2298">
      <c r="D2298" t="str">
        <f>IFERROR(__xludf.DUMMYFUNCTION("""COMPUTED_VALUE"""),"Williams")</f>
        <v>Williams</v>
      </c>
      <c r="E2298" t="str">
        <f>IFERROR(__xludf.DUMMYFUNCTION("""COMPUTED_VALUE"""),"Xavier")</f>
        <v>Xavier</v>
      </c>
      <c r="F2298">
        <f>IFERROR(__xludf.DUMMYFUNCTION("""COMPUTED_VALUE"""),9.0)</f>
        <v>9</v>
      </c>
    </row>
    <row r="2299">
      <c r="D2299" t="str">
        <f>IFERROR(__xludf.DUMMYFUNCTION("""COMPUTED_VALUE"""),"Williams Sr.")</f>
        <v>Williams Sr.</v>
      </c>
      <c r="E2299" t="str">
        <f>IFERROR(__xludf.DUMMYFUNCTION("""COMPUTED_VALUE"""),"Karlos")</f>
        <v>Karlos</v>
      </c>
      <c r="F2299">
        <f>IFERROR(__xludf.DUMMYFUNCTION("""COMPUTED_VALUE"""),11.85)</f>
        <v>11.85</v>
      </c>
    </row>
    <row r="2300">
      <c r="D2300" t="str">
        <f>IFERROR(__xludf.DUMMYFUNCTION("""COMPUTED_VALUE"""),"Williamson")</f>
        <v>Williamson</v>
      </c>
      <c r="E2300" t="str">
        <f>IFERROR(__xludf.DUMMYFUNCTION("""COMPUTED_VALUE"""),"Avery")</f>
        <v>Avery</v>
      </c>
      <c r="F2300">
        <f>IFERROR(__xludf.DUMMYFUNCTION("""COMPUTED_VALUE"""),11.7)</f>
        <v>11.7</v>
      </c>
    </row>
    <row r="2301">
      <c r="D2301" t="str">
        <f>IFERROR(__xludf.DUMMYFUNCTION("""COMPUTED_VALUE"""),"Willson")</f>
        <v>Willson</v>
      </c>
      <c r="E2301" t="str">
        <f>IFERROR(__xludf.DUMMYFUNCTION("""COMPUTED_VALUE"""),"Luke")</f>
        <v>Luke</v>
      </c>
      <c r="F2301">
        <f>IFERROR(__xludf.DUMMYFUNCTION("""COMPUTED_VALUE"""),11.7)</f>
        <v>11.7</v>
      </c>
    </row>
    <row r="2302">
      <c r="D2302" t="str">
        <f>IFERROR(__xludf.DUMMYFUNCTION("""COMPUTED_VALUE"""),"Wilson")</f>
        <v>Wilson</v>
      </c>
      <c r="E2302" t="str">
        <f>IFERROR(__xludf.DUMMYFUNCTION("""COMPUTED_VALUE"""),"Albert")</f>
        <v>Albert</v>
      </c>
      <c r="F2302">
        <f>IFERROR(__xludf.DUMMYFUNCTION("""COMPUTED_VALUE"""),11.1)</f>
        <v>11.1</v>
      </c>
    </row>
    <row r="2303">
      <c r="D2303" t="str">
        <f>IFERROR(__xludf.DUMMYFUNCTION("""COMPUTED_VALUE"""),"Wilson")</f>
        <v>Wilson</v>
      </c>
      <c r="E2303" t="str">
        <f>IFERROR(__xludf.DUMMYFUNCTION("""COMPUTED_VALUE"""),"CJ")</f>
        <v>CJ</v>
      </c>
      <c r="F2303">
        <f>IFERROR(__xludf.DUMMYFUNCTION("""COMPUTED_VALUE"""),10.35)</f>
        <v>10.35</v>
      </c>
    </row>
    <row r="2304">
      <c r="D2304" t="str">
        <f>IFERROR(__xludf.DUMMYFUNCTION("""COMPUTED_VALUE"""),"Wilson")</f>
        <v>Wilson</v>
      </c>
      <c r="E2304" t="str">
        <f>IFERROR(__xludf.DUMMYFUNCTION("""COMPUTED_VALUE"""),"Damien")</f>
        <v>Damien</v>
      </c>
      <c r="F2304">
        <f>IFERROR(__xludf.DUMMYFUNCTION("""COMPUTED_VALUE"""),10.2)</f>
        <v>10.2</v>
      </c>
    </row>
    <row r="2305">
      <c r="D2305" t="str">
        <f>IFERROR(__xludf.DUMMYFUNCTION("""COMPUTED_VALUE"""),"Wilson")</f>
        <v>Wilson</v>
      </c>
      <c r="E2305" t="str">
        <f>IFERROR(__xludf.DUMMYFUNCTION("""COMPUTED_VALUE"""),"Jimmy")</f>
        <v>Jimmy</v>
      </c>
      <c r="F2305">
        <f>IFERROR(__xludf.DUMMYFUNCTION("""COMPUTED_VALUE"""),10.799999999999999)</f>
        <v>10.8</v>
      </c>
    </row>
    <row r="2306">
      <c r="D2306" t="str">
        <f>IFERROR(__xludf.DUMMYFUNCTION("""COMPUTED_VALUE"""),"Wilson")</f>
        <v>Wilson</v>
      </c>
      <c r="E2306" t="str">
        <f>IFERROR(__xludf.DUMMYFUNCTION("""COMPUTED_VALUE"""),"Kyle")</f>
        <v>Kyle</v>
      </c>
      <c r="F2306">
        <f>IFERROR(__xludf.DUMMYFUNCTION("""COMPUTED_VALUE"""),11.1)</f>
        <v>11.1</v>
      </c>
    </row>
    <row r="2307">
      <c r="D2307" t="str">
        <f>IFERROR(__xludf.DUMMYFUNCTION("""COMPUTED_VALUE"""),"Wilson")</f>
        <v>Wilson</v>
      </c>
      <c r="E2307" t="str">
        <f>IFERROR(__xludf.DUMMYFUNCTION("""COMPUTED_VALUE"""),"Kyrie")</f>
        <v>Kyrie</v>
      </c>
      <c r="F2307">
        <f>IFERROR(__xludf.DUMMYFUNCTION("""COMPUTED_VALUE"""),9.0)</f>
        <v>9</v>
      </c>
    </row>
    <row r="2308">
      <c r="D2308" t="str">
        <f>IFERROR(__xludf.DUMMYFUNCTION("""COMPUTED_VALUE"""),"Wilson")</f>
        <v>Wilson</v>
      </c>
      <c r="E2308" t="str">
        <f>IFERROR(__xludf.DUMMYFUNCTION("""COMPUTED_VALUE"""),"Marquess")</f>
        <v>Marquess</v>
      </c>
      <c r="F2308">
        <f>IFERROR(__xludf.DUMMYFUNCTION("""COMPUTED_VALUE"""),10.95)</f>
        <v>10.95</v>
      </c>
    </row>
    <row r="2309">
      <c r="D2309" t="str">
        <f>IFERROR(__xludf.DUMMYFUNCTION("""COMPUTED_VALUE"""),"Wilson")</f>
        <v>Wilson</v>
      </c>
      <c r="E2309" t="str">
        <f>IFERROR(__xludf.DUMMYFUNCTION("""COMPUTED_VALUE"""),"Ramik")</f>
        <v>Ramik</v>
      </c>
      <c r="F2309">
        <f>IFERROR(__xludf.DUMMYFUNCTION("""COMPUTED_VALUE"""),9.75)</f>
        <v>9.75</v>
      </c>
    </row>
    <row r="2310">
      <c r="D2310" t="str">
        <f>IFERROR(__xludf.DUMMYFUNCTION("""COMPUTED_VALUE"""),"Wilson")</f>
        <v>Wilson</v>
      </c>
      <c r="E2310" t="str">
        <f>IFERROR(__xludf.DUMMYFUNCTION("""COMPUTED_VALUE"""),"Russell")</f>
        <v>Russell</v>
      </c>
      <c r="F2310">
        <f>IFERROR(__xludf.DUMMYFUNCTION("""COMPUTED_VALUE"""),13.65)</f>
        <v>13.65</v>
      </c>
    </row>
    <row r="2311">
      <c r="D2311" t="str">
        <f>IFERROR(__xludf.DUMMYFUNCTION("""COMPUTED_VALUE"""),"Wilson")</f>
        <v>Wilson</v>
      </c>
      <c r="E2311" t="str">
        <f>IFERROR(__xludf.DUMMYFUNCTION("""COMPUTED_VALUE"""),"Tavon")</f>
        <v>Tavon</v>
      </c>
      <c r="F2311">
        <f>IFERROR(__xludf.DUMMYFUNCTION("""COMPUTED_VALUE"""),10.95)</f>
        <v>10.95</v>
      </c>
    </row>
    <row r="2312">
      <c r="D2312" t="str">
        <f>IFERROR(__xludf.DUMMYFUNCTION("""COMPUTED_VALUE"""),"Winchester")</f>
        <v>Winchester</v>
      </c>
      <c r="E2312" t="str">
        <f>IFERROR(__xludf.DUMMYFUNCTION("""COMPUTED_VALUE"""),"James")</f>
        <v>James</v>
      </c>
      <c r="F2312">
        <f>IFERROR(__xludf.DUMMYFUNCTION("""COMPUTED_VALUE"""),6.45)</f>
        <v>6.45</v>
      </c>
    </row>
    <row r="2313">
      <c r="D2313" t="str">
        <f>IFERROR(__xludf.DUMMYFUNCTION("""COMPUTED_VALUE"""),"Windt")</f>
        <v>Windt</v>
      </c>
      <c r="E2313" t="str">
        <f>IFERROR(__xludf.DUMMYFUNCTION("""COMPUTED_VALUE"""),"Mike")</f>
        <v>Mike</v>
      </c>
      <c r="F2313">
        <f>IFERROR(__xludf.DUMMYFUNCTION("""COMPUTED_VALUE"""),6.8999999999999995)</f>
        <v>6.9</v>
      </c>
    </row>
    <row r="2314">
      <c r="D2314" t="str">
        <f>IFERROR(__xludf.DUMMYFUNCTION("""COMPUTED_VALUE"""),"Wing")</f>
        <v>Wing</v>
      </c>
      <c r="E2314" t="str">
        <f>IFERROR(__xludf.DUMMYFUNCTION("""COMPUTED_VALUE"""),"Brad")</f>
        <v>Brad</v>
      </c>
      <c r="F2314">
        <f>IFERROR(__xludf.DUMMYFUNCTION("""COMPUTED_VALUE"""),11.4)</f>
        <v>11.4</v>
      </c>
    </row>
    <row r="2315">
      <c r="D2315" t="str">
        <f>IFERROR(__xludf.DUMMYFUNCTION("""COMPUTED_VALUE"""),"Winn")</f>
        <v>Winn</v>
      </c>
      <c r="E2315" t="str">
        <f>IFERROR(__xludf.DUMMYFUNCTION("""COMPUTED_VALUE"""),"Billy")</f>
        <v>Billy</v>
      </c>
      <c r="F2315">
        <f>IFERROR(__xludf.DUMMYFUNCTION("""COMPUTED_VALUE"""),10.049999999999999)</f>
        <v>10.05</v>
      </c>
    </row>
    <row r="2316">
      <c r="D2316" t="str">
        <f>IFERROR(__xludf.DUMMYFUNCTION("""COMPUTED_VALUE"""),"Winn")</f>
        <v>Winn</v>
      </c>
      <c r="E2316" t="str">
        <f>IFERROR(__xludf.DUMMYFUNCTION("""COMPUTED_VALUE"""),"George")</f>
        <v>George</v>
      </c>
      <c r="F2316">
        <f>IFERROR(__xludf.DUMMYFUNCTION("""COMPUTED_VALUE"""),10.2)</f>
        <v>10.2</v>
      </c>
    </row>
    <row r="2317">
      <c r="D2317" t="str">
        <f>IFERROR(__xludf.DUMMYFUNCTION("""COMPUTED_VALUE"""),"Winston")</f>
        <v>Winston</v>
      </c>
      <c r="E2317" t="str">
        <f>IFERROR(__xludf.DUMMYFUNCTION("""COMPUTED_VALUE"""),"Eric")</f>
        <v>Eric</v>
      </c>
      <c r="F2317">
        <f>IFERROR(__xludf.DUMMYFUNCTION("""COMPUTED_VALUE"""),11.4)</f>
        <v>11.4</v>
      </c>
    </row>
    <row r="2318">
      <c r="D2318" t="str">
        <f>IFERROR(__xludf.DUMMYFUNCTION("""COMPUTED_VALUE"""),"Winston")</f>
        <v>Winston</v>
      </c>
      <c r="E2318" t="str">
        <f>IFERROR(__xludf.DUMMYFUNCTION("""COMPUTED_VALUE"""),"Glenn")</f>
        <v>Glenn</v>
      </c>
      <c r="F2318">
        <f>IFERROR(__xludf.DUMMYFUNCTION("""COMPUTED_VALUE"""),9.6)</f>
        <v>9.6</v>
      </c>
    </row>
    <row r="2319">
      <c r="D2319" t="str">
        <f>IFERROR(__xludf.DUMMYFUNCTION("""COMPUTED_VALUE"""),"Winston")</f>
        <v>Winston</v>
      </c>
      <c r="E2319" t="str">
        <f>IFERROR(__xludf.DUMMYFUNCTION("""COMPUTED_VALUE"""),"Jameis")</f>
        <v>Jameis</v>
      </c>
      <c r="F2319">
        <f>IFERROR(__xludf.DUMMYFUNCTION("""COMPUTED_VALUE"""),12.299999999999999)</f>
        <v>12.3</v>
      </c>
    </row>
    <row r="2320">
      <c r="D2320" t="str">
        <f>IFERROR(__xludf.DUMMYFUNCTION("""COMPUTED_VALUE"""),"Winters")</f>
        <v>Winters</v>
      </c>
      <c r="E2320" t="str">
        <f>IFERROR(__xludf.DUMMYFUNCTION("""COMPUTED_VALUE"""),"Brian")</f>
        <v>Brian</v>
      </c>
      <c r="F2320">
        <f>IFERROR(__xludf.DUMMYFUNCTION("""COMPUTED_VALUE"""),10.5)</f>
        <v>10.5</v>
      </c>
    </row>
    <row r="2321">
      <c r="D2321" t="str">
        <f>IFERROR(__xludf.DUMMYFUNCTION("""COMPUTED_VALUE"""),"Wisniewski")</f>
        <v>Wisniewski</v>
      </c>
      <c r="E2321" t="str">
        <f>IFERROR(__xludf.DUMMYFUNCTION("""COMPUTED_VALUE"""),"Stefen")</f>
        <v>Stefen</v>
      </c>
      <c r="F2321">
        <f>IFERROR(__xludf.DUMMYFUNCTION("""COMPUTED_VALUE"""),11.85)</f>
        <v>11.85</v>
      </c>
    </row>
    <row r="2322">
      <c r="D2322" t="str">
        <f>IFERROR(__xludf.DUMMYFUNCTION("""COMPUTED_VALUE"""),"Witten")</f>
        <v>Witten</v>
      </c>
      <c r="E2322" t="str">
        <f>IFERROR(__xludf.DUMMYFUNCTION("""COMPUTED_VALUE"""),"Jason")</f>
        <v>Jason</v>
      </c>
      <c r="F2322">
        <f>IFERROR(__xludf.DUMMYFUNCTION("""COMPUTED_VALUE"""),13.049999999999999)</f>
        <v>13.05</v>
      </c>
    </row>
    <row r="2323">
      <c r="D2323" t="str">
        <f>IFERROR(__xludf.DUMMYFUNCTION("""COMPUTED_VALUE"""),"Witzmann")</f>
        <v>Witzmann</v>
      </c>
      <c r="E2323" t="str">
        <f>IFERROR(__xludf.DUMMYFUNCTION("""COMPUTED_VALUE"""),"Bryan")</f>
        <v>Bryan</v>
      </c>
      <c r="F2323">
        <f>IFERROR(__xludf.DUMMYFUNCTION("""COMPUTED_VALUE"""),9.9)</f>
        <v>9.9</v>
      </c>
    </row>
    <row r="2324">
      <c r="D2324" t="str">
        <f>IFERROR(__xludf.DUMMYFUNCTION("""COMPUTED_VALUE"""),"Wolfe")</f>
        <v>Wolfe</v>
      </c>
      <c r="E2324" t="str">
        <f>IFERROR(__xludf.DUMMYFUNCTION("""COMPUTED_VALUE"""),"Derek")</f>
        <v>Derek</v>
      </c>
      <c r="F2324">
        <f>IFERROR(__xludf.DUMMYFUNCTION("""COMPUTED_VALUE"""),12.9)</f>
        <v>12.9</v>
      </c>
    </row>
    <row r="2325">
      <c r="D2325" t="str">
        <f>IFERROR(__xludf.DUMMYFUNCTION("""COMPUTED_VALUE"""),"Wolff")</f>
        <v>Wolff</v>
      </c>
      <c r="E2325" t="str">
        <f>IFERROR(__xludf.DUMMYFUNCTION("""COMPUTED_VALUE"""),"Earl")</f>
        <v>Earl</v>
      </c>
      <c r="F2325">
        <f>IFERROR(__xludf.DUMMYFUNCTION("""COMPUTED_VALUE"""),10.2)</f>
        <v>10.2</v>
      </c>
    </row>
    <row r="2326">
      <c r="D2326" t="str">
        <f>IFERROR(__xludf.DUMMYFUNCTION("""COMPUTED_VALUE"""),"Wood")</f>
        <v>Wood</v>
      </c>
      <c r="E2326" t="str">
        <f>IFERROR(__xludf.DUMMYFUNCTION("""COMPUTED_VALUE"""),"Eric")</f>
        <v>Eric</v>
      </c>
      <c r="F2326">
        <f>IFERROR(__xludf.DUMMYFUNCTION("""COMPUTED_VALUE"""),12.15)</f>
        <v>12.15</v>
      </c>
    </row>
    <row r="2327">
      <c r="D2327" t="str">
        <f>IFERROR(__xludf.DUMMYFUNCTION("""COMPUTED_VALUE"""),"Woodard")</f>
        <v>Woodard</v>
      </c>
      <c r="E2327" t="str">
        <f>IFERROR(__xludf.DUMMYFUNCTION("""COMPUTED_VALUE"""),"Jonathan")</f>
        <v>Jonathan</v>
      </c>
      <c r="F2327">
        <f>IFERROR(__xludf.DUMMYFUNCTION("""COMPUTED_VALUE"""),9.45)</f>
        <v>9.45</v>
      </c>
    </row>
    <row r="2328">
      <c r="D2328" t="str">
        <f>IFERROR(__xludf.DUMMYFUNCTION("""COMPUTED_VALUE"""),"Woodhead")</f>
        <v>Woodhead</v>
      </c>
      <c r="E2328" t="str">
        <f>IFERROR(__xludf.DUMMYFUNCTION("""COMPUTED_VALUE"""),"Danny")</f>
        <v>Danny</v>
      </c>
      <c r="F2328">
        <f>IFERROR(__xludf.DUMMYFUNCTION("""COMPUTED_VALUE"""),12.299999999999999)</f>
        <v>12.3</v>
      </c>
    </row>
    <row r="2329">
      <c r="D2329" t="str">
        <f>IFERROR(__xludf.DUMMYFUNCTION("""COMPUTED_VALUE"""),"Woods")</f>
        <v>Woods</v>
      </c>
      <c r="E2329" t="str">
        <f>IFERROR(__xludf.DUMMYFUNCTION("""COMPUTED_VALUE"""),"Al")</f>
        <v>Al</v>
      </c>
      <c r="F2329">
        <f>IFERROR(__xludf.DUMMYFUNCTION("""COMPUTED_VALUE"""),11.1)</f>
        <v>11.1</v>
      </c>
    </row>
    <row r="2330">
      <c r="D2330" t="str">
        <f>IFERROR(__xludf.DUMMYFUNCTION("""COMPUTED_VALUE"""),"Woods")</f>
        <v>Woods</v>
      </c>
      <c r="E2330" t="str">
        <f>IFERROR(__xludf.DUMMYFUNCTION("""COMPUTED_VALUE"""),"Robert")</f>
        <v>Robert</v>
      </c>
      <c r="F2330">
        <f>IFERROR(__xludf.DUMMYFUNCTION("""COMPUTED_VALUE"""),10.95)</f>
        <v>10.95</v>
      </c>
    </row>
    <row r="2331">
      <c r="D2331" t="str">
        <f>IFERROR(__xludf.DUMMYFUNCTION("""COMPUTED_VALUE"""),"Woodyard")</f>
        <v>Woodyard</v>
      </c>
      <c r="E2331" t="str">
        <f>IFERROR(__xludf.DUMMYFUNCTION("""COMPUTED_VALUE"""),"Wesley")</f>
        <v>Wesley</v>
      </c>
      <c r="F2331">
        <f>IFERROR(__xludf.DUMMYFUNCTION("""COMPUTED_VALUE"""),13.049999999999999)</f>
        <v>13.05</v>
      </c>
    </row>
    <row r="2332">
      <c r="D2332" t="str">
        <f>IFERROR(__xludf.DUMMYFUNCTION("""COMPUTED_VALUE"""),"Worley")</f>
        <v>Worley</v>
      </c>
      <c r="E2332" t="str">
        <f>IFERROR(__xludf.DUMMYFUNCTION("""COMPUTED_VALUE"""),"Daryl")</f>
        <v>Daryl</v>
      </c>
      <c r="F2332">
        <f>IFERROR(__xludf.DUMMYFUNCTION("""COMPUTED_VALUE"""),10.2)</f>
        <v>10.2</v>
      </c>
    </row>
    <row r="2333">
      <c r="D2333" t="str">
        <f>IFERROR(__xludf.DUMMYFUNCTION("""COMPUTED_VALUE"""),"Worrilow")</f>
        <v>Worrilow</v>
      </c>
      <c r="E2333" t="str">
        <f>IFERROR(__xludf.DUMMYFUNCTION("""COMPUTED_VALUE"""),"Paul")</f>
        <v>Paul</v>
      </c>
      <c r="F2333">
        <f>IFERROR(__xludf.DUMMYFUNCTION("""COMPUTED_VALUE"""),11.1)</f>
        <v>11.1</v>
      </c>
    </row>
    <row r="2334">
      <c r="D2334" t="str">
        <f>IFERROR(__xludf.DUMMYFUNCTION("""COMPUTED_VALUE"""),"Worthy")</f>
        <v>Worthy</v>
      </c>
      <c r="E2334" t="str">
        <f>IFERROR(__xludf.DUMMYFUNCTION("""COMPUTED_VALUE"""),"Chandler")</f>
        <v>Chandler</v>
      </c>
      <c r="F2334">
        <f>IFERROR(__xludf.DUMMYFUNCTION("""COMPUTED_VALUE"""),9.0)</f>
        <v>9</v>
      </c>
    </row>
    <row r="2335">
      <c r="D2335" t="str">
        <f>IFERROR(__xludf.DUMMYFUNCTION("""COMPUTED_VALUE"""),"Worthy")</f>
        <v>Worthy</v>
      </c>
      <c r="E2335" t="str">
        <f>IFERROR(__xludf.DUMMYFUNCTION("""COMPUTED_VALUE"""),"Jerel")</f>
        <v>Jerel</v>
      </c>
      <c r="F2335">
        <f>IFERROR(__xludf.DUMMYFUNCTION("""COMPUTED_VALUE"""),10.049999999999999)</f>
        <v>10.05</v>
      </c>
    </row>
    <row r="2336">
      <c r="D2336" t="str">
        <f>IFERROR(__xludf.DUMMYFUNCTION("""COMPUTED_VALUE"""),"Wreh-Wilson")</f>
        <v>Wreh-Wilson</v>
      </c>
      <c r="E2336" t="str">
        <f>IFERROR(__xludf.DUMMYFUNCTION("""COMPUTED_VALUE"""),"Blidi")</f>
        <v>Blidi</v>
      </c>
      <c r="F2336">
        <f>IFERROR(__xludf.DUMMYFUNCTION("""COMPUTED_VALUE"""),10.65)</f>
        <v>10.65</v>
      </c>
    </row>
    <row r="2337">
      <c r="D2337" t="str">
        <f>IFERROR(__xludf.DUMMYFUNCTION("""COMPUTED_VALUE"""),"Wright")</f>
        <v>Wright</v>
      </c>
      <c r="E2337" t="str">
        <f>IFERROR(__xludf.DUMMYFUNCTION("""COMPUTED_VALUE"""),"Gabe")</f>
        <v>Gabe</v>
      </c>
      <c r="F2337">
        <f>IFERROR(__xludf.DUMMYFUNCTION("""COMPUTED_VALUE"""),10.35)</f>
        <v>10.35</v>
      </c>
    </row>
    <row r="2338">
      <c r="D2338" t="str">
        <f>IFERROR(__xludf.DUMMYFUNCTION("""COMPUTED_VALUE"""),"Wright")</f>
        <v>Wright</v>
      </c>
      <c r="E2338" t="str">
        <f>IFERROR(__xludf.DUMMYFUNCTION("""COMPUTED_VALUE"""),"James")</f>
        <v>James</v>
      </c>
      <c r="F2338">
        <f>IFERROR(__xludf.DUMMYFUNCTION("""COMPUTED_VALUE"""),9.45)</f>
        <v>9.45</v>
      </c>
    </row>
    <row r="2339">
      <c r="D2339" t="str">
        <f>IFERROR(__xludf.DUMMYFUNCTION("""COMPUTED_VALUE"""),"Wright")</f>
        <v>Wright</v>
      </c>
      <c r="E2339" t="str">
        <f>IFERROR(__xludf.DUMMYFUNCTION("""COMPUTED_VALUE"""),"Jarius")</f>
        <v>Jarius</v>
      </c>
      <c r="F2339">
        <f>IFERROR(__xludf.DUMMYFUNCTION("""COMPUTED_VALUE"""),11.25)</f>
        <v>11.25</v>
      </c>
    </row>
    <row r="2340">
      <c r="D2340" t="str">
        <f>IFERROR(__xludf.DUMMYFUNCTION("""COMPUTED_VALUE"""),"Wright")</f>
        <v>Wright</v>
      </c>
      <c r="E2340" t="str">
        <f>IFERROR(__xludf.DUMMYFUNCTION("""COMPUTED_VALUE"""),"Kendall")</f>
        <v>Kendall</v>
      </c>
      <c r="F2340">
        <f>IFERROR(__xludf.DUMMYFUNCTION("""COMPUTED_VALUE"""),11.85)</f>
        <v>11.85</v>
      </c>
    </row>
    <row r="2341">
      <c r="D2341" t="str">
        <f>IFERROR(__xludf.DUMMYFUNCTION("""COMPUTED_VALUE"""),"Wright")</f>
        <v>Wright</v>
      </c>
      <c r="E2341" t="str">
        <f>IFERROR(__xludf.DUMMYFUNCTION("""COMPUTED_VALUE"""),"KJ")</f>
        <v>KJ</v>
      </c>
      <c r="F2341">
        <f>IFERROR(__xludf.DUMMYFUNCTION("""COMPUTED_VALUE"""),13.2)</f>
        <v>13.2</v>
      </c>
    </row>
    <row r="2342">
      <c r="D2342" t="str">
        <f>IFERROR(__xludf.DUMMYFUNCTION("""COMPUTED_VALUE"""),"Wright")</f>
        <v>Wright</v>
      </c>
      <c r="E2342" t="str">
        <f>IFERROR(__xludf.DUMMYFUNCTION("""COMPUTED_VALUE"""),"Major")</f>
        <v>Major</v>
      </c>
      <c r="F2342">
        <f>IFERROR(__xludf.DUMMYFUNCTION("""COMPUTED_VALUE"""),11.1)</f>
        <v>11.1</v>
      </c>
    </row>
    <row r="2343">
      <c r="D2343" t="str">
        <f>IFERROR(__xludf.DUMMYFUNCTION("""COMPUTED_VALUE"""),"Wright")</f>
        <v>Wright</v>
      </c>
      <c r="E2343" t="str">
        <f>IFERROR(__xludf.DUMMYFUNCTION("""COMPUTED_VALUE"""),"Shareece")</f>
        <v>Shareece</v>
      </c>
      <c r="F2343">
        <f>IFERROR(__xludf.DUMMYFUNCTION("""COMPUTED_VALUE"""),10.799999999999999)</f>
        <v>10.8</v>
      </c>
    </row>
    <row r="2344">
      <c r="D2344" t="str">
        <f>IFERROR(__xludf.DUMMYFUNCTION("""COMPUTED_VALUE"""),"Wright")</f>
        <v>Wright</v>
      </c>
      <c r="E2344" t="str">
        <f>IFERROR(__xludf.DUMMYFUNCTION("""COMPUTED_VALUE"""),"Timothy")</f>
        <v>Timothy</v>
      </c>
      <c r="F2344">
        <f>IFERROR(__xludf.DUMMYFUNCTION("""COMPUTED_VALUE"""),10.65)</f>
        <v>10.65</v>
      </c>
    </row>
    <row r="2345">
      <c r="D2345" t="str">
        <f>IFERROR(__xludf.DUMMYFUNCTION("""COMPUTED_VALUE"""),"Wright III")</f>
        <v>Wright III</v>
      </c>
      <c r="E2345" t="str">
        <f>IFERROR(__xludf.DUMMYFUNCTION("""COMPUTED_VALUE"""),"Scooby")</f>
        <v>Scooby</v>
      </c>
      <c r="F2345">
        <f>IFERROR(__xludf.DUMMYFUNCTION("""COMPUTED_VALUE"""),10.2)</f>
        <v>10.2</v>
      </c>
    </row>
    <row r="2346">
      <c r="D2346" t="str">
        <f>IFERROR(__xludf.DUMMYFUNCTION("""COMPUTED_VALUE"""),"Wujciak")</f>
        <v>Wujciak</v>
      </c>
      <c r="E2346" t="str">
        <f>IFERROR(__xludf.DUMMYFUNCTION("""COMPUTED_VALUE"""),"Connor")</f>
        <v>Connor</v>
      </c>
      <c r="F2346">
        <f>IFERROR(__xludf.DUMMYFUNCTION("""COMPUTED_VALUE"""),9.0)</f>
        <v>9</v>
      </c>
    </row>
    <row r="2347">
      <c r="D2347" t="str">
        <f>IFERROR(__xludf.DUMMYFUNCTION("""COMPUTED_VALUE"""),"Wynn")</f>
        <v>Wynn</v>
      </c>
      <c r="E2347" t="str">
        <f>IFERROR(__xludf.DUMMYFUNCTION("""COMPUTED_VALUE"""),"Kerry")</f>
        <v>Kerry</v>
      </c>
      <c r="F2347">
        <f>IFERROR(__xludf.DUMMYFUNCTION("""COMPUTED_VALUE"""),9.75)</f>
        <v>9.75</v>
      </c>
    </row>
    <row r="2348">
      <c r="D2348" t="str">
        <f>IFERROR(__xludf.DUMMYFUNCTION("""COMPUTED_VALUE"""),"Wynn")</f>
        <v>Wynn</v>
      </c>
      <c r="E2348" t="str">
        <f>IFERROR(__xludf.DUMMYFUNCTION("""COMPUTED_VALUE"""),"Shane")</f>
        <v>Shane</v>
      </c>
      <c r="F2348">
        <f>IFERROR(__xludf.DUMMYFUNCTION("""COMPUTED_VALUE"""),7.8)</f>
        <v>7.8</v>
      </c>
    </row>
    <row r="2349">
      <c r="D2349" t="str">
        <f>IFERROR(__xludf.DUMMYFUNCTION("""COMPUTED_VALUE"""),"Yanda")</f>
        <v>Yanda</v>
      </c>
      <c r="E2349" t="str">
        <f>IFERROR(__xludf.DUMMYFUNCTION("""COMPUTED_VALUE"""),"Marshal")</f>
        <v>Marshal</v>
      </c>
      <c r="F2349">
        <f>IFERROR(__xludf.DUMMYFUNCTION("""COMPUTED_VALUE"""),14.549999999999999)</f>
        <v>14.55</v>
      </c>
    </row>
    <row r="2350">
      <c r="D2350" t="str">
        <f>IFERROR(__xludf.DUMMYFUNCTION("""COMPUTED_VALUE"""),"Yankey")</f>
        <v>Yankey</v>
      </c>
      <c r="E2350" t="str">
        <f>IFERROR(__xludf.DUMMYFUNCTION("""COMPUTED_VALUE"""),"David")</f>
        <v>David</v>
      </c>
      <c r="F2350">
        <f>IFERROR(__xludf.DUMMYFUNCTION("""COMPUTED_VALUE"""),10.35)</f>
        <v>10.35</v>
      </c>
    </row>
    <row r="2351">
      <c r="D2351" t="str">
        <f>IFERROR(__xludf.DUMMYFUNCTION("""COMPUTED_VALUE"""),"Yarbrough")</f>
        <v>Yarbrough</v>
      </c>
      <c r="E2351" t="str">
        <f>IFERROR(__xludf.DUMMYFUNCTION("""COMPUTED_VALUE"""),"Eddie")</f>
        <v>Eddie</v>
      </c>
      <c r="F2351">
        <f>IFERROR(__xludf.DUMMYFUNCTION("""COMPUTED_VALUE"""),9.299999999999999)</f>
        <v>9.3</v>
      </c>
    </row>
    <row r="2352">
      <c r="D2352" t="str">
        <f>IFERROR(__xludf.DUMMYFUNCTION("""COMPUTED_VALUE"""),"Yeldon")</f>
        <v>Yeldon</v>
      </c>
      <c r="E2352" t="str">
        <f>IFERROR(__xludf.DUMMYFUNCTION("""COMPUTED_VALUE"""),"TJ")</f>
        <v>TJ</v>
      </c>
      <c r="F2352">
        <f>IFERROR(__xludf.DUMMYFUNCTION("""COMPUTED_VALUE"""),12.0)</f>
        <v>12</v>
      </c>
    </row>
    <row r="2353">
      <c r="D2353" t="str">
        <f>IFERROR(__xludf.DUMMYFUNCTION("""COMPUTED_VALUE"""),"Young")</f>
        <v>Young</v>
      </c>
      <c r="E2353" t="str">
        <f>IFERROR(__xludf.DUMMYFUNCTION("""COMPUTED_VALUE"""),"Avery")</f>
        <v>Avery</v>
      </c>
      <c r="F2353">
        <f>IFERROR(__xludf.DUMMYFUNCTION("""COMPUTED_VALUE"""),9.0)</f>
        <v>9</v>
      </c>
    </row>
    <row r="2354">
      <c r="D2354" t="str">
        <f>IFERROR(__xludf.DUMMYFUNCTION("""COMPUTED_VALUE"""),"Young")</f>
        <v>Young</v>
      </c>
      <c r="E2354" t="str">
        <f>IFERROR(__xludf.DUMMYFUNCTION("""COMPUTED_VALUE"""),"Lou")</f>
        <v>Lou</v>
      </c>
      <c r="F2354">
        <f>IFERROR(__xludf.DUMMYFUNCTION("""COMPUTED_VALUE"""),9.15)</f>
        <v>9.15</v>
      </c>
    </row>
    <row r="2355">
      <c r="D2355" t="str">
        <f>IFERROR(__xludf.DUMMYFUNCTION("""COMPUTED_VALUE"""),"Young")</f>
        <v>Young</v>
      </c>
      <c r="E2355" t="str">
        <f>IFERROR(__xludf.DUMMYFUNCTION("""COMPUTED_VALUE"""),"Sam")</f>
        <v>Sam</v>
      </c>
      <c r="F2355">
        <f>IFERROR(__xludf.DUMMYFUNCTION("""COMPUTED_VALUE"""),10.5)</f>
        <v>10.5</v>
      </c>
    </row>
    <row r="2356">
      <c r="D2356" t="str">
        <f>IFERROR(__xludf.DUMMYFUNCTION("""COMPUTED_VALUE"""),"Young")</f>
        <v>Young</v>
      </c>
      <c r="E2356" t="str">
        <f>IFERROR(__xludf.DUMMYFUNCTION("""COMPUTED_VALUE"""),"Tavon")</f>
        <v>Tavon</v>
      </c>
      <c r="F2356">
        <f>IFERROR(__xludf.DUMMYFUNCTION("""COMPUTED_VALUE"""),10.049999999999999)</f>
        <v>10.05</v>
      </c>
    </row>
    <row r="2357">
      <c r="D2357" t="str">
        <f>IFERROR(__xludf.DUMMYFUNCTION("""COMPUTED_VALUE"""),"Young")</f>
        <v>Young</v>
      </c>
      <c r="E2357" t="str">
        <f>IFERROR(__xludf.DUMMYFUNCTION("""COMPUTED_VALUE"""),"Willie")</f>
        <v>Willie</v>
      </c>
      <c r="F2357">
        <f>IFERROR(__xludf.DUMMYFUNCTION("""COMPUTED_VALUE"""),12.299999999999999)</f>
        <v>12.3</v>
      </c>
    </row>
    <row r="2358">
      <c r="D2358" t="str">
        <f>IFERROR(__xludf.DUMMYFUNCTION("""COMPUTED_VALUE"""),"Zeitler")</f>
        <v>Zeitler</v>
      </c>
      <c r="E2358" t="str">
        <f>IFERROR(__xludf.DUMMYFUNCTION("""COMPUTED_VALUE"""),"Kevin")</f>
        <v>Kevin</v>
      </c>
      <c r="F2358">
        <f>IFERROR(__xludf.DUMMYFUNCTION("""COMPUTED_VALUE"""),13.35)</f>
        <v>13.35</v>
      </c>
    </row>
    <row r="2359">
      <c r="D2359" t="str">
        <f>IFERROR(__xludf.DUMMYFUNCTION("""COMPUTED_VALUE"""),"Zenner")</f>
        <v>Zenner</v>
      </c>
      <c r="E2359" t="str">
        <f>IFERROR(__xludf.DUMMYFUNCTION("""COMPUTED_VALUE"""),"Zach")</f>
        <v>Zach</v>
      </c>
      <c r="F2359">
        <f>IFERROR(__xludf.DUMMYFUNCTION("""COMPUTED_VALUE"""),10.35)</f>
        <v>10.35</v>
      </c>
    </row>
    <row r="2360">
      <c r="D2360" t="str">
        <f>IFERROR(__xludf.DUMMYFUNCTION("""COMPUTED_VALUE"""),"Zettel")</f>
        <v>Zettel</v>
      </c>
      <c r="E2360" t="str">
        <f>IFERROR(__xludf.DUMMYFUNCTION("""COMPUTED_VALUE"""),"Anthony")</f>
        <v>Anthony</v>
      </c>
      <c r="F2360">
        <f>IFERROR(__xludf.DUMMYFUNCTION("""COMPUTED_VALUE"""),9.9)</f>
        <v>9.9</v>
      </c>
    </row>
    <row r="2361">
      <c r="D2361" t="str">
        <f>IFERROR(__xludf.DUMMYFUNCTION("""COMPUTED_VALUE"""),"Zombo")</f>
        <v>Zombo</v>
      </c>
      <c r="E2361" t="str">
        <f>IFERROR(__xludf.DUMMYFUNCTION("""COMPUTED_VALUE"""),"Frank")</f>
        <v>Frank</v>
      </c>
      <c r="F2361">
        <f>IFERROR(__xludf.DUMMYFUNCTION("""COMPUTED_VALUE"""),10.65)</f>
        <v>10.65</v>
      </c>
    </row>
    <row r="2362">
      <c r="D2362" t="str">
        <f>IFERROR(__xludf.DUMMYFUNCTION("""COMPUTED_VALUE"""),"Zuerlein")</f>
        <v>Zuerlein</v>
      </c>
      <c r="E2362" t="str">
        <f>IFERROR(__xludf.DUMMYFUNCTION("""COMPUTED_VALUE"""),"Greg")</f>
        <v>Greg</v>
      </c>
      <c r="F2362">
        <f>IFERROR(__xludf.DUMMYFUNCTION("""COMPUTED_VALUE"""),11.7)</f>
        <v>11.7</v>
      </c>
    </row>
    <row r="2363">
      <c r="D2363" t="str">
        <f>IFERROR(__xludf.DUMMYFUNCTION("""COMPUTED_VALUE"""),"Zumwalt")</f>
        <v>Zumwalt</v>
      </c>
      <c r="E2363" t="str">
        <f>IFERROR(__xludf.DUMMYFUNCTION("""COMPUTED_VALUE"""),"Jordan")</f>
        <v>Jordan</v>
      </c>
      <c r="F2363">
        <f>IFERROR(__xludf.DUMMYFUNCTION("""COMPUTED_VALUE"""),9.75)</f>
        <v>9.75</v>
      </c>
    </row>
    <row r="2364">
      <c r="D2364" t="str">
        <f>IFERROR(__xludf.DUMMYFUNCTION("""COMPUTED_VALUE"""),"Zuttah")</f>
        <v>Zuttah</v>
      </c>
      <c r="E2364" t="str">
        <f>IFERROR(__xludf.DUMMYFUNCTION("""COMPUTED_VALUE"""),"Jeremy")</f>
        <v>Jeremy</v>
      </c>
      <c r="F2364">
        <f>IFERROR(__xludf.DUMMYFUNCTION("""COMPUTED_VALUE"""),12.15)</f>
        <v>12.15</v>
      </c>
    </row>
    <row r="2365">
      <c r="D2365" t="str">
        <f>IFERROR(__xludf.DUMMYFUNCTION("""COMPUTED_VALUE"""),"Abbrederis")</f>
        <v>Abbrederis</v>
      </c>
      <c r="E2365" t="str">
        <f>IFERROR(__xludf.DUMMYFUNCTION("""COMPUTED_VALUE"""),"Jared")</f>
        <v>Jared</v>
      </c>
      <c r="F2365">
        <f>IFERROR(__xludf.DUMMYFUNCTION("""COMPUTED_VALUE"""),13.8)</f>
        <v>13.8</v>
      </c>
    </row>
    <row r="2366">
      <c r="D2366" t="str">
        <f>IFERROR(__xludf.DUMMYFUNCTION("""COMPUTED_VALUE"""),"Abdesmad")</f>
        <v>Abdesmad</v>
      </c>
      <c r="E2366" t="str">
        <f>IFERROR(__xludf.DUMMYFUNCTION("""COMPUTED_VALUE"""),"Mehdi")</f>
        <v>Mehdi</v>
      </c>
      <c r="F2366">
        <f>IFERROR(__xludf.DUMMYFUNCTION("""COMPUTED_VALUE"""),12.0)</f>
        <v>12</v>
      </c>
    </row>
    <row r="2367">
      <c r="D2367" t="str">
        <f>IFERROR(__xludf.DUMMYFUNCTION("""COMPUTED_VALUE"""),"Abdullah")</f>
        <v>Abdullah</v>
      </c>
      <c r="E2367" t="str">
        <f>IFERROR(__xludf.DUMMYFUNCTION("""COMPUTED_VALUE"""),"Ameer")</f>
        <v>Ameer</v>
      </c>
      <c r="F2367">
        <f>IFERROR(__xludf.DUMMYFUNCTION("""COMPUTED_VALUE"""),15.600000000000001)</f>
        <v>15.6</v>
      </c>
    </row>
    <row r="2368">
      <c r="D2368" t="str">
        <f>IFERROR(__xludf.DUMMYFUNCTION("""COMPUTED_VALUE"""),"Aboushi")</f>
        <v>Aboushi</v>
      </c>
      <c r="E2368" t="str">
        <f>IFERROR(__xludf.DUMMYFUNCTION("""COMPUTED_VALUE"""),"Oday")</f>
        <v>Oday</v>
      </c>
      <c r="F2368">
        <f>IFERROR(__xludf.DUMMYFUNCTION("""COMPUTED_VALUE"""),14.8)</f>
        <v>14.8</v>
      </c>
    </row>
    <row r="2369">
      <c r="D2369" t="str">
        <f>IFERROR(__xludf.DUMMYFUNCTION("""COMPUTED_VALUE"""),"Acho")</f>
        <v>Acho</v>
      </c>
      <c r="E2369" t="str">
        <f>IFERROR(__xludf.DUMMYFUNCTION("""COMPUTED_VALUE"""),"Sam")</f>
        <v>Sam</v>
      </c>
      <c r="F2369">
        <f>IFERROR(__xludf.DUMMYFUNCTION("""COMPUTED_VALUE"""),14.8)</f>
        <v>14.8</v>
      </c>
    </row>
    <row r="2370">
      <c r="D2370" t="str">
        <f>IFERROR(__xludf.DUMMYFUNCTION("""COMPUTED_VALUE"""),"Acker")</f>
        <v>Acker</v>
      </c>
      <c r="E2370" t="str">
        <f>IFERROR(__xludf.DUMMYFUNCTION("""COMPUTED_VALUE"""),"Kenneth")</f>
        <v>Kenneth</v>
      </c>
      <c r="F2370">
        <f>IFERROR(__xludf.DUMMYFUNCTION("""COMPUTED_VALUE"""),13.4)</f>
        <v>13.4</v>
      </c>
    </row>
    <row r="2371">
      <c r="D2371" t="str">
        <f>IFERROR(__xludf.DUMMYFUNCTION("""COMPUTED_VALUE"""),"Adams")</f>
        <v>Adams</v>
      </c>
      <c r="E2371" t="str">
        <f>IFERROR(__xludf.DUMMYFUNCTION("""COMPUTED_VALUE"""),"Andrew")</f>
        <v>Andrew</v>
      </c>
      <c r="F2371">
        <f>IFERROR(__xludf.DUMMYFUNCTION("""COMPUTED_VALUE"""),15.600000000000001)</f>
        <v>15.6</v>
      </c>
    </row>
    <row r="2372">
      <c r="D2372" t="str">
        <f>IFERROR(__xludf.DUMMYFUNCTION("""COMPUTED_VALUE"""),"Adams")</f>
        <v>Adams</v>
      </c>
      <c r="E2372" t="str">
        <f>IFERROR(__xludf.DUMMYFUNCTION("""COMPUTED_VALUE"""),"Davante")</f>
        <v>Davante</v>
      </c>
      <c r="F2372">
        <f>IFERROR(__xludf.DUMMYFUNCTION("""COMPUTED_VALUE"""),16.8)</f>
        <v>16.8</v>
      </c>
    </row>
    <row r="2373">
      <c r="D2373" t="str">
        <f>IFERROR(__xludf.DUMMYFUNCTION("""COMPUTED_VALUE"""),"Adams")</f>
        <v>Adams</v>
      </c>
      <c r="E2373" t="str">
        <f>IFERROR(__xludf.DUMMYFUNCTION("""COMPUTED_VALUE"""),"Jamal")</f>
        <v>Jamal</v>
      </c>
      <c r="F2373">
        <f>IFERROR(__xludf.DUMMYFUNCTION("""COMPUTED_VALUE"""),16.2)</f>
        <v>16.2</v>
      </c>
    </row>
    <row r="2374">
      <c r="D2374" t="str">
        <f>IFERROR(__xludf.DUMMYFUNCTION("""COMPUTED_VALUE"""),"Adams")</f>
        <v>Adams</v>
      </c>
      <c r="E2374" t="str">
        <f>IFERROR(__xludf.DUMMYFUNCTION("""COMPUTED_VALUE"""),"Jeff")</f>
        <v>Jeff</v>
      </c>
      <c r="F2374">
        <f>IFERROR(__xludf.DUMMYFUNCTION("""COMPUTED_VALUE"""),14.4)</f>
        <v>14.4</v>
      </c>
    </row>
    <row r="2375">
      <c r="D2375" t="str">
        <f>IFERROR(__xludf.DUMMYFUNCTION("""COMPUTED_VALUE"""),"Adams")</f>
        <v>Adams</v>
      </c>
      <c r="E2375" t="str">
        <f>IFERROR(__xludf.DUMMYFUNCTION("""COMPUTED_VALUE"""),"Jerell")</f>
        <v>Jerell</v>
      </c>
      <c r="F2375">
        <f>IFERROR(__xludf.DUMMYFUNCTION("""COMPUTED_VALUE"""),13.200000000000001)</f>
        <v>13.2</v>
      </c>
    </row>
    <row r="2376">
      <c r="D2376" t="str">
        <f>IFERROR(__xludf.DUMMYFUNCTION("""COMPUTED_VALUE"""),"Adams")</f>
        <v>Adams</v>
      </c>
      <c r="E2376" t="str">
        <f>IFERROR(__xludf.DUMMYFUNCTION("""COMPUTED_VALUE"""),"Keion")</f>
        <v>Keion</v>
      </c>
      <c r="F2376">
        <f>IFERROR(__xludf.DUMMYFUNCTION("""COMPUTED_VALUE"""),12.8)</f>
        <v>12.8</v>
      </c>
    </row>
    <row r="2377">
      <c r="D2377" t="str">
        <f>IFERROR(__xludf.DUMMYFUNCTION("""COMPUTED_VALUE"""),"Adams")</f>
        <v>Adams</v>
      </c>
      <c r="E2377" t="str">
        <f>IFERROR(__xludf.DUMMYFUNCTION("""COMPUTED_VALUE"""),"Mike")</f>
        <v>Mike</v>
      </c>
      <c r="F2377">
        <f>IFERROR(__xludf.DUMMYFUNCTION("""COMPUTED_VALUE"""),16.2)</f>
        <v>16.2</v>
      </c>
    </row>
    <row r="2378">
      <c r="D2378" t="str">
        <f>IFERROR(__xludf.DUMMYFUNCTION("""COMPUTED_VALUE"""),"Adams")</f>
        <v>Adams</v>
      </c>
      <c r="E2378" t="str">
        <f>IFERROR(__xludf.DUMMYFUNCTION("""COMPUTED_VALUE"""),"Montravius")</f>
        <v>Montravius</v>
      </c>
      <c r="F2378">
        <f>IFERROR(__xludf.DUMMYFUNCTION("""COMPUTED_VALUE"""),14.4)</f>
        <v>14.4</v>
      </c>
    </row>
    <row r="2379">
      <c r="D2379" t="str">
        <f>IFERROR(__xludf.DUMMYFUNCTION("""COMPUTED_VALUE"""),"Adams")</f>
        <v>Adams</v>
      </c>
      <c r="E2379" t="str">
        <f>IFERROR(__xludf.DUMMYFUNCTION("""COMPUTED_VALUE"""),"Rodney")</f>
        <v>Rodney</v>
      </c>
      <c r="F2379">
        <f>IFERROR(__xludf.DUMMYFUNCTION("""COMPUTED_VALUE"""),13.600000000000001)</f>
        <v>13.6</v>
      </c>
    </row>
    <row r="2380">
      <c r="D2380" t="str">
        <f>IFERROR(__xludf.DUMMYFUNCTION("""COMPUTED_VALUE"""),"Adams")</f>
        <v>Adams</v>
      </c>
      <c r="E2380" t="str">
        <f>IFERROR(__xludf.DUMMYFUNCTION("""COMPUTED_VALUE"""),"Tyrell")</f>
        <v>Tyrell</v>
      </c>
      <c r="F2380">
        <f>IFERROR(__xludf.DUMMYFUNCTION("""COMPUTED_VALUE"""),12.4)</f>
        <v>12.4</v>
      </c>
    </row>
    <row r="2381">
      <c r="D2381" t="str">
        <f>IFERROR(__xludf.DUMMYFUNCTION("""COMPUTED_VALUE"""),"Addae")</f>
        <v>Addae</v>
      </c>
      <c r="E2381" t="str">
        <f>IFERROR(__xludf.DUMMYFUNCTION("""COMPUTED_VALUE"""),"Jahleel")</f>
        <v>Jahleel</v>
      </c>
      <c r="F2381">
        <f>IFERROR(__xludf.DUMMYFUNCTION("""COMPUTED_VALUE"""),16.6)</f>
        <v>16.6</v>
      </c>
    </row>
    <row r="2382">
      <c r="D2382" t="str">
        <f>IFERROR(__xludf.DUMMYFUNCTION("""COMPUTED_VALUE"""),"Addison")</f>
        <v>Addison</v>
      </c>
      <c r="E2382" t="str">
        <f>IFERROR(__xludf.DUMMYFUNCTION("""COMPUTED_VALUE"""),"Mario")</f>
        <v>Mario</v>
      </c>
      <c r="F2382">
        <f>IFERROR(__xludf.DUMMYFUNCTION("""COMPUTED_VALUE"""),16.6)</f>
        <v>16.6</v>
      </c>
    </row>
    <row r="2383">
      <c r="D2383" t="str">
        <f>IFERROR(__xludf.DUMMYFUNCTION("""COMPUTED_VALUE"""),"Adeboyejo")</f>
        <v>Adeboyejo</v>
      </c>
      <c r="E2383" t="str">
        <f>IFERROR(__xludf.DUMMYFUNCTION("""COMPUTED_VALUE"""),"Quincy")</f>
        <v>Quincy</v>
      </c>
      <c r="F2383">
        <f>IFERROR(__xludf.DUMMYFUNCTION("""COMPUTED_VALUE"""),12.4)</f>
        <v>12.4</v>
      </c>
    </row>
    <row r="2384">
      <c r="D2384" t="str">
        <f>IFERROR(__xludf.DUMMYFUNCTION("""COMPUTED_VALUE"""),"Adjei-Barimah")</f>
        <v>Adjei-Barimah</v>
      </c>
      <c r="E2384" t="str">
        <f>IFERROR(__xludf.DUMMYFUNCTION("""COMPUTED_VALUE"""),"Jude")</f>
        <v>Jude</v>
      </c>
      <c r="F2384">
        <f>IFERROR(__xludf.DUMMYFUNCTION("""COMPUTED_VALUE"""),14.4)</f>
        <v>14.4</v>
      </c>
    </row>
    <row r="2385">
      <c r="D2385" t="str">
        <f>IFERROR(__xludf.DUMMYFUNCTION("""COMPUTED_VALUE"""),"Agholor")</f>
        <v>Agholor</v>
      </c>
      <c r="E2385" t="str">
        <f>IFERROR(__xludf.DUMMYFUNCTION("""COMPUTED_VALUE"""),"Nelson")</f>
        <v>Nelson</v>
      </c>
      <c r="F2385">
        <f>IFERROR(__xludf.DUMMYFUNCTION("""COMPUTED_VALUE"""),14.200000000000001)</f>
        <v>14.2</v>
      </c>
    </row>
    <row r="2386">
      <c r="D2386" t="str">
        <f>IFERROR(__xludf.DUMMYFUNCTION("""COMPUTED_VALUE"""),"Agnew")</f>
        <v>Agnew</v>
      </c>
      <c r="E2386" t="str">
        <f>IFERROR(__xludf.DUMMYFUNCTION("""COMPUTED_VALUE"""),"Jamal")</f>
        <v>Jamal</v>
      </c>
      <c r="F2386">
        <f>IFERROR(__xludf.DUMMYFUNCTION("""COMPUTED_VALUE"""),13.200000000000001)</f>
        <v>13.2</v>
      </c>
    </row>
    <row r="2387">
      <c r="D2387" t="str">
        <f>IFERROR(__xludf.DUMMYFUNCTION("""COMPUTED_VALUE"""),"Aguayo")</f>
        <v>Aguayo</v>
      </c>
      <c r="E2387" t="str">
        <f>IFERROR(__xludf.DUMMYFUNCTION("""COMPUTED_VALUE"""),"Roberto")</f>
        <v>Roberto</v>
      </c>
      <c r="F2387">
        <f>IFERROR(__xludf.DUMMYFUNCTION("""COMPUTED_VALUE"""),14.600000000000001)</f>
        <v>14.6</v>
      </c>
    </row>
    <row r="2388">
      <c r="D2388" t="str">
        <f>IFERROR(__xludf.DUMMYFUNCTION("""COMPUTED_VALUE"""),"Aiken")</f>
        <v>Aiken</v>
      </c>
      <c r="E2388" t="str">
        <f>IFERROR(__xludf.DUMMYFUNCTION("""COMPUTED_VALUE"""),"Kamar")</f>
        <v>Kamar</v>
      </c>
      <c r="F2388">
        <f>IFERROR(__xludf.DUMMYFUNCTION("""COMPUTED_VALUE"""),15.600000000000001)</f>
        <v>15.6</v>
      </c>
    </row>
    <row r="2389">
      <c r="D2389" t="str">
        <f>IFERROR(__xludf.DUMMYFUNCTION("""COMPUTED_VALUE"""),"Aikens")</f>
        <v>Aikens</v>
      </c>
      <c r="E2389" t="str">
        <f>IFERROR(__xludf.DUMMYFUNCTION("""COMPUTED_VALUE"""),"Walt")</f>
        <v>Walt</v>
      </c>
      <c r="F2389">
        <f>IFERROR(__xludf.DUMMYFUNCTION("""COMPUTED_VALUE"""),13.8)</f>
        <v>13.8</v>
      </c>
    </row>
    <row r="2390">
      <c r="D2390" t="str">
        <f>IFERROR(__xludf.DUMMYFUNCTION("""COMPUTED_VALUE"""),"Ajayi")</f>
        <v>Ajayi</v>
      </c>
      <c r="E2390" t="str">
        <f>IFERROR(__xludf.DUMMYFUNCTION("""COMPUTED_VALUE"""),"Jay")</f>
        <v>Jay</v>
      </c>
      <c r="F2390">
        <f>IFERROR(__xludf.DUMMYFUNCTION("""COMPUTED_VALUE"""),17.400000000000002)</f>
        <v>17.4</v>
      </c>
    </row>
    <row r="2391">
      <c r="D2391" t="str">
        <f>IFERROR(__xludf.DUMMYFUNCTION("""COMPUTED_VALUE"""),"Albert")</f>
        <v>Albert</v>
      </c>
      <c r="E2391" t="str">
        <f>IFERROR(__xludf.DUMMYFUNCTION("""COMPUTED_VALUE"""),"Branden")</f>
        <v>Branden</v>
      </c>
      <c r="F2391">
        <f>IFERROR(__xludf.DUMMYFUNCTION("""COMPUTED_VALUE"""),14.600000000000001)</f>
        <v>14.6</v>
      </c>
    </row>
    <row r="2392">
      <c r="D2392" t="str">
        <f>IFERROR(__xludf.DUMMYFUNCTION("""COMPUTED_VALUE"""),"Albright")</f>
        <v>Albright</v>
      </c>
      <c r="E2392" t="str">
        <f>IFERROR(__xludf.DUMMYFUNCTION("""COMPUTED_VALUE"""),"Bryson")</f>
        <v>Bryson</v>
      </c>
      <c r="F2392">
        <f>IFERROR(__xludf.DUMMYFUNCTION("""COMPUTED_VALUE"""),12.0)</f>
        <v>12</v>
      </c>
    </row>
    <row r="2393">
      <c r="D2393" t="str">
        <f>IFERROR(__xludf.DUMMYFUNCTION("""COMPUTED_VALUE"""),"Alexander")</f>
        <v>Alexander</v>
      </c>
      <c r="E2393" t="str">
        <f>IFERROR(__xludf.DUMMYFUNCTION("""COMPUTED_VALUE"""),"DJ")</f>
        <v>DJ</v>
      </c>
      <c r="F2393">
        <f>IFERROR(__xludf.DUMMYFUNCTION("""COMPUTED_VALUE"""),13.200000000000001)</f>
        <v>13.2</v>
      </c>
    </row>
    <row r="2394">
      <c r="D2394" t="str">
        <f>IFERROR(__xludf.DUMMYFUNCTION("""COMPUTED_VALUE"""),"Alexander")</f>
        <v>Alexander</v>
      </c>
      <c r="E2394" t="str">
        <f>IFERROR(__xludf.DUMMYFUNCTION("""COMPUTED_VALUE"""),"Dominique")</f>
        <v>Dominique</v>
      </c>
      <c r="F2394">
        <f>IFERROR(__xludf.DUMMYFUNCTION("""COMPUTED_VALUE"""),12.200000000000001)</f>
        <v>12.2</v>
      </c>
    </row>
    <row r="2395">
      <c r="D2395" t="str">
        <f>IFERROR(__xludf.DUMMYFUNCTION("""COMPUTED_VALUE"""),"Alexander")</f>
        <v>Alexander</v>
      </c>
      <c r="E2395" t="str">
        <f>IFERROR(__xludf.DUMMYFUNCTION("""COMPUTED_VALUE"""),"Kwon")</f>
        <v>Kwon</v>
      </c>
      <c r="F2395">
        <f>IFERROR(__xludf.DUMMYFUNCTION("""COMPUTED_VALUE"""),16.0)</f>
        <v>16</v>
      </c>
    </row>
    <row r="2396">
      <c r="D2396" t="str">
        <f>IFERROR(__xludf.DUMMYFUNCTION("""COMPUTED_VALUE"""),"Alexander")</f>
        <v>Alexander</v>
      </c>
      <c r="E2396" t="str">
        <f>IFERROR(__xludf.DUMMYFUNCTION("""COMPUTED_VALUE"""),"Lorenzo")</f>
        <v>Lorenzo</v>
      </c>
      <c r="F2396">
        <f>IFERROR(__xludf.DUMMYFUNCTION("""COMPUTED_VALUE"""),16.8)</f>
        <v>16.8</v>
      </c>
    </row>
    <row r="2397">
      <c r="D2397" t="str">
        <f>IFERROR(__xludf.DUMMYFUNCTION("""COMPUTED_VALUE"""),"Alexander")</f>
        <v>Alexander</v>
      </c>
      <c r="E2397" t="str">
        <f>IFERROR(__xludf.DUMMYFUNCTION("""COMPUTED_VALUE"""),"Mackensie")</f>
        <v>Mackensie</v>
      </c>
      <c r="F2397">
        <f>IFERROR(__xludf.DUMMYFUNCTION("""COMPUTED_VALUE"""),14.600000000000001)</f>
        <v>14.6</v>
      </c>
    </row>
    <row r="2398">
      <c r="D2398" t="str">
        <f>IFERROR(__xludf.DUMMYFUNCTION("""COMPUTED_VALUE"""),"Alexander")</f>
        <v>Alexander</v>
      </c>
      <c r="E2398" t="str">
        <f>IFERROR(__xludf.DUMMYFUNCTION("""COMPUTED_VALUE"""),"Maurice")</f>
        <v>Maurice</v>
      </c>
      <c r="F2398">
        <f>IFERROR(__xludf.DUMMYFUNCTION("""COMPUTED_VALUE"""),16.8)</f>
        <v>16.8</v>
      </c>
    </row>
    <row r="2399">
      <c r="D2399" t="str">
        <f>IFERROR(__xludf.DUMMYFUNCTION("""COMPUTED_VALUE"""),"Alexander")</f>
        <v>Alexander</v>
      </c>
      <c r="E2399" t="str">
        <f>IFERROR(__xludf.DUMMYFUNCTION("""COMPUTED_VALUE"""),"Vadal")</f>
        <v>Vadal</v>
      </c>
      <c r="F2399">
        <f>IFERROR(__xludf.DUMMYFUNCTION("""COMPUTED_VALUE"""),13.4)</f>
        <v>13.4</v>
      </c>
    </row>
    <row r="2400">
      <c r="D2400" t="str">
        <f>IFERROR(__xludf.DUMMYFUNCTION("""COMPUTED_VALUE"""),"Alford")</f>
        <v>Alford</v>
      </c>
      <c r="E2400" t="str">
        <f>IFERROR(__xludf.DUMMYFUNCTION("""COMPUTED_VALUE"""),"Mario")</f>
        <v>Mario</v>
      </c>
      <c r="F2400">
        <f>IFERROR(__xludf.DUMMYFUNCTION("""COMPUTED_VALUE"""),12.0)</f>
        <v>12</v>
      </c>
    </row>
    <row r="2401">
      <c r="D2401" t="str">
        <f>IFERROR(__xludf.DUMMYFUNCTION("""COMPUTED_VALUE"""),"Alford")</f>
        <v>Alford</v>
      </c>
      <c r="E2401" t="str">
        <f>IFERROR(__xludf.DUMMYFUNCTION("""COMPUTED_VALUE"""),"Robert")</f>
        <v>Robert</v>
      </c>
      <c r="F2401">
        <f>IFERROR(__xludf.DUMMYFUNCTION("""COMPUTED_VALUE"""),16.0)</f>
        <v>16</v>
      </c>
    </row>
    <row r="2402">
      <c r="D2402" t="str">
        <f>IFERROR(__xludf.DUMMYFUNCTION("""COMPUTED_VALUE"""),"Allen")</f>
        <v>Allen</v>
      </c>
      <c r="E2402" t="str">
        <f>IFERROR(__xludf.DUMMYFUNCTION("""COMPUTED_VALUE"""),"Beau")</f>
        <v>Beau</v>
      </c>
      <c r="F2402">
        <f>IFERROR(__xludf.DUMMYFUNCTION("""COMPUTED_VALUE"""),13.600000000000001)</f>
        <v>13.6</v>
      </c>
    </row>
    <row r="2403">
      <c r="D2403" t="str">
        <f>IFERROR(__xludf.DUMMYFUNCTION("""COMPUTED_VALUE"""),"Allen")</f>
        <v>Allen</v>
      </c>
      <c r="E2403" t="str">
        <f>IFERROR(__xludf.DUMMYFUNCTION("""COMPUTED_VALUE"""),"Brandon")</f>
        <v>Brandon</v>
      </c>
      <c r="F2403">
        <f>IFERROR(__xludf.DUMMYFUNCTION("""COMPUTED_VALUE"""),12.600000000000001)</f>
        <v>12.6</v>
      </c>
    </row>
    <row r="2404">
      <c r="D2404" t="str">
        <f>IFERROR(__xludf.DUMMYFUNCTION("""COMPUTED_VALUE"""),"Allen")</f>
        <v>Allen</v>
      </c>
      <c r="E2404" t="str">
        <f>IFERROR(__xludf.DUMMYFUNCTION("""COMPUTED_VALUE"""),"Brian")</f>
        <v>Brian</v>
      </c>
      <c r="F2404">
        <f>IFERROR(__xludf.DUMMYFUNCTION("""COMPUTED_VALUE"""),13.0)</f>
        <v>13</v>
      </c>
    </row>
    <row r="2405">
      <c r="D2405" t="str">
        <f>IFERROR(__xludf.DUMMYFUNCTION("""COMPUTED_VALUE"""),"Allen")</f>
        <v>Allen</v>
      </c>
      <c r="E2405" t="str">
        <f>IFERROR(__xludf.DUMMYFUNCTION("""COMPUTED_VALUE"""),"Dwayne")</f>
        <v>Dwayne</v>
      </c>
      <c r="F2405">
        <f>IFERROR(__xludf.DUMMYFUNCTION("""COMPUTED_VALUE"""),16.0)</f>
        <v>16</v>
      </c>
    </row>
    <row r="2406">
      <c r="D2406" t="str">
        <f>IFERROR(__xludf.DUMMYFUNCTION("""COMPUTED_VALUE"""),"Allen")</f>
        <v>Allen</v>
      </c>
      <c r="E2406" t="str">
        <f>IFERROR(__xludf.DUMMYFUNCTION("""COMPUTED_VALUE"""),"Jack")</f>
        <v>Jack</v>
      </c>
      <c r="F2406">
        <f>IFERROR(__xludf.DUMMYFUNCTION("""COMPUTED_VALUE"""),11.8)</f>
        <v>11.8</v>
      </c>
    </row>
    <row r="2407">
      <c r="D2407" t="str">
        <f>IFERROR(__xludf.DUMMYFUNCTION("""COMPUTED_VALUE"""),"Allen")</f>
        <v>Allen</v>
      </c>
      <c r="E2407" t="str">
        <f>IFERROR(__xludf.DUMMYFUNCTION("""COMPUTED_VALUE"""),"Javorius")</f>
        <v>Javorius</v>
      </c>
      <c r="F2407">
        <f>IFERROR(__xludf.DUMMYFUNCTION("""COMPUTED_VALUE"""),14.4)</f>
        <v>14.4</v>
      </c>
    </row>
    <row r="2408">
      <c r="D2408" t="str">
        <f>IFERROR(__xludf.DUMMYFUNCTION("""COMPUTED_VALUE"""),"Allen")</f>
        <v>Allen</v>
      </c>
      <c r="E2408" t="str">
        <f>IFERROR(__xludf.DUMMYFUNCTION("""COMPUTED_VALUE"""),"Jeff")</f>
        <v>Jeff</v>
      </c>
      <c r="F2408">
        <f>IFERROR(__xludf.DUMMYFUNCTION("""COMPUTED_VALUE"""),14.4)</f>
        <v>14.4</v>
      </c>
    </row>
    <row r="2409">
      <c r="D2409" t="str">
        <f>IFERROR(__xludf.DUMMYFUNCTION("""COMPUTED_VALUE"""),"Allen")</f>
        <v>Allen</v>
      </c>
      <c r="E2409" t="str">
        <f>IFERROR(__xludf.DUMMYFUNCTION("""COMPUTED_VALUE"""),"Jonathan")</f>
        <v>Jonathan</v>
      </c>
      <c r="F2409">
        <f>IFERROR(__xludf.DUMMYFUNCTION("""COMPUTED_VALUE"""),14.600000000000001)</f>
        <v>14.6</v>
      </c>
    </row>
    <row r="2410">
      <c r="D2410" t="str">
        <f>IFERROR(__xludf.DUMMYFUNCTION("""COMPUTED_VALUE"""),"Allen")</f>
        <v>Allen</v>
      </c>
      <c r="E2410" t="str">
        <f>IFERROR(__xludf.DUMMYFUNCTION("""COMPUTED_VALUE"""),"Josh")</f>
        <v>Josh</v>
      </c>
      <c r="F2410">
        <f>IFERROR(__xludf.DUMMYFUNCTION("""COMPUTED_VALUE"""),12.200000000000001)</f>
        <v>12.2</v>
      </c>
    </row>
    <row r="2411">
      <c r="D2411" t="str">
        <f>IFERROR(__xludf.DUMMYFUNCTION("""COMPUTED_VALUE"""),"Allen")</f>
        <v>Allen</v>
      </c>
      <c r="E2411" t="str">
        <f>IFERROR(__xludf.DUMMYFUNCTION("""COMPUTED_VALUE"""),"Keenan")</f>
        <v>Keenan</v>
      </c>
      <c r="F2411">
        <f>IFERROR(__xludf.DUMMYFUNCTION("""COMPUTED_VALUE"""),17.8)</f>
        <v>17.8</v>
      </c>
    </row>
    <row r="2412">
      <c r="D2412" t="str">
        <f>IFERROR(__xludf.DUMMYFUNCTION("""COMPUTED_VALUE"""),"Allen")</f>
        <v>Allen</v>
      </c>
      <c r="E2412" t="str">
        <f>IFERROR(__xludf.DUMMYFUNCTION("""COMPUTED_VALUE"""),"Nate")</f>
        <v>Nate</v>
      </c>
      <c r="F2412">
        <f>IFERROR(__xludf.DUMMYFUNCTION("""COMPUTED_VALUE"""),14.4)</f>
        <v>14.4</v>
      </c>
    </row>
    <row r="2413">
      <c r="D2413" t="str">
        <f>IFERROR(__xludf.DUMMYFUNCTION("""COMPUTED_VALUE"""),"Allen")</f>
        <v>Allen</v>
      </c>
      <c r="E2413" t="str">
        <f>IFERROR(__xludf.DUMMYFUNCTION("""COMPUTED_VALUE"""),"Ricardo")</f>
        <v>Ricardo</v>
      </c>
      <c r="F2413">
        <f>IFERROR(__xludf.DUMMYFUNCTION("""COMPUTED_VALUE"""),16.2)</f>
        <v>16.2</v>
      </c>
    </row>
    <row r="2414">
      <c r="D2414" t="str">
        <f>IFERROR(__xludf.DUMMYFUNCTION("""COMPUTED_VALUE"""),"Allen")</f>
        <v>Allen</v>
      </c>
      <c r="E2414" t="str">
        <f>IFERROR(__xludf.DUMMYFUNCTION("""COMPUTED_VALUE"""),"Ryan")</f>
        <v>Ryan</v>
      </c>
      <c r="F2414">
        <f>IFERROR(__xludf.DUMMYFUNCTION("""COMPUTED_VALUE"""),15.0)</f>
        <v>15</v>
      </c>
    </row>
    <row r="2415">
      <c r="D2415" t="str">
        <f>IFERROR(__xludf.DUMMYFUNCTION("""COMPUTED_VALUE"""),"Allison")</f>
        <v>Allison</v>
      </c>
      <c r="E2415" t="str">
        <f>IFERROR(__xludf.DUMMYFUNCTION("""COMPUTED_VALUE"""),"Geronimo")</f>
        <v>Geronimo</v>
      </c>
      <c r="F2415">
        <f>IFERROR(__xludf.DUMMYFUNCTION("""COMPUTED_VALUE"""),13.4)</f>
        <v>13.4</v>
      </c>
    </row>
    <row r="2416">
      <c r="D2416" t="str">
        <f>IFERROR(__xludf.DUMMYFUNCTION("""COMPUTED_VALUE"""),"Alonso")</f>
        <v>Alonso</v>
      </c>
      <c r="E2416" t="str">
        <f>IFERROR(__xludf.DUMMYFUNCTION("""COMPUTED_VALUE"""),"Kiko")</f>
        <v>Kiko</v>
      </c>
      <c r="F2416">
        <f>IFERROR(__xludf.DUMMYFUNCTION("""COMPUTED_VALUE"""),15.200000000000001)</f>
        <v>15.2</v>
      </c>
    </row>
    <row r="2417">
      <c r="D2417" t="str">
        <f>IFERROR(__xludf.DUMMYFUNCTION("""COMPUTED_VALUE"""),"Alualu")</f>
        <v>Alualu</v>
      </c>
      <c r="E2417" t="str">
        <f>IFERROR(__xludf.DUMMYFUNCTION("""COMPUTED_VALUE"""),"Tyson")</f>
        <v>Tyson</v>
      </c>
      <c r="F2417">
        <f>IFERROR(__xludf.DUMMYFUNCTION("""COMPUTED_VALUE"""),14.600000000000001)</f>
        <v>14.6</v>
      </c>
    </row>
    <row r="2418">
      <c r="D2418" t="str">
        <f>IFERROR(__xludf.DUMMYFUNCTION("""COMPUTED_VALUE"""),"Amaro")</f>
        <v>Amaro</v>
      </c>
      <c r="E2418" t="str">
        <f>IFERROR(__xludf.DUMMYFUNCTION("""COMPUTED_VALUE"""),"Jace")</f>
        <v>Jace</v>
      </c>
      <c r="F2418">
        <f>IFERROR(__xludf.DUMMYFUNCTION("""COMPUTED_VALUE"""),15.0)</f>
        <v>15</v>
      </c>
    </row>
    <row r="2419">
      <c r="D2419" t="str">
        <f>IFERROR(__xludf.DUMMYFUNCTION("""COMPUTED_VALUE"""),"Amendola")</f>
        <v>Amendola</v>
      </c>
      <c r="E2419" t="str">
        <f>IFERROR(__xludf.DUMMYFUNCTION("""COMPUTED_VALUE"""),"Danny")</f>
        <v>Danny</v>
      </c>
      <c r="F2419">
        <f>IFERROR(__xludf.DUMMYFUNCTION("""COMPUTED_VALUE"""),15.600000000000001)</f>
        <v>15.6</v>
      </c>
    </row>
    <row r="2420">
      <c r="D2420" t="str">
        <f>IFERROR(__xludf.DUMMYFUNCTION("""COMPUTED_VALUE"""),"Amerson")</f>
        <v>Amerson</v>
      </c>
      <c r="E2420" t="str">
        <f>IFERROR(__xludf.DUMMYFUNCTION("""COMPUTED_VALUE"""),"David")</f>
        <v>David</v>
      </c>
      <c r="F2420">
        <f>IFERROR(__xludf.DUMMYFUNCTION("""COMPUTED_VALUE"""),16.400000000000002)</f>
        <v>16.4</v>
      </c>
    </row>
    <row r="2421">
      <c r="D2421" t="str">
        <f>IFERROR(__xludf.DUMMYFUNCTION("""COMPUTED_VALUE"""),"Amichia")</f>
        <v>Amichia</v>
      </c>
      <c r="E2421" t="str">
        <f>IFERROR(__xludf.DUMMYFUNCTION("""COMPUTED_VALUE"""),"Kofi")</f>
        <v>Kofi</v>
      </c>
      <c r="F2421">
        <f>IFERROR(__xludf.DUMMYFUNCTION("""COMPUTED_VALUE"""),13.200000000000001)</f>
        <v>13.2</v>
      </c>
    </row>
    <row r="2422">
      <c r="D2422" t="str">
        <f>IFERROR(__xludf.DUMMYFUNCTION("""COMPUTED_VALUE"""),"Amos")</f>
        <v>Amos</v>
      </c>
      <c r="E2422" t="str">
        <f>IFERROR(__xludf.DUMMYFUNCTION("""COMPUTED_VALUE"""),"Adrian")</f>
        <v>Adrian</v>
      </c>
      <c r="F2422">
        <f>IFERROR(__xludf.DUMMYFUNCTION("""COMPUTED_VALUE"""),16.0)</f>
        <v>16</v>
      </c>
    </row>
    <row r="2423">
      <c r="D2423" t="str">
        <f>IFERROR(__xludf.DUMMYFUNCTION("""COMPUTED_VALUE"""),"Amukamara")</f>
        <v>Amukamara</v>
      </c>
      <c r="E2423" t="str">
        <f>IFERROR(__xludf.DUMMYFUNCTION("""COMPUTED_VALUE"""),"Prince")</f>
        <v>Prince</v>
      </c>
      <c r="F2423">
        <f>IFERROR(__xludf.DUMMYFUNCTION("""COMPUTED_VALUE"""),16.2)</f>
        <v>16.2</v>
      </c>
    </row>
    <row r="2424">
      <c r="D2424" t="str">
        <f>IFERROR(__xludf.DUMMYFUNCTION("""COMPUTED_VALUE"""),"Anderson")</f>
        <v>Anderson</v>
      </c>
      <c r="E2424" t="str">
        <f>IFERROR(__xludf.DUMMYFUNCTION("""COMPUTED_VALUE"""),"CJ")</f>
        <v>CJ</v>
      </c>
      <c r="F2424">
        <f>IFERROR(__xludf.DUMMYFUNCTION("""COMPUTED_VALUE"""),17.0)</f>
        <v>17</v>
      </c>
    </row>
    <row r="2425">
      <c r="D2425" t="str">
        <f>IFERROR(__xludf.DUMMYFUNCTION("""COMPUTED_VALUE"""),"Anderson")</f>
        <v>Anderson</v>
      </c>
      <c r="E2425" t="str">
        <f>IFERROR(__xludf.DUMMYFUNCTION("""COMPUTED_VALUE"""),"Colt")</f>
        <v>Colt</v>
      </c>
      <c r="F2425">
        <f>IFERROR(__xludf.DUMMYFUNCTION("""COMPUTED_VALUE"""),13.8)</f>
        <v>13.8</v>
      </c>
    </row>
    <row r="2426">
      <c r="D2426" t="str">
        <f>IFERROR(__xludf.DUMMYFUNCTION("""COMPUTED_VALUE"""),"Anderson")</f>
        <v>Anderson</v>
      </c>
      <c r="E2426" t="str">
        <f>IFERROR(__xludf.DUMMYFUNCTION("""COMPUTED_VALUE"""),"Derek")</f>
        <v>Derek</v>
      </c>
      <c r="F2426">
        <f>IFERROR(__xludf.DUMMYFUNCTION("""COMPUTED_VALUE"""),13.8)</f>
        <v>13.8</v>
      </c>
    </row>
    <row r="2427">
      <c r="D2427" t="str">
        <f>IFERROR(__xludf.DUMMYFUNCTION("""COMPUTED_VALUE"""),"Anderson")</f>
        <v>Anderson</v>
      </c>
      <c r="E2427" t="str">
        <f>IFERROR(__xludf.DUMMYFUNCTION("""COMPUTED_VALUE"""),"Dres")</f>
        <v>Dres</v>
      </c>
      <c r="F2427">
        <f>IFERROR(__xludf.DUMMYFUNCTION("""COMPUTED_VALUE"""),12.4)</f>
        <v>12.4</v>
      </c>
    </row>
    <row r="2428">
      <c r="D2428" t="str">
        <f>IFERROR(__xludf.DUMMYFUNCTION("""COMPUTED_VALUE"""),"Anderson")</f>
        <v>Anderson</v>
      </c>
      <c r="E2428" t="str">
        <f>IFERROR(__xludf.DUMMYFUNCTION("""COMPUTED_VALUE"""),"Henry")</f>
        <v>Henry</v>
      </c>
      <c r="F2428">
        <f>IFERROR(__xludf.DUMMYFUNCTION("""COMPUTED_VALUE"""),15.200000000000001)</f>
        <v>15.2</v>
      </c>
    </row>
    <row r="2429">
      <c r="D2429" t="str">
        <f>IFERROR(__xludf.DUMMYFUNCTION("""COMPUTED_VALUE"""),"Anderson")</f>
        <v>Anderson</v>
      </c>
      <c r="E2429" t="str">
        <f>IFERROR(__xludf.DUMMYFUNCTION("""COMPUTED_VALUE"""),"Jonathan")</f>
        <v>Jonathan</v>
      </c>
      <c r="F2429">
        <f>IFERROR(__xludf.DUMMYFUNCTION("""COMPUTED_VALUE"""),13.200000000000001)</f>
        <v>13.2</v>
      </c>
    </row>
    <row r="2430">
      <c r="D2430" t="str">
        <f>IFERROR(__xludf.DUMMYFUNCTION("""COMPUTED_VALUE"""),"Anderson")</f>
        <v>Anderson</v>
      </c>
      <c r="E2430" t="str">
        <f>IFERROR(__xludf.DUMMYFUNCTION("""COMPUTED_VALUE"""),"Robby")</f>
        <v>Robby</v>
      </c>
      <c r="F2430">
        <f>IFERROR(__xludf.DUMMYFUNCTION("""COMPUTED_VALUE"""),14.8)</f>
        <v>14.8</v>
      </c>
    </row>
    <row r="2431">
      <c r="D2431" t="str">
        <f>IFERROR(__xludf.DUMMYFUNCTION("""COMPUTED_VALUE"""),"Anderson")</f>
        <v>Anderson</v>
      </c>
      <c r="E2431" t="str">
        <f>IFERROR(__xludf.DUMMYFUNCTION("""COMPUTED_VALUE"""),"Ryan")</f>
        <v>Ryan</v>
      </c>
      <c r="F2431">
        <f>IFERROR(__xludf.DUMMYFUNCTION("""COMPUTED_VALUE"""),14.600000000000001)</f>
        <v>14.6</v>
      </c>
    </row>
    <row r="2432">
      <c r="D2432" t="str">
        <f>IFERROR(__xludf.DUMMYFUNCTION("""COMPUTED_VALUE"""),"Anderson")</f>
        <v>Anderson</v>
      </c>
      <c r="E2432" t="str">
        <f>IFERROR(__xludf.DUMMYFUNCTION("""COMPUTED_VALUE"""),"Stephen")</f>
        <v>Stephen</v>
      </c>
      <c r="F2432">
        <f>IFERROR(__xludf.DUMMYFUNCTION("""COMPUTED_VALUE"""),13.0)</f>
        <v>13</v>
      </c>
    </row>
    <row r="2433">
      <c r="D2433" t="str">
        <f>IFERROR(__xludf.DUMMYFUNCTION("""COMPUTED_VALUE"""),"Anderson")</f>
        <v>Anderson</v>
      </c>
      <c r="E2433" t="str">
        <f>IFERROR(__xludf.DUMMYFUNCTION("""COMPUTED_VALUE"""),"Zaire")</f>
        <v>Zaire</v>
      </c>
      <c r="F2433">
        <f>IFERROR(__xludf.DUMMYFUNCTION("""COMPUTED_VALUE"""),12.0)</f>
        <v>12</v>
      </c>
    </row>
    <row r="2434">
      <c r="D2434" t="str">
        <f>IFERROR(__xludf.DUMMYFUNCTION("""COMPUTED_VALUE"""),"Andrews")</f>
        <v>Andrews</v>
      </c>
      <c r="E2434" t="str">
        <f>IFERROR(__xludf.DUMMYFUNCTION("""COMPUTED_VALUE"""),"David")</f>
        <v>David</v>
      </c>
      <c r="F2434">
        <f>IFERROR(__xludf.DUMMYFUNCTION("""COMPUTED_VALUE"""),15.600000000000001)</f>
        <v>15.6</v>
      </c>
    </row>
    <row r="2435">
      <c r="D2435" t="str">
        <f>IFERROR(__xludf.DUMMYFUNCTION("""COMPUTED_VALUE"""),"Andrews")</f>
        <v>Andrews</v>
      </c>
      <c r="E2435" t="str">
        <f>IFERROR(__xludf.DUMMYFUNCTION("""COMPUTED_VALUE"""),"Josh")</f>
        <v>Josh</v>
      </c>
      <c r="F2435">
        <f>IFERROR(__xludf.DUMMYFUNCTION("""COMPUTED_VALUE"""),12.200000000000001)</f>
        <v>12.2</v>
      </c>
    </row>
    <row r="2436">
      <c r="D2436" t="str">
        <f>IFERROR(__xludf.DUMMYFUNCTION("""COMPUTED_VALUE"""),"Anger")</f>
        <v>Anger</v>
      </c>
      <c r="E2436" t="str">
        <f>IFERROR(__xludf.DUMMYFUNCTION("""COMPUTED_VALUE"""),"Bryan")</f>
        <v>Bryan</v>
      </c>
      <c r="F2436">
        <f>IFERROR(__xludf.DUMMYFUNCTION("""COMPUTED_VALUE"""),17.0)</f>
        <v>17</v>
      </c>
    </row>
    <row r="2437">
      <c r="D2437" t="str">
        <f>IFERROR(__xludf.DUMMYFUNCTION("""COMPUTED_VALUE"""),"Ansah")</f>
        <v>Ansah</v>
      </c>
      <c r="E2437" t="str">
        <f>IFERROR(__xludf.DUMMYFUNCTION("""COMPUTED_VALUE"""),"Ezekiel")</f>
        <v>Ezekiel</v>
      </c>
      <c r="F2437">
        <f>IFERROR(__xludf.DUMMYFUNCTION("""COMPUTED_VALUE"""),16.8)</f>
        <v>16.8</v>
      </c>
    </row>
    <row r="2438">
      <c r="D2438" t="str">
        <f>IFERROR(__xludf.DUMMYFUNCTION("""COMPUTED_VALUE"""),"Anthony")</f>
        <v>Anthony</v>
      </c>
      <c r="E2438" t="str">
        <f>IFERROR(__xludf.DUMMYFUNCTION("""COMPUTED_VALUE"""),"Stephone")</f>
        <v>Stephone</v>
      </c>
      <c r="F2438">
        <f>IFERROR(__xludf.DUMMYFUNCTION("""COMPUTED_VALUE"""),14.4)</f>
        <v>14.4</v>
      </c>
    </row>
    <row r="2439">
      <c r="D2439" t="str">
        <f>IFERROR(__xludf.DUMMYFUNCTION("""COMPUTED_VALUE"""),"Anzalone")</f>
        <v>Anzalone</v>
      </c>
      <c r="E2439" t="str">
        <f>IFERROR(__xludf.DUMMYFUNCTION("""COMPUTED_VALUE"""),"Alex")</f>
        <v>Alex</v>
      </c>
      <c r="F2439">
        <f>IFERROR(__xludf.DUMMYFUNCTION("""COMPUTED_VALUE"""),13.600000000000001)</f>
        <v>13.6</v>
      </c>
    </row>
    <row r="2440">
      <c r="D2440" t="str">
        <f>IFERROR(__xludf.DUMMYFUNCTION("""COMPUTED_VALUE"""),"Apple")</f>
        <v>Apple</v>
      </c>
      <c r="E2440" t="str">
        <f>IFERROR(__xludf.DUMMYFUNCTION("""COMPUTED_VALUE"""),"Eli")</f>
        <v>Eli</v>
      </c>
      <c r="F2440">
        <f>IFERROR(__xludf.DUMMYFUNCTION("""COMPUTED_VALUE"""),15.4)</f>
        <v>15.4</v>
      </c>
    </row>
    <row r="2441">
      <c r="D2441" t="str">
        <f>IFERROR(__xludf.DUMMYFUNCTION("""COMPUTED_VALUE"""),"Armah")</f>
        <v>Armah</v>
      </c>
      <c r="E2441" t="str">
        <f>IFERROR(__xludf.DUMMYFUNCTION("""COMPUTED_VALUE"""),"Alex")</f>
        <v>Alex</v>
      </c>
      <c r="F2441">
        <f>IFERROR(__xludf.DUMMYFUNCTION("""COMPUTED_VALUE"""),14.4)</f>
        <v>14.4</v>
      </c>
    </row>
    <row r="2442">
      <c r="D2442" t="str">
        <f>IFERROR(__xludf.DUMMYFUNCTION("""COMPUTED_VALUE"""),"Armbrister")</f>
        <v>Armbrister</v>
      </c>
      <c r="E2442" t="str">
        <f>IFERROR(__xludf.DUMMYFUNCTION("""COMPUTED_VALUE"""),"Thurston")</f>
        <v>Thurston</v>
      </c>
      <c r="F2442">
        <f>IFERROR(__xludf.DUMMYFUNCTION("""COMPUTED_VALUE"""),12.200000000000001)</f>
        <v>12.2</v>
      </c>
    </row>
    <row r="2443">
      <c r="D2443" t="str">
        <f>IFERROR(__xludf.DUMMYFUNCTION("""COMPUTED_VALUE"""),"Armstead")</f>
        <v>Armstead</v>
      </c>
      <c r="E2443" t="str">
        <f>IFERROR(__xludf.DUMMYFUNCTION("""COMPUTED_VALUE"""),"Arik")</f>
        <v>Arik</v>
      </c>
      <c r="F2443">
        <f>IFERROR(__xludf.DUMMYFUNCTION("""COMPUTED_VALUE"""),15.0)</f>
        <v>15</v>
      </c>
    </row>
    <row r="2444">
      <c r="D2444" t="str">
        <f>IFERROR(__xludf.DUMMYFUNCTION("""COMPUTED_VALUE"""),"Armstead")</f>
        <v>Armstead</v>
      </c>
      <c r="E2444" t="str">
        <f>IFERROR(__xludf.DUMMYFUNCTION("""COMPUTED_VALUE"""),"Terron")</f>
        <v>Terron</v>
      </c>
      <c r="F2444">
        <f>IFERROR(__xludf.DUMMYFUNCTION("""COMPUTED_VALUE"""),17.0)</f>
        <v>17</v>
      </c>
    </row>
    <row r="2445">
      <c r="D2445" t="str">
        <f>IFERROR(__xludf.DUMMYFUNCTION("""COMPUTED_VALUE"""),"Armstrong")</f>
        <v>Armstrong</v>
      </c>
      <c r="E2445" t="str">
        <f>IFERROR(__xludf.DUMMYFUNCTION("""COMPUTED_VALUE"""),"Ray-Ray")</f>
        <v>Ray-Ray</v>
      </c>
      <c r="F2445">
        <f>IFERROR(__xludf.DUMMYFUNCTION("""COMPUTED_VALUE"""),14.600000000000001)</f>
        <v>14.6</v>
      </c>
    </row>
    <row r="2446">
      <c r="D2446" t="str">
        <f>IFERROR(__xludf.DUMMYFUNCTION("""COMPUTED_VALUE"""),"Artis-Payne")</f>
        <v>Artis-Payne</v>
      </c>
      <c r="E2446" t="str">
        <f>IFERROR(__xludf.DUMMYFUNCTION("""COMPUTED_VALUE"""),"Cameron")</f>
        <v>Cameron</v>
      </c>
      <c r="F2446">
        <f>IFERROR(__xludf.DUMMYFUNCTION("""COMPUTED_VALUE"""),13.600000000000001)</f>
        <v>13.6</v>
      </c>
    </row>
    <row r="2447">
      <c r="D2447" t="str">
        <f>IFERROR(__xludf.DUMMYFUNCTION("""COMPUTED_VALUE"""),"Ash")</f>
        <v>Ash</v>
      </c>
      <c r="E2447" t="str">
        <f>IFERROR(__xludf.DUMMYFUNCTION("""COMPUTED_VALUE"""),"Richard")</f>
        <v>Richard</v>
      </c>
      <c r="F2447">
        <f>IFERROR(__xludf.DUMMYFUNCTION("""COMPUTED_VALUE"""),12.600000000000001)</f>
        <v>12.6</v>
      </c>
    </row>
    <row r="2448">
      <c r="D2448" t="str">
        <f>IFERROR(__xludf.DUMMYFUNCTION("""COMPUTED_VALUE"""),"Asiata")</f>
        <v>Asiata</v>
      </c>
      <c r="E2448" t="str">
        <f>IFERROR(__xludf.DUMMYFUNCTION("""COMPUTED_VALUE"""),"Isaac")</f>
        <v>Isaac</v>
      </c>
      <c r="F2448">
        <f>IFERROR(__xludf.DUMMYFUNCTION("""COMPUTED_VALUE"""),13.600000000000001)</f>
        <v>13.6</v>
      </c>
    </row>
    <row r="2449">
      <c r="D2449" t="str">
        <f>IFERROR(__xludf.DUMMYFUNCTION("""COMPUTED_VALUE"""),"Asiata")</f>
        <v>Asiata</v>
      </c>
      <c r="E2449" t="str">
        <f>IFERROR(__xludf.DUMMYFUNCTION("""COMPUTED_VALUE"""),"Matt")</f>
        <v>Matt</v>
      </c>
      <c r="F2449">
        <f>IFERROR(__xludf.DUMMYFUNCTION("""COMPUTED_VALUE"""),15.0)</f>
        <v>15</v>
      </c>
    </row>
    <row r="2450">
      <c r="D2450" t="str">
        <f>IFERROR(__xludf.DUMMYFUNCTION("""COMPUTED_VALUE"""),"Atkins")</f>
        <v>Atkins</v>
      </c>
      <c r="E2450" t="str">
        <f>IFERROR(__xludf.DUMMYFUNCTION("""COMPUTED_VALUE"""),"Geno")</f>
        <v>Geno</v>
      </c>
      <c r="F2450">
        <f>IFERROR(__xludf.DUMMYFUNCTION("""COMPUTED_VALUE"""),18.2)</f>
        <v>18.2</v>
      </c>
    </row>
    <row r="2451">
      <c r="D2451" t="str">
        <f>IFERROR(__xludf.DUMMYFUNCTION("""COMPUTED_VALUE"""),"Atkinson III")</f>
        <v>Atkinson III</v>
      </c>
      <c r="E2451" t="str">
        <f>IFERROR(__xludf.DUMMYFUNCTION("""COMPUTED_VALUE"""),"George")</f>
        <v>George</v>
      </c>
      <c r="F2451">
        <f>IFERROR(__xludf.DUMMYFUNCTION("""COMPUTED_VALUE"""),12.600000000000001)</f>
        <v>12.6</v>
      </c>
    </row>
    <row r="2452">
      <c r="D2452" t="str">
        <f>IFERROR(__xludf.DUMMYFUNCTION("""COMPUTED_VALUE"""),"Attaochu")</f>
        <v>Attaochu</v>
      </c>
      <c r="E2452" t="str">
        <f>IFERROR(__xludf.DUMMYFUNCTION("""COMPUTED_VALUE"""),"Jeremiah")</f>
        <v>Jeremiah</v>
      </c>
      <c r="F2452">
        <f>IFERROR(__xludf.DUMMYFUNCTION("""COMPUTED_VALUE"""),16.0)</f>
        <v>16</v>
      </c>
    </row>
    <row r="2453">
      <c r="D2453" t="str">
        <f>IFERROR(__xludf.DUMMYFUNCTION("""COMPUTED_VALUE"""),"Austell")</f>
        <v>Austell</v>
      </c>
      <c r="E2453" t="str">
        <f>IFERROR(__xludf.DUMMYFUNCTION("""COMPUTED_VALUE"""),"Erik")</f>
        <v>Erik</v>
      </c>
      <c r="F2453">
        <f>IFERROR(__xludf.DUMMYFUNCTION("""COMPUTED_VALUE"""),12.0)</f>
        <v>12</v>
      </c>
    </row>
    <row r="2454">
      <c r="D2454" t="str">
        <f>IFERROR(__xludf.DUMMYFUNCTION("""COMPUTED_VALUE"""),"Austin")</f>
        <v>Austin</v>
      </c>
      <c r="E2454" t="str">
        <f>IFERROR(__xludf.DUMMYFUNCTION("""COMPUTED_VALUE"""),"Tavon")</f>
        <v>Tavon</v>
      </c>
      <c r="F2454">
        <f>IFERROR(__xludf.DUMMYFUNCTION("""COMPUTED_VALUE"""),16.2)</f>
        <v>16.2</v>
      </c>
    </row>
    <row r="2455">
      <c r="D2455" t="str">
        <f>IFERROR(__xludf.DUMMYFUNCTION("""COMPUTED_VALUE"""),"Autry")</f>
        <v>Autry</v>
      </c>
      <c r="E2455" t="str">
        <f>IFERROR(__xludf.DUMMYFUNCTION("""COMPUTED_VALUE"""),"Denico")</f>
        <v>Denico</v>
      </c>
      <c r="F2455">
        <f>IFERROR(__xludf.DUMMYFUNCTION("""COMPUTED_VALUE"""),13.0)</f>
        <v>13</v>
      </c>
    </row>
    <row r="2456">
      <c r="D2456" t="str">
        <f>IFERROR(__xludf.DUMMYFUNCTION("""COMPUTED_VALUE"""),"Avril")</f>
        <v>Avril</v>
      </c>
      <c r="E2456" t="str">
        <f>IFERROR(__xludf.DUMMYFUNCTION("""COMPUTED_VALUE"""),"Cliff")</f>
        <v>Cliff</v>
      </c>
      <c r="F2456">
        <f>IFERROR(__xludf.DUMMYFUNCTION("""COMPUTED_VALUE"""),17.2)</f>
        <v>17.2</v>
      </c>
    </row>
    <row r="2457">
      <c r="D2457" t="str">
        <f>IFERROR(__xludf.DUMMYFUNCTION("""COMPUTED_VALUE"""),"Awuzie")</f>
        <v>Awuzie</v>
      </c>
      <c r="E2457" t="str">
        <f>IFERROR(__xludf.DUMMYFUNCTION("""COMPUTED_VALUE"""),"Chidobe")</f>
        <v>Chidobe</v>
      </c>
      <c r="F2457">
        <f>IFERROR(__xludf.DUMMYFUNCTION("""COMPUTED_VALUE"""),15.200000000000001)</f>
        <v>15.2</v>
      </c>
    </row>
    <row r="2458">
      <c r="D2458" t="str">
        <f>IFERROR(__xludf.DUMMYFUNCTION("""COMPUTED_VALUE"""),"Ayers")</f>
        <v>Ayers</v>
      </c>
      <c r="E2458" t="str">
        <f>IFERROR(__xludf.DUMMYFUNCTION("""COMPUTED_VALUE"""),"Akeem")</f>
        <v>Akeem</v>
      </c>
      <c r="F2458">
        <f>IFERROR(__xludf.DUMMYFUNCTION("""COMPUTED_VALUE"""),15.200000000000001)</f>
        <v>15.2</v>
      </c>
    </row>
    <row r="2459">
      <c r="D2459" t="str">
        <f>IFERROR(__xludf.DUMMYFUNCTION("""COMPUTED_VALUE"""),"Ayers")</f>
        <v>Ayers</v>
      </c>
      <c r="E2459" t="str">
        <f>IFERROR(__xludf.DUMMYFUNCTION("""COMPUTED_VALUE"""),"Demarcus")</f>
        <v>Demarcus</v>
      </c>
      <c r="F2459">
        <f>IFERROR(__xludf.DUMMYFUNCTION("""COMPUTED_VALUE"""),12.4)</f>
        <v>12.4</v>
      </c>
    </row>
    <row r="2460">
      <c r="D2460" t="str">
        <f>IFERROR(__xludf.DUMMYFUNCTION("""COMPUTED_VALUE"""),"Ayers Jr")</f>
        <v>Ayers Jr</v>
      </c>
      <c r="E2460" t="str">
        <f>IFERROR(__xludf.DUMMYFUNCTION("""COMPUTED_VALUE"""),"Robert")</f>
        <v>Robert</v>
      </c>
      <c r="F2460">
        <f>IFERROR(__xludf.DUMMYFUNCTION("""COMPUTED_VALUE"""),16.0)</f>
        <v>16</v>
      </c>
    </row>
    <row r="2461">
      <c r="D2461" t="str">
        <f>IFERROR(__xludf.DUMMYFUNCTION("""COMPUTED_VALUE"""),"Bademosi")</f>
        <v>Bademosi</v>
      </c>
      <c r="E2461" t="str">
        <f>IFERROR(__xludf.DUMMYFUNCTION("""COMPUTED_VALUE"""),"Johnson")</f>
        <v>Johnson</v>
      </c>
      <c r="F2461">
        <f>IFERROR(__xludf.DUMMYFUNCTION("""COMPUTED_VALUE"""),13.8)</f>
        <v>13.8</v>
      </c>
    </row>
    <row r="2462">
      <c r="D2462" t="str">
        <f>IFERROR(__xludf.DUMMYFUNCTION("""COMPUTED_VALUE"""),"Bailey")</f>
        <v>Bailey</v>
      </c>
      <c r="E2462" t="str">
        <f>IFERROR(__xludf.DUMMYFUNCTION("""COMPUTED_VALUE"""),"Allen")</f>
        <v>Allen</v>
      </c>
      <c r="F2462">
        <f>IFERROR(__xludf.DUMMYFUNCTION("""COMPUTED_VALUE"""),15.4)</f>
        <v>15.4</v>
      </c>
    </row>
    <row r="2463">
      <c r="D2463" t="str">
        <f>IFERROR(__xludf.DUMMYFUNCTION("""COMPUTED_VALUE"""),"Bailey")</f>
        <v>Bailey</v>
      </c>
      <c r="E2463" t="str">
        <f>IFERROR(__xludf.DUMMYFUNCTION("""COMPUTED_VALUE"""),"Dan")</f>
        <v>Dan</v>
      </c>
      <c r="F2463">
        <f>IFERROR(__xludf.DUMMYFUNCTION("""COMPUTED_VALUE"""),16.8)</f>
        <v>16.8</v>
      </c>
    </row>
    <row r="2464">
      <c r="D2464" t="str">
        <f>IFERROR(__xludf.DUMMYFUNCTION("""COMPUTED_VALUE"""),"Bailey")</f>
        <v>Bailey</v>
      </c>
      <c r="E2464" t="str">
        <f>IFERROR(__xludf.DUMMYFUNCTION("""COMPUTED_VALUE"""),"Sterling")</f>
        <v>Sterling</v>
      </c>
      <c r="F2464">
        <f>IFERROR(__xludf.DUMMYFUNCTION("""COMPUTED_VALUE"""),12.0)</f>
        <v>12</v>
      </c>
    </row>
    <row r="2465">
      <c r="D2465" t="str">
        <f>IFERROR(__xludf.DUMMYFUNCTION("""COMPUTED_VALUE"""),"Baker")</f>
        <v>Baker</v>
      </c>
      <c r="E2465" t="str">
        <f>IFERROR(__xludf.DUMMYFUNCTION("""COMPUTED_VALUE"""),"Budda")</f>
        <v>Budda</v>
      </c>
      <c r="F2465">
        <f>IFERROR(__xludf.DUMMYFUNCTION("""COMPUTED_VALUE"""),14.8)</f>
        <v>14.8</v>
      </c>
    </row>
    <row r="2466">
      <c r="D2466" t="str">
        <f>IFERROR(__xludf.DUMMYFUNCTION("""COMPUTED_VALUE"""),"Baker")</f>
        <v>Baker</v>
      </c>
      <c r="E2466" t="str">
        <f>IFERROR(__xludf.DUMMYFUNCTION("""COMPUTED_VALUE"""),"Chris")</f>
        <v>Chris</v>
      </c>
      <c r="F2466">
        <f>IFERROR(__xludf.DUMMYFUNCTION("""COMPUTED_VALUE"""),16.8)</f>
        <v>16.8</v>
      </c>
    </row>
    <row r="2467">
      <c r="D2467" t="str">
        <f>IFERROR(__xludf.DUMMYFUNCTION("""COMPUTED_VALUE"""),"Bakhtiari")</f>
        <v>Bakhtiari</v>
      </c>
      <c r="E2467" t="str">
        <f>IFERROR(__xludf.DUMMYFUNCTION("""COMPUTED_VALUE"""),"David")</f>
        <v>David</v>
      </c>
      <c r="F2467">
        <f>IFERROR(__xludf.DUMMYFUNCTION("""COMPUTED_VALUE"""),18.2)</f>
        <v>18.2</v>
      </c>
    </row>
    <row r="2468">
      <c r="D2468" t="str">
        <f>IFERROR(__xludf.DUMMYFUNCTION("""COMPUTED_VALUE"""),"Balducci")</f>
        <v>Balducci</v>
      </c>
      <c r="E2468" t="str">
        <f>IFERROR(__xludf.DUMMYFUNCTION("""COMPUTED_VALUE"""),"Alex")</f>
        <v>Alex</v>
      </c>
      <c r="F2468">
        <f>IFERROR(__xludf.DUMMYFUNCTION("""COMPUTED_VALUE"""),12.4)</f>
        <v>12.4</v>
      </c>
    </row>
    <row r="2469">
      <c r="D2469" t="str">
        <f>IFERROR(__xludf.DUMMYFUNCTION("""COMPUTED_VALUE"""),"Baldwin")</f>
        <v>Baldwin</v>
      </c>
      <c r="E2469" t="str">
        <f>IFERROR(__xludf.DUMMYFUNCTION("""COMPUTED_VALUE"""),"Doug")</f>
        <v>Doug</v>
      </c>
      <c r="F2469">
        <f>IFERROR(__xludf.DUMMYFUNCTION("""COMPUTED_VALUE"""),17.8)</f>
        <v>17.8</v>
      </c>
    </row>
    <row r="2470">
      <c r="D2470" t="str">
        <f>IFERROR(__xludf.DUMMYFUNCTION("""COMPUTED_VALUE"""),"Ballentine")</f>
        <v>Ballentine</v>
      </c>
      <c r="E2470" t="str">
        <f>IFERROR(__xludf.DUMMYFUNCTION("""COMPUTED_VALUE"""),"Lonnie")</f>
        <v>Lonnie</v>
      </c>
      <c r="F2470">
        <f>IFERROR(__xludf.DUMMYFUNCTION("""COMPUTED_VALUE"""),13.4)</f>
        <v>13.4</v>
      </c>
    </row>
    <row r="2471">
      <c r="D2471" t="str">
        <f>IFERROR(__xludf.DUMMYFUNCTION("""COMPUTED_VALUE"""),"Banjo")</f>
        <v>Banjo</v>
      </c>
      <c r="E2471" t="str">
        <f>IFERROR(__xludf.DUMMYFUNCTION("""COMPUTED_VALUE"""),"Chris")</f>
        <v>Chris</v>
      </c>
      <c r="F2471">
        <f>IFERROR(__xludf.DUMMYFUNCTION("""COMPUTED_VALUE"""),13.200000000000001)</f>
        <v>13.2</v>
      </c>
    </row>
    <row r="2472">
      <c r="D2472" t="str">
        <f>IFERROR(__xludf.DUMMYFUNCTION("""COMPUTED_VALUE"""),"Banks")</f>
        <v>Banks</v>
      </c>
      <c r="E2472" t="str">
        <f>IFERROR(__xludf.DUMMYFUNCTION("""COMPUTED_VALUE"""),"Johnthan")</f>
        <v>Johnthan</v>
      </c>
      <c r="F2472">
        <f>IFERROR(__xludf.DUMMYFUNCTION("""COMPUTED_VALUE"""),13.4)</f>
        <v>13.4</v>
      </c>
    </row>
    <row r="2473">
      <c r="D2473" t="str">
        <f>IFERROR(__xludf.DUMMYFUNCTION("""COMPUTED_VALUE"""),"Banner")</f>
        <v>Banner</v>
      </c>
      <c r="E2473" t="str">
        <f>IFERROR(__xludf.DUMMYFUNCTION("""COMPUTED_VALUE"""),"Zach")</f>
        <v>Zach</v>
      </c>
      <c r="F2473">
        <f>IFERROR(__xludf.DUMMYFUNCTION("""COMPUTED_VALUE"""),14.200000000000001)</f>
        <v>14.2</v>
      </c>
    </row>
    <row r="2474">
      <c r="D2474" t="str">
        <f>IFERROR(__xludf.DUMMYFUNCTION("""COMPUTED_VALUE"""),"Banyard")</f>
        <v>Banyard</v>
      </c>
      <c r="E2474" t="str">
        <f>IFERROR(__xludf.DUMMYFUNCTION("""COMPUTED_VALUE"""),"Joe")</f>
        <v>Joe</v>
      </c>
      <c r="F2474">
        <f>IFERROR(__xludf.DUMMYFUNCTION("""COMPUTED_VALUE"""),13.8)</f>
        <v>13.8</v>
      </c>
    </row>
    <row r="2475">
      <c r="D2475" t="str">
        <f>IFERROR(__xludf.DUMMYFUNCTION("""COMPUTED_VALUE"""),"Barber")</f>
        <v>Barber</v>
      </c>
      <c r="E2475" t="str">
        <f>IFERROR(__xludf.DUMMYFUNCTION("""COMPUTED_VALUE"""),"Peyton")</f>
        <v>Peyton</v>
      </c>
      <c r="F2475">
        <f>IFERROR(__xludf.DUMMYFUNCTION("""COMPUTED_VALUE"""),12.200000000000001)</f>
        <v>12.2</v>
      </c>
    </row>
    <row r="2476">
      <c r="D2476" t="str">
        <f>IFERROR(__xludf.DUMMYFUNCTION("""COMPUTED_VALUE"""),"Barbre")</f>
        <v>Barbre</v>
      </c>
      <c r="E2476" t="str">
        <f>IFERROR(__xludf.DUMMYFUNCTION("""COMPUTED_VALUE"""),"Allen")</f>
        <v>Allen</v>
      </c>
      <c r="F2476">
        <f>IFERROR(__xludf.DUMMYFUNCTION("""COMPUTED_VALUE"""),16.2)</f>
        <v>16.2</v>
      </c>
    </row>
    <row r="2477">
      <c r="D2477" t="str">
        <f>IFERROR(__xludf.DUMMYFUNCTION("""COMPUTED_VALUE"""),"Barclay")</f>
        <v>Barclay</v>
      </c>
      <c r="E2477" t="str">
        <f>IFERROR(__xludf.DUMMYFUNCTION("""COMPUTED_VALUE"""),"Don")</f>
        <v>Don</v>
      </c>
      <c r="F2477">
        <f>IFERROR(__xludf.DUMMYFUNCTION("""COMPUTED_VALUE"""),13.4)</f>
        <v>13.4</v>
      </c>
    </row>
    <row r="2478">
      <c r="D2478" t="str">
        <f>IFERROR(__xludf.DUMMYFUNCTION("""COMPUTED_VALUE"""),"Barkley")</f>
        <v>Barkley</v>
      </c>
      <c r="E2478" t="str">
        <f>IFERROR(__xludf.DUMMYFUNCTION("""COMPUTED_VALUE"""),"Matt")</f>
        <v>Matt</v>
      </c>
      <c r="F2478">
        <f>IFERROR(__xludf.DUMMYFUNCTION("""COMPUTED_VALUE"""),14.4)</f>
        <v>14.4</v>
      </c>
    </row>
    <row r="2479">
      <c r="D2479" t="str">
        <f>IFERROR(__xludf.DUMMYFUNCTION("""COMPUTED_VALUE"""),"Barksdale")</f>
        <v>Barksdale</v>
      </c>
      <c r="E2479" t="str">
        <f>IFERROR(__xludf.DUMMYFUNCTION("""COMPUTED_VALUE"""),"Joe")</f>
        <v>Joe</v>
      </c>
      <c r="F2479">
        <f>IFERROR(__xludf.DUMMYFUNCTION("""COMPUTED_VALUE"""),14.4)</f>
        <v>14.4</v>
      </c>
    </row>
    <row r="2480">
      <c r="D2480" t="str">
        <f>IFERROR(__xludf.DUMMYFUNCTION("""COMPUTED_VALUE"""),"Barner")</f>
        <v>Barner</v>
      </c>
      <c r="E2480" t="str">
        <f>IFERROR(__xludf.DUMMYFUNCTION("""COMPUTED_VALUE"""),"Kenjon")</f>
        <v>Kenjon</v>
      </c>
      <c r="F2480">
        <f>IFERROR(__xludf.DUMMYFUNCTION("""COMPUTED_VALUE"""),13.8)</f>
        <v>13.8</v>
      </c>
    </row>
    <row r="2481">
      <c r="D2481" t="str">
        <f>IFERROR(__xludf.DUMMYFUNCTION("""COMPUTED_VALUE"""),"Barnes")</f>
        <v>Barnes</v>
      </c>
      <c r="E2481" t="str">
        <f>IFERROR(__xludf.DUMMYFUNCTION("""COMPUTED_VALUE"""),"Adairius")</f>
        <v>Adairius</v>
      </c>
      <c r="F2481">
        <f>IFERROR(__xludf.DUMMYFUNCTION("""COMPUTED_VALUE"""),12.8)</f>
        <v>12.8</v>
      </c>
    </row>
    <row r="2482">
      <c r="D2482" t="str">
        <f>IFERROR(__xludf.DUMMYFUNCTION("""COMPUTED_VALUE"""),"Barnes")</f>
        <v>Barnes</v>
      </c>
      <c r="E2482" t="str">
        <f>IFERROR(__xludf.DUMMYFUNCTION("""COMPUTED_VALUE"""),"Tavaris")</f>
        <v>Tavaris</v>
      </c>
      <c r="F2482">
        <f>IFERROR(__xludf.DUMMYFUNCTION("""COMPUTED_VALUE"""),12.200000000000001)</f>
        <v>12.2</v>
      </c>
    </row>
    <row r="2483">
      <c r="D2483" t="str">
        <f>IFERROR(__xludf.DUMMYFUNCTION("""COMPUTED_VALUE"""),"Barnes")</f>
        <v>Barnes</v>
      </c>
      <c r="E2483" t="str">
        <f>IFERROR(__xludf.DUMMYFUNCTION("""COMPUTED_VALUE"""),"Tim")</f>
        <v>Tim</v>
      </c>
      <c r="F2483">
        <f>IFERROR(__xludf.DUMMYFUNCTION("""COMPUTED_VALUE"""),14.200000000000001)</f>
        <v>14.2</v>
      </c>
    </row>
    <row r="2484">
      <c r="D2484" t="str">
        <f>IFERROR(__xludf.DUMMYFUNCTION("""COMPUTED_VALUE"""),"Barnett")</f>
        <v>Barnett</v>
      </c>
      <c r="E2484" t="str">
        <f>IFERROR(__xludf.DUMMYFUNCTION("""COMPUTED_VALUE"""),"Derek")</f>
        <v>Derek</v>
      </c>
      <c r="F2484">
        <f>IFERROR(__xludf.DUMMYFUNCTION("""COMPUTED_VALUE"""),15.0)</f>
        <v>15</v>
      </c>
    </row>
    <row r="2485">
      <c r="D2485" t="str">
        <f>IFERROR(__xludf.DUMMYFUNCTION("""COMPUTED_VALUE"""),"Barr")</f>
        <v>Barr</v>
      </c>
      <c r="E2485" t="str">
        <f>IFERROR(__xludf.DUMMYFUNCTION("""COMPUTED_VALUE"""),"Anthony")</f>
        <v>Anthony</v>
      </c>
      <c r="F2485">
        <f>IFERROR(__xludf.DUMMYFUNCTION("""COMPUTED_VALUE"""),15.8)</f>
        <v>15.8</v>
      </c>
    </row>
    <row r="2486">
      <c r="D2486" t="str">
        <f>IFERROR(__xludf.DUMMYFUNCTION("""COMPUTED_VALUE"""),"Barrett")</f>
        <v>Barrett</v>
      </c>
      <c r="E2486" t="str">
        <f>IFERROR(__xludf.DUMMYFUNCTION("""COMPUTED_VALUE"""),"Shaquil")</f>
        <v>Shaquil</v>
      </c>
      <c r="F2486">
        <f>IFERROR(__xludf.DUMMYFUNCTION("""COMPUTED_VALUE"""),16.2)</f>
        <v>16.2</v>
      </c>
    </row>
    <row r="2487">
      <c r="D2487" t="str">
        <f>IFERROR(__xludf.DUMMYFUNCTION("""COMPUTED_VALUE"""),"Barron")</f>
        <v>Barron</v>
      </c>
      <c r="E2487" t="str">
        <f>IFERROR(__xludf.DUMMYFUNCTION("""COMPUTED_VALUE"""),"Mark")</f>
        <v>Mark</v>
      </c>
      <c r="F2487">
        <f>IFERROR(__xludf.DUMMYFUNCTION("""COMPUTED_VALUE"""),15.4)</f>
        <v>15.4</v>
      </c>
    </row>
    <row r="2488">
      <c r="D2488" t="str">
        <f>IFERROR(__xludf.DUMMYFUNCTION("""COMPUTED_VALUE"""),"Barrow")</f>
        <v>Barrow</v>
      </c>
      <c r="E2488" t="str">
        <f>IFERROR(__xludf.DUMMYFUNCTION("""COMPUTED_VALUE"""),"Lamin")</f>
        <v>Lamin</v>
      </c>
      <c r="F2488">
        <f>IFERROR(__xludf.DUMMYFUNCTION("""COMPUTED_VALUE"""),12.8)</f>
        <v>12.8</v>
      </c>
    </row>
    <row r="2489">
      <c r="D2489" t="str">
        <f>IFERROR(__xludf.DUMMYFUNCTION("""COMPUTED_VALUE"""),"Barth")</f>
        <v>Barth</v>
      </c>
      <c r="E2489" t="str">
        <f>IFERROR(__xludf.DUMMYFUNCTION("""COMPUTED_VALUE"""),"Connor")</f>
        <v>Connor</v>
      </c>
      <c r="F2489">
        <f>IFERROR(__xludf.DUMMYFUNCTION("""COMPUTED_VALUE"""),15.0)</f>
        <v>15</v>
      </c>
    </row>
    <row r="2490">
      <c r="D2490" t="str">
        <f>IFERROR(__xludf.DUMMYFUNCTION("""COMPUTED_VALUE"""),"Barwin")</f>
        <v>Barwin</v>
      </c>
      <c r="E2490" t="str">
        <f>IFERROR(__xludf.DUMMYFUNCTION("""COMPUTED_VALUE"""),"Connor")</f>
        <v>Connor</v>
      </c>
      <c r="F2490">
        <f>IFERROR(__xludf.DUMMYFUNCTION("""COMPUTED_VALUE"""),15.600000000000001)</f>
        <v>15.6</v>
      </c>
    </row>
    <row r="2491">
      <c r="D2491" t="str">
        <f>IFERROR(__xludf.DUMMYFUNCTION("""COMPUTED_VALUE"""),"Basham")</f>
        <v>Basham</v>
      </c>
      <c r="E2491" t="str">
        <f>IFERROR(__xludf.DUMMYFUNCTION("""COMPUTED_VALUE"""),"Tarell")</f>
        <v>Tarell</v>
      </c>
      <c r="F2491">
        <f>IFERROR(__xludf.DUMMYFUNCTION("""COMPUTED_VALUE"""),14.0)</f>
        <v>14</v>
      </c>
    </row>
    <row r="2492">
      <c r="D2492" t="str">
        <f>IFERROR(__xludf.DUMMYFUNCTION("""COMPUTED_VALUE"""),"Bass")</f>
        <v>Bass</v>
      </c>
      <c r="E2492" t="str">
        <f>IFERROR(__xludf.DUMMYFUNCTION("""COMPUTED_VALUE"""),"David")</f>
        <v>David</v>
      </c>
      <c r="F2492">
        <f>IFERROR(__xludf.DUMMYFUNCTION("""COMPUTED_VALUE"""),13.200000000000001)</f>
        <v>13.2</v>
      </c>
    </row>
    <row r="2493">
      <c r="D2493" t="str">
        <f>IFERROR(__xludf.DUMMYFUNCTION("""COMPUTED_VALUE"""),"Bates")</f>
        <v>Bates</v>
      </c>
      <c r="E2493" t="str">
        <f>IFERROR(__xludf.DUMMYFUNCTION("""COMPUTED_VALUE"""),"Daren")</f>
        <v>Daren</v>
      </c>
      <c r="F2493">
        <f>IFERROR(__xludf.DUMMYFUNCTION("""COMPUTED_VALUE"""),12.4)</f>
        <v>12.4</v>
      </c>
    </row>
    <row r="2494">
      <c r="D2494" t="str">
        <f>IFERROR(__xludf.DUMMYFUNCTION("""COMPUTED_VALUE"""),"Bates")</f>
        <v>Bates</v>
      </c>
      <c r="E2494" t="str">
        <f>IFERROR(__xludf.DUMMYFUNCTION("""COMPUTED_VALUE"""),"Houston")</f>
        <v>Houston</v>
      </c>
      <c r="F2494">
        <f>IFERROR(__xludf.DUMMYFUNCTION("""COMPUTED_VALUE"""),12.0)</f>
        <v>12</v>
      </c>
    </row>
    <row r="2495">
      <c r="D2495" t="str">
        <f>IFERROR(__xludf.DUMMYFUNCTION("""COMPUTED_VALUE"""),"Bates")</f>
        <v>Bates</v>
      </c>
      <c r="E2495" t="str">
        <f>IFERROR(__xludf.DUMMYFUNCTION("""COMPUTED_VALUE"""),"Trevor")</f>
        <v>Trevor</v>
      </c>
      <c r="F2495">
        <f>IFERROR(__xludf.DUMMYFUNCTION("""COMPUTED_VALUE"""),11.4)</f>
        <v>11.4</v>
      </c>
    </row>
    <row r="2496">
      <c r="D2496" t="str">
        <f>IFERROR(__xludf.DUMMYFUNCTION("""COMPUTED_VALUE"""),"Battle")</f>
        <v>Battle</v>
      </c>
      <c r="E2496" t="str">
        <f>IFERROR(__xludf.DUMMYFUNCTION("""COMPUTED_VALUE"""),"Isaiah")</f>
        <v>Isaiah</v>
      </c>
      <c r="F2496">
        <f>IFERROR(__xludf.DUMMYFUNCTION("""COMPUTED_VALUE"""),13.4)</f>
        <v>13.4</v>
      </c>
    </row>
    <row r="2497">
      <c r="D2497" t="str">
        <f>IFERROR(__xludf.DUMMYFUNCTION("""COMPUTED_VALUE"""),"Bausby")</f>
        <v>Bausby</v>
      </c>
      <c r="E2497" t="str">
        <f>IFERROR(__xludf.DUMMYFUNCTION("""COMPUTED_VALUE"""),"DeVante")</f>
        <v>DeVante</v>
      </c>
      <c r="F2497">
        <f>IFERROR(__xludf.DUMMYFUNCTION("""COMPUTED_VALUE"""),12.8)</f>
        <v>12.8</v>
      </c>
    </row>
    <row r="2498">
      <c r="D2498" t="str">
        <f>IFERROR(__xludf.DUMMYFUNCTION("""COMPUTED_VALUE"""),"Beachum")</f>
        <v>Beachum</v>
      </c>
      <c r="E2498" t="str">
        <f>IFERROR(__xludf.DUMMYFUNCTION("""COMPUTED_VALUE"""),"Kelvin")</f>
        <v>Kelvin</v>
      </c>
      <c r="F2498">
        <f>IFERROR(__xludf.DUMMYFUNCTION("""COMPUTED_VALUE"""),15.0)</f>
        <v>15</v>
      </c>
    </row>
    <row r="2499">
      <c r="D2499" t="str">
        <f>IFERROR(__xludf.DUMMYFUNCTION("""COMPUTED_VALUE"""),"Beadles")</f>
        <v>Beadles</v>
      </c>
      <c r="E2499" t="str">
        <f>IFERROR(__xludf.DUMMYFUNCTION("""COMPUTED_VALUE"""),"Zane")</f>
        <v>Zane</v>
      </c>
      <c r="F2499">
        <f>IFERROR(__xludf.DUMMYFUNCTION("""COMPUTED_VALUE"""),14.0)</f>
        <v>14</v>
      </c>
    </row>
    <row r="2500">
      <c r="D2500" t="str">
        <f>IFERROR(__xludf.DUMMYFUNCTION("""COMPUTED_VALUE"""),"Beasley")</f>
        <v>Beasley</v>
      </c>
      <c r="E2500" t="str">
        <f>IFERROR(__xludf.DUMMYFUNCTION("""COMPUTED_VALUE"""),"Cole")</f>
        <v>Cole</v>
      </c>
      <c r="F2500">
        <f>IFERROR(__xludf.DUMMYFUNCTION("""COMPUTED_VALUE"""),16.2)</f>
        <v>16.2</v>
      </c>
    </row>
    <row r="2501">
      <c r="D2501" t="str">
        <f>IFERROR(__xludf.DUMMYFUNCTION("""COMPUTED_VALUE"""),"Beasley Jr")</f>
        <v>Beasley Jr</v>
      </c>
      <c r="E2501" t="str">
        <f>IFERROR(__xludf.DUMMYFUNCTION("""COMPUTED_VALUE"""),"Vic")</f>
        <v>Vic</v>
      </c>
      <c r="F2501">
        <f>IFERROR(__xludf.DUMMYFUNCTION("""COMPUTED_VALUE"""),16.6)</f>
        <v>16.6</v>
      </c>
    </row>
    <row r="2502">
      <c r="D2502" t="str">
        <f>IFERROR(__xludf.DUMMYFUNCTION("""COMPUTED_VALUE"""),"Beathard")</f>
        <v>Beathard</v>
      </c>
      <c r="E2502" t="str">
        <f>IFERROR(__xludf.DUMMYFUNCTION("""COMPUTED_VALUE"""),"CJ")</f>
        <v>CJ</v>
      </c>
      <c r="F2502">
        <f>IFERROR(__xludf.DUMMYFUNCTION("""COMPUTED_VALUE"""),14.4)</f>
        <v>14.4</v>
      </c>
    </row>
    <row r="2503">
      <c r="D2503" t="str">
        <f>IFERROR(__xludf.DUMMYFUNCTION("""COMPUTED_VALUE"""),"Beavers")</f>
        <v>Beavers</v>
      </c>
      <c r="E2503" t="str">
        <f>IFERROR(__xludf.DUMMYFUNCTION("""COMPUTED_VALUE"""),"Willie")</f>
        <v>Willie</v>
      </c>
      <c r="F2503">
        <f>IFERROR(__xludf.DUMMYFUNCTION("""COMPUTED_VALUE"""),13.8)</f>
        <v>13.8</v>
      </c>
    </row>
    <row r="2504">
      <c r="D2504" t="str">
        <f>IFERROR(__xludf.DUMMYFUNCTION("""COMPUTED_VALUE"""),"Beckham Jr")</f>
        <v>Beckham Jr</v>
      </c>
      <c r="E2504" t="str">
        <f>IFERROR(__xludf.DUMMYFUNCTION("""COMPUTED_VALUE"""),"Odell")</f>
        <v>Odell</v>
      </c>
      <c r="F2504">
        <f>IFERROR(__xludf.DUMMYFUNCTION("""COMPUTED_VALUE"""),18.6)</f>
        <v>18.6</v>
      </c>
    </row>
    <row r="2505">
      <c r="D2505" t="str">
        <f>IFERROR(__xludf.DUMMYFUNCTION("""COMPUTED_VALUE"""),"Beckwith")</f>
        <v>Beckwith</v>
      </c>
      <c r="E2505" t="str">
        <f>IFERROR(__xludf.DUMMYFUNCTION("""COMPUTED_VALUE"""),"Kendell")</f>
        <v>Kendell</v>
      </c>
      <c r="F2505">
        <f>IFERROR(__xludf.DUMMYFUNCTION("""COMPUTED_VALUE"""),13.8)</f>
        <v>13.8</v>
      </c>
    </row>
    <row r="2506">
      <c r="D2506" t="str">
        <f>IFERROR(__xludf.DUMMYFUNCTION("""COMPUTED_VALUE"""),"Bell")</f>
        <v>Bell</v>
      </c>
      <c r="E2506" t="str">
        <f>IFERROR(__xludf.DUMMYFUNCTION("""COMPUTED_VALUE"""),"Blake")</f>
        <v>Blake</v>
      </c>
      <c r="F2506">
        <f>IFERROR(__xludf.DUMMYFUNCTION("""COMPUTED_VALUE"""),13.0)</f>
        <v>13</v>
      </c>
    </row>
    <row r="2507">
      <c r="D2507" t="str">
        <f>IFERROR(__xludf.DUMMYFUNCTION("""COMPUTED_VALUE"""),"Bell")</f>
        <v>Bell</v>
      </c>
      <c r="E2507" t="str">
        <f>IFERROR(__xludf.DUMMYFUNCTION("""COMPUTED_VALUE"""),"Byron")</f>
        <v>Byron</v>
      </c>
      <c r="F2507">
        <f>IFERROR(__xludf.DUMMYFUNCTION("""COMPUTED_VALUE"""),14.200000000000001)</f>
        <v>14.2</v>
      </c>
    </row>
    <row r="2508">
      <c r="D2508" t="str">
        <f>IFERROR(__xludf.DUMMYFUNCTION("""COMPUTED_VALUE"""),"Bell")</f>
        <v>Bell</v>
      </c>
      <c r="E2508" t="str">
        <f>IFERROR(__xludf.DUMMYFUNCTION("""COMPUTED_VALUE"""),"Kenny")</f>
        <v>Kenny</v>
      </c>
      <c r="F2508">
        <f>IFERROR(__xludf.DUMMYFUNCTION("""COMPUTED_VALUE"""),12.600000000000001)</f>
        <v>12.6</v>
      </c>
    </row>
    <row r="2509">
      <c r="D2509" t="str">
        <f>IFERROR(__xludf.DUMMYFUNCTION("""COMPUTED_VALUE"""),"Bell")</f>
        <v>Bell</v>
      </c>
      <c r="E2509" t="str">
        <f>IFERROR(__xludf.DUMMYFUNCTION("""COMPUTED_VALUE"""),"LeVeon")</f>
        <v>LeVeon</v>
      </c>
      <c r="F2509">
        <f>IFERROR(__xludf.DUMMYFUNCTION("""COMPUTED_VALUE"""),19.400000000000002)</f>
        <v>19.4</v>
      </c>
    </row>
    <row r="2510">
      <c r="D2510" t="str">
        <f>IFERROR(__xludf.DUMMYFUNCTION("""COMPUTED_VALUE"""),"Bell")</f>
        <v>Bell</v>
      </c>
      <c r="E2510" t="str">
        <f>IFERROR(__xludf.DUMMYFUNCTION("""COMPUTED_VALUE"""),"Vonn")</f>
        <v>Vonn</v>
      </c>
      <c r="F2510">
        <f>IFERROR(__xludf.DUMMYFUNCTION("""COMPUTED_VALUE"""),14.8)</f>
        <v>14.8</v>
      </c>
    </row>
    <row r="2511">
      <c r="D2511" t="str">
        <f>IFERROR(__xludf.DUMMYFUNCTION("""COMPUTED_VALUE"""),"Bellamy")</f>
        <v>Bellamy</v>
      </c>
      <c r="E2511" t="str">
        <f>IFERROR(__xludf.DUMMYFUNCTION("""COMPUTED_VALUE"""),"Joshua")</f>
        <v>Joshua</v>
      </c>
      <c r="F2511">
        <f>IFERROR(__xludf.DUMMYFUNCTION("""COMPUTED_VALUE"""),14.0)</f>
        <v>14</v>
      </c>
    </row>
    <row r="2512">
      <c r="D2512" t="str">
        <f>IFERROR(__xludf.DUMMYFUNCTION("""COMPUTED_VALUE"""),"Bellore")</f>
        <v>Bellore</v>
      </c>
      <c r="E2512" t="str">
        <f>IFERROR(__xludf.DUMMYFUNCTION("""COMPUTED_VALUE"""),"Nick")</f>
        <v>Nick</v>
      </c>
      <c r="F2512">
        <f>IFERROR(__xludf.DUMMYFUNCTION("""COMPUTED_VALUE"""),13.8)</f>
        <v>13.8</v>
      </c>
    </row>
    <row r="2513">
      <c r="D2513" t="str">
        <f>IFERROR(__xludf.DUMMYFUNCTION("""COMPUTED_VALUE"""),"Benenoch")</f>
        <v>Benenoch</v>
      </c>
      <c r="E2513" t="str">
        <f>IFERROR(__xludf.DUMMYFUNCTION("""COMPUTED_VALUE"""),"Caleb")</f>
        <v>Caleb</v>
      </c>
      <c r="F2513">
        <f>IFERROR(__xludf.DUMMYFUNCTION("""COMPUTED_VALUE"""),13.200000000000001)</f>
        <v>13.2</v>
      </c>
    </row>
    <row r="2514">
      <c r="D2514" t="str">
        <f>IFERROR(__xludf.DUMMYFUNCTION("""COMPUTED_VALUE"""),"Benjamin")</f>
        <v>Benjamin</v>
      </c>
      <c r="E2514" t="str">
        <f>IFERROR(__xludf.DUMMYFUNCTION("""COMPUTED_VALUE"""),"Kelvin")</f>
        <v>Kelvin</v>
      </c>
      <c r="F2514">
        <f>IFERROR(__xludf.DUMMYFUNCTION("""COMPUTED_VALUE"""),17.0)</f>
        <v>17</v>
      </c>
    </row>
    <row r="2515">
      <c r="D2515" t="str">
        <f>IFERROR(__xludf.DUMMYFUNCTION("""COMPUTED_VALUE"""),"Benjamin")</f>
        <v>Benjamin</v>
      </c>
      <c r="E2515" t="str">
        <f>IFERROR(__xludf.DUMMYFUNCTION("""COMPUTED_VALUE"""),"Travis")</f>
        <v>Travis</v>
      </c>
      <c r="F2515">
        <f>IFERROR(__xludf.DUMMYFUNCTION("""COMPUTED_VALUE"""),16.0)</f>
        <v>16</v>
      </c>
    </row>
    <row r="2516">
      <c r="D2516" t="str">
        <f>IFERROR(__xludf.DUMMYFUNCTION("""COMPUTED_VALUE"""),"Benn")</f>
        <v>Benn</v>
      </c>
      <c r="E2516" t="str">
        <f>IFERROR(__xludf.DUMMYFUNCTION("""COMPUTED_VALUE"""),"Arrelious")</f>
        <v>Arrelious</v>
      </c>
      <c r="F2516">
        <f>IFERROR(__xludf.DUMMYFUNCTION("""COMPUTED_VALUE"""),14.0)</f>
        <v>14</v>
      </c>
    </row>
    <row r="2517">
      <c r="D2517" t="str">
        <f>IFERROR(__xludf.DUMMYFUNCTION("""COMPUTED_VALUE"""),"Bennett")</f>
        <v>Bennett</v>
      </c>
      <c r="E2517" t="str">
        <f>IFERROR(__xludf.DUMMYFUNCTION("""COMPUTED_VALUE"""),"Martellus")</f>
        <v>Martellus</v>
      </c>
      <c r="F2517">
        <f>IFERROR(__xludf.DUMMYFUNCTION("""COMPUTED_VALUE"""),17.8)</f>
        <v>17.8</v>
      </c>
    </row>
    <row r="2518">
      <c r="D2518" t="str">
        <f>IFERROR(__xludf.DUMMYFUNCTION("""COMPUTED_VALUE"""),"Bennett")</f>
        <v>Bennett</v>
      </c>
      <c r="E2518" t="str">
        <f>IFERROR(__xludf.DUMMYFUNCTION("""COMPUTED_VALUE"""),"Michael")</f>
        <v>Michael</v>
      </c>
      <c r="F2518">
        <f>IFERROR(__xludf.DUMMYFUNCTION("""COMPUTED_VALUE"""),13.4)</f>
        <v>13.4</v>
      </c>
    </row>
    <row r="2519">
      <c r="D2519" t="str">
        <f>IFERROR(__xludf.DUMMYFUNCTION("""COMPUTED_VALUE"""),"Bennett")</f>
        <v>Bennett</v>
      </c>
      <c r="E2519" t="str">
        <f>IFERROR(__xludf.DUMMYFUNCTION("""COMPUTED_VALUE"""),"Michael")</f>
        <v>Michael</v>
      </c>
      <c r="F2519">
        <f>IFERROR(__xludf.DUMMYFUNCTION("""COMPUTED_VALUE"""),18.0)</f>
        <v>18</v>
      </c>
    </row>
    <row r="2520">
      <c r="D2520" t="str">
        <f>IFERROR(__xludf.DUMMYFUNCTION("""COMPUTED_VALUE"""),"Benwikere")</f>
        <v>Benwikere</v>
      </c>
      <c r="E2520" t="str">
        <f>IFERROR(__xludf.DUMMYFUNCTION("""COMPUTED_VALUE"""),"Bene")</f>
        <v>Bene</v>
      </c>
      <c r="F2520">
        <f>IFERROR(__xludf.DUMMYFUNCTION("""COMPUTED_VALUE"""),13.8)</f>
        <v>13.8</v>
      </c>
    </row>
    <row r="2521">
      <c r="D2521" t="str">
        <f>IFERROR(__xludf.DUMMYFUNCTION("""COMPUTED_VALUE"""),"Bercovici")</f>
        <v>Bercovici</v>
      </c>
      <c r="E2521" t="str">
        <f>IFERROR(__xludf.DUMMYFUNCTION("""COMPUTED_VALUE"""),"Mike")</f>
        <v>Mike</v>
      </c>
      <c r="F2521">
        <f>IFERROR(__xludf.DUMMYFUNCTION("""COMPUTED_VALUE"""),12.200000000000001)</f>
        <v>12.2</v>
      </c>
    </row>
    <row r="2522">
      <c r="D2522" t="str">
        <f>IFERROR(__xludf.DUMMYFUNCTION("""COMPUTED_VALUE"""),"Berger")</f>
        <v>Berger</v>
      </c>
      <c r="E2522" t="str">
        <f>IFERROR(__xludf.DUMMYFUNCTION("""COMPUTED_VALUE"""),"Joe")</f>
        <v>Joe</v>
      </c>
      <c r="F2522">
        <f>IFERROR(__xludf.DUMMYFUNCTION("""COMPUTED_VALUE"""),16.6)</f>
        <v>16.6</v>
      </c>
    </row>
    <row r="2523">
      <c r="D2523" t="str">
        <f>IFERROR(__xludf.DUMMYFUNCTION("""COMPUTED_VALUE"""),"Bergstrom")</f>
        <v>Bergstrom</v>
      </c>
      <c r="E2523" t="str">
        <f>IFERROR(__xludf.DUMMYFUNCTION("""COMPUTED_VALUE"""),"Tony")</f>
        <v>Tony</v>
      </c>
      <c r="F2523">
        <f>IFERROR(__xludf.DUMMYFUNCTION("""COMPUTED_VALUE"""),13.600000000000001)</f>
        <v>13.6</v>
      </c>
    </row>
    <row r="2524">
      <c r="D2524" t="str">
        <f>IFERROR(__xludf.DUMMYFUNCTION("""COMPUTED_VALUE"""),"Berhe")</f>
        <v>Berhe</v>
      </c>
      <c r="E2524" t="str">
        <f>IFERROR(__xludf.DUMMYFUNCTION("""COMPUTED_VALUE"""),"Nat")</f>
        <v>Nat</v>
      </c>
      <c r="F2524">
        <f>IFERROR(__xludf.DUMMYFUNCTION("""COMPUTED_VALUE"""),13.0)</f>
        <v>13</v>
      </c>
    </row>
    <row r="2525">
      <c r="D2525" t="str">
        <f>IFERROR(__xludf.DUMMYFUNCTION("""COMPUTED_VALUE"""),"Bernard")</f>
        <v>Bernard</v>
      </c>
      <c r="E2525" t="str">
        <f>IFERROR(__xludf.DUMMYFUNCTION("""COMPUTED_VALUE"""),"Giovani")</f>
        <v>Giovani</v>
      </c>
      <c r="F2525">
        <f>IFERROR(__xludf.DUMMYFUNCTION("""COMPUTED_VALUE"""),17.2)</f>
        <v>17.2</v>
      </c>
    </row>
    <row r="2526">
      <c r="D2526" t="str">
        <f>IFERROR(__xludf.DUMMYFUNCTION("""COMPUTED_VALUE"""),"Berry")</f>
        <v>Berry</v>
      </c>
      <c r="E2526" t="str">
        <f>IFERROR(__xludf.DUMMYFUNCTION("""COMPUTED_VALUE"""),"Eric")</f>
        <v>Eric</v>
      </c>
      <c r="F2526">
        <f>IFERROR(__xludf.DUMMYFUNCTION("""COMPUTED_VALUE"""),18.8)</f>
        <v>18.8</v>
      </c>
    </row>
    <row r="2527">
      <c r="D2527" t="str">
        <f>IFERROR(__xludf.DUMMYFUNCTION("""COMPUTED_VALUE"""),"Berry")</f>
        <v>Berry</v>
      </c>
      <c r="E2527" t="str">
        <f>IFERROR(__xludf.DUMMYFUNCTION("""COMPUTED_VALUE"""),"Jordan")</f>
        <v>Jordan</v>
      </c>
      <c r="F2527">
        <f>IFERROR(__xludf.DUMMYFUNCTION("""COMPUTED_VALUE"""),15.600000000000001)</f>
        <v>15.6</v>
      </c>
    </row>
    <row r="2528">
      <c r="D2528" t="str">
        <f>IFERROR(__xludf.DUMMYFUNCTION("""COMPUTED_VALUE"""),"Bersin")</f>
        <v>Bersin</v>
      </c>
      <c r="E2528" t="str">
        <f>IFERROR(__xludf.DUMMYFUNCTION("""COMPUTED_VALUE"""),"Brenton")</f>
        <v>Brenton</v>
      </c>
      <c r="F2528">
        <f>IFERROR(__xludf.DUMMYFUNCTION("""COMPUTED_VALUE"""),13.8)</f>
        <v>13.8</v>
      </c>
    </row>
    <row r="2529">
      <c r="D2529" t="str">
        <f>IFERROR(__xludf.DUMMYFUNCTION("""COMPUTED_VALUE"""),"Bethea")</f>
        <v>Bethea</v>
      </c>
      <c r="E2529" t="str">
        <f>IFERROR(__xludf.DUMMYFUNCTION("""COMPUTED_VALUE"""),"Antoine")</f>
        <v>Antoine</v>
      </c>
      <c r="F2529">
        <f>IFERROR(__xludf.DUMMYFUNCTION("""COMPUTED_VALUE"""),15.0)</f>
        <v>15</v>
      </c>
    </row>
    <row r="2530">
      <c r="D2530" t="str">
        <f>IFERROR(__xludf.DUMMYFUNCTION("""COMPUTED_VALUE"""),"Bethel")</f>
        <v>Bethel</v>
      </c>
      <c r="E2530" t="str">
        <f>IFERROR(__xludf.DUMMYFUNCTION("""COMPUTED_VALUE"""),"Justin")</f>
        <v>Justin</v>
      </c>
      <c r="F2530">
        <f>IFERROR(__xludf.DUMMYFUNCTION("""COMPUTED_VALUE"""),14.4)</f>
        <v>14.4</v>
      </c>
    </row>
    <row r="2531">
      <c r="D2531" t="str">
        <f>IFERROR(__xludf.DUMMYFUNCTION("""COMPUTED_VALUE"""),"Bibbs")</f>
        <v>Bibbs</v>
      </c>
      <c r="E2531" t="str">
        <f>IFERROR(__xludf.DUMMYFUNCTION("""COMPUTED_VALUE"""),"Kapri")</f>
        <v>Kapri</v>
      </c>
      <c r="F2531">
        <f>IFERROR(__xludf.DUMMYFUNCTION("""COMPUTED_VALUE"""),13.600000000000001)</f>
        <v>13.6</v>
      </c>
    </row>
    <row r="2532">
      <c r="D2532" t="str">
        <f>IFERROR(__xludf.DUMMYFUNCTION("""COMPUTED_VALUE"""),"Biegel")</f>
        <v>Biegel</v>
      </c>
      <c r="E2532" t="str">
        <f>IFERROR(__xludf.DUMMYFUNCTION("""COMPUTED_VALUE"""),"Vince")</f>
        <v>Vince</v>
      </c>
      <c r="F2532">
        <f>IFERROR(__xludf.DUMMYFUNCTION("""COMPUTED_VALUE"""),13.600000000000001)</f>
        <v>13.6</v>
      </c>
    </row>
    <row r="2533">
      <c r="D2533" t="str">
        <f>IFERROR(__xludf.DUMMYFUNCTION("""COMPUTED_VALUE"""),"Billings")</f>
        <v>Billings</v>
      </c>
      <c r="E2533" t="str">
        <f>IFERROR(__xludf.DUMMYFUNCTION("""COMPUTED_VALUE"""),"Andrew")</f>
        <v>Andrew</v>
      </c>
      <c r="F2533">
        <f>IFERROR(__xludf.DUMMYFUNCTION("""COMPUTED_VALUE"""),13.600000000000001)</f>
        <v>13.6</v>
      </c>
    </row>
    <row r="2534">
      <c r="D2534" t="str">
        <f>IFERROR(__xludf.DUMMYFUNCTION("""COMPUTED_VALUE"""),"Billingsley")</f>
        <v>Billingsley</v>
      </c>
      <c r="E2534" t="str">
        <f>IFERROR(__xludf.DUMMYFUNCTION("""COMPUTED_VALUE"""),"Jace")</f>
        <v>Jace</v>
      </c>
      <c r="F2534">
        <f>IFERROR(__xludf.DUMMYFUNCTION("""COMPUTED_VALUE"""),12.8)</f>
        <v>12.8</v>
      </c>
    </row>
    <row r="2535">
      <c r="D2535" t="str">
        <f>IFERROR(__xludf.DUMMYFUNCTION("""COMPUTED_VALUE"""),"Bishop")</f>
        <v>Bishop</v>
      </c>
      <c r="E2535" t="str">
        <f>IFERROR(__xludf.DUMMYFUNCTION("""COMPUTED_VALUE"""),"Freddie")</f>
        <v>Freddie</v>
      </c>
      <c r="F2535">
        <f>IFERROR(__xludf.DUMMYFUNCTION("""COMPUTED_VALUE"""),11.8)</f>
        <v>11.8</v>
      </c>
    </row>
    <row r="2536">
      <c r="D2536" t="str">
        <f>IFERROR(__xludf.DUMMYFUNCTION("""COMPUTED_VALUE"""),"Bisnowaty")</f>
        <v>Bisnowaty</v>
      </c>
      <c r="E2536" t="str">
        <f>IFERROR(__xludf.DUMMYFUNCTION("""COMPUTED_VALUE"""),"Adam")</f>
        <v>Adam</v>
      </c>
      <c r="F2536">
        <f>IFERROR(__xludf.DUMMYFUNCTION("""COMPUTED_VALUE"""),13.0)</f>
        <v>13</v>
      </c>
    </row>
    <row r="2537">
      <c r="D2537" t="str">
        <f>IFERROR(__xludf.DUMMYFUNCTION("""COMPUTED_VALUE"""),"Bitonio")</f>
        <v>Bitonio</v>
      </c>
      <c r="E2537" t="str">
        <f>IFERROR(__xludf.DUMMYFUNCTION("""COMPUTED_VALUE"""),"Joel")</f>
        <v>Joel</v>
      </c>
      <c r="F2537">
        <f>IFERROR(__xludf.DUMMYFUNCTION("""COMPUTED_VALUE"""),16.8)</f>
        <v>16.8</v>
      </c>
    </row>
    <row r="2538">
      <c r="D2538" t="str">
        <f>IFERROR(__xludf.DUMMYFUNCTION("""COMPUTED_VALUE"""),"Blackmon")</f>
        <v>Blackmon</v>
      </c>
      <c r="E2538" t="str">
        <f>IFERROR(__xludf.DUMMYFUNCTION("""COMPUTED_VALUE"""),"Will")</f>
        <v>Will</v>
      </c>
      <c r="F2538">
        <f>IFERROR(__xludf.DUMMYFUNCTION("""COMPUTED_VALUE"""),15.4)</f>
        <v>15.4</v>
      </c>
    </row>
    <row r="2539">
      <c r="D2539" t="str">
        <f>IFERROR(__xludf.DUMMYFUNCTION("""COMPUTED_VALUE"""),"Blackson")</f>
        <v>Blackson</v>
      </c>
      <c r="E2539" t="str">
        <f>IFERROR(__xludf.DUMMYFUNCTION("""COMPUTED_VALUE"""),"Angelo")</f>
        <v>Angelo</v>
      </c>
      <c r="F2539">
        <f>IFERROR(__xludf.DUMMYFUNCTION("""COMPUTED_VALUE"""),12.600000000000001)</f>
        <v>12.6</v>
      </c>
    </row>
    <row r="2540">
      <c r="D2540" t="str">
        <f>IFERROR(__xludf.DUMMYFUNCTION("""COMPUTED_VALUE"""),"Blair III")</f>
        <v>Blair III</v>
      </c>
      <c r="E2540" t="str">
        <f>IFERROR(__xludf.DUMMYFUNCTION("""COMPUTED_VALUE"""),"Ronald")</f>
        <v>Ronald</v>
      </c>
      <c r="F2540">
        <f>IFERROR(__xludf.DUMMYFUNCTION("""COMPUTED_VALUE"""),13.4)</f>
        <v>13.4</v>
      </c>
    </row>
    <row r="2541">
      <c r="D2541" t="str">
        <f>IFERROR(__xludf.DUMMYFUNCTION("""COMPUTED_VALUE"""),"Blake")</f>
        <v>Blake</v>
      </c>
      <c r="E2541" t="str">
        <f>IFERROR(__xludf.DUMMYFUNCTION("""COMPUTED_VALUE"""),"Valentino")</f>
        <v>Valentino</v>
      </c>
      <c r="F2541">
        <f>IFERROR(__xludf.DUMMYFUNCTION("""COMPUTED_VALUE"""),14.4)</f>
        <v>14.4</v>
      </c>
    </row>
    <row r="2542">
      <c r="D2542" t="str">
        <f>IFERROR(__xludf.DUMMYFUNCTION("""COMPUTED_VALUE"""),"Blanton")</f>
        <v>Blanton</v>
      </c>
      <c r="E2542" t="str">
        <f>IFERROR(__xludf.DUMMYFUNCTION("""COMPUTED_VALUE"""),"Robert")</f>
        <v>Robert</v>
      </c>
      <c r="F2542">
        <f>IFERROR(__xludf.DUMMYFUNCTION("""COMPUTED_VALUE"""),14.4)</f>
        <v>14.4</v>
      </c>
    </row>
    <row r="2543">
      <c r="D2543" t="str">
        <f>IFERROR(__xludf.DUMMYFUNCTION("""COMPUTED_VALUE"""),"Blount")</f>
        <v>Blount</v>
      </c>
      <c r="E2543" t="str">
        <f>IFERROR(__xludf.DUMMYFUNCTION("""COMPUTED_VALUE"""),"LeGarrette")</f>
        <v>LeGarrette</v>
      </c>
      <c r="F2543">
        <f>IFERROR(__xludf.DUMMYFUNCTION("""COMPUTED_VALUE"""),17.0)</f>
        <v>17</v>
      </c>
    </row>
    <row r="2544">
      <c r="D2544" t="str">
        <f>IFERROR(__xludf.DUMMYFUNCTION("""COMPUTED_VALUE"""),"Blue")</f>
        <v>Blue</v>
      </c>
      <c r="E2544" t="str">
        <f>IFERROR(__xludf.DUMMYFUNCTION("""COMPUTED_VALUE"""),"Alfred")</f>
        <v>Alfred</v>
      </c>
      <c r="F2544">
        <f>IFERROR(__xludf.DUMMYFUNCTION("""COMPUTED_VALUE"""),15.0)</f>
        <v>15</v>
      </c>
    </row>
    <row r="2545">
      <c r="D2545" t="str">
        <f>IFERROR(__xludf.DUMMYFUNCTION("""COMPUTED_VALUE"""),"Blythe")</f>
        <v>Blythe</v>
      </c>
      <c r="E2545" t="str">
        <f>IFERROR(__xludf.DUMMYFUNCTION("""COMPUTED_VALUE"""),"Austin")</f>
        <v>Austin</v>
      </c>
      <c r="F2545">
        <f>IFERROR(__xludf.DUMMYFUNCTION("""COMPUTED_VALUE"""),12.4)</f>
        <v>12.4</v>
      </c>
    </row>
    <row r="2546">
      <c r="D2546" t="str">
        <f>IFERROR(__xludf.DUMMYFUNCTION("""COMPUTED_VALUE"""),"Boddy-Calhoun")</f>
        <v>Boddy-Calhoun</v>
      </c>
      <c r="E2546" t="str">
        <f>IFERROR(__xludf.DUMMYFUNCTION("""COMPUTED_VALUE"""),"Briean")</f>
        <v>Briean</v>
      </c>
      <c r="F2546">
        <f>IFERROR(__xludf.DUMMYFUNCTION("""COMPUTED_VALUE"""),14.200000000000001)</f>
        <v>14.2</v>
      </c>
    </row>
    <row r="2547">
      <c r="D2547" t="str">
        <f>IFERROR(__xludf.DUMMYFUNCTION("""COMPUTED_VALUE"""),"Bodine")</f>
        <v>Bodine</v>
      </c>
      <c r="E2547" t="str">
        <f>IFERROR(__xludf.DUMMYFUNCTION("""COMPUTED_VALUE"""),"Russell")</f>
        <v>Russell</v>
      </c>
      <c r="F2547">
        <f>IFERROR(__xludf.DUMMYFUNCTION("""COMPUTED_VALUE"""),15.600000000000001)</f>
        <v>15.6</v>
      </c>
    </row>
    <row r="2548">
      <c r="D2548" t="str">
        <f>IFERROR(__xludf.DUMMYFUNCTION("""COMPUTED_VALUE"""),"Boehm")</f>
        <v>Boehm</v>
      </c>
      <c r="E2548" t="str">
        <f>IFERROR(__xludf.DUMMYFUNCTION("""COMPUTED_VALUE"""),"Evan")</f>
        <v>Evan</v>
      </c>
      <c r="F2548">
        <f>IFERROR(__xludf.DUMMYFUNCTION("""COMPUTED_VALUE"""),13.600000000000001)</f>
        <v>13.6</v>
      </c>
    </row>
    <row r="2549">
      <c r="D2549" t="str">
        <f>IFERROR(__xludf.DUMMYFUNCTION("""COMPUTED_VALUE"""),"Boehringer")</f>
        <v>Boehringer</v>
      </c>
      <c r="E2549" t="str">
        <f>IFERROR(__xludf.DUMMYFUNCTION("""COMPUTED_VALUE"""),"Moritz")</f>
        <v>Moritz</v>
      </c>
      <c r="F2549">
        <f>IFERROR(__xludf.DUMMYFUNCTION("""COMPUTED_VALUE"""),12.4)</f>
        <v>12.4</v>
      </c>
    </row>
    <row r="2550">
      <c r="D2550" t="str">
        <f>IFERROR(__xludf.DUMMYFUNCTION("""COMPUTED_VALUE"""),"Bohanon")</f>
        <v>Bohanon</v>
      </c>
      <c r="E2550" t="str">
        <f>IFERROR(__xludf.DUMMYFUNCTION("""COMPUTED_VALUE"""),"Tommy")</f>
        <v>Tommy</v>
      </c>
      <c r="F2550">
        <f>IFERROR(__xludf.DUMMYFUNCTION("""COMPUTED_VALUE"""),13.8)</f>
        <v>13.8</v>
      </c>
    </row>
    <row r="2551">
      <c r="D2551" t="str">
        <f>IFERROR(__xludf.DUMMYFUNCTION("""COMPUTED_VALUE"""),"Bolden")</f>
        <v>Bolden</v>
      </c>
      <c r="E2551" t="str">
        <f>IFERROR(__xludf.DUMMYFUNCTION("""COMPUTED_VALUE"""),"Brandon")</f>
        <v>Brandon</v>
      </c>
      <c r="F2551">
        <f>IFERROR(__xludf.DUMMYFUNCTION("""COMPUTED_VALUE"""),14.4)</f>
        <v>14.4</v>
      </c>
    </row>
    <row r="2552">
      <c r="D2552" t="str">
        <f>IFERROR(__xludf.DUMMYFUNCTION("""COMPUTED_VALUE"""),"Bolden Jr")</f>
        <v>Bolden Jr</v>
      </c>
      <c r="E2552" t="str">
        <f>IFERROR(__xludf.DUMMYFUNCTION("""COMPUTED_VALUE"""),"Victor")</f>
        <v>Victor</v>
      </c>
      <c r="F2552">
        <f>IFERROR(__xludf.DUMMYFUNCTION("""COMPUTED_VALUE"""),12.200000000000001)</f>
        <v>12.2</v>
      </c>
    </row>
    <row r="2553">
      <c r="D2553" t="str">
        <f>IFERROR(__xludf.DUMMYFUNCTION("""COMPUTED_VALUE"""),"Boling")</f>
        <v>Boling</v>
      </c>
      <c r="E2553" t="str">
        <f>IFERROR(__xludf.DUMMYFUNCTION("""COMPUTED_VALUE"""),"Clint")</f>
        <v>Clint</v>
      </c>
      <c r="F2553">
        <f>IFERROR(__xludf.DUMMYFUNCTION("""COMPUTED_VALUE"""),15.4)</f>
        <v>15.4</v>
      </c>
    </row>
    <row r="2554">
      <c r="D2554" t="str">
        <f>IFERROR(__xludf.DUMMYFUNCTION("""COMPUTED_VALUE"""),"Bolles")</f>
        <v>Bolles</v>
      </c>
      <c r="E2554" t="str">
        <f>IFERROR(__xludf.DUMMYFUNCTION("""COMPUTED_VALUE"""),"Garett")</f>
        <v>Garett</v>
      </c>
      <c r="F2554">
        <f>IFERROR(__xludf.DUMMYFUNCTION("""COMPUTED_VALUE"""),15.4)</f>
        <v>15.4</v>
      </c>
    </row>
    <row r="2555">
      <c r="D2555" t="str">
        <f>IFERROR(__xludf.DUMMYFUNCTION("""COMPUTED_VALUE"""),"Bond")</f>
        <v>Bond</v>
      </c>
      <c r="E2555" t="str">
        <f>IFERROR(__xludf.DUMMYFUNCTION("""COMPUTED_VALUE"""),"Devante")</f>
        <v>Devante</v>
      </c>
      <c r="F2555">
        <f>IFERROR(__xludf.DUMMYFUNCTION("""COMPUTED_VALUE"""),12.4)</f>
        <v>12.4</v>
      </c>
    </row>
    <row r="2556">
      <c r="D2556" t="str">
        <f>IFERROR(__xludf.DUMMYFUNCTION("""COMPUTED_VALUE"""),"Booker")</f>
        <v>Booker</v>
      </c>
      <c r="E2556" t="str">
        <f>IFERROR(__xludf.DUMMYFUNCTION("""COMPUTED_VALUE"""),"Devontae")</f>
        <v>Devontae</v>
      </c>
      <c r="F2556">
        <f>IFERROR(__xludf.DUMMYFUNCTION("""COMPUTED_VALUE"""),14.600000000000001)</f>
        <v>14.6</v>
      </c>
    </row>
    <row r="2557">
      <c r="D2557" t="str">
        <f>IFERROR(__xludf.DUMMYFUNCTION("""COMPUTED_VALUE"""),"Boone")</f>
        <v>Boone</v>
      </c>
      <c r="E2557" t="str">
        <f>IFERROR(__xludf.DUMMYFUNCTION("""COMPUTED_VALUE"""),"Alex")</f>
        <v>Alex</v>
      </c>
      <c r="F2557">
        <f>IFERROR(__xludf.DUMMYFUNCTION("""COMPUTED_VALUE"""),15.8)</f>
        <v>15.8</v>
      </c>
    </row>
    <row r="2558">
      <c r="D2558" t="str">
        <f>IFERROR(__xludf.DUMMYFUNCTION("""COMPUTED_VALUE"""),"Bortles")</f>
        <v>Bortles</v>
      </c>
      <c r="E2558" t="str">
        <f>IFERROR(__xludf.DUMMYFUNCTION("""COMPUTED_VALUE"""),"Blake")</f>
        <v>Blake</v>
      </c>
      <c r="F2558">
        <f>IFERROR(__xludf.DUMMYFUNCTION("""COMPUTED_VALUE"""),15.4)</f>
        <v>15.4</v>
      </c>
    </row>
    <row r="2559">
      <c r="D2559" t="str">
        <f>IFERROR(__xludf.DUMMYFUNCTION("""COMPUTED_VALUE"""),"Bosa")</f>
        <v>Bosa</v>
      </c>
      <c r="E2559" t="str">
        <f>IFERROR(__xludf.DUMMYFUNCTION("""COMPUTED_VALUE"""),"Joey")</f>
        <v>Joey</v>
      </c>
      <c r="F2559">
        <f>IFERROR(__xludf.DUMMYFUNCTION("""COMPUTED_VALUE"""),17.6)</f>
        <v>17.6</v>
      </c>
    </row>
    <row r="2560">
      <c r="D2560" t="str">
        <f>IFERROR(__xludf.DUMMYFUNCTION("""COMPUTED_VALUE"""),"Bosher")</f>
        <v>Bosher</v>
      </c>
      <c r="E2560" t="str">
        <f>IFERROR(__xludf.DUMMYFUNCTION("""COMPUTED_VALUE"""),"Matt")</f>
        <v>Matt</v>
      </c>
      <c r="F2560">
        <f>IFERROR(__xludf.DUMMYFUNCTION("""COMPUTED_VALUE"""),16.400000000000002)</f>
        <v>16.4</v>
      </c>
    </row>
    <row r="2561">
      <c r="D2561" t="str">
        <f>IFERROR(__xludf.DUMMYFUNCTION("""COMPUTED_VALUE"""),"Bostic")</f>
        <v>Bostic</v>
      </c>
      <c r="E2561" t="str">
        <f>IFERROR(__xludf.DUMMYFUNCTION("""COMPUTED_VALUE"""),"Jon")</f>
        <v>Jon</v>
      </c>
      <c r="F2561">
        <f>IFERROR(__xludf.DUMMYFUNCTION("""COMPUTED_VALUE"""),13.600000000000001)</f>
        <v>13.6</v>
      </c>
    </row>
    <row r="2562">
      <c r="D2562" t="str">
        <f>IFERROR(__xludf.DUMMYFUNCTION("""COMPUTED_VALUE"""),"Boston")</f>
        <v>Boston</v>
      </c>
      <c r="E2562" t="str">
        <f>IFERROR(__xludf.DUMMYFUNCTION("""COMPUTED_VALUE"""),"Tre")</f>
        <v>Tre</v>
      </c>
      <c r="F2562">
        <f>IFERROR(__xludf.DUMMYFUNCTION("""COMPUTED_VALUE"""),15.8)</f>
        <v>15.8</v>
      </c>
    </row>
    <row r="2563">
      <c r="D2563" t="str">
        <f>IFERROR(__xludf.DUMMYFUNCTION("""COMPUTED_VALUE"""),"Boswell")</f>
        <v>Boswell</v>
      </c>
      <c r="E2563" t="str">
        <f>IFERROR(__xludf.DUMMYFUNCTION("""COMPUTED_VALUE"""),"Chris")</f>
        <v>Chris</v>
      </c>
      <c r="F2563">
        <f>IFERROR(__xludf.DUMMYFUNCTION("""COMPUTED_VALUE"""),16.400000000000002)</f>
        <v>16.4</v>
      </c>
    </row>
    <row r="2564">
      <c r="D2564" t="str">
        <f>IFERROR(__xludf.DUMMYFUNCTION("""COMPUTED_VALUE"""),"Boulware")</f>
        <v>Boulware</v>
      </c>
      <c r="E2564" t="str">
        <f>IFERROR(__xludf.DUMMYFUNCTION("""COMPUTED_VALUE"""),"Ben")</f>
        <v>Ben</v>
      </c>
      <c r="F2564">
        <f>IFERROR(__xludf.DUMMYFUNCTION("""COMPUTED_VALUE"""),12.200000000000001)</f>
        <v>12.2</v>
      </c>
    </row>
    <row r="2565">
      <c r="D2565" t="str">
        <f>IFERROR(__xludf.DUMMYFUNCTION("""COMPUTED_VALUE"""),"Bouye")</f>
        <v>Bouye</v>
      </c>
      <c r="E2565" t="str">
        <f>IFERROR(__xludf.DUMMYFUNCTION("""COMPUTED_VALUE"""),"AJ")</f>
        <v>AJ</v>
      </c>
      <c r="F2565">
        <f>IFERROR(__xludf.DUMMYFUNCTION("""COMPUTED_VALUE"""),17.6)</f>
        <v>17.6</v>
      </c>
    </row>
    <row r="2566">
      <c r="D2566" t="str">
        <f>IFERROR(__xludf.DUMMYFUNCTION("""COMPUTED_VALUE"""),"Bowanko")</f>
        <v>Bowanko</v>
      </c>
      <c r="E2566" t="str">
        <f>IFERROR(__xludf.DUMMYFUNCTION("""COMPUTED_VALUE"""),"Luke")</f>
        <v>Luke</v>
      </c>
      <c r="F2566">
        <f>IFERROR(__xludf.DUMMYFUNCTION("""COMPUTED_VALUE"""),14.0)</f>
        <v>14</v>
      </c>
    </row>
    <row r="2567">
      <c r="D2567" t="str">
        <f>IFERROR(__xludf.DUMMYFUNCTION("""COMPUTED_VALUE"""),"Bower")</f>
        <v>Bower</v>
      </c>
      <c r="E2567" t="str">
        <f>IFERROR(__xludf.DUMMYFUNCTION("""COMPUTED_VALUE"""),"Tashawn")</f>
        <v>Tashawn</v>
      </c>
      <c r="F2567">
        <f>IFERROR(__xludf.DUMMYFUNCTION("""COMPUTED_VALUE"""),12.4)</f>
        <v>12.4</v>
      </c>
    </row>
    <row r="2568">
      <c r="D2568" t="str">
        <f>IFERROR(__xludf.DUMMYFUNCTION("""COMPUTED_VALUE"""),"Bowie")</f>
        <v>Bowie</v>
      </c>
      <c r="E2568" t="str">
        <f>IFERROR(__xludf.DUMMYFUNCTION("""COMPUTED_VALUE"""),"Michael")</f>
        <v>Michael</v>
      </c>
      <c r="F2568">
        <f>IFERROR(__xludf.DUMMYFUNCTION("""COMPUTED_VALUE"""),13.4)</f>
        <v>13.4</v>
      </c>
    </row>
    <row r="2569">
      <c r="D2569" t="str">
        <f>IFERROR(__xludf.DUMMYFUNCTION("""COMPUTED_VALUE"""),"Bowman")</f>
        <v>Bowman</v>
      </c>
      <c r="E2569" t="str">
        <f>IFERROR(__xludf.DUMMYFUNCTION("""COMPUTED_VALUE"""),"NaVorro")</f>
        <v>NaVorro</v>
      </c>
      <c r="F2569">
        <f>IFERROR(__xludf.DUMMYFUNCTION("""COMPUTED_VALUE"""),17.6)</f>
        <v>17.6</v>
      </c>
    </row>
    <row r="2570">
      <c r="D2570" t="str">
        <f>IFERROR(__xludf.DUMMYFUNCTION("""COMPUTED_VALUE"""),"Bowser")</f>
        <v>Bowser</v>
      </c>
      <c r="E2570" t="str">
        <f>IFERROR(__xludf.DUMMYFUNCTION("""COMPUTED_VALUE"""),"Tyus")</f>
        <v>Tyus</v>
      </c>
      <c r="F2570">
        <f>IFERROR(__xludf.DUMMYFUNCTION("""COMPUTED_VALUE"""),14.200000000000001)</f>
        <v>14.2</v>
      </c>
    </row>
    <row r="2571">
      <c r="D2571" t="str">
        <f>IFERROR(__xludf.DUMMYFUNCTION("""COMPUTED_VALUE"""),"Boyce")</f>
        <v>Boyce</v>
      </c>
      <c r="E2571" t="str">
        <f>IFERROR(__xludf.DUMMYFUNCTION("""COMPUTED_VALUE"""),"Josh")</f>
        <v>Josh</v>
      </c>
      <c r="F2571">
        <f>IFERROR(__xludf.DUMMYFUNCTION("""COMPUTED_VALUE"""),12.8)</f>
        <v>12.8</v>
      </c>
    </row>
    <row r="2572">
      <c r="D2572" t="str">
        <f>IFERROR(__xludf.DUMMYFUNCTION("""COMPUTED_VALUE"""),"Boyd")</f>
        <v>Boyd</v>
      </c>
      <c r="E2572" t="str">
        <f>IFERROR(__xludf.DUMMYFUNCTION("""COMPUTED_VALUE"""),"Josh")</f>
        <v>Josh</v>
      </c>
      <c r="F2572">
        <f>IFERROR(__xludf.DUMMYFUNCTION("""COMPUTED_VALUE"""),14.200000000000001)</f>
        <v>14.2</v>
      </c>
    </row>
    <row r="2573">
      <c r="D2573" t="str">
        <f>IFERROR(__xludf.DUMMYFUNCTION("""COMPUTED_VALUE"""),"Boyd")</f>
        <v>Boyd</v>
      </c>
      <c r="E2573" t="str">
        <f>IFERROR(__xludf.DUMMYFUNCTION("""COMPUTED_VALUE"""),"Tyler")</f>
        <v>Tyler</v>
      </c>
      <c r="F2573">
        <f>IFERROR(__xludf.DUMMYFUNCTION("""COMPUTED_VALUE"""),14.8)</f>
        <v>14.8</v>
      </c>
    </row>
    <row r="2574">
      <c r="D2574" t="str">
        <f>IFERROR(__xludf.DUMMYFUNCTION("""COMPUTED_VALUE"""),"Boykin")</f>
        <v>Boykin</v>
      </c>
      <c r="E2574" t="str">
        <f>IFERROR(__xludf.DUMMYFUNCTION("""COMPUTED_VALUE"""),"Brandon")</f>
        <v>Brandon</v>
      </c>
      <c r="F2574">
        <f>IFERROR(__xludf.DUMMYFUNCTION("""COMPUTED_VALUE"""),14.200000000000001)</f>
        <v>14.2</v>
      </c>
    </row>
    <row r="2575">
      <c r="D2575" t="str">
        <f>IFERROR(__xludf.DUMMYFUNCTION("""COMPUTED_VALUE"""),"Boykin")</f>
        <v>Boykin</v>
      </c>
      <c r="E2575" t="str">
        <f>IFERROR(__xludf.DUMMYFUNCTION("""COMPUTED_VALUE"""),"Trevone")</f>
        <v>Trevone</v>
      </c>
      <c r="F2575">
        <f>IFERROR(__xludf.DUMMYFUNCTION("""COMPUTED_VALUE"""),12.8)</f>
        <v>12.8</v>
      </c>
    </row>
    <row r="2576">
      <c r="D2576" t="str">
        <f>IFERROR(__xludf.DUMMYFUNCTION("""COMPUTED_VALUE"""),"Boykins")</f>
        <v>Boykins</v>
      </c>
      <c r="E2576" t="str">
        <f>IFERROR(__xludf.DUMMYFUNCTION("""COMPUTED_VALUE"""),"Jeremy")</f>
        <v>Jeremy</v>
      </c>
      <c r="F2576">
        <f>IFERROR(__xludf.DUMMYFUNCTION("""COMPUTED_VALUE"""),11.8)</f>
        <v>11.8</v>
      </c>
    </row>
    <row r="2577">
      <c r="D2577" t="str">
        <f>IFERROR(__xludf.DUMMYFUNCTION("""COMPUTED_VALUE"""),"Boyle")</f>
        <v>Boyle</v>
      </c>
      <c r="E2577" t="str">
        <f>IFERROR(__xludf.DUMMYFUNCTION("""COMPUTED_VALUE"""),"Nick")</f>
        <v>Nick</v>
      </c>
      <c r="F2577">
        <f>IFERROR(__xludf.DUMMYFUNCTION("""COMPUTED_VALUE"""),15.0)</f>
        <v>15</v>
      </c>
    </row>
    <row r="2578">
      <c r="D2578" t="str">
        <f>IFERROR(__xludf.DUMMYFUNCTION("""COMPUTED_VALUE"""),"Bradberry")</f>
        <v>Bradberry</v>
      </c>
      <c r="E2578" t="str">
        <f>IFERROR(__xludf.DUMMYFUNCTION("""COMPUTED_VALUE"""),"James")</f>
        <v>James</v>
      </c>
      <c r="F2578">
        <f>IFERROR(__xludf.DUMMYFUNCTION("""COMPUTED_VALUE"""),16.2)</f>
        <v>16.2</v>
      </c>
    </row>
    <row r="2579">
      <c r="D2579" t="str">
        <f>IFERROR(__xludf.DUMMYFUNCTION("""COMPUTED_VALUE"""),"Braden")</f>
        <v>Braden</v>
      </c>
      <c r="E2579" t="str">
        <f>IFERROR(__xludf.DUMMYFUNCTION("""COMPUTED_VALUE"""),"Ben")</f>
        <v>Ben</v>
      </c>
      <c r="F2579">
        <f>IFERROR(__xludf.DUMMYFUNCTION("""COMPUTED_VALUE"""),12.600000000000001)</f>
        <v>12.6</v>
      </c>
    </row>
    <row r="2580">
      <c r="D2580" t="str">
        <f>IFERROR(__xludf.DUMMYFUNCTION("""COMPUTED_VALUE"""),"Bradford")</f>
        <v>Bradford</v>
      </c>
      <c r="E2580" t="str">
        <f>IFERROR(__xludf.DUMMYFUNCTION("""COMPUTED_VALUE"""),"Carl")</f>
        <v>Carl</v>
      </c>
      <c r="F2580">
        <f>IFERROR(__xludf.DUMMYFUNCTION("""COMPUTED_VALUE"""),14.4)</f>
        <v>14.4</v>
      </c>
    </row>
    <row r="2581">
      <c r="D2581" t="str">
        <f>IFERROR(__xludf.DUMMYFUNCTION("""COMPUTED_VALUE"""),"Bradford")</f>
        <v>Bradford</v>
      </c>
      <c r="E2581" t="str">
        <f>IFERROR(__xludf.DUMMYFUNCTION("""COMPUTED_VALUE"""),"Sam")</f>
        <v>Sam</v>
      </c>
      <c r="F2581">
        <f>IFERROR(__xludf.DUMMYFUNCTION("""COMPUTED_VALUE"""),16.6)</f>
        <v>16.6</v>
      </c>
    </row>
    <row r="2582">
      <c r="D2582" t="str">
        <f>IFERROR(__xludf.DUMMYFUNCTION("""COMPUTED_VALUE"""),"Bradham")</f>
        <v>Bradham</v>
      </c>
      <c r="E2582" t="str">
        <f>IFERROR(__xludf.DUMMYFUNCTION("""COMPUTED_VALUE"""),"Nigel")</f>
        <v>Nigel</v>
      </c>
      <c r="F2582">
        <f>IFERROR(__xludf.DUMMYFUNCTION("""COMPUTED_VALUE"""),16.8)</f>
        <v>16.8</v>
      </c>
    </row>
    <row r="2583">
      <c r="D2583" t="str">
        <f>IFERROR(__xludf.DUMMYFUNCTION("""COMPUTED_VALUE"""),"Brady")</f>
        <v>Brady</v>
      </c>
      <c r="E2583" t="str">
        <f>IFERROR(__xludf.DUMMYFUNCTION("""COMPUTED_VALUE"""),"Tom")</f>
        <v>Tom</v>
      </c>
      <c r="F2583">
        <f>IFERROR(__xludf.DUMMYFUNCTION("""COMPUTED_VALUE"""),19.8)</f>
        <v>19.8</v>
      </c>
    </row>
    <row r="2584">
      <c r="D2584" t="str">
        <f>IFERROR(__xludf.DUMMYFUNCTION("""COMPUTED_VALUE"""),"Branch")</f>
        <v>Branch</v>
      </c>
      <c r="E2584" t="str">
        <f>IFERROR(__xludf.DUMMYFUNCTION("""COMPUTED_VALUE"""),"Alan")</f>
        <v>Alan</v>
      </c>
      <c r="F2584">
        <f>IFERROR(__xludf.DUMMYFUNCTION("""COMPUTED_VALUE"""),16.6)</f>
        <v>16.6</v>
      </c>
    </row>
    <row r="2585">
      <c r="D2585" t="str">
        <f>IFERROR(__xludf.DUMMYFUNCTION("""COMPUTED_VALUE"""),"Branch")</f>
        <v>Branch</v>
      </c>
      <c r="E2585" t="str">
        <f>IFERROR(__xludf.DUMMYFUNCTION("""COMPUTED_VALUE"""),"Andre")</f>
        <v>Andre</v>
      </c>
      <c r="F2585">
        <f>IFERROR(__xludf.DUMMYFUNCTION("""COMPUTED_VALUE"""),15.600000000000001)</f>
        <v>15.6</v>
      </c>
    </row>
    <row r="2586">
      <c r="D2586" t="str">
        <f>IFERROR(__xludf.DUMMYFUNCTION("""COMPUTED_VALUE"""),"Branch")</f>
        <v>Branch</v>
      </c>
      <c r="E2586" t="str">
        <f>IFERROR(__xludf.DUMMYFUNCTION("""COMPUTED_VALUE"""),"Tyvon")</f>
        <v>Tyvon</v>
      </c>
      <c r="F2586">
        <f>IFERROR(__xludf.DUMMYFUNCTION("""COMPUTED_VALUE"""),15.4)</f>
        <v>15.4</v>
      </c>
    </row>
    <row r="2587">
      <c r="D2587" t="str">
        <f>IFERROR(__xludf.DUMMYFUNCTION("""COMPUTED_VALUE"""),"Brantley")</f>
        <v>Brantley</v>
      </c>
      <c r="E2587" t="str">
        <f>IFERROR(__xludf.DUMMYFUNCTION("""COMPUTED_VALUE"""),"Caleb")</f>
        <v>Caleb</v>
      </c>
      <c r="F2587">
        <f>IFERROR(__xludf.DUMMYFUNCTION("""COMPUTED_VALUE"""),14.0)</f>
        <v>14</v>
      </c>
    </row>
    <row r="2588">
      <c r="D2588" t="str">
        <f>IFERROR(__xludf.DUMMYFUNCTION("""COMPUTED_VALUE"""),"Brate")</f>
        <v>Brate</v>
      </c>
      <c r="E2588" t="str">
        <f>IFERROR(__xludf.DUMMYFUNCTION("""COMPUTED_VALUE"""),"Cameron")</f>
        <v>Cameron</v>
      </c>
      <c r="F2588">
        <f>IFERROR(__xludf.DUMMYFUNCTION("""COMPUTED_VALUE"""),16.6)</f>
        <v>16.6</v>
      </c>
    </row>
    <row r="2589">
      <c r="D2589" t="str">
        <f>IFERROR(__xludf.DUMMYFUNCTION("""COMPUTED_VALUE"""),"Braverman")</f>
        <v>Braverman</v>
      </c>
      <c r="E2589" t="str">
        <f>IFERROR(__xludf.DUMMYFUNCTION("""COMPUTED_VALUE"""),"Daniel")</f>
        <v>Daniel</v>
      </c>
      <c r="F2589">
        <f>IFERROR(__xludf.DUMMYFUNCTION("""COMPUTED_VALUE"""),13.0)</f>
        <v>13</v>
      </c>
    </row>
    <row r="2590">
      <c r="D2590" t="str">
        <f>IFERROR(__xludf.DUMMYFUNCTION("""COMPUTED_VALUE"""),"Bray")</f>
        <v>Bray</v>
      </c>
      <c r="E2590" t="str">
        <f>IFERROR(__xludf.DUMMYFUNCTION("""COMPUTED_VALUE"""),"Quan")</f>
        <v>Quan</v>
      </c>
      <c r="F2590">
        <f>IFERROR(__xludf.DUMMYFUNCTION("""COMPUTED_VALUE"""),13.0)</f>
        <v>13</v>
      </c>
    </row>
    <row r="2591">
      <c r="D2591" t="str">
        <f>IFERROR(__xludf.DUMMYFUNCTION("""COMPUTED_VALUE"""),"Bray")</f>
        <v>Bray</v>
      </c>
      <c r="E2591" t="str">
        <f>IFERROR(__xludf.DUMMYFUNCTION("""COMPUTED_VALUE"""),"Tyler")</f>
        <v>Tyler</v>
      </c>
      <c r="F2591">
        <f>IFERROR(__xludf.DUMMYFUNCTION("""COMPUTED_VALUE"""),12.0)</f>
        <v>12</v>
      </c>
    </row>
    <row r="2592">
      <c r="D2592" t="str">
        <f>IFERROR(__xludf.DUMMYFUNCTION("""COMPUTED_VALUE"""),"Breaux")</f>
        <v>Breaux</v>
      </c>
      <c r="E2592" t="str">
        <f>IFERROR(__xludf.DUMMYFUNCTION("""COMPUTED_VALUE"""),"Delvin")</f>
        <v>Delvin</v>
      </c>
      <c r="F2592">
        <f>IFERROR(__xludf.DUMMYFUNCTION("""COMPUTED_VALUE"""),15.8)</f>
        <v>15.8</v>
      </c>
    </row>
    <row r="2593">
      <c r="D2593" t="str">
        <f>IFERROR(__xludf.DUMMYFUNCTION("""COMPUTED_VALUE"""),"Breeland")</f>
        <v>Breeland</v>
      </c>
      <c r="E2593" t="str">
        <f>IFERROR(__xludf.DUMMYFUNCTION("""COMPUTED_VALUE"""),"Bashaud")</f>
        <v>Bashaud</v>
      </c>
      <c r="F2593">
        <f>IFERROR(__xludf.DUMMYFUNCTION("""COMPUTED_VALUE"""),15.0)</f>
        <v>15</v>
      </c>
    </row>
    <row r="2594">
      <c r="D2594" t="str">
        <f>IFERROR(__xludf.DUMMYFUNCTION("""COMPUTED_VALUE"""),"Brees")</f>
        <v>Brees</v>
      </c>
      <c r="E2594" t="str">
        <f>IFERROR(__xludf.DUMMYFUNCTION("""COMPUTED_VALUE"""),"Drew")</f>
        <v>Drew</v>
      </c>
      <c r="F2594">
        <f>IFERROR(__xludf.DUMMYFUNCTION("""COMPUTED_VALUE"""),18.400000000000002)</f>
        <v>18.4</v>
      </c>
    </row>
    <row r="2595">
      <c r="D2595" t="str">
        <f>IFERROR(__xludf.DUMMYFUNCTION("""COMPUTED_VALUE"""),"Brendel")</f>
        <v>Brendel</v>
      </c>
      <c r="E2595" t="str">
        <f>IFERROR(__xludf.DUMMYFUNCTION("""COMPUTED_VALUE"""),"Jake")</f>
        <v>Jake</v>
      </c>
      <c r="F2595">
        <f>IFERROR(__xludf.DUMMYFUNCTION("""COMPUTED_VALUE"""),12.0)</f>
        <v>12</v>
      </c>
    </row>
    <row r="2596">
      <c r="D2596" t="str">
        <f>IFERROR(__xludf.DUMMYFUNCTION("""COMPUTED_VALUE"""),"Brent")</f>
        <v>Brent</v>
      </c>
      <c r="E2596" t="str">
        <f>IFERROR(__xludf.DUMMYFUNCTION("""COMPUTED_VALUE"""),"KJ")</f>
        <v>KJ</v>
      </c>
      <c r="F2596">
        <f>IFERROR(__xludf.DUMMYFUNCTION("""COMPUTED_VALUE"""),12.4)</f>
        <v>12.4</v>
      </c>
    </row>
    <row r="2597">
      <c r="D2597" t="str">
        <f>IFERROR(__xludf.DUMMYFUNCTION("""COMPUTED_VALUE"""),"Brewer")</f>
        <v>Brewer</v>
      </c>
      <c r="E2597" t="str">
        <f>IFERROR(__xludf.DUMMYFUNCTION("""COMPUTED_VALUE"""),"Aaron")</f>
        <v>Aaron</v>
      </c>
      <c r="F2597">
        <f>IFERROR(__xludf.DUMMYFUNCTION("""COMPUTED_VALUE"""),9.0)</f>
        <v>9</v>
      </c>
    </row>
    <row r="2598">
      <c r="D2598" t="str">
        <f>IFERROR(__xludf.DUMMYFUNCTION("""COMPUTED_VALUE"""),"Brice")</f>
        <v>Brice</v>
      </c>
      <c r="E2598" t="str">
        <f>IFERROR(__xludf.DUMMYFUNCTION("""COMPUTED_VALUE"""),"Kentrell")</f>
        <v>Kentrell</v>
      </c>
      <c r="F2598">
        <f>IFERROR(__xludf.DUMMYFUNCTION("""COMPUTED_VALUE"""),13.600000000000001)</f>
        <v>13.6</v>
      </c>
    </row>
    <row r="2599">
      <c r="D2599" t="str">
        <f>IFERROR(__xludf.DUMMYFUNCTION("""COMPUTED_VALUE"""),"Bridgewater")</f>
        <v>Bridgewater</v>
      </c>
      <c r="E2599" t="str">
        <f>IFERROR(__xludf.DUMMYFUNCTION("""COMPUTED_VALUE"""),"Teddy")</f>
        <v>Teddy</v>
      </c>
      <c r="F2599">
        <f>IFERROR(__xludf.DUMMYFUNCTION("""COMPUTED_VALUE"""),15.8)</f>
        <v>15.8</v>
      </c>
    </row>
    <row r="2600">
      <c r="D2600" t="str">
        <f>IFERROR(__xludf.DUMMYFUNCTION("""COMPUTED_VALUE"""),"Brinkley")</f>
        <v>Brinkley</v>
      </c>
      <c r="E2600" t="str">
        <f>IFERROR(__xludf.DUMMYFUNCTION("""COMPUTED_VALUE"""),"Beau")</f>
        <v>Beau</v>
      </c>
      <c r="F2600">
        <f>IFERROR(__xludf.DUMMYFUNCTION("""COMPUTED_VALUE"""),9.200000000000001)</f>
        <v>9.2</v>
      </c>
    </row>
    <row r="2601">
      <c r="D2601" t="str">
        <f>IFERROR(__xludf.DUMMYFUNCTION("""COMPUTED_VALUE"""),"Brissett")</f>
        <v>Brissett</v>
      </c>
      <c r="E2601" t="str">
        <f>IFERROR(__xludf.DUMMYFUNCTION("""COMPUTED_VALUE"""),"Jacoby")</f>
        <v>Jacoby</v>
      </c>
      <c r="F2601">
        <f>IFERROR(__xludf.DUMMYFUNCTION("""COMPUTED_VALUE"""),14.4)</f>
        <v>14.4</v>
      </c>
    </row>
    <row r="2602">
      <c r="D2602" t="str">
        <f>IFERROR(__xludf.DUMMYFUNCTION("""COMPUTED_VALUE"""),"Britt")</f>
        <v>Britt</v>
      </c>
      <c r="E2602" t="str">
        <f>IFERROR(__xludf.DUMMYFUNCTION("""COMPUTED_VALUE"""),"Justin")</f>
        <v>Justin</v>
      </c>
      <c r="F2602">
        <f>IFERROR(__xludf.DUMMYFUNCTION("""COMPUTED_VALUE"""),16.0)</f>
        <v>16</v>
      </c>
    </row>
    <row r="2603">
      <c r="D2603" t="str">
        <f>IFERROR(__xludf.DUMMYFUNCTION("""COMPUTED_VALUE"""),"Britt")</f>
        <v>Britt</v>
      </c>
      <c r="E2603" t="str">
        <f>IFERROR(__xludf.DUMMYFUNCTION("""COMPUTED_VALUE"""),"Kenny")</f>
        <v>Kenny</v>
      </c>
      <c r="F2603">
        <f>IFERROR(__xludf.DUMMYFUNCTION("""COMPUTED_VALUE"""),16.400000000000002)</f>
        <v>16.4</v>
      </c>
    </row>
    <row r="2604">
      <c r="D2604" t="str">
        <f>IFERROR(__xludf.DUMMYFUNCTION("""COMPUTED_VALUE"""),"Brockers")</f>
        <v>Brockers</v>
      </c>
      <c r="E2604" t="str">
        <f>IFERROR(__xludf.DUMMYFUNCTION("""COMPUTED_VALUE"""),"Michael")</f>
        <v>Michael</v>
      </c>
      <c r="F2604">
        <f>IFERROR(__xludf.DUMMYFUNCTION("""COMPUTED_VALUE"""),16.2)</f>
        <v>16.2</v>
      </c>
    </row>
    <row r="2605">
      <c r="D2605" t="str">
        <f>IFERROR(__xludf.DUMMYFUNCTION("""COMPUTED_VALUE"""),"Bromley")</f>
        <v>Bromley</v>
      </c>
      <c r="E2605" t="str">
        <f>IFERROR(__xludf.DUMMYFUNCTION("""COMPUTED_VALUE"""),"Jay")</f>
        <v>Jay</v>
      </c>
      <c r="F2605">
        <f>IFERROR(__xludf.DUMMYFUNCTION("""COMPUTED_VALUE"""),13.4)</f>
        <v>13.4</v>
      </c>
    </row>
    <row r="2606">
      <c r="D2606" t="str">
        <f>IFERROR(__xludf.DUMMYFUNCTION("""COMPUTED_VALUE"""),"Brooks")</f>
        <v>Brooks</v>
      </c>
      <c r="E2606" t="str">
        <f>IFERROR(__xludf.DUMMYFUNCTION("""COMPUTED_VALUE"""),"Ahmad")</f>
        <v>Ahmad</v>
      </c>
      <c r="F2606">
        <f>IFERROR(__xludf.DUMMYFUNCTION("""COMPUTED_VALUE"""),15.0)</f>
        <v>15</v>
      </c>
    </row>
    <row r="2607">
      <c r="D2607" t="str">
        <f>IFERROR(__xludf.DUMMYFUNCTION("""COMPUTED_VALUE"""),"Brooks")</f>
        <v>Brooks</v>
      </c>
      <c r="E2607" t="str">
        <f>IFERROR(__xludf.DUMMYFUNCTION("""COMPUTED_VALUE"""),"Brandon")</f>
        <v>Brandon</v>
      </c>
      <c r="F2607">
        <f>IFERROR(__xludf.DUMMYFUNCTION("""COMPUTED_VALUE"""),17.8)</f>
        <v>17.8</v>
      </c>
    </row>
    <row r="2608">
      <c r="D2608" t="str">
        <f>IFERROR(__xludf.DUMMYFUNCTION("""COMPUTED_VALUE"""),"Brooks")</f>
        <v>Brooks</v>
      </c>
      <c r="E2608" t="str">
        <f>IFERROR(__xludf.DUMMYFUNCTION("""COMPUTED_VALUE"""),"Ron")</f>
        <v>Ron</v>
      </c>
      <c r="F2608">
        <f>IFERROR(__xludf.DUMMYFUNCTION("""COMPUTED_VALUE"""),14.0)</f>
        <v>14</v>
      </c>
    </row>
    <row r="2609">
      <c r="D2609" t="str">
        <f>IFERROR(__xludf.DUMMYFUNCTION("""COMPUTED_VALUE"""),"Brooks")</f>
        <v>Brooks</v>
      </c>
      <c r="E2609" t="str">
        <f>IFERROR(__xludf.DUMMYFUNCTION("""COMPUTED_VALUE"""),"Terrence")</f>
        <v>Terrence</v>
      </c>
      <c r="F2609">
        <f>IFERROR(__xludf.DUMMYFUNCTION("""COMPUTED_VALUE"""),14.0)</f>
        <v>14</v>
      </c>
    </row>
    <row r="2610">
      <c r="D2610" t="str">
        <f>IFERROR(__xludf.DUMMYFUNCTION("""COMPUTED_VALUE"""),"Brothers")</f>
        <v>Brothers</v>
      </c>
      <c r="E2610" t="str">
        <f>IFERROR(__xludf.DUMMYFUNCTION("""COMPUTED_VALUE"""),"Kentrell")</f>
        <v>Kentrell</v>
      </c>
      <c r="F2610">
        <f>IFERROR(__xludf.DUMMYFUNCTION("""COMPUTED_VALUE"""),13.200000000000001)</f>
        <v>13.2</v>
      </c>
    </row>
    <row r="2611">
      <c r="D2611" t="str">
        <f>IFERROR(__xludf.DUMMYFUNCTION("""COMPUTED_VALUE"""),"Brown")</f>
        <v>Brown</v>
      </c>
      <c r="E2611" t="str">
        <f>IFERROR(__xludf.DUMMYFUNCTION("""COMPUTED_VALUE"""),"Algernon")</f>
        <v>Algernon</v>
      </c>
      <c r="F2611">
        <f>IFERROR(__xludf.DUMMYFUNCTION("""COMPUTED_VALUE"""),14.600000000000001)</f>
        <v>14.6</v>
      </c>
    </row>
    <row r="2612">
      <c r="D2612" t="str">
        <f>IFERROR(__xludf.DUMMYFUNCTION("""COMPUTED_VALUE"""),"Brown")</f>
        <v>Brown</v>
      </c>
      <c r="E2612" t="str">
        <f>IFERROR(__xludf.DUMMYFUNCTION("""COMPUTED_VALUE"""),"Anthony")</f>
        <v>Anthony</v>
      </c>
      <c r="F2612">
        <f>IFERROR(__xludf.DUMMYFUNCTION("""COMPUTED_VALUE"""),15.8)</f>
        <v>15.8</v>
      </c>
    </row>
    <row r="2613">
      <c r="D2613" t="str">
        <f>IFERROR(__xludf.DUMMYFUNCTION("""COMPUTED_VALUE"""),"Brown")</f>
        <v>Brown</v>
      </c>
      <c r="E2613" t="str">
        <f>IFERROR(__xludf.DUMMYFUNCTION("""COMPUTED_VALUE"""),"Antonio")</f>
        <v>Antonio</v>
      </c>
      <c r="F2613">
        <f>IFERROR(__xludf.DUMMYFUNCTION("""COMPUTED_VALUE"""),19.400000000000002)</f>
        <v>19.4</v>
      </c>
    </row>
    <row r="2614">
      <c r="D2614" t="str">
        <f>IFERROR(__xludf.DUMMYFUNCTION("""COMPUTED_VALUE"""),"Brown")</f>
        <v>Brown</v>
      </c>
      <c r="E2614" t="str">
        <f>IFERROR(__xludf.DUMMYFUNCTION("""COMPUTED_VALUE"""),"Arthur")</f>
        <v>Arthur</v>
      </c>
      <c r="F2614">
        <f>IFERROR(__xludf.DUMMYFUNCTION("""COMPUTED_VALUE"""),13.8)</f>
        <v>13.8</v>
      </c>
    </row>
    <row r="2615">
      <c r="D2615" t="str">
        <f>IFERROR(__xludf.DUMMYFUNCTION("""COMPUTED_VALUE"""),"Brown")</f>
        <v>Brown</v>
      </c>
      <c r="E2615" t="str">
        <f>IFERROR(__xludf.DUMMYFUNCTION("""COMPUTED_VALUE"""),"Blair")</f>
        <v>Blair</v>
      </c>
      <c r="F2615">
        <f>IFERROR(__xludf.DUMMYFUNCTION("""COMPUTED_VALUE"""),13.600000000000001)</f>
        <v>13.6</v>
      </c>
    </row>
    <row r="2616">
      <c r="D2616" t="str">
        <f>IFERROR(__xludf.DUMMYFUNCTION("""COMPUTED_VALUE"""),"Brown")</f>
        <v>Brown</v>
      </c>
      <c r="E2616" t="str">
        <f>IFERROR(__xludf.DUMMYFUNCTION("""COMPUTED_VALUE"""),"Chris")</f>
        <v>Chris</v>
      </c>
      <c r="F2616">
        <f>IFERROR(__xludf.DUMMYFUNCTION("""COMPUTED_VALUE"""),12.200000000000001)</f>
        <v>12.2</v>
      </c>
    </row>
    <row r="2617">
      <c r="D2617" t="str">
        <f>IFERROR(__xludf.DUMMYFUNCTION("""COMPUTED_VALUE"""),"Brown")</f>
        <v>Brown</v>
      </c>
      <c r="E2617" t="str">
        <f>IFERROR(__xludf.DUMMYFUNCTION("""COMPUTED_VALUE"""),"DaRon")</f>
        <v>DaRon</v>
      </c>
      <c r="F2617">
        <f>IFERROR(__xludf.DUMMYFUNCTION("""COMPUTED_VALUE"""),11.4)</f>
        <v>11.4</v>
      </c>
    </row>
    <row r="2618">
      <c r="D2618" t="str">
        <f>IFERROR(__xludf.DUMMYFUNCTION("""COMPUTED_VALUE"""),"Brown")</f>
        <v>Brown</v>
      </c>
      <c r="E2618" t="str">
        <f>IFERROR(__xludf.DUMMYFUNCTION("""COMPUTED_VALUE"""),"DeAngelo")</f>
        <v>DeAngelo</v>
      </c>
      <c r="F2618">
        <f>IFERROR(__xludf.DUMMYFUNCTION("""COMPUTED_VALUE"""),13.200000000000001)</f>
        <v>13.2</v>
      </c>
    </row>
    <row r="2619">
      <c r="D2619" t="str">
        <f>IFERROR(__xludf.DUMMYFUNCTION("""COMPUTED_VALUE"""),"Brown")</f>
        <v>Brown</v>
      </c>
      <c r="E2619" t="str">
        <f>IFERROR(__xludf.DUMMYFUNCTION("""COMPUTED_VALUE"""),"Donatello")</f>
        <v>Donatello</v>
      </c>
      <c r="F2619">
        <f>IFERROR(__xludf.DUMMYFUNCTION("""COMPUTED_VALUE"""),12.4)</f>
        <v>12.4</v>
      </c>
    </row>
    <row r="2620">
      <c r="D2620" t="str">
        <f>IFERROR(__xludf.DUMMYFUNCTION("""COMPUTED_VALUE"""),"Brown")</f>
        <v>Brown</v>
      </c>
      <c r="E2620" t="str">
        <f>IFERROR(__xludf.DUMMYFUNCTION("""COMPUTED_VALUE"""),"Duane")</f>
        <v>Duane</v>
      </c>
      <c r="F2620">
        <f>IFERROR(__xludf.DUMMYFUNCTION("""COMPUTED_VALUE"""),17.2)</f>
        <v>17.2</v>
      </c>
    </row>
    <row r="2621">
      <c r="D2621" t="str">
        <f>IFERROR(__xludf.DUMMYFUNCTION("""COMPUTED_VALUE"""),"Brown")</f>
        <v>Brown</v>
      </c>
      <c r="E2621" t="str">
        <f>IFERROR(__xludf.DUMMYFUNCTION("""COMPUTED_VALUE"""),"Fadol")</f>
        <v>Fadol</v>
      </c>
      <c r="F2621">
        <f>IFERROR(__xludf.DUMMYFUNCTION("""COMPUTED_VALUE"""),12.4)</f>
        <v>12.4</v>
      </c>
    </row>
    <row r="2622">
      <c r="D2622" t="str">
        <f>IFERROR(__xludf.DUMMYFUNCTION("""COMPUTED_VALUE"""),"Brown")</f>
        <v>Brown</v>
      </c>
      <c r="E2622" t="str">
        <f>IFERROR(__xludf.DUMMYFUNCTION("""COMPUTED_VALUE"""),"Jamon")</f>
        <v>Jamon</v>
      </c>
      <c r="F2622">
        <f>IFERROR(__xludf.DUMMYFUNCTION("""COMPUTED_VALUE"""),13.8)</f>
        <v>13.8</v>
      </c>
    </row>
    <row r="2623">
      <c r="D2623" t="str">
        <f>IFERROR(__xludf.DUMMYFUNCTION("""COMPUTED_VALUE"""),"Brown")</f>
        <v>Brown</v>
      </c>
      <c r="E2623" t="str">
        <f>IFERROR(__xludf.DUMMYFUNCTION("""COMPUTED_VALUE"""),"Jaron")</f>
        <v>Jaron</v>
      </c>
      <c r="F2623">
        <f>IFERROR(__xludf.DUMMYFUNCTION("""COMPUTED_VALUE"""),14.8)</f>
        <v>14.8</v>
      </c>
    </row>
    <row r="2624">
      <c r="D2624" t="str">
        <f>IFERROR(__xludf.DUMMYFUNCTION("""COMPUTED_VALUE"""),"Brown")</f>
        <v>Brown</v>
      </c>
      <c r="E2624" t="str">
        <f>IFERROR(__xludf.DUMMYFUNCTION("""COMPUTED_VALUE"""),"Jatavis")</f>
        <v>Jatavis</v>
      </c>
      <c r="F2624">
        <f>IFERROR(__xludf.DUMMYFUNCTION("""COMPUTED_VALUE"""),16.0)</f>
        <v>16</v>
      </c>
    </row>
    <row r="2625">
      <c r="D2625" t="str">
        <f>IFERROR(__xludf.DUMMYFUNCTION("""COMPUTED_VALUE"""),"Brown")</f>
        <v>Brown</v>
      </c>
      <c r="E2625" t="str">
        <f>IFERROR(__xludf.DUMMYFUNCTION("""COMPUTED_VALUE"""),"Jayon")</f>
        <v>Jayon</v>
      </c>
      <c r="F2625">
        <f>IFERROR(__xludf.DUMMYFUNCTION("""COMPUTED_VALUE"""),12.8)</f>
        <v>12.8</v>
      </c>
    </row>
    <row r="2626">
      <c r="D2626" t="str">
        <f>IFERROR(__xludf.DUMMYFUNCTION("""COMPUTED_VALUE"""),"Brown")</f>
        <v>Brown</v>
      </c>
      <c r="E2626" t="str">
        <f>IFERROR(__xludf.DUMMYFUNCTION("""COMPUTED_VALUE"""),"John")</f>
        <v>John</v>
      </c>
      <c r="F2626">
        <f>IFERROR(__xludf.DUMMYFUNCTION("""COMPUTED_VALUE"""),16.8)</f>
        <v>16.8</v>
      </c>
    </row>
    <row r="2627">
      <c r="D2627" t="str">
        <f>IFERROR(__xludf.DUMMYFUNCTION("""COMPUTED_VALUE"""),"Brown")</f>
        <v>Brown</v>
      </c>
      <c r="E2627" t="str">
        <f>IFERROR(__xludf.DUMMYFUNCTION("""COMPUTED_VALUE"""),"Mack")</f>
        <v>Mack</v>
      </c>
      <c r="F2627">
        <f>IFERROR(__xludf.DUMMYFUNCTION("""COMPUTED_VALUE"""),13.200000000000001)</f>
        <v>13.2</v>
      </c>
    </row>
    <row r="2628">
      <c r="D2628" t="str">
        <f>IFERROR(__xludf.DUMMYFUNCTION("""COMPUTED_VALUE"""),"Brown")</f>
        <v>Brown</v>
      </c>
      <c r="E2628" t="str">
        <f>IFERROR(__xludf.DUMMYFUNCTION("""COMPUTED_VALUE"""),"Malcolm")</f>
        <v>Malcolm</v>
      </c>
      <c r="F2628">
        <f>IFERROR(__xludf.DUMMYFUNCTION("""COMPUTED_VALUE"""),13.0)</f>
        <v>13</v>
      </c>
    </row>
    <row r="2629">
      <c r="D2629" t="str">
        <f>IFERROR(__xludf.DUMMYFUNCTION("""COMPUTED_VALUE"""),"Brown")</f>
        <v>Brown</v>
      </c>
      <c r="E2629" t="str">
        <f>IFERROR(__xludf.DUMMYFUNCTION("""COMPUTED_VALUE"""),"Malcom")</f>
        <v>Malcom</v>
      </c>
      <c r="F2629">
        <f>IFERROR(__xludf.DUMMYFUNCTION("""COMPUTED_VALUE"""),15.600000000000001)</f>
        <v>15.6</v>
      </c>
    </row>
    <row r="2630">
      <c r="D2630" t="str">
        <f>IFERROR(__xludf.DUMMYFUNCTION("""COMPUTED_VALUE"""),"Brown")</f>
        <v>Brown</v>
      </c>
      <c r="E2630" t="str">
        <f>IFERROR(__xludf.DUMMYFUNCTION("""COMPUTED_VALUE"""),"Marlon")</f>
        <v>Marlon</v>
      </c>
      <c r="F2630">
        <f>IFERROR(__xludf.DUMMYFUNCTION("""COMPUTED_VALUE"""),14.200000000000001)</f>
        <v>14.2</v>
      </c>
    </row>
    <row r="2631">
      <c r="D2631" t="str">
        <f>IFERROR(__xludf.DUMMYFUNCTION("""COMPUTED_VALUE"""),"Brown")</f>
        <v>Brown</v>
      </c>
      <c r="E2631" t="str">
        <f>IFERROR(__xludf.DUMMYFUNCTION("""COMPUTED_VALUE"""),"Noah")</f>
        <v>Noah</v>
      </c>
      <c r="F2631">
        <f>IFERROR(__xludf.DUMMYFUNCTION("""COMPUTED_VALUE"""),13.4)</f>
        <v>13.4</v>
      </c>
    </row>
    <row r="2632">
      <c r="D2632" t="str">
        <f>IFERROR(__xludf.DUMMYFUNCTION("""COMPUTED_VALUE"""),"Brown")</f>
        <v>Brown</v>
      </c>
      <c r="E2632" t="str">
        <f>IFERROR(__xludf.DUMMYFUNCTION("""COMPUTED_VALUE"""),"Pharaoh")</f>
        <v>Pharaoh</v>
      </c>
      <c r="F2632">
        <f>IFERROR(__xludf.DUMMYFUNCTION("""COMPUTED_VALUE"""),13.600000000000001)</f>
        <v>13.6</v>
      </c>
    </row>
    <row r="2633">
      <c r="D2633" t="str">
        <f>IFERROR(__xludf.DUMMYFUNCTION("""COMPUTED_VALUE"""),"Brown")</f>
        <v>Brown</v>
      </c>
      <c r="E2633" t="str">
        <f>IFERROR(__xludf.DUMMYFUNCTION("""COMPUTED_VALUE"""),"Philly")</f>
        <v>Philly</v>
      </c>
      <c r="F2633">
        <f>IFERROR(__xludf.DUMMYFUNCTION("""COMPUTED_VALUE"""),15.4)</f>
        <v>15.4</v>
      </c>
    </row>
    <row r="2634">
      <c r="D2634" t="str">
        <f>IFERROR(__xludf.DUMMYFUNCTION("""COMPUTED_VALUE"""),"Brown")</f>
        <v>Brown</v>
      </c>
      <c r="E2634" t="str">
        <f>IFERROR(__xludf.DUMMYFUNCTION("""COMPUTED_VALUE"""),"Preston")</f>
        <v>Preston</v>
      </c>
      <c r="F2634">
        <f>IFERROR(__xludf.DUMMYFUNCTION("""COMPUTED_VALUE"""),14.8)</f>
        <v>14.8</v>
      </c>
    </row>
    <row r="2635">
      <c r="D2635" t="str">
        <f>IFERROR(__xludf.DUMMYFUNCTION("""COMPUTED_VALUE"""),"Brown")</f>
        <v>Brown</v>
      </c>
      <c r="E2635" t="str">
        <f>IFERROR(__xludf.DUMMYFUNCTION("""COMPUTED_VALUE"""),"Ryan")</f>
        <v>Ryan</v>
      </c>
      <c r="F2635">
        <f>IFERROR(__xludf.DUMMYFUNCTION("""COMPUTED_VALUE"""),11.8)</f>
        <v>11.8</v>
      </c>
    </row>
    <row r="2636">
      <c r="D2636" t="str">
        <f>IFERROR(__xludf.DUMMYFUNCTION("""COMPUTED_VALUE"""),"Brown")</f>
        <v>Brown</v>
      </c>
      <c r="E2636" t="str">
        <f>IFERROR(__xludf.DUMMYFUNCTION("""COMPUTED_VALUE"""),"Trent")</f>
        <v>Trent</v>
      </c>
      <c r="F2636">
        <f>IFERROR(__xludf.DUMMYFUNCTION("""COMPUTED_VALUE"""),15.0)</f>
        <v>15</v>
      </c>
    </row>
    <row r="2637">
      <c r="D2637" t="str">
        <f>IFERROR(__xludf.DUMMYFUNCTION("""COMPUTED_VALUE"""),"Brown")</f>
        <v>Brown</v>
      </c>
      <c r="E2637" t="str">
        <f>IFERROR(__xludf.DUMMYFUNCTION("""COMPUTED_VALUE"""),"Zach")</f>
        <v>Zach</v>
      </c>
      <c r="F2637">
        <f>IFERROR(__xludf.DUMMYFUNCTION("""COMPUTED_VALUE"""),17.0)</f>
        <v>17</v>
      </c>
    </row>
    <row r="2638">
      <c r="D2638" t="str">
        <f>IFERROR(__xludf.DUMMYFUNCTION("""COMPUTED_VALUE"""),"Brunskill")</f>
        <v>Brunskill</v>
      </c>
      <c r="E2638" t="str">
        <f>IFERROR(__xludf.DUMMYFUNCTION("""COMPUTED_VALUE"""),"Daniel")</f>
        <v>Daniel</v>
      </c>
      <c r="F2638">
        <f>IFERROR(__xludf.DUMMYFUNCTION("""COMPUTED_VALUE"""),12.200000000000001)</f>
        <v>12.2</v>
      </c>
    </row>
    <row r="2639">
      <c r="D2639" t="str">
        <f>IFERROR(__xludf.DUMMYFUNCTION("""COMPUTED_VALUE"""),"Bryant")</f>
        <v>Bryant</v>
      </c>
      <c r="E2639" t="str">
        <f>IFERROR(__xludf.DUMMYFUNCTION("""COMPUTED_VALUE"""),"Armonty")</f>
        <v>Armonty</v>
      </c>
      <c r="F2639">
        <f>IFERROR(__xludf.DUMMYFUNCTION("""COMPUTED_VALUE"""),14.200000000000001)</f>
        <v>14.2</v>
      </c>
    </row>
    <row r="2640">
      <c r="D2640" t="str">
        <f>IFERROR(__xludf.DUMMYFUNCTION("""COMPUTED_VALUE"""),"Bryant")</f>
        <v>Bryant</v>
      </c>
      <c r="E2640" t="str">
        <f>IFERROR(__xludf.DUMMYFUNCTION("""COMPUTED_VALUE"""),"Corbin")</f>
        <v>Corbin</v>
      </c>
      <c r="F2640">
        <f>IFERROR(__xludf.DUMMYFUNCTION("""COMPUTED_VALUE"""),14.200000000000001)</f>
        <v>14.2</v>
      </c>
    </row>
    <row r="2641">
      <c r="D2641" t="str">
        <f>IFERROR(__xludf.DUMMYFUNCTION("""COMPUTED_VALUE"""),"Bryant")</f>
        <v>Bryant</v>
      </c>
      <c r="E2641" t="str">
        <f>IFERROR(__xludf.DUMMYFUNCTION("""COMPUTED_VALUE"""),"Desmond")</f>
        <v>Desmond</v>
      </c>
      <c r="F2641">
        <f>IFERROR(__xludf.DUMMYFUNCTION("""COMPUTED_VALUE"""),15.8)</f>
        <v>15.8</v>
      </c>
    </row>
    <row r="2642">
      <c r="D2642" t="str">
        <f>IFERROR(__xludf.DUMMYFUNCTION("""COMPUTED_VALUE"""),"Bryant")</f>
        <v>Bryant</v>
      </c>
      <c r="E2642" t="str">
        <f>IFERROR(__xludf.DUMMYFUNCTION("""COMPUTED_VALUE"""),"Dez")</f>
        <v>Dez</v>
      </c>
      <c r="F2642">
        <f>IFERROR(__xludf.DUMMYFUNCTION("""COMPUTED_VALUE"""),18.2)</f>
        <v>18.2</v>
      </c>
    </row>
    <row r="2643">
      <c r="D2643" t="str">
        <f>IFERROR(__xludf.DUMMYFUNCTION("""COMPUTED_VALUE"""),"Bryant")</f>
        <v>Bryant</v>
      </c>
      <c r="E2643" t="str">
        <f>IFERROR(__xludf.DUMMYFUNCTION("""COMPUTED_VALUE"""),"Martavis")</f>
        <v>Martavis</v>
      </c>
      <c r="F2643">
        <f>IFERROR(__xludf.DUMMYFUNCTION("""COMPUTED_VALUE"""),16.0)</f>
        <v>16</v>
      </c>
    </row>
    <row r="2644">
      <c r="D2644" t="str">
        <f>IFERROR(__xludf.DUMMYFUNCTION("""COMPUTED_VALUE"""),"Bryant")</f>
        <v>Bryant</v>
      </c>
      <c r="E2644" t="str">
        <f>IFERROR(__xludf.DUMMYFUNCTION("""COMPUTED_VALUE"""),"Matt")</f>
        <v>Matt</v>
      </c>
      <c r="F2644">
        <f>IFERROR(__xludf.DUMMYFUNCTION("""COMPUTED_VALUE"""),17.0)</f>
        <v>17</v>
      </c>
    </row>
    <row r="2645">
      <c r="D2645" t="str">
        <f>IFERROR(__xludf.DUMMYFUNCTION("""COMPUTED_VALUE"""),"Bucannon")</f>
        <v>Bucannon</v>
      </c>
      <c r="E2645" t="str">
        <f>IFERROR(__xludf.DUMMYFUNCTION("""COMPUTED_VALUE"""),"Deone")</f>
        <v>Deone</v>
      </c>
      <c r="F2645">
        <f>IFERROR(__xludf.DUMMYFUNCTION("""COMPUTED_VALUE"""),16.0)</f>
        <v>16</v>
      </c>
    </row>
    <row r="2646">
      <c r="D2646" t="str">
        <f>IFERROR(__xludf.DUMMYFUNCTION("""COMPUTED_VALUE"""),"Buckner")</f>
        <v>Buckner</v>
      </c>
      <c r="E2646" t="str">
        <f>IFERROR(__xludf.DUMMYFUNCTION("""COMPUTED_VALUE"""),"DeForest")</f>
        <v>DeForest</v>
      </c>
      <c r="F2646">
        <f>IFERROR(__xludf.DUMMYFUNCTION("""COMPUTED_VALUE"""),15.8)</f>
        <v>15.8</v>
      </c>
    </row>
    <row r="2647">
      <c r="D2647" t="str">
        <f>IFERROR(__xludf.DUMMYFUNCTION("""COMPUTED_VALUE"""),"Bulaga")</f>
        <v>Bulaga</v>
      </c>
      <c r="E2647" t="str">
        <f>IFERROR(__xludf.DUMMYFUNCTION("""COMPUTED_VALUE"""),"Bryan")</f>
        <v>Bryan</v>
      </c>
      <c r="F2647">
        <f>IFERROR(__xludf.DUMMYFUNCTION("""COMPUTED_VALUE"""),17.2)</f>
        <v>17.2</v>
      </c>
    </row>
    <row r="2648">
      <c r="D2648" t="str">
        <f>IFERROR(__xludf.DUMMYFUNCTION("""COMPUTED_VALUE"""),"Bullard")</f>
        <v>Bullard</v>
      </c>
      <c r="E2648" t="str">
        <f>IFERROR(__xludf.DUMMYFUNCTION("""COMPUTED_VALUE"""),"Jonathan")</f>
        <v>Jonathan</v>
      </c>
      <c r="F2648">
        <f>IFERROR(__xludf.DUMMYFUNCTION("""COMPUTED_VALUE"""),13.8)</f>
        <v>13.8</v>
      </c>
    </row>
    <row r="2649">
      <c r="D2649" t="str">
        <f>IFERROR(__xludf.DUMMYFUNCTION("""COMPUTED_VALUE"""),"Bullock")</f>
        <v>Bullock</v>
      </c>
      <c r="E2649" t="str">
        <f>IFERROR(__xludf.DUMMYFUNCTION("""COMPUTED_VALUE"""),"Randy")</f>
        <v>Randy</v>
      </c>
      <c r="F2649">
        <f>IFERROR(__xludf.DUMMYFUNCTION("""COMPUTED_VALUE"""),14.8)</f>
        <v>14.8</v>
      </c>
    </row>
    <row r="2650">
      <c r="D2650" t="str">
        <f>IFERROR(__xludf.DUMMYFUNCTION("""COMPUTED_VALUE"""),"Bullough")</f>
        <v>Bullough</v>
      </c>
      <c r="E2650" t="str">
        <f>IFERROR(__xludf.DUMMYFUNCTION("""COMPUTED_VALUE"""),"Riley")</f>
        <v>Riley</v>
      </c>
      <c r="F2650">
        <f>IFERROR(__xludf.DUMMYFUNCTION("""COMPUTED_VALUE"""),12.200000000000001)</f>
        <v>12.2</v>
      </c>
    </row>
    <row r="2651">
      <c r="D2651" t="str">
        <f>IFERROR(__xludf.DUMMYFUNCTION("""COMPUTED_VALUE"""),"Bundy")</f>
        <v>Bundy</v>
      </c>
      <c r="E2651" t="str">
        <f>IFERROR(__xludf.DUMMYFUNCTION("""COMPUTED_VALUE"""),"Marquis")</f>
        <v>Marquis</v>
      </c>
      <c r="F2651">
        <f>IFERROR(__xludf.DUMMYFUNCTION("""COMPUTED_VALUE"""),12.4)</f>
        <v>12.4</v>
      </c>
    </row>
    <row r="2652">
      <c r="D2652" t="str">
        <f>IFERROR(__xludf.DUMMYFUNCTION("""COMPUTED_VALUE"""),"Burbridge")</f>
        <v>Burbridge</v>
      </c>
      <c r="E2652" t="str">
        <f>IFERROR(__xludf.DUMMYFUNCTION("""COMPUTED_VALUE"""),"Aaron")</f>
        <v>Aaron</v>
      </c>
      <c r="F2652">
        <f>IFERROR(__xludf.DUMMYFUNCTION("""COMPUTED_VALUE"""),13.4)</f>
        <v>13.4</v>
      </c>
    </row>
    <row r="2653">
      <c r="D2653" t="str">
        <f>IFERROR(__xludf.DUMMYFUNCTION("""COMPUTED_VALUE"""),"Burfict")</f>
        <v>Burfict</v>
      </c>
      <c r="E2653" t="str">
        <f>IFERROR(__xludf.DUMMYFUNCTION("""COMPUTED_VALUE"""),"Vontaze")</f>
        <v>Vontaze</v>
      </c>
      <c r="F2653">
        <f>IFERROR(__xludf.DUMMYFUNCTION("""COMPUTED_VALUE"""),17.400000000000002)</f>
        <v>17.4</v>
      </c>
    </row>
    <row r="2654">
      <c r="D2654" t="str">
        <f>IFERROR(__xludf.DUMMYFUNCTION("""COMPUTED_VALUE"""),"Burgess")</f>
        <v>Burgess</v>
      </c>
      <c r="E2654" t="str">
        <f>IFERROR(__xludf.DUMMYFUNCTION("""COMPUTED_VALUE"""),"James")</f>
        <v>James</v>
      </c>
      <c r="F2654">
        <f>IFERROR(__xludf.DUMMYFUNCTION("""COMPUTED_VALUE"""),12.0)</f>
        <v>12</v>
      </c>
    </row>
    <row r="2655">
      <c r="D2655" t="str">
        <f>IFERROR(__xludf.DUMMYFUNCTION("""COMPUTED_VALUE"""),"Burkhead")</f>
        <v>Burkhead</v>
      </c>
      <c r="E2655" t="str">
        <f>IFERROR(__xludf.DUMMYFUNCTION("""COMPUTED_VALUE"""),"Rex")</f>
        <v>Rex</v>
      </c>
      <c r="F2655">
        <f>IFERROR(__xludf.DUMMYFUNCTION("""COMPUTED_VALUE"""),15.200000000000001)</f>
        <v>15.2</v>
      </c>
    </row>
    <row r="2656">
      <c r="D2656" t="str">
        <f>IFERROR(__xludf.DUMMYFUNCTION("""COMPUTED_VALUE"""),"Burley")</f>
        <v>Burley</v>
      </c>
      <c r="E2656" t="str">
        <f>IFERROR(__xludf.DUMMYFUNCTION("""COMPUTED_VALUE"""),"Marcus")</f>
        <v>Marcus</v>
      </c>
      <c r="F2656">
        <f>IFERROR(__xludf.DUMMYFUNCTION("""COMPUTED_VALUE"""),13.8)</f>
        <v>13.8</v>
      </c>
    </row>
    <row r="2657">
      <c r="D2657" t="str">
        <f>IFERROR(__xludf.DUMMYFUNCTION("""COMPUTED_VALUE"""),"Burnett")</f>
        <v>Burnett</v>
      </c>
      <c r="E2657" t="str">
        <f>IFERROR(__xludf.DUMMYFUNCTION("""COMPUTED_VALUE"""),"Morgan")</f>
        <v>Morgan</v>
      </c>
      <c r="F2657">
        <f>IFERROR(__xludf.DUMMYFUNCTION("""COMPUTED_VALUE"""),17.2)</f>
        <v>17.2</v>
      </c>
    </row>
    <row r="2658">
      <c r="D2658" t="str">
        <f>IFERROR(__xludf.DUMMYFUNCTION("""COMPUTED_VALUE"""),"Burns")</f>
        <v>Burns</v>
      </c>
      <c r="E2658" t="str">
        <f>IFERROR(__xludf.DUMMYFUNCTION("""COMPUTED_VALUE"""),"Artie")</f>
        <v>Artie</v>
      </c>
      <c r="F2658">
        <f>IFERROR(__xludf.DUMMYFUNCTION("""COMPUTED_VALUE"""),15.600000000000001)</f>
        <v>15.6</v>
      </c>
    </row>
    <row r="2659">
      <c r="D2659" t="str">
        <f>IFERROR(__xludf.DUMMYFUNCTION("""COMPUTED_VALUE"""),"Burris")</f>
        <v>Burris</v>
      </c>
      <c r="E2659" t="str">
        <f>IFERROR(__xludf.DUMMYFUNCTION("""COMPUTED_VALUE"""),"Juston")</f>
        <v>Juston</v>
      </c>
      <c r="F2659">
        <f>IFERROR(__xludf.DUMMYFUNCTION("""COMPUTED_VALUE"""),13.8)</f>
        <v>13.8</v>
      </c>
    </row>
    <row r="2660">
      <c r="D2660" t="str">
        <f>IFERROR(__xludf.DUMMYFUNCTION("""COMPUTED_VALUE"""),"Burse")</f>
        <v>Burse</v>
      </c>
      <c r="E2660" t="str">
        <f>IFERROR(__xludf.DUMMYFUNCTION("""COMPUTED_VALUE"""),"Isaiah")</f>
        <v>Isaiah</v>
      </c>
      <c r="F2660">
        <f>IFERROR(__xludf.DUMMYFUNCTION("""COMPUTED_VALUE"""),12.200000000000001)</f>
        <v>12.2</v>
      </c>
    </row>
    <row r="2661">
      <c r="D2661" t="str">
        <f>IFERROR(__xludf.DUMMYFUNCTION("""COMPUTED_VALUE"""),"Burton")</f>
        <v>Burton</v>
      </c>
      <c r="E2661" t="str">
        <f>IFERROR(__xludf.DUMMYFUNCTION("""COMPUTED_VALUE"""),"Trey")</f>
        <v>Trey</v>
      </c>
      <c r="F2661">
        <f>IFERROR(__xludf.DUMMYFUNCTION("""COMPUTED_VALUE"""),15.8)</f>
        <v>15.8</v>
      </c>
    </row>
    <row r="2662">
      <c r="D2662" t="str">
        <f>IFERROR(__xludf.DUMMYFUNCTION("""COMPUTED_VALUE"""),"Burwell")</f>
        <v>Burwell</v>
      </c>
      <c r="E2662" t="str">
        <f>IFERROR(__xludf.DUMMYFUNCTION("""COMPUTED_VALUE"""),"Tyreek")</f>
        <v>Tyreek</v>
      </c>
      <c r="F2662">
        <f>IFERROR(__xludf.DUMMYFUNCTION("""COMPUTED_VALUE"""),12.4)</f>
        <v>12.4</v>
      </c>
    </row>
    <row r="2663">
      <c r="D2663" t="str">
        <f>IFERROR(__xludf.DUMMYFUNCTION("""COMPUTED_VALUE"""),"Bush")</f>
        <v>Bush</v>
      </c>
      <c r="E2663" t="str">
        <f>IFERROR(__xludf.DUMMYFUNCTION("""COMPUTED_VALUE"""),"Deon")</f>
        <v>Deon</v>
      </c>
      <c r="F2663">
        <f>IFERROR(__xludf.DUMMYFUNCTION("""COMPUTED_VALUE"""),13.200000000000001)</f>
        <v>13.2</v>
      </c>
    </row>
    <row r="2664">
      <c r="D2664" t="str">
        <f>IFERROR(__xludf.DUMMYFUNCTION("""COMPUTED_VALUE"""),"Bush")</f>
        <v>Bush</v>
      </c>
      <c r="E2664" t="str">
        <f>IFERROR(__xludf.DUMMYFUNCTION("""COMPUTED_VALUE"""),"Rafael")</f>
        <v>Rafael</v>
      </c>
      <c r="F2664">
        <f>IFERROR(__xludf.DUMMYFUNCTION("""COMPUTED_VALUE"""),15.0)</f>
        <v>15</v>
      </c>
    </row>
    <row r="2665">
      <c r="D2665" t="str">
        <f>IFERROR(__xludf.DUMMYFUNCTION("""COMPUTED_VALUE"""),"Bushrod")</f>
        <v>Bushrod</v>
      </c>
      <c r="E2665" t="str">
        <f>IFERROR(__xludf.DUMMYFUNCTION("""COMPUTED_VALUE"""),"Jermon")</f>
        <v>Jermon</v>
      </c>
      <c r="F2665">
        <f>IFERROR(__xludf.DUMMYFUNCTION("""COMPUTED_VALUE"""),14.4)</f>
        <v>14.4</v>
      </c>
    </row>
    <row r="2666">
      <c r="D2666" t="str">
        <f>IFERROR(__xludf.DUMMYFUNCTION("""COMPUTED_VALUE"""),"Butker")</f>
        <v>Butker</v>
      </c>
      <c r="E2666" t="str">
        <f>IFERROR(__xludf.DUMMYFUNCTION("""COMPUTED_VALUE"""),"Harrison")</f>
        <v>Harrison</v>
      </c>
      <c r="F2666">
        <f>IFERROR(__xludf.DUMMYFUNCTION("""COMPUTED_VALUE"""),14.4)</f>
        <v>14.4</v>
      </c>
    </row>
    <row r="2667">
      <c r="D2667" t="str">
        <f>IFERROR(__xludf.DUMMYFUNCTION("""COMPUTED_VALUE"""),"Butler")</f>
        <v>Butler</v>
      </c>
      <c r="E2667" t="str">
        <f>IFERROR(__xludf.DUMMYFUNCTION("""COMPUTED_VALUE"""),"Brice")</f>
        <v>Brice</v>
      </c>
      <c r="F2667">
        <f>IFERROR(__xludf.DUMMYFUNCTION("""COMPUTED_VALUE"""),14.8)</f>
        <v>14.8</v>
      </c>
    </row>
    <row r="2668">
      <c r="D2668" t="str">
        <f>IFERROR(__xludf.DUMMYFUNCTION("""COMPUTED_VALUE"""),"Butler")</f>
        <v>Butler</v>
      </c>
      <c r="E2668" t="str">
        <f>IFERROR(__xludf.DUMMYFUNCTION("""COMPUTED_VALUE"""),"Darius")</f>
        <v>Darius</v>
      </c>
      <c r="F2668">
        <f>IFERROR(__xludf.DUMMYFUNCTION("""COMPUTED_VALUE"""),16.400000000000002)</f>
        <v>16.4</v>
      </c>
    </row>
    <row r="2669">
      <c r="D2669" t="str">
        <f>IFERROR(__xludf.DUMMYFUNCTION("""COMPUTED_VALUE"""),"Butler")</f>
        <v>Butler</v>
      </c>
      <c r="E2669" t="str">
        <f>IFERROR(__xludf.DUMMYFUNCTION("""COMPUTED_VALUE"""),"Jeremy")</f>
        <v>Jeremy</v>
      </c>
      <c r="F2669">
        <f>IFERROR(__xludf.DUMMYFUNCTION("""COMPUTED_VALUE"""),12.600000000000001)</f>
        <v>12.6</v>
      </c>
    </row>
    <row r="2670">
      <c r="D2670" t="str">
        <f>IFERROR(__xludf.DUMMYFUNCTION("""COMPUTED_VALUE"""),"Butler")</f>
        <v>Butler</v>
      </c>
      <c r="E2670" t="str">
        <f>IFERROR(__xludf.DUMMYFUNCTION("""COMPUTED_VALUE"""),"Malcolm")</f>
        <v>Malcolm</v>
      </c>
      <c r="F2670">
        <f>IFERROR(__xludf.DUMMYFUNCTION("""COMPUTED_VALUE"""),18.400000000000002)</f>
        <v>18.4</v>
      </c>
    </row>
    <row r="2671">
      <c r="D2671" t="str">
        <f>IFERROR(__xludf.DUMMYFUNCTION("""COMPUTED_VALUE"""),"Butler")</f>
        <v>Butler</v>
      </c>
      <c r="E2671" t="str">
        <f>IFERROR(__xludf.DUMMYFUNCTION("""COMPUTED_VALUE"""),"Vernon")</f>
        <v>Vernon</v>
      </c>
      <c r="F2671">
        <f>IFERROR(__xludf.DUMMYFUNCTION("""COMPUTED_VALUE"""),15.0)</f>
        <v>15</v>
      </c>
    </row>
    <row r="2672">
      <c r="D2672" t="str">
        <f>IFERROR(__xludf.DUMMYFUNCTION("""COMPUTED_VALUE"""),"Butt")</f>
        <v>Butt</v>
      </c>
      <c r="E2672" t="str">
        <f>IFERROR(__xludf.DUMMYFUNCTION("""COMPUTED_VALUE"""),"Jake")</f>
        <v>Jake</v>
      </c>
      <c r="F2672">
        <f>IFERROR(__xludf.DUMMYFUNCTION("""COMPUTED_VALUE"""),14.8)</f>
        <v>14.8</v>
      </c>
    </row>
    <row r="2673">
      <c r="D2673" t="str">
        <f>IFERROR(__xludf.DUMMYFUNCTION("""COMPUTED_VALUE"""),"Byard")</f>
        <v>Byard</v>
      </c>
      <c r="E2673" t="str">
        <f>IFERROR(__xludf.DUMMYFUNCTION("""COMPUTED_VALUE"""),"Kevin")</f>
        <v>Kevin</v>
      </c>
      <c r="F2673">
        <f>IFERROR(__xludf.DUMMYFUNCTION("""COMPUTED_VALUE"""),15.200000000000001)</f>
        <v>15.2</v>
      </c>
    </row>
    <row r="2674">
      <c r="D2674" t="str">
        <f>IFERROR(__xludf.DUMMYFUNCTION("""COMPUTED_VALUE"""),"Byrd")</f>
        <v>Byrd</v>
      </c>
      <c r="E2674" t="str">
        <f>IFERROR(__xludf.DUMMYFUNCTION("""COMPUTED_VALUE"""),"Damiere")</f>
        <v>Damiere</v>
      </c>
      <c r="F2674">
        <f>IFERROR(__xludf.DUMMYFUNCTION("""COMPUTED_VALUE"""),11.600000000000001)</f>
        <v>11.6</v>
      </c>
    </row>
    <row r="2675">
      <c r="D2675" t="str">
        <f>IFERROR(__xludf.DUMMYFUNCTION("""COMPUTED_VALUE"""),"Cadet")</f>
        <v>Cadet</v>
      </c>
      <c r="E2675" t="str">
        <f>IFERROR(__xludf.DUMMYFUNCTION("""COMPUTED_VALUE"""),"Travaris")</f>
        <v>Travaris</v>
      </c>
      <c r="F2675">
        <f>IFERROR(__xludf.DUMMYFUNCTION("""COMPUTED_VALUE"""),14.0)</f>
        <v>14</v>
      </c>
    </row>
    <row r="2676">
      <c r="D2676" t="str">
        <f>IFERROR(__xludf.DUMMYFUNCTION("""COMPUTED_VALUE"""),"Caldwell")</f>
        <v>Caldwell</v>
      </c>
      <c r="E2676" t="str">
        <f>IFERROR(__xludf.DUMMYFUNCTION("""COMPUTED_VALUE"""),"Trey")</f>
        <v>Trey</v>
      </c>
      <c r="F2676">
        <f>IFERROR(__xludf.DUMMYFUNCTION("""COMPUTED_VALUE"""),12.200000000000001)</f>
        <v>12.2</v>
      </c>
    </row>
    <row r="2677">
      <c r="D2677" t="str">
        <f>IFERROR(__xludf.DUMMYFUNCTION("""COMPUTED_VALUE"""),"Calhoun")</f>
        <v>Calhoun</v>
      </c>
      <c r="E2677" t="str">
        <f>IFERROR(__xludf.DUMMYFUNCTION("""COMPUTED_VALUE"""),"Shilique")</f>
        <v>Shilique</v>
      </c>
      <c r="F2677">
        <f>IFERROR(__xludf.DUMMYFUNCTION("""COMPUTED_VALUE"""),13.4)</f>
        <v>13.4</v>
      </c>
    </row>
    <row r="2678">
      <c r="D2678" t="str">
        <f>IFERROR(__xludf.DUMMYFUNCTION("""COMPUTED_VALUE"""),"Calhoun")</f>
        <v>Calhoun</v>
      </c>
      <c r="E2678" t="str">
        <f>IFERROR(__xludf.DUMMYFUNCTION("""COMPUTED_VALUE"""),"Taveze")</f>
        <v>Taveze</v>
      </c>
      <c r="F2678">
        <f>IFERROR(__xludf.DUMMYFUNCTION("""COMPUTED_VALUE"""),12.4)</f>
        <v>12.4</v>
      </c>
    </row>
    <row r="2679">
      <c r="D2679" t="str">
        <f>IFERROR(__xludf.DUMMYFUNCTION("""COMPUTED_VALUE"""),"Callahan")</f>
        <v>Callahan</v>
      </c>
      <c r="E2679" t="str">
        <f>IFERROR(__xludf.DUMMYFUNCTION("""COMPUTED_VALUE"""),"Bryce")</f>
        <v>Bryce</v>
      </c>
      <c r="F2679">
        <f>IFERROR(__xludf.DUMMYFUNCTION("""COMPUTED_VALUE"""),15.200000000000001)</f>
        <v>15.2</v>
      </c>
    </row>
    <row r="2680">
      <c r="D2680" t="str">
        <f>IFERROR(__xludf.DUMMYFUNCTION("""COMPUTED_VALUE"""),"Callahan")</f>
        <v>Callahan</v>
      </c>
      <c r="E2680" t="str">
        <f>IFERROR(__xludf.DUMMYFUNCTION("""COMPUTED_VALUE"""),"Joe")</f>
        <v>Joe</v>
      </c>
      <c r="F2680">
        <f>IFERROR(__xludf.DUMMYFUNCTION("""COMPUTED_VALUE"""),12.4)</f>
        <v>12.4</v>
      </c>
    </row>
    <row r="2681">
      <c r="D2681" t="str">
        <f>IFERROR(__xludf.DUMMYFUNCTION("""COMPUTED_VALUE"""),"Calvin")</f>
        <v>Calvin</v>
      </c>
      <c r="E2681" t="str">
        <f>IFERROR(__xludf.DUMMYFUNCTION("""COMPUTED_VALUE"""),"Johnathan")</f>
        <v>Johnathan</v>
      </c>
      <c r="F2681">
        <f>IFERROR(__xludf.DUMMYFUNCTION("""COMPUTED_VALUE"""),12.200000000000001)</f>
        <v>12.2</v>
      </c>
    </row>
    <row r="2682">
      <c r="D2682" t="str">
        <f>IFERROR(__xludf.DUMMYFUNCTION("""COMPUTED_VALUE"""),"Campanaro")</f>
        <v>Campanaro</v>
      </c>
      <c r="E2682" t="str">
        <f>IFERROR(__xludf.DUMMYFUNCTION("""COMPUTED_VALUE"""),"Michael")</f>
        <v>Michael</v>
      </c>
      <c r="F2682">
        <f>IFERROR(__xludf.DUMMYFUNCTION("""COMPUTED_VALUE"""),14.200000000000001)</f>
        <v>14.2</v>
      </c>
    </row>
    <row r="2683">
      <c r="D2683" t="str">
        <f>IFERROR(__xludf.DUMMYFUNCTION("""COMPUTED_VALUE"""),"Campbell")</f>
        <v>Campbell</v>
      </c>
      <c r="E2683" t="str">
        <f>IFERROR(__xludf.DUMMYFUNCTION("""COMPUTED_VALUE"""),"Calais")</f>
        <v>Calais</v>
      </c>
      <c r="F2683">
        <f>IFERROR(__xludf.DUMMYFUNCTION("""COMPUTED_VALUE"""),18.2)</f>
        <v>18.2</v>
      </c>
    </row>
    <row r="2684">
      <c r="D2684" t="str">
        <f>IFERROR(__xludf.DUMMYFUNCTION("""COMPUTED_VALUE"""),"Campbell")</f>
        <v>Campbell</v>
      </c>
      <c r="E2684" t="str">
        <f>IFERROR(__xludf.DUMMYFUNCTION("""COMPUTED_VALUE"""),"DeVondre")</f>
        <v>DeVondre</v>
      </c>
      <c r="F2684">
        <f>IFERROR(__xludf.DUMMYFUNCTION("""COMPUTED_VALUE"""),14.600000000000001)</f>
        <v>14.6</v>
      </c>
    </row>
    <row r="2685">
      <c r="D2685" t="str">
        <f>IFERROR(__xludf.DUMMYFUNCTION("""COMPUTED_VALUE"""),"Campbell")</f>
        <v>Campbell</v>
      </c>
      <c r="E2685" t="str">
        <f>IFERROR(__xludf.DUMMYFUNCTION("""COMPUTED_VALUE"""),"Ibraheim")</f>
        <v>Ibraheim</v>
      </c>
      <c r="F2685">
        <f>IFERROR(__xludf.DUMMYFUNCTION("""COMPUTED_VALUE"""),14.0)</f>
        <v>14</v>
      </c>
    </row>
    <row r="2686">
      <c r="D2686" t="str">
        <f>IFERROR(__xludf.DUMMYFUNCTION("""COMPUTED_VALUE"""),"Canaday")</f>
        <v>Canaday</v>
      </c>
      <c r="E2686" t="str">
        <f>IFERROR(__xludf.DUMMYFUNCTION("""COMPUTED_VALUE"""),"Kameron")</f>
        <v>Kameron</v>
      </c>
      <c r="F2686">
        <f>IFERROR(__xludf.DUMMYFUNCTION("""COMPUTED_VALUE"""),8.4)</f>
        <v>8.4</v>
      </c>
    </row>
    <row r="2687">
      <c r="D2687" t="str">
        <f>IFERROR(__xludf.DUMMYFUNCTION("""COMPUTED_VALUE"""),"Canady")</f>
        <v>Canady</v>
      </c>
      <c r="E2687" t="str">
        <f>IFERROR(__xludf.DUMMYFUNCTION("""COMPUTED_VALUE"""),"Maurice")</f>
        <v>Maurice</v>
      </c>
      <c r="F2687">
        <f>IFERROR(__xludf.DUMMYFUNCTION("""COMPUTED_VALUE"""),12.8)</f>
        <v>12.8</v>
      </c>
    </row>
    <row r="2688">
      <c r="D2688" t="str">
        <f>IFERROR(__xludf.DUMMYFUNCTION("""COMPUTED_VALUE"""),"Cann")</f>
        <v>Cann</v>
      </c>
      <c r="E2688" t="str">
        <f>IFERROR(__xludf.DUMMYFUNCTION("""COMPUTED_VALUE"""),"AJ")</f>
        <v>AJ</v>
      </c>
      <c r="F2688">
        <f>IFERROR(__xludf.DUMMYFUNCTION("""COMPUTED_VALUE"""),14.4)</f>
        <v>14.4</v>
      </c>
    </row>
    <row r="2689">
      <c r="D2689" t="str">
        <f>IFERROR(__xludf.DUMMYFUNCTION("""COMPUTED_VALUE"""),"Cannon")</f>
        <v>Cannon</v>
      </c>
      <c r="E2689" t="str">
        <f>IFERROR(__xludf.DUMMYFUNCTION("""COMPUTED_VALUE"""),"KD")</f>
        <v>KD</v>
      </c>
      <c r="F2689">
        <f>IFERROR(__xludf.DUMMYFUNCTION("""COMPUTED_VALUE"""),13.0)</f>
        <v>13</v>
      </c>
    </row>
    <row r="2690">
      <c r="D2690" t="str">
        <f>IFERROR(__xludf.DUMMYFUNCTION("""COMPUTED_VALUE"""),"Cannon")</f>
        <v>Cannon</v>
      </c>
      <c r="E2690" t="str">
        <f>IFERROR(__xludf.DUMMYFUNCTION("""COMPUTED_VALUE"""),"Marcus")</f>
        <v>Marcus</v>
      </c>
      <c r="F2690">
        <f>IFERROR(__xludf.DUMMYFUNCTION("""COMPUTED_VALUE"""),17.6)</f>
        <v>17.6</v>
      </c>
    </row>
    <row r="2691">
      <c r="D2691" t="str">
        <f>IFERROR(__xludf.DUMMYFUNCTION("""COMPUTED_VALUE"""),"Carder")</f>
        <v>Carder</v>
      </c>
      <c r="E2691" t="str">
        <f>IFERROR(__xludf.DUMMYFUNCTION("""COMPUTED_VALUE"""),"Tank")</f>
        <v>Tank</v>
      </c>
      <c r="F2691">
        <f>IFERROR(__xludf.DUMMYFUNCTION("""COMPUTED_VALUE"""),13.0)</f>
        <v>13</v>
      </c>
    </row>
    <row r="2692">
      <c r="D2692" t="str">
        <f>IFERROR(__xludf.DUMMYFUNCTION("""COMPUTED_VALUE"""),"Cardona")</f>
        <v>Cardona</v>
      </c>
      <c r="E2692" t="str">
        <f>IFERROR(__xludf.DUMMYFUNCTION("""COMPUTED_VALUE"""),"Joe")</f>
        <v>Joe</v>
      </c>
      <c r="F2692">
        <f>IFERROR(__xludf.DUMMYFUNCTION("""COMPUTED_VALUE"""),8.200000000000001)</f>
        <v>8.2</v>
      </c>
    </row>
    <row r="2693">
      <c r="D2693" t="str">
        <f>IFERROR(__xludf.DUMMYFUNCTION("""COMPUTED_VALUE"""),"Carey")</f>
        <v>Carey</v>
      </c>
      <c r="E2693" t="str">
        <f>IFERROR(__xludf.DUMMYFUNCTION("""COMPUTED_VALUE"""),"Don")</f>
        <v>Don</v>
      </c>
      <c r="F2693">
        <f>IFERROR(__xludf.DUMMYFUNCTION("""COMPUTED_VALUE"""),14.0)</f>
        <v>14</v>
      </c>
    </row>
    <row r="2694">
      <c r="D2694" t="str">
        <f>IFERROR(__xludf.DUMMYFUNCTION("""COMPUTED_VALUE"""),"Carey")</f>
        <v>Carey</v>
      </c>
      <c r="E2694" t="str">
        <f>IFERROR(__xludf.DUMMYFUNCTION("""COMPUTED_VALUE"""),"KaDeem")</f>
        <v>KaDeem</v>
      </c>
      <c r="F2694">
        <f>IFERROR(__xludf.DUMMYFUNCTION("""COMPUTED_VALUE"""),14.4)</f>
        <v>14.4</v>
      </c>
    </row>
    <row r="2695">
      <c r="D2695" t="str">
        <f>IFERROR(__xludf.DUMMYFUNCTION("""COMPUTED_VALUE"""),"Carpenter")</f>
        <v>Carpenter</v>
      </c>
      <c r="E2695" t="str">
        <f>IFERROR(__xludf.DUMMYFUNCTION("""COMPUTED_VALUE"""),"James")</f>
        <v>James</v>
      </c>
      <c r="F2695">
        <f>IFERROR(__xludf.DUMMYFUNCTION("""COMPUTED_VALUE"""),16.400000000000002)</f>
        <v>16.4</v>
      </c>
    </row>
    <row r="2696">
      <c r="D2696" t="str">
        <f>IFERROR(__xludf.DUMMYFUNCTION("""COMPUTED_VALUE"""),"Carr")</f>
        <v>Carr</v>
      </c>
      <c r="E2696" t="str">
        <f>IFERROR(__xludf.DUMMYFUNCTION("""COMPUTED_VALUE"""),"Brandon")</f>
        <v>Brandon</v>
      </c>
      <c r="F2696">
        <f>IFERROR(__xludf.DUMMYFUNCTION("""COMPUTED_VALUE"""),15.8)</f>
        <v>15.8</v>
      </c>
    </row>
    <row r="2697">
      <c r="D2697" t="str">
        <f>IFERROR(__xludf.DUMMYFUNCTION("""COMPUTED_VALUE"""),"Carr")</f>
        <v>Carr</v>
      </c>
      <c r="E2697" t="str">
        <f>IFERROR(__xludf.DUMMYFUNCTION("""COMPUTED_VALUE"""),"Derek")</f>
        <v>Derek</v>
      </c>
      <c r="F2697">
        <f>IFERROR(__xludf.DUMMYFUNCTION("""COMPUTED_VALUE"""),17.8)</f>
        <v>17.8</v>
      </c>
    </row>
    <row r="2698">
      <c r="D2698" t="str">
        <f>IFERROR(__xludf.DUMMYFUNCTION("""COMPUTED_VALUE"""),"Carradine")</f>
        <v>Carradine</v>
      </c>
      <c r="E2698" t="str">
        <f>IFERROR(__xludf.DUMMYFUNCTION("""COMPUTED_VALUE"""),"Tank")</f>
        <v>Tank</v>
      </c>
      <c r="F2698">
        <f>IFERROR(__xludf.DUMMYFUNCTION("""COMPUTED_VALUE"""),15.4)</f>
        <v>15.4</v>
      </c>
    </row>
    <row r="2699">
      <c r="D2699" t="str">
        <f>IFERROR(__xludf.DUMMYFUNCTION("""COMPUTED_VALUE"""),"Carraway")</f>
        <v>Carraway</v>
      </c>
      <c r="E2699" t="str">
        <f>IFERROR(__xludf.DUMMYFUNCTION("""COMPUTED_VALUE"""),"Josh")</f>
        <v>Josh</v>
      </c>
      <c r="F2699">
        <f>IFERROR(__xludf.DUMMYFUNCTION("""COMPUTED_VALUE"""),12.8)</f>
        <v>12.8</v>
      </c>
    </row>
    <row r="2700">
      <c r="D2700" t="str">
        <f>IFERROR(__xludf.DUMMYFUNCTION("""COMPUTED_VALUE"""),"Carrell")</f>
        <v>Carrell</v>
      </c>
      <c r="E2700" t="str">
        <f>IFERROR(__xludf.DUMMYFUNCTION("""COMPUTED_VALUE"""),"Jordan")</f>
        <v>Jordan</v>
      </c>
      <c r="F2700">
        <f>IFERROR(__xludf.DUMMYFUNCTION("""COMPUTED_VALUE"""),12.4)</f>
        <v>12.4</v>
      </c>
    </row>
    <row r="2701">
      <c r="D2701" t="str">
        <f>IFERROR(__xludf.DUMMYFUNCTION("""COMPUTED_VALUE"""),"Carrethers")</f>
        <v>Carrethers</v>
      </c>
      <c r="E2701" t="str">
        <f>IFERROR(__xludf.DUMMYFUNCTION("""COMPUTED_VALUE"""),"Ryan")</f>
        <v>Ryan</v>
      </c>
      <c r="F2701">
        <f>IFERROR(__xludf.DUMMYFUNCTION("""COMPUTED_VALUE"""),13.600000000000001)</f>
        <v>13.6</v>
      </c>
    </row>
    <row r="2702">
      <c r="D2702" t="str">
        <f>IFERROR(__xludf.DUMMYFUNCTION("""COMPUTED_VALUE"""),"Carrie")</f>
        <v>Carrie</v>
      </c>
      <c r="E2702" t="str">
        <f>IFERROR(__xludf.DUMMYFUNCTION("""COMPUTED_VALUE"""),"TJ")</f>
        <v>TJ</v>
      </c>
      <c r="F2702">
        <f>IFERROR(__xludf.DUMMYFUNCTION("""COMPUTED_VALUE"""),14.8)</f>
        <v>14.8</v>
      </c>
    </row>
    <row r="2703">
      <c r="D2703" t="str">
        <f>IFERROR(__xludf.DUMMYFUNCTION("""COMPUTED_VALUE"""),"Carrier")</f>
        <v>Carrier</v>
      </c>
      <c r="E2703" t="str">
        <f>IFERROR(__xludf.DUMMYFUNCTION("""COMPUTED_VALUE"""),"Derek")</f>
        <v>Derek</v>
      </c>
      <c r="F2703">
        <f>IFERROR(__xludf.DUMMYFUNCTION("""COMPUTED_VALUE"""),14.4)</f>
        <v>14.4</v>
      </c>
    </row>
    <row r="2704">
      <c r="D2704" t="str">
        <f>IFERROR(__xludf.DUMMYFUNCTION("""COMPUTED_VALUE"""),"Carroll II")</f>
        <v>Carroll II</v>
      </c>
      <c r="E2704" t="str">
        <f>IFERROR(__xludf.DUMMYFUNCTION("""COMPUTED_VALUE"""),"Nolan")</f>
        <v>Nolan</v>
      </c>
      <c r="F2704">
        <f>IFERROR(__xludf.DUMMYFUNCTION("""COMPUTED_VALUE"""),15.200000000000001)</f>
        <v>15.2</v>
      </c>
    </row>
    <row r="2705">
      <c r="D2705" t="str">
        <f>IFERROR(__xludf.DUMMYFUNCTION("""COMPUTED_VALUE"""),"Carroo")</f>
        <v>Carroo</v>
      </c>
      <c r="E2705" t="str">
        <f>IFERROR(__xludf.DUMMYFUNCTION("""COMPUTED_VALUE"""),"Leonte")</f>
        <v>Leonte</v>
      </c>
      <c r="F2705">
        <f>IFERROR(__xludf.DUMMYFUNCTION("""COMPUTED_VALUE"""),13.8)</f>
        <v>13.8</v>
      </c>
    </row>
    <row r="2706">
      <c r="D2706" t="str">
        <f>IFERROR(__xludf.DUMMYFUNCTION("""COMPUTED_VALUE"""),"Carson")</f>
        <v>Carson</v>
      </c>
      <c r="E2706" t="str">
        <f>IFERROR(__xludf.DUMMYFUNCTION("""COMPUTED_VALUE"""),"Chris")</f>
        <v>Chris</v>
      </c>
      <c r="F2706">
        <f>IFERROR(__xludf.DUMMYFUNCTION("""COMPUTED_VALUE"""),13.200000000000001)</f>
        <v>13.2</v>
      </c>
    </row>
    <row r="2707">
      <c r="D2707" t="str">
        <f>IFERROR(__xludf.DUMMYFUNCTION("""COMPUTED_VALUE"""),"Carter")</f>
        <v>Carter</v>
      </c>
      <c r="E2707" t="str">
        <f>IFERROR(__xludf.DUMMYFUNCTION("""COMPUTED_VALUE"""),"Alex")</f>
        <v>Alex</v>
      </c>
      <c r="F2707">
        <f>IFERROR(__xludf.DUMMYFUNCTION("""COMPUTED_VALUE"""),13.4)</f>
        <v>13.4</v>
      </c>
    </row>
    <row r="2708">
      <c r="D2708" t="str">
        <f>IFERROR(__xludf.DUMMYFUNCTION("""COMPUTED_VALUE"""),"Carter")</f>
        <v>Carter</v>
      </c>
      <c r="E2708" t="str">
        <f>IFERROR(__xludf.DUMMYFUNCTION("""COMPUTED_VALUE"""),"Bruce")</f>
        <v>Bruce</v>
      </c>
      <c r="F2708">
        <f>IFERROR(__xludf.DUMMYFUNCTION("""COMPUTED_VALUE"""),14.4)</f>
        <v>14.4</v>
      </c>
    </row>
    <row r="2709">
      <c r="D2709" t="str">
        <f>IFERROR(__xludf.DUMMYFUNCTION("""COMPUTED_VALUE"""),"Carter")</f>
        <v>Carter</v>
      </c>
      <c r="E2709" t="str">
        <f>IFERROR(__xludf.DUMMYFUNCTION("""COMPUTED_VALUE"""),"Cethan")</f>
        <v>Cethan</v>
      </c>
      <c r="F2709">
        <f>IFERROR(__xludf.DUMMYFUNCTION("""COMPUTED_VALUE"""),13.4)</f>
        <v>13.4</v>
      </c>
    </row>
    <row r="2710">
      <c r="D2710" t="str">
        <f>IFERROR(__xludf.DUMMYFUNCTION("""COMPUTED_VALUE"""),"Carter")</f>
        <v>Carter</v>
      </c>
      <c r="E2710" t="str">
        <f>IFERROR(__xludf.DUMMYFUNCTION("""COMPUTED_VALUE"""),"Chris")</f>
        <v>Chris</v>
      </c>
      <c r="F2710">
        <f>IFERROR(__xludf.DUMMYFUNCTION("""COMPUTED_VALUE"""),13.4)</f>
        <v>13.4</v>
      </c>
    </row>
    <row r="2711">
      <c r="D2711" t="str">
        <f>IFERROR(__xludf.DUMMYFUNCTION("""COMPUTED_VALUE"""),"Carter")</f>
        <v>Carter</v>
      </c>
      <c r="E2711" t="str">
        <f>IFERROR(__xludf.DUMMYFUNCTION("""COMPUTED_VALUE"""),"Jamal")</f>
        <v>Jamal</v>
      </c>
      <c r="F2711">
        <f>IFERROR(__xludf.DUMMYFUNCTION("""COMPUTED_VALUE"""),12.4)</f>
        <v>12.4</v>
      </c>
    </row>
    <row r="2712">
      <c r="D2712" t="str">
        <f>IFERROR(__xludf.DUMMYFUNCTION("""COMPUTED_VALUE"""),"Carter")</f>
        <v>Carter</v>
      </c>
      <c r="E2712" t="str">
        <f>IFERROR(__xludf.DUMMYFUNCTION("""COMPUTED_VALUE"""),"Kyle")</f>
        <v>Kyle</v>
      </c>
      <c r="F2712">
        <f>IFERROR(__xludf.DUMMYFUNCTION("""COMPUTED_VALUE"""),11.4)</f>
        <v>11.4</v>
      </c>
    </row>
    <row r="2713">
      <c r="D2713" t="str">
        <f>IFERROR(__xludf.DUMMYFUNCTION("""COMPUTED_VALUE"""),"Casey")</f>
        <v>Casey</v>
      </c>
      <c r="E2713" t="str">
        <f>IFERROR(__xludf.DUMMYFUNCTION("""COMPUTED_VALUE"""),"Jurrell")</f>
        <v>Jurrell</v>
      </c>
      <c r="F2713">
        <f>IFERROR(__xludf.DUMMYFUNCTION("""COMPUTED_VALUE"""),17.2)</f>
        <v>17.2</v>
      </c>
    </row>
    <row r="2714">
      <c r="D2714" t="str">
        <f>IFERROR(__xludf.DUMMYFUNCTION("""COMPUTED_VALUE"""),"Cash")</f>
        <v>Cash</v>
      </c>
      <c r="E2714" t="str">
        <f>IFERROR(__xludf.DUMMYFUNCTION("""COMPUTED_VALUE"""),"Jeremy")</f>
        <v>Jeremy</v>
      </c>
      <c r="F2714">
        <f>IFERROR(__xludf.DUMMYFUNCTION("""COMPUTED_VALUE"""),12.8)</f>
        <v>12.8</v>
      </c>
    </row>
    <row r="2715">
      <c r="D2715" t="str">
        <f>IFERROR(__xludf.DUMMYFUNCTION("""COMPUTED_VALUE"""),"Casher")</f>
        <v>Casher</v>
      </c>
      <c r="E2715" t="str">
        <f>IFERROR(__xludf.DUMMYFUNCTION("""COMPUTED_VALUE"""),"Chris")</f>
        <v>Chris</v>
      </c>
      <c r="F2715">
        <f>IFERROR(__xludf.DUMMYFUNCTION("""COMPUTED_VALUE"""),12.8)</f>
        <v>12.8</v>
      </c>
    </row>
    <row r="2716">
      <c r="D2716" t="str">
        <f>IFERROR(__xludf.DUMMYFUNCTION("""COMPUTED_VALUE"""),"Casillas")</f>
        <v>Casillas</v>
      </c>
      <c r="E2716" t="str">
        <f>IFERROR(__xludf.DUMMYFUNCTION("""COMPUTED_VALUE"""),"Jonathan")</f>
        <v>Jonathan</v>
      </c>
      <c r="F2716">
        <f>IFERROR(__xludf.DUMMYFUNCTION("""COMPUTED_VALUE"""),14.8)</f>
        <v>14.8</v>
      </c>
    </row>
    <row r="2717">
      <c r="D2717" t="str">
        <f>IFERROR(__xludf.DUMMYFUNCTION("""COMPUTED_VALUE"""),"Cassel")</f>
        <v>Cassel</v>
      </c>
      <c r="E2717" t="str">
        <f>IFERROR(__xludf.DUMMYFUNCTION("""COMPUTED_VALUE"""),"Matt")</f>
        <v>Matt</v>
      </c>
      <c r="F2717">
        <f>IFERROR(__xludf.DUMMYFUNCTION("""COMPUTED_VALUE"""),13.8)</f>
        <v>13.8</v>
      </c>
    </row>
    <row r="2718">
      <c r="D2718" t="str">
        <f>IFERROR(__xludf.DUMMYFUNCTION("""COMPUTED_VALUE"""),"Castonzo")</f>
        <v>Castonzo</v>
      </c>
      <c r="E2718" t="str">
        <f>IFERROR(__xludf.DUMMYFUNCTION("""COMPUTED_VALUE"""),"Anthony")</f>
        <v>Anthony</v>
      </c>
      <c r="F2718">
        <f>IFERROR(__xludf.DUMMYFUNCTION("""COMPUTED_VALUE"""),16.6)</f>
        <v>16.6</v>
      </c>
    </row>
    <row r="2719">
      <c r="D2719" t="str">
        <f>IFERROR(__xludf.DUMMYFUNCTION("""COMPUTED_VALUE"""),"Catanzaro")</f>
        <v>Catanzaro</v>
      </c>
      <c r="E2719" t="str">
        <f>IFERROR(__xludf.DUMMYFUNCTION("""COMPUTED_VALUE"""),"Chandler")</f>
        <v>Chandler</v>
      </c>
      <c r="F2719">
        <f>IFERROR(__xludf.DUMMYFUNCTION("""COMPUTED_VALUE"""),15.200000000000001)</f>
        <v>15.2</v>
      </c>
    </row>
    <row r="2720">
      <c r="D2720" t="str">
        <f>IFERROR(__xludf.DUMMYFUNCTION("""COMPUTED_VALUE"""),"Celek")</f>
        <v>Celek</v>
      </c>
      <c r="E2720" t="str">
        <f>IFERROR(__xludf.DUMMYFUNCTION("""COMPUTED_VALUE"""),"Brent")</f>
        <v>Brent</v>
      </c>
      <c r="F2720">
        <f>IFERROR(__xludf.DUMMYFUNCTION("""COMPUTED_VALUE"""),16.400000000000002)</f>
        <v>16.4</v>
      </c>
    </row>
    <row r="2721">
      <c r="D2721" t="str">
        <f>IFERROR(__xludf.DUMMYFUNCTION("""COMPUTED_VALUE"""),"Celek")</f>
        <v>Celek</v>
      </c>
      <c r="E2721" t="str">
        <f>IFERROR(__xludf.DUMMYFUNCTION("""COMPUTED_VALUE"""),"Garrett")</f>
        <v>Garrett</v>
      </c>
      <c r="F2721">
        <f>IFERROR(__xludf.DUMMYFUNCTION("""COMPUTED_VALUE"""),14.0)</f>
        <v>14</v>
      </c>
    </row>
    <row r="2722">
      <c r="D2722" t="str">
        <f>IFERROR(__xludf.DUMMYFUNCTION("""COMPUTED_VALUE"""),"Chancellor")</f>
        <v>Chancellor</v>
      </c>
      <c r="E2722" t="str">
        <f>IFERROR(__xludf.DUMMYFUNCTION("""COMPUTED_VALUE"""),"Kam")</f>
        <v>Kam</v>
      </c>
      <c r="F2722">
        <f>IFERROR(__xludf.DUMMYFUNCTION("""COMPUTED_VALUE"""),19.0)</f>
        <v>19</v>
      </c>
    </row>
    <row r="2723">
      <c r="D2723" t="str">
        <f>IFERROR(__xludf.DUMMYFUNCTION("""COMPUTED_VALUE"""),"Charles")</f>
        <v>Charles</v>
      </c>
      <c r="E2723" t="str">
        <f>IFERROR(__xludf.DUMMYFUNCTION("""COMPUTED_VALUE"""),"Jamaal")</f>
        <v>Jamaal</v>
      </c>
      <c r="F2723">
        <f>IFERROR(__xludf.DUMMYFUNCTION("""COMPUTED_VALUE"""),16.8)</f>
        <v>16.8</v>
      </c>
    </row>
    <row r="2724">
      <c r="D2724" t="str">
        <f>IFERROR(__xludf.DUMMYFUNCTION("""COMPUTED_VALUE"""),"Charles")</f>
        <v>Charles</v>
      </c>
      <c r="E2724" t="str">
        <f>IFERROR(__xludf.DUMMYFUNCTION("""COMPUTED_VALUE"""),"Stefan")</f>
        <v>Stefan</v>
      </c>
      <c r="F2724">
        <f>IFERROR(__xludf.DUMMYFUNCTION("""COMPUTED_VALUE"""),14.200000000000001)</f>
        <v>14.2</v>
      </c>
    </row>
    <row r="2725">
      <c r="D2725" t="str">
        <f>IFERROR(__xludf.DUMMYFUNCTION("""COMPUTED_VALUE"""),"Charlton")</f>
        <v>Charlton</v>
      </c>
      <c r="E2725" t="str">
        <f>IFERROR(__xludf.DUMMYFUNCTION("""COMPUTED_VALUE"""),"Taco")</f>
        <v>Taco</v>
      </c>
      <c r="F2725">
        <f>IFERROR(__xludf.DUMMYFUNCTION("""COMPUTED_VALUE"""),15.0)</f>
        <v>15</v>
      </c>
    </row>
    <row r="2726">
      <c r="D2726" t="str">
        <f>IFERROR(__xludf.DUMMYFUNCTION("""COMPUTED_VALUE"""),"Cheek")</f>
        <v>Cheek</v>
      </c>
      <c r="E2726" t="str">
        <f>IFERROR(__xludf.DUMMYFUNCTION("""COMPUTED_VALUE"""),"Joseph")</f>
        <v>Joseph</v>
      </c>
      <c r="F2726">
        <f>IFERROR(__xludf.DUMMYFUNCTION("""COMPUTED_VALUE"""),11.600000000000001)</f>
        <v>11.6</v>
      </c>
    </row>
    <row r="2727">
      <c r="D2727" t="str">
        <f>IFERROR(__xludf.DUMMYFUNCTION("""COMPUTED_VALUE"""),"Cherry")</f>
        <v>Cherry</v>
      </c>
      <c r="E2727" t="str">
        <f>IFERROR(__xludf.DUMMYFUNCTION("""COMPUTED_VALUE"""),"Don")</f>
        <v>Don</v>
      </c>
      <c r="F2727">
        <f>IFERROR(__xludf.DUMMYFUNCTION("""COMPUTED_VALUE"""),11.4)</f>
        <v>11.4</v>
      </c>
    </row>
    <row r="2728">
      <c r="D2728" t="str">
        <f>IFERROR(__xludf.DUMMYFUNCTION("""COMPUTED_VALUE"""),"Chesson")</f>
        <v>Chesson</v>
      </c>
      <c r="E2728" t="str">
        <f>IFERROR(__xludf.DUMMYFUNCTION("""COMPUTED_VALUE"""),"Jehu")</f>
        <v>Jehu</v>
      </c>
      <c r="F2728">
        <f>IFERROR(__xludf.DUMMYFUNCTION("""COMPUTED_VALUE"""),13.600000000000001)</f>
        <v>13.6</v>
      </c>
    </row>
    <row r="2729">
      <c r="D2729" t="str">
        <f>IFERROR(__xludf.DUMMYFUNCTION("""COMPUTED_VALUE"""),"Chickillo")</f>
        <v>Chickillo</v>
      </c>
      <c r="E2729" t="str">
        <f>IFERROR(__xludf.DUMMYFUNCTION("""COMPUTED_VALUE"""),"Anthony")</f>
        <v>Anthony</v>
      </c>
      <c r="F2729">
        <f>IFERROR(__xludf.DUMMYFUNCTION("""COMPUTED_VALUE"""),13.200000000000001)</f>
        <v>13.2</v>
      </c>
    </row>
    <row r="2730">
      <c r="D2730" t="str">
        <f>IFERROR(__xludf.DUMMYFUNCTION("""COMPUTED_VALUE"""),"Christian")</f>
        <v>Christian</v>
      </c>
      <c r="E2730" t="str">
        <f>IFERROR(__xludf.DUMMYFUNCTION("""COMPUTED_VALUE"""),"Marqui")</f>
        <v>Marqui</v>
      </c>
      <c r="F2730">
        <f>IFERROR(__xludf.DUMMYFUNCTION("""COMPUTED_VALUE"""),12.4)</f>
        <v>12.4</v>
      </c>
    </row>
    <row r="2731">
      <c r="D2731" t="str">
        <f>IFERROR(__xludf.DUMMYFUNCTION("""COMPUTED_VALUE"""),"Chung")</f>
        <v>Chung</v>
      </c>
      <c r="E2731" t="str">
        <f>IFERROR(__xludf.DUMMYFUNCTION("""COMPUTED_VALUE"""),"Patrick")</f>
        <v>Patrick</v>
      </c>
      <c r="F2731">
        <f>IFERROR(__xludf.DUMMYFUNCTION("""COMPUTED_VALUE"""),15.4)</f>
        <v>15.4</v>
      </c>
    </row>
    <row r="2732">
      <c r="D2732" t="str">
        <f>IFERROR(__xludf.DUMMYFUNCTION("""COMPUTED_VALUE"""),"Church")</f>
        <v>Church</v>
      </c>
      <c r="E2732" t="str">
        <f>IFERROR(__xludf.DUMMYFUNCTION("""COMPUTED_VALUE"""),"Barry")</f>
        <v>Barry</v>
      </c>
      <c r="F2732">
        <f>IFERROR(__xludf.DUMMYFUNCTION("""COMPUTED_VALUE"""),16.6)</f>
        <v>16.6</v>
      </c>
    </row>
    <row r="2733">
      <c r="D2733" t="str">
        <f>IFERROR(__xludf.DUMMYFUNCTION("""COMPUTED_VALUE"""),"Cioffi")</f>
        <v>Cioffi</v>
      </c>
      <c r="E2733" t="str">
        <f>IFERROR(__xludf.DUMMYFUNCTION("""COMPUTED_VALUE"""),"Anthony")</f>
        <v>Anthony</v>
      </c>
      <c r="F2733">
        <f>IFERROR(__xludf.DUMMYFUNCTION("""COMPUTED_VALUE"""),12.0)</f>
        <v>12</v>
      </c>
    </row>
    <row r="2734">
      <c r="D2734" t="str">
        <f>IFERROR(__xludf.DUMMYFUNCTION("""COMPUTED_VALUE"""),"Claiborne")</f>
        <v>Claiborne</v>
      </c>
      <c r="E2734" t="str">
        <f>IFERROR(__xludf.DUMMYFUNCTION("""COMPUTED_VALUE"""),"Morris")</f>
        <v>Morris</v>
      </c>
      <c r="F2734">
        <f>IFERROR(__xludf.DUMMYFUNCTION("""COMPUTED_VALUE"""),15.8)</f>
        <v>15.8</v>
      </c>
    </row>
    <row r="2735">
      <c r="D2735" t="str">
        <f>IFERROR(__xludf.DUMMYFUNCTION("""COMPUTED_VALUE"""),"Clark")</f>
        <v>Clark</v>
      </c>
      <c r="E2735" t="str">
        <f>IFERROR(__xludf.DUMMYFUNCTION("""COMPUTED_VALUE"""),"Chris")</f>
        <v>Chris</v>
      </c>
      <c r="F2735">
        <f>IFERROR(__xludf.DUMMYFUNCTION("""COMPUTED_VALUE"""),14.4)</f>
        <v>14.4</v>
      </c>
    </row>
    <row r="2736">
      <c r="D2736" t="str">
        <f>IFERROR(__xludf.DUMMYFUNCTION("""COMPUTED_VALUE"""),"Clark")</f>
        <v>Clark</v>
      </c>
      <c r="E2736" t="str">
        <f>IFERROR(__xludf.DUMMYFUNCTION("""COMPUTED_VALUE"""),"Chuck")</f>
        <v>Chuck</v>
      </c>
      <c r="F2736">
        <f>IFERROR(__xludf.DUMMYFUNCTION("""COMPUTED_VALUE"""),13.0)</f>
        <v>13</v>
      </c>
    </row>
    <row r="2737">
      <c r="D2737" t="str">
        <f>IFERROR(__xludf.DUMMYFUNCTION("""COMPUTED_VALUE"""),"Clark")</f>
        <v>Clark</v>
      </c>
      <c r="E2737" t="str">
        <f>IFERROR(__xludf.DUMMYFUNCTION("""COMPUTED_VALUE"""),"Donavon")</f>
        <v>Donavon</v>
      </c>
      <c r="F2737">
        <f>IFERROR(__xludf.DUMMYFUNCTION("""COMPUTED_VALUE"""),12.600000000000001)</f>
        <v>12.6</v>
      </c>
    </row>
    <row r="2738">
      <c r="D2738" t="str">
        <f>IFERROR(__xludf.DUMMYFUNCTION("""COMPUTED_VALUE"""),"Clark")</f>
        <v>Clark</v>
      </c>
      <c r="E2738" t="str">
        <f>IFERROR(__xludf.DUMMYFUNCTION("""COMPUTED_VALUE"""),"Frank")</f>
        <v>Frank</v>
      </c>
      <c r="F2738">
        <f>IFERROR(__xludf.DUMMYFUNCTION("""COMPUTED_VALUE"""),16.400000000000002)</f>
        <v>16.4</v>
      </c>
    </row>
    <row r="2739">
      <c r="D2739" t="str">
        <f>IFERROR(__xludf.DUMMYFUNCTION("""COMPUTED_VALUE"""),"Clark")</f>
        <v>Clark</v>
      </c>
      <c r="E2739" t="str">
        <f>IFERROR(__xludf.DUMMYFUNCTION("""COMPUTED_VALUE"""),"Jeremy")</f>
        <v>Jeremy</v>
      </c>
      <c r="F2739">
        <f>IFERROR(__xludf.DUMMYFUNCTION("""COMPUTED_VALUE"""),12.8)</f>
        <v>12.8</v>
      </c>
    </row>
    <row r="2740">
      <c r="D2740" t="str">
        <f>IFERROR(__xludf.DUMMYFUNCTION("""COMPUTED_VALUE"""),"Clark")</f>
        <v>Clark</v>
      </c>
      <c r="E2740" t="str">
        <f>IFERROR(__xludf.DUMMYFUNCTION("""COMPUTED_VALUE"""),"Kenny")</f>
        <v>Kenny</v>
      </c>
      <c r="F2740">
        <f>IFERROR(__xludf.DUMMYFUNCTION("""COMPUTED_VALUE"""),15.0)</f>
        <v>15</v>
      </c>
    </row>
    <row r="2741">
      <c r="D2741" t="str">
        <f>IFERROR(__xludf.DUMMYFUNCTION("""COMPUTED_VALUE"""),"Clark")</f>
        <v>Clark</v>
      </c>
      <c r="E2741" t="str">
        <f>IFERROR(__xludf.DUMMYFUNCTION("""COMPUTED_VALUE"""),"LeRaven")</f>
        <v>LeRaven</v>
      </c>
      <c r="F2741">
        <f>IFERROR(__xludf.DUMMYFUNCTION("""COMPUTED_VALUE"""),13.200000000000001)</f>
        <v>13.2</v>
      </c>
    </row>
    <row r="2742">
      <c r="D2742" t="str">
        <f>IFERROR(__xludf.DUMMYFUNCTION("""COMPUTED_VALUE"""),"Clarke")</f>
        <v>Clarke</v>
      </c>
      <c r="E2742" t="str">
        <f>IFERROR(__xludf.DUMMYFUNCTION("""COMPUTED_VALUE"""),"Will")</f>
        <v>Will</v>
      </c>
      <c r="F2742">
        <f>IFERROR(__xludf.DUMMYFUNCTION("""COMPUTED_VALUE"""),14.0)</f>
        <v>14</v>
      </c>
    </row>
    <row r="2743">
      <c r="D2743" t="str">
        <f>IFERROR(__xludf.DUMMYFUNCTION("""COMPUTED_VALUE"""),"Clay")</f>
        <v>Clay</v>
      </c>
      <c r="E2743" t="str">
        <f>IFERROR(__xludf.DUMMYFUNCTION("""COMPUTED_VALUE"""),"Charles")</f>
        <v>Charles</v>
      </c>
      <c r="F2743">
        <f>IFERROR(__xludf.DUMMYFUNCTION("""COMPUTED_VALUE"""),17.2)</f>
        <v>17.2</v>
      </c>
    </row>
    <row r="2744">
      <c r="D2744" t="str">
        <f>IFERROR(__xludf.DUMMYFUNCTION("""COMPUTED_VALUE"""),"Clay")</f>
        <v>Clay</v>
      </c>
      <c r="E2744" t="str">
        <f>IFERROR(__xludf.DUMMYFUNCTION("""COMPUTED_VALUE"""),"Kaelin")</f>
        <v>Kaelin</v>
      </c>
      <c r="F2744">
        <f>IFERROR(__xludf.DUMMYFUNCTION("""COMPUTED_VALUE"""),11.600000000000001)</f>
        <v>11.6</v>
      </c>
    </row>
    <row r="2745">
      <c r="D2745" t="str">
        <f>IFERROR(__xludf.DUMMYFUNCTION("""COMPUTED_VALUE"""),"Clayborn")</f>
        <v>Clayborn</v>
      </c>
      <c r="E2745" t="str">
        <f>IFERROR(__xludf.DUMMYFUNCTION("""COMPUTED_VALUE"""),"Adrian")</f>
        <v>Adrian</v>
      </c>
      <c r="F2745">
        <f>IFERROR(__xludf.DUMMYFUNCTION("""COMPUTED_VALUE"""),15.4)</f>
        <v>15.4</v>
      </c>
    </row>
    <row r="2746">
      <c r="D2746" t="str">
        <f>IFERROR(__xludf.DUMMYFUNCTION("""COMPUTED_VALUE"""),"Cleary")</f>
        <v>Cleary</v>
      </c>
      <c r="E2746" t="str">
        <f>IFERROR(__xludf.DUMMYFUNCTION("""COMPUTED_VALUE"""),"Emmett")</f>
        <v>Emmett</v>
      </c>
      <c r="F2746">
        <f>IFERROR(__xludf.DUMMYFUNCTION("""COMPUTED_VALUE"""),13.0)</f>
        <v>13</v>
      </c>
    </row>
    <row r="2747">
      <c r="D2747" t="str">
        <f>IFERROR(__xludf.DUMMYFUNCTION("""COMPUTED_VALUE"""),"Clemens")</f>
        <v>Clemens</v>
      </c>
      <c r="E2747" t="str">
        <f>IFERROR(__xludf.DUMMYFUNCTION("""COMPUTED_VALUE"""),"Kellen")</f>
        <v>Kellen</v>
      </c>
      <c r="F2747">
        <f>IFERROR(__xludf.DUMMYFUNCTION("""COMPUTED_VALUE"""),13.4)</f>
        <v>13.4</v>
      </c>
    </row>
    <row r="2748">
      <c r="D2748" t="str">
        <f>IFERROR(__xludf.DUMMYFUNCTION("""COMPUTED_VALUE"""),"Clemmings")</f>
        <v>Clemmings</v>
      </c>
      <c r="E2748" t="str">
        <f>IFERROR(__xludf.DUMMYFUNCTION("""COMPUTED_VALUE"""),"TJ")</f>
        <v>TJ</v>
      </c>
      <c r="F2748">
        <f>IFERROR(__xludf.DUMMYFUNCTION("""COMPUTED_VALUE"""),13.600000000000001)</f>
        <v>13.6</v>
      </c>
    </row>
    <row r="2749">
      <c r="D2749" t="str">
        <f>IFERROR(__xludf.DUMMYFUNCTION("""COMPUTED_VALUE"""),"Cleveland")</f>
        <v>Cleveland</v>
      </c>
      <c r="E2749" t="str">
        <f>IFERROR(__xludf.DUMMYFUNCTION("""COMPUTED_VALUE"""),"Asante")</f>
        <v>Asante</v>
      </c>
      <c r="F2749">
        <f>IFERROR(__xludf.DUMMYFUNCTION("""COMPUTED_VALUE"""),13.4)</f>
        <v>13.4</v>
      </c>
    </row>
    <row r="2750">
      <c r="D2750" t="str">
        <f>IFERROR(__xludf.DUMMYFUNCTION("""COMPUTED_VALUE"""),"Cliett")</f>
        <v>Cliett</v>
      </c>
      <c r="E2750" t="str">
        <f>IFERROR(__xludf.DUMMYFUNCTION("""COMPUTED_VALUE"""),"Reshard")</f>
        <v>Reshard</v>
      </c>
      <c r="F2750">
        <f>IFERROR(__xludf.DUMMYFUNCTION("""COMPUTED_VALUE"""),11.0)</f>
        <v>11</v>
      </c>
    </row>
    <row r="2751">
      <c r="D2751" t="str">
        <f>IFERROR(__xludf.DUMMYFUNCTION("""COMPUTED_VALUE"""),"Clinton-Dix")</f>
        <v>Clinton-Dix</v>
      </c>
      <c r="E2751" t="str">
        <f>IFERROR(__xludf.DUMMYFUNCTION("""COMPUTED_VALUE"""),"Ha Ha")</f>
        <v>Ha Ha</v>
      </c>
      <c r="F2751">
        <f>IFERROR(__xludf.DUMMYFUNCTION("""COMPUTED_VALUE"""),16.400000000000002)</f>
        <v>16.4</v>
      </c>
    </row>
    <row r="2752">
      <c r="D2752" t="str">
        <f>IFERROR(__xludf.DUMMYFUNCTION("""COMPUTED_VALUE"""),"Clowney")</f>
        <v>Clowney</v>
      </c>
      <c r="E2752" t="str">
        <f>IFERROR(__xludf.DUMMYFUNCTION("""COMPUTED_VALUE"""),"Jadeveon")</f>
        <v>Jadeveon</v>
      </c>
      <c r="F2752">
        <f>IFERROR(__xludf.DUMMYFUNCTION("""COMPUTED_VALUE"""),17.2)</f>
        <v>17.2</v>
      </c>
    </row>
    <row r="2753">
      <c r="D2753" t="str">
        <f>IFERROR(__xludf.DUMMYFUNCTION("""COMPUTED_VALUE"""),"Coates")</f>
        <v>Coates</v>
      </c>
      <c r="E2753" t="str">
        <f>IFERROR(__xludf.DUMMYFUNCTION("""COMPUTED_VALUE"""),"Sammie")</f>
        <v>Sammie</v>
      </c>
      <c r="F2753">
        <f>IFERROR(__xludf.DUMMYFUNCTION("""COMPUTED_VALUE"""),15.0)</f>
        <v>15</v>
      </c>
    </row>
    <row r="2754">
      <c r="D2754" t="str">
        <f>IFERROR(__xludf.DUMMYFUNCTION("""COMPUTED_VALUE"""),"Cobb")</f>
        <v>Cobb</v>
      </c>
      <c r="E2754" t="str">
        <f>IFERROR(__xludf.DUMMYFUNCTION("""COMPUTED_VALUE"""),"Randall")</f>
        <v>Randall</v>
      </c>
      <c r="F2754">
        <f>IFERROR(__xludf.DUMMYFUNCTION("""COMPUTED_VALUE"""),17.400000000000002)</f>
        <v>17.4</v>
      </c>
    </row>
    <row r="2755">
      <c r="D2755" t="str">
        <f>IFERROR(__xludf.DUMMYFUNCTION("""COMPUTED_VALUE"""),"Cockrell")</f>
        <v>Cockrell</v>
      </c>
      <c r="E2755" t="str">
        <f>IFERROR(__xludf.DUMMYFUNCTION("""COMPUTED_VALUE"""),"Ross")</f>
        <v>Ross</v>
      </c>
      <c r="F2755">
        <f>IFERROR(__xludf.DUMMYFUNCTION("""COMPUTED_VALUE"""),16.0)</f>
        <v>16</v>
      </c>
    </row>
    <row r="2756">
      <c r="D2756" t="str">
        <f>IFERROR(__xludf.DUMMYFUNCTION("""COMPUTED_VALUE"""),"Cohen")</f>
        <v>Cohen</v>
      </c>
      <c r="E2756" t="str">
        <f>IFERROR(__xludf.DUMMYFUNCTION("""COMPUTED_VALUE"""),"Tarik")</f>
        <v>Tarik</v>
      </c>
      <c r="F2756">
        <f>IFERROR(__xludf.DUMMYFUNCTION("""COMPUTED_VALUE"""),14.4)</f>
        <v>14.4</v>
      </c>
    </row>
    <row r="2757">
      <c r="D2757" t="str">
        <f>IFERROR(__xludf.DUMMYFUNCTION("""COMPUTED_VALUE"""),"Colbert")</f>
        <v>Colbert</v>
      </c>
      <c r="E2757" t="str">
        <f>IFERROR(__xludf.DUMMYFUNCTION("""COMPUTED_VALUE"""),"Adrian")</f>
        <v>Adrian</v>
      </c>
      <c r="F2757">
        <f>IFERROR(__xludf.DUMMYFUNCTION("""COMPUTED_VALUE"""),12.0)</f>
        <v>12</v>
      </c>
    </row>
    <row r="2758">
      <c r="D2758" t="str">
        <f>IFERROR(__xludf.DUMMYFUNCTION("""COMPUTED_VALUE"""),"Cole")</f>
        <v>Cole</v>
      </c>
      <c r="E2758" t="str">
        <f>IFERROR(__xludf.DUMMYFUNCTION("""COMPUTED_VALUE"""),"Audie")</f>
        <v>Audie</v>
      </c>
      <c r="F2758">
        <f>IFERROR(__xludf.DUMMYFUNCTION("""COMPUTED_VALUE"""),13.600000000000001)</f>
        <v>13.6</v>
      </c>
    </row>
    <row r="2759">
      <c r="D2759" t="str">
        <f>IFERROR(__xludf.DUMMYFUNCTION("""COMPUTED_VALUE"""),"Cole")</f>
        <v>Cole</v>
      </c>
      <c r="E2759" t="str">
        <f>IFERROR(__xludf.DUMMYFUNCTION("""COMPUTED_VALUE"""),"Dylan")</f>
        <v>Dylan</v>
      </c>
      <c r="F2759">
        <f>IFERROR(__xludf.DUMMYFUNCTION("""COMPUTED_VALUE"""),12.200000000000001)</f>
        <v>12.2</v>
      </c>
    </row>
    <row r="2760">
      <c r="D2760" t="str">
        <f>IFERROR(__xludf.DUMMYFUNCTION("""COMPUTED_VALUE"""),"Coleman")</f>
        <v>Coleman</v>
      </c>
      <c r="E2760" t="str">
        <f>IFERROR(__xludf.DUMMYFUNCTION("""COMPUTED_VALUE"""),"Brandon")</f>
        <v>Brandon</v>
      </c>
      <c r="F2760">
        <f>IFERROR(__xludf.DUMMYFUNCTION("""COMPUTED_VALUE"""),14.4)</f>
        <v>14.4</v>
      </c>
    </row>
    <row r="2761">
      <c r="D2761" t="str">
        <f>IFERROR(__xludf.DUMMYFUNCTION("""COMPUTED_VALUE"""),"Coleman")</f>
        <v>Coleman</v>
      </c>
      <c r="E2761" t="str">
        <f>IFERROR(__xludf.DUMMYFUNCTION("""COMPUTED_VALUE"""),"Corey")</f>
        <v>Corey</v>
      </c>
      <c r="F2761">
        <f>IFERROR(__xludf.DUMMYFUNCTION("""COMPUTED_VALUE"""),15.600000000000001)</f>
        <v>15.6</v>
      </c>
    </row>
    <row r="2762">
      <c r="D2762" t="str">
        <f>IFERROR(__xludf.DUMMYFUNCTION("""COMPUTED_VALUE"""),"Coleman")</f>
        <v>Coleman</v>
      </c>
      <c r="E2762" t="str">
        <f>IFERROR(__xludf.DUMMYFUNCTION("""COMPUTED_VALUE"""),"Deandre")</f>
        <v>Deandre</v>
      </c>
      <c r="F2762">
        <f>IFERROR(__xludf.DUMMYFUNCTION("""COMPUTED_VALUE"""),13.0)</f>
        <v>13</v>
      </c>
    </row>
    <row r="2763">
      <c r="D2763" t="str">
        <f>IFERROR(__xludf.DUMMYFUNCTION("""COMPUTED_VALUE"""),"Coleman")</f>
        <v>Coleman</v>
      </c>
      <c r="E2763" t="str">
        <f>IFERROR(__xludf.DUMMYFUNCTION("""COMPUTED_VALUE"""),"Derrick")</f>
        <v>Derrick</v>
      </c>
      <c r="F2763">
        <f>IFERROR(__xludf.DUMMYFUNCTION("""COMPUTED_VALUE"""),15.0)</f>
        <v>15</v>
      </c>
    </row>
    <row r="2764">
      <c r="D2764" t="str">
        <f>IFERROR(__xludf.DUMMYFUNCTION("""COMPUTED_VALUE"""),"Coleman")</f>
        <v>Coleman</v>
      </c>
      <c r="E2764" t="str">
        <f>IFERROR(__xludf.DUMMYFUNCTION("""COMPUTED_VALUE"""),"Justin")</f>
        <v>Justin</v>
      </c>
      <c r="F2764">
        <f>IFERROR(__xludf.DUMMYFUNCTION("""COMPUTED_VALUE"""),14.600000000000001)</f>
        <v>14.6</v>
      </c>
    </row>
    <row r="2765">
      <c r="D2765" t="str">
        <f>IFERROR(__xludf.DUMMYFUNCTION("""COMPUTED_VALUE"""),"Coleman")</f>
        <v>Coleman</v>
      </c>
      <c r="E2765" t="str">
        <f>IFERROR(__xludf.DUMMYFUNCTION("""COMPUTED_VALUE"""),"Kurt")</f>
        <v>Kurt</v>
      </c>
      <c r="F2765">
        <f>IFERROR(__xludf.DUMMYFUNCTION("""COMPUTED_VALUE"""),15.600000000000001)</f>
        <v>15.6</v>
      </c>
    </row>
    <row r="2766">
      <c r="D2766" t="str">
        <f>IFERROR(__xludf.DUMMYFUNCTION("""COMPUTED_VALUE"""),"Coleman")</f>
        <v>Coleman</v>
      </c>
      <c r="E2766" t="str">
        <f>IFERROR(__xludf.DUMMYFUNCTION("""COMPUTED_VALUE"""),"Shon")</f>
        <v>Shon</v>
      </c>
      <c r="F2766">
        <f>IFERROR(__xludf.DUMMYFUNCTION("""COMPUTED_VALUE"""),13.600000000000001)</f>
        <v>13.6</v>
      </c>
    </row>
    <row r="2767">
      <c r="D2767" t="str">
        <f>IFERROR(__xludf.DUMMYFUNCTION("""COMPUTED_VALUE"""),"Coleman")</f>
        <v>Coleman</v>
      </c>
      <c r="E2767" t="str">
        <f>IFERROR(__xludf.DUMMYFUNCTION("""COMPUTED_VALUE"""),"Tevin")</f>
        <v>Tevin</v>
      </c>
      <c r="F2767">
        <f>IFERROR(__xludf.DUMMYFUNCTION("""COMPUTED_VALUE"""),17.0)</f>
        <v>17</v>
      </c>
    </row>
    <row r="2768">
      <c r="D2768" t="str">
        <f>IFERROR(__xludf.DUMMYFUNCTION("""COMPUTED_VALUE"""),"Coley")</f>
        <v>Coley</v>
      </c>
      <c r="E2768" t="str">
        <f>IFERROR(__xludf.DUMMYFUNCTION("""COMPUTED_VALUE"""),"Stacy")</f>
        <v>Stacy</v>
      </c>
      <c r="F2768">
        <f>IFERROR(__xludf.DUMMYFUNCTION("""COMPUTED_VALUE"""),13.200000000000001)</f>
        <v>13.2</v>
      </c>
    </row>
    <row r="2769">
      <c r="D2769" t="str">
        <f>IFERROR(__xludf.DUMMYFUNCTION("""COMPUTED_VALUE"""),"Collins")</f>
        <v>Collins</v>
      </c>
      <c r="E2769" t="str">
        <f>IFERROR(__xludf.DUMMYFUNCTION("""COMPUTED_VALUE"""),"Alex")</f>
        <v>Alex</v>
      </c>
      <c r="F2769">
        <f>IFERROR(__xludf.DUMMYFUNCTION("""COMPUTED_VALUE"""),13.4)</f>
        <v>13.4</v>
      </c>
    </row>
    <row r="2770">
      <c r="D2770" t="str">
        <f>IFERROR(__xludf.DUMMYFUNCTION("""COMPUTED_VALUE"""),"Collins")</f>
        <v>Collins</v>
      </c>
      <c r="E2770" t="str">
        <f>IFERROR(__xludf.DUMMYFUNCTION("""COMPUTED_VALUE"""),"Aviante")</f>
        <v>Aviante</v>
      </c>
      <c r="F2770">
        <f>IFERROR(__xludf.DUMMYFUNCTION("""COMPUTED_VALUE"""),13.0)</f>
        <v>13</v>
      </c>
    </row>
    <row r="2771">
      <c r="D2771" t="str">
        <f>IFERROR(__xludf.DUMMYFUNCTION("""COMPUTED_VALUE"""),"Collins")</f>
        <v>Collins</v>
      </c>
      <c r="E2771" t="str">
        <f>IFERROR(__xludf.DUMMYFUNCTION("""COMPUTED_VALUE"""),"Jalen")</f>
        <v>Jalen</v>
      </c>
      <c r="F2771">
        <f>IFERROR(__xludf.DUMMYFUNCTION("""COMPUTED_VALUE"""),15.8)</f>
        <v>15.8</v>
      </c>
    </row>
    <row r="2772">
      <c r="D2772" t="str">
        <f>IFERROR(__xludf.DUMMYFUNCTION("""COMPUTED_VALUE"""),"Collins")</f>
        <v>Collins</v>
      </c>
      <c r="E2772" t="str">
        <f>IFERROR(__xludf.DUMMYFUNCTION("""COMPUTED_VALUE"""),"Lael")</f>
        <v>Lael</v>
      </c>
      <c r="F2772">
        <f>IFERROR(__xludf.DUMMYFUNCTION("""COMPUTED_VALUE"""),15.8)</f>
        <v>15.8</v>
      </c>
    </row>
    <row r="2773">
      <c r="D2773" t="str">
        <f>IFERROR(__xludf.DUMMYFUNCTION("""COMPUTED_VALUE"""),"Collins")</f>
        <v>Collins</v>
      </c>
      <c r="E2773" t="str">
        <f>IFERROR(__xludf.DUMMYFUNCTION("""COMPUTED_VALUE"""),"Landon")</f>
        <v>Landon</v>
      </c>
      <c r="F2773">
        <f>IFERROR(__xludf.DUMMYFUNCTION("""COMPUTED_VALUE"""),18.400000000000002)</f>
        <v>18.4</v>
      </c>
    </row>
    <row r="2774">
      <c r="D2774" t="str">
        <f>IFERROR(__xludf.DUMMYFUNCTION("""COMPUTED_VALUE"""),"Collins")</f>
        <v>Collins</v>
      </c>
      <c r="E2774" t="str">
        <f>IFERROR(__xludf.DUMMYFUNCTION("""COMPUTED_VALUE"""),"Maliek")</f>
        <v>Maliek</v>
      </c>
      <c r="F2774">
        <f>IFERROR(__xludf.DUMMYFUNCTION("""COMPUTED_VALUE"""),14.4)</f>
        <v>14.4</v>
      </c>
    </row>
    <row r="2775">
      <c r="D2775" t="str">
        <f>IFERROR(__xludf.DUMMYFUNCTION("""COMPUTED_VALUE"""),"Collins Sr")</f>
        <v>Collins Sr</v>
      </c>
      <c r="E2775" t="str">
        <f>IFERROR(__xludf.DUMMYFUNCTION("""COMPUTED_VALUE"""),"Jamie")</f>
        <v>Jamie</v>
      </c>
      <c r="F2775">
        <f>IFERROR(__xludf.DUMMYFUNCTION("""COMPUTED_VALUE"""),17.0)</f>
        <v>17</v>
      </c>
    </row>
    <row r="2776">
      <c r="D2776" t="str">
        <f>IFERROR(__xludf.DUMMYFUNCTION("""COMPUTED_VALUE"""),"Colquitt")</f>
        <v>Colquitt</v>
      </c>
      <c r="E2776" t="str">
        <f>IFERROR(__xludf.DUMMYFUNCTION("""COMPUTED_VALUE"""),"Britton")</f>
        <v>Britton</v>
      </c>
      <c r="F2776">
        <f>IFERROR(__xludf.DUMMYFUNCTION("""COMPUTED_VALUE"""),15.200000000000001)</f>
        <v>15.2</v>
      </c>
    </row>
    <row r="2777">
      <c r="D2777" t="str">
        <f>IFERROR(__xludf.DUMMYFUNCTION("""COMPUTED_VALUE"""),"Colquitt")</f>
        <v>Colquitt</v>
      </c>
      <c r="E2777" t="str">
        <f>IFERROR(__xludf.DUMMYFUNCTION("""COMPUTED_VALUE"""),"Dustin")</f>
        <v>Dustin</v>
      </c>
      <c r="F2777">
        <f>IFERROR(__xludf.DUMMYFUNCTION("""COMPUTED_VALUE"""),16.2)</f>
        <v>16.2</v>
      </c>
    </row>
    <row r="2778">
      <c r="D2778" t="str">
        <f>IFERROR(__xludf.DUMMYFUNCTION("""COMPUTED_VALUE"""),"Colvin")</f>
        <v>Colvin</v>
      </c>
      <c r="E2778" t="str">
        <f>IFERROR(__xludf.DUMMYFUNCTION("""COMPUTED_VALUE"""),"Aaron")</f>
        <v>Aaron</v>
      </c>
      <c r="F2778">
        <f>IFERROR(__xludf.DUMMYFUNCTION("""COMPUTED_VALUE"""),15.600000000000001)</f>
        <v>15.6</v>
      </c>
    </row>
    <row r="2779">
      <c r="D2779" t="str">
        <f>IFERROR(__xludf.DUMMYFUNCTION("""COMPUTED_VALUE"""),"Compton")</f>
        <v>Compton</v>
      </c>
      <c r="E2779" t="str">
        <f>IFERROR(__xludf.DUMMYFUNCTION("""COMPUTED_VALUE"""),"Tom")</f>
        <v>Tom</v>
      </c>
      <c r="F2779">
        <f>IFERROR(__xludf.DUMMYFUNCTION("""COMPUTED_VALUE"""),14.4)</f>
        <v>14.4</v>
      </c>
    </row>
    <row r="2780">
      <c r="D2780" t="str">
        <f>IFERROR(__xludf.DUMMYFUNCTION("""COMPUTED_VALUE"""),"Compton")</f>
        <v>Compton</v>
      </c>
      <c r="E2780" t="str">
        <f>IFERROR(__xludf.DUMMYFUNCTION("""COMPUTED_VALUE"""),"Will")</f>
        <v>Will</v>
      </c>
      <c r="F2780">
        <f>IFERROR(__xludf.DUMMYFUNCTION("""COMPUTED_VALUE"""),15.0)</f>
        <v>15</v>
      </c>
    </row>
    <row r="2781">
      <c r="D2781" t="str">
        <f>IFERROR(__xludf.DUMMYFUNCTION("""COMPUTED_VALUE"""),"Condo")</f>
        <v>Condo</v>
      </c>
      <c r="E2781" t="str">
        <f>IFERROR(__xludf.DUMMYFUNCTION("""COMPUTED_VALUE"""),"Jon")</f>
        <v>Jon</v>
      </c>
      <c r="F2781">
        <f>IFERROR(__xludf.DUMMYFUNCTION("""COMPUTED_VALUE"""),8.4)</f>
        <v>8.4</v>
      </c>
    </row>
    <row r="2782">
      <c r="D2782" t="str">
        <f>IFERROR(__xludf.DUMMYFUNCTION("""COMPUTED_VALUE"""),"Conklin")</f>
        <v>Conklin</v>
      </c>
      <c r="E2782" t="str">
        <f>IFERROR(__xludf.DUMMYFUNCTION("""COMPUTED_VALUE"""),"Jack")</f>
        <v>Jack</v>
      </c>
      <c r="F2782">
        <f>IFERROR(__xludf.DUMMYFUNCTION("""COMPUTED_VALUE"""),17.2)</f>
        <v>17.2</v>
      </c>
    </row>
    <row r="2783">
      <c r="D2783" t="str">
        <f>IFERROR(__xludf.DUMMYFUNCTION("""COMPUTED_VALUE"""),"Conley")</f>
        <v>Conley</v>
      </c>
      <c r="E2783" t="str">
        <f>IFERROR(__xludf.DUMMYFUNCTION("""COMPUTED_VALUE"""),"Chris")</f>
        <v>Chris</v>
      </c>
      <c r="F2783">
        <f>IFERROR(__xludf.DUMMYFUNCTION("""COMPUTED_VALUE"""),15.200000000000001)</f>
        <v>15.2</v>
      </c>
    </row>
    <row r="2784">
      <c r="D2784" t="str">
        <f>IFERROR(__xludf.DUMMYFUNCTION("""COMPUTED_VALUE"""),"Conley")</f>
        <v>Conley</v>
      </c>
      <c r="E2784" t="str">
        <f>IFERROR(__xludf.DUMMYFUNCTION("""COMPUTED_VALUE"""),"Gareon")</f>
        <v>Gareon</v>
      </c>
      <c r="F2784">
        <f>IFERROR(__xludf.DUMMYFUNCTION("""COMPUTED_VALUE"""),15.0)</f>
        <v>15</v>
      </c>
    </row>
    <row r="2785">
      <c r="D2785" t="str">
        <f>IFERROR(__xludf.DUMMYFUNCTION("""COMPUTED_VALUE"""),"Conner")</f>
        <v>Conner</v>
      </c>
      <c r="E2785" t="str">
        <f>IFERROR(__xludf.DUMMYFUNCTION("""COMPUTED_VALUE"""),"James")</f>
        <v>James</v>
      </c>
      <c r="F2785">
        <f>IFERROR(__xludf.DUMMYFUNCTION("""COMPUTED_VALUE"""),14.200000000000001)</f>
        <v>14.2</v>
      </c>
    </row>
    <row r="2786">
      <c r="D2786" t="str">
        <f>IFERROR(__xludf.DUMMYFUNCTION("""COMPUTED_VALUE"""),"Conque")</f>
        <v>Conque</v>
      </c>
      <c r="E2786" t="str">
        <f>IFERROR(__xludf.DUMMYFUNCTION("""COMPUTED_VALUE"""),"Zach")</f>
        <v>Zach</v>
      </c>
      <c r="F2786">
        <f>IFERROR(__xludf.DUMMYFUNCTION("""COMPUTED_VALUE"""),12.4)</f>
        <v>12.4</v>
      </c>
    </row>
    <row r="2787">
      <c r="D2787" t="str">
        <f>IFERROR(__xludf.DUMMYFUNCTION("""COMPUTED_VALUE"""),"Conte")</f>
        <v>Conte</v>
      </c>
      <c r="E2787" t="str">
        <f>IFERROR(__xludf.DUMMYFUNCTION("""COMPUTED_VALUE"""),"Chris")</f>
        <v>Chris</v>
      </c>
      <c r="F2787">
        <f>IFERROR(__xludf.DUMMYFUNCTION("""COMPUTED_VALUE"""),14.200000000000001)</f>
        <v>14.2</v>
      </c>
    </row>
    <row r="2788">
      <c r="D2788" t="str">
        <f>IFERROR(__xludf.DUMMYFUNCTION("""COMPUTED_VALUE"""),"Cook")</f>
        <v>Cook</v>
      </c>
      <c r="E2788" t="str">
        <f>IFERROR(__xludf.DUMMYFUNCTION("""COMPUTED_VALUE"""),"Connor")</f>
        <v>Connor</v>
      </c>
      <c r="F2788">
        <f>IFERROR(__xludf.DUMMYFUNCTION("""COMPUTED_VALUE"""),13.8)</f>
        <v>13.8</v>
      </c>
    </row>
    <row r="2789">
      <c r="D2789" t="str">
        <f>IFERROR(__xludf.DUMMYFUNCTION("""COMPUTED_VALUE"""),"Cook")</f>
        <v>Cook</v>
      </c>
      <c r="E2789" t="str">
        <f>IFERROR(__xludf.DUMMYFUNCTION("""COMPUTED_VALUE"""),"Dalvin")</f>
        <v>Dalvin</v>
      </c>
      <c r="F2789">
        <f>IFERROR(__xludf.DUMMYFUNCTION("""COMPUTED_VALUE"""),16.0)</f>
        <v>16</v>
      </c>
    </row>
    <row r="2790">
      <c r="D2790" t="str">
        <f>IFERROR(__xludf.DUMMYFUNCTION("""COMPUTED_VALUE"""),"Cook")</f>
        <v>Cook</v>
      </c>
      <c r="E2790" t="str">
        <f>IFERROR(__xludf.DUMMYFUNCTION("""COMPUTED_VALUE"""),"Jared")</f>
        <v>Jared</v>
      </c>
      <c r="F2790">
        <f>IFERROR(__xludf.DUMMYFUNCTION("""COMPUTED_VALUE"""),17.0)</f>
        <v>17</v>
      </c>
    </row>
    <row r="2791">
      <c r="D2791" t="str">
        <f>IFERROR(__xludf.DUMMYFUNCTION("""COMPUTED_VALUE"""),"Cooks")</f>
        <v>Cooks</v>
      </c>
      <c r="E2791" t="str">
        <f>IFERROR(__xludf.DUMMYFUNCTION("""COMPUTED_VALUE"""),"Brandin")</f>
        <v>Brandin</v>
      </c>
      <c r="F2791">
        <f>IFERROR(__xludf.DUMMYFUNCTION("""COMPUTED_VALUE"""),17.2)</f>
        <v>17.2</v>
      </c>
    </row>
    <row r="2792">
      <c r="D2792" t="str">
        <f>IFERROR(__xludf.DUMMYFUNCTION("""COMPUTED_VALUE"""),"Cooper")</f>
        <v>Cooper</v>
      </c>
      <c r="E2792" t="str">
        <f>IFERROR(__xludf.DUMMYFUNCTION("""COMPUTED_VALUE"""),"Amari")</f>
        <v>Amari</v>
      </c>
      <c r="F2792">
        <f>IFERROR(__xludf.DUMMYFUNCTION("""COMPUTED_VALUE"""),17.400000000000002)</f>
        <v>17.4</v>
      </c>
    </row>
    <row r="2793">
      <c r="D2793" t="str">
        <f>IFERROR(__xludf.DUMMYFUNCTION("""COMPUTED_VALUE"""),"Cooper")</f>
        <v>Cooper</v>
      </c>
      <c r="E2793" t="str">
        <f>IFERROR(__xludf.DUMMYFUNCTION("""COMPUTED_VALUE"""),"Ethan")</f>
        <v>Ethan</v>
      </c>
      <c r="F2793">
        <f>IFERROR(__xludf.DUMMYFUNCTION("""COMPUTED_VALUE"""),12.4)</f>
        <v>12.4</v>
      </c>
    </row>
    <row r="2794">
      <c r="D2794" t="str">
        <f>IFERROR(__xludf.DUMMYFUNCTION("""COMPUTED_VALUE"""),"Cooper")</f>
        <v>Cooper</v>
      </c>
      <c r="E2794" t="str">
        <f>IFERROR(__xludf.DUMMYFUNCTION("""COMPUTED_VALUE"""),"Fahn")</f>
        <v>Fahn</v>
      </c>
      <c r="F2794">
        <f>IFERROR(__xludf.DUMMYFUNCTION("""COMPUTED_VALUE"""),12.8)</f>
        <v>12.8</v>
      </c>
    </row>
    <row r="2795">
      <c r="D2795" t="str">
        <f>IFERROR(__xludf.DUMMYFUNCTION("""COMPUTED_VALUE"""),"Cooper")</f>
        <v>Cooper</v>
      </c>
      <c r="E2795" t="str">
        <f>IFERROR(__xludf.DUMMYFUNCTION("""COMPUTED_VALUE"""),"Jonathan")</f>
        <v>Jonathan</v>
      </c>
      <c r="F2795">
        <f>IFERROR(__xludf.DUMMYFUNCTION("""COMPUTED_VALUE"""),15.4)</f>
        <v>15.4</v>
      </c>
    </row>
    <row r="2796">
      <c r="D2796" t="str">
        <f>IFERROR(__xludf.DUMMYFUNCTION("""COMPUTED_VALUE"""),"Cooper")</f>
        <v>Cooper</v>
      </c>
      <c r="E2796" t="str">
        <f>IFERROR(__xludf.DUMMYFUNCTION("""COMPUTED_VALUE"""),"Marcus")</f>
        <v>Marcus</v>
      </c>
      <c r="F2796">
        <f>IFERROR(__xludf.DUMMYFUNCTION("""COMPUTED_VALUE"""),14.600000000000001)</f>
        <v>14.6</v>
      </c>
    </row>
    <row r="2797">
      <c r="D2797" t="str">
        <f>IFERROR(__xludf.DUMMYFUNCTION("""COMPUTED_VALUE"""),"Cooper")</f>
        <v>Cooper</v>
      </c>
      <c r="E2797" t="str">
        <f>IFERROR(__xludf.DUMMYFUNCTION("""COMPUTED_VALUE"""),"Pharoh")</f>
        <v>Pharoh</v>
      </c>
      <c r="F2797">
        <f>IFERROR(__xludf.DUMMYFUNCTION("""COMPUTED_VALUE"""),12.8)</f>
        <v>12.8</v>
      </c>
    </row>
    <row r="2798">
      <c r="D2798" t="str">
        <f>IFERROR(__xludf.DUMMYFUNCTION("""COMPUTED_VALUE"""),"Cooper")</f>
        <v>Cooper</v>
      </c>
      <c r="E2798" t="str">
        <f>IFERROR(__xludf.DUMMYFUNCTION("""COMPUTED_VALUE"""),"Xavier")</f>
        <v>Xavier</v>
      </c>
      <c r="F2798">
        <f>IFERROR(__xludf.DUMMYFUNCTION("""COMPUTED_VALUE"""),14.0)</f>
        <v>14</v>
      </c>
    </row>
    <row r="2799">
      <c r="D2799" t="str">
        <f>IFERROR(__xludf.DUMMYFUNCTION("""COMPUTED_VALUE"""),"Copeland")</f>
        <v>Copeland</v>
      </c>
      <c r="E2799" t="str">
        <f>IFERROR(__xludf.DUMMYFUNCTION("""COMPUTED_VALUE"""),"Brandon")</f>
        <v>Brandon</v>
      </c>
      <c r="F2799">
        <f>IFERROR(__xludf.DUMMYFUNCTION("""COMPUTED_VALUE"""),13.200000000000001)</f>
        <v>13.2</v>
      </c>
    </row>
    <row r="2800">
      <c r="D2800" t="str">
        <f>IFERROR(__xludf.DUMMYFUNCTION("""COMPUTED_VALUE"""),"Core")</f>
        <v>Core</v>
      </c>
      <c r="E2800" t="str">
        <f>IFERROR(__xludf.DUMMYFUNCTION("""COMPUTED_VALUE"""),"Cody")</f>
        <v>Cody</v>
      </c>
      <c r="F2800">
        <f>IFERROR(__xludf.DUMMYFUNCTION("""COMPUTED_VALUE"""),13.600000000000001)</f>
        <v>13.6</v>
      </c>
    </row>
    <row r="2801">
      <c r="D2801" t="str">
        <f>IFERROR(__xludf.DUMMYFUNCTION("""COMPUTED_VALUE"""),"Correa")</f>
        <v>Correa</v>
      </c>
      <c r="E2801" t="str">
        <f>IFERROR(__xludf.DUMMYFUNCTION("""COMPUTED_VALUE"""),"Kamalei")</f>
        <v>Kamalei</v>
      </c>
      <c r="F2801">
        <f>IFERROR(__xludf.DUMMYFUNCTION("""COMPUTED_VALUE"""),14.200000000000001)</f>
        <v>14.2</v>
      </c>
    </row>
    <row r="2802">
      <c r="D2802" t="str">
        <f>IFERROR(__xludf.DUMMYFUNCTION("""COMPUTED_VALUE"""),"Countess")</f>
        <v>Countess</v>
      </c>
      <c r="E2802" t="str">
        <f>IFERROR(__xludf.DUMMYFUNCTION("""COMPUTED_VALUE"""),"Blake")</f>
        <v>Blake</v>
      </c>
      <c r="F2802">
        <f>IFERROR(__xludf.DUMMYFUNCTION("""COMPUTED_VALUE"""),13.0)</f>
        <v>13</v>
      </c>
    </row>
    <row r="2803">
      <c r="D2803" t="str">
        <f>IFERROR(__xludf.DUMMYFUNCTION("""COMPUTED_VALUE"""),"Cousins")</f>
        <v>Cousins</v>
      </c>
      <c r="E2803" t="str">
        <f>IFERROR(__xludf.DUMMYFUNCTION("""COMPUTED_VALUE"""),"Kirk")</f>
        <v>Kirk</v>
      </c>
      <c r="F2803">
        <f>IFERROR(__xludf.DUMMYFUNCTION("""COMPUTED_VALUE"""),17.0)</f>
        <v>17</v>
      </c>
    </row>
    <row r="2804">
      <c r="D2804" t="str">
        <f>IFERROR(__xludf.DUMMYFUNCTION("""COMPUTED_VALUE"""),"Covington")</f>
        <v>Covington</v>
      </c>
      <c r="E2804" t="str">
        <f>IFERROR(__xludf.DUMMYFUNCTION("""COMPUTED_VALUE"""),"Christian")</f>
        <v>Christian</v>
      </c>
      <c r="F2804">
        <f>IFERROR(__xludf.DUMMYFUNCTION("""COMPUTED_VALUE"""),14.0)</f>
        <v>14</v>
      </c>
    </row>
    <row r="2805">
      <c r="D2805" t="str">
        <f>IFERROR(__xludf.DUMMYFUNCTION("""COMPUTED_VALUE"""),"Cowser")</f>
        <v>Cowser</v>
      </c>
      <c r="E2805" t="str">
        <f>IFERROR(__xludf.DUMMYFUNCTION("""COMPUTED_VALUE"""),"James")</f>
        <v>James</v>
      </c>
      <c r="F2805">
        <f>IFERROR(__xludf.DUMMYFUNCTION("""COMPUTED_VALUE"""),11.8)</f>
        <v>11.8</v>
      </c>
    </row>
    <row r="2806">
      <c r="D2806" t="str">
        <f>IFERROR(__xludf.DUMMYFUNCTION("""COMPUTED_VALUE"""),"Cox")</f>
        <v>Cox</v>
      </c>
      <c r="E2806" t="str">
        <f>IFERROR(__xludf.DUMMYFUNCTION("""COMPUTED_VALUE"""),"Fletcher")</f>
        <v>Fletcher</v>
      </c>
      <c r="F2806">
        <f>IFERROR(__xludf.DUMMYFUNCTION("""COMPUTED_VALUE"""),18.2)</f>
        <v>18.2</v>
      </c>
    </row>
    <row r="2807">
      <c r="D2807" t="str">
        <f>IFERROR(__xludf.DUMMYFUNCTION("""COMPUTED_VALUE"""),"Cox")</f>
        <v>Cox</v>
      </c>
      <c r="E2807" t="str">
        <f>IFERROR(__xludf.DUMMYFUNCTION("""COMPUTED_VALUE"""),"Morgan")</f>
        <v>Morgan</v>
      </c>
      <c r="F2807">
        <f>IFERROR(__xludf.DUMMYFUNCTION("""COMPUTED_VALUE"""),8.0)</f>
        <v>8</v>
      </c>
    </row>
    <row r="2808">
      <c r="D2808" t="str">
        <f>IFERROR(__xludf.DUMMYFUNCTION("""COMPUTED_VALUE"""),"Cox Jr")</f>
        <v>Cox Jr</v>
      </c>
      <c r="E2808" t="str">
        <f>IFERROR(__xludf.DUMMYFUNCTION("""COMPUTED_VALUE"""),"Bryan")</f>
        <v>Bryan</v>
      </c>
      <c r="F2808">
        <f>IFERROR(__xludf.DUMMYFUNCTION("""COMPUTED_VALUE"""),12.8)</f>
        <v>12.8</v>
      </c>
    </row>
    <row r="2809">
      <c r="D2809" t="str">
        <f>IFERROR(__xludf.DUMMYFUNCTION("""COMPUTED_VALUE"""),"Coyle")</f>
        <v>Coyle</v>
      </c>
      <c r="E2809" t="str">
        <f>IFERROR(__xludf.DUMMYFUNCTION("""COMPUTED_VALUE"""),"Brock")</f>
        <v>Brock</v>
      </c>
      <c r="F2809">
        <f>IFERROR(__xludf.DUMMYFUNCTION("""COMPUTED_VALUE"""),13.600000000000001)</f>
        <v>13.6</v>
      </c>
    </row>
    <row r="2810">
      <c r="D2810" t="str">
        <f>IFERROR(__xludf.DUMMYFUNCTION("""COMPUTED_VALUE"""),"Crabtree")</f>
        <v>Crabtree</v>
      </c>
      <c r="E2810" t="str">
        <f>IFERROR(__xludf.DUMMYFUNCTION("""COMPUTED_VALUE"""),"Michael")</f>
        <v>Michael</v>
      </c>
      <c r="F2810">
        <f>IFERROR(__xludf.DUMMYFUNCTION("""COMPUTED_VALUE"""),17.0)</f>
        <v>17</v>
      </c>
    </row>
    <row r="2811">
      <c r="D2811" t="str">
        <f>IFERROR(__xludf.DUMMYFUNCTION("""COMPUTED_VALUE"""),"Cravens")</f>
        <v>Cravens</v>
      </c>
      <c r="E2811" t="str">
        <f>IFERROR(__xludf.DUMMYFUNCTION("""COMPUTED_VALUE"""),"Sua")</f>
        <v>Sua</v>
      </c>
      <c r="F2811">
        <f>IFERROR(__xludf.DUMMYFUNCTION("""COMPUTED_VALUE"""),16.0)</f>
        <v>16</v>
      </c>
    </row>
    <row r="2812">
      <c r="D2812" t="str">
        <f>IFERROR(__xludf.DUMMYFUNCTION("""COMPUTED_VALUE"""),"Crawford")</f>
        <v>Crawford</v>
      </c>
      <c r="E2812" t="str">
        <f>IFERROR(__xludf.DUMMYFUNCTION("""COMPUTED_VALUE"""),"Jack")</f>
        <v>Jack</v>
      </c>
      <c r="F2812">
        <f>IFERROR(__xludf.DUMMYFUNCTION("""COMPUTED_VALUE"""),13.8)</f>
        <v>13.8</v>
      </c>
    </row>
    <row r="2813">
      <c r="D2813" t="str">
        <f>IFERROR(__xludf.DUMMYFUNCTION("""COMPUTED_VALUE"""),"Crawford")</f>
        <v>Crawford</v>
      </c>
      <c r="E2813" t="str">
        <f>IFERROR(__xludf.DUMMYFUNCTION("""COMPUTED_VALUE"""),"Tyrone")</f>
        <v>Tyrone</v>
      </c>
      <c r="F2813">
        <f>IFERROR(__xludf.DUMMYFUNCTION("""COMPUTED_VALUE"""),15.4)</f>
        <v>15.4</v>
      </c>
    </row>
    <row r="2814">
      <c r="D2814" t="str">
        <f>IFERROR(__xludf.DUMMYFUNCTION("""COMPUTED_VALUE"""),"Crawley")</f>
        <v>Crawley</v>
      </c>
      <c r="E2814" t="str">
        <f>IFERROR(__xludf.DUMMYFUNCTION("""COMPUTED_VALUE"""),"Ken")</f>
        <v>Ken</v>
      </c>
      <c r="F2814">
        <f>IFERROR(__xludf.DUMMYFUNCTION("""COMPUTED_VALUE"""),14.200000000000001)</f>
        <v>14.2</v>
      </c>
    </row>
    <row r="2815">
      <c r="D2815" t="str">
        <f>IFERROR(__xludf.DUMMYFUNCTION("""COMPUTED_VALUE"""),"Crick")</f>
        <v>Crick</v>
      </c>
      <c r="E2815" t="str">
        <f>IFERROR(__xludf.DUMMYFUNCTION("""COMPUTED_VALUE"""),"Jared")</f>
        <v>Jared</v>
      </c>
      <c r="F2815">
        <f>IFERROR(__xludf.DUMMYFUNCTION("""COMPUTED_VALUE"""),14.200000000000001)</f>
        <v>14.2</v>
      </c>
    </row>
    <row r="2816">
      <c r="D2816" t="str">
        <f>IFERROR(__xludf.DUMMYFUNCTION("""COMPUTED_VALUE"""),"Cromartie")</f>
        <v>Cromartie</v>
      </c>
      <c r="E2816" t="str">
        <f>IFERROR(__xludf.DUMMYFUNCTION("""COMPUTED_VALUE"""),"Marcus")</f>
        <v>Marcus</v>
      </c>
      <c r="F2816">
        <f>IFERROR(__xludf.DUMMYFUNCTION("""COMPUTED_VALUE"""),12.8)</f>
        <v>12.8</v>
      </c>
    </row>
    <row r="2817">
      <c r="D2817" t="str">
        <f>IFERROR(__xludf.DUMMYFUNCTION("""COMPUTED_VALUE"""),"Croom")</f>
        <v>Croom</v>
      </c>
      <c r="E2817" t="str">
        <f>IFERROR(__xludf.DUMMYFUNCTION("""COMPUTED_VALUE"""),"Jason")</f>
        <v>Jason</v>
      </c>
      <c r="F2817">
        <f>IFERROR(__xludf.DUMMYFUNCTION("""COMPUTED_VALUE"""),13.200000000000001)</f>
        <v>13.2</v>
      </c>
    </row>
    <row r="2818">
      <c r="D2818" t="str">
        <f>IFERROR(__xludf.DUMMYFUNCTION("""COMPUTED_VALUE"""),"Crosby")</f>
        <v>Crosby</v>
      </c>
      <c r="E2818" t="str">
        <f>IFERROR(__xludf.DUMMYFUNCTION("""COMPUTED_VALUE"""),"Mason")</f>
        <v>Mason</v>
      </c>
      <c r="F2818">
        <f>IFERROR(__xludf.DUMMYFUNCTION("""COMPUTED_VALUE"""),15.4)</f>
        <v>15.4</v>
      </c>
    </row>
    <row r="2819">
      <c r="D2819" t="str">
        <f>IFERROR(__xludf.DUMMYFUNCTION("""COMPUTED_VALUE"""),"Cross")</f>
        <v>Cross</v>
      </c>
      <c r="E2819" t="str">
        <f>IFERROR(__xludf.DUMMYFUNCTION("""COMPUTED_VALUE"""),"Alan")</f>
        <v>Alan</v>
      </c>
      <c r="F2819">
        <f>IFERROR(__xludf.DUMMYFUNCTION("""COMPUTED_VALUE"""),13.600000000000001)</f>
        <v>13.6</v>
      </c>
    </row>
    <row r="2820">
      <c r="D2820" t="str">
        <f>IFERROR(__xludf.DUMMYFUNCTION("""COMPUTED_VALUE"""),"Crossan")</f>
        <v>Crossan</v>
      </c>
      <c r="E2820" t="str">
        <f>IFERROR(__xludf.DUMMYFUNCTION("""COMPUTED_VALUE"""),"Dalton")</f>
        <v>Dalton</v>
      </c>
      <c r="F2820">
        <f>IFERROR(__xludf.DUMMYFUNCTION("""COMPUTED_VALUE"""),12.200000000000001)</f>
        <v>12.2</v>
      </c>
    </row>
    <row r="2821">
      <c r="D2821" t="str">
        <f>IFERROR(__xludf.DUMMYFUNCTION("""COMPUTED_VALUE"""),"Crowder")</f>
        <v>Crowder</v>
      </c>
      <c r="E2821" t="str">
        <f>IFERROR(__xludf.DUMMYFUNCTION("""COMPUTED_VALUE"""),"Jamison")</f>
        <v>Jamison</v>
      </c>
      <c r="F2821">
        <f>IFERROR(__xludf.DUMMYFUNCTION("""COMPUTED_VALUE"""),16.400000000000002)</f>
        <v>16.4</v>
      </c>
    </row>
    <row r="2822">
      <c r="D2822" t="str">
        <f>IFERROR(__xludf.DUMMYFUNCTION("""COMPUTED_VALUE"""),"Crowell")</f>
        <v>Crowell</v>
      </c>
      <c r="E2822" t="str">
        <f>IFERROR(__xludf.DUMMYFUNCTION("""COMPUTED_VALUE"""),"Isaiah")</f>
        <v>Isaiah</v>
      </c>
      <c r="F2822">
        <f>IFERROR(__xludf.DUMMYFUNCTION("""COMPUTED_VALUE"""),16.400000000000002)</f>
        <v>16.4</v>
      </c>
    </row>
    <row r="2823">
      <c r="D2823" t="str">
        <f>IFERROR(__xludf.DUMMYFUNCTION("""COMPUTED_VALUE"""),"Cruz")</f>
        <v>Cruz</v>
      </c>
      <c r="E2823" t="str">
        <f>IFERROR(__xludf.DUMMYFUNCTION("""COMPUTED_VALUE"""),"Victor")</f>
        <v>Victor</v>
      </c>
      <c r="F2823">
        <f>IFERROR(__xludf.DUMMYFUNCTION("""COMPUTED_VALUE"""),15.4)</f>
        <v>15.4</v>
      </c>
    </row>
    <row r="2824">
      <c r="D2824" t="str">
        <f>IFERROR(__xludf.DUMMYFUNCTION("""COMPUTED_VALUE"""),"Cumberland")</f>
        <v>Cumberland</v>
      </c>
      <c r="E2824" t="str">
        <f>IFERROR(__xludf.DUMMYFUNCTION("""COMPUTED_VALUE"""),"Jeff")</f>
        <v>Jeff</v>
      </c>
      <c r="F2824">
        <f>IFERROR(__xludf.DUMMYFUNCTION("""COMPUTED_VALUE"""),14.4)</f>
        <v>14.4</v>
      </c>
    </row>
    <row r="2825">
      <c r="D2825" t="str">
        <f>IFERROR(__xludf.DUMMYFUNCTION("""COMPUTED_VALUE"""),"Cunningham")</f>
        <v>Cunningham</v>
      </c>
      <c r="E2825" t="str">
        <f>IFERROR(__xludf.DUMMYFUNCTION("""COMPUTED_VALUE"""),"Jerome")</f>
        <v>Jerome</v>
      </c>
      <c r="F2825">
        <f>IFERROR(__xludf.DUMMYFUNCTION("""COMPUTED_VALUE"""),13.200000000000001)</f>
        <v>13.2</v>
      </c>
    </row>
    <row r="2826">
      <c r="D2826" t="str">
        <f>IFERROR(__xludf.DUMMYFUNCTION("""COMPUTED_VALUE"""),"Cunningham")</f>
        <v>Cunningham</v>
      </c>
      <c r="E2826" t="str">
        <f>IFERROR(__xludf.DUMMYFUNCTION("""COMPUTED_VALUE"""),"Zach")</f>
        <v>Zach</v>
      </c>
      <c r="F2826">
        <f>IFERROR(__xludf.DUMMYFUNCTION("""COMPUTED_VALUE"""),14.200000000000001)</f>
        <v>14.2</v>
      </c>
    </row>
    <row r="2827">
      <c r="D2827" t="str">
        <f>IFERROR(__xludf.DUMMYFUNCTION("""COMPUTED_VALUE"""),"Cunningham Jr")</f>
        <v>Cunningham Jr</v>
      </c>
      <c r="E2827" t="str">
        <f>IFERROR(__xludf.DUMMYFUNCTION("""COMPUTED_VALUE"""),"Benny")</f>
        <v>Benny</v>
      </c>
      <c r="F2827">
        <f>IFERROR(__xludf.DUMMYFUNCTION("""COMPUTED_VALUE"""),14.8)</f>
        <v>14.8</v>
      </c>
    </row>
    <row r="2828">
      <c r="D2828" t="str">
        <f>IFERROR(__xludf.DUMMYFUNCTION("""COMPUTED_VALUE"""),"Curry")</f>
        <v>Curry</v>
      </c>
      <c r="E2828" t="str">
        <f>IFERROR(__xludf.DUMMYFUNCTION("""COMPUTED_VALUE"""),"Vinny")</f>
        <v>Vinny</v>
      </c>
      <c r="F2828">
        <f>IFERROR(__xludf.DUMMYFUNCTION("""COMPUTED_VALUE"""),15.8)</f>
        <v>15.8</v>
      </c>
    </row>
    <row r="2829">
      <c r="D2829" t="str">
        <f>IFERROR(__xludf.DUMMYFUNCTION("""COMPUTED_VALUE"""),"Cushing")</f>
        <v>Cushing</v>
      </c>
      <c r="E2829" t="str">
        <f>IFERROR(__xludf.DUMMYFUNCTION("""COMPUTED_VALUE"""),"Brian")</f>
        <v>Brian</v>
      </c>
      <c r="F2829">
        <f>IFERROR(__xludf.DUMMYFUNCTION("""COMPUTED_VALUE"""),15.600000000000001)</f>
        <v>15.6</v>
      </c>
    </row>
    <row r="2830">
      <c r="D2830" t="str">
        <f>IFERROR(__xludf.DUMMYFUNCTION("""COMPUTED_VALUE"""),"Cyprien")</f>
        <v>Cyprien</v>
      </c>
      <c r="E2830" t="str">
        <f>IFERROR(__xludf.DUMMYFUNCTION("""COMPUTED_VALUE"""),"Johnathan")</f>
        <v>Johnathan</v>
      </c>
      <c r="F2830">
        <f>IFERROR(__xludf.DUMMYFUNCTION("""COMPUTED_VALUE"""),16.8)</f>
        <v>16.8</v>
      </c>
    </row>
    <row r="2831">
      <c r="D2831" t="str">
        <f>IFERROR(__xludf.DUMMYFUNCTION("""COMPUTED_VALUE"""),"Dahl")</f>
        <v>Dahl</v>
      </c>
      <c r="E2831" t="str">
        <f>IFERROR(__xludf.DUMMYFUNCTION("""COMPUTED_VALUE"""),"Joe")</f>
        <v>Joe</v>
      </c>
      <c r="F2831">
        <f>IFERROR(__xludf.DUMMYFUNCTION("""COMPUTED_VALUE"""),13.200000000000001)</f>
        <v>13.2</v>
      </c>
    </row>
    <row r="2832">
      <c r="D2832" t="str">
        <f>IFERROR(__xludf.DUMMYFUNCTION("""COMPUTED_VALUE"""),"Dalton")</f>
        <v>Dalton</v>
      </c>
      <c r="E2832" t="str">
        <f>IFERROR(__xludf.DUMMYFUNCTION("""COMPUTED_VALUE"""),"Andy")</f>
        <v>Andy</v>
      </c>
      <c r="F2832">
        <f>IFERROR(__xludf.DUMMYFUNCTION("""COMPUTED_VALUE"""),16.8)</f>
        <v>16.8</v>
      </c>
    </row>
    <row r="2833">
      <c r="D2833" t="str">
        <f>IFERROR(__xludf.DUMMYFUNCTION("""COMPUTED_VALUE"""),"Dangerfield")</f>
        <v>Dangerfield</v>
      </c>
      <c r="E2833" t="str">
        <f>IFERROR(__xludf.DUMMYFUNCTION("""COMPUTED_VALUE"""),"Jordan")</f>
        <v>Jordan</v>
      </c>
      <c r="F2833">
        <f>IFERROR(__xludf.DUMMYFUNCTION("""COMPUTED_VALUE"""),14.0)</f>
        <v>14</v>
      </c>
    </row>
    <row r="2834">
      <c r="D2834" t="str">
        <f>IFERROR(__xludf.DUMMYFUNCTION("""COMPUTED_VALUE"""),"Daniel")</f>
        <v>Daniel</v>
      </c>
      <c r="E2834" t="str">
        <f>IFERROR(__xludf.DUMMYFUNCTION("""COMPUTED_VALUE"""),"Chase")</f>
        <v>Chase</v>
      </c>
      <c r="F2834">
        <f>IFERROR(__xludf.DUMMYFUNCTION("""COMPUTED_VALUE"""),14.0)</f>
        <v>14</v>
      </c>
    </row>
    <row r="2835">
      <c r="D2835" t="str">
        <f>IFERROR(__xludf.DUMMYFUNCTION("""COMPUTED_VALUE"""),"Daniel")</f>
        <v>Daniel</v>
      </c>
      <c r="E2835" t="str">
        <f>IFERROR(__xludf.DUMMYFUNCTION("""COMPUTED_VALUE"""),"Robertson")</f>
        <v>Robertson</v>
      </c>
      <c r="F2835">
        <f>IFERROR(__xludf.DUMMYFUNCTION("""COMPUTED_VALUE"""),12.200000000000001)</f>
        <v>12.2</v>
      </c>
    </row>
    <row r="2836">
      <c r="D2836" t="str">
        <f>IFERROR(__xludf.DUMMYFUNCTION("""COMPUTED_VALUE"""),"Daniels")</f>
        <v>Daniels</v>
      </c>
      <c r="E2836" t="str">
        <f>IFERROR(__xludf.DUMMYFUNCTION("""COMPUTED_VALUE"""),"BJ")</f>
        <v>BJ</v>
      </c>
      <c r="F2836">
        <f>IFERROR(__xludf.DUMMYFUNCTION("""COMPUTED_VALUE"""),11.600000000000001)</f>
        <v>11.6</v>
      </c>
    </row>
    <row r="2837">
      <c r="D2837" t="str">
        <f>IFERROR(__xludf.DUMMYFUNCTION("""COMPUTED_VALUE"""),"Daniels")</f>
        <v>Daniels</v>
      </c>
      <c r="E2837" t="str">
        <f>IFERROR(__xludf.DUMMYFUNCTION("""COMPUTED_VALUE"""),"Mike")</f>
        <v>Mike</v>
      </c>
      <c r="F2837">
        <f>IFERROR(__xludf.DUMMYFUNCTION("""COMPUTED_VALUE"""),17.400000000000002)</f>
        <v>17.4</v>
      </c>
    </row>
    <row r="2838">
      <c r="D2838" t="str">
        <f>IFERROR(__xludf.DUMMYFUNCTION("""COMPUTED_VALUE"""),"Dansby")</f>
        <v>Dansby</v>
      </c>
      <c r="E2838" t="str">
        <f>IFERROR(__xludf.DUMMYFUNCTION("""COMPUTED_VALUE"""),"Karlos")</f>
        <v>Karlos</v>
      </c>
      <c r="F2838">
        <f>IFERROR(__xludf.DUMMYFUNCTION("""COMPUTED_VALUE"""),15.200000000000001)</f>
        <v>15.2</v>
      </c>
    </row>
    <row r="2839">
      <c r="D2839" t="str">
        <f>IFERROR(__xludf.DUMMYFUNCTION("""COMPUTED_VALUE"""),"Darboh")</f>
        <v>Darboh</v>
      </c>
      <c r="E2839" t="str">
        <f>IFERROR(__xludf.DUMMYFUNCTION("""COMPUTED_VALUE"""),"Amara")</f>
        <v>Amara</v>
      </c>
      <c r="F2839">
        <f>IFERROR(__xludf.DUMMYFUNCTION("""COMPUTED_VALUE"""),14.8)</f>
        <v>14.8</v>
      </c>
    </row>
    <row r="2840">
      <c r="D2840" t="str">
        <f>IFERROR(__xludf.DUMMYFUNCTION("""COMPUTED_VALUE"""),"Darby")</f>
        <v>Darby</v>
      </c>
      <c r="E2840" t="str">
        <f>IFERROR(__xludf.DUMMYFUNCTION("""COMPUTED_VALUE"""),"Ronald")</f>
        <v>Ronald</v>
      </c>
      <c r="F2840">
        <f>IFERROR(__xludf.DUMMYFUNCTION("""COMPUTED_VALUE"""),15.8)</f>
        <v>15.8</v>
      </c>
    </row>
    <row r="2841">
      <c r="D2841" t="str">
        <f>IFERROR(__xludf.DUMMYFUNCTION("""COMPUTED_VALUE"""),"Dareus")</f>
        <v>Dareus</v>
      </c>
      <c r="E2841" t="str">
        <f>IFERROR(__xludf.DUMMYFUNCTION("""COMPUTED_VALUE"""),"Marcell")</f>
        <v>Marcell</v>
      </c>
      <c r="F2841">
        <f>IFERROR(__xludf.DUMMYFUNCTION("""COMPUTED_VALUE"""),17.0)</f>
        <v>17</v>
      </c>
    </row>
    <row r="2842">
      <c r="D2842" t="str">
        <f>IFERROR(__xludf.DUMMYFUNCTION("""COMPUTED_VALUE"""),"Darkwa")</f>
        <v>Darkwa</v>
      </c>
      <c r="E2842" t="str">
        <f>IFERROR(__xludf.DUMMYFUNCTION("""COMPUTED_VALUE"""),"Orleans")</f>
        <v>Orleans</v>
      </c>
      <c r="F2842">
        <f>IFERROR(__xludf.DUMMYFUNCTION("""COMPUTED_VALUE"""),14.8)</f>
        <v>14.8</v>
      </c>
    </row>
    <row r="2843">
      <c r="D2843" t="str">
        <f>IFERROR(__xludf.DUMMYFUNCTION("""COMPUTED_VALUE"""),"Darr")</f>
        <v>Darr</v>
      </c>
      <c r="E2843" t="str">
        <f>IFERROR(__xludf.DUMMYFUNCTION("""COMPUTED_VALUE"""),"Matt")</f>
        <v>Matt</v>
      </c>
      <c r="F2843">
        <f>IFERROR(__xludf.DUMMYFUNCTION("""COMPUTED_VALUE"""),15.600000000000001)</f>
        <v>15.6</v>
      </c>
    </row>
    <row r="2844">
      <c r="D2844" t="str">
        <f>IFERROR(__xludf.DUMMYFUNCTION("""COMPUTED_VALUE"""),"Davenport")</f>
        <v>Davenport</v>
      </c>
      <c r="E2844" t="str">
        <f>IFERROR(__xludf.DUMMYFUNCTION("""COMPUTED_VALUE"""),"Julien")</f>
        <v>Julien</v>
      </c>
      <c r="F2844">
        <f>IFERROR(__xludf.DUMMYFUNCTION("""COMPUTED_VALUE"""),14.0)</f>
        <v>14</v>
      </c>
    </row>
    <row r="2845">
      <c r="D2845" t="str">
        <f>IFERROR(__xludf.DUMMYFUNCTION("""COMPUTED_VALUE"""),"David")</f>
        <v>David</v>
      </c>
      <c r="E2845" t="str">
        <f>IFERROR(__xludf.DUMMYFUNCTION("""COMPUTED_VALUE"""),"Lavonte")</f>
        <v>Lavonte</v>
      </c>
      <c r="F2845">
        <f>IFERROR(__xludf.DUMMYFUNCTION("""COMPUTED_VALUE"""),16.8)</f>
        <v>16.8</v>
      </c>
    </row>
    <row r="2846">
      <c r="D2846" t="str">
        <f>IFERROR(__xludf.DUMMYFUNCTION("""COMPUTED_VALUE"""),"Davis")</f>
        <v>Davis</v>
      </c>
      <c r="E2846" t="str">
        <f>IFERROR(__xludf.DUMMYFUNCTION("""COMPUTED_VALUE"""),"Austin")</f>
        <v>Austin</v>
      </c>
      <c r="F2846">
        <f>IFERROR(__xludf.DUMMYFUNCTION("""COMPUTED_VALUE"""),13.600000000000001)</f>
        <v>13.6</v>
      </c>
    </row>
    <row r="2847">
      <c r="D2847" t="str">
        <f>IFERROR(__xludf.DUMMYFUNCTION("""COMPUTED_VALUE"""),"Davis")</f>
        <v>Davis</v>
      </c>
      <c r="E2847" t="str">
        <f>IFERROR(__xludf.DUMMYFUNCTION("""COMPUTED_VALUE"""),"Carl")</f>
        <v>Carl</v>
      </c>
      <c r="F2847">
        <f>IFERROR(__xludf.DUMMYFUNCTION("""COMPUTED_VALUE"""),13.200000000000001)</f>
        <v>13.2</v>
      </c>
    </row>
    <row r="2848">
      <c r="D2848" t="str">
        <f>IFERROR(__xludf.DUMMYFUNCTION("""COMPUTED_VALUE"""),"Davis")</f>
        <v>Davis</v>
      </c>
      <c r="E2848" t="str">
        <f>IFERROR(__xludf.DUMMYFUNCTION("""COMPUTED_VALUE"""),"Cody")</f>
        <v>Cody</v>
      </c>
      <c r="F2848">
        <f>IFERROR(__xludf.DUMMYFUNCTION("""COMPUTED_VALUE"""),13.0)</f>
        <v>13</v>
      </c>
    </row>
    <row r="2849">
      <c r="D2849" t="str">
        <f>IFERROR(__xludf.DUMMYFUNCTION("""COMPUTED_VALUE"""),"Davis")</f>
        <v>Davis</v>
      </c>
      <c r="E2849" t="str">
        <f>IFERROR(__xludf.DUMMYFUNCTION("""COMPUTED_VALUE"""),"Corey")</f>
        <v>Corey</v>
      </c>
      <c r="F2849">
        <f>IFERROR(__xludf.DUMMYFUNCTION("""COMPUTED_VALUE"""),15.8)</f>
        <v>15.8</v>
      </c>
    </row>
    <row r="2850">
      <c r="D2850" t="str">
        <f>IFERROR(__xludf.DUMMYFUNCTION("""COMPUTED_VALUE"""),"Davis")</f>
        <v>Davis</v>
      </c>
      <c r="E2850" t="str">
        <f>IFERROR(__xludf.DUMMYFUNCTION("""COMPUTED_VALUE"""),"Demario")</f>
        <v>Demario</v>
      </c>
      <c r="F2850">
        <f>IFERROR(__xludf.DUMMYFUNCTION("""COMPUTED_VALUE"""),14.8)</f>
        <v>14.8</v>
      </c>
    </row>
    <row r="2851">
      <c r="D2851" t="str">
        <f>IFERROR(__xludf.DUMMYFUNCTION("""COMPUTED_VALUE"""),"Davis")</f>
        <v>Davis</v>
      </c>
      <c r="E2851" t="str">
        <f>IFERROR(__xludf.DUMMYFUNCTION("""COMPUTED_VALUE"""),"Geremy")</f>
        <v>Geremy</v>
      </c>
      <c r="F2851">
        <f>IFERROR(__xludf.DUMMYFUNCTION("""COMPUTED_VALUE"""),12.8)</f>
        <v>12.8</v>
      </c>
    </row>
    <row r="2852">
      <c r="D2852" t="str">
        <f>IFERROR(__xludf.DUMMYFUNCTION("""COMPUTED_VALUE"""),"Davis")</f>
        <v>Davis</v>
      </c>
      <c r="E2852" t="str">
        <f>IFERROR(__xludf.DUMMYFUNCTION("""COMPUTED_VALUE"""),"Jarrad")</f>
        <v>Jarrad</v>
      </c>
      <c r="F2852">
        <f>IFERROR(__xludf.DUMMYFUNCTION("""COMPUTED_VALUE"""),14.8)</f>
        <v>14.8</v>
      </c>
    </row>
    <row r="2853">
      <c r="D2853" t="str">
        <f>IFERROR(__xludf.DUMMYFUNCTION("""COMPUTED_VALUE"""),"Davis")</f>
        <v>Davis</v>
      </c>
      <c r="E2853" t="str">
        <f>IFERROR(__xludf.DUMMYFUNCTION("""COMPUTED_VALUE"""),"Justin")</f>
        <v>Justin</v>
      </c>
      <c r="F2853">
        <f>IFERROR(__xludf.DUMMYFUNCTION("""COMPUTED_VALUE"""),12.8)</f>
        <v>12.8</v>
      </c>
    </row>
    <row r="2854">
      <c r="D2854" t="str">
        <f>IFERROR(__xludf.DUMMYFUNCTION("""COMPUTED_VALUE"""),"Davis")</f>
        <v>Davis</v>
      </c>
      <c r="E2854" t="str">
        <f>IFERROR(__xludf.DUMMYFUNCTION("""COMPUTED_VALUE"""),"Kevin")</f>
        <v>Kevin</v>
      </c>
      <c r="F2854">
        <f>IFERROR(__xludf.DUMMYFUNCTION("""COMPUTED_VALUE"""),11.8)</f>
        <v>11.8</v>
      </c>
    </row>
    <row r="2855">
      <c r="D2855" t="str">
        <f>IFERROR(__xludf.DUMMYFUNCTION("""COMPUTED_VALUE"""),"Davis")</f>
        <v>Davis</v>
      </c>
      <c r="E2855" t="str">
        <f>IFERROR(__xludf.DUMMYFUNCTION("""COMPUTED_VALUE"""),"Knile")</f>
        <v>Knile</v>
      </c>
      <c r="F2855">
        <f>IFERROR(__xludf.DUMMYFUNCTION("""COMPUTED_VALUE"""),14.200000000000001)</f>
        <v>14.2</v>
      </c>
    </row>
    <row r="2856">
      <c r="D2856" t="str">
        <f>IFERROR(__xludf.DUMMYFUNCTION("""COMPUTED_VALUE"""),"Davis")</f>
        <v>Davis</v>
      </c>
      <c r="E2856" t="str">
        <f>IFERROR(__xludf.DUMMYFUNCTION("""COMPUTED_VALUE"""),"Mike")</f>
        <v>Mike</v>
      </c>
      <c r="F2856">
        <f>IFERROR(__xludf.DUMMYFUNCTION("""COMPUTED_VALUE"""),14.4)</f>
        <v>14.4</v>
      </c>
    </row>
    <row r="2857">
      <c r="D2857" t="str">
        <f>IFERROR(__xludf.DUMMYFUNCTION("""COMPUTED_VALUE"""),"Davis")</f>
        <v>Davis</v>
      </c>
      <c r="E2857" t="str">
        <f>IFERROR(__xludf.DUMMYFUNCTION("""COMPUTED_VALUE"""),"Robert")</f>
        <v>Robert</v>
      </c>
      <c r="F2857">
        <f>IFERROR(__xludf.DUMMYFUNCTION("""COMPUTED_VALUE"""),13.0)</f>
        <v>13</v>
      </c>
    </row>
    <row r="2858">
      <c r="D2858" t="str">
        <f>IFERROR(__xludf.DUMMYFUNCTION("""COMPUTED_VALUE"""),"Davis")</f>
        <v>Davis</v>
      </c>
      <c r="E2858" t="str">
        <f>IFERROR(__xludf.DUMMYFUNCTION("""COMPUTED_VALUE"""),"Ryan")</f>
        <v>Ryan</v>
      </c>
      <c r="F2858">
        <f>IFERROR(__xludf.DUMMYFUNCTION("""COMPUTED_VALUE"""),14.200000000000001)</f>
        <v>14.2</v>
      </c>
    </row>
    <row r="2859">
      <c r="D2859" t="str">
        <f>IFERROR(__xludf.DUMMYFUNCTION("""COMPUTED_VALUE"""),"Davis")</f>
        <v>Davis</v>
      </c>
      <c r="E2859" t="str">
        <f>IFERROR(__xludf.DUMMYFUNCTION("""COMPUTED_VALUE"""),"Sean")</f>
        <v>Sean</v>
      </c>
      <c r="F2859">
        <f>IFERROR(__xludf.DUMMYFUNCTION("""COMPUTED_VALUE"""),14.600000000000001)</f>
        <v>14.6</v>
      </c>
    </row>
    <row r="2860">
      <c r="D2860" t="str">
        <f>IFERROR(__xludf.DUMMYFUNCTION("""COMPUTED_VALUE"""),"Davis")</f>
        <v>Davis</v>
      </c>
      <c r="E2860" t="str">
        <f>IFERROR(__xludf.DUMMYFUNCTION("""COMPUTED_VALUE"""),"Todd")</f>
        <v>Todd</v>
      </c>
      <c r="F2860">
        <f>IFERROR(__xludf.DUMMYFUNCTION("""COMPUTED_VALUE"""),15.200000000000001)</f>
        <v>15.2</v>
      </c>
    </row>
    <row r="2861">
      <c r="D2861" t="str">
        <f>IFERROR(__xludf.DUMMYFUNCTION("""COMPUTED_VALUE"""),"Davis")</f>
        <v>Davis</v>
      </c>
      <c r="E2861" t="str">
        <f>IFERROR(__xludf.DUMMYFUNCTION("""COMPUTED_VALUE"""),"Trevor")</f>
        <v>Trevor</v>
      </c>
      <c r="F2861">
        <f>IFERROR(__xludf.DUMMYFUNCTION("""COMPUTED_VALUE"""),12.8)</f>
        <v>12.8</v>
      </c>
    </row>
    <row r="2862">
      <c r="D2862" t="str">
        <f>IFERROR(__xludf.DUMMYFUNCTION("""COMPUTED_VALUE"""),"Davis")</f>
        <v>Davis</v>
      </c>
      <c r="E2862" t="str">
        <f>IFERROR(__xludf.DUMMYFUNCTION("""COMPUTED_VALUE"""),"Vernon")</f>
        <v>Vernon</v>
      </c>
      <c r="F2862">
        <f>IFERROR(__xludf.DUMMYFUNCTION("""COMPUTED_VALUE"""),16.0)</f>
        <v>16</v>
      </c>
    </row>
    <row r="2863">
      <c r="D2863" t="str">
        <f>IFERROR(__xludf.DUMMYFUNCTION("""COMPUTED_VALUE"""),"Davis")</f>
        <v>Davis</v>
      </c>
      <c r="E2863" t="str">
        <f>IFERROR(__xludf.DUMMYFUNCTION("""COMPUTED_VALUE"""),"Vontae")</f>
        <v>Vontae</v>
      </c>
      <c r="F2863">
        <f>IFERROR(__xludf.DUMMYFUNCTION("""COMPUTED_VALUE"""),17.2)</f>
        <v>17.2</v>
      </c>
    </row>
    <row r="2864">
      <c r="D2864" t="str">
        <f>IFERROR(__xludf.DUMMYFUNCTION("""COMPUTED_VALUE"""),"Davis")</f>
        <v>Davis</v>
      </c>
      <c r="E2864" t="str">
        <f>IFERROR(__xludf.DUMMYFUNCTION("""COMPUTED_VALUE"""),"Will")</f>
        <v>Will</v>
      </c>
      <c r="F2864">
        <f>IFERROR(__xludf.DUMMYFUNCTION("""COMPUTED_VALUE"""),14.0)</f>
        <v>14</v>
      </c>
    </row>
    <row r="2865">
      <c r="D2865" t="str">
        <f>IFERROR(__xludf.DUMMYFUNCTION("""COMPUTED_VALUE"""),"Davis Sr")</f>
        <v>Davis Sr</v>
      </c>
      <c r="E2865" t="str">
        <f>IFERROR(__xludf.DUMMYFUNCTION("""COMPUTED_VALUE"""),"Thomas")</f>
        <v>Thomas</v>
      </c>
      <c r="F2865">
        <f>IFERROR(__xludf.DUMMYFUNCTION("""COMPUTED_VALUE"""),17.400000000000002)</f>
        <v>17.4</v>
      </c>
    </row>
    <row r="2866">
      <c r="D2866" t="str">
        <f>IFERROR(__xludf.DUMMYFUNCTION("""COMPUTED_VALUE"""),"Davison")</f>
        <v>Davison</v>
      </c>
      <c r="E2866" t="str">
        <f>IFERROR(__xludf.DUMMYFUNCTION("""COMPUTED_VALUE"""),"Tyeler")</f>
        <v>Tyeler</v>
      </c>
      <c r="F2866">
        <f>IFERROR(__xludf.DUMMYFUNCTION("""COMPUTED_VALUE"""),14.4)</f>
        <v>14.4</v>
      </c>
    </row>
    <row r="2867">
      <c r="D2867" t="str">
        <f>IFERROR(__xludf.DUMMYFUNCTION("""COMPUTED_VALUE"""),"Dawkins")</f>
        <v>Dawkins</v>
      </c>
      <c r="E2867" t="str">
        <f>IFERROR(__xludf.DUMMYFUNCTION("""COMPUTED_VALUE"""),"Dion")</f>
        <v>Dion</v>
      </c>
      <c r="F2867">
        <f>IFERROR(__xludf.DUMMYFUNCTION("""COMPUTED_VALUE"""),15.200000000000001)</f>
        <v>15.2</v>
      </c>
    </row>
    <row r="2868">
      <c r="D2868" t="str">
        <f>IFERROR(__xludf.DUMMYFUNCTION("""COMPUTED_VALUE"""),"Dawson")</f>
        <v>Dawson</v>
      </c>
      <c r="E2868" t="str">
        <f>IFERROR(__xludf.DUMMYFUNCTION("""COMPUTED_VALUE"""),"Phil")</f>
        <v>Phil</v>
      </c>
      <c r="F2868">
        <f>IFERROR(__xludf.DUMMYFUNCTION("""COMPUTED_VALUE"""),16.0)</f>
        <v>16</v>
      </c>
    </row>
    <row r="2869">
      <c r="D2869" t="str">
        <f>IFERROR(__xludf.DUMMYFUNCTION("""COMPUTED_VALUE"""),"Dawson")</f>
        <v>Dawson</v>
      </c>
      <c r="E2869" t="str">
        <f>IFERROR(__xludf.DUMMYFUNCTION("""COMPUTED_VALUE"""),"PJ")</f>
        <v>PJ</v>
      </c>
      <c r="F2869">
        <f>IFERROR(__xludf.DUMMYFUNCTION("""COMPUTED_VALUE"""),14.200000000000001)</f>
        <v>14.2</v>
      </c>
    </row>
    <row r="2870">
      <c r="D2870" t="str">
        <f>IFERROR(__xludf.DUMMYFUNCTION("""COMPUTED_VALUE"""),"Day")</f>
        <v>Day</v>
      </c>
      <c r="E2870" t="str">
        <f>IFERROR(__xludf.DUMMYFUNCTION("""COMPUTED_VALUE"""),"Sheldon")</f>
        <v>Sheldon</v>
      </c>
      <c r="F2870">
        <f>IFERROR(__xludf.DUMMYFUNCTION("""COMPUTED_VALUE"""),13.8)</f>
        <v>13.8</v>
      </c>
    </row>
    <row r="2871">
      <c r="D2871" t="str">
        <f>IFERROR(__xludf.DUMMYFUNCTION("""COMPUTED_VALUE"""),"Dayes")</f>
        <v>Dayes</v>
      </c>
      <c r="E2871" t="str">
        <f>IFERROR(__xludf.DUMMYFUNCTION("""COMPUTED_VALUE"""),"Matthew")</f>
        <v>Matthew</v>
      </c>
      <c r="F2871">
        <f>IFERROR(__xludf.DUMMYFUNCTION("""COMPUTED_VALUE"""),12.600000000000001)</f>
        <v>12.6</v>
      </c>
    </row>
    <row r="2872">
      <c r="D2872" t="str">
        <f>IFERROR(__xludf.DUMMYFUNCTION("""COMPUTED_VALUE"""),"Dean")</f>
        <v>Dean</v>
      </c>
      <c r="E2872" t="str">
        <f>IFERROR(__xludf.DUMMYFUNCTION("""COMPUTED_VALUE"""),"David")</f>
        <v>David</v>
      </c>
      <c r="F2872">
        <f>IFERROR(__xludf.DUMMYFUNCTION("""COMPUTED_VALUE"""),12.0)</f>
        <v>12</v>
      </c>
    </row>
    <row r="2873">
      <c r="D2873" t="str">
        <f>IFERROR(__xludf.DUMMYFUNCTION("""COMPUTED_VALUE"""),"DeBord")</f>
        <v>DeBord</v>
      </c>
      <c r="E2873" t="str">
        <f>IFERROR(__xludf.DUMMYFUNCTION("""COMPUTED_VALUE"""),"Clay")</f>
        <v>Clay</v>
      </c>
      <c r="F2873">
        <f>IFERROR(__xludf.DUMMYFUNCTION("""COMPUTED_VALUE"""),12.0)</f>
        <v>12</v>
      </c>
    </row>
    <row r="2874">
      <c r="D2874" t="str">
        <f>IFERROR(__xludf.DUMMYFUNCTION("""COMPUTED_VALUE"""),"DeCastro")</f>
        <v>DeCastro</v>
      </c>
      <c r="E2874" t="str">
        <f>IFERROR(__xludf.DUMMYFUNCTION("""COMPUTED_VALUE"""),"David")</f>
        <v>David</v>
      </c>
      <c r="F2874">
        <f>IFERROR(__xludf.DUMMYFUNCTION("""COMPUTED_VALUE"""),17.6)</f>
        <v>17.6</v>
      </c>
    </row>
    <row r="2875">
      <c r="D2875" t="str">
        <f>IFERROR(__xludf.DUMMYFUNCTION("""COMPUTED_VALUE"""),"Decker")</f>
        <v>Decker</v>
      </c>
      <c r="E2875" t="str">
        <f>IFERROR(__xludf.DUMMYFUNCTION("""COMPUTED_VALUE"""),"Eric")</f>
        <v>Eric</v>
      </c>
      <c r="F2875">
        <f>IFERROR(__xludf.DUMMYFUNCTION("""COMPUTED_VALUE"""),17.2)</f>
        <v>17.2</v>
      </c>
    </row>
    <row r="2876">
      <c r="D2876" t="str">
        <f>IFERROR(__xludf.DUMMYFUNCTION("""COMPUTED_VALUE"""),"Decker")</f>
        <v>Decker</v>
      </c>
      <c r="E2876" t="str">
        <f>IFERROR(__xludf.DUMMYFUNCTION("""COMPUTED_VALUE"""),"Taylor")</f>
        <v>Taylor</v>
      </c>
      <c r="F2876">
        <f>IFERROR(__xludf.DUMMYFUNCTION("""COMPUTED_VALUE"""),16.400000000000002)</f>
        <v>16.4</v>
      </c>
    </row>
    <row r="2877">
      <c r="D2877" t="str">
        <f>IFERROR(__xludf.DUMMYFUNCTION("""COMPUTED_VALUE"""),"DeCoud")</f>
        <v>DeCoud</v>
      </c>
      <c r="E2877" t="str">
        <f>IFERROR(__xludf.DUMMYFUNCTION("""COMPUTED_VALUE"""),"Treston")</f>
        <v>Treston</v>
      </c>
      <c r="F2877">
        <f>IFERROR(__xludf.DUMMYFUNCTION("""COMPUTED_VALUE"""),13.200000000000001)</f>
        <v>13.2</v>
      </c>
    </row>
    <row r="2878">
      <c r="D2878" t="str">
        <f>IFERROR(__xludf.DUMMYFUNCTION("""COMPUTED_VALUE"""),"Delaire")</f>
        <v>Delaire</v>
      </c>
      <c r="E2878" t="str">
        <f>IFERROR(__xludf.DUMMYFUNCTION("""COMPUTED_VALUE"""),"Ryan")</f>
        <v>Ryan</v>
      </c>
      <c r="F2878">
        <f>IFERROR(__xludf.DUMMYFUNCTION("""COMPUTED_VALUE"""),13.4)</f>
        <v>13.4</v>
      </c>
    </row>
    <row r="2879">
      <c r="D2879" t="str">
        <f>IFERROR(__xludf.DUMMYFUNCTION("""COMPUTED_VALUE"""),"Demps")</f>
        <v>Demps</v>
      </c>
      <c r="E2879" t="str">
        <f>IFERROR(__xludf.DUMMYFUNCTION("""COMPUTED_VALUE"""),"Quintin")</f>
        <v>Quintin</v>
      </c>
      <c r="F2879">
        <f>IFERROR(__xludf.DUMMYFUNCTION("""COMPUTED_VALUE"""),16.0)</f>
        <v>16</v>
      </c>
    </row>
    <row r="2880">
      <c r="D2880" t="str">
        <f>IFERROR(__xludf.DUMMYFUNCTION("""COMPUTED_VALUE"""),"Dennard")</f>
        <v>Dennard</v>
      </c>
      <c r="E2880" t="str">
        <f>IFERROR(__xludf.DUMMYFUNCTION("""COMPUTED_VALUE"""),"Darqueze")</f>
        <v>Darqueze</v>
      </c>
      <c r="F2880">
        <f>IFERROR(__xludf.DUMMYFUNCTION("""COMPUTED_VALUE"""),14.600000000000001)</f>
        <v>14.6</v>
      </c>
    </row>
    <row r="2881">
      <c r="D2881" t="str">
        <f>IFERROR(__xludf.DUMMYFUNCTION("""COMPUTED_VALUE"""),"Denney")</f>
        <v>Denney</v>
      </c>
      <c r="E2881" t="str">
        <f>IFERROR(__xludf.DUMMYFUNCTION("""COMPUTED_VALUE"""),"John")</f>
        <v>John</v>
      </c>
      <c r="F2881">
        <f>IFERROR(__xludf.DUMMYFUNCTION("""COMPUTED_VALUE"""),9.600000000000001)</f>
        <v>9.6</v>
      </c>
    </row>
    <row r="2882">
      <c r="D2882" t="str">
        <f>IFERROR(__xludf.DUMMYFUNCTION("""COMPUTED_VALUE"""),"DeOssie")</f>
        <v>DeOssie</v>
      </c>
      <c r="E2882" t="str">
        <f>IFERROR(__xludf.DUMMYFUNCTION("""COMPUTED_VALUE"""),"Zak")</f>
        <v>Zak</v>
      </c>
      <c r="F2882">
        <f>IFERROR(__xludf.DUMMYFUNCTION("""COMPUTED_VALUE"""),11.0)</f>
        <v>11</v>
      </c>
    </row>
    <row r="2883">
      <c r="D2883" t="str">
        <f>IFERROR(__xludf.DUMMYFUNCTION("""COMPUTED_VALUE"""),"Derby")</f>
        <v>Derby</v>
      </c>
      <c r="E2883" t="str">
        <f>IFERROR(__xludf.DUMMYFUNCTION("""COMPUTED_VALUE"""),"AJ")</f>
        <v>AJ</v>
      </c>
      <c r="F2883">
        <f>IFERROR(__xludf.DUMMYFUNCTION("""COMPUTED_VALUE"""),14.600000000000001)</f>
        <v>14.6</v>
      </c>
    </row>
    <row r="2884">
      <c r="D2884" t="str">
        <f>IFERROR(__xludf.DUMMYFUNCTION("""COMPUTED_VALUE"""),"Desir")</f>
        <v>Desir</v>
      </c>
      <c r="E2884" t="str">
        <f>IFERROR(__xludf.DUMMYFUNCTION("""COMPUTED_VALUE"""),"Pierre")</f>
        <v>Pierre</v>
      </c>
      <c r="F2884">
        <f>IFERROR(__xludf.DUMMYFUNCTION("""COMPUTED_VALUE"""),14.0)</f>
        <v>14</v>
      </c>
    </row>
    <row r="2885">
      <c r="D2885" t="str">
        <f>IFERROR(__xludf.DUMMYFUNCTION("""COMPUTED_VALUE"""),"DeValve")</f>
        <v>DeValve</v>
      </c>
      <c r="E2885" t="str">
        <f>IFERROR(__xludf.DUMMYFUNCTION("""COMPUTED_VALUE"""),"Seth")</f>
        <v>Seth</v>
      </c>
      <c r="F2885">
        <f>IFERROR(__xludf.DUMMYFUNCTION("""COMPUTED_VALUE"""),13.600000000000001)</f>
        <v>13.6</v>
      </c>
    </row>
    <row r="2886">
      <c r="D2886" t="str">
        <f>IFERROR(__xludf.DUMMYFUNCTION("""COMPUTED_VALUE"""),"Develin")</f>
        <v>Develin</v>
      </c>
      <c r="E2886" t="str">
        <f>IFERROR(__xludf.DUMMYFUNCTION("""COMPUTED_VALUE"""),"James")</f>
        <v>James</v>
      </c>
      <c r="F2886">
        <f>IFERROR(__xludf.DUMMYFUNCTION("""COMPUTED_VALUE"""),16.8)</f>
        <v>16.8</v>
      </c>
    </row>
    <row r="2887">
      <c r="D2887" t="str">
        <f>IFERROR(__xludf.DUMMYFUNCTION("""COMPUTED_VALUE"""),"Devey")</f>
        <v>Devey</v>
      </c>
      <c r="E2887" t="str">
        <f>IFERROR(__xludf.DUMMYFUNCTION("""COMPUTED_VALUE"""),"Jordan")</f>
        <v>Jordan</v>
      </c>
      <c r="F2887">
        <f>IFERROR(__xludf.DUMMYFUNCTION("""COMPUTED_VALUE"""),12.8)</f>
        <v>12.8</v>
      </c>
    </row>
    <row r="2888">
      <c r="D2888" t="str">
        <f>IFERROR(__xludf.DUMMYFUNCTION("""COMPUTED_VALUE"""),"Dial")</f>
        <v>Dial</v>
      </c>
      <c r="E2888" t="str">
        <f>IFERROR(__xludf.DUMMYFUNCTION("""COMPUTED_VALUE"""),"Quinton")</f>
        <v>Quinton</v>
      </c>
      <c r="F2888">
        <f>IFERROR(__xludf.DUMMYFUNCTION("""COMPUTED_VALUE"""),15.200000000000001)</f>
        <v>15.2</v>
      </c>
    </row>
    <row r="2889">
      <c r="D2889" t="str">
        <f>IFERROR(__xludf.DUMMYFUNCTION("""COMPUTED_VALUE"""),"Dickson")</f>
        <v>Dickson</v>
      </c>
      <c r="E2889" t="str">
        <f>IFERROR(__xludf.DUMMYFUNCTION("""COMPUTED_VALUE"""),"Ed")</f>
        <v>Ed</v>
      </c>
      <c r="F2889">
        <f>IFERROR(__xludf.DUMMYFUNCTION("""COMPUTED_VALUE"""),14.0)</f>
        <v>14</v>
      </c>
    </row>
    <row r="2890">
      <c r="D2890" t="str">
        <f>IFERROR(__xludf.DUMMYFUNCTION("""COMPUTED_VALUE"""),"Dielman")</f>
        <v>Dielman</v>
      </c>
      <c r="E2890" t="str">
        <f>IFERROR(__xludf.DUMMYFUNCTION("""COMPUTED_VALUE"""),"JJ")</f>
        <v>JJ</v>
      </c>
      <c r="F2890">
        <f>IFERROR(__xludf.DUMMYFUNCTION("""COMPUTED_VALUE"""),13.200000000000001)</f>
        <v>13.2</v>
      </c>
    </row>
    <row r="2891">
      <c r="D2891" t="str">
        <f>IFERROR(__xludf.DUMMYFUNCTION("""COMPUTED_VALUE"""),"Diggs")</f>
        <v>Diggs</v>
      </c>
      <c r="E2891" t="str">
        <f>IFERROR(__xludf.DUMMYFUNCTION("""COMPUTED_VALUE"""),"Quandre")</f>
        <v>Quandre</v>
      </c>
      <c r="F2891">
        <f>IFERROR(__xludf.DUMMYFUNCTION("""COMPUTED_VALUE"""),14.200000000000001)</f>
        <v>14.2</v>
      </c>
    </row>
    <row r="2892">
      <c r="D2892" t="str">
        <f>IFERROR(__xludf.DUMMYFUNCTION("""COMPUTED_VALUE"""),"Diggs")</f>
        <v>Diggs</v>
      </c>
      <c r="E2892" t="str">
        <f>IFERROR(__xludf.DUMMYFUNCTION("""COMPUTED_VALUE"""),"Stefon")</f>
        <v>Stefon</v>
      </c>
      <c r="F2892">
        <f>IFERROR(__xludf.DUMMYFUNCTION("""COMPUTED_VALUE"""),17.2)</f>
        <v>17.2</v>
      </c>
    </row>
    <row r="2893">
      <c r="D2893" t="str">
        <f>IFERROR(__xludf.DUMMYFUNCTION("""COMPUTED_VALUE"""),"Dillon")</f>
        <v>Dillon</v>
      </c>
      <c r="E2893" t="str">
        <f>IFERROR(__xludf.DUMMYFUNCTION("""COMPUTED_VALUE"""),"KJ")</f>
        <v>KJ</v>
      </c>
      <c r="F2893">
        <f>IFERROR(__xludf.DUMMYFUNCTION("""COMPUTED_VALUE"""),13.0)</f>
        <v>13</v>
      </c>
    </row>
    <row r="2894">
      <c r="D2894" t="str">
        <f>IFERROR(__xludf.DUMMYFUNCTION("""COMPUTED_VALUE"""),"DiMarco")</f>
        <v>DiMarco</v>
      </c>
      <c r="E2894" t="str">
        <f>IFERROR(__xludf.DUMMYFUNCTION("""COMPUTED_VALUE"""),"Patrick")</f>
        <v>Patrick</v>
      </c>
      <c r="F2894">
        <f>IFERROR(__xludf.DUMMYFUNCTION("""COMPUTED_VALUE"""),16.8)</f>
        <v>16.8</v>
      </c>
    </row>
    <row r="2895">
      <c r="D2895" t="str">
        <f>IFERROR(__xludf.DUMMYFUNCTION("""COMPUTED_VALUE"""),"Dixon")</f>
        <v>Dixon</v>
      </c>
      <c r="E2895" t="str">
        <f>IFERROR(__xludf.DUMMYFUNCTION("""COMPUTED_VALUE"""),"Brian")</f>
        <v>Brian</v>
      </c>
      <c r="F2895">
        <f>IFERROR(__xludf.DUMMYFUNCTION("""COMPUTED_VALUE"""),13.0)</f>
        <v>13</v>
      </c>
    </row>
    <row r="2896">
      <c r="D2896" t="str">
        <f>IFERROR(__xludf.DUMMYFUNCTION("""COMPUTED_VALUE"""),"Dixon")</f>
        <v>Dixon</v>
      </c>
      <c r="E2896" t="str">
        <f>IFERROR(__xludf.DUMMYFUNCTION("""COMPUTED_VALUE"""),"Kenneth")</f>
        <v>Kenneth</v>
      </c>
      <c r="F2896">
        <f>IFERROR(__xludf.DUMMYFUNCTION("""COMPUTED_VALUE"""),15.200000000000001)</f>
        <v>15.2</v>
      </c>
    </row>
    <row r="2897">
      <c r="D2897" t="str">
        <f>IFERROR(__xludf.DUMMYFUNCTION("""COMPUTED_VALUE"""),"Dixon")</f>
        <v>Dixon</v>
      </c>
      <c r="E2897" t="str">
        <f>IFERROR(__xludf.DUMMYFUNCTION("""COMPUTED_VALUE"""),"Riley")</f>
        <v>Riley</v>
      </c>
      <c r="F2897">
        <f>IFERROR(__xludf.DUMMYFUNCTION("""COMPUTED_VALUE"""),14.8)</f>
        <v>14.8</v>
      </c>
    </row>
    <row r="2898">
      <c r="D2898" t="str">
        <f>IFERROR(__xludf.DUMMYFUNCTION("""COMPUTED_VALUE"""),"Dobbs")</f>
        <v>Dobbs</v>
      </c>
      <c r="E2898" t="str">
        <f>IFERROR(__xludf.DUMMYFUNCTION("""COMPUTED_VALUE"""),"Joshua")</f>
        <v>Joshua</v>
      </c>
      <c r="F2898">
        <f>IFERROR(__xludf.DUMMYFUNCTION("""COMPUTED_VALUE"""),14.4)</f>
        <v>14.4</v>
      </c>
    </row>
    <row r="2899">
      <c r="D2899" t="str">
        <f>IFERROR(__xludf.DUMMYFUNCTION("""COMPUTED_VALUE"""),"Dobson")</f>
        <v>Dobson</v>
      </c>
      <c r="E2899" t="str">
        <f>IFERROR(__xludf.DUMMYFUNCTION("""COMPUTED_VALUE"""),"Aaron")</f>
        <v>Aaron</v>
      </c>
      <c r="F2899">
        <f>IFERROR(__xludf.DUMMYFUNCTION("""COMPUTED_VALUE"""),14.200000000000001)</f>
        <v>14.2</v>
      </c>
    </row>
    <row r="2900">
      <c r="D2900" t="str">
        <f>IFERROR(__xludf.DUMMYFUNCTION("""COMPUTED_VALUE"""),"Doctson")</f>
        <v>Doctson</v>
      </c>
      <c r="E2900" t="str">
        <f>IFERROR(__xludf.DUMMYFUNCTION("""COMPUTED_VALUE"""),"Josh")</f>
        <v>Josh</v>
      </c>
      <c r="F2900">
        <f>IFERROR(__xludf.DUMMYFUNCTION("""COMPUTED_VALUE"""),15.0)</f>
        <v>15</v>
      </c>
    </row>
    <row r="2901">
      <c r="D2901" t="str">
        <f>IFERROR(__xludf.DUMMYFUNCTION("""COMPUTED_VALUE"""),"Dodd")</f>
        <v>Dodd</v>
      </c>
      <c r="E2901" t="str">
        <f>IFERROR(__xludf.DUMMYFUNCTION("""COMPUTED_VALUE"""),"Kevin")</f>
        <v>Kevin</v>
      </c>
      <c r="F2901">
        <f>IFERROR(__xludf.DUMMYFUNCTION("""COMPUTED_VALUE"""),14.600000000000001)</f>
        <v>14.6</v>
      </c>
    </row>
    <row r="2902">
      <c r="D2902" t="str">
        <f>IFERROR(__xludf.DUMMYFUNCTION("""COMPUTED_VALUE"""),"Donahue")</f>
        <v>Donahue</v>
      </c>
      <c r="E2902" t="str">
        <f>IFERROR(__xludf.DUMMYFUNCTION("""COMPUTED_VALUE"""),"Dylan")</f>
        <v>Dylan</v>
      </c>
      <c r="F2902">
        <f>IFERROR(__xludf.DUMMYFUNCTION("""COMPUTED_VALUE"""),12.8)</f>
        <v>12.8</v>
      </c>
    </row>
    <row r="2903">
      <c r="D2903" t="str">
        <f>IFERROR(__xludf.DUMMYFUNCTION("""COMPUTED_VALUE"""),"Donald")</f>
        <v>Donald</v>
      </c>
      <c r="E2903" t="str">
        <f>IFERROR(__xludf.DUMMYFUNCTION("""COMPUTED_VALUE"""),"Aaron")</f>
        <v>Aaron</v>
      </c>
      <c r="F2903">
        <f>IFERROR(__xludf.DUMMYFUNCTION("""COMPUTED_VALUE"""),19.8)</f>
        <v>19.8</v>
      </c>
    </row>
    <row r="2904">
      <c r="D2904" t="str">
        <f>IFERROR(__xludf.DUMMYFUNCTION("""COMPUTED_VALUE"""),"Donnal")</f>
        <v>Donnal</v>
      </c>
      <c r="E2904" t="str">
        <f>IFERROR(__xludf.DUMMYFUNCTION("""COMPUTED_VALUE"""),"Andrew")</f>
        <v>Andrew</v>
      </c>
      <c r="F2904">
        <f>IFERROR(__xludf.DUMMYFUNCTION("""COMPUTED_VALUE"""),13.0)</f>
        <v>13</v>
      </c>
    </row>
    <row r="2905">
      <c r="D2905" t="str">
        <f>IFERROR(__xludf.DUMMYFUNCTION("""COMPUTED_VALUE"""),"Dora")</f>
        <v>Dora</v>
      </c>
      <c r="E2905" t="str">
        <f>IFERROR(__xludf.DUMMYFUNCTION("""COMPUTED_VALUE"""),"Vontarrius")</f>
        <v>Vontarrius</v>
      </c>
      <c r="F2905">
        <f>IFERROR(__xludf.DUMMYFUNCTION("""COMPUTED_VALUE"""),11.600000000000001)</f>
        <v>11.6</v>
      </c>
    </row>
    <row r="2906">
      <c r="D2906" t="str">
        <f>IFERROR(__xludf.DUMMYFUNCTION("""COMPUTED_VALUE"""),"Dorenbos")</f>
        <v>Dorenbos</v>
      </c>
      <c r="E2906" t="str">
        <f>IFERROR(__xludf.DUMMYFUNCTION("""COMPUTED_VALUE"""),"Jon")</f>
        <v>Jon</v>
      </c>
      <c r="F2906">
        <f>IFERROR(__xludf.DUMMYFUNCTION("""COMPUTED_VALUE"""),8.8)</f>
        <v>8.8</v>
      </c>
    </row>
    <row r="2907">
      <c r="D2907" t="str">
        <f>IFERROR(__xludf.DUMMYFUNCTION("""COMPUTED_VALUE"""),"Dorsett")</f>
        <v>Dorsett</v>
      </c>
      <c r="E2907" t="str">
        <f>IFERROR(__xludf.DUMMYFUNCTION("""COMPUTED_VALUE"""),"Phillip")</f>
        <v>Phillip</v>
      </c>
      <c r="F2907">
        <f>IFERROR(__xludf.DUMMYFUNCTION("""COMPUTED_VALUE"""),14.600000000000001)</f>
        <v>14.6</v>
      </c>
    </row>
    <row r="2908">
      <c r="D2908" t="str">
        <f>IFERROR(__xludf.DUMMYFUNCTION("""COMPUTED_VALUE"""),"Doss")</f>
        <v>Doss</v>
      </c>
      <c r="E2908" t="str">
        <f>IFERROR(__xludf.DUMMYFUNCTION("""COMPUTED_VALUE"""),"Lorenzo")</f>
        <v>Lorenzo</v>
      </c>
      <c r="F2908">
        <f>IFERROR(__xludf.DUMMYFUNCTION("""COMPUTED_VALUE"""),14.0)</f>
        <v>14</v>
      </c>
    </row>
    <row r="2909">
      <c r="D2909" t="str">
        <f>IFERROR(__xludf.DUMMYFUNCTION("""COMPUTED_VALUE"""),"Dotson")</f>
        <v>Dotson</v>
      </c>
      <c r="E2909" t="str">
        <f>IFERROR(__xludf.DUMMYFUNCTION("""COMPUTED_VALUE"""),"Demar")</f>
        <v>Demar</v>
      </c>
      <c r="F2909">
        <f>IFERROR(__xludf.DUMMYFUNCTION("""COMPUTED_VALUE"""),16.0)</f>
        <v>16</v>
      </c>
    </row>
    <row r="2910">
      <c r="D2910" t="str">
        <f>IFERROR(__xludf.DUMMYFUNCTION("""COMPUTED_VALUE"""),"Doughty")</f>
        <v>Doughty</v>
      </c>
      <c r="E2910" t="str">
        <f>IFERROR(__xludf.DUMMYFUNCTION("""COMPUTED_VALUE"""),"Brandon")</f>
        <v>Brandon</v>
      </c>
      <c r="F2910">
        <f>IFERROR(__xludf.DUMMYFUNCTION("""COMPUTED_VALUE"""),12.200000000000001)</f>
        <v>12.2</v>
      </c>
    </row>
    <row r="2911">
      <c r="D2911" t="str">
        <f>IFERROR(__xludf.DUMMYFUNCTION("""COMPUTED_VALUE"""),"Douglas")</f>
        <v>Douglas</v>
      </c>
      <c r="E2911" t="str">
        <f>IFERROR(__xludf.DUMMYFUNCTION("""COMPUTED_VALUE"""),"Harry")</f>
        <v>Harry</v>
      </c>
      <c r="F2911">
        <f>IFERROR(__xludf.DUMMYFUNCTION("""COMPUTED_VALUE"""),14.600000000000001)</f>
        <v>14.6</v>
      </c>
    </row>
    <row r="2912">
      <c r="D2912" t="str">
        <f>IFERROR(__xludf.DUMMYFUNCTION("""COMPUTED_VALUE"""),"Douglas")</f>
        <v>Douglas</v>
      </c>
      <c r="E2912" t="str">
        <f>IFERROR(__xludf.DUMMYFUNCTION("""COMPUTED_VALUE"""),"Jamil")</f>
        <v>Jamil</v>
      </c>
      <c r="F2912">
        <f>IFERROR(__xludf.DUMMYFUNCTION("""COMPUTED_VALUE"""),13.0)</f>
        <v>13</v>
      </c>
    </row>
    <row r="2913">
      <c r="D2913" t="str">
        <f>IFERROR(__xludf.DUMMYFUNCTION("""COMPUTED_VALUE"""),"Douglas")</f>
        <v>Douglas</v>
      </c>
      <c r="E2913" t="str">
        <f>IFERROR(__xludf.DUMMYFUNCTION("""COMPUTED_VALUE"""),"Rasul")</f>
        <v>Rasul</v>
      </c>
      <c r="F2913">
        <f>IFERROR(__xludf.DUMMYFUNCTION("""COMPUTED_VALUE"""),13.600000000000001)</f>
        <v>13.6</v>
      </c>
    </row>
    <row r="2914">
      <c r="D2914" t="str">
        <f>IFERROR(__xludf.DUMMYFUNCTION("""COMPUTED_VALUE"""),"Doyle")</f>
        <v>Doyle</v>
      </c>
      <c r="E2914" t="str">
        <f>IFERROR(__xludf.DUMMYFUNCTION("""COMPUTED_VALUE"""),"Jack")</f>
        <v>Jack</v>
      </c>
      <c r="F2914">
        <f>IFERROR(__xludf.DUMMYFUNCTION("""COMPUTED_VALUE"""),15.8)</f>
        <v>15.8</v>
      </c>
    </row>
    <row r="2915">
      <c r="D2915" t="str">
        <f>IFERROR(__xludf.DUMMYFUNCTION("""COMPUTED_VALUE"""),"Dozier")</f>
        <v>Dozier</v>
      </c>
      <c r="E2915" t="str">
        <f>IFERROR(__xludf.DUMMYFUNCTION("""COMPUTED_VALUE"""),"Dakota")</f>
        <v>Dakota</v>
      </c>
      <c r="F2915">
        <f>IFERROR(__xludf.DUMMYFUNCTION("""COMPUTED_VALUE"""),14.200000000000001)</f>
        <v>14.2</v>
      </c>
    </row>
    <row r="2916">
      <c r="D2916" t="str">
        <f>IFERROR(__xludf.DUMMYFUNCTION("""COMPUTED_VALUE"""),"Drake")</f>
        <v>Drake</v>
      </c>
      <c r="E2916" t="str">
        <f>IFERROR(__xludf.DUMMYFUNCTION("""COMPUTED_VALUE"""),"Kenyan")</f>
        <v>Kenyan</v>
      </c>
      <c r="F2916">
        <f>IFERROR(__xludf.DUMMYFUNCTION("""COMPUTED_VALUE"""),13.8)</f>
        <v>13.8</v>
      </c>
    </row>
    <row r="2917">
      <c r="D2917" t="str">
        <f>IFERROR(__xludf.DUMMYFUNCTION("""COMPUTED_VALUE"""),"Drango")</f>
        <v>Drango</v>
      </c>
      <c r="E2917" t="str">
        <f>IFERROR(__xludf.DUMMYFUNCTION("""COMPUTED_VALUE"""),"Spencer")</f>
        <v>Spencer</v>
      </c>
      <c r="F2917">
        <f>IFERROR(__xludf.DUMMYFUNCTION("""COMPUTED_VALUE"""),14.4)</f>
        <v>14.4</v>
      </c>
    </row>
    <row r="2918">
      <c r="D2918" t="str">
        <f>IFERROR(__xludf.DUMMYFUNCTION("""COMPUTED_VALUE"""),"Draughn")</f>
        <v>Draughn</v>
      </c>
      <c r="E2918" t="str">
        <f>IFERROR(__xludf.DUMMYFUNCTION("""COMPUTED_VALUE"""),"Shaun")</f>
        <v>Shaun</v>
      </c>
      <c r="F2918">
        <f>IFERROR(__xludf.DUMMYFUNCTION("""COMPUTED_VALUE"""),14.8)</f>
        <v>14.8</v>
      </c>
    </row>
    <row r="2919">
      <c r="D2919" t="str">
        <f>IFERROR(__xludf.DUMMYFUNCTION("""COMPUTED_VALUE"""),"Driskel")</f>
        <v>Driskel</v>
      </c>
      <c r="E2919" t="str">
        <f>IFERROR(__xludf.DUMMYFUNCTION("""COMPUTED_VALUE"""),"Jeff")</f>
        <v>Jeff</v>
      </c>
      <c r="F2919">
        <f>IFERROR(__xludf.DUMMYFUNCTION("""COMPUTED_VALUE"""),13.0)</f>
        <v>13</v>
      </c>
    </row>
    <row r="2920">
      <c r="D2920" t="str">
        <f>IFERROR(__xludf.DUMMYFUNCTION("""COMPUTED_VALUE"""),"Drummond")</f>
        <v>Drummond</v>
      </c>
      <c r="E2920" t="str">
        <f>IFERROR(__xludf.DUMMYFUNCTION("""COMPUTED_VALUE"""),"Kurtis")</f>
        <v>Kurtis</v>
      </c>
      <c r="F2920">
        <f>IFERROR(__xludf.DUMMYFUNCTION("""COMPUTED_VALUE"""),13.600000000000001)</f>
        <v>13.6</v>
      </c>
    </row>
    <row r="2921">
      <c r="D2921" t="str">
        <f>IFERROR(__xludf.DUMMYFUNCTION("""COMPUTED_VALUE"""),"Duarte")</f>
        <v>Duarte</v>
      </c>
      <c r="E2921" t="str">
        <f>IFERROR(__xludf.DUMMYFUNCTION("""COMPUTED_VALUE"""),"Thomas")</f>
        <v>Thomas</v>
      </c>
      <c r="F2921">
        <f>IFERROR(__xludf.DUMMYFUNCTION("""COMPUTED_VALUE"""),12.4)</f>
        <v>12.4</v>
      </c>
    </row>
    <row r="2922">
      <c r="D2922" t="str">
        <f>IFERROR(__xludf.DUMMYFUNCTION("""COMPUTED_VALUE"""),"Ducasse")</f>
        <v>Ducasse</v>
      </c>
      <c r="E2922" t="str">
        <f>IFERROR(__xludf.DUMMYFUNCTION("""COMPUTED_VALUE"""),"Vladimir")</f>
        <v>Vladimir</v>
      </c>
      <c r="F2922">
        <f>IFERROR(__xludf.DUMMYFUNCTION("""COMPUTED_VALUE"""),14.4)</f>
        <v>14.4</v>
      </c>
    </row>
    <row r="2923">
      <c r="D2923" t="str">
        <f>IFERROR(__xludf.DUMMYFUNCTION("""COMPUTED_VALUE"""),"Dumervil")</f>
        <v>Dumervil</v>
      </c>
      <c r="E2923" t="str">
        <f>IFERROR(__xludf.DUMMYFUNCTION("""COMPUTED_VALUE"""),"Elvis")</f>
        <v>Elvis</v>
      </c>
      <c r="F2923">
        <f>IFERROR(__xludf.DUMMYFUNCTION("""COMPUTED_VALUE"""),16.6)</f>
        <v>16.6</v>
      </c>
    </row>
    <row r="2924">
      <c r="D2924" t="str">
        <f>IFERROR(__xludf.DUMMYFUNCTION("""COMPUTED_VALUE"""),"Dunbar")</f>
        <v>Dunbar</v>
      </c>
      <c r="E2924" t="str">
        <f>IFERROR(__xludf.DUMMYFUNCTION("""COMPUTED_VALUE"""),"Lance")</f>
        <v>Lance</v>
      </c>
      <c r="F2924">
        <f>IFERROR(__xludf.DUMMYFUNCTION("""COMPUTED_VALUE"""),15.4)</f>
        <v>15.4</v>
      </c>
    </row>
    <row r="2925">
      <c r="D2925" t="str">
        <f>IFERROR(__xludf.DUMMYFUNCTION("""COMPUTED_VALUE"""),"Dunbar")</f>
        <v>Dunbar</v>
      </c>
      <c r="E2925" t="str">
        <f>IFERROR(__xludf.DUMMYFUNCTION("""COMPUTED_VALUE"""),"Quinton")</f>
        <v>Quinton</v>
      </c>
      <c r="F2925">
        <f>IFERROR(__xludf.DUMMYFUNCTION("""COMPUTED_VALUE"""),14.200000000000001)</f>
        <v>14.2</v>
      </c>
    </row>
    <row r="2926">
      <c r="D2926" t="str">
        <f>IFERROR(__xludf.DUMMYFUNCTION("""COMPUTED_VALUE"""),"Dunker")</f>
        <v>Dunker</v>
      </c>
      <c r="E2926" t="str">
        <f>IFERROR(__xludf.DUMMYFUNCTION("""COMPUTED_VALUE"""),"Jessamen")</f>
        <v>Jessamen</v>
      </c>
      <c r="F2926">
        <f>IFERROR(__xludf.DUMMYFUNCTION("""COMPUTED_VALUE"""),12.200000000000001)</f>
        <v>12.2</v>
      </c>
    </row>
    <row r="2927">
      <c r="D2927" t="str">
        <f>IFERROR(__xludf.DUMMYFUNCTION("""COMPUTED_VALUE"""),"Dunlap")</f>
        <v>Dunlap</v>
      </c>
      <c r="E2927" t="str">
        <f>IFERROR(__xludf.DUMMYFUNCTION("""COMPUTED_VALUE"""),"Carlos")</f>
        <v>Carlos</v>
      </c>
      <c r="F2927">
        <f>IFERROR(__xludf.DUMMYFUNCTION("""COMPUTED_VALUE"""),17.2)</f>
        <v>17.2</v>
      </c>
    </row>
    <row r="2928">
      <c r="D2928" t="str">
        <f>IFERROR(__xludf.DUMMYFUNCTION("""COMPUTED_VALUE"""),"Dunn")</f>
        <v>Dunn</v>
      </c>
      <c r="E2928" t="str">
        <f>IFERROR(__xludf.DUMMYFUNCTION("""COMPUTED_VALUE"""),"Brandon")</f>
        <v>Brandon</v>
      </c>
      <c r="F2928">
        <f>IFERROR(__xludf.DUMMYFUNCTION("""COMPUTED_VALUE"""),13.600000000000001)</f>
        <v>13.6</v>
      </c>
    </row>
    <row r="2929">
      <c r="D2929" t="str">
        <f>IFERROR(__xludf.DUMMYFUNCTION("""COMPUTED_VALUE"""),"Dupre")</f>
        <v>Dupre</v>
      </c>
      <c r="E2929" t="str">
        <f>IFERROR(__xludf.DUMMYFUNCTION("""COMPUTED_VALUE"""),"Malachi")</f>
        <v>Malachi</v>
      </c>
      <c r="F2929">
        <f>IFERROR(__xludf.DUMMYFUNCTION("""COMPUTED_VALUE"""),13.200000000000001)</f>
        <v>13.2</v>
      </c>
    </row>
    <row r="2930">
      <c r="D2930" t="str">
        <f>IFERROR(__xludf.DUMMYFUNCTION("""COMPUTED_VALUE"""),"Dupree")</f>
        <v>Dupree</v>
      </c>
      <c r="E2930" t="str">
        <f>IFERROR(__xludf.DUMMYFUNCTION("""COMPUTED_VALUE"""),"Bud")</f>
        <v>Bud</v>
      </c>
      <c r="F2930">
        <f>IFERROR(__xludf.DUMMYFUNCTION("""COMPUTED_VALUE"""),15.0)</f>
        <v>15</v>
      </c>
    </row>
    <row r="2931">
      <c r="D2931" t="str">
        <f>IFERROR(__xludf.DUMMYFUNCTION("""COMPUTED_VALUE"""),"Dural")</f>
        <v>Dural</v>
      </c>
      <c r="E2931" t="str">
        <f>IFERROR(__xludf.DUMMYFUNCTION("""COMPUTED_VALUE"""),"Travin")</f>
        <v>Travin</v>
      </c>
      <c r="F2931">
        <f>IFERROR(__xludf.DUMMYFUNCTION("""COMPUTED_VALUE"""),12.600000000000001)</f>
        <v>12.6</v>
      </c>
    </row>
    <row r="2932">
      <c r="D2932" t="str">
        <f>IFERROR(__xludf.DUMMYFUNCTION("""COMPUTED_VALUE"""),"Duvernay-Tardif")</f>
        <v>Duvernay-Tardif</v>
      </c>
      <c r="E2932" t="str">
        <f>IFERROR(__xludf.DUMMYFUNCTION("""COMPUTED_VALUE"""),"Laurent")</f>
        <v>Laurent</v>
      </c>
      <c r="F2932">
        <f>IFERROR(__xludf.DUMMYFUNCTION("""COMPUTED_VALUE"""),15.600000000000001)</f>
        <v>15.6</v>
      </c>
    </row>
    <row r="2933">
      <c r="D2933" t="str">
        <f>IFERROR(__xludf.DUMMYFUNCTION("""COMPUTED_VALUE"""),"Dye Jr")</f>
        <v>Dye Jr</v>
      </c>
      <c r="E2933" t="str">
        <f>IFERROR(__xludf.DUMMYFUNCTION("""COMPUTED_VALUE"""),"Donteea")</f>
        <v>Donteea</v>
      </c>
      <c r="F2933">
        <f>IFERROR(__xludf.DUMMYFUNCTION("""COMPUTED_VALUE"""),12.8)</f>
        <v>12.8</v>
      </c>
    </row>
    <row r="2934">
      <c r="D2934" t="str">
        <f>IFERROR(__xludf.DUMMYFUNCTION("""COMPUTED_VALUE"""),"Dysert")</f>
        <v>Dysert</v>
      </c>
      <c r="E2934" t="str">
        <f>IFERROR(__xludf.DUMMYFUNCTION("""COMPUTED_VALUE"""),"Zac")</f>
        <v>Zac</v>
      </c>
      <c r="F2934">
        <f>IFERROR(__xludf.DUMMYFUNCTION("""COMPUTED_VALUE"""),12.0)</f>
        <v>12</v>
      </c>
    </row>
    <row r="2935">
      <c r="D2935" t="str">
        <f>IFERROR(__xludf.DUMMYFUNCTION("""COMPUTED_VALUE"""),"Dzubnar")</f>
        <v>Dzubnar</v>
      </c>
      <c r="E2935" t="str">
        <f>IFERROR(__xludf.DUMMYFUNCTION("""COMPUTED_VALUE"""),"Nick")</f>
        <v>Nick</v>
      </c>
      <c r="F2935">
        <f>IFERROR(__xludf.DUMMYFUNCTION("""COMPUTED_VALUE"""),12.4)</f>
        <v>12.4</v>
      </c>
    </row>
    <row r="2936">
      <c r="D2936" t="str">
        <f>IFERROR(__xludf.DUMMYFUNCTION("""COMPUTED_VALUE"""),"Ealy")</f>
        <v>Ealy</v>
      </c>
      <c r="E2936" t="str">
        <f>IFERROR(__xludf.DUMMYFUNCTION("""COMPUTED_VALUE"""),"Kony")</f>
        <v>Kony</v>
      </c>
      <c r="F2936">
        <f>IFERROR(__xludf.DUMMYFUNCTION("""COMPUTED_VALUE"""),15.4)</f>
        <v>15.4</v>
      </c>
    </row>
    <row r="2937">
      <c r="D2937" t="str">
        <f>IFERROR(__xludf.DUMMYFUNCTION("""COMPUTED_VALUE"""),"Easley")</f>
        <v>Easley</v>
      </c>
      <c r="E2937" t="str">
        <f>IFERROR(__xludf.DUMMYFUNCTION("""COMPUTED_VALUE"""),"Dominique")</f>
        <v>Dominique</v>
      </c>
      <c r="F2937">
        <f>IFERROR(__xludf.DUMMYFUNCTION("""COMPUTED_VALUE"""),15.600000000000001)</f>
        <v>15.6</v>
      </c>
    </row>
    <row r="2938">
      <c r="D2938" t="str">
        <f>IFERROR(__xludf.DUMMYFUNCTION("""COMPUTED_VALUE"""),"Easton")</f>
        <v>Easton</v>
      </c>
      <c r="E2938" t="str">
        <f>IFERROR(__xludf.DUMMYFUNCTION("""COMPUTED_VALUE"""),"Nick")</f>
        <v>Nick</v>
      </c>
      <c r="F2938">
        <f>IFERROR(__xludf.DUMMYFUNCTION("""COMPUTED_VALUE"""),12.4)</f>
        <v>12.4</v>
      </c>
    </row>
    <row r="2939">
      <c r="D2939" t="str">
        <f>IFERROR(__xludf.DUMMYFUNCTION("""COMPUTED_VALUE"""),"Ebner")</f>
        <v>Ebner</v>
      </c>
      <c r="E2939" t="str">
        <f>IFERROR(__xludf.DUMMYFUNCTION("""COMPUTED_VALUE"""),"Nate")</f>
        <v>Nate</v>
      </c>
      <c r="F2939">
        <f>IFERROR(__xludf.DUMMYFUNCTION("""COMPUTED_VALUE"""),13.0)</f>
        <v>13</v>
      </c>
    </row>
    <row r="2940">
      <c r="D2940" t="str">
        <f>IFERROR(__xludf.DUMMYFUNCTION("""COMPUTED_VALUE"""),"Ebron")</f>
        <v>Ebron</v>
      </c>
      <c r="E2940" t="str">
        <f>IFERROR(__xludf.DUMMYFUNCTION("""COMPUTED_VALUE"""),"Eric")</f>
        <v>Eric</v>
      </c>
      <c r="F2940">
        <f>IFERROR(__xludf.DUMMYFUNCTION("""COMPUTED_VALUE"""),16.2)</f>
        <v>16.2</v>
      </c>
    </row>
    <row r="2941">
      <c r="D2941" t="str">
        <f>IFERROR(__xludf.DUMMYFUNCTION("""COMPUTED_VALUE"""),"Ebukam")</f>
        <v>Ebukam</v>
      </c>
      <c r="E2941" t="str">
        <f>IFERROR(__xludf.DUMMYFUNCTION("""COMPUTED_VALUE"""),"Samson")</f>
        <v>Samson</v>
      </c>
      <c r="F2941">
        <f>IFERROR(__xludf.DUMMYFUNCTION("""COMPUTED_VALUE"""),13.4)</f>
        <v>13.4</v>
      </c>
    </row>
    <row r="2942">
      <c r="D2942" t="str">
        <f>IFERROR(__xludf.DUMMYFUNCTION("""COMPUTED_VALUE"""),"Edebali")</f>
        <v>Edebali</v>
      </c>
      <c r="E2942" t="str">
        <f>IFERROR(__xludf.DUMMYFUNCTION("""COMPUTED_VALUE"""),"Kasim")</f>
        <v>Kasim</v>
      </c>
      <c r="F2942">
        <f>IFERROR(__xludf.DUMMYFUNCTION("""COMPUTED_VALUE"""),12.600000000000001)</f>
        <v>12.6</v>
      </c>
    </row>
    <row r="2943">
      <c r="D2943" t="str">
        <f>IFERROR(__xludf.DUMMYFUNCTION("""COMPUTED_VALUE"""),"Edelman")</f>
        <v>Edelman</v>
      </c>
      <c r="E2943" t="str">
        <f>IFERROR(__xludf.DUMMYFUNCTION("""COMPUTED_VALUE"""),"Julian")</f>
        <v>Julian</v>
      </c>
      <c r="F2943">
        <f>IFERROR(__xludf.DUMMYFUNCTION("""COMPUTED_VALUE"""),17.8)</f>
        <v>17.8</v>
      </c>
    </row>
    <row r="2944">
      <c r="D2944" t="str">
        <f>IFERROR(__xludf.DUMMYFUNCTION("""COMPUTED_VALUE"""),"Edison")</f>
        <v>Edison</v>
      </c>
      <c r="E2944" t="str">
        <f>IFERROR(__xludf.DUMMYFUNCTION("""COMPUTED_VALUE"""),"Cornelius")</f>
        <v>Cornelius</v>
      </c>
      <c r="F2944">
        <f>IFERROR(__xludf.DUMMYFUNCTION("""COMPUTED_VALUE"""),12.0)</f>
        <v>12</v>
      </c>
    </row>
    <row r="2945">
      <c r="D2945" t="str">
        <f>IFERROR(__xludf.DUMMYFUNCTION("""COMPUTED_VALUE"""),"Edwards")</f>
        <v>Edwards</v>
      </c>
      <c r="E2945" t="str">
        <f>IFERROR(__xludf.DUMMYFUNCTION("""COMPUTED_VALUE"""),"Kadeem")</f>
        <v>Kadeem</v>
      </c>
      <c r="F2945">
        <f>IFERROR(__xludf.DUMMYFUNCTION("""COMPUTED_VALUE"""),12.8)</f>
        <v>12.8</v>
      </c>
    </row>
    <row r="2946">
      <c r="D2946" t="str">
        <f>IFERROR(__xludf.DUMMYFUNCTION("""COMPUTED_VALUE"""),"Edwards")</f>
        <v>Edwards</v>
      </c>
      <c r="E2946" t="str">
        <f>IFERROR(__xludf.DUMMYFUNCTION("""COMPUTED_VALUE"""),"Lachlan")</f>
        <v>Lachlan</v>
      </c>
      <c r="F2946">
        <f>IFERROR(__xludf.DUMMYFUNCTION("""COMPUTED_VALUE"""),14.4)</f>
        <v>14.4</v>
      </c>
    </row>
    <row r="2947">
      <c r="D2947" t="str">
        <f>IFERROR(__xludf.DUMMYFUNCTION("""COMPUTED_VALUE"""),"Edwards")</f>
        <v>Edwards</v>
      </c>
      <c r="E2947" t="str">
        <f>IFERROR(__xludf.DUMMYFUNCTION("""COMPUTED_VALUE"""),"Lavar")</f>
        <v>Lavar</v>
      </c>
      <c r="F2947">
        <f>IFERROR(__xludf.DUMMYFUNCTION("""COMPUTED_VALUE"""),12.8)</f>
        <v>12.8</v>
      </c>
    </row>
    <row r="2948">
      <c r="D2948" t="str">
        <f>IFERROR(__xludf.DUMMYFUNCTION("""COMPUTED_VALUE"""),"Edwards Jr")</f>
        <v>Edwards Jr</v>
      </c>
      <c r="E2948" t="str">
        <f>IFERROR(__xludf.DUMMYFUNCTION("""COMPUTED_VALUE"""),"Mario")</f>
        <v>Mario</v>
      </c>
      <c r="F2948">
        <f>IFERROR(__xludf.DUMMYFUNCTION("""COMPUTED_VALUE"""),15.200000000000001)</f>
        <v>15.2</v>
      </c>
    </row>
    <row r="2949">
      <c r="D2949" t="str">
        <f>IFERROR(__xludf.DUMMYFUNCTION("""COMPUTED_VALUE"""),"Ehinger")</f>
        <v>Ehinger</v>
      </c>
      <c r="E2949" t="str">
        <f>IFERROR(__xludf.DUMMYFUNCTION("""COMPUTED_VALUE"""),"Parker")</f>
        <v>Parker</v>
      </c>
      <c r="F2949">
        <f>IFERROR(__xludf.DUMMYFUNCTION("""COMPUTED_VALUE"""),13.8)</f>
        <v>13.8</v>
      </c>
    </row>
    <row r="2950">
      <c r="D2950" t="str">
        <f>IFERROR(__xludf.DUMMYFUNCTION("""COMPUTED_VALUE"""),"Eifert")</f>
        <v>Eifert</v>
      </c>
      <c r="E2950" t="str">
        <f>IFERROR(__xludf.DUMMYFUNCTION("""COMPUTED_VALUE"""),"Tyler")</f>
        <v>Tyler</v>
      </c>
      <c r="F2950">
        <f>IFERROR(__xludf.DUMMYFUNCTION("""COMPUTED_VALUE"""),18.2)</f>
        <v>18.2</v>
      </c>
    </row>
    <row r="2951">
      <c r="D2951" t="str">
        <f>IFERROR(__xludf.DUMMYFUNCTION("""COMPUTED_VALUE"""),"Elder")</f>
        <v>Elder</v>
      </c>
      <c r="E2951" t="str">
        <f>IFERROR(__xludf.DUMMYFUNCTION("""COMPUTED_VALUE"""),"Corn")</f>
        <v>Corn</v>
      </c>
      <c r="F2951">
        <f>IFERROR(__xludf.DUMMYFUNCTION("""COMPUTED_VALUE"""),13.8)</f>
        <v>13.8</v>
      </c>
    </row>
    <row r="2952">
      <c r="D2952" t="str">
        <f>IFERROR(__xludf.DUMMYFUNCTION("""COMPUTED_VALUE"""),"Eldrenkamp")</f>
        <v>Eldrenkamp</v>
      </c>
      <c r="E2952" t="str">
        <f>IFERROR(__xludf.DUMMYFUNCTION("""COMPUTED_VALUE"""),"Jake")</f>
        <v>Jake</v>
      </c>
      <c r="F2952">
        <f>IFERROR(__xludf.DUMMYFUNCTION("""COMPUTED_VALUE"""),12.200000000000001)</f>
        <v>12.2</v>
      </c>
    </row>
    <row r="2953">
      <c r="D2953" t="str">
        <f>IFERROR(__xludf.DUMMYFUNCTION("""COMPUTED_VALUE"""),"Elflein")</f>
        <v>Elflein</v>
      </c>
      <c r="E2953" t="str">
        <f>IFERROR(__xludf.DUMMYFUNCTION("""COMPUTED_VALUE"""),"Pat")</f>
        <v>Pat</v>
      </c>
      <c r="F2953">
        <f>IFERROR(__xludf.DUMMYFUNCTION("""COMPUTED_VALUE"""),14.600000000000001)</f>
        <v>14.6</v>
      </c>
    </row>
    <row r="2954">
      <c r="D2954" t="str">
        <f>IFERROR(__xludf.DUMMYFUNCTION("""COMPUTED_VALUE"""),"Eligwe")</f>
        <v>Eligwe</v>
      </c>
      <c r="E2954" t="str">
        <f>IFERROR(__xludf.DUMMYFUNCTION("""COMPUTED_VALUE"""),"Ukeme")</f>
        <v>Ukeme</v>
      </c>
      <c r="F2954">
        <f>IFERROR(__xludf.DUMMYFUNCTION("""COMPUTED_VALUE"""),12.4)</f>
        <v>12.4</v>
      </c>
    </row>
    <row r="2955">
      <c r="D2955" t="str">
        <f>IFERROR(__xludf.DUMMYFUNCTION("""COMPUTED_VALUE"""),"Ellerbe")</f>
        <v>Ellerbe</v>
      </c>
      <c r="E2955" t="str">
        <f>IFERROR(__xludf.DUMMYFUNCTION("""COMPUTED_VALUE"""),"Dannell")</f>
        <v>Dannell</v>
      </c>
      <c r="F2955">
        <f>IFERROR(__xludf.DUMMYFUNCTION("""COMPUTED_VALUE"""),15.0)</f>
        <v>15</v>
      </c>
    </row>
    <row r="2956">
      <c r="D2956" t="str">
        <f>IFERROR(__xludf.DUMMYFUNCTION("""COMPUTED_VALUE"""),"Ellington")</f>
        <v>Ellington</v>
      </c>
      <c r="E2956" t="str">
        <f>IFERROR(__xludf.DUMMYFUNCTION("""COMPUTED_VALUE"""),"Andre")</f>
        <v>Andre</v>
      </c>
      <c r="F2956">
        <f>IFERROR(__xludf.DUMMYFUNCTION("""COMPUTED_VALUE"""),14.4)</f>
        <v>14.4</v>
      </c>
    </row>
    <row r="2957">
      <c r="D2957" t="str">
        <f>IFERROR(__xludf.DUMMYFUNCTION("""COMPUTED_VALUE"""),"Ellington")</f>
        <v>Ellington</v>
      </c>
      <c r="E2957" t="str">
        <f>IFERROR(__xludf.DUMMYFUNCTION("""COMPUTED_VALUE"""),"Bruce")</f>
        <v>Bruce</v>
      </c>
      <c r="F2957">
        <f>IFERROR(__xludf.DUMMYFUNCTION("""COMPUTED_VALUE"""),14.200000000000001)</f>
        <v>14.2</v>
      </c>
    </row>
    <row r="2958">
      <c r="D2958" t="str">
        <f>IFERROR(__xludf.DUMMYFUNCTION("""COMPUTED_VALUE"""),"Elliott")</f>
        <v>Elliott</v>
      </c>
      <c r="E2958" t="str">
        <f>IFERROR(__xludf.DUMMYFUNCTION("""COMPUTED_VALUE"""),"DeAndre")</f>
        <v>DeAndre</v>
      </c>
      <c r="F2958">
        <f>IFERROR(__xludf.DUMMYFUNCTION("""COMPUTED_VALUE"""),12.8)</f>
        <v>12.8</v>
      </c>
    </row>
    <row r="2959">
      <c r="D2959" t="str">
        <f>IFERROR(__xludf.DUMMYFUNCTION("""COMPUTED_VALUE"""),"Elliott")</f>
        <v>Elliott</v>
      </c>
      <c r="E2959" t="str">
        <f>IFERROR(__xludf.DUMMYFUNCTION("""COMPUTED_VALUE"""),"Ezekiel")</f>
        <v>Ezekiel</v>
      </c>
      <c r="F2959">
        <f>IFERROR(__xludf.DUMMYFUNCTION("""COMPUTED_VALUE"""),18.0)</f>
        <v>18</v>
      </c>
    </row>
    <row r="2960">
      <c r="D2960" t="str">
        <f>IFERROR(__xludf.DUMMYFUNCTION("""COMPUTED_VALUE"""),"Elliott")</f>
        <v>Elliott</v>
      </c>
      <c r="E2960" t="str">
        <f>IFERROR(__xludf.DUMMYFUNCTION("""COMPUTED_VALUE"""),"Jake")</f>
        <v>Jake</v>
      </c>
      <c r="F2960">
        <f>IFERROR(__xludf.DUMMYFUNCTION("""COMPUTED_VALUE"""),15.0)</f>
        <v>15</v>
      </c>
    </row>
    <row r="2961">
      <c r="D2961" t="str">
        <f>IFERROR(__xludf.DUMMYFUNCTION("""COMPUTED_VALUE"""),"Elliott")</f>
        <v>Elliott</v>
      </c>
      <c r="E2961" t="str">
        <f>IFERROR(__xludf.DUMMYFUNCTION("""COMPUTED_VALUE"""),"Javien")</f>
        <v>Javien</v>
      </c>
      <c r="F2961">
        <f>IFERROR(__xludf.DUMMYFUNCTION("""COMPUTED_VALUE"""),13.600000000000001)</f>
        <v>13.6</v>
      </c>
    </row>
    <row r="2962">
      <c r="D2962" t="str">
        <f>IFERROR(__xludf.DUMMYFUNCTION("""COMPUTED_VALUE"""),"Elliott")</f>
        <v>Elliott</v>
      </c>
      <c r="E2962" t="str">
        <f>IFERROR(__xludf.DUMMYFUNCTION("""COMPUTED_VALUE"""),"Jayrone")</f>
        <v>Jayrone</v>
      </c>
      <c r="F2962">
        <f>IFERROR(__xludf.DUMMYFUNCTION("""COMPUTED_VALUE"""),13.8)</f>
        <v>13.8</v>
      </c>
    </row>
    <row r="2963">
      <c r="D2963" t="str">
        <f>IFERROR(__xludf.DUMMYFUNCTION("""COMPUTED_VALUE"""),"Ellis")</f>
        <v>Ellis</v>
      </c>
      <c r="E2963" t="str">
        <f>IFERROR(__xludf.DUMMYFUNCTION("""COMPUTED_VALUE"""),"Alex")</f>
        <v>Alex</v>
      </c>
      <c r="F2963">
        <f>IFERROR(__xludf.DUMMYFUNCTION("""COMPUTED_VALUE"""),12.8)</f>
        <v>12.8</v>
      </c>
    </row>
    <row r="2964">
      <c r="D2964" t="str">
        <f>IFERROR(__xludf.DUMMYFUNCTION("""COMPUTED_VALUE"""),"Ellis")</f>
        <v>Ellis</v>
      </c>
      <c r="E2964" t="str">
        <f>IFERROR(__xludf.DUMMYFUNCTION("""COMPUTED_VALUE"""),"Brooks")</f>
        <v>Brooks</v>
      </c>
      <c r="F2964">
        <f>IFERROR(__xludf.DUMMYFUNCTION("""COMPUTED_VALUE"""),12.0)</f>
        <v>12</v>
      </c>
    </row>
    <row r="2965">
      <c r="D2965" t="str">
        <f>IFERROR(__xludf.DUMMYFUNCTION("""COMPUTED_VALUE"""),"Ellis")</f>
        <v>Ellis</v>
      </c>
      <c r="E2965" t="str">
        <f>IFERROR(__xludf.DUMMYFUNCTION("""COMPUTED_VALUE"""),"Justin")</f>
        <v>Justin</v>
      </c>
      <c r="F2965">
        <f>IFERROR(__xludf.DUMMYFUNCTION("""COMPUTED_VALUE"""),14.0)</f>
        <v>14</v>
      </c>
    </row>
    <row r="2966">
      <c r="D2966" t="str">
        <f>IFERROR(__xludf.DUMMYFUNCTION("""COMPUTED_VALUE"""),"Ellison")</f>
        <v>Ellison</v>
      </c>
      <c r="E2966" t="str">
        <f>IFERROR(__xludf.DUMMYFUNCTION("""COMPUTED_VALUE"""),"Rhett")</f>
        <v>Rhett</v>
      </c>
      <c r="F2966">
        <f>IFERROR(__xludf.DUMMYFUNCTION("""COMPUTED_VALUE"""),15.8)</f>
        <v>15.8</v>
      </c>
    </row>
    <row r="2967">
      <c r="D2967" t="str">
        <f>IFERROR(__xludf.DUMMYFUNCTION("""COMPUTED_VALUE"""),"Elston")</f>
        <v>Elston</v>
      </c>
      <c r="E2967" t="str">
        <f>IFERROR(__xludf.DUMMYFUNCTION("""COMPUTED_VALUE"""),"Trae")</f>
        <v>Trae</v>
      </c>
      <c r="F2967">
        <f>IFERROR(__xludf.DUMMYFUNCTION("""COMPUTED_VALUE"""),12.4)</f>
        <v>12.4</v>
      </c>
    </row>
    <row r="2968">
      <c r="D2968" t="str">
        <f>IFERROR(__xludf.DUMMYFUNCTION("""COMPUTED_VALUE"""),"Eluemunor")</f>
        <v>Eluemunor</v>
      </c>
      <c r="E2968" t="str">
        <f>IFERROR(__xludf.DUMMYFUNCTION("""COMPUTED_VALUE"""),"Jermaine")</f>
        <v>Jermaine</v>
      </c>
      <c r="F2968">
        <f>IFERROR(__xludf.DUMMYFUNCTION("""COMPUTED_VALUE"""),13.600000000000001)</f>
        <v>13.6</v>
      </c>
    </row>
    <row r="2969">
      <c r="D2969" t="str">
        <f>IFERROR(__xludf.DUMMYFUNCTION("""COMPUTED_VALUE"""),"Emanuel")</f>
        <v>Emanuel</v>
      </c>
      <c r="E2969" t="str">
        <f>IFERROR(__xludf.DUMMYFUNCTION("""COMPUTED_VALUE"""),"Kyle")</f>
        <v>Kyle</v>
      </c>
      <c r="F2969">
        <f>IFERROR(__xludf.DUMMYFUNCTION("""COMPUTED_VALUE"""),14.8)</f>
        <v>14.8</v>
      </c>
    </row>
    <row r="2970">
      <c r="D2970" t="str">
        <f>IFERROR(__xludf.DUMMYFUNCTION("""COMPUTED_VALUE"""),"Engram")</f>
        <v>Engram</v>
      </c>
      <c r="E2970" t="str">
        <f>IFERROR(__xludf.DUMMYFUNCTION("""COMPUTED_VALUE"""),"Evan")</f>
        <v>Evan</v>
      </c>
      <c r="F2970">
        <f>IFERROR(__xludf.DUMMYFUNCTION("""COMPUTED_VALUE"""),15.0)</f>
        <v>15</v>
      </c>
    </row>
    <row r="2971">
      <c r="D2971" t="str">
        <f>IFERROR(__xludf.DUMMYFUNCTION("""COMPUTED_VALUE"""),"Enunwa")</f>
        <v>Enunwa</v>
      </c>
      <c r="E2971" t="str">
        <f>IFERROR(__xludf.DUMMYFUNCTION("""COMPUTED_VALUE"""),"Quincy")</f>
        <v>Quincy</v>
      </c>
      <c r="F2971">
        <f>IFERROR(__xludf.DUMMYFUNCTION("""COMPUTED_VALUE"""),15.8)</f>
        <v>15.8</v>
      </c>
    </row>
    <row r="2972">
      <c r="D2972" t="str">
        <f>IFERROR(__xludf.DUMMYFUNCTION("""COMPUTED_VALUE"""),"Erickson")</f>
        <v>Erickson</v>
      </c>
      <c r="E2972" t="str">
        <f>IFERROR(__xludf.DUMMYFUNCTION("""COMPUTED_VALUE"""),"Alex")</f>
        <v>Alex</v>
      </c>
      <c r="F2972">
        <f>IFERROR(__xludf.DUMMYFUNCTION("""COMPUTED_VALUE"""),12.200000000000001)</f>
        <v>12.2</v>
      </c>
    </row>
    <row r="2973">
      <c r="D2973" t="str">
        <f>IFERROR(__xludf.DUMMYFUNCTION("""COMPUTED_VALUE"""),"Ertz")</f>
        <v>Ertz</v>
      </c>
      <c r="E2973" t="str">
        <f>IFERROR(__xludf.DUMMYFUNCTION("""COMPUTED_VALUE"""),"Zach")</f>
        <v>Zach</v>
      </c>
      <c r="F2973">
        <f>IFERROR(__xludf.DUMMYFUNCTION("""COMPUTED_VALUE"""),17.0)</f>
        <v>17</v>
      </c>
    </row>
    <row r="2974">
      <c r="D2974" t="str">
        <f>IFERROR(__xludf.DUMMYFUNCTION("""COMPUTED_VALUE"""),"Ervin")</f>
        <v>Ervin</v>
      </c>
      <c r="E2974" t="str">
        <f>IFERROR(__xludf.DUMMYFUNCTION("""COMPUTED_VALUE"""),"Tyler")</f>
        <v>Tyler</v>
      </c>
      <c r="F2974">
        <f>IFERROR(__xludf.DUMMYFUNCTION("""COMPUTED_VALUE"""),12.8)</f>
        <v>12.8</v>
      </c>
    </row>
    <row r="2975">
      <c r="D2975" t="str">
        <f>IFERROR(__xludf.DUMMYFUNCTION("""COMPUTED_VALUE"""),"Erving")</f>
        <v>Erving</v>
      </c>
      <c r="E2975" t="str">
        <f>IFERROR(__xludf.DUMMYFUNCTION("""COMPUTED_VALUE"""),"Cameron")</f>
        <v>Cameron</v>
      </c>
      <c r="F2975">
        <f>IFERROR(__xludf.DUMMYFUNCTION("""COMPUTED_VALUE"""),14.200000000000001)</f>
        <v>14.2</v>
      </c>
    </row>
    <row r="2976">
      <c r="D2976" t="str">
        <f>IFERROR(__xludf.DUMMYFUNCTION("""COMPUTED_VALUE"""),"Escobar")</f>
        <v>Escobar</v>
      </c>
      <c r="E2976" t="str">
        <f>IFERROR(__xludf.DUMMYFUNCTION("""COMPUTED_VALUE"""),"Gavin")</f>
        <v>Gavin</v>
      </c>
      <c r="F2976">
        <f>IFERROR(__xludf.DUMMYFUNCTION("""COMPUTED_VALUE"""),14.8)</f>
        <v>14.8</v>
      </c>
    </row>
    <row r="2977">
      <c r="D2977" t="str">
        <f>IFERROR(__xludf.DUMMYFUNCTION("""COMPUTED_VALUE"""),"Etta-Tawo")</f>
        <v>Etta-Tawo</v>
      </c>
      <c r="E2977" t="str">
        <f>IFERROR(__xludf.DUMMYFUNCTION("""COMPUTED_VALUE"""),"Amba")</f>
        <v>Amba</v>
      </c>
      <c r="F2977">
        <f>IFERROR(__xludf.DUMMYFUNCTION("""COMPUTED_VALUE"""),12.600000000000001)</f>
        <v>12.6</v>
      </c>
    </row>
    <row r="2978">
      <c r="D2978" t="str">
        <f>IFERROR(__xludf.DUMMYFUNCTION("""COMPUTED_VALUE"""),"Eulls")</f>
        <v>Eulls</v>
      </c>
      <c r="E2978" t="str">
        <f>IFERROR(__xludf.DUMMYFUNCTION("""COMPUTED_VALUE"""),"Kaleb")</f>
        <v>Kaleb</v>
      </c>
      <c r="F2978">
        <f>IFERROR(__xludf.DUMMYFUNCTION("""COMPUTED_VALUE"""),12.8)</f>
        <v>12.8</v>
      </c>
    </row>
    <row r="2979">
      <c r="D2979" t="str">
        <f>IFERROR(__xludf.DUMMYFUNCTION("""COMPUTED_VALUE"""),"Evans")</f>
        <v>Evans</v>
      </c>
      <c r="E2979" t="str">
        <f>IFERROR(__xludf.DUMMYFUNCTION("""COMPUTED_VALUE"""),"Jahri")</f>
        <v>Jahri</v>
      </c>
      <c r="F2979">
        <f>IFERROR(__xludf.DUMMYFUNCTION("""COMPUTED_VALUE"""),15.200000000000001)</f>
        <v>15.2</v>
      </c>
    </row>
    <row r="2980">
      <c r="D2980" t="str">
        <f>IFERROR(__xludf.DUMMYFUNCTION("""COMPUTED_VALUE"""),"Evans")</f>
        <v>Evans</v>
      </c>
      <c r="E2980" t="str">
        <f>IFERROR(__xludf.DUMMYFUNCTION("""COMPUTED_VALUE"""),"Jordan")</f>
        <v>Jordan</v>
      </c>
      <c r="F2980">
        <f>IFERROR(__xludf.DUMMYFUNCTION("""COMPUTED_VALUE"""),12.200000000000001)</f>
        <v>12.2</v>
      </c>
    </row>
    <row r="2981">
      <c r="D2981" t="str">
        <f>IFERROR(__xludf.DUMMYFUNCTION("""COMPUTED_VALUE"""),"Evans")</f>
        <v>Evans</v>
      </c>
      <c r="E2981" t="str">
        <f>IFERROR(__xludf.DUMMYFUNCTION("""COMPUTED_VALUE"""),"Josh")</f>
        <v>Josh</v>
      </c>
      <c r="F2981">
        <f>IFERROR(__xludf.DUMMYFUNCTION("""COMPUTED_VALUE"""),13.4)</f>
        <v>13.4</v>
      </c>
    </row>
    <row r="2982">
      <c r="D2982" t="str">
        <f>IFERROR(__xludf.DUMMYFUNCTION("""COMPUTED_VALUE"""),"Evans")</f>
        <v>Evans</v>
      </c>
      <c r="E2982" t="str">
        <f>IFERROR(__xludf.DUMMYFUNCTION("""COMPUTED_VALUE"""),"Justin")</f>
        <v>Justin</v>
      </c>
      <c r="F2982">
        <f>IFERROR(__xludf.DUMMYFUNCTION("""COMPUTED_VALUE"""),14.600000000000001)</f>
        <v>14.6</v>
      </c>
    </row>
    <row r="2983">
      <c r="D2983" t="str">
        <f>IFERROR(__xludf.DUMMYFUNCTION("""COMPUTED_VALUE"""),"Evans")</f>
        <v>Evans</v>
      </c>
      <c r="E2983" t="str">
        <f>IFERROR(__xludf.DUMMYFUNCTION("""COMPUTED_VALUE"""),"Marwin")</f>
        <v>Marwin</v>
      </c>
      <c r="F2983">
        <f>IFERROR(__xludf.DUMMYFUNCTION("""COMPUTED_VALUE"""),12.200000000000001)</f>
        <v>12.2</v>
      </c>
    </row>
    <row r="2984">
      <c r="D2984" t="str">
        <f>IFERROR(__xludf.DUMMYFUNCTION("""COMPUTED_VALUE"""),"Evans")</f>
        <v>Evans</v>
      </c>
      <c r="E2984" t="str">
        <f>IFERROR(__xludf.DUMMYFUNCTION("""COMPUTED_VALUE"""),"Mike")</f>
        <v>Mike</v>
      </c>
      <c r="F2984">
        <f>IFERROR(__xludf.DUMMYFUNCTION("""COMPUTED_VALUE"""),18.0)</f>
        <v>18</v>
      </c>
    </row>
    <row r="2985">
      <c r="D2985" t="str">
        <f>IFERROR(__xludf.DUMMYFUNCTION("""COMPUTED_VALUE"""),"Evans")</f>
        <v>Evans</v>
      </c>
      <c r="E2985" t="str">
        <f>IFERROR(__xludf.DUMMYFUNCTION("""COMPUTED_VALUE"""),"Randall")</f>
        <v>Randall</v>
      </c>
      <c r="F2985">
        <f>IFERROR(__xludf.DUMMYFUNCTION("""COMPUTED_VALUE"""),13.0)</f>
        <v>13</v>
      </c>
    </row>
    <row r="2986">
      <c r="D2986" t="str">
        <f>IFERROR(__xludf.DUMMYFUNCTION("""COMPUTED_VALUE"""),"Everett")</f>
        <v>Everett</v>
      </c>
      <c r="E2986" t="str">
        <f>IFERROR(__xludf.DUMMYFUNCTION("""COMPUTED_VALUE"""),"Deshazor")</f>
        <v>Deshazor</v>
      </c>
      <c r="F2986">
        <f>IFERROR(__xludf.DUMMYFUNCTION("""COMPUTED_VALUE"""),13.4)</f>
        <v>13.4</v>
      </c>
    </row>
    <row r="2987">
      <c r="D2987" t="str">
        <f>IFERROR(__xludf.DUMMYFUNCTION("""COMPUTED_VALUE"""),"Everett")</f>
        <v>Everett</v>
      </c>
      <c r="E2987" t="str">
        <f>IFERROR(__xludf.DUMMYFUNCTION("""COMPUTED_VALUE"""),"Gerald")</f>
        <v>Gerald</v>
      </c>
      <c r="F2987">
        <f>IFERROR(__xludf.DUMMYFUNCTION("""COMPUTED_VALUE"""),15.0)</f>
        <v>15</v>
      </c>
    </row>
    <row r="2988">
      <c r="D2988" t="str">
        <f>IFERROR(__xludf.DUMMYFUNCTION("""COMPUTED_VALUE"""),"Exum Jr")</f>
        <v>Exum Jr</v>
      </c>
      <c r="E2988" t="str">
        <f>IFERROR(__xludf.DUMMYFUNCTION("""COMPUTED_VALUE"""),"Antone")</f>
        <v>Antone</v>
      </c>
      <c r="F2988">
        <f>IFERROR(__xludf.DUMMYFUNCTION("""COMPUTED_VALUE"""),14.200000000000001)</f>
        <v>14.2</v>
      </c>
    </row>
    <row r="2989">
      <c r="D2989" t="str">
        <f>IFERROR(__xludf.DUMMYFUNCTION("""COMPUTED_VALUE"""),"Fabiano")</f>
        <v>Fabiano</v>
      </c>
      <c r="E2989" t="str">
        <f>IFERROR(__xludf.DUMMYFUNCTION("""COMPUTED_VALUE"""),"Anthony")</f>
        <v>Anthony</v>
      </c>
      <c r="F2989">
        <f>IFERROR(__xludf.DUMMYFUNCTION("""COMPUTED_VALUE"""),12.8)</f>
        <v>12.8</v>
      </c>
    </row>
    <row r="2990">
      <c r="D2990" t="str">
        <f>IFERROR(__xludf.DUMMYFUNCTION("""COMPUTED_VALUE"""),"Fackrell")</f>
        <v>Fackrell</v>
      </c>
      <c r="E2990" t="str">
        <f>IFERROR(__xludf.DUMMYFUNCTION("""COMPUTED_VALUE"""),"Kyler")</f>
        <v>Kyler</v>
      </c>
      <c r="F2990">
        <f>IFERROR(__xludf.DUMMYFUNCTION("""COMPUTED_VALUE"""),14.200000000000001)</f>
        <v>14.2</v>
      </c>
    </row>
    <row r="2991">
      <c r="D2991" t="str">
        <f>IFERROR(__xludf.DUMMYFUNCTION("""COMPUTED_VALUE"""),"Fairbairn")</f>
        <v>Fairbairn</v>
      </c>
      <c r="E2991" t="str">
        <f>IFERROR(__xludf.DUMMYFUNCTION("""COMPUTED_VALUE"""),"Kaimi")</f>
        <v>Kaimi</v>
      </c>
      <c r="F2991">
        <f>IFERROR(__xludf.DUMMYFUNCTION("""COMPUTED_VALUE"""),14.200000000000001)</f>
        <v>14.2</v>
      </c>
    </row>
    <row r="2992">
      <c r="D2992" t="str">
        <f>IFERROR(__xludf.DUMMYFUNCTION("""COMPUTED_VALUE"""),"Fairley")</f>
        <v>Fairley</v>
      </c>
      <c r="E2992" t="str">
        <f>IFERROR(__xludf.DUMMYFUNCTION("""COMPUTED_VALUE"""),"Nick")</f>
        <v>Nick</v>
      </c>
      <c r="F2992">
        <f>IFERROR(__xludf.DUMMYFUNCTION("""COMPUTED_VALUE"""),15.8)</f>
        <v>15.8</v>
      </c>
    </row>
    <row r="2993">
      <c r="D2993" t="str">
        <f>IFERROR(__xludf.DUMMYFUNCTION("""COMPUTED_VALUE"""),"Fales")</f>
        <v>Fales</v>
      </c>
      <c r="E2993" t="str">
        <f>IFERROR(__xludf.DUMMYFUNCTION("""COMPUTED_VALUE"""),"David")</f>
        <v>David</v>
      </c>
      <c r="F2993">
        <f>IFERROR(__xludf.DUMMYFUNCTION("""COMPUTED_VALUE"""),12.4)</f>
        <v>12.4</v>
      </c>
    </row>
    <row r="2994">
      <c r="D2994" t="str">
        <f>IFERROR(__xludf.DUMMYFUNCTION("""COMPUTED_VALUE"""),"Fant")</f>
        <v>Fant</v>
      </c>
      <c r="E2994" t="str">
        <f>IFERROR(__xludf.DUMMYFUNCTION("""COMPUTED_VALUE"""),"George")</f>
        <v>George</v>
      </c>
      <c r="F2994">
        <f>IFERROR(__xludf.DUMMYFUNCTION("""COMPUTED_VALUE"""),13.8)</f>
        <v>13.8</v>
      </c>
    </row>
    <row r="2995">
      <c r="D2995" t="str">
        <f>IFERROR(__xludf.DUMMYFUNCTION("""COMPUTED_VALUE"""),"Farley")</f>
        <v>Farley</v>
      </c>
      <c r="E2995" t="str">
        <f>IFERROR(__xludf.DUMMYFUNCTION("""COMPUTED_VALUE"""),"Matthias")</f>
        <v>Matthias</v>
      </c>
      <c r="F2995">
        <f>IFERROR(__xludf.DUMMYFUNCTION("""COMPUTED_VALUE"""),12.200000000000001)</f>
        <v>12.2</v>
      </c>
    </row>
    <row r="2996">
      <c r="D2996" t="str">
        <f>IFERROR(__xludf.DUMMYFUNCTION("""COMPUTED_VALUE"""),"Farris")</f>
        <v>Farris</v>
      </c>
      <c r="E2996" t="str">
        <f>IFERROR(__xludf.DUMMYFUNCTION("""COMPUTED_VALUE"""),"Chase")</f>
        <v>Chase</v>
      </c>
      <c r="F2996">
        <f>IFERROR(__xludf.DUMMYFUNCTION("""COMPUTED_VALUE"""),11.8)</f>
        <v>11.8</v>
      </c>
    </row>
    <row r="2997">
      <c r="D2997" t="str">
        <f>IFERROR(__xludf.DUMMYFUNCTION("""COMPUTED_VALUE"""),"Farrow")</f>
        <v>Farrow</v>
      </c>
      <c r="E2997" t="str">
        <f>IFERROR(__xludf.DUMMYFUNCTION("""COMPUTED_VALUE"""),"Kenneth")</f>
        <v>Kenneth</v>
      </c>
      <c r="F2997">
        <f>IFERROR(__xludf.DUMMYFUNCTION("""COMPUTED_VALUE"""),11.4)</f>
        <v>11.4</v>
      </c>
    </row>
    <row r="2998">
      <c r="D2998" t="str">
        <f>IFERROR(__xludf.DUMMYFUNCTION("""COMPUTED_VALUE"""),"Fasano")</f>
        <v>Fasano</v>
      </c>
      <c r="E2998" t="str">
        <f>IFERROR(__xludf.DUMMYFUNCTION("""COMPUTED_VALUE"""),"Anthony")</f>
        <v>Anthony</v>
      </c>
      <c r="F2998">
        <f>IFERROR(__xludf.DUMMYFUNCTION("""COMPUTED_VALUE"""),16.6)</f>
        <v>16.6</v>
      </c>
    </row>
    <row r="2999">
      <c r="D2999" t="str">
        <f>IFERROR(__xludf.DUMMYFUNCTION("""COMPUTED_VALUE"""),"Fede")</f>
        <v>Fede</v>
      </c>
      <c r="E2999" t="str">
        <f>IFERROR(__xludf.DUMMYFUNCTION("""COMPUTED_VALUE"""),"Terrence")</f>
        <v>Terrence</v>
      </c>
      <c r="F2999">
        <f>IFERROR(__xludf.DUMMYFUNCTION("""COMPUTED_VALUE"""),13.4)</f>
        <v>13.4</v>
      </c>
    </row>
    <row r="3000">
      <c r="D3000" t="str">
        <f>IFERROR(__xludf.DUMMYFUNCTION("""COMPUTED_VALUE"""),"Feeney")</f>
        <v>Feeney</v>
      </c>
      <c r="E3000" t="str">
        <f>IFERROR(__xludf.DUMMYFUNCTION("""COMPUTED_VALUE"""),"Dan")</f>
        <v>Dan</v>
      </c>
      <c r="F3000">
        <f>IFERROR(__xludf.DUMMYFUNCTION("""COMPUTED_VALUE"""),15.200000000000001)</f>
        <v>15.2</v>
      </c>
    </row>
    <row r="3001">
      <c r="D3001" t="str">
        <f>IFERROR(__xludf.DUMMYFUNCTION("""COMPUTED_VALUE"""),"Feiler")</f>
        <v>Feiler</v>
      </c>
      <c r="E3001" t="str">
        <f>IFERROR(__xludf.DUMMYFUNCTION("""COMPUTED_VALUE"""),"Matt")</f>
        <v>Matt</v>
      </c>
      <c r="F3001">
        <f>IFERROR(__xludf.DUMMYFUNCTION("""COMPUTED_VALUE"""),13.200000000000001)</f>
        <v>13.2</v>
      </c>
    </row>
    <row r="3002">
      <c r="D3002" t="str">
        <f>IFERROR(__xludf.DUMMYFUNCTION("""COMPUTED_VALUE"""),"Fejedelem")</f>
        <v>Fejedelem</v>
      </c>
      <c r="E3002" t="str">
        <f>IFERROR(__xludf.DUMMYFUNCTION("""COMPUTED_VALUE"""),"Clayton")</f>
        <v>Clayton</v>
      </c>
      <c r="F3002">
        <f>IFERROR(__xludf.DUMMYFUNCTION("""COMPUTED_VALUE"""),12.600000000000001)</f>
        <v>12.6</v>
      </c>
    </row>
    <row r="3003">
      <c r="D3003" t="str">
        <f>IFERROR(__xludf.DUMMYFUNCTION("""COMPUTED_VALUE"""),"Feliciano")</f>
        <v>Feliciano</v>
      </c>
      <c r="E3003" t="str">
        <f>IFERROR(__xludf.DUMMYFUNCTION("""COMPUTED_VALUE"""),"Jon")</f>
        <v>Jon</v>
      </c>
      <c r="F3003">
        <f>IFERROR(__xludf.DUMMYFUNCTION("""COMPUTED_VALUE"""),12.600000000000001)</f>
        <v>12.6</v>
      </c>
    </row>
    <row r="3004">
      <c r="D3004" t="str">
        <f>IFERROR(__xludf.DUMMYFUNCTION("""COMPUTED_VALUE"""),"Fells")</f>
        <v>Fells</v>
      </c>
      <c r="E3004" t="str">
        <f>IFERROR(__xludf.DUMMYFUNCTION("""COMPUTED_VALUE"""),"Darren")</f>
        <v>Darren</v>
      </c>
      <c r="F3004">
        <f>IFERROR(__xludf.DUMMYFUNCTION("""COMPUTED_VALUE"""),14.8)</f>
        <v>14.8</v>
      </c>
    </row>
    <row r="3005">
      <c r="D3005" t="str">
        <f>IFERROR(__xludf.DUMMYFUNCTION("""COMPUTED_VALUE"""),"Ferentz")</f>
        <v>Ferentz</v>
      </c>
      <c r="E3005" t="str">
        <f>IFERROR(__xludf.DUMMYFUNCTION("""COMPUTED_VALUE"""),"James")</f>
        <v>James</v>
      </c>
      <c r="F3005">
        <f>IFERROR(__xludf.DUMMYFUNCTION("""COMPUTED_VALUE"""),12.600000000000001)</f>
        <v>12.6</v>
      </c>
    </row>
    <row r="3006">
      <c r="D3006" t="str">
        <f>IFERROR(__xludf.DUMMYFUNCTION("""COMPUTED_VALUE"""),"Ferguson")</f>
        <v>Ferguson</v>
      </c>
      <c r="E3006" t="str">
        <f>IFERROR(__xludf.DUMMYFUNCTION("""COMPUTED_VALUE"""),"Ego")</f>
        <v>Ego</v>
      </c>
      <c r="F3006">
        <f>IFERROR(__xludf.DUMMYFUNCTION("""COMPUTED_VALUE"""),13.4)</f>
        <v>13.4</v>
      </c>
    </row>
    <row r="3007">
      <c r="D3007" t="str">
        <f>IFERROR(__xludf.DUMMYFUNCTION("""COMPUTED_VALUE"""),"Ferguson")</f>
        <v>Ferguson</v>
      </c>
      <c r="E3007" t="str">
        <f>IFERROR(__xludf.DUMMYFUNCTION("""COMPUTED_VALUE"""),"Josh")</f>
        <v>Josh</v>
      </c>
      <c r="F3007">
        <f>IFERROR(__xludf.DUMMYFUNCTION("""COMPUTED_VALUE"""),12.200000000000001)</f>
        <v>12.2</v>
      </c>
    </row>
    <row r="3008">
      <c r="D3008" t="str">
        <f>IFERROR(__xludf.DUMMYFUNCTION("""COMPUTED_VALUE"""),"Fiedorowicz")</f>
        <v>Fiedorowicz</v>
      </c>
      <c r="E3008" t="str">
        <f>IFERROR(__xludf.DUMMYFUNCTION("""COMPUTED_VALUE"""),"CJ")</f>
        <v>CJ</v>
      </c>
      <c r="F3008">
        <f>IFERROR(__xludf.DUMMYFUNCTION("""COMPUTED_VALUE"""),16.2)</f>
        <v>16.2</v>
      </c>
    </row>
    <row r="3009">
      <c r="D3009" t="str">
        <f>IFERROR(__xludf.DUMMYFUNCTION("""COMPUTED_VALUE"""),"Finney")</f>
        <v>Finney</v>
      </c>
      <c r="E3009" t="str">
        <f>IFERROR(__xludf.DUMMYFUNCTION("""COMPUTED_VALUE"""),"BJ")</f>
        <v>BJ</v>
      </c>
      <c r="F3009">
        <f>IFERROR(__xludf.DUMMYFUNCTION("""COMPUTED_VALUE"""),14.600000000000001)</f>
        <v>14.6</v>
      </c>
    </row>
    <row r="3010">
      <c r="D3010" t="str">
        <f>IFERROR(__xludf.DUMMYFUNCTION("""COMPUTED_VALUE"""),"Fisher")</f>
        <v>Fisher</v>
      </c>
      <c r="E3010" t="str">
        <f>IFERROR(__xludf.DUMMYFUNCTION("""COMPUTED_VALUE"""),"Eric")</f>
        <v>Eric</v>
      </c>
      <c r="F3010">
        <f>IFERROR(__xludf.DUMMYFUNCTION("""COMPUTED_VALUE"""),15.200000000000001)</f>
        <v>15.2</v>
      </c>
    </row>
    <row r="3011">
      <c r="D3011" t="str">
        <f>IFERROR(__xludf.DUMMYFUNCTION("""COMPUTED_VALUE"""),"Fisher")</f>
        <v>Fisher</v>
      </c>
      <c r="E3011" t="str">
        <f>IFERROR(__xludf.DUMMYFUNCTION("""COMPUTED_VALUE"""),"Jake")</f>
        <v>Jake</v>
      </c>
      <c r="F3011">
        <f>IFERROR(__xludf.DUMMYFUNCTION("""COMPUTED_VALUE"""),14.0)</f>
        <v>14</v>
      </c>
    </row>
    <row r="3012">
      <c r="D3012" t="str">
        <f>IFERROR(__xludf.DUMMYFUNCTION("""COMPUTED_VALUE"""),"Fitzgerald")</f>
        <v>Fitzgerald</v>
      </c>
      <c r="E3012" t="str">
        <f>IFERROR(__xludf.DUMMYFUNCTION("""COMPUTED_VALUE"""),"Larry")</f>
        <v>Larry</v>
      </c>
      <c r="F3012">
        <f>IFERROR(__xludf.DUMMYFUNCTION("""COMPUTED_VALUE"""),18.0)</f>
        <v>18</v>
      </c>
    </row>
    <row r="3013">
      <c r="D3013" t="str">
        <f>IFERROR(__xludf.DUMMYFUNCTION("""COMPUTED_VALUE"""),"Fitzpatrick")</f>
        <v>Fitzpatrick</v>
      </c>
      <c r="E3013" t="str">
        <f>IFERROR(__xludf.DUMMYFUNCTION("""COMPUTED_VALUE"""),"Ryan")</f>
        <v>Ryan</v>
      </c>
      <c r="F3013">
        <f>IFERROR(__xludf.DUMMYFUNCTION("""COMPUTED_VALUE"""),13.8)</f>
        <v>13.8</v>
      </c>
    </row>
    <row r="3014">
      <c r="D3014" t="str">
        <f>IFERROR(__xludf.DUMMYFUNCTION("""COMPUTED_VALUE"""),"Flacco")</f>
        <v>Flacco</v>
      </c>
      <c r="E3014" t="str">
        <f>IFERROR(__xludf.DUMMYFUNCTION("""COMPUTED_VALUE"""),"Joe")</f>
        <v>Joe</v>
      </c>
      <c r="F3014">
        <f>IFERROR(__xludf.DUMMYFUNCTION("""COMPUTED_VALUE"""),16.2)</f>
        <v>16.2</v>
      </c>
    </row>
    <row r="3015">
      <c r="D3015" t="str">
        <f>IFERROR(__xludf.DUMMYFUNCTION("""COMPUTED_VALUE"""),"Fleener")</f>
        <v>Fleener</v>
      </c>
      <c r="E3015" t="str">
        <f>IFERROR(__xludf.DUMMYFUNCTION("""COMPUTED_VALUE"""),"Coby")</f>
        <v>Coby</v>
      </c>
      <c r="F3015">
        <f>IFERROR(__xludf.DUMMYFUNCTION("""COMPUTED_VALUE"""),16.0)</f>
        <v>16</v>
      </c>
    </row>
    <row r="3016">
      <c r="D3016" t="str">
        <f>IFERROR(__xludf.DUMMYFUNCTION("""COMPUTED_VALUE"""),"Fleming")</f>
        <v>Fleming</v>
      </c>
      <c r="E3016" t="str">
        <f>IFERROR(__xludf.DUMMYFUNCTION("""COMPUTED_VALUE"""),"Cameron")</f>
        <v>Cameron</v>
      </c>
      <c r="F3016">
        <f>IFERROR(__xludf.DUMMYFUNCTION("""COMPUTED_VALUE"""),14.200000000000001)</f>
        <v>14.2</v>
      </c>
    </row>
    <row r="3017">
      <c r="D3017" t="str">
        <f>IFERROR(__xludf.DUMMYFUNCTION("""COMPUTED_VALUE"""),"Flowers")</f>
        <v>Flowers</v>
      </c>
      <c r="E3017" t="str">
        <f>IFERROR(__xludf.DUMMYFUNCTION("""COMPUTED_VALUE"""),"Ereck")</f>
        <v>Ereck</v>
      </c>
      <c r="F3017">
        <f>IFERROR(__xludf.DUMMYFUNCTION("""COMPUTED_VALUE"""),14.200000000000001)</f>
        <v>14.2</v>
      </c>
    </row>
    <row r="3018">
      <c r="D3018" t="str">
        <f>IFERROR(__xludf.DUMMYFUNCTION("""COMPUTED_VALUE"""),"Flowers")</f>
        <v>Flowers</v>
      </c>
      <c r="E3018" t="str">
        <f>IFERROR(__xludf.DUMMYFUNCTION("""COMPUTED_VALUE"""),"Marquis")</f>
        <v>Marquis</v>
      </c>
      <c r="F3018">
        <f>IFERROR(__xludf.DUMMYFUNCTION("""COMPUTED_VALUE"""),12.600000000000001)</f>
        <v>12.6</v>
      </c>
    </row>
    <row r="3019">
      <c r="D3019" t="str">
        <f>IFERROR(__xludf.DUMMYFUNCTION("""COMPUTED_VALUE"""),"Flowers")</f>
        <v>Flowers</v>
      </c>
      <c r="E3019" t="str">
        <f>IFERROR(__xludf.DUMMYFUNCTION("""COMPUTED_VALUE"""),"Trey")</f>
        <v>Trey</v>
      </c>
      <c r="F3019">
        <f>IFERROR(__xludf.DUMMYFUNCTION("""COMPUTED_VALUE"""),16.400000000000002)</f>
        <v>16.4</v>
      </c>
    </row>
    <row r="3020">
      <c r="D3020" t="str">
        <f>IFERROR(__xludf.DUMMYFUNCTION("""COMPUTED_VALUE"""),"Floyd")</f>
        <v>Floyd</v>
      </c>
      <c r="E3020" t="str">
        <f>IFERROR(__xludf.DUMMYFUNCTION("""COMPUTED_VALUE"""),"Leonard")</f>
        <v>Leonard</v>
      </c>
      <c r="F3020">
        <f>IFERROR(__xludf.DUMMYFUNCTION("""COMPUTED_VALUE"""),15.4)</f>
        <v>15.4</v>
      </c>
    </row>
    <row r="3021">
      <c r="D3021" t="str">
        <f>IFERROR(__xludf.DUMMYFUNCTION("""COMPUTED_VALUE"""),"Floyd")</f>
        <v>Floyd</v>
      </c>
      <c r="E3021" t="str">
        <f>IFERROR(__xludf.DUMMYFUNCTION("""COMPUTED_VALUE"""),"Michael")</f>
        <v>Michael</v>
      </c>
      <c r="F3021">
        <f>IFERROR(__xludf.DUMMYFUNCTION("""COMPUTED_VALUE"""),15.0)</f>
        <v>15</v>
      </c>
    </row>
    <row r="3022">
      <c r="D3022" t="str">
        <f>IFERROR(__xludf.DUMMYFUNCTION("""COMPUTED_VALUE"""),"Floyd")</f>
        <v>Floyd</v>
      </c>
      <c r="E3022" t="str">
        <f>IFERROR(__xludf.DUMMYFUNCTION("""COMPUTED_VALUE"""),"Sharrif")</f>
        <v>Sharrif</v>
      </c>
      <c r="F3022">
        <f>IFERROR(__xludf.DUMMYFUNCTION("""COMPUTED_VALUE"""),16.6)</f>
        <v>16.6</v>
      </c>
    </row>
    <row r="3023">
      <c r="D3023" t="str">
        <f>IFERROR(__xludf.DUMMYFUNCTION("""COMPUTED_VALUE"""),"Fluellen")</f>
        <v>Fluellen</v>
      </c>
      <c r="E3023" t="str">
        <f>IFERROR(__xludf.DUMMYFUNCTION("""COMPUTED_VALUE"""),"David")</f>
        <v>David</v>
      </c>
      <c r="F3023">
        <f>IFERROR(__xludf.DUMMYFUNCTION("""COMPUTED_VALUE"""),12.200000000000001)</f>
        <v>12.2</v>
      </c>
    </row>
    <row r="3024">
      <c r="D3024" t="str">
        <f>IFERROR(__xludf.DUMMYFUNCTION("""COMPUTED_VALUE"""),"Fluker")</f>
        <v>Fluker</v>
      </c>
      <c r="E3024" t="str">
        <f>IFERROR(__xludf.DUMMYFUNCTION("""COMPUTED_VALUE"""),"DJ")</f>
        <v>DJ</v>
      </c>
      <c r="F3024">
        <f>IFERROR(__xludf.DUMMYFUNCTION("""COMPUTED_VALUE"""),15.0)</f>
        <v>15</v>
      </c>
    </row>
    <row r="3025">
      <c r="D3025" t="str">
        <f>IFERROR(__xludf.DUMMYFUNCTION("""COMPUTED_VALUE"""),"Foles")</f>
        <v>Foles</v>
      </c>
      <c r="E3025" t="str">
        <f>IFERROR(__xludf.DUMMYFUNCTION("""COMPUTED_VALUE"""),"Nick")</f>
        <v>Nick</v>
      </c>
      <c r="F3025">
        <f>IFERROR(__xludf.DUMMYFUNCTION("""COMPUTED_VALUE"""),14.200000000000001)</f>
        <v>14.2</v>
      </c>
    </row>
    <row r="3026">
      <c r="D3026" t="str">
        <f>IFERROR(__xludf.DUMMYFUNCTION("""COMPUTED_VALUE"""),"Folk")</f>
        <v>Folk</v>
      </c>
      <c r="E3026" t="str">
        <f>IFERROR(__xludf.DUMMYFUNCTION("""COMPUTED_VALUE"""),"Nick")</f>
        <v>Nick</v>
      </c>
      <c r="F3026">
        <f>IFERROR(__xludf.DUMMYFUNCTION("""COMPUTED_VALUE"""),15.600000000000001)</f>
        <v>15.6</v>
      </c>
    </row>
    <row r="3027">
      <c r="D3027" t="str">
        <f>IFERROR(__xludf.DUMMYFUNCTION("""COMPUTED_VALUE"""),"Forbath")</f>
        <v>Forbath</v>
      </c>
      <c r="E3027" t="str">
        <f>IFERROR(__xludf.DUMMYFUNCTION("""COMPUTED_VALUE"""),"Kai")</f>
        <v>Kai</v>
      </c>
      <c r="F3027">
        <f>IFERROR(__xludf.DUMMYFUNCTION("""COMPUTED_VALUE"""),15.4)</f>
        <v>15.4</v>
      </c>
    </row>
    <row r="3028">
      <c r="D3028" t="str">
        <f>IFERROR(__xludf.DUMMYFUNCTION("""COMPUTED_VALUE"""),"Ford")</f>
        <v>Ford</v>
      </c>
      <c r="E3028" t="str">
        <f>IFERROR(__xludf.DUMMYFUNCTION("""COMPUTED_VALUE"""),"Dee")</f>
        <v>Dee</v>
      </c>
      <c r="F3028">
        <f>IFERROR(__xludf.DUMMYFUNCTION("""COMPUTED_VALUE"""),15.600000000000001)</f>
        <v>15.6</v>
      </c>
    </row>
    <row r="3029">
      <c r="D3029" t="str">
        <f>IFERROR(__xludf.DUMMYFUNCTION("""COMPUTED_VALUE"""),"Ford")</f>
        <v>Ford</v>
      </c>
      <c r="E3029" t="str">
        <f>IFERROR(__xludf.DUMMYFUNCTION("""COMPUTED_VALUE"""),"Isaiah")</f>
        <v>Isaiah</v>
      </c>
      <c r="F3029">
        <f>IFERROR(__xludf.DUMMYFUNCTION("""COMPUTED_VALUE"""),13.4)</f>
        <v>13.4</v>
      </c>
    </row>
    <row r="3030">
      <c r="D3030" t="str">
        <f>IFERROR(__xludf.DUMMYFUNCTION("""COMPUTED_VALUE"""),"Ford")</f>
        <v>Ford</v>
      </c>
      <c r="E3030" t="str">
        <f>IFERROR(__xludf.DUMMYFUNCTION("""COMPUTED_VALUE"""),"Rudy")</f>
        <v>Rudy</v>
      </c>
      <c r="F3030">
        <f>IFERROR(__xludf.DUMMYFUNCTION("""COMPUTED_VALUE"""),13.4)</f>
        <v>13.4</v>
      </c>
    </row>
    <row r="3031">
      <c r="D3031" t="str">
        <f>IFERROR(__xludf.DUMMYFUNCTION("""COMPUTED_VALUE"""),"Foreman")</f>
        <v>Foreman</v>
      </c>
      <c r="E3031" t="str">
        <f>IFERROR(__xludf.DUMMYFUNCTION("""COMPUTED_VALUE"""),"DOnta")</f>
        <v>DOnta</v>
      </c>
      <c r="F3031">
        <f>IFERROR(__xludf.DUMMYFUNCTION("""COMPUTED_VALUE"""),14.200000000000001)</f>
        <v>14.2</v>
      </c>
    </row>
    <row r="3032">
      <c r="D3032" t="str">
        <f>IFERROR(__xludf.DUMMYFUNCTION("""COMPUTED_VALUE"""),"Forrest")</f>
        <v>Forrest</v>
      </c>
      <c r="E3032" t="str">
        <f>IFERROR(__xludf.DUMMYFUNCTION("""COMPUTED_VALUE"""),"Josh")</f>
        <v>Josh</v>
      </c>
      <c r="F3032">
        <f>IFERROR(__xludf.DUMMYFUNCTION("""COMPUTED_VALUE"""),12.600000000000001)</f>
        <v>12.6</v>
      </c>
    </row>
    <row r="3033">
      <c r="D3033" t="str">
        <f>IFERROR(__xludf.DUMMYFUNCTION("""COMPUTED_VALUE"""),"Fort")</f>
        <v>Fort</v>
      </c>
      <c r="E3033" t="str">
        <f>IFERROR(__xludf.DUMMYFUNCTION("""COMPUTED_VALUE"""),"LJ")</f>
        <v>LJ</v>
      </c>
      <c r="F3033">
        <f>IFERROR(__xludf.DUMMYFUNCTION("""COMPUTED_VALUE"""),13.200000000000001)</f>
        <v>13.2</v>
      </c>
    </row>
    <row r="3034">
      <c r="D3034" t="str">
        <f>IFERROR(__xludf.DUMMYFUNCTION("""COMPUTED_VALUE"""),"Forte")</f>
        <v>Forte</v>
      </c>
      <c r="E3034" t="str">
        <f>IFERROR(__xludf.DUMMYFUNCTION("""COMPUTED_VALUE"""),"Matt")</f>
        <v>Matt</v>
      </c>
      <c r="F3034">
        <f>IFERROR(__xludf.DUMMYFUNCTION("""COMPUTED_VALUE"""),16.8)</f>
        <v>16.8</v>
      </c>
    </row>
    <row r="3035">
      <c r="D3035" t="str">
        <f>IFERROR(__xludf.DUMMYFUNCTION("""COMPUTED_VALUE"""),"Foster")</f>
        <v>Foster</v>
      </c>
      <c r="E3035" t="str">
        <f>IFERROR(__xludf.DUMMYFUNCTION("""COMPUTED_VALUE"""),"DJ")</f>
        <v>DJ</v>
      </c>
      <c r="F3035">
        <f>IFERROR(__xludf.DUMMYFUNCTION("""COMPUTED_VALUE"""),12.600000000000001)</f>
        <v>12.6</v>
      </c>
    </row>
    <row r="3036">
      <c r="D3036" t="str">
        <f>IFERROR(__xludf.DUMMYFUNCTION("""COMPUTED_VALUE"""),"Foster")</f>
        <v>Foster</v>
      </c>
      <c r="E3036" t="str">
        <f>IFERROR(__xludf.DUMMYFUNCTION("""COMPUTED_VALUE"""),"Mason")</f>
        <v>Mason</v>
      </c>
      <c r="F3036">
        <f>IFERROR(__xludf.DUMMYFUNCTION("""COMPUTED_VALUE"""),16.6)</f>
        <v>16.6</v>
      </c>
    </row>
    <row r="3037">
      <c r="D3037" t="str">
        <f>IFERROR(__xludf.DUMMYFUNCTION("""COMPUTED_VALUE"""),"Foster")</f>
        <v>Foster</v>
      </c>
      <c r="E3037" t="str">
        <f>IFERROR(__xludf.DUMMYFUNCTION("""COMPUTED_VALUE"""),"Ramon")</f>
        <v>Ramon</v>
      </c>
      <c r="F3037">
        <f>IFERROR(__xludf.DUMMYFUNCTION("""COMPUTED_VALUE"""),17.6)</f>
        <v>17.6</v>
      </c>
    </row>
    <row r="3038">
      <c r="D3038" t="str">
        <f>IFERROR(__xludf.DUMMYFUNCTION("""COMPUTED_VALUE"""),"Foster")</f>
        <v>Foster</v>
      </c>
      <c r="E3038" t="str">
        <f>IFERROR(__xludf.DUMMYFUNCTION("""COMPUTED_VALUE"""),"Reuben")</f>
        <v>Reuben</v>
      </c>
      <c r="F3038">
        <f>IFERROR(__xludf.DUMMYFUNCTION("""COMPUTED_VALUE"""),15.200000000000001)</f>
        <v>15.2</v>
      </c>
    </row>
    <row r="3039">
      <c r="D3039" t="str">
        <f>IFERROR(__xludf.DUMMYFUNCTION("""COMPUTED_VALUE"""),"Fournette")</f>
        <v>Fournette</v>
      </c>
      <c r="E3039" t="str">
        <f>IFERROR(__xludf.DUMMYFUNCTION("""COMPUTED_VALUE"""),"Leonard")</f>
        <v>Leonard</v>
      </c>
      <c r="F3039">
        <f>IFERROR(__xludf.DUMMYFUNCTION("""COMPUTED_VALUE"""),16.2)</f>
        <v>16.2</v>
      </c>
    </row>
    <row r="3040">
      <c r="D3040" t="str">
        <f>IFERROR(__xludf.DUMMYFUNCTION("""COMPUTED_VALUE"""),"Fowler")</f>
        <v>Fowler</v>
      </c>
      <c r="E3040" t="str">
        <f>IFERROR(__xludf.DUMMYFUNCTION("""COMPUTED_VALUE"""),"Jalston")</f>
        <v>Jalston</v>
      </c>
      <c r="F3040">
        <f>IFERROR(__xludf.DUMMYFUNCTION("""COMPUTED_VALUE"""),15.600000000000001)</f>
        <v>15.6</v>
      </c>
    </row>
    <row r="3041">
      <c r="D3041" t="str">
        <f>IFERROR(__xludf.DUMMYFUNCTION("""COMPUTED_VALUE"""),"Fowler III")</f>
        <v>Fowler III</v>
      </c>
      <c r="E3041" t="str">
        <f>IFERROR(__xludf.DUMMYFUNCTION("""COMPUTED_VALUE"""),"Bennie")</f>
        <v>Bennie</v>
      </c>
      <c r="F3041">
        <f>IFERROR(__xludf.DUMMYFUNCTION("""COMPUTED_VALUE"""),14.200000000000001)</f>
        <v>14.2</v>
      </c>
    </row>
    <row r="3042">
      <c r="D3042" t="str">
        <f>IFERROR(__xludf.DUMMYFUNCTION("""COMPUTED_VALUE"""),"Fowler Jr")</f>
        <v>Fowler Jr</v>
      </c>
      <c r="E3042" t="str">
        <f>IFERROR(__xludf.DUMMYFUNCTION("""COMPUTED_VALUE"""),"Dante")</f>
        <v>Dante</v>
      </c>
      <c r="F3042">
        <f>IFERROR(__xludf.DUMMYFUNCTION("""COMPUTED_VALUE"""),15.200000000000001)</f>
        <v>15.2</v>
      </c>
    </row>
    <row r="3043">
      <c r="D3043" t="str">
        <f>IFERROR(__xludf.DUMMYFUNCTION("""COMPUTED_VALUE"""),"Fox")</f>
        <v>Fox</v>
      </c>
      <c r="E3043" t="str">
        <f>IFERROR(__xludf.DUMMYFUNCTION("""COMPUTED_VALUE"""),"Morgan")</f>
        <v>Morgan</v>
      </c>
      <c r="F3043">
        <f>IFERROR(__xludf.DUMMYFUNCTION("""COMPUTED_VALUE"""),13.200000000000001)</f>
        <v>13.2</v>
      </c>
    </row>
    <row r="3044">
      <c r="D3044" t="str">
        <f>IFERROR(__xludf.DUMMYFUNCTION("""COMPUTED_VALUE"""),"France")</f>
        <v>France</v>
      </c>
      <c r="E3044" t="str">
        <f>IFERROR(__xludf.DUMMYFUNCTION("""COMPUTED_VALUE"""),"Dan")</f>
        <v>Dan</v>
      </c>
      <c r="F3044">
        <f>IFERROR(__xludf.DUMMYFUNCTION("""COMPUTED_VALUE"""),13.200000000000001)</f>
        <v>13.2</v>
      </c>
    </row>
    <row r="3045">
      <c r="D3045" t="str">
        <f>IFERROR(__xludf.DUMMYFUNCTION("""COMPUTED_VALUE"""),"Francis")</f>
        <v>Francis</v>
      </c>
      <c r="E3045" t="str">
        <f>IFERROR(__xludf.DUMMYFUNCTION("""COMPUTED_VALUE"""),"AJ")</f>
        <v>AJ</v>
      </c>
      <c r="F3045">
        <f>IFERROR(__xludf.DUMMYFUNCTION("""COMPUTED_VALUE"""),11.0)</f>
        <v>11</v>
      </c>
    </row>
    <row r="3046">
      <c r="D3046" t="str">
        <f>IFERROR(__xludf.DUMMYFUNCTION("""COMPUTED_VALUE"""),"Franks")</f>
        <v>Franks</v>
      </c>
      <c r="E3046" t="str">
        <f>IFERROR(__xludf.DUMMYFUNCTION("""COMPUTED_VALUE"""),"Andrew")</f>
        <v>Andrew</v>
      </c>
      <c r="F3046">
        <f>IFERROR(__xludf.DUMMYFUNCTION("""COMPUTED_VALUE"""),15.0)</f>
        <v>15</v>
      </c>
    </row>
    <row r="3047">
      <c r="D3047" t="str">
        <f>IFERROR(__xludf.DUMMYFUNCTION("""COMPUTED_VALUE"""),"Frazier")</f>
        <v>Frazier</v>
      </c>
      <c r="E3047" t="str">
        <f>IFERROR(__xludf.DUMMYFUNCTION("""COMPUTED_VALUE"""),"Kavon")</f>
        <v>Kavon</v>
      </c>
      <c r="F3047">
        <f>IFERROR(__xludf.DUMMYFUNCTION("""COMPUTED_VALUE"""),13.0)</f>
        <v>13</v>
      </c>
    </row>
    <row r="3048">
      <c r="D3048" t="str">
        <f>IFERROR(__xludf.DUMMYFUNCTION("""COMPUTED_VALUE"""),"Frazier")</f>
        <v>Frazier</v>
      </c>
      <c r="E3048" t="str">
        <f>IFERROR(__xludf.DUMMYFUNCTION("""COMPUTED_VALUE"""),"Mose")</f>
        <v>Mose</v>
      </c>
      <c r="F3048">
        <f>IFERROR(__xludf.DUMMYFUNCTION("""COMPUTED_VALUE"""),12.600000000000001)</f>
        <v>12.6</v>
      </c>
    </row>
    <row r="3049">
      <c r="D3049" t="str">
        <f>IFERROR(__xludf.DUMMYFUNCTION("""COMPUTED_VALUE"""),"Frederick")</f>
        <v>Frederick</v>
      </c>
      <c r="E3049" t="str">
        <f>IFERROR(__xludf.DUMMYFUNCTION("""COMPUTED_VALUE"""),"Travis")</f>
        <v>Travis</v>
      </c>
      <c r="F3049">
        <f>IFERROR(__xludf.DUMMYFUNCTION("""COMPUTED_VALUE"""),18.6)</f>
        <v>18.6</v>
      </c>
    </row>
    <row r="3050">
      <c r="D3050" t="str">
        <f>IFERROR(__xludf.DUMMYFUNCTION("""COMPUTED_VALUE"""),"Freeman")</f>
        <v>Freeman</v>
      </c>
      <c r="E3050" t="str">
        <f>IFERROR(__xludf.DUMMYFUNCTION("""COMPUTED_VALUE"""),"Devonta")</f>
        <v>Devonta</v>
      </c>
      <c r="F3050">
        <f>IFERROR(__xludf.DUMMYFUNCTION("""COMPUTED_VALUE"""),17.8)</f>
        <v>17.8</v>
      </c>
    </row>
    <row r="3051">
      <c r="D3051" t="str">
        <f>IFERROR(__xludf.DUMMYFUNCTION("""COMPUTED_VALUE"""),"Freeman")</f>
        <v>Freeman</v>
      </c>
      <c r="E3051" t="str">
        <f>IFERROR(__xludf.DUMMYFUNCTION("""COMPUTED_VALUE"""),"Jerrell")</f>
        <v>Jerrell</v>
      </c>
      <c r="F3051">
        <f>IFERROR(__xludf.DUMMYFUNCTION("""COMPUTED_VALUE"""),17.6)</f>
        <v>17.6</v>
      </c>
    </row>
    <row r="3052">
      <c r="D3052" t="str">
        <f>IFERROR(__xludf.DUMMYFUNCTION("""COMPUTED_VALUE"""),"Freeny")</f>
        <v>Freeny</v>
      </c>
      <c r="E3052" t="str">
        <f>IFERROR(__xludf.DUMMYFUNCTION("""COMPUTED_VALUE"""),"Jonathan")</f>
        <v>Jonathan</v>
      </c>
      <c r="F3052">
        <f>IFERROR(__xludf.DUMMYFUNCTION("""COMPUTED_VALUE"""),14.600000000000001)</f>
        <v>14.6</v>
      </c>
    </row>
    <row r="3053">
      <c r="D3053" t="str">
        <f>IFERROR(__xludf.DUMMYFUNCTION("""COMPUTED_VALUE"""),"Frese")</f>
        <v>Frese</v>
      </c>
      <c r="E3053" t="str">
        <f>IFERROR(__xludf.DUMMYFUNCTION("""COMPUTED_VALUE"""),"Nolan")</f>
        <v>Nolan</v>
      </c>
      <c r="F3053">
        <f>IFERROR(__xludf.DUMMYFUNCTION("""COMPUTED_VALUE"""),7.800000000000001)</f>
        <v>7.8</v>
      </c>
    </row>
    <row r="3054">
      <c r="D3054" t="str">
        <f>IFERROR(__xludf.DUMMYFUNCTION("""COMPUTED_VALUE"""),"Friend")</f>
        <v>Friend</v>
      </c>
      <c r="E3054" t="str">
        <f>IFERROR(__xludf.DUMMYFUNCTION("""COMPUTED_VALUE"""),"Kyle")</f>
        <v>Kyle</v>
      </c>
      <c r="F3054">
        <f>IFERROR(__xludf.DUMMYFUNCTION("""COMPUTED_VALUE"""),12.4)</f>
        <v>12.4</v>
      </c>
    </row>
    <row r="3055">
      <c r="D3055" t="str">
        <f>IFERROR(__xludf.DUMMYFUNCTION("""COMPUTED_VALUE"""),"Fua")</f>
        <v>Fua</v>
      </c>
      <c r="E3055" t="str">
        <f>IFERROR(__xludf.DUMMYFUNCTION("""COMPUTED_VALUE"""),"Alani")</f>
        <v>Alani</v>
      </c>
      <c r="F3055">
        <f>IFERROR(__xludf.DUMMYFUNCTION("""COMPUTED_VALUE"""),12.600000000000001)</f>
        <v>12.6</v>
      </c>
    </row>
    <row r="3056">
      <c r="D3056" t="str">
        <f>IFERROR(__xludf.DUMMYFUNCTION("""COMPUTED_VALUE"""),"Fuller")</f>
        <v>Fuller</v>
      </c>
      <c r="E3056" t="str">
        <f>IFERROR(__xludf.DUMMYFUNCTION("""COMPUTED_VALUE"""),"Corey")</f>
        <v>Corey</v>
      </c>
      <c r="F3056">
        <f>IFERROR(__xludf.DUMMYFUNCTION("""COMPUTED_VALUE"""),14.0)</f>
        <v>14</v>
      </c>
    </row>
    <row r="3057">
      <c r="D3057" t="str">
        <f>IFERROR(__xludf.DUMMYFUNCTION("""COMPUTED_VALUE"""),"Fuller")</f>
        <v>Fuller</v>
      </c>
      <c r="E3057" t="str">
        <f>IFERROR(__xludf.DUMMYFUNCTION("""COMPUTED_VALUE"""),"Devin")</f>
        <v>Devin</v>
      </c>
      <c r="F3057">
        <f>IFERROR(__xludf.DUMMYFUNCTION("""COMPUTED_VALUE"""),12.4)</f>
        <v>12.4</v>
      </c>
    </row>
    <row r="3058">
      <c r="D3058" t="str">
        <f>IFERROR(__xludf.DUMMYFUNCTION("""COMPUTED_VALUE"""),"Fuller")</f>
        <v>Fuller</v>
      </c>
      <c r="E3058" t="str">
        <f>IFERROR(__xludf.DUMMYFUNCTION("""COMPUTED_VALUE"""),"Kendall")</f>
        <v>Kendall</v>
      </c>
      <c r="F3058">
        <f>IFERROR(__xludf.DUMMYFUNCTION("""COMPUTED_VALUE"""),14.600000000000001)</f>
        <v>14.6</v>
      </c>
    </row>
    <row r="3059">
      <c r="D3059" t="str">
        <f>IFERROR(__xludf.DUMMYFUNCTION("""COMPUTED_VALUE"""),"Fuller")</f>
        <v>Fuller</v>
      </c>
      <c r="E3059" t="str">
        <f>IFERROR(__xludf.DUMMYFUNCTION("""COMPUTED_VALUE"""),"Kyle")</f>
        <v>Kyle</v>
      </c>
      <c r="F3059">
        <f>IFERROR(__xludf.DUMMYFUNCTION("""COMPUTED_VALUE"""),16.0)</f>
        <v>16</v>
      </c>
    </row>
    <row r="3060">
      <c r="D3060" t="str">
        <f>IFERROR(__xludf.DUMMYFUNCTION("""COMPUTED_VALUE"""),"Fuller")</f>
        <v>Fuller</v>
      </c>
      <c r="E3060" t="str">
        <f>IFERROR(__xludf.DUMMYFUNCTION("""COMPUTED_VALUE"""),"Kyle")</f>
        <v>Kyle</v>
      </c>
      <c r="F3060">
        <f>IFERROR(__xludf.DUMMYFUNCTION("""COMPUTED_VALUE"""),12.4)</f>
        <v>12.4</v>
      </c>
    </row>
    <row r="3061">
      <c r="D3061" t="str">
        <f>IFERROR(__xludf.DUMMYFUNCTION("""COMPUTED_VALUE"""),"Fuller V")</f>
        <v>Fuller V</v>
      </c>
      <c r="E3061" t="str">
        <f>IFERROR(__xludf.DUMMYFUNCTION("""COMPUTED_VALUE"""),"Will")</f>
        <v>Will</v>
      </c>
      <c r="F3061">
        <f>IFERROR(__xludf.DUMMYFUNCTION("""COMPUTED_VALUE"""),15.200000000000001)</f>
        <v>15.2</v>
      </c>
    </row>
    <row r="3062">
      <c r="D3062" t="str">
        <f>IFERROR(__xludf.DUMMYFUNCTION("""COMPUTED_VALUE"""),"Fulton")</f>
        <v>Fulton</v>
      </c>
      <c r="E3062" t="str">
        <f>IFERROR(__xludf.DUMMYFUNCTION("""COMPUTED_VALUE"""),"Zach")</f>
        <v>Zach</v>
      </c>
      <c r="F3062">
        <f>IFERROR(__xludf.DUMMYFUNCTION("""COMPUTED_VALUE"""),14.8)</f>
        <v>14.8</v>
      </c>
    </row>
    <row r="3063">
      <c r="D3063" t="str">
        <f>IFERROR(__xludf.DUMMYFUNCTION("""COMPUTED_VALUE"""),"Funchess")</f>
        <v>Funchess</v>
      </c>
      <c r="E3063" t="str">
        <f>IFERROR(__xludf.DUMMYFUNCTION("""COMPUTED_VALUE"""),"Devin")</f>
        <v>Devin</v>
      </c>
      <c r="F3063">
        <f>IFERROR(__xludf.DUMMYFUNCTION("""COMPUTED_VALUE"""),15.200000000000001)</f>
        <v>15.2</v>
      </c>
    </row>
    <row r="3064">
      <c r="D3064" t="str">
        <f>IFERROR(__xludf.DUMMYFUNCTION("""COMPUTED_VALUE"""),"Fusco")</f>
        <v>Fusco</v>
      </c>
      <c r="E3064" t="str">
        <f>IFERROR(__xludf.DUMMYFUNCTION("""COMPUTED_VALUE"""),"Brandon")</f>
        <v>Brandon</v>
      </c>
      <c r="F3064">
        <f>IFERROR(__xludf.DUMMYFUNCTION("""COMPUTED_VALUE"""),14.0)</f>
        <v>14</v>
      </c>
    </row>
    <row r="3065">
      <c r="D3065" t="str">
        <f>IFERROR(__xludf.DUMMYFUNCTION("""COMPUTED_VALUE"""),"Gabbert")</f>
        <v>Gabbert</v>
      </c>
      <c r="E3065" t="str">
        <f>IFERROR(__xludf.DUMMYFUNCTION("""COMPUTED_VALUE"""),"Blaine")</f>
        <v>Blaine</v>
      </c>
      <c r="F3065">
        <f>IFERROR(__xludf.DUMMYFUNCTION("""COMPUTED_VALUE"""),14.4)</f>
        <v>14.4</v>
      </c>
    </row>
    <row r="3066">
      <c r="D3066" t="str">
        <f>IFERROR(__xludf.DUMMYFUNCTION("""COMPUTED_VALUE"""),"Gabriel")</f>
        <v>Gabriel</v>
      </c>
      <c r="E3066" t="str">
        <f>IFERROR(__xludf.DUMMYFUNCTION("""COMPUTED_VALUE"""),"Taylor")</f>
        <v>Taylor</v>
      </c>
      <c r="F3066">
        <f>IFERROR(__xludf.DUMMYFUNCTION("""COMPUTED_VALUE"""),15.8)</f>
        <v>15.8</v>
      </c>
    </row>
    <row r="3067">
      <c r="D3067" t="str">
        <f>IFERROR(__xludf.DUMMYFUNCTION("""COMPUTED_VALUE"""),"Gafford")</f>
        <v>Gafford</v>
      </c>
      <c r="E3067" t="str">
        <f>IFERROR(__xludf.DUMMYFUNCTION("""COMPUTED_VALUE"""),"Thomas")</f>
        <v>Thomas</v>
      </c>
      <c r="F3067">
        <f>IFERROR(__xludf.DUMMYFUNCTION("""COMPUTED_VALUE"""),12.4)</f>
        <v>12.4</v>
      </c>
    </row>
    <row r="3068">
      <c r="D3068" t="str">
        <f>IFERROR(__xludf.DUMMYFUNCTION("""COMPUTED_VALUE"""),"Gaines")</f>
        <v>Gaines</v>
      </c>
      <c r="E3068" t="str">
        <f>IFERROR(__xludf.DUMMYFUNCTION("""COMPUTED_VALUE"""),"EJ")</f>
        <v>EJ</v>
      </c>
      <c r="F3068">
        <f>IFERROR(__xludf.DUMMYFUNCTION("""COMPUTED_VALUE"""),14.8)</f>
        <v>14.8</v>
      </c>
    </row>
    <row r="3069">
      <c r="D3069" t="str">
        <f>IFERROR(__xludf.DUMMYFUNCTION("""COMPUTED_VALUE"""),"Gaines")</f>
        <v>Gaines</v>
      </c>
      <c r="E3069" t="str">
        <f>IFERROR(__xludf.DUMMYFUNCTION("""COMPUTED_VALUE"""),"Phillip")</f>
        <v>Phillip</v>
      </c>
      <c r="F3069">
        <f>IFERROR(__xludf.DUMMYFUNCTION("""COMPUTED_VALUE"""),14.200000000000001)</f>
        <v>14.2</v>
      </c>
    </row>
    <row r="3070">
      <c r="D3070" t="str">
        <f>IFERROR(__xludf.DUMMYFUNCTION("""COMPUTED_VALUE"""),"Galette")</f>
        <v>Galette</v>
      </c>
      <c r="E3070" t="str">
        <f>IFERROR(__xludf.DUMMYFUNCTION("""COMPUTED_VALUE"""),"Junior")</f>
        <v>Junior</v>
      </c>
      <c r="F3070">
        <f>IFERROR(__xludf.DUMMYFUNCTION("""COMPUTED_VALUE"""),15.200000000000001)</f>
        <v>15.2</v>
      </c>
    </row>
    <row r="3071">
      <c r="D3071" t="str">
        <f>IFERROR(__xludf.DUMMYFUNCTION("""COMPUTED_VALUE"""),"Gallman")</f>
        <v>Gallman</v>
      </c>
      <c r="E3071" t="str">
        <f>IFERROR(__xludf.DUMMYFUNCTION("""COMPUTED_VALUE"""),"Wayne")</f>
        <v>Wayne</v>
      </c>
      <c r="F3071">
        <f>IFERROR(__xludf.DUMMYFUNCTION("""COMPUTED_VALUE"""),14.600000000000001)</f>
        <v>14.6</v>
      </c>
    </row>
    <row r="3072">
      <c r="D3072" t="str">
        <f>IFERROR(__xludf.DUMMYFUNCTION("""COMPUTED_VALUE"""),"Gano")</f>
        <v>Gano</v>
      </c>
      <c r="E3072" t="str">
        <f>IFERROR(__xludf.DUMMYFUNCTION("""COMPUTED_VALUE"""),"Graham")</f>
        <v>Graham</v>
      </c>
      <c r="F3072">
        <f>IFERROR(__xludf.DUMMYFUNCTION("""COMPUTED_VALUE"""),15.200000000000001)</f>
        <v>15.2</v>
      </c>
    </row>
    <row r="3073">
      <c r="D3073" t="str">
        <f>IFERROR(__xludf.DUMMYFUNCTION("""COMPUTED_VALUE"""),"Garcia")</f>
        <v>Garcia</v>
      </c>
      <c r="E3073" t="str">
        <f>IFERROR(__xludf.DUMMYFUNCTION("""COMPUTED_VALUE"""),"Antonio")</f>
        <v>Antonio</v>
      </c>
      <c r="F3073">
        <f>IFERROR(__xludf.DUMMYFUNCTION("""COMPUTED_VALUE"""),14.200000000000001)</f>
        <v>14.2</v>
      </c>
    </row>
    <row r="3074">
      <c r="D3074" t="str">
        <f>IFERROR(__xludf.DUMMYFUNCTION("""COMPUTED_VALUE"""),"Garcia")</f>
        <v>Garcia</v>
      </c>
      <c r="E3074" t="str">
        <f>IFERROR(__xludf.DUMMYFUNCTION("""COMPUTED_VALUE"""),"Max")</f>
        <v>Max</v>
      </c>
      <c r="F3074">
        <f>IFERROR(__xludf.DUMMYFUNCTION("""COMPUTED_VALUE"""),14.8)</f>
        <v>14.8</v>
      </c>
    </row>
    <row r="3075">
      <c r="D3075" t="str">
        <f>IFERROR(__xludf.DUMMYFUNCTION("""COMPUTED_VALUE"""),"Garcon")</f>
        <v>Garcon</v>
      </c>
      <c r="E3075" t="str">
        <f>IFERROR(__xludf.DUMMYFUNCTION("""COMPUTED_VALUE"""),"Pierre")</f>
        <v>Pierre</v>
      </c>
      <c r="F3075">
        <f>IFERROR(__xludf.DUMMYFUNCTION("""COMPUTED_VALUE"""),17.0)</f>
        <v>17</v>
      </c>
    </row>
    <row r="3076">
      <c r="D3076" t="str">
        <f>IFERROR(__xludf.DUMMYFUNCTION("""COMPUTED_VALUE"""),"Garland")</f>
        <v>Garland</v>
      </c>
      <c r="E3076" t="str">
        <f>IFERROR(__xludf.DUMMYFUNCTION("""COMPUTED_VALUE"""),"Ben")</f>
        <v>Ben</v>
      </c>
      <c r="F3076">
        <f>IFERROR(__xludf.DUMMYFUNCTION("""COMPUTED_VALUE"""),13.200000000000001)</f>
        <v>13.2</v>
      </c>
    </row>
    <row r="3077">
      <c r="D3077" t="str">
        <f>IFERROR(__xludf.DUMMYFUNCTION("""COMPUTED_VALUE"""),"Garnett")</f>
        <v>Garnett</v>
      </c>
      <c r="E3077" t="str">
        <f>IFERROR(__xludf.DUMMYFUNCTION("""COMPUTED_VALUE"""),"Joshua")</f>
        <v>Joshua</v>
      </c>
      <c r="F3077">
        <f>IFERROR(__xludf.DUMMYFUNCTION("""COMPUTED_VALUE"""),13.8)</f>
        <v>13.8</v>
      </c>
    </row>
    <row r="3078">
      <c r="D3078" t="str">
        <f>IFERROR(__xludf.DUMMYFUNCTION("""COMPUTED_VALUE"""),"Garoppolo")</f>
        <v>Garoppolo</v>
      </c>
      <c r="E3078" t="str">
        <f>IFERROR(__xludf.DUMMYFUNCTION("""COMPUTED_VALUE"""),"Jimmy")</f>
        <v>Jimmy</v>
      </c>
      <c r="F3078">
        <f>IFERROR(__xludf.DUMMYFUNCTION("""COMPUTED_VALUE"""),15.4)</f>
        <v>15.4</v>
      </c>
    </row>
    <row r="3079">
      <c r="D3079" t="str">
        <f>IFERROR(__xludf.DUMMYFUNCTION("""COMPUTED_VALUE"""),"Garrett")</f>
        <v>Garrett</v>
      </c>
      <c r="E3079" t="str">
        <f>IFERROR(__xludf.DUMMYFUNCTION("""COMPUTED_VALUE"""),"Keyarris")</f>
        <v>Keyarris</v>
      </c>
      <c r="F3079">
        <f>IFERROR(__xludf.DUMMYFUNCTION("""COMPUTED_VALUE"""),12.0)</f>
        <v>12</v>
      </c>
    </row>
    <row r="3080">
      <c r="D3080" t="str">
        <f>IFERROR(__xludf.DUMMYFUNCTION("""COMPUTED_VALUE"""),"Garrett")</f>
        <v>Garrett</v>
      </c>
      <c r="E3080" t="str">
        <f>IFERROR(__xludf.DUMMYFUNCTION("""COMPUTED_VALUE"""),"Myles")</f>
        <v>Myles</v>
      </c>
      <c r="F3080">
        <f>IFERROR(__xludf.DUMMYFUNCTION("""COMPUTED_VALUE"""),16.6)</f>
        <v>16.6</v>
      </c>
    </row>
    <row r="3081">
      <c r="D3081" t="str">
        <f>IFERROR(__xludf.DUMMYFUNCTION("""COMPUTED_VALUE"""),"Garvin")</f>
        <v>Garvin</v>
      </c>
      <c r="E3081" t="str">
        <f>IFERROR(__xludf.DUMMYFUNCTION("""COMPUTED_VALUE"""),"Terence")</f>
        <v>Terence</v>
      </c>
      <c r="F3081">
        <f>IFERROR(__xludf.DUMMYFUNCTION("""COMPUTED_VALUE"""),12.600000000000001)</f>
        <v>12.6</v>
      </c>
    </row>
    <row r="3082">
      <c r="D3082" t="str">
        <f>IFERROR(__xludf.DUMMYFUNCTION("""COMPUTED_VALUE"""),"Gary")</f>
        <v>Gary</v>
      </c>
      <c r="E3082" t="str">
        <f>IFERROR(__xludf.DUMMYFUNCTION("""COMPUTED_VALUE"""),"Shamiel")</f>
        <v>Shamiel</v>
      </c>
      <c r="F3082">
        <f>IFERROR(__xludf.DUMMYFUNCTION("""COMPUTED_VALUE"""),12.200000000000001)</f>
        <v>12.2</v>
      </c>
    </row>
    <row r="3083">
      <c r="D3083" t="str">
        <f>IFERROR(__xludf.DUMMYFUNCTION("""COMPUTED_VALUE"""),"Gaston")</f>
        <v>Gaston</v>
      </c>
      <c r="E3083" t="str">
        <f>IFERROR(__xludf.DUMMYFUNCTION("""COMPUTED_VALUE"""),"Bruce")</f>
        <v>Bruce</v>
      </c>
      <c r="F3083">
        <f>IFERROR(__xludf.DUMMYFUNCTION("""COMPUTED_VALUE"""),13.600000000000001)</f>
        <v>13.6</v>
      </c>
    </row>
    <row r="3084">
      <c r="D3084" t="str">
        <f>IFERROR(__xludf.DUMMYFUNCTION("""COMPUTED_VALUE"""),"Gates")</f>
        <v>Gates</v>
      </c>
      <c r="E3084" t="str">
        <f>IFERROR(__xludf.DUMMYFUNCTION("""COMPUTED_VALUE"""),"Antonio")</f>
        <v>Antonio</v>
      </c>
      <c r="F3084">
        <f>IFERROR(__xludf.DUMMYFUNCTION("""COMPUTED_VALUE"""),17.400000000000002)</f>
        <v>17.4</v>
      </c>
    </row>
    <row r="3085">
      <c r="D3085" t="str">
        <f>IFERROR(__xludf.DUMMYFUNCTION("""COMPUTED_VALUE"""),"Gathers")</f>
        <v>Gathers</v>
      </c>
      <c r="E3085" t="str">
        <f>IFERROR(__xludf.DUMMYFUNCTION("""COMPUTED_VALUE"""),"Rico")</f>
        <v>Rico</v>
      </c>
      <c r="F3085">
        <f>IFERROR(__xludf.DUMMYFUNCTION("""COMPUTED_VALUE"""),13.4)</f>
        <v>13.4</v>
      </c>
    </row>
    <row r="3086">
      <c r="D3086" t="str">
        <f>IFERROR(__xludf.DUMMYFUNCTION("""COMPUTED_VALUE"""),"Gause")</f>
        <v>Gause</v>
      </c>
      <c r="E3086" t="str">
        <f>IFERROR(__xludf.DUMMYFUNCTION("""COMPUTED_VALUE"""),"Quentin")</f>
        <v>Quentin</v>
      </c>
      <c r="F3086">
        <f>IFERROR(__xludf.DUMMYFUNCTION("""COMPUTED_VALUE"""),11.4)</f>
        <v>11.4</v>
      </c>
    </row>
    <row r="3087">
      <c r="D3087" t="str">
        <f>IFERROR(__xludf.DUMMYFUNCTION("""COMPUTED_VALUE"""),"Gay")</f>
        <v>Gay</v>
      </c>
      <c r="E3087" t="str">
        <f>IFERROR(__xludf.DUMMYFUNCTION("""COMPUTED_VALUE"""),"Jordan")</f>
        <v>Jordan</v>
      </c>
      <c r="F3087">
        <f>IFERROR(__xludf.DUMMYFUNCTION("""COMPUTED_VALUE"""),14.0)</f>
        <v>14</v>
      </c>
    </row>
    <row r="3088">
      <c r="D3088" t="str">
        <f>IFERROR(__xludf.DUMMYFUNCTION("""COMPUTED_VALUE"""),"Gay")</f>
        <v>Gay</v>
      </c>
      <c r="E3088" t="str">
        <f>IFERROR(__xludf.DUMMYFUNCTION("""COMPUTED_VALUE"""),"William")</f>
        <v>William</v>
      </c>
      <c r="F3088">
        <f>IFERROR(__xludf.DUMMYFUNCTION("""COMPUTED_VALUE"""),16.8)</f>
        <v>16.8</v>
      </c>
    </row>
    <row r="3089">
      <c r="D3089" t="str">
        <f>IFERROR(__xludf.DUMMYFUNCTION("""COMPUTED_VALUE"""),"Geathers")</f>
        <v>Geathers</v>
      </c>
      <c r="E3089" t="str">
        <f>IFERROR(__xludf.DUMMYFUNCTION("""COMPUTED_VALUE"""),"Clayton")</f>
        <v>Clayton</v>
      </c>
      <c r="F3089">
        <f>IFERROR(__xludf.DUMMYFUNCTION("""COMPUTED_VALUE"""),16.2)</f>
        <v>16.2</v>
      </c>
    </row>
    <row r="3090">
      <c r="D3090" t="str">
        <f>IFERROR(__xludf.DUMMYFUNCTION("""COMPUTED_VALUE"""),"Gedeon")</f>
        <v>Gedeon</v>
      </c>
      <c r="E3090" t="str">
        <f>IFERROR(__xludf.DUMMYFUNCTION("""COMPUTED_VALUE"""),"Ben")</f>
        <v>Ben</v>
      </c>
      <c r="F3090">
        <f>IFERROR(__xludf.DUMMYFUNCTION("""COMPUTED_VALUE"""),13.0)</f>
        <v>13</v>
      </c>
    </row>
    <row r="3091">
      <c r="D3091" t="str">
        <f>IFERROR(__xludf.DUMMYFUNCTION("""COMPUTED_VALUE"""),"Gennesy")</f>
        <v>Gennesy</v>
      </c>
      <c r="E3091" t="str">
        <f>IFERROR(__xludf.DUMMYFUNCTION("""COMPUTED_VALUE"""),"Avery")</f>
        <v>Avery</v>
      </c>
      <c r="F3091">
        <f>IFERROR(__xludf.DUMMYFUNCTION("""COMPUTED_VALUE"""),12.4)</f>
        <v>12.4</v>
      </c>
    </row>
    <row r="3092">
      <c r="D3092" t="str">
        <f>IFERROR(__xludf.DUMMYFUNCTION("""COMPUTED_VALUE"""),"George")</f>
        <v>George</v>
      </c>
      <c r="E3092" t="str">
        <f>IFERROR(__xludf.DUMMYFUNCTION("""COMPUTED_VALUE"""),"Jeremiah")</f>
        <v>Jeremiah</v>
      </c>
      <c r="F3092">
        <f>IFERROR(__xludf.DUMMYFUNCTION("""COMPUTED_VALUE"""),13.200000000000001)</f>
        <v>13.2</v>
      </c>
    </row>
    <row r="3093">
      <c r="D3093" t="str">
        <f>IFERROR(__xludf.DUMMYFUNCTION("""COMPUTED_VALUE"""),"Gerry")</f>
        <v>Gerry</v>
      </c>
      <c r="E3093" t="str">
        <f>IFERROR(__xludf.DUMMYFUNCTION("""COMPUTED_VALUE"""),"Nathan")</f>
        <v>Nathan</v>
      </c>
      <c r="F3093">
        <f>IFERROR(__xludf.DUMMYFUNCTION("""COMPUTED_VALUE"""),12.200000000000001)</f>
        <v>12.2</v>
      </c>
    </row>
    <row r="3094">
      <c r="D3094" t="str">
        <f>IFERROR(__xludf.DUMMYFUNCTION("""COMPUTED_VALUE"""),"Gettis")</f>
        <v>Gettis</v>
      </c>
      <c r="E3094" t="str">
        <f>IFERROR(__xludf.DUMMYFUNCTION("""COMPUTED_VALUE"""),"Adam")</f>
        <v>Adam</v>
      </c>
      <c r="F3094">
        <f>IFERROR(__xludf.DUMMYFUNCTION("""COMPUTED_VALUE"""),13.4)</f>
        <v>13.4</v>
      </c>
    </row>
    <row r="3095">
      <c r="D3095" t="str">
        <f>IFERROR(__xludf.DUMMYFUNCTION("""COMPUTED_VALUE"""),"Gholston")</f>
        <v>Gholston</v>
      </c>
      <c r="E3095" t="str">
        <f>IFERROR(__xludf.DUMMYFUNCTION("""COMPUTED_VALUE"""),"William")</f>
        <v>William</v>
      </c>
      <c r="F3095">
        <f>IFERROR(__xludf.DUMMYFUNCTION("""COMPUTED_VALUE"""),15.200000000000001)</f>
        <v>15.2</v>
      </c>
    </row>
    <row r="3096">
      <c r="D3096" t="str">
        <f>IFERROR(__xludf.DUMMYFUNCTION("""COMPUTED_VALUE"""),"Giacomini")</f>
        <v>Giacomini</v>
      </c>
      <c r="E3096" t="str">
        <f>IFERROR(__xludf.DUMMYFUNCTION("""COMPUTED_VALUE"""),"Breno")</f>
        <v>Breno</v>
      </c>
      <c r="F3096">
        <f>IFERROR(__xludf.DUMMYFUNCTION("""COMPUTED_VALUE"""),13.8)</f>
        <v>13.8</v>
      </c>
    </row>
    <row r="3097">
      <c r="D3097" t="str">
        <f>IFERROR(__xludf.DUMMYFUNCTION("""COMPUTED_VALUE"""),"Gibson")</f>
        <v>Gibson</v>
      </c>
      <c r="E3097" t="str">
        <f>IFERROR(__xludf.DUMMYFUNCTION("""COMPUTED_VALUE"""),"Laurence")</f>
        <v>Laurence</v>
      </c>
      <c r="F3097">
        <f>IFERROR(__xludf.DUMMYFUNCTION("""COMPUTED_VALUE"""),12.8)</f>
        <v>12.8</v>
      </c>
    </row>
    <row r="3098">
      <c r="D3098" t="str">
        <f>IFERROR(__xludf.DUMMYFUNCTION("""COMPUTED_VALUE"""),"Gibson")</f>
        <v>Gibson</v>
      </c>
      <c r="E3098" t="str">
        <f>IFERROR(__xludf.DUMMYFUNCTION("""COMPUTED_VALUE"""),"Shelton")</f>
        <v>Shelton</v>
      </c>
      <c r="F3098">
        <f>IFERROR(__xludf.DUMMYFUNCTION("""COMPUTED_VALUE"""),13.4)</f>
        <v>13.4</v>
      </c>
    </row>
    <row r="3099">
      <c r="D3099" t="str">
        <f>IFERROR(__xludf.DUMMYFUNCTION("""COMPUTED_VALUE"""),"Gilberry")</f>
        <v>Gilberry</v>
      </c>
      <c r="E3099" t="str">
        <f>IFERROR(__xludf.DUMMYFUNCTION("""COMPUTED_VALUE"""),"Wallace")</f>
        <v>Wallace</v>
      </c>
      <c r="F3099">
        <f>IFERROR(__xludf.DUMMYFUNCTION("""COMPUTED_VALUE"""),14.0)</f>
        <v>14</v>
      </c>
    </row>
    <row r="3100">
      <c r="D3100" t="str">
        <f>IFERROR(__xludf.DUMMYFUNCTION("""COMPUTED_VALUE"""),"Gilbert")</f>
        <v>Gilbert</v>
      </c>
      <c r="E3100" t="str">
        <f>IFERROR(__xludf.DUMMYFUNCTION("""COMPUTED_VALUE"""),"Garrett")</f>
        <v>Garrett</v>
      </c>
      <c r="F3100">
        <f>IFERROR(__xludf.DUMMYFUNCTION("""COMPUTED_VALUE"""),11.8)</f>
        <v>11.8</v>
      </c>
    </row>
    <row r="3101">
      <c r="D3101" t="str">
        <f>IFERROR(__xludf.DUMMYFUNCTION("""COMPUTED_VALUE"""),"Gilbert")</f>
        <v>Gilbert</v>
      </c>
      <c r="E3101" t="str">
        <f>IFERROR(__xludf.DUMMYFUNCTION("""COMPUTED_VALUE"""),"Marcus")</f>
        <v>Marcus</v>
      </c>
      <c r="F3101">
        <f>IFERROR(__xludf.DUMMYFUNCTION("""COMPUTED_VALUE"""),17.6)</f>
        <v>17.6</v>
      </c>
    </row>
    <row r="3102">
      <c r="D3102" t="str">
        <f>IFERROR(__xludf.DUMMYFUNCTION("""COMPUTED_VALUE"""),"Gilbert")</f>
        <v>Gilbert</v>
      </c>
      <c r="E3102" t="str">
        <f>IFERROR(__xludf.DUMMYFUNCTION("""COMPUTED_VALUE"""),"Reggie")</f>
        <v>Reggie</v>
      </c>
      <c r="F3102">
        <f>IFERROR(__xludf.DUMMYFUNCTION("""COMPUTED_VALUE"""),12.200000000000001)</f>
        <v>12.2</v>
      </c>
    </row>
    <row r="3103">
      <c r="D3103" t="str">
        <f>IFERROR(__xludf.DUMMYFUNCTION("""COMPUTED_VALUE"""),"Gilliam")</f>
        <v>Gilliam</v>
      </c>
      <c r="E3103" t="str">
        <f>IFERROR(__xludf.DUMMYFUNCTION("""COMPUTED_VALUE"""),"Garry")</f>
        <v>Garry</v>
      </c>
      <c r="F3103">
        <f>IFERROR(__xludf.DUMMYFUNCTION("""COMPUTED_VALUE"""),14.200000000000001)</f>
        <v>14.2</v>
      </c>
    </row>
    <row r="3104">
      <c r="D3104" t="str">
        <f>IFERROR(__xludf.DUMMYFUNCTION("""COMPUTED_VALUE"""),"Gillislee")</f>
        <v>Gillislee</v>
      </c>
      <c r="E3104" t="str">
        <f>IFERROR(__xludf.DUMMYFUNCTION("""COMPUTED_VALUE"""),"Mike")</f>
        <v>Mike</v>
      </c>
      <c r="F3104">
        <f>IFERROR(__xludf.DUMMYFUNCTION("""COMPUTED_VALUE"""),15.4)</f>
        <v>15.4</v>
      </c>
    </row>
    <row r="3105">
      <c r="D3105" t="str">
        <f>IFERROR(__xludf.DUMMYFUNCTION("""COMPUTED_VALUE"""),"Gillmore")</f>
        <v>Gillmore</v>
      </c>
      <c r="E3105" t="str">
        <f>IFERROR(__xludf.DUMMYFUNCTION("""COMPUTED_VALUE"""),"Crockett")</f>
        <v>Crockett</v>
      </c>
      <c r="F3105">
        <f>IFERROR(__xludf.DUMMYFUNCTION("""COMPUTED_VALUE"""),15.4)</f>
        <v>15.4</v>
      </c>
    </row>
    <row r="3106">
      <c r="D3106" t="str">
        <f>IFERROR(__xludf.DUMMYFUNCTION("""COMPUTED_VALUE"""),"Gilmore")</f>
        <v>Gilmore</v>
      </c>
      <c r="E3106" t="str">
        <f>IFERROR(__xludf.DUMMYFUNCTION("""COMPUTED_VALUE"""),"Stephon")</f>
        <v>Stephon</v>
      </c>
      <c r="F3106">
        <f>IFERROR(__xludf.DUMMYFUNCTION("""COMPUTED_VALUE"""),16.6)</f>
        <v>16.6</v>
      </c>
    </row>
    <row r="3107">
      <c r="D3107" t="str">
        <f>IFERROR(__xludf.DUMMYFUNCTION("""COMPUTED_VALUE"""),"Ginn Jr")</f>
        <v>Ginn Jr</v>
      </c>
      <c r="E3107" t="str">
        <f>IFERROR(__xludf.DUMMYFUNCTION("""COMPUTED_VALUE"""),"Ted")</f>
        <v>Ted</v>
      </c>
      <c r="F3107">
        <f>IFERROR(__xludf.DUMMYFUNCTION("""COMPUTED_VALUE"""),15.8)</f>
        <v>15.8</v>
      </c>
    </row>
    <row r="3108">
      <c r="D3108" t="str">
        <f>IFERROR(__xludf.DUMMYFUNCTION("""COMPUTED_VALUE"""),"Gipson")</f>
        <v>Gipson</v>
      </c>
      <c r="E3108" t="str">
        <f>IFERROR(__xludf.DUMMYFUNCTION("""COMPUTED_VALUE"""),"Tashaun")</f>
        <v>Tashaun</v>
      </c>
      <c r="F3108">
        <f>IFERROR(__xludf.DUMMYFUNCTION("""COMPUTED_VALUE"""),15.0)</f>
        <v>15</v>
      </c>
    </row>
    <row r="3109">
      <c r="D3109" t="str">
        <f>IFERROR(__xludf.DUMMYFUNCTION("""COMPUTED_VALUE"""),"Glanton")</f>
        <v>Glanton</v>
      </c>
      <c r="E3109" t="str">
        <f>IFERROR(__xludf.DUMMYFUNCTION("""COMPUTED_VALUE"""),"Adarius")</f>
        <v>Adarius</v>
      </c>
      <c r="F3109">
        <f>IFERROR(__xludf.DUMMYFUNCTION("""COMPUTED_VALUE"""),13.0)</f>
        <v>13</v>
      </c>
    </row>
    <row r="3110">
      <c r="D3110" t="str">
        <f>IFERROR(__xludf.DUMMYFUNCTION("""COMPUTED_VALUE"""),"Glasgow")</f>
        <v>Glasgow</v>
      </c>
      <c r="E3110" t="str">
        <f>IFERROR(__xludf.DUMMYFUNCTION("""COMPUTED_VALUE"""),"Graham")</f>
        <v>Graham</v>
      </c>
      <c r="F3110">
        <f>IFERROR(__xludf.DUMMYFUNCTION("""COMPUTED_VALUE"""),13.8)</f>
        <v>13.8</v>
      </c>
    </row>
    <row r="3111">
      <c r="D3111" t="str">
        <f>IFERROR(__xludf.DUMMYFUNCTION("""COMPUTED_VALUE"""),"Glasgow")</f>
        <v>Glasgow</v>
      </c>
      <c r="E3111" t="str">
        <f>IFERROR(__xludf.DUMMYFUNCTION("""COMPUTED_VALUE"""),"Ryan")</f>
        <v>Ryan</v>
      </c>
      <c r="F3111">
        <f>IFERROR(__xludf.DUMMYFUNCTION("""COMPUTED_VALUE"""),13.600000000000001)</f>
        <v>13.6</v>
      </c>
    </row>
    <row r="3112">
      <c r="D3112" t="str">
        <f>IFERROR(__xludf.DUMMYFUNCTION("""COMPUTED_VALUE"""),"Glenn")</f>
        <v>Glenn</v>
      </c>
      <c r="E3112" t="str">
        <f>IFERROR(__xludf.DUMMYFUNCTION("""COMPUTED_VALUE"""),"Cordy")</f>
        <v>Cordy</v>
      </c>
      <c r="F3112">
        <f>IFERROR(__xludf.DUMMYFUNCTION("""COMPUTED_VALUE"""),16.8)</f>
        <v>16.8</v>
      </c>
    </row>
    <row r="3113">
      <c r="D3113" t="str">
        <f>IFERROR(__xludf.DUMMYFUNCTION("""COMPUTED_VALUE"""),"Glennon")</f>
        <v>Glennon</v>
      </c>
      <c r="E3113" t="str">
        <f>IFERROR(__xludf.DUMMYFUNCTION("""COMPUTED_VALUE"""),"Mike")</f>
        <v>Mike</v>
      </c>
      <c r="F3113">
        <f>IFERROR(__xludf.DUMMYFUNCTION("""COMPUTED_VALUE"""),14.8)</f>
        <v>14.8</v>
      </c>
    </row>
    <row r="3114">
      <c r="D3114" t="str">
        <f>IFERROR(__xludf.DUMMYFUNCTION("""COMPUTED_VALUE"""),"Glowinski")</f>
        <v>Glowinski</v>
      </c>
      <c r="E3114" t="str">
        <f>IFERROR(__xludf.DUMMYFUNCTION("""COMPUTED_VALUE"""),"Mark")</f>
        <v>Mark</v>
      </c>
      <c r="F3114">
        <f>IFERROR(__xludf.DUMMYFUNCTION("""COMPUTED_VALUE"""),14.200000000000001)</f>
        <v>14.2</v>
      </c>
    </row>
    <row r="3115">
      <c r="D3115" t="str">
        <f>IFERROR(__xludf.DUMMYFUNCTION("""COMPUTED_VALUE"""),"Godchaux")</f>
        <v>Godchaux</v>
      </c>
      <c r="E3115" t="str">
        <f>IFERROR(__xludf.DUMMYFUNCTION("""COMPUTED_VALUE"""),"Davon")</f>
        <v>Davon</v>
      </c>
      <c r="F3115">
        <f>IFERROR(__xludf.DUMMYFUNCTION("""COMPUTED_VALUE"""),13.0)</f>
        <v>13</v>
      </c>
    </row>
    <row r="3116">
      <c r="D3116" t="str">
        <f>IFERROR(__xludf.DUMMYFUNCTION("""COMPUTED_VALUE"""),"Godwin")</f>
        <v>Godwin</v>
      </c>
      <c r="E3116" t="str">
        <f>IFERROR(__xludf.DUMMYFUNCTION("""COMPUTED_VALUE"""),"Chris")</f>
        <v>Chris</v>
      </c>
      <c r="F3116">
        <f>IFERROR(__xludf.DUMMYFUNCTION("""COMPUTED_VALUE"""),15.0)</f>
        <v>15</v>
      </c>
    </row>
    <row r="3117">
      <c r="D3117" t="str">
        <f>IFERROR(__xludf.DUMMYFUNCTION("""COMPUTED_VALUE"""),"Goff")</f>
        <v>Goff</v>
      </c>
      <c r="E3117" t="str">
        <f>IFERROR(__xludf.DUMMYFUNCTION("""COMPUTED_VALUE"""),"Jared")</f>
        <v>Jared</v>
      </c>
      <c r="F3117">
        <f>IFERROR(__xludf.DUMMYFUNCTION("""COMPUTED_VALUE"""),14.600000000000001)</f>
        <v>14.6</v>
      </c>
    </row>
    <row r="3118">
      <c r="D3118" t="str">
        <f>IFERROR(__xludf.DUMMYFUNCTION("""COMPUTED_VALUE"""),"Golden")</f>
        <v>Golden</v>
      </c>
      <c r="E3118" t="str">
        <f>IFERROR(__xludf.DUMMYFUNCTION("""COMPUTED_VALUE"""),"Brittan")</f>
        <v>Brittan</v>
      </c>
      <c r="F3118">
        <f>IFERROR(__xludf.DUMMYFUNCTION("""COMPUTED_VALUE"""),12.600000000000001)</f>
        <v>12.6</v>
      </c>
    </row>
    <row r="3119">
      <c r="D3119" t="str">
        <f>IFERROR(__xludf.DUMMYFUNCTION("""COMPUTED_VALUE"""),"Golden")</f>
        <v>Golden</v>
      </c>
      <c r="E3119" t="str">
        <f>IFERROR(__xludf.DUMMYFUNCTION("""COMPUTED_VALUE"""),"Markus")</f>
        <v>Markus</v>
      </c>
      <c r="F3119">
        <f>IFERROR(__xludf.DUMMYFUNCTION("""COMPUTED_VALUE"""),16.400000000000002)</f>
        <v>16.4</v>
      </c>
    </row>
    <row r="3120">
      <c r="D3120" t="str">
        <f>IFERROR(__xludf.DUMMYFUNCTION("""COMPUTED_VALUE"""),"Golden")</f>
        <v>Golden</v>
      </c>
      <c r="E3120" t="str">
        <f>IFERROR(__xludf.DUMMYFUNCTION("""COMPUTED_VALUE"""),"Robert")</f>
        <v>Robert</v>
      </c>
      <c r="F3120">
        <f>IFERROR(__xludf.DUMMYFUNCTION("""COMPUTED_VALUE"""),14.0)</f>
        <v>14</v>
      </c>
    </row>
    <row r="3121">
      <c r="D3121" t="str">
        <f>IFERROR(__xludf.DUMMYFUNCTION("""COMPUTED_VALUE"""),"Goldman")</f>
        <v>Goldman</v>
      </c>
      <c r="E3121" t="str">
        <f>IFERROR(__xludf.DUMMYFUNCTION("""COMPUTED_VALUE"""),"Eddie")</f>
        <v>Eddie</v>
      </c>
      <c r="F3121">
        <f>IFERROR(__xludf.DUMMYFUNCTION("""COMPUTED_VALUE"""),16.2)</f>
        <v>16.2</v>
      </c>
    </row>
    <row r="3122">
      <c r="D3122" t="str">
        <f>IFERROR(__xludf.DUMMYFUNCTION("""COMPUTED_VALUE"""),"Golladay")</f>
        <v>Golladay</v>
      </c>
      <c r="E3122" t="str">
        <f>IFERROR(__xludf.DUMMYFUNCTION("""COMPUTED_VALUE"""),"Kenny")</f>
        <v>Kenny</v>
      </c>
      <c r="F3122">
        <f>IFERROR(__xludf.DUMMYFUNCTION("""COMPUTED_VALUE"""),14.8)</f>
        <v>14.8</v>
      </c>
    </row>
    <row r="3123">
      <c r="D3123" t="str">
        <f>IFERROR(__xludf.DUMMYFUNCTION("""COMPUTED_VALUE"""),"Golson")</f>
        <v>Golson</v>
      </c>
      <c r="E3123" t="str">
        <f>IFERROR(__xludf.DUMMYFUNCTION("""COMPUTED_VALUE"""),"Senquez")</f>
        <v>Senquez</v>
      </c>
      <c r="F3123">
        <f>IFERROR(__xludf.DUMMYFUNCTION("""COMPUTED_VALUE"""),14.4)</f>
        <v>14.4</v>
      </c>
    </row>
    <row r="3124">
      <c r="D3124" t="str">
        <f>IFERROR(__xludf.DUMMYFUNCTION("""COMPUTED_VALUE"""),"Gonzalez")</f>
        <v>Gonzalez</v>
      </c>
      <c r="E3124" t="str">
        <f>IFERROR(__xludf.DUMMYFUNCTION("""COMPUTED_VALUE"""),"Zane")</f>
        <v>Zane</v>
      </c>
      <c r="F3124">
        <f>IFERROR(__xludf.DUMMYFUNCTION("""COMPUTED_VALUE"""),14.600000000000001)</f>
        <v>14.6</v>
      </c>
    </row>
    <row r="3125">
      <c r="D3125" t="str">
        <f>IFERROR(__xludf.DUMMYFUNCTION("""COMPUTED_VALUE"""),"Good")</f>
        <v>Good</v>
      </c>
      <c r="E3125" t="str">
        <f>IFERROR(__xludf.DUMMYFUNCTION("""COMPUTED_VALUE"""),"Denzelle")</f>
        <v>Denzelle</v>
      </c>
      <c r="F3125">
        <f>IFERROR(__xludf.DUMMYFUNCTION("""COMPUTED_VALUE"""),13.8)</f>
        <v>13.8</v>
      </c>
    </row>
    <row r="3126">
      <c r="D3126" t="str">
        <f>IFERROR(__xludf.DUMMYFUNCTION("""COMPUTED_VALUE"""),"Goode")</f>
        <v>Goode</v>
      </c>
      <c r="E3126" t="str">
        <f>IFERROR(__xludf.DUMMYFUNCTION("""COMPUTED_VALUE"""),"Najee")</f>
        <v>Najee</v>
      </c>
      <c r="F3126">
        <f>IFERROR(__xludf.DUMMYFUNCTION("""COMPUTED_VALUE"""),13.200000000000001)</f>
        <v>13.2</v>
      </c>
    </row>
    <row r="3127">
      <c r="D3127" t="str">
        <f>IFERROR(__xludf.DUMMYFUNCTION("""COMPUTED_VALUE"""),"Gooden")</f>
        <v>Gooden</v>
      </c>
      <c r="E3127" t="str">
        <f>IFERROR(__xludf.DUMMYFUNCTION("""COMPUTED_VALUE"""),"Zaviar")</f>
        <v>Zaviar</v>
      </c>
      <c r="F3127">
        <f>IFERROR(__xludf.DUMMYFUNCTION("""COMPUTED_VALUE"""),13.0)</f>
        <v>13</v>
      </c>
    </row>
    <row r="3128">
      <c r="D3128" t="str">
        <f>IFERROR(__xludf.DUMMYFUNCTION("""COMPUTED_VALUE"""),"Goodman")</f>
        <v>Goodman</v>
      </c>
      <c r="E3128" t="str">
        <f>IFERROR(__xludf.DUMMYFUNCTION("""COMPUTED_VALUE"""),"Malliciah")</f>
        <v>Malliciah</v>
      </c>
      <c r="F3128">
        <f>IFERROR(__xludf.DUMMYFUNCTION("""COMPUTED_VALUE"""),13.600000000000001)</f>
        <v>13.6</v>
      </c>
    </row>
    <row r="3129">
      <c r="D3129" t="str">
        <f>IFERROR(__xludf.DUMMYFUNCTION("""COMPUTED_VALUE"""),"Goodson")</f>
        <v>Goodson</v>
      </c>
      <c r="E3129" t="str">
        <f>IFERROR(__xludf.DUMMYFUNCTION("""COMPUTED_VALUE"""),"BJ")</f>
        <v>BJ</v>
      </c>
      <c r="F3129">
        <f>IFERROR(__xludf.DUMMYFUNCTION("""COMPUTED_VALUE"""),13.0)</f>
        <v>13</v>
      </c>
    </row>
    <row r="3130">
      <c r="D3130" t="str">
        <f>IFERROR(__xludf.DUMMYFUNCTION("""COMPUTED_VALUE"""),"Goodson")</f>
        <v>Goodson</v>
      </c>
      <c r="E3130" t="str">
        <f>IFERROR(__xludf.DUMMYFUNCTION("""COMPUTED_VALUE"""),"Demetri")</f>
        <v>Demetri</v>
      </c>
      <c r="F3130">
        <f>IFERROR(__xludf.DUMMYFUNCTION("""COMPUTED_VALUE"""),13.600000000000001)</f>
        <v>13.6</v>
      </c>
    </row>
    <row r="3131">
      <c r="D3131" t="str">
        <f>IFERROR(__xludf.DUMMYFUNCTION("""COMPUTED_VALUE"""),"Goodwin")</f>
        <v>Goodwin</v>
      </c>
      <c r="E3131" t="str">
        <f>IFERROR(__xludf.DUMMYFUNCTION("""COMPUTED_VALUE"""),"CJ")</f>
        <v>CJ</v>
      </c>
      <c r="F3131">
        <f>IFERROR(__xludf.DUMMYFUNCTION("""COMPUTED_VALUE"""),13.600000000000001)</f>
        <v>13.6</v>
      </c>
    </row>
    <row r="3132">
      <c r="D3132" t="str">
        <f>IFERROR(__xludf.DUMMYFUNCTION("""COMPUTED_VALUE"""),"Goodwin")</f>
        <v>Goodwin</v>
      </c>
      <c r="E3132" t="str">
        <f>IFERROR(__xludf.DUMMYFUNCTION("""COMPUTED_VALUE"""),"Marquise")</f>
        <v>Marquise</v>
      </c>
      <c r="F3132">
        <f>IFERROR(__xludf.DUMMYFUNCTION("""COMPUTED_VALUE"""),14.600000000000001)</f>
        <v>14.6</v>
      </c>
    </row>
    <row r="3133">
      <c r="D3133" t="str">
        <f>IFERROR(__xludf.DUMMYFUNCTION("""COMPUTED_VALUE"""),"Gordon")</f>
        <v>Gordon</v>
      </c>
      <c r="E3133" t="str">
        <f>IFERROR(__xludf.DUMMYFUNCTION("""COMPUTED_VALUE"""),"Dillon")</f>
        <v>Dillon</v>
      </c>
      <c r="F3133">
        <f>IFERROR(__xludf.DUMMYFUNCTION("""COMPUTED_VALUE"""),12.8)</f>
        <v>12.8</v>
      </c>
    </row>
    <row r="3134">
      <c r="D3134" t="str">
        <f>IFERROR(__xludf.DUMMYFUNCTION("""COMPUTED_VALUE"""),"Gordon")</f>
        <v>Gordon</v>
      </c>
      <c r="E3134" t="str">
        <f>IFERROR(__xludf.DUMMYFUNCTION("""COMPUTED_VALUE"""),"Josh")</f>
        <v>Josh</v>
      </c>
      <c r="F3134">
        <f>IFERROR(__xludf.DUMMYFUNCTION("""COMPUTED_VALUE"""),15.600000000000001)</f>
        <v>15.6</v>
      </c>
    </row>
    <row r="3135">
      <c r="D3135" t="str">
        <f>IFERROR(__xludf.DUMMYFUNCTION("""COMPUTED_VALUE"""),"Gordon")</f>
        <v>Gordon</v>
      </c>
      <c r="E3135" t="str">
        <f>IFERROR(__xludf.DUMMYFUNCTION("""COMPUTED_VALUE"""),"Melvin")</f>
        <v>Melvin</v>
      </c>
      <c r="F3135">
        <f>IFERROR(__xludf.DUMMYFUNCTION("""COMPUTED_VALUE"""),17.400000000000002)</f>
        <v>17.4</v>
      </c>
    </row>
    <row r="3136">
      <c r="D3136" t="str">
        <f>IFERROR(__xludf.DUMMYFUNCTION("""COMPUTED_VALUE"""),"Gore")</f>
        <v>Gore</v>
      </c>
      <c r="E3136" t="str">
        <f>IFERROR(__xludf.DUMMYFUNCTION("""COMPUTED_VALUE"""),"Frank")</f>
        <v>Frank</v>
      </c>
      <c r="F3136">
        <f>IFERROR(__xludf.DUMMYFUNCTION("""COMPUTED_VALUE"""),16.6)</f>
        <v>16.6</v>
      </c>
    </row>
    <row r="3137">
      <c r="D3137" t="str">
        <f>IFERROR(__xludf.DUMMYFUNCTION("""COMPUTED_VALUE"""),"Gostkowski")</f>
        <v>Gostkowski</v>
      </c>
      <c r="E3137" t="str">
        <f>IFERROR(__xludf.DUMMYFUNCTION("""COMPUTED_VALUE"""),"Stephen")</f>
        <v>Stephen</v>
      </c>
      <c r="F3137">
        <f>IFERROR(__xludf.DUMMYFUNCTION("""COMPUTED_VALUE"""),15.200000000000001)</f>
        <v>15.2</v>
      </c>
    </row>
    <row r="3138">
      <c r="D3138" t="str">
        <f>IFERROR(__xludf.DUMMYFUNCTION("""COMPUTED_VALUE"""),"Gotsis")</f>
        <v>Gotsis</v>
      </c>
      <c r="E3138" t="str">
        <f>IFERROR(__xludf.DUMMYFUNCTION("""COMPUTED_VALUE"""),"Adam")</f>
        <v>Adam</v>
      </c>
      <c r="F3138">
        <f>IFERROR(__xludf.DUMMYFUNCTION("""COMPUTED_VALUE"""),13.200000000000001)</f>
        <v>13.2</v>
      </c>
    </row>
    <row r="3139">
      <c r="D3139" t="str">
        <f>IFERROR(__xludf.DUMMYFUNCTION("""COMPUTED_VALUE"""),"Gould")</f>
        <v>Gould</v>
      </c>
      <c r="E3139" t="str">
        <f>IFERROR(__xludf.DUMMYFUNCTION("""COMPUTED_VALUE"""),"Robbie")</f>
        <v>Robbie</v>
      </c>
      <c r="F3139">
        <f>IFERROR(__xludf.DUMMYFUNCTION("""COMPUTED_VALUE"""),15.200000000000001)</f>
        <v>15.2</v>
      </c>
    </row>
    <row r="3140">
      <c r="D3140" t="str">
        <f>IFERROR(__xludf.DUMMYFUNCTION("""COMPUTED_VALUE"""),"Gradkowski")</f>
        <v>Gradkowski</v>
      </c>
      <c r="E3140" t="str">
        <f>IFERROR(__xludf.DUMMYFUNCTION("""COMPUTED_VALUE"""),"Gino")</f>
        <v>Gino</v>
      </c>
      <c r="F3140">
        <f>IFERROR(__xludf.DUMMYFUNCTION("""COMPUTED_VALUE"""),14.200000000000001)</f>
        <v>14.2</v>
      </c>
    </row>
    <row r="3141">
      <c r="D3141" t="str">
        <f>IFERROR(__xludf.DUMMYFUNCTION("""COMPUTED_VALUE"""),"Graf")</f>
        <v>Graf</v>
      </c>
      <c r="E3141" t="str">
        <f>IFERROR(__xludf.DUMMYFUNCTION("""COMPUTED_VALUE"""),"Kevin")</f>
        <v>Kevin</v>
      </c>
      <c r="F3141">
        <f>IFERROR(__xludf.DUMMYFUNCTION("""COMPUTED_VALUE"""),12.8)</f>
        <v>12.8</v>
      </c>
    </row>
    <row r="3142">
      <c r="D3142" t="str">
        <f>IFERROR(__xludf.DUMMYFUNCTION("""COMPUTED_VALUE"""),"Graham")</f>
        <v>Graham</v>
      </c>
      <c r="E3142" t="str">
        <f>IFERROR(__xludf.DUMMYFUNCTION("""COMPUTED_VALUE"""),"Brandon")</f>
        <v>Brandon</v>
      </c>
      <c r="F3142">
        <f>IFERROR(__xludf.DUMMYFUNCTION("""COMPUTED_VALUE"""),19.0)</f>
        <v>19</v>
      </c>
    </row>
    <row r="3143">
      <c r="D3143" t="str">
        <f>IFERROR(__xludf.DUMMYFUNCTION("""COMPUTED_VALUE"""),"Graham")</f>
        <v>Graham</v>
      </c>
      <c r="E3143" t="str">
        <f>IFERROR(__xludf.DUMMYFUNCTION("""COMPUTED_VALUE"""),"Jimmy")</f>
        <v>Jimmy</v>
      </c>
      <c r="F3143">
        <f>IFERROR(__xludf.DUMMYFUNCTION("""COMPUTED_VALUE"""),18.6)</f>
        <v>18.6</v>
      </c>
    </row>
    <row r="3144">
      <c r="D3144" t="str">
        <f>IFERROR(__xludf.DUMMYFUNCTION("""COMPUTED_VALUE"""),"Grant")</f>
        <v>Grant</v>
      </c>
      <c r="E3144" t="str">
        <f>IFERROR(__xludf.DUMMYFUNCTION("""COMPUTED_VALUE"""),"Corey")</f>
        <v>Corey</v>
      </c>
      <c r="F3144">
        <f>IFERROR(__xludf.DUMMYFUNCTION("""COMPUTED_VALUE"""),13.0)</f>
        <v>13</v>
      </c>
    </row>
    <row r="3145">
      <c r="D3145" t="str">
        <f>IFERROR(__xludf.DUMMYFUNCTION("""COMPUTED_VALUE"""),"Grant")</f>
        <v>Grant</v>
      </c>
      <c r="E3145" t="str">
        <f>IFERROR(__xludf.DUMMYFUNCTION("""COMPUTED_VALUE"""),"Curtis")</f>
        <v>Curtis</v>
      </c>
      <c r="F3145">
        <f>IFERROR(__xludf.DUMMYFUNCTION("""COMPUTED_VALUE"""),12.0)</f>
        <v>12</v>
      </c>
    </row>
    <row r="3146">
      <c r="D3146" t="str">
        <f>IFERROR(__xludf.DUMMYFUNCTION("""COMPUTED_VALUE"""),"Grant")</f>
        <v>Grant</v>
      </c>
      <c r="E3146" t="str">
        <f>IFERROR(__xludf.DUMMYFUNCTION("""COMPUTED_VALUE"""),"Doran")</f>
        <v>Doran</v>
      </c>
      <c r="F3146">
        <f>IFERROR(__xludf.DUMMYFUNCTION("""COMPUTED_VALUE"""),13.200000000000001)</f>
        <v>13.2</v>
      </c>
    </row>
    <row r="3147">
      <c r="D3147" t="str">
        <f>IFERROR(__xludf.DUMMYFUNCTION("""COMPUTED_VALUE"""),"Grant")</f>
        <v>Grant</v>
      </c>
      <c r="E3147" t="str">
        <f>IFERROR(__xludf.DUMMYFUNCTION("""COMPUTED_VALUE"""),"Jakeem")</f>
        <v>Jakeem</v>
      </c>
      <c r="F3147">
        <f>IFERROR(__xludf.DUMMYFUNCTION("""COMPUTED_VALUE"""),13.4)</f>
        <v>13.4</v>
      </c>
    </row>
    <row r="3148">
      <c r="D3148" t="str">
        <f>IFERROR(__xludf.DUMMYFUNCTION("""COMPUTED_VALUE"""),"Grant")</f>
        <v>Grant</v>
      </c>
      <c r="E3148" t="str">
        <f>IFERROR(__xludf.DUMMYFUNCTION("""COMPUTED_VALUE"""),"Ryan")</f>
        <v>Ryan</v>
      </c>
      <c r="F3148">
        <f>IFERROR(__xludf.DUMMYFUNCTION("""COMPUTED_VALUE"""),13.4)</f>
        <v>13.4</v>
      </c>
    </row>
    <row r="3149">
      <c r="D3149" t="str">
        <f>IFERROR(__xludf.DUMMYFUNCTION("""COMPUTED_VALUE"""),"Grasu")</f>
        <v>Grasu</v>
      </c>
      <c r="E3149" t="str">
        <f>IFERROR(__xludf.DUMMYFUNCTION("""COMPUTED_VALUE"""),"Hroniss")</f>
        <v>Hroniss</v>
      </c>
      <c r="F3149">
        <f>IFERROR(__xludf.DUMMYFUNCTION("""COMPUTED_VALUE"""),13.8)</f>
        <v>13.8</v>
      </c>
    </row>
    <row r="3150">
      <c r="D3150" t="str">
        <f>IFERROR(__xludf.DUMMYFUNCTION("""COMPUTED_VALUE"""),"Gratz")</f>
        <v>Gratz</v>
      </c>
      <c r="E3150" t="str">
        <f>IFERROR(__xludf.DUMMYFUNCTION("""COMPUTED_VALUE"""),"Dwayne")</f>
        <v>Dwayne</v>
      </c>
      <c r="F3150">
        <f>IFERROR(__xludf.DUMMYFUNCTION("""COMPUTED_VALUE"""),14.200000000000001)</f>
        <v>14.2</v>
      </c>
    </row>
    <row r="3151">
      <c r="D3151" t="str">
        <f>IFERROR(__xludf.DUMMYFUNCTION("""COMPUTED_VALUE"""),"Gray")</f>
        <v>Gray</v>
      </c>
      <c r="E3151" t="str">
        <f>IFERROR(__xludf.DUMMYFUNCTION("""COMPUTED_VALUE"""),"MarQueis")</f>
        <v>MarQueis</v>
      </c>
      <c r="F3151">
        <f>IFERROR(__xludf.DUMMYFUNCTION("""COMPUTED_VALUE"""),13.8)</f>
        <v>13.8</v>
      </c>
    </row>
    <row r="3152">
      <c r="D3152" t="str">
        <f>IFERROR(__xludf.DUMMYFUNCTION("""COMPUTED_VALUE"""),"Grayson")</f>
        <v>Grayson</v>
      </c>
      <c r="E3152" t="str">
        <f>IFERROR(__xludf.DUMMYFUNCTION("""COMPUTED_VALUE"""),"Garrett")</f>
        <v>Garrett</v>
      </c>
      <c r="F3152">
        <f>IFERROR(__xludf.DUMMYFUNCTION("""COMPUTED_VALUE"""),12.4)</f>
        <v>12.4</v>
      </c>
    </row>
    <row r="3153">
      <c r="D3153" t="str">
        <f>IFERROR(__xludf.DUMMYFUNCTION("""COMPUTED_VALUE"""),"Greco")</f>
        <v>Greco</v>
      </c>
      <c r="E3153" t="str">
        <f>IFERROR(__xludf.DUMMYFUNCTION("""COMPUTED_VALUE"""),"John")</f>
        <v>John</v>
      </c>
      <c r="F3153">
        <f>IFERROR(__xludf.DUMMYFUNCTION("""COMPUTED_VALUE"""),16.400000000000002)</f>
        <v>16.4</v>
      </c>
    </row>
    <row r="3154">
      <c r="D3154" t="str">
        <f>IFERROR(__xludf.DUMMYFUNCTION("""COMPUTED_VALUE"""),"Green")</f>
        <v>Green</v>
      </c>
      <c r="E3154" t="str">
        <f>IFERROR(__xludf.DUMMYFUNCTION("""COMPUTED_VALUE"""),"AJ")</f>
        <v>AJ</v>
      </c>
      <c r="F3154">
        <f>IFERROR(__xludf.DUMMYFUNCTION("""COMPUTED_VALUE"""),18.8)</f>
        <v>18.8</v>
      </c>
    </row>
    <row r="3155">
      <c r="D3155" t="str">
        <f>IFERROR(__xludf.DUMMYFUNCTION("""COMPUTED_VALUE"""),"Green")</f>
        <v>Green</v>
      </c>
      <c r="E3155" t="str">
        <f>IFERROR(__xludf.DUMMYFUNCTION("""COMPUTED_VALUE"""),"Chaz")</f>
        <v>Chaz</v>
      </c>
      <c r="F3155">
        <f>IFERROR(__xludf.DUMMYFUNCTION("""COMPUTED_VALUE"""),14.0)</f>
        <v>14</v>
      </c>
    </row>
    <row r="3156">
      <c r="D3156" t="str">
        <f>IFERROR(__xludf.DUMMYFUNCTION("""COMPUTED_VALUE"""),"Green")</f>
        <v>Green</v>
      </c>
      <c r="E3156" t="str">
        <f>IFERROR(__xludf.DUMMYFUNCTION("""COMPUTED_VALUE"""),"TJ")</f>
        <v>TJ</v>
      </c>
      <c r="F3156">
        <f>IFERROR(__xludf.DUMMYFUNCTION("""COMPUTED_VALUE"""),13.600000000000001)</f>
        <v>13.6</v>
      </c>
    </row>
    <row r="3157">
      <c r="D3157" t="str">
        <f>IFERROR(__xludf.DUMMYFUNCTION("""COMPUTED_VALUE"""),"Green")</f>
        <v>Green</v>
      </c>
      <c r="E3157" t="str">
        <f>IFERROR(__xludf.DUMMYFUNCTION("""COMPUTED_VALUE"""),"Virgil")</f>
        <v>Virgil</v>
      </c>
      <c r="F3157">
        <f>IFERROR(__xludf.DUMMYFUNCTION("""COMPUTED_VALUE"""),16.2)</f>
        <v>16.2</v>
      </c>
    </row>
    <row r="3158">
      <c r="D3158" t="str">
        <f>IFERROR(__xludf.DUMMYFUNCTION("""COMPUTED_VALUE"""),"Greene")</f>
        <v>Greene</v>
      </c>
      <c r="E3158" t="str">
        <f>IFERROR(__xludf.DUMMYFUNCTION("""COMPUTED_VALUE"""),"Darrell")</f>
        <v>Darrell</v>
      </c>
      <c r="F3158">
        <f>IFERROR(__xludf.DUMMYFUNCTION("""COMPUTED_VALUE"""),12.200000000000001)</f>
        <v>12.2</v>
      </c>
    </row>
    <row r="3159">
      <c r="D3159" t="str">
        <f>IFERROR(__xludf.DUMMYFUNCTION("""COMPUTED_VALUE"""),"Greene Sr")</f>
        <v>Greene Sr</v>
      </c>
      <c r="E3159" t="str">
        <f>IFERROR(__xludf.DUMMYFUNCTION("""COMPUTED_VALUE"""),"Rashad")</f>
        <v>Rashad</v>
      </c>
      <c r="F3159">
        <f>IFERROR(__xludf.DUMMYFUNCTION("""COMPUTED_VALUE"""),14.200000000000001)</f>
        <v>14.2</v>
      </c>
    </row>
    <row r="3160">
      <c r="D3160" t="str">
        <f>IFERROR(__xludf.DUMMYFUNCTION("""COMPUTED_VALUE"""),"Gregory")</f>
        <v>Gregory</v>
      </c>
      <c r="E3160" t="str">
        <f>IFERROR(__xludf.DUMMYFUNCTION("""COMPUTED_VALUE"""),"Randy")</f>
        <v>Randy</v>
      </c>
      <c r="F3160">
        <f>IFERROR(__xludf.DUMMYFUNCTION("""COMPUTED_VALUE"""),14.8)</f>
        <v>14.8</v>
      </c>
    </row>
    <row r="3161">
      <c r="D3161" t="str">
        <f>IFERROR(__xludf.DUMMYFUNCTION("""COMPUTED_VALUE"""),"Gresham")</f>
        <v>Gresham</v>
      </c>
      <c r="E3161" t="str">
        <f>IFERROR(__xludf.DUMMYFUNCTION("""COMPUTED_VALUE"""),"Jermaine")</f>
        <v>Jermaine</v>
      </c>
      <c r="F3161">
        <f>IFERROR(__xludf.DUMMYFUNCTION("""COMPUTED_VALUE"""),15.4)</f>
        <v>15.4</v>
      </c>
    </row>
    <row r="3162">
      <c r="D3162" t="str">
        <f>IFERROR(__xludf.DUMMYFUNCTION("""COMPUTED_VALUE"""),"Griffen")</f>
        <v>Griffen</v>
      </c>
      <c r="E3162" t="str">
        <f>IFERROR(__xludf.DUMMYFUNCTION("""COMPUTED_VALUE"""),"Everson")</f>
        <v>Everson</v>
      </c>
      <c r="F3162">
        <f>IFERROR(__xludf.DUMMYFUNCTION("""COMPUTED_VALUE"""),17.2)</f>
        <v>17.2</v>
      </c>
    </row>
    <row r="3163">
      <c r="D3163" t="str">
        <f>IFERROR(__xludf.DUMMYFUNCTION("""COMPUTED_VALUE"""),"Griffin")</f>
        <v>Griffin</v>
      </c>
      <c r="E3163" t="str">
        <f>IFERROR(__xludf.DUMMYFUNCTION("""COMPUTED_VALUE"""),"Ryan")</f>
        <v>Ryan</v>
      </c>
      <c r="F3163">
        <f>IFERROR(__xludf.DUMMYFUNCTION("""COMPUTED_VALUE"""),12.200000000000001)</f>
        <v>12.2</v>
      </c>
    </row>
    <row r="3164">
      <c r="D3164" t="str">
        <f>IFERROR(__xludf.DUMMYFUNCTION("""COMPUTED_VALUE"""),"Griffin")</f>
        <v>Griffin</v>
      </c>
      <c r="E3164" t="str">
        <f>IFERROR(__xludf.DUMMYFUNCTION("""COMPUTED_VALUE"""),"Ryan")</f>
        <v>Ryan</v>
      </c>
      <c r="F3164">
        <f>IFERROR(__xludf.DUMMYFUNCTION("""COMPUTED_VALUE"""),14.4)</f>
        <v>14.4</v>
      </c>
    </row>
    <row r="3165">
      <c r="D3165" t="str">
        <f>IFERROR(__xludf.DUMMYFUNCTION("""COMPUTED_VALUE"""),"Griffin")</f>
        <v>Griffin</v>
      </c>
      <c r="E3165" t="str">
        <f>IFERROR(__xludf.DUMMYFUNCTION("""COMPUTED_VALUE"""),"Shaquill")</f>
        <v>Shaquill</v>
      </c>
      <c r="F3165">
        <f>IFERROR(__xludf.DUMMYFUNCTION("""COMPUTED_VALUE"""),14.0)</f>
        <v>14</v>
      </c>
    </row>
    <row r="3166">
      <c r="D3166" t="str">
        <f>IFERROR(__xludf.DUMMYFUNCTION("""COMPUTED_VALUE"""),"Grigsby")</f>
        <v>Grigsby</v>
      </c>
      <c r="E3166" t="str">
        <f>IFERROR(__xludf.DUMMYFUNCTION("""COMPUTED_VALUE"""),"Nic")</f>
        <v>Nic</v>
      </c>
      <c r="F3166">
        <f>IFERROR(__xludf.DUMMYFUNCTION("""COMPUTED_VALUE"""),12.4)</f>
        <v>12.4</v>
      </c>
    </row>
    <row r="3167">
      <c r="D3167" t="str">
        <f>IFERROR(__xludf.DUMMYFUNCTION("""COMPUTED_VALUE"""),"Grimble")</f>
        <v>Grimble</v>
      </c>
      <c r="E3167" t="str">
        <f>IFERROR(__xludf.DUMMYFUNCTION("""COMPUTED_VALUE"""),"Xavier")</f>
        <v>Xavier</v>
      </c>
      <c r="F3167">
        <f>IFERROR(__xludf.DUMMYFUNCTION("""COMPUTED_VALUE"""),13.8)</f>
        <v>13.8</v>
      </c>
    </row>
    <row r="3168">
      <c r="D3168" t="str">
        <f>IFERROR(__xludf.DUMMYFUNCTION("""COMPUTED_VALUE"""),"Grimes")</f>
        <v>Grimes</v>
      </c>
      <c r="E3168" t="str">
        <f>IFERROR(__xludf.DUMMYFUNCTION("""COMPUTED_VALUE"""),"Brent")</f>
        <v>Brent</v>
      </c>
      <c r="F3168">
        <f>IFERROR(__xludf.DUMMYFUNCTION("""COMPUTED_VALUE"""),17.6)</f>
        <v>17.6</v>
      </c>
    </row>
    <row r="3169">
      <c r="D3169" t="str">
        <f>IFERROR(__xludf.DUMMYFUNCTION("""COMPUTED_VALUE"""),"Grissom")</f>
        <v>Grissom</v>
      </c>
      <c r="E3169" t="str">
        <f>IFERROR(__xludf.DUMMYFUNCTION("""COMPUTED_VALUE"""),"Geneo")</f>
        <v>Geneo</v>
      </c>
      <c r="F3169">
        <f>IFERROR(__xludf.DUMMYFUNCTION("""COMPUTED_VALUE"""),12.600000000000001)</f>
        <v>12.6</v>
      </c>
    </row>
    <row r="3170">
      <c r="D3170" t="str">
        <f>IFERROR(__xludf.DUMMYFUNCTION("""COMPUTED_VALUE"""),"Gronkowski")</f>
        <v>Gronkowski</v>
      </c>
      <c r="E3170" t="str">
        <f>IFERROR(__xludf.DUMMYFUNCTION("""COMPUTED_VALUE"""),"Glenn")</f>
        <v>Glenn</v>
      </c>
      <c r="F3170">
        <f>IFERROR(__xludf.DUMMYFUNCTION("""COMPUTED_VALUE"""),13.4)</f>
        <v>13.4</v>
      </c>
    </row>
    <row r="3171">
      <c r="D3171" t="str">
        <f>IFERROR(__xludf.DUMMYFUNCTION("""COMPUTED_VALUE"""),"Gronkowski")</f>
        <v>Gronkowski</v>
      </c>
      <c r="E3171" t="str">
        <f>IFERROR(__xludf.DUMMYFUNCTION("""COMPUTED_VALUE"""),"Rob")</f>
        <v>Rob</v>
      </c>
      <c r="F3171">
        <f>IFERROR(__xludf.DUMMYFUNCTION("""COMPUTED_VALUE"""),19.6)</f>
        <v>19.6</v>
      </c>
    </row>
    <row r="3172">
      <c r="D3172" t="str">
        <f>IFERROR(__xludf.DUMMYFUNCTION("""COMPUTED_VALUE"""),"Groy")</f>
        <v>Groy</v>
      </c>
      <c r="E3172" t="str">
        <f>IFERROR(__xludf.DUMMYFUNCTION("""COMPUTED_VALUE"""),"Ryan")</f>
        <v>Ryan</v>
      </c>
      <c r="F3172">
        <f>IFERROR(__xludf.DUMMYFUNCTION("""COMPUTED_VALUE"""),14.4)</f>
        <v>14.4</v>
      </c>
    </row>
    <row r="3173">
      <c r="D3173" t="str">
        <f>IFERROR(__xludf.DUMMYFUNCTION("""COMPUTED_VALUE"""),"Grugier-Hill")</f>
        <v>Grugier-Hill</v>
      </c>
      <c r="E3173" t="str">
        <f>IFERROR(__xludf.DUMMYFUNCTION("""COMPUTED_VALUE"""),"Kamu")</f>
        <v>Kamu</v>
      </c>
      <c r="F3173">
        <f>IFERROR(__xludf.DUMMYFUNCTION("""COMPUTED_VALUE"""),12.600000000000001)</f>
        <v>12.6</v>
      </c>
    </row>
    <row r="3174">
      <c r="D3174" t="str">
        <f>IFERROR(__xludf.DUMMYFUNCTION("""COMPUTED_VALUE"""),"Grymes")</f>
        <v>Grymes</v>
      </c>
      <c r="E3174" t="str">
        <f>IFERROR(__xludf.DUMMYFUNCTION("""COMPUTED_VALUE"""),"Aaron")</f>
        <v>Aaron</v>
      </c>
      <c r="F3174">
        <f>IFERROR(__xludf.DUMMYFUNCTION("""COMPUTED_VALUE"""),12.4)</f>
        <v>12.4</v>
      </c>
    </row>
    <row r="3175">
      <c r="D3175" t="str">
        <f>IFERROR(__xludf.DUMMYFUNCTION("""COMPUTED_VALUE"""),"Guion")</f>
        <v>Guion</v>
      </c>
      <c r="E3175" t="str">
        <f>IFERROR(__xludf.DUMMYFUNCTION("""COMPUTED_VALUE"""),"Letroy")</f>
        <v>Letroy</v>
      </c>
      <c r="F3175">
        <f>IFERROR(__xludf.DUMMYFUNCTION("""COMPUTED_VALUE"""),14.8)</f>
        <v>14.8</v>
      </c>
    </row>
    <row r="3176">
      <c r="D3176" t="str">
        <f>IFERROR(__xludf.DUMMYFUNCTION("""COMPUTED_VALUE"""),"Gunter")</f>
        <v>Gunter</v>
      </c>
      <c r="E3176" t="str">
        <f>IFERROR(__xludf.DUMMYFUNCTION("""COMPUTED_VALUE"""),"LaDarius")</f>
        <v>LaDarius</v>
      </c>
      <c r="F3176">
        <f>IFERROR(__xludf.DUMMYFUNCTION("""COMPUTED_VALUE"""),14.4)</f>
        <v>14.4</v>
      </c>
    </row>
    <row r="3177">
      <c r="D3177" t="str">
        <f>IFERROR(__xludf.DUMMYFUNCTION("""COMPUTED_VALUE"""),"Gunter")</f>
        <v>Gunter</v>
      </c>
      <c r="E3177" t="str">
        <f>IFERROR(__xludf.DUMMYFUNCTION("""COMPUTED_VALUE"""),"Rodney")</f>
        <v>Rodney</v>
      </c>
      <c r="F3177">
        <f>IFERROR(__xludf.DUMMYFUNCTION("""COMPUTED_VALUE"""),13.0)</f>
        <v>13</v>
      </c>
    </row>
    <row r="3178">
      <c r="D3178" t="str">
        <f>IFERROR(__xludf.DUMMYFUNCTION("""COMPUTED_VALUE"""),"Gurley II")</f>
        <v>Gurley II</v>
      </c>
      <c r="E3178" t="str">
        <f>IFERROR(__xludf.DUMMYFUNCTION("""COMPUTED_VALUE"""),"Todd")</f>
        <v>Todd</v>
      </c>
      <c r="F3178">
        <f>IFERROR(__xludf.DUMMYFUNCTION("""COMPUTED_VALUE"""),17.0)</f>
        <v>17</v>
      </c>
    </row>
    <row r="3179">
      <c r="D3179" t="str">
        <f>IFERROR(__xludf.DUMMYFUNCTION("""COMPUTED_VALUE"""),"Guy")</f>
        <v>Guy</v>
      </c>
      <c r="E3179" t="str">
        <f>IFERROR(__xludf.DUMMYFUNCTION("""COMPUTED_VALUE"""),"Lawrence")</f>
        <v>Lawrence</v>
      </c>
      <c r="F3179">
        <f>IFERROR(__xludf.DUMMYFUNCTION("""COMPUTED_VALUE"""),15.0)</f>
        <v>15</v>
      </c>
    </row>
    <row r="3180">
      <c r="D3180" t="str">
        <f>IFERROR(__xludf.DUMMYFUNCTION("""COMPUTED_VALUE"""),"Gwacham")</f>
        <v>Gwacham</v>
      </c>
      <c r="E3180" t="str">
        <f>IFERROR(__xludf.DUMMYFUNCTION("""COMPUTED_VALUE"""),"Obum")</f>
        <v>Obum</v>
      </c>
      <c r="F3180">
        <f>IFERROR(__xludf.DUMMYFUNCTION("""COMPUTED_VALUE"""),12.4)</f>
        <v>12.4</v>
      </c>
    </row>
    <row r="3181">
      <c r="D3181" t="str">
        <f>IFERROR(__xludf.DUMMYFUNCTION("""COMPUTED_VALUE"""),"Hackenberg")</f>
        <v>Hackenberg</v>
      </c>
      <c r="E3181" t="str">
        <f>IFERROR(__xludf.DUMMYFUNCTION("""COMPUTED_VALUE"""),"Christian")</f>
        <v>Christian</v>
      </c>
      <c r="F3181">
        <f>IFERROR(__xludf.DUMMYFUNCTION("""COMPUTED_VALUE"""),13.200000000000001)</f>
        <v>13.2</v>
      </c>
    </row>
    <row r="3182">
      <c r="D3182" t="str">
        <f>IFERROR(__xludf.DUMMYFUNCTION("""COMPUTED_VALUE"""),"Haden")</f>
        <v>Haden</v>
      </c>
      <c r="E3182" t="str">
        <f>IFERROR(__xludf.DUMMYFUNCTION("""COMPUTED_VALUE"""),"Joe")</f>
        <v>Joe</v>
      </c>
      <c r="F3182">
        <f>IFERROR(__xludf.DUMMYFUNCTION("""COMPUTED_VALUE"""),16.2)</f>
        <v>16.2</v>
      </c>
    </row>
    <row r="3183">
      <c r="D3183" t="str">
        <f>IFERROR(__xludf.DUMMYFUNCTION("""COMPUTED_VALUE"""),"Haeg")</f>
        <v>Haeg</v>
      </c>
      <c r="E3183" t="str">
        <f>IFERROR(__xludf.DUMMYFUNCTION("""COMPUTED_VALUE"""),"Joe")</f>
        <v>Joe</v>
      </c>
      <c r="F3183">
        <f>IFERROR(__xludf.DUMMYFUNCTION("""COMPUTED_VALUE"""),14.4)</f>
        <v>14.4</v>
      </c>
    </row>
    <row r="3184">
      <c r="D3184" t="str">
        <f>IFERROR(__xludf.DUMMYFUNCTION("""COMPUTED_VALUE"""),"Hageman")</f>
        <v>Hageman</v>
      </c>
      <c r="E3184" t="str">
        <f>IFERROR(__xludf.DUMMYFUNCTION("""COMPUTED_VALUE"""),"RaShede")</f>
        <v>RaShede</v>
      </c>
      <c r="F3184">
        <f>IFERROR(__xludf.DUMMYFUNCTION("""COMPUTED_VALUE"""),15.0)</f>
        <v>15</v>
      </c>
    </row>
    <row r="3185">
      <c r="D3185" t="str">
        <f>IFERROR(__xludf.DUMMYFUNCTION("""COMPUTED_VALUE"""),"Hager")</f>
        <v>Hager</v>
      </c>
      <c r="E3185" t="str">
        <f>IFERROR(__xludf.DUMMYFUNCTION("""COMPUTED_VALUE"""),"Bryce")</f>
        <v>Bryce</v>
      </c>
      <c r="F3185">
        <f>IFERROR(__xludf.DUMMYFUNCTION("""COMPUTED_VALUE"""),12.0)</f>
        <v>12</v>
      </c>
    </row>
    <row r="3186">
      <c r="D3186" t="str">
        <f>IFERROR(__xludf.DUMMYFUNCTION("""COMPUTED_VALUE"""),"Hairston")</f>
        <v>Hairston</v>
      </c>
      <c r="E3186" t="str">
        <f>IFERROR(__xludf.DUMMYFUNCTION("""COMPUTED_VALUE"""),"Chris")</f>
        <v>Chris</v>
      </c>
      <c r="F3186">
        <f>IFERROR(__xludf.DUMMYFUNCTION("""COMPUTED_VALUE"""),14.200000000000001)</f>
        <v>14.2</v>
      </c>
    </row>
    <row r="3187">
      <c r="D3187" t="str">
        <f>IFERROR(__xludf.DUMMYFUNCTION("""COMPUTED_VALUE"""),"Hairston")</f>
        <v>Hairston</v>
      </c>
      <c r="E3187" t="str">
        <f>IFERROR(__xludf.DUMMYFUNCTION("""COMPUTED_VALUE"""),"Nate")</f>
        <v>Nate</v>
      </c>
      <c r="F3187">
        <f>IFERROR(__xludf.DUMMYFUNCTION("""COMPUTED_VALUE"""),12.8)</f>
        <v>12.8</v>
      </c>
    </row>
    <row r="3188">
      <c r="D3188" t="str">
        <f>IFERROR(__xludf.DUMMYFUNCTION("""COMPUTED_VALUE"""),"Hal")</f>
        <v>Hal</v>
      </c>
      <c r="E3188" t="str">
        <f>IFERROR(__xludf.DUMMYFUNCTION("""COMPUTED_VALUE"""),"Andre")</f>
        <v>Andre</v>
      </c>
      <c r="F3188">
        <f>IFERROR(__xludf.DUMMYFUNCTION("""COMPUTED_VALUE"""),14.8)</f>
        <v>14.8</v>
      </c>
    </row>
    <row r="3189">
      <c r="D3189" t="str">
        <f>IFERROR(__xludf.DUMMYFUNCTION("""COMPUTED_VALUE"""),"Halapio")</f>
        <v>Halapio</v>
      </c>
      <c r="E3189" t="str">
        <f>IFERROR(__xludf.DUMMYFUNCTION("""COMPUTED_VALUE"""),"Jon")</f>
        <v>Jon</v>
      </c>
      <c r="F3189">
        <f>IFERROR(__xludf.DUMMYFUNCTION("""COMPUTED_VALUE"""),12.4)</f>
        <v>12.4</v>
      </c>
    </row>
    <row r="3190">
      <c r="D3190" t="str">
        <f>IFERROR(__xludf.DUMMYFUNCTION("""COMPUTED_VALUE"""),"Hali")</f>
        <v>Hali</v>
      </c>
      <c r="E3190" t="str">
        <f>IFERROR(__xludf.DUMMYFUNCTION("""COMPUTED_VALUE"""),"Tamba")</f>
        <v>Tamba</v>
      </c>
      <c r="F3190">
        <f>IFERROR(__xludf.DUMMYFUNCTION("""COMPUTED_VALUE"""),16.400000000000002)</f>
        <v>16.4</v>
      </c>
    </row>
    <row r="3191">
      <c r="D3191" t="str">
        <f>IFERROR(__xludf.DUMMYFUNCTION("""COMPUTED_VALUE"""),"Hall")</f>
        <v>Hall</v>
      </c>
      <c r="E3191" t="str">
        <f>IFERROR(__xludf.DUMMYFUNCTION("""COMPUTED_VALUE"""),"Daeshon")</f>
        <v>Daeshon</v>
      </c>
      <c r="F3191">
        <f>IFERROR(__xludf.DUMMYFUNCTION("""COMPUTED_VALUE"""),13.8)</f>
        <v>13.8</v>
      </c>
    </row>
    <row r="3192">
      <c r="D3192" t="str">
        <f>IFERROR(__xludf.DUMMYFUNCTION("""COMPUTED_VALUE"""),"Hall")</f>
        <v>Hall</v>
      </c>
      <c r="E3192" t="str">
        <f>IFERROR(__xludf.DUMMYFUNCTION("""COMPUTED_VALUE"""),"DeAngelo")</f>
        <v>DeAngelo</v>
      </c>
      <c r="F3192">
        <f>IFERROR(__xludf.DUMMYFUNCTION("""COMPUTED_VALUE"""),15.8)</f>
        <v>15.8</v>
      </c>
    </row>
    <row r="3193">
      <c r="D3193" t="str">
        <f>IFERROR(__xludf.DUMMYFUNCTION("""COMPUTED_VALUE"""),"Hall")</f>
        <v>Hall</v>
      </c>
      <c r="E3193" t="str">
        <f>IFERROR(__xludf.DUMMYFUNCTION("""COMPUTED_VALUE"""),"Deiondre")</f>
        <v>Deiondre</v>
      </c>
      <c r="F3193">
        <f>IFERROR(__xludf.DUMMYFUNCTION("""COMPUTED_VALUE"""),13.0)</f>
        <v>13</v>
      </c>
    </row>
    <row r="3194">
      <c r="D3194" t="str">
        <f>IFERROR(__xludf.DUMMYFUNCTION("""COMPUTED_VALUE"""),"Hall")</f>
        <v>Hall</v>
      </c>
      <c r="E3194" t="str">
        <f>IFERROR(__xludf.DUMMYFUNCTION("""COMPUTED_VALUE"""),"Rannell")</f>
        <v>Rannell</v>
      </c>
      <c r="F3194">
        <f>IFERROR(__xludf.DUMMYFUNCTION("""COMPUTED_VALUE"""),12.4)</f>
        <v>12.4</v>
      </c>
    </row>
    <row r="3195">
      <c r="D3195" t="str">
        <f>IFERROR(__xludf.DUMMYFUNCTION("""COMPUTED_VALUE"""),"Hamilton")</f>
        <v>Hamilton</v>
      </c>
      <c r="E3195" t="str">
        <f>IFERROR(__xludf.DUMMYFUNCTION("""COMPUTED_VALUE"""),"Antonio")</f>
        <v>Antonio</v>
      </c>
      <c r="F3195">
        <f>IFERROR(__xludf.DUMMYFUNCTION("""COMPUTED_VALUE"""),12.200000000000001)</f>
        <v>12.2</v>
      </c>
    </row>
    <row r="3196">
      <c r="D3196" t="str">
        <f>IFERROR(__xludf.DUMMYFUNCTION("""COMPUTED_VALUE"""),"Hamilton")</f>
        <v>Hamilton</v>
      </c>
      <c r="E3196" t="str">
        <f>IFERROR(__xludf.DUMMYFUNCTION("""COMPUTED_VALUE"""),"Cobi")</f>
        <v>Cobi</v>
      </c>
      <c r="F3196">
        <f>IFERROR(__xludf.DUMMYFUNCTION("""COMPUTED_VALUE"""),13.600000000000001)</f>
        <v>13.6</v>
      </c>
    </row>
    <row r="3197">
      <c r="D3197" t="str">
        <f>IFERROR(__xludf.DUMMYFUNCTION("""COMPUTED_VALUE"""),"Hamilton")</f>
        <v>Hamilton</v>
      </c>
      <c r="E3197" t="str">
        <f>IFERROR(__xludf.DUMMYFUNCTION("""COMPUTED_VALUE"""),"Justin")</f>
        <v>Justin</v>
      </c>
      <c r="F3197">
        <f>IFERROR(__xludf.DUMMYFUNCTION("""COMPUTED_VALUE"""),12.8)</f>
        <v>12.8</v>
      </c>
    </row>
    <row r="3198">
      <c r="D3198" t="str">
        <f>IFERROR(__xludf.DUMMYFUNCTION("""COMPUTED_VALUE"""),"Hamilton")</f>
        <v>Hamilton</v>
      </c>
      <c r="E3198" t="str">
        <f>IFERROR(__xludf.DUMMYFUNCTION("""COMPUTED_VALUE"""),"Woodrow")</f>
        <v>Woodrow</v>
      </c>
      <c r="F3198">
        <f>IFERROR(__xludf.DUMMYFUNCTION("""COMPUTED_VALUE"""),13.0)</f>
        <v>13</v>
      </c>
    </row>
    <row r="3199">
      <c r="D3199" t="str">
        <f>IFERROR(__xludf.DUMMYFUNCTION("""COMPUTED_VALUE"""),"Hamlett")</f>
        <v>Hamlett</v>
      </c>
      <c r="E3199" t="str">
        <f>IFERROR(__xludf.DUMMYFUNCTION("""COMPUTED_VALUE"""),"Connor")</f>
        <v>Connor</v>
      </c>
      <c r="F3199">
        <f>IFERROR(__xludf.DUMMYFUNCTION("""COMPUTED_VALUE"""),12.8)</f>
        <v>12.8</v>
      </c>
    </row>
    <row r="3200">
      <c r="D3200" t="str">
        <f>IFERROR(__xludf.DUMMYFUNCTION("""COMPUTED_VALUE"""),"Hammond")</f>
        <v>Hammond</v>
      </c>
      <c r="E3200" t="str">
        <f>IFERROR(__xludf.DUMMYFUNCTION("""COMPUTED_VALUE"""),"Frankie")</f>
        <v>Frankie</v>
      </c>
      <c r="F3200">
        <f>IFERROR(__xludf.DUMMYFUNCTION("""COMPUTED_VALUE"""),12.600000000000001)</f>
        <v>12.6</v>
      </c>
    </row>
    <row r="3201">
      <c r="D3201" t="str">
        <f>IFERROR(__xludf.DUMMYFUNCTION("""COMPUTED_VALUE"""),"Hankins")</f>
        <v>Hankins</v>
      </c>
      <c r="E3201" t="str">
        <f>IFERROR(__xludf.DUMMYFUNCTION("""COMPUTED_VALUE"""),"Johnathan")</f>
        <v>Johnathan</v>
      </c>
      <c r="F3201">
        <f>IFERROR(__xludf.DUMMYFUNCTION("""COMPUTED_VALUE"""),15.200000000000001)</f>
        <v>15.2</v>
      </c>
    </row>
    <row r="3202">
      <c r="D3202" t="str">
        <f>IFERROR(__xludf.DUMMYFUNCTION("""COMPUTED_VALUE"""),"Hanna")</f>
        <v>Hanna</v>
      </c>
      <c r="E3202" t="str">
        <f>IFERROR(__xludf.DUMMYFUNCTION("""COMPUTED_VALUE"""),"James")</f>
        <v>James</v>
      </c>
      <c r="F3202">
        <f>IFERROR(__xludf.DUMMYFUNCTION("""COMPUTED_VALUE"""),14.600000000000001)</f>
        <v>14.6</v>
      </c>
    </row>
    <row r="3203">
      <c r="D3203" t="str">
        <f>IFERROR(__xludf.DUMMYFUNCTION("""COMPUTED_VALUE"""),"Hansen")</f>
        <v>Hansen</v>
      </c>
      <c r="E3203" t="str">
        <f>IFERROR(__xludf.DUMMYFUNCTION("""COMPUTED_VALUE"""),"Chad")</f>
        <v>Chad</v>
      </c>
      <c r="F3203">
        <f>IFERROR(__xludf.DUMMYFUNCTION("""COMPUTED_VALUE"""),14.0)</f>
        <v>14</v>
      </c>
    </row>
    <row r="3204">
      <c r="D3204" t="str">
        <f>IFERROR(__xludf.DUMMYFUNCTION("""COMPUTED_VALUE"""),"Hardison")</f>
        <v>Hardison</v>
      </c>
      <c r="E3204" t="str">
        <f>IFERROR(__xludf.DUMMYFUNCTION("""COMPUTED_VALUE"""),"Marcus")</f>
        <v>Marcus</v>
      </c>
      <c r="F3204">
        <f>IFERROR(__xludf.DUMMYFUNCTION("""COMPUTED_VALUE"""),12.0)</f>
        <v>12</v>
      </c>
    </row>
    <row r="3205">
      <c r="D3205" t="str">
        <f>IFERROR(__xludf.DUMMYFUNCTION("""COMPUTED_VALUE"""),"Hardy")</f>
        <v>Hardy</v>
      </c>
      <c r="E3205" t="str">
        <f>IFERROR(__xludf.DUMMYFUNCTION("""COMPUTED_VALUE"""),"Justin")</f>
        <v>Justin</v>
      </c>
      <c r="F3205">
        <f>IFERROR(__xludf.DUMMYFUNCTION("""COMPUTED_VALUE"""),14.600000000000001)</f>
        <v>14.6</v>
      </c>
    </row>
    <row r="3206">
      <c r="D3206" t="str">
        <f>IFERROR(__xludf.DUMMYFUNCTION("""COMPUTED_VALUE"""),"Hargrave")</f>
        <v>Hargrave</v>
      </c>
      <c r="E3206" t="str">
        <f>IFERROR(__xludf.DUMMYFUNCTION("""COMPUTED_VALUE"""),"Javon")</f>
        <v>Javon</v>
      </c>
      <c r="F3206">
        <f>IFERROR(__xludf.DUMMYFUNCTION("""COMPUTED_VALUE"""),14.600000000000001)</f>
        <v>14.6</v>
      </c>
    </row>
    <row r="3207">
      <c r="D3207" t="str">
        <f>IFERROR(__xludf.DUMMYFUNCTION("""COMPUTED_VALUE"""),"Hargreaves III")</f>
        <v>Hargreaves III</v>
      </c>
      <c r="E3207" t="str">
        <f>IFERROR(__xludf.DUMMYFUNCTION("""COMPUTED_VALUE"""),"Vernon")</f>
        <v>Vernon</v>
      </c>
      <c r="F3207">
        <f>IFERROR(__xludf.DUMMYFUNCTION("""COMPUTED_VALUE"""),15.0)</f>
        <v>15</v>
      </c>
    </row>
    <row r="3208">
      <c r="D3208" t="str">
        <f>IFERROR(__xludf.DUMMYFUNCTION("""COMPUTED_VALUE"""),"Harkey")</f>
        <v>Harkey</v>
      </c>
      <c r="E3208" t="str">
        <f>IFERROR(__xludf.DUMMYFUNCTION("""COMPUTED_VALUE"""),"Cory")</f>
        <v>Cory</v>
      </c>
      <c r="F3208">
        <f>IFERROR(__xludf.DUMMYFUNCTION("""COMPUTED_VALUE"""),15.600000000000001)</f>
        <v>15.6</v>
      </c>
    </row>
    <row r="3209">
      <c r="D3209" t="str">
        <f>IFERROR(__xludf.DUMMYFUNCTION("""COMPUTED_VALUE"""),"Harlow")</f>
        <v>Harlow</v>
      </c>
      <c r="E3209" t="str">
        <f>IFERROR(__xludf.DUMMYFUNCTION("""COMPUTED_VALUE"""),"Sean")</f>
        <v>Sean</v>
      </c>
      <c r="F3209">
        <f>IFERROR(__xludf.DUMMYFUNCTION("""COMPUTED_VALUE"""),14.0)</f>
        <v>14</v>
      </c>
    </row>
    <row r="3210">
      <c r="D3210" t="str">
        <f>IFERROR(__xludf.DUMMYFUNCTION("""COMPUTED_VALUE"""),"Harmon")</f>
        <v>Harmon</v>
      </c>
      <c r="E3210" t="str">
        <f>IFERROR(__xludf.DUMMYFUNCTION("""COMPUTED_VALUE"""),"Duron")</f>
        <v>Duron</v>
      </c>
      <c r="F3210">
        <f>IFERROR(__xludf.DUMMYFUNCTION("""COMPUTED_VALUE"""),15.4)</f>
        <v>15.4</v>
      </c>
    </row>
    <row r="3211">
      <c r="D3211" t="str">
        <f>IFERROR(__xludf.DUMMYFUNCTION("""COMPUTED_VALUE"""),"Harold")</f>
        <v>Harold</v>
      </c>
      <c r="E3211" t="str">
        <f>IFERROR(__xludf.DUMMYFUNCTION("""COMPUTED_VALUE"""),"Eli")</f>
        <v>Eli</v>
      </c>
      <c r="F3211">
        <f>IFERROR(__xludf.DUMMYFUNCTION("""COMPUTED_VALUE"""),13.8)</f>
        <v>13.8</v>
      </c>
    </row>
    <row r="3212">
      <c r="D3212" t="str">
        <f>IFERROR(__xludf.DUMMYFUNCTION("""COMPUTED_VALUE"""),"Harris")</f>
        <v>Harris</v>
      </c>
      <c r="E3212" t="str">
        <f>IFERROR(__xludf.DUMMYFUNCTION("""COMPUTED_VALUE"""),"Anthony")</f>
        <v>Anthony</v>
      </c>
      <c r="F3212">
        <f>IFERROR(__xludf.DUMMYFUNCTION("""COMPUTED_VALUE"""),13.4)</f>
        <v>13.4</v>
      </c>
    </row>
    <row r="3213">
      <c r="D3213" t="str">
        <f>IFERROR(__xludf.DUMMYFUNCTION("""COMPUTED_VALUE"""),"Harris")</f>
        <v>Harris</v>
      </c>
      <c r="E3213" t="str">
        <f>IFERROR(__xludf.DUMMYFUNCTION("""COMPUTED_VALUE"""),"Charles")</f>
        <v>Charles</v>
      </c>
      <c r="F3213">
        <f>IFERROR(__xludf.DUMMYFUNCTION("""COMPUTED_VALUE"""),14.600000000000001)</f>
        <v>14.6</v>
      </c>
    </row>
    <row r="3214">
      <c r="D3214" t="str">
        <f>IFERROR(__xludf.DUMMYFUNCTION("""COMPUTED_VALUE"""),"Harris")</f>
        <v>Harris</v>
      </c>
      <c r="E3214" t="str">
        <f>IFERROR(__xludf.DUMMYFUNCTION("""COMPUTED_VALUE"""),"Clark")</f>
        <v>Clark</v>
      </c>
      <c r="F3214">
        <f>IFERROR(__xludf.DUMMYFUNCTION("""COMPUTED_VALUE"""),11.200000000000001)</f>
        <v>11.2</v>
      </c>
    </row>
    <row r="3215">
      <c r="D3215" t="str">
        <f>IFERROR(__xludf.DUMMYFUNCTION("""COMPUTED_VALUE"""),"Harris")</f>
        <v>Harris</v>
      </c>
      <c r="E3215" t="str">
        <f>IFERROR(__xludf.DUMMYFUNCTION("""COMPUTED_VALUE"""),"David")</f>
        <v>David</v>
      </c>
      <c r="F3215">
        <f>IFERROR(__xludf.DUMMYFUNCTION("""COMPUTED_VALUE"""),16.2)</f>
        <v>16.2</v>
      </c>
    </row>
    <row r="3216">
      <c r="D3216" t="str">
        <f>IFERROR(__xludf.DUMMYFUNCTION("""COMPUTED_VALUE"""),"Harris")</f>
        <v>Harris</v>
      </c>
      <c r="E3216" t="str">
        <f>IFERROR(__xludf.DUMMYFUNCTION("""COMPUTED_VALUE"""),"Demetrius")</f>
        <v>Demetrius</v>
      </c>
      <c r="F3216">
        <f>IFERROR(__xludf.DUMMYFUNCTION("""COMPUTED_VALUE"""),14.0)</f>
        <v>14</v>
      </c>
    </row>
    <row r="3217">
      <c r="D3217" t="str">
        <f>IFERROR(__xludf.DUMMYFUNCTION("""COMPUTED_VALUE"""),"Harris")</f>
        <v>Harris</v>
      </c>
      <c r="E3217" t="str">
        <f>IFERROR(__xludf.DUMMYFUNCTION("""COMPUTED_VALUE"""),"DeVante")</f>
        <v>DeVante</v>
      </c>
      <c r="F3217">
        <f>IFERROR(__xludf.DUMMYFUNCTION("""COMPUTED_VALUE"""),12.600000000000001)</f>
        <v>12.6</v>
      </c>
    </row>
    <row r="3218">
      <c r="D3218" t="str">
        <f>IFERROR(__xludf.DUMMYFUNCTION("""COMPUTED_VALUE"""),"Harris")</f>
        <v>Harris</v>
      </c>
      <c r="E3218" t="str">
        <f>IFERROR(__xludf.DUMMYFUNCTION("""COMPUTED_VALUE"""),"Dwayne")</f>
        <v>Dwayne</v>
      </c>
      <c r="F3218">
        <f>IFERROR(__xludf.DUMMYFUNCTION("""COMPUTED_VALUE"""),14.200000000000001)</f>
        <v>14.2</v>
      </c>
    </row>
    <row r="3219">
      <c r="D3219" t="str">
        <f>IFERROR(__xludf.DUMMYFUNCTION("""COMPUTED_VALUE"""),"Harris")</f>
        <v>Harris</v>
      </c>
      <c r="E3219" t="str">
        <f>IFERROR(__xludf.DUMMYFUNCTION("""COMPUTED_VALUE"""),"Erik")</f>
        <v>Erik</v>
      </c>
      <c r="F3219">
        <f>IFERROR(__xludf.DUMMYFUNCTION("""COMPUTED_VALUE"""),12.600000000000001)</f>
        <v>12.6</v>
      </c>
    </row>
    <row r="3220">
      <c r="D3220" t="str">
        <f>IFERROR(__xludf.DUMMYFUNCTION("""COMPUTED_VALUE"""),"Harris")</f>
        <v>Harris</v>
      </c>
      <c r="E3220" t="str">
        <f>IFERROR(__xludf.DUMMYFUNCTION("""COMPUTED_VALUE"""),"Josh")</f>
        <v>Josh</v>
      </c>
      <c r="F3220">
        <f>IFERROR(__xludf.DUMMYFUNCTION("""COMPUTED_VALUE"""),10.8)</f>
        <v>10.8</v>
      </c>
    </row>
    <row r="3221">
      <c r="D3221" t="str">
        <f>IFERROR(__xludf.DUMMYFUNCTION("""COMPUTED_VALUE"""),"Harris")</f>
        <v>Harris</v>
      </c>
      <c r="E3221" t="str">
        <f>IFERROR(__xludf.DUMMYFUNCTION("""COMPUTED_VALUE"""),"Maurice")</f>
        <v>Maurice</v>
      </c>
      <c r="F3221">
        <f>IFERROR(__xludf.DUMMYFUNCTION("""COMPUTED_VALUE"""),12.600000000000001)</f>
        <v>12.6</v>
      </c>
    </row>
    <row r="3222">
      <c r="D3222" t="str">
        <f>IFERROR(__xludf.DUMMYFUNCTION("""COMPUTED_VALUE"""),"Harris")</f>
        <v>Harris</v>
      </c>
      <c r="E3222" t="str">
        <f>IFERROR(__xludf.DUMMYFUNCTION("""COMPUTED_VALUE"""),"Najee")</f>
        <v>Najee</v>
      </c>
      <c r="F3222">
        <f>IFERROR(__xludf.DUMMYFUNCTION("""COMPUTED_VALUE"""),12.0)</f>
        <v>12</v>
      </c>
    </row>
    <row r="3223">
      <c r="D3223" t="str">
        <f>IFERROR(__xludf.DUMMYFUNCTION("""COMPUTED_VALUE"""),"Harris")</f>
        <v>Harris</v>
      </c>
      <c r="E3223" t="str">
        <f>IFERROR(__xludf.DUMMYFUNCTION("""COMPUTED_VALUE"""),"Shelby")</f>
        <v>Shelby</v>
      </c>
      <c r="F3223">
        <f>IFERROR(__xludf.DUMMYFUNCTION("""COMPUTED_VALUE"""),13.200000000000001)</f>
        <v>13.2</v>
      </c>
    </row>
    <row r="3224">
      <c r="D3224" t="str">
        <f>IFERROR(__xludf.DUMMYFUNCTION("""COMPUTED_VALUE"""),"Harris Jr")</f>
        <v>Harris Jr</v>
      </c>
      <c r="E3224" t="str">
        <f>IFERROR(__xludf.DUMMYFUNCTION("""COMPUTED_VALUE"""),"Chris")</f>
        <v>Chris</v>
      </c>
      <c r="F3224">
        <f>IFERROR(__xludf.DUMMYFUNCTION("""COMPUTED_VALUE"""),18.8)</f>
        <v>18.8</v>
      </c>
    </row>
    <row r="3225">
      <c r="D3225" t="str">
        <f>IFERROR(__xludf.DUMMYFUNCTION("""COMPUTED_VALUE"""),"Harrison")</f>
        <v>Harrison</v>
      </c>
      <c r="E3225" t="str">
        <f>IFERROR(__xludf.DUMMYFUNCTION("""COMPUTED_VALUE"""),"Damon")</f>
        <v>Damon</v>
      </c>
      <c r="F3225">
        <f>IFERROR(__xludf.DUMMYFUNCTION("""COMPUTED_VALUE"""),17.8)</f>
        <v>17.8</v>
      </c>
    </row>
    <row r="3226">
      <c r="D3226" t="str">
        <f>IFERROR(__xludf.DUMMYFUNCTION("""COMPUTED_VALUE"""),"Harrison")</f>
        <v>Harrison</v>
      </c>
      <c r="E3226" t="str">
        <f>IFERROR(__xludf.DUMMYFUNCTION("""COMPUTED_VALUE"""),"James")</f>
        <v>James</v>
      </c>
      <c r="F3226">
        <f>IFERROR(__xludf.DUMMYFUNCTION("""COMPUTED_VALUE"""),17.2)</f>
        <v>17.2</v>
      </c>
    </row>
    <row r="3227">
      <c r="D3227" t="str">
        <f>IFERROR(__xludf.DUMMYFUNCTION("""COMPUTED_VALUE"""),"Harrison")</f>
        <v>Harrison</v>
      </c>
      <c r="E3227" t="str">
        <f>IFERROR(__xludf.DUMMYFUNCTION("""COMPUTED_VALUE"""),"Jarvis")</f>
        <v>Jarvis</v>
      </c>
      <c r="F3227">
        <f>IFERROR(__xludf.DUMMYFUNCTION("""COMPUTED_VALUE"""),13.200000000000001)</f>
        <v>13.2</v>
      </c>
    </row>
    <row r="3228">
      <c r="D3228" t="str">
        <f>IFERROR(__xludf.DUMMYFUNCTION("""COMPUTED_VALUE"""),"Harrison")</f>
        <v>Harrison</v>
      </c>
      <c r="E3228" t="str">
        <f>IFERROR(__xludf.DUMMYFUNCTION("""COMPUTED_VALUE"""),"Jonotthan")</f>
        <v>Jonotthan</v>
      </c>
      <c r="F3228">
        <f>IFERROR(__xludf.DUMMYFUNCTION("""COMPUTED_VALUE"""),13.8)</f>
        <v>13.8</v>
      </c>
    </row>
    <row r="3229">
      <c r="D3229" t="str">
        <f>IFERROR(__xludf.DUMMYFUNCTION("""COMPUTED_VALUE"""),"Hart")</f>
        <v>Hart</v>
      </c>
      <c r="E3229" t="str">
        <f>IFERROR(__xludf.DUMMYFUNCTION("""COMPUTED_VALUE"""),"Bobby")</f>
        <v>Bobby</v>
      </c>
      <c r="F3229">
        <f>IFERROR(__xludf.DUMMYFUNCTION("""COMPUTED_VALUE"""),14.0)</f>
        <v>14</v>
      </c>
    </row>
    <row r="3230">
      <c r="D3230" t="str">
        <f>IFERROR(__xludf.DUMMYFUNCTION("""COMPUTED_VALUE"""),"Hart")</f>
        <v>Hart</v>
      </c>
      <c r="E3230" t="str">
        <f>IFERROR(__xludf.DUMMYFUNCTION("""COMPUTED_VALUE"""),"Derek")</f>
        <v>Derek</v>
      </c>
      <c r="F3230">
        <f>IFERROR(__xludf.DUMMYFUNCTION("""COMPUTED_VALUE"""),8.8)</f>
        <v>8.8</v>
      </c>
    </row>
    <row r="3231">
      <c r="D3231" t="str">
        <f>IFERROR(__xludf.DUMMYFUNCTION("""COMPUTED_VALUE"""),"Hart")</f>
        <v>Hart</v>
      </c>
      <c r="E3231" t="str">
        <f>IFERROR(__xludf.DUMMYFUNCTION("""COMPUTED_VALUE"""),"Taylor")</f>
        <v>Taylor</v>
      </c>
      <c r="F3231">
        <f>IFERROR(__xludf.DUMMYFUNCTION("""COMPUTED_VALUE"""),13.8)</f>
        <v>13.8</v>
      </c>
    </row>
    <row r="3232">
      <c r="D3232" t="str">
        <f>IFERROR(__xludf.DUMMYFUNCTION("""COMPUTED_VALUE"""),"Harvey-Clemons")</f>
        <v>Harvey-Clemons</v>
      </c>
      <c r="E3232" t="str">
        <f>IFERROR(__xludf.DUMMYFUNCTION("""COMPUTED_VALUE"""),"Josh")</f>
        <v>Josh</v>
      </c>
      <c r="F3232">
        <f>IFERROR(__xludf.DUMMYFUNCTION("""COMPUTED_VALUE"""),12.8)</f>
        <v>12.8</v>
      </c>
    </row>
    <row r="3233">
      <c r="D3233" t="str">
        <f>IFERROR(__xludf.DUMMYFUNCTION("""COMPUTED_VALUE"""),"Hatcher")</f>
        <v>Hatcher</v>
      </c>
      <c r="E3233" t="str">
        <f>IFERROR(__xludf.DUMMYFUNCTION("""COMPUTED_VALUE"""),"Keon")</f>
        <v>Keon</v>
      </c>
      <c r="F3233">
        <f>IFERROR(__xludf.DUMMYFUNCTION("""COMPUTED_VALUE"""),12.4)</f>
        <v>12.4</v>
      </c>
    </row>
    <row r="3234">
      <c r="D3234" t="str">
        <f>IFERROR(__xludf.DUMMYFUNCTION("""COMPUTED_VALUE"""),"Hauschka")</f>
        <v>Hauschka</v>
      </c>
      <c r="E3234" t="str">
        <f>IFERROR(__xludf.DUMMYFUNCTION("""COMPUTED_VALUE"""),"Steven")</f>
        <v>Steven</v>
      </c>
      <c r="F3234">
        <f>IFERROR(__xludf.DUMMYFUNCTION("""COMPUTED_VALUE"""),15.200000000000001)</f>
        <v>15.2</v>
      </c>
    </row>
    <row r="3235">
      <c r="D3235" t="str">
        <f>IFERROR(__xludf.DUMMYFUNCTION("""COMPUTED_VALUE"""),"Havenstein")</f>
        <v>Havenstein</v>
      </c>
      <c r="E3235" t="str">
        <f>IFERROR(__xludf.DUMMYFUNCTION("""COMPUTED_VALUE"""),"Rob")</f>
        <v>Rob</v>
      </c>
      <c r="F3235">
        <f>IFERROR(__xludf.DUMMYFUNCTION("""COMPUTED_VALUE"""),15.4)</f>
        <v>15.4</v>
      </c>
    </row>
    <row r="3236">
      <c r="D3236" t="str">
        <f>IFERROR(__xludf.DUMMYFUNCTION("""COMPUTED_VALUE"""),"Hawkins")</f>
        <v>Hawkins</v>
      </c>
      <c r="E3236" t="str">
        <f>IFERROR(__xludf.DUMMYFUNCTION("""COMPUTED_VALUE"""),"Andrew")</f>
        <v>Andrew</v>
      </c>
      <c r="F3236">
        <f>IFERROR(__xludf.DUMMYFUNCTION("""COMPUTED_VALUE"""),14.8)</f>
        <v>14.8</v>
      </c>
    </row>
    <row r="3237">
      <c r="D3237" t="str">
        <f>IFERROR(__xludf.DUMMYFUNCTION("""COMPUTED_VALUE"""),"Hawkins")</f>
        <v>Hawkins</v>
      </c>
      <c r="E3237" t="str">
        <f>IFERROR(__xludf.DUMMYFUNCTION("""COMPUTED_VALUE"""),"Donald")</f>
        <v>Donald</v>
      </c>
      <c r="F3237">
        <f>IFERROR(__xludf.DUMMYFUNCTION("""COMPUTED_VALUE"""),12.0)</f>
        <v>12</v>
      </c>
    </row>
    <row r="3238">
      <c r="D3238" t="str">
        <f>IFERROR(__xludf.DUMMYFUNCTION("""COMPUTED_VALUE"""),"Hawkins")</f>
        <v>Hawkins</v>
      </c>
      <c r="E3238" t="str">
        <f>IFERROR(__xludf.DUMMYFUNCTION("""COMPUTED_VALUE"""),"Jerald")</f>
        <v>Jerald</v>
      </c>
      <c r="F3238">
        <f>IFERROR(__xludf.DUMMYFUNCTION("""COMPUTED_VALUE"""),13.200000000000001)</f>
        <v>13.2</v>
      </c>
    </row>
    <row r="3239">
      <c r="D3239" t="str">
        <f>IFERROR(__xludf.DUMMYFUNCTION("""COMPUTED_VALUE"""),"Hawkins")</f>
        <v>Hawkins</v>
      </c>
      <c r="E3239" t="str">
        <f>IFERROR(__xludf.DUMMYFUNCTION("""COMPUTED_VALUE"""),"Josh")</f>
        <v>Josh</v>
      </c>
      <c r="F3239">
        <f>IFERROR(__xludf.DUMMYFUNCTION("""COMPUTED_VALUE"""),12.200000000000001)</f>
        <v>12.2</v>
      </c>
    </row>
    <row r="3240">
      <c r="D3240" t="str">
        <f>IFERROR(__xludf.DUMMYFUNCTION("""COMPUTED_VALUE"""),"Hawley")</f>
        <v>Hawley</v>
      </c>
      <c r="E3240" t="str">
        <f>IFERROR(__xludf.DUMMYFUNCTION("""COMPUTED_VALUE"""),"Joe")</f>
        <v>Joe</v>
      </c>
      <c r="F3240">
        <f>IFERROR(__xludf.DUMMYFUNCTION("""COMPUTED_VALUE"""),14.8)</f>
        <v>14.8</v>
      </c>
    </row>
    <row r="3241">
      <c r="D3241" t="str">
        <f>IFERROR(__xludf.DUMMYFUNCTION("""COMPUTED_VALUE"""),"Hayden")</f>
        <v>Hayden</v>
      </c>
      <c r="E3241" t="str">
        <f>IFERROR(__xludf.DUMMYFUNCTION("""COMPUTED_VALUE"""),"DJ")</f>
        <v>DJ</v>
      </c>
      <c r="F3241">
        <f>IFERROR(__xludf.DUMMYFUNCTION("""COMPUTED_VALUE"""),14.8)</f>
        <v>14.8</v>
      </c>
    </row>
    <row r="3242">
      <c r="D3242" t="str">
        <f>IFERROR(__xludf.DUMMYFUNCTION("""COMPUTED_VALUE"""),"Hayes")</f>
        <v>Hayes</v>
      </c>
      <c r="E3242" t="str">
        <f>IFERROR(__xludf.DUMMYFUNCTION("""COMPUTED_VALUE"""),"William")</f>
        <v>William</v>
      </c>
      <c r="F3242">
        <f>IFERROR(__xludf.DUMMYFUNCTION("""COMPUTED_VALUE"""),16.6)</f>
        <v>16.6</v>
      </c>
    </row>
    <row r="3243">
      <c r="D3243" t="str">
        <f>IFERROR(__xludf.DUMMYFUNCTION("""COMPUTED_VALUE"""),"Hayward")</f>
        <v>Hayward</v>
      </c>
      <c r="E3243" t="str">
        <f>IFERROR(__xludf.DUMMYFUNCTION("""COMPUTED_VALUE"""),"Casey")</f>
        <v>Casey</v>
      </c>
      <c r="F3243">
        <f>IFERROR(__xludf.DUMMYFUNCTION("""COMPUTED_VALUE"""),17.2)</f>
        <v>17.2</v>
      </c>
    </row>
    <row r="3244">
      <c r="D3244" t="str">
        <f>IFERROR(__xludf.DUMMYFUNCTION("""COMPUTED_VALUE"""),"Hazel")</f>
        <v>Hazel</v>
      </c>
      <c r="E3244" t="str">
        <f>IFERROR(__xludf.DUMMYFUNCTION("""COMPUTED_VALUE"""),"Matt")</f>
        <v>Matt</v>
      </c>
      <c r="F3244">
        <f>IFERROR(__xludf.DUMMYFUNCTION("""COMPUTED_VALUE"""),12.8)</f>
        <v>12.8</v>
      </c>
    </row>
    <row r="3245">
      <c r="D3245" t="str">
        <f>IFERROR(__xludf.DUMMYFUNCTION("""COMPUTED_VALUE"""),"Heath")</f>
        <v>Heath</v>
      </c>
      <c r="E3245" t="str">
        <f>IFERROR(__xludf.DUMMYFUNCTION("""COMPUTED_VALUE"""),"Jeff")</f>
        <v>Jeff</v>
      </c>
      <c r="F3245">
        <f>IFERROR(__xludf.DUMMYFUNCTION("""COMPUTED_VALUE"""),15.0)</f>
        <v>15</v>
      </c>
    </row>
    <row r="3246">
      <c r="D3246" t="str">
        <f>IFERROR(__xludf.DUMMYFUNCTION("""COMPUTED_VALUE"""),"Heath")</f>
        <v>Heath</v>
      </c>
      <c r="E3246" t="str">
        <f>IFERROR(__xludf.DUMMYFUNCTION("""COMPUTED_VALUE"""),"Joel")</f>
        <v>Joel</v>
      </c>
      <c r="F3246">
        <f>IFERROR(__xludf.DUMMYFUNCTION("""COMPUTED_VALUE"""),13.0)</f>
        <v>13</v>
      </c>
    </row>
    <row r="3247">
      <c r="D3247" t="str">
        <f>IFERROR(__xludf.DUMMYFUNCTION("""COMPUTED_VALUE"""),"Heeney")</f>
        <v>Heeney</v>
      </c>
      <c r="E3247" t="str">
        <f>IFERROR(__xludf.DUMMYFUNCTION("""COMPUTED_VALUE"""),"Ben")</f>
        <v>Ben</v>
      </c>
      <c r="F3247">
        <f>IFERROR(__xludf.DUMMYFUNCTION("""COMPUTED_VALUE"""),13.200000000000001)</f>
        <v>13.2</v>
      </c>
    </row>
    <row r="3248">
      <c r="D3248" t="str">
        <f>IFERROR(__xludf.DUMMYFUNCTION("""COMPUTED_VALUE"""),"Heinicke")</f>
        <v>Heinicke</v>
      </c>
      <c r="E3248" t="str">
        <f>IFERROR(__xludf.DUMMYFUNCTION("""COMPUTED_VALUE"""),"Taylor")</f>
        <v>Taylor</v>
      </c>
      <c r="F3248">
        <f>IFERROR(__xludf.DUMMYFUNCTION("""COMPUTED_VALUE"""),11.600000000000001)</f>
        <v>11.6</v>
      </c>
    </row>
    <row r="3249">
      <c r="D3249" t="str">
        <f>IFERROR(__xludf.DUMMYFUNCTION("""COMPUTED_VALUE"""),"Hekker")</f>
        <v>Hekker</v>
      </c>
      <c r="E3249" t="str">
        <f>IFERROR(__xludf.DUMMYFUNCTION("""COMPUTED_VALUE"""),"Johnny")</f>
        <v>Johnny</v>
      </c>
      <c r="F3249">
        <f>IFERROR(__xludf.DUMMYFUNCTION("""COMPUTED_VALUE"""),17.2)</f>
        <v>17.2</v>
      </c>
    </row>
    <row r="3250">
      <c r="D3250" t="str">
        <f>IFERROR(__xludf.DUMMYFUNCTION("""COMPUTED_VALUE"""),"Helfet")</f>
        <v>Helfet</v>
      </c>
      <c r="E3250" t="str">
        <f>IFERROR(__xludf.DUMMYFUNCTION("""COMPUTED_VALUE"""),"Cooper")</f>
        <v>Cooper</v>
      </c>
      <c r="F3250">
        <f>IFERROR(__xludf.DUMMYFUNCTION("""COMPUTED_VALUE"""),13.8)</f>
        <v>13.8</v>
      </c>
    </row>
    <row r="3251">
      <c r="D3251" t="str">
        <f>IFERROR(__xludf.DUMMYFUNCTION("""COMPUTED_VALUE"""),"Hemingway")</f>
        <v>Hemingway</v>
      </c>
      <c r="E3251" t="str">
        <f>IFERROR(__xludf.DUMMYFUNCTION("""COMPUTED_VALUE"""),"Temarrick")</f>
        <v>Temarrick</v>
      </c>
      <c r="F3251">
        <f>IFERROR(__xludf.DUMMYFUNCTION("""COMPUTED_VALUE"""),12.4)</f>
        <v>12.4</v>
      </c>
    </row>
    <row r="3252">
      <c r="D3252" t="str">
        <f>IFERROR(__xludf.DUMMYFUNCTION("""COMPUTED_VALUE"""),"Henderson")</f>
        <v>Henderson</v>
      </c>
      <c r="E3252" t="str">
        <f>IFERROR(__xludf.DUMMYFUNCTION("""COMPUTED_VALUE"""),"Carlos")</f>
        <v>Carlos</v>
      </c>
      <c r="F3252">
        <f>IFERROR(__xludf.DUMMYFUNCTION("""COMPUTED_VALUE"""),15.200000000000001)</f>
        <v>15.2</v>
      </c>
    </row>
    <row r="3253">
      <c r="D3253" t="str">
        <f>IFERROR(__xludf.DUMMYFUNCTION("""COMPUTED_VALUE"""),"Henderson")</f>
        <v>Henderson</v>
      </c>
      <c r="E3253" t="str">
        <f>IFERROR(__xludf.DUMMYFUNCTION("""COMPUTED_VALUE"""),"DeAngelo")</f>
        <v>DeAngelo</v>
      </c>
      <c r="F3253">
        <f>IFERROR(__xludf.DUMMYFUNCTION("""COMPUTED_VALUE"""),13.600000000000001)</f>
        <v>13.6</v>
      </c>
    </row>
    <row r="3254">
      <c r="D3254" t="str">
        <f>IFERROR(__xludf.DUMMYFUNCTION("""COMPUTED_VALUE"""),"Henderson")</f>
        <v>Henderson</v>
      </c>
      <c r="E3254" t="str">
        <f>IFERROR(__xludf.DUMMYFUNCTION("""COMPUTED_VALUE"""),"Seantrel")</f>
        <v>Seantrel</v>
      </c>
      <c r="F3254">
        <f>IFERROR(__xludf.DUMMYFUNCTION("""COMPUTED_VALUE"""),14.200000000000001)</f>
        <v>14.2</v>
      </c>
    </row>
    <row r="3255">
      <c r="D3255" t="str">
        <f>IFERROR(__xludf.DUMMYFUNCTION("""COMPUTED_VALUE"""),"Hendrickson")</f>
        <v>Hendrickson</v>
      </c>
      <c r="E3255" t="str">
        <f>IFERROR(__xludf.DUMMYFUNCTION("""COMPUTED_VALUE"""),"Trey")</f>
        <v>Trey</v>
      </c>
      <c r="F3255">
        <f>IFERROR(__xludf.DUMMYFUNCTION("""COMPUTED_VALUE"""),13.8)</f>
        <v>13.8</v>
      </c>
    </row>
    <row r="3256">
      <c r="D3256" t="str">
        <f>IFERROR(__xludf.DUMMYFUNCTION("""COMPUTED_VALUE"""),"Hendy")</f>
        <v>Hendy</v>
      </c>
      <c r="E3256" t="str">
        <f>IFERROR(__xludf.DUMMYFUNCTION("""COMPUTED_VALUE"""),"AJ")</f>
        <v>AJ</v>
      </c>
      <c r="F3256">
        <f>IFERROR(__xludf.DUMMYFUNCTION("""COMPUTED_VALUE"""),12.0)</f>
        <v>12</v>
      </c>
    </row>
    <row r="3257">
      <c r="D3257" t="str">
        <f>IFERROR(__xludf.DUMMYFUNCTION("""COMPUTED_VALUE"""),"Henne")</f>
        <v>Henne</v>
      </c>
      <c r="E3257" t="str">
        <f>IFERROR(__xludf.DUMMYFUNCTION("""COMPUTED_VALUE"""),"Chad")</f>
        <v>Chad</v>
      </c>
      <c r="F3257">
        <f>IFERROR(__xludf.DUMMYFUNCTION("""COMPUTED_VALUE"""),13.4)</f>
        <v>13.4</v>
      </c>
    </row>
    <row r="3258">
      <c r="D3258" t="str">
        <f>IFERROR(__xludf.DUMMYFUNCTION("""COMPUTED_VALUE"""),"Hennessy")</f>
        <v>Hennessy</v>
      </c>
      <c r="E3258" t="str">
        <f>IFERROR(__xludf.DUMMYFUNCTION("""COMPUTED_VALUE"""),"Thomas")</f>
        <v>Thomas</v>
      </c>
      <c r="F3258">
        <f>IFERROR(__xludf.DUMMYFUNCTION("""COMPUTED_VALUE"""),8.6)</f>
        <v>8.6</v>
      </c>
    </row>
    <row r="3259">
      <c r="D3259" t="str">
        <f>IFERROR(__xludf.DUMMYFUNCTION("""COMPUTED_VALUE"""),"Henry")</f>
        <v>Henry</v>
      </c>
      <c r="E3259" t="str">
        <f>IFERROR(__xludf.DUMMYFUNCTION("""COMPUTED_VALUE"""),"Derrick")</f>
        <v>Derrick</v>
      </c>
      <c r="F3259">
        <f>IFERROR(__xludf.DUMMYFUNCTION("""COMPUTED_VALUE"""),15.8)</f>
        <v>15.8</v>
      </c>
    </row>
    <row r="3260">
      <c r="D3260" t="str">
        <f>IFERROR(__xludf.DUMMYFUNCTION("""COMPUTED_VALUE"""),"Henry")</f>
        <v>Henry</v>
      </c>
      <c r="E3260" t="str">
        <f>IFERROR(__xludf.DUMMYFUNCTION("""COMPUTED_VALUE"""),"Hunter")</f>
        <v>Hunter</v>
      </c>
      <c r="F3260">
        <f>IFERROR(__xludf.DUMMYFUNCTION("""COMPUTED_VALUE"""),16.400000000000002)</f>
        <v>16.4</v>
      </c>
    </row>
    <row r="3261">
      <c r="D3261" t="str">
        <f>IFERROR(__xludf.DUMMYFUNCTION("""COMPUTED_VALUE"""),"Henry")</f>
        <v>Henry</v>
      </c>
      <c r="E3261" t="str">
        <f>IFERROR(__xludf.DUMMYFUNCTION("""COMPUTED_VALUE"""),"Willie")</f>
        <v>Willie</v>
      </c>
      <c r="F3261">
        <f>IFERROR(__xludf.DUMMYFUNCTION("""COMPUTED_VALUE"""),13.200000000000001)</f>
        <v>13.2</v>
      </c>
    </row>
    <row r="3262">
      <c r="D3262" t="str">
        <f>IFERROR(__xludf.DUMMYFUNCTION("""COMPUTED_VALUE"""),"Herzlich")</f>
        <v>Herzlich</v>
      </c>
      <c r="E3262" t="str">
        <f>IFERROR(__xludf.DUMMYFUNCTION("""COMPUTED_VALUE"""),"Mark")</f>
        <v>Mark</v>
      </c>
      <c r="F3262">
        <f>IFERROR(__xludf.DUMMYFUNCTION("""COMPUTED_VALUE"""),13.600000000000001)</f>
        <v>13.6</v>
      </c>
    </row>
    <row r="3263">
      <c r="D3263" t="str">
        <f>IFERROR(__xludf.DUMMYFUNCTION("""COMPUTED_VALUE"""),"Hester")</f>
        <v>Hester</v>
      </c>
      <c r="E3263" t="str">
        <f>IFERROR(__xludf.DUMMYFUNCTION("""COMPUTED_VALUE"""),"Treyvon")</f>
        <v>Treyvon</v>
      </c>
      <c r="F3263">
        <f>IFERROR(__xludf.DUMMYFUNCTION("""COMPUTED_VALUE"""),13.0)</f>
        <v>13</v>
      </c>
    </row>
    <row r="3264">
      <c r="D3264" t="str">
        <f>IFERROR(__xludf.DUMMYFUNCTION("""COMPUTED_VALUE"""),"Heuerman")</f>
        <v>Heuerman</v>
      </c>
      <c r="E3264" t="str">
        <f>IFERROR(__xludf.DUMMYFUNCTION("""COMPUTED_VALUE"""),"Jeff")</f>
        <v>Jeff</v>
      </c>
      <c r="F3264">
        <f>IFERROR(__xludf.DUMMYFUNCTION("""COMPUTED_VALUE"""),14.8)</f>
        <v>14.8</v>
      </c>
    </row>
    <row r="3265">
      <c r="D3265" t="str">
        <f>IFERROR(__xludf.DUMMYFUNCTION("""COMPUTED_VALUE"""),"Hewitt")</f>
        <v>Hewitt</v>
      </c>
      <c r="E3265" t="str">
        <f>IFERROR(__xludf.DUMMYFUNCTION("""COMPUTED_VALUE"""),"Neville")</f>
        <v>Neville</v>
      </c>
      <c r="F3265">
        <f>IFERROR(__xludf.DUMMYFUNCTION("""COMPUTED_VALUE"""),14.0)</f>
        <v>14</v>
      </c>
    </row>
    <row r="3266">
      <c r="D3266" t="str">
        <f>IFERROR(__xludf.DUMMYFUNCTION("""COMPUTED_VALUE"""),"Hewitt")</f>
        <v>Hewitt</v>
      </c>
      <c r="E3266" t="str">
        <f>IFERROR(__xludf.DUMMYFUNCTION("""COMPUTED_VALUE"""),"Ryan")</f>
        <v>Ryan</v>
      </c>
      <c r="F3266">
        <f>IFERROR(__xludf.DUMMYFUNCTION("""COMPUTED_VALUE"""),15.600000000000001)</f>
        <v>15.6</v>
      </c>
    </row>
    <row r="3267">
      <c r="D3267" t="str">
        <f>IFERROR(__xludf.DUMMYFUNCTION("""COMPUTED_VALUE"""),"Heyward")</f>
        <v>Heyward</v>
      </c>
      <c r="E3267" t="str">
        <f>IFERROR(__xludf.DUMMYFUNCTION("""COMPUTED_VALUE"""),"Cameron")</f>
        <v>Cameron</v>
      </c>
      <c r="F3267">
        <f>IFERROR(__xludf.DUMMYFUNCTION("""COMPUTED_VALUE"""),16.2)</f>
        <v>16.2</v>
      </c>
    </row>
    <row r="3268">
      <c r="D3268" t="str">
        <f>IFERROR(__xludf.DUMMYFUNCTION("""COMPUTED_VALUE"""),"Heyward-Bey")</f>
        <v>Heyward-Bey</v>
      </c>
      <c r="E3268" t="str">
        <f>IFERROR(__xludf.DUMMYFUNCTION("""COMPUTED_VALUE"""),"Darrius")</f>
        <v>Darrius</v>
      </c>
      <c r="F3268">
        <f>IFERROR(__xludf.DUMMYFUNCTION("""COMPUTED_VALUE"""),14.4)</f>
        <v>14.4</v>
      </c>
    </row>
    <row r="3269">
      <c r="D3269" t="str">
        <f>IFERROR(__xludf.DUMMYFUNCTION("""COMPUTED_VALUE"""),"Hicks")</f>
        <v>Hicks</v>
      </c>
      <c r="E3269" t="str">
        <f>IFERROR(__xludf.DUMMYFUNCTION("""COMPUTED_VALUE"""),"Akiem")</f>
        <v>Akiem</v>
      </c>
      <c r="F3269">
        <f>IFERROR(__xludf.DUMMYFUNCTION("""COMPUTED_VALUE"""),16.6)</f>
        <v>16.6</v>
      </c>
    </row>
    <row r="3270">
      <c r="D3270" t="str">
        <f>IFERROR(__xludf.DUMMYFUNCTION("""COMPUTED_VALUE"""),"Hicks")</f>
        <v>Hicks</v>
      </c>
      <c r="E3270" t="str">
        <f>IFERROR(__xludf.DUMMYFUNCTION("""COMPUTED_VALUE"""),"Jordan")</f>
        <v>Jordan</v>
      </c>
      <c r="F3270">
        <f>IFERROR(__xludf.DUMMYFUNCTION("""COMPUTED_VALUE"""),17.0)</f>
        <v>17</v>
      </c>
    </row>
    <row r="3271">
      <c r="D3271" t="str">
        <f>IFERROR(__xludf.DUMMYFUNCTION("""COMPUTED_VALUE"""),"Higbee")</f>
        <v>Higbee</v>
      </c>
      <c r="E3271" t="str">
        <f>IFERROR(__xludf.DUMMYFUNCTION("""COMPUTED_VALUE"""),"Tyler")</f>
        <v>Tyler</v>
      </c>
      <c r="F3271">
        <f>IFERROR(__xludf.DUMMYFUNCTION("""COMPUTED_VALUE"""),14.0)</f>
        <v>14</v>
      </c>
    </row>
    <row r="3272">
      <c r="D3272" t="str">
        <f>IFERROR(__xludf.DUMMYFUNCTION("""COMPUTED_VALUE"""),"Higgins")</f>
        <v>Higgins</v>
      </c>
      <c r="E3272" t="str">
        <f>IFERROR(__xludf.DUMMYFUNCTION("""COMPUTED_VALUE"""),"Rashard")</f>
        <v>Rashard</v>
      </c>
      <c r="F3272">
        <f>IFERROR(__xludf.DUMMYFUNCTION("""COMPUTED_VALUE"""),13.0)</f>
        <v>13</v>
      </c>
    </row>
    <row r="3273">
      <c r="D3273" t="str">
        <f>IFERROR(__xludf.DUMMYFUNCTION("""COMPUTED_VALUE"""),"Hightower")</f>
        <v>Hightower</v>
      </c>
      <c r="E3273" t="str">
        <f>IFERROR(__xludf.DUMMYFUNCTION("""COMPUTED_VALUE"""),"Donta")</f>
        <v>Donta</v>
      </c>
      <c r="F3273">
        <f>IFERROR(__xludf.DUMMYFUNCTION("""COMPUTED_VALUE"""),17.8)</f>
        <v>17.8</v>
      </c>
    </row>
    <row r="3274">
      <c r="D3274" t="str">
        <f>IFERROR(__xludf.DUMMYFUNCTION("""COMPUTED_VALUE"""),"Hightower")</f>
        <v>Hightower</v>
      </c>
      <c r="E3274" t="str">
        <f>IFERROR(__xludf.DUMMYFUNCTION("""COMPUTED_VALUE"""),"Tim")</f>
        <v>Tim</v>
      </c>
      <c r="F3274">
        <f>IFERROR(__xludf.DUMMYFUNCTION("""COMPUTED_VALUE"""),16.0)</f>
        <v>16</v>
      </c>
    </row>
    <row r="3275">
      <c r="D3275" t="str">
        <f>IFERROR(__xludf.DUMMYFUNCTION("""COMPUTED_VALUE"""),"Hikutini")</f>
        <v>Hikutini</v>
      </c>
      <c r="E3275" t="str">
        <f>IFERROR(__xludf.DUMMYFUNCTION("""COMPUTED_VALUE"""),"Cole")</f>
        <v>Cole</v>
      </c>
      <c r="F3275">
        <f>IFERROR(__xludf.DUMMYFUNCTION("""COMPUTED_VALUE"""),13.4)</f>
        <v>13.4</v>
      </c>
    </row>
    <row r="3276">
      <c r="D3276" t="str">
        <f>IFERROR(__xludf.DUMMYFUNCTION("""COMPUTED_VALUE"""),"Hill")</f>
        <v>Hill</v>
      </c>
      <c r="E3276" t="str">
        <f>IFERROR(__xludf.DUMMYFUNCTION("""COMPUTED_VALUE"""),"Brian")</f>
        <v>Brian</v>
      </c>
      <c r="F3276">
        <f>IFERROR(__xludf.DUMMYFUNCTION("""COMPUTED_VALUE"""),14.4)</f>
        <v>14.4</v>
      </c>
    </row>
    <row r="3277">
      <c r="D3277" t="str">
        <f>IFERROR(__xludf.DUMMYFUNCTION("""COMPUTED_VALUE"""),"Hill")</f>
        <v>Hill</v>
      </c>
      <c r="E3277" t="str">
        <f>IFERROR(__xludf.DUMMYFUNCTION("""COMPUTED_VALUE"""),"Delano")</f>
        <v>Delano</v>
      </c>
      <c r="F3277">
        <f>IFERROR(__xludf.DUMMYFUNCTION("""COMPUTED_VALUE"""),13.600000000000001)</f>
        <v>13.6</v>
      </c>
    </row>
    <row r="3278">
      <c r="D3278" t="str">
        <f>IFERROR(__xludf.DUMMYFUNCTION("""COMPUTED_VALUE"""),"Hill")</f>
        <v>Hill</v>
      </c>
      <c r="E3278" t="str">
        <f>IFERROR(__xludf.DUMMYFUNCTION("""COMPUTED_VALUE"""),"Jeremy")</f>
        <v>Jeremy</v>
      </c>
      <c r="F3278">
        <f>IFERROR(__xludf.DUMMYFUNCTION("""COMPUTED_VALUE"""),16.400000000000002)</f>
        <v>16.4</v>
      </c>
    </row>
    <row r="3279">
      <c r="D3279" t="str">
        <f>IFERROR(__xludf.DUMMYFUNCTION("""COMPUTED_VALUE"""),"Hill")</f>
        <v>Hill</v>
      </c>
      <c r="E3279" t="str">
        <f>IFERROR(__xludf.DUMMYFUNCTION("""COMPUTED_VALUE"""),"Jordan")</f>
        <v>Jordan</v>
      </c>
      <c r="F3279">
        <f>IFERROR(__xludf.DUMMYFUNCTION("""COMPUTED_VALUE"""),14.4)</f>
        <v>14.4</v>
      </c>
    </row>
    <row r="3280">
      <c r="D3280" t="str">
        <f>IFERROR(__xludf.DUMMYFUNCTION("""COMPUTED_VALUE"""),"Hill")</f>
        <v>Hill</v>
      </c>
      <c r="E3280" t="str">
        <f>IFERROR(__xludf.DUMMYFUNCTION("""COMPUTED_VALUE"""),"Josh")</f>
        <v>Josh</v>
      </c>
      <c r="F3280">
        <f>IFERROR(__xludf.DUMMYFUNCTION("""COMPUTED_VALUE"""),14.8)</f>
        <v>14.8</v>
      </c>
    </row>
    <row r="3281">
      <c r="D3281" t="str">
        <f>IFERROR(__xludf.DUMMYFUNCTION("""COMPUTED_VALUE"""),"Hill")</f>
        <v>Hill</v>
      </c>
      <c r="E3281" t="str">
        <f>IFERROR(__xludf.DUMMYFUNCTION("""COMPUTED_VALUE"""),"Rashod")</f>
        <v>Rashod</v>
      </c>
      <c r="F3281">
        <f>IFERROR(__xludf.DUMMYFUNCTION("""COMPUTED_VALUE"""),12.8)</f>
        <v>12.8</v>
      </c>
    </row>
    <row r="3282">
      <c r="D3282" t="str">
        <f>IFERROR(__xludf.DUMMYFUNCTION("""COMPUTED_VALUE"""),"Hill")</f>
        <v>Hill</v>
      </c>
      <c r="E3282" t="str">
        <f>IFERROR(__xludf.DUMMYFUNCTION("""COMPUTED_VALUE"""),"Shaq")</f>
        <v>Shaq</v>
      </c>
      <c r="F3282">
        <f>IFERROR(__xludf.DUMMYFUNCTION("""COMPUTED_VALUE"""),12.8)</f>
        <v>12.8</v>
      </c>
    </row>
    <row r="3283">
      <c r="D3283" t="str">
        <f>IFERROR(__xludf.DUMMYFUNCTION("""COMPUTED_VALUE"""),"Hill")</f>
        <v>Hill</v>
      </c>
      <c r="E3283" t="str">
        <f>IFERROR(__xludf.DUMMYFUNCTION("""COMPUTED_VALUE"""),"Taysom")</f>
        <v>Taysom</v>
      </c>
      <c r="F3283">
        <f>IFERROR(__xludf.DUMMYFUNCTION("""COMPUTED_VALUE"""),12.0)</f>
        <v>12</v>
      </c>
    </row>
    <row r="3284">
      <c r="D3284" t="str">
        <f>IFERROR(__xludf.DUMMYFUNCTION("""COMPUTED_VALUE"""),"Hill")</f>
        <v>Hill</v>
      </c>
      <c r="E3284" t="str">
        <f>IFERROR(__xludf.DUMMYFUNCTION("""COMPUTED_VALUE"""),"Troy")</f>
        <v>Troy</v>
      </c>
      <c r="F3284">
        <f>IFERROR(__xludf.DUMMYFUNCTION("""COMPUTED_VALUE"""),13.200000000000001)</f>
        <v>13.2</v>
      </c>
    </row>
    <row r="3285">
      <c r="D3285" t="str">
        <f>IFERROR(__xludf.DUMMYFUNCTION("""COMPUTED_VALUE"""),"Hill")</f>
        <v>Hill</v>
      </c>
      <c r="E3285" t="str">
        <f>IFERROR(__xludf.DUMMYFUNCTION("""COMPUTED_VALUE"""),"Tyreek")</f>
        <v>Tyreek</v>
      </c>
      <c r="F3285">
        <f>IFERROR(__xludf.DUMMYFUNCTION("""COMPUTED_VALUE"""),16.6)</f>
        <v>16.6</v>
      </c>
    </row>
    <row r="3286">
      <c r="D3286" t="str">
        <f>IFERROR(__xludf.DUMMYFUNCTION("""COMPUTED_VALUE"""),"Hillary")</f>
        <v>Hillary</v>
      </c>
      <c r="E3286" t="str">
        <f>IFERROR(__xludf.DUMMYFUNCTION("""COMPUTED_VALUE"""),"Darius")</f>
        <v>Darius</v>
      </c>
      <c r="F3286">
        <f>IFERROR(__xludf.DUMMYFUNCTION("""COMPUTED_VALUE"""),12.200000000000001)</f>
        <v>12.2</v>
      </c>
    </row>
    <row r="3287">
      <c r="D3287" t="str">
        <f>IFERROR(__xludf.DUMMYFUNCTION("""COMPUTED_VALUE"""),"Hilton")</f>
        <v>Hilton</v>
      </c>
      <c r="E3287" t="str">
        <f>IFERROR(__xludf.DUMMYFUNCTION("""COMPUTED_VALUE"""),"TY")</f>
        <v>TY</v>
      </c>
      <c r="F3287">
        <f>IFERROR(__xludf.DUMMYFUNCTION("""COMPUTED_VALUE"""),17.6)</f>
        <v>17.6</v>
      </c>
    </row>
    <row r="3288">
      <c r="D3288" t="str">
        <f>IFERROR(__xludf.DUMMYFUNCTION("""COMPUTED_VALUE"""),"Hitchens")</f>
        <v>Hitchens</v>
      </c>
      <c r="E3288" t="str">
        <f>IFERROR(__xludf.DUMMYFUNCTION("""COMPUTED_VALUE"""),"Anthony")</f>
        <v>Anthony</v>
      </c>
      <c r="F3288">
        <f>IFERROR(__xludf.DUMMYFUNCTION("""COMPUTED_VALUE"""),14.8)</f>
        <v>14.8</v>
      </c>
    </row>
    <row r="3289">
      <c r="D3289" t="str">
        <f>IFERROR(__xludf.DUMMYFUNCTION("""COMPUTED_VALUE"""),"Hodges")</f>
        <v>Hodges</v>
      </c>
      <c r="E3289" t="str">
        <f>IFERROR(__xludf.DUMMYFUNCTION("""COMPUTED_VALUE"""),"Bucky")</f>
        <v>Bucky</v>
      </c>
      <c r="F3289">
        <f>IFERROR(__xludf.DUMMYFUNCTION("""COMPUTED_VALUE"""),14.200000000000001)</f>
        <v>14.2</v>
      </c>
    </row>
    <row r="3290">
      <c r="D3290" t="str">
        <f>IFERROR(__xludf.DUMMYFUNCTION("""COMPUTED_VALUE"""),"Hodges Jr")</f>
        <v>Hodges Jr</v>
      </c>
      <c r="E3290" t="str">
        <f>IFERROR(__xludf.DUMMYFUNCTION("""COMPUTED_VALUE"""),"Gerald")</f>
        <v>Gerald</v>
      </c>
      <c r="F3290">
        <f>IFERROR(__xludf.DUMMYFUNCTION("""COMPUTED_VALUE"""),15.8)</f>
        <v>15.8</v>
      </c>
    </row>
    <row r="3291">
      <c r="D3291" t="str">
        <f>IFERROR(__xludf.DUMMYFUNCTION("""COMPUTED_VALUE"""),"Hogan")</f>
        <v>Hogan</v>
      </c>
      <c r="E3291" t="str">
        <f>IFERROR(__xludf.DUMMYFUNCTION("""COMPUTED_VALUE"""),"Chris")</f>
        <v>Chris</v>
      </c>
      <c r="F3291">
        <f>IFERROR(__xludf.DUMMYFUNCTION("""COMPUTED_VALUE"""),16.6)</f>
        <v>16.6</v>
      </c>
    </row>
    <row r="3292">
      <c r="D3292" t="str">
        <f>IFERROR(__xludf.DUMMYFUNCTION("""COMPUTED_VALUE"""),"Hogan")</f>
        <v>Hogan</v>
      </c>
      <c r="E3292" t="str">
        <f>IFERROR(__xludf.DUMMYFUNCTION("""COMPUTED_VALUE"""),"Kevin")</f>
        <v>Kevin</v>
      </c>
      <c r="F3292">
        <f>IFERROR(__xludf.DUMMYFUNCTION("""COMPUTED_VALUE"""),13.200000000000001)</f>
        <v>13.2</v>
      </c>
    </row>
    <row r="3293">
      <c r="D3293" t="str">
        <f>IFERROR(__xludf.DUMMYFUNCTION("""COMPUTED_VALUE"""),"Hogan")</f>
        <v>Hogan</v>
      </c>
      <c r="E3293" t="str">
        <f>IFERROR(__xludf.DUMMYFUNCTION("""COMPUTED_VALUE"""),"Krishawn")</f>
        <v>Krishawn</v>
      </c>
      <c r="F3293">
        <f>IFERROR(__xludf.DUMMYFUNCTION("""COMPUTED_VALUE"""),12.200000000000001)</f>
        <v>12.2</v>
      </c>
    </row>
    <row r="3294">
      <c r="D3294" t="str">
        <f>IFERROR(__xludf.DUMMYFUNCTION("""COMPUTED_VALUE"""),"Holba")</f>
        <v>Holba</v>
      </c>
      <c r="E3294" t="str">
        <f>IFERROR(__xludf.DUMMYFUNCTION("""COMPUTED_VALUE"""),"Colin")</f>
        <v>Colin</v>
      </c>
      <c r="F3294">
        <f>IFERROR(__xludf.DUMMYFUNCTION("""COMPUTED_VALUE"""),9.4)</f>
        <v>9.4</v>
      </c>
    </row>
    <row r="3295">
      <c r="D3295" t="str">
        <f>IFERROR(__xludf.DUMMYFUNCTION("""COMPUTED_VALUE"""),"Holden")</f>
        <v>Holden</v>
      </c>
      <c r="E3295" t="str">
        <f>IFERROR(__xludf.DUMMYFUNCTION("""COMPUTED_VALUE"""),"Will")</f>
        <v>Will</v>
      </c>
      <c r="F3295">
        <f>IFERROR(__xludf.DUMMYFUNCTION("""COMPUTED_VALUE"""),13.600000000000001)</f>
        <v>13.6</v>
      </c>
    </row>
    <row r="3296">
      <c r="D3296" t="str">
        <f>IFERROR(__xludf.DUMMYFUNCTION("""COMPUTED_VALUE"""),"Hollins")</f>
        <v>Hollins</v>
      </c>
      <c r="E3296" t="str">
        <f>IFERROR(__xludf.DUMMYFUNCTION("""COMPUTED_VALUE"""),"Mack")</f>
        <v>Mack</v>
      </c>
      <c r="F3296">
        <f>IFERROR(__xludf.DUMMYFUNCTION("""COMPUTED_VALUE"""),13.8)</f>
        <v>13.8</v>
      </c>
    </row>
    <row r="3297">
      <c r="D3297" t="str">
        <f>IFERROR(__xludf.DUMMYFUNCTION("""COMPUTED_VALUE"""),"Holmes")</f>
        <v>Holmes</v>
      </c>
      <c r="E3297" t="str">
        <f>IFERROR(__xludf.DUMMYFUNCTION("""COMPUTED_VALUE"""),"Andre")</f>
        <v>Andre</v>
      </c>
      <c r="F3297">
        <f>IFERROR(__xludf.DUMMYFUNCTION("""COMPUTED_VALUE"""),15.200000000000001)</f>
        <v>15.2</v>
      </c>
    </row>
    <row r="3298">
      <c r="D3298" t="str">
        <f>IFERROR(__xludf.DUMMYFUNCTION("""COMPUTED_VALUE"""),"Holmes")</f>
        <v>Holmes</v>
      </c>
      <c r="E3298" t="str">
        <f>IFERROR(__xludf.DUMMYFUNCTION("""COMPUTED_VALUE"""),"Gabe")</f>
        <v>Gabe</v>
      </c>
      <c r="F3298">
        <f>IFERROR(__xludf.DUMMYFUNCTION("""COMPUTED_VALUE"""),12.200000000000001)</f>
        <v>12.2</v>
      </c>
    </row>
    <row r="3299">
      <c r="D3299" t="str">
        <f>IFERROR(__xludf.DUMMYFUNCTION("""COMPUTED_VALUE"""),"Holmes")</f>
        <v>Holmes</v>
      </c>
      <c r="E3299" t="str">
        <f>IFERROR(__xludf.DUMMYFUNCTION("""COMPUTED_VALUE"""),"Tyrone")</f>
        <v>Tyrone</v>
      </c>
      <c r="F3299">
        <f>IFERROR(__xludf.DUMMYFUNCTION("""COMPUTED_VALUE"""),13.8)</f>
        <v>13.8</v>
      </c>
    </row>
    <row r="3300">
      <c r="D3300" t="str">
        <f>IFERROR(__xludf.DUMMYFUNCTION("""COMPUTED_VALUE"""),"Holsey")</f>
        <v>Holsey</v>
      </c>
      <c r="E3300" t="str">
        <f>IFERROR(__xludf.DUMMYFUNCTION("""COMPUTED_VALUE"""),"Joshua")</f>
        <v>Joshua</v>
      </c>
      <c r="F3300">
        <f>IFERROR(__xludf.DUMMYFUNCTION("""COMPUTED_VALUE"""),12.8)</f>
        <v>12.8</v>
      </c>
    </row>
    <row r="3301">
      <c r="D3301" t="str">
        <f>IFERROR(__xludf.DUMMYFUNCTION("""COMPUTED_VALUE"""),"Holton")</f>
        <v>Holton</v>
      </c>
      <c r="E3301" t="str">
        <f>IFERROR(__xludf.DUMMYFUNCTION("""COMPUTED_VALUE"""),"Johnny")</f>
        <v>Johnny</v>
      </c>
      <c r="F3301">
        <f>IFERROR(__xludf.DUMMYFUNCTION("""COMPUTED_VALUE"""),12.8)</f>
        <v>12.8</v>
      </c>
    </row>
    <row r="3302">
      <c r="D3302" t="str">
        <f>IFERROR(__xludf.DUMMYFUNCTION("""COMPUTED_VALUE"""),"Hood")</f>
        <v>Hood</v>
      </c>
      <c r="E3302" t="str">
        <f>IFERROR(__xludf.DUMMYFUNCTION("""COMPUTED_VALUE"""),"Elijah")</f>
        <v>Elijah</v>
      </c>
      <c r="F3302">
        <f>IFERROR(__xludf.DUMMYFUNCTION("""COMPUTED_VALUE"""),13.0)</f>
        <v>13</v>
      </c>
    </row>
    <row r="3303">
      <c r="D3303" t="str">
        <f>IFERROR(__xludf.DUMMYFUNCTION("""COMPUTED_VALUE"""),"Hood")</f>
        <v>Hood</v>
      </c>
      <c r="E3303" t="str">
        <f>IFERROR(__xludf.DUMMYFUNCTION("""COMPUTED_VALUE"""),"Ziggy")</f>
        <v>Ziggy</v>
      </c>
      <c r="F3303">
        <f>IFERROR(__xludf.DUMMYFUNCTION("""COMPUTED_VALUE"""),14.4)</f>
        <v>14.4</v>
      </c>
    </row>
    <row r="3304">
      <c r="D3304" t="str">
        <f>IFERROR(__xludf.DUMMYFUNCTION("""COMPUTED_VALUE"""),"Hooker")</f>
        <v>Hooker</v>
      </c>
      <c r="E3304" t="str">
        <f>IFERROR(__xludf.DUMMYFUNCTION("""COMPUTED_VALUE"""),"Malik")</f>
        <v>Malik</v>
      </c>
      <c r="F3304">
        <f>IFERROR(__xludf.DUMMYFUNCTION("""COMPUTED_VALUE"""),15.200000000000001)</f>
        <v>15.2</v>
      </c>
    </row>
    <row r="3305">
      <c r="D3305" t="str">
        <f>IFERROR(__xludf.DUMMYFUNCTION("""COMPUTED_VALUE"""),"Hooks")</f>
        <v>Hooks</v>
      </c>
      <c r="E3305" t="str">
        <f>IFERROR(__xludf.DUMMYFUNCTION("""COMPUTED_VALUE"""),"Lavon")</f>
        <v>Lavon</v>
      </c>
      <c r="F3305">
        <f>IFERROR(__xludf.DUMMYFUNCTION("""COMPUTED_VALUE"""),12.0)</f>
        <v>12</v>
      </c>
    </row>
    <row r="3306">
      <c r="D3306" t="str">
        <f>IFERROR(__xludf.DUMMYFUNCTION("""COMPUTED_VALUE"""),"Hoomanawanui")</f>
        <v>Hoomanawanui</v>
      </c>
      <c r="E3306" t="str">
        <f>IFERROR(__xludf.DUMMYFUNCTION("""COMPUTED_VALUE"""),"Michael")</f>
        <v>Michael</v>
      </c>
      <c r="F3306">
        <f>IFERROR(__xludf.DUMMYFUNCTION("""COMPUTED_VALUE"""),14.8)</f>
        <v>14.8</v>
      </c>
    </row>
    <row r="3307">
      <c r="D3307" t="str">
        <f>IFERROR(__xludf.DUMMYFUNCTION("""COMPUTED_VALUE"""),"Hooper")</f>
        <v>Hooper</v>
      </c>
      <c r="E3307" t="str">
        <f>IFERROR(__xludf.DUMMYFUNCTION("""COMPUTED_VALUE"""),"Austin")</f>
        <v>Austin</v>
      </c>
      <c r="F3307">
        <f>IFERROR(__xludf.DUMMYFUNCTION("""COMPUTED_VALUE"""),15.4)</f>
        <v>15.4</v>
      </c>
    </row>
    <row r="3308">
      <c r="D3308" t="str">
        <f>IFERROR(__xludf.DUMMYFUNCTION("""COMPUTED_VALUE"""),"Hopkins")</f>
        <v>Hopkins</v>
      </c>
      <c r="E3308" t="str">
        <f>IFERROR(__xludf.DUMMYFUNCTION("""COMPUTED_VALUE"""),"DeAndre")</f>
        <v>DeAndre</v>
      </c>
      <c r="F3308">
        <f>IFERROR(__xludf.DUMMYFUNCTION("""COMPUTED_VALUE"""),18.2)</f>
        <v>18.2</v>
      </c>
    </row>
    <row r="3309">
      <c r="D3309" t="str">
        <f>IFERROR(__xludf.DUMMYFUNCTION("""COMPUTED_VALUE"""),"Hopkins")</f>
        <v>Hopkins</v>
      </c>
      <c r="E3309" t="str">
        <f>IFERROR(__xludf.DUMMYFUNCTION("""COMPUTED_VALUE"""),"Dustin")</f>
        <v>Dustin</v>
      </c>
      <c r="F3309">
        <f>IFERROR(__xludf.DUMMYFUNCTION("""COMPUTED_VALUE"""),14.8)</f>
        <v>14.8</v>
      </c>
    </row>
    <row r="3310">
      <c r="D3310" t="str">
        <f>IFERROR(__xludf.DUMMYFUNCTION("""COMPUTED_VALUE"""),"Hopkins")</f>
        <v>Hopkins</v>
      </c>
      <c r="E3310" t="str">
        <f>IFERROR(__xludf.DUMMYFUNCTION("""COMPUTED_VALUE"""),"Trey")</f>
        <v>Trey</v>
      </c>
      <c r="F3310">
        <f>IFERROR(__xludf.DUMMYFUNCTION("""COMPUTED_VALUE"""),13.200000000000001)</f>
        <v>13.2</v>
      </c>
    </row>
    <row r="3311">
      <c r="D3311" t="str">
        <f>IFERROR(__xludf.DUMMYFUNCTION("""COMPUTED_VALUE"""),"Horton")</f>
        <v>Horton</v>
      </c>
      <c r="E3311" t="str">
        <f>IFERROR(__xludf.DUMMYFUNCTION("""COMPUTED_VALUE"""),"Wes")</f>
        <v>Wes</v>
      </c>
      <c r="F3311">
        <f>IFERROR(__xludf.DUMMYFUNCTION("""COMPUTED_VALUE"""),14.4)</f>
        <v>14.4</v>
      </c>
    </row>
    <row r="3312">
      <c r="D3312" t="str">
        <f>IFERROR(__xludf.DUMMYFUNCTION("""COMPUTED_VALUE"""),"House")</f>
        <v>House</v>
      </c>
      <c r="E3312" t="str">
        <f>IFERROR(__xludf.DUMMYFUNCTION("""COMPUTED_VALUE"""),"Davon")</f>
        <v>Davon</v>
      </c>
      <c r="F3312">
        <f>IFERROR(__xludf.DUMMYFUNCTION("""COMPUTED_VALUE"""),14.8)</f>
        <v>14.8</v>
      </c>
    </row>
    <row r="3313">
      <c r="D3313" t="str">
        <f>IFERROR(__xludf.DUMMYFUNCTION("""COMPUTED_VALUE"""),"Houston")</f>
        <v>Houston</v>
      </c>
      <c r="E3313" t="str">
        <f>IFERROR(__xludf.DUMMYFUNCTION("""COMPUTED_VALUE"""),"Justin")</f>
        <v>Justin</v>
      </c>
      <c r="F3313">
        <f>IFERROR(__xludf.DUMMYFUNCTION("""COMPUTED_VALUE"""),18.6)</f>
        <v>18.6</v>
      </c>
    </row>
    <row r="3314">
      <c r="D3314" t="str">
        <f>IFERROR(__xludf.DUMMYFUNCTION("""COMPUTED_VALUE"""),"Houston")</f>
        <v>Houston</v>
      </c>
      <c r="E3314" t="str">
        <f>IFERROR(__xludf.DUMMYFUNCTION("""COMPUTED_VALUE"""),"Lamarr")</f>
        <v>Lamarr</v>
      </c>
      <c r="F3314">
        <f>IFERROR(__xludf.DUMMYFUNCTION("""COMPUTED_VALUE"""),16.0)</f>
        <v>16</v>
      </c>
    </row>
    <row r="3315">
      <c r="D3315" t="str">
        <f>IFERROR(__xludf.DUMMYFUNCTION("""COMPUTED_VALUE"""),"Houston-Carson")</f>
        <v>Houston-Carson</v>
      </c>
      <c r="E3315" t="str">
        <f>IFERROR(__xludf.DUMMYFUNCTION("""COMPUTED_VALUE"""),"DeAndre")</f>
        <v>DeAndre</v>
      </c>
      <c r="F3315">
        <f>IFERROR(__xludf.DUMMYFUNCTION("""COMPUTED_VALUE"""),13.200000000000001)</f>
        <v>13.2</v>
      </c>
    </row>
    <row r="3316">
      <c r="D3316" t="str">
        <f>IFERROR(__xludf.DUMMYFUNCTION("""COMPUTED_VALUE"""),"Howard")</f>
        <v>Howard</v>
      </c>
      <c r="E3316" t="str">
        <f>IFERROR(__xludf.DUMMYFUNCTION("""COMPUTED_VALUE"""),"Austin")</f>
        <v>Austin</v>
      </c>
      <c r="F3316">
        <f>IFERROR(__xludf.DUMMYFUNCTION("""COMPUTED_VALUE"""),14.4)</f>
        <v>14.4</v>
      </c>
    </row>
    <row r="3317">
      <c r="D3317" t="str">
        <f>IFERROR(__xludf.DUMMYFUNCTION("""COMPUTED_VALUE"""),"Howard")</f>
        <v>Howard</v>
      </c>
      <c r="E3317" t="str">
        <f>IFERROR(__xludf.DUMMYFUNCTION("""COMPUTED_VALUE"""),"Bug")</f>
        <v>Bug</v>
      </c>
      <c r="F3317">
        <f>IFERROR(__xludf.DUMMYFUNCTION("""COMPUTED_VALUE"""),12.8)</f>
        <v>12.8</v>
      </c>
    </row>
    <row r="3318">
      <c r="D3318" t="str">
        <f>IFERROR(__xludf.DUMMYFUNCTION("""COMPUTED_VALUE"""),"Howard")</f>
        <v>Howard</v>
      </c>
      <c r="E3318" t="str">
        <f>IFERROR(__xludf.DUMMYFUNCTION("""COMPUTED_VALUE"""),"Jaye")</f>
        <v>Jaye</v>
      </c>
      <c r="F3318">
        <f>IFERROR(__xludf.DUMMYFUNCTION("""COMPUTED_VALUE"""),15.200000000000001)</f>
        <v>15.2</v>
      </c>
    </row>
    <row r="3319">
      <c r="D3319" t="str">
        <f>IFERROR(__xludf.DUMMYFUNCTION("""COMPUTED_VALUE"""),"Howard")</f>
        <v>Howard</v>
      </c>
      <c r="E3319" t="str">
        <f>IFERROR(__xludf.DUMMYFUNCTION("""COMPUTED_VALUE"""),"Jordan")</f>
        <v>Jordan</v>
      </c>
      <c r="F3319">
        <f>IFERROR(__xludf.DUMMYFUNCTION("""COMPUTED_VALUE"""),17.0)</f>
        <v>17</v>
      </c>
    </row>
    <row r="3320">
      <c r="D3320" t="str">
        <f>IFERROR(__xludf.DUMMYFUNCTION("""COMPUTED_VALUE"""),"Howard")</f>
        <v>Howard</v>
      </c>
      <c r="E3320" t="str">
        <f>IFERROR(__xludf.DUMMYFUNCTION("""COMPUTED_VALUE"""),"OJ")</f>
        <v>OJ</v>
      </c>
      <c r="F3320">
        <f>IFERROR(__xludf.DUMMYFUNCTION("""COMPUTED_VALUE"""),16.400000000000002)</f>
        <v>16.4</v>
      </c>
    </row>
    <row r="3321">
      <c r="D3321" t="str">
        <f>IFERROR(__xludf.DUMMYFUNCTION("""COMPUTED_VALUE"""),"Howard")</f>
        <v>Howard</v>
      </c>
      <c r="E3321" t="str">
        <f>IFERROR(__xludf.DUMMYFUNCTION("""COMPUTED_VALUE"""),"Tracy")</f>
        <v>Tracy</v>
      </c>
      <c r="F3321">
        <f>IFERROR(__xludf.DUMMYFUNCTION("""COMPUTED_VALUE"""),12.600000000000001)</f>
        <v>12.6</v>
      </c>
    </row>
    <row r="3322">
      <c r="D3322" t="str">
        <f>IFERROR(__xludf.DUMMYFUNCTION("""COMPUTED_VALUE"""),"Howard")</f>
        <v>Howard</v>
      </c>
      <c r="E3322" t="str">
        <f>IFERROR(__xludf.DUMMYFUNCTION("""COMPUTED_VALUE"""),"Xavien")</f>
        <v>Xavien</v>
      </c>
      <c r="F3322">
        <f>IFERROR(__xludf.DUMMYFUNCTION("""COMPUTED_VALUE"""),14.8)</f>
        <v>14.8</v>
      </c>
    </row>
    <row r="3323">
      <c r="D3323" t="str">
        <f>IFERROR(__xludf.DUMMYFUNCTION("""COMPUTED_VALUE"""),"Howsare")</f>
        <v>Howsare</v>
      </c>
      <c r="E3323" t="str">
        <f>IFERROR(__xludf.DUMMYFUNCTION("""COMPUTED_VALUE"""),"Julian")</f>
        <v>Julian</v>
      </c>
      <c r="F3323">
        <f>IFERROR(__xludf.DUMMYFUNCTION("""COMPUTED_VALUE"""),12.600000000000001)</f>
        <v>12.6</v>
      </c>
    </row>
    <row r="3324">
      <c r="D3324" t="str">
        <f>IFERROR(__xludf.DUMMYFUNCTION("""COMPUTED_VALUE"""),"Hoyer")</f>
        <v>Hoyer</v>
      </c>
      <c r="E3324" t="str">
        <f>IFERROR(__xludf.DUMMYFUNCTION("""COMPUTED_VALUE"""),"Brian")</f>
        <v>Brian</v>
      </c>
      <c r="F3324">
        <f>IFERROR(__xludf.DUMMYFUNCTION("""COMPUTED_VALUE"""),15.0)</f>
        <v>15</v>
      </c>
    </row>
    <row r="3325">
      <c r="D3325" t="str">
        <f>IFERROR(__xludf.DUMMYFUNCTION("""COMPUTED_VALUE"""),"Hubbard")</f>
        <v>Hubbard</v>
      </c>
      <c r="E3325" t="str">
        <f>IFERROR(__xludf.DUMMYFUNCTION("""COMPUTED_VALUE"""),"Chris")</f>
        <v>Chris</v>
      </c>
      <c r="F3325">
        <f>IFERROR(__xludf.DUMMYFUNCTION("""COMPUTED_VALUE"""),14.200000000000001)</f>
        <v>14.2</v>
      </c>
    </row>
    <row r="3326">
      <c r="D3326" t="str">
        <f>IFERROR(__xludf.DUMMYFUNCTION("""COMPUTED_VALUE"""),"Huber")</f>
        <v>Huber</v>
      </c>
      <c r="E3326" t="str">
        <f>IFERROR(__xludf.DUMMYFUNCTION("""COMPUTED_VALUE"""),"Kevin")</f>
        <v>Kevin</v>
      </c>
      <c r="F3326">
        <f>IFERROR(__xludf.DUMMYFUNCTION("""COMPUTED_VALUE"""),14.4)</f>
        <v>14.4</v>
      </c>
    </row>
    <row r="3327">
      <c r="D3327" t="str">
        <f>IFERROR(__xludf.DUMMYFUNCTION("""COMPUTED_VALUE"""),"Hubert")</f>
        <v>Hubert</v>
      </c>
      <c r="E3327" t="str">
        <f>IFERROR(__xludf.DUMMYFUNCTION("""COMPUTED_VALUE"""),"Chris")</f>
        <v>Chris</v>
      </c>
      <c r="F3327">
        <f>IFERROR(__xludf.DUMMYFUNCTION("""COMPUTED_VALUE"""),12.0)</f>
        <v>12</v>
      </c>
    </row>
    <row r="3328">
      <c r="D3328" t="str">
        <f>IFERROR(__xludf.DUMMYFUNCTION("""COMPUTED_VALUE"""),"Hudson")</f>
        <v>Hudson</v>
      </c>
      <c r="E3328" t="str">
        <f>IFERROR(__xludf.DUMMYFUNCTION("""COMPUTED_VALUE"""),"Rodney")</f>
        <v>Rodney</v>
      </c>
      <c r="F3328">
        <f>IFERROR(__xludf.DUMMYFUNCTION("""COMPUTED_VALUE"""),18.0)</f>
        <v>18</v>
      </c>
    </row>
    <row r="3329">
      <c r="D3329" t="str">
        <f>IFERROR(__xludf.DUMMYFUNCTION("""COMPUTED_VALUE"""),"Huff")</f>
        <v>Huff</v>
      </c>
      <c r="E3329" t="str">
        <f>IFERROR(__xludf.DUMMYFUNCTION("""COMPUTED_VALUE"""),"Josh")</f>
        <v>Josh</v>
      </c>
      <c r="F3329">
        <f>IFERROR(__xludf.DUMMYFUNCTION("""COMPUTED_VALUE"""),14.200000000000001)</f>
        <v>14.2</v>
      </c>
    </row>
    <row r="3330">
      <c r="D3330" t="str">
        <f>IFERROR(__xludf.DUMMYFUNCTION("""COMPUTED_VALUE"""),"Hughes")</f>
        <v>Hughes</v>
      </c>
      <c r="E3330" t="str">
        <f>IFERROR(__xludf.DUMMYFUNCTION("""COMPUTED_VALUE"""),"Jerry")</f>
        <v>Jerry</v>
      </c>
      <c r="F3330">
        <f>IFERROR(__xludf.DUMMYFUNCTION("""COMPUTED_VALUE"""),16.2)</f>
        <v>16.2</v>
      </c>
    </row>
    <row r="3331">
      <c r="D3331" t="str">
        <f>IFERROR(__xludf.DUMMYFUNCTION("""COMPUTED_VALUE"""),"Hughes")</f>
        <v>Hughes</v>
      </c>
      <c r="E3331" t="str">
        <f>IFERROR(__xludf.DUMMYFUNCTION("""COMPUTED_VALUE"""),"Montori")</f>
        <v>Montori</v>
      </c>
      <c r="F3331">
        <f>IFERROR(__xludf.DUMMYFUNCTION("""COMPUTED_VALUE"""),13.0)</f>
        <v>13</v>
      </c>
    </row>
    <row r="3332">
      <c r="D3332" t="str">
        <f>IFERROR(__xludf.DUMMYFUNCTION("""COMPUTED_VALUE"""),"Hughlett")</f>
        <v>Hughlett</v>
      </c>
      <c r="E3332" t="str">
        <f>IFERROR(__xludf.DUMMYFUNCTION("""COMPUTED_VALUE"""),"Charley")</f>
        <v>Charley</v>
      </c>
      <c r="F3332">
        <f>IFERROR(__xludf.DUMMYFUNCTION("""COMPUTED_VALUE"""),10.200000000000001)</f>
        <v>10.2</v>
      </c>
    </row>
    <row r="3333">
      <c r="D3333" t="str">
        <f>IFERROR(__xludf.DUMMYFUNCTION("""COMPUTED_VALUE"""),"Hull")</f>
        <v>Hull</v>
      </c>
      <c r="E3333" t="str">
        <f>IFERROR(__xludf.DUMMYFUNCTION("""COMPUTED_VALUE"""),"Mike")</f>
        <v>Mike</v>
      </c>
      <c r="F3333">
        <f>IFERROR(__xludf.DUMMYFUNCTION("""COMPUTED_VALUE"""),12.600000000000001)</f>
        <v>12.6</v>
      </c>
    </row>
    <row r="3334">
      <c r="D3334" t="str">
        <f>IFERROR(__xludf.DUMMYFUNCTION("""COMPUTED_VALUE"""),"Humber")</f>
        <v>Humber</v>
      </c>
      <c r="E3334" t="str">
        <f>IFERROR(__xludf.DUMMYFUNCTION("""COMPUTED_VALUE"""),"Ramon")</f>
        <v>Ramon</v>
      </c>
      <c r="F3334">
        <f>IFERROR(__xludf.DUMMYFUNCTION("""COMPUTED_VALUE"""),13.8)</f>
        <v>13.8</v>
      </c>
    </row>
    <row r="3335">
      <c r="D3335" t="str">
        <f>IFERROR(__xludf.DUMMYFUNCTION("""COMPUTED_VALUE"""),"Humphrey")</f>
        <v>Humphrey</v>
      </c>
      <c r="E3335" t="str">
        <f>IFERROR(__xludf.DUMMYFUNCTION("""COMPUTED_VALUE"""),"Marlon")</f>
        <v>Marlon</v>
      </c>
      <c r="F3335">
        <f>IFERROR(__xludf.DUMMYFUNCTION("""COMPUTED_VALUE"""),15.0)</f>
        <v>15</v>
      </c>
    </row>
    <row r="3336">
      <c r="D3336" t="str">
        <f>IFERROR(__xludf.DUMMYFUNCTION("""COMPUTED_VALUE"""),"Humphries")</f>
        <v>Humphries</v>
      </c>
      <c r="E3336" t="str">
        <f>IFERROR(__xludf.DUMMYFUNCTION("""COMPUTED_VALUE"""),"Adam")</f>
        <v>Adam</v>
      </c>
      <c r="F3336">
        <f>IFERROR(__xludf.DUMMYFUNCTION("""COMPUTED_VALUE"""),15.200000000000001)</f>
        <v>15.2</v>
      </c>
    </row>
    <row r="3337">
      <c r="D3337" t="str">
        <f>IFERROR(__xludf.DUMMYFUNCTION("""COMPUTED_VALUE"""),"Humphries")</f>
        <v>Humphries</v>
      </c>
      <c r="E3337" t="str">
        <f>IFERROR(__xludf.DUMMYFUNCTION("""COMPUTED_VALUE"""),"DJ")</f>
        <v>DJ</v>
      </c>
      <c r="F3337">
        <f>IFERROR(__xludf.DUMMYFUNCTION("""COMPUTED_VALUE"""),14.200000000000001)</f>
        <v>14.2</v>
      </c>
    </row>
    <row r="3338">
      <c r="D3338" t="str">
        <f>IFERROR(__xludf.DUMMYFUNCTION("""COMPUTED_VALUE"""),"Hundley")</f>
        <v>Hundley</v>
      </c>
      <c r="E3338" t="str">
        <f>IFERROR(__xludf.DUMMYFUNCTION("""COMPUTED_VALUE"""),"Brett")</f>
        <v>Brett</v>
      </c>
      <c r="F3338">
        <f>IFERROR(__xludf.DUMMYFUNCTION("""COMPUTED_VALUE"""),13.8)</f>
        <v>13.8</v>
      </c>
    </row>
    <row r="3339">
      <c r="D3339" t="str">
        <f>IFERROR(__xludf.DUMMYFUNCTION("""COMPUTED_VALUE"""),"Hunt")</f>
        <v>Hunt</v>
      </c>
      <c r="E3339" t="str">
        <f>IFERROR(__xludf.DUMMYFUNCTION("""COMPUTED_VALUE"""),"Akeem")</f>
        <v>Akeem</v>
      </c>
      <c r="F3339">
        <f>IFERROR(__xludf.DUMMYFUNCTION("""COMPUTED_VALUE"""),13.8)</f>
        <v>13.8</v>
      </c>
    </row>
    <row r="3340">
      <c r="D3340" t="str">
        <f>IFERROR(__xludf.DUMMYFUNCTION("""COMPUTED_VALUE"""),"Hunt")</f>
        <v>Hunt</v>
      </c>
      <c r="E3340" t="str">
        <f>IFERROR(__xludf.DUMMYFUNCTION("""COMPUTED_VALUE"""),"Joey")</f>
        <v>Joey</v>
      </c>
      <c r="F3340">
        <f>IFERROR(__xludf.DUMMYFUNCTION("""COMPUTED_VALUE"""),14.0)</f>
        <v>14</v>
      </c>
    </row>
    <row r="3341">
      <c r="D3341" t="str">
        <f>IFERROR(__xludf.DUMMYFUNCTION("""COMPUTED_VALUE"""),"Hunt")</f>
        <v>Hunt</v>
      </c>
      <c r="E3341" t="str">
        <f>IFERROR(__xludf.DUMMYFUNCTION("""COMPUTED_VALUE"""),"Kareem")</f>
        <v>Kareem</v>
      </c>
      <c r="F3341">
        <f>IFERROR(__xludf.DUMMYFUNCTION("""COMPUTED_VALUE"""),15.0)</f>
        <v>15</v>
      </c>
    </row>
    <row r="3342">
      <c r="D3342" t="str">
        <f>IFERROR(__xludf.DUMMYFUNCTION("""COMPUTED_VALUE"""),"Hunt")</f>
        <v>Hunt</v>
      </c>
      <c r="E3342" t="str">
        <f>IFERROR(__xludf.DUMMYFUNCTION("""COMPUTED_VALUE"""),"Margus")</f>
        <v>Margus</v>
      </c>
      <c r="F3342">
        <f>IFERROR(__xludf.DUMMYFUNCTION("""COMPUTED_VALUE"""),14.0)</f>
        <v>14</v>
      </c>
    </row>
    <row r="3343">
      <c r="D3343" t="str">
        <f>IFERROR(__xludf.DUMMYFUNCTION("""COMPUTED_VALUE"""),"Hunter")</f>
        <v>Hunter</v>
      </c>
      <c r="E3343" t="str">
        <f>IFERROR(__xludf.DUMMYFUNCTION("""COMPUTED_VALUE"""),"Danielle")</f>
        <v>Danielle</v>
      </c>
      <c r="F3343">
        <f>IFERROR(__xludf.DUMMYFUNCTION("""COMPUTED_VALUE"""),17.2)</f>
        <v>17.2</v>
      </c>
    </row>
    <row r="3344">
      <c r="D3344" t="str">
        <f>IFERROR(__xludf.DUMMYFUNCTION("""COMPUTED_VALUE"""),"Hunter")</f>
        <v>Hunter</v>
      </c>
      <c r="E3344" t="str">
        <f>IFERROR(__xludf.DUMMYFUNCTION("""COMPUTED_VALUE"""),"Justin")</f>
        <v>Justin</v>
      </c>
      <c r="F3344">
        <f>IFERROR(__xludf.DUMMYFUNCTION("""COMPUTED_VALUE"""),14.200000000000001)</f>
        <v>14.2</v>
      </c>
    </row>
    <row r="3345">
      <c r="D3345" t="str">
        <f>IFERROR(__xludf.DUMMYFUNCTION("""COMPUTED_VALUE"""),"Hunter")</f>
        <v>Hunter</v>
      </c>
      <c r="E3345" t="str">
        <f>IFERROR(__xludf.DUMMYFUNCTION("""COMPUTED_VALUE"""),"Michael")</f>
        <v>Michael</v>
      </c>
      <c r="F3345">
        <f>IFERROR(__xludf.DUMMYFUNCTION("""COMPUTED_VALUE"""),12.200000000000001)</f>
        <v>12.2</v>
      </c>
    </row>
    <row r="3346">
      <c r="D3346" t="str">
        <f>IFERROR(__xludf.DUMMYFUNCTION("""COMPUTED_VALUE"""),"Hurns")</f>
        <v>Hurns</v>
      </c>
      <c r="E3346" t="str">
        <f>IFERROR(__xludf.DUMMYFUNCTION("""COMPUTED_VALUE"""),"Allen")</f>
        <v>Allen</v>
      </c>
      <c r="F3346">
        <f>IFERROR(__xludf.DUMMYFUNCTION("""COMPUTED_VALUE"""),16.2)</f>
        <v>16.2</v>
      </c>
    </row>
    <row r="3347">
      <c r="D3347" t="str">
        <f>IFERROR(__xludf.DUMMYFUNCTION("""COMPUTED_VALUE"""),"Hurst")</f>
        <v>Hurst</v>
      </c>
      <c r="E3347" t="str">
        <f>IFERROR(__xludf.DUMMYFUNCTION("""COMPUTED_VALUE"""),"Demontre")</f>
        <v>Demontre</v>
      </c>
      <c r="F3347">
        <f>IFERROR(__xludf.DUMMYFUNCTION("""COMPUTED_VALUE"""),13.200000000000001)</f>
        <v>13.2</v>
      </c>
    </row>
    <row r="3348">
      <c r="D3348" t="str">
        <f>IFERROR(__xludf.DUMMYFUNCTION("""COMPUTED_VALUE"""),"Hurst")</f>
        <v>Hurst</v>
      </c>
      <c r="E3348" t="str">
        <f>IFERROR(__xludf.DUMMYFUNCTION("""COMPUTED_VALUE"""),"James")</f>
        <v>James</v>
      </c>
      <c r="F3348">
        <f>IFERROR(__xludf.DUMMYFUNCTION("""COMPUTED_VALUE"""),13.8)</f>
        <v>13.8</v>
      </c>
    </row>
    <row r="3349">
      <c r="D3349" t="str">
        <f>IFERROR(__xludf.DUMMYFUNCTION("""COMPUTED_VALUE"""),"Hyde")</f>
        <v>Hyde</v>
      </c>
      <c r="E3349" t="str">
        <f>IFERROR(__xludf.DUMMYFUNCTION("""COMPUTED_VALUE"""),"Carlos")</f>
        <v>Carlos</v>
      </c>
      <c r="F3349">
        <f>IFERROR(__xludf.DUMMYFUNCTION("""COMPUTED_VALUE"""),16.6)</f>
        <v>16.6</v>
      </c>
    </row>
    <row r="3350">
      <c r="D3350" t="str">
        <f>IFERROR(__xludf.DUMMYFUNCTION("""COMPUTED_VALUE"""),"Hyde")</f>
        <v>Hyde</v>
      </c>
      <c r="E3350" t="str">
        <f>IFERROR(__xludf.DUMMYFUNCTION("""COMPUTED_VALUE"""),"Micah")</f>
        <v>Micah</v>
      </c>
      <c r="F3350">
        <f>IFERROR(__xludf.DUMMYFUNCTION("""COMPUTED_VALUE"""),15.200000000000001)</f>
        <v>15.2</v>
      </c>
    </row>
    <row r="3351">
      <c r="D3351" t="str">
        <f>IFERROR(__xludf.DUMMYFUNCTION("""COMPUTED_VALUE"""),"Hyder Jr")</f>
        <v>Hyder Jr</v>
      </c>
      <c r="E3351" t="str">
        <f>IFERROR(__xludf.DUMMYFUNCTION("""COMPUTED_VALUE"""),"Kerry")</f>
        <v>Kerry</v>
      </c>
      <c r="F3351">
        <f>IFERROR(__xludf.DUMMYFUNCTION("""COMPUTED_VALUE"""),15.600000000000001)</f>
        <v>15.6</v>
      </c>
    </row>
    <row r="3352">
      <c r="D3352" t="str">
        <f>IFERROR(__xludf.DUMMYFUNCTION("""COMPUTED_VALUE"""),"Ifedi")</f>
        <v>Ifedi</v>
      </c>
      <c r="E3352" t="str">
        <f>IFERROR(__xludf.DUMMYFUNCTION("""COMPUTED_VALUE"""),"Germain")</f>
        <v>Germain</v>
      </c>
      <c r="F3352">
        <f>IFERROR(__xludf.DUMMYFUNCTION("""COMPUTED_VALUE"""),14.600000000000001)</f>
        <v>14.6</v>
      </c>
    </row>
    <row r="3353">
      <c r="D3353" t="str">
        <f>IFERROR(__xludf.DUMMYFUNCTION("""COMPUTED_VALUE"""),"Ifedi")</f>
        <v>Ifedi</v>
      </c>
      <c r="E3353" t="str">
        <f>IFERROR(__xludf.DUMMYFUNCTION("""COMPUTED_VALUE"""),"Martin")</f>
        <v>Martin</v>
      </c>
      <c r="F3353">
        <f>IFERROR(__xludf.DUMMYFUNCTION("""COMPUTED_VALUE"""),12.0)</f>
        <v>12</v>
      </c>
    </row>
    <row r="3354">
      <c r="D3354" t="str">
        <f>IFERROR(__xludf.DUMMYFUNCTION("""COMPUTED_VALUE"""),"Ihenacho")</f>
        <v>Ihenacho</v>
      </c>
      <c r="E3354" t="str">
        <f>IFERROR(__xludf.DUMMYFUNCTION("""COMPUTED_VALUE"""),"Duke")</f>
        <v>Duke</v>
      </c>
      <c r="F3354">
        <f>IFERROR(__xludf.DUMMYFUNCTION("""COMPUTED_VALUE"""),15.0)</f>
        <v>15</v>
      </c>
    </row>
    <row r="3355">
      <c r="D3355" t="str">
        <f>IFERROR(__xludf.DUMMYFUNCTION("""COMPUTED_VALUE"""),"Ijalana")</f>
        <v>Ijalana</v>
      </c>
      <c r="E3355" t="str">
        <f>IFERROR(__xludf.DUMMYFUNCTION("""COMPUTED_VALUE"""),"Ben")</f>
        <v>Ben</v>
      </c>
      <c r="F3355">
        <f>IFERROR(__xludf.DUMMYFUNCTION("""COMPUTED_VALUE"""),13.200000000000001)</f>
        <v>13.2</v>
      </c>
    </row>
    <row r="3356">
      <c r="D3356" t="str">
        <f>IFERROR(__xludf.DUMMYFUNCTION("""COMPUTED_VALUE"""),"Ikard")</f>
        <v>Ikard</v>
      </c>
      <c r="E3356" t="str">
        <f>IFERROR(__xludf.DUMMYFUNCTION("""COMPUTED_VALUE"""),"Gabe")</f>
        <v>Gabe</v>
      </c>
      <c r="F3356">
        <f>IFERROR(__xludf.DUMMYFUNCTION("""COMPUTED_VALUE"""),13.0)</f>
        <v>13</v>
      </c>
    </row>
    <row r="3357">
      <c r="D3357" t="str">
        <f>IFERROR(__xludf.DUMMYFUNCTION("""COMPUTED_VALUE"""),"Iloka")</f>
        <v>Iloka</v>
      </c>
      <c r="E3357" t="str">
        <f>IFERROR(__xludf.DUMMYFUNCTION("""COMPUTED_VALUE"""),"George")</f>
        <v>George</v>
      </c>
      <c r="F3357">
        <f>IFERROR(__xludf.DUMMYFUNCTION("""COMPUTED_VALUE"""),15.0)</f>
        <v>15</v>
      </c>
    </row>
    <row r="3358">
      <c r="D3358" t="str">
        <f>IFERROR(__xludf.DUMMYFUNCTION("""COMPUTED_VALUE"""),"Incognito")</f>
        <v>Incognito</v>
      </c>
      <c r="E3358" t="str">
        <f>IFERROR(__xludf.DUMMYFUNCTION("""COMPUTED_VALUE"""),"Richie")</f>
        <v>Richie</v>
      </c>
      <c r="F3358">
        <f>IFERROR(__xludf.DUMMYFUNCTION("""COMPUTED_VALUE"""),17.6)</f>
        <v>17.6</v>
      </c>
    </row>
    <row r="3359">
      <c r="D3359" t="str">
        <f>IFERROR(__xludf.DUMMYFUNCTION("""COMPUTED_VALUE"""),"Ingram")</f>
        <v>Ingram</v>
      </c>
      <c r="E3359" t="str">
        <f>IFERROR(__xludf.DUMMYFUNCTION("""COMPUTED_VALUE"""),"Mark")</f>
        <v>Mark</v>
      </c>
      <c r="F3359">
        <f>IFERROR(__xludf.DUMMYFUNCTION("""COMPUTED_VALUE"""),16.8)</f>
        <v>16.8</v>
      </c>
    </row>
    <row r="3360">
      <c r="D3360" t="str">
        <f>IFERROR(__xludf.DUMMYFUNCTION("""COMPUTED_VALUE"""),"Ingram")</f>
        <v>Ingram</v>
      </c>
      <c r="E3360" t="str">
        <f>IFERROR(__xludf.DUMMYFUNCTION("""COMPUTED_VALUE"""),"Melvin")</f>
        <v>Melvin</v>
      </c>
      <c r="F3360">
        <f>IFERROR(__xludf.DUMMYFUNCTION("""COMPUTED_VALUE"""),17.8)</f>
        <v>17.8</v>
      </c>
    </row>
    <row r="3361">
      <c r="D3361" t="str">
        <f>IFERROR(__xludf.DUMMYFUNCTION("""COMPUTED_VALUE"""),"Inman")</f>
        <v>Inman</v>
      </c>
      <c r="E3361" t="str">
        <f>IFERROR(__xludf.DUMMYFUNCTION("""COMPUTED_VALUE"""),"Dontrelle")</f>
        <v>Dontrelle</v>
      </c>
      <c r="F3361">
        <f>IFERROR(__xludf.DUMMYFUNCTION("""COMPUTED_VALUE"""),15.200000000000001)</f>
        <v>15.2</v>
      </c>
    </row>
    <row r="3362">
      <c r="D3362" t="str">
        <f>IFERROR(__xludf.DUMMYFUNCTION("""COMPUTED_VALUE"""),"Ioannidis")</f>
        <v>Ioannidis</v>
      </c>
      <c r="E3362" t="str">
        <f>IFERROR(__xludf.DUMMYFUNCTION("""COMPUTED_VALUE"""),"Matthew")</f>
        <v>Matthew</v>
      </c>
      <c r="F3362">
        <f>IFERROR(__xludf.DUMMYFUNCTION("""COMPUTED_VALUE"""),13.200000000000001)</f>
        <v>13.2</v>
      </c>
    </row>
    <row r="3363">
      <c r="D3363" t="str">
        <f>IFERROR(__xludf.DUMMYFUNCTION("""COMPUTED_VALUE"""),"Irvin")</f>
        <v>Irvin</v>
      </c>
      <c r="E3363" t="str">
        <f>IFERROR(__xludf.DUMMYFUNCTION("""COMPUTED_VALUE"""),"Bruce")</f>
        <v>Bruce</v>
      </c>
      <c r="F3363">
        <f>IFERROR(__xludf.DUMMYFUNCTION("""COMPUTED_VALUE"""),16.8)</f>
        <v>16.8</v>
      </c>
    </row>
    <row r="3364">
      <c r="D3364" t="str">
        <f>IFERROR(__xludf.DUMMYFUNCTION("""COMPUTED_VALUE"""),"Irving")</f>
        <v>Irving</v>
      </c>
      <c r="E3364" t="str">
        <f>IFERROR(__xludf.DUMMYFUNCTION("""COMPUTED_VALUE"""),"David")</f>
        <v>David</v>
      </c>
      <c r="F3364">
        <f>IFERROR(__xludf.DUMMYFUNCTION("""COMPUTED_VALUE"""),15.8)</f>
        <v>15.8</v>
      </c>
    </row>
    <row r="3365">
      <c r="D3365" t="str">
        <f>IFERROR(__xludf.DUMMYFUNCTION("""COMPUTED_VALUE"""),"Ishmael")</f>
        <v>Ishmael</v>
      </c>
      <c r="E3365" t="str">
        <f>IFERROR(__xludf.DUMMYFUNCTION("""COMPUTED_VALUE"""),"Kemal")</f>
        <v>Kemal</v>
      </c>
      <c r="F3365">
        <f>IFERROR(__xludf.DUMMYFUNCTION("""COMPUTED_VALUE"""),15.0)</f>
        <v>15</v>
      </c>
    </row>
    <row r="3366">
      <c r="D3366" t="str">
        <f>IFERROR(__xludf.DUMMYFUNCTION("""COMPUTED_VALUE"""),"Isidora")</f>
        <v>Isidora</v>
      </c>
      <c r="E3366" t="str">
        <f>IFERROR(__xludf.DUMMYFUNCTION("""COMPUTED_VALUE"""),"Danny")</f>
        <v>Danny</v>
      </c>
      <c r="F3366">
        <f>IFERROR(__xludf.DUMMYFUNCTION("""COMPUTED_VALUE"""),13.600000000000001)</f>
        <v>13.6</v>
      </c>
    </row>
    <row r="3367">
      <c r="D3367" t="str">
        <f>IFERROR(__xludf.DUMMYFUNCTION("""COMPUTED_VALUE"""),"Iupati")</f>
        <v>Iupati</v>
      </c>
      <c r="E3367" t="str">
        <f>IFERROR(__xludf.DUMMYFUNCTION("""COMPUTED_VALUE"""),"Mike")</f>
        <v>Mike</v>
      </c>
      <c r="F3367">
        <f>IFERROR(__xludf.DUMMYFUNCTION("""COMPUTED_VALUE"""),15.4)</f>
        <v>15.4</v>
      </c>
    </row>
    <row r="3368">
      <c r="D3368" t="str">
        <f>IFERROR(__xludf.DUMMYFUNCTION("""COMPUTED_VALUE"""),"Ivie IV")</f>
        <v>Ivie IV</v>
      </c>
      <c r="E3368" t="str">
        <f>IFERROR(__xludf.DUMMYFUNCTION("""COMPUTED_VALUE"""),"Joey")</f>
        <v>Joey</v>
      </c>
      <c r="F3368">
        <f>IFERROR(__xludf.DUMMYFUNCTION("""COMPUTED_VALUE"""),12.8)</f>
        <v>12.8</v>
      </c>
    </row>
    <row r="3369">
      <c r="D3369" t="str">
        <f>IFERROR(__xludf.DUMMYFUNCTION("""COMPUTED_VALUE"""),"Ivory")</f>
        <v>Ivory</v>
      </c>
      <c r="E3369" t="str">
        <f>IFERROR(__xludf.DUMMYFUNCTION("""COMPUTED_VALUE"""),"Chris")</f>
        <v>Chris</v>
      </c>
      <c r="F3369">
        <f>IFERROR(__xludf.DUMMYFUNCTION("""COMPUTED_VALUE"""),16.0)</f>
        <v>16</v>
      </c>
    </row>
    <row r="3370">
      <c r="D3370" t="str">
        <f>IFERROR(__xludf.DUMMYFUNCTION("""COMPUTED_VALUE"""),"Iworah")</f>
        <v>Iworah</v>
      </c>
      <c r="E3370" t="str">
        <f>IFERROR(__xludf.DUMMYFUNCTION("""COMPUTED_VALUE"""),"Prince")</f>
        <v>Prince</v>
      </c>
      <c r="F3370">
        <f>IFERROR(__xludf.DUMMYFUNCTION("""COMPUTED_VALUE"""),12.4)</f>
        <v>12.4</v>
      </c>
    </row>
    <row r="3371">
      <c r="D3371" t="str">
        <f>IFERROR(__xludf.DUMMYFUNCTION("""COMPUTED_VALUE"""),"Jack")</f>
        <v>Jack</v>
      </c>
      <c r="E3371" t="str">
        <f>IFERROR(__xludf.DUMMYFUNCTION("""COMPUTED_VALUE"""),"Myles")</f>
        <v>Myles</v>
      </c>
      <c r="F3371">
        <f>IFERROR(__xludf.DUMMYFUNCTION("""COMPUTED_VALUE"""),15.0)</f>
        <v>15</v>
      </c>
    </row>
    <row r="3372">
      <c r="D3372" t="str">
        <f>IFERROR(__xludf.DUMMYFUNCTION("""COMPUTED_VALUE"""),"Jackson")</f>
        <v>Jackson</v>
      </c>
      <c r="E3372" t="str">
        <f>IFERROR(__xludf.DUMMYFUNCTION("""COMPUTED_VALUE"""),"Adoree")</f>
        <v>Adoree</v>
      </c>
      <c r="F3372">
        <f>IFERROR(__xludf.DUMMYFUNCTION("""COMPUTED_VALUE"""),14.8)</f>
        <v>14.8</v>
      </c>
    </row>
    <row r="3373">
      <c r="D3373" t="str">
        <f>IFERROR(__xludf.DUMMYFUNCTION("""COMPUTED_VALUE"""),"Jackson")</f>
        <v>Jackson</v>
      </c>
      <c r="E3373" t="str">
        <f>IFERROR(__xludf.DUMMYFUNCTION("""COMPUTED_VALUE"""),"Branden")</f>
        <v>Branden</v>
      </c>
      <c r="F3373">
        <f>IFERROR(__xludf.DUMMYFUNCTION("""COMPUTED_VALUE"""),12.200000000000001)</f>
        <v>12.2</v>
      </c>
    </row>
    <row r="3374">
      <c r="D3374" t="str">
        <f>IFERROR(__xludf.DUMMYFUNCTION("""COMPUTED_VALUE"""),"Jackson")</f>
        <v>Jackson</v>
      </c>
      <c r="E3374" t="str">
        <f>IFERROR(__xludf.DUMMYFUNCTION("""COMPUTED_VALUE"""),"DeSean")</f>
        <v>DeSean</v>
      </c>
      <c r="F3374">
        <f>IFERROR(__xludf.DUMMYFUNCTION("""COMPUTED_VALUE"""),17.400000000000002)</f>
        <v>17.4</v>
      </c>
    </row>
    <row r="3375">
      <c r="D3375" t="str">
        <f>IFERROR(__xludf.DUMMYFUNCTION("""COMPUTED_VALUE"""),"Jackson")</f>
        <v>Jackson</v>
      </c>
      <c r="E3375" t="str">
        <f>IFERROR(__xludf.DUMMYFUNCTION("""COMPUTED_VALUE"""),"Eddie")</f>
        <v>Eddie</v>
      </c>
      <c r="F3375">
        <f>IFERROR(__xludf.DUMMYFUNCTION("""COMPUTED_VALUE"""),14.200000000000001)</f>
        <v>14.2</v>
      </c>
    </row>
    <row r="3376">
      <c r="D3376" t="str">
        <f>IFERROR(__xludf.DUMMYFUNCTION("""COMPUTED_VALUE"""),"Jackson")</f>
        <v>Jackson</v>
      </c>
      <c r="E3376" t="str">
        <f>IFERROR(__xludf.DUMMYFUNCTION("""COMPUTED_VALUE"""),"Edwin")</f>
        <v>Edwin</v>
      </c>
      <c r="F3376">
        <f>IFERROR(__xludf.DUMMYFUNCTION("""COMPUTED_VALUE"""),13.0)</f>
        <v>13</v>
      </c>
    </row>
    <row r="3377">
      <c r="D3377" t="str">
        <f>IFERROR(__xludf.DUMMYFUNCTION("""COMPUTED_VALUE"""),"Jackson")</f>
        <v>Jackson</v>
      </c>
      <c r="E3377" t="str">
        <f>IFERROR(__xludf.DUMMYFUNCTION("""COMPUTED_VALUE"""),"Gabe")</f>
        <v>Gabe</v>
      </c>
      <c r="F3377">
        <f>IFERROR(__xludf.DUMMYFUNCTION("""COMPUTED_VALUE"""),16.8)</f>
        <v>16.8</v>
      </c>
    </row>
    <row r="3378">
      <c r="D3378" t="str">
        <f>IFERROR(__xludf.DUMMYFUNCTION("""COMPUTED_VALUE"""),"Jackson")</f>
        <v>Jackson</v>
      </c>
      <c r="E3378" t="str">
        <f>IFERROR(__xludf.DUMMYFUNCTION("""COMPUTED_VALUE"""),"Kareem")</f>
        <v>Kareem</v>
      </c>
      <c r="F3378">
        <f>IFERROR(__xludf.DUMMYFUNCTION("""COMPUTED_VALUE"""),15.600000000000001)</f>
        <v>15.6</v>
      </c>
    </row>
    <row r="3379">
      <c r="D3379" t="str">
        <f>IFERROR(__xludf.DUMMYFUNCTION("""COMPUTED_VALUE"""),"Jackson")</f>
        <v>Jackson</v>
      </c>
      <c r="E3379" t="str">
        <f>IFERROR(__xludf.DUMMYFUNCTION("""COMPUTED_VALUE"""),"Malik")</f>
        <v>Malik</v>
      </c>
      <c r="F3379">
        <f>IFERROR(__xludf.DUMMYFUNCTION("""COMPUTED_VALUE"""),16.6)</f>
        <v>16.6</v>
      </c>
    </row>
    <row r="3380">
      <c r="D3380" t="str">
        <f>IFERROR(__xludf.DUMMYFUNCTION("""COMPUTED_VALUE"""),"Jackson III")</f>
        <v>Jackson III</v>
      </c>
      <c r="E3380" t="str">
        <f>IFERROR(__xludf.DUMMYFUNCTION("""COMPUTED_VALUE"""),"William")</f>
        <v>William</v>
      </c>
      <c r="F3380">
        <f>IFERROR(__xludf.DUMMYFUNCTION("""COMPUTED_VALUE"""),14.600000000000001)</f>
        <v>14.6</v>
      </c>
    </row>
    <row r="3381">
      <c r="D3381" t="str">
        <f>IFERROR(__xludf.DUMMYFUNCTION("""COMPUTED_VALUE"""),"Jacobs")</f>
        <v>Jacobs</v>
      </c>
      <c r="E3381" t="str">
        <f>IFERROR(__xludf.DUMMYFUNCTION("""COMPUTED_VALUE"""),"Ben")</f>
        <v>Ben</v>
      </c>
      <c r="F3381">
        <f>IFERROR(__xludf.DUMMYFUNCTION("""COMPUTED_VALUE"""),12.600000000000001)</f>
        <v>12.6</v>
      </c>
    </row>
    <row r="3382">
      <c r="D3382" t="str">
        <f>IFERROR(__xludf.DUMMYFUNCTION("""COMPUTED_VALUE"""),"James")</f>
        <v>James</v>
      </c>
      <c r="E3382" t="str">
        <f>IFERROR(__xludf.DUMMYFUNCTION("""COMPUTED_VALUE"""),"Cory")</f>
        <v>Cory</v>
      </c>
      <c r="F3382">
        <f>IFERROR(__xludf.DUMMYFUNCTION("""COMPUTED_VALUE"""),13.200000000000001)</f>
        <v>13.2</v>
      </c>
    </row>
    <row r="3383">
      <c r="D3383" t="str">
        <f>IFERROR(__xludf.DUMMYFUNCTION("""COMPUTED_VALUE"""),"James")</f>
        <v>James</v>
      </c>
      <c r="E3383" t="str">
        <f>IFERROR(__xludf.DUMMYFUNCTION("""COMPUTED_VALUE"""),"JaWuan")</f>
        <v>JaWuan</v>
      </c>
      <c r="F3383">
        <f>IFERROR(__xludf.DUMMYFUNCTION("""COMPUTED_VALUE"""),15.600000000000001)</f>
        <v>15.6</v>
      </c>
    </row>
    <row r="3384">
      <c r="D3384" t="str">
        <f>IFERROR(__xludf.DUMMYFUNCTION("""COMPUTED_VALUE"""),"James")</f>
        <v>James</v>
      </c>
      <c r="E3384" t="str">
        <f>IFERROR(__xludf.DUMMYFUNCTION("""COMPUTED_VALUE"""),"Jesse")</f>
        <v>Jesse</v>
      </c>
      <c r="F3384">
        <f>IFERROR(__xludf.DUMMYFUNCTION("""COMPUTED_VALUE"""),15.600000000000001)</f>
        <v>15.6</v>
      </c>
    </row>
    <row r="3385">
      <c r="D3385" t="str">
        <f>IFERROR(__xludf.DUMMYFUNCTION("""COMPUTED_VALUE"""),"James II")</f>
        <v>James II</v>
      </c>
      <c r="E3385" t="str">
        <f>IFERROR(__xludf.DUMMYFUNCTION("""COMPUTED_VALUE"""),"Charles")</f>
        <v>Charles</v>
      </c>
      <c r="F3385">
        <f>IFERROR(__xludf.DUMMYFUNCTION("""COMPUTED_VALUE"""),14.0)</f>
        <v>14</v>
      </c>
    </row>
    <row r="3386">
      <c r="D3386" t="str">
        <f>IFERROR(__xludf.DUMMYFUNCTION("""COMPUTED_VALUE"""),"Janikowski")</f>
        <v>Janikowski</v>
      </c>
      <c r="E3386" t="str">
        <f>IFERROR(__xludf.DUMMYFUNCTION("""COMPUTED_VALUE"""),"Sebastian")</f>
        <v>Sebastian</v>
      </c>
      <c r="F3386">
        <f>IFERROR(__xludf.DUMMYFUNCTION("""COMPUTED_VALUE"""),16.0)</f>
        <v>16</v>
      </c>
    </row>
    <row r="3387">
      <c r="D3387" t="str">
        <f>IFERROR(__xludf.DUMMYFUNCTION("""COMPUTED_VALUE"""),"Janis")</f>
        <v>Janis</v>
      </c>
      <c r="E3387" t="str">
        <f>IFERROR(__xludf.DUMMYFUNCTION("""COMPUTED_VALUE"""),"Jeff")</f>
        <v>Jeff</v>
      </c>
      <c r="F3387">
        <f>IFERROR(__xludf.DUMMYFUNCTION("""COMPUTED_VALUE"""),13.600000000000001)</f>
        <v>13.6</v>
      </c>
    </row>
    <row r="3388">
      <c r="D3388" t="str">
        <f>IFERROR(__xludf.DUMMYFUNCTION("""COMPUTED_VALUE"""),"Janovich")</f>
        <v>Janovich</v>
      </c>
      <c r="E3388" t="str">
        <f>IFERROR(__xludf.DUMMYFUNCTION("""COMPUTED_VALUE"""),"Andy")</f>
        <v>Andy</v>
      </c>
      <c r="F3388">
        <f>IFERROR(__xludf.DUMMYFUNCTION("""COMPUTED_VALUE"""),16.400000000000002)</f>
        <v>16.4</v>
      </c>
    </row>
    <row r="3389">
      <c r="D3389" t="str">
        <f>IFERROR(__xludf.DUMMYFUNCTION("""COMPUTED_VALUE"""),"Jansen")</f>
        <v>Jansen</v>
      </c>
      <c r="E3389" t="str">
        <f>IFERROR(__xludf.DUMMYFUNCTION("""COMPUTED_VALUE"""),"JJ")</f>
        <v>JJ</v>
      </c>
      <c r="F3389">
        <f>IFERROR(__xludf.DUMMYFUNCTION("""COMPUTED_VALUE"""),8.8)</f>
        <v>8.8</v>
      </c>
    </row>
    <row r="3390">
      <c r="D3390" t="str">
        <f>IFERROR(__xludf.DUMMYFUNCTION("""COMPUTED_VALUE"""),"Jarrett")</f>
        <v>Jarrett</v>
      </c>
      <c r="E3390" t="str">
        <f>IFERROR(__xludf.DUMMYFUNCTION("""COMPUTED_VALUE"""),"Grady")</f>
        <v>Grady</v>
      </c>
      <c r="F3390">
        <f>IFERROR(__xludf.DUMMYFUNCTION("""COMPUTED_VALUE"""),16.400000000000002)</f>
        <v>16.4</v>
      </c>
    </row>
    <row r="3391">
      <c r="D3391" t="str">
        <f>IFERROR(__xludf.DUMMYFUNCTION("""COMPUTED_VALUE"""),"Jarwin")</f>
        <v>Jarwin</v>
      </c>
      <c r="E3391" t="str">
        <f>IFERROR(__xludf.DUMMYFUNCTION("""COMPUTED_VALUE"""),"Blake")</f>
        <v>Blake</v>
      </c>
      <c r="F3391">
        <f>IFERROR(__xludf.DUMMYFUNCTION("""COMPUTED_VALUE"""),13.4)</f>
        <v>13.4</v>
      </c>
    </row>
    <row r="3392">
      <c r="D3392" t="str">
        <f>IFERROR(__xludf.DUMMYFUNCTION("""COMPUTED_VALUE"""),"Jean Francois")</f>
        <v>Jean Francois</v>
      </c>
      <c r="E3392" t="str">
        <f>IFERROR(__xludf.DUMMYFUNCTION("""COMPUTED_VALUE"""),"Ricky")</f>
        <v>Ricky</v>
      </c>
      <c r="F3392">
        <f>IFERROR(__xludf.DUMMYFUNCTION("""COMPUTED_VALUE"""),14.600000000000001)</f>
        <v>14.6</v>
      </c>
    </row>
    <row r="3393">
      <c r="D3393" t="str">
        <f>IFERROR(__xludf.DUMMYFUNCTION("""COMPUTED_VALUE"""),"Jefferson")</f>
        <v>Jefferson</v>
      </c>
      <c r="E3393" t="str">
        <f>IFERROR(__xludf.DUMMYFUNCTION("""COMPUTED_VALUE"""),"AJ")</f>
        <v>AJ</v>
      </c>
      <c r="F3393">
        <f>IFERROR(__xludf.DUMMYFUNCTION("""COMPUTED_VALUE"""),12.600000000000001)</f>
        <v>12.6</v>
      </c>
    </row>
    <row r="3394">
      <c r="D3394" t="str">
        <f>IFERROR(__xludf.DUMMYFUNCTION("""COMPUTED_VALUE"""),"Jefferson")</f>
        <v>Jefferson</v>
      </c>
      <c r="E3394" t="str">
        <f>IFERROR(__xludf.DUMMYFUNCTION("""COMPUTED_VALUE"""),"Quinton")</f>
        <v>Quinton</v>
      </c>
      <c r="F3394">
        <f>IFERROR(__xludf.DUMMYFUNCTION("""COMPUTED_VALUE"""),13.0)</f>
        <v>13</v>
      </c>
    </row>
    <row r="3395">
      <c r="D3395" t="str">
        <f>IFERROR(__xludf.DUMMYFUNCTION("""COMPUTED_VALUE"""),"Jefferson")</f>
        <v>Jefferson</v>
      </c>
      <c r="E3395" t="str">
        <f>IFERROR(__xludf.DUMMYFUNCTION("""COMPUTED_VALUE"""),"Tony")</f>
        <v>Tony</v>
      </c>
      <c r="F3395">
        <f>IFERROR(__xludf.DUMMYFUNCTION("""COMPUTED_VALUE"""),17.6)</f>
        <v>17.6</v>
      </c>
    </row>
    <row r="3396">
      <c r="D3396" t="str">
        <f>IFERROR(__xludf.DUMMYFUNCTION("""COMPUTED_VALUE"""),"Jeffery")</f>
        <v>Jeffery</v>
      </c>
      <c r="E3396" t="str">
        <f>IFERROR(__xludf.DUMMYFUNCTION("""COMPUTED_VALUE"""),"Alshon")</f>
        <v>Alshon</v>
      </c>
      <c r="F3396">
        <f>IFERROR(__xludf.DUMMYFUNCTION("""COMPUTED_VALUE"""),17.400000000000002)</f>
        <v>17.4</v>
      </c>
    </row>
    <row r="3397">
      <c r="D3397" t="str">
        <f>IFERROR(__xludf.DUMMYFUNCTION("""COMPUTED_VALUE"""),"Jenkins")</f>
        <v>Jenkins</v>
      </c>
      <c r="E3397" t="str">
        <f>IFERROR(__xludf.DUMMYFUNCTION("""COMPUTED_VALUE"""),"Janoris")</f>
        <v>Janoris</v>
      </c>
      <c r="F3397">
        <f>IFERROR(__xludf.DUMMYFUNCTION("""COMPUTED_VALUE"""),17.8)</f>
        <v>17.8</v>
      </c>
    </row>
    <row r="3398">
      <c r="D3398" t="str">
        <f>IFERROR(__xludf.DUMMYFUNCTION("""COMPUTED_VALUE"""),"Jenkins")</f>
        <v>Jenkins</v>
      </c>
      <c r="E3398" t="str">
        <f>IFERROR(__xludf.DUMMYFUNCTION("""COMPUTED_VALUE"""),"Jarvis")</f>
        <v>Jarvis</v>
      </c>
      <c r="F3398">
        <f>IFERROR(__xludf.DUMMYFUNCTION("""COMPUTED_VALUE"""),13.600000000000001)</f>
        <v>13.6</v>
      </c>
    </row>
    <row r="3399">
      <c r="D3399" t="str">
        <f>IFERROR(__xludf.DUMMYFUNCTION("""COMPUTED_VALUE"""),"Jenkins")</f>
        <v>Jenkins</v>
      </c>
      <c r="E3399" t="str">
        <f>IFERROR(__xludf.DUMMYFUNCTION("""COMPUTED_VALUE"""),"Jelani")</f>
        <v>Jelani</v>
      </c>
      <c r="F3399">
        <f>IFERROR(__xludf.DUMMYFUNCTION("""COMPUTED_VALUE"""),14.200000000000001)</f>
        <v>14.2</v>
      </c>
    </row>
    <row r="3400">
      <c r="D3400" t="str">
        <f>IFERROR(__xludf.DUMMYFUNCTION("""COMPUTED_VALUE"""),"Jenkins")</f>
        <v>Jenkins</v>
      </c>
      <c r="E3400" t="str">
        <f>IFERROR(__xludf.DUMMYFUNCTION("""COMPUTED_VALUE"""),"John")</f>
        <v>John</v>
      </c>
      <c r="F3400">
        <f>IFERROR(__xludf.DUMMYFUNCTION("""COMPUTED_VALUE"""),13.0)</f>
        <v>13</v>
      </c>
    </row>
    <row r="3401">
      <c r="D3401" t="str">
        <f>IFERROR(__xludf.DUMMYFUNCTION("""COMPUTED_VALUE"""),"Jenkins")</f>
        <v>Jenkins</v>
      </c>
      <c r="E3401" t="str">
        <f>IFERROR(__xludf.DUMMYFUNCTION("""COMPUTED_VALUE"""),"Jordan")</f>
        <v>Jordan</v>
      </c>
      <c r="F3401">
        <f>IFERROR(__xludf.DUMMYFUNCTION("""COMPUTED_VALUE"""),13.8)</f>
        <v>13.8</v>
      </c>
    </row>
    <row r="3402">
      <c r="D3402" t="str">
        <f>IFERROR(__xludf.DUMMYFUNCTION("""COMPUTED_VALUE"""),"Jenkins")</f>
        <v>Jenkins</v>
      </c>
      <c r="E3402" t="str">
        <f>IFERROR(__xludf.DUMMYFUNCTION("""COMPUTED_VALUE"""),"Malcolm")</f>
        <v>Malcolm</v>
      </c>
      <c r="F3402">
        <f>IFERROR(__xludf.DUMMYFUNCTION("""COMPUTED_VALUE"""),17.0)</f>
        <v>17</v>
      </c>
    </row>
    <row r="3403">
      <c r="D3403" t="str">
        <f>IFERROR(__xludf.DUMMYFUNCTION("""COMPUTED_VALUE"""),"Jenkins")</f>
        <v>Jenkins</v>
      </c>
      <c r="E3403" t="str">
        <f>IFERROR(__xludf.DUMMYFUNCTION("""COMPUTED_VALUE"""),"Rayshawn")</f>
        <v>Rayshawn</v>
      </c>
      <c r="F3403">
        <f>IFERROR(__xludf.DUMMYFUNCTION("""COMPUTED_VALUE"""),14.0)</f>
        <v>14</v>
      </c>
    </row>
    <row r="3404">
      <c r="D3404" t="str">
        <f>IFERROR(__xludf.DUMMYFUNCTION("""COMPUTED_VALUE"""),"Jenkins")</f>
        <v>Jenkins</v>
      </c>
      <c r="E3404" t="str">
        <f>IFERROR(__xludf.DUMMYFUNCTION("""COMPUTED_VALUE"""),"Shaneil")</f>
        <v>Shaneil</v>
      </c>
      <c r="F3404">
        <f>IFERROR(__xludf.DUMMYFUNCTION("""COMPUTED_VALUE"""),12.4)</f>
        <v>12.4</v>
      </c>
    </row>
    <row r="3405">
      <c r="D3405" t="str">
        <f>IFERROR(__xludf.DUMMYFUNCTION("""COMPUTED_VALUE"""),"Jennings")</f>
        <v>Jennings</v>
      </c>
      <c r="E3405" t="str">
        <f>IFERROR(__xludf.DUMMYFUNCTION("""COMPUTED_VALUE"""),"Darius")</f>
        <v>Darius</v>
      </c>
      <c r="F3405">
        <f>IFERROR(__xludf.DUMMYFUNCTION("""COMPUTED_VALUE"""),12.200000000000001)</f>
        <v>12.2</v>
      </c>
    </row>
    <row r="3406">
      <c r="D3406" t="str">
        <f>IFERROR(__xludf.DUMMYFUNCTION("""COMPUTED_VALUE"""),"Jensen")</f>
        <v>Jensen</v>
      </c>
      <c r="E3406" t="str">
        <f>IFERROR(__xludf.DUMMYFUNCTION("""COMPUTED_VALUE"""),"Ryan")</f>
        <v>Ryan</v>
      </c>
      <c r="F3406">
        <f>IFERROR(__xludf.DUMMYFUNCTION("""COMPUTED_VALUE"""),14.200000000000001)</f>
        <v>14.2</v>
      </c>
    </row>
    <row r="3407">
      <c r="D3407" t="str">
        <f>IFERROR(__xludf.DUMMYFUNCTION("""COMPUTED_VALUE"""),"Jernigan")</f>
        <v>Jernigan</v>
      </c>
      <c r="E3407" t="str">
        <f>IFERROR(__xludf.DUMMYFUNCTION("""COMPUTED_VALUE"""),"Tim")</f>
        <v>Tim</v>
      </c>
      <c r="F3407">
        <f>IFERROR(__xludf.DUMMYFUNCTION("""COMPUTED_VALUE"""),16.2)</f>
        <v>16.2</v>
      </c>
    </row>
    <row r="3408">
      <c r="D3408" t="str">
        <f>IFERROR(__xludf.DUMMYFUNCTION("""COMPUTED_VALUE"""),"Jerome")</f>
        <v>Jerome</v>
      </c>
      <c r="E3408" t="str">
        <f>IFERROR(__xludf.DUMMYFUNCTION("""COMPUTED_VALUE"""),"Lorenzo")</f>
        <v>Lorenzo</v>
      </c>
      <c r="F3408">
        <f>IFERROR(__xludf.DUMMYFUNCTION("""COMPUTED_VALUE"""),12.600000000000001)</f>
        <v>12.6</v>
      </c>
    </row>
    <row r="3409">
      <c r="D3409" t="str">
        <f>IFERROR(__xludf.DUMMYFUNCTION("""COMPUTED_VALUE"""),"Jerry")</f>
        <v>Jerry</v>
      </c>
      <c r="E3409" t="str">
        <f>IFERROR(__xludf.DUMMYFUNCTION("""COMPUTED_VALUE"""),"John")</f>
        <v>John</v>
      </c>
      <c r="F3409">
        <f>IFERROR(__xludf.DUMMYFUNCTION("""COMPUTED_VALUE"""),15.4)</f>
        <v>15.4</v>
      </c>
    </row>
    <row r="3410">
      <c r="D3410" t="str">
        <f>IFERROR(__xludf.DUMMYFUNCTION("""COMPUTED_VALUE"""),"Jeter")</f>
        <v>Jeter</v>
      </c>
      <c r="E3410" t="str">
        <f>IFERROR(__xludf.DUMMYFUNCTION("""COMPUTED_VALUE"""),"Colin")</f>
        <v>Colin</v>
      </c>
      <c r="F3410">
        <f>IFERROR(__xludf.DUMMYFUNCTION("""COMPUTED_VALUE"""),13.4)</f>
        <v>13.4</v>
      </c>
    </row>
    <row r="3411">
      <c r="D3411" t="str">
        <f>IFERROR(__xludf.DUMMYFUNCTION("""COMPUTED_VALUE"""),"Joeckel")</f>
        <v>Joeckel</v>
      </c>
      <c r="E3411" t="str">
        <f>IFERROR(__xludf.DUMMYFUNCTION("""COMPUTED_VALUE"""),"Luke")</f>
        <v>Luke</v>
      </c>
      <c r="F3411">
        <f>IFERROR(__xludf.DUMMYFUNCTION("""COMPUTED_VALUE"""),15.0)</f>
        <v>15</v>
      </c>
    </row>
    <row r="3412">
      <c r="D3412" t="str">
        <f>IFERROR(__xludf.DUMMYFUNCTION("""COMPUTED_VALUE"""),"John")</f>
        <v>John</v>
      </c>
      <c r="E3412" t="str">
        <f>IFERROR(__xludf.DUMMYFUNCTION("""COMPUTED_VALUE"""),"Ulrick")</f>
        <v>Ulrick</v>
      </c>
      <c r="F3412">
        <f>IFERROR(__xludf.DUMMYFUNCTION("""COMPUTED_VALUE"""),13.8)</f>
        <v>13.8</v>
      </c>
    </row>
    <row r="3413">
      <c r="D3413" t="str">
        <f>IFERROR(__xludf.DUMMYFUNCTION("""COMPUTED_VALUE"""),"Johnson")</f>
        <v>Johnson</v>
      </c>
      <c r="E3413" t="str">
        <f>IFERROR(__xludf.DUMMYFUNCTION("""COMPUTED_VALUE"""),"Anthony")</f>
        <v>Anthony</v>
      </c>
      <c r="F3413">
        <f>IFERROR(__xludf.DUMMYFUNCTION("""COMPUTED_VALUE"""),12.4)</f>
        <v>12.4</v>
      </c>
    </row>
    <row r="3414">
      <c r="D3414" t="str">
        <f>IFERROR(__xludf.DUMMYFUNCTION("""COMPUTED_VALUE"""),"Johnson")</f>
        <v>Johnson</v>
      </c>
      <c r="E3414" t="str">
        <f>IFERROR(__xludf.DUMMYFUNCTION("""COMPUTED_VALUE"""),"Austin")</f>
        <v>Austin</v>
      </c>
      <c r="F3414">
        <f>IFERROR(__xludf.DUMMYFUNCTION("""COMPUTED_VALUE"""),14.0)</f>
        <v>14</v>
      </c>
    </row>
    <row r="3415">
      <c r="D3415" t="str">
        <f>IFERROR(__xludf.DUMMYFUNCTION("""COMPUTED_VALUE"""),"Johnson")</f>
        <v>Johnson</v>
      </c>
      <c r="E3415" t="str">
        <f>IFERROR(__xludf.DUMMYFUNCTION("""COMPUTED_VALUE"""),"Austin")</f>
        <v>Austin</v>
      </c>
      <c r="F3415">
        <f>IFERROR(__xludf.DUMMYFUNCTION("""COMPUTED_VALUE"""),13.600000000000001)</f>
        <v>13.6</v>
      </c>
    </row>
    <row r="3416">
      <c r="D3416" t="str">
        <f>IFERROR(__xludf.DUMMYFUNCTION("""COMPUTED_VALUE"""),"Johnson")</f>
        <v>Johnson</v>
      </c>
      <c r="E3416" t="str">
        <f>IFERROR(__xludf.DUMMYFUNCTION("""COMPUTED_VALUE"""),"Cam")</f>
        <v>Cam</v>
      </c>
      <c r="F3416">
        <f>IFERROR(__xludf.DUMMYFUNCTION("""COMPUTED_VALUE"""),14.200000000000001)</f>
        <v>14.2</v>
      </c>
    </row>
    <row r="3417">
      <c r="D3417" t="str">
        <f>IFERROR(__xludf.DUMMYFUNCTION("""COMPUTED_VALUE"""),"Johnson")</f>
        <v>Johnson</v>
      </c>
      <c r="E3417" t="str">
        <f>IFERROR(__xludf.DUMMYFUNCTION("""COMPUTED_VALUE"""),"Charles")</f>
        <v>Charles</v>
      </c>
      <c r="F3417">
        <f>IFERROR(__xludf.DUMMYFUNCTION("""COMPUTED_VALUE"""),14.600000000000001)</f>
        <v>14.6</v>
      </c>
    </row>
    <row r="3418">
      <c r="D3418" t="str">
        <f>IFERROR(__xludf.DUMMYFUNCTION("""COMPUTED_VALUE"""),"Johnson")</f>
        <v>Johnson</v>
      </c>
      <c r="E3418" t="str">
        <f>IFERROR(__xludf.DUMMYFUNCTION("""COMPUTED_VALUE"""),"Charles")</f>
        <v>Charles</v>
      </c>
      <c r="F3418">
        <f>IFERROR(__xludf.DUMMYFUNCTION("""COMPUTED_VALUE"""),16.6)</f>
        <v>16.6</v>
      </c>
    </row>
    <row r="3419">
      <c r="D3419" t="str">
        <f>IFERROR(__xludf.DUMMYFUNCTION("""COMPUTED_VALUE"""),"Johnson")</f>
        <v>Johnson</v>
      </c>
      <c r="E3419" t="str">
        <f>IFERROR(__xludf.DUMMYFUNCTION("""COMPUTED_VALUE"""),"David")</f>
        <v>David</v>
      </c>
      <c r="F3419">
        <f>IFERROR(__xludf.DUMMYFUNCTION("""COMPUTED_VALUE"""),18.8)</f>
        <v>18.8</v>
      </c>
    </row>
    <row r="3420">
      <c r="D3420" t="str">
        <f>IFERROR(__xludf.DUMMYFUNCTION("""COMPUTED_VALUE"""),"Johnson")</f>
        <v>Johnson</v>
      </c>
      <c r="E3420" t="str">
        <f>IFERROR(__xludf.DUMMYFUNCTION("""COMPUTED_VALUE"""),"David")</f>
        <v>David</v>
      </c>
      <c r="F3420">
        <f>IFERROR(__xludf.DUMMYFUNCTION("""COMPUTED_VALUE"""),12.8)</f>
        <v>12.8</v>
      </c>
    </row>
    <row r="3421">
      <c r="D3421" t="str">
        <f>IFERROR(__xludf.DUMMYFUNCTION("""COMPUTED_VALUE"""),"Johnson")</f>
        <v>Johnson</v>
      </c>
      <c r="E3421" t="str">
        <f>IFERROR(__xludf.DUMMYFUNCTION("""COMPUTED_VALUE"""),"Denzel")</f>
        <v>Denzel</v>
      </c>
      <c r="F3421">
        <f>IFERROR(__xludf.DUMMYFUNCTION("""COMPUTED_VALUE"""),12.200000000000001)</f>
        <v>12.2</v>
      </c>
    </row>
    <row r="3422">
      <c r="D3422" t="str">
        <f>IFERROR(__xludf.DUMMYFUNCTION("""COMPUTED_VALUE"""),"Johnson")</f>
        <v>Johnson</v>
      </c>
      <c r="E3422" t="str">
        <f>IFERROR(__xludf.DUMMYFUNCTION("""COMPUTED_VALUE"""),"Derrick")</f>
        <v>Derrick</v>
      </c>
      <c r="F3422">
        <f>IFERROR(__xludf.DUMMYFUNCTION("""COMPUTED_VALUE"""),16.6)</f>
        <v>16.6</v>
      </c>
    </row>
    <row r="3423">
      <c r="D3423" t="str">
        <f>IFERROR(__xludf.DUMMYFUNCTION("""COMPUTED_VALUE"""),"Johnson")</f>
        <v>Johnson</v>
      </c>
      <c r="E3423" t="str">
        <f>IFERROR(__xludf.DUMMYFUNCTION("""COMPUTED_VALUE"""),"Dontae")</f>
        <v>Dontae</v>
      </c>
      <c r="F3423">
        <f>IFERROR(__xludf.DUMMYFUNCTION("""COMPUTED_VALUE"""),13.8)</f>
        <v>13.8</v>
      </c>
    </row>
    <row r="3424">
      <c r="D3424" t="str">
        <f>IFERROR(__xludf.DUMMYFUNCTION("""COMPUTED_VALUE"""),"Johnson")</f>
        <v>Johnson</v>
      </c>
      <c r="E3424" t="str">
        <f>IFERROR(__xludf.DUMMYFUNCTION("""COMPUTED_VALUE"""),"Dorian")</f>
        <v>Dorian</v>
      </c>
      <c r="F3424">
        <f>IFERROR(__xludf.DUMMYFUNCTION("""COMPUTED_VALUE"""),14.200000000000001)</f>
        <v>14.2</v>
      </c>
    </row>
    <row r="3425">
      <c r="D3425" t="str">
        <f>IFERROR(__xludf.DUMMYFUNCTION("""COMPUTED_VALUE"""),"Johnson")</f>
        <v>Johnson</v>
      </c>
      <c r="E3425" t="str">
        <f>IFERROR(__xludf.DUMMYFUNCTION("""COMPUTED_VALUE"""),"George")</f>
        <v>George</v>
      </c>
      <c r="F3425">
        <f>IFERROR(__xludf.DUMMYFUNCTION("""COMPUTED_VALUE"""),14.200000000000001)</f>
        <v>14.2</v>
      </c>
    </row>
    <row r="3426">
      <c r="D3426" t="str">
        <f>IFERROR(__xludf.DUMMYFUNCTION("""COMPUTED_VALUE"""),"Johnson")</f>
        <v>Johnson</v>
      </c>
      <c r="E3426" t="str">
        <f>IFERROR(__xludf.DUMMYFUNCTION("""COMPUTED_VALUE"""),"Isaiah")</f>
        <v>Isaiah</v>
      </c>
      <c r="F3426">
        <f>IFERROR(__xludf.DUMMYFUNCTION("""COMPUTED_VALUE"""),12.0)</f>
        <v>12</v>
      </c>
    </row>
    <row r="3427">
      <c r="D3427" t="str">
        <f>IFERROR(__xludf.DUMMYFUNCTION("""COMPUTED_VALUE"""),"Johnson")</f>
        <v>Johnson</v>
      </c>
      <c r="E3427" t="str">
        <f>IFERROR(__xludf.DUMMYFUNCTION("""COMPUTED_VALUE"""),"Jadar")</f>
        <v>Jadar</v>
      </c>
      <c r="F3427">
        <f>IFERROR(__xludf.DUMMYFUNCTION("""COMPUTED_VALUE"""),11.600000000000001)</f>
        <v>11.6</v>
      </c>
    </row>
    <row r="3428">
      <c r="D3428" t="str">
        <f>IFERROR(__xludf.DUMMYFUNCTION("""COMPUTED_VALUE"""),"Johnson")</f>
        <v>Johnson</v>
      </c>
      <c r="E3428" t="str">
        <f>IFERROR(__xludf.DUMMYFUNCTION("""COMPUTED_VALUE"""),"Jaleel")</f>
        <v>Jaleel</v>
      </c>
      <c r="F3428">
        <f>IFERROR(__xludf.DUMMYFUNCTION("""COMPUTED_VALUE"""),13.8)</f>
        <v>13.8</v>
      </c>
    </row>
    <row r="3429">
      <c r="D3429" t="str">
        <f>IFERROR(__xludf.DUMMYFUNCTION("""COMPUTED_VALUE"""),"Johnson")</f>
        <v>Johnson</v>
      </c>
      <c r="E3429" t="str">
        <f>IFERROR(__xludf.DUMMYFUNCTION("""COMPUTED_VALUE"""),"John")</f>
        <v>John</v>
      </c>
      <c r="F3429">
        <f>IFERROR(__xludf.DUMMYFUNCTION("""COMPUTED_VALUE"""),14.8)</f>
        <v>14.8</v>
      </c>
    </row>
    <row r="3430">
      <c r="D3430" t="str">
        <f>IFERROR(__xludf.DUMMYFUNCTION("""COMPUTED_VALUE"""),"Johnson")</f>
        <v>Johnson</v>
      </c>
      <c r="E3430" t="str">
        <f>IFERROR(__xludf.DUMMYFUNCTION("""COMPUTED_VALUE"""),"Jordan")</f>
        <v>Jordan</v>
      </c>
      <c r="F3430">
        <f>IFERROR(__xludf.DUMMYFUNCTION("""COMPUTED_VALUE"""),12.8)</f>
        <v>12.8</v>
      </c>
    </row>
    <row r="3431">
      <c r="D3431" t="str">
        <f>IFERROR(__xludf.DUMMYFUNCTION("""COMPUTED_VALUE"""),"Johnson")</f>
        <v>Johnson</v>
      </c>
      <c r="E3431" t="str">
        <f>IFERROR(__xludf.DUMMYFUNCTION("""COMPUTED_VALUE"""),"Josh")</f>
        <v>Josh</v>
      </c>
      <c r="F3431">
        <f>IFERROR(__xludf.DUMMYFUNCTION("""COMPUTED_VALUE"""),13.200000000000001)</f>
        <v>13.2</v>
      </c>
    </row>
    <row r="3432">
      <c r="D3432" t="str">
        <f>IFERROR(__xludf.DUMMYFUNCTION("""COMPUTED_VALUE"""),"Johnson")</f>
        <v>Johnson</v>
      </c>
      <c r="E3432" t="str">
        <f>IFERROR(__xludf.DUMMYFUNCTION("""COMPUTED_VALUE"""),"Josh")</f>
        <v>Josh</v>
      </c>
      <c r="F3432">
        <f>IFERROR(__xludf.DUMMYFUNCTION("""COMPUTED_VALUE"""),12.600000000000001)</f>
        <v>12.6</v>
      </c>
    </row>
    <row r="3433">
      <c r="D3433" t="str">
        <f>IFERROR(__xludf.DUMMYFUNCTION("""COMPUTED_VALUE"""),"Johnson")</f>
        <v>Johnson</v>
      </c>
      <c r="E3433" t="str">
        <f>IFERROR(__xludf.DUMMYFUNCTION("""COMPUTED_VALUE"""),"Kaleb")</f>
        <v>Kaleb</v>
      </c>
      <c r="F3433">
        <f>IFERROR(__xludf.DUMMYFUNCTION("""COMPUTED_VALUE"""),13.4)</f>
        <v>13.4</v>
      </c>
    </row>
    <row r="3434">
      <c r="D3434" t="str">
        <f>IFERROR(__xludf.DUMMYFUNCTION("""COMPUTED_VALUE"""),"Johnson")</f>
        <v>Johnson</v>
      </c>
      <c r="E3434" t="str">
        <f>IFERROR(__xludf.DUMMYFUNCTION("""COMPUTED_VALUE"""),"Kevin")</f>
        <v>Kevin</v>
      </c>
      <c r="F3434">
        <f>IFERROR(__xludf.DUMMYFUNCTION("""COMPUTED_VALUE"""),16.0)</f>
        <v>16</v>
      </c>
    </row>
    <row r="3435">
      <c r="D3435" t="str">
        <f>IFERROR(__xludf.DUMMYFUNCTION("""COMPUTED_VALUE"""),"Johnson")</f>
        <v>Johnson</v>
      </c>
      <c r="E3435" t="str">
        <f>IFERROR(__xludf.DUMMYFUNCTION("""COMPUTED_VALUE"""),"Lane")</f>
        <v>Lane</v>
      </c>
      <c r="F3435">
        <f>IFERROR(__xludf.DUMMYFUNCTION("""COMPUTED_VALUE"""),18.0)</f>
        <v>18</v>
      </c>
    </row>
    <row r="3436">
      <c r="D3436" t="str">
        <f>IFERROR(__xludf.DUMMYFUNCTION("""COMPUTED_VALUE"""),"Johnson")</f>
        <v>Johnson</v>
      </c>
      <c r="E3436" t="str">
        <f>IFERROR(__xludf.DUMMYFUNCTION("""COMPUTED_VALUE"""),"Leonard")</f>
        <v>Leonard</v>
      </c>
      <c r="F3436">
        <f>IFERROR(__xludf.DUMMYFUNCTION("""COMPUTED_VALUE"""),14.200000000000001)</f>
        <v>14.2</v>
      </c>
    </row>
    <row r="3437">
      <c r="D3437" t="str">
        <f>IFERROR(__xludf.DUMMYFUNCTION("""COMPUTED_VALUE"""),"Johnson")</f>
        <v>Johnson</v>
      </c>
      <c r="E3437" t="str">
        <f>IFERROR(__xludf.DUMMYFUNCTION("""COMPUTED_VALUE"""),"Michael")</f>
        <v>Michael</v>
      </c>
      <c r="F3437">
        <f>IFERROR(__xludf.DUMMYFUNCTION("""COMPUTED_VALUE"""),15.200000000000001)</f>
        <v>15.2</v>
      </c>
    </row>
    <row r="3438">
      <c r="D3438" t="str">
        <f>IFERROR(__xludf.DUMMYFUNCTION("""COMPUTED_VALUE"""),"Johnson")</f>
        <v>Johnson</v>
      </c>
      <c r="E3438" t="str">
        <f>IFERROR(__xludf.DUMMYFUNCTION("""COMPUTED_VALUE"""),"Rod")</f>
        <v>Rod</v>
      </c>
      <c r="F3438">
        <f>IFERROR(__xludf.DUMMYFUNCTION("""COMPUTED_VALUE"""),14.0)</f>
        <v>14</v>
      </c>
    </row>
    <row r="3439">
      <c r="D3439" t="str">
        <f>IFERROR(__xludf.DUMMYFUNCTION("""COMPUTED_VALUE"""),"Johnson")</f>
        <v>Johnson</v>
      </c>
      <c r="E3439" t="str">
        <f>IFERROR(__xludf.DUMMYFUNCTION("""COMPUTED_VALUE"""),"Steven")</f>
        <v>Steven</v>
      </c>
      <c r="F3439">
        <f>IFERROR(__xludf.DUMMYFUNCTION("""COMPUTED_VALUE"""),13.8)</f>
        <v>13.8</v>
      </c>
    </row>
    <row r="3440">
      <c r="D3440" t="str">
        <f>IFERROR(__xludf.DUMMYFUNCTION("""COMPUTED_VALUE"""),"Johnson")</f>
        <v>Johnson</v>
      </c>
      <c r="E3440" t="str">
        <f>IFERROR(__xludf.DUMMYFUNCTION("""COMPUTED_VALUE"""),"Storm")</f>
        <v>Storm</v>
      </c>
      <c r="F3440">
        <f>IFERROR(__xludf.DUMMYFUNCTION("""COMPUTED_VALUE"""),13.4)</f>
        <v>13.4</v>
      </c>
    </row>
    <row r="3441">
      <c r="D3441" t="str">
        <f>IFERROR(__xludf.DUMMYFUNCTION("""COMPUTED_VALUE"""),"Johnson")</f>
        <v>Johnson</v>
      </c>
      <c r="E3441" t="str">
        <f>IFERROR(__xludf.DUMMYFUNCTION("""COMPUTED_VALUE"""),"TJ")</f>
        <v>TJ</v>
      </c>
      <c r="F3441">
        <f>IFERROR(__xludf.DUMMYFUNCTION("""COMPUTED_VALUE"""),13.4)</f>
        <v>13.4</v>
      </c>
    </row>
    <row r="3442">
      <c r="D3442" t="str">
        <f>IFERROR(__xludf.DUMMYFUNCTION("""COMPUTED_VALUE"""),"Johnson")</f>
        <v>Johnson</v>
      </c>
      <c r="E3442" t="str">
        <f>IFERROR(__xludf.DUMMYFUNCTION("""COMPUTED_VALUE"""),"Tom")</f>
        <v>Tom</v>
      </c>
      <c r="F3442">
        <f>IFERROR(__xludf.DUMMYFUNCTION("""COMPUTED_VALUE"""),14.200000000000001)</f>
        <v>14.2</v>
      </c>
    </row>
    <row r="3443">
      <c r="D3443" t="str">
        <f>IFERROR(__xludf.DUMMYFUNCTION("""COMPUTED_VALUE"""),"Johnson")</f>
        <v>Johnson</v>
      </c>
      <c r="E3443" t="str">
        <f>IFERROR(__xludf.DUMMYFUNCTION("""COMPUTED_VALUE"""),"Trumaine")</f>
        <v>Trumaine</v>
      </c>
      <c r="F3443">
        <f>IFERROR(__xludf.DUMMYFUNCTION("""COMPUTED_VALUE"""),16.400000000000002)</f>
        <v>16.4</v>
      </c>
    </row>
    <row r="3444">
      <c r="D3444" t="str">
        <f>IFERROR(__xludf.DUMMYFUNCTION("""COMPUTED_VALUE"""),"Johnson")</f>
        <v>Johnson</v>
      </c>
      <c r="E3444" t="str">
        <f>IFERROR(__xludf.DUMMYFUNCTION("""COMPUTED_VALUE"""),"Wesley")</f>
        <v>Wesley</v>
      </c>
      <c r="F3444">
        <f>IFERROR(__xludf.DUMMYFUNCTION("""COMPUTED_VALUE"""),14.0)</f>
        <v>14</v>
      </c>
    </row>
    <row r="3445">
      <c r="D3445" t="str">
        <f>IFERROR(__xludf.DUMMYFUNCTION("""COMPUTED_VALUE"""),"Johnson Jr")</f>
        <v>Johnson Jr</v>
      </c>
      <c r="E3445" t="str">
        <f>IFERROR(__xludf.DUMMYFUNCTION("""COMPUTED_VALUE"""),"Duke")</f>
        <v>Duke</v>
      </c>
      <c r="F3445">
        <f>IFERROR(__xludf.DUMMYFUNCTION("""COMPUTED_VALUE"""),16.0)</f>
        <v>16</v>
      </c>
    </row>
    <row r="3446">
      <c r="D3446" t="str">
        <f>IFERROR(__xludf.DUMMYFUNCTION("""COMPUTED_VALUE"""),"Jones")</f>
        <v>Jones</v>
      </c>
      <c r="E3446" t="str">
        <f>IFERROR(__xludf.DUMMYFUNCTION("""COMPUTED_VALUE"""),"Aaron")</f>
        <v>Aaron</v>
      </c>
      <c r="F3446">
        <f>IFERROR(__xludf.DUMMYFUNCTION("""COMPUTED_VALUE"""),14.0)</f>
        <v>14</v>
      </c>
    </row>
    <row r="3447">
      <c r="D3447" t="str">
        <f>IFERROR(__xludf.DUMMYFUNCTION("""COMPUTED_VALUE"""),"Jones")</f>
        <v>Jones</v>
      </c>
      <c r="E3447" t="str">
        <f>IFERROR(__xludf.DUMMYFUNCTION("""COMPUTED_VALUE"""),"Abry")</f>
        <v>Abry</v>
      </c>
      <c r="F3447">
        <f>IFERROR(__xludf.DUMMYFUNCTION("""COMPUTED_VALUE"""),16.0)</f>
        <v>16</v>
      </c>
    </row>
    <row r="3448">
      <c r="D3448" t="str">
        <f>IFERROR(__xludf.DUMMYFUNCTION("""COMPUTED_VALUE"""),"Jones")</f>
        <v>Jones</v>
      </c>
      <c r="E3448" t="str">
        <f>IFERROR(__xludf.DUMMYFUNCTION("""COMPUTED_VALUE"""),"Adam")</f>
        <v>Adam</v>
      </c>
      <c r="F3448">
        <f>IFERROR(__xludf.DUMMYFUNCTION("""COMPUTED_VALUE"""),16.2)</f>
        <v>16.2</v>
      </c>
    </row>
    <row r="3449">
      <c r="D3449" t="str">
        <f>IFERROR(__xludf.DUMMYFUNCTION("""COMPUTED_VALUE"""),"Jones")</f>
        <v>Jones</v>
      </c>
      <c r="E3449" t="str">
        <f>IFERROR(__xludf.DUMMYFUNCTION("""COMPUTED_VALUE"""),"Andy")</f>
        <v>Andy</v>
      </c>
      <c r="F3449">
        <f>IFERROR(__xludf.DUMMYFUNCTION("""COMPUTED_VALUE"""),12.8)</f>
        <v>12.8</v>
      </c>
    </row>
    <row r="3450">
      <c r="D3450" t="str">
        <f>IFERROR(__xludf.DUMMYFUNCTION("""COMPUTED_VALUE"""),"Jones")</f>
        <v>Jones</v>
      </c>
      <c r="E3450" t="str">
        <f>IFERROR(__xludf.DUMMYFUNCTION("""COMPUTED_VALUE"""),"Ben")</f>
        <v>Ben</v>
      </c>
      <c r="F3450">
        <f>IFERROR(__xludf.DUMMYFUNCTION("""COMPUTED_VALUE"""),16.6)</f>
        <v>16.6</v>
      </c>
    </row>
    <row r="3451">
      <c r="D3451" t="str">
        <f>IFERROR(__xludf.DUMMYFUNCTION("""COMPUTED_VALUE"""),"Jones")</f>
        <v>Jones</v>
      </c>
      <c r="E3451" t="str">
        <f>IFERROR(__xludf.DUMMYFUNCTION("""COMPUTED_VALUE"""),"Brett")</f>
        <v>Brett</v>
      </c>
      <c r="F3451">
        <f>IFERROR(__xludf.DUMMYFUNCTION("""COMPUTED_VALUE"""),12.8)</f>
        <v>12.8</v>
      </c>
    </row>
    <row r="3452">
      <c r="D3452" t="str">
        <f>IFERROR(__xludf.DUMMYFUNCTION("""COMPUTED_VALUE"""),"Jones")</f>
        <v>Jones</v>
      </c>
      <c r="E3452" t="str">
        <f>IFERROR(__xludf.DUMMYFUNCTION("""COMPUTED_VALUE"""),"Byron")</f>
        <v>Byron</v>
      </c>
      <c r="F3452">
        <f>IFERROR(__xludf.DUMMYFUNCTION("""COMPUTED_VALUE"""),16.8)</f>
        <v>16.8</v>
      </c>
    </row>
    <row r="3453">
      <c r="D3453" t="str">
        <f>IFERROR(__xludf.DUMMYFUNCTION("""COMPUTED_VALUE"""),"Jones")</f>
        <v>Jones</v>
      </c>
      <c r="E3453" t="str">
        <f>IFERROR(__xludf.DUMMYFUNCTION("""COMPUTED_VALUE"""),"Cardale")</f>
        <v>Cardale</v>
      </c>
      <c r="F3453">
        <f>IFERROR(__xludf.DUMMYFUNCTION("""COMPUTED_VALUE"""),13.200000000000001)</f>
        <v>13.2</v>
      </c>
    </row>
    <row r="3454">
      <c r="D3454" t="str">
        <f>IFERROR(__xludf.DUMMYFUNCTION("""COMPUTED_VALUE"""),"Jones")</f>
        <v>Jones</v>
      </c>
      <c r="E3454" t="str">
        <f>IFERROR(__xludf.DUMMYFUNCTION("""COMPUTED_VALUE"""),"Chandler")</f>
        <v>Chandler</v>
      </c>
      <c r="F3454">
        <f>IFERROR(__xludf.DUMMYFUNCTION("""COMPUTED_VALUE"""),17.6)</f>
        <v>17.6</v>
      </c>
    </row>
    <row r="3455">
      <c r="D3455" t="str">
        <f>IFERROR(__xludf.DUMMYFUNCTION("""COMPUTED_VALUE"""),"Jones")</f>
        <v>Jones</v>
      </c>
      <c r="E3455" t="str">
        <f>IFERROR(__xludf.DUMMYFUNCTION("""COMPUTED_VALUE"""),"Chris")</f>
        <v>Chris</v>
      </c>
      <c r="F3455">
        <f>IFERROR(__xludf.DUMMYFUNCTION("""COMPUTED_VALUE"""),12.200000000000001)</f>
        <v>12.2</v>
      </c>
    </row>
    <row r="3456">
      <c r="D3456" t="str">
        <f>IFERROR(__xludf.DUMMYFUNCTION("""COMPUTED_VALUE"""),"Jones")</f>
        <v>Jones</v>
      </c>
      <c r="E3456" t="str">
        <f>IFERROR(__xludf.DUMMYFUNCTION("""COMPUTED_VALUE"""),"Chris")</f>
        <v>Chris</v>
      </c>
      <c r="F3456">
        <f>IFERROR(__xludf.DUMMYFUNCTION("""COMPUTED_VALUE"""),16.8)</f>
        <v>16.8</v>
      </c>
    </row>
    <row r="3457">
      <c r="D3457" t="str">
        <f>IFERROR(__xludf.DUMMYFUNCTION("""COMPUTED_VALUE"""),"Jones")</f>
        <v>Jones</v>
      </c>
      <c r="E3457" t="str">
        <f>IFERROR(__xludf.DUMMYFUNCTION("""COMPUTED_VALUE"""),"Chris")</f>
        <v>Chris</v>
      </c>
      <c r="F3457">
        <f>IFERROR(__xludf.DUMMYFUNCTION("""COMPUTED_VALUE"""),16.6)</f>
        <v>16.6</v>
      </c>
    </row>
    <row r="3458">
      <c r="D3458" t="str">
        <f>IFERROR(__xludf.DUMMYFUNCTION("""COMPUTED_VALUE"""),"Jones")</f>
        <v>Jones</v>
      </c>
      <c r="E3458" t="str">
        <f>IFERROR(__xludf.DUMMYFUNCTION("""COMPUTED_VALUE"""),"Christian")</f>
        <v>Christian</v>
      </c>
      <c r="F3458">
        <f>IFERROR(__xludf.DUMMYFUNCTION("""COMPUTED_VALUE"""),14.600000000000001)</f>
        <v>14.6</v>
      </c>
    </row>
    <row r="3459">
      <c r="D3459" t="str">
        <f>IFERROR(__xludf.DUMMYFUNCTION("""COMPUTED_VALUE"""),"Jones")</f>
        <v>Jones</v>
      </c>
      <c r="E3459" t="str">
        <f>IFERROR(__xludf.DUMMYFUNCTION("""COMPUTED_VALUE"""),"Colin")</f>
        <v>Colin</v>
      </c>
      <c r="F3459">
        <f>IFERROR(__xludf.DUMMYFUNCTION("""COMPUTED_VALUE"""),13.0)</f>
        <v>13</v>
      </c>
    </row>
    <row r="3460">
      <c r="D3460" t="str">
        <f>IFERROR(__xludf.DUMMYFUNCTION("""COMPUTED_VALUE"""),"Jones")</f>
        <v>Jones</v>
      </c>
      <c r="E3460" t="str">
        <f>IFERROR(__xludf.DUMMYFUNCTION("""COMPUTED_VALUE"""),"Cyrus")</f>
        <v>Cyrus</v>
      </c>
      <c r="F3460">
        <f>IFERROR(__xludf.DUMMYFUNCTION("""COMPUTED_VALUE"""),13.8)</f>
        <v>13.8</v>
      </c>
    </row>
    <row r="3461">
      <c r="D3461" t="str">
        <f>IFERROR(__xludf.DUMMYFUNCTION("""COMPUTED_VALUE"""),"Jones")</f>
        <v>Jones</v>
      </c>
      <c r="E3461" t="str">
        <f>IFERROR(__xludf.DUMMYFUNCTION("""COMPUTED_VALUE"""),"DaQuan")</f>
        <v>DaQuan</v>
      </c>
      <c r="F3461">
        <f>IFERROR(__xludf.DUMMYFUNCTION("""COMPUTED_VALUE"""),15.600000000000001)</f>
        <v>15.6</v>
      </c>
    </row>
    <row r="3462">
      <c r="D3462" t="str">
        <f>IFERROR(__xludf.DUMMYFUNCTION("""COMPUTED_VALUE"""),"Jones")</f>
        <v>Jones</v>
      </c>
      <c r="E3462" t="str">
        <f>IFERROR(__xludf.DUMMYFUNCTION("""COMPUTED_VALUE"""),"Datone")</f>
        <v>Datone</v>
      </c>
      <c r="F3462">
        <f>IFERROR(__xludf.DUMMYFUNCTION("""COMPUTED_VALUE"""),15.200000000000001)</f>
        <v>15.2</v>
      </c>
    </row>
    <row r="3463">
      <c r="D3463" t="str">
        <f>IFERROR(__xludf.DUMMYFUNCTION("""COMPUTED_VALUE"""),"Jones")</f>
        <v>Jones</v>
      </c>
      <c r="E3463" t="str">
        <f>IFERROR(__xludf.DUMMYFUNCTION("""COMPUTED_VALUE"""),"Deion")</f>
        <v>Deion</v>
      </c>
      <c r="F3463">
        <f>IFERROR(__xludf.DUMMYFUNCTION("""COMPUTED_VALUE"""),16.2)</f>
        <v>16.2</v>
      </c>
    </row>
    <row r="3464">
      <c r="D3464" t="str">
        <f>IFERROR(__xludf.DUMMYFUNCTION("""COMPUTED_VALUE"""),"Jones")</f>
        <v>Jones</v>
      </c>
      <c r="E3464" t="str">
        <f>IFERROR(__xludf.DUMMYFUNCTION("""COMPUTED_VALUE"""),"Derrick")</f>
        <v>Derrick</v>
      </c>
      <c r="F3464">
        <f>IFERROR(__xludf.DUMMYFUNCTION("""COMPUTED_VALUE"""),12.600000000000001)</f>
        <v>12.6</v>
      </c>
    </row>
    <row r="3465">
      <c r="D3465" t="str">
        <f>IFERROR(__xludf.DUMMYFUNCTION("""COMPUTED_VALUE"""),"Jones")</f>
        <v>Jones</v>
      </c>
      <c r="E3465" t="str">
        <f>IFERROR(__xludf.DUMMYFUNCTION("""COMPUTED_VALUE"""),"DJ")</f>
        <v>DJ</v>
      </c>
      <c r="F3465">
        <f>IFERROR(__xludf.DUMMYFUNCTION("""COMPUTED_VALUE"""),12.8)</f>
        <v>12.8</v>
      </c>
    </row>
    <row r="3466">
      <c r="D3466" t="str">
        <f>IFERROR(__xludf.DUMMYFUNCTION("""COMPUTED_VALUE"""),"Jones")</f>
        <v>Jones</v>
      </c>
      <c r="E3466" t="str">
        <f>IFERROR(__xludf.DUMMYFUNCTION("""COMPUTED_VALUE"""),"Don")</f>
        <v>Don</v>
      </c>
      <c r="F3466">
        <f>IFERROR(__xludf.DUMMYFUNCTION("""COMPUTED_VALUE"""),13.8)</f>
        <v>13.8</v>
      </c>
    </row>
    <row r="3467">
      <c r="D3467" t="str">
        <f>IFERROR(__xludf.DUMMYFUNCTION("""COMPUTED_VALUE"""),"Jones")</f>
        <v>Jones</v>
      </c>
      <c r="E3467" t="str">
        <f>IFERROR(__xludf.DUMMYFUNCTION("""COMPUTED_VALUE"""),"Donnie")</f>
        <v>Donnie</v>
      </c>
      <c r="F3467">
        <f>IFERROR(__xludf.DUMMYFUNCTION("""COMPUTED_VALUE"""),15.200000000000001)</f>
        <v>15.2</v>
      </c>
    </row>
    <row r="3468">
      <c r="D3468" t="str">
        <f>IFERROR(__xludf.DUMMYFUNCTION("""COMPUTED_VALUE"""),"Jones")</f>
        <v>Jones</v>
      </c>
      <c r="E3468" t="str">
        <f>IFERROR(__xludf.DUMMYFUNCTION("""COMPUTED_VALUE"""),"Jamaal")</f>
        <v>Jamaal</v>
      </c>
      <c r="F3468">
        <f>IFERROR(__xludf.DUMMYFUNCTION("""COMPUTED_VALUE"""),12.200000000000001)</f>
        <v>12.2</v>
      </c>
    </row>
    <row r="3469">
      <c r="D3469" t="str">
        <f>IFERROR(__xludf.DUMMYFUNCTION("""COMPUTED_VALUE"""),"Jones")</f>
        <v>Jones</v>
      </c>
      <c r="E3469" t="str">
        <f>IFERROR(__xludf.DUMMYFUNCTION("""COMPUTED_VALUE"""),"Jarron")</f>
        <v>Jarron</v>
      </c>
      <c r="F3469">
        <f>IFERROR(__xludf.DUMMYFUNCTION("""COMPUTED_VALUE"""),12.8)</f>
        <v>12.8</v>
      </c>
    </row>
    <row r="3470">
      <c r="D3470" t="str">
        <f>IFERROR(__xludf.DUMMYFUNCTION("""COMPUTED_VALUE"""),"Jones")</f>
        <v>Jones</v>
      </c>
      <c r="E3470" t="str">
        <f>IFERROR(__xludf.DUMMYFUNCTION("""COMPUTED_VALUE"""),"Jarvis")</f>
        <v>Jarvis</v>
      </c>
      <c r="F3470">
        <f>IFERROR(__xludf.DUMMYFUNCTION("""COMPUTED_VALUE"""),15.200000000000001)</f>
        <v>15.2</v>
      </c>
    </row>
    <row r="3471">
      <c r="D3471" t="str">
        <f>IFERROR(__xludf.DUMMYFUNCTION("""COMPUTED_VALUE"""),"Jones")</f>
        <v>Jones</v>
      </c>
      <c r="E3471" t="str">
        <f>IFERROR(__xludf.DUMMYFUNCTION("""COMPUTED_VALUE"""),"Jonathan")</f>
        <v>Jonathan</v>
      </c>
      <c r="F3471">
        <f>IFERROR(__xludf.DUMMYFUNCTION("""COMPUTED_VALUE"""),12.4)</f>
        <v>12.4</v>
      </c>
    </row>
    <row r="3472">
      <c r="D3472" t="str">
        <f>IFERROR(__xludf.DUMMYFUNCTION("""COMPUTED_VALUE"""),"Jones")</f>
        <v>Jones</v>
      </c>
      <c r="E3472" t="str">
        <f>IFERROR(__xludf.DUMMYFUNCTION("""COMPUTED_VALUE"""),"Josh")</f>
        <v>Josh</v>
      </c>
      <c r="F3472">
        <f>IFERROR(__xludf.DUMMYFUNCTION("""COMPUTED_VALUE"""),14.8)</f>
        <v>14.8</v>
      </c>
    </row>
    <row r="3473">
      <c r="D3473" t="str">
        <f>IFERROR(__xludf.DUMMYFUNCTION("""COMPUTED_VALUE"""),"Jones")</f>
        <v>Jones</v>
      </c>
      <c r="E3473" t="str">
        <f>IFERROR(__xludf.DUMMYFUNCTION("""COMPUTED_VALUE"""),"Julio")</f>
        <v>Julio</v>
      </c>
      <c r="F3473">
        <f>IFERROR(__xludf.DUMMYFUNCTION("""COMPUTED_VALUE"""),19.6)</f>
        <v>19.6</v>
      </c>
    </row>
    <row r="3474">
      <c r="D3474" t="str">
        <f>IFERROR(__xludf.DUMMYFUNCTION("""COMPUTED_VALUE"""),"Jones")</f>
        <v>Jones</v>
      </c>
      <c r="E3474" t="str">
        <f>IFERROR(__xludf.DUMMYFUNCTION("""COMPUTED_VALUE"""),"Landry")</f>
        <v>Landry</v>
      </c>
      <c r="F3474">
        <f>IFERROR(__xludf.DUMMYFUNCTION("""COMPUTED_VALUE"""),13.200000000000001)</f>
        <v>13.2</v>
      </c>
    </row>
    <row r="3475">
      <c r="D3475" t="str">
        <f>IFERROR(__xludf.DUMMYFUNCTION("""COMPUTED_VALUE"""),"Jones")</f>
        <v>Jones</v>
      </c>
      <c r="E3475" t="str">
        <f>IFERROR(__xludf.DUMMYFUNCTION("""COMPUTED_VALUE"""),"Matt")</f>
        <v>Matt</v>
      </c>
      <c r="F3475">
        <f>IFERROR(__xludf.DUMMYFUNCTION("""COMPUTED_VALUE"""),13.8)</f>
        <v>13.8</v>
      </c>
    </row>
    <row r="3476">
      <c r="D3476" t="str">
        <f>IFERROR(__xludf.DUMMYFUNCTION("""COMPUTED_VALUE"""),"Jones")</f>
        <v>Jones</v>
      </c>
      <c r="E3476" t="str">
        <f>IFERROR(__xludf.DUMMYFUNCTION("""COMPUTED_VALUE"""),"Nazair")</f>
        <v>Nazair</v>
      </c>
      <c r="F3476">
        <f>IFERROR(__xludf.DUMMYFUNCTION("""COMPUTED_VALUE"""),14.200000000000001)</f>
        <v>14.2</v>
      </c>
    </row>
    <row r="3477">
      <c r="D3477" t="str">
        <f>IFERROR(__xludf.DUMMYFUNCTION("""COMPUTED_VALUE"""),"Jones")</f>
        <v>Jones</v>
      </c>
      <c r="E3477" t="str">
        <f>IFERROR(__xludf.DUMMYFUNCTION("""COMPUTED_VALUE"""),"Reshad")</f>
        <v>Reshad</v>
      </c>
      <c r="F3477">
        <f>IFERROR(__xludf.DUMMYFUNCTION("""COMPUTED_VALUE"""),18.2)</f>
        <v>18.2</v>
      </c>
    </row>
    <row r="3478">
      <c r="D3478" t="str">
        <f>IFERROR(__xludf.DUMMYFUNCTION("""COMPUTED_VALUE"""),"Jones")</f>
        <v>Jones</v>
      </c>
      <c r="E3478" t="str">
        <f>IFERROR(__xludf.DUMMYFUNCTION("""COMPUTED_VALUE"""),"Seantavius")</f>
        <v>Seantavius</v>
      </c>
      <c r="F3478">
        <f>IFERROR(__xludf.DUMMYFUNCTION("""COMPUTED_VALUE"""),12.200000000000001)</f>
        <v>12.2</v>
      </c>
    </row>
    <row r="3479">
      <c r="D3479" t="str">
        <f>IFERROR(__xludf.DUMMYFUNCTION("""COMPUTED_VALUE"""),"Jones")</f>
        <v>Jones</v>
      </c>
      <c r="E3479" t="str">
        <f>IFERROR(__xludf.DUMMYFUNCTION("""COMPUTED_VALUE"""),"Taiwan")</f>
        <v>Taiwan</v>
      </c>
      <c r="F3479">
        <f>IFERROR(__xludf.DUMMYFUNCTION("""COMPUTED_VALUE"""),14.4)</f>
        <v>14.4</v>
      </c>
    </row>
    <row r="3480">
      <c r="D3480" t="str">
        <f>IFERROR(__xludf.DUMMYFUNCTION("""COMPUTED_VALUE"""),"Jones")</f>
        <v>Jones</v>
      </c>
      <c r="E3480" t="str">
        <f>IFERROR(__xludf.DUMMYFUNCTION("""COMPUTED_VALUE"""),"TJ")</f>
        <v>TJ</v>
      </c>
      <c r="F3480">
        <f>IFERROR(__xludf.DUMMYFUNCTION("""COMPUTED_VALUE"""),13.8)</f>
        <v>13.8</v>
      </c>
    </row>
    <row r="3481">
      <c r="D3481" t="str">
        <f>IFERROR(__xludf.DUMMYFUNCTION("""COMPUTED_VALUE"""),"Jones")</f>
        <v>Jones</v>
      </c>
      <c r="E3481" t="str">
        <f>IFERROR(__xludf.DUMMYFUNCTION("""COMPUTED_VALUE"""),"Zay")</f>
        <v>Zay</v>
      </c>
      <c r="F3481">
        <f>IFERROR(__xludf.DUMMYFUNCTION("""COMPUTED_VALUE"""),14.8)</f>
        <v>14.8</v>
      </c>
    </row>
    <row r="3482">
      <c r="D3482" t="str">
        <f>IFERROR(__xludf.DUMMYFUNCTION("""COMPUTED_VALUE"""),"Jones IV")</f>
        <v>Jones IV</v>
      </c>
      <c r="E3482" t="str">
        <f>IFERROR(__xludf.DUMMYFUNCTION("""COMPUTED_VALUE"""),"Sidney")</f>
        <v>Sidney</v>
      </c>
      <c r="F3482">
        <f>IFERROR(__xludf.DUMMYFUNCTION("""COMPUTED_VALUE"""),14.8)</f>
        <v>14.8</v>
      </c>
    </row>
    <row r="3483">
      <c r="D3483" t="str">
        <f>IFERROR(__xludf.DUMMYFUNCTION("""COMPUTED_VALUE"""),"Jones Jr")</f>
        <v>Jones Jr</v>
      </c>
      <c r="E3483" t="str">
        <f>IFERROR(__xludf.DUMMYFUNCTION("""COMPUTED_VALUE"""),"Marvin")</f>
        <v>Marvin</v>
      </c>
      <c r="F3483">
        <f>IFERROR(__xludf.DUMMYFUNCTION("""COMPUTED_VALUE"""),16.8)</f>
        <v>16.8</v>
      </c>
    </row>
    <row r="3484">
      <c r="D3484" t="str">
        <f>IFERROR(__xludf.DUMMYFUNCTION("""COMPUTED_VALUE"""),"Jones-Quartey")</f>
        <v>Jones-Quartey</v>
      </c>
      <c r="E3484" t="str">
        <f>IFERROR(__xludf.DUMMYFUNCTION("""COMPUTED_VALUE"""),"Harold")</f>
        <v>Harold</v>
      </c>
      <c r="F3484">
        <f>IFERROR(__xludf.DUMMYFUNCTION("""COMPUTED_VALUE"""),14.4)</f>
        <v>14.4</v>
      </c>
    </row>
    <row r="3485">
      <c r="D3485" t="str">
        <f>IFERROR(__xludf.DUMMYFUNCTION("""COMPUTED_VALUE"""),"Jordan")</f>
        <v>Jordan</v>
      </c>
      <c r="E3485" t="str">
        <f>IFERROR(__xludf.DUMMYFUNCTION("""COMPUTED_VALUE"""),"Cameron")</f>
        <v>Cameron</v>
      </c>
      <c r="F3485">
        <f>IFERROR(__xludf.DUMMYFUNCTION("""COMPUTED_VALUE"""),18.400000000000002)</f>
        <v>18.4</v>
      </c>
    </row>
    <row r="3486">
      <c r="D3486" t="str">
        <f>IFERROR(__xludf.DUMMYFUNCTION("""COMPUTED_VALUE"""),"Jordan")</f>
        <v>Jordan</v>
      </c>
      <c r="E3486" t="str">
        <f>IFERROR(__xludf.DUMMYFUNCTION("""COMPUTED_VALUE"""),"Dion")</f>
        <v>Dion</v>
      </c>
      <c r="F3486">
        <f>IFERROR(__xludf.DUMMYFUNCTION("""COMPUTED_VALUE"""),13.600000000000001)</f>
        <v>13.6</v>
      </c>
    </row>
    <row r="3487">
      <c r="D3487" t="str">
        <f>IFERROR(__xludf.DUMMYFUNCTION("""COMPUTED_VALUE"""),"Jordan")</f>
        <v>Jordan</v>
      </c>
      <c r="E3487" t="str">
        <f>IFERROR(__xludf.DUMMYFUNCTION("""COMPUTED_VALUE"""),"Mike")</f>
        <v>Mike</v>
      </c>
      <c r="F3487">
        <f>IFERROR(__xludf.DUMMYFUNCTION("""COMPUTED_VALUE"""),13.200000000000001)</f>
        <v>13.2</v>
      </c>
    </row>
    <row r="3488">
      <c r="D3488" t="str">
        <f>IFERROR(__xludf.DUMMYFUNCTION("""COMPUTED_VALUE"""),"Joseph")</f>
        <v>Joseph</v>
      </c>
      <c r="E3488" t="str">
        <f>IFERROR(__xludf.DUMMYFUNCTION("""COMPUTED_VALUE"""),"Johnathan")</f>
        <v>Johnathan</v>
      </c>
      <c r="F3488">
        <f>IFERROR(__xludf.DUMMYFUNCTION("""COMPUTED_VALUE"""),16.6)</f>
        <v>16.6</v>
      </c>
    </row>
    <row r="3489">
      <c r="D3489" t="str">
        <f>IFERROR(__xludf.DUMMYFUNCTION("""COMPUTED_VALUE"""),"Joseph")</f>
        <v>Joseph</v>
      </c>
      <c r="E3489" t="str">
        <f>IFERROR(__xludf.DUMMYFUNCTION("""COMPUTED_VALUE"""),"Karl")</f>
        <v>Karl</v>
      </c>
      <c r="F3489">
        <f>IFERROR(__xludf.DUMMYFUNCTION("""COMPUTED_VALUE"""),16.2)</f>
        <v>16.2</v>
      </c>
    </row>
    <row r="3490">
      <c r="D3490" t="str">
        <f>IFERROR(__xludf.DUMMYFUNCTION("""COMPUTED_VALUE"""),"Joseph")</f>
        <v>Joseph</v>
      </c>
      <c r="E3490" t="str">
        <f>IFERROR(__xludf.DUMMYFUNCTION("""COMPUTED_VALUE"""),"Linval")</f>
        <v>Linval</v>
      </c>
      <c r="F3490">
        <f>IFERROR(__xludf.DUMMYFUNCTION("""COMPUTED_VALUE"""),17.2)</f>
        <v>17.2</v>
      </c>
    </row>
    <row r="3491">
      <c r="D3491" t="str">
        <f>IFERROR(__xludf.DUMMYFUNCTION("""COMPUTED_VALUE"""),"Joyner")</f>
        <v>Joyner</v>
      </c>
      <c r="E3491" t="str">
        <f>IFERROR(__xludf.DUMMYFUNCTION("""COMPUTED_VALUE"""),"Lamarcus")</f>
        <v>Lamarcus</v>
      </c>
      <c r="F3491">
        <f>IFERROR(__xludf.DUMMYFUNCTION("""COMPUTED_VALUE"""),16.400000000000002)</f>
        <v>16.4</v>
      </c>
    </row>
    <row r="3492">
      <c r="D3492" t="str">
        <f>IFERROR(__xludf.DUMMYFUNCTION("""COMPUTED_VALUE"""),"Judon")</f>
        <v>Judon</v>
      </c>
      <c r="E3492" t="str">
        <f>IFERROR(__xludf.DUMMYFUNCTION("""COMPUTED_VALUE"""),"Matthew")</f>
        <v>Matthew</v>
      </c>
      <c r="F3492">
        <f>IFERROR(__xludf.DUMMYFUNCTION("""COMPUTED_VALUE"""),14.0)</f>
        <v>14</v>
      </c>
    </row>
    <row r="3493">
      <c r="D3493" t="str">
        <f>IFERROR(__xludf.DUMMYFUNCTION("""COMPUTED_VALUE"""),"Juszczyk")</f>
        <v>Juszczyk</v>
      </c>
      <c r="E3493" t="str">
        <f>IFERROR(__xludf.DUMMYFUNCTION("""COMPUTED_VALUE"""),"Kyle")</f>
        <v>Kyle</v>
      </c>
      <c r="F3493">
        <f>IFERROR(__xludf.DUMMYFUNCTION("""COMPUTED_VALUE"""),18.2)</f>
        <v>18.2</v>
      </c>
    </row>
    <row r="3494">
      <c r="D3494" t="str">
        <f>IFERROR(__xludf.DUMMYFUNCTION("""COMPUTED_VALUE"""),"Kaaya")</f>
        <v>Kaaya</v>
      </c>
      <c r="E3494" t="str">
        <f>IFERROR(__xludf.DUMMYFUNCTION("""COMPUTED_VALUE"""),"Brad")</f>
        <v>Brad</v>
      </c>
      <c r="F3494">
        <f>IFERROR(__xludf.DUMMYFUNCTION("""COMPUTED_VALUE"""),12.8)</f>
        <v>12.8</v>
      </c>
    </row>
    <row r="3495">
      <c r="D3495" t="str">
        <f>IFERROR(__xludf.DUMMYFUNCTION("""COMPUTED_VALUE"""),"Kalil")</f>
        <v>Kalil</v>
      </c>
      <c r="E3495" t="str">
        <f>IFERROR(__xludf.DUMMYFUNCTION("""COMPUTED_VALUE"""),"Matt")</f>
        <v>Matt</v>
      </c>
      <c r="F3495">
        <f>IFERROR(__xludf.DUMMYFUNCTION("""COMPUTED_VALUE"""),15.600000000000001)</f>
        <v>15.6</v>
      </c>
    </row>
    <row r="3496">
      <c r="D3496" t="str">
        <f>IFERROR(__xludf.DUMMYFUNCTION("""COMPUTED_VALUE"""),"Kalil")</f>
        <v>Kalil</v>
      </c>
      <c r="E3496" t="str">
        <f>IFERROR(__xludf.DUMMYFUNCTION("""COMPUTED_VALUE"""),"Ryan")</f>
        <v>Ryan</v>
      </c>
      <c r="F3496">
        <f>IFERROR(__xludf.DUMMYFUNCTION("""COMPUTED_VALUE"""),16.2)</f>
        <v>16.2</v>
      </c>
    </row>
    <row r="3497">
      <c r="D3497" t="str">
        <f>IFERROR(__xludf.DUMMYFUNCTION("""COMPUTED_VALUE"""),"Kallon")</f>
        <v>Kallon</v>
      </c>
      <c r="E3497" t="str">
        <f>IFERROR(__xludf.DUMMYFUNCTION("""COMPUTED_VALUE"""),"Francis")</f>
        <v>Francis</v>
      </c>
      <c r="F3497">
        <f>IFERROR(__xludf.DUMMYFUNCTION("""COMPUTED_VALUE"""),12.200000000000001)</f>
        <v>12.2</v>
      </c>
    </row>
    <row r="3498">
      <c r="D3498" t="str">
        <f>IFERROR(__xludf.DUMMYFUNCTION("""COMPUTED_VALUE"""),"Kamalu")</f>
        <v>Kamalu</v>
      </c>
      <c r="E3498" t="str">
        <f>IFERROR(__xludf.DUMMYFUNCTION("""COMPUTED_VALUE"""),"Ufomba")</f>
        <v>Ufomba</v>
      </c>
      <c r="F3498">
        <f>IFERROR(__xludf.DUMMYFUNCTION("""COMPUTED_VALUE"""),12.200000000000001)</f>
        <v>12.2</v>
      </c>
    </row>
    <row r="3499">
      <c r="D3499" t="str">
        <f>IFERROR(__xludf.DUMMYFUNCTION("""COMPUTED_VALUE"""),"Kamara")</f>
        <v>Kamara</v>
      </c>
      <c r="E3499" t="str">
        <f>IFERROR(__xludf.DUMMYFUNCTION("""COMPUTED_VALUE"""),"Alvin")</f>
        <v>Alvin</v>
      </c>
      <c r="F3499">
        <f>IFERROR(__xludf.DUMMYFUNCTION("""COMPUTED_VALUE"""),15.200000000000001)</f>
        <v>15.2</v>
      </c>
    </row>
    <row r="3500">
      <c r="D3500" t="str">
        <f>IFERROR(__xludf.DUMMYFUNCTION("""COMPUTED_VALUE"""),"Karras")</f>
        <v>Karras</v>
      </c>
      <c r="E3500" t="str">
        <f>IFERROR(__xludf.DUMMYFUNCTION("""COMPUTED_VALUE"""),"Ted")</f>
        <v>Ted</v>
      </c>
      <c r="F3500">
        <f>IFERROR(__xludf.DUMMYFUNCTION("""COMPUTED_VALUE"""),13.0)</f>
        <v>13</v>
      </c>
    </row>
    <row r="3501">
      <c r="D3501" t="str">
        <f>IFERROR(__xludf.DUMMYFUNCTION("""COMPUTED_VALUE"""),"Kaser")</f>
        <v>Kaser</v>
      </c>
      <c r="E3501" t="str">
        <f>IFERROR(__xludf.DUMMYFUNCTION("""COMPUTED_VALUE"""),"Drew")</f>
        <v>Drew</v>
      </c>
      <c r="F3501">
        <f>IFERROR(__xludf.DUMMYFUNCTION("""COMPUTED_VALUE"""),14.4)</f>
        <v>14.4</v>
      </c>
    </row>
    <row r="3502">
      <c r="D3502" t="str">
        <f>IFERROR(__xludf.DUMMYFUNCTION("""COMPUTED_VALUE"""),"Kaufusi")</f>
        <v>Kaufusi</v>
      </c>
      <c r="E3502" t="str">
        <f>IFERROR(__xludf.DUMMYFUNCTION("""COMPUTED_VALUE"""),"Bronson")</f>
        <v>Bronson</v>
      </c>
      <c r="F3502">
        <f>IFERROR(__xludf.DUMMYFUNCTION("""COMPUTED_VALUE"""),13.8)</f>
        <v>13.8</v>
      </c>
    </row>
    <row r="3503">
      <c r="D3503" t="str">
        <f>IFERROR(__xludf.DUMMYFUNCTION("""COMPUTED_VALUE"""),"Kazee")</f>
        <v>Kazee</v>
      </c>
      <c r="E3503" t="str">
        <f>IFERROR(__xludf.DUMMYFUNCTION("""COMPUTED_VALUE"""),"Damontae")</f>
        <v>Damontae</v>
      </c>
      <c r="F3503">
        <f>IFERROR(__xludf.DUMMYFUNCTION("""COMPUTED_VALUE"""),13.600000000000001)</f>
        <v>13.6</v>
      </c>
    </row>
    <row r="3504">
      <c r="D3504" t="str">
        <f>IFERROR(__xludf.DUMMYFUNCTION("""COMPUTED_VALUE"""),"Kearse")</f>
        <v>Kearse</v>
      </c>
      <c r="E3504" t="str">
        <f>IFERROR(__xludf.DUMMYFUNCTION("""COMPUTED_VALUE"""),"Jayron")</f>
        <v>Jayron</v>
      </c>
      <c r="F3504">
        <f>IFERROR(__xludf.DUMMYFUNCTION("""COMPUTED_VALUE"""),12.8)</f>
        <v>12.8</v>
      </c>
    </row>
    <row r="3505">
      <c r="D3505" t="str">
        <f>IFERROR(__xludf.DUMMYFUNCTION("""COMPUTED_VALUE"""),"Kearse")</f>
        <v>Kearse</v>
      </c>
      <c r="E3505" t="str">
        <f>IFERROR(__xludf.DUMMYFUNCTION("""COMPUTED_VALUE"""),"Jermaine")</f>
        <v>Jermaine</v>
      </c>
      <c r="F3505">
        <f>IFERROR(__xludf.DUMMYFUNCTION("""COMPUTED_VALUE"""),16.0)</f>
        <v>16</v>
      </c>
    </row>
    <row r="3506">
      <c r="D3506" t="str">
        <f>IFERROR(__xludf.DUMMYFUNCTION("""COMPUTED_VALUE"""),"Keenum")</f>
        <v>Keenum</v>
      </c>
      <c r="E3506" t="str">
        <f>IFERROR(__xludf.DUMMYFUNCTION("""COMPUTED_VALUE"""),"Case")</f>
        <v>Case</v>
      </c>
      <c r="F3506">
        <f>IFERROR(__xludf.DUMMYFUNCTION("""COMPUTED_VALUE"""),14.600000000000001)</f>
        <v>14.6</v>
      </c>
    </row>
    <row r="3507">
      <c r="D3507" t="str">
        <f>IFERROR(__xludf.DUMMYFUNCTION("""COMPUTED_VALUE"""),"Kelce")</f>
        <v>Kelce</v>
      </c>
      <c r="E3507" t="str">
        <f>IFERROR(__xludf.DUMMYFUNCTION("""COMPUTED_VALUE"""),"Jason")</f>
        <v>Jason</v>
      </c>
      <c r="F3507">
        <f>IFERROR(__xludf.DUMMYFUNCTION("""COMPUTED_VALUE"""),15.200000000000001)</f>
        <v>15.2</v>
      </c>
    </row>
    <row r="3508">
      <c r="D3508" t="str">
        <f>IFERROR(__xludf.DUMMYFUNCTION("""COMPUTED_VALUE"""),"Kelce")</f>
        <v>Kelce</v>
      </c>
      <c r="E3508" t="str">
        <f>IFERROR(__xludf.DUMMYFUNCTION("""COMPUTED_VALUE"""),"Travis")</f>
        <v>Travis</v>
      </c>
      <c r="F3508">
        <f>IFERROR(__xludf.DUMMYFUNCTION("""COMPUTED_VALUE"""),18.8)</f>
        <v>18.8</v>
      </c>
    </row>
    <row r="3509">
      <c r="D3509" t="str">
        <f>IFERROR(__xludf.DUMMYFUNCTION("""COMPUTED_VALUE"""),"Kelemete")</f>
        <v>Kelemete</v>
      </c>
      <c r="E3509" t="str">
        <f>IFERROR(__xludf.DUMMYFUNCTION("""COMPUTED_VALUE"""),"Senio")</f>
        <v>Senio</v>
      </c>
      <c r="F3509">
        <f>IFERROR(__xludf.DUMMYFUNCTION("""COMPUTED_VALUE"""),13.8)</f>
        <v>13.8</v>
      </c>
    </row>
    <row r="3510">
      <c r="D3510" t="str">
        <f>IFERROR(__xludf.DUMMYFUNCTION("""COMPUTED_VALUE"""),"Kelley")</f>
        <v>Kelley</v>
      </c>
      <c r="E3510" t="str">
        <f>IFERROR(__xludf.DUMMYFUNCTION("""COMPUTED_VALUE"""),"Robert")</f>
        <v>Robert</v>
      </c>
      <c r="F3510">
        <f>IFERROR(__xludf.DUMMYFUNCTION("""COMPUTED_VALUE"""),15.600000000000001)</f>
        <v>15.6</v>
      </c>
    </row>
    <row r="3511">
      <c r="D3511" t="str">
        <f>IFERROR(__xludf.DUMMYFUNCTION("""COMPUTED_VALUE"""),"Kelly")</f>
        <v>Kelly</v>
      </c>
      <c r="E3511" t="str">
        <f>IFERROR(__xludf.DUMMYFUNCTION("""COMPUTED_VALUE"""),"Chad")</f>
        <v>Chad</v>
      </c>
      <c r="F3511">
        <f>IFERROR(__xludf.DUMMYFUNCTION("""COMPUTED_VALUE"""),13.600000000000001)</f>
        <v>13.6</v>
      </c>
    </row>
    <row r="3512">
      <c r="D3512" t="str">
        <f>IFERROR(__xludf.DUMMYFUNCTION("""COMPUTED_VALUE"""),"Kelly")</f>
        <v>Kelly</v>
      </c>
      <c r="E3512" t="str">
        <f>IFERROR(__xludf.DUMMYFUNCTION("""COMPUTED_VALUE"""),"Dennis")</f>
        <v>Dennis</v>
      </c>
      <c r="F3512">
        <f>IFERROR(__xludf.DUMMYFUNCTION("""COMPUTED_VALUE"""),13.600000000000001)</f>
        <v>13.6</v>
      </c>
    </row>
    <row r="3513">
      <c r="D3513" t="str">
        <f>IFERROR(__xludf.DUMMYFUNCTION("""COMPUTED_VALUE"""),"Kelly")</f>
        <v>Kelly</v>
      </c>
      <c r="E3513" t="str">
        <f>IFERROR(__xludf.DUMMYFUNCTION("""COMPUTED_VALUE"""),"Ryan")</f>
        <v>Ryan</v>
      </c>
      <c r="F3513">
        <f>IFERROR(__xludf.DUMMYFUNCTION("""COMPUTED_VALUE"""),15.8)</f>
        <v>15.8</v>
      </c>
    </row>
    <row r="3514">
      <c r="D3514" t="str">
        <f>IFERROR(__xludf.DUMMYFUNCTION("""COMPUTED_VALUE"""),"Kelsey Jr")</f>
        <v>Kelsey Jr</v>
      </c>
      <c r="E3514" t="str">
        <f>IFERROR(__xludf.DUMMYFUNCTION("""COMPUTED_VALUE"""),"Keith")</f>
        <v>Keith</v>
      </c>
      <c r="F3514">
        <f>IFERROR(__xludf.DUMMYFUNCTION("""COMPUTED_VALUE"""),12.0)</f>
        <v>12</v>
      </c>
    </row>
    <row r="3515">
      <c r="D3515" t="str">
        <f>IFERROR(__xludf.DUMMYFUNCTION("""COMPUTED_VALUE"""),"Kendricks")</f>
        <v>Kendricks</v>
      </c>
      <c r="E3515" t="str">
        <f>IFERROR(__xludf.DUMMYFUNCTION("""COMPUTED_VALUE"""),"Eric")</f>
        <v>Eric</v>
      </c>
      <c r="F3515">
        <f>IFERROR(__xludf.DUMMYFUNCTION("""COMPUTED_VALUE"""),16.0)</f>
        <v>16</v>
      </c>
    </row>
    <row r="3516">
      <c r="D3516" t="str">
        <f>IFERROR(__xludf.DUMMYFUNCTION("""COMPUTED_VALUE"""),"Kendricks")</f>
        <v>Kendricks</v>
      </c>
      <c r="E3516" t="str">
        <f>IFERROR(__xludf.DUMMYFUNCTION("""COMPUTED_VALUE"""),"Lance")</f>
        <v>Lance</v>
      </c>
      <c r="F3516">
        <f>IFERROR(__xludf.DUMMYFUNCTION("""COMPUTED_VALUE"""),14.8)</f>
        <v>14.8</v>
      </c>
    </row>
    <row r="3517">
      <c r="D3517" t="str">
        <f>IFERROR(__xludf.DUMMYFUNCTION("""COMPUTED_VALUE"""),"Kendricks")</f>
        <v>Kendricks</v>
      </c>
      <c r="E3517" t="str">
        <f>IFERROR(__xludf.DUMMYFUNCTION("""COMPUTED_VALUE"""),"Mychal")</f>
        <v>Mychal</v>
      </c>
      <c r="F3517">
        <f>IFERROR(__xludf.DUMMYFUNCTION("""COMPUTED_VALUE"""),15.4)</f>
        <v>15.4</v>
      </c>
    </row>
    <row r="3518">
      <c r="D3518" t="str">
        <f>IFERROR(__xludf.DUMMYFUNCTION("""COMPUTED_VALUE"""),"Kennard")</f>
        <v>Kennard</v>
      </c>
      <c r="E3518" t="str">
        <f>IFERROR(__xludf.DUMMYFUNCTION("""COMPUTED_VALUE"""),"Devon")</f>
        <v>Devon</v>
      </c>
      <c r="F3518">
        <f>IFERROR(__xludf.DUMMYFUNCTION("""COMPUTED_VALUE"""),16.0)</f>
        <v>16</v>
      </c>
    </row>
    <row r="3519">
      <c r="D3519" t="str">
        <f>IFERROR(__xludf.DUMMYFUNCTION("""COMPUTED_VALUE"""),"Kerin")</f>
        <v>Kerin</v>
      </c>
      <c r="E3519" t="str">
        <f>IFERROR(__xludf.DUMMYFUNCTION("""COMPUTED_VALUE"""),"Zac")</f>
        <v>Zac</v>
      </c>
      <c r="F3519">
        <f>IFERROR(__xludf.DUMMYFUNCTION("""COMPUTED_VALUE"""),12.4)</f>
        <v>12.4</v>
      </c>
    </row>
    <row r="3520">
      <c r="D3520" t="str">
        <f>IFERROR(__xludf.DUMMYFUNCTION("""COMPUTED_VALUE"""),"Kerley")</f>
        <v>Kerley</v>
      </c>
      <c r="E3520" t="str">
        <f>IFERROR(__xludf.DUMMYFUNCTION("""COMPUTED_VALUE"""),"Jeremy")</f>
        <v>Jeremy</v>
      </c>
      <c r="F3520">
        <f>IFERROR(__xludf.DUMMYFUNCTION("""COMPUTED_VALUE"""),15.4)</f>
        <v>15.4</v>
      </c>
    </row>
    <row r="3521">
      <c r="D3521" t="str">
        <f>IFERROR(__xludf.DUMMYFUNCTION("""COMPUTED_VALUE"""),"Kern")</f>
        <v>Kern</v>
      </c>
      <c r="E3521" t="str">
        <f>IFERROR(__xludf.DUMMYFUNCTION("""COMPUTED_VALUE"""),"Brett")</f>
        <v>Brett</v>
      </c>
      <c r="F3521">
        <f>IFERROR(__xludf.DUMMYFUNCTION("""COMPUTED_VALUE"""),15.600000000000001)</f>
        <v>15.6</v>
      </c>
    </row>
    <row r="3522">
      <c r="D3522" t="str">
        <f>IFERROR(__xludf.DUMMYFUNCTION("""COMPUTED_VALUE"""),"Kerr")</f>
        <v>Kerr</v>
      </c>
      <c r="E3522" t="str">
        <f>IFERROR(__xludf.DUMMYFUNCTION("""COMPUTED_VALUE"""),"Zach")</f>
        <v>Zach</v>
      </c>
      <c r="F3522">
        <f>IFERROR(__xludf.DUMMYFUNCTION("""COMPUTED_VALUE"""),14.200000000000001)</f>
        <v>14.2</v>
      </c>
    </row>
    <row r="3523">
      <c r="D3523" t="str">
        <f>IFERROR(__xludf.DUMMYFUNCTION("""COMPUTED_VALUE"""),"Kerridge")</f>
        <v>Kerridge</v>
      </c>
      <c r="E3523" t="str">
        <f>IFERROR(__xludf.DUMMYFUNCTION("""COMPUTED_VALUE"""),"Joe")</f>
        <v>Joe</v>
      </c>
      <c r="F3523">
        <f>IFERROR(__xludf.DUMMYFUNCTION("""COMPUTED_VALUE"""),12.600000000000001)</f>
        <v>12.6</v>
      </c>
    </row>
    <row r="3524">
      <c r="D3524" t="str">
        <f>IFERROR(__xludf.DUMMYFUNCTION("""COMPUTED_VALUE"""),"Kerrigan")</f>
        <v>Kerrigan</v>
      </c>
      <c r="E3524" t="str">
        <f>IFERROR(__xludf.DUMMYFUNCTION("""COMPUTED_VALUE"""),"Ryan")</f>
        <v>Ryan</v>
      </c>
      <c r="F3524">
        <f>IFERROR(__xludf.DUMMYFUNCTION("""COMPUTED_VALUE"""),17.2)</f>
        <v>17.2</v>
      </c>
    </row>
    <row r="3525">
      <c r="D3525" t="str">
        <f>IFERROR(__xludf.DUMMYFUNCTION("""COMPUTED_VALUE"""),"Kessler")</f>
        <v>Kessler</v>
      </c>
      <c r="E3525" t="str">
        <f>IFERROR(__xludf.DUMMYFUNCTION("""COMPUTED_VALUE"""),"Cody")</f>
        <v>Cody</v>
      </c>
      <c r="F3525">
        <f>IFERROR(__xludf.DUMMYFUNCTION("""COMPUTED_VALUE"""),15.0)</f>
        <v>15</v>
      </c>
    </row>
    <row r="3526">
      <c r="D3526" t="str">
        <f>IFERROR(__xludf.DUMMYFUNCTION("""COMPUTED_VALUE"""),"Keyes")</f>
        <v>Keyes</v>
      </c>
      <c r="E3526" t="str">
        <f>IFERROR(__xludf.DUMMYFUNCTION("""COMPUTED_VALUE"""),"Josh")</f>
        <v>Josh</v>
      </c>
      <c r="F3526">
        <f>IFERROR(__xludf.DUMMYFUNCTION("""COMPUTED_VALUE"""),12.4)</f>
        <v>12.4</v>
      </c>
    </row>
    <row r="3527">
      <c r="D3527" t="str">
        <f>IFERROR(__xludf.DUMMYFUNCTION("""COMPUTED_VALUE"""),"Kidder")</f>
        <v>Kidder</v>
      </c>
      <c r="E3527" t="str">
        <f>IFERROR(__xludf.DUMMYFUNCTION("""COMPUTED_VALUE"""),"Caleb")</f>
        <v>Caleb</v>
      </c>
      <c r="F3527">
        <f>IFERROR(__xludf.DUMMYFUNCTION("""COMPUTED_VALUE"""),12.8)</f>
        <v>12.8</v>
      </c>
    </row>
    <row r="3528">
      <c r="D3528" t="str">
        <f>IFERROR(__xludf.DUMMYFUNCTION("""COMPUTED_VALUE"""),"Kikaha")</f>
        <v>Kikaha</v>
      </c>
      <c r="E3528" t="str">
        <f>IFERROR(__xludf.DUMMYFUNCTION("""COMPUTED_VALUE"""),"Hauoli")</f>
        <v>Hauoli</v>
      </c>
      <c r="F3528">
        <f>IFERROR(__xludf.DUMMYFUNCTION("""COMPUTED_VALUE"""),14.600000000000001)</f>
        <v>14.6</v>
      </c>
    </row>
    <row r="3529">
      <c r="D3529" t="str">
        <f>IFERROR(__xludf.DUMMYFUNCTION("""COMPUTED_VALUE"""),"Kilgo")</f>
        <v>Kilgo</v>
      </c>
      <c r="E3529" t="str">
        <f>IFERROR(__xludf.DUMMYFUNCTION("""COMPUTED_VALUE"""),"Darius")</f>
        <v>Darius</v>
      </c>
      <c r="F3529">
        <f>IFERROR(__xludf.DUMMYFUNCTION("""COMPUTED_VALUE"""),12.4)</f>
        <v>12.4</v>
      </c>
    </row>
    <row r="3530">
      <c r="D3530" t="str">
        <f>IFERROR(__xludf.DUMMYFUNCTION("""COMPUTED_VALUE"""),"Kilgore")</f>
        <v>Kilgore</v>
      </c>
      <c r="E3530" t="str">
        <f>IFERROR(__xludf.DUMMYFUNCTION("""COMPUTED_VALUE"""),"Daniel")</f>
        <v>Daniel</v>
      </c>
      <c r="F3530">
        <f>IFERROR(__xludf.DUMMYFUNCTION("""COMPUTED_VALUE"""),14.200000000000001)</f>
        <v>14.2</v>
      </c>
    </row>
    <row r="3531">
      <c r="D3531" t="str">
        <f>IFERROR(__xludf.DUMMYFUNCTION("""COMPUTED_VALUE"""),"Killebrew")</f>
        <v>Killebrew</v>
      </c>
      <c r="E3531" t="str">
        <f>IFERROR(__xludf.DUMMYFUNCTION("""COMPUTED_VALUE"""),"Miles")</f>
        <v>Miles</v>
      </c>
      <c r="F3531">
        <f>IFERROR(__xludf.DUMMYFUNCTION("""COMPUTED_VALUE"""),13.4)</f>
        <v>13.4</v>
      </c>
    </row>
    <row r="3532">
      <c r="D3532" t="str">
        <f>IFERROR(__xludf.DUMMYFUNCTION("""COMPUTED_VALUE"""),"Kindred")</f>
        <v>Kindred</v>
      </c>
      <c r="E3532" t="str">
        <f>IFERROR(__xludf.DUMMYFUNCTION("""COMPUTED_VALUE"""),"Derrick")</f>
        <v>Derrick</v>
      </c>
      <c r="F3532">
        <f>IFERROR(__xludf.DUMMYFUNCTION("""COMPUTED_VALUE"""),13.200000000000001)</f>
        <v>13.2</v>
      </c>
    </row>
    <row r="3533">
      <c r="D3533" t="str">
        <f>IFERROR(__xludf.DUMMYFUNCTION("""COMPUTED_VALUE"""),"King")</f>
        <v>King</v>
      </c>
      <c r="E3533" t="str">
        <f>IFERROR(__xludf.DUMMYFUNCTION("""COMPUTED_VALUE"""),"Akeem")</f>
        <v>Akeem</v>
      </c>
      <c r="F3533">
        <f>IFERROR(__xludf.DUMMYFUNCTION("""COMPUTED_VALUE"""),11.4)</f>
        <v>11.4</v>
      </c>
    </row>
    <row r="3534">
      <c r="D3534" t="str">
        <f>IFERROR(__xludf.DUMMYFUNCTION("""COMPUTED_VALUE"""),"King")</f>
        <v>King</v>
      </c>
      <c r="E3534" t="str">
        <f>IFERROR(__xludf.DUMMYFUNCTION("""COMPUTED_VALUE"""),"Brandon")</f>
        <v>Brandon</v>
      </c>
      <c r="F3534">
        <f>IFERROR(__xludf.DUMMYFUNCTION("""COMPUTED_VALUE"""),12.4)</f>
        <v>12.4</v>
      </c>
    </row>
    <row r="3535">
      <c r="D3535" t="str">
        <f>IFERROR(__xludf.DUMMYFUNCTION("""COMPUTED_VALUE"""),"King")</f>
        <v>King</v>
      </c>
      <c r="E3535" t="str">
        <f>IFERROR(__xludf.DUMMYFUNCTION("""COMPUTED_VALUE"""),"David")</f>
        <v>David</v>
      </c>
      <c r="F3535">
        <f>IFERROR(__xludf.DUMMYFUNCTION("""COMPUTED_VALUE"""),12.8)</f>
        <v>12.8</v>
      </c>
    </row>
    <row r="3536">
      <c r="D3536" t="str">
        <f>IFERROR(__xludf.DUMMYFUNCTION("""COMPUTED_VALUE"""),"King")</f>
        <v>King</v>
      </c>
      <c r="E3536" t="str">
        <f>IFERROR(__xludf.DUMMYFUNCTION("""COMPUTED_VALUE"""),"Desmond")</f>
        <v>Desmond</v>
      </c>
      <c r="F3536">
        <f>IFERROR(__xludf.DUMMYFUNCTION("""COMPUTED_VALUE"""),13.4)</f>
        <v>13.4</v>
      </c>
    </row>
    <row r="3537">
      <c r="D3537" t="str">
        <f>IFERROR(__xludf.DUMMYFUNCTION("""COMPUTED_VALUE"""),"King")</f>
        <v>King</v>
      </c>
      <c r="E3537" t="str">
        <f>IFERROR(__xludf.DUMMYFUNCTION("""COMPUTED_VALUE"""),"Kevin")</f>
        <v>Kevin</v>
      </c>
      <c r="F3537">
        <f>IFERROR(__xludf.DUMMYFUNCTION("""COMPUTED_VALUE"""),14.200000000000001)</f>
        <v>14.2</v>
      </c>
    </row>
    <row r="3538">
      <c r="D3538" t="str">
        <f>IFERROR(__xludf.DUMMYFUNCTION("""COMPUTED_VALUE"""),"King")</f>
        <v>King</v>
      </c>
      <c r="E3538" t="str">
        <f>IFERROR(__xludf.DUMMYFUNCTION("""COMPUTED_VALUE"""),"Marquette")</f>
        <v>Marquette</v>
      </c>
      <c r="F3538">
        <f>IFERROR(__xludf.DUMMYFUNCTION("""COMPUTED_VALUE"""),17.0)</f>
        <v>17</v>
      </c>
    </row>
    <row r="3539">
      <c r="D3539" t="str">
        <f>IFERROR(__xludf.DUMMYFUNCTION("""COMPUTED_VALUE"""),"King")</f>
        <v>King</v>
      </c>
      <c r="E3539" t="str">
        <f>IFERROR(__xludf.DUMMYFUNCTION("""COMPUTED_VALUE"""),"Tavarres")</f>
        <v>Tavarres</v>
      </c>
      <c r="F3539">
        <f>IFERROR(__xludf.DUMMYFUNCTION("""COMPUTED_VALUE"""),13.4)</f>
        <v>13.4</v>
      </c>
    </row>
    <row r="3540">
      <c r="D3540" t="str">
        <f>IFERROR(__xludf.DUMMYFUNCTION("""COMPUTED_VALUE"""),"Kirkland")</f>
        <v>Kirkland</v>
      </c>
      <c r="E3540" t="str">
        <f>IFERROR(__xludf.DUMMYFUNCTION("""COMPUTED_VALUE"""),"Denver")</f>
        <v>Denver</v>
      </c>
      <c r="F3540">
        <f>IFERROR(__xludf.DUMMYFUNCTION("""COMPUTED_VALUE"""),13.8)</f>
        <v>13.8</v>
      </c>
    </row>
    <row r="3541">
      <c r="D3541" t="str">
        <f>IFERROR(__xludf.DUMMYFUNCTION("""COMPUTED_VALUE"""),"Kirkpatrick")</f>
        <v>Kirkpatrick</v>
      </c>
      <c r="E3541" t="str">
        <f>IFERROR(__xludf.DUMMYFUNCTION("""COMPUTED_VALUE"""),"Dre")</f>
        <v>Dre</v>
      </c>
      <c r="F3541">
        <f>IFERROR(__xludf.DUMMYFUNCTION("""COMPUTED_VALUE"""),15.600000000000001)</f>
        <v>15.6</v>
      </c>
    </row>
    <row r="3542">
      <c r="D3542" t="str">
        <f>IFERROR(__xludf.DUMMYFUNCTION("""COMPUTED_VALUE"""),"Kirksey")</f>
        <v>Kirksey</v>
      </c>
      <c r="E3542" t="str">
        <f>IFERROR(__xludf.DUMMYFUNCTION("""COMPUTED_VALUE"""),"Christian")</f>
        <v>Christian</v>
      </c>
      <c r="F3542">
        <f>IFERROR(__xludf.DUMMYFUNCTION("""COMPUTED_VALUE"""),16.400000000000002)</f>
        <v>16.4</v>
      </c>
    </row>
    <row r="3543">
      <c r="D3543" t="str">
        <f>IFERROR(__xludf.DUMMYFUNCTION("""COMPUTED_VALUE"""),"Kittle")</f>
        <v>Kittle</v>
      </c>
      <c r="E3543" t="str">
        <f>IFERROR(__xludf.DUMMYFUNCTION("""COMPUTED_VALUE"""),"George")</f>
        <v>George</v>
      </c>
      <c r="F3543">
        <f>IFERROR(__xludf.DUMMYFUNCTION("""COMPUTED_VALUE"""),14.4)</f>
        <v>14.4</v>
      </c>
    </row>
    <row r="3544">
      <c r="D3544" t="str">
        <f>IFERROR(__xludf.DUMMYFUNCTION("""COMPUTED_VALUE"""),"Kizer")</f>
        <v>Kizer</v>
      </c>
      <c r="E3544" t="str">
        <f>IFERROR(__xludf.DUMMYFUNCTION("""COMPUTED_VALUE"""),"DeShone")</f>
        <v>DeShone</v>
      </c>
      <c r="F3544">
        <f>IFERROR(__xludf.DUMMYFUNCTION("""COMPUTED_VALUE"""),15.0)</f>
        <v>15</v>
      </c>
    </row>
    <row r="3545">
      <c r="D3545" t="str">
        <f>IFERROR(__xludf.DUMMYFUNCTION("""COMPUTED_VALUE"""),"Klein")</f>
        <v>Klein</v>
      </c>
      <c r="E3545" t="str">
        <f>IFERROR(__xludf.DUMMYFUNCTION("""COMPUTED_VALUE"""),"AJ")</f>
        <v>AJ</v>
      </c>
      <c r="F3545">
        <f>IFERROR(__xludf.DUMMYFUNCTION("""COMPUTED_VALUE"""),14.4)</f>
        <v>14.4</v>
      </c>
    </row>
    <row r="3546">
      <c r="D3546" t="str">
        <f>IFERROR(__xludf.DUMMYFUNCTION("""COMPUTED_VALUE"""),"Kline")</f>
        <v>Kline</v>
      </c>
      <c r="E3546" t="str">
        <f>IFERROR(__xludf.DUMMYFUNCTION("""COMPUTED_VALUE"""),"Josh")</f>
        <v>Josh</v>
      </c>
      <c r="F3546">
        <f>IFERROR(__xludf.DUMMYFUNCTION("""COMPUTED_VALUE"""),16.0)</f>
        <v>16</v>
      </c>
    </row>
    <row r="3547">
      <c r="D3547" t="str">
        <f>IFERROR(__xludf.DUMMYFUNCTION("""COMPUTED_VALUE"""),"Klug")</f>
        <v>Klug</v>
      </c>
      <c r="E3547" t="str">
        <f>IFERROR(__xludf.DUMMYFUNCTION("""COMPUTED_VALUE"""),"Karl")</f>
        <v>Karl</v>
      </c>
      <c r="F3547">
        <f>IFERROR(__xludf.DUMMYFUNCTION("""COMPUTED_VALUE"""),16.0)</f>
        <v>16</v>
      </c>
    </row>
    <row r="3548">
      <c r="D3548" t="str">
        <f>IFERROR(__xludf.DUMMYFUNCTION("""COMPUTED_VALUE"""),"Koch")</f>
        <v>Koch</v>
      </c>
      <c r="E3548" t="str">
        <f>IFERROR(__xludf.DUMMYFUNCTION("""COMPUTED_VALUE"""),"Sam")</f>
        <v>Sam</v>
      </c>
      <c r="F3548">
        <f>IFERROR(__xludf.DUMMYFUNCTION("""COMPUTED_VALUE"""),16.8)</f>
        <v>16.8</v>
      </c>
    </row>
    <row r="3549">
      <c r="D3549" t="str">
        <f>IFERROR(__xludf.DUMMYFUNCTION("""COMPUTED_VALUE"""),"Kouandjio")</f>
        <v>Kouandjio</v>
      </c>
      <c r="E3549" t="str">
        <f>IFERROR(__xludf.DUMMYFUNCTION("""COMPUTED_VALUE"""),"Arie")</f>
        <v>Arie</v>
      </c>
      <c r="F3549">
        <f>IFERROR(__xludf.DUMMYFUNCTION("""COMPUTED_VALUE"""),12.600000000000001)</f>
        <v>12.6</v>
      </c>
    </row>
    <row r="3550">
      <c r="D3550" t="str">
        <f>IFERROR(__xludf.DUMMYFUNCTION("""COMPUTED_VALUE"""),"Kouandjio")</f>
        <v>Kouandjio</v>
      </c>
      <c r="E3550" t="str">
        <f>IFERROR(__xludf.DUMMYFUNCTION("""COMPUTED_VALUE"""),"Cyrus")</f>
        <v>Cyrus</v>
      </c>
      <c r="F3550">
        <f>IFERROR(__xludf.DUMMYFUNCTION("""COMPUTED_VALUE"""),14.4)</f>
        <v>14.4</v>
      </c>
    </row>
    <row r="3551">
      <c r="D3551" t="str">
        <f>IFERROR(__xludf.DUMMYFUNCTION("""COMPUTED_VALUE"""),"Koyack")</f>
        <v>Koyack</v>
      </c>
      <c r="E3551" t="str">
        <f>IFERROR(__xludf.DUMMYFUNCTION("""COMPUTED_VALUE"""),"Ben")</f>
        <v>Ben</v>
      </c>
      <c r="F3551">
        <f>IFERROR(__xludf.DUMMYFUNCTION("""COMPUTED_VALUE"""),13.200000000000001)</f>
        <v>13.2</v>
      </c>
    </row>
    <row r="3552">
      <c r="D3552" t="str">
        <f>IFERROR(__xludf.DUMMYFUNCTION("""COMPUTED_VALUE"""),"Kpassagnon")</f>
        <v>Kpassagnon</v>
      </c>
      <c r="E3552" t="str">
        <f>IFERROR(__xludf.DUMMYFUNCTION("""COMPUTED_VALUE"""),"Tanoh")</f>
        <v>Tanoh</v>
      </c>
      <c r="F3552">
        <f>IFERROR(__xludf.DUMMYFUNCTION("""COMPUTED_VALUE"""),13.8)</f>
        <v>13.8</v>
      </c>
    </row>
    <row r="3553">
      <c r="D3553" t="str">
        <f>IFERROR(__xludf.DUMMYFUNCTION("""COMPUTED_VALUE"""),"Krause")</f>
        <v>Krause</v>
      </c>
      <c r="E3553" t="str">
        <f>IFERROR(__xludf.DUMMYFUNCTION("""COMPUTED_VALUE"""),"Jonathan")</f>
        <v>Jonathan</v>
      </c>
      <c r="F3553">
        <f>IFERROR(__xludf.DUMMYFUNCTION("""COMPUTED_VALUE"""),11.600000000000001)</f>
        <v>11.6</v>
      </c>
    </row>
    <row r="3554">
      <c r="D3554" t="str">
        <f>IFERROR(__xludf.DUMMYFUNCTION("""COMPUTED_VALUE"""),"Kreiter")</f>
        <v>Kreiter</v>
      </c>
      <c r="E3554" t="str">
        <f>IFERROR(__xludf.DUMMYFUNCTION("""COMPUTED_VALUE"""),"Casey")</f>
        <v>Casey</v>
      </c>
      <c r="F3554">
        <f>IFERROR(__xludf.DUMMYFUNCTION("""COMPUTED_VALUE"""),8.200000000000001)</f>
        <v>8.2</v>
      </c>
    </row>
    <row r="3555">
      <c r="D3555" t="str">
        <f>IFERROR(__xludf.DUMMYFUNCTION("""COMPUTED_VALUE"""),"Krieger-Coble")</f>
        <v>Krieger-Coble</v>
      </c>
      <c r="E3555" t="str">
        <f>IFERROR(__xludf.DUMMYFUNCTION("""COMPUTED_VALUE"""),"Henry")</f>
        <v>Henry</v>
      </c>
      <c r="F3555">
        <f>IFERROR(__xludf.DUMMYFUNCTION("""COMPUTED_VALUE"""),12.200000000000001)</f>
        <v>12.2</v>
      </c>
    </row>
    <row r="3556">
      <c r="D3556" t="str">
        <f>IFERROR(__xludf.DUMMYFUNCTION("""COMPUTED_VALUE"""),"Kroft")</f>
        <v>Kroft</v>
      </c>
      <c r="E3556" t="str">
        <f>IFERROR(__xludf.DUMMYFUNCTION("""COMPUTED_VALUE"""),"Tyler")</f>
        <v>Tyler</v>
      </c>
      <c r="F3556">
        <f>IFERROR(__xludf.DUMMYFUNCTION("""COMPUTED_VALUE"""),13.8)</f>
        <v>13.8</v>
      </c>
    </row>
    <row r="3557">
      <c r="D3557" t="str">
        <f>IFERROR(__xludf.DUMMYFUNCTION("""COMPUTED_VALUE"""),"Kuechly")</f>
        <v>Kuechly</v>
      </c>
      <c r="E3557" t="str">
        <f>IFERROR(__xludf.DUMMYFUNCTION("""COMPUTED_VALUE"""),"Luke")</f>
        <v>Luke</v>
      </c>
      <c r="F3557">
        <f>IFERROR(__xludf.DUMMYFUNCTION("""COMPUTED_VALUE"""),19.6)</f>
        <v>19.6</v>
      </c>
    </row>
    <row r="3558">
      <c r="D3558" t="str">
        <f>IFERROR(__xludf.DUMMYFUNCTION("""COMPUTED_VALUE"""),"Kuhn")</f>
        <v>Kuhn</v>
      </c>
      <c r="E3558" t="str">
        <f>IFERROR(__xludf.DUMMYFUNCTION("""COMPUTED_VALUE"""),"John")</f>
        <v>John</v>
      </c>
      <c r="F3558">
        <f>IFERROR(__xludf.DUMMYFUNCTION("""COMPUTED_VALUE"""),16.0)</f>
        <v>16</v>
      </c>
    </row>
    <row r="3559">
      <c r="D3559" t="str">
        <f>IFERROR(__xludf.DUMMYFUNCTION("""COMPUTED_VALUE"""),"Kupp")</f>
        <v>Kupp</v>
      </c>
      <c r="E3559" t="str">
        <f>IFERROR(__xludf.DUMMYFUNCTION("""COMPUTED_VALUE"""),"Cooper")</f>
        <v>Cooper</v>
      </c>
      <c r="F3559">
        <f>IFERROR(__xludf.DUMMYFUNCTION("""COMPUTED_VALUE"""),14.8)</f>
        <v>14.8</v>
      </c>
    </row>
    <row r="3560">
      <c r="D3560" t="str">
        <f>IFERROR(__xludf.DUMMYFUNCTION("""COMPUTED_VALUE"""),"Kush")</f>
        <v>Kush</v>
      </c>
      <c r="E3560" t="str">
        <f>IFERROR(__xludf.DUMMYFUNCTION("""COMPUTED_VALUE"""),"Eric")</f>
        <v>Eric</v>
      </c>
      <c r="F3560">
        <f>IFERROR(__xludf.DUMMYFUNCTION("""COMPUTED_VALUE"""),13.8)</f>
        <v>13.8</v>
      </c>
    </row>
    <row r="3561">
      <c r="D3561" t="str">
        <f>IFERROR(__xludf.DUMMYFUNCTION("""COMPUTED_VALUE"""),"Kwiatkoski")</f>
        <v>Kwiatkoski</v>
      </c>
      <c r="E3561" t="str">
        <f>IFERROR(__xludf.DUMMYFUNCTION("""COMPUTED_VALUE"""),"Nick")</f>
        <v>Nick</v>
      </c>
      <c r="F3561">
        <f>IFERROR(__xludf.DUMMYFUNCTION("""COMPUTED_VALUE"""),15.0)</f>
        <v>15</v>
      </c>
    </row>
    <row r="3562">
      <c r="D3562" t="str">
        <f>IFERROR(__xludf.DUMMYFUNCTION("""COMPUTED_VALUE"""),"LaCosse")</f>
        <v>LaCosse</v>
      </c>
      <c r="E3562" t="str">
        <f>IFERROR(__xludf.DUMMYFUNCTION("""COMPUTED_VALUE"""),"Matt")</f>
        <v>Matt</v>
      </c>
      <c r="F3562">
        <f>IFERROR(__xludf.DUMMYFUNCTION("""COMPUTED_VALUE"""),13.200000000000001)</f>
        <v>13.2</v>
      </c>
    </row>
    <row r="3563">
      <c r="D3563" t="str">
        <f>IFERROR(__xludf.DUMMYFUNCTION("""COMPUTED_VALUE"""),"Lacy")</f>
        <v>Lacy</v>
      </c>
      <c r="E3563" t="str">
        <f>IFERROR(__xludf.DUMMYFUNCTION("""COMPUTED_VALUE"""),"Eddie")</f>
        <v>Eddie</v>
      </c>
      <c r="F3563">
        <f>IFERROR(__xludf.DUMMYFUNCTION("""COMPUTED_VALUE"""),16.400000000000002)</f>
        <v>16.4</v>
      </c>
    </row>
    <row r="3564">
      <c r="D3564" t="str">
        <f>IFERROR(__xludf.DUMMYFUNCTION("""COMPUTED_VALUE"""),"LaDouceur")</f>
        <v>LaDouceur</v>
      </c>
      <c r="E3564" t="str">
        <f>IFERROR(__xludf.DUMMYFUNCTION("""COMPUTED_VALUE"""),"LP")</f>
        <v>LP</v>
      </c>
      <c r="F3564">
        <f>IFERROR(__xludf.DUMMYFUNCTION("""COMPUTED_VALUE"""),9.600000000000001)</f>
        <v>9.6</v>
      </c>
    </row>
    <row r="3565">
      <c r="D3565" t="str">
        <f>IFERROR(__xludf.DUMMYFUNCTION("""COMPUTED_VALUE"""),"LaFell")</f>
        <v>LaFell</v>
      </c>
      <c r="E3565" t="str">
        <f>IFERROR(__xludf.DUMMYFUNCTION("""COMPUTED_VALUE"""),"Brandon")</f>
        <v>Brandon</v>
      </c>
      <c r="F3565">
        <f>IFERROR(__xludf.DUMMYFUNCTION("""COMPUTED_VALUE"""),16.400000000000002)</f>
        <v>16.4</v>
      </c>
    </row>
    <row r="3566">
      <c r="D3566" t="str">
        <f>IFERROR(__xludf.DUMMYFUNCTION("""COMPUTED_VALUE"""),"Lambert")</f>
        <v>Lambert</v>
      </c>
      <c r="E3566" t="str">
        <f>IFERROR(__xludf.DUMMYFUNCTION("""COMPUTED_VALUE"""),"DaVonte")</f>
        <v>DaVonte</v>
      </c>
      <c r="F3566">
        <f>IFERROR(__xludf.DUMMYFUNCTION("""COMPUTED_VALUE"""),12.8)</f>
        <v>12.8</v>
      </c>
    </row>
    <row r="3567">
      <c r="D3567" t="str">
        <f>IFERROR(__xludf.DUMMYFUNCTION("""COMPUTED_VALUE"""),"Lambo")</f>
        <v>Lambo</v>
      </c>
      <c r="E3567" t="str">
        <f>IFERROR(__xludf.DUMMYFUNCTION("""COMPUTED_VALUE"""),"Josh")</f>
        <v>Josh</v>
      </c>
      <c r="F3567">
        <f>IFERROR(__xludf.DUMMYFUNCTION("""COMPUTED_VALUE"""),15.200000000000001)</f>
        <v>15.2</v>
      </c>
    </row>
    <row r="3568">
      <c r="D3568" t="str">
        <f>IFERROR(__xludf.DUMMYFUNCTION("""COMPUTED_VALUE"""),"Lamm")</f>
        <v>Lamm</v>
      </c>
      <c r="E3568" t="str">
        <f>IFERROR(__xludf.DUMMYFUNCTION("""COMPUTED_VALUE"""),"Kendall")</f>
        <v>Kendall</v>
      </c>
      <c r="F3568">
        <f>IFERROR(__xludf.DUMMYFUNCTION("""COMPUTED_VALUE"""),13.200000000000001)</f>
        <v>13.2</v>
      </c>
    </row>
    <row r="3569">
      <c r="D3569" t="str">
        <f>IFERROR(__xludf.DUMMYFUNCTION("""COMPUTED_VALUE"""),"Lamp")</f>
        <v>Lamp</v>
      </c>
      <c r="E3569" t="str">
        <f>IFERROR(__xludf.DUMMYFUNCTION("""COMPUTED_VALUE"""),"Forrest")</f>
        <v>Forrest</v>
      </c>
      <c r="F3569">
        <f>IFERROR(__xludf.DUMMYFUNCTION("""COMPUTED_VALUE"""),15.8)</f>
        <v>15.8</v>
      </c>
    </row>
    <row r="3570">
      <c r="D3570" t="str">
        <f>IFERROR(__xludf.DUMMYFUNCTION("""COMPUTED_VALUE"""),"Lampman")</f>
        <v>Lampman</v>
      </c>
      <c r="E3570" t="str">
        <f>IFERROR(__xludf.DUMMYFUNCTION("""COMPUTED_VALUE"""),"Jake")</f>
        <v>Jake</v>
      </c>
      <c r="F3570">
        <f>IFERROR(__xludf.DUMMYFUNCTION("""COMPUTED_VALUE"""),12.200000000000001)</f>
        <v>12.2</v>
      </c>
    </row>
    <row r="3571">
      <c r="D3571" t="str">
        <f>IFERROR(__xludf.DUMMYFUNCTION("""COMPUTED_VALUE"""),"Lamur")</f>
        <v>Lamur</v>
      </c>
      <c r="E3571" t="str">
        <f>IFERROR(__xludf.DUMMYFUNCTION("""COMPUTED_VALUE"""),"Emmanuel")</f>
        <v>Emmanuel</v>
      </c>
      <c r="F3571">
        <f>IFERROR(__xludf.DUMMYFUNCTION("""COMPUTED_VALUE"""),14.4)</f>
        <v>14.4</v>
      </c>
    </row>
    <row r="3572">
      <c r="D3572" t="str">
        <f>IFERROR(__xludf.DUMMYFUNCTION("""COMPUTED_VALUE"""),"Landrum")</f>
        <v>Landrum</v>
      </c>
      <c r="E3572" t="str">
        <f>IFERROR(__xludf.DUMMYFUNCTION("""COMPUTED_VALUE"""),"Chris")</f>
        <v>Chris</v>
      </c>
      <c r="F3572">
        <f>IFERROR(__xludf.DUMMYFUNCTION("""COMPUTED_VALUE"""),11.4)</f>
        <v>11.4</v>
      </c>
    </row>
    <row r="3573">
      <c r="D3573" t="str">
        <f>IFERROR(__xludf.DUMMYFUNCTION("""COMPUTED_VALUE"""),"Landry")</f>
        <v>Landry</v>
      </c>
      <c r="E3573" t="str">
        <f>IFERROR(__xludf.DUMMYFUNCTION("""COMPUTED_VALUE"""),"Jarvis")</f>
        <v>Jarvis</v>
      </c>
      <c r="F3573">
        <f>IFERROR(__xludf.DUMMYFUNCTION("""COMPUTED_VALUE"""),17.6)</f>
        <v>17.6</v>
      </c>
    </row>
    <row r="3574">
      <c r="D3574" t="str">
        <f>IFERROR(__xludf.DUMMYFUNCTION("""COMPUTED_VALUE"""),"Lane")</f>
        <v>Lane</v>
      </c>
      <c r="E3574" t="str">
        <f>IFERROR(__xludf.DUMMYFUNCTION("""COMPUTED_VALUE"""),"Jeremy")</f>
        <v>Jeremy</v>
      </c>
      <c r="F3574">
        <f>IFERROR(__xludf.DUMMYFUNCTION("""COMPUTED_VALUE"""),15.200000000000001)</f>
        <v>15.2</v>
      </c>
    </row>
    <row r="3575">
      <c r="D3575" t="str">
        <f>IFERROR(__xludf.DUMMYFUNCTION("""COMPUTED_VALUE"""),"Lang")</f>
        <v>Lang</v>
      </c>
      <c r="E3575" t="str">
        <f>IFERROR(__xludf.DUMMYFUNCTION("""COMPUTED_VALUE"""),"TJ")</f>
        <v>TJ</v>
      </c>
      <c r="F3575">
        <f>IFERROR(__xludf.DUMMYFUNCTION("""COMPUTED_VALUE"""),17.400000000000002)</f>
        <v>17.4</v>
      </c>
    </row>
    <row r="3576">
      <c r="D3576" t="str">
        <f>IFERROR(__xludf.DUMMYFUNCTION("""COMPUTED_VALUE"""),"Langford")</f>
        <v>Langford</v>
      </c>
      <c r="E3576" t="str">
        <f>IFERROR(__xludf.DUMMYFUNCTION("""COMPUTED_VALUE"""),"Jeremy")</f>
        <v>Jeremy</v>
      </c>
      <c r="F3576">
        <f>IFERROR(__xludf.DUMMYFUNCTION("""COMPUTED_VALUE"""),14.8)</f>
        <v>14.8</v>
      </c>
    </row>
    <row r="3577">
      <c r="D3577" t="str">
        <f>IFERROR(__xludf.DUMMYFUNCTION("""COMPUTED_VALUE"""),"Langford")</f>
        <v>Langford</v>
      </c>
      <c r="E3577" t="str">
        <f>IFERROR(__xludf.DUMMYFUNCTION("""COMPUTED_VALUE"""),"Kendall")</f>
        <v>Kendall</v>
      </c>
      <c r="F3577">
        <f>IFERROR(__xludf.DUMMYFUNCTION("""COMPUTED_VALUE"""),14.8)</f>
        <v>14.8</v>
      </c>
    </row>
    <row r="3578">
      <c r="D3578" t="str">
        <f>IFERROR(__xludf.DUMMYFUNCTION("""COMPUTED_VALUE"""),"Langi")</f>
        <v>Langi</v>
      </c>
      <c r="E3578" t="str">
        <f>IFERROR(__xludf.DUMMYFUNCTION("""COMPUTED_VALUE"""),"Harvey")</f>
        <v>Harvey</v>
      </c>
      <c r="F3578">
        <f>IFERROR(__xludf.DUMMYFUNCTION("""COMPUTED_VALUE"""),11.8)</f>
        <v>11.8</v>
      </c>
    </row>
    <row r="3579">
      <c r="D3579" t="str">
        <f>IFERROR(__xludf.DUMMYFUNCTION("""COMPUTED_VALUE"""),"Langley")</f>
        <v>Langley</v>
      </c>
      <c r="E3579" t="str">
        <f>IFERROR(__xludf.DUMMYFUNCTION("""COMPUTED_VALUE"""),"Brendan")</f>
        <v>Brendan</v>
      </c>
      <c r="F3579">
        <f>IFERROR(__xludf.DUMMYFUNCTION("""COMPUTED_VALUE"""),13.600000000000001)</f>
        <v>13.6</v>
      </c>
    </row>
    <row r="3580">
      <c r="D3580" t="str">
        <f>IFERROR(__xludf.DUMMYFUNCTION("""COMPUTED_VALUE"""),"Lanier II")</f>
        <v>Lanier II</v>
      </c>
      <c r="E3580" t="str">
        <f>IFERROR(__xludf.DUMMYFUNCTION("""COMPUTED_VALUE"""),"Anthony")</f>
        <v>Anthony</v>
      </c>
      <c r="F3580">
        <f>IFERROR(__xludf.DUMMYFUNCTION("""COMPUTED_VALUE"""),12.200000000000001)</f>
        <v>12.2</v>
      </c>
    </row>
    <row r="3581">
      <c r="D3581" t="str">
        <f>IFERROR(__xludf.DUMMYFUNCTION("""COMPUTED_VALUE"""),"LARey")</f>
        <v>LARey</v>
      </c>
      <c r="E3581" t="str">
        <f>IFERROR(__xludf.DUMMYFUNCTION("""COMPUTED_VALUE"""),"Jalen")</f>
        <v>Jalen</v>
      </c>
      <c r="F3581">
        <f>IFERROR(__xludf.DUMMYFUNCTION("""COMPUTED_VALUE"""),17.2)</f>
        <v>17.2</v>
      </c>
    </row>
    <row r="3582">
      <c r="D3582" t="str">
        <f>IFERROR(__xludf.DUMMYFUNCTION("""COMPUTED_VALUE"""),"Larsen")</f>
        <v>Larsen</v>
      </c>
      <c r="E3582" t="str">
        <f>IFERROR(__xludf.DUMMYFUNCTION("""COMPUTED_VALUE"""),"Ted")</f>
        <v>Ted</v>
      </c>
      <c r="F3582">
        <f>IFERROR(__xludf.DUMMYFUNCTION("""COMPUTED_VALUE"""),13.8)</f>
        <v>13.8</v>
      </c>
    </row>
    <row r="3583">
      <c r="D3583" t="str">
        <f>IFERROR(__xludf.DUMMYFUNCTION("""COMPUTED_VALUE"""),"Larsen")</f>
        <v>Larsen</v>
      </c>
      <c r="E3583" t="str">
        <f>IFERROR(__xludf.DUMMYFUNCTION("""COMPUTED_VALUE"""),"Tyler")</f>
        <v>Tyler</v>
      </c>
      <c r="F3583">
        <f>IFERROR(__xludf.DUMMYFUNCTION("""COMPUTED_VALUE"""),13.4)</f>
        <v>13.4</v>
      </c>
    </row>
    <row r="3584">
      <c r="D3584" t="str">
        <f>IFERROR(__xludf.DUMMYFUNCTION("""COMPUTED_VALUE"""),"Lasco")</f>
        <v>Lasco</v>
      </c>
      <c r="E3584" t="str">
        <f>IFERROR(__xludf.DUMMYFUNCTION("""COMPUTED_VALUE"""),"Daniel")</f>
        <v>Daniel</v>
      </c>
      <c r="F3584">
        <f>IFERROR(__xludf.DUMMYFUNCTION("""COMPUTED_VALUE"""),12.600000000000001)</f>
        <v>12.6</v>
      </c>
    </row>
    <row r="3585">
      <c r="D3585" t="str">
        <f>IFERROR(__xludf.DUMMYFUNCTION("""COMPUTED_VALUE"""),"Latham")</f>
        <v>Latham</v>
      </c>
      <c r="E3585" t="str">
        <f>IFERROR(__xludf.DUMMYFUNCTION("""COMPUTED_VALUE"""),"Darius")</f>
        <v>Darius</v>
      </c>
      <c r="F3585">
        <f>IFERROR(__xludf.DUMMYFUNCTION("""COMPUTED_VALUE"""),12.0)</f>
        <v>12</v>
      </c>
    </row>
    <row r="3586">
      <c r="D3586" t="str">
        <f>IFERROR(__xludf.DUMMYFUNCTION("""COMPUTED_VALUE"""),"Latimer")</f>
        <v>Latimer</v>
      </c>
      <c r="E3586" t="str">
        <f>IFERROR(__xludf.DUMMYFUNCTION("""COMPUTED_VALUE"""),"Cody")</f>
        <v>Cody</v>
      </c>
      <c r="F3586">
        <f>IFERROR(__xludf.DUMMYFUNCTION("""COMPUTED_VALUE"""),13.600000000000001)</f>
        <v>13.6</v>
      </c>
    </row>
    <row r="3587">
      <c r="D3587" t="str">
        <f>IFERROR(__xludf.DUMMYFUNCTION("""COMPUTED_VALUE"""),"Lattimore")</f>
        <v>Lattimore</v>
      </c>
      <c r="E3587" t="str">
        <f>IFERROR(__xludf.DUMMYFUNCTION("""COMPUTED_VALUE"""),"Marshon")</f>
        <v>Marshon</v>
      </c>
      <c r="F3587">
        <f>IFERROR(__xludf.DUMMYFUNCTION("""COMPUTED_VALUE"""),15.200000000000001)</f>
        <v>15.2</v>
      </c>
    </row>
    <row r="3588">
      <c r="D3588" t="str">
        <f>IFERROR(__xludf.DUMMYFUNCTION("""COMPUTED_VALUE"""),"Lauvao")</f>
        <v>Lauvao</v>
      </c>
      <c r="E3588" t="str">
        <f>IFERROR(__xludf.DUMMYFUNCTION("""COMPUTED_VALUE"""),"Shawn")</f>
        <v>Shawn</v>
      </c>
      <c r="F3588">
        <f>IFERROR(__xludf.DUMMYFUNCTION("""COMPUTED_VALUE"""),14.200000000000001)</f>
        <v>14.2</v>
      </c>
    </row>
    <row r="3589">
      <c r="D3589" t="str">
        <f>IFERROR(__xludf.DUMMYFUNCTION("""COMPUTED_VALUE"""),"Lawler")</f>
        <v>Lawler</v>
      </c>
      <c r="E3589" t="str">
        <f>IFERROR(__xludf.DUMMYFUNCTION("""COMPUTED_VALUE"""),"Kenny")</f>
        <v>Kenny</v>
      </c>
      <c r="F3589">
        <f>IFERROR(__xludf.DUMMYFUNCTION("""COMPUTED_VALUE"""),13.200000000000001)</f>
        <v>13.2</v>
      </c>
    </row>
    <row r="3590">
      <c r="D3590" t="str">
        <f>IFERROR(__xludf.DUMMYFUNCTION("""COMPUTED_VALUE"""),"Lawrence")</f>
        <v>Lawrence</v>
      </c>
      <c r="E3590" t="str">
        <f>IFERROR(__xludf.DUMMYFUNCTION("""COMPUTED_VALUE"""),"DeMarcus")</f>
        <v>DeMarcus</v>
      </c>
      <c r="F3590">
        <f>IFERROR(__xludf.DUMMYFUNCTION("""COMPUTED_VALUE"""),15.8)</f>
        <v>15.8</v>
      </c>
    </row>
    <row r="3591">
      <c r="D3591" t="str">
        <f>IFERROR(__xludf.DUMMYFUNCTION("""COMPUTED_VALUE"""),"Lawrence-Stample")</f>
        <v>Lawrence-Stample</v>
      </c>
      <c r="E3591" t="str">
        <f>IFERROR(__xludf.DUMMYFUNCTION("""COMPUTED_VALUE"""),"Nile")</f>
        <v>Nile</v>
      </c>
      <c r="F3591">
        <f>IFERROR(__xludf.DUMMYFUNCTION("""COMPUTED_VALUE"""),14.0)</f>
        <v>14</v>
      </c>
    </row>
    <row r="3592">
      <c r="D3592" t="str">
        <f>IFERROR(__xludf.DUMMYFUNCTION("""COMPUTED_VALUE"""),"Lawson")</f>
        <v>Lawson</v>
      </c>
      <c r="E3592" t="str">
        <f>IFERROR(__xludf.DUMMYFUNCTION("""COMPUTED_VALUE"""),"Carl")</f>
        <v>Carl</v>
      </c>
      <c r="F3592">
        <f>IFERROR(__xludf.DUMMYFUNCTION("""COMPUTED_VALUE"""),13.200000000000001)</f>
        <v>13.2</v>
      </c>
    </row>
    <row r="3593">
      <c r="D3593" t="str">
        <f>IFERROR(__xludf.DUMMYFUNCTION("""COMPUTED_VALUE"""),"Lawson")</f>
        <v>Lawson</v>
      </c>
      <c r="E3593" t="str">
        <f>IFERROR(__xludf.DUMMYFUNCTION("""COMPUTED_VALUE"""),"Nevin")</f>
        <v>Nevin</v>
      </c>
      <c r="F3593">
        <f>IFERROR(__xludf.DUMMYFUNCTION("""COMPUTED_VALUE"""),16.0)</f>
        <v>16</v>
      </c>
    </row>
    <row r="3594">
      <c r="D3594" t="str">
        <f>IFERROR(__xludf.DUMMYFUNCTION("""COMPUTED_VALUE"""),"Lawson")</f>
        <v>Lawson</v>
      </c>
      <c r="E3594" t="str">
        <f>IFERROR(__xludf.DUMMYFUNCTION("""COMPUTED_VALUE"""),"Shaq")</f>
        <v>Shaq</v>
      </c>
      <c r="F3594">
        <f>IFERROR(__xludf.DUMMYFUNCTION("""COMPUTED_VALUE"""),15.200000000000001)</f>
        <v>15.2</v>
      </c>
    </row>
    <row r="3595">
      <c r="D3595" t="str">
        <f>IFERROR(__xludf.DUMMYFUNCTION("""COMPUTED_VALUE"""),"Leary")</f>
        <v>Leary</v>
      </c>
      <c r="E3595" t="str">
        <f>IFERROR(__xludf.DUMMYFUNCTION("""COMPUTED_VALUE"""),"Ronald")</f>
        <v>Ronald</v>
      </c>
      <c r="F3595">
        <f>IFERROR(__xludf.DUMMYFUNCTION("""COMPUTED_VALUE"""),16.6)</f>
        <v>16.6</v>
      </c>
    </row>
    <row r="3596">
      <c r="D3596" t="str">
        <f>IFERROR(__xludf.DUMMYFUNCTION("""COMPUTED_VALUE"""),"LeBlanc")</f>
        <v>LeBlanc</v>
      </c>
      <c r="E3596" t="str">
        <f>IFERROR(__xludf.DUMMYFUNCTION("""COMPUTED_VALUE"""),"CreVon")</f>
        <v>CreVon</v>
      </c>
      <c r="F3596">
        <f>IFERROR(__xludf.DUMMYFUNCTION("""COMPUTED_VALUE"""),14.200000000000001)</f>
        <v>14.2</v>
      </c>
    </row>
    <row r="3597">
      <c r="D3597" t="str">
        <f>IFERROR(__xludf.DUMMYFUNCTION("""COMPUTED_VALUE"""),"Lechler")</f>
        <v>Lechler</v>
      </c>
      <c r="E3597" t="str">
        <f>IFERROR(__xludf.DUMMYFUNCTION("""COMPUTED_VALUE"""),"Shane")</f>
        <v>Shane</v>
      </c>
      <c r="F3597">
        <f>IFERROR(__xludf.DUMMYFUNCTION("""COMPUTED_VALUE"""),16.0)</f>
        <v>16</v>
      </c>
    </row>
    <row r="3598">
      <c r="D3598" t="str">
        <f>IFERROR(__xludf.DUMMYFUNCTION("""COMPUTED_VALUE"""),"Ledbetter")</f>
        <v>Ledbetter</v>
      </c>
      <c r="E3598" t="str">
        <f>IFERROR(__xludf.DUMMYFUNCTION("""COMPUTED_VALUE"""),"Jeremiah")</f>
        <v>Jeremiah</v>
      </c>
      <c r="F3598">
        <f>IFERROR(__xludf.DUMMYFUNCTION("""COMPUTED_VALUE"""),12.600000000000001)</f>
        <v>12.6</v>
      </c>
    </row>
    <row r="3599">
      <c r="D3599" t="str">
        <f>IFERROR(__xludf.DUMMYFUNCTION("""COMPUTED_VALUE"""),"Lee")</f>
        <v>Lee</v>
      </c>
      <c r="E3599" t="str">
        <f>IFERROR(__xludf.DUMMYFUNCTION("""COMPUTED_VALUE"""),"Andy")</f>
        <v>Andy</v>
      </c>
      <c r="F3599">
        <f>IFERROR(__xludf.DUMMYFUNCTION("""COMPUTED_VALUE"""),15.8)</f>
        <v>15.8</v>
      </c>
    </row>
    <row r="3600">
      <c r="D3600" t="str">
        <f>IFERROR(__xludf.DUMMYFUNCTION("""COMPUTED_VALUE"""),"Lee")</f>
        <v>Lee</v>
      </c>
      <c r="E3600" t="str">
        <f>IFERROR(__xludf.DUMMYFUNCTION("""COMPUTED_VALUE"""),"Darron")</f>
        <v>Darron</v>
      </c>
      <c r="F3600">
        <f>IFERROR(__xludf.DUMMYFUNCTION("""COMPUTED_VALUE"""),14.4)</f>
        <v>14.4</v>
      </c>
    </row>
    <row r="3601">
      <c r="D3601" t="str">
        <f>IFERROR(__xludf.DUMMYFUNCTION("""COMPUTED_VALUE"""),"Lee")</f>
        <v>Lee</v>
      </c>
      <c r="E3601" t="str">
        <f>IFERROR(__xludf.DUMMYFUNCTION("""COMPUTED_VALUE"""),"Elijah")</f>
        <v>Elijah</v>
      </c>
      <c r="F3601">
        <f>IFERROR(__xludf.DUMMYFUNCTION("""COMPUTED_VALUE"""),13.0)</f>
        <v>13</v>
      </c>
    </row>
    <row r="3602">
      <c r="D3602" t="str">
        <f>IFERROR(__xludf.DUMMYFUNCTION("""COMPUTED_VALUE"""),"Lee")</f>
        <v>Lee</v>
      </c>
      <c r="E3602" t="str">
        <f>IFERROR(__xludf.DUMMYFUNCTION("""COMPUTED_VALUE"""),"Khari")</f>
        <v>Khari</v>
      </c>
      <c r="F3602">
        <f>IFERROR(__xludf.DUMMYFUNCTION("""COMPUTED_VALUE"""),14.4)</f>
        <v>14.4</v>
      </c>
    </row>
    <row r="3603">
      <c r="D3603" t="str">
        <f>IFERROR(__xludf.DUMMYFUNCTION("""COMPUTED_VALUE"""),"Lee")</f>
        <v>Lee</v>
      </c>
      <c r="E3603" t="str">
        <f>IFERROR(__xludf.DUMMYFUNCTION("""COMPUTED_VALUE"""),"Marqise")</f>
        <v>Marqise</v>
      </c>
      <c r="F3603">
        <f>IFERROR(__xludf.DUMMYFUNCTION("""COMPUTED_VALUE"""),16.0)</f>
        <v>16</v>
      </c>
    </row>
    <row r="3604">
      <c r="D3604" t="str">
        <f>IFERROR(__xludf.DUMMYFUNCTION("""COMPUTED_VALUE"""),"Lee")</f>
        <v>Lee</v>
      </c>
      <c r="E3604" t="str">
        <f>IFERROR(__xludf.DUMMYFUNCTION("""COMPUTED_VALUE"""),"Marquel")</f>
        <v>Marquel</v>
      </c>
      <c r="F3604">
        <f>IFERROR(__xludf.DUMMYFUNCTION("""COMPUTED_VALUE"""),12.600000000000001)</f>
        <v>12.6</v>
      </c>
    </row>
    <row r="3605">
      <c r="D3605" t="str">
        <f>IFERROR(__xludf.DUMMYFUNCTION("""COMPUTED_VALUE"""),"Lee")</f>
        <v>Lee</v>
      </c>
      <c r="E3605" t="str">
        <f>IFERROR(__xludf.DUMMYFUNCTION("""COMPUTED_VALUE"""),"Sean")</f>
        <v>Sean</v>
      </c>
      <c r="F3605">
        <f>IFERROR(__xludf.DUMMYFUNCTION("""COMPUTED_VALUE"""),18.2)</f>
        <v>18.2</v>
      </c>
    </row>
    <row r="3606">
      <c r="D3606" t="str">
        <f>IFERROR(__xludf.DUMMYFUNCTION("""COMPUTED_VALUE"""),"Leff")</f>
        <v>Leff</v>
      </c>
      <c r="E3606" t="str">
        <f>IFERROR(__xludf.DUMMYFUNCTION("""COMPUTED_VALUE"""),"Robert")</f>
        <v>Robert</v>
      </c>
      <c r="F3606">
        <f>IFERROR(__xludf.DUMMYFUNCTION("""COMPUTED_VALUE"""),12.600000000000001)</f>
        <v>12.6</v>
      </c>
    </row>
    <row r="3607">
      <c r="D3607" t="str">
        <f>IFERROR(__xludf.DUMMYFUNCTION("""COMPUTED_VALUE"""),"Leggett")</f>
        <v>Leggett</v>
      </c>
      <c r="E3607" t="str">
        <f>IFERROR(__xludf.DUMMYFUNCTION("""COMPUTED_VALUE"""),"Jordan")</f>
        <v>Jordan</v>
      </c>
      <c r="F3607">
        <f>IFERROR(__xludf.DUMMYFUNCTION("""COMPUTED_VALUE"""),14.4)</f>
        <v>14.4</v>
      </c>
    </row>
    <row r="3608">
      <c r="D3608" t="str">
        <f>IFERROR(__xludf.DUMMYFUNCTION("""COMPUTED_VALUE"""),"Lelito")</f>
        <v>Lelito</v>
      </c>
      <c r="E3608" t="str">
        <f>IFERROR(__xludf.DUMMYFUNCTION("""COMPUTED_VALUE"""),"Tim")</f>
        <v>Tim</v>
      </c>
      <c r="F3608">
        <f>IFERROR(__xludf.DUMMYFUNCTION("""COMPUTED_VALUE"""),14.0)</f>
        <v>14</v>
      </c>
    </row>
    <row r="3609">
      <c r="D3609" t="str">
        <f>IFERROR(__xludf.DUMMYFUNCTION("""COMPUTED_VALUE"""),"Lemonier")</f>
        <v>Lemonier</v>
      </c>
      <c r="E3609" t="str">
        <f>IFERROR(__xludf.DUMMYFUNCTION("""COMPUTED_VALUE"""),"Corey")</f>
        <v>Corey</v>
      </c>
      <c r="F3609">
        <f>IFERROR(__xludf.DUMMYFUNCTION("""COMPUTED_VALUE"""),13.0)</f>
        <v>13</v>
      </c>
    </row>
    <row r="3610">
      <c r="D3610" t="str">
        <f>IFERROR(__xludf.DUMMYFUNCTION("""COMPUTED_VALUE"""),"Lengel")</f>
        <v>Lengel</v>
      </c>
      <c r="E3610" t="str">
        <f>IFERROR(__xludf.DUMMYFUNCTION("""COMPUTED_VALUE"""),"Matt")</f>
        <v>Matt</v>
      </c>
      <c r="F3610">
        <f>IFERROR(__xludf.DUMMYFUNCTION("""COMPUTED_VALUE"""),13.8)</f>
        <v>13.8</v>
      </c>
    </row>
    <row r="3611">
      <c r="D3611" t="str">
        <f>IFERROR(__xludf.DUMMYFUNCTION("""COMPUTED_VALUE"""),"Leno Jr")</f>
        <v>Leno Jr</v>
      </c>
      <c r="E3611" t="str">
        <f>IFERROR(__xludf.DUMMYFUNCTION("""COMPUTED_VALUE"""),"Charles")</f>
        <v>Charles</v>
      </c>
      <c r="F3611">
        <f>IFERROR(__xludf.DUMMYFUNCTION("""COMPUTED_VALUE"""),14.600000000000001)</f>
        <v>14.6</v>
      </c>
    </row>
    <row r="3612">
      <c r="D3612" t="str">
        <f>IFERROR(__xludf.DUMMYFUNCTION("""COMPUTED_VALUE"""),"LeRibeus")</f>
        <v>LeRibeus</v>
      </c>
      <c r="E3612" t="str">
        <f>IFERROR(__xludf.DUMMYFUNCTION("""COMPUTED_VALUE"""),"Josh")</f>
        <v>Josh</v>
      </c>
      <c r="F3612">
        <f>IFERROR(__xludf.DUMMYFUNCTION("""COMPUTED_VALUE"""),13.8)</f>
        <v>13.8</v>
      </c>
    </row>
    <row r="3613">
      <c r="D3613" t="str">
        <f>IFERROR(__xludf.DUMMYFUNCTION("""COMPUTED_VALUE"""),"Levin")</f>
        <v>Levin</v>
      </c>
      <c r="E3613" t="str">
        <f>IFERROR(__xludf.DUMMYFUNCTION("""COMPUTED_VALUE"""),"Corey")</f>
        <v>Corey</v>
      </c>
      <c r="F3613">
        <f>IFERROR(__xludf.DUMMYFUNCTION("""COMPUTED_VALUE"""),13.4)</f>
        <v>13.4</v>
      </c>
    </row>
    <row r="3614">
      <c r="D3614" t="str">
        <f>IFERROR(__xludf.DUMMYFUNCTION("""COMPUTED_VALUE"""),"Levine Sr")</f>
        <v>Levine Sr</v>
      </c>
      <c r="E3614" t="str">
        <f>IFERROR(__xludf.DUMMYFUNCTION("""COMPUTED_VALUE"""),"Anthony")</f>
        <v>Anthony</v>
      </c>
      <c r="F3614">
        <f>IFERROR(__xludf.DUMMYFUNCTION("""COMPUTED_VALUE"""),14.0)</f>
        <v>14</v>
      </c>
    </row>
    <row r="3615">
      <c r="D3615" t="str">
        <f>IFERROR(__xludf.DUMMYFUNCTION("""COMPUTED_VALUE"""),"Levitre")</f>
        <v>Levitre</v>
      </c>
      <c r="E3615" t="str">
        <f>IFERROR(__xludf.DUMMYFUNCTION("""COMPUTED_VALUE"""),"Andy")</f>
        <v>Andy</v>
      </c>
      <c r="F3615">
        <f>IFERROR(__xludf.DUMMYFUNCTION("""COMPUTED_VALUE"""),16.8)</f>
        <v>16.8</v>
      </c>
    </row>
    <row r="3616">
      <c r="D3616" t="str">
        <f>IFERROR(__xludf.DUMMYFUNCTION("""COMPUTED_VALUE"""),"Lewan")</f>
        <v>Lewan</v>
      </c>
      <c r="E3616" t="str">
        <f>IFERROR(__xludf.DUMMYFUNCTION("""COMPUTED_VALUE"""),"Taylor")</f>
        <v>Taylor</v>
      </c>
      <c r="F3616">
        <f>IFERROR(__xludf.DUMMYFUNCTION("""COMPUTED_VALUE"""),17.6)</f>
        <v>17.6</v>
      </c>
    </row>
    <row r="3617">
      <c r="D3617" t="str">
        <f>IFERROR(__xludf.DUMMYFUNCTION("""COMPUTED_VALUE"""),"Lewis")</f>
        <v>Lewis</v>
      </c>
      <c r="E3617" t="str">
        <f>IFERROR(__xludf.DUMMYFUNCTION("""COMPUTED_VALUE"""),"Alex")</f>
        <v>Alex</v>
      </c>
      <c r="F3617">
        <f>IFERROR(__xludf.DUMMYFUNCTION("""COMPUTED_VALUE"""),14.0)</f>
        <v>14</v>
      </c>
    </row>
    <row r="3618">
      <c r="D3618" t="str">
        <f>IFERROR(__xludf.DUMMYFUNCTION("""COMPUTED_VALUE"""),"Lewis")</f>
        <v>Lewis</v>
      </c>
      <c r="E3618" t="str">
        <f>IFERROR(__xludf.DUMMYFUNCTION("""COMPUTED_VALUE"""),"Dezmin")</f>
        <v>Dezmin</v>
      </c>
      <c r="F3618">
        <f>IFERROR(__xludf.DUMMYFUNCTION("""COMPUTED_VALUE"""),13.0)</f>
        <v>13</v>
      </c>
    </row>
    <row r="3619">
      <c r="D3619" t="str">
        <f>IFERROR(__xludf.DUMMYFUNCTION("""COMPUTED_VALUE"""),"Lewis")</f>
        <v>Lewis</v>
      </c>
      <c r="E3619" t="str">
        <f>IFERROR(__xludf.DUMMYFUNCTION("""COMPUTED_VALUE"""),"Dion")</f>
        <v>Dion</v>
      </c>
      <c r="F3619">
        <f>IFERROR(__xludf.DUMMYFUNCTION("""COMPUTED_VALUE"""),16.400000000000002)</f>
        <v>16.4</v>
      </c>
    </row>
    <row r="3620">
      <c r="D3620" t="str">
        <f>IFERROR(__xludf.DUMMYFUNCTION("""COMPUTED_VALUE"""),"Lewis")</f>
        <v>Lewis</v>
      </c>
      <c r="E3620" t="str">
        <f>IFERROR(__xludf.DUMMYFUNCTION("""COMPUTED_VALUE"""),"Jourdan")</f>
        <v>Jourdan</v>
      </c>
      <c r="F3620">
        <f>IFERROR(__xludf.DUMMYFUNCTION("""COMPUTED_VALUE"""),15.0)</f>
        <v>15</v>
      </c>
    </row>
    <row r="3621">
      <c r="D3621" t="str">
        <f>IFERROR(__xludf.DUMMYFUNCTION("""COMPUTED_VALUE"""),"Lewis")</f>
        <v>Lewis</v>
      </c>
      <c r="E3621" t="str">
        <f>IFERROR(__xludf.DUMMYFUNCTION("""COMPUTED_VALUE"""),"LaTroy")</f>
        <v>LaTroy</v>
      </c>
      <c r="F3621">
        <f>IFERROR(__xludf.DUMMYFUNCTION("""COMPUTED_VALUE"""),12.4)</f>
        <v>12.4</v>
      </c>
    </row>
    <row r="3622">
      <c r="D3622" t="str">
        <f>IFERROR(__xludf.DUMMYFUNCTION("""COMPUTED_VALUE"""),"Lewis")</f>
        <v>Lewis</v>
      </c>
      <c r="E3622" t="str">
        <f>IFERROR(__xludf.DUMMYFUNCTION("""COMPUTED_VALUE"""),"Marcedes")</f>
        <v>Marcedes</v>
      </c>
      <c r="F3622">
        <f>IFERROR(__xludf.DUMMYFUNCTION("""COMPUTED_VALUE"""),15.4)</f>
        <v>15.4</v>
      </c>
    </row>
    <row r="3623">
      <c r="D3623" t="str">
        <f>IFERROR(__xludf.DUMMYFUNCTION("""COMPUTED_VALUE"""),"Lewis")</f>
        <v>Lewis</v>
      </c>
      <c r="E3623" t="str">
        <f>IFERROR(__xludf.DUMMYFUNCTION("""COMPUTED_VALUE"""),"Marquavius")</f>
        <v>Marquavius</v>
      </c>
      <c r="F3623">
        <f>IFERROR(__xludf.DUMMYFUNCTION("""COMPUTED_VALUE"""),12.200000000000001)</f>
        <v>12.2</v>
      </c>
    </row>
    <row r="3624">
      <c r="D3624" t="str">
        <f>IFERROR(__xludf.DUMMYFUNCTION("""COMPUTED_VALUE"""),"Lewis")</f>
        <v>Lewis</v>
      </c>
      <c r="E3624" t="str">
        <f>IFERROR(__xludf.DUMMYFUNCTION("""COMPUTED_VALUE"""),"Patrick")</f>
        <v>Patrick</v>
      </c>
      <c r="F3624">
        <f>IFERROR(__xludf.DUMMYFUNCTION("""COMPUTED_VALUE"""),14.0)</f>
        <v>14</v>
      </c>
    </row>
    <row r="3625">
      <c r="D3625" t="str">
        <f>IFERROR(__xludf.DUMMYFUNCTION("""COMPUTED_VALUE"""),"Lewis")</f>
        <v>Lewis</v>
      </c>
      <c r="E3625" t="str">
        <f>IFERROR(__xludf.DUMMYFUNCTION("""COMPUTED_VALUE"""),"Tommylee")</f>
        <v>Tommylee</v>
      </c>
      <c r="F3625">
        <f>IFERROR(__xludf.DUMMYFUNCTION("""COMPUTED_VALUE"""),12.4)</f>
        <v>12.4</v>
      </c>
    </row>
    <row r="3626">
      <c r="D3626" t="str">
        <f>IFERROR(__xludf.DUMMYFUNCTION("""COMPUTED_VALUE"""),"Lewis Jr")</f>
        <v>Lewis Jr</v>
      </c>
      <c r="E3626" t="str">
        <f>IFERROR(__xludf.DUMMYFUNCTION("""COMPUTED_VALUE"""),"Roger")</f>
        <v>Roger</v>
      </c>
      <c r="F3626">
        <f>IFERROR(__xludf.DUMMYFUNCTION("""COMPUTED_VALUE"""),13.4)</f>
        <v>13.4</v>
      </c>
    </row>
    <row r="3627">
      <c r="D3627" t="str">
        <f>IFERROR(__xludf.DUMMYFUNCTION("""COMPUTED_VALUE"""),"Lewis-Harris")</f>
        <v>Lewis-Harris</v>
      </c>
      <c r="E3627" t="str">
        <f>IFERROR(__xludf.DUMMYFUNCTION("""COMPUTED_VALUE"""),"Chris")</f>
        <v>Chris</v>
      </c>
      <c r="F3627">
        <f>IFERROR(__xludf.DUMMYFUNCTION("""COMPUTED_VALUE"""),13.600000000000001)</f>
        <v>13.6</v>
      </c>
    </row>
    <row r="3628">
      <c r="D3628" t="str">
        <f>IFERROR(__xludf.DUMMYFUNCTION("""COMPUTED_VALUE"""),"Lewis-Moore")</f>
        <v>Lewis-Moore</v>
      </c>
      <c r="E3628" t="str">
        <f>IFERROR(__xludf.DUMMYFUNCTION("""COMPUTED_VALUE"""),"Kapron")</f>
        <v>Kapron</v>
      </c>
      <c r="F3628">
        <f>IFERROR(__xludf.DUMMYFUNCTION("""COMPUTED_VALUE"""),12.200000000000001)</f>
        <v>12.2</v>
      </c>
    </row>
    <row r="3629">
      <c r="D3629" t="str">
        <f>IFERROR(__xludf.DUMMYFUNCTION("""COMPUTED_VALUE"""),"Liedtke")</f>
        <v>Liedtke</v>
      </c>
      <c r="E3629" t="str">
        <f>IFERROR(__xludf.DUMMYFUNCTION("""COMPUTED_VALUE"""),"Mike")</f>
        <v>Mike</v>
      </c>
      <c r="F3629">
        <f>IFERROR(__xludf.DUMMYFUNCTION("""COMPUTED_VALUE"""),13.0)</f>
        <v>13</v>
      </c>
    </row>
    <row r="3630">
      <c r="D3630" t="str">
        <f>IFERROR(__xludf.DUMMYFUNCTION("""COMPUTED_VALUE"""),"Linder")</f>
        <v>Linder</v>
      </c>
      <c r="E3630" t="str">
        <f>IFERROR(__xludf.DUMMYFUNCTION("""COMPUTED_VALUE"""),"Brandon")</f>
        <v>Brandon</v>
      </c>
      <c r="F3630">
        <f>IFERROR(__xludf.DUMMYFUNCTION("""COMPUTED_VALUE"""),17.0)</f>
        <v>17</v>
      </c>
    </row>
    <row r="3631">
      <c r="D3631" t="str">
        <f>IFERROR(__xludf.DUMMYFUNCTION("""COMPUTED_VALUE"""),"Linsley")</f>
        <v>Linsley</v>
      </c>
      <c r="E3631" t="str">
        <f>IFERROR(__xludf.DUMMYFUNCTION("""COMPUTED_VALUE"""),"Corey")</f>
        <v>Corey</v>
      </c>
      <c r="F3631">
        <f>IFERROR(__xludf.DUMMYFUNCTION("""COMPUTED_VALUE"""),16.400000000000002)</f>
        <v>16.4</v>
      </c>
    </row>
    <row r="3632">
      <c r="D3632" t="str">
        <f>IFERROR(__xludf.DUMMYFUNCTION("""COMPUTED_VALUE"""),"Lippett")</f>
        <v>Lippett</v>
      </c>
      <c r="E3632" t="str">
        <f>IFERROR(__xludf.DUMMYFUNCTION("""COMPUTED_VALUE"""),"Tony")</f>
        <v>Tony</v>
      </c>
      <c r="F3632">
        <f>IFERROR(__xludf.DUMMYFUNCTION("""COMPUTED_VALUE"""),15.200000000000001)</f>
        <v>15.2</v>
      </c>
    </row>
    <row r="3633">
      <c r="D3633" t="str">
        <f>IFERROR(__xludf.DUMMYFUNCTION("""COMPUTED_VALUE"""),"Littleton")</f>
        <v>Littleton</v>
      </c>
      <c r="E3633" t="str">
        <f>IFERROR(__xludf.DUMMYFUNCTION("""COMPUTED_VALUE"""),"Cory")</f>
        <v>Cory</v>
      </c>
      <c r="F3633">
        <f>IFERROR(__xludf.DUMMYFUNCTION("""COMPUTED_VALUE"""),12.4)</f>
        <v>12.4</v>
      </c>
    </row>
    <row r="3634">
      <c r="D3634" t="str">
        <f>IFERROR(__xludf.DUMMYFUNCTION("""COMPUTED_VALUE"""),"Liuget")</f>
        <v>Liuget</v>
      </c>
      <c r="E3634" t="str">
        <f>IFERROR(__xludf.DUMMYFUNCTION("""COMPUTED_VALUE"""),"Corey")</f>
        <v>Corey</v>
      </c>
      <c r="F3634">
        <f>IFERROR(__xludf.DUMMYFUNCTION("""COMPUTED_VALUE"""),16.0)</f>
        <v>16</v>
      </c>
    </row>
    <row r="3635">
      <c r="D3635" t="str">
        <f>IFERROR(__xludf.DUMMYFUNCTION("""COMPUTED_VALUE"""),"Locke")</f>
        <v>Locke</v>
      </c>
      <c r="E3635" t="str">
        <f>IFERROR(__xludf.DUMMYFUNCTION("""COMPUTED_VALUE"""),"Jeff")</f>
        <v>Jeff</v>
      </c>
      <c r="F3635">
        <f>IFERROR(__xludf.DUMMYFUNCTION("""COMPUTED_VALUE"""),15.0)</f>
        <v>15</v>
      </c>
    </row>
    <row r="3636">
      <c r="D3636" t="str">
        <f>IFERROR(__xludf.DUMMYFUNCTION("""COMPUTED_VALUE"""),"Lockett")</f>
        <v>Lockett</v>
      </c>
      <c r="E3636" t="str">
        <f>IFERROR(__xludf.DUMMYFUNCTION("""COMPUTED_VALUE"""),"Tyler")</f>
        <v>Tyler</v>
      </c>
      <c r="F3636">
        <f>IFERROR(__xludf.DUMMYFUNCTION("""COMPUTED_VALUE"""),16.0)</f>
        <v>16</v>
      </c>
    </row>
    <row r="3637">
      <c r="D3637" t="str">
        <f>IFERROR(__xludf.DUMMYFUNCTION("""COMPUTED_VALUE"""),"Logan")</f>
        <v>Logan</v>
      </c>
      <c r="E3637" t="str">
        <f>IFERROR(__xludf.DUMMYFUNCTION("""COMPUTED_VALUE"""),"Bennie")</f>
        <v>Bennie</v>
      </c>
      <c r="F3637">
        <f>IFERROR(__xludf.DUMMYFUNCTION("""COMPUTED_VALUE"""),15.600000000000001)</f>
        <v>15.6</v>
      </c>
    </row>
    <row r="3638">
      <c r="D3638" t="str">
        <f>IFERROR(__xludf.DUMMYFUNCTION("""COMPUTED_VALUE"""),"Logan")</f>
        <v>Logan</v>
      </c>
      <c r="E3638" t="str">
        <f>IFERROR(__xludf.DUMMYFUNCTION("""COMPUTED_VALUE"""),"TJ")</f>
        <v>TJ</v>
      </c>
      <c r="F3638">
        <f>IFERROR(__xludf.DUMMYFUNCTION("""COMPUTED_VALUE"""),13.8)</f>
        <v>13.8</v>
      </c>
    </row>
    <row r="3639">
      <c r="D3639" t="str">
        <f>IFERROR(__xludf.DUMMYFUNCTION("""COMPUTED_VALUE"""),"Long")</f>
        <v>Long</v>
      </c>
      <c r="E3639" t="str">
        <f>IFERROR(__xludf.DUMMYFUNCTION("""COMPUTED_VALUE"""),"Chris")</f>
        <v>Chris</v>
      </c>
      <c r="F3639">
        <f>IFERROR(__xludf.DUMMYFUNCTION("""COMPUTED_VALUE"""),16.0)</f>
        <v>16</v>
      </c>
    </row>
    <row r="3640">
      <c r="D3640" t="str">
        <f>IFERROR(__xludf.DUMMYFUNCTION("""COMPUTED_VALUE"""),"Long")</f>
        <v>Long</v>
      </c>
      <c r="E3640" t="str">
        <f>IFERROR(__xludf.DUMMYFUNCTION("""COMPUTED_VALUE"""),"Kyle")</f>
        <v>Kyle</v>
      </c>
      <c r="F3640">
        <f>IFERROR(__xludf.DUMMYFUNCTION("""COMPUTED_VALUE"""),16.0)</f>
        <v>16</v>
      </c>
    </row>
    <row r="3641">
      <c r="D3641" t="str">
        <f>IFERROR(__xludf.DUMMYFUNCTION("""COMPUTED_VALUE"""),"Long")</f>
        <v>Long</v>
      </c>
      <c r="E3641" t="str">
        <f>IFERROR(__xludf.DUMMYFUNCTION("""COMPUTED_VALUE"""),"Spencer")</f>
        <v>Spencer</v>
      </c>
      <c r="F3641">
        <f>IFERROR(__xludf.DUMMYFUNCTION("""COMPUTED_VALUE"""),15.600000000000001)</f>
        <v>15.6</v>
      </c>
    </row>
    <row r="3642">
      <c r="D3642" t="str">
        <f>IFERROR(__xludf.DUMMYFUNCTION("""COMPUTED_VALUE"""),"Longa")</f>
        <v>Longa</v>
      </c>
      <c r="E3642" t="str">
        <f>IFERROR(__xludf.DUMMYFUNCTION("""COMPUTED_VALUE"""),"Steve")</f>
        <v>Steve</v>
      </c>
      <c r="F3642">
        <f>IFERROR(__xludf.DUMMYFUNCTION("""COMPUTED_VALUE"""),12.4)</f>
        <v>12.4</v>
      </c>
    </row>
    <row r="3643">
      <c r="D3643" t="str">
        <f>IFERROR(__xludf.DUMMYFUNCTION("""COMPUTED_VALUE"""),"Longacre")</f>
        <v>Longacre</v>
      </c>
      <c r="E3643" t="str">
        <f>IFERROR(__xludf.DUMMYFUNCTION("""COMPUTED_VALUE"""),"Matt")</f>
        <v>Matt</v>
      </c>
      <c r="F3643">
        <f>IFERROR(__xludf.DUMMYFUNCTION("""COMPUTED_VALUE"""),12.600000000000001)</f>
        <v>12.6</v>
      </c>
    </row>
    <row r="3644">
      <c r="D3644" t="str">
        <f>IFERROR(__xludf.DUMMYFUNCTION("""COMPUTED_VALUE"""),"Looney")</f>
        <v>Looney</v>
      </c>
      <c r="E3644" t="str">
        <f>IFERROR(__xludf.DUMMYFUNCTION("""COMPUTED_VALUE"""),"Joe")</f>
        <v>Joe</v>
      </c>
      <c r="F3644">
        <f>IFERROR(__xludf.DUMMYFUNCTION("""COMPUTED_VALUE"""),13.200000000000001)</f>
        <v>13.2</v>
      </c>
    </row>
    <row r="3645">
      <c r="D3645" t="str">
        <f>IFERROR(__xludf.DUMMYFUNCTION("""COMPUTED_VALUE"""),"Lotulelei")</f>
        <v>Lotulelei</v>
      </c>
      <c r="E3645" t="str">
        <f>IFERROR(__xludf.DUMMYFUNCTION("""COMPUTED_VALUE"""),"John")</f>
        <v>John</v>
      </c>
      <c r="F3645">
        <f>IFERROR(__xludf.DUMMYFUNCTION("""COMPUTED_VALUE"""),13.0)</f>
        <v>13</v>
      </c>
    </row>
    <row r="3646">
      <c r="D3646" t="str">
        <f>IFERROR(__xludf.DUMMYFUNCTION("""COMPUTED_VALUE"""),"Lotulelei")</f>
        <v>Lotulelei</v>
      </c>
      <c r="E3646" t="str">
        <f>IFERROR(__xludf.DUMMYFUNCTION("""COMPUTED_VALUE"""),"Star")</f>
        <v>Star</v>
      </c>
      <c r="F3646">
        <f>IFERROR(__xludf.DUMMYFUNCTION("""COMPUTED_VALUE"""),15.0)</f>
        <v>15</v>
      </c>
    </row>
    <row r="3647">
      <c r="D3647" t="str">
        <f>IFERROR(__xludf.DUMMYFUNCTION("""COMPUTED_VALUE"""),"Louis")</f>
        <v>Louis</v>
      </c>
      <c r="E3647" t="str">
        <f>IFERROR(__xludf.DUMMYFUNCTION("""COMPUTED_VALUE"""),"Lamar")</f>
        <v>Lamar</v>
      </c>
      <c r="F3647">
        <f>IFERROR(__xludf.DUMMYFUNCTION("""COMPUTED_VALUE"""),10.8)</f>
        <v>10.8</v>
      </c>
    </row>
    <row r="3648">
      <c r="D3648" t="str">
        <f>IFERROR(__xludf.DUMMYFUNCTION("""COMPUTED_VALUE"""),"Louis")</f>
        <v>Louis</v>
      </c>
      <c r="E3648" t="str">
        <f>IFERROR(__xludf.DUMMYFUNCTION("""COMPUTED_VALUE"""),"Ricardo")</f>
        <v>Ricardo</v>
      </c>
      <c r="F3648">
        <f>IFERROR(__xludf.DUMMYFUNCTION("""COMPUTED_VALUE"""),13.200000000000001)</f>
        <v>13.2</v>
      </c>
    </row>
    <row r="3649">
      <c r="D3649" t="str">
        <f>IFERROR(__xludf.DUMMYFUNCTION("""COMPUTED_VALUE"""),"Lovato")</f>
        <v>Lovato</v>
      </c>
      <c r="E3649" t="str">
        <f>IFERROR(__xludf.DUMMYFUNCTION("""COMPUTED_VALUE"""),"Rick")</f>
        <v>Rick</v>
      </c>
      <c r="F3649">
        <f>IFERROR(__xludf.DUMMYFUNCTION("""COMPUTED_VALUE"""),8.4)</f>
        <v>8.4</v>
      </c>
    </row>
    <row r="3650">
      <c r="D3650" t="str">
        <f>IFERROR(__xludf.DUMMYFUNCTION("""COMPUTED_VALUE"""),"Love")</f>
        <v>Love</v>
      </c>
      <c r="E3650" t="str">
        <f>IFERROR(__xludf.DUMMYFUNCTION("""COMPUTED_VALUE"""),"Kyle")</f>
        <v>Kyle</v>
      </c>
      <c r="F3650">
        <f>IFERROR(__xludf.DUMMYFUNCTION("""COMPUTED_VALUE"""),14.4)</f>
        <v>14.4</v>
      </c>
    </row>
    <row r="3651">
      <c r="D3651" t="str">
        <f>IFERROR(__xludf.DUMMYFUNCTION("""COMPUTED_VALUE"""),"Lowery")</f>
        <v>Lowery</v>
      </c>
      <c r="E3651" t="str">
        <f>IFERROR(__xludf.DUMMYFUNCTION("""COMPUTED_VALUE"""),"Dwight")</f>
        <v>Dwight</v>
      </c>
      <c r="F3651">
        <f>IFERROR(__xludf.DUMMYFUNCTION("""COMPUTED_VALUE"""),16.2)</f>
        <v>16.2</v>
      </c>
    </row>
    <row r="3652">
      <c r="D3652" t="str">
        <f>IFERROR(__xludf.DUMMYFUNCTION("""COMPUTED_VALUE"""),"Lowry")</f>
        <v>Lowry</v>
      </c>
      <c r="E3652" t="str">
        <f>IFERROR(__xludf.DUMMYFUNCTION("""COMPUTED_VALUE"""),"Dean")</f>
        <v>Dean</v>
      </c>
      <c r="F3652">
        <f>IFERROR(__xludf.DUMMYFUNCTION("""COMPUTED_VALUE"""),13.4)</f>
        <v>13.4</v>
      </c>
    </row>
    <row r="3653">
      <c r="D3653" t="str">
        <f>IFERROR(__xludf.DUMMYFUNCTION("""COMPUTED_VALUE"""),"Luani")</f>
        <v>Luani</v>
      </c>
      <c r="E3653" t="str">
        <f>IFERROR(__xludf.DUMMYFUNCTION("""COMPUTED_VALUE"""),"Shalom")</f>
        <v>Shalom</v>
      </c>
      <c r="F3653">
        <f>IFERROR(__xludf.DUMMYFUNCTION("""COMPUTED_VALUE"""),12.600000000000001)</f>
        <v>12.6</v>
      </c>
    </row>
    <row r="3654">
      <c r="D3654" t="str">
        <f>IFERROR(__xludf.DUMMYFUNCTION("""COMPUTED_VALUE"""),"Lucas")</f>
        <v>Lucas</v>
      </c>
      <c r="E3654" t="str">
        <f>IFERROR(__xludf.DUMMYFUNCTION("""COMPUTED_VALUE"""),"Cornelius")</f>
        <v>Cornelius</v>
      </c>
      <c r="F3654">
        <f>IFERROR(__xludf.DUMMYFUNCTION("""COMPUTED_VALUE"""),13.8)</f>
        <v>13.8</v>
      </c>
    </row>
    <row r="3655">
      <c r="D3655" t="str">
        <f>IFERROR(__xludf.DUMMYFUNCTION("""COMPUTED_VALUE"""),"Lucas")</f>
        <v>Lucas</v>
      </c>
      <c r="E3655" t="str">
        <f>IFERROR(__xludf.DUMMYFUNCTION("""COMPUTED_VALUE"""),"Jordan")</f>
        <v>Jordan</v>
      </c>
      <c r="F3655">
        <f>IFERROR(__xludf.DUMMYFUNCTION("""COMPUTED_VALUE"""),12.600000000000001)</f>
        <v>12.6</v>
      </c>
    </row>
    <row r="3656">
      <c r="D3656" t="str">
        <f>IFERROR(__xludf.DUMMYFUNCTION("""COMPUTED_VALUE"""),"Lucien")</f>
        <v>Lucien</v>
      </c>
      <c r="E3656" t="str">
        <f>IFERROR(__xludf.DUMMYFUNCTION("""COMPUTED_VALUE"""),"Devin")</f>
        <v>Devin</v>
      </c>
      <c r="F3656">
        <f>IFERROR(__xludf.DUMMYFUNCTION("""COMPUTED_VALUE"""),12.600000000000001)</f>
        <v>12.6</v>
      </c>
    </row>
    <row r="3657">
      <c r="D3657" t="str">
        <f>IFERROR(__xludf.DUMMYFUNCTION("""COMPUTED_VALUE"""),"Luck")</f>
        <v>Luck</v>
      </c>
      <c r="E3657" t="str">
        <f>IFERROR(__xludf.DUMMYFUNCTION("""COMPUTED_VALUE"""),"Andrew")</f>
        <v>Andrew</v>
      </c>
      <c r="F3657">
        <f>IFERROR(__xludf.DUMMYFUNCTION("""COMPUTED_VALUE"""),18.0)</f>
        <v>18</v>
      </c>
    </row>
    <row r="3658">
      <c r="D3658" t="str">
        <f>IFERROR(__xludf.DUMMYFUNCTION("""COMPUTED_VALUE"""),"Lunt")</f>
        <v>Lunt</v>
      </c>
      <c r="E3658" t="str">
        <f>IFERROR(__xludf.DUMMYFUNCTION("""COMPUTED_VALUE"""),"Wes")</f>
        <v>Wes</v>
      </c>
      <c r="F3658">
        <f>IFERROR(__xludf.DUMMYFUNCTION("""COMPUTED_VALUE"""),10.8)</f>
        <v>10.8</v>
      </c>
    </row>
    <row r="3659">
      <c r="D3659" t="str">
        <f>IFERROR(__xludf.DUMMYFUNCTION("""COMPUTED_VALUE"""),"Lutz")</f>
        <v>Lutz</v>
      </c>
      <c r="E3659" t="str">
        <f>IFERROR(__xludf.DUMMYFUNCTION("""COMPUTED_VALUE"""),"Wil")</f>
        <v>Wil</v>
      </c>
      <c r="F3659">
        <f>IFERROR(__xludf.DUMMYFUNCTION("""COMPUTED_VALUE"""),15.8)</f>
        <v>15.8</v>
      </c>
    </row>
    <row r="3660">
      <c r="D3660" t="str">
        <f>IFERROR(__xludf.DUMMYFUNCTION("""COMPUTED_VALUE"""),"Lynch")</f>
        <v>Lynch</v>
      </c>
      <c r="E3660" t="str">
        <f>IFERROR(__xludf.DUMMYFUNCTION("""COMPUTED_VALUE"""),"Aaron")</f>
        <v>Aaron</v>
      </c>
      <c r="F3660">
        <f>IFERROR(__xludf.DUMMYFUNCTION("""COMPUTED_VALUE"""),15.200000000000001)</f>
        <v>15.2</v>
      </c>
    </row>
    <row r="3661">
      <c r="D3661" t="str">
        <f>IFERROR(__xludf.DUMMYFUNCTION("""COMPUTED_VALUE"""),"Lynch")</f>
        <v>Lynch</v>
      </c>
      <c r="E3661" t="str">
        <f>IFERROR(__xludf.DUMMYFUNCTION("""COMPUTED_VALUE"""),"Cameron")</f>
        <v>Cameron</v>
      </c>
      <c r="F3661">
        <f>IFERROR(__xludf.DUMMYFUNCTION("""COMPUTED_VALUE"""),12.4)</f>
        <v>12.4</v>
      </c>
    </row>
    <row r="3662">
      <c r="D3662" t="str">
        <f>IFERROR(__xludf.DUMMYFUNCTION("""COMPUTED_VALUE"""),"Lynch")</f>
        <v>Lynch</v>
      </c>
      <c r="E3662" t="str">
        <f>IFERROR(__xludf.DUMMYFUNCTION("""COMPUTED_VALUE"""),"Marshawn")</f>
        <v>Marshawn</v>
      </c>
      <c r="F3662">
        <f>IFERROR(__xludf.DUMMYFUNCTION("""COMPUTED_VALUE"""),17.0)</f>
        <v>17</v>
      </c>
    </row>
    <row r="3663">
      <c r="D3663" t="str">
        <f>IFERROR(__xludf.DUMMYFUNCTION("""COMPUTED_VALUE"""),"Lynch")</f>
        <v>Lynch</v>
      </c>
      <c r="E3663" t="str">
        <f>IFERROR(__xludf.DUMMYFUNCTION("""COMPUTED_VALUE"""),"Paxton")</f>
        <v>Paxton</v>
      </c>
      <c r="F3663">
        <f>IFERROR(__xludf.DUMMYFUNCTION("""COMPUTED_VALUE"""),14.4)</f>
        <v>14.4</v>
      </c>
    </row>
    <row r="3664">
      <c r="D3664" t="str">
        <f>IFERROR(__xludf.DUMMYFUNCTION("""COMPUTED_VALUE"""),"Mack")</f>
        <v>Mack</v>
      </c>
      <c r="E3664" t="str">
        <f>IFERROR(__xludf.DUMMYFUNCTION("""COMPUTED_VALUE"""),"Alex")</f>
        <v>Alex</v>
      </c>
      <c r="F3664">
        <f>IFERROR(__xludf.DUMMYFUNCTION("""COMPUTED_VALUE"""),18.2)</f>
        <v>18.2</v>
      </c>
    </row>
    <row r="3665">
      <c r="D3665" t="str">
        <f>IFERROR(__xludf.DUMMYFUNCTION("""COMPUTED_VALUE"""),"Mack")</f>
        <v>Mack</v>
      </c>
      <c r="E3665" t="str">
        <f>IFERROR(__xludf.DUMMYFUNCTION("""COMPUTED_VALUE"""),"Khalil")</f>
        <v>Khalil</v>
      </c>
      <c r="F3665">
        <f>IFERROR(__xludf.DUMMYFUNCTION("""COMPUTED_VALUE"""),19.400000000000002)</f>
        <v>19.4</v>
      </c>
    </row>
    <row r="3666">
      <c r="D3666" t="str">
        <f>IFERROR(__xludf.DUMMYFUNCTION("""COMPUTED_VALUE"""),"Mack")</f>
        <v>Mack</v>
      </c>
      <c r="E3666" t="str">
        <f>IFERROR(__xludf.DUMMYFUNCTION("""COMPUTED_VALUE"""),"Marlon")</f>
        <v>Marlon</v>
      </c>
      <c r="F3666">
        <f>IFERROR(__xludf.DUMMYFUNCTION("""COMPUTED_VALUE"""),14.4)</f>
        <v>14.4</v>
      </c>
    </row>
    <row r="3667">
      <c r="D3667" t="str">
        <f>IFERROR(__xludf.DUMMYFUNCTION("""COMPUTED_VALUE"""),"Maclin")</f>
        <v>Maclin</v>
      </c>
      <c r="E3667" t="str">
        <f>IFERROR(__xludf.DUMMYFUNCTION("""COMPUTED_VALUE"""),"Jeremy")</f>
        <v>Jeremy</v>
      </c>
      <c r="F3667">
        <f>IFERROR(__xludf.DUMMYFUNCTION("""COMPUTED_VALUE"""),16.6)</f>
        <v>16.6</v>
      </c>
    </row>
    <row r="3668">
      <c r="D3668" t="str">
        <f>IFERROR(__xludf.DUMMYFUNCTION("""COMPUTED_VALUE"""),"Magee")</f>
        <v>Magee</v>
      </c>
      <c r="E3668" t="str">
        <f>IFERROR(__xludf.DUMMYFUNCTION("""COMPUTED_VALUE"""),"Josh")</f>
        <v>Josh</v>
      </c>
      <c r="F3668">
        <f>IFERROR(__xludf.DUMMYFUNCTION("""COMPUTED_VALUE"""),11.4)</f>
        <v>11.4</v>
      </c>
    </row>
    <row r="3669">
      <c r="D3669" t="str">
        <f>IFERROR(__xludf.DUMMYFUNCTION("""COMPUTED_VALUE"""),"Magee")</f>
        <v>Magee</v>
      </c>
      <c r="E3669" t="str">
        <f>IFERROR(__xludf.DUMMYFUNCTION("""COMPUTED_VALUE"""),"Terrence")</f>
        <v>Terrence</v>
      </c>
      <c r="F3669">
        <f>IFERROR(__xludf.DUMMYFUNCTION("""COMPUTED_VALUE"""),12.8)</f>
        <v>12.8</v>
      </c>
    </row>
    <row r="3670">
      <c r="D3670" t="str">
        <f>IFERROR(__xludf.DUMMYFUNCTION("""COMPUTED_VALUE"""),"Mager")</f>
        <v>Mager</v>
      </c>
      <c r="E3670" t="str">
        <f>IFERROR(__xludf.DUMMYFUNCTION("""COMPUTED_VALUE"""),"Craig")</f>
        <v>Craig</v>
      </c>
      <c r="F3670">
        <f>IFERROR(__xludf.DUMMYFUNCTION("""COMPUTED_VALUE"""),14.4)</f>
        <v>14.4</v>
      </c>
    </row>
    <row r="3671">
      <c r="D3671" t="str">
        <f>IFERROR(__xludf.DUMMYFUNCTION("""COMPUTED_VALUE"""),"Mahomes II")</f>
        <v>Mahomes II</v>
      </c>
      <c r="E3671" t="str">
        <f>IFERROR(__xludf.DUMMYFUNCTION("""COMPUTED_VALUE"""),"Patrick")</f>
        <v>Patrick</v>
      </c>
      <c r="F3671">
        <f>IFERROR(__xludf.DUMMYFUNCTION("""COMPUTED_VALUE"""),15.200000000000001)</f>
        <v>15.2</v>
      </c>
    </row>
    <row r="3672">
      <c r="D3672" t="str">
        <f>IFERROR(__xludf.DUMMYFUNCTION("""COMPUTED_VALUE"""),"Malleck")</f>
        <v>Malleck</v>
      </c>
      <c r="E3672" t="str">
        <f>IFERROR(__xludf.DUMMYFUNCTION("""COMPUTED_VALUE"""),"Ryan")</f>
        <v>Ryan</v>
      </c>
      <c r="F3672">
        <f>IFERROR(__xludf.DUMMYFUNCTION("""COMPUTED_VALUE"""),12.4)</f>
        <v>12.4</v>
      </c>
    </row>
    <row r="3673">
      <c r="D3673" t="str">
        <f>IFERROR(__xludf.DUMMYFUNCTION("""COMPUTED_VALUE"""),"Mallett")</f>
        <v>Mallett</v>
      </c>
      <c r="E3673" t="str">
        <f>IFERROR(__xludf.DUMMYFUNCTION("""COMPUTED_VALUE"""),"Ryan")</f>
        <v>Ryan</v>
      </c>
      <c r="F3673">
        <f>IFERROR(__xludf.DUMMYFUNCTION("""COMPUTED_VALUE"""),13.200000000000001)</f>
        <v>13.2</v>
      </c>
    </row>
    <row r="3674">
      <c r="D3674" t="str">
        <f>IFERROR(__xludf.DUMMYFUNCTION("""COMPUTED_VALUE"""),"Malone")</f>
        <v>Malone</v>
      </c>
      <c r="E3674" t="str">
        <f>IFERROR(__xludf.DUMMYFUNCTION("""COMPUTED_VALUE"""),"Josh")</f>
        <v>Josh</v>
      </c>
      <c r="F3674">
        <f>IFERROR(__xludf.DUMMYFUNCTION("""COMPUTED_VALUE"""),13.600000000000001)</f>
        <v>13.6</v>
      </c>
    </row>
    <row r="3675">
      <c r="D3675" t="str">
        <f>IFERROR(__xludf.DUMMYFUNCTION("""COMPUTED_VALUE"""),"Mancz")</f>
        <v>Mancz</v>
      </c>
      <c r="E3675" t="str">
        <f>IFERROR(__xludf.DUMMYFUNCTION("""COMPUTED_VALUE"""),"Greg")</f>
        <v>Greg</v>
      </c>
      <c r="F3675">
        <f>IFERROR(__xludf.DUMMYFUNCTION("""COMPUTED_VALUE"""),15.600000000000001)</f>
        <v>15.6</v>
      </c>
    </row>
    <row r="3676">
      <c r="D3676" t="str">
        <f>IFERROR(__xludf.DUMMYFUNCTION("""COMPUTED_VALUE"""),"Manhertz")</f>
        <v>Manhertz</v>
      </c>
      <c r="E3676" t="str">
        <f>IFERROR(__xludf.DUMMYFUNCTION("""COMPUTED_VALUE"""),"Chris")</f>
        <v>Chris</v>
      </c>
      <c r="F3676">
        <f>IFERROR(__xludf.DUMMYFUNCTION("""COMPUTED_VALUE"""),12.4)</f>
        <v>12.4</v>
      </c>
    </row>
    <row r="3677">
      <c r="D3677" t="str">
        <f>IFERROR(__xludf.DUMMYFUNCTION("""COMPUTED_VALUE"""),"Manning")</f>
        <v>Manning</v>
      </c>
      <c r="E3677" t="str">
        <f>IFERROR(__xludf.DUMMYFUNCTION("""COMPUTED_VALUE"""),"Eli")</f>
        <v>Eli</v>
      </c>
      <c r="F3677">
        <f>IFERROR(__xludf.DUMMYFUNCTION("""COMPUTED_VALUE"""),16.0)</f>
        <v>16</v>
      </c>
    </row>
    <row r="3678">
      <c r="D3678" t="str">
        <f>IFERROR(__xludf.DUMMYFUNCTION("""COMPUTED_VALUE"""),"Mannion")</f>
        <v>Mannion</v>
      </c>
      <c r="E3678" t="str">
        <f>IFERROR(__xludf.DUMMYFUNCTION("""COMPUTED_VALUE"""),"Sean")</f>
        <v>Sean</v>
      </c>
      <c r="F3678">
        <f>IFERROR(__xludf.DUMMYFUNCTION("""COMPUTED_VALUE"""),12.200000000000001)</f>
        <v>12.2</v>
      </c>
    </row>
    <row r="3679">
      <c r="D3679" t="str">
        <f>IFERROR(__xludf.DUMMYFUNCTION("""COMPUTED_VALUE"""),"Manuel")</f>
        <v>Manuel</v>
      </c>
      <c r="E3679" t="str">
        <f>IFERROR(__xludf.DUMMYFUNCTION("""COMPUTED_VALUE"""),"EJ")</f>
        <v>EJ</v>
      </c>
      <c r="F3679">
        <f>IFERROR(__xludf.DUMMYFUNCTION("""COMPUTED_VALUE"""),14.0)</f>
        <v>14</v>
      </c>
    </row>
    <row r="3680">
      <c r="D3680" t="str">
        <f>IFERROR(__xludf.DUMMYFUNCTION("""COMPUTED_VALUE"""),"Maragos")</f>
        <v>Maragos</v>
      </c>
      <c r="E3680" t="str">
        <f>IFERROR(__xludf.DUMMYFUNCTION("""COMPUTED_VALUE"""),"Chris")</f>
        <v>Chris</v>
      </c>
      <c r="F3680">
        <f>IFERROR(__xludf.DUMMYFUNCTION("""COMPUTED_VALUE"""),14.0)</f>
        <v>14</v>
      </c>
    </row>
    <row r="3681">
      <c r="D3681" t="str">
        <f>IFERROR(__xludf.DUMMYFUNCTION("""COMPUTED_VALUE"""),"March-Lillard")</f>
        <v>March-Lillard</v>
      </c>
      <c r="E3681" t="str">
        <f>IFERROR(__xludf.DUMMYFUNCTION("""COMPUTED_VALUE"""),"Justin")</f>
        <v>Justin</v>
      </c>
      <c r="F3681">
        <f>IFERROR(__xludf.DUMMYFUNCTION("""COMPUTED_VALUE"""),14.4)</f>
        <v>14.4</v>
      </c>
    </row>
    <row r="3682">
      <c r="D3682" t="str">
        <f>IFERROR(__xludf.DUMMYFUNCTION("""COMPUTED_VALUE"""),"Mariota")</f>
        <v>Mariota</v>
      </c>
      <c r="E3682" t="str">
        <f>IFERROR(__xludf.DUMMYFUNCTION("""COMPUTED_VALUE"""),"Marcus")</f>
        <v>Marcus</v>
      </c>
      <c r="F3682">
        <f>IFERROR(__xludf.DUMMYFUNCTION("""COMPUTED_VALUE"""),16.0)</f>
        <v>16</v>
      </c>
    </row>
    <row r="3683">
      <c r="D3683" t="str">
        <f>IFERROR(__xludf.DUMMYFUNCTION("""COMPUTED_VALUE"""),"Marlowe")</f>
        <v>Marlowe</v>
      </c>
      <c r="E3683" t="str">
        <f>IFERROR(__xludf.DUMMYFUNCTION("""COMPUTED_VALUE"""),"Dean")</f>
        <v>Dean</v>
      </c>
      <c r="F3683">
        <f>IFERROR(__xludf.DUMMYFUNCTION("""COMPUTED_VALUE"""),13.0)</f>
        <v>13</v>
      </c>
    </row>
    <row r="3684">
      <c r="D3684" t="str">
        <f>IFERROR(__xludf.DUMMYFUNCTION("""COMPUTED_VALUE"""),"Marpet")</f>
        <v>Marpet</v>
      </c>
      <c r="E3684" t="str">
        <f>IFERROR(__xludf.DUMMYFUNCTION("""COMPUTED_VALUE"""),"Ali")</f>
        <v>Ali</v>
      </c>
      <c r="F3684">
        <f>IFERROR(__xludf.DUMMYFUNCTION("""COMPUTED_VALUE"""),17.0)</f>
        <v>17</v>
      </c>
    </row>
    <row r="3685">
      <c r="D3685" t="str">
        <f>IFERROR(__xludf.DUMMYFUNCTION("""COMPUTED_VALUE"""),"Marquez")</f>
        <v>Marquez</v>
      </c>
      <c r="E3685" t="str">
        <f>IFERROR(__xludf.DUMMYFUNCTION("""COMPUTED_VALUE"""),"Bradley")</f>
        <v>Bradley</v>
      </c>
      <c r="F3685">
        <f>IFERROR(__xludf.DUMMYFUNCTION("""COMPUTED_VALUE"""),12.8)</f>
        <v>12.8</v>
      </c>
    </row>
    <row r="3686">
      <c r="D3686" t="str">
        <f>IFERROR(__xludf.DUMMYFUNCTION("""COMPUTED_VALUE"""),"Marsh")</f>
        <v>Marsh</v>
      </c>
      <c r="E3686" t="str">
        <f>IFERROR(__xludf.DUMMYFUNCTION("""COMPUTED_VALUE"""),"Cassius")</f>
        <v>Cassius</v>
      </c>
      <c r="F3686">
        <f>IFERROR(__xludf.DUMMYFUNCTION("""COMPUTED_VALUE"""),13.600000000000001)</f>
        <v>13.6</v>
      </c>
    </row>
    <row r="3687">
      <c r="D3687" t="str">
        <f>IFERROR(__xludf.DUMMYFUNCTION("""COMPUTED_VALUE"""),"Marshall")</f>
        <v>Marshall</v>
      </c>
      <c r="E3687" t="str">
        <f>IFERROR(__xludf.DUMMYFUNCTION("""COMPUTED_VALUE"""),"Brandon")</f>
        <v>Brandon</v>
      </c>
      <c r="F3687">
        <f>IFERROR(__xludf.DUMMYFUNCTION("""COMPUTED_VALUE"""),17.2)</f>
        <v>17.2</v>
      </c>
    </row>
    <row r="3688">
      <c r="D3688" t="str">
        <f>IFERROR(__xludf.DUMMYFUNCTION("""COMPUTED_VALUE"""),"Marshall")</f>
        <v>Marshall</v>
      </c>
      <c r="E3688" t="str">
        <f>IFERROR(__xludf.DUMMYFUNCTION("""COMPUTED_VALUE"""),"Brandon")</f>
        <v>Brandon</v>
      </c>
      <c r="F3688">
        <f>IFERROR(__xludf.DUMMYFUNCTION("""COMPUTED_VALUE"""),17.0)</f>
        <v>17</v>
      </c>
    </row>
    <row r="3689">
      <c r="D3689" t="str">
        <f>IFERROR(__xludf.DUMMYFUNCTION("""COMPUTED_VALUE"""),"Marshall")</f>
        <v>Marshall</v>
      </c>
      <c r="E3689" t="str">
        <f>IFERROR(__xludf.DUMMYFUNCTION("""COMPUTED_VALUE"""),"Byron")</f>
        <v>Byron</v>
      </c>
      <c r="F3689">
        <f>IFERROR(__xludf.DUMMYFUNCTION("""COMPUTED_VALUE"""),10.8)</f>
        <v>10.8</v>
      </c>
    </row>
    <row r="3690">
      <c r="D3690" t="str">
        <f>IFERROR(__xludf.DUMMYFUNCTION("""COMPUTED_VALUE"""),"Marshall")</f>
        <v>Marshall</v>
      </c>
      <c r="E3690" t="str">
        <f>IFERROR(__xludf.DUMMYFUNCTION("""COMPUTED_VALUE"""),"Jalin")</f>
        <v>Jalin</v>
      </c>
      <c r="F3690">
        <f>IFERROR(__xludf.DUMMYFUNCTION("""COMPUTED_VALUE"""),13.8)</f>
        <v>13.8</v>
      </c>
    </row>
    <row r="3691">
      <c r="D3691" t="str">
        <f>IFERROR(__xludf.DUMMYFUNCTION("""COMPUTED_VALUE"""),"Marshall")</f>
        <v>Marshall</v>
      </c>
      <c r="E3691" t="str">
        <f>IFERROR(__xludf.DUMMYFUNCTION("""COMPUTED_VALUE"""),"Keith")</f>
        <v>Keith</v>
      </c>
      <c r="F3691">
        <f>IFERROR(__xludf.DUMMYFUNCTION("""COMPUTED_VALUE"""),13.4)</f>
        <v>13.4</v>
      </c>
    </row>
    <row r="3692">
      <c r="D3692" t="str">
        <f>IFERROR(__xludf.DUMMYFUNCTION("""COMPUTED_VALUE"""),"Martin")</f>
        <v>Martin</v>
      </c>
      <c r="E3692" t="str">
        <f>IFERROR(__xludf.DUMMYFUNCTION("""COMPUTED_VALUE"""),"Doug")</f>
        <v>Doug</v>
      </c>
      <c r="F3692">
        <f>IFERROR(__xludf.DUMMYFUNCTION("""COMPUTED_VALUE"""),16.6)</f>
        <v>16.6</v>
      </c>
    </row>
    <row r="3693">
      <c r="D3693" t="str">
        <f>IFERROR(__xludf.DUMMYFUNCTION("""COMPUTED_VALUE"""),"Martin")</f>
        <v>Martin</v>
      </c>
      <c r="E3693" t="str">
        <f>IFERROR(__xludf.DUMMYFUNCTION("""COMPUTED_VALUE"""),"Gabe")</f>
        <v>Gabe</v>
      </c>
      <c r="F3693">
        <f>IFERROR(__xludf.DUMMYFUNCTION("""COMPUTED_VALUE"""),11.600000000000001)</f>
        <v>11.6</v>
      </c>
    </row>
    <row r="3694">
      <c r="D3694" t="str">
        <f>IFERROR(__xludf.DUMMYFUNCTION("""COMPUTED_VALUE"""),"Martin")</f>
        <v>Martin</v>
      </c>
      <c r="E3694" t="str">
        <f>IFERROR(__xludf.DUMMYFUNCTION("""COMPUTED_VALUE"""),"Josh")</f>
        <v>Josh</v>
      </c>
      <c r="F3694">
        <f>IFERROR(__xludf.DUMMYFUNCTION("""COMPUTED_VALUE"""),13.600000000000001)</f>
        <v>13.6</v>
      </c>
    </row>
    <row r="3695">
      <c r="D3695" t="str">
        <f>IFERROR(__xludf.DUMMYFUNCTION("""COMPUTED_VALUE"""),"Martin")</f>
        <v>Martin</v>
      </c>
      <c r="E3695" t="str">
        <f>IFERROR(__xludf.DUMMYFUNCTION("""COMPUTED_VALUE"""),"Kareem")</f>
        <v>Kareem</v>
      </c>
      <c r="F3695">
        <f>IFERROR(__xludf.DUMMYFUNCTION("""COMPUTED_VALUE"""),12.600000000000001)</f>
        <v>12.6</v>
      </c>
    </row>
    <row r="3696">
      <c r="D3696" t="str">
        <f>IFERROR(__xludf.DUMMYFUNCTION("""COMPUTED_VALUE"""),"Martin")</f>
        <v>Martin</v>
      </c>
      <c r="E3696" t="str">
        <f>IFERROR(__xludf.DUMMYFUNCTION("""COMPUTED_VALUE"""),"Keshawn")</f>
        <v>Keshawn</v>
      </c>
      <c r="F3696">
        <f>IFERROR(__xludf.DUMMYFUNCTION("""COMPUTED_VALUE"""),13.200000000000001)</f>
        <v>13.2</v>
      </c>
    </row>
    <row r="3697">
      <c r="D3697" t="str">
        <f>IFERROR(__xludf.DUMMYFUNCTION("""COMPUTED_VALUE"""),"Martin")</f>
        <v>Martin</v>
      </c>
      <c r="E3697" t="str">
        <f>IFERROR(__xludf.DUMMYFUNCTION("""COMPUTED_VALUE"""),"Marcus")</f>
        <v>Marcus</v>
      </c>
      <c r="F3697">
        <f>IFERROR(__xludf.DUMMYFUNCTION("""COMPUTED_VALUE"""),13.600000000000001)</f>
        <v>13.6</v>
      </c>
    </row>
    <row r="3698">
      <c r="D3698" t="str">
        <f>IFERROR(__xludf.DUMMYFUNCTION("""COMPUTED_VALUE"""),"Martin")</f>
        <v>Martin</v>
      </c>
      <c r="E3698" t="str">
        <f>IFERROR(__xludf.DUMMYFUNCTION("""COMPUTED_VALUE"""),"Nick")</f>
        <v>Nick</v>
      </c>
      <c r="F3698">
        <f>IFERROR(__xludf.DUMMYFUNCTION("""COMPUTED_VALUE"""),14.8)</f>
        <v>14.8</v>
      </c>
    </row>
    <row r="3699">
      <c r="D3699" t="str">
        <f>IFERROR(__xludf.DUMMYFUNCTION("""COMPUTED_VALUE"""),"Martin")</f>
        <v>Martin</v>
      </c>
      <c r="E3699" t="str">
        <f>IFERROR(__xludf.DUMMYFUNCTION("""COMPUTED_VALUE"""),"Sam")</f>
        <v>Sam</v>
      </c>
      <c r="F3699">
        <f>IFERROR(__xludf.DUMMYFUNCTION("""COMPUTED_VALUE"""),16.2)</f>
        <v>16.2</v>
      </c>
    </row>
    <row r="3700">
      <c r="D3700" t="str">
        <f>IFERROR(__xludf.DUMMYFUNCTION("""COMPUTED_VALUE"""),"Martin")</f>
        <v>Martin</v>
      </c>
      <c r="E3700" t="str">
        <f>IFERROR(__xludf.DUMMYFUNCTION("""COMPUTED_VALUE"""),"Zack")</f>
        <v>Zack</v>
      </c>
      <c r="F3700">
        <f>IFERROR(__xludf.DUMMYFUNCTION("""COMPUTED_VALUE"""),19.0)</f>
        <v>19</v>
      </c>
    </row>
    <row r="3701">
      <c r="D3701" t="str">
        <f>IFERROR(__xludf.DUMMYFUNCTION("""COMPUTED_VALUE"""),"Martin Jr")</f>
        <v>Martin Jr</v>
      </c>
      <c r="E3701" t="str">
        <f>IFERROR(__xludf.DUMMYFUNCTION("""COMPUTED_VALUE"""),"Ronald")</f>
        <v>Ronald</v>
      </c>
      <c r="F3701">
        <f>IFERROR(__xludf.DUMMYFUNCTION("""COMPUTED_VALUE"""),12.600000000000001)</f>
        <v>12.6</v>
      </c>
    </row>
    <row r="3702">
      <c r="D3702" t="str">
        <f>IFERROR(__xludf.DUMMYFUNCTION("""COMPUTED_VALUE"""),"Martinez")</f>
        <v>Martinez</v>
      </c>
      <c r="E3702" t="str">
        <f>IFERROR(__xludf.DUMMYFUNCTION("""COMPUTED_VALUE"""),"Blake")</f>
        <v>Blake</v>
      </c>
      <c r="F3702">
        <f>IFERROR(__xludf.DUMMYFUNCTION("""COMPUTED_VALUE"""),14.8)</f>
        <v>14.8</v>
      </c>
    </row>
    <row r="3703">
      <c r="D3703" t="str">
        <f>IFERROR(__xludf.DUMMYFUNCTION("""COMPUTED_VALUE"""),"Martino")</f>
        <v>Martino</v>
      </c>
      <c r="E3703" t="str">
        <f>IFERROR(__xludf.DUMMYFUNCTION("""COMPUTED_VALUE"""),"Freddie")</f>
        <v>Freddie</v>
      </c>
      <c r="F3703">
        <f>IFERROR(__xludf.DUMMYFUNCTION("""COMPUTED_VALUE"""),12.4)</f>
        <v>12.4</v>
      </c>
    </row>
    <row r="3704">
      <c r="D3704" t="str">
        <f>IFERROR(__xludf.DUMMYFUNCTION("""COMPUTED_VALUE"""),"Mason")</f>
        <v>Mason</v>
      </c>
      <c r="E3704" t="str">
        <f>IFERROR(__xludf.DUMMYFUNCTION("""COMPUTED_VALUE"""),"Shaq")</f>
        <v>Shaq</v>
      </c>
      <c r="F3704">
        <f>IFERROR(__xludf.DUMMYFUNCTION("""COMPUTED_VALUE"""),17.0)</f>
        <v>17</v>
      </c>
    </row>
    <row r="3705">
      <c r="D3705" t="str">
        <f>IFERROR(__xludf.DUMMYFUNCTION("""COMPUTED_VALUE"""),"Massie")</f>
        <v>Massie</v>
      </c>
      <c r="E3705" t="str">
        <f>IFERROR(__xludf.DUMMYFUNCTION("""COMPUTED_VALUE"""),"Bobby")</f>
        <v>Bobby</v>
      </c>
      <c r="F3705">
        <f>IFERROR(__xludf.DUMMYFUNCTION("""COMPUTED_VALUE"""),14.600000000000001)</f>
        <v>14.6</v>
      </c>
    </row>
    <row r="3706">
      <c r="D3706" t="str">
        <f>IFERROR(__xludf.DUMMYFUNCTION("""COMPUTED_VALUE"""),"Matakevich")</f>
        <v>Matakevich</v>
      </c>
      <c r="E3706" t="str">
        <f>IFERROR(__xludf.DUMMYFUNCTION("""COMPUTED_VALUE"""),"Tyler")</f>
        <v>Tyler</v>
      </c>
      <c r="F3706">
        <f>IFERROR(__xludf.DUMMYFUNCTION("""COMPUTED_VALUE"""),12.8)</f>
        <v>12.8</v>
      </c>
    </row>
    <row r="3707">
      <c r="D3707" t="str">
        <f>IFERROR(__xludf.DUMMYFUNCTION("""COMPUTED_VALUE"""),"Mathews")</f>
        <v>Mathews</v>
      </c>
      <c r="E3707" t="str">
        <f>IFERROR(__xludf.DUMMYFUNCTION("""COMPUTED_VALUE"""),"Mitch")</f>
        <v>Mitch</v>
      </c>
      <c r="F3707">
        <f>IFERROR(__xludf.DUMMYFUNCTION("""COMPUTED_VALUE"""),12.0)</f>
        <v>12</v>
      </c>
    </row>
    <row r="3708">
      <c r="D3708" t="str">
        <f>IFERROR(__xludf.DUMMYFUNCTION("""COMPUTED_VALUE"""),"Mathews")</f>
        <v>Mathews</v>
      </c>
      <c r="E3708" t="str">
        <f>IFERROR(__xludf.DUMMYFUNCTION("""COMPUTED_VALUE"""),"Ryan")</f>
        <v>Ryan</v>
      </c>
      <c r="F3708">
        <f>IFERROR(__xludf.DUMMYFUNCTION("""COMPUTED_VALUE"""),16.400000000000002)</f>
        <v>16.4</v>
      </c>
    </row>
    <row r="3709">
      <c r="D3709" t="str">
        <f>IFERROR(__xludf.DUMMYFUNCTION("""COMPUTED_VALUE"""),"Mathieu")</f>
        <v>Mathieu</v>
      </c>
      <c r="E3709" t="str">
        <f>IFERROR(__xludf.DUMMYFUNCTION("""COMPUTED_VALUE"""),"Tyrann")</f>
        <v>Tyrann</v>
      </c>
      <c r="F3709">
        <f>IFERROR(__xludf.DUMMYFUNCTION("""COMPUTED_VALUE"""),17.400000000000002)</f>
        <v>17.4</v>
      </c>
    </row>
    <row r="3710">
      <c r="D3710" t="str">
        <f>IFERROR(__xludf.DUMMYFUNCTION("""COMPUTED_VALUE"""),"Matias")</f>
        <v>Matias</v>
      </c>
      <c r="E3710" t="str">
        <f>IFERROR(__xludf.DUMMYFUNCTION("""COMPUTED_VALUE"""),"Josue")</f>
        <v>Josue</v>
      </c>
      <c r="F3710">
        <f>IFERROR(__xludf.DUMMYFUNCTION("""COMPUTED_VALUE"""),12.200000000000001)</f>
        <v>12.2</v>
      </c>
    </row>
    <row r="3711">
      <c r="D3711" t="str">
        <f>IFERROR(__xludf.DUMMYFUNCTION("""COMPUTED_VALUE"""),"Matthews")</f>
        <v>Matthews</v>
      </c>
      <c r="E3711" t="str">
        <f>IFERROR(__xludf.DUMMYFUNCTION("""COMPUTED_VALUE"""),"Chris")</f>
        <v>Chris</v>
      </c>
      <c r="F3711">
        <f>IFERROR(__xludf.DUMMYFUNCTION("""COMPUTED_VALUE"""),13.600000000000001)</f>
        <v>13.6</v>
      </c>
    </row>
    <row r="3712">
      <c r="D3712" t="str">
        <f>IFERROR(__xludf.DUMMYFUNCTION("""COMPUTED_VALUE"""),"Matthews")</f>
        <v>Matthews</v>
      </c>
      <c r="E3712" t="str">
        <f>IFERROR(__xludf.DUMMYFUNCTION("""COMPUTED_VALUE"""),"Clay")</f>
        <v>Clay</v>
      </c>
      <c r="F3712">
        <f>IFERROR(__xludf.DUMMYFUNCTION("""COMPUTED_VALUE"""),16.400000000000002)</f>
        <v>16.4</v>
      </c>
    </row>
    <row r="3713">
      <c r="D3713" t="str">
        <f>IFERROR(__xludf.DUMMYFUNCTION("""COMPUTED_VALUE"""),"Matthews")</f>
        <v>Matthews</v>
      </c>
      <c r="E3713" t="str">
        <f>IFERROR(__xludf.DUMMYFUNCTION("""COMPUTED_VALUE"""),"Jake")</f>
        <v>Jake</v>
      </c>
      <c r="F3713">
        <f>IFERROR(__xludf.DUMMYFUNCTION("""COMPUTED_VALUE"""),15.4)</f>
        <v>15.4</v>
      </c>
    </row>
    <row r="3714">
      <c r="D3714" t="str">
        <f>IFERROR(__xludf.DUMMYFUNCTION("""COMPUTED_VALUE"""),"Matthews")</f>
        <v>Matthews</v>
      </c>
      <c r="E3714" t="str">
        <f>IFERROR(__xludf.DUMMYFUNCTION("""COMPUTED_VALUE"""),"Jordan")</f>
        <v>Jordan</v>
      </c>
      <c r="F3714">
        <f>IFERROR(__xludf.DUMMYFUNCTION("""COMPUTED_VALUE"""),16.2)</f>
        <v>16.2</v>
      </c>
    </row>
    <row r="3715">
      <c r="D3715" t="str">
        <f>IFERROR(__xludf.DUMMYFUNCTION("""COMPUTED_VALUE"""),"Matthews")</f>
        <v>Matthews</v>
      </c>
      <c r="E3715" t="str">
        <f>IFERROR(__xludf.DUMMYFUNCTION("""COMPUTED_VALUE"""),"Rishard")</f>
        <v>Rishard</v>
      </c>
      <c r="F3715">
        <f>IFERROR(__xludf.DUMMYFUNCTION("""COMPUTED_VALUE"""),16.400000000000002)</f>
        <v>16.4</v>
      </c>
    </row>
    <row r="3716">
      <c r="D3716" t="str">
        <f>IFERROR(__xludf.DUMMYFUNCTION("""COMPUTED_VALUE"""),"Mauga")</f>
        <v>Mauga</v>
      </c>
      <c r="E3716" t="str">
        <f>IFERROR(__xludf.DUMMYFUNCTION("""COMPUTED_VALUE"""),"Josh")</f>
        <v>Josh</v>
      </c>
      <c r="F3716">
        <f>IFERROR(__xludf.DUMMYFUNCTION("""COMPUTED_VALUE"""),14.600000000000001)</f>
        <v>14.6</v>
      </c>
    </row>
    <row r="3717">
      <c r="D3717" t="str">
        <f>IFERROR(__xludf.DUMMYFUNCTION("""COMPUTED_VALUE"""),"Mauger")</f>
        <v>Mauger</v>
      </c>
      <c r="E3717" t="str">
        <f>IFERROR(__xludf.DUMMYFUNCTION("""COMPUTED_VALUE"""),"Quincy")</f>
        <v>Quincy</v>
      </c>
      <c r="F3717">
        <f>IFERROR(__xludf.DUMMYFUNCTION("""COMPUTED_VALUE"""),12.0)</f>
        <v>12</v>
      </c>
    </row>
    <row r="3718">
      <c r="D3718" t="str">
        <f>IFERROR(__xludf.DUMMYFUNCTION("""COMPUTED_VALUE"""),"Mauldin IV")</f>
        <v>Mauldin IV</v>
      </c>
      <c r="E3718" t="str">
        <f>IFERROR(__xludf.DUMMYFUNCTION("""COMPUTED_VALUE"""),"Lorenzo")</f>
        <v>Lorenzo</v>
      </c>
      <c r="F3718">
        <f>IFERROR(__xludf.DUMMYFUNCTION("""COMPUTED_VALUE"""),14.4)</f>
        <v>14.4</v>
      </c>
    </row>
    <row r="3719">
      <c r="D3719" t="str">
        <f>IFERROR(__xludf.DUMMYFUNCTION("""COMPUTED_VALUE"""),"Maulet")</f>
        <v>Maulet</v>
      </c>
      <c r="E3719" t="str">
        <f>IFERROR(__xludf.DUMMYFUNCTION("""COMPUTED_VALUE"""),"Arthur")</f>
        <v>Arthur</v>
      </c>
      <c r="F3719">
        <f>IFERROR(__xludf.DUMMYFUNCTION("""COMPUTED_VALUE"""),12.200000000000001)</f>
        <v>12.2</v>
      </c>
    </row>
    <row r="3720">
      <c r="D3720" t="str">
        <f>IFERROR(__xludf.DUMMYFUNCTION("""COMPUTED_VALUE"""),"Mauro")</f>
        <v>Mauro</v>
      </c>
      <c r="E3720" t="str">
        <f>IFERROR(__xludf.DUMMYFUNCTION("""COMPUTED_VALUE"""),"Josh")</f>
        <v>Josh</v>
      </c>
      <c r="F3720">
        <f>IFERROR(__xludf.DUMMYFUNCTION("""COMPUTED_VALUE"""),13.200000000000001)</f>
        <v>13.2</v>
      </c>
    </row>
    <row r="3721">
      <c r="D3721" t="str">
        <f>IFERROR(__xludf.DUMMYFUNCTION("""COMPUTED_VALUE"""),"Maxey")</f>
        <v>Maxey</v>
      </c>
      <c r="E3721" t="str">
        <f>IFERROR(__xludf.DUMMYFUNCTION("""COMPUTED_VALUE"""),"Johnny")</f>
        <v>Johnny</v>
      </c>
      <c r="F3721">
        <f>IFERROR(__xludf.DUMMYFUNCTION("""COMPUTED_VALUE"""),12.200000000000001)</f>
        <v>12.2</v>
      </c>
    </row>
    <row r="3722">
      <c r="D3722" t="str">
        <f>IFERROR(__xludf.DUMMYFUNCTION("""COMPUTED_VALUE"""),"Maxwell")</f>
        <v>Maxwell</v>
      </c>
      <c r="E3722" t="str">
        <f>IFERROR(__xludf.DUMMYFUNCTION("""COMPUTED_VALUE"""),"Byron")</f>
        <v>Byron</v>
      </c>
      <c r="F3722">
        <f>IFERROR(__xludf.DUMMYFUNCTION("""COMPUTED_VALUE"""),17.0)</f>
        <v>17</v>
      </c>
    </row>
    <row r="3723">
      <c r="D3723" t="str">
        <f>IFERROR(__xludf.DUMMYFUNCTION("""COMPUTED_VALUE"""),"Maye")</f>
        <v>Maye</v>
      </c>
      <c r="E3723" t="str">
        <f>IFERROR(__xludf.DUMMYFUNCTION("""COMPUTED_VALUE"""),"Marcus")</f>
        <v>Marcus</v>
      </c>
      <c r="F3723">
        <f>IFERROR(__xludf.DUMMYFUNCTION("""COMPUTED_VALUE"""),14.8)</f>
        <v>14.8</v>
      </c>
    </row>
    <row r="3724">
      <c r="D3724" t="str">
        <f>IFERROR(__xludf.DUMMYFUNCTION("""COMPUTED_VALUE"""),"Mayle")</f>
        <v>Mayle</v>
      </c>
      <c r="E3724" t="str">
        <f>IFERROR(__xludf.DUMMYFUNCTION("""COMPUTED_VALUE"""),"Vince")</f>
        <v>Vince</v>
      </c>
      <c r="F3724">
        <f>IFERROR(__xludf.DUMMYFUNCTION("""COMPUTED_VALUE"""),13.200000000000001)</f>
        <v>13.2</v>
      </c>
    </row>
    <row r="3725">
      <c r="D3725" t="str">
        <f>IFERROR(__xludf.DUMMYFUNCTION("""COMPUTED_VALUE"""),"Mayo")</f>
        <v>Mayo</v>
      </c>
      <c r="E3725" t="str">
        <f>IFERROR(__xludf.DUMMYFUNCTION("""COMPUTED_VALUE"""),"David")</f>
        <v>David</v>
      </c>
      <c r="F3725">
        <f>IFERROR(__xludf.DUMMYFUNCTION("""COMPUTED_VALUE"""),13.200000000000001)</f>
        <v>13.2</v>
      </c>
    </row>
    <row r="3726">
      <c r="D3726" t="str">
        <f>IFERROR(__xludf.DUMMYFUNCTION("""COMPUTED_VALUE"""),"Mayowa")</f>
        <v>Mayowa</v>
      </c>
      <c r="E3726" t="str">
        <f>IFERROR(__xludf.DUMMYFUNCTION("""COMPUTED_VALUE"""),"Benson")</f>
        <v>Benson</v>
      </c>
      <c r="F3726">
        <f>IFERROR(__xludf.DUMMYFUNCTION("""COMPUTED_VALUE"""),14.8)</f>
        <v>14.8</v>
      </c>
    </row>
    <row r="3727">
      <c r="D3727" t="str">
        <f>IFERROR(__xludf.DUMMYFUNCTION("""COMPUTED_VALUE"""),"Mays")</f>
        <v>Mays</v>
      </c>
      <c r="E3727" t="str">
        <f>IFERROR(__xludf.DUMMYFUNCTION("""COMPUTED_VALUE"""),"Devante")</f>
        <v>Devante</v>
      </c>
      <c r="F3727">
        <f>IFERROR(__xludf.DUMMYFUNCTION("""COMPUTED_VALUE"""),13.200000000000001)</f>
        <v>13.2</v>
      </c>
    </row>
    <row r="3728">
      <c r="D3728" t="str">
        <f>IFERROR(__xludf.DUMMYFUNCTION("""COMPUTED_VALUE"""),"Mbu")</f>
        <v>Mbu</v>
      </c>
      <c r="E3728" t="str">
        <f>IFERROR(__xludf.DUMMYFUNCTION("""COMPUTED_VALUE"""),"Joey")</f>
        <v>Joey</v>
      </c>
      <c r="F3728">
        <f>IFERROR(__xludf.DUMMYFUNCTION("""COMPUTED_VALUE"""),12.0)</f>
        <v>12</v>
      </c>
    </row>
    <row r="3729">
      <c r="D3729" t="str">
        <f>IFERROR(__xludf.DUMMYFUNCTION("""COMPUTED_VALUE"""),"McBride")</f>
        <v>McBride</v>
      </c>
      <c r="E3729" t="str">
        <f>IFERROR(__xludf.DUMMYFUNCTION("""COMPUTED_VALUE"""),"Tre")</f>
        <v>Tre</v>
      </c>
      <c r="F3729">
        <f>IFERROR(__xludf.DUMMYFUNCTION("""COMPUTED_VALUE"""),13.0)</f>
        <v>13</v>
      </c>
    </row>
    <row r="3730">
      <c r="D3730" t="str">
        <f>IFERROR(__xludf.DUMMYFUNCTION("""COMPUTED_VALUE"""),"McCaffrey")</f>
        <v>McCaffrey</v>
      </c>
      <c r="E3730" t="str">
        <f>IFERROR(__xludf.DUMMYFUNCTION("""COMPUTED_VALUE"""),"Christian")</f>
        <v>Christian</v>
      </c>
      <c r="F3730">
        <f>IFERROR(__xludf.DUMMYFUNCTION("""COMPUTED_VALUE"""),16.2)</f>
        <v>16.2</v>
      </c>
    </row>
    <row r="3731">
      <c r="D3731" t="str">
        <f>IFERROR(__xludf.DUMMYFUNCTION("""COMPUTED_VALUE"""),"McCaffrey")</f>
        <v>McCaffrey</v>
      </c>
      <c r="E3731" t="str">
        <f>IFERROR(__xludf.DUMMYFUNCTION("""COMPUTED_VALUE"""),"Max")</f>
        <v>Max</v>
      </c>
      <c r="F3731">
        <f>IFERROR(__xludf.DUMMYFUNCTION("""COMPUTED_VALUE"""),12.4)</f>
        <v>12.4</v>
      </c>
    </row>
    <row r="3732">
      <c r="D3732" t="str">
        <f>IFERROR(__xludf.DUMMYFUNCTION("""COMPUTED_VALUE"""),"McCain")</f>
        <v>McCain</v>
      </c>
      <c r="E3732" t="str">
        <f>IFERROR(__xludf.DUMMYFUNCTION("""COMPUTED_VALUE"""),"Bobby")</f>
        <v>Bobby</v>
      </c>
      <c r="F3732">
        <f>IFERROR(__xludf.DUMMYFUNCTION("""COMPUTED_VALUE"""),14.8)</f>
        <v>14.8</v>
      </c>
    </row>
    <row r="3733">
      <c r="D3733" t="str">
        <f>IFERROR(__xludf.DUMMYFUNCTION("""COMPUTED_VALUE"""),"McCain")</f>
        <v>McCain</v>
      </c>
      <c r="E3733" t="str">
        <f>IFERROR(__xludf.DUMMYFUNCTION("""COMPUTED_VALUE"""),"Brice")</f>
        <v>Brice</v>
      </c>
      <c r="F3733">
        <f>IFERROR(__xludf.DUMMYFUNCTION("""COMPUTED_VALUE"""),15.600000000000001)</f>
        <v>15.6</v>
      </c>
    </row>
    <row r="3734">
      <c r="D3734" t="str">
        <f>IFERROR(__xludf.DUMMYFUNCTION("""COMPUTED_VALUE"""),"McCain")</f>
        <v>McCain</v>
      </c>
      <c r="E3734" t="str">
        <f>IFERROR(__xludf.DUMMYFUNCTION("""COMPUTED_VALUE"""),"Chris")</f>
        <v>Chris</v>
      </c>
      <c r="F3734">
        <f>IFERROR(__xludf.DUMMYFUNCTION("""COMPUTED_VALUE"""),13.600000000000001)</f>
        <v>13.6</v>
      </c>
    </row>
    <row r="3735">
      <c r="D3735" t="str">
        <f>IFERROR(__xludf.DUMMYFUNCTION("""COMPUTED_VALUE"""),"McCalister")</f>
        <v>McCalister</v>
      </c>
      <c r="E3735" t="str">
        <f>IFERROR(__xludf.DUMMYFUNCTION("""COMPUTED_VALUE"""),"Alex")</f>
        <v>Alex</v>
      </c>
      <c r="F3735">
        <f>IFERROR(__xludf.DUMMYFUNCTION("""COMPUTED_VALUE"""),12.0)</f>
        <v>12</v>
      </c>
    </row>
    <row r="3736">
      <c r="D3736" t="str">
        <f>IFERROR(__xludf.DUMMYFUNCTION("""COMPUTED_VALUE"""),"McCants")</f>
        <v>McCants</v>
      </c>
      <c r="E3736" t="str">
        <f>IFERROR(__xludf.DUMMYFUNCTION("""COMPUTED_VALUE"""),"Matthew")</f>
        <v>Matthew</v>
      </c>
      <c r="F3736">
        <f>IFERROR(__xludf.DUMMYFUNCTION("""COMPUTED_VALUE"""),14.200000000000001)</f>
        <v>14.2</v>
      </c>
    </row>
    <row r="3737">
      <c r="D3737" t="str">
        <f>IFERROR(__xludf.DUMMYFUNCTION("""COMPUTED_VALUE"""),"McCarron")</f>
        <v>McCarron</v>
      </c>
      <c r="E3737" t="str">
        <f>IFERROR(__xludf.DUMMYFUNCTION("""COMPUTED_VALUE"""),"AJ")</f>
        <v>AJ</v>
      </c>
      <c r="F3737">
        <f>IFERROR(__xludf.DUMMYFUNCTION("""COMPUTED_VALUE"""),14.600000000000001)</f>
        <v>14.6</v>
      </c>
    </row>
    <row r="3738">
      <c r="D3738" t="str">
        <f>IFERROR(__xludf.DUMMYFUNCTION("""COMPUTED_VALUE"""),"McCarron")</f>
        <v>McCarron</v>
      </c>
      <c r="E3738" t="str">
        <f>IFERROR(__xludf.DUMMYFUNCTION("""COMPUTED_VALUE"""),"Riley")</f>
        <v>Riley</v>
      </c>
      <c r="F3738">
        <f>IFERROR(__xludf.DUMMYFUNCTION("""COMPUTED_VALUE"""),12.8)</f>
        <v>12.8</v>
      </c>
    </row>
    <row r="3739">
      <c r="D3739" t="str">
        <f>IFERROR(__xludf.DUMMYFUNCTION("""COMPUTED_VALUE"""),"McCaskill")</f>
        <v>McCaskill</v>
      </c>
      <c r="E3739" t="str">
        <f>IFERROR(__xludf.DUMMYFUNCTION("""COMPUTED_VALUE"""),"Sam")</f>
        <v>Sam</v>
      </c>
      <c r="F3739">
        <f>IFERROR(__xludf.DUMMYFUNCTION("""COMPUTED_VALUE"""),12.600000000000001)</f>
        <v>12.6</v>
      </c>
    </row>
    <row r="3740">
      <c r="D3740" t="str">
        <f>IFERROR(__xludf.DUMMYFUNCTION("""COMPUTED_VALUE"""),"McClain")</f>
        <v>McClain</v>
      </c>
      <c r="E3740" t="str">
        <f>IFERROR(__xludf.DUMMYFUNCTION("""COMPUTED_VALUE"""),"Robert")</f>
        <v>Robert</v>
      </c>
      <c r="F3740">
        <f>IFERROR(__xludf.DUMMYFUNCTION("""COMPUTED_VALUE"""),13.8)</f>
        <v>13.8</v>
      </c>
    </row>
    <row r="3741">
      <c r="D3741" t="str">
        <f>IFERROR(__xludf.DUMMYFUNCTION("""COMPUTED_VALUE"""),"McClain")</f>
        <v>McClain</v>
      </c>
      <c r="E3741" t="str">
        <f>IFERROR(__xludf.DUMMYFUNCTION("""COMPUTED_VALUE"""),"Terrell")</f>
        <v>Terrell</v>
      </c>
      <c r="F3741">
        <f>IFERROR(__xludf.DUMMYFUNCTION("""COMPUTED_VALUE"""),14.600000000000001)</f>
        <v>14.6</v>
      </c>
    </row>
    <row r="3742">
      <c r="D3742" t="str">
        <f>IFERROR(__xludf.DUMMYFUNCTION("""COMPUTED_VALUE"""),"McClellan")</f>
        <v>McClellan</v>
      </c>
      <c r="E3742" t="str">
        <f>IFERROR(__xludf.DUMMYFUNCTION("""COMPUTED_VALUE"""),"Albert")</f>
        <v>Albert</v>
      </c>
      <c r="F3742">
        <f>IFERROR(__xludf.DUMMYFUNCTION("""COMPUTED_VALUE"""),14.0)</f>
        <v>14</v>
      </c>
    </row>
    <row r="3743">
      <c r="D3743" t="str">
        <f>IFERROR(__xludf.DUMMYFUNCTION("""COMPUTED_VALUE"""),"McClellin")</f>
        <v>McClellin</v>
      </c>
      <c r="E3743" t="str">
        <f>IFERROR(__xludf.DUMMYFUNCTION("""COMPUTED_VALUE"""),"Shea")</f>
        <v>Shea</v>
      </c>
      <c r="F3743">
        <f>IFERROR(__xludf.DUMMYFUNCTION("""COMPUTED_VALUE"""),14.8)</f>
        <v>14.8</v>
      </c>
    </row>
    <row r="3744">
      <c r="D3744" t="str">
        <f>IFERROR(__xludf.DUMMYFUNCTION("""COMPUTED_VALUE"""),"McCoil")</f>
        <v>McCoil</v>
      </c>
      <c r="E3744" t="str">
        <f>IFERROR(__xludf.DUMMYFUNCTION("""COMPUTED_VALUE"""),"Dexter")</f>
        <v>Dexter</v>
      </c>
      <c r="F3744">
        <f>IFERROR(__xludf.DUMMYFUNCTION("""COMPUTED_VALUE"""),13.4)</f>
        <v>13.4</v>
      </c>
    </row>
    <row r="3745">
      <c r="D3745" t="str">
        <f>IFERROR(__xludf.DUMMYFUNCTION("""COMPUTED_VALUE"""),"McCourty")</f>
        <v>McCourty</v>
      </c>
      <c r="E3745" t="str">
        <f>IFERROR(__xludf.DUMMYFUNCTION("""COMPUTED_VALUE"""),"Devin")</f>
        <v>Devin</v>
      </c>
      <c r="F3745">
        <f>IFERROR(__xludf.DUMMYFUNCTION("""COMPUTED_VALUE"""),18.400000000000002)</f>
        <v>18.4</v>
      </c>
    </row>
    <row r="3746">
      <c r="D3746" t="str">
        <f>IFERROR(__xludf.DUMMYFUNCTION("""COMPUTED_VALUE"""),"McCourty")</f>
        <v>McCourty</v>
      </c>
      <c r="E3746" t="str">
        <f>IFERROR(__xludf.DUMMYFUNCTION("""COMPUTED_VALUE"""),"Jason")</f>
        <v>Jason</v>
      </c>
      <c r="F3746">
        <f>IFERROR(__xludf.DUMMYFUNCTION("""COMPUTED_VALUE"""),16.2)</f>
        <v>16.2</v>
      </c>
    </row>
    <row r="3747">
      <c r="D3747" t="str">
        <f>IFERROR(__xludf.DUMMYFUNCTION("""COMPUTED_VALUE"""),"McCown")</f>
        <v>McCown</v>
      </c>
      <c r="E3747" t="str">
        <f>IFERROR(__xludf.DUMMYFUNCTION("""COMPUTED_VALUE"""),"Josh")</f>
        <v>Josh</v>
      </c>
      <c r="F3747">
        <f>IFERROR(__xludf.DUMMYFUNCTION("""COMPUTED_VALUE"""),14.600000000000001)</f>
        <v>14.6</v>
      </c>
    </row>
    <row r="3748">
      <c r="D3748" t="str">
        <f>IFERROR(__xludf.DUMMYFUNCTION("""COMPUTED_VALUE"""),"McCoy")</f>
        <v>McCoy</v>
      </c>
      <c r="E3748" t="str">
        <f>IFERROR(__xludf.DUMMYFUNCTION("""COMPUTED_VALUE"""),"Colt")</f>
        <v>Colt</v>
      </c>
      <c r="F3748">
        <f>IFERROR(__xludf.DUMMYFUNCTION("""COMPUTED_VALUE"""),13.4)</f>
        <v>13.4</v>
      </c>
    </row>
    <row r="3749">
      <c r="D3749" t="str">
        <f>IFERROR(__xludf.DUMMYFUNCTION("""COMPUTED_VALUE"""),"McCoy")</f>
        <v>McCoy</v>
      </c>
      <c r="E3749" t="str">
        <f>IFERROR(__xludf.DUMMYFUNCTION("""COMPUTED_VALUE"""),"Gerald")</f>
        <v>Gerald</v>
      </c>
      <c r="F3749">
        <f>IFERROR(__xludf.DUMMYFUNCTION("""COMPUTED_VALUE"""),18.0)</f>
        <v>18</v>
      </c>
    </row>
    <row r="3750">
      <c r="D3750" t="str">
        <f>IFERROR(__xludf.DUMMYFUNCTION("""COMPUTED_VALUE"""),"McCoy")</f>
        <v>McCoy</v>
      </c>
      <c r="E3750" t="str">
        <f>IFERROR(__xludf.DUMMYFUNCTION("""COMPUTED_VALUE"""),"LeSean")</f>
        <v>LeSean</v>
      </c>
      <c r="F3750">
        <f>IFERROR(__xludf.DUMMYFUNCTION("""COMPUTED_VALUE"""),18.400000000000002)</f>
        <v>18.4</v>
      </c>
    </row>
    <row r="3751">
      <c r="D3751" t="str">
        <f>IFERROR(__xludf.DUMMYFUNCTION("""COMPUTED_VALUE"""),"McCray")</f>
        <v>McCray</v>
      </c>
      <c r="E3751" t="str">
        <f>IFERROR(__xludf.DUMMYFUNCTION("""COMPUTED_VALUE"""),"Justin")</f>
        <v>Justin</v>
      </c>
      <c r="F3751">
        <f>IFERROR(__xludf.DUMMYFUNCTION("""COMPUTED_VALUE"""),13.4)</f>
        <v>13.4</v>
      </c>
    </row>
    <row r="3752">
      <c r="D3752" t="str">
        <f>IFERROR(__xludf.DUMMYFUNCTION("""COMPUTED_VALUE"""),"McCray")</f>
        <v>McCray</v>
      </c>
      <c r="E3752" t="str">
        <f>IFERROR(__xludf.DUMMYFUNCTION("""COMPUTED_VALUE"""),"Lerentee")</f>
        <v>Lerentee</v>
      </c>
      <c r="F3752">
        <f>IFERROR(__xludf.DUMMYFUNCTION("""COMPUTED_VALUE"""),14.4)</f>
        <v>14.4</v>
      </c>
    </row>
    <row r="3753">
      <c r="D3753" t="str">
        <f>IFERROR(__xludf.DUMMYFUNCTION("""COMPUTED_VALUE"""),"McCullers")</f>
        <v>McCullers</v>
      </c>
      <c r="E3753" t="str">
        <f>IFERROR(__xludf.DUMMYFUNCTION("""COMPUTED_VALUE"""),"Daniel")</f>
        <v>Daniel</v>
      </c>
      <c r="F3753">
        <f>IFERROR(__xludf.DUMMYFUNCTION("""COMPUTED_VALUE"""),13.8)</f>
        <v>13.8</v>
      </c>
    </row>
    <row r="3754">
      <c r="D3754" t="str">
        <f>IFERROR(__xludf.DUMMYFUNCTION("""COMPUTED_VALUE"""),"McDaniel")</f>
        <v>McDaniel</v>
      </c>
      <c r="E3754" t="str">
        <f>IFERROR(__xludf.DUMMYFUNCTION("""COMPUTED_VALUE"""),"Tony")</f>
        <v>Tony</v>
      </c>
      <c r="F3754">
        <f>IFERROR(__xludf.DUMMYFUNCTION("""COMPUTED_VALUE"""),14.600000000000001)</f>
        <v>14.6</v>
      </c>
    </row>
    <row r="3755">
      <c r="D3755" t="str">
        <f>IFERROR(__xludf.DUMMYFUNCTION("""COMPUTED_VALUE"""),"McDermott")</f>
        <v>McDermott</v>
      </c>
      <c r="E3755" t="str">
        <f>IFERROR(__xludf.DUMMYFUNCTION("""COMPUTED_VALUE"""),"Conor")</f>
        <v>Conor</v>
      </c>
      <c r="F3755">
        <f>IFERROR(__xludf.DUMMYFUNCTION("""COMPUTED_VALUE"""),13.4)</f>
        <v>13.4</v>
      </c>
    </row>
    <row r="3756">
      <c r="D3756" t="str">
        <f>IFERROR(__xludf.DUMMYFUNCTION("""COMPUTED_VALUE"""),"McDermott")</f>
        <v>McDermott</v>
      </c>
      <c r="E3756" t="str">
        <f>IFERROR(__xludf.DUMMYFUNCTION("""COMPUTED_VALUE"""),"Kevin")</f>
        <v>Kevin</v>
      </c>
      <c r="F3756">
        <f>IFERROR(__xludf.DUMMYFUNCTION("""COMPUTED_VALUE"""),10.0)</f>
        <v>10</v>
      </c>
    </row>
    <row r="3757">
      <c r="D3757" t="str">
        <f>IFERROR(__xludf.DUMMYFUNCTION("""COMPUTED_VALUE"""),"McDonald")</f>
        <v>McDonald</v>
      </c>
      <c r="E3757" t="str">
        <f>IFERROR(__xludf.DUMMYFUNCTION("""COMPUTED_VALUE"""),"Clinton")</f>
        <v>Clinton</v>
      </c>
      <c r="F3757">
        <f>IFERROR(__xludf.DUMMYFUNCTION("""COMPUTED_VALUE"""),15.0)</f>
        <v>15</v>
      </c>
    </row>
    <row r="3758">
      <c r="D3758" t="str">
        <f>IFERROR(__xludf.DUMMYFUNCTION("""COMPUTED_VALUE"""),"McDonald")</f>
        <v>McDonald</v>
      </c>
      <c r="E3758" t="str">
        <f>IFERROR(__xludf.DUMMYFUNCTION("""COMPUTED_VALUE"""),"Dewey")</f>
        <v>Dewey</v>
      </c>
      <c r="F3758">
        <f>IFERROR(__xludf.DUMMYFUNCTION("""COMPUTED_VALUE"""),11.8)</f>
        <v>11.8</v>
      </c>
    </row>
    <row r="3759">
      <c r="D3759" t="str">
        <f>IFERROR(__xludf.DUMMYFUNCTION("""COMPUTED_VALUE"""),"McDonald")</f>
        <v>McDonald</v>
      </c>
      <c r="E3759" t="str">
        <f>IFERROR(__xludf.DUMMYFUNCTION("""COMPUTED_VALUE"""),"Dexter")</f>
        <v>Dexter</v>
      </c>
      <c r="F3759">
        <f>IFERROR(__xludf.DUMMYFUNCTION("""COMPUTED_VALUE"""),12.0)</f>
        <v>12</v>
      </c>
    </row>
    <row r="3760">
      <c r="D3760" t="str">
        <f>IFERROR(__xludf.DUMMYFUNCTION("""COMPUTED_VALUE"""),"McDonald")</f>
        <v>McDonald</v>
      </c>
      <c r="E3760" t="str">
        <f>IFERROR(__xludf.DUMMYFUNCTION("""COMPUTED_VALUE"""),"Vance")</f>
        <v>Vance</v>
      </c>
      <c r="F3760">
        <f>IFERROR(__xludf.DUMMYFUNCTION("""COMPUTED_VALUE"""),15.4)</f>
        <v>15.4</v>
      </c>
    </row>
    <row r="3761">
      <c r="D3761" t="str">
        <f>IFERROR(__xludf.DUMMYFUNCTION("""COMPUTED_VALUE"""),"McDonald Jr")</f>
        <v>McDonald Jr</v>
      </c>
      <c r="E3761" t="str">
        <f>IFERROR(__xludf.DUMMYFUNCTION("""COMPUTED_VALUE"""),"TJ")</f>
        <v>TJ</v>
      </c>
      <c r="F3761">
        <f>IFERROR(__xludf.DUMMYFUNCTION("""COMPUTED_VALUE"""),15.200000000000001)</f>
        <v>15.2</v>
      </c>
    </row>
    <row r="3762">
      <c r="D3762" t="str">
        <f>IFERROR(__xludf.DUMMYFUNCTION("""COMPUTED_VALUE"""),"McDougald")</f>
        <v>McDougald</v>
      </c>
      <c r="E3762" t="str">
        <f>IFERROR(__xludf.DUMMYFUNCTION("""COMPUTED_VALUE"""),"Bradley")</f>
        <v>Bradley</v>
      </c>
      <c r="F3762">
        <f>IFERROR(__xludf.DUMMYFUNCTION("""COMPUTED_VALUE"""),15.600000000000001)</f>
        <v>15.6</v>
      </c>
    </row>
    <row r="3763">
      <c r="D3763" t="str">
        <f>IFERROR(__xludf.DUMMYFUNCTION("""COMPUTED_VALUE"""),"McDougle")</f>
        <v>McDougle</v>
      </c>
      <c r="E3763" t="str">
        <f>IFERROR(__xludf.DUMMYFUNCTION("""COMPUTED_VALUE"""),"Dexter")</f>
        <v>Dexter</v>
      </c>
      <c r="F3763">
        <f>IFERROR(__xludf.DUMMYFUNCTION("""COMPUTED_VALUE"""),13.4)</f>
        <v>13.4</v>
      </c>
    </row>
    <row r="3764">
      <c r="D3764" t="str">
        <f>IFERROR(__xludf.DUMMYFUNCTION("""COMPUTED_VALUE"""),"McDowell")</f>
        <v>McDowell</v>
      </c>
      <c r="E3764" t="str">
        <f>IFERROR(__xludf.DUMMYFUNCTION("""COMPUTED_VALUE"""),"Malik")</f>
        <v>Malik</v>
      </c>
      <c r="F3764">
        <f>IFERROR(__xludf.DUMMYFUNCTION("""COMPUTED_VALUE"""),14.8)</f>
        <v>14.8</v>
      </c>
    </row>
    <row r="3765">
      <c r="D3765" t="str">
        <f>IFERROR(__xludf.DUMMYFUNCTION("""COMPUTED_VALUE"""),"McEvoy")</f>
        <v>McEvoy</v>
      </c>
      <c r="E3765" t="str">
        <f>IFERROR(__xludf.DUMMYFUNCTION("""COMPUTED_VALUE"""),"Tanner")</f>
        <v>Tanner</v>
      </c>
      <c r="F3765">
        <f>IFERROR(__xludf.DUMMYFUNCTION("""COMPUTED_VALUE"""),13.4)</f>
        <v>13.4</v>
      </c>
    </row>
    <row r="3766">
      <c r="D3766" t="str">
        <f>IFERROR(__xludf.DUMMYFUNCTION("""COMPUTED_VALUE"""),"McFadden")</f>
        <v>McFadden</v>
      </c>
      <c r="E3766" t="str">
        <f>IFERROR(__xludf.DUMMYFUNCTION("""COMPUTED_VALUE"""),"Darren")</f>
        <v>Darren</v>
      </c>
      <c r="F3766">
        <f>IFERROR(__xludf.DUMMYFUNCTION("""COMPUTED_VALUE"""),15.4)</f>
        <v>15.4</v>
      </c>
    </row>
    <row r="3767">
      <c r="D3767" t="str">
        <f>IFERROR(__xludf.DUMMYFUNCTION("""COMPUTED_VALUE"""),"McFadden")</f>
        <v>McFadden</v>
      </c>
      <c r="E3767" t="str">
        <f>IFERROR(__xludf.DUMMYFUNCTION("""COMPUTED_VALUE"""),"Leon")</f>
        <v>Leon</v>
      </c>
      <c r="F3767">
        <f>IFERROR(__xludf.DUMMYFUNCTION("""COMPUTED_VALUE"""),14.0)</f>
        <v>14</v>
      </c>
    </row>
    <row r="3768">
      <c r="D3768" t="str">
        <f>IFERROR(__xludf.DUMMYFUNCTION("""COMPUTED_VALUE"""),"McGee")</f>
        <v>McGee</v>
      </c>
      <c r="E3768" t="str">
        <f>IFERROR(__xludf.DUMMYFUNCTION("""COMPUTED_VALUE"""),"Stacy")</f>
        <v>Stacy</v>
      </c>
      <c r="F3768">
        <f>IFERROR(__xludf.DUMMYFUNCTION("""COMPUTED_VALUE"""),14.0)</f>
        <v>14</v>
      </c>
    </row>
    <row r="3769">
      <c r="D3769" t="str">
        <f>IFERROR(__xludf.DUMMYFUNCTION("""COMPUTED_VALUE"""),"McGill")</f>
        <v>McGill</v>
      </c>
      <c r="E3769" t="str">
        <f>IFERROR(__xludf.DUMMYFUNCTION("""COMPUTED_VALUE"""),"TY")</f>
        <v>TY</v>
      </c>
      <c r="F3769">
        <f>IFERROR(__xludf.DUMMYFUNCTION("""COMPUTED_VALUE"""),14.600000000000001)</f>
        <v>14.6</v>
      </c>
    </row>
    <row r="3770">
      <c r="D3770" t="str">
        <f>IFERROR(__xludf.DUMMYFUNCTION("""COMPUTED_VALUE"""),"McGill II")</f>
        <v>McGill II</v>
      </c>
      <c r="E3770" t="str">
        <f>IFERROR(__xludf.DUMMYFUNCTION("""COMPUTED_VALUE"""),"Keith")</f>
        <v>Keith</v>
      </c>
      <c r="F3770">
        <f>IFERROR(__xludf.DUMMYFUNCTION("""COMPUTED_VALUE"""),13.200000000000001)</f>
        <v>13.2</v>
      </c>
    </row>
    <row r="3771">
      <c r="D3771" t="str">
        <f>IFERROR(__xludf.DUMMYFUNCTION("""COMPUTED_VALUE"""),"McGloin")</f>
        <v>McGloin</v>
      </c>
      <c r="E3771" t="str">
        <f>IFERROR(__xludf.DUMMYFUNCTION("""COMPUTED_VALUE"""),"Matt")</f>
        <v>Matt</v>
      </c>
      <c r="F3771">
        <f>IFERROR(__xludf.DUMMYFUNCTION("""COMPUTED_VALUE"""),13.4)</f>
        <v>13.4</v>
      </c>
    </row>
    <row r="3772">
      <c r="D3772" t="str">
        <f>IFERROR(__xludf.DUMMYFUNCTION("""COMPUTED_VALUE"""),"McGovern")</f>
        <v>McGovern</v>
      </c>
      <c r="E3772" t="str">
        <f>IFERROR(__xludf.DUMMYFUNCTION("""COMPUTED_VALUE"""),"Connor")</f>
        <v>Connor</v>
      </c>
      <c r="F3772">
        <f>IFERROR(__xludf.DUMMYFUNCTION("""COMPUTED_VALUE"""),13.200000000000001)</f>
        <v>13.2</v>
      </c>
    </row>
    <row r="3773">
      <c r="D3773" t="str">
        <f>IFERROR(__xludf.DUMMYFUNCTION("""COMPUTED_VALUE"""),"McGrath")</f>
        <v>McGrath</v>
      </c>
      <c r="E3773" t="str">
        <f>IFERROR(__xludf.DUMMYFUNCTION("""COMPUTED_VALUE"""),"Sean")</f>
        <v>Sean</v>
      </c>
      <c r="F3773">
        <f>IFERROR(__xludf.DUMMYFUNCTION("""COMPUTED_VALUE"""),13.4)</f>
        <v>13.4</v>
      </c>
    </row>
    <row r="3774">
      <c r="D3774" t="str">
        <f>IFERROR(__xludf.DUMMYFUNCTION("""COMPUTED_VALUE"""),"McGuire")</f>
        <v>McGuire</v>
      </c>
      <c r="E3774" t="str">
        <f>IFERROR(__xludf.DUMMYFUNCTION("""COMPUTED_VALUE"""),"Elijah")</f>
        <v>Elijah</v>
      </c>
      <c r="F3774">
        <f>IFERROR(__xludf.DUMMYFUNCTION("""COMPUTED_VALUE"""),14.0)</f>
        <v>14</v>
      </c>
    </row>
    <row r="3775">
      <c r="D3775" t="str">
        <f>IFERROR(__xludf.DUMMYFUNCTION("""COMPUTED_VALUE"""),"McKenzie")</f>
        <v>McKenzie</v>
      </c>
      <c r="E3775" t="str">
        <f>IFERROR(__xludf.DUMMYFUNCTION("""COMPUTED_VALUE"""),"Isaiah")</f>
        <v>Isaiah</v>
      </c>
      <c r="F3775">
        <f>IFERROR(__xludf.DUMMYFUNCTION("""COMPUTED_VALUE"""),13.4)</f>
        <v>13.4</v>
      </c>
    </row>
    <row r="3776">
      <c r="D3776" t="str">
        <f>IFERROR(__xludf.DUMMYFUNCTION("""COMPUTED_VALUE"""),"McKinley")</f>
        <v>McKinley</v>
      </c>
      <c r="E3776" t="str">
        <f>IFERROR(__xludf.DUMMYFUNCTION("""COMPUTED_VALUE"""),"Takkarist")</f>
        <v>Takkarist</v>
      </c>
      <c r="F3776">
        <f>IFERROR(__xludf.DUMMYFUNCTION("""COMPUTED_VALUE"""),15.0)</f>
        <v>15</v>
      </c>
    </row>
    <row r="3777">
      <c r="D3777" t="str">
        <f>IFERROR(__xludf.DUMMYFUNCTION("""COMPUTED_VALUE"""),"McKinney")</f>
        <v>McKinney</v>
      </c>
      <c r="E3777" t="str">
        <f>IFERROR(__xludf.DUMMYFUNCTION("""COMPUTED_VALUE"""),"Benardrick")</f>
        <v>Benardrick</v>
      </c>
      <c r="F3777">
        <f>IFERROR(__xludf.DUMMYFUNCTION("""COMPUTED_VALUE"""),16.400000000000002)</f>
        <v>16.4</v>
      </c>
    </row>
    <row r="3778">
      <c r="D3778" t="str">
        <f>IFERROR(__xludf.DUMMYFUNCTION("""COMPUTED_VALUE"""),"McKinnon")</f>
        <v>McKinnon</v>
      </c>
      <c r="E3778" t="str">
        <f>IFERROR(__xludf.DUMMYFUNCTION("""COMPUTED_VALUE"""),"Jerick")</f>
        <v>Jerick</v>
      </c>
      <c r="F3778">
        <f>IFERROR(__xludf.DUMMYFUNCTION("""COMPUTED_VALUE"""),16.0)</f>
        <v>16</v>
      </c>
    </row>
    <row r="3779">
      <c r="D3779" t="str">
        <f>IFERROR(__xludf.DUMMYFUNCTION("""COMPUTED_VALUE"""),"McKissic")</f>
        <v>McKissic</v>
      </c>
      <c r="E3779" t="str">
        <f>IFERROR(__xludf.DUMMYFUNCTION("""COMPUTED_VALUE"""),"JD")</f>
        <v>JD</v>
      </c>
      <c r="F3779">
        <f>IFERROR(__xludf.DUMMYFUNCTION("""COMPUTED_VALUE"""),12.600000000000001)</f>
        <v>12.6</v>
      </c>
    </row>
    <row r="3780">
      <c r="D3780" t="str">
        <f>IFERROR(__xludf.DUMMYFUNCTION("""COMPUTED_VALUE"""),"McLendon")</f>
        <v>McLendon</v>
      </c>
      <c r="E3780" t="str">
        <f>IFERROR(__xludf.DUMMYFUNCTION("""COMPUTED_VALUE"""),"Steve")</f>
        <v>Steve</v>
      </c>
      <c r="F3780">
        <f>IFERROR(__xludf.DUMMYFUNCTION("""COMPUTED_VALUE"""),15.0)</f>
        <v>15</v>
      </c>
    </row>
    <row r="3781">
      <c r="D3781" t="str">
        <f>IFERROR(__xludf.DUMMYFUNCTION("""COMPUTED_VALUE"""),"McLeod Jr")</f>
        <v>McLeod Jr</v>
      </c>
      <c r="E3781" t="str">
        <f>IFERROR(__xludf.DUMMYFUNCTION("""COMPUTED_VALUE"""),"Rodney")</f>
        <v>Rodney</v>
      </c>
      <c r="F3781">
        <f>IFERROR(__xludf.DUMMYFUNCTION("""COMPUTED_VALUE"""),16.0)</f>
        <v>16</v>
      </c>
    </row>
    <row r="3782">
      <c r="D3782" t="str">
        <f>IFERROR(__xludf.DUMMYFUNCTION("""COMPUTED_VALUE"""),"McManis")</f>
        <v>McManis</v>
      </c>
      <c r="E3782" t="str">
        <f>IFERROR(__xludf.DUMMYFUNCTION("""COMPUTED_VALUE"""),"Sherrick")</f>
        <v>Sherrick</v>
      </c>
      <c r="F3782">
        <f>IFERROR(__xludf.DUMMYFUNCTION("""COMPUTED_VALUE"""),13.0)</f>
        <v>13</v>
      </c>
    </row>
    <row r="3783">
      <c r="D3783" t="str">
        <f>IFERROR(__xludf.DUMMYFUNCTION("""COMPUTED_VALUE"""),"McManus")</f>
        <v>McManus</v>
      </c>
      <c r="E3783" t="str">
        <f>IFERROR(__xludf.DUMMYFUNCTION("""COMPUTED_VALUE"""),"Brandon")</f>
        <v>Brandon</v>
      </c>
      <c r="F3783">
        <f>IFERROR(__xludf.DUMMYFUNCTION("""COMPUTED_VALUE"""),16.0)</f>
        <v>16</v>
      </c>
    </row>
    <row r="3784">
      <c r="D3784" t="str">
        <f>IFERROR(__xludf.DUMMYFUNCTION("""COMPUTED_VALUE"""),"McMillan")</f>
        <v>McMillan</v>
      </c>
      <c r="E3784" t="str">
        <f>IFERROR(__xludf.DUMMYFUNCTION("""COMPUTED_VALUE"""),"Raekwon")</f>
        <v>Raekwon</v>
      </c>
      <c r="F3784">
        <f>IFERROR(__xludf.DUMMYFUNCTION("""COMPUTED_VALUE"""),14.4)</f>
        <v>14.4</v>
      </c>
    </row>
    <row r="3785">
      <c r="D3785" t="str">
        <f>IFERROR(__xludf.DUMMYFUNCTION("""COMPUTED_VALUE"""),"McNary")</f>
        <v>McNary</v>
      </c>
      <c r="E3785" t="str">
        <f>IFERROR(__xludf.DUMMYFUNCTION("""COMPUTED_VALUE"""),"Josh")</f>
        <v>Josh</v>
      </c>
      <c r="F3785">
        <f>IFERROR(__xludf.DUMMYFUNCTION("""COMPUTED_VALUE"""),13.8)</f>
        <v>13.8</v>
      </c>
    </row>
    <row r="3786">
      <c r="D3786" t="str">
        <f>IFERROR(__xludf.DUMMYFUNCTION("""COMPUTED_VALUE"""),"McNichols")</f>
        <v>McNichols</v>
      </c>
      <c r="E3786" t="str">
        <f>IFERROR(__xludf.DUMMYFUNCTION("""COMPUTED_VALUE"""),"Jeremy")</f>
        <v>Jeremy</v>
      </c>
      <c r="F3786">
        <f>IFERROR(__xludf.DUMMYFUNCTION("""COMPUTED_VALUE"""),14.200000000000001)</f>
        <v>14.2</v>
      </c>
    </row>
    <row r="3787">
      <c r="D3787" t="str">
        <f>IFERROR(__xludf.DUMMYFUNCTION("""COMPUTED_VALUE"""),"McPhee")</f>
        <v>McPhee</v>
      </c>
      <c r="E3787" t="str">
        <f>IFERROR(__xludf.DUMMYFUNCTION("""COMPUTED_VALUE"""),"Pernell")</f>
        <v>Pernell</v>
      </c>
      <c r="F3787">
        <f>IFERROR(__xludf.DUMMYFUNCTION("""COMPUTED_VALUE"""),16.8)</f>
        <v>16.8</v>
      </c>
    </row>
    <row r="3788">
      <c r="D3788" t="str">
        <f>IFERROR(__xludf.DUMMYFUNCTION("""COMPUTED_VALUE"""),"McQuaide")</f>
        <v>McQuaide</v>
      </c>
      <c r="E3788" t="str">
        <f>IFERROR(__xludf.DUMMYFUNCTION("""COMPUTED_VALUE"""),"Jake")</f>
        <v>Jake</v>
      </c>
      <c r="F3788">
        <f>IFERROR(__xludf.DUMMYFUNCTION("""COMPUTED_VALUE"""),8.8)</f>
        <v>8.8</v>
      </c>
    </row>
    <row r="3789">
      <c r="D3789" t="str">
        <f>IFERROR(__xludf.DUMMYFUNCTION("""COMPUTED_VALUE"""),"McQuay III")</f>
        <v>McQuay III</v>
      </c>
      <c r="E3789" t="str">
        <f>IFERROR(__xludf.DUMMYFUNCTION("""COMPUTED_VALUE"""),"Leon")</f>
        <v>Leon</v>
      </c>
      <c r="F3789">
        <f>IFERROR(__xludf.DUMMYFUNCTION("""COMPUTED_VALUE"""),12.200000000000001)</f>
        <v>12.2</v>
      </c>
    </row>
    <row r="3790">
      <c r="D3790" t="str">
        <f>IFERROR(__xludf.DUMMYFUNCTION("""COMPUTED_VALUE"""),"McRoberts")</f>
        <v>McRoberts</v>
      </c>
      <c r="E3790" t="str">
        <f>IFERROR(__xludf.DUMMYFUNCTION("""COMPUTED_VALUE"""),"Paul")</f>
        <v>Paul</v>
      </c>
      <c r="F3790">
        <f>IFERROR(__xludf.DUMMYFUNCTION("""COMPUTED_VALUE"""),12.4)</f>
        <v>12.4</v>
      </c>
    </row>
    <row r="3791">
      <c r="D3791" t="str">
        <f>IFERROR(__xludf.DUMMYFUNCTION("""COMPUTED_VALUE"""),"Means")</f>
        <v>Means</v>
      </c>
      <c r="E3791" t="str">
        <f>IFERROR(__xludf.DUMMYFUNCTION("""COMPUTED_VALUE"""),"Steven")</f>
        <v>Steven</v>
      </c>
      <c r="F3791">
        <f>IFERROR(__xludf.DUMMYFUNCTION("""COMPUTED_VALUE"""),13.600000000000001)</f>
        <v>13.6</v>
      </c>
    </row>
    <row r="3792">
      <c r="D3792" t="str">
        <f>IFERROR(__xludf.DUMMYFUNCTION("""COMPUTED_VALUE"""),"Mebane")</f>
        <v>Mebane</v>
      </c>
      <c r="E3792" t="str">
        <f>IFERROR(__xludf.DUMMYFUNCTION("""COMPUTED_VALUE"""),"Brandon")</f>
        <v>Brandon</v>
      </c>
      <c r="F3792">
        <f>IFERROR(__xludf.DUMMYFUNCTION("""COMPUTED_VALUE"""),16.400000000000002)</f>
        <v>16.4</v>
      </c>
    </row>
    <row r="3793">
      <c r="D3793" t="str">
        <f>IFERROR(__xludf.DUMMYFUNCTION("""COMPUTED_VALUE"""),"Meder")</f>
        <v>Meder</v>
      </c>
      <c r="E3793" t="str">
        <f>IFERROR(__xludf.DUMMYFUNCTION("""COMPUTED_VALUE"""),"Jamie")</f>
        <v>Jamie</v>
      </c>
      <c r="F3793">
        <f>IFERROR(__xludf.DUMMYFUNCTION("""COMPUTED_VALUE"""),14.4)</f>
        <v>14.4</v>
      </c>
    </row>
    <row r="3794">
      <c r="D3794" t="str">
        <f>IFERROR(__xludf.DUMMYFUNCTION("""COMPUTED_VALUE"""),"Melifonwu")</f>
        <v>Melifonwu</v>
      </c>
      <c r="E3794" t="str">
        <f>IFERROR(__xludf.DUMMYFUNCTION("""COMPUTED_VALUE"""),"Obi")</f>
        <v>Obi</v>
      </c>
      <c r="F3794">
        <f>IFERROR(__xludf.DUMMYFUNCTION("""COMPUTED_VALUE"""),15.0)</f>
        <v>15</v>
      </c>
    </row>
    <row r="3795">
      <c r="D3795" t="str">
        <f>IFERROR(__xludf.DUMMYFUNCTION("""COMPUTED_VALUE"""),"Melvin")</f>
        <v>Melvin</v>
      </c>
      <c r="E3795" t="str">
        <f>IFERROR(__xludf.DUMMYFUNCTION("""COMPUTED_VALUE"""),"Rashaan")</f>
        <v>Rashaan</v>
      </c>
      <c r="F3795">
        <f>IFERROR(__xludf.DUMMYFUNCTION("""COMPUTED_VALUE"""),14.4)</f>
        <v>14.4</v>
      </c>
    </row>
    <row r="3796">
      <c r="D3796" t="str">
        <f>IFERROR(__xludf.DUMMYFUNCTION("""COMPUTED_VALUE"""),"Mercilus")</f>
        <v>Mercilus</v>
      </c>
      <c r="E3796" t="str">
        <f>IFERROR(__xludf.DUMMYFUNCTION("""COMPUTED_VALUE"""),"Whitney")</f>
        <v>Whitney</v>
      </c>
      <c r="F3796">
        <f>IFERROR(__xludf.DUMMYFUNCTION("""COMPUTED_VALUE"""),17.400000000000002)</f>
        <v>17.4</v>
      </c>
    </row>
    <row r="3797">
      <c r="D3797" t="str">
        <f>IFERROR(__xludf.DUMMYFUNCTION("""COMPUTED_VALUE"""),"Meredith")</f>
        <v>Meredith</v>
      </c>
      <c r="E3797" t="str">
        <f>IFERROR(__xludf.DUMMYFUNCTION("""COMPUTED_VALUE"""),"Cameron")</f>
        <v>Cameron</v>
      </c>
      <c r="F3797">
        <f>IFERROR(__xludf.DUMMYFUNCTION("""COMPUTED_VALUE"""),16.6)</f>
        <v>16.6</v>
      </c>
    </row>
    <row r="3798">
      <c r="D3798" t="str">
        <f>IFERROR(__xludf.DUMMYFUNCTION("""COMPUTED_VALUE"""),"Mewhort")</f>
        <v>Mewhort</v>
      </c>
      <c r="E3798" t="str">
        <f>IFERROR(__xludf.DUMMYFUNCTION("""COMPUTED_VALUE"""),"Jack")</f>
        <v>Jack</v>
      </c>
      <c r="F3798">
        <f>IFERROR(__xludf.DUMMYFUNCTION("""COMPUTED_VALUE"""),16.400000000000002)</f>
        <v>16.4</v>
      </c>
    </row>
    <row r="3799">
      <c r="D3799" t="str">
        <f>IFERROR(__xludf.DUMMYFUNCTION("""COMPUTED_VALUE"""),"Michael")</f>
        <v>Michael</v>
      </c>
      <c r="E3799" t="str">
        <f>IFERROR(__xludf.DUMMYFUNCTION("""COMPUTED_VALUE"""),"Christine")</f>
        <v>Christine</v>
      </c>
      <c r="F3799">
        <f>IFERROR(__xludf.DUMMYFUNCTION("""COMPUTED_VALUE"""),15.0)</f>
        <v>15</v>
      </c>
    </row>
    <row r="3800">
      <c r="D3800" t="str">
        <f>IFERROR(__xludf.DUMMYFUNCTION("""COMPUTED_VALUE"""),"Middleton")</f>
        <v>Middleton</v>
      </c>
      <c r="E3800" t="str">
        <f>IFERROR(__xludf.DUMMYFUNCTION("""COMPUTED_VALUE"""),"Doug")</f>
        <v>Doug</v>
      </c>
      <c r="F3800">
        <f>IFERROR(__xludf.DUMMYFUNCTION("""COMPUTED_VALUE"""),12.0)</f>
        <v>12</v>
      </c>
    </row>
    <row r="3801">
      <c r="D3801" t="str">
        <f>IFERROR(__xludf.DUMMYFUNCTION("""COMPUTED_VALUE"""),"Mihalik")</f>
        <v>Mihalik</v>
      </c>
      <c r="E3801" t="str">
        <f>IFERROR(__xludf.DUMMYFUNCTION("""COMPUTED_VALUE"""),"Brian")</f>
        <v>Brian</v>
      </c>
      <c r="F3801">
        <f>IFERROR(__xludf.DUMMYFUNCTION("""COMPUTED_VALUE"""),13.0)</f>
        <v>13</v>
      </c>
    </row>
    <row r="3802">
      <c r="D3802" t="str">
        <f>IFERROR(__xludf.DUMMYFUNCTION("""COMPUTED_VALUE"""),"Milano")</f>
        <v>Milano</v>
      </c>
      <c r="E3802" t="str">
        <f>IFERROR(__xludf.DUMMYFUNCTION("""COMPUTED_VALUE"""),"Matt")</f>
        <v>Matt</v>
      </c>
      <c r="F3802">
        <f>IFERROR(__xludf.DUMMYFUNCTION("""COMPUTED_VALUE"""),13.0)</f>
        <v>13</v>
      </c>
    </row>
    <row r="3803">
      <c r="D3803" t="str">
        <f>IFERROR(__xludf.DUMMYFUNCTION("""COMPUTED_VALUE"""),"Miles")</f>
        <v>Miles</v>
      </c>
      <c r="E3803" t="str">
        <f>IFERROR(__xludf.DUMMYFUNCTION("""COMPUTED_VALUE"""),"Rontez")</f>
        <v>Rontez</v>
      </c>
      <c r="F3803">
        <f>IFERROR(__xludf.DUMMYFUNCTION("""COMPUTED_VALUE"""),14.4)</f>
        <v>14.4</v>
      </c>
    </row>
    <row r="3804">
      <c r="D3804" t="str">
        <f>IFERROR(__xludf.DUMMYFUNCTION("""COMPUTED_VALUE"""),"Miller")</f>
        <v>Miller</v>
      </c>
      <c r="E3804" t="str">
        <f>IFERROR(__xludf.DUMMYFUNCTION("""COMPUTED_VALUE"""),"Braxton")</f>
        <v>Braxton</v>
      </c>
      <c r="F3804">
        <f>IFERROR(__xludf.DUMMYFUNCTION("""COMPUTED_VALUE"""),14.600000000000001)</f>
        <v>14.6</v>
      </c>
    </row>
    <row r="3805">
      <c r="D3805" t="str">
        <f>IFERROR(__xludf.DUMMYFUNCTION("""COMPUTED_VALUE"""),"Miller")</f>
        <v>Miller</v>
      </c>
      <c r="E3805" t="str">
        <f>IFERROR(__xludf.DUMMYFUNCTION("""COMPUTED_VALUE"""),"Harlan")</f>
        <v>Harlan</v>
      </c>
      <c r="F3805">
        <f>IFERROR(__xludf.DUMMYFUNCTION("""COMPUTED_VALUE"""),13.200000000000001)</f>
        <v>13.2</v>
      </c>
    </row>
    <row r="3806">
      <c r="D3806" t="str">
        <f>IFERROR(__xludf.DUMMYFUNCTION("""COMPUTED_VALUE"""),"Miller")</f>
        <v>Miller</v>
      </c>
      <c r="E3806" t="str">
        <f>IFERROR(__xludf.DUMMYFUNCTION("""COMPUTED_VALUE"""),"John")</f>
        <v>John</v>
      </c>
      <c r="F3806">
        <f>IFERROR(__xludf.DUMMYFUNCTION("""COMPUTED_VALUE"""),15.200000000000001)</f>
        <v>15.2</v>
      </c>
    </row>
    <row r="3807">
      <c r="D3807" t="str">
        <f>IFERROR(__xludf.DUMMYFUNCTION("""COMPUTED_VALUE"""),"Miller")</f>
        <v>Miller</v>
      </c>
      <c r="E3807" t="str">
        <f>IFERROR(__xludf.DUMMYFUNCTION("""COMPUTED_VALUE"""),"Lamar")</f>
        <v>Lamar</v>
      </c>
      <c r="F3807">
        <f>IFERROR(__xludf.DUMMYFUNCTION("""COMPUTED_VALUE"""),17.0)</f>
        <v>17</v>
      </c>
    </row>
    <row r="3808">
      <c r="D3808" t="str">
        <f>IFERROR(__xludf.DUMMYFUNCTION("""COMPUTED_VALUE"""),"Miller")</f>
        <v>Miller</v>
      </c>
      <c r="E3808" t="str">
        <f>IFERROR(__xludf.DUMMYFUNCTION("""COMPUTED_VALUE"""),"Von")</f>
        <v>Von</v>
      </c>
      <c r="F3808">
        <f>IFERROR(__xludf.DUMMYFUNCTION("""COMPUTED_VALUE"""),19.8)</f>
        <v>19.8</v>
      </c>
    </row>
    <row r="3809">
      <c r="D3809" t="str">
        <f>IFERROR(__xludf.DUMMYFUNCTION("""COMPUTED_VALUE"""),"Miller")</f>
        <v>Miller</v>
      </c>
      <c r="E3809" t="str">
        <f>IFERROR(__xludf.DUMMYFUNCTION("""COMPUTED_VALUE"""),"Zach")</f>
        <v>Zach</v>
      </c>
      <c r="F3809">
        <f>IFERROR(__xludf.DUMMYFUNCTION("""COMPUTED_VALUE"""),17.2)</f>
        <v>17.2</v>
      </c>
    </row>
    <row r="3810">
      <c r="D3810" t="str">
        <f>IFERROR(__xludf.DUMMYFUNCTION("""COMPUTED_VALUE"""),"Mills")</f>
        <v>Mills</v>
      </c>
      <c r="E3810" t="str">
        <f>IFERROR(__xludf.DUMMYFUNCTION("""COMPUTED_VALUE"""),"Jalen")</f>
        <v>Jalen</v>
      </c>
      <c r="F3810">
        <f>IFERROR(__xludf.DUMMYFUNCTION("""COMPUTED_VALUE"""),14.0)</f>
        <v>14</v>
      </c>
    </row>
    <row r="3811">
      <c r="D3811" t="str">
        <f>IFERROR(__xludf.DUMMYFUNCTION("""COMPUTED_VALUE"""),"Mills")</f>
        <v>Mills</v>
      </c>
      <c r="E3811" t="str">
        <f>IFERROR(__xludf.DUMMYFUNCTION("""COMPUTED_VALUE"""),"Jordan")</f>
        <v>Jordan</v>
      </c>
      <c r="F3811">
        <f>IFERROR(__xludf.DUMMYFUNCTION("""COMPUTED_VALUE"""),14.4)</f>
        <v>14.4</v>
      </c>
    </row>
    <row r="3812">
      <c r="D3812" t="str">
        <f>IFERROR(__xludf.DUMMYFUNCTION("""COMPUTED_VALUE"""),"Milton")</f>
        <v>Milton</v>
      </c>
      <c r="E3812" t="str">
        <f>IFERROR(__xludf.DUMMYFUNCTION("""COMPUTED_VALUE"""),"Chris")</f>
        <v>Chris</v>
      </c>
      <c r="F3812">
        <f>IFERROR(__xludf.DUMMYFUNCTION("""COMPUTED_VALUE"""),12.8)</f>
        <v>12.8</v>
      </c>
    </row>
    <row r="3813">
      <c r="D3813" t="str">
        <f>IFERROR(__xludf.DUMMYFUNCTION("""COMPUTED_VALUE"""),"Milton")</f>
        <v>Milton</v>
      </c>
      <c r="E3813" t="str">
        <f>IFERROR(__xludf.DUMMYFUNCTION("""COMPUTED_VALUE"""),"Keavon")</f>
        <v>Keavon</v>
      </c>
      <c r="F3813">
        <f>IFERROR(__xludf.DUMMYFUNCTION("""COMPUTED_VALUE"""),12.8)</f>
        <v>12.8</v>
      </c>
    </row>
    <row r="3814">
      <c r="D3814" t="str">
        <f>IFERROR(__xludf.DUMMYFUNCTION("""COMPUTED_VALUE"""),"Mingo")</f>
        <v>Mingo</v>
      </c>
      <c r="E3814" t="str">
        <f>IFERROR(__xludf.DUMMYFUNCTION("""COMPUTED_VALUE"""),"Barkevious")</f>
        <v>Barkevious</v>
      </c>
      <c r="F3814">
        <f>IFERROR(__xludf.DUMMYFUNCTION("""COMPUTED_VALUE"""),15.600000000000001)</f>
        <v>15.6</v>
      </c>
    </row>
    <row r="3815">
      <c r="D3815" t="str">
        <f>IFERROR(__xludf.DUMMYFUNCTION("""COMPUTED_VALUE"""),"Minter")</f>
        <v>Minter</v>
      </c>
      <c r="E3815" t="str">
        <f>IFERROR(__xludf.DUMMYFUNCTION("""COMPUTED_VALUE"""),"Kevin")</f>
        <v>Kevin</v>
      </c>
      <c r="F3815">
        <f>IFERROR(__xludf.DUMMYFUNCTION("""COMPUTED_VALUE"""),15.600000000000001)</f>
        <v>15.6</v>
      </c>
    </row>
    <row r="3816">
      <c r="D3816" t="str">
        <f>IFERROR(__xludf.DUMMYFUNCTION("""COMPUTED_VALUE"""),"Misi")</f>
        <v>Misi</v>
      </c>
      <c r="E3816" t="str">
        <f>IFERROR(__xludf.DUMMYFUNCTION("""COMPUTED_VALUE"""),"Koa")</f>
        <v>Koa</v>
      </c>
      <c r="F3816">
        <f>IFERROR(__xludf.DUMMYFUNCTION("""COMPUTED_VALUE"""),16.400000000000002)</f>
        <v>16.4</v>
      </c>
    </row>
    <row r="3817">
      <c r="D3817" t="str">
        <f>IFERROR(__xludf.DUMMYFUNCTION("""COMPUTED_VALUE"""),"Mitchel")</f>
        <v>Mitchel</v>
      </c>
      <c r="E3817" t="str">
        <f>IFERROR(__xludf.DUMMYFUNCTION("""COMPUTED_VALUE"""),"Tevin")</f>
        <v>Tevin</v>
      </c>
      <c r="F3817">
        <f>IFERROR(__xludf.DUMMYFUNCTION("""COMPUTED_VALUE"""),13.0)</f>
        <v>13</v>
      </c>
    </row>
    <row r="3818">
      <c r="D3818" t="str">
        <f>IFERROR(__xludf.DUMMYFUNCTION("""COMPUTED_VALUE"""),"Mitchell")</f>
        <v>Mitchell</v>
      </c>
      <c r="E3818" t="str">
        <f>IFERROR(__xludf.DUMMYFUNCTION("""COMPUTED_VALUE"""),"Earl")</f>
        <v>Earl</v>
      </c>
      <c r="F3818">
        <f>IFERROR(__xludf.DUMMYFUNCTION("""COMPUTED_VALUE"""),14.4)</f>
        <v>14.4</v>
      </c>
    </row>
    <row r="3819">
      <c r="D3819" t="str">
        <f>IFERROR(__xludf.DUMMYFUNCTION("""COMPUTED_VALUE"""),"Mitchell")</f>
        <v>Mitchell</v>
      </c>
      <c r="E3819" t="str">
        <f>IFERROR(__xludf.DUMMYFUNCTION("""COMPUTED_VALUE"""),"Malcolm")</f>
        <v>Malcolm</v>
      </c>
      <c r="F3819">
        <f>IFERROR(__xludf.DUMMYFUNCTION("""COMPUTED_VALUE"""),15.200000000000001)</f>
        <v>15.2</v>
      </c>
    </row>
    <row r="3820">
      <c r="D3820" t="str">
        <f>IFERROR(__xludf.DUMMYFUNCTION("""COMPUTED_VALUE"""),"Mitchell")</f>
        <v>Mitchell</v>
      </c>
      <c r="E3820" t="str">
        <f>IFERROR(__xludf.DUMMYFUNCTION("""COMPUTED_VALUE"""),"Mike")</f>
        <v>Mike</v>
      </c>
      <c r="F3820">
        <f>IFERROR(__xludf.DUMMYFUNCTION("""COMPUTED_VALUE"""),16.2)</f>
        <v>16.2</v>
      </c>
    </row>
    <row r="3821">
      <c r="D3821" t="str">
        <f>IFERROR(__xludf.DUMMYFUNCTION("""COMPUTED_VALUE"""),"Mitchell")</f>
        <v>Mitchell</v>
      </c>
      <c r="E3821" t="str">
        <f>IFERROR(__xludf.DUMMYFUNCTION("""COMPUTED_VALUE"""),"Terrance")</f>
        <v>Terrance</v>
      </c>
      <c r="F3821">
        <f>IFERROR(__xludf.DUMMYFUNCTION("""COMPUTED_VALUE"""),15.8)</f>
        <v>15.8</v>
      </c>
    </row>
    <row r="3822">
      <c r="D3822" t="str">
        <f>IFERROR(__xludf.DUMMYFUNCTION("""COMPUTED_VALUE"""),"Mixon")</f>
        <v>Mixon</v>
      </c>
      <c r="E3822" t="str">
        <f>IFERROR(__xludf.DUMMYFUNCTION("""COMPUTED_VALUE"""),"Joe")</f>
        <v>Joe</v>
      </c>
      <c r="F3822">
        <f>IFERROR(__xludf.DUMMYFUNCTION("""COMPUTED_VALUE"""),15.8)</f>
        <v>15.8</v>
      </c>
    </row>
    <row r="3823">
      <c r="D3823" t="str">
        <f>IFERROR(__xludf.DUMMYFUNCTION("""COMPUTED_VALUE"""),"Mizzell")</f>
        <v>Mizzell</v>
      </c>
      <c r="E3823" t="str">
        <f>IFERROR(__xludf.DUMMYFUNCTION("""COMPUTED_VALUE"""),"Taquan")</f>
        <v>Taquan</v>
      </c>
      <c r="F3823">
        <f>IFERROR(__xludf.DUMMYFUNCTION("""COMPUTED_VALUE"""),12.4)</f>
        <v>12.4</v>
      </c>
    </row>
    <row r="3824">
      <c r="D3824" t="str">
        <f>IFERROR(__xludf.DUMMYFUNCTION("""COMPUTED_VALUE"""),"Moats")</f>
        <v>Moats</v>
      </c>
      <c r="E3824" t="str">
        <f>IFERROR(__xludf.DUMMYFUNCTION("""COMPUTED_VALUE"""),"Arthur")</f>
        <v>Arthur</v>
      </c>
      <c r="F3824">
        <f>IFERROR(__xludf.DUMMYFUNCTION("""COMPUTED_VALUE"""),14.8)</f>
        <v>14.8</v>
      </c>
    </row>
    <row r="3825">
      <c r="D3825" t="str">
        <f>IFERROR(__xludf.DUMMYFUNCTION("""COMPUTED_VALUE"""),"Momah")</f>
        <v>Momah</v>
      </c>
      <c r="E3825" t="str">
        <f>IFERROR(__xludf.DUMMYFUNCTION("""COMPUTED_VALUE"""),"Ifeanyi")</f>
        <v>Ifeanyi</v>
      </c>
      <c r="F3825">
        <f>IFERROR(__xludf.DUMMYFUNCTION("""COMPUTED_VALUE"""),13.200000000000001)</f>
        <v>13.2</v>
      </c>
    </row>
    <row r="3826">
      <c r="D3826" t="str">
        <f>IFERROR(__xludf.DUMMYFUNCTION("""COMPUTED_VALUE"""),"Moncrief")</f>
        <v>Moncrief</v>
      </c>
      <c r="E3826" t="str">
        <f>IFERROR(__xludf.DUMMYFUNCTION("""COMPUTED_VALUE"""),"Donte")</f>
        <v>Donte</v>
      </c>
      <c r="F3826">
        <f>IFERROR(__xludf.DUMMYFUNCTION("""COMPUTED_VALUE"""),16.0)</f>
        <v>16</v>
      </c>
    </row>
    <row r="3827">
      <c r="D3827" t="str">
        <f>IFERROR(__xludf.DUMMYFUNCTION("""COMPUTED_VALUE"""),"Montgomery")</f>
        <v>Montgomery</v>
      </c>
      <c r="E3827" t="str">
        <f>IFERROR(__xludf.DUMMYFUNCTION("""COMPUTED_VALUE"""),"Ty")</f>
        <v>Ty</v>
      </c>
      <c r="F3827">
        <f>IFERROR(__xludf.DUMMYFUNCTION("""COMPUTED_VALUE"""),16.6)</f>
        <v>16.6</v>
      </c>
    </row>
    <row r="3828">
      <c r="D3828" t="str">
        <f>IFERROR(__xludf.DUMMYFUNCTION("""COMPUTED_VALUE"""),"Moore")</f>
        <v>Moore</v>
      </c>
      <c r="E3828" t="str">
        <f>IFERROR(__xludf.DUMMYFUNCTION("""COMPUTED_VALUE"""),"Chris")</f>
        <v>Chris</v>
      </c>
      <c r="F3828">
        <f>IFERROR(__xludf.DUMMYFUNCTION("""COMPUTED_VALUE"""),13.0)</f>
        <v>13</v>
      </c>
    </row>
    <row r="3829">
      <c r="D3829" t="str">
        <f>IFERROR(__xludf.DUMMYFUNCTION("""COMPUTED_VALUE"""),"Moore")</f>
        <v>Moore</v>
      </c>
      <c r="E3829" t="str">
        <f>IFERROR(__xludf.DUMMYFUNCTION("""COMPUTED_VALUE"""),"Corey")</f>
        <v>Corey</v>
      </c>
      <c r="F3829">
        <f>IFERROR(__xludf.DUMMYFUNCTION("""COMPUTED_VALUE"""),14.0)</f>
        <v>14</v>
      </c>
    </row>
    <row r="3830">
      <c r="D3830" t="str">
        <f>IFERROR(__xludf.DUMMYFUNCTION("""COMPUTED_VALUE"""),"Moore")</f>
        <v>Moore</v>
      </c>
      <c r="E3830" t="str">
        <f>IFERROR(__xludf.DUMMYFUNCTION("""COMPUTED_VALUE"""),"Damontre")</f>
        <v>Damontre</v>
      </c>
      <c r="F3830">
        <f>IFERROR(__xludf.DUMMYFUNCTION("""COMPUTED_VALUE"""),14.0)</f>
        <v>14</v>
      </c>
    </row>
    <row r="3831">
      <c r="D3831" t="str">
        <f>IFERROR(__xludf.DUMMYFUNCTION("""COMPUTED_VALUE"""),"Moore")</f>
        <v>Moore</v>
      </c>
      <c r="E3831" t="str">
        <f>IFERROR(__xludf.DUMMYFUNCTION("""COMPUTED_VALUE"""),"David")</f>
        <v>David</v>
      </c>
      <c r="F3831">
        <f>IFERROR(__xludf.DUMMYFUNCTION("""COMPUTED_VALUE"""),13.200000000000001)</f>
        <v>13.2</v>
      </c>
    </row>
    <row r="3832">
      <c r="D3832" t="str">
        <f>IFERROR(__xludf.DUMMYFUNCTION("""COMPUTED_VALUE"""),"Moore")</f>
        <v>Moore</v>
      </c>
      <c r="E3832" t="str">
        <f>IFERROR(__xludf.DUMMYFUNCTION("""COMPUTED_VALUE"""),"Kellen")</f>
        <v>Kellen</v>
      </c>
      <c r="F3832">
        <f>IFERROR(__xludf.DUMMYFUNCTION("""COMPUTED_VALUE"""),13.4)</f>
        <v>13.4</v>
      </c>
    </row>
    <row r="3833">
      <c r="D3833" t="str">
        <f>IFERROR(__xludf.DUMMYFUNCTION("""COMPUTED_VALUE"""),"Moore")</f>
        <v>Moore</v>
      </c>
      <c r="E3833" t="str">
        <f>IFERROR(__xludf.DUMMYFUNCTION("""COMPUTED_VALUE"""),"Matt")</f>
        <v>Matt</v>
      </c>
      <c r="F3833">
        <f>IFERROR(__xludf.DUMMYFUNCTION("""COMPUTED_VALUE"""),14.200000000000001)</f>
        <v>14.2</v>
      </c>
    </row>
    <row r="3834">
      <c r="D3834" t="str">
        <f>IFERROR(__xludf.DUMMYFUNCTION("""COMPUTED_VALUE"""),"Moore")</f>
        <v>Moore</v>
      </c>
      <c r="E3834" t="str">
        <f>IFERROR(__xludf.DUMMYFUNCTION("""COMPUTED_VALUE"""),"Sio")</f>
        <v>Sio</v>
      </c>
      <c r="F3834">
        <f>IFERROR(__xludf.DUMMYFUNCTION("""COMPUTED_VALUE"""),15.0)</f>
        <v>15</v>
      </c>
    </row>
    <row r="3835">
      <c r="D3835" t="str">
        <f>IFERROR(__xludf.DUMMYFUNCTION("""COMPUTED_VALUE"""),"Moore")</f>
        <v>Moore</v>
      </c>
      <c r="E3835" t="str">
        <f>IFERROR(__xludf.DUMMYFUNCTION("""COMPUTED_VALUE"""),"Sterling")</f>
        <v>Sterling</v>
      </c>
      <c r="F3835">
        <f>IFERROR(__xludf.DUMMYFUNCTION("""COMPUTED_VALUE"""),15.200000000000001)</f>
        <v>15.2</v>
      </c>
    </row>
    <row r="3836">
      <c r="D3836" t="str">
        <f>IFERROR(__xludf.DUMMYFUNCTION("""COMPUTED_VALUE"""),"Moore")</f>
        <v>Moore</v>
      </c>
      <c r="E3836" t="str">
        <f>IFERROR(__xludf.DUMMYFUNCTION("""COMPUTED_VALUE"""),"Steven")</f>
        <v>Steven</v>
      </c>
      <c r="F3836">
        <f>IFERROR(__xludf.DUMMYFUNCTION("""COMPUTED_VALUE"""),12.600000000000001)</f>
        <v>12.6</v>
      </c>
    </row>
    <row r="3837">
      <c r="D3837" t="str">
        <f>IFERROR(__xludf.DUMMYFUNCTION("""COMPUTED_VALUE"""),"Moore")</f>
        <v>Moore</v>
      </c>
      <c r="E3837" t="str">
        <f>IFERROR(__xludf.DUMMYFUNCTION("""COMPUTED_VALUE"""),"Zach")</f>
        <v>Zach</v>
      </c>
      <c r="F3837">
        <f>IFERROR(__xludf.DUMMYFUNCTION("""COMPUTED_VALUE"""),12.8)</f>
        <v>12.8</v>
      </c>
    </row>
    <row r="3838">
      <c r="D3838" t="str">
        <f>IFERROR(__xludf.DUMMYFUNCTION("""COMPUTED_VALUE"""),"Moreau")</f>
        <v>Moreau</v>
      </c>
      <c r="E3838" t="str">
        <f>IFERROR(__xludf.DUMMYFUNCTION("""COMPUTED_VALUE"""),"Fabian")</f>
        <v>Fabian</v>
      </c>
      <c r="F3838">
        <f>IFERROR(__xludf.DUMMYFUNCTION("""COMPUTED_VALUE"""),14.0)</f>
        <v>14</v>
      </c>
    </row>
    <row r="3839">
      <c r="D3839" t="str">
        <f>IFERROR(__xludf.DUMMYFUNCTION("""COMPUTED_VALUE"""),"Morgan")</f>
        <v>Morgan</v>
      </c>
      <c r="E3839" t="str">
        <f>IFERROR(__xludf.DUMMYFUNCTION("""COMPUTED_VALUE"""),"Derrick")</f>
        <v>Derrick</v>
      </c>
      <c r="F3839">
        <f>IFERROR(__xludf.DUMMYFUNCTION("""COMPUTED_VALUE"""),15.8)</f>
        <v>15.8</v>
      </c>
    </row>
    <row r="3840">
      <c r="D3840" t="str">
        <f>IFERROR(__xludf.DUMMYFUNCTION("""COMPUTED_VALUE"""),"Morgan")</f>
        <v>Morgan</v>
      </c>
      <c r="E3840" t="str">
        <f>IFERROR(__xludf.DUMMYFUNCTION("""COMPUTED_VALUE"""),"Jordan")</f>
        <v>Jordan</v>
      </c>
      <c r="F3840">
        <f>IFERROR(__xludf.DUMMYFUNCTION("""COMPUTED_VALUE"""),13.600000000000001)</f>
        <v>13.6</v>
      </c>
    </row>
    <row r="3841">
      <c r="D3841" t="str">
        <f>IFERROR(__xludf.DUMMYFUNCTION("""COMPUTED_VALUE"""),"Morgan II")</f>
        <v>Morgan II</v>
      </c>
      <c r="E3841" t="str">
        <f>IFERROR(__xludf.DUMMYFUNCTION("""COMPUTED_VALUE"""),"David")</f>
        <v>David</v>
      </c>
      <c r="F3841">
        <f>IFERROR(__xludf.DUMMYFUNCTION("""COMPUTED_VALUE"""),13.4)</f>
        <v>13.4</v>
      </c>
    </row>
    <row r="3842">
      <c r="D3842" t="str">
        <f>IFERROR(__xludf.DUMMYFUNCTION("""COMPUTED_VALUE"""),"Morris")</f>
        <v>Morris</v>
      </c>
      <c r="E3842" t="str">
        <f>IFERROR(__xludf.DUMMYFUNCTION("""COMPUTED_VALUE"""),"Alfred")</f>
        <v>Alfred</v>
      </c>
      <c r="F3842">
        <f>IFERROR(__xludf.DUMMYFUNCTION("""COMPUTED_VALUE"""),15.0)</f>
        <v>15</v>
      </c>
    </row>
    <row r="3843">
      <c r="D3843" t="str">
        <f>IFERROR(__xludf.DUMMYFUNCTION("""COMPUTED_VALUE"""),"Morris")</f>
        <v>Morris</v>
      </c>
      <c r="E3843" t="str">
        <f>IFERROR(__xludf.DUMMYFUNCTION("""COMPUTED_VALUE"""),"Darryl")</f>
        <v>Darryl</v>
      </c>
      <c r="F3843">
        <f>IFERROR(__xludf.DUMMYFUNCTION("""COMPUTED_VALUE"""),14.4)</f>
        <v>14.4</v>
      </c>
    </row>
    <row r="3844">
      <c r="D3844" t="str">
        <f>IFERROR(__xludf.DUMMYFUNCTION("""COMPUTED_VALUE"""),"Morris")</f>
        <v>Morris</v>
      </c>
      <c r="E3844" t="str">
        <f>IFERROR(__xludf.DUMMYFUNCTION("""COMPUTED_VALUE"""),"Stephen")</f>
        <v>Stephen</v>
      </c>
      <c r="F3844">
        <f>IFERROR(__xludf.DUMMYFUNCTION("""COMPUTED_VALUE"""),12.200000000000001)</f>
        <v>12.2</v>
      </c>
    </row>
    <row r="3845">
      <c r="D3845" t="str">
        <f>IFERROR(__xludf.DUMMYFUNCTION("""COMPUTED_VALUE"""),"Morrison")</f>
        <v>Morrison</v>
      </c>
      <c r="E3845" t="str">
        <f>IFERROR(__xludf.DUMMYFUNCTION("""COMPUTED_VALUE"""),"Antonio")</f>
        <v>Antonio</v>
      </c>
      <c r="F3845">
        <f>IFERROR(__xludf.DUMMYFUNCTION("""COMPUTED_VALUE"""),13.600000000000001)</f>
        <v>13.6</v>
      </c>
    </row>
    <row r="3846">
      <c r="D3846" t="str">
        <f>IFERROR(__xludf.DUMMYFUNCTION("""COMPUTED_VALUE"""),"Morse")</f>
        <v>Morse</v>
      </c>
      <c r="E3846" t="str">
        <f>IFERROR(__xludf.DUMMYFUNCTION("""COMPUTED_VALUE"""),"Mitch")</f>
        <v>Mitch</v>
      </c>
      <c r="F3846">
        <f>IFERROR(__xludf.DUMMYFUNCTION("""COMPUTED_VALUE"""),16.0)</f>
        <v>16</v>
      </c>
    </row>
    <row r="3847">
      <c r="D3847" t="str">
        <f>IFERROR(__xludf.DUMMYFUNCTION("""COMPUTED_VALUE"""),"Morstead")</f>
        <v>Morstead</v>
      </c>
      <c r="E3847" t="str">
        <f>IFERROR(__xludf.DUMMYFUNCTION("""COMPUTED_VALUE"""),"Thomas")</f>
        <v>Thomas</v>
      </c>
      <c r="F3847">
        <f>IFERROR(__xludf.DUMMYFUNCTION("""COMPUTED_VALUE"""),16.8)</f>
        <v>16.8</v>
      </c>
    </row>
    <row r="3848">
      <c r="D3848" t="str">
        <f>IFERROR(__xludf.DUMMYFUNCTION("""COMPUTED_VALUE"""),"Moses")</f>
        <v>Moses</v>
      </c>
      <c r="E3848" t="str">
        <f>IFERROR(__xludf.DUMMYFUNCTION("""COMPUTED_VALUE"""),"Morgan")</f>
        <v>Morgan</v>
      </c>
      <c r="F3848">
        <f>IFERROR(__xludf.DUMMYFUNCTION("""COMPUTED_VALUE"""),17.0)</f>
        <v>17</v>
      </c>
    </row>
    <row r="3849">
      <c r="D3849" t="str">
        <f>IFERROR(__xludf.DUMMYFUNCTION("""COMPUTED_VALUE"""),"Mosley")</f>
        <v>Mosley</v>
      </c>
      <c r="E3849" t="str">
        <f>IFERROR(__xludf.DUMMYFUNCTION("""COMPUTED_VALUE"""),"CJ")</f>
        <v>CJ</v>
      </c>
      <c r="F3849">
        <f>IFERROR(__xludf.DUMMYFUNCTION("""COMPUTED_VALUE"""),17.8)</f>
        <v>17.8</v>
      </c>
    </row>
    <row r="3850">
      <c r="D3850" t="str">
        <f>IFERROR(__xludf.DUMMYFUNCTION("""COMPUTED_VALUE"""),"Moss")</f>
        <v>Moss</v>
      </c>
      <c r="E3850" t="str">
        <f>IFERROR(__xludf.DUMMYFUNCTION("""COMPUTED_VALUE"""),"Avery")</f>
        <v>Avery</v>
      </c>
      <c r="F3850">
        <f>IFERROR(__xludf.DUMMYFUNCTION("""COMPUTED_VALUE"""),13.200000000000001)</f>
        <v>13.2</v>
      </c>
    </row>
    <row r="3851">
      <c r="D3851" t="str">
        <f>IFERROR(__xludf.DUMMYFUNCTION("""COMPUTED_VALUE"""),"Mostert")</f>
        <v>Mostert</v>
      </c>
      <c r="E3851" t="str">
        <f>IFERROR(__xludf.DUMMYFUNCTION("""COMPUTED_VALUE"""),"Raheem")</f>
        <v>Raheem</v>
      </c>
      <c r="F3851">
        <f>IFERROR(__xludf.DUMMYFUNCTION("""COMPUTED_VALUE"""),12.0)</f>
        <v>12</v>
      </c>
    </row>
    <row r="3852">
      <c r="D3852" t="str">
        <f>IFERROR(__xludf.DUMMYFUNCTION("""COMPUTED_VALUE"""),"Moton")</f>
        <v>Moton</v>
      </c>
      <c r="E3852" t="str">
        <f>IFERROR(__xludf.DUMMYFUNCTION("""COMPUTED_VALUE"""),"Taylor")</f>
        <v>Taylor</v>
      </c>
      <c r="F3852">
        <f>IFERROR(__xludf.DUMMYFUNCTION("""COMPUTED_VALUE"""),14.600000000000001)</f>
        <v>14.6</v>
      </c>
    </row>
    <row r="3853">
      <c r="D3853" t="str">
        <f>IFERROR(__xludf.DUMMYFUNCTION("""COMPUTED_VALUE"""),"Mount")</f>
        <v>Mount</v>
      </c>
      <c r="E3853" t="str">
        <f>IFERROR(__xludf.DUMMYFUNCTION("""COMPUTED_VALUE"""),"Deiontrez")</f>
        <v>Deiontrez</v>
      </c>
      <c r="F3853">
        <f>IFERROR(__xludf.DUMMYFUNCTION("""COMPUTED_VALUE"""),12.600000000000001)</f>
        <v>12.6</v>
      </c>
    </row>
    <row r="3854">
      <c r="D3854" t="str">
        <f>IFERROR(__xludf.DUMMYFUNCTION("""COMPUTED_VALUE"""),"Muhammad")</f>
        <v>Muhammad</v>
      </c>
      <c r="E3854" t="str">
        <f>IFERROR(__xludf.DUMMYFUNCTION("""COMPUTED_VALUE"""),"Al-Quadin")</f>
        <v>Al-Quadin</v>
      </c>
      <c r="F3854">
        <f>IFERROR(__xludf.DUMMYFUNCTION("""COMPUTED_VALUE"""),13.0)</f>
        <v>13</v>
      </c>
    </row>
    <row r="3855">
      <c r="D3855" t="str">
        <f>IFERROR(__xludf.DUMMYFUNCTION("""COMPUTED_VALUE"""),"Muhammad")</f>
        <v>Muhammad</v>
      </c>
      <c r="E3855" t="str">
        <f>IFERROR(__xludf.DUMMYFUNCTION("""COMPUTED_VALUE"""),"Khalfani")</f>
        <v>Khalfani</v>
      </c>
      <c r="F3855">
        <f>IFERROR(__xludf.DUMMYFUNCTION("""COMPUTED_VALUE"""),13.4)</f>
        <v>13.4</v>
      </c>
    </row>
    <row r="3856">
      <c r="D3856" t="str">
        <f>IFERROR(__xludf.DUMMYFUNCTION("""COMPUTED_VALUE"""),"Muhlbach")</f>
        <v>Muhlbach</v>
      </c>
      <c r="E3856" t="str">
        <f>IFERROR(__xludf.DUMMYFUNCTION("""COMPUTED_VALUE"""),"Don")</f>
        <v>Don</v>
      </c>
      <c r="F3856">
        <f>IFERROR(__xludf.DUMMYFUNCTION("""COMPUTED_VALUE"""),9.8)</f>
        <v>9.8</v>
      </c>
    </row>
    <row r="3857">
      <c r="D3857" t="str">
        <f>IFERROR(__xludf.DUMMYFUNCTION("""COMPUTED_VALUE"""),"Munnerlyn")</f>
        <v>Munnerlyn</v>
      </c>
      <c r="E3857" t="str">
        <f>IFERROR(__xludf.DUMMYFUNCTION("""COMPUTED_VALUE"""),"Captain")</f>
        <v>Captain</v>
      </c>
      <c r="F3857">
        <f>IFERROR(__xludf.DUMMYFUNCTION("""COMPUTED_VALUE"""),16.0)</f>
        <v>16</v>
      </c>
    </row>
    <row r="3858">
      <c r="D3858" t="str">
        <f>IFERROR(__xludf.DUMMYFUNCTION("""COMPUTED_VALUE"""),"Munyer")</f>
        <v>Munyer</v>
      </c>
      <c r="E3858" t="str">
        <f>IFERROR(__xludf.DUMMYFUNCTION("""COMPUTED_VALUE"""),"Daniel")</f>
        <v>Daniel</v>
      </c>
      <c r="F3858">
        <f>IFERROR(__xludf.DUMMYFUNCTION("""COMPUTED_VALUE"""),12.600000000000001)</f>
        <v>12.6</v>
      </c>
    </row>
    <row r="3859">
      <c r="D3859" t="str">
        <f>IFERROR(__xludf.DUMMYFUNCTION("""COMPUTED_VALUE"""),"Murphy")</f>
        <v>Murphy</v>
      </c>
      <c r="E3859" t="str">
        <f>IFERROR(__xludf.DUMMYFUNCTION("""COMPUTED_VALUE"""),"Kyle")</f>
        <v>Kyle</v>
      </c>
      <c r="F3859">
        <f>IFERROR(__xludf.DUMMYFUNCTION("""COMPUTED_VALUE"""),13.200000000000001)</f>
        <v>13.2</v>
      </c>
    </row>
    <row r="3860">
      <c r="D3860" t="str">
        <f>IFERROR(__xludf.DUMMYFUNCTION("""COMPUTED_VALUE"""),"Murphy")</f>
        <v>Murphy</v>
      </c>
      <c r="E3860" t="str">
        <f>IFERROR(__xludf.DUMMYFUNCTION("""COMPUTED_VALUE"""),"Marcus")</f>
        <v>Marcus</v>
      </c>
      <c r="F3860">
        <f>IFERROR(__xludf.DUMMYFUNCTION("""COMPUTED_VALUE"""),13.0)</f>
        <v>13</v>
      </c>
    </row>
    <row r="3861">
      <c r="D3861" t="str">
        <f>IFERROR(__xludf.DUMMYFUNCTION("""COMPUTED_VALUE"""),"Murphy")</f>
        <v>Murphy</v>
      </c>
      <c r="E3861" t="str">
        <f>IFERROR(__xludf.DUMMYFUNCTION("""COMPUTED_VALUE"""),"Pace")</f>
        <v>Pace</v>
      </c>
      <c r="F3861">
        <f>IFERROR(__xludf.DUMMYFUNCTION("""COMPUTED_VALUE"""),12.4)</f>
        <v>12.4</v>
      </c>
    </row>
    <row r="3862">
      <c r="D3862" t="str">
        <f>IFERROR(__xludf.DUMMYFUNCTION("""COMPUTED_VALUE"""),"Murphy")</f>
        <v>Murphy</v>
      </c>
      <c r="E3862" t="str">
        <f>IFERROR(__xludf.DUMMYFUNCTION("""COMPUTED_VALUE"""),"Ryan")</f>
        <v>Ryan</v>
      </c>
      <c r="F3862">
        <f>IFERROR(__xludf.DUMMYFUNCTION("""COMPUTED_VALUE"""),13.4)</f>
        <v>13.4</v>
      </c>
    </row>
    <row r="3863">
      <c r="D3863" t="str">
        <f>IFERROR(__xludf.DUMMYFUNCTION("""COMPUTED_VALUE"""),"Murphy")</f>
        <v>Murphy</v>
      </c>
      <c r="E3863" t="str">
        <f>IFERROR(__xludf.DUMMYFUNCTION("""COMPUTED_VALUE"""),"Trent")</f>
        <v>Trent</v>
      </c>
      <c r="F3863">
        <f>IFERROR(__xludf.DUMMYFUNCTION("""COMPUTED_VALUE"""),16.2)</f>
        <v>16.2</v>
      </c>
    </row>
    <row r="3864">
      <c r="D3864" t="str">
        <f>IFERROR(__xludf.DUMMYFUNCTION("""COMPUTED_VALUE"""),"Murray")</f>
        <v>Murray</v>
      </c>
      <c r="E3864" t="str">
        <f>IFERROR(__xludf.DUMMYFUNCTION("""COMPUTED_VALUE"""),"DeMarco")</f>
        <v>DeMarco</v>
      </c>
      <c r="F3864">
        <f>IFERROR(__xludf.DUMMYFUNCTION("""COMPUTED_VALUE"""),18.2)</f>
        <v>18.2</v>
      </c>
    </row>
    <row r="3865">
      <c r="D3865" t="str">
        <f>IFERROR(__xludf.DUMMYFUNCTION("""COMPUTED_VALUE"""),"Murray")</f>
        <v>Murray</v>
      </c>
      <c r="E3865" t="str">
        <f>IFERROR(__xludf.DUMMYFUNCTION("""COMPUTED_VALUE"""),"Eric")</f>
        <v>Eric</v>
      </c>
      <c r="F3865">
        <f>IFERROR(__xludf.DUMMYFUNCTION("""COMPUTED_VALUE"""),14.0)</f>
        <v>14</v>
      </c>
    </row>
    <row r="3866">
      <c r="D3866" t="str">
        <f>IFERROR(__xludf.DUMMYFUNCTION("""COMPUTED_VALUE"""),"Murray")</f>
        <v>Murray</v>
      </c>
      <c r="E3866" t="str">
        <f>IFERROR(__xludf.DUMMYFUNCTION("""COMPUTED_VALUE"""),"Justin")</f>
        <v>Justin</v>
      </c>
      <c r="F3866">
        <f>IFERROR(__xludf.DUMMYFUNCTION("""COMPUTED_VALUE"""),12.4)</f>
        <v>12.4</v>
      </c>
    </row>
    <row r="3867">
      <c r="D3867" t="str">
        <f>IFERROR(__xludf.DUMMYFUNCTION("""COMPUTED_VALUE"""),"Murray")</f>
        <v>Murray</v>
      </c>
      <c r="E3867" t="str">
        <f>IFERROR(__xludf.DUMMYFUNCTION("""COMPUTED_VALUE"""),"Latavius")</f>
        <v>Latavius</v>
      </c>
      <c r="F3867">
        <f>IFERROR(__xludf.DUMMYFUNCTION("""COMPUTED_VALUE"""),16.8)</f>
        <v>16.8</v>
      </c>
    </row>
    <row r="3868">
      <c r="D3868" t="str">
        <f>IFERROR(__xludf.DUMMYFUNCTION("""COMPUTED_VALUE"""),"Myers")</f>
        <v>Myers</v>
      </c>
      <c r="E3868" t="str">
        <f>IFERROR(__xludf.DUMMYFUNCTION("""COMPUTED_VALUE"""),"Jason")</f>
        <v>Jason</v>
      </c>
      <c r="F3868">
        <f>IFERROR(__xludf.DUMMYFUNCTION("""COMPUTED_VALUE"""),15.600000000000001)</f>
        <v>15.6</v>
      </c>
    </row>
    <row r="3869">
      <c r="D3869" t="str">
        <f>IFERROR(__xludf.DUMMYFUNCTION("""COMPUTED_VALUE"""),"Myers Jr")</f>
        <v>Myers Jr</v>
      </c>
      <c r="E3869" t="str">
        <f>IFERROR(__xludf.DUMMYFUNCTION("""COMPUTED_VALUE"""),"Robert")</f>
        <v>Robert</v>
      </c>
      <c r="F3869">
        <f>IFERROR(__xludf.DUMMYFUNCTION("""COMPUTED_VALUE"""),12.200000000000001)</f>
        <v>12.2</v>
      </c>
    </row>
    <row r="3870">
      <c r="D3870" t="str">
        <f>IFERROR(__xludf.DUMMYFUNCTION("""COMPUTED_VALUE"""),"Myrick")</f>
        <v>Myrick</v>
      </c>
      <c r="E3870" t="str">
        <f>IFERROR(__xludf.DUMMYFUNCTION("""COMPUTED_VALUE"""),"Jalen")</f>
        <v>Jalen</v>
      </c>
      <c r="F3870">
        <f>IFERROR(__xludf.DUMMYFUNCTION("""COMPUTED_VALUE"""),13.4)</f>
        <v>13.4</v>
      </c>
    </row>
    <row r="3871">
      <c r="D3871" t="str">
        <f>IFERROR(__xludf.DUMMYFUNCTION("""COMPUTED_VALUE"""),"Nassib")</f>
        <v>Nassib</v>
      </c>
      <c r="E3871" t="str">
        <f>IFERROR(__xludf.DUMMYFUNCTION("""COMPUTED_VALUE"""),"Carl")</f>
        <v>Carl</v>
      </c>
      <c r="F3871">
        <f>IFERROR(__xludf.DUMMYFUNCTION("""COMPUTED_VALUE"""),14.200000000000001)</f>
        <v>14.2</v>
      </c>
    </row>
    <row r="3872">
      <c r="D3872" t="str">
        <f>IFERROR(__xludf.DUMMYFUNCTION("""COMPUTED_VALUE"""),"Natson")</f>
        <v>Natson</v>
      </c>
      <c r="E3872" t="str">
        <f>IFERROR(__xludf.DUMMYFUNCTION("""COMPUTED_VALUE"""),"JoJo")</f>
        <v>JoJo</v>
      </c>
      <c r="F3872">
        <f>IFERROR(__xludf.DUMMYFUNCTION("""COMPUTED_VALUE"""),11.8)</f>
        <v>11.8</v>
      </c>
    </row>
    <row r="3873">
      <c r="D3873" t="str">
        <f>IFERROR(__xludf.DUMMYFUNCTION("""COMPUTED_VALUE"""),"Neal")</f>
        <v>Neal</v>
      </c>
      <c r="E3873" t="str">
        <f>IFERROR(__xludf.DUMMYFUNCTION("""COMPUTED_VALUE"""),"Keanu")</f>
        <v>Keanu</v>
      </c>
      <c r="F3873">
        <f>IFERROR(__xludf.DUMMYFUNCTION("""COMPUTED_VALUE"""),16.6)</f>
        <v>16.6</v>
      </c>
    </row>
    <row r="3874">
      <c r="D3874" t="str">
        <f>IFERROR(__xludf.DUMMYFUNCTION("""COMPUTED_VALUE"""),"Neal")</f>
        <v>Neal</v>
      </c>
      <c r="E3874" t="str">
        <f>IFERROR(__xludf.DUMMYFUNCTION("""COMPUTED_VALUE"""),"Lewis")</f>
        <v>Lewis</v>
      </c>
      <c r="F3874">
        <f>IFERROR(__xludf.DUMMYFUNCTION("""COMPUTED_VALUE"""),12.600000000000001)</f>
        <v>12.6</v>
      </c>
    </row>
    <row r="3875">
      <c r="D3875" t="str">
        <f>IFERROR(__xludf.DUMMYFUNCTION("""COMPUTED_VALUE"""),"Neasman")</f>
        <v>Neasman</v>
      </c>
      <c r="E3875" t="str">
        <f>IFERROR(__xludf.DUMMYFUNCTION("""COMPUTED_VALUE"""),"Sharrod")</f>
        <v>Sharrod</v>
      </c>
      <c r="F3875">
        <f>IFERROR(__xludf.DUMMYFUNCTION("""COMPUTED_VALUE"""),12.200000000000001)</f>
        <v>12.2</v>
      </c>
    </row>
    <row r="3876">
      <c r="D3876" t="str">
        <f>IFERROR(__xludf.DUMMYFUNCTION("""COMPUTED_VALUE"""),"Nelson")</f>
        <v>Nelson</v>
      </c>
      <c r="E3876" t="str">
        <f>IFERROR(__xludf.DUMMYFUNCTION("""COMPUTED_VALUE"""),"Corey")</f>
        <v>Corey</v>
      </c>
      <c r="F3876">
        <f>IFERROR(__xludf.DUMMYFUNCTION("""COMPUTED_VALUE"""),13.200000000000001)</f>
        <v>13.2</v>
      </c>
    </row>
    <row r="3877">
      <c r="D3877" t="str">
        <f>IFERROR(__xludf.DUMMYFUNCTION("""COMPUTED_VALUE"""),"Nelson")</f>
        <v>Nelson</v>
      </c>
      <c r="E3877" t="str">
        <f>IFERROR(__xludf.DUMMYFUNCTION("""COMPUTED_VALUE"""),"JJ")</f>
        <v>JJ</v>
      </c>
      <c r="F3877">
        <f>IFERROR(__xludf.DUMMYFUNCTION("""COMPUTED_VALUE"""),14.600000000000001)</f>
        <v>14.6</v>
      </c>
    </row>
    <row r="3878">
      <c r="D3878" t="str">
        <f>IFERROR(__xludf.DUMMYFUNCTION("""COMPUTED_VALUE"""),"Nelson")</f>
        <v>Nelson</v>
      </c>
      <c r="E3878" t="str">
        <f>IFERROR(__xludf.DUMMYFUNCTION("""COMPUTED_VALUE"""),"Jordy")</f>
        <v>Jordy</v>
      </c>
      <c r="F3878">
        <f>IFERROR(__xludf.DUMMYFUNCTION("""COMPUTED_VALUE"""),18.2)</f>
        <v>18.2</v>
      </c>
    </row>
    <row r="3879">
      <c r="D3879" t="str">
        <f>IFERROR(__xludf.DUMMYFUNCTION("""COMPUTED_VALUE"""),"Nelson")</f>
        <v>Nelson</v>
      </c>
      <c r="E3879" t="str">
        <f>IFERROR(__xludf.DUMMYFUNCTION("""COMPUTED_VALUE"""),"Kyle")</f>
        <v>Kyle</v>
      </c>
      <c r="F3879">
        <f>IFERROR(__xludf.DUMMYFUNCTION("""COMPUTED_VALUE"""),8.8)</f>
        <v>8.8</v>
      </c>
    </row>
    <row r="3880">
      <c r="D3880" t="str">
        <f>IFERROR(__xludf.DUMMYFUNCTION("""COMPUTED_VALUE"""),"Nelson")</f>
        <v>Nelson</v>
      </c>
      <c r="E3880" t="str">
        <f>IFERROR(__xludf.DUMMYFUNCTION("""COMPUTED_VALUE"""),"Reggie")</f>
        <v>Reggie</v>
      </c>
      <c r="F3880">
        <f>IFERROR(__xludf.DUMMYFUNCTION("""COMPUTED_VALUE"""),15.8)</f>
        <v>15.8</v>
      </c>
    </row>
    <row r="3881">
      <c r="D3881" t="str">
        <f>IFERROR(__xludf.DUMMYFUNCTION("""COMPUTED_VALUE"""),"Nelson")</f>
        <v>Nelson</v>
      </c>
      <c r="E3881" t="str">
        <f>IFERROR(__xludf.DUMMYFUNCTION("""COMPUTED_VALUE"""),"Steven")</f>
        <v>Steven</v>
      </c>
      <c r="F3881">
        <f>IFERROR(__xludf.DUMMYFUNCTION("""COMPUTED_VALUE"""),14.8)</f>
        <v>14.8</v>
      </c>
    </row>
    <row r="3882">
      <c r="D3882" t="str">
        <f>IFERROR(__xludf.DUMMYFUNCTION("""COMPUTED_VALUE"""),"Nelson Jr")</f>
        <v>Nelson Jr</v>
      </c>
      <c r="E3882" t="str">
        <f>IFERROR(__xludf.DUMMYFUNCTION("""COMPUTED_VALUE"""),"Robert")</f>
        <v>Robert</v>
      </c>
      <c r="F3882">
        <f>IFERROR(__xludf.DUMMYFUNCTION("""COMPUTED_VALUE"""),13.8)</f>
        <v>13.8</v>
      </c>
    </row>
    <row r="3883">
      <c r="D3883" t="str">
        <f>IFERROR(__xludf.DUMMYFUNCTION("""COMPUTED_VALUE"""),"Nembot")</f>
        <v>Nembot</v>
      </c>
      <c r="E3883" t="str">
        <f>IFERROR(__xludf.DUMMYFUNCTION("""COMPUTED_VALUE"""),"Stephane")</f>
        <v>Stephane</v>
      </c>
      <c r="F3883">
        <f>IFERROR(__xludf.DUMMYFUNCTION("""COMPUTED_VALUE"""),11.8)</f>
        <v>11.8</v>
      </c>
    </row>
    <row r="3884">
      <c r="D3884" t="str">
        <f>IFERROR(__xludf.DUMMYFUNCTION("""COMPUTED_VALUE"""),"Newhouse")</f>
        <v>Newhouse</v>
      </c>
      <c r="E3884" t="str">
        <f>IFERROR(__xludf.DUMMYFUNCTION("""COMPUTED_VALUE"""),"Marshall")</f>
        <v>Marshall</v>
      </c>
      <c r="F3884">
        <f>IFERROR(__xludf.DUMMYFUNCTION("""COMPUTED_VALUE"""),14.200000000000001)</f>
        <v>14.2</v>
      </c>
    </row>
    <row r="3885">
      <c r="D3885" t="str">
        <f>IFERROR(__xludf.DUMMYFUNCTION("""COMPUTED_VALUE"""),"Newman")</f>
        <v>Newman</v>
      </c>
      <c r="E3885" t="str">
        <f>IFERROR(__xludf.DUMMYFUNCTION("""COMPUTED_VALUE"""),"Terence")</f>
        <v>Terence</v>
      </c>
      <c r="F3885">
        <f>IFERROR(__xludf.DUMMYFUNCTION("""COMPUTED_VALUE"""),17.0)</f>
        <v>17</v>
      </c>
    </row>
    <row r="3886">
      <c r="D3886" t="str">
        <f>IFERROR(__xludf.DUMMYFUNCTION("""COMPUTED_VALUE"""),"Newton")</f>
        <v>Newton</v>
      </c>
      <c r="E3886" t="str">
        <f>IFERROR(__xludf.DUMMYFUNCTION("""COMPUTED_VALUE"""),"Cam")</f>
        <v>Cam</v>
      </c>
      <c r="F3886">
        <f>IFERROR(__xludf.DUMMYFUNCTION("""COMPUTED_VALUE"""),17.6)</f>
        <v>17.6</v>
      </c>
    </row>
    <row r="3887">
      <c r="D3887" t="str">
        <f>IFERROR(__xludf.DUMMYFUNCTION("""COMPUTED_VALUE"""),"Newton")</f>
        <v>Newton</v>
      </c>
      <c r="E3887" t="str">
        <f>IFERROR(__xludf.DUMMYFUNCTION("""COMPUTED_VALUE"""),"Derek")</f>
        <v>Derek</v>
      </c>
      <c r="F3887">
        <f>IFERROR(__xludf.DUMMYFUNCTION("""COMPUTED_VALUE"""),15.600000000000001)</f>
        <v>15.6</v>
      </c>
    </row>
    <row r="3888">
      <c r="D3888" t="str">
        <f>IFERROR(__xludf.DUMMYFUNCTION("""COMPUTED_VALUE"""),"Ngakoue")</f>
        <v>Ngakoue</v>
      </c>
      <c r="E3888" t="str">
        <f>IFERROR(__xludf.DUMMYFUNCTION("""COMPUTED_VALUE"""),"Yannick")</f>
        <v>Yannick</v>
      </c>
      <c r="F3888">
        <f>IFERROR(__xludf.DUMMYFUNCTION("""COMPUTED_VALUE"""),15.4)</f>
        <v>15.4</v>
      </c>
    </row>
    <row r="3889">
      <c r="D3889" t="str">
        <f>IFERROR(__xludf.DUMMYFUNCTION("""COMPUTED_VALUE"""),"Ngata")</f>
        <v>Ngata</v>
      </c>
      <c r="E3889" t="str">
        <f>IFERROR(__xludf.DUMMYFUNCTION("""COMPUTED_VALUE"""),"Haloti")</f>
        <v>Haloti</v>
      </c>
      <c r="F3889">
        <f>IFERROR(__xludf.DUMMYFUNCTION("""COMPUTED_VALUE"""),15.600000000000001)</f>
        <v>15.6</v>
      </c>
    </row>
    <row r="3890">
      <c r="D3890" t="str">
        <f>IFERROR(__xludf.DUMMYFUNCTION("""COMPUTED_VALUE"""),"Nicholson")</f>
        <v>Nicholson</v>
      </c>
      <c r="E3890" t="str">
        <f>IFERROR(__xludf.DUMMYFUNCTION("""COMPUTED_VALUE"""),"Montae")</f>
        <v>Montae</v>
      </c>
      <c r="F3890">
        <f>IFERROR(__xludf.DUMMYFUNCTION("""COMPUTED_VALUE"""),13.600000000000001)</f>
        <v>13.6</v>
      </c>
    </row>
    <row r="3891">
      <c r="D3891" t="str">
        <f>IFERROR(__xludf.DUMMYFUNCTION("""COMPUTED_VALUE"""),"Nickerson")</f>
        <v>Nickerson</v>
      </c>
      <c r="E3891" t="str">
        <f>IFERROR(__xludf.DUMMYFUNCTION("""COMPUTED_VALUE"""),"Hardy")</f>
        <v>Hardy</v>
      </c>
      <c r="F3891">
        <f>IFERROR(__xludf.DUMMYFUNCTION("""COMPUTED_VALUE"""),12.4)</f>
        <v>12.4</v>
      </c>
    </row>
    <row r="3892">
      <c r="D3892" t="str">
        <f>IFERROR(__xludf.DUMMYFUNCTION("""COMPUTED_VALUE"""),"Nicolas")</f>
        <v>Nicolas</v>
      </c>
      <c r="E3892" t="str">
        <f>IFERROR(__xludf.DUMMYFUNCTION("""COMPUTED_VALUE"""),"Dadi")</f>
        <v>Dadi</v>
      </c>
      <c r="F3892">
        <f>IFERROR(__xludf.DUMMYFUNCTION("""COMPUTED_VALUE"""),13.4)</f>
        <v>13.4</v>
      </c>
    </row>
    <row r="3893">
      <c r="D3893" t="str">
        <f>IFERROR(__xludf.DUMMYFUNCTION("""COMPUTED_VALUE"""),"Niklas")</f>
        <v>Niklas</v>
      </c>
      <c r="E3893" t="str">
        <f>IFERROR(__xludf.DUMMYFUNCTION("""COMPUTED_VALUE"""),"Troy")</f>
        <v>Troy</v>
      </c>
      <c r="F3893">
        <f>IFERROR(__xludf.DUMMYFUNCTION("""COMPUTED_VALUE"""),14.8)</f>
        <v>14.8</v>
      </c>
    </row>
    <row r="3894">
      <c r="D3894" t="str">
        <f>IFERROR(__xludf.DUMMYFUNCTION("""COMPUTED_VALUE"""),"Ninkovich")</f>
        <v>Ninkovich</v>
      </c>
      <c r="E3894" t="str">
        <f>IFERROR(__xludf.DUMMYFUNCTION("""COMPUTED_VALUE"""),"Rob")</f>
        <v>Rob</v>
      </c>
      <c r="F3894">
        <f>IFERROR(__xludf.DUMMYFUNCTION("""COMPUTED_VALUE"""),15.600000000000001)</f>
        <v>15.6</v>
      </c>
    </row>
    <row r="3895">
      <c r="D3895" t="str">
        <f>IFERROR(__xludf.DUMMYFUNCTION("""COMPUTED_VALUE"""),"Nix")</f>
        <v>Nix</v>
      </c>
      <c r="E3895" t="str">
        <f>IFERROR(__xludf.DUMMYFUNCTION("""COMPUTED_VALUE"""),"Roosevelt")</f>
        <v>Roosevelt</v>
      </c>
      <c r="F3895">
        <f>IFERROR(__xludf.DUMMYFUNCTION("""COMPUTED_VALUE"""),16.0)</f>
        <v>16</v>
      </c>
    </row>
    <row r="3896">
      <c r="D3896" t="str">
        <f>IFERROR(__xludf.DUMMYFUNCTION("""COMPUTED_VALUE"""),"Nixon")</f>
        <v>Nixon</v>
      </c>
      <c r="E3896" t="str">
        <f>IFERROR(__xludf.DUMMYFUNCTION("""COMPUTED_VALUE"""),"Taurean")</f>
        <v>Taurean</v>
      </c>
      <c r="F3896">
        <f>IFERROR(__xludf.DUMMYFUNCTION("""COMPUTED_VALUE"""),12.200000000000001)</f>
        <v>12.2</v>
      </c>
    </row>
    <row r="3897">
      <c r="D3897" t="str">
        <f>IFERROR(__xludf.DUMMYFUNCTION("""COMPUTED_VALUE"""),"Njoku")</f>
        <v>Njoku</v>
      </c>
      <c r="E3897" t="str">
        <f>IFERROR(__xludf.DUMMYFUNCTION("""COMPUTED_VALUE"""),"David")</f>
        <v>David</v>
      </c>
      <c r="F3897">
        <f>IFERROR(__xludf.DUMMYFUNCTION("""COMPUTED_VALUE"""),15.600000000000001)</f>
        <v>15.6</v>
      </c>
    </row>
    <row r="3898">
      <c r="D3898" t="str">
        <f>IFERROR(__xludf.DUMMYFUNCTION("""COMPUTED_VALUE"""),"Nkemdiche")</f>
        <v>Nkemdiche</v>
      </c>
      <c r="E3898" t="str">
        <f>IFERROR(__xludf.DUMMYFUNCTION("""COMPUTED_VALUE"""),"Robert")</f>
        <v>Robert</v>
      </c>
      <c r="F3898">
        <f>IFERROR(__xludf.DUMMYFUNCTION("""COMPUTED_VALUE"""),15.200000000000001)</f>
        <v>15.2</v>
      </c>
    </row>
    <row r="3899">
      <c r="D3899" t="str">
        <f>IFERROR(__xludf.DUMMYFUNCTION("""COMPUTED_VALUE"""),"Norman")</f>
        <v>Norman</v>
      </c>
      <c r="E3899" t="str">
        <f>IFERROR(__xludf.DUMMYFUNCTION("""COMPUTED_VALUE"""),"Josh")</f>
        <v>Josh</v>
      </c>
      <c r="F3899">
        <f>IFERROR(__xludf.DUMMYFUNCTION("""COMPUTED_VALUE"""),18.0)</f>
        <v>18</v>
      </c>
    </row>
    <row r="3900">
      <c r="D3900" t="str">
        <f>IFERROR(__xludf.DUMMYFUNCTION("""COMPUTED_VALUE"""),"Norris")</f>
        <v>Norris</v>
      </c>
      <c r="E3900" t="str">
        <f>IFERROR(__xludf.DUMMYFUNCTION("""COMPUTED_VALUE"""),"Jared")</f>
        <v>Jared</v>
      </c>
      <c r="F3900">
        <f>IFERROR(__xludf.DUMMYFUNCTION("""COMPUTED_VALUE"""),12.0)</f>
        <v>12</v>
      </c>
    </row>
    <row r="3901">
      <c r="D3901" t="str">
        <f>IFERROR(__xludf.DUMMYFUNCTION("""COMPUTED_VALUE"""),"Nortman")</f>
        <v>Nortman</v>
      </c>
      <c r="E3901" t="str">
        <f>IFERROR(__xludf.DUMMYFUNCTION("""COMPUTED_VALUE"""),"Brad")</f>
        <v>Brad</v>
      </c>
      <c r="F3901">
        <f>IFERROR(__xludf.DUMMYFUNCTION("""COMPUTED_VALUE"""),15.4)</f>
        <v>15.4</v>
      </c>
    </row>
    <row r="3902">
      <c r="D3902" t="str">
        <f>IFERROR(__xludf.DUMMYFUNCTION("""COMPUTED_VALUE"""),"Norwell")</f>
        <v>Norwell</v>
      </c>
      <c r="E3902" t="str">
        <f>IFERROR(__xludf.DUMMYFUNCTION("""COMPUTED_VALUE"""),"Andrew")</f>
        <v>Andrew</v>
      </c>
      <c r="F3902">
        <f>IFERROR(__xludf.DUMMYFUNCTION("""COMPUTED_VALUE"""),16.8)</f>
        <v>16.8</v>
      </c>
    </row>
    <row r="3903">
      <c r="D3903" t="str">
        <f>IFERROR(__xludf.DUMMYFUNCTION("""COMPUTED_VALUE"""),"Norwood")</f>
        <v>Norwood</v>
      </c>
      <c r="E3903" t="str">
        <f>IFERROR(__xludf.DUMMYFUNCTION("""COMPUTED_VALUE"""),"Kevin")</f>
        <v>Kevin</v>
      </c>
      <c r="F3903">
        <f>IFERROR(__xludf.DUMMYFUNCTION("""COMPUTED_VALUE"""),13.600000000000001)</f>
        <v>13.6</v>
      </c>
    </row>
    <row r="3904">
      <c r="D3904" t="str">
        <f>IFERROR(__xludf.DUMMYFUNCTION("""COMPUTED_VALUE"""),"Novak")</f>
        <v>Novak</v>
      </c>
      <c r="E3904" t="str">
        <f>IFERROR(__xludf.DUMMYFUNCTION("""COMPUTED_VALUE"""),"Nick")</f>
        <v>Nick</v>
      </c>
      <c r="F3904">
        <f>IFERROR(__xludf.DUMMYFUNCTION("""COMPUTED_VALUE"""),15.8)</f>
        <v>15.8</v>
      </c>
    </row>
    <row r="3905">
      <c r="D3905" t="str">
        <f>IFERROR(__xludf.DUMMYFUNCTION("""COMPUTED_VALUE"""),"Nsekhe")</f>
        <v>Nsekhe</v>
      </c>
      <c r="E3905" t="str">
        <f>IFERROR(__xludf.DUMMYFUNCTION("""COMPUTED_VALUE"""),"Ty")</f>
        <v>Ty</v>
      </c>
      <c r="F3905">
        <f>IFERROR(__xludf.DUMMYFUNCTION("""COMPUTED_VALUE"""),14.8)</f>
        <v>14.8</v>
      </c>
    </row>
    <row r="3906">
      <c r="D3906" t="str">
        <f>IFERROR(__xludf.DUMMYFUNCTION("""COMPUTED_VALUE"""),"Nunez-Roches")</f>
        <v>Nunez-Roches</v>
      </c>
      <c r="E3906" t="str">
        <f>IFERROR(__xludf.DUMMYFUNCTION("""COMPUTED_VALUE"""),"Rakeem")</f>
        <v>Rakeem</v>
      </c>
      <c r="F3906">
        <f>IFERROR(__xludf.DUMMYFUNCTION("""COMPUTED_VALUE"""),13.0)</f>
        <v>13</v>
      </c>
    </row>
    <row r="3907">
      <c r="D3907" t="str">
        <f>IFERROR(__xludf.DUMMYFUNCTION("""COMPUTED_VALUE"""),"Nwachukwu")</f>
        <v>Nwachukwu</v>
      </c>
      <c r="E3907" t="str">
        <f>IFERROR(__xludf.DUMMYFUNCTION("""COMPUTED_VALUE"""),"Noble")</f>
        <v>Noble</v>
      </c>
      <c r="F3907">
        <f>IFERROR(__xludf.DUMMYFUNCTION("""COMPUTED_VALUE"""),12.4)</f>
        <v>12.4</v>
      </c>
    </row>
    <row r="3908">
      <c r="D3908" t="str">
        <f>IFERROR(__xludf.DUMMYFUNCTION("""COMPUTED_VALUE"""),"Nwachukwu")</f>
        <v>Nwachukwu</v>
      </c>
      <c r="E3908" t="str">
        <f>IFERROR(__xludf.DUMMYFUNCTION("""COMPUTED_VALUE"""),"Uzoma")</f>
        <v>Uzoma</v>
      </c>
      <c r="F3908">
        <f>IFERROR(__xludf.DUMMYFUNCTION("""COMPUTED_VALUE"""),12.8)</f>
        <v>12.8</v>
      </c>
    </row>
    <row r="3909">
      <c r="D3909" t="str">
        <f>IFERROR(__xludf.DUMMYFUNCTION("""COMPUTED_VALUE"""),"Nzeocha")</f>
        <v>Nzeocha</v>
      </c>
      <c r="E3909" t="str">
        <f>IFERROR(__xludf.DUMMYFUNCTION("""COMPUTED_VALUE"""),"Mark")</f>
        <v>Mark</v>
      </c>
      <c r="F3909">
        <f>IFERROR(__xludf.DUMMYFUNCTION("""COMPUTED_VALUE"""),12.8)</f>
        <v>12.8</v>
      </c>
    </row>
    <row r="3910">
      <c r="D3910" t="str">
        <f>IFERROR(__xludf.DUMMYFUNCTION("""COMPUTED_VALUE"""),"Ochi")</f>
        <v>Ochi</v>
      </c>
      <c r="E3910" t="str">
        <f>IFERROR(__xludf.DUMMYFUNCTION("""COMPUTED_VALUE"""),"Victor")</f>
        <v>Victor</v>
      </c>
      <c r="F3910">
        <f>IFERROR(__xludf.DUMMYFUNCTION("""COMPUTED_VALUE"""),12.200000000000001)</f>
        <v>12.2</v>
      </c>
    </row>
    <row r="3911">
      <c r="D3911" t="str">
        <f>IFERROR(__xludf.DUMMYFUNCTION("""COMPUTED_VALUE"""),"OConnor")</f>
        <v>OConnor</v>
      </c>
      <c r="E3911" t="str">
        <f>IFERROR(__xludf.DUMMYFUNCTION("""COMPUTED_VALUE"""),"Pat")</f>
        <v>Pat</v>
      </c>
      <c r="F3911">
        <f>IFERROR(__xludf.DUMMYFUNCTION("""COMPUTED_VALUE"""),12.8)</f>
        <v>12.8</v>
      </c>
    </row>
    <row r="3912">
      <c r="D3912" t="str">
        <f>IFERROR(__xludf.DUMMYFUNCTION("""COMPUTED_VALUE"""),"Odenigbo")</f>
        <v>Odenigbo</v>
      </c>
      <c r="E3912" t="str">
        <f>IFERROR(__xludf.DUMMYFUNCTION("""COMPUTED_VALUE"""),"Ifeadi")</f>
        <v>Ifeadi</v>
      </c>
      <c r="F3912">
        <f>IFERROR(__xludf.DUMMYFUNCTION("""COMPUTED_VALUE"""),13.0)</f>
        <v>13</v>
      </c>
    </row>
    <row r="3913">
      <c r="D3913" t="str">
        <f>IFERROR(__xludf.DUMMYFUNCTION("""COMPUTED_VALUE"""),"Odhiambo")</f>
        <v>Odhiambo</v>
      </c>
      <c r="E3913" t="str">
        <f>IFERROR(__xludf.DUMMYFUNCTION("""COMPUTED_VALUE"""),"Rees")</f>
        <v>Rees</v>
      </c>
      <c r="F3913">
        <f>IFERROR(__xludf.DUMMYFUNCTION("""COMPUTED_VALUE"""),13.200000000000001)</f>
        <v>13.2</v>
      </c>
    </row>
    <row r="3914">
      <c r="D3914" t="str">
        <f>IFERROR(__xludf.DUMMYFUNCTION("""COMPUTED_VALUE"""),"Odighizuwa")</f>
        <v>Odighizuwa</v>
      </c>
      <c r="E3914" t="str">
        <f>IFERROR(__xludf.DUMMYFUNCTION("""COMPUTED_VALUE"""),"Owa")</f>
        <v>Owa</v>
      </c>
      <c r="F3914">
        <f>IFERROR(__xludf.DUMMYFUNCTION("""COMPUTED_VALUE"""),13.4)</f>
        <v>13.4</v>
      </c>
    </row>
    <row r="3915">
      <c r="D3915" t="str">
        <f>IFERROR(__xludf.DUMMYFUNCTION("""COMPUTED_VALUE"""),"Odom")</f>
        <v>Odom</v>
      </c>
      <c r="E3915" t="str">
        <f>IFERROR(__xludf.DUMMYFUNCTION("""COMPUTED_VALUE"""),"Chris")</f>
        <v>Chris</v>
      </c>
      <c r="F3915">
        <f>IFERROR(__xludf.DUMMYFUNCTION("""COMPUTED_VALUE"""),12.4)</f>
        <v>12.4</v>
      </c>
    </row>
    <row r="3916">
      <c r="D3916" t="str">
        <f>IFERROR(__xludf.DUMMYFUNCTION("""COMPUTED_VALUE"""),"ODonnell")</f>
        <v>ODonnell</v>
      </c>
      <c r="E3916" t="str">
        <f>IFERROR(__xludf.DUMMYFUNCTION("""COMPUTED_VALUE"""),"Pat")</f>
        <v>Pat</v>
      </c>
      <c r="F3916">
        <f>IFERROR(__xludf.DUMMYFUNCTION("""COMPUTED_VALUE"""),15.8)</f>
        <v>15.8</v>
      </c>
    </row>
    <row r="3917">
      <c r="D3917" t="str">
        <f>IFERROR(__xludf.DUMMYFUNCTION("""COMPUTED_VALUE"""),"Ogbah")</f>
        <v>Ogbah</v>
      </c>
      <c r="E3917" t="str">
        <f>IFERROR(__xludf.DUMMYFUNCTION("""COMPUTED_VALUE"""),"Emmanuel")</f>
        <v>Emmanuel</v>
      </c>
      <c r="F3917">
        <f>IFERROR(__xludf.DUMMYFUNCTION("""COMPUTED_VALUE"""),14.8)</f>
        <v>14.8</v>
      </c>
    </row>
    <row r="3918">
      <c r="D3918" t="str">
        <f>IFERROR(__xludf.DUMMYFUNCTION("""COMPUTED_VALUE"""),"Ogbuehi")</f>
        <v>Ogbuehi</v>
      </c>
      <c r="E3918" t="str">
        <f>IFERROR(__xludf.DUMMYFUNCTION("""COMPUTED_VALUE"""),"Cedric")</f>
        <v>Cedric</v>
      </c>
      <c r="F3918">
        <f>IFERROR(__xludf.DUMMYFUNCTION("""COMPUTED_VALUE"""),14.4)</f>
        <v>14.4</v>
      </c>
    </row>
    <row r="3919">
      <c r="D3919" t="str">
        <f>IFERROR(__xludf.DUMMYFUNCTION("""COMPUTED_VALUE"""),"Ogletree")</f>
        <v>Ogletree</v>
      </c>
      <c r="E3919" t="str">
        <f>IFERROR(__xludf.DUMMYFUNCTION("""COMPUTED_VALUE"""),"Alec")</f>
        <v>Alec</v>
      </c>
      <c r="F3919">
        <f>IFERROR(__xludf.DUMMYFUNCTION("""COMPUTED_VALUE"""),15.4)</f>
        <v>15.4</v>
      </c>
    </row>
    <row r="3920">
      <c r="D3920" t="str">
        <f>IFERROR(__xludf.DUMMYFUNCTION("""COMPUTED_VALUE"""),"Ogunbowale")</f>
        <v>Ogunbowale</v>
      </c>
      <c r="E3920" t="str">
        <f>IFERROR(__xludf.DUMMYFUNCTION("""COMPUTED_VALUE"""),"Dare")</f>
        <v>Dare</v>
      </c>
      <c r="F3920">
        <f>IFERROR(__xludf.DUMMYFUNCTION("""COMPUTED_VALUE"""),13.0)</f>
        <v>13</v>
      </c>
    </row>
    <row r="3921">
      <c r="D3921" t="str">
        <f>IFERROR(__xludf.DUMMYFUNCTION("""COMPUTED_VALUE"""),"Ogunjobi")</f>
        <v>Ogunjobi</v>
      </c>
      <c r="E3921" t="str">
        <f>IFERROR(__xludf.DUMMYFUNCTION("""COMPUTED_VALUE"""),"Larry")</f>
        <v>Larry</v>
      </c>
      <c r="F3921">
        <f>IFERROR(__xludf.DUMMYFUNCTION("""COMPUTED_VALUE"""),13.8)</f>
        <v>13.8</v>
      </c>
    </row>
    <row r="3922">
      <c r="D3922" t="str">
        <f>IFERROR(__xludf.DUMMYFUNCTION("""COMPUTED_VALUE"""),"Oher")</f>
        <v>Oher</v>
      </c>
      <c r="E3922" t="str">
        <f>IFERROR(__xludf.DUMMYFUNCTION("""COMPUTED_VALUE"""),"Michael")</f>
        <v>Michael</v>
      </c>
      <c r="F3922">
        <f>IFERROR(__xludf.DUMMYFUNCTION("""COMPUTED_VALUE"""),14.8)</f>
        <v>14.8</v>
      </c>
    </row>
    <row r="3923">
      <c r="D3923" t="str">
        <f>IFERROR(__xludf.DUMMYFUNCTION("""COMPUTED_VALUE"""),"Okafor")</f>
        <v>Okafor</v>
      </c>
      <c r="E3923" t="str">
        <f>IFERROR(__xludf.DUMMYFUNCTION("""COMPUTED_VALUE"""),"Alex")</f>
        <v>Alex</v>
      </c>
      <c r="F3923">
        <f>IFERROR(__xludf.DUMMYFUNCTION("""COMPUTED_VALUE"""),14.4)</f>
        <v>14.4</v>
      </c>
    </row>
    <row r="3924">
      <c r="D3924" t="str">
        <f>IFERROR(__xludf.DUMMYFUNCTION("""COMPUTED_VALUE"""),"Okine")</f>
        <v>Okine</v>
      </c>
      <c r="E3924" t="str">
        <f>IFERROR(__xludf.DUMMYFUNCTION("""COMPUTED_VALUE"""),"Earl")</f>
        <v>Earl</v>
      </c>
      <c r="F3924">
        <f>IFERROR(__xludf.DUMMYFUNCTION("""COMPUTED_VALUE"""),11.4)</f>
        <v>11.4</v>
      </c>
    </row>
    <row r="3925">
      <c r="D3925" t="str">
        <f>IFERROR(__xludf.DUMMYFUNCTION("""COMPUTED_VALUE"""),"Okoye")</f>
        <v>Okoye</v>
      </c>
      <c r="E3925" t="str">
        <f>IFERROR(__xludf.DUMMYFUNCTION("""COMPUTED_VALUE"""),"Lawrence")</f>
        <v>Lawrence</v>
      </c>
      <c r="F3925">
        <f>IFERROR(__xludf.DUMMYFUNCTION("""COMPUTED_VALUE"""),11.200000000000001)</f>
        <v>11.2</v>
      </c>
    </row>
    <row r="3926">
      <c r="D3926" t="str">
        <f>IFERROR(__xludf.DUMMYFUNCTION("""COMPUTED_VALUE"""),"Okung")</f>
        <v>Okung</v>
      </c>
      <c r="E3926" t="str">
        <f>IFERROR(__xludf.DUMMYFUNCTION("""COMPUTED_VALUE"""),"Russell")</f>
        <v>Russell</v>
      </c>
      <c r="F3926">
        <f>IFERROR(__xludf.DUMMYFUNCTION("""COMPUTED_VALUE"""),14.600000000000001)</f>
        <v>14.6</v>
      </c>
    </row>
    <row r="3927">
      <c r="D3927" t="str">
        <f>IFERROR(__xludf.DUMMYFUNCTION("""COMPUTED_VALUE"""),"Okwara")</f>
        <v>Okwara</v>
      </c>
      <c r="E3927" t="str">
        <f>IFERROR(__xludf.DUMMYFUNCTION("""COMPUTED_VALUE"""),"Romeo")</f>
        <v>Romeo</v>
      </c>
      <c r="F3927">
        <f>IFERROR(__xludf.DUMMYFUNCTION("""COMPUTED_VALUE"""),14.0)</f>
        <v>14</v>
      </c>
    </row>
    <row r="3928">
      <c r="D3928" t="str">
        <f>IFERROR(__xludf.DUMMYFUNCTION("""COMPUTED_VALUE"""),"Ola")</f>
        <v>Ola</v>
      </c>
      <c r="E3928" t="str">
        <f>IFERROR(__xludf.DUMMYFUNCTION("""COMPUTED_VALUE"""),"Michael")</f>
        <v>Michael</v>
      </c>
      <c r="F3928">
        <f>IFERROR(__xludf.DUMMYFUNCTION("""COMPUTED_VALUE"""),13.4)</f>
        <v>13.4</v>
      </c>
    </row>
    <row r="3929">
      <c r="D3929" t="str">
        <f>IFERROR(__xludf.DUMMYFUNCTION("""COMPUTED_VALUE"""),"Olatoye")</f>
        <v>Olatoye</v>
      </c>
      <c r="E3929" t="str">
        <f>IFERROR(__xludf.DUMMYFUNCTION("""COMPUTED_VALUE"""),"Deji")</f>
        <v>Deji</v>
      </c>
      <c r="F3929">
        <f>IFERROR(__xludf.DUMMYFUNCTION("""COMPUTED_VALUE"""),13.200000000000001)</f>
        <v>13.2</v>
      </c>
    </row>
    <row r="3930">
      <c r="D3930" t="str">
        <f>IFERROR(__xludf.DUMMYFUNCTION("""COMPUTED_VALUE"""),"Olawale")</f>
        <v>Olawale</v>
      </c>
      <c r="E3930" t="str">
        <f>IFERROR(__xludf.DUMMYFUNCTION("""COMPUTED_VALUE"""),"Jamize")</f>
        <v>Jamize</v>
      </c>
      <c r="F3930">
        <f>IFERROR(__xludf.DUMMYFUNCTION("""COMPUTED_VALUE"""),14.4)</f>
        <v>14.4</v>
      </c>
    </row>
    <row r="3931">
      <c r="D3931" t="str">
        <f>IFERROR(__xludf.DUMMYFUNCTION("""COMPUTED_VALUE"""),"OLeary")</f>
        <v>OLeary</v>
      </c>
      <c r="E3931" t="str">
        <f>IFERROR(__xludf.DUMMYFUNCTION("""COMPUTED_VALUE"""),"Nick")</f>
        <v>Nick</v>
      </c>
      <c r="F3931">
        <f>IFERROR(__xludf.DUMMYFUNCTION("""COMPUTED_VALUE"""),15.200000000000001)</f>
        <v>15.2</v>
      </c>
    </row>
    <row r="3932">
      <c r="D3932" t="str">
        <f>IFERROR(__xludf.DUMMYFUNCTION("""COMPUTED_VALUE"""),"Oliver")</f>
        <v>Oliver</v>
      </c>
      <c r="E3932" t="str">
        <f>IFERROR(__xludf.DUMMYFUNCTION("""COMPUTED_VALUE"""),"Branden")</f>
        <v>Branden</v>
      </c>
      <c r="F3932">
        <f>IFERROR(__xludf.DUMMYFUNCTION("""COMPUTED_VALUE"""),15.8)</f>
        <v>15.8</v>
      </c>
    </row>
    <row r="3933">
      <c r="D3933" t="str">
        <f>IFERROR(__xludf.DUMMYFUNCTION("""COMPUTED_VALUE"""),"Olsen")</f>
        <v>Olsen</v>
      </c>
      <c r="E3933" t="str">
        <f>IFERROR(__xludf.DUMMYFUNCTION("""COMPUTED_VALUE"""),"Greg")</f>
        <v>Greg</v>
      </c>
      <c r="F3933">
        <f>IFERROR(__xludf.DUMMYFUNCTION("""COMPUTED_VALUE"""),18.400000000000002)</f>
        <v>18.4</v>
      </c>
    </row>
    <row r="3934">
      <c r="D3934" t="str">
        <f>IFERROR(__xludf.DUMMYFUNCTION("""COMPUTED_VALUE"""),"OMalley")</f>
        <v>OMalley</v>
      </c>
      <c r="E3934" t="str">
        <f>IFERROR(__xludf.DUMMYFUNCTION("""COMPUTED_VALUE"""),"Ryan")</f>
        <v>Ryan</v>
      </c>
      <c r="F3934">
        <f>IFERROR(__xludf.DUMMYFUNCTION("""COMPUTED_VALUE"""),13.4)</f>
        <v>13.4</v>
      </c>
    </row>
    <row r="3935">
      <c r="D3935" t="str">
        <f>IFERROR(__xludf.DUMMYFUNCTION("""COMPUTED_VALUE"""),"Omameh")</f>
        <v>Omameh</v>
      </c>
      <c r="E3935" t="str">
        <f>IFERROR(__xludf.DUMMYFUNCTION("""COMPUTED_VALUE"""),"Patrick")</f>
        <v>Patrick</v>
      </c>
      <c r="F3935">
        <f>IFERROR(__xludf.DUMMYFUNCTION("""COMPUTED_VALUE"""),15.200000000000001)</f>
        <v>15.2</v>
      </c>
    </row>
    <row r="3936">
      <c r="D3936" t="str">
        <f>IFERROR(__xludf.DUMMYFUNCTION("""COMPUTED_VALUE"""),"Onwuasor")</f>
        <v>Onwuasor</v>
      </c>
      <c r="E3936" t="str">
        <f>IFERROR(__xludf.DUMMYFUNCTION("""COMPUTED_VALUE"""),"Patrick")</f>
        <v>Patrick</v>
      </c>
      <c r="F3936">
        <f>IFERROR(__xludf.DUMMYFUNCTION("""COMPUTED_VALUE"""),12.0)</f>
        <v>12</v>
      </c>
    </row>
    <row r="3937">
      <c r="D3937" t="str">
        <f>IFERROR(__xludf.DUMMYFUNCTION("""COMPUTED_VALUE"""),"Onyemata")</f>
        <v>Onyemata</v>
      </c>
      <c r="E3937" t="str">
        <f>IFERROR(__xludf.DUMMYFUNCTION("""COMPUTED_VALUE"""),"David")</f>
        <v>David</v>
      </c>
      <c r="F3937">
        <f>IFERROR(__xludf.DUMMYFUNCTION("""COMPUTED_VALUE"""),14.4)</f>
        <v>14.4</v>
      </c>
    </row>
    <row r="3938">
      <c r="D3938" t="str">
        <f>IFERROR(__xludf.DUMMYFUNCTION("""COMPUTED_VALUE"""),"Orakpo")</f>
        <v>Orakpo</v>
      </c>
      <c r="E3938" t="str">
        <f>IFERROR(__xludf.DUMMYFUNCTION("""COMPUTED_VALUE"""),"Brian")</f>
        <v>Brian</v>
      </c>
      <c r="F3938">
        <f>IFERROR(__xludf.DUMMYFUNCTION("""COMPUTED_VALUE"""),17.0)</f>
        <v>17</v>
      </c>
    </row>
    <row r="3939">
      <c r="D3939" t="str">
        <f>IFERROR(__xludf.DUMMYFUNCTION("""COMPUTED_VALUE"""),"Orchard")</f>
        <v>Orchard</v>
      </c>
      <c r="E3939" t="str">
        <f>IFERROR(__xludf.DUMMYFUNCTION("""COMPUTED_VALUE"""),"Nate")</f>
        <v>Nate</v>
      </c>
      <c r="F3939">
        <f>IFERROR(__xludf.DUMMYFUNCTION("""COMPUTED_VALUE"""),13.8)</f>
        <v>13.8</v>
      </c>
    </row>
    <row r="3940">
      <c r="D3940" t="str">
        <f>IFERROR(__xludf.DUMMYFUNCTION("""COMPUTED_VALUE"""),"Orndoff")</f>
        <v>Orndoff</v>
      </c>
      <c r="E3940" t="str">
        <f>IFERROR(__xludf.DUMMYFUNCTION("""COMPUTED_VALUE"""),"Scott")</f>
        <v>Scott</v>
      </c>
      <c r="F3940">
        <f>IFERROR(__xludf.DUMMYFUNCTION("""COMPUTED_VALUE"""),13.0)</f>
        <v>13</v>
      </c>
    </row>
    <row r="3941">
      <c r="D3941" t="str">
        <f>IFERROR(__xludf.DUMMYFUNCTION("""COMPUTED_VALUE"""),"Ortiz")</f>
        <v>Ortiz</v>
      </c>
      <c r="E3941" t="str">
        <f>IFERROR(__xludf.DUMMYFUNCTION("""COMPUTED_VALUE"""),"Ricky")</f>
        <v>Ricky</v>
      </c>
      <c r="F3941">
        <f>IFERROR(__xludf.DUMMYFUNCTION("""COMPUTED_VALUE"""),13.8)</f>
        <v>13.8</v>
      </c>
    </row>
    <row r="3942">
      <c r="D3942" t="str">
        <f>IFERROR(__xludf.DUMMYFUNCTION("""COMPUTED_VALUE"""),"Osemele")</f>
        <v>Osemele</v>
      </c>
      <c r="E3942" t="str">
        <f>IFERROR(__xludf.DUMMYFUNCTION("""COMPUTED_VALUE"""),"Kelechi")</f>
        <v>Kelechi</v>
      </c>
      <c r="F3942">
        <f>IFERROR(__xludf.DUMMYFUNCTION("""COMPUTED_VALUE"""),18.400000000000002)</f>
        <v>18.4</v>
      </c>
    </row>
    <row r="3943">
      <c r="D3943" t="str">
        <f>IFERROR(__xludf.DUMMYFUNCTION("""COMPUTED_VALUE"""),"OShaughnessy")</f>
        <v>OShaughnessy</v>
      </c>
      <c r="E3943" t="str">
        <f>IFERROR(__xludf.DUMMYFUNCTION("""COMPUTED_VALUE"""),"James")</f>
        <v>James</v>
      </c>
      <c r="F3943">
        <f>IFERROR(__xludf.DUMMYFUNCTION("""COMPUTED_VALUE"""),13.4)</f>
        <v>13.4</v>
      </c>
    </row>
    <row r="3944">
      <c r="D3944" t="str">
        <f>IFERROR(__xludf.DUMMYFUNCTION("""COMPUTED_VALUE"""),"Osweiler")</f>
        <v>Osweiler</v>
      </c>
      <c r="E3944" t="str">
        <f>IFERROR(__xludf.DUMMYFUNCTION("""COMPUTED_VALUE"""),"Brock")</f>
        <v>Brock</v>
      </c>
      <c r="F3944">
        <f>IFERROR(__xludf.DUMMYFUNCTION("""COMPUTED_VALUE"""),15.0)</f>
        <v>15</v>
      </c>
    </row>
    <row r="3945">
      <c r="D3945" t="str">
        <f>IFERROR(__xludf.DUMMYFUNCTION("""COMPUTED_VALUE"""),"Ott")</f>
        <v>Ott</v>
      </c>
      <c r="E3945" t="str">
        <f>IFERROR(__xludf.DUMMYFUNCTION("""COMPUTED_VALUE"""),"Tyler")</f>
        <v>Tyler</v>
      </c>
      <c r="F3945">
        <f>IFERROR(__xludf.DUMMYFUNCTION("""COMPUTED_VALUE"""),9.4)</f>
        <v>9.4</v>
      </c>
    </row>
    <row r="3946">
      <c r="D3946" t="str">
        <f>IFERROR(__xludf.DUMMYFUNCTION("""COMPUTED_VALUE"""),"Paea")</f>
        <v>Paea</v>
      </c>
      <c r="E3946" t="str">
        <f>IFERROR(__xludf.DUMMYFUNCTION("""COMPUTED_VALUE"""),"Stephen")</f>
        <v>Stephen</v>
      </c>
      <c r="F3946">
        <f>IFERROR(__xludf.DUMMYFUNCTION("""COMPUTED_VALUE"""),15.8)</f>
        <v>15.8</v>
      </c>
    </row>
    <row r="3947">
      <c r="D3947" t="str">
        <f>IFERROR(__xludf.DUMMYFUNCTION("""COMPUTED_VALUE"""),"Painter")</f>
        <v>Painter</v>
      </c>
      <c r="E3947" t="str">
        <f>IFERROR(__xludf.DUMMYFUNCTION("""COMPUTED_VALUE"""),"Vinston")</f>
        <v>Vinston</v>
      </c>
      <c r="F3947">
        <f>IFERROR(__xludf.DUMMYFUNCTION("""COMPUTED_VALUE"""),13.200000000000001)</f>
        <v>13.2</v>
      </c>
    </row>
    <row r="3948">
      <c r="D3948" t="str">
        <f>IFERROR(__xludf.DUMMYFUNCTION("""COMPUTED_VALUE"""),"Palardy")</f>
        <v>Palardy</v>
      </c>
      <c r="E3948" t="str">
        <f>IFERROR(__xludf.DUMMYFUNCTION("""COMPUTED_VALUE"""),"Michael")</f>
        <v>Michael</v>
      </c>
      <c r="F3948">
        <f>IFERROR(__xludf.DUMMYFUNCTION("""COMPUTED_VALUE"""),14.8)</f>
        <v>14.8</v>
      </c>
    </row>
    <row r="3949">
      <c r="D3949" t="str">
        <f>IFERROR(__xludf.DUMMYFUNCTION("""COMPUTED_VALUE"""),"Palepoi")</f>
        <v>Palepoi</v>
      </c>
      <c r="E3949" t="str">
        <f>IFERROR(__xludf.DUMMYFUNCTION("""COMPUTED_VALUE"""),"Tenny")</f>
        <v>Tenny</v>
      </c>
      <c r="F3949">
        <f>IFERROR(__xludf.DUMMYFUNCTION("""COMPUTED_VALUE"""),13.600000000000001)</f>
        <v>13.6</v>
      </c>
    </row>
    <row r="3950">
      <c r="D3950" t="str">
        <f>IFERROR(__xludf.DUMMYFUNCTION("""COMPUTED_VALUE"""),"Palmer")</f>
        <v>Palmer</v>
      </c>
      <c r="E3950" t="str">
        <f>IFERROR(__xludf.DUMMYFUNCTION("""COMPUTED_VALUE"""),"Carson")</f>
        <v>Carson</v>
      </c>
      <c r="F3950">
        <f>IFERROR(__xludf.DUMMYFUNCTION("""COMPUTED_VALUE"""),16.6)</f>
        <v>16.6</v>
      </c>
    </row>
    <row r="3951">
      <c r="D3951" t="str">
        <f>IFERROR(__xludf.DUMMYFUNCTION("""COMPUTED_VALUE"""),"Palmer")</f>
        <v>Palmer</v>
      </c>
      <c r="E3951" t="str">
        <f>IFERROR(__xludf.DUMMYFUNCTION("""COMPUTED_VALUE"""),"Nate")</f>
        <v>Nate</v>
      </c>
      <c r="F3951">
        <f>IFERROR(__xludf.DUMMYFUNCTION("""COMPUTED_VALUE"""),13.200000000000001)</f>
        <v>13.2</v>
      </c>
    </row>
    <row r="3952">
      <c r="D3952" t="str">
        <f>IFERROR(__xludf.DUMMYFUNCTION("""COMPUTED_VALUE"""),"Pamphile")</f>
        <v>Pamphile</v>
      </c>
      <c r="E3952" t="str">
        <f>IFERROR(__xludf.DUMMYFUNCTION("""COMPUTED_VALUE"""),"Kevin")</f>
        <v>Kevin</v>
      </c>
      <c r="F3952">
        <f>IFERROR(__xludf.DUMMYFUNCTION("""COMPUTED_VALUE"""),14.0)</f>
        <v>14</v>
      </c>
    </row>
    <row r="3953">
      <c r="D3953" t="str">
        <f>IFERROR(__xludf.DUMMYFUNCTION("""COMPUTED_VALUE"""),"Pankey")</f>
        <v>Pankey</v>
      </c>
      <c r="E3953" t="str">
        <f>IFERROR(__xludf.DUMMYFUNCTION("""COMPUTED_VALUE"""),"Adam")</f>
        <v>Adam</v>
      </c>
      <c r="F3953">
        <f>IFERROR(__xludf.DUMMYFUNCTION("""COMPUTED_VALUE"""),12.200000000000001)</f>
        <v>12.2</v>
      </c>
    </row>
    <row r="3954">
      <c r="D3954" t="str">
        <f>IFERROR(__xludf.DUMMYFUNCTION("""COMPUTED_VALUE"""),"Pantale")</f>
        <v>Pantale</v>
      </c>
      <c r="E3954" t="str">
        <f>IFERROR(__xludf.DUMMYFUNCTION("""COMPUTED_VALUE"""),"Chris")</f>
        <v>Chris</v>
      </c>
      <c r="F3954">
        <f>IFERROR(__xludf.DUMMYFUNCTION("""COMPUTED_VALUE"""),12.600000000000001)</f>
        <v>12.6</v>
      </c>
    </row>
    <row r="3955">
      <c r="D3955" t="str">
        <f>IFERROR(__xludf.DUMMYFUNCTION("""COMPUTED_VALUE"""),"Paradis")</f>
        <v>Paradis</v>
      </c>
      <c r="E3955" t="str">
        <f>IFERROR(__xludf.DUMMYFUNCTION("""COMPUTED_VALUE"""),"Matt")</f>
        <v>Matt</v>
      </c>
      <c r="F3955">
        <f>IFERROR(__xludf.DUMMYFUNCTION("""COMPUTED_VALUE"""),17.6)</f>
        <v>17.6</v>
      </c>
    </row>
    <row r="3956">
      <c r="D3956" t="str">
        <f>IFERROR(__xludf.DUMMYFUNCTION("""COMPUTED_VALUE"""),"Parker")</f>
        <v>Parker</v>
      </c>
      <c r="E3956" t="str">
        <f>IFERROR(__xludf.DUMMYFUNCTION("""COMPUTED_VALUE"""),"Brian")</f>
        <v>Brian</v>
      </c>
      <c r="F3956">
        <f>IFERROR(__xludf.DUMMYFUNCTION("""COMPUTED_VALUE"""),13.0)</f>
        <v>13</v>
      </c>
    </row>
    <row r="3957">
      <c r="D3957" t="str">
        <f>IFERROR(__xludf.DUMMYFUNCTION("""COMPUTED_VALUE"""),"Parker")</f>
        <v>Parker</v>
      </c>
      <c r="E3957" t="str">
        <f>IFERROR(__xludf.DUMMYFUNCTION("""COMPUTED_VALUE"""),"DeVante")</f>
        <v>DeVante</v>
      </c>
      <c r="F3957">
        <f>IFERROR(__xludf.DUMMYFUNCTION("""COMPUTED_VALUE"""),16.2)</f>
        <v>16.2</v>
      </c>
    </row>
    <row r="3958">
      <c r="D3958" t="str">
        <f>IFERROR(__xludf.DUMMYFUNCTION("""COMPUTED_VALUE"""),"Parker")</f>
        <v>Parker</v>
      </c>
      <c r="E3958" t="str">
        <f>IFERROR(__xludf.DUMMYFUNCTION("""COMPUTED_VALUE"""),"Ron")</f>
        <v>Ron</v>
      </c>
      <c r="F3958">
        <f>IFERROR(__xludf.DUMMYFUNCTION("""COMPUTED_VALUE"""),17.0)</f>
        <v>17</v>
      </c>
    </row>
    <row r="3959">
      <c r="D3959" t="str">
        <f>IFERROR(__xludf.DUMMYFUNCTION("""COMPUTED_VALUE"""),"Parkey")</f>
        <v>Parkey</v>
      </c>
      <c r="E3959" t="str">
        <f>IFERROR(__xludf.DUMMYFUNCTION("""COMPUTED_VALUE"""),"Cody")</f>
        <v>Cody</v>
      </c>
      <c r="F3959">
        <f>IFERROR(__xludf.DUMMYFUNCTION("""COMPUTED_VALUE"""),14.8)</f>
        <v>14.8</v>
      </c>
    </row>
    <row r="3960">
      <c r="D3960" t="str">
        <f>IFERROR(__xludf.DUMMYFUNCTION("""COMPUTED_VALUE"""),"Parks")</f>
        <v>Parks</v>
      </c>
      <c r="E3960" t="str">
        <f>IFERROR(__xludf.DUMMYFUNCTION("""COMPUTED_VALUE"""),"Will")</f>
        <v>Will</v>
      </c>
      <c r="F3960">
        <f>IFERROR(__xludf.DUMMYFUNCTION("""COMPUTED_VALUE"""),13.8)</f>
        <v>13.8</v>
      </c>
    </row>
    <row r="3961">
      <c r="D3961" t="str">
        <f>IFERROR(__xludf.DUMMYFUNCTION("""COMPUTED_VALUE"""),"Parnell")</f>
        <v>Parnell</v>
      </c>
      <c r="E3961" t="str">
        <f>IFERROR(__xludf.DUMMYFUNCTION("""COMPUTED_VALUE"""),"Jermey")</f>
        <v>Jermey</v>
      </c>
      <c r="F3961">
        <f>IFERROR(__xludf.DUMMYFUNCTION("""COMPUTED_VALUE"""),15.4)</f>
        <v>15.4</v>
      </c>
    </row>
    <row r="3962">
      <c r="D3962" t="str">
        <f>IFERROR(__xludf.DUMMYFUNCTION("""COMPUTED_VALUE"""),"Parry")</f>
        <v>Parry</v>
      </c>
      <c r="E3962" t="str">
        <f>IFERROR(__xludf.DUMMYFUNCTION("""COMPUTED_VALUE"""),"David")</f>
        <v>David</v>
      </c>
      <c r="F3962">
        <f>IFERROR(__xludf.DUMMYFUNCTION("""COMPUTED_VALUE"""),14.0)</f>
        <v>14</v>
      </c>
    </row>
    <row r="3963">
      <c r="D3963" t="str">
        <f>IFERROR(__xludf.DUMMYFUNCTION("""COMPUTED_VALUE"""),"Patmon")</f>
        <v>Patmon</v>
      </c>
      <c r="E3963" t="str">
        <f>IFERROR(__xludf.DUMMYFUNCTION("""COMPUTED_VALUE"""),"Tyler")</f>
        <v>Tyler</v>
      </c>
      <c r="F3963">
        <f>IFERROR(__xludf.DUMMYFUNCTION("""COMPUTED_VALUE"""),13.8)</f>
        <v>13.8</v>
      </c>
    </row>
    <row r="3964">
      <c r="D3964" t="str">
        <f>IFERROR(__xludf.DUMMYFUNCTION("""COMPUTED_VALUE"""),"Patrick")</f>
        <v>Patrick</v>
      </c>
      <c r="E3964" t="str">
        <f>IFERROR(__xludf.DUMMYFUNCTION("""COMPUTED_VALUE"""),"Ronald")</f>
        <v>Ronald</v>
      </c>
      <c r="F3964">
        <f>IFERROR(__xludf.DUMMYFUNCTION("""COMPUTED_VALUE"""),12.4)</f>
        <v>12.4</v>
      </c>
    </row>
    <row r="3965">
      <c r="D3965" t="str">
        <f>IFERROR(__xludf.DUMMYFUNCTION("""COMPUTED_VALUE"""),"Patrick")</f>
        <v>Patrick</v>
      </c>
      <c r="E3965" t="str">
        <f>IFERROR(__xludf.DUMMYFUNCTION("""COMPUTED_VALUE"""),"Tim")</f>
        <v>Tim</v>
      </c>
      <c r="F3965">
        <f>IFERROR(__xludf.DUMMYFUNCTION("""COMPUTED_VALUE"""),12.600000000000001)</f>
        <v>12.6</v>
      </c>
    </row>
    <row r="3966">
      <c r="D3966" t="str">
        <f>IFERROR(__xludf.DUMMYFUNCTION("""COMPUTED_VALUE"""),"Patterson")</f>
        <v>Patterson</v>
      </c>
      <c r="E3966" t="str">
        <f>IFERROR(__xludf.DUMMYFUNCTION("""COMPUTED_VALUE"""),"Cordarrelle")</f>
        <v>Cordarrelle</v>
      </c>
      <c r="F3966">
        <f>IFERROR(__xludf.DUMMYFUNCTION("""COMPUTED_VALUE"""),15.600000000000001)</f>
        <v>15.6</v>
      </c>
    </row>
    <row r="3967">
      <c r="D3967" t="str">
        <f>IFERROR(__xludf.DUMMYFUNCTION("""COMPUTED_VALUE"""),"Paul")</f>
        <v>Paul</v>
      </c>
      <c r="E3967" t="str">
        <f>IFERROR(__xludf.DUMMYFUNCTION("""COMPUTED_VALUE"""),"Niles")</f>
        <v>Niles</v>
      </c>
      <c r="F3967">
        <f>IFERROR(__xludf.DUMMYFUNCTION("""COMPUTED_VALUE"""),15.0)</f>
        <v>15</v>
      </c>
    </row>
    <row r="3968">
      <c r="D3968" t="str">
        <f>IFERROR(__xludf.DUMMYFUNCTION("""COMPUTED_VALUE"""),"Paulsen")</f>
        <v>Paulsen</v>
      </c>
      <c r="E3968" t="str">
        <f>IFERROR(__xludf.DUMMYFUNCTION("""COMPUTED_VALUE"""),"Logan")</f>
        <v>Logan</v>
      </c>
      <c r="F3968">
        <f>IFERROR(__xludf.DUMMYFUNCTION("""COMPUTED_VALUE"""),14.0)</f>
        <v>14</v>
      </c>
    </row>
    <row r="3969">
      <c r="D3969" t="str">
        <f>IFERROR(__xludf.DUMMYFUNCTION("""COMPUTED_VALUE"""),"Payne")</f>
        <v>Payne</v>
      </c>
      <c r="E3969" t="str">
        <f>IFERROR(__xludf.DUMMYFUNCTION("""COMPUTED_VALUE"""),"Donald")</f>
        <v>Donald</v>
      </c>
      <c r="F3969">
        <f>IFERROR(__xludf.DUMMYFUNCTION("""COMPUTED_VALUE"""),11.8)</f>
        <v>11.8</v>
      </c>
    </row>
    <row r="3970">
      <c r="D3970" t="str">
        <f>IFERROR(__xludf.DUMMYFUNCTION("""COMPUTED_VALUE"""),"Paysinger")</f>
        <v>Paysinger</v>
      </c>
      <c r="E3970" t="str">
        <f>IFERROR(__xludf.DUMMYFUNCTION("""COMPUTED_VALUE"""),"Spencer")</f>
        <v>Spencer</v>
      </c>
      <c r="F3970">
        <f>IFERROR(__xludf.DUMMYFUNCTION("""COMPUTED_VALUE"""),14.600000000000001)</f>
        <v>14.6</v>
      </c>
    </row>
    <row r="3971">
      <c r="D3971" t="str">
        <f>IFERROR(__xludf.DUMMYFUNCTION("""COMPUTED_VALUE"""),"Payton")</f>
        <v>Payton</v>
      </c>
      <c r="E3971" t="str">
        <f>IFERROR(__xludf.DUMMYFUNCTION("""COMPUTED_VALUE"""),"Jordan")</f>
        <v>Jordan</v>
      </c>
      <c r="F3971">
        <f>IFERROR(__xludf.DUMMYFUNCTION("""COMPUTED_VALUE"""),12.8)</f>
        <v>12.8</v>
      </c>
    </row>
    <row r="3972">
      <c r="D3972" t="str">
        <f>IFERROR(__xludf.DUMMYFUNCTION("""COMPUTED_VALUE"""),"Peake")</f>
        <v>Peake</v>
      </c>
      <c r="E3972" t="str">
        <f>IFERROR(__xludf.DUMMYFUNCTION("""COMPUTED_VALUE"""),"Charone")</f>
        <v>Charone</v>
      </c>
      <c r="F3972">
        <f>IFERROR(__xludf.DUMMYFUNCTION("""COMPUTED_VALUE"""),13.200000000000001)</f>
        <v>13.2</v>
      </c>
    </row>
    <row r="3973">
      <c r="D3973" t="str">
        <f>IFERROR(__xludf.DUMMYFUNCTION("""COMPUTED_VALUE"""),"Peat")</f>
        <v>Peat</v>
      </c>
      <c r="E3973" t="str">
        <f>IFERROR(__xludf.DUMMYFUNCTION("""COMPUTED_VALUE"""),"Andrus")</f>
        <v>Andrus</v>
      </c>
      <c r="F3973">
        <f>IFERROR(__xludf.DUMMYFUNCTION("""COMPUTED_VALUE"""),14.8)</f>
        <v>14.8</v>
      </c>
    </row>
    <row r="3974">
      <c r="D3974" t="str">
        <f>IFERROR(__xludf.DUMMYFUNCTION("""COMPUTED_VALUE"""),"Peck")</f>
        <v>Peck</v>
      </c>
      <c r="E3974" t="str">
        <f>IFERROR(__xludf.DUMMYFUNCTION("""COMPUTED_VALUE"""),"Aaron")</f>
        <v>Aaron</v>
      </c>
      <c r="F3974">
        <f>IFERROR(__xludf.DUMMYFUNCTION("""COMPUTED_VALUE"""),13.200000000000001)</f>
        <v>13.2</v>
      </c>
    </row>
    <row r="3975">
      <c r="D3975" t="str">
        <f>IFERROR(__xludf.DUMMYFUNCTION("""COMPUTED_VALUE"""),"Peerman")</f>
        <v>Peerman</v>
      </c>
      <c r="E3975" t="str">
        <f>IFERROR(__xludf.DUMMYFUNCTION("""COMPUTED_VALUE"""),"Cedric")</f>
        <v>Cedric</v>
      </c>
      <c r="F3975">
        <f>IFERROR(__xludf.DUMMYFUNCTION("""COMPUTED_VALUE"""),14.200000000000001)</f>
        <v>14.2</v>
      </c>
    </row>
    <row r="3976">
      <c r="D3976" t="str">
        <f>IFERROR(__xludf.DUMMYFUNCTION("""COMPUTED_VALUE"""),"Peko")</f>
        <v>Peko</v>
      </c>
      <c r="E3976" t="str">
        <f>IFERROR(__xludf.DUMMYFUNCTION("""COMPUTED_VALUE"""),"Domata")</f>
        <v>Domata</v>
      </c>
      <c r="F3976">
        <f>IFERROR(__xludf.DUMMYFUNCTION("""COMPUTED_VALUE"""),14.8)</f>
        <v>14.8</v>
      </c>
    </row>
    <row r="3977">
      <c r="D3977" t="str">
        <f>IFERROR(__xludf.DUMMYFUNCTION("""COMPUTED_VALUE"""),"Peko")</f>
        <v>Peko</v>
      </c>
      <c r="E3977" t="str">
        <f>IFERROR(__xludf.DUMMYFUNCTION("""COMPUTED_VALUE"""),"Kyle")</f>
        <v>Kyle</v>
      </c>
      <c r="F3977">
        <f>IFERROR(__xludf.DUMMYFUNCTION("""COMPUTED_VALUE"""),12.8)</f>
        <v>12.8</v>
      </c>
    </row>
    <row r="3978">
      <c r="D3978" t="str">
        <f>IFERROR(__xludf.DUMMYFUNCTION("""COMPUTED_VALUE"""),"Penn")</f>
        <v>Penn</v>
      </c>
      <c r="E3978" t="str">
        <f>IFERROR(__xludf.DUMMYFUNCTION("""COMPUTED_VALUE"""),"Donald")</f>
        <v>Donald</v>
      </c>
      <c r="F3978">
        <f>IFERROR(__xludf.DUMMYFUNCTION("""COMPUTED_VALUE"""),17.8)</f>
        <v>17.8</v>
      </c>
    </row>
    <row r="3979">
      <c r="D3979" t="str">
        <f>IFERROR(__xludf.DUMMYFUNCTION("""COMPUTED_VALUE"""),"Pennel")</f>
        <v>Pennel</v>
      </c>
      <c r="E3979" t="str">
        <f>IFERROR(__xludf.DUMMYFUNCTION("""COMPUTED_VALUE"""),"Mike")</f>
        <v>Mike</v>
      </c>
      <c r="F3979">
        <f>IFERROR(__xludf.DUMMYFUNCTION("""COMPUTED_VALUE"""),13.4)</f>
        <v>13.4</v>
      </c>
    </row>
    <row r="3980">
      <c r="D3980" t="str">
        <f>IFERROR(__xludf.DUMMYFUNCTION("""COMPUTED_VALUE"""),"Penton")</f>
        <v>Penton</v>
      </c>
      <c r="E3980" t="str">
        <f>IFERROR(__xludf.DUMMYFUNCTION("""COMPUTED_VALUE"""),"Aarion")</f>
        <v>Aarion</v>
      </c>
      <c r="F3980">
        <f>IFERROR(__xludf.DUMMYFUNCTION("""COMPUTED_VALUE"""),12.200000000000001)</f>
        <v>12.2</v>
      </c>
    </row>
    <row r="3981">
      <c r="D3981" t="str">
        <f>IFERROR(__xludf.DUMMYFUNCTION("""COMPUTED_VALUE"""),"Peppers")</f>
        <v>Peppers</v>
      </c>
      <c r="E3981" t="str">
        <f>IFERROR(__xludf.DUMMYFUNCTION("""COMPUTED_VALUE"""),"Jabrill")</f>
        <v>Jabrill</v>
      </c>
      <c r="F3981">
        <f>IFERROR(__xludf.DUMMYFUNCTION("""COMPUTED_VALUE"""),15.200000000000001)</f>
        <v>15.2</v>
      </c>
    </row>
    <row r="3982">
      <c r="D3982" t="str">
        <f>IFERROR(__xludf.DUMMYFUNCTION("""COMPUTED_VALUE"""),"Peppers")</f>
        <v>Peppers</v>
      </c>
      <c r="E3982" t="str">
        <f>IFERROR(__xludf.DUMMYFUNCTION("""COMPUTED_VALUE"""),"Julius")</f>
        <v>Julius</v>
      </c>
      <c r="F3982">
        <f>IFERROR(__xludf.DUMMYFUNCTION("""COMPUTED_VALUE"""),16.6)</f>
        <v>16.6</v>
      </c>
    </row>
    <row r="3983">
      <c r="D3983" t="str">
        <f>IFERROR(__xludf.DUMMYFUNCTION("""COMPUTED_VALUE"""),"Perine")</f>
        <v>Perine</v>
      </c>
      <c r="E3983" t="str">
        <f>IFERROR(__xludf.DUMMYFUNCTION("""COMPUTED_VALUE"""),"Samaje")</f>
        <v>Samaje</v>
      </c>
      <c r="F3983">
        <f>IFERROR(__xludf.DUMMYFUNCTION("""COMPUTED_VALUE"""),14.4)</f>
        <v>14.4</v>
      </c>
    </row>
    <row r="3984">
      <c r="D3984" t="str">
        <f>IFERROR(__xludf.DUMMYFUNCTION("""COMPUTED_VALUE"""),"Perkins")</f>
        <v>Perkins</v>
      </c>
      <c r="E3984" t="str">
        <f>IFERROR(__xludf.DUMMYFUNCTION("""COMPUTED_VALUE"""),"Joshua")</f>
        <v>Joshua</v>
      </c>
      <c r="F3984">
        <f>IFERROR(__xludf.DUMMYFUNCTION("""COMPUTED_VALUE"""),12.8)</f>
        <v>12.8</v>
      </c>
    </row>
    <row r="3985">
      <c r="D3985" t="str">
        <f>IFERROR(__xludf.DUMMYFUNCTION("""COMPUTED_VALUE"""),"Perkins")</f>
        <v>Perkins</v>
      </c>
      <c r="E3985" t="str">
        <f>IFERROR(__xludf.DUMMYFUNCTION("""COMPUTED_VALUE"""),"Paul")</f>
        <v>Paul</v>
      </c>
      <c r="F3985">
        <f>IFERROR(__xludf.DUMMYFUNCTION("""COMPUTED_VALUE"""),15.4)</f>
        <v>15.4</v>
      </c>
    </row>
    <row r="3986">
      <c r="D3986" t="str">
        <f>IFERROR(__xludf.DUMMYFUNCTION("""COMPUTED_VALUE"""),"Perriman")</f>
        <v>Perriman</v>
      </c>
      <c r="E3986" t="str">
        <f>IFERROR(__xludf.DUMMYFUNCTION("""COMPUTED_VALUE"""),"Breshad")</f>
        <v>Breshad</v>
      </c>
      <c r="F3986">
        <f>IFERROR(__xludf.DUMMYFUNCTION("""COMPUTED_VALUE"""),14.8)</f>
        <v>14.8</v>
      </c>
    </row>
    <row r="3987">
      <c r="D3987" t="str">
        <f>IFERROR(__xludf.DUMMYFUNCTION("""COMPUTED_VALUE"""),"Perry")</f>
        <v>Perry</v>
      </c>
      <c r="E3987" t="str">
        <f>IFERROR(__xludf.DUMMYFUNCTION("""COMPUTED_VALUE"""),"Joshua")</f>
        <v>Joshua</v>
      </c>
      <c r="F3987">
        <f>IFERROR(__xludf.DUMMYFUNCTION("""COMPUTED_VALUE"""),13.600000000000001)</f>
        <v>13.6</v>
      </c>
    </row>
    <row r="3988">
      <c r="D3988" t="str">
        <f>IFERROR(__xludf.DUMMYFUNCTION("""COMPUTED_VALUE"""),"Perry")</f>
        <v>Perry</v>
      </c>
      <c r="E3988" t="str">
        <f>IFERROR(__xludf.DUMMYFUNCTION("""COMPUTED_VALUE"""),"Nick")</f>
        <v>Nick</v>
      </c>
      <c r="F3988">
        <f>IFERROR(__xludf.DUMMYFUNCTION("""COMPUTED_VALUE"""),16.8)</f>
        <v>16.8</v>
      </c>
    </row>
    <row r="3989">
      <c r="D3989" t="str">
        <f>IFERROR(__xludf.DUMMYFUNCTION("""COMPUTED_VALUE"""),"Perry")</f>
        <v>Perry</v>
      </c>
      <c r="E3989" t="str">
        <f>IFERROR(__xludf.DUMMYFUNCTION("""COMPUTED_VALUE"""),"Senorise")</f>
        <v>Senorise</v>
      </c>
      <c r="F3989">
        <f>IFERROR(__xludf.DUMMYFUNCTION("""COMPUTED_VALUE"""),12.4)</f>
        <v>12.4</v>
      </c>
    </row>
    <row r="3990">
      <c r="D3990" t="str">
        <f>IFERROR(__xludf.DUMMYFUNCTION("""COMPUTED_VALUE"""),"Perryman")</f>
        <v>Perryman</v>
      </c>
      <c r="E3990" t="str">
        <f>IFERROR(__xludf.DUMMYFUNCTION("""COMPUTED_VALUE"""),"Denzel")</f>
        <v>Denzel</v>
      </c>
      <c r="F3990">
        <f>IFERROR(__xludf.DUMMYFUNCTION("""COMPUTED_VALUE"""),15.200000000000001)</f>
        <v>15.2</v>
      </c>
    </row>
    <row r="3991">
      <c r="D3991" t="str">
        <f>IFERROR(__xludf.DUMMYFUNCTION("""COMPUTED_VALUE"""),"Person")</f>
        <v>Person</v>
      </c>
      <c r="E3991" t="str">
        <f>IFERROR(__xludf.DUMMYFUNCTION("""COMPUTED_VALUE"""),"Mike")</f>
        <v>Mike</v>
      </c>
      <c r="F3991">
        <f>IFERROR(__xludf.DUMMYFUNCTION("""COMPUTED_VALUE"""),13.8)</f>
        <v>13.8</v>
      </c>
    </row>
    <row r="3992">
      <c r="D3992" t="str">
        <f>IFERROR(__xludf.DUMMYFUNCTION("""COMPUTED_VALUE"""),"Peterman")</f>
        <v>Peterman</v>
      </c>
      <c r="E3992" t="str">
        <f>IFERROR(__xludf.DUMMYFUNCTION("""COMPUTED_VALUE"""),"Nathan")</f>
        <v>Nathan</v>
      </c>
      <c r="F3992">
        <f>IFERROR(__xludf.DUMMYFUNCTION("""COMPUTED_VALUE"""),14.4)</f>
        <v>14.4</v>
      </c>
    </row>
    <row r="3993">
      <c r="D3993" t="str">
        <f>IFERROR(__xludf.DUMMYFUNCTION("""COMPUTED_VALUE"""),"Peters")</f>
        <v>Peters</v>
      </c>
      <c r="E3993" t="str">
        <f>IFERROR(__xludf.DUMMYFUNCTION("""COMPUTED_VALUE"""),"Brian")</f>
        <v>Brian</v>
      </c>
      <c r="F3993">
        <f>IFERROR(__xludf.DUMMYFUNCTION("""COMPUTED_VALUE"""),12.200000000000001)</f>
        <v>12.2</v>
      </c>
    </row>
    <row r="3994">
      <c r="D3994" t="str">
        <f>IFERROR(__xludf.DUMMYFUNCTION("""COMPUTED_VALUE"""),"Peters")</f>
        <v>Peters</v>
      </c>
      <c r="E3994" t="str">
        <f>IFERROR(__xludf.DUMMYFUNCTION("""COMPUTED_VALUE"""),"Corey")</f>
        <v>Corey</v>
      </c>
      <c r="F3994">
        <f>IFERROR(__xludf.DUMMYFUNCTION("""COMPUTED_VALUE"""),14.8)</f>
        <v>14.8</v>
      </c>
    </row>
    <row r="3995">
      <c r="D3995" t="str">
        <f>IFERROR(__xludf.DUMMYFUNCTION("""COMPUTED_VALUE"""),"Peters")</f>
        <v>Peters</v>
      </c>
      <c r="E3995" t="str">
        <f>IFERROR(__xludf.DUMMYFUNCTION("""COMPUTED_VALUE"""),"Jason")</f>
        <v>Jason</v>
      </c>
      <c r="F3995">
        <f>IFERROR(__xludf.DUMMYFUNCTION("""COMPUTED_VALUE"""),17.400000000000002)</f>
        <v>17.4</v>
      </c>
    </row>
    <row r="3996">
      <c r="D3996" t="str">
        <f>IFERROR(__xludf.DUMMYFUNCTION("""COMPUTED_VALUE"""),"Peters")</f>
        <v>Peters</v>
      </c>
      <c r="E3996" t="str">
        <f>IFERROR(__xludf.DUMMYFUNCTION("""COMPUTED_VALUE"""),"Marcus")</f>
        <v>Marcus</v>
      </c>
      <c r="F3996">
        <f>IFERROR(__xludf.DUMMYFUNCTION("""COMPUTED_VALUE"""),17.6)</f>
        <v>17.6</v>
      </c>
    </row>
    <row r="3997">
      <c r="D3997" t="str">
        <f>IFERROR(__xludf.DUMMYFUNCTION("""COMPUTED_VALUE"""),"Peterson")</f>
        <v>Peterson</v>
      </c>
      <c r="E3997" t="str">
        <f>IFERROR(__xludf.DUMMYFUNCTION("""COMPUTED_VALUE"""),"Adrian")</f>
        <v>Adrian</v>
      </c>
      <c r="F3997">
        <f>IFERROR(__xludf.DUMMYFUNCTION("""COMPUTED_VALUE"""),16.8)</f>
        <v>16.8</v>
      </c>
    </row>
    <row r="3998">
      <c r="D3998" t="str">
        <f>IFERROR(__xludf.DUMMYFUNCTION("""COMPUTED_VALUE"""),"Peterson")</f>
        <v>Peterson</v>
      </c>
      <c r="E3998" t="str">
        <f>IFERROR(__xludf.DUMMYFUNCTION("""COMPUTED_VALUE"""),"Patrick")</f>
        <v>Patrick</v>
      </c>
      <c r="F3998">
        <f>IFERROR(__xludf.DUMMYFUNCTION("""COMPUTED_VALUE"""),18.2)</f>
        <v>18.2</v>
      </c>
    </row>
    <row r="3999">
      <c r="D3999" t="str">
        <f>IFERROR(__xludf.DUMMYFUNCTION("""COMPUTED_VALUE"""),"Petty")</f>
        <v>Petty</v>
      </c>
      <c r="E3999" t="str">
        <f>IFERROR(__xludf.DUMMYFUNCTION("""COMPUTED_VALUE"""),"Bryce")</f>
        <v>Bryce</v>
      </c>
      <c r="F3999">
        <f>IFERROR(__xludf.DUMMYFUNCTION("""COMPUTED_VALUE"""),13.8)</f>
        <v>13.8</v>
      </c>
    </row>
    <row r="4000">
      <c r="D4000" t="str">
        <f>IFERROR(__xludf.DUMMYFUNCTION("""COMPUTED_VALUE"""),"Phillips")</f>
        <v>Phillips</v>
      </c>
      <c r="E4000" t="str">
        <f>IFERROR(__xludf.DUMMYFUNCTION("""COMPUTED_VALUE"""),"Adrian")</f>
        <v>Adrian</v>
      </c>
      <c r="F4000">
        <f>IFERROR(__xludf.DUMMYFUNCTION("""COMPUTED_VALUE"""),13.4)</f>
        <v>13.4</v>
      </c>
    </row>
    <row r="4001">
      <c r="D4001" t="str">
        <f>IFERROR(__xludf.DUMMYFUNCTION("""COMPUTED_VALUE"""),"Phillips")</f>
        <v>Phillips</v>
      </c>
      <c r="E4001" t="str">
        <f>IFERROR(__xludf.DUMMYFUNCTION("""COMPUTED_VALUE"""),"Carroll")</f>
        <v>Carroll</v>
      </c>
      <c r="F4001">
        <f>IFERROR(__xludf.DUMMYFUNCTION("""COMPUTED_VALUE"""),12.0)</f>
        <v>12</v>
      </c>
    </row>
    <row r="4002">
      <c r="D4002" t="str">
        <f>IFERROR(__xludf.DUMMYFUNCTION("""COMPUTED_VALUE"""),"Phillips")</f>
        <v>Phillips</v>
      </c>
      <c r="E4002" t="str">
        <f>IFERROR(__xludf.DUMMYFUNCTION("""COMPUTED_VALUE"""),"Dashaun")</f>
        <v>Dashaun</v>
      </c>
      <c r="F4002">
        <f>IFERROR(__xludf.DUMMYFUNCTION("""COMPUTED_VALUE"""),13.4)</f>
        <v>13.4</v>
      </c>
    </row>
    <row r="4003">
      <c r="D4003" t="str">
        <f>IFERROR(__xludf.DUMMYFUNCTION("""COMPUTED_VALUE"""),"Phillips")</f>
        <v>Phillips</v>
      </c>
      <c r="E4003" t="str">
        <f>IFERROR(__xludf.DUMMYFUNCTION("""COMPUTED_VALUE"""),"John")</f>
        <v>John</v>
      </c>
      <c r="F4003">
        <f>IFERROR(__xludf.DUMMYFUNCTION("""COMPUTED_VALUE"""),14.200000000000001)</f>
        <v>14.2</v>
      </c>
    </row>
    <row r="4004">
      <c r="D4004" t="str">
        <f>IFERROR(__xludf.DUMMYFUNCTION("""COMPUTED_VALUE"""),"Phillips")</f>
        <v>Phillips</v>
      </c>
      <c r="E4004" t="str">
        <f>IFERROR(__xludf.DUMMYFUNCTION("""COMPUTED_VALUE"""),"Jordan")</f>
        <v>Jordan</v>
      </c>
      <c r="F4004">
        <f>IFERROR(__xludf.DUMMYFUNCTION("""COMPUTED_VALUE"""),15.200000000000001)</f>
        <v>15.2</v>
      </c>
    </row>
    <row r="4005">
      <c r="D4005" t="str">
        <f>IFERROR(__xludf.DUMMYFUNCTION("""COMPUTED_VALUE"""),"Philon")</f>
        <v>Philon</v>
      </c>
      <c r="E4005" t="str">
        <f>IFERROR(__xludf.DUMMYFUNCTION("""COMPUTED_VALUE"""),"Darius")</f>
        <v>Darius</v>
      </c>
      <c r="F4005">
        <f>IFERROR(__xludf.DUMMYFUNCTION("""COMPUTED_VALUE"""),13.200000000000001)</f>
        <v>13.2</v>
      </c>
    </row>
    <row r="4006">
      <c r="D4006" t="str">
        <f>IFERROR(__xludf.DUMMYFUNCTION("""COMPUTED_VALUE"""),"Pierce")</f>
        <v>Pierce</v>
      </c>
      <c r="E4006" t="str">
        <f>IFERROR(__xludf.DUMMYFUNCTION("""COMPUTED_VALUE"""),"Bernard")</f>
        <v>Bernard</v>
      </c>
      <c r="F4006">
        <f>IFERROR(__xludf.DUMMYFUNCTION("""COMPUTED_VALUE"""),13.8)</f>
        <v>13.8</v>
      </c>
    </row>
    <row r="4007">
      <c r="D4007" t="str">
        <f>IFERROR(__xludf.DUMMYFUNCTION("""COMPUTED_VALUE"""),"Pierce")</f>
        <v>Pierce</v>
      </c>
      <c r="E4007" t="str">
        <f>IFERROR(__xludf.DUMMYFUNCTION("""COMPUTED_VALUE"""),"Michael")</f>
        <v>Michael</v>
      </c>
      <c r="F4007">
        <f>IFERROR(__xludf.DUMMYFUNCTION("""COMPUTED_VALUE"""),15.8)</f>
        <v>15.8</v>
      </c>
    </row>
    <row r="4008">
      <c r="D4008" t="str">
        <f>IFERROR(__xludf.DUMMYFUNCTION("""COMPUTED_VALUE"""),"Pierre")</f>
        <v>Pierre</v>
      </c>
      <c r="E4008" t="str">
        <f>IFERROR(__xludf.DUMMYFUNCTION("""COMPUTED_VALUE"""),"Olsen")</f>
        <v>Olsen</v>
      </c>
      <c r="F4008">
        <f>IFERROR(__xludf.DUMMYFUNCTION("""COMPUTED_VALUE"""),11.8)</f>
        <v>11.8</v>
      </c>
    </row>
    <row r="4009">
      <c r="D4009" t="str">
        <f>IFERROR(__xludf.DUMMYFUNCTION("""COMPUTED_VALUE"""),"Pierre-Louis")</f>
        <v>Pierre-Louis</v>
      </c>
      <c r="E4009" t="str">
        <f>IFERROR(__xludf.DUMMYFUNCTION("""COMPUTED_VALUE"""),"Kevin")</f>
        <v>Kevin</v>
      </c>
      <c r="F4009">
        <f>IFERROR(__xludf.DUMMYFUNCTION("""COMPUTED_VALUE"""),14.0)</f>
        <v>14</v>
      </c>
    </row>
    <row r="4010">
      <c r="D4010" t="str">
        <f>IFERROR(__xludf.DUMMYFUNCTION("""COMPUTED_VALUE"""),"Pierre-Paul")</f>
        <v>Pierre-Paul</v>
      </c>
      <c r="E4010" t="str">
        <f>IFERROR(__xludf.DUMMYFUNCTION("""COMPUTED_VALUE"""),"Jason")</f>
        <v>Jason</v>
      </c>
      <c r="F4010">
        <f>IFERROR(__xludf.DUMMYFUNCTION("""COMPUTED_VALUE"""),17.6)</f>
        <v>17.6</v>
      </c>
    </row>
    <row r="4011">
      <c r="D4011" t="str">
        <f>IFERROR(__xludf.DUMMYFUNCTION("""COMPUTED_VALUE"""),"Pinion")</f>
        <v>Pinion</v>
      </c>
      <c r="E4011" t="str">
        <f>IFERROR(__xludf.DUMMYFUNCTION("""COMPUTED_VALUE"""),"Bradley")</f>
        <v>Bradley</v>
      </c>
      <c r="F4011">
        <f>IFERROR(__xludf.DUMMYFUNCTION("""COMPUTED_VALUE"""),14.600000000000001)</f>
        <v>14.6</v>
      </c>
    </row>
    <row r="4012">
      <c r="D4012" t="str">
        <f>IFERROR(__xludf.DUMMYFUNCTION("""COMPUTED_VALUE"""),"Pinkins")</f>
        <v>Pinkins</v>
      </c>
      <c r="E4012" t="str">
        <f>IFERROR(__xludf.DUMMYFUNCTION("""COMPUTED_VALUE"""),"Eric")</f>
        <v>Eric</v>
      </c>
      <c r="F4012">
        <f>IFERROR(__xludf.DUMMYFUNCTION("""COMPUTED_VALUE"""),11.600000000000001)</f>
        <v>11.6</v>
      </c>
    </row>
    <row r="4013">
      <c r="D4013" t="str">
        <f>IFERROR(__xludf.DUMMYFUNCTION("""COMPUTED_VALUE"""),"Pitts")</f>
        <v>Pitts</v>
      </c>
      <c r="E4013" t="str">
        <f>IFERROR(__xludf.DUMMYFUNCTION("""COMPUTED_VALUE"""),"Lafayette")</f>
        <v>Lafayette</v>
      </c>
      <c r="F4013">
        <f>IFERROR(__xludf.DUMMYFUNCTION("""COMPUTED_VALUE"""),12.4)</f>
        <v>12.4</v>
      </c>
    </row>
    <row r="4014">
      <c r="D4014" t="str">
        <f>IFERROR(__xludf.DUMMYFUNCTION("""COMPUTED_VALUE"""),"Pleasant")</f>
        <v>Pleasant</v>
      </c>
      <c r="E4014" t="str">
        <f>IFERROR(__xludf.DUMMYFUNCTION("""COMPUTED_VALUE"""),"Eddie")</f>
        <v>Eddie</v>
      </c>
      <c r="F4014">
        <f>IFERROR(__xludf.DUMMYFUNCTION("""COMPUTED_VALUE"""),14.8)</f>
        <v>14.8</v>
      </c>
    </row>
    <row r="4015">
      <c r="D4015" t="str">
        <f>IFERROR(__xludf.DUMMYFUNCTION("""COMPUTED_VALUE"""),"Pocic")</f>
        <v>Pocic</v>
      </c>
      <c r="E4015" t="str">
        <f>IFERROR(__xludf.DUMMYFUNCTION("""COMPUTED_VALUE"""),"Ethan")</f>
        <v>Ethan</v>
      </c>
      <c r="F4015">
        <f>IFERROR(__xludf.DUMMYFUNCTION("""COMPUTED_VALUE"""),15.0)</f>
        <v>15</v>
      </c>
    </row>
    <row r="4016">
      <c r="D4016" t="str">
        <f>IFERROR(__xludf.DUMMYFUNCTION("""COMPUTED_VALUE"""),"Poe")</f>
        <v>Poe</v>
      </c>
      <c r="E4016" t="str">
        <f>IFERROR(__xludf.DUMMYFUNCTION("""COMPUTED_VALUE"""),"Dontari")</f>
        <v>Dontari</v>
      </c>
      <c r="F4016">
        <f>IFERROR(__xludf.DUMMYFUNCTION("""COMPUTED_VALUE"""),15.8)</f>
        <v>15.8</v>
      </c>
    </row>
    <row r="4017">
      <c r="D4017" t="str">
        <f>IFERROR(__xludf.DUMMYFUNCTION("""COMPUTED_VALUE"""),"Poole")</f>
        <v>Poole</v>
      </c>
      <c r="E4017" t="str">
        <f>IFERROR(__xludf.DUMMYFUNCTION("""COMPUTED_VALUE"""),"Brian")</f>
        <v>Brian</v>
      </c>
      <c r="F4017">
        <f>IFERROR(__xludf.DUMMYFUNCTION("""COMPUTED_VALUE"""),15.200000000000001)</f>
        <v>15.2</v>
      </c>
    </row>
    <row r="4018">
      <c r="D4018" t="str">
        <f>IFERROR(__xludf.DUMMYFUNCTION("""COMPUTED_VALUE"""),"Poole")</f>
        <v>Poole</v>
      </c>
      <c r="E4018" t="str">
        <f>IFERROR(__xludf.DUMMYFUNCTION("""COMPUTED_VALUE"""),"Terry")</f>
        <v>Terry</v>
      </c>
      <c r="F4018">
        <f>IFERROR(__xludf.DUMMYFUNCTION("""COMPUTED_VALUE"""),13.0)</f>
        <v>13</v>
      </c>
    </row>
    <row r="4019">
      <c r="D4019" t="str">
        <f>IFERROR(__xludf.DUMMYFUNCTION("""COMPUTED_VALUE"""),"Pope")</f>
        <v>Pope</v>
      </c>
      <c r="E4019" t="str">
        <f>IFERROR(__xludf.DUMMYFUNCTION("""COMPUTED_VALUE"""),"Troymaine")</f>
        <v>Troymaine</v>
      </c>
      <c r="F4019">
        <f>IFERROR(__xludf.DUMMYFUNCTION("""COMPUTED_VALUE"""),13.0)</f>
        <v>13</v>
      </c>
    </row>
    <row r="4020">
      <c r="D4020" t="str">
        <f>IFERROR(__xludf.DUMMYFUNCTION("""COMPUTED_VALUE"""),"Posluszny")</f>
        <v>Posluszny</v>
      </c>
      <c r="E4020" t="str">
        <f>IFERROR(__xludf.DUMMYFUNCTION("""COMPUTED_VALUE"""),"Paul")</f>
        <v>Paul</v>
      </c>
      <c r="F4020">
        <f>IFERROR(__xludf.DUMMYFUNCTION("""COMPUTED_VALUE"""),17.400000000000002)</f>
        <v>17.4</v>
      </c>
    </row>
    <row r="4021">
      <c r="D4021" t="str">
        <f>IFERROR(__xludf.DUMMYFUNCTION("""COMPUTED_VALUE"""),"Pouncey")</f>
        <v>Pouncey</v>
      </c>
      <c r="E4021" t="str">
        <f>IFERROR(__xludf.DUMMYFUNCTION("""COMPUTED_VALUE"""),"Maurkice")</f>
        <v>Maurkice</v>
      </c>
      <c r="F4021">
        <f>IFERROR(__xludf.DUMMYFUNCTION("""COMPUTED_VALUE"""),17.0)</f>
        <v>17</v>
      </c>
    </row>
    <row r="4022">
      <c r="D4022" t="str">
        <f>IFERROR(__xludf.DUMMYFUNCTION("""COMPUTED_VALUE"""),"Pouncey")</f>
        <v>Pouncey</v>
      </c>
      <c r="E4022" t="str">
        <f>IFERROR(__xludf.DUMMYFUNCTION("""COMPUTED_VALUE"""),"Mike")</f>
        <v>Mike</v>
      </c>
      <c r="F4022">
        <f>IFERROR(__xludf.DUMMYFUNCTION("""COMPUTED_VALUE"""),15.4)</f>
        <v>15.4</v>
      </c>
    </row>
    <row r="4023">
      <c r="D4023" t="str">
        <f>IFERROR(__xludf.DUMMYFUNCTION("""COMPUTED_VALUE"""),"Poutasi")</f>
        <v>Poutasi</v>
      </c>
      <c r="E4023" t="str">
        <f>IFERROR(__xludf.DUMMYFUNCTION("""COMPUTED_VALUE"""),"Jeremiah")</f>
        <v>Jeremiah</v>
      </c>
      <c r="F4023">
        <f>IFERROR(__xludf.DUMMYFUNCTION("""COMPUTED_VALUE"""),13.8)</f>
        <v>13.8</v>
      </c>
    </row>
    <row r="4024">
      <c r="D4024" t="str">
        <f>IFERROR(__xludf.DUMMYFUNCTION("""COMPUTED_VALUE"""),"Powell")</f>
        <v>Powell</v>
      </c>
      <c r="E4024" t="str">
        <f>IFERROR(__xludf.DUMMYFUNCTION("""COMPUTED_VALUE"""),"Bilal")</f>
        <v>Bilal</v>
      </c>
      <c r="F4024">
        <f>IFERROR(__xludf.DUMMYFUNCTION("""COMPUTED_VALUE"""),16.2)</f>
        <v>16.2</v>
      </c>
    </row>
    <row r="4025">
      <c r="D4025" t="str">
        <f>IFERROR(__xludf.DUMMYFUNCTION("""COMPUTED_VALUE"""),"Powell")</f>
        <v>Powell</v>
      </c>
      <c r="E4025" t="str">
        <f>IFERROR(__xludf.DUMMYFUNCTION("""COMPUTED_VALUE"""),"Ronald")</f>
        <v>Ronald</v>
      </c>
      <c r="F4025">
        <f>IFERROR(__xludf.DUMMYFUNCTION("""COMPUTED_VALUE"""),12.4)</f>
        <v>12.4</v>
      </c>
    </row>
    <row r="4026">
      <c r="D4026" t="str">
        <f>IFERROR(__xludf.DUMMYFUNCTION("""COMPUTED_VALUE"""),"Powell")</f>
        <v>Powell</v>
      </c>
      <c r="E4026" t="str">
        <f>IFERROR(__xludf.DUMMYFUNCTION("""COMPUTED_VALUE"""),"Tyvis")</f>
        <v>Tyvis</v>
      </c>
      <c r="F4026">
        <f>IFERROR(__xludf.DUMMYFUNCTION("""COMPUTED_VALUE"""),12.0)</f>
        <v>12</v>
      </c>
    </row>
    <row r="4027">
      <c r="D4027" t="str">
        <f>IFERROR(__xludf.DUMMYFUNCTION("""COMPUTED_VALUE"""),"Powell")</f>
        <v>Powell</v>
      </c>
      <c r="E4027" t="str">
        <f>IFERROR(__xludf.DUMMYFUNCTION("""COMPUTED_VALUE"""),"Walter")</f>
        <v>Walter</v>
      </c>
      <c r="F4027">
        <f>IFERROR(__xludf.DUMMYFUNCTION("""COMPUTED_VALUE"""),13.200000000000001)</f>
        <v>13.2</v>
      </c>
    </row>
    <row r="4028">
      <c r="D4028" t="str">
        <f>IFERROR(__xludf.DUMMYFUNCTION("""COMPUTED_VALUE"""),"Poyer")</f>
        <v>Poyer</v>
      </c>
      <c r="E4028" t="str">
        <f>IFERROR(__xludf.DUMMYFUNCTION("""COMPUTED_VALUE"""),"Jordan")</f>
        <v>Jordan</v>
      </c>
      <c r="F4028">
        <f>IFERROR(__xludf.DUMMYFUNCTION("""COMPUTED_VALUE"""),14.0)</f>
        <v>14</v>
      </c>
    </row>
    <row r="4029">
      <c r="D4029" t="str">
        <f>IFERROR(__xludf.DUMMYFUNCTION("""COMPUTED_VALUE"""),"Prater")</f>
        <v>Prater</v>
      </c>
      <c r="E4029" t="str">
        <f>IFERROR(__xludf.DUMMYFUNCTION("""COMPUTED_VALUE"""),"Matt")</f>
        <v>Matt</v>
      </c>
      <c r="F4029">
        <f>IFERROR(__xludf.DUMMYFUNCTION("""COMPUTED_VALUE"""),16.6)</f>
        <v>16.6</v>
      </c>
    </row>
    <row r="4030">
      <c r="D4030" t="str">
        <f>IFERROR(__xludf.DUMMYFUNCTION("""COMPUTED_VALUE"""),"Pratt")</f>
        <v>Pratt</v>
      </c>
      <c r="E4030" t="str">
        <f>IFERROR(__xludf.DUMMYFUNCTION("""COMPUTED_VALUE"""),"Dayon")</f>
        <v>Dayon</v>
      </c>
      <c r="F4030">
        <f>IFERROR(__xludf.DUMMYFUNCTION("""COMPUTED_VALUE"""),12.8)</f>
        <v>12.8</v>
      </c>
    </row>
    <row r="4031">
      <c r="D4031" t="str">
        <f>IFERROR(__xludf.DUMMYFUNCTION("""COMPUTED_VALUE"""),"Prescott")</f>
        <v>Prescott</v>
      </c>
      <c r="E4031" t="str">
        <f>IFERROR(__xludf.DUMMYFUNCTION("""COMPUTED_VALUE"""),"Dak")</f>
        <v>Dak</v>
      </c>
      <c r="F4031">
        <f>IFERROR(__xludf.DUMMYFUNCTION("""COMPUTED_VALUE"""),17.2)</f>
        <v>17.2</v>
      </c>
    </row>
    <row r="4032">
      <c r="D4032" t="str">
        <f>IFERROR(__xludf.DUMMYFUNCTION("""COMPUTED_VALUE"""),"Price")</f>
        <v>Price</v>
      </c>
      <c r="E4032" t="str">
        <f>IFERROR(__xludf.DUMMYFUNCTION("""COMPUTED_VALUE"""),"Brian")</f>
        <v>Brian</v>
      </c>
      <c r="F4032">
        <f>IFERROR(__xludf.DUMMYFUNCTION("""COMPUTED_VALUE"""),11.4)</f>
        <v>11.4</v>
      </c>
    </row>
    <row r="4033">
      <c r="D4033" t="str">
        <f>IFERROR(__xludf.DUMMYFUNCTION("""COMPUTED_VALUE"""),"Price")</f>
        <v>Price</v>
      </c>
      <c r="E4033" t="str">
        <f>IFERROR(__xludf.DUMMYFUNCTION("""COMPUTED_VALUE"""),"Ejuan")</f>
        <v>Ejuan</v>
      </c>
      <c r="F4033">
        <f>IFERROR(__xludf.DUMMYFUNCTION("""COMPUTED_VALUE"""),13.200000000000001)</f>
        <v>13.2</v>
      </c>
    </row>
    <row r="4034">
      <c r="D4034" t="str">
        <f>IFERROR(__xludf.DUMMYFUNCTION("""COMPUTED_VALUE"""),"Price")</f>
        <v>Price</v>
      </c>
      <c r="E4034" t="str">
        <f>IFERROR(__xludf.DUMMYFUNCTION("""COMPUTED_VALUE"""),"Givens")</f>
        <v>Givens</v>
      </c>
      <c r="F4034">
        <f>IFERROR(__xludf.DUMMYFUNCTION("""COMPUTED_VALUE"""),12.0)</f>
        <v>12</v>
      </c>
    </row>
    <row r="4035">
      <c r="D4035" t="str">
        <f>IFERROR(__xludf.DUMMYFUNCTION("""COMPUTED_VALUE"""),"Price")</f>
        <v>Price</v>
      </c>
      <c r="E4035" t="str">
        <f>IFERROR(__xludf.DUMMYFUNCTION("""COMPUTED_VALUE"""),"Jabari")</f>
        <v>Jabari</v>
      </c>
      <c r="F4035">
        <f>IFERROR(__xludf.DUMMYFUNCTION("""COMPUTED_VALUE"""),13.0)</f>
        <v>13</v>
      </c>
    </row>
    <row r="4036">
      <c r="D4036" t="str">
        <f>IFERROR(__xludf.DUMMYFUNCTION("""COMPUTED_VALUE"""),"Price")</f>
        <v>Price</v>
      </c>
      <c r="E4036" t="str">
        <f>IFERROR(__xludf.DUMMYFUNCTION("""COMPUTED_VALUE"""),"Sheldon")</f>
        <v>Sheldon</v>
      </c>
      <c r="F4036">
        <f>IFERROR(__xludf.DUMMYFUNCTION("""COMPUTED_VALUE"""),12.200000000000001)</f>
        <v>12.2</v>
      </c>
    </row>
    <row r="4037">
      <c r="D4037" t="str">
        <f>IFERROR(__xludf.DUMMYFUNCTION("""COMPUTED_VALUE"""),"Prosch")</f>
        <v>Prosch</v>
      </c>
      <c r="E4037" t="str">
        <f>IFERROR(__xludf.DUMMYFUNCTION("""COMPUTED_VALUE"""),"Jay")</f>
        <v>Jay</v>
      </c>
      <c r="F4037">
        <f>IFERROR(__xludf.DUMMYFUNCTION("""COMPUTED_VALUE"""),16.2)</f>
        <v>16.2</v>
      </c>
    </row>
    <row r="4038">
      <c r="D4038" t="str">
        <f>IFERROR(__xludf.DUMMYFUNCTION("""COMPUTED_VALUE"""),"Prosinski")</f>
        <v>Prosinski</v>
      </c>
      <c r="E4038" t="str">
        <f>IFERROR(__xludf.DUMMYFUNCTION("""COMPUTED_VALUE"""),"Chris")</f>
        <v>Chris</v>
      </c>
      <c r="F4038">
        <f>IFERROR(__xludf.DUMMYFUNCTION("""COMPUTED_VALUE"""),14.0)</f>
        <v>14</v>
      </c>
    </row>
    <row r="4039">
      <c r="D4039" t="str">
        <f>IFERROR(__xludf.DUMMYFUNCTION("""COMPUTED_VALUE"""),"Prosise")</f>
        <v>Prosise</v>
      </c>
      <c r="E4039" t="str">
        <f>IFERROR(__xludf.DUMMYFUNCTION("""COMPUTED_VALUE"""),"CJ")</f>
        <v>CJ</v>
      </c>
      <c r="F4039">
        <f>IFERROR(__xludf.DUMMYFUNCTION("""COMPUTED_VALUE"""),14.8)</f>
        <v>14.8</v>
      </c>
    </row>
    <row r="4040">
      <c r="D4040" t="str">
        <f>IFERROR(__xludf.DUMMYFUNCTION("""COMPUTED_VALUE"""),"Pruitt")</f>
        <v>Pruitt</v>
      </c>
      <c r="E4040" t="str">
        <f>IFERROR(__xludf.DUMMYFUNCTION("""COMPUTED_VALUE"""),"MyCole")</f>
        <v>MyCole</v>
      </c>
      <c r="F4040">
        <f>IFERROR(__xludf.DUMMYFUNCTION("""COMPUTED_VALUE"""),14.200000000000001)</f>
        <v>14.2</v>
      </c>
    </row>
    <row r="4041">
      <c r="D4041" t="str">
        <f>IFERROR(__xludf.DUMMYFUNCTION("""COMPUTED_VALUE"""),"Pryor III")</f>
        <v>Pryor III</v>
      </c>
      <c r="E4041" t="str">
        <f>IFERROR(__xludf.DUMMYFUNCTION("""COMPUTED_VALUE"""),"Calvin")</f>
        <v>Calvin</v>
      </c>
      <c r="F4041">
        <f>IFERROR(__xludf.DUMMYFUNCTION("""COMPUTED_VALUE"""),14.4)</f>
        <v>14.4</v>
      </c>
    </row>
    <row r="4042">
      <c r="D4042" t="str">
        <f>IFERROR(__xludf.DUMMYFUNCTION("""COMPUTED_VALUE"""),"Pryor Sr")</f>
        <v>Pryor Sr</v>
      </c>
      <c r="E4042" t="str">
        <f>IFERROR(__xludf.DUMMYFUNCTION("""COMPUTED_VALUE"""),"Terrelle")</f>
        <v>Terrelle</v>
      </c>
      <c r="F4042">
        <f>IFERROR(__xludf.DUMMYFUNCTION("""COMPUTED_VALUE"""),16.6)</f>
        <v>16.6</v>
      </c>
    </row>
    <row r="4043">
      <c r="D4043" t="str">
        <f>IFERROR(__xludf.DUMMYFUNCTION("""COMPUTED_VALUE"""),"Pugh")</f>
        <v>Pugh</v>
      </c>
      <c r="E4043" t="str">
        <f>IFERROR(__xludf.DUMMYFUNCTION("""COMPUTED_VALUE"""),"Justin")</f>
        <v>Justin</v>
      </c>
      <c r="F4043">
        <f>IFERROR(__xludf.DUMMYFUNCTION("""COMPUTED_VALUE"""),17.2)</f>
        <v>17.2</v>
      </c>
    </row>
    <row r="4044">
      <c r="D4044" t="str">
        <f>IFERROR(__xludf.DUMMYFUNCTION("""COMPUTED_VALUE"""),"Pughsley")</f>
        <v>Pughsley</v>
      </c>
      <c r="E4044" t="str">
        <f>IFERROR(__xludf.DUMMYFUNCTION("""COMPUTED_VALUE"""),"Jarrod")</f>
        <v>Jarrod</v>
      </c>
      <c r="F4044">
        <f>IFERROR(__xludf.DUMMYFUNCTION("""COMPUTED_VALUE"""),12.8)</f>
        <v>12.8</v>
      </c>
    </row>
    <row r="4045">
      <c r="D4045" t="str">
        <f>IFERROR(__xludf.DUMMYFUNCTION("""COMPUTED_VALUE"""),"Pullard III")</f>
        <v>Pullard III</v>
      </c>
      <c r="E4045" t="str">
        <f>IFERROR(__xludf.DUMMYFUNCTION("""COMPUTED_VALUE"""),"Hayes")</f>
        <v>Hayes</v>
      </c>
      <c r="F4045">
        <f>IFERROR(__xludf.DUMMYFUNCTION("""COMPUTED_VALUE"""),13.200000000000001)</f>
        <v>13.2</v>
      </c>
    </row>
    <row r="4046">
      <c r="D4046" t="str">
        <f>IFERROR(__xludf.DUMMYFUNCTION("""COMPUTED_VALUE"""),"Pulley")</f>
        <v>Pulley</v>
      </c>
      <c r="E4046" t="str">
        <f>IFERROR(__xludf.DUMMYFUNCTION("""COMPUTED_VALUE"""),"Spencer")</f>
        <v>Spencer</v>
      </c>
      <c r="F4046">
        <f>IFERROR(__xludf.DUMMYFUNCTION("""COMPUTED_VALUE"""),12.4)</f>
        <v>12.4</v>
      </c>
    </row>
    <row r="4047">
      <c r="D4047" t="str">
        <f>IFERROR(__xludf.DUMMYFUNCTION("""COMPUTED_VALUE"""),"Pumphrey Jr")</f>
        <v>Pumphrey Jr</v>
      </c>
      <c r="E4047" t="str">
        <f>IFERROR(__xludf.DUMMYFUNCTION("""COMPUTED_VALUE"""),"Donnel")</f>
        <v>Donnel</v>
      </c>
      <c r="F4047">
        <f>IFERROR(__xludf.DUMMYFUNCTION("""COMPUTED_VALUE"""),14.600000000000001)</f>
        <v>14.6</v>
      </c>
    </row>
    <row r="4048">
      <c r="D4048" t="str">
        <f>IFERROR(__xludf.DUMMYFUNCTION("""COMPUTED_VALUE"""),"Purcell")</f>
        <v>Purcell</v>
      </c>
      <c r="E4048" t="str">
        <f>IFERROR(__xludf.DUMMYFUNCTION("""COMPUTED_VALUE"""),"Mike")</f>
        <v>Mike</v>
      </c>
      <c r="F4048">
        <f>IFERROR(__xludf.DUMMYFUNCTION("""COMPUTED_VALUE"""),13.8)</f>
        <v>13.8</v>
      </c>
    </row>
    <row r="4049">
      <c r="D4049" t="str">
        <f>IFERROR(__xludf.DUMMYFUNCTION("""COMPUTED_VALUE"""),"Purdum")</f>
        <v>Purdum</v>
      </c>
      <c r="E4049" t="str">
        <f>IFERROR(__xludf.DUMMYFUNCTION("""COMPUTED_VALUE"""),"Tanner")</f>
        <v>Tanner</v>
      </c>
      <c r="F4049">
        <f>IFERROR(__xludf.DUMMYFUNCTION("""COMPUTED_VALUE"""),9.200000000000001)</f>
        <v>9.2</v>
      </c>
    </row>
    <row r="4050">
      <c r="D4050" t="str">
        <f>IFERROR(__xludf.DUMMYFUNCTION("""COMPUTED_VALUE"""),"Pyke")</f>
        <v>Pyke</v>
      </c>
      <c r="E4050" t="str">
        <f>IFERROR(__xludf.DUMMYFUNCTION("""COMPUTED_VALUE"""),"Greg")</f>
        <v>Greg</v>
      </c>
      <c r="F4050">
        <f>IFERROR(__xludf.DUMMYFUNCTION("""COMPUTED_VALUE"""),12.200000000000001)</f>
        <v>12.2</v>
      </c>
    </row>
    <row r="4051">
      <c r="D4051" t="str">
        <f>IFERROR(__xludf.DUMMYFUNCTION("""COMPUTED_VALUE"""),"Qualls")</f>
        <v>Qualls</v>
      </c>
      <c r="E4051" t="str">
        <f>IFERROR(__xludf.DUMMYFUNCTION("""COMPUTED_VALUE"""),"Elijah")</f>
        <v>Elijah</v>
      </c>
      <c r="F4051">
        <f>IFERROR(__xludf.DUMMYFUNCTION("""COMPUTED_VALUE"""),13.8)</f>
        <v>13.8</v>
      </c>
    </row>
    <row r="4052">
      <c r="D4052" t="str">
        <f>IFERROR(__xludf.DUMMYFUNCTION("""COMPUTED_VALUE"""),"Quessenberry")</f>
        <v>Quessenberry</v>
      </c>
      <c r="E4052" t="str">
        <f>IFERROR(__xludf.DUMMYFUNCTION("""COMPUTED_VALUE"""),"David")</f>
        <v>David</v>
      </c>
      <c r="F4052">
        <f>IFERROR(__xludf.DUMMYFUNCTION("""COMPUTED_VALUE"""),13.200000000000001)</f>
        <v>13.2</v>
      </c>
    </row>
    <row r="4053">
      <c r="D4053" t="str">
        <f>IFERROR(__xludf.DUMMYFUNCTION("""COMPUTED_VALUE"""),"Quick")</f>
        <v>Quick</v>
      </c>
      <c r="E4053" t="str">
        <f>IFERROR(__xludf.DUMMYFUNCTION("""COMPUTED_VALUE"""),"Brian")</f>
        <v>Brian</v>
      </c>
      <c r="F4053">
        <f>IFERROR(__xludf.DUMMYFUNCTION("""COMPUTED_VALUE"""),15.4)</f>
        <v>15.4</v>
      </c>
    </row>
    <row r="4054">
      <c r="D4054" t="str">
        <f>IFERROR(__xludf.DUMMYFUNCTION("""COMPUTED_VALUE"""),"Quigley")</f>
        <v>Quigley</v>
      </c>
      <c r="E4054" t="str">
        <f>IFERROR(__xludf.DUMMYFUNCTION("""COMPUTED_VALUE"""),"Ryan")</f>
        <v>Ryan</v>
      </c>
      <c r="F4054">
        <f>IFERROR(__xludf.DUMMYFUNCTION("""COMPUTED_VALUE"""),15.200000000000001)</f>
        <v>15.2</v>
      </c>
    </row>
    <row r="4055">
      <c r="D4055" t="str">
        <f>IFERROR(__xludf.DUMMYFUNCTION("""COMPUTED_VALUE"""),"Quin")</f>
        <v>Quin</v>
      </c>
      <c r="E4055" t="str">
        <f>IFERROR(__xludf.DUMMYFUNCTION("""COMPUTED_VALUE"""),"Glover")</f>
        <v>Glover</v>
      </c>
      <c r="F4055">
        <f>IFERROR(__xludf.DUMMYFUNCTION("""COMPUTED_VALUE"""),16.400000000000002)</f>
        <v>16.4</v>
      </c>
    </row>
    <row r="4056">
      <c r="D4056" t="str">
        <f>IFERROR(__xludf.DUMMYFUNCTION("""COMPUTED_VALUE"""),"Quinn")</f>
        <v>Quinn</v>
      </c>
      <c r="E4056" t="str">
        <f>IFERROR(__xludf.DUMMYFUNCTION("""COMPUTED_VALUE"""),"Robert")</f>
        <v>Robert</v>
      </c>
      <c r="F4056">
        <f>IFERROR(__xludf.DUMMYFUNCTION("""COMPUTED_VALUE"""),16.2)</f>
        <v>16.2</v>
      </c>
    </row>
    <row r="4057">
      <c r="D4057" t="str">
        <f>IFERROR(__xludf.DUMMYFUNCTION("""COMPUTED_VALUE"""),"Qvale")</f>
        <v>Qvale</v>
      </c>
      <c r="E4057" t="str">
        <f>IFERROR(__xludf.DUMMYFUNCTION("""COMPUTED_VALUE"""),"Brent")</f>
        <v>Brent</v>
      </c>
      <c r="F4057">
        <f>IFERROR(__xludf.DUMMYFUNCTION("""COMPUTED_VALUE"""),13.8)</f>
        <v>13.8</v>
      </c>
    </row>
    <row r="4058">
      <c r="D4058" t="str">
        <f>IFERROR(__xludf.DUMMYFUNCTION("""COMPUTED_VALUE"""),"Ragland")</f>
        <v>Ragland</v>
      </c>
      <c r="E4058" t="str">
        <f>IFERROR(__xludf.DUMMYFUNCTION("""COMPUTED_VALUE"""),"Reggie")</f>
        <v>Reggie</v>
      </c>
      <c r="F4058">
        <f>IFERROR(__xludf.DUMMYFUNCTION("""COMPUTED_VALUE"""),14.600000000000001)</f>
        <v>14.6</v>
      </c>
    </row>
    <row r="4059">
      <c r="D4059" t="str">
        <f>IFERROR(__xludf.DUMMYFUNCTION("""COMPUTED_VALUE"""),"Ramczyk")</f>
        <v>Ramczyk</v>
      </c>
      <c r="E4059" t="str">
        <f>IFERROR(__xludf.DUMMYFUNCTION("""COMPUTED_VALUE"""),"Ryan")</f>
        <v>Ryan</v>
      </c>
      <c r="F4059">
        <f>IFERROR(__xludf.DUMMYFUNCTION("""COMPUTED_VALUE"""),15.600000000000001)</f>
        <v>15.6</v>
      </c>
    </row>
    <row r="4060">
      <c r="D4060" t="str">
        <f>IFERROR(__xludf.DUMMYFUNCTION("""COMPUTED_VALUE"""),"Randall")</f>
        <v>Randall</v>
      </c>
      <c r="E4060" t="str">
        <f>IFERROR(__xludf.DUMMYFUNCTION("""COMPUTED_VALUE"""),"Damarious")</f>
        <v>Damarious</v>
      </c>
      <c r="F4060">
        <f>IFERROR(__xludf.DUMMYFUNCTION("""COMPUTED_VALUE"""),15.4)</f>
        <v>15.4</v>
      </c>
    </row>
    <row r="4061">
      <c r="D4061" t="str">
        <f>IFERROR(__xludf.DUMMYFUNCTION("""COMPUTED_VALUE"""),"Randle")</f>
        <v>Randle</v>
      </c>
      <c r="E4061" t="str">
        <f>IFERROR(__xludf.DUMMYFUNCTION("""COMPUTED_VALUE"""),"Rueben")</f>
        <v>Rueben</v>
      </c>
      <c r="F4061">
        <f>IFERROR(__xludf.DUMMYFUNCTION("""COMPUTED_VALUE"""),14.200000000000001)</f>
        <v>14.2</v>
      </c>
    </row>
    <row r="4062">
      <c r="D4062" t="str">
        <f>IFERROR(__xludf.DUMMYFUNCTION("""COMPUTED_VALUE"""),"Rankins")</f>
        <v>Rankins</v>
      </c>
      <c r="E4062" t="str">
        <f>IFERROR(__xludf.DUMMYFUNCTION("""COMPUTED_VALUE"""),"Sheldon")</f>
        <v>Sheldon</v>
      </c>
      <c r="F4062">
        <f>IFERROR(__xludf.DUMMYFUNCTION("""COMPUTED_VALUE"""),15.600000000000001)</f>
        <v>15.6</v>
      </c>
    </row>
    <row r="4063">
      <c r="D4063" t="str">
        <f>IFERROR(__xludf.DUMMYFUNCTION("""COMPUTED_VALUE"""),"Rawls")</f>
        <v>Rawls</v>
      </c>
      <c r="E4063" t="str">
        <f>IFERROR(__xludf.DUMMYFUNCTION("""COMPUTED_VALUE"""),"Thomas")</f>
        <v>Thomas</v>
      </c>
      <c r="F4063">
        <f>IFERROR(__xludf.DUMMYFUNCTION("""COMPUTED_VALUE"""),16.6)</f>
        <v>16.6</v>
      </c>
    </row>
    <row r="4064">
      <c r="D4064" t="str">
        <f>IFERROR(__xludf.DUMMYFUNCTION("""COMPUTED_VALUE"""),"Ray")</f>
        <v>Ray</v>
      </c>
      <c r="E4064" t="str">
        <f>IFERROR(__xludf.DUMMYFUNCTION("""COMPUTED_VALUE"""),"Shane")</f>
        <v>Shane</v>
      </c>
      <c r="F4064">
        <f>IFERROR(__xludf.DUMMYFUNCTION("""COMPUTED_VALUE"""),15.8)</f>
        <v>15.8</v>
      </c>
    </row>
    <row r="4065">
      <c r="D4065" t="str">
        <f>IFERROR(__xludf.DUMMYFUNCTION("""COMPUTED_VALUE"""),"Raymond")</f>
        <v>Raymond</v>
      </c>
      <c r="E4065" t="str">
        <f>IFERROR(__xludf.DUMMYFUNCTION("""COMPUTED_VALUE"""),"Kalif")</f>
        <v>Kalif</v>
      </c>
      <c r="F4065">
        <f>IFERROR(__xludf.DUMMYFUNCTION("""COMPUTED_VALUE"""),12.8)</f>
        <v>12.8</v>
      </c>
    </row>
    <row r="4066">
      <c r="D4066" t="str">
        <f>IFERROR(__xludf.DUMMYFUNCTION("""COMPUTED_VALUE"""),"Reader")</f>
        <v>Reader</v>
      </c>
      <c r="E4066" t="str">
        <f>IFERROR(__xludf.DUMMYFUNCTION("""COMPUTED_VALUE"""),"DJ")</f>
        <v>DJ</v>
      </c>
      <c r="F4066">
        <f>IFERROR(__xludf.DUMMYFUNCTION("""COMPUTED_VALUE"""),13.4)</f>
        <v>13.4</v>
      </c>
    </row>
    <row r="4067">
      <c r="D4067" t="str">
        <f>IFERROR(__xludf.DUMMYFUNCTION("""COMPUTED_VALUE"""),"Reaser")</f>
        <v>Reaser</v>
      </c>
      <c r="E4067" t="str">
        <f>IFERROR(__xludf.DUMMYFUNCTION("""COMPUTED_VALUE"""),"Keith")</f>
        <v>Keith</v>
      </c>
      <c r="F4067">
        <f>IFERROR(__xludf.DUMMYFUNCTION("""COMPUTED_VALUE"""),14.200000000000001)</f>
        <v>14.2</v>
      </c>
    </row>
    <row r="4068">
      <c r="D4068" t="str">
        <f>IFERROR(__xludf.DUMMYFUNCTION("""COMPUTED_VALUE"""),"Reddick")</f>
        <v>Reddick</v>
      </c>
      <c r="E4068" t="str">
        <f>IFERROR(__xludf.DUMMYFUNCTION("""COMPUTED_VALUE"""),"Haason")</f>
        <v>Haason</v>
      </c>
      <c r="F4068">
        <f>IFERROR(__xludf.DUMMYFUNCTION("""COMPUTED_VALUE"""),14.600000000000001)</f>
        <v>14.6</v>
      </c>
    </row>
    <row r="4069">
      <c r="D4069" t="str">
        <f>IFERROR(__xludf.DUMMYFUNCTION("""COMPUTED_VALUE"""),"Redfern")</f>
        <v>Redfern</v>
      </c>
      <c r="E4069" t="str">
        <f>IFERROR(__xludf.DUMMYFUNCTION("""COMPUTED_VALUE"""),"Kasey")</f>
        <v>Kasey</v>
      </c>
      <c r="F4069">
        <f>IFERROR(__xludf.DUMMYFUNCTION("""COMPUTED_VALUE"""),13.8)</f>
        <v>13.8</v>
      </c>
    </row>
    <row r="4070">
      <c r="D4070" t="str">
        <f>IFERROR(__xludf.DUMMYFUNCTION("""COMPUTED_VALUE"""),"Redmond")</f>
        <v>Redmond</v>
      </c>
      <c r="E4070" t="str">
        <f>IFERROR(__xludf.DUMMYFUNCTION("""COMPUTED_VALUE"""),"Alex")</f>
        <v>Alex</v>
      </c>
      <c r="F4070">
        <f>IFERROR(__xludf.DUMMYFUNCTION("""COMPUTED_VALUE"""),11.600000000000001)</f>
        <v>11.6</v>
      </c>
    </row>
    <row r="4071">
      <c r="D4071" t="str">
        <f>IFERROR(__xludf.DUMMYFUNCTION("""COMPUTED_VALUE"""),"Redmond")</f>
        <v>Redmond</v>
      </c>
      <c r="E4071" t="str">
        <f>IFERROR(__xludf.DUMMYFUNCTION("""COMPUTED_VALUE"""),"Will")</f>
        <v>Will</v>
      </c>
      <c r="F4071">
        <f>IFERROR(__xludf.DUMMYFUNCTION("""COMPUTED_VALUE"""),13.4)</f>
        <v>13.4</v>
      </c>
    </row>
    <row r="4072">
      <c r="D4072" t="str">
        <f>IFERROR(__xludf.DUMMYFUNCTION("""COMPUTED_VALUE"""),"Reed")</f>
        <v>Reed</v>
      </c>
      <c r="E4072" t="str">
        <f>IFERROR(__xludf.DUMMYFUNCTION("""COMPUTED_VALUE"""),"Brooks")</f>
        <v>Brooks</v>
      </c>
      <c r="F4072">
        <f>IFERROR(__xludf.DUMMYFUNCTION("""COMPUTED_VALUE"""),15.200000000000001)</f>
        <v>15.2</v>
      </c>
    </row>
    <row r="4073">
      <c r="D4073" t="str">
        <f>IFERROR(__xludf.DUMMYFUNCTION("""COMPUTED_VALUE"""),"Reed")</f>
        <v>Reed</v>
      </c>
      <c r="E4073" t="str">
        <f>IFERROR(__xludf.DUMMYFUNCTION("""COMPUTED_VALUE"""),"Chris")</f>
        <v>Chris</v>
      </c>
      <c r="F4073">
        <f>IFERROR(__xludf.DUMMYFUNCTION("""COMPUTED_VALUE"""),13.600000000000001)</f>
        <v>13.6</v>
      </c>
    </row>
    <row r="4074">
      <c r="D4074" t="str">
        <f>IFERROR(__xludf.DUMMYFUNCTION("""COMPUTED_VALUE"""),"Reed")</f>
        <v>Reed</v>
      </c>
      <c r="E4074" t="str">
        <f>IFERROR(__xludf.DUMMYFUNCTION("""COMPUTED_VALUE"""),"Jarran")</f>
        <v>Jarran</v>
      </c>
      <c r="F4074">
        <f>IFERROR(__xludf.DUMMYFUNCTION("""COMPUTED_VALUE"""),14.600000000000001)</f>
        <v>14.6</v>
      </c>
    </row>
    <row r="4075">
      <c r="D4075" t="str">
        <f>IFERROR(__xludf.DUMMYFUNCTION("""COMPUTED_VALUE"""),"Reed")</f>
        <v>Reed</v>
      </c>
      <c r="E4075" t="str">
        <f>IFERROR(__xludf.DUMMYFUNCTION("""COMPUTED_VALUE"""),"Jordan")</f>
        <v>Jordan</v>
      </c>
      <c r="F4075">
        <f>IFERROR(__xludf.DUMMYFUNCTION("""COMPUTED_VALUE"""),18.2)</f>
        <v>18.2</v>
      </c>
    </row>
    <row r="4076">
      <c r="D4076" t="str">
        <f>IFERROR(__xludf.DUMMYFUNCTION("""COMPUTED_VALUE"""),"Reed")</f>
        <v>Reed</v>
      </c>
      <c r="E4076" t="str">
        <f>IFERROR(__xludf.DUMMYFUNCTION("""COMPUTED_VALUE"""),"Kalan")</f>
        <v>Kalan</v>
      </c>
      <c r="F4076">
        <f>IFERROR(__xludf.DUMMYFUNCTION("""COMPUTED_VALUE"""),12.8)</f>
        <v>12.8</v>
      </c>
    </row>
    <row r="4077">
      <c r="D4077" t="str">
        <f>IFERROR(__xludf.DUMMYFUNCTION("""COMPUTED_VALUE"""),"Reed")</f>
        <v>Reed</v>
      </c>
      <c r="E4077" t="str">
        <f>IFERROR(__xludf.DUMMYFUNCTION("""COMPUTED_VALUE"""),"Trovon")</f>
        <v>Trovon</v>
      </c>
      <c r="F4077">
        <f>IFERROR(__xludf.DUMMYFUNCTION("""COMPUTED_VALUE"""),13.200000000000001)</f>
        <v>13.2</v>
      </c>
    </row>
    <row r="4078">
      <c r="D4078" t="str">
        <f>IFERROR(__xludf.DUMMYFUNCTION("""COMPUTED_VALUE"""),"Reedy")</f>
        <v>Reedy</v>
      </c>
      <c r="E4078" t="str">
        <f>IFERROR(__xludf.DUMMYFUNCTION("""COMPUTED_VALUE"""),"Bernard")</f>
        <v>Bernard</v>
      </c>
      <c r="F4078">
        <f>IFERROR(__xludf.DUMMYFUNCTION("""COMPUTED_VALUE"""),12.0)</f>
        <v>12</v>
      </c>
    </row>
    <row r="4079">
      <c r="D4079" t="str">
        <f>IFERROR(__xludf.DUMMYFUNCTION("""COMPUTED_VALUE"""),"Reeves-Maybin")</f>
        <v>Reeves-Maybin</v>
      </c>
      <c r="E4079" t="str">
        <f>IFERROR(__xludf.DUMMYFUNCTION("""COMPUTED_VALUE"""),"Jalen")</f>
        <v>Jalen</v>
      </c>
      <c r="F4079">
        <f>IFERROR(__xludf.DUMMYFUNCTION("""COMPUTED_VALUE"""),13.4)</f>
        <v>13.4</v>
      </c>
    </row>
    <row r="4080">
      <c r="D4080" t="str">
        <f>IFERROR(__xludf.DUMMYFUNCTION("""COMPUTED_VALUE"""),"Reid")</f>
        <v>Reid</v>
      </c>
      <c r="E4080" t="str">
        <f>IFERROR(__xludf.DUMMYFUNCTION("""COMPUTED_VALUE"""),"Caraun")</f>
        <v>Caraun</v>
      </c>
      <c r="F4080">
        <f>IFERROR(__xludf.DUMMYFUNCTION("""COMPUTED_VALUE"""),13.600000000000001)</f>
        <v>13.6</v>
      </c>
    </row>
    <row r="4081">
      <c r="D4081" t="str">
        <f>IFERROR(__xludf.DUMMYFUNCTION("""COMPUTED_VALUE"""),"Reid")</f>
        <v>Reid</v>
      </c>
      <c r="E4081" t="str">
        <f>IFERROR(__xludf.DUMMYFUNCTION("""COMPUTED_VALUE"""),"Eric")</f>
        <v>Eric</v>
      </c>
      <c r="F4081">
        <f>IFERROR(__xludf.DUMMYFUNCTION("""COMPUTED_VALUE"""),15.4)</f>
        <v>15.4</v>
      </c>
    </row>
    <row r="4082">
      <c r="D4082" t="str">
        <f>IFERROR(__xludf.DUMMYFUNCTION("""COMPUTED_VALUE"""),"Reid")</f>
        <v>Reid</v>
      </c>
      <c r="E4082" t="str">
        <f>IFERROR(__xludf.DUMMYFUNCTION("""COMPUTED_VALUE"""),"Jah")</f>
        <v>Jah</v>
      </c>
      <c r="F4082">
        <f>IFERROR(__xludf.DUMMYFUNCTION("""COMPUTED_VALUE"""),14.600000000000001)</f>
        <v>14.6</v>
      </c>
    </row>
    <row r="4083">
      <c r="D4083" t="str">
        <f>IFERROR(__xludf.DUMMYFUNCTION("""COMPUTED_VALUE"""),"Reiff")</f>
        <v>Reiff</v>
      </c>
      <c r="E4083" t="str">
        <f>IFERROR(__xludf.DUMMYFUNCTION("""COMPUTED_VALUE"""),"Riley")</f>
        <v>Riley</v>
      </c>
      <c r="F4083">
        <f>IFERROR(__xludf.DUMMYFUNCTION("""COMPUTED_VALUE"""),14.200000000000001)</f>
        <v>14.2</v>
      </c>
    </row>
    <row r="4084">
      <c r="D4084" t="str">
        <f>IFERROR(__xludf.DUMMYFUNCTION("""COMPUTED_VALUE"""),"Reilly")</f>
        <v>Reilly</v>
      </c>
      <c r="E4084" t="str">
        <f>IFERROR(__xludf.DUMMYFUNCTION("""COMPUTED_VALUE"""),"Trevor")</f>
        <v>Trevor</v>
      </c>
      <c r="F4084">
        <f>IFERROR(__xludf.DUMMYFUNCTION("""COMPUTED_VALUE"""),13.4)</f>
        <v>13.4</v>
      </c>
    </row>
    <row r="4085">
      <c r="D4085" t="str">
        <f>IFERROR(__xludf.DUMMYFUNCTION("""COMPUTED_VALUE"""),"Remmers")</f>
        <v>Remmers</v>
      </c>
      <c r="E4085" t="str">
        <f>IFERROR(__xludf.DUMMYFUNCTION("""COMPUTED_VALUE"""),"Mike")</f>
        <v>Mike</v>
      </c>
      <c r="F4085">
        <f>IFERROR(__xludf.DUMMYFUNCTION("""COMPUTED_VALUE"""),14.600000000000001)</f>
        <v>14.6</v>
      </c>
    </row>
    <row r="4086">
      <c r="D4086" t="str">
        <f>IFERROR(__xludf.DUMMYFUNCTION("""COMPUTED_VALUE"""),"Renew")</f>
        <v>Renew</v>
      </c>
      <c r="E4086" t="str">
        <f>IFERROR(__xludf.DUMMYFUNCTION("""COMPUTED_VALUE"""),"Tyler")</f>
        <v>Tyler</v>
      </c>
      <c r="F4086">
        <f>IFERROR(__xludf.DUMMYFUNCTION("""COMPUTED_VALUE"""),14.0)</f>
        <v>14</v>
      </c>
    </row>
    <row r="4087">
      <c r="D4087" t="str">
        <f>IFERROR(__xludf.DUMMYFUNCTION("""COMPUTED_VALUE"""),"Rey")</f>
        <v>Rey</v>
      </c>
      <c r="E4087" t="str">
        <f>IFERROR(__xludf.DUMMYFUNCTION("""COMPUTED_VALUE"""),"Vincent")</f>
        <v>Vincent</v>
      </c>
      <c r="F4087">
        <f>IFERROR(__xludf.DUMMYFUNCTION("""COMPUTED_VALUE"""),16.0)</f>
        <v>16</v>
      </c>
    </row>
    <row r="4088">
      <c r="D4088" t="str">
        <f>IFERROR(__xludf.DUMMYFUNCTION("""COMPUTED_VALUE"""),"Reynolds")</f>
        <v>Reynolds</v>
      </c>
      <c r="E4088" t="str">
        <f>IFERROR(__xludf.DUMMYFUNCTION("""COMPUTED_VALUE"""),"Josh")</f>
        <v>Josh</v>
      </c>
      <c r="F4088">
        <f>IFERROR(__xludf.DUMMYFUNCTION("""COMPUTED_VALUE"""),14.4)</f>
        <v>14.4</v>
      </c>
    </row>
    <row r="4089">
      <c r="D4089" t="str">
        <f>IFERROR(__xludf.DUMMYFUNCTION("""COMPUTED_VALUE"""),"Reynolds")</f>
        <v>Reynolds</v>
      </c>
      <c r="E4089" t="str">
        <f>IFERROR(__xludf.DUMMYFUNCTION("""COMPUTED_VALUE"""),"Keenan")</f>
        <v>Keenan</v>
      </c>
      <c r="F4089">
        <f>IFERROR(__xludf.DUMMYFUNCTION("""COMPUTED_VALUE"""),12.200000000000001)</f>
        <v>12.2</v>
      </c>
    </row>
    <row r="4090">
      <c r="D4090" t="str">
        <f>IFERROR(__xludf.DUMMYFUNCTION("""COMPUTED_VALUE"""),"Reynolds")</f>
        <v>Reynolds</v>
      </c>
      <c r="E4090" t="str">
        <f>IFERROR(__xludf.DUMMYFUNCTION("""COMPUTED_VALUE"""),"LaRoy")</f>
        <v>LaRoy</v>
      </c>
      <c r="F4090">
        <f>IFERROR(__xludf.DUMMYFUNCTION("""COMPUTED_VALUE"""),13.4)</f>
        <v>13.4</v>
      </c>
    </row>
    <row r="4091">
      <c r="D4091" t="str">
        <f>IFERROR(__xludf.DUMMYFUNCTION("""COMPUTED_VALUE"""),"Reynolds")</f>
        <v>Reynolds</v>
      </c>
      <c r="E4091" t="str">
        <f>IFERROR(__xludf.DUMMYFUNCTION("""COMPUTED_VALUE"""),"Taylor")</f>
        <v>Taylor</v>
      </c>
      <c r="F4091">
        <f>IFERROR(__xludf.DUMMYFUNCTION("""COMPUTED_VALUE"""),11.600000000000001)</f>
        <v>11.6</v>
      </c>
    </row>
    <row r="4092">
      <c r="D4092" t="str">
        <f>IFERROR(__xludf.DUMMYFUNCTION("""COMPUTED_VALUE"""),"Reynolds II")</f>
        <v>Reynolds II</v>
      </c>
      <c r="E4092" t="str">
        <f>IFERROR(__xludf.DUMMYFUNCTION("""COMPUTED_VALUE"""),"Ed")</f>
        <v>Ed</v>
      </c>
      <c r="F4092">
        <f>IFERROR(__xludf.DUMMYFUNCTION("""COMPUTED_VALUE"""),13.600000000000001)</f>
        <v>13.6</v>
      </c>
    </row>
    <row r="4093">
      <c r="D4093" t="str">
        <f>IFERROR(__xludf.DUMMYFUNCTION("""COMPUTED_VALUE"""),"Rhodes")</f>
        <v>Rhodes</v>
      </c>
      <c r="E4093" t="str">
        <f>IFERROR(__xludf.DUMMYFUNCTION("""COMPUTED_VALUE"""),"Luke")</f>
        <v>Luke</v>
      </c>
      <c r="F4093">
        <f>IFERROR(__xludf.DUMMYFUNCTION("""COMPUTED_VALUE"""),11.600000000000001)</f>
        <v>11.6</v>
      </c>
    </row>
    <row r="4094">
      <c r="D4094" t="str">
        <f>IFERROR(__xludf.DUMMYFUNCTION("""COMPUTED_VALUE"""),"Rhodes")</f>
        <v>Rhodes</v>
      </c>
      <c r="E4094" t="str">
        <f>IFERROR(__xludf.DUMMYFUNCTION("""COMPUTED_VALUE"""),"Xavier")</f>
        <v>Xavier</v>
      </c>
      <c r="F4094">
        <f>IFERROR(__xludf.DUMMYFUNCTION("""COMPUTED_VALUE"""),17.6)</f>
        <v>17.6</v>
      </c>
    </row>
    <row r="4095">
      <c r="D4095" t="str">
        <f>IFERROR(__xludf.DUMMYFUNCTION("""COMPUTED_VALUE"""),"Rice")</f>
        <v>Rice</v>
      </c>
      <c r="E4095" t="str">
        <f>IFERROR(__xludf.DUMMYFUNCTION("""COMPUTED_VALUE"""),"Denzel")</f>
        <v>Denzel</v>
      </c>
      <c r="F4095">
        <f>IFERROR(__xludf.DUMMYFUNCTION("""COMPUTED_VALUE"""),12.4)</f>
        <v>12.4</v>
      </c>
    </row>
    <row r="4096">
      <c r="D4096" t="str">
        <f>IFERROR(__xludf.DUMMYFUNCTION("""COMPUTED_VALUE"""),"Richard")</f>
        <v>Richard</v>
      </c>
      <c r="E4096" t="str">
        <f>IFERROR(__xludf.DUMMYFUNCTION("""COMPUTED_VALUE"""),"Jalen")</f>
        <v>Jalen</v>
      </c>
      <c r="F4096">
        <f>IFERROR(__xludf.DUMMYFUNCTION("""COMPUTED_VALUE"""),15.4)</f>
        <v>15.4</v>
      </c>
    </row>
    <row r="4097">
      <c r="D4097" t="str">
        <f>IFERROR(__xludf.DUMMYFUNCTION("""COMPUTED_VALUE"""),"Richards")</f>
        <v>Richards</v>
      </c>
      <c r="E4097" t="str">
        <f>IFERROR(__xludf.DUMMYFUNCTION("""COMPUTED_VALUE"""),"Jordan")</f>
        <v>Jordan</v>
      </c>
      <c r="F4097">
        <f>IFERROR(__xludf.DUMMYFUNCTION("""COMPUTED_VALUE"""),13.4)</f>
        <v>13.4</v>
      </c>
    </row>
    <row r="4098">
      <c r="D4098" t="str">
        <f>IFERROR(__xludf.DUMMYFUNCTION("""COMPUTED_VALUE"""),"Richardson")</f>
        <v>Richardson</v>
      </c>
      <c r="E4098" t="str">
        <f>IFERROR(__xludf.DUMMYFUNCTION("""COMPUTED_VALUE"""),"Cyril")</f>
        <v>Cyril</v>
      </c>
      <c r="F4098">
        <f>IFERROR(__xludf.DUMMYFUNCTION("""COMPUTED_VALUE"""),12.600000000000001)</f>
        <v>12.6</v>
      </c>
    </row>
    <row r="4099">
      <c r="D4099" t="str">
        <f>IFERROR(__xludf.DUMMYFUNCTION("""COMPUTED_VALUE"""),"Richardson")</f>
        <v>Richardson</v>
      </c>
      <c r="E4099" t="str">
        <f>IFERROR(__xludf.DUMMYFUNCTION("""COMPUTED_VALUE"""),"Paul")</f>
        <v>Paul</v>
      </c>
      <c r="F4099">
        <f>IFERROR(__xludf.DUMMYFUNCTION("""COMPUTED_VALUE"""),15.0)</f>
        <v>15</v>
      </c>
    </row>
    <row r="4100">
      <c r="D4100" t="str">
        <f>IFERROR(__xludf.DUMMYFUNCTION("""COMPUTED_VALUE"""),"Richardson")</f>
        <v>Richardson</v>
      </c>
      <c r="E4100" t="str">
        <f>IFERROR(__xludf.DUMMYFUNCTION("""COMPUTED_VALUE"""),"Sheldon")</f>
        <v>Sheldon</v>
      </c>
      <c r="F4100">
        <f>IFERROR(__xludf.DUMMYFUNCTION("""COMPUTED_VALUE"""),16.2)</f>
        <v>16.2</v>
      </c>
    </row>
    <row r="4101">
      <c r="D4101" t="str">
        <f>IFERROR(__xludf.DUMMYFUNCTION("""COMPUTED_VALUE"""),"Richburg")</f>
        <v>Richburg</v>
      </c>
      <c r="E4101" t="str">
        <f>IFERROR(__xludf.DUMMYFUNCTION("""COMPUTED_VALUE"""),"Weston")</f>
        <v>Weston</v>
      </c>
      <c r="F4101">
        <f>IFERROR(__xludf.DUMMYFUNCTION("""COMPUTED_VALUE"""),17.2)</f>
        <v>17.2</v>
      </c>
    </row>
    <row r="4102">
      <c r="D4102" t="str">
        <f>IFERROR(__xludf.DUMMYFUNCTION("""COMPUTED_VALUE"""),"Riddick")</f>
        <v>Riddick</v>
      </c>
      <c r="E4102" t="str">
        <f>IFERROR(__xludf.DUMMYFUNCTION("""COMPUTED_VALUE"""),"Theo")</f>
        <v>Theo</v>
      </c>
      <c r="F4102">
        <f>IFERROR(__xludf.DUMMYFUNCTION("""COMPUTED_VALUE"""),16.400000000000002)</f>
        <v>16.4</v>
      </c>
    </row>
    <row r="4103">
      <c r="D4103" t="str">
        <f>IFERROR(__xludf.DUMMYFUNCTION("""COMPUTED_VALUE"""),"Ridgeway")</f>
        <v>Ridgeway</v>
      </c>
      <c r="E4103" t="str">
        <f>IFERROR(__xludf.DUMMYFUNCTION("""COMPUTED_VALUE"""),"Hassan")</f>
        <v>Hassan</v>
      </c>
      <c r="F4103">
        <f>IFERROR(__xludf.DUMMYFUNCTION("""COMPUTED_VALUE"""),13.8)</f>
        <v>13.8</v>
      </c>
    </row>
    <row r="4104">
      <c r="D4104" t="str">
        <f>IFERROR(__xludf.DUMMYFUNCTION("""COMPUTED_VALUE"""),"Riggs")</f>
        <v>Riggs</v>
      </c>
      <c r="E4104" t="str">
        <f>IFERROR(__xludf.DUMMYFUNCTION("""COMPUTED_VALUE"""),"Cody")</f>
        <v>Cody</v>
      </c>
      <c r="F4104">
        <f>IFERROR(__xludf.DUMMYFUNCTION("""COMPUTED_VALUE"""),14.200000000000001)</f>
        <v>14.2</v>
      </c>
    </row>
    <row r="4105">
      <c r="D4105" t="str">
        <f>IFERROR(__xludf.DUMMYFUNCTION("""COMPUTED_VALUE"""),"Riley")</f>
        <v>Riley</v>
      </c>
      <c r="E4105" t="str">
        <f>IFERROR(__xludf.DUMMYFUNCTION("""COMPUTED_VALUE"""),"Curtis")</f>
        <v>Curtis</v>
      </c>
      <c r="F4105">
        <f>IFERROR(__xludf.DUMMYFUNCTION("""COMPUTED_VALUE"""),12.200000000000001)</f>
        <v>12.2</v>
      </c>
    </row>
    <row r="4106">
      <c r="D4106" t="str">
        <f>IFERROR(__xludf.DUMMYFUNCTION("""COMPUTED_VALUE"""),"Riley")</f>
        <v>Riley</v>
      </c>
      <c r="E4106" t="str">
        <f>IFERROR(__xludf.DUMMYFUNCTION("""COMPUTED_VALUE"""),"Duke")</f>
        <v>Duke</v>
      </c>
      <c r="F4106">
        <f>IFERROR(__xludf.DUMMYFUNCTION("""COMPUTED_VALUE"""),14.200000000000001)</f>
        <v>14.2</v>
      </c>
    </row>
    <row r="4107">
      <c r="D4107" t="str">
        <f>IFERROR(__xludf.DUMMYFUNCTION("""COMPUTED_VALUE"""),"Ringo")</f>
        <v>Ringo</v>
      </c>
      <c r="E4107" t="str">
        <f>IFERROR(__xludf.DUMMYFUNCTION("""COMPUTED_VALUE"""),"Christian")</f>
        <v>Christian</v>
      </c>
      <c r="F4107">
        <f>IFERROR(__xludf.DUMMYFUNCTION("""COMPUTED_VALUE"""),13.200000000000001)</f>
        <v>13.2</v>
      </c>
    </row>
    <row r="4108">
      <c r="D4108" t="str">
        <f>IFERROR(__xludf.DUMMYFUNCTION("""COMPUTED_VALUE"""),"Ripkowski")</f>
        <v>Ripkowski</v>
      </c>
      <c r="E4108" t="str">
        <f>IFERROR(__xludf.DUMMYFUNCTION("""COMPUTED_VALUE"""),"Aaron")</f>
        <v>Aaron</v>
      </c>
      <c r="F4108">
        <f>IFERROR(__xludf.DUMMYFUNCTION("""COMPUTED_VALUE"""),16.6)</f>
        <v>16.6</v>
      </c>
    </row>
    <row r="4109">
      <c r="D4109" t="str">
        <f>IFERROR(__xludf.DUMMYFUNCTION("""COMPUTED_VALUE"""),"Rivera")</f>
        <v>Rivera</v>
      </c>
      <c r="E4109" t="str">
        <f>IFERROR(__xludf.DUMMYFUNCTION("""COMPUTED_VALUE"""),"Mychal")</f>
        <v>Mychal</v>
      </c>
      <c r="F4109">
        <f>IFERROR(__xludf.DUMMYFUNCTION("""COMPUTED_VALUE"""),14.600000000000001)</f>
        <v>14.6</v>
      </c>
    </row>
    <row r="4110">
      <c r="D4110" t="str">
        <f>IFERROR(__xludf.DUMMYFUNCTION("""COMPUTED_VALUE"""),"Rivers")</f>
        <v>Rivers</v>
      </c>
      <c r="E4110" t="str">
        <f>IFERROR(__xludf.DUMMYFUNCTION("""COMPUTED_VALUE"""),"Derek")</f>
        <v>Derek</v>
      </c>
      <c r="F4110">
        <f>IFERROR(__xludf.DUMMYFUNCTION("""COMPUTED_VALUE"""),14.4)</f>
        <v>14.4</v>
      </c>
    </row>
    <row r="4111">
      <c r="D4111" t="str">
        <f>IFERROR(__xludf.DUMMYFUNCTION("""COMPUTED_VALUE"""),"Rivers")</f>
        <v>Rivers</v>
      </c>
      <c r="E4111" t="str">
        <f>IFERROR(__xludf.DUMMYFUNCTION("""COMPUTED_VALUE"""),"Philip")</f>
        <v>Philip</v>
      </c>
      <c r="F4111">
        <f>IFERROR(__xludf.DUMMYFUNCTION("""COMPUTED_VALUE"""),16.8)</f>
        <v>16.8</v>
      </c>
    </row>
    <row r="4112">
      <c r="D4112" t="str">
        <f>IFERROR(__xludf.DUMMYFUNCTION("""COMPUTED_VALUE"""),"Roberson")</f>
        <v>Roberson</v>
      </c>
      <c r="E4112" t="str">
        <f>IFERROR(__xludf.DUMMYFUNCTION("""COMPUTED_VALUE"""),"Marcus")</f>
        <v>Marcus</v>
      </c>
      <c r="F4112">
        <f>IFERROR(__xludf.DUMMYFUNCTION("""COMPUTED_VALUE"""),13.600000000000001)</f>
        <v>13.6</v>
      </c>
    </row>
    <row r="4113">
      <c r="D4113" t="str">
        <f>IFERROR(__xludf.DUMMYFUNCTION("""COMPUTED_VALUE"""),"Roberts")</f>
        <v>Roberts</v>
      </c>
      <c r="E4113" t="str">
        <f>IFERROR(__xludf.DUMMYFUNCTION("""COMPUTED_VALUE"""),"Andre")</f>
        <v>Andre</v>
      </c>
      <c r="F4113">
        <f>IFERROR(__xludf.DUMMYFUNCTION("""COMPUTED_VALUE"""),14.4)</f>
        <v>14.4</v>
      </c>
    </row>
    <row r="4114">
      <c r="D4114" t="str">
        <f>IFERROR(__xludf.DUMMYFUNCTION("""COMPUTED_VALUE"""),"Roberts")</f>
        <v>Roberts</v>
      </c>
      <c r="E4114" t="str">
        <f>IFERROR(__xludf.DUMMYFUNCTION("""COMPUTED_VALUE"""),"Darryl")</f>
        <v>Darryl</v>
      </c>
      <c r="F4114">
        <f>IFERROR(__xludf.DUMMYFUNCTION("""COMPUTED_VALUE"""),13.600000000000001)</f>
        <v>13.6</v>
      </c>
    </row>
    <row r="4115">
      <c r="D4115" t="str">
        <f>IFERROR(__xludf.DUMMYFUNCTION("""COMPUTED_VALUE"""),"Roberts")</f>
        <v>Roberts</v>
      </c>
      <c r="E4115" t="str">
        <f>IFERROR(__xludf.DUMMYFUNCTION("""COMPUTED_VALUE"""),"Elandon")</f>
        <v>Elandon</v>
      </c>
      <c r="F4115">
        <f>IFERROR(__xludf.DUMMYFUNCTION("""COMPUTED_VALUE"""),15.0)</f>
        <v>15</v>
      </c>
    </row>
    <row r="4116">
      <c r="D4116" t="str">
        <f>IFERROR(__xludf.DUMMYFUNCTION("""COMPUTED_VALUE"""),"Roberts")</f>
        <v>Roberts</v>
      </c>
      <c r="E4116" t="str">
        <f>IFERROR(__xludf.DUMMYFUNCTION("""COMPUTED_VALUE"""),"Michael")</f>
        <v>Michael</v>
      </c>
      <c r="F4116">
        <f>IFERROR(__xludf.DUMMYFUNCTION("""COMPUTED_VALUE"""),14.200000000000001)</f>
        <v>14.2</v>
      </c>
    </row>
    <row r="4117">
      <c r="D4117" t="str">
        <f>IFERROR(__xludf.DUMMYFUNCTION("""COMPUTED_VALUE"""),"Roberts")</f>
        <v>Roberts</v>
      </c>
      <c r="E4117" t="str">
        <f>IFERROR(__xludf.DUMMYFUNCTION("""COMPUTED_VALUE"""),"Seth")</f>
        <v>Seth</v>
      </c>
      <c r="F4117">
        <f>IFERROR(__xludf.DUMMYFUNCTION("""COMPUTED_VALUE"""),14.600000000000001)</f>
        <v>14.6</v>
      </c>
    </row>
    <row r="4118">
      <c r="D4118" t="str">
        <f>IFERROR(__xludf.DUMMYFUNCTION("""COMPUTED_VALUE"""),"Robertson")</f>
        <v>Robertson</v>
      </c>
      <c r="E4118" t="str">
        <f>IFERROR(__xludf.DUMMYFUNCTION("""COMPUTED_VALUE"""),"Craig")</f>
        <v>Craig</v>
      </c>
      <c r="F4118">
        <f>IFERROR(__xludf.DUMMYFUNCTION("""COMPUTED_VALUE"""),15.4)</f>
        <v>15.4</v>
      </c>
    </row>
    <row r="4119">
      <c r="D4119" t="str">
        <f>IFERROR(__xludf.DUMMYFUNCTION("""COMPUTED_VALUE"""),"Robertson-Harris")</f>
        <v>Robertson-Harris</v>
      </c>
      <c r="E4119" t="str">
        <f>IFERROR(__xludf.DUMMYFUNCTION("""COMPUTED_VALUE"""),"Roy")</f>
        <v>Roy</v>
      </c>
      <c r="F4119">
        <f>IFERROR(__xludf.DUMMYFUNCTION("""COMPUTED_VALUE"""),12.0)</f>
        <v>12</v>
      </c>
    </row>
    <row r="4120">
      <c r="D4120" t="str">
        <f>IFERROR(__xludf.DUMMYFUNCTION("""COMPUTED_VALUE"""),"Robey-Coleman")</f>
        <v>Robey-Coleman</v>
      </c>
      <c r="E4120" t="str">
        <f>IFERROR(__xludf.DUMMYFUNCTION("""COMPUTED_VALUE"""),"Nickell")</f>
        <v>Nickell</v>
      </c>
      <c r="F4120">
        <f>IFERROR(__xludf.DUMMYFUNCTION("""COMPUTED_VALUE"""),15.8)</f>
        <v>15.8</v>
      </c>
    </row>
    <row r="4121">
      <c r="D4121" t="str">
        <f>IFERROR(__xludf.DUMMYFUNCTION("""COMPUTED_VALUE"""),"Robinson")</f>
        <v>Robinson</v>
      </c>
      <c r="E4121" t="str">
        <f>IFERROR(__xludf.DUMMYFUNCTION("""COMPUTED_VALUE"""),"Aldrick")</f>
        <v>Aldrick</v>
      </c>
      <c r="F4121">
        <f>IFERROR(__xludf.DUMMYFUNCTION("""COMPUTED_VALUE"""),14.4)</f>
        <v>14.4</v>
      </c>
    </row>
    <row r="4122">
      <c r="D4122" t="str">
        <f>IFERROR(__xludf.DUMMYFUNCTION("""COMPUTED_VALUE"""),"Robinson")</f>
        <v>Robinson</v>
      </c>
      <c r="E4122" t="str">
        <f>IFERROR(__xludf.DUMMYFUNCTION("""COMPUTED_VALUE"""),"Allen")</f>
        <v>Allen</v>
      </c>
      <c r="F4122">
        <f>IFERROR(__xludf.DUMMYFUNCTION("""COMPUTED_VALUE"""),17.400000000000002)</f>
        <v>17.4</v>
      </c>
    </row>
    <row r="4123">
      <c r="D4123" t="str">
        <f>IFERROR(__xludf.DUMMYFUNCTION("""COMPUTED_VALUE"""),"Robinson")</f>
        <v>Robinson</v>
      </c>
      <c r="E4123" t="str">
        <f>IFERROR(__xludf.DUMMYFUNCTION("""COMPUTED_VALUE"""),"AShawn")</f>
        <v>AShawn</v>
      </c>
      <c r="F4123">
        <f>IFERROR(__xludf.DUMMYFUNCTION("""COMPUTED_VALUE"""),14.4)</f>
        <v>14.4</v>
      </c>
    </row>
    <row r="4124">
      <c r="D4124" t="str">
        <f>IFERROR(__xludf.DUMMYFUNCTION("""COMPUTED_VALUE"""),"Robinson")</f>
        <v>Robinson</v>
      </c>
      <c r="E4124" t="str">
        <f>IFERROR(__xludf.DUMMYFUNCTION("""COMPUTED_VALUE"""),"Cam")</f>
        <v>Cam</v>
      </c>
      <c r="F4124">
        <f>IFERROR(__xludf.DUMMYFUNCTION("""COMPUTED_VALUE"""),15.200000000000001)</f>
        <v>15.2</v>
      </c>
    </row>
    <row r="4125">
      <c r="D4125" t="str">
        <f>IFERROR(__xludf.DUMMYFUNCTION("""COMPUTED_VALUE"""),"Robinson")</f>
        <v>Robinson</v>
      </c>
      <c r="E4125" t="str">
        <f>IFERROR(__xludf.DUMMYFUNCTION("""COMPUTED_VALUE"""),"Corey")</f>
        <v>Corey</v>
      </c>
      <c r="F4125">
        <f>IFERROR(__xludf.DUMMYFUNCTION("""COMPUTED_VALUE"""),14.0)</f>
        <v>14</v>
      </c>
    </row>
    <row r="4126">
      <c r="D4126" t="str">
        <f>IFERROR(__xludf.DUMMYFUNCTION("""COMPUTED_VALUE"""),"Robinson")</f>
        <v>Robinson</v>
      </c>
      <c r="E4126" t="str">
        <f>IFERROR(__xludf.DUMMYFUNCTION("""COMPUTED_VALUE"""),"Demarcus")</f>
        <v>Demarcus</v>
      </c>
      <c r="F4126">
        <f>IFERROR(__xludf.DUMMYFUNCTION("""COMPUTED_VALUE"""),13.0)</f>
        <v>13</v>
      </c>
    </row>
    <row r="4127">
      <c r="D4127" t="str">
        <f>IFERROR(__xludf.DUMMYFUNCTION("""COMPUTED_VALUE"""),"Robinson")</f>
        <v>Robinson</v>
      </c>
      <c r="E4127" t="str">
        <f>IFERROR(__xludf.DUMMYFUNCTION("""COMPUTED_VALUE"""),"Edmond")</f>
        <v>Edmond</v>
      </c>
      <c r="F4127">
        <f>IFERROR(__xludf.DUMMYFUNCTION("""COMPUTED_VALUE"""),11.200000000000001)</f>
        <v>11.2</v>
      </c>
    </row>
    <row r="4128">
      <c r="D4128" t="str">
        <f>IFERROR(__xludf.DUMMYFUNCTION("""COMPUTED_VALUE"""),"Robinson")</f>
        <v>Robinson</v>
      </c>
      <c r="E4128" t="str">
        <f>IFERROR(__xludf.DUMMYFUNCTION("""COMPUTED_VALUE"""),"Ezra")</f>
        <v>Ezra</v>
      </c>
      <c r="F4128">
        <f>IFERROR(__xludf.DUMMYFUNCTION("""COMPUTED_VALUE"""),12.4)</f>
        <v>12.4</v>
      </c>
    </row>
    <row r="4129">
      <c r="D4129" t="str">
        <f>IFERROR(__xludf.DUMMYFUNCTION("""COMPUTED_VALUE"""),"Robinson")</f>
        <v>Robinson</v>
      </c>
      <c r="E4129" t="str">
        <f>IFERROR(__xludf.DUMMYFUNCTION("""COMPUTED_VALUE"""),"Greg")</f>
        <v>Greg</v>
      </c>
      <c r="F4129">
        <f>IFERROR(__xludf.DUMMYFUNCTION("""COMPUTED_VALUE"""),14.200000000000001)</f>
        <v>14.2</v>
      </c>
    </row>
    <row r="4130">
      <c r="D4130" t="str">
        <f>IFERROR(__xludf.DUMMYFUNCTION("""COMPUTED_VALUE"""),"Robinson")</f>
        <v>Robinson</v>
      </c>
      <c r="E4130" t="str">
        <f>IFERROR(__xludf.DUMMYFUNCTION("""COMPUTED_VALUE"""),"Josh")</f>
        <v>Josh</v>
      </c>
      <c r="F4130">
        <f>IFERROR(__xludf.DUMMYFUNCTION("""COMPUTED_VALUE"""),14.4)</f>
        <v>14.4</v>
      </c>
    </row>
    <row r="4131">
      <c r="D4131" t="str">
        <f>IFERROR(__xludf.DUMMYFUNCTION("""COMPUTED_VALUE"""),"Robinson")</f>
        <v>Robinson</v>
      </c>
      <c r="E4131" t="str">
        <f>IFERROR(__xludf.DUMMYFUNCTION("""COMPUTED_VALUE"""),"Keenan")</f>
        <v>Keenan</v>
      </c>
      <c r="F4131">
        <f>IFERROR(__xludf.DUMMYFUNCTION("""COMPUTED_VALUE"""),14.4)</f>
        <v>14.4</v>
      </c>
    </row>
    <row r="4132">
      <c r="D4132" t="str">
        <f>IFERROR(__xludf.DUMMYFUNCTION("""COMPUTED_VALUE"""),"Robinson")</f>
        <v>Robinson</v>
      </c>
      <c r="E4132" t="str">
        <f>IFERROR(__xludf.DUMMYFUNCTION("""COMPUTED_VALUE"""),"Patrick")</f>
        <v>Patrick</v>
      </c>
      <c r="F4132">
        <f>IFERROR(__xludf.DUMMYFUNCTION("""COMPUTED_VALUE"""),15.4)</f>
        <v>15.4</v>
      </c>
    </row>
    <row r="4133">
      <c r="D4133" t="str">
        <f>IFERROR(__xludf.DUMMYFUNCTION("""COMPUTED_VALUE"""),"Robinson")</f>
        <v>Robinson</v>
      </c>
      <c r="E4133" t="str">
        <f>IFERROR(__xludf.DUMMYFUNCTION("""COMPUTED_VALUE"""),"Rashard")</f>
        <v>Rashard</v>
      </c>
      <c r="F4133">
        <f>IFERROR(__xludf.DUMMYFUNCTION("""COMPUTED_VALUE"""),15.200000000000001)</f>
        <v>15.2</v>
      </c>
    </row>
    <row r="4134">
      <c r="D4134" t="str">
        <f>IFERROR(__xludf.DUMMYFUNCTION("""COMPUTED_VALUE"""),"Robinson")</f>
        <v>Robinson</v>
      </c>
      <c r="E4134" t="str">
        <f>IFERROR(__xludf.DUMMYFUNCTION("""COMPUTED_VALUE"""),"Trevor")</f>
        <v>Trevor</v>
      </c>
      <c r="F4134">
        <f>IFERROR(__xludf.DUMMYFUNCTION("""COMPUTED_VALUE"""),12.8)</f>
        <v>12.8</v>
      </c>
    </row>
    <row r="4135">
      <c r="D4135" t="str">
        <f>IFERROR(__xludf.DUMMYFUNCTION("""COMPUTED_VALUE"""),"Robison")</f>
        <v>Robison</v>
      </c>
      <c r="E4135" t="str">
        <f>IFERROR(__xludf.DUMMYFUNCTION("""COMPUTED_VALUE"""),"Brian")</f>
        <v>Brian</v>
      </c>
      <c r="F4135">
        <f>IFERROR(__xludf.DUMMYFUNCTION("""COMPUTED_VALUE"""),16.0)</f>
        <v>16</v>
      </c>
    </row>
    <row r="4136">
      <c r="D4136" t="str">
        <f>IFERROR(__xludf.DUMMYFUNCTION("""COMPUTED_VALUE"""),"Roby")</f>
        <v>Roby</v>
      </c>
      <c r="E4136" t="str">
        <f>IFERROR(__xludf.DUMMYFUNCTION("""COMPUTED_VALUE"""),"Bradley")</f>
        <v>Bradley</v>
      </c>
      <c r="F4136">
        <f>IFERROR(__xludf.DUMMYFUNCTION("""COMPUTED_VALUE"""),15.4)</f>
        <v>15.4</v>
      </c>
    </row>
    <row r="4137">
      <c r="D4137" t="str">
        <f>IFERROR(__xludf.DUMMYFUNCTION("""COMPUTED_VALUE"""),"Rochell")</f>
        <v>Rochell</v>
      </c>
      <c r="E4137" t="str">
        <f>IFERROR(__xludf.DUMMYFUNCTION("""COMPUTED_VALUE"""),"Isaac")</f>
        <v>Isaac</v>
      </c>
      <c r="F4137">
        <f>IFERROR(__xludf.DUMMYFUNCTION("""COMPUTED_VALUE"""),13.600000000000001)</f>
        <v>13.6</v>
      </c>
    </row>
    <row r="4138">
      <c r="D4138" t="str">
        <f>IFERROR(__xludf.DUMMYFUNCTION("""COMPUTED_VALUE"""),"Rodgers")</f>
        <v>Rodgers</v>
      </c>
      <c r="E4138" t="str">
        <f>IFERROR(__xludf.DUMMYFUNCTION("""COMPUTED_VALUE"""),"Aaron")</f>
        <v>Aaron</v>
      </c>
      <c r="F4138">
        <f>IFERROR(__xludf.DUMMYFUNCTION("""COMPUTED_VALUE"""),19.6)</f>
        <v>19.6</v>
      </c>
    </row>
    <row r="4139">
      <c r="D4139" t="str">
        <f>IFERROR(__xludf.DUMMYFUNCTION("""COMPUTED_VALUE"""),"Rodgers")</f>
        <v>Rodgers</v>
      </c>
      <c r="E4139" t="str">
        <f>IFERROR(__xludf.DUMMYFUNCTION("""COMPUTED_VALUE"""),"Jacquizz")</f>
        <v>Jacquizz</v>
      </c>
      <c r="F4139">
        <f>IFERROR(__xludf.DUMMYFUNCTION("""COMPUTED_VALUE"""),15.600000000000001)</f>
        <v>15.6</v>
      </c>
    </row>
    <row r="4140">
      <c r="D4140" t="str">
        <f>IFERROR(__xludf.DUMMYFUNCTION("""COMPUTED_VALUE"""),"Rodgers")</f>
        <v>Rodgers</v>
      </c>
      <c r="E4140" t="str">
        <f>IFERROR(__xludf.DUMMYFUNCTION("""COMPUTED_VALUE"""),"Jake")</f>
        <v>Jake</v>
      </c>
      <c r="F4140">
        <f>IFERROR(__xludf.DUMMYFUNCTION("""COMPUTED_VALUE"""),13.0)</f>
        <v>13</v>
      </c>
    </row>
    <row r="4141">
      <c r="D4141" t="str">
        <f>IFERROR(__xludf.DUMMYFUNCTION("""COMPUTED_VALUE"""),"Rodgers")</f>
        <v>Rodgers</v>
      </c>
      <c r="E4141" t="str">
        <f>IFERROR(__xludf.DUMMYFUNCTION("""COMPUTED_VALUE"""),"Richard")</f>
        <v>Richard</v>
      </c>
      <c r="F4141">
        <f>IFERROR(__xludf.DUMMYFUNCTION("""COMPUTED_VALUE"""),15.600000000000001)</f>
        <v>15.6</v>
      </c>
    </row>
    <row r="4142">
      <c r="D4142" t="str">
        <f>IFERROR(__xludf.DUMMYFUNCTION("""COMPUTED_VALUE"""),"Rodgers-Cromartie")</f>
        <v>Rodgers-Cromartie</v>
      </c>
      <c r="E4142" t="str">
        <f>IFERROR(__xludf.DUMMYFUNCTION("""COMPUTED_VALUE"""),"Dominique")</f>
        <v>Dominique</v>
      </c>
      <c r="F4142">
        <f>IFERROR(__xludf.DUMMYFUNCTION("""COMPUTED_VALUE"""),17.8)</f>
        <v>17.8</v>
      </c>
    </row>
    <row r="4143">
      <c r="D4143" t="str">
        <f>IFERROR(__xludf.DUMMYFUNCTION("""COMPUTED_VALUE"""),"Roethlisberger")</f>
        <v>Roethlisberger</v>
      </c>
      <c r="E4143" t="str">
        <f>IFERROR(__xludf.DUMMYFUNCTION("""COMPUTED_VALUE"""),"Ben")</f>
        <v>Ben</v>
      </c>
      <c r="F4143">
        <f>IFERROR(__xludf.DUMMYFUNCTION("""COMPUTED_VALUE"""),18.2)</f>
        <v>18.2</v>
      </c>
    </row>
    <row r="4144">
      <c r="D4144" t="str">
        <f>IFERROR(__xludf.DUMMYFUNCTION("""COMPUTED_VALUE"""),"Rogers")</f>
        <v>Rogers</v>
      </c>
      <c r="E4144" t="str">
        <f>IFERROR(__xludf.DUMMYFUNCTION("""COMPUTED_VALUE"""),"Chester")</f>
        <v>Chester</v>
      </c>
      <c r="F4144">
        <f>IFERROR(__xludf.DUMMYFUNCTION("""COMPUTED_VALUE"""),13.4)</f>
        <v>13.4</v>
      </c>
    </row>
    <row r="4145">
      <c r="D4145" t="str">
        <f>IFERROR(__xludf.DUMMYFUNCTION("""COMPUTED_VALUE"""),"Rogers")</f>
        <v>Rogers</v>
      </c>
      <c r="E4145" t="str">
        <f>IFERROR(__xludf.DUMMYFUNCTION("""COMPUTED_VALUE"""),"Eli")</f>
        <v>Eli</v>
      </c>
      <c r="F4145">
        <f>IFERROR(__xludf.DUMMYFUNCTION("""COMPUTED_VALUE"""),15.200000000000001)</f>
        <v>15.2</v>
      </c>
    </row>
    <row r="4146">
      <c r="D4146" t="str">
        <f>IFERROR(__xludf.DUMMYFUNCTION("""COMPUTED_VALUE"""),"Rogers")</f>
        <v>Rogers</v>
      </c>
      <c r="E4146" t="str">
        <f>IFERROR(__xludf.DUMMYFUNCTION("""COMPUTED_VALUE"""),"Sam")</f>
        <v>Sam</v>
      </c>
      <c r="F4146">
        <f>IFERROR(__xludf.DUMMYFUNCTION("""COMPUTED_VALUE"""),13.600000000000001)</f>
        <v>13.6</v>
      </c>
    </row>
    <row r="4147">
      <c r="D4147" t="str">
        <f>IFERROR(__xludf.DUMMYFUNCTION("""COMPUTED_VALUE"""),"Rolle")</f>
        <v>Rolle</v>
      </c>
      <c r="E4147" t="str">
        <f>IFERROR(__xludf.DUMMYFUNCTION("""COMPUTED_VALUE"""),"Jumal")</f>
        <v>Jumal</v>
      </c>
      <c r="F4147">
        <f>IFERROR(__xludf.DUMMYFUNCTION("""COMPUTED_VALUE"""),13.600000000000001)</f>
        <v>13.6</v>
      </c>
    </row>
    <row r="4148">
      <c r="D4148" t="str">
        <f>IFERROR(__xludf.DUMMYFUNCTION("""COMPUTED_VALUE"""),"Rollins")</f>
        <v>Rollins</v>
      </c>
      <c r="E4148" t="str">
        <f>IFERROR(__xludf.DUMMYFUNCTION("""COMPUTED_VALUE"""),"Quinten")</f>
        <v>Quinten</v>
      </c>
      <c r="F4148">
        <f>IFERROR(__xludf.DUMMYFUNCTION("""COMPUTED_VALUE"""),14.600000000000001)</f>
        <v>14.6</v>
      </c>
    </row>
    <row r="4149">
      <c r="D4149" t="str">
        <f>IFERROR(__xludf.DUMMYFUNCTION("""COMPUTED_VALUE"""),"Roos")</f>
        <v>Roos</v>
      </c>
      <c r="E4149" t="str">
        <f>IFERROR(__xludf.DUMMYFUNCTION("""COMPUTED_VALUE"""),"Jordan")</f>
        <v>Jordan</v>
      </c>
      <c r="F4149">
        <f>IFERROR(__xludf.DUMMYFUNCTION("""COMPUTED_VALUE"""),12.8)</f>
        <v>12.8</v>
      </c>
    </row>
    <row r="4150">
      <c r="D4150" t="str">
        <f>IFERROR(__xludf.DUMMYFUNCTION("""COMPUTED_VALUE"""),"Rosas")</f>
        <v>Rosas</v>
      </c>
      <c r="E4150" t="str">
        <f>IFERROR(__xludf.DUMMYFUNCTION("""COMPUTED_VALUE"""),"Aldrick")</f>
        <v>Aldrick</v>
      </c>
      <c r="F4150">
        <f>IFERROR(__xludf.DUMMYFUNCTION("""COMPUTED_VALUE"""),14.200000000000001)</f>
        <v>14.2</v>
      </c>
    </row>
    <row r="4151">
      <c r="D4151" t="str">
        <f>IFERROR(__xludf.DUMMYFUNCTION("""COMPUTED_VALUE"""),"Ross")</f>
        <v>Ross</v>
      </c>
      <c r="E4151" t="str">
        <f>IFERROR(__xludf.DUMMYFUNCTION("""COMPUTED_VALUE"""),"Jeremy")</f>
        <v>Jeremy</v>
      </c>
      <c r="F4151">
        <f>IFERROR(__xludf.DUMMYFUNCTION("""COMPUTED_VALUE"""),13.4)</f>
        <v>13.4</v>
      </c>
    </row>
    <row r="4152">
      <c r="D4152" t="str">
        <f>IFERROR(__xludf.DUMMYFUNCTION("""COMPUTED_VALUE"""),"Ross")</f>
        <v>Ross</v>
      </c>
      <c r="E4152" t="str">
        <f>IFERROR(__xludf.DUMMYFUNCTION("""COMPUTED_VALUE"""),"John")</f>
        <v>John</v>
      </c>
      <c r="F4152">
        <f>IFERROR(__xludf.DUMMYFUNCTION("""COMPUTED_VALUE"""),15.4)</f>
        <v>15.4</v>
      </c>
    </row>
    <row r="4153">
      <c r="D4153" t="str">
        <f>IFERROR(__xludf.DUMMYFUNCTION("""COMPUTED_VALUE"""),"Ross")</f>
        <v>Ross</v>
      </c>
      <c r="E4153" t="str">
        <f>IFERROR(__xludf.DUMMYFUNCTION("""COMPUTED_VALUE"""),"Rashad")</f>
        <v>Rashad</v>
      </c>
      <c r="F4153">
        <f>IFERROR(__xludf.DUMMYFUNCTION("""COMPUTED_VALUE"""),13.200000000000001)</f>
        <v>13.2</v>
      </c>
    </row>
    <row r="4154">
      <c r="D4154" t="str">
        <f>IFERROR(__xludf.DUMMYFUNCTION("""COMPUTED_VALUE"""),"Roullier")</f>
        <v>Roullier</v>
      </c>
      <c r="E4154" t="str">
        <f>IFERROR(__xludf.DUMMYFUNCTION("""COMPUTED_VALUE"""),"Chase")</f>
        <v>Chase</v>
      </c>
      <c r="F4154">
        <f>IFERROR(__xludf.DUMMYFUNCTION("""COMPUTED_VALUE"""),12.600000000000001)</f>
        <v>12.6</v>
      </c>
    </row>
    <row r="4155">
      <c r="D4155" t="str">
        <f>IFERROR(__xludf.DUMMYFUNCTION("""COMPUTED_VALUE"""),"Rowe")</f>
        <v>Rowe</v>
      </c>
      <c r="E4155" t="str">
        <f>IFERROR(__xludf.DUMMYFUNCTION("""COMPUTED_VALUE"""),"Eric")</f>
        <v>Eric</v>
      </c>
      <c r="F4155">
        <f>IFERROR(__xludf.DUMMYFUNCTION("""COMPUTED_VALUE"""),15.200000000000001)</f>
        <v>15.2</v>
      </c>
    </row>
    <row r="4156">
      <c r="D4156" t="str">
        <f>IFERROR(__xludf.DUMMYFUNCTION("""COMPUTED_VALUE"""),"Rubin")</f>
        <v>Rubin</v>
      </c>
      <c r="E4156" t="str">
        <f>IFERROR(__xludf.DUMMYFUNCTION("""COMPUTED_VALUE"""),"Ahtyba")</f>
        <v>Ahtyba</v>
      </c>
      <c r="F4156">
        <f>IFERROR(__xludf.DUMMYFUNCTION("""COMPUTED_VALUE"""),14.8)</f>
        <v>14.8</v>
      </c>
    </row>
    <row r="4157">
      <c r="D4157" t="str">
        <f>IFERROR(__xludf.DUMMYFUNCTION("""COMPUTED_VALUE"""),"Rucker")</f>
        <v>Rucker</v>
      </c>
      <c r="E4157" t="str">
        <f>IFERROR(__xludf.DUMMYFUNCTION("""COMPUTED_VALUE"""),"Frostee")</f>
        <v>Frostee</v>
      </c>
      <c r="F4157">
        <f>IFERROR(__xludf.DUMMYFUNCTION("""COMPUTED_VALUE"""),14.4)</f>
        <v>14.4</v>
      </c>
    </row>
    <row r="4158">
      <c r="D4158" t="str">
        <f>IFERROR(__xludf.DUMMYFUNCTION("""COMPUTED_VALUE"""),"Rudock")</f>
        <v>Rudock</v>
      </c>
      <c r="E4158" t="str">
        <f>IFERROR(__xludf.DUMMYFUNCTION("""COMPUTED_VALUE"""),"Jake")</f>
        <v>Jake</v>
      </c>
      <c r="F4158">
        <f>IFERROR(__xludf.DUMMYFUNCTION("""COMPUTED_VALUE"""),12.600000000000001)</f>
        <v>12.6</v>
      </c>
    </row>
    <row r="4159">
      <c r="D4159" t="str">
        <f>IFERROR(__xludf.DUMMYFUNCTION("""COMPUTED_VALUE"""),"Rudolph")</f>
        <v>Rudolph</v>
      </c>
      <c r="E4159" t="str">
        <f>IFERROR(__xludf.DUMMYFUNCTION("""COMPUTED_VALUE"""),"Kyle")</f>
        <v>Kyle</v>
      </c>
      <c r="F4159">
        <f>IFERROR(__xludf.DUMMYFUNCTION("""COMPUTED_VALUE"""),17.0)</f>
        <v>17</v>
      </c>
    </row>
    <row r="4160">
      <c r="D4160" t="str">
        <f>IFERROR(__xludf.DUMMYFUNCTION("""COMPUTED_VALUE"""),"Rudolph")</f>
        <v>Rudolph</v>
      </c>
      <c r="E4160" t="str">
        <f>IFERROR(__xludf.DUMMYFUNCTION("""COMPUTED_VALUE"""),"Travis")</f>
        <v>Travis</v>
      </c>
      <c r="F4160">
        <f>IFERROR(__xludf.DUMMYFUNCTION("""COMPUTED_VALUE"""),13.200000000000001)</f>
        <v>13.2</v>
      </c>
    </row>
    <row r="4161">
      <c r="D4161" t="str">
        <f>IFERROR(__xludf.DUMMYFUNCTION("""COMPUTED_VALUE"""),"Rush")</f>
        <v>Rush</v>
      </c>
      <c r="E4161" t="str">
        <f>IFERROR(__xludf.DUMMYFUNCTION("""COMPUTED_VALUE"""),"Marcus")</f>
        <v>Marcus</v>
      </c>
      <c r="F4161">
        <f>IFERROR(__xludf.DUMMYFUNCTION("""COMPUTED_VALUE"""),12.600000000000001)</f>
        <v>12.6</v>
      </c>
    </row>
    <row r="4162">
      <c r="D4162" t="str">
        <f>IFERROR(__xludf.DUMMYFUNCTION("""COMPUTED_VALUE"""),"Russell")</f>
        <v>Russell</v>
      </c>
      <c r="E4162" t="str">
        <f>IFERROR(__xludf.DUMMYFUNCTION("""COMPUTED_VALUE"""),"Alonzo")</f>
        <v>Alonzo</v>
      </c>
      <c r="F4162">
        <f>IFERROR(__xludf.DUMMYFUNCTION("""COMPUTED_VALUE"""),12.4)</f>
        <v>12.4</v>
      </c>
    </row>
    <row r="4163">
      <c r="D4163" t="str">
        <f>IFERROR(__xludf.DUMMYFUNCTION("""COMPUTED_VALUE"""),"Russell")</f>
        <v>Russell</v>
      </c>
      <c r="E4163" t="str">
        <f>IFERROR(__xludf.DUMMYFUNCTION("""COMPUTED_VALUE"""),"KeiVarae")</f>
        <v>KeiVarae</v>
      </c>
      <c r="F4163">
        <f>IFERROR(__xludf.DUMMYFUNCTION("""COMPUTED_VALUE"""),13.8)</f>
        <v>13.8</v>
      </c>
    </row>
    <row r="4164">
      <c r="D4164" t="str">
        <f>IFERROR(__xludf.DUMMYFUNCTION("""COMPUTED_VALUE"""),"Russell")</f>
        <v>Russell</v>
      </c>
      <c r="E4164" t="str">
        <f>IFERROR(__xludf.DUMMYFUNCTION("""COMPUTED_VALUE"""),"Ryan")</f>
        <v>Ryan</v>
      </c>
      <c r="F4164">
        <f>IFERROR(__xludf.DUMMYFUNCTION("""COMPUTED_VALUE"""),13.0)</f>
        <v>13</v>
      </c>
    </row>
    <row r="4165">
      <c r="D4165" t="str">
        <f>IFERROR(__xludf.DUMMYFUNCTION("""COMPUTED_VALUE"""),"Ryan")</f>
        <v>Ryan</v>
      </c>
      <c r="E4165" t="str">
        <f>IFERROR(__xludf.DUMMYFUNCTION("""COMPUTED_VALUE"""),"Jake")</f>
        <v>Jake</v>
      </c>
      <c r="F4165">
        <f>IFERROR(__xludf.DUMMYFUNCTION("""COMPUTED_VALUE"""),15.200000000000001)</f>
        <v>15.2</v>
      </c>
    </row>
    <row r="4166">
      <c r="D4166" t="str">
        <f>IFERROR(__xludf.DUMMYFUNCTION("""COMPUTED_VALUE"""),"Ryan")</f>
        <v>Ryan</v>
      </c>
      <c r="E4166" t="str">
        <f>IFERROR(__xludf.DUMMYFUNCTION("""COMPUTED_VALUE"""),"Jon")</f>
        <v>Jon</v>
      </c>
      <c r="F4166">
        <f>IFERROR(__xludf.DUMMYFUNCTION("""COMPUTED_VALUE"""),15.4)</f>
        <v>15.4</v>
      </c>
    </row>
    <row r="4167">
      <c r="D4167" t="str">
        <f>IFERROR(__xludf.DUMMYFUNCTION("""COMPUTED_VALUE"""),"Ryan")</f>
        <v>Ryan</v>
      </c>
      <c r="E4167" t="str">
        <f>IFERROR(__xludf.DUMMYFUNCTION("""COMPUTED_VALUE"""),"Logan")</f>
        <v>Logan</v>
      </c>
      <c r="F4167">
        <f>IFERROR(__xludf.DUMMYFUNCTION("""COMPUTED_VALUE"""),17.2)</f>
        <v>17.2</v>
      </c>
    </row>
    <row r="4168">
      <c r="D4168" t="str">
        <f>IFERROR(__xludf.DUMMYFUNCTION("""COMPUTED_VALUE"""),"Ryan")</f>
        <v>Ryan</v>
      </c>
      <c r="E4168" t="str">
        <f>IFERROR(__xludf.DUMMYFUNCTION("""COMPUTED_VALUE"""),"Matt")</f>
        <v>Matt</v>
      </c>
      <c r="F4168">
        <f>IFERROR(__xludf.DUMMYFUNCTION("""COMPUTED_VALUE"""),19.200000000000003)</f>
        <v>19.2</v>
      </c>
    </row>
    <row r="4169">
      <c r="D4169" t="str">
        <f>IFERROR(__xludf.DUMMYFUNCTION("""COMPUTED_VALUE"""),"Saffold III")</f>
        <v>Saffold III</v>
      </c>
      <c r="E4169" t="str">
        <f>IFERROR(__xludf.DUMMYFUNCTION("""COMPUTED_VALUE"""),"Rodger")</f>
        <v>Rodger</v>
      </c>
      <c r="F4169">
        <f>IFERROR(__xludf.DUMMYFUNCTION("""COMPUTED_VALUE"""),15.8)</f>
        <v>15.8</v>
      </c>
    </row>
    <row r="4170">
      <c r="D4170" t="str">
        <f>IFERROR(__xludf.DUMMYFUNCTION("""COMPUTED_VALUE"""),"Sambrailo")</f>
        <v>Sambrailo</v>
      </c>
      <c r="E4170" t="str">
        <f>IFERROR(__xludf.DUMMYFUNCTION("""COMPUTED_VALUE"""),"Ty")</f>
        <v>Ty</v>
      </c>
      <c r="F4170">
        <f>IFERROR(__xludf.DUMMYFUNCTION("""COMPUTED_VALUE"""),14.0)</f>
        <v>14</v>
      </c>
    </row>
    <row r="4171">
      <c r="D4171" t="str">
        <f>IFERROR(__xludf.DUMMYFUNCTION("""COMPUTED_VALUE"""),"Sample")</f>
        <v>Sample</v>
      </c>
      <c r="E4171" t="str">
        <f>IFERROR(__xludf.DUMMYFUNCTION("""COMPUTED_VALUE"""),"James")</f>
        <v>James</v>
      </c>
      <c r="F4171">
        <f>IFERROR(__xludf.DUMMYFUNCTION("""COMPUTED_VALUE"""),13.4)</f>
        <v>13.4</v>
      </c>
    </row>
    <row r="4172">
      <c r="D4172" t="str">
        <f>IFERROR(__xludf.DUMMYFUNCTION("""COMPUTED_VALUE"""),"Samuel")</f>
        <v>Samuel</v>
      </c>
      <c r="E4172" t="str">
        <f>IFERROR(__xludf.DUMMYFUNCTION("""COMPUTED_VALUE"""),"Curtis")</f>
        <v>Curtis</v>
      </c>
      <c r="F4172">
        <f>IFERROR(__xludf.DUMMYFUNCTION("""COMPUTED_VALUE"""),14.600000000000001)</f>
        <v>14.6</v>
      </c>
    </row>
    <row r="4173">
      <c r="D4173" t="str">
        <f>IFERROR(__xludf.DUMMYFUNCTION("""COMPUTED_VALUE"""),"Sanborn")</f>
        <v>Sanborn</v>
      </c>
      <c r="E4173" t="str">
        <f>IFERROR(__xludf.DUMMYFUNCTION("""COMPUTED_VALUE"""),"Garrison")</f>
        <v>Garrison</v>
      </c>
      <c r="F4173">
        <f>IFERROR(__xludf.DUMMYFUNCTION("""COMPUTED_VALUE"""),10.8)</f>
        <v>10.8</v>
      </c>
    </row>
    <row r="4174">
      <c r="D4174" t="str">
        <f>IFERROR(__xludf.DUMMYFUNCTION("""COMPUTED_VALUE"""),"Sanchez")</f>
        <v>Sanchez</v>
      </c>
      <c r="E4174" t="str">
        <f>IFERROR(__xludf.DUMMYFUNCTION("""COMPUTED_VALUE"""),"Mark")</f>
        <v>Mark</v>
      </c>
      <c r="F4174">
        <f>IFERROR(__xludf.DUMMYFUNCTION("""COMPUTED_VALUE"""),13.4)</f>
        <v>13.4</v>
      </c>
    </row>
    <row r="4175">
      <c r="D4175" t="str">
        <f>IFERROR(__xludf.DUMMYFUNCTION("""COMPUTED_VALUE"""),"Sanchez")</f>
        <v>Sanchez</v>
      </c>
      <c r="E4175" t="str">
        <f>IFERROR(__xludf.DUMMYFUNCTION("""COMPUTED_VALUE"""),"Zack")</f>
        <v>Zack</v>
      </c>
      <c r="F4175">
        <f>IFERROR(__xludf.DUMMYFUNCTION("""COMPUTED_VALUE"""),13.4)</f>
        <v>13.4</v>
      </c>
    </row>
    <row r="4176">
      <c r="D4176" t="str">
        <f>IFERROR(__xludf.DUMMYFUNCTION("""COMPUTED_VALUE"""),"Sanders")</f>
        <v>Sanders</v>
      </c>
      <c r="E4176" t="str">
        <f>IFERROR(__xludf.DUMMYFUNCTION("""COMPUTED_VALUE"""),"Emmanuel")</f>
        <v>Emmanuel</v>
      </c>
      <c r="F4176">
        <f>IFERROR(__xludf.DUMMYFUNCTION("""COMPUTED_VALUE"""),17.8)</f>
        <v>17.8</v>
      </c>
    </row>
    <row r="4177">
      <c r="D4177" t="str">
        <f>IFERROR(__xludf.DUMMYFUNCTION("""COMPUTED_VALUE"""),"Sandland")</f>
        <v>Sandland</v>
      </c>
      <c r="E4177" t="str">
        <f>IFERROR(__xludf.DUMMYFUNCTION("""COMPUTED_VALUE"""),"Beau")</f>
        <v>Beau</v>
      </c>
      <c r="F4177">
        <f>IFERROR(__xludf.DUMMYFUNCTION("""COMPUTED_VALUE"""),13.0)</f>
        <v>13</v>
      </c>
    </row>
    <row r="4178">
      <c r="D4178" t="str">
        <f>IFERROR(__xludf.DUMMYFUNCTION("""COMPUTED_VALUE"""),"Sankey")</f>
        <v>Sankey</v>
      </c>
      <c r="E4178" t="str">
        <f>IFERROR(__xludf.DUMMYFUNCTION("""COMPUTED_VALUE"""),"Bishop")</f>
        <v>Bishop</v>
      </c>
      <c r="F4178">
        <f>IFERROR(__xludf.DUMMYFUNCTION("""COMPUTED_VALUE"""),14.4)</f>
        <v>14.4</v>
      </c>
    </row>
    <row r="4179">
      <c r="D4179" t="str">
        <f>IFERROR(__xludf.DUMMYFUNCTION("""COMPUTED_VALUE"""),"Santos")</f>
        <v>Santos</v>
      </c>
      <c r="E4179" t="str">
        <f>IFERROR(__xludf.DUMMYFUNCTION("""COMPUTED_VALUE"""),"Cairo")</f>
        <v>Cairo</v>
      </c>
      <c r="F4179">
        <f>IFERROR(__xludf.DUMMYFUNCTION("""COMPUTED_VALUE"""),15.8)</f>
        <v>15.8</v>
      </c>
    </row>
    <row r="4180">
      <c r="D4180" t="str">
        <f>IFERROR(__xludf.DUMMYFUNCTION("""COMPUTED_VALUE"""),"Sanu Sr")</f>
        <v>Sanu Sr</v>
      </c>
      <c r="E4180" t="str">
        <f>IFERROR(__xludf.DUMMYFUNCTION("""COMPUTED_VALUE"""),"Mohamed")</f>
        <v>Mohamed</v>
      </c>
      <c r="F4180">
        <f>IFERROR(__xludf.DUMMYFUNCTION("""COMPUTED_VALUE"""),16.400000000000002)</f>
        <v>16.4</v>
      </c>
    </row>
    <row r="4181">
      <c r="D4181" t="str">
        <f>IFERROR(__xludf.DUMMYFUNCTION("""COMPUTED_VALUE"""),"Saubert")</f>
        <v>Saubert</v>
      </c>
      <c r="E4181" t="str">
        <f>IFERROR(__xludf.DUMMYFUNCTION("""COMPUTED_VALUE"""),"Eric")</f>
        <v>Eric</v>
      </c>
      <c r="F4181">
        <f>IFERROR(__xludf.DUMMYFUNCTION("""COMPUTED_VALUE"""),14.0)</f>
        <v>14</v>
      </c>
    </row>
    <row r="4182">
      <c r="D4182" t="str">
        <f>IFERROR(__xludf.DUMMYFUNCTION("""COMPUTED_VALUE"""),"Savage")</f>
        <v>Savage</v>
      </c>
      <c r="E4182" t="str">
        <f>IFERROR(__xludf.DUMMYFUNCTION("""COMPUTED_VALUE"""),"Tom")</f>
        <v>Tom</v>
      </c>
      <c r="F4182">
        <f>IFERROR(__xludf.DUMMYFUNCTION("""COMPUTED_VALUE"""),14.4)</f>
        <v>14.4</v>
      </c>
    </row>
    <row r="4183">
      <c r="D4183" t="str">
        <f>IFERROR(__xludf.DUMMYFUNCTION("""COMPUTED_VALUE"""),"Saxton")</f>
        <v>Saxton</v>
      </c>
      <c r="E4183" t="str">
        <f>IFERROR(__xludf.DUMMYFUNCTION("""COMPUTED_VALUE"""),"Wes")</f>
        <v>Wes</v>
      </c>
      <c r="F4183">
        <f>IFERROR(__xludf.DUMMYFUNCTION("""COMPUTED_VALUE"""),12.4)</f>
        <v>12.4</v>
      </c>
    </row>
    <row r="4184">
      <c r="D4184" t="str">
        <f>IFERROR(__xludf.DUMMYFUNCTION("""COMPUTED_VALUE"""),"Sayles")</f>
        <v>Sayles</v>
      </c>
      <c r="E4184" t="str">
        <f>IFERROR(__xludf.DUMMYFUNCTION("""COMPUTED_VALUE"""),"Casey")</f>
        <v>Casey</v>
      </c>
      <c r="F4184">
        <f>IFERROR(__xludf.DUMMYFUNCTION("""COMPUTED_VALUE"""),12.8)</f>
        <v>12.8</v>
      </c>
    </row>
    <row r="4185">
      <c r="D4185" t="str">
        <f>IFERROR(__xludf.DUMMYFUNCTION("""COMPUTED_VALUE"""),"Scales")</f>
        <v>Scales</v>
      </c>
      <c r="E4185" t="str">
        <f>IFERROR(__xludf.DUMMYFUNCTION("""COMPUTED_VALUE"""),"Patrick")</f>
        <v>Patrick</v>
      </c>
      <c r="F4185">
        <f>IFERROR(__xludf.DUMMYFUNCTION("""COMPUTED_VALUE"""),8.200000000000001)</f>
        <v>8.2</v>
      </c>
    </row>
    <row r="4186">
      <c r="D4186" t="str">
        <f>IFERROR(__xludf.DUMMYFUNCTION("""COMPUTED_VALUE"""),"Scandrick")</f>
        <v>Scandrick</v>
      </c>
      <c r="E4186" t="str">
        <f>IFERROR(__xludf.DUMMYFUNCTION("""COMPUTED_VALUE"""),"Orlando")</f>
        <v>Orlando</v>
      </c>
      <c r="F4186">
        <f>IFERROR(__xludf.DUMMYFUNCTION("""COMPUTED_VALUE"""),16.6)</f>
        <v>16.6</v>
      </c>
    </row>
    <row r="4187">
      <c r="D4187" t="str">
        <f>IFERROR(__xludf.DUMMYFUNCTION("""COMPUTED_VALUE"""),"Scarlett")</f>
        <v>Scarlett</v>
      </c>
      <c r="E4187" t="str">
        <f>IFERROR(__xludf.DUMMYFUNCTION("""COMPUTED_VALUE"""),"Brennan")</f>
        <v>Brennan</v>
      </c>
      <c r="F4187">
        <f>IFERROR(__xludf.DUMMYFUNCTION("""COMPUTED_VALUE"""),13.200000000000001)</f>
        <v>13.2</v>
      </c>
    </row>
    <row r="4188">
      <c r="D4188" t="str">
        <f>IFERROR(__xludf.DUMMYFUNCTION("""COMPUTED_VALUE"""),"Schaub")</f>
        <v>Schaub</v>
      </c>
      <c r="E4188" t="str">
        <f>IFERROR(__xludf.DUMMYFUNCTION("""COMPUTED_VALUE"""),"Matt")</f>
        <v>Matt</v>
      </c>
      <c r="F4188">
        <f>IFERROR(__xludf.DUMMYFUNCTION("""COMPUTED_VALUE"""),13.8)</f>
        <v>13.8</v>
      </c>
    </row>
    <row r="4189">
      <c r="D4189" t="str">
        <f>IFERROR(__xludf.DUMMYFUNCTION("""COMPUTED_VALUE"""),"Scherff")</f>
        <v>Scherff</v>
      </c>
      <c r="E4189" t="str">
        <f>IFERROR(__xludf.DUMMYFUNCTION("""COMPUTED_VALUE"""),"Brandon")</f>
        <v>Brandon</v>
      </c>
      <c r="F4189">
        <f>IFERROR(__xludf.DUMMYFUNCTION("""COMPUTED_VALUE"""),17.2)</f>
        <v>17.2</v>
      </c>
    </row>
    <row r="4190">
      <c r="D4190" t="str">
        <f>IFERROR(__xludf.DUMMYFUNCTION("""COMPUTED_VALUE"""),"Schmidt")</f>
        <v>Schmidt</v>
      </c>
      <c r="E4190" t="str">
        <f>IFERROR(__xludf.DUMMYFUNCTION("""COMPUTED_VALUE"""),"Colton")</f>
        <v>Colton</v>
      </c>
      <c r="F4190">
        <f>IFERROR(__xludf.DUMMYFUNCTION("""COMPUTED_VALUE"""),14.600000000000001)</f>
        <v>14.6</v>
      </c>
    </row>
    <row r="4191">
      <c r="D4191" t="str">
        <f>IFERROR(__xludf.DUMMYFUNCTION("""COMPUTED_VALUE"""),"Schobert")</f>
        <v>Schobert</v>
      </c>
      <c r="E4191" t="str">
        <f>IFERROR(__xludf.DUMMYFUNCTION("""COMPUTED_VALUE"""),"Joe")</f>
        <v>Joe</v>
      </c>
      <c r="F4191">
        <f>IFERROR(__xludf.DUMMYFUNCTION("""COMPUTED_VALUE"""),13.8)</f>
        <v>13.8</v>
      </c>
    </row>
    <row r="4192">
      <c r="D4192" t="str">
        <f>IFERROR(__xludf.DUMMYFUNCTION("""COMPUTED_VALUE"""),"Schofield")</f>
        <v>Schofield</v>
      </c>
      <c r="E4192" t="str">
        <f>IFERROR(__xludf.DUMMYFUNCTION("""COMPUTED_VALUE"""),"Michael")</f>
        <v>Michael</v>
      </c>
      <c r="F4192">
        <f>IFERROR(__xludf.DUMMYFUNCTION("""COMPUTED_VALUE"""),14.4)</f>
        <v>14.4</v>
      </c>
    </row>
    <row r="4193">
      <c r="D4193" t="str">
        <f>IFERROR(__xludf.DUMMYFUNCTION("""COMPUTED_VALUE"""),"Schraeder")</f>
        <v>Schraeder</v>
      </c>
      <c r="E4193" t="str">
        <f>IFERROR(__xludf.DUMMYFUNCTION("""COMPUTED_VALUE"""),"Ryan")</f>
        <v>Ryan</v>
      </c>
      <c r="F4193">
        <f>IFERROR(__xludf.DUMMYFUNCTION("""COMPUTED_VALUE"""),17.400000000000002)</f>
        <v>17.4</v>
      </c>
    </row>
    <row r="4194">
      <c r="D4194" t="str">
        <f>IFERROR(__xludf.DUMMYFUNCTION("""COMPUTED_VALUE"""),"Schreck")</f>
        <v>Schreck</v>
      </c>
      <c r="E4194" t="str">
        <f>IFERROR(__xludf.DUMMYFUNCTION("""COMPUTED_VALUE"""),"Mason")</f>
        <v>Mason</v>
      </c>
      <c r="F4194">
        <f>IFERROR(__xludf.DUMMYFUNCTION("""COMPUTED_VALUE"""),13.600000000000001)</f>
        <v>13.6</v>
      </c>
    </row>
    <row r="4195">
      <c r="D4195" t="str">
        <f>IFERROR(__xludf.DUMMYFUNCTION("""COMPUTED_VALUE"""),"Schwartz")</f>
        <v>Schwartz</v>
      </c>
      <c r="E4195" t="str">
        <f>IFERROR(__xludf.DUMMYFUNCTION("""COMPUTED_VALUE"""),"Mitchell")</f>
        <v>Mitchell</v>
      </c>
      <c r="F4195">
        <f>IFERROR(__xludf.DUMMYFUNCTION("""COMPUTED_VALUE"""),16.2)</f>
        <v>16.2</v>
      </c>
    </row>
    <row r="4196">
      <c r="D4196" t="str">
        <f>IFERROR(__xludf.DUMMYFUNCTION("""COMPUTED_VALUE"""),"Schweitzer")</f>
        <v>Schweitzer</v>
      </c>
      <c r="E4196" t="str">
        <f>IFERROR(__xludf.DUMMYFUNCTION("""COMPUTED_VALUE"""),"Wes")</f>
        <v>Wes</v>
      </c>
      <c r="F4196">
        <f>IFERROR(__xludf.DUMMYFUNCTION("""COMPUTED_VALUE"""),12.8)</f>
        <v>12.8</v>
      </c>
    </row>
    <row r="4197">
      <c r="D4197" t="str">
        <f>IFERROR(__xludf.DUMMYFUNCTION("""COMPUTED_VALUE"""),"Schwenke")</f>
        <v>Schwenke</v>
      </c>
      <c r="E4197" t="str">
        <f>IFERROR(__xludf.DUMMYFUNCTION("""COMPUTED_VALUE"""),"Brian")</f>
        <v>Brian</v>
      </c>
      <c r="F4197">
        <f>IFERROR(__xludf.DUMMYFUNCTION("""COMPUTED_VALUE"""),14.8)</f>
        <v>14.8</v>
      </c>
    </row>
    <row r="4198">
      <c r="D4198" t="str">
        <f>IFERROR(__xludf.DUMMYFUNCTION("""COMPUTED_VALUE"""),"Scott")</f>
        <v>Scott</v>
      </c>
      <c r="E4198" t="str">
        <f>IFERROR(__xludf.DUMMYFUNCTION("""COMPUTED_VALUE"""),"Artavis")</f>
        <v>Artavis</v>
      </c>
      <c r="F4198">
        <f>IFERROR(__xludf.DUMMYFUNCTION("""COMPUTED_VALUE"""),12.8)</f>
        <v>12.8</v>
      </c>
    </row>
    <row r="4199">
      <c r="D4199" t="str">
        <f>IFERROR(__xludf.DUMMYFUNCTION("""COMPUTED_VALUE"""),"Scott")</f>
        <v>Scott</v>
      </c>
      <c r="E4199" t="str">
        <f>IFERROR(__xludf.DUMMYFUNCTION("""COMPUTED_VALUE"""),"Chris")</f>
        <v>Chris</v>
      </c>
      <c r="F4199">
        <f>IFERROR(__xludf.DUMMYFUNCTION("""COMPUTED_VALUE"""),14.0)</f>
        <v>14</v>
      </c>
    </row>
    <row r="4200">
      <c r="D4200" t="str">
        <f>IFERROR(__xludf.DUMMYFUNCTION("""COMPUTED_VALUE"""),"Scott")</f>
        <v>Scott</v>
      </c>
      <c r="E4200" t="str">
        <f>IFERROR(__xludf.DUMMYFUNCTION("""COMPUTED_VALUE"""),"Rashawn")</f>
        <v>Rashawn</v>
      </c>
      <c r="F4200">
        <f>IFERROR(__xludf.DUMMYFUNCTION("""COMPUTED_VALUE"""),12.600000000000001)</f>
        <v>12.6</v>
      </c>
    </row>
    <row r="4201">
      <c r="D4201" t="str">
        <f>IFERROR(__xludf.DUMMYFUNCTION("""COMPUTED_VALUE"""),"Seals-Jones")</f>
        <v>Seals-Jones</v>
      </c>
      <c r="E4201" t="str">
        <f>IFERROR(__xludf.DUMMYFUNCTION("""COMPUTED_VALUE"""),"Ricky")</f>
        <v>Ricky</v>
      </c>
      <c r="F4201">
        <f>IFERROR(__xludf.DUMMYFUNCTION("""COMPUTED_VALUE"""),12.8)</f>
        <v>12.8</v>
      </c>
    </row>
    <row r="4202">
      <c r="D4202" t="str">
        <f>IFERROR(__xludf.DUMMYFUNCTION("""COMPUTED_VALUE"""),"Seamster")</f>
        <v>Seamster</v>
      </c>
      <c r="E4202" t="str">
        <f>IFERROR(__xludf.DUMMYFUNCTION("""COMPUTED_VALUE"""),"Sammy")</f>
        <v>Sammy</v>
      </c>
      <c r="F4202">
        <f>IFERROR(__xludf.DUMMYFUNCTION("""COMPUTED_VALUE"""),12.8)</f>
        <v>12.8</v>
      </c>
    </row>
    <row r="4203">
      <c r="D4203" t="str">
        <f>IFERROR(__xludf.DUMMYFUNCTION("""COMPUTED_VALUE"""),"Searcy")</f>
        <v>Searcy</v>
      </c>
      <c r="E4203" t="str">
        <f>IFERROR(__xludf.DUMMYFUNCTION("""COMPUTED_VALUE"""),"DaNorris")</f>
        <v>DaNorris</v>
      </c>
      <c r="F4203">
        <f>IFERROR(__xludf.DUMMYFUNCTION("""COMPUTED_VALUE"""),15.200000000000001)</f>
        <v>15.2</v>
      </c>
    </row>
    <row r="4204">
      <c r="D4204" t="str">
        <f>IFERROR(__xludf.DUMMYFUNCTION("""COMPUTED_VALUE"""),"Seaton")</f>
        <v>Seaton</v>
      </c>
      <c r="E4204" t="str">
        <f>IFERROR(__xludf.DUMMYFUNCTION("""COMPUTED_VALUE"""),"Brad")</f>
        <v>Brad</v>
      </c>
      <c r="F4204">
        <f>IFERROR(__xludf.DUMMYFUNCTION("""COMPUTED_VALUE"""),13.0)</f>
        <v>13</v>
      </c>
    </row>
    <row r="4205">
      <c r="D4205" t="str">
        <f>IFERROR(__xludf.DUMMYFUNCTION("""COMPUTED_VALUE"""),"Seau")</f>
        <v>Seau</v>
      </c>
      <c r="E4205" t="str">
        <f>IFERROR(__xludf.DUMMYFUNCTION("""COMPUTED_VALUE"""),"Ian")</f>
        <v>Ian</v>
      </c>
      <c r="F4205">
        <f>IFERROR(__xludf.DUMMYFUNCTION("""COMPUTED_VALUE"""),12.200000000000001)</f>
        <v>12.2</v>
      </c>
    </row>
    <row r="4206">
      <c r="D4206" t="str">
        <f>IFERROR(__xludf.DUMMYFUNCTION("""COMPUTED_VALUE"""),"Seferian-Jenkins")</f>
        <v>Seferian-Jenkins</v>
      </c>
      <c r="E4206" t="str">
        <f>IFERROR(__xludf.DUMMYFUNCTION("""COMPUTED_VALUE"""),"Austin")</f>
        <v>Austin</v>
      </c>
      <c r="F4206">
        <f>IFERROR(__xludf.DUMMYFUNCTION("""COMPUTED_VALUE"""),14.8)</f>
        <v>14.8</v>
      </c>
    </row>
    <row r="4207">
      <c r="D4207" t="str">
        <f>IFERROR(__xludf.DUMMYFUNCTION("""COMPUTED_VALUE"""),"Sendejo")</f>
        <v>Sendejo</v>
      </c>
      <c r="E4207" t="str">
        <f>IFERROR(__xludf.DUMMYFUNCTION("""COMPUTED_VALUE"""),"Andrew")</f>
        <v>Andrew</v>
      </c>
      <c r="F4207">
        <f>IFERROR(__xludf.DUMMYFUNCTION("""COMPUTED_VALUE"""),15.600000000000001)</f>
        <v>15.6</v>
      </c>
    </row>
    <row r="4208">
      <c r="D4208" t="str">
        <f>IFERROR(__xludf.DUMMYFUNCTION("""COMPUTED_VALUE"""),"Senior")</f>
        <v>Senior</v>
      </c>
      <c r="E4208" t="str">
        <f>IFERROR(__xludf.DUMMYFUNCTION("""COMPUTED_VALUE"""),"Justin")</f>
        <v>Justin</v>
      </c>
      <c r="F4208">
        <f>IFERROR(__xludf.DUMMYFUNCTION("""COMPUTED_VALUE"""),12.8)</f>
        <v>12.8</v>
      </c>
    </row>
    <row r="4209">
      <c r="D4209" t="str">
        <f>IFERROR(__xludf.DUMMYFUNCTION("""COMPUTED_VALUE"""),"Sensabaugh")</f>
        <v>Sensabaugh</v>
      </c>
      <c r="E4209" t="str">
        <f>IFERROR(__xludf.DUMMYFUNCTION("""COMPUTED_VALUE"""),"Coty")</f>
        <v>Coty</v>
      </c>
      <c r="F4209">
        <f>IFERROR(__xludf.DUMMYFUNCTION("""COMPUTED_VALUE"""),14.200000000000001)</f>
        <v>14.2</v>
      </c>
    </row>
    <row r="4210">
      <c r="D4210" t="str">
        <f>IFERROR(__xludf.DUMMYFUNCTION("""COMPUTED_VALUE"""),"Seumalo")</f>
        <v>Seumalo</v>
      </c>
      <c r="E4210" t="str">
        <f>IFERROR(__xludf.DUMMYFUNCTION("""COMPUTED_VALUE"""),"Isaac")</f>
        <v>Isaac</v>
      </c>
      <c r="F4210">
        <f>IFERROR(__xludf.DUMMYFUNCTION("""COMPUTED_VALUE"""),13.8)</f>
        <v>13.8</v>
      </c>
    </row>
    <row r="4211">
      <c r="D4211" t="str">
        <f>IFERROR(__xludf.DUMMYFUNCTION("""COMPUTED_VALUE"""),"Seymour")</f>
        <v>Seymour</v>
      </c>
      <c r="E4211" t="str">
        <f>IFERROR(__xludf.DUMMYFUNCTION("""COMPUTED_VALUE"""),"Kevon")</f>
        <v>Kevon</v>
      </c>
      <c r="F4211">
        <f>IFERROR(__xludf.DUMMYFUNCTION("""COMPUTED_VALUE"""),13.200000000000001)</f>
        <v>13.2</v>
      </c>
    </row>
    <row r="4212">
      <c r="D4212" t="str">
        <f>IFERROR(__xludf.DUMMYFUNCTION("""COMPUTED_VALUE"""),"Shabazz")</f>
        <v>Shabazz</v>
      </c>
      <c r="E4212" t="str">
        <f>IFERROR(__xludf.DUMMYFUNCTION("""COMPUTED_VALUE"""),"Al-Hajj")</f>
        <v>Al-Hajj</v>
      </c>
      <c r="F4212">
        <f>IFERROR(__xludf.DUMMYFUNCTION("""COMPUTED_VALUE"""),12.200000000000001)</f>
        <v>12.2</v>
      </c>
    </row>
    <row r="4213">
      <c r="D4213" t="str">
        <f>IFERROR(__xludf.DUMMYFUNCTION("""COMPUTED_VALUE"""),"Shaheen")</f>
        <v>Shaheen</v>
      </c>
      <c r="E4213" t="str">
        <f>IFERROR(__xludf.DUMMYFUNCTION("""COMPUTED_VALUE"""),"Adam")</f>
        <v>Adam</v>
      </c>
      <c r="F4213">
        <f>IFERROR(__xludf.DUMMYFUNCTION("""COMPUTED_VALUE"""),15.0)</f>
        <v>15</v>
      </c>
    </row>
    <row r="4214">
      <c r="D4214" t="str">
        <f>IFERROR(__xludf.DUMMYFUNCTION("""COMPUTED_VALUE"""),"Sharpe")</f>
        <v>Sharpe</v>
      </c>
      <c r="E4214" t="str">
        <f>IFERROR(__xludf.DUMMYFUNCTION("""COMPUTED_VALUE"""),"David")</f>
        <v>David</v>
      </c>
      <c r="F4214">
        <f>IFERROR(__xludf.DUMMYFUNCTION("""COMPUTED_VALUE"""),13.8)</f>
        <v>13.8</v>
      </c>
    </row>
    <row r="4215">
      <c r="D4215" t="str">
        <f>IFERROR(__xludf.DUMMYFUNCTION("""COMPUTED_VALUE"""),"Sharpe")</f>
        <v>Sharpe</v>
      </c>
      <c r="E4215" t="str">
        <f>IFERROR(__xludf.DUMMYFUNCTION("""COMPUTED_VALUE"""),"Tajae")</f>
        <v>Tajae</v>
      </c>
      <c r="F4215">
        <f>IFERROR(__xludf.DUMMYFUNCTION("""COMPUTED_VALUE"""),15.200000000000001)</f>
        <v>15.2</v>
      </c>
    </row>
    <row r="4216">
      <c r="D4216" t="str">
        <f>IFERROR(__xludf.DUMMYFUNCTION("""COMPUTED_VALUE"""),"Shatley")</f>
        <v>Shatley</v>
      </c>
      <c r="E4216" t="str">
        <f>IFERROR(__xludf.DUMMYFUNCTION("""COMPUTED_VALUE"""),"Tyler")</f>
        <v>Tyler</v>
      </c>
      <c r="F4216">
        <f>IFERROR(__xludf.DUMMYFUNCTION("""COMPUTED_VALUE"""),13.600000000000001)</f>
        <v>13.6</v>
      </c>
    </row>
    <row r="4217">
      <c r="D4217" t="str">
        <f>IFERROR(__xludf.DUMMYFUNCTION("""COMPUTED_VALUE"""),"Shaw")</f>
        <v>Shaw</v>
      </c>
      <c r="E4217" t="str">
        <f>IFERROR(__xludf.DUMMYFUNCTION("""COMPUTED_VALUE"""),"Connor")</f>
        <v>Connor</v>
      </c>
      <c r="F4217">
        <f>IFERROR(__xludf.DUMMYFUNCTION("""COMPUTED_VALUE"""),11.4)</f>
        <v>11.4</v>
      </c>
    </row>
    <row r="4218">
      <c r="D4218" t="str">
        <f>IFERROR(__xludf.DUMMYFUNCTION("""COMPUTED_VALUE"""),"Shaw")</f>
        <v>Shaw</v>
      </c>
      <c r="E4218" t="str">
        <f>IFERROR(__xludf.DUMMYFUNCTION("""COMPUTED_VALUE"""),"Josh")</f>
        <v>Josh</v>
      </c>
      <c r="F4218">
        <f>IFERROR(__xludf.DUMMYFUNCTION("""COMPUTED_VALUE"""),14.4)</f>
        <v>14.4</v>
      </c>
    </row>
    <row r="4219">
      <c r="D4219" t="str">
        <f>IFERROR(__xludf.DUMMYFUNCTION("""COMPUTED_VALUE"""),"Shazier")</f>
        <v>Shazier</v>
      </c>
      <c r="E4219" t="str">
        <f>IFERROR(__xludf.DUMMYFUNCTION("""COMPUTED_VALUE"""),"Ryan")</f>
        <v>Ryan</v>
      </c>
      <c r="F4219">
        <f>IFERROR(__xludf.DUMMYFUNCTION("""COMPUTED_VALUE"""),16.2)</f>
        <v>16.2</v>
      </c>
    </row>
    <row r="4220">
      <c r="D4220" t="str">
        <f>IFERROR(__xludf.DUMMYFUNCTION("""COMPUTED_VALUE"""),"Shead")</f>
        <v>Shead</v>
      </c>
      <c r="E4220" t="str">
        <f>IFERROR(__xludf.DUMMYFUNCTION("""COMPUTED_VALUE"""),"DeShawn")</f>
        <v>DeShawn</v>
      </c>
      <c r="F4220">
        <f>IFERROR(__xludf.DUMMYFUNCTION("""COMPUTED_VALUE"""),15.8)</f>
        <v>15.8</v>
      </c>
    </row>
    <row r="4221">
      <c r="D4221" t="str">
        <f>IFERROR(__xludf.DUMMYFUNCTION("""COMPUTED_VALUE"""),"Sheard")</f>
        <v>Sheard</v>
      </c>
      <c r="E4221" t="str">
        <f>IFERROR(__xludf.DUMMYFUNCTION("""COMPUTED_VALUE"""),"Jabaal")</f>
        <v>Jabaal</v>
      </c>
      <c r="F4221">
        <f>IFERROR(__xludf.DUMMYFUNCTION("""COMPUTED_VALUE"""),15.8)</f>
        <v>15.8</v>
      </c>
    </row>
    <row r="4222">
      <c r="D4222" t="str">
        <f>IFERROR(__xludf.DUMMYFUNCTION("""COMPUTED_VALUE"""),"Shelby")</f>
        <v>Shelby</v>
      </c>
      <c r="E4222" t="str">
        <f>IFERROR(__xludf.DUMMYFUNCTION("""COMPUTED_VALUE"""),"Derrick")</f>
        <v>Derrick</v>
      </c>
      <c r="F4222">
        <f>IFERROR(__xludf.DUMMYFUNCTION("""COMPUTED_VALUE"""),15.0)</f>
        <v>15</v>
      </c>
    </row>
    <row r="4223">
      <c r="D4223" t="str">
        <f>IFERROR(__xludf.DUMMYFUNCTION("""COMPUTED_VALUE"""),"Shell")</f>
        <v>Shell</v>
      </c>
      <c r="E4223" t="str">
        <f>IFERROR(__xludf.DUMMYFUNCTION("""COMPUTED_VALUE"""),"Brandon")</f>
        <v>Brandon</v>
      </c>
      <c r="F4223">
        <f>IFERROR(__xludf.DUMMYFUNCTION("""COMPUTED_VALUE"""),13.8)</f>
        <v>13.8</v>
      </c>
    </row>
    <row r="4224">
      <c r="D4224" t="str">
        <f>IFERROR(__xludf.DUMMYFUNCTION("""COMPUTED_VALUE"""),"Shelton")</f>
        <v>Shelton</v>
      </c>
      <c r="E4224" t="str">
        <f>IFERROR(__xludf.DUMMYFUNCTION("""COMPUTED_VALUE"""),"Danny")</f>
        <v>Danny</v>
      </c>
      <c r="F4224">
        <f>IFERROR(__xludf.DUMMYFUNCTION("""COMPUTED_VALUE"""),16.400000000000002)</f>
        <v>16.4</v>
      </c>
    </row>
    <row r="4225">
      <c r="D4225" t="str">
        <f>IFERROR(__xludf.DUMMYFUNCTION("""COMPUTED_VALUE"""),"Shelton")</f>
        <v>Shelton</v>
      </c>
      <c r="E4225" t="str">
        <f>IFERROR(__xludf.DUMMYFUNCTION("""COMPUTED_VALUE"""),"RJ")</f>
        <v>RJ</v>
      </c>
      <c r="F4225">
        <f>IFERROR(__xludf.DUMMYFUNCTION("""COMPUTED_VALUE"""),12.200000000000001)</f>
        <v>12.2</v>
      </c>
    </row>
    <row r="4226">
      <c r="D4226" t="str">
        <f>IFERROR(__xludf.DUMMYFUNCTION("""COMPUTED_VALUE"""),"Shepard")</f>
        <v>Shepard</v>
      </c>
      <c r="E4226" t="str">
        <f>IFERROR(__xludf.DUMMYFUNCTION("""COMPUTED_VALUE"""),"Russell")</f>
        <v>Russell</v>
      </c>
      <c r="F4226">
        <f>IFERROR(__xludf.DUMMYFUNCTION("""COMPUTED_VALUE"""),14.200000000000001)</f>
        <v>14.2</v>
      </c>
    </row>
    <row r="4227">
      <c r="D4227" t="str">
        <f>IFERROR(__xludf.DUMMYFUNCTION("""COMPUTED_VALUE"""),"Shepard")</f>
        <v>Shepard</v>
      </c>
      <c r="E4227" t="str">
        <f>IFERROR(__xludf.DUMMYFUNCTION("""COMPUTED_VALUE"""),"Sterling")</f>
        <v>Sterling</v>
      </c>
      <c r="F4227">
        <f>IFERROR(__xludf.DUMMYFUNCTION("""COMPUTED_VALUE"""),16.0)</f>
        <v>16</v>
      </c>
    </row>
    <row r="4228">
      <c r="D4228" t="str">
        <f>IFERROR(__xludf.DUMMYFUNCTION("""COMPUTED_VALUE"""),"Shepherd")</f>
        <v>Shepherd</v>
      </c>
      <c r="E4228" t="str">
        <f>IFERROR(__xludf.DUMMYFUNCTION("""COMPUTED_VALUE"""),"Austin")</f>
        <v>Austin</v>
      </c>
      <c r="F4228">
        <f>IFERROR(__xludf.DUMMYFUNCTION("""COMPUTED_VALUE"""),12.600000000000001)</f>
        <v>12.6</v>
      </c>
    </row>
    <row r="4229">
      <c r="D4229" t="str">
        <f>IFERROR(__xludf.DUMMYFUNCTION("""COMPUTED_VALUE"""),"Sherels")</f>
        <v>Sherels</v>
      </c>
      <c r="E4229" t="str">
        <f>IFERROR(__xludf.DUMMYFUNCTION("""COMPUTED_VALUE"""),"Marcus")</f>
        <v>Marcus</v>
      </c>
      <c r="F4229">
        <f>IFERROR(__xludf.DUMMYFUNCTION("""COMPUTED_VALUE"""),14.0)</f>
        <v>14</v>
      </c>
    </row>
    <row r="4230">
      <c r="D4230" t="str">
        <f>IFERROR(__xludf.DUMMYFUNCTION("""COMPUTED_VALUE"""),"Sherman")</f>
        <v>Sherman</v>
      </c>
      <c r="E4230" t="str">
        <f>IFERROR(__xludf.DUMMYFUNCTION("""COMPUTED_VALUE"""),"Anthony")</f>
        <v>Anthony</v>
      </c>
      <c r="F4230">
        <f>IFERROR(__xludf.DUMMYFUNCTION("""COMPUTED_VALUE"""),14.0)</f>
        <v>14</v>
      </c>
    </row>
    <row r="4231">
      <c r="D4231" t="str">
        <f>IFERROR(__xludf.DUMMYFUNCTION("""COMPUTED_VALUE"""),"Sherman")</f>
        <v>Sherman</v>
      </c>
      <c r="E4231" t="str">
        <f>IFERROR(__xludf.DUMMYFUNCTION("""COMPUTED_VALUE"""),"Richard")</f>
        <v>Richard</v>
      </c>
      <c r="F4231">
        <f>IFERROR(__xludf.DUMMYFUNCTION("""COMPUTED_VALUE"""),18.0)</f>
        <v>18</v>
      </c>
    </row>
    <row r="4232">
      <c r="D4232" t="str">
        <f>IFERROR(__xludf.DUMMYFUNCTION("""COMPUTED_VALUE"""),"Shipley")</f>
        <v>Shipley</v>
      </c>
      <c r="E4232" t="str">
        <f>IFERROR(__xludf.DUMMYFUNCTION("""COMPUTED_VALUE"""),"AQ")</f>
        <v>AQ</v>
      </c>
      <c r="F4232">
        <f>IFERROR(__xludf.DUMMYFUNCTION("""COMPUTED_VALUE"""),16.0)</f>
        <v>16</v>
      </c>
    </row>
    <row r="4233">
      <c r="D4233" t="str">
        <f>IFERROR(__xludf.DUMMYFUNCTION("""COMPUTED_VALUE"""),"Short")</f>
        <v>Short</v>
      </c>
      <c r="E4233" t="str">
        <f>IFERROR(__xludf.DUMMYFUNCTION("""COMPUTED_VALUE"""),"Kawann")</f>
        <v>Kawann</v>
      </c>
      <c r="F4233">
        <f>IFERROR(__xludf.DUMMYFUNCTION("""COMPUTED_VALUE"""),17.6)</f>
        <v>17.6</v>
      </c>
    </row>
    <row r="4234">
      <c r="D4234" t="str">
        <f>IFERROR(__xludf.DUMMYFUNCTION("""COMPUTED_VALUE"""),"Shorts")</f>
        <v>Shorts</v>
      </c>
      <c r="E4234" t="str">
        <f>IFERROR(__xludf.DUMMYFUNCTION("""COMPUTED_VALUE"""),"Daikiel")</f>
        <v>Daikiel</v>
      </c>
      <c r="F4234">
        <f>IFERROR(__xludf.DUMMYFUNCTION("""COMPUTED_VALUE"""),12.600000000000001)</f>
        <v>12.6</v>
      </c>
    </row>
    <row r="4235">
      <c r="D4235" t="str">
        <f>IFERROR(__xludf.DUMMYFUNCTION("""COMPUTED_VALUE"""),"Showers")</f>
        <v>Showers</v>
      </c>
      <c r="E4235" t="str">
        <f>IFERROR(__xludf.DUMMYFUNCTION("""COMPUTED_VALUE"""),"Jameill")</f>
        <v>Jameill</v>
      </c>
      <c r="F4235">
        <f>IFERROR(__xludf.DUMMYFUNCTION("""COMPUTED_VALUE"""),11.0)</f>
        <v>11</v>
      </c>
    </row>
    <row r="4236">
      <c r="D4236" t="str">
        <f>IFERROR(__xludf.DUMMYFUNCTION("""COMPUTED_VALUE"""),"Siemian")</f>
        <v>Siemian</v>
      </c>
      <c r="E4236" t="str">
        <f>IFERROR(__xludf.DUMMYFUNCTION("""COMPUTED_VALUE"""),"Trevor")</f>
        <v>Trevor</v>
      </c>
      <c r="F4236">
        <f>IFERROR(__xludf.DUMMYFUNCTION("""COMPUTED_VALUE"""),15.200000000000001)</f>
        <v>15.2</v>
      </c>
    </row>
    <row r="4237">
      <c r="D4237" t="str">
        <f>IFERROR(__xludf.DUMMYFUNCTION("""COMPUTED_VALUE"""),"Silatolu")</f>
        <v>Silatolu</v>
      </c>
      <c r="E4237" t="str">
        <f>IFERROR(__xludf.DUMMYFUNCTION("""COMPUTED_VALUE"""),"Amini")</f>
        <v>Amini</v>
      </c>
      <c r="F4237">
        <f>IFERROR(__xludf.DUMMYFUNCTION("""COMPUTED_VALUE"""),14.4)</f>
        <v>14.4</v>
      </c>
    </row>
    <row r="4238">
      <c r="D4238" t="str">
        <f>IFERROR(__xludf.DUMMYFUNCTION("""COMPUTED_VALUE"""),"Silberman")</f>
        <v>Silberman</v>
      </c>
      <c r="E4238" t="str">
        <f>IFERROR(__xludf.DUMMYFUNCTION("""COMPUTED_VALUE"""),"Ian")</f>
        <v>Ian</v>
      </c>
      <c r="F4238">
        <f>IFERROR(__xludf.DUMMYFUNCTION("""COMPUTED_VALUE"""),13.4)</f>
        <v>13.4</v>
      </c>
    </row>
    <row r="4239">
      <c r="D4239" t="str">
        <f>IFERROR(__xludf.DUMMYFUNCTION("""COMPUTED_VALUE"""),"Siliga")</f>
        <v>Siliga</v>
      </c>
      <c r="E4239" t="str">
        <f>IFERROR(__xludf.DUMMYFUNCTION("""COMPUTED_VALUE"""),"Sealver")</f>
        <v>Sealver</v>
      </c>
      <c r="F4239">
        <f>IFERROR(__xludf.DUMMYFUNCTION("""COMPUTED_VALUE"""),14.0)</f>
        <v>14</v>
      </c>
    </row>
    <row r="4240">
      <c r="D4240" t="str">
        <f>IFERROR(__xludf.DUMMYFUNCTION("""COMPUTED_VALUE"""),"Simmons")</f>
        <v>Simmons</v>
      </c>
      <c r="E4240" t="str">
        <f>IFERROR(__xludf.DUMMYFUNCTION("""COMPUTED_VALUE"""),"Justin")</f>
        <v>Justin</v>
      </c>
      <c r="F4240">
        <f>IFERROR(__xludf.DUMMYFUNCTION("""COMPUTED_VALUE"""),14.4)</f>
        <v>14.4</v>
      </c>
    </row>
    <row r="4241">
      <c r="D4241" t="str">
        <f>IFERROR(__xludf.DUMMYFUNCTION("""COMPUTED_VALUE"""),"Simms")</f>
        <v>Simms</v>
      </c>
      <c r="E4241" t="str">
        <f>IFERROR(__xludf.DUMMYFUNCTION("""COMPUTED_VALUE"""),"Matt")</f>
        <v>Matt</v>
      </c>
      <c r="F4241">
        <f>IFERROR(__xludf.DUMMYFUNCTION("""COMPUTED_VALUE"""),11.600000000000001)</f>
        <v>11.6</v>
      </c>
    </row>
    <row r="4242">
      <c r="D4242" t="str">
        <f>IFERROR(__xludf.DUMMYFUNCTION("""COMPUTED_VALUE"""),"Simon")</f>
        <v>Simon</v>
      </c>
      <c r="E4242" t="str">
        <f>IFERROR(__xludf.DUMMYFUNCTION("""COMPUTED_VALUE"""),"Deon")</f>
        <v>Deon</v>
      </c>
      <c r="F4242">
        <f>IFERROR(__xludf.DUMMYFUNCTION("""COMPUTED_VALUE"""),13.0)</f>
        <v>13</v>
      </c>
    </row>
    <row r="4243">
      <c r="D4243" t="str">
        <f>IFERROR(__xludf.DUMMYFUNCTION("""COMPUTED_VALUE"""),"Simon")</f>
        <v>Simon</v>
      </c>
      <c r="E4243" t="str">
        <f>IFERROR(__xludf.DUMMYFUNCTION("""COMPUTED_VALUE"""),"John")</f>
        <v>John</v>
      </c>
      <c r="F4243">
        <f>IFERROR(__xludf.DUMMYFUNCTION("""COMPUTED_VALUE"""),15.8)</f>
        <v>15.8</v>
      </c>
    </row>
    <row r="4244">
      <c r="D4244" t="str">
        <f>IFERROR(__xludf.DUMMYFUNCTION("""COMPUTED_VALUE"""),"Sims")</f>
        <v>Sims</v>
      </c>
      <c r="E4244" t="str">
        <f>IFERROR(__xludf.DUMMYFUNCTION("""COMPUTED_VALUE"""),"Blake")</f>
        <v>Blake</v>
      </c>
      <c r="F4244">
        <f>IFERROR(__xludf.DUMMYFUNCTION("""COMPUTED_VALUE"""),10.8)</f>
        <v>10.8</v>
      </c>
    </row>
    <row r="4245">
      <c r="D4245" t="str">
        <f>IFERROR(__xludf.DUMMYFUNCTION("""COMPUTED_VALUE"""),"Sims")</f>
        <v>Sims</v>
      </c>
      <c r="E4245" t="str">
        <f>IFERROR(__xludf.DUMMYFUNCTION("""COMPUTED_VALUE"""),"Dion")</f>
        <v>Dion</v>
      </c>
      <c r="F4245">
        <f>IFERROR(__xludf.DUMMYFUNCTION("""COMPUTED_VALUE"""),15.600000000000001)</f>
        <v>15.6</v>
      </c>
    </row>
    <row r="4246">
      <c r="D4246" t="str">
        <f>IFERROR(__xludf.DUMMYFUNCTION("""COMPUTED_VALUE"""),"Sims")</f>
        <v>Sims</v>
      </c>
      <c r="E4246" t="str">
        <f>IFERROR(__xludf.DUMMYFUNCTION("""COMPUTED_VALUE"""),"LeShaun")</f>
        <v>LeShaun</v>
      </c>
      <c r="F4246">
        <f>IFERROR(__xludf.DUMMYFUNCTION("""COMPUTED_VALUE"""),13.600000000000001)</f>
        <v>13.6</v>
      </c>
    </row>
    <row r="4247">
      <c r="D4247" t="str">
        <f>IFERROR(__xludf.DUMMYFUNCTION("""COMPUTED_VALUE"""),"Sims")</f>
        <v>Sims</v>
      </c>
      <c r="E4247" t="str">
        <f>IFERROR(__xludf.DUMMYFUNCTION("""COMPUTED_VALUE"""),"Pat")</f>
        <v>Pat</v>
      </c>
      <c r="F4247">
        <f>IFERROR(__xludf.DUMMYFUNCTION("""COMPUTED_VALUE"""),14.4)</f>
        <v>14.4</v>
      </c>
    </row>
    <row r="4248">
      <c r="D4248" t="str">
        <f>IFERROR(__xludf.DUMMYFUNCTION("""COMPUTED_VALUE"""),"Sims III")</f>
        <v>Sims III</v>
      </c>
      <c r="E4248" t="str">
        <f>IFERROR(__xludf.DUMMYFUNCTION("""COMPUTED_VALUE"""),"Charles")</f>
        <v>Charles</v>
      </c>
      <c r="F4248">
        <f>IFERROR(__xludf.DUMMYFUNCTION("""COMPUTED_VALUE"""),16.400000000000002)</f>
        <v>16.4</v>
      </c>
    </row>
    <row r="4249">
      <c r="D4249" t="str">
        <f>IFERROR(__xludf.DUMMYFUNCTION("""COMPUTED_VALUE"""),"Siragusa")</f>
        <v>Siragusa</v>
      </c>
      <c r="E4249" t="str">
        <f>IFERROR(__xludf.DUMMYFUNCTION("""COMPUTED_VALUE"""),"Nico")</f>
        <v>Nico</v>
      </c>
      <c r="F4249">
        <f>IFERROR(__xludf.DUMMYFUNCTION("""COMPUTED_VALUE"""),14.200000000000001)</f>
        <v>14.2</v>
      </c>
    </row>
    <row r="4250">
      <c r="D4250" t="str">
        <f>IFERROR(__xludf.DUMMYFUNCTION("""COMPUTED_VALUE"""),"Sirles")</f>
        <v>Sirles</v>
      </c>
      <c r="E4250" t="str">
        <f>IFERROR(__xludf.DUMMYFUNCTION("""COMPUTED_VALUE"""),"Jeremiah")</f>
        <v>Jeremiah</v>
      </c>
      <c r="F4250">
        <f>IFERROR(__xludf.DUMMYFUNCTION("""COMPUTED_VALUE"""),13.600000000000001)</f>
        <v>13.6</v>
      </c>
    </row>
    <row r="4251">
      <c r="D4251" t="str">
        <f>IFERROR(__xludf.DUMMYFUNCTION("""COMPUTED_VALUE"""),"Sitton")</f>
        <v>Sitton</v>
      </c>
      <c r="E4251" t="str">
        <f>IFERROR(__xludf.DUMMYFUNCTION("""COMPUTED_VALUE"""),"Josh")</f>
        <v>Josh</v>
      </c>
      <c r="F4251">
        <f>IFERROR(__xludf.DUMMYFUNCTION("""COMPUTED_VALUE"""),17.8)</f>
        <v>17.8</v>
      </c>
    </row>
    <row r="4252">
      <c r="D4252" t="str">
        <f>IFERROR(__xludf.DUMMYFUNCTION("""COMPUTED_VALUE"""),"Skinner")</f>
        <v>Skinner</v>
      </c>
      <c r="E4252" t="str">
        <f>IFERROR(__xludf.DUMMYFUNCTION("""COMPUTED_VALUE"""),"Deontae")</f>
        <v>Deontae</v>
      </c>
      <c r="F4252">
        <f>IFERROR(__xludf.DUMMYFUNCTION("""COMPUTED_VALUE"""),12.4)</f>
        <v>12.4</v>
      </c>
    </row>
    <row r="4253">
      <c r="D4253" t="str">
        <f>IFERROR(__xludf.DUMMYFUNCTION("""COMPUTED_VALUE"""),"Skipper")</f>
        <v>Skipper</v>
      </c>
      <c r="E4253" t="str">
        <f>IFERROR(__xludf.DUMMYFUNCTION("""COMPUTED_VALUE"""),"Dan")</f>
        <v>Dan</v>
      </c>
      <c r="F4253">
        <f>IFERROR(__xludf.DUMMYFUNCTION("""COMPUTED_VALUE"""),12.4)</f>
        <v>12.4</v>
      </c>
    </row>
    <row r="4254">
      <c r="D4254" t="str">
        <f>IFERROR(__xludf.DUMMYFUNCTION("""COMPUTED_VALUE"""),"Skrine")</f>
        <v>Skrine</v>
      </c>
      <c r="E4254" t="str">
        <f>IFERROR(__xludf.DUMMYFUNCTION("""COMPUTED_VALUE"""),"Buster")</f>
        <v>Buster</v>
      </c>
      <c r="F4254">
        <f>IFERROR(__xludf.DUMMYFUNCTION("""COMPUTED_VALUE"""),15.200000000000001)</f>
        <v>15.2</v>
      </c>
    </row>
    <row r="4255">
      <c r="D4255" t="str">
        <f>IFERROR(__xludf.DUMMYFUNCTION("""COMPUTED_VALUE"""),"Skuta")</f>
        <v>Skuta</v>
      </c>
      <c r="E4255" t="str">
        <f>IFERROR(__xludf.DUMMYFUNCTION("""COMPUTED_VALUE"""),"Dan")</f>
        <v>Dan</v>
      </c>
      <c r="F4255">
        <f>IFERROR(__xludf.DUMMYFUNCTION("""COMPUTED_VALUE"""),14.8)</f>
        <v>14.8</v>
      </c>
    </row>
    <row r="4256">
      <c r="D4256" t="str">
        <f>IFERROR(__xludf.DUMMYFUNCTION("""COMPUTED_VALUE"""),"Slade")</f>
        <v>Slade</v>
      </c>
      <c r="E4256" t="str">
        <f>IFERROR(__xludf.DUMMYFUNCTION("""COMPUTED_VALUE"""),"Chad")</f>
        <v>Chad</v>
      </c>
      <c r="F4256">
        <f>IFERROR(__xludf.DUMMYFUNCTION("""COMPUTED_VALUE"""),12.8)</f>
        <v>12.8</v>
      </c>
    </row>
    <row r="4257">
      <c r="D4257" t="str">
        <f>IFERROR(__xludf.DUMMYFUNCTION("""COMPUTED_VALUE"""),"Slater")</f>
        <v>Slater</v>
      </c>
      <c r="E4257" t="str">
        <f>IFERROR(__xludf.DUMMYFUNCTION("""COMPUTED_VALUE"""),"Matthew")</f>
        <v>Matthew</v>
      </c>
      <c r="F4257">
        <f>IFERROR(__xludf.DUMMYFUNCTION("""COMPUTED_VALUE"""),13.8)</f>
        <v>13.8</v>
      </c>
    </row>
    <row r="4258">
      <c r="D4258" t="str">
        <f>IFERROR(__xludf.DUMMYFUNCTION("""COMPUTED_VALUE"""),"Slauson")</f>
        <v>Slauson</v>
      </c>
      <c r="E4258" t="str">
        <f>IFERROR(__xludf.DUMMYFUNCTION("""COMPUTED_VALUE"""),"Matt")</f>
        <v>Matt</v>
      </c>
      <c r="F4258">
        <f>IFERROR(__xludf.DUMMYFUNCTION("""COMPUTED_VALUE"""),16.0)</f>
        <v>16</v>
      </c>
    </row>
    <row r="4259">
      <c r="D4259" t="str">
        <f>IFERROR(__xludf.DUMMYFUNCTION("""COMPUTED_VALUE"""),"Slay Jr")</f>
        <v>Slay Jr</v>
      </c>
      <c r="E4259" t="str">
        <f>IFERROR(__xludf.DUMMYFUNCTION("""COMPUTED_VALUE"""),"Darius")</f>
        <v>Darius</v>
      </c>
      <c r="F4259">
        <f>IFERROR(__xludf.DUMMYFUNCTION("""COMPUTED_VALUE"""),17.8)</f>
        <v>17.8</v>
      </c>
    </row>
    <row r="4260">
      <c r="D4260" t="str">
        <f>IFERROR(__xludf.DUMMYFUNCTION("""COMPUTED_VALUE"""),"Smallwood")</f>
        <v>Smallwood</v>
      </c>
      <c r="E4260" t="str">
        <f>IFERROR(__xludf.DUMMYFUNCTION("""COMPUTED_VALUE"""),"Wendell")</f>
        <v>Wendell</v>
      </c>
      <c r="F4260">
        <f>IFERROR(__xludf.DUMMYFUNCTION("""COMPUTED_VALUE"""),14.0)</f>
        <v>14</v>
      </c>
    </row>
    <row r="4261">
      <c r="D4261" t="str">
        <f>IFERROR(__xludf.DUMMYFUNCTION("""COMPUTED_VALUE"""),"Smart")</f>
        <v>Smart</v>
      </c>
      <c r="E4261" t="str">
        <f>IFERROR(__xludf.DUMMYFUNCTION("""COMPUTED_VALUE"""),"Tanzel")</f>
        <v>Tanzel</v>
      </c>
      <c r="F4261">
        <f>IFERROR(__xludf.DUMMYFUNCTION("""COMPUTED_VALUE"""),12.600000000000001)</f>
        <v>12.6</v>
      </c>
    </row>
    <row r="4262">
      <c r="D4262" t="str">
        <f>IFERROR(__xludf.DUMMYFUNCTION("""COMPUTED_VALUE"""),"Smelter")</f>
        <v>Smelter</v>
      </c>
      <c r="E4262" t="str">
        <f>IFERROR(__xludf.DUMMYFUNCTION("""COMPUTED_VALUE"""),"DeAndre")</f>
        <v>DeAndre</v>
      </c>
      <c r="F4262">
        <f>IFERROR(__xludf.DUMMYFUNCTION("""COMPUTED_VALUE"""),13.0)</f>
        <v>13</v>
      </c>
    </row>
    <row r="4263">
      <c r="D4263" t="str">
        <f>IFERROR(__xludf.DUMMYFUNCTION("""COMPUTED_VALUE"""),"Smith")</f>
        <v>Smith</v>
      </c>
      <c r="E4263" t="str">
        <f>IFERROR(__xludf.DUMMYFUNCTION("""COMPUTED_VALUE"""),"Aldon")</f>
        <v>Aldon</v>
      </c>
      <c r="F4263">
        <f>IFERROR(__xludf.DUMMYFUNCTION("""COMPUTED_VALUE"""),17.0)</f>
        <v>17</v>
      </c>
    </row>
    <row r="4264">
      <c r="D4264" t="str">
        <f>IFERROR(__xludf.DUMMYFUNCTION("""COMPUTED_VALUE"""),"Smith")</f>
        <v>Smith</v>
      </c>
      <c r="E4264" t="str">
        <f>IFERROR(__xludf.DUMMYFUNCTION("""COMPUTED_VALUE"""),"Alex")</f>
        <v>Alex</v>
      </c>
      <c r="F4264">
        <f>IFERROR(__xludf.DUMMYFUNCTION("""COMPUTED_VALUE"""),16.2)</f>
        <v>16.2</v>
      </c>
    </row>
    <row r="4265">
      <c r="D4265" t="str">
        <f>IFERROR(__xludf.DUMMYFUNCTION("""COMPUTED_VALUE"""),"Smith")</f>
        <v>Smith</v>
      </c>
      <c r="E4265" t="str">
        <f>IFERROR(__xludf.DUMMYFUNCTION("""COMPUTED_VALUE"""),"Andre")</f>
        <v>Andre</v>
      </c>
      <c r="F4265">
        <f>IFERROR(__xludf.DUMMYFUNCTION("""COMPUTED_VALUE"""),14.8)</f>
        <v>14.8</v>
      </c>
    </row>
    <row r="4266">
      <c r="D4266" t="str">
        <f>IFERROR(__xludf.DUMMYFUNCTION("""COMPUTED_VALUE"""),"Smith")</f>
        <v>Smith</v>
      </c>
      <c r="E4266" t="str">
        <f>IFERROR(__xludf.DUMMYFUNCTION("""COMPUTED_VALUE"""),"Chris")</f>
        <v>Chris</v>
      </c>
      <c r="F4266">
        <f>IFERROR(__xludf.DUMMYFUNCTION("""COMPUTED_VALUE"""),13.4)</f>
        <v>13.4</v>
      </c>
    </row>
    <row r="4267">
      <c r="D4267" t="str">
        <f>IFERROR(__xludf.DUMMYFUNCTION("""COMPUTED_VALUE"""),"Smith")</f>
        <v>Smith</v>
      </c>
      <c r="E4267" t="str">
        <f>IFERROR(__xludf.DUMMYFUNCTION("""COMPUTED_VALUE"""),"Derron")</f>
        <v>Derron</v>
      </c>
      <c r="F4267">
        <f>IFERROR(__xludf.DUMMYFUNCTION("""COMPUTED_VALUE"""),13.0)</f>
        <v>13</v>
      </c>
    </row>
    <row r="4268">
      <c r="D4268" t="str">
        <f>IFERROR(__xludf.DUMMYFUNCTION("""COMPUTED_VALUE"""),"Smith")</f>
        <v>Smith</v>
      </c>
      <c r="E4268" t="str">
        <f>IFERROR(__xludf.DUMMYFUNCTION("""COMPUTED_VALUE"""),"DeVeon")</f>
        <v>DeVeon</v>
      </c>
      <c r="F4268">
        <f>IFERROR(__xludf.DUMMYFUNCTION("""COMPUTED_VALUE"""),13.0)</f>
        <v>13</v>
      </c>
    </row>
    <row r="4269">
      <c r="D4269" t="str">
        <f>IFERROR(__xludf.DUMMYFUNCTION("""COMPUTED_VALUE"""),"Smith")</f>
        <v>Smith</v>
      </c>
      <c r="E4269" t="str">
        <f>IFERROR(__xludf.DUMMYFUNCTION("""COMPUTED_VALUE"""),"Devin")</f>
        <v>Devin</v>
      </c>
      <c r="F4269">
        <f>IFERROR(__xludf.DUMMYFUNCTION("""COMPUTED_VALUE"""),14.0)</f>
        <v>14</v>
      </c>
    </row>
    <row r="4270">
      <c r="D4270" t="str">
        <f>IFERROR(__xludf.DUMMYFUNCTION("""COMPUTED_VALUE"""),"Smith")</f>
        <v>Smith</v>
      </c>
      <c r="E4270" t="str">
        <f>IFERROR(__xludf.DUMMYFUNCTION("""COMPUTED_VALUE"""),"DJoun")</f>
        <v>DJoun</v>
      </c>
      <c r="F4270">
        <f>IFERROR(__xludf.DUMMYFUNCTION("""COMPUTED_VALUE"""),13.4)</f>
        <v>13.4</v>
      </c>
    </row>
    <row r="4271">
      <c r="D4271" t="str">
        <f>IFERROR(__xludf.DUMMYFUNCTION("""COMPUTED_VALUE"""),"Smith")</f>
        <v>Smith</v>
      </c>
      <c r="E4271" t="str">
        <f>IFERROR(__xludf.DUMMYFUNCTION("""COMPUTED_VALUE"""),"Donovan")</f>
        <v>Donovan</v>
      </c>
      <c r="F4271">
        <f>IFERROR(__xludf.DUMMYFUNCTION("""COMPUTED_VALUE"""),14.4)</f>
        <v>14.4</v>
      </c>
    </row>
    <row r="4272">
      <c r="D4272" t="str">
        <f>IFERROR(__xludf.DUMMYFUNCTION("""COMPUTED_VALUE"""),"Smith")</f>
        <v>Smith</v>
      </c>
      <c r="E4272" t="str">
        <f>IFERROR(__xludf.DUMMYFUNCTION("""COMPUTED_VALUE"""),"Evan")</f>
        <v>Evan</v>
      </c>
      <c r="F4272">
        <f>IFERROR(__xludf.DUMMYFUNCTION("""COMPUTED_VALUE"""),14.600000000000001)</f>
        <v>14.6</v>
      </c>
    </row>
    <row r="4273">
      <c r="D4273" t="str">
        <f>IFERROR(__xludf.DUMMYFUNCTION("""COMPUTED_VALUE"""),"Smith")</f>
        <v>Smith</v>
      </c>
      <c r="E4273" t="str">
        <f>IFERROR(__xludf.DUMMYFUNCTION("""COMPUTED_VALUE"""),"Garrison")</f>
        <v>Garrison</v>
      </c>
      <c r="F4273">
        <f>IFERROR(__xludf.DUMMYFUNCTION("""COMPUTED_VALUE"""),12.200000000000001)</f>
        <v>12.2</v>
      </c>
    </row>
    <row r="4274">
      <c r="D4274" t="str">
        <f>IFERROR(__xludf.DUMMYFUNCTION("""COMPUTED_VALUE"""),"Smith")</f>
        <v>Smith</v>
      </c>
      <c r="E4274" t="str">
        <f>IFERROR(__xludf.DUMMYFUNCTION("""COMPUTED_VALUE"""),"Geno")</f>
        <v>Geno</v>
      </c>
      <c r="F4274">
        <f>IFERROR(__xludf.DUMMYFUNCTION("""COMPUTED_VALUE"""),14.4)</f>
        <v>14.4</v>
      </c>
    </row>
    <row r="4275">
      <c r="D4275" t="str">
        <f>IFERROR(__xludf.DUMMYFUNCTION("""COMPUTED_VALUE"""),"Smith")</f>
        <v>Smith</v>
      </c>
      <c r="E4275" t="str">
        <f>IFERROR(__xludf.DUMMYFUNCTION("""COMPUTED_VALUE"""),"Harrison")</f>
        <v>Harrison</v>
      </c>
      <c r="F4275">
        <f>IFERROR(__xludf.DUMMYFUNCTION("""COMPUTED_VALUE"""),18.6)</f>
        <v>18.6</v>
      </c>
    </row>
    <row r="4276">
      <c r="D4276" t="str">
        <f>IFERROR(__xludf.DUMMYFUNCTION("""COMPUTED_VALUE"""),"Smith")</f>
        <v>Smith</v>
      </c>
      <c r="E4276" t="str">
        <f>IFERROR(__xludf.DUMMYFUNCTION("""COMPUTED_VALUE"""),"Jacquies")</f>
        <v>Jacquies</v>
      </c>
      <c r="F4276">
        <f>IFERROR(__xludf.DUMMYFUNCTION("""COMPUTED_VALUE"""),14.4)</f>
        <v>14.4</v>
      </c>
    </row>
    <row r="4277">
      <c r="D4277" t="str">
        <f>IFERROR(__xludf.DUMMYFUNCTION("""COMPUTED_VALUE"""),"Smith")</f>
        <v>Smith</v>
      </c>
      <c r="E4277" t="str">
        <f>IFERROR(__xludf.DUMMYFUNCTION("""COMPUTED_VALUE"""),"Jaylon")</f>
        <v>Jaylon</v>
      </c>
      <c r="F4277">
        <f>IFERROR(__xludf.DUMMYFUNCTION("""COMPUTED_VALUE"""),15.0)</f>
        <v>15</v>
      </c>
    </row>
    <row r="4278">
      <c r="D4278" t="str">
        <f>IFERROR(__xludf.DUMMYFUNCTION("""COMPUTED_VALUE"""),"Smith")</f>
        <v>Smith</v>
      </c>
      <c r="E4278" t="str">
        <f>IFERROR(__xludf.DUMMYFUNCTION("""COMPUTED_VALUE"""),"Jimmy")</f>
        <v>Jimmy</v>
      </c>
      <c r="F4278">
        <f>IFERROR(__xludf.DUMMYFUNCTION("""COMPUTED_VALUE"""),17.2)</f>
        <v>17.2</v>
      </c>
    </row>
    <row r="4279">
      <c r="D4279" t="str">
        <f>IFERROR(__xludf.DUMMYFUNCTION("""COMPUTED_VALUE"""),"Smith")</f>
        <v>Smith</v>
      </c>
      <c r="E4279" t="str">
        <f>IFERROR(__xludf.DUMMYFUNCTION("""COMPUTED_VALUE"""),"Jonnu")</f>
        <v>Jonnu</v>
      </c>
      <c r="F4279">
        <f>IFERROR(__xludf.DUMMYFUNCTION("""COMPUTED_VALUE"""),14.8)</f>
        <v>14.8</v>
      </c>
    </row>
    <row r="4280">
      <c r="D4280" t="str">
        <f>IFERROR(__xludf.DUMMYFUNCTION("""COMPUTED_VALUE"""),"Smith")</f>
        <v>Smith</v>
      </c>
      <c r="E4280" t="str">
        <f>IFERROR(__xludf.DUMMYFUNCTION("""COMPUTED_VALUE"""),"Keith")</f>
        <v>Keith</v>
      </c>
      <c r="F4280">
        <f>IFERROR(__xludf.DUMMYFUNCTION("""COMPUTED_VALUE"""),15.4)</f>
        <v>15.4</v>
      </c>
    </row>
    <row r="4281">
      <c r="D4281" t="str">
        <f>IFERROR(__xludf.DUMMYFUNCTION("""COMPUTED_VALUE"""),"Smith")</f>
        <v>Smith</v>
      </c>
      <c r="E4281" t="str">
        <f>IFERROR(__xludf.DUMMYFUNCTION("""COMPUTED_VALUE"""),"Lee")</f>
        <v>Lee</v>
      </c>
      <c r="F4281">
        <f>IFERROR(__xludf.DUMMYFUNCTION("""COMPUTED_VALUE"""),14.8)</f>
        <v>14.8</v>
      </c>
    </row>
    <row r="4282">
      <c r="D4282" t="str">
        <f>IFERROR(__xludf.DUMMYFUNCTION("""COMPUTED_VALUE"""),"Smith")</f>
        <v>Smith</v>
      </c>
      <c r="E4282" t="str">
        <f>IFERROR(__xludf.DUMMYFUNCTION("""COMPUTED_VALUE"""),"Malcolm")</f>
        <v>Malcolm</v>
      </c>
      <c r="F4282">
        <f>IFERROR(__xludf.DUMMYFUNCTION("""COMPUTED_VALUE"""),15.0)</f>
        <v>15</v>
      </c>
    </row>
    <row r="4283">
      <c r="D4283" t="str">
        <f>IFERROR(__xludf.DUMMYFUNCTION("""COMPUTED_VALUE"""),"Smith")</f>
        <v>Smith</v>
      </c>
      <c r="E4283" t="str">
        <f>IFERROR(__xludf.DUMMYFUNCTION("""COMPUTED_VALUE"""),"Malik")</f>
        <v>Malik</v>
      </c>
      <c r="F4283">
        <f>IFERROR(__xludf.DUMMYFUNCTION("""COMPUTED_VALUE"""),11.8)</f>
        <v>11.8</v>
      </c>
    </row>
    <row r="4284">
      <c r="D4284" t="str">
        <f>IFERROR(__xludf.DUMMYFUNCTION("""COMPUTED_VALUE"""),"Smith")</f>
        <v>Smith</v>
      </c>
      <c r="E4284" t="str">
        <f>IFERROR(__xludf.DUMMYFUNCTION("""COMPUTED_VALUE"""),"Preston")</f>
        <v>Preston</v>
      </c>
      <c r="F4284">
        <f>IFERROR(__xludf.DUMMYFUNCTION("""COMPUTED_VALUE"""),15.200000000000001)</f>
        <v>15.2</v>
      </c>
    </row>
    <row r="4285">
      <c r="D4285" t="str">
        <f>IFERROR(__xludf.DUMMYFUNCTION("""COMPUTED_VALUE"""),"Smith")</f>
        <v>Smith</v>
      </c>
      <c r="E4285" t="str">
        <f>IFERROR(__xludf.DUMMYFUNCTION("""COMPUTED_VALUE"""),"Rod")</f>
        <v>Rod</v>
      </c>
      <c r="F4285">
        <f>IFERROR(__xludf.DUMMYFUNCTION("""COMPUTED_VALUE"""),12.600000000000001)</f>
        <v>12.6</v>
      </c>
    </row>
    <row r="4286">
      <c r="D4286" t="str">
        <f>IFERROR(__xludf.DUMMYFUNCTION("""COMPUTED_VALUE"""),"Smith")</f>
        <v>Smith</v>
      </c>
      <c r="E4286" t="str">
        <f>IFERROR(__xludf.DUMMYFUNCTION("""COMPUTED_VALUE"""),"Ryan")</f>
        <v>Ryan</v>
      </c>
      <c r="F4286">
        <f>IFERROR(__xludf.DUMMYFUNCTION("""COMPUTED_VALUE"""),12.4)</f>
        <v>12.4</v>
      </c>
    </row>
    <row r="4287">
      <c r="D4287" t="str">
        <f>IFERROR(__xludf.DUMMYFUNCTION("""COMPUTED_VALUE"""),"Smith")</f>
        <v>Smith</v>
      </c>
      <c r="E4287" t="str">
        <f>IFERROR(__xludf.DUMMYFUNCTION("""COMPUTED_VALUE"""),"Sean")</f>
        <v>Sean</v>
      </c>
      <c r="F4287">
        <f>IFERROR(__xludf.DUMMYFUNCTION("""COMPUTED_VALUE"""),17.2)</f>
        <v>17.2</v>
      </c>
    </row>
    <row r="4288">
      <c r="D4288" t="str">
        <f>IFERROR(__xludf.DUMMYFUNCTION("""COMPUTED_VALUE"""),"Smith")</f>
        <v>Smith</v>
      </c>
      <c r="E4288" t="str">
        <f>IFERROR(__xludf.DUMMYFUNCTION("""COMPUTED_VALUE"""),"Telvin")</f>
        <v>Telvin</v>
      </c>
      <c r="F4288">
        <f>IFERROR(__xludf.DUMMYFUNCTION("""COMPUTED_VALUE"""),16.400000000000002)</f>
        <v>16.4</v>
      </c>
    </row>
    <row r="4289">
      <c r="D4289" t="str">
        <f>IFERROR(__xludf.DUMMYFUNCTION("""COMPUTED_VALUE"""),"Smith")</f>
        <v>Smith</v>
      </c>
      <c r="E4289" t="str">
        <f>IFERROR(__xludf.DUMMYFUNCTION("""COMPUTED_VALUE"""),"Terrance")</f>
        <v>Terrance</v>
      </c>
      <c r="F4289">
        <f>IFERROR(__xludf.DUMMYFUNCTION("""COMPUTED_VALUE"""),12.0)</f>
        <v>12</v>
      </c>
    </row>
    <row r="4290">
      <c r="D4290" t="str">
        <f>IFERROR(__xludf.DUMMYFUNCTION("""COMPUTED_VALUE"""),"Smith")</f>
        <v>Smith</v>
      </c>
      <c r="E4290" t="str">
        <f>IFERROR(__xludf.DUMMYFUNCTION("""COMPUTED_VALUE"""),"Tevaun")</f>
        <v>Tevaun</v>
      </c>
      <c r="F4290">
        <f>IFERROR(__xludf.DUMMYFUNCTION("""COMPUTED_VALUE"""),12.600000000000001)</f>
        <v>12.6</v>
      </c>
    </row>
    <row r="4291">
      <c r="D4291" t="str">
        <f>IFERROR(__xludf.DUMMYFUNCTION("""COMPUTED_VALUE"""),"Smith")</f>
        <v>Smith</v>
      </c>
      <c r="E4291" t="str">
        <f>IFERROR(__xludf.DUMMYFUNCTION("""COMPUTED_VALUE"""),"Torrey")</f>
        <v>Torrey</v>
      </c>
      <c r="F4291">
        <f>IFERROR(__xludf.DUMMYFUNCTION("""COMPUTED_VALUE"""),15.600000000000001)</f>
        <v>15.6</v>
      </c>
    </row>
    <row r="4292">
      <c r="D4292" t="str">
        <f>IFERROR(__xludf.DUMMYFUNCTION("""COMPUTED_VALUE"""),"Smith")</f>
        <v>Smith</v>
      </c>
      <c r="E4292" t="str">
        <f>IFERROR(__xludf.DUMMYFUNCTION("""COMPUTED_VALUE"""),"Tyron")</f>
        <v>Tyron</v>
      </c>
      <c r="F4292">
        <f>IFERROR(__xludf.DUMMYFUNCTION("""COMPUTED_VALUE"""),18.8)</f>
        <v>18.8</v>
      </c>
    </row>
    <row r="4293">
      <c r="D4293" t="str">
        <f>IFERROR(__xludf.DUMMYFUNCTION("""COMPUTED_VALUE"""),"Smith")</f>
        <v>Smith</v>
      </c>
      <c r="E4293" t="str">
        <f>IFERROR(__xludf.DUMMYFUNCTION("""COMPUTED_VALUE"""),"ZaDarius")</f>
        <v>ZaDarius</v>
      </c>
      <c r="F4293">
        <f>IFERROR(__xludf.DUMMYFUNCTION("""COMPUTED_VALUE"""),14.200000000000001)</f>
        <v>14.2</v>
      </c>
    </row>
    <row r="4294">
      <c r="D4294" t="str">
        <f>IFERROR(__xludf.DUMMYFUNCTION("""COMPUTED_VALUE"""),"Smith II")</f>
        <v>Smith II</v>
      </c>
      <c r="E4294" t="str">
        <f>IFERROR(__xludf.DUMMYFUNCTION("""COMPUTED_VALUE"""),"Marcus")</f>
        <v>Marcus</v>
      </c>
      <c r="F4294">
        <f>IFERROR(__xludf.DUMMYFUNCTION("""COMPUTED_VALUE"""),14.4)</f>
        <v>14.4</v>
      </c>
    </row>
    <row r="4295">
      <c r="D4295" t="str">
        <f>IFERROR(__xludf.DUMMYFUNCTION("""COMPUTED_VALUE"""),"Smith III")</f>
        <v>Smith III</v>
      </c>
      <c r="E4295" t="str">
        <f>IFERROR(__xludf.DUMMYFUNCTION("""COMPUTED_VALUE"""),"CJ")</f>
        <v>CJ</v>
      </c>
      <c r="F4295">
        <f>IFERROR(__xludf.DUMMYFUNCTION("""COMPUTED_VALUE"""),12.200000000000001)</f>
        <v>12.2</v>
      </c>
    </row>
    <row r="4296">
      <c r="D4296" t="str">
        <f>IFERROR(__xludf.DUMMYFUNCTION("""COMPUTED_VALUE"""),"Smith-Schuster")</f>
        <v>Smith-Schuster</v>
      </c>
      <c r="E4296" t="str">
        <f>IFERROR(__xludf.DUMMYFUNCTION("""COMPUTED_VALUE"""),"JuJu")</f>
        <v>JuJu</v>
      </c>
      <c r="F4296">
        <f>IFERROR(__xludf.DUMMYFUNCTION("""COMPUTED_VALUE"""),14.600000000000001)</f>
        <v>14.6</v>
      </c>
    </row>
    <row r="4297">
      <c r="D4297" t="str">
        <f>IFERROR(__xludf.DUMMYFUNCTION("""COMPUTED_VALUE"""),"Smoot")</f>
        <v>Smoot</v>
      </c>
      <c r="E4297" t="str">
        <f>IFERROR(__xludf.DUMMYFUNCTION("""COMPUTED_VALUE"""),"Dawuane")</f>
        <v>Dawuane</v>
      </c>
      <c r="F4297">
        <f>IFERROR(__xludf.DUMMYFUNCTION("""COMPUTED_VALUE"""),14.200000000000001)</f>
        <v>14.2</v>
      </c>
    </row>
    <row r="4298">
      <c r="D4298" t="str">
        <f>IFERROR(__xludf.DUMMYFUNCTION("""COMPUTED_VALUE"""),"Snead IV")</f>
        <v>Snead IV</v>
      </c>
      <c r="E4298" t="str">
        <f>IFERROR(__xludf.DUMMYFUNCTION("""COMPUTED_VALUE"""),"Willie")</f>
        <v>Willie</v>
      </c>
      <c r="F4298">
        <f>IFERROR(__xludf.DUMMYFUNCTION("""COMPUTED_VALUE"""),16.2)</f>
        <v>16.2</v>
      </c>
    </row>
    <row r="4299">
      <c r="D4299" t="str">
        <f>IFERROR(__xludf.DUMMYFUNCTION("""COMPUTED_VALUE"""),"Solder")</f>
        <v>Solder</v>
      </c>
      <c r="E4299" t="str">
        <f>IFERROR(__xludf.DUMMYFUNCTION("""COMPUTED_VALUE"""),"Nate")</f>
        <v>Nate</v>
      </c>
      <c r="F4299">
        <f>IFERROR(__xludf.DUMMYFUNCTION("""COMPUTED_VALUE"""),17.400000000000002)</f>
        <v>17.4</v>
      </c>
    </row>
    <row r="4300">
      <c r="D4300" t="str">
        <f>IFERROR(__xludf.DUMMYFUNCTION("""COMPUTED_VALUE"""),"Sorensen")</f>
        <v>Sorensen</v>
      </c>
      <c r="E4300" t="str">
        <f>IFERROR(__xludf.DUMMYFUNCTION("""COMPUTED_VALUE"""),"Daniel")</f>
        <v>Daniel</v>
      </c>
      <c r="F4300">
        <f>IFERROR(__xludf.DUMMYFUNCTION("""COMPUTED_VALUE"""),15.0)</f>
        <v>15</v>
      </c>
    </row>
    <row r="4301">
      <c r="D4301" t="str">
        <f>IFERROR(__xludf.DUMMYFUNCTION("""COMPUTED_VALUE"""),"Southward")</f>
        <v>Southward</v>
      </c>
      <c r="E4301" t="str">
        <f>IFERROR(__xludf.DUMMYFUNCTION("""COMPUTED_VALUE"""),"Dezmen")</f>
        <v>Dezmen</v>
      </c>
      <c r="F4301">
        <f>IFERROR(__xludf.DUMMYFUNCTION("""COMPUTED_VALUE"""),13.0)</f>
        <v>13</v>
      </c>
    </row>
    <row r="4302">
      <c r="D4302" t="str">
        <f>IFERROR(__xludf.DUMMYFUNCTION("""COMPUTED_VALUE"""),"Sowell")</f>
        <v>Sowell</v>
      </c>
      <c r="E4302" t="str">
        <f>IFERROR(__xludf.DUMMYFUNCTION("""COMPUTED_VALUE"""),"Bradley")</f>
        <v>Bradley</v>
      </c>
      <c r="F4302">
        <f>IFERROR(__xludf.DUMMYFUNCTION("""COMPUTED_VALUE"""),13.4)</f>
        <v>13.4</v>
      </c>
    </row>
    <row r="4303">
      <c r="D4303" t="str">
        <f>IFERROR(__xludf.DUMMYFUNCTION("""COMPUTED_VALUE"""),"Spadola")</f>
        <v>Spadola</v>
      </c>
      <c r="E4303" t="str">
        <f>IFERROR(__xludf.DUMMYFUNCTION("""COMPUTED_VALUE"""),"Ryan")</f>
        <v>Ryan</v>
      </c>
      <c r="F4303">
        <f>IFERROR(__xludf.DUMMYFUNCTION("""COMPUTED_VALUE"""),12.200000000000001)</f>
        <v>12.2</v>
      </c>
    </row>
    <row r="4304">
      <c r="D4304" t="str">
        <f>IFERROR(__xludf.DUMMYFUNCTION("""COMPUTED_VALUE"""),"Spaight")</f>
        <v>Spaight</v>
      </c>
      <c r="E4304" t="str">
        <f>IFERROR(__xludf.DUMMYFUNCTION("""COMPUTED_VALUE"""),"Martrell")</f>
        <v>Martrell</v>
      </c>
      <c r="F4304">
        <f>IFERROR(__xludf.DUMMYFUNCTION("""COMPUTED_VALUE"""),12.4)</f>
        <v>12.4</v>
      </c>
    </row>
    <row r="4305">
      <c r="D4305" t="str">
        <f>IFERROR(__xludf.DUMMYFUNCTION("""COMPUTED_VALUE"""),"Spain")</f>
        <v>Spain</v>
      </c>
      <c r="E4305" t="str">
        <f>IFERROR(__xludf.DUMMYFUNCTION("""COMPUTED_VALUE"""),"Quinton")</f>
        <v>Quinton</v>
      </c>
      <c r="F4305">
        <f>IFERROR(__xludf.DUMMYFUNCTION("""COMPUTED_VALUE"""),16.2)</f>
        <v>16.2</v>
      </c>
    </row>
    <row r="4306">
      <c r="D4306" t="str">
        <f>IFERROR(__xludf.DUMMYFUNCTION("""COMPUTED_VALUE"""),"Spence")</f>
        <v>Spence</v>
      </c>
      <c r="E4306" t="str">
        <f>IFERROR(__xludf.DUMMYFUNCTION("""COMPUTED_VALUE"""),"Akeem")</f>
        <v>Akeem</v>
      </c>
      <c r="F4306">
        <f>IFERROR(__xludf.DUMMYFUNCTION("""COMPUTED_VALUE"""),14.600000000000001)</f>
        <v>14.6</v>
      </c>
    </row>
    <row r="4307">
      <c r="D4307" t="str">
        <f>IFERROR(__xludf.DUMMYFUNCTION("""COMPUTED_VALUE"""),"Spence")</f>
        <v>Spence</v>
      </c>
      <c r="E4307" t="str">
        <f>IFERROR(__xludf.DUMMYFUNCTION("""COMPUTED_VALUE"""),"Noah")</f>
        <v>Noah</v>
      </c>
      <c r="F4307">
        <f>IFERROR(__xludf.DUMMYFUNCTION("""COMPUTED_VALUE"""),15.0)</f>
        <v>15</v>
      </c>
    </row>
    <row r="4308">
      <c r="D4308" t="str">
        <f>IFERROR(__xludf.DUMMYFUNCTION("""COMPUTED_VALUE"""),"Spence")</f>
        <v>Spence</v>
      </c>
      <c r="E4308" t="str">
        <f>IFERROR(__xludf.DUMMYFUNCTION("""COMPUTED_VALUE"""),"Sean")</f>
        <v>Sean</v>
      </c>
      <c r="F4308">
        <f>IFERROR(__xludf.DUMMYFUNCTION("""COMPUTED_VALUE"""),14.600000000000001)</f>
        <v>14.6</v>
      </c>
    </row>
    <row r="4309">
      <c r="D4309" t="str">
        <f>IFERROR(__xludf.DUMMYFUNCTION("""COMPUTED_VALUE"""),"Spiller")</f>
        <v>Spiller</v>
      </c>
      <c r="E4309" t="str">
        <f>IFERROR(__xludf.DUMMYFUNCTION("""COMPUTED_VALUE"""),"CJ")</f>
        <v>CJ</v>
      </c>
      <c r="F4309">
        <f>IFERROR(__xludf.DUMMYFUNCTION("""COMPUTED_VALUE"""),15.200000000000001)</f>
        <v>15.2</v>
      </c>
    </row>
    <row r="4310">
      <c r="D4310" t="str">
        <f>IFERROR(__xludf.DUMMYFUNCTION("""COMPUTED_VALUE"""),"Spriggs")</f>
        <v>Spriggs</v>
      </c>
      <c r="E4310" t="str">
        <f>IFERROR(__xludf.DUMMYFUNCTION("""COMPUTED_VALUE"""),"Jason")</f>
        <v>Jason</v>
      </c>
      <c r="F4310">
        <f>IFERROR(__xludf.DUMMYFUNCTION("""COMPUTED_VALUE"""),13.8)</f>
        <v>13.8</v>
      </c>
    </row>
    <row r="4311">
      <c r="D4311" t="str">
        <f>IFERROR(__xludf.DUMMYFUNCTION("""COMPUTED_VALUE"""),"Sprinkle")</f>
        <v>Sprinkle</v>
      </c>
      <c r="E4311" t="str">
        <f>IFERROR(__xludf.DUMMYFUNCTION("""COMPUTED_VALUE"""),"Jeremy")</f>
        <v>Jeremy</v>
      </c>
      <c r="F4311">
        <f>IFERROR(__xludf.DUMMYFUNCTION("""COMPUTED_VALUE"""),14.200000000000001)</f>
        <v>14.2</v>
      </c>
    </row>
    <row r="4312">
      <c r="D4312" t="str">
        <f>IFERROR(__xludf.DUMMYFUNCTION("""COMPUTED_VALUE"""),"Sproles")</f>
        <v>Sproles</v>
      </c>
      <c r="E4312" t="str">
        <f>IFERROR(__xludf.DUMMYFUNCTION("""COMPUTED_VALUE"""),"Darren")</f>
        <v>Darren</v>
      </c>
      <c r="F4312">
        <f>IFERROR(__xludf.DUMMYFUNCTION("""COMPUTED_VALUE"""),16.6)</f>
        <v>16.6</v>
      </c>
    </row>
    <row r="4313">
      <c r="D4313" t="str">
        <f>IFERROR(__xludf.DUMMYFUNCTION("""COMPUTED_VALUE"""),"Spruce")</f>
        <v>Spruce</v>
      </c>
      <c r="E4313" t="str">
        <f>IFERROR(__xludf.DUMMYFUNCTION("""COMPUTED_VALUE"""),"Nelson")</f>
        <v>Nelson</v>
      </c>
      <c r="F4313">
        <f>IFERROR(__xludf.DUMMYFUNCTION("""COMPUTED_VALUE"""),12.8)</f>
        <v>12.8</v>
      </c>
    </row>
    <row r="4314">
      <c r="D4314" t="str">
        <f>IFERROR(__xludf.DUMMYFUNCTION("""COMPUTED_VALUE"""),"Square")</f>
        <v>Square</v>
      </c>
      <c r="E4314" t="str">
        <f>IFERROR(__xludf.DUMMYFUNCTION("""COMPUTED_VALUE"""),"Damion")</f>
        <v>Damion</v>
      </c>
      <c r="F4314">
        <f>IFERROR(__xludf.DUMMYFUNCTION("""COMPUTED_VALUE"""),13.8)</f>
        <v>13.8</v>
      </c>
    </row>
    <row r="4315">
      <c r="D4315" t="str">
        <f>IFERROR(__xludf.DUMMYFUNCTION("""COMPUTED_VALUE"""),"Stafford")</f>
        <v>Stafford</v>
      </c>
      <c r="E4315" t="str">
        <f>IFERROR(__xludf.DUMMYFUNCTION("""COMPUTED_VALUE"""),"Daimion")</f>
        <v>Daimion</v>
      </c>
      <c r="F4315">
        <f>IFERROR(__xludf.DUMMYFUNCTION("""COMPUTED_VALUE"""),14.0)</f>
        <v>14</v>
      </c>
    </row>
    <row r="4316">
      <c r="D4316" t="str">
        <f>IFERROR(__xludf.DUMMYFUNCTION("""COMPUTED_VALUE"""),"Stafford")</f>
        <v>Stafford</v>
      </c>
      <c r="E4316" t="str">
        <f>IFERROR(__xludf.DUMMYFUNCTION("""COMPUTED_VALUE"""),"Matthew")</f>
        <v>Matthew</v>
      </c>
      <c r="F4316">
        <f>IFERROR(__xludf.DUMMYFUNCTION("""COMPUTED_VALUE"""),17.400000000000002)</f>
        <v>17.4</v>
      </c>
    </row>
    <row r="4317">
      <c r="D4317" t="str">
        <f>IFERROR(__xludf.DUMMYFUNCTION("""COMPUTED_VALUE"""),"Staley")</f>
        <v>Staley</v>
      </c>
      <c r="E4317" t="str">
        <f>IFERROR(__xludf.DUMMYFUNCTION("""COMPUTED_VALUE"""),"Joe")</f>
        <v>Joe</v>
      </c>
      <c r="F4317">
        <f>IFERROR(__xludf.DUMMYFUNCTION("""COMPUTED_VALUE"""),16.2)</f>
        <v>16.2</v>
      </c>
    </row>
    <row r="4318">
      <c r="D4318" t="str">
        <f>IFERROR(__xludf.DUMMYFUNCTION("""COMPUTED_VALUE"""),"Stanford")</f>
        <v>Stanford</v>
      </c>
      <c r="E4318" t="str">
        <f>IFERROR(__xludf.DUMMYFUNCTION("""COMPUTED_VALUE"""),"Julian")</f>
        <v>Julian</v>
      </c>
      <c r="F4318">
        <f>IFERROR(__xludf.DUMMYFUNCTION("""COMPUTED_VALUE"""),12.600000000000001)</f>
        <v>12.6</v>
      </c>
    </row>
    <row r="4319">
      <c r="D4319" t="str">
        <f>IFERROR(__xludf.DUMMYFUNCTION("""COMPUTED_VALUE"""),"Stanley")</f>
        <v>Stanley</v>
      </c>
      <c r="E4319" t="str">
        <f>IFERROR(__xludf.DUMMYFUNCTION("""COMPUTED_VALUE"""),"Ronnie")</f>
        <v>Ronnie</v>
      </c>
      <c r="F4319">
        <f>IFERROR(__xludf.DUMMYFUNCTION("""COMPUTED_VALUE"""),16.0)</f>
        <v>16</v>
      </c>
    </row>
    <row r="4320">
      <c r="D4320" t="str">
        <f>IFERROR(__xludf.DUMMYFUNCTION("""COMPUTED_VALUE"""),"Stanton")</f>
        <v>Stanton</v>
      </c>
      <c r="E4320" t="str">
        <f>IFERROR(__xludf.DUMMYFUNCTION("""COMPUTED_VALUE"""),"Drew")</f>
        <v>Drew</v>
      </c>
      <c r="F4320">
        <f>IFERROR(__xludf.DUMMYFUNCTION("""COMPUTED_VALUE"""),13.200000000000001)</f>
        <v>13.2</v>
      </c>
    </row>
    <row r="4321">
      <c r="D4321" t="str">
        <f>IFERROR(__xludf.DUMMYFUNCTION("""COMPUTED_VALUE"""),"Staples")</f>
        <v>Staples</v>
      </c>
      <c r="E4321" t="str">
        <f>IFERROR(__xludf.DUMMYFUNCTION("""COMPUTED_VALUE"""),"Justin")</f>
        <v>Justin</v>
      </c>
      <c r="F4321">
        <f>IFERROR(__xludf.DUMMYFUNCTION("""COMPUTED_VALUE"""),11.600000000000001)</f>
        <v>11.6</v>
      </c>
    </row>
    <row r="4322">
      <c r="D4322" t="str">
        <f>IFERROR(__xludf.DUMMYFUNCTION("""COMPUTED_VALUE"""),"Staten IV")</f>
        <v>Staten IV</v>
      </c>
      <c r="E4322" t="str">
        <f>IFERROR(__xludf.DUMMYFUNCTION("""COMPUTED_VALUE"""),"Jimmy")</f>
        <v>Jimmy</v>
      </c>
      <c r="F4322">
        <f>IFERROR(__xludf.DUMMYFUNCTION("""COMPUTED_VALUE"""),11.600000000000001)</f>
        <v>11.6</v>
      </c>
    </row>
    <row r="4323">
      <c r="D4323" t="str">
        <f>IFERROR(__xludf.DUMMYFUNCTION("""COMPUTED_VALUE"""),"Stave")</f>
        <v>Stave</v>
      </c>
      <c r="E4323" t="str">
        <f>IFERROR(__xludf.DUMMYFUNCTION("""COMPUTED_VALUE"""),"Joel")</f>
        <v>Joel</v>
      </c>
      <c r="F4323">
        <f>IFERROR(__xludf.DUMMYFUNCTION("""COMPUTED_VALUE"""),12.4)</f>
        <v>12.4</v>
      </c>
    </row>
    <row r="4324">
      <c r="D4324" t="str">
        <f>IFERROR(__xludf.DUMMYFUNCTION("""COMPUTED_VALUE"""),"Steen")</f>
        <v>Steen</v>
      </c>
      <c r="E4324" t="str">
        <f>IFERROR(__xludf.DUMMYFUNCTION("""COMPUTED_VALUE"""),"Anthony")</f>
        <v>Anthony</v>
      </c>
      <c r="F4324">
        <f>IFERROR(__xludf.DUMMYFUNCTION("""COMPUTED_VALUE"""),13.4)</f>
        <v>13.4</v>
      </c>
    </row>
    <row r="4325">
      <c r="D4325" t="str">
        <f>IFERROR(__xludf.DUMMYFUNCTION("""COMPUTED_VALUE"""),"Stephen")</f>
        <v>Stephen</v>
      </c>
      <c r="E4325" t="str">
        <f>IFERROR(__xludf.DUMMYFUNCTION("""COMPUTED_VALUE"""),"Shamar")</f>
        <v>Shamar</v>
      </c>
      <c r="F4325">
        <f>IFERROR(__xludf.DUMMYFUNCTION("""COMPUTED_VALUE"""),13.0)</f>
        <v>13</v>
      </c>
    </row>
    <row r="4326">
      <c r="D4326" t="str">
        <f>IFERROR(__xludf.DUMMYFUNCTION("""COMPUTED_VALUE"""),"Stephenson")</f>
        <v>Stephenson</v>
      </c>
      <c r="E4326" t="str">
        <f>IFERROR(__xludf.DUMMYFUNCTION("""COMPUTED_VALUE"""),"Donald")</f>
        <v>Donald</v>
      </c>
      <c r="F4326">
        <f>IFERROR(__xludf.DUMMYFUNCTION("""COMPUTED_VALUE"""),13.4)</f>
        <v>13.4</v>
      </c>
    </row>
    <row r="4327">
      <c r="D4327" t="str">
        <f>IFERROR(__xludf.DUMMYFUNCTION("""COMPUTED_VALUE"""),"Sterling")</f>
        <v>Sterling</v>
      </c>
      <c r="E4327" t="str">
        <f>IFERROR(__xludf.DUMMYFUNCTION("""COMPUTED_VALUE"""),"Neal")</f>
        <v>Neal</v>
      </c>
      <c r="F4327">
        <f>IFERROR(__xludf.DUMMYFUNCTION("""COMPUTED_VALUE"""),13.200000000000001)</f>
        <v>13.2</v>
      </c>
    </row>
    <row r="4328">
      <c r="D4328" t="str">
        <f>IFERROR(__xludf.DUMMYFUNCTION("""COMPUTED_VALUE"""),"Sterup")</f>
        <v>Sterup</v>
      </c>
      <c r="E4328" t="str">
        <f>IFERROR(__xludf.DUMMYFUNCTION("""COMPUTED_VALUE"""),"Zach")</f>
        <v>Zach</v>
      </c>
      <c r="F4328">
        <f>IFERROR(__xludf.DUMMYFUNCTION("""COMPUTED_VALUE"""),13.200000000000001)</f>
        <v>13.2</v>
      </c>
    </row>
    <row r="4329">
      <c r="D4329" t="str">
        <f>IFERROR(__xludf.DUMMYFUNCTION("""COMPUTED_VALUE"""),"Stevenson")</f>
        <v>Stevenson</v>
      </c>
      <c r="E4329" t="str">
        <f>IFERROR(__xludf.DUMMYFUNCTION("""COMPUTED_VALUE"""),"Freddie")</f>
        <v>Freddie</v>
      </c>
      <c r="F4329">
        <f>IFERROR(__xludf.DUMMYFUNCTION("""COMPUTED_VALUE"""),14.600000000000001)</f>
        <v>14.6</v>
      </c>
    </row>
    <row r="4330">
      <c r="D4330" t="str">
        <f>IFERROR(__xludf.DUMMYFUNCTION("""COMPUTED_VALUE"""),"Stewart")</f>
        <v>Stewart</v>
      </c>
      <c r="E4330" t="str">
        <f>IFERROR(__xludf.DUMMYFUNCTION("""COMPUTED_VALUE"""),"ArDarius")</f>
        <v>ArDarius</v>
      </c>
      <c r="F4330">
        <f>IFERROR(__xludf.DUMMYFUNCTION("""COMPUTED_VALUE"""),14.8)</f>
        <v>14.8</v>
      </c>
    </row>
    <row r="4331">
      <c r="D4331" t="str">
        <f>IFERROR(__xludf.DUMMYFUNCTION("""COMPUTED_VALUE"""),"Stewart")</f>
        <v>Stewart</v>
      </c>
      <c r="E4331" t="str">
        <f>IFERROR(__xludf.DUMMYFUNCTION("""COMPUTED_VALUE"""),"Darian")</f>
        <v>Darian</v>
      </c>
      <c r="F4331">
        <f>IFERROR(__xludf.DUMMYFUNCTION("""COMPUTED_VALUE"""),16.6)</f>
        <v>16.6</v>
      </c>
    </row>
    <row r="4332">
      <c r="D4332" t="str">
        <f>IFERROR(__xludf.DUMMYFUNCTION("""COMPUTED_VALUE"""),"Stewart")</f>
        <v>Stewart</v>
      </c>
      <c r="E4332" t="str">
        <f>IFERROR(__xludf.DUMMYFUNCTION("""COMPUTED_VALUE"""),"Grover")</f>
        <v>Grover</v>
      </c>
      <c r="F4332">
        <f>IFERROR(__xludf.DUMMYFUNCTION("""COMPUTED_VALUE"""),12.200000000000001)</f>
        <v>12.2</v>
      </c>
    </row>
    <row r="4333">
      <c r="D4333" t="str">
        <f>IFERROR(__xludf.DUMMYFUNCTION("""COMPUTED_VALUE"""),"Stewart")</f>
        <v>Stewart</v>
      </c>
      <c r="E4333" t="str">
        <f>IFERROR(__xludf.DUMMYFUNCTION("""COMPUTED_VALUE"""),"Jonathan")</f>
        <v>Jonathan</v>
      </c>
      <c r="F4333">
        <f>IFERROR(__xludf.DUMMYFUNCTION("""COMPUTED_VALUE"""),16.8)</f>
        <v>16.8</v>
      </c>
    </row>
    <row r="4334">
      <c r="D4334" t="str">
        <f>IFERROR(__xludf.DUMMYFUNCTION("""COMPUTED_VALUE"""),"Stewart")</f>
        <v>Stewart</v>
      </c>
      <c r="E4334" t="str">
        <f>IFERROR(__xludf.DUMMYFUNCTION("""COMPUTED_VALUE"""),"Orion")</f>
        <v>Orion</v>
      </c>
      <c r="F4334">
        <f>IFERROR(__xludf.DUMMYFUNCTION("""COMPUTED_VALUE"""),12.600000000000001)</f>
        <v>12.6</v>
      </c>
    </row>
    <row r="4335">
      <c r="D4335" t="str">
        <f>IFERROR(__xludf.DUMMYFUNCTION("""COMPUTED_VALUE"""),"Stills")</f>
        <v>Stills</v>
      </c>
      <c r="E4335" t="str">
        <f>IFERROR(__xludf.DUMMYFUNCTION("""COMPUTED_VALUE"""),"Kenny")</f>
        <v>Kenny</v>
      </c>
      <c r="F4335">
        <f>IFERROR(__xludf.DUMMYFUNCTION("""COMPUTED_VALUE"""),16.0)</f>
        <v>16</v>
      </c>
    </row>
    <row r="4336">
      <c r="D4336" t="str">
        <f>IFERROR(__xludf.DUMMYFUNCTION("""COMPUTED_VALUE"""),"Stinson")</f>
        <v>Stinson</v>
      </c>
      <c r="E4336" t="str">
        <f>IFERROR(__xludf.DUMMYFUNCTION("""COMPUTED_VALUE"""),"Ed")</f>
        <v>Ed</v>
      </c>
      <c r="F4336">
        <f>IFERROR(__xludf.DUMMYFUNCTION("""COMPUTED_VALUE"""),12.4)</f>
        <v>12.4</v>
      </c>
    </row>
    <row r="4337">
      <c r="D4337" t="str">
        <f>IFERROR(__xludf.DUMMYFUNCTION("""COMPUTED_VALUE"""),"Stocker")</f>
        <v>Stocker</v>
      </c>
      <c r="E4337" t="str">
        <f>IFERROR(__xludf.DUMMYFUNCTION("""COMPUTED_VALUE"""),"Luke")</f>
        <v>Luke</v>
      </c>
      <c r="F4337">
        <f>IFERROR(__xludf.DUMMYFUNCTION("""COMPUTED_VALUE"""),13.600000000000001)</f>
        <v>13.6</v>
      </c>
    </row>
    <row r="4338">
      <c r="D4338" t="str">
        <f>IFERROR(__xludf.DUMMYFUNCTION("""COMPUTED_VALUE"""),"Stone")</f>
        <v>Stone</v>
      </c>
      <c r="E4338" t="str">
        <f>IFERROR(__xludf.DUMMYFUNCTION("""COMPUTED_VALUE"""),"James")</f>
        <v>James</v>
      </c>
      <c r="F4338">
        <f>IFERROR(__xludf.DUMMYFUNCTION("""COMPUTED_VALUE"""),14.200000000000001)</f>
        <v>14.2</v>
      </c>
    </row>
    <row r="4339">
      <c r="D4339" t="str">
        <f>IFERROR(__xludf.DUMMYFUNCTION("""COMPUTED_VALUE"""),"Streater")</f>
        <v>Streater</v>
      </c>
      <c r="E4339" t="str">
        <f>IFERROR(__xludf.DUMMYFUNCTION("""COMPUTED_VALUE"""),"Rod")</f>
        <v>Rod</v>
      </c>
      <c r="F4339">
        <f>IFERROR(__xludf.DUMMYFUNCTION("""COMPUTED_VALUE"""),14.200000000000001)</f>
        <v>14.2</v>
      </c>
    </row>
    <row r="4340">
      <c r="D4340" t="str">
        <f>IFERROR(__xludf.DUMMYFUNCTION("""COMPUTED_VALUE"""),"Street")</f>
        <v>Street</v>
      </c>
      <c r="E4340" t="str">
        <f>IFERROR(__xludf.DUMMYFUNCTION("""COMPUTED_VALUE"""),"Devin")</f>
        <v>Devin</v>
      </c>
      <c r="F4340">
        <f>IFERROR(__xludf.DUMMYFUNCTION("""COMPUTED_VALUE"""),12.8)</f>
        <v>12.8</v>
      </c>
    </row>
    <row r="4341">
      <c r="D4341" t="str">
        <f>IFERROR(__xludf.DUMMYFUNCTION("""COMPUTED_VALUE"""),"Stribling")</f>
        <v>Stribling</v>
      </c>
      <c r="E4341" t="str">
        <f>IFERROR(__xludf.DUMMYFUNCTION("""COMPUTED_VALUE"""),"Channing")</f>
        <v>Channing</v>
      </c>
      <c r="F4341">
        <f>IFERROR(__xludf.DUMMYFUNCTION("""COMPUTED_VALUE"""),12.4)</f>
        <v>12.4</v>
      </c>
    </row>
    <row r="4342">
      <c r="D4342" t="str">
        <f>IFERROR(__xludf.DUMMYFUNCTION("""COMPUTED_VALUE"""),"Strief")</f>
        <v>Strief</v>
      </c>
      <c r="E4342" t="str">
        <f>IFERROR(__xludf.DUMMYFUNCTION("""COMPUTED_VALUE"""),"Zach")</f>
        <v>Zach</v>
      </c>
      <c r="F4342">
        <f>IFERROR(__xludf.DUMMYFUNCTION("""COMPUTED_VALUE"""),17.0)</f>
        <v>17</v>
      </c>
    </row>
    <row r="4343">
      <c r="D4343" t="str">
        <f>IFERROR(__xludf.DUMMYFUNCTION("""COMPUTED_VALUE"""),"Stringfellow")</f>
        <v>Stringfellow</v>
      </c>
      <c r="E4343" t="str">
        <f>IFERROR(__xludf.DUMMYFUNCTION("""COMPUTED_VALUE"""),"Damoreea")</f>
        <v>Damoreea</v>
      </c>
      <c r="F4343">
        <f>IFERROR(__xludf.DUMMYFUNCTION("""COMPUTED_VALUE"""),12.8)</f>
        <v>12.8</v>
      </c>
    </row>
    <row r="4344">
      <c r="D4344" t="str">
        <f>IFERROR(__xludf.DUMMYFUNCTION("""COMPUTED_VALUE"""),"Strong")</f>
        <v>Strong</v>
      </c>
      <c r="E4344" t="str">
        <f>IFERROR(__xludf.DUMMYFUNCTION("""COMPUTED_VALUE"""),"Jaelen")</f>
        <v>Jaelen</v>
      </c>
      <c r="F4344">
        <f>IFERROR(__xludf.DUMMYFUNCTION("""COMPUTED_VALUE"""),14.600000000000001)</f>
        <v>14.6</v>
      </c>
    </row>
    <row r="4345">
      <c r="D4345" t="str">
        <f>IFERROR(__xludf.DUMMYFUNCTION("""COMPUTED_VALUE"""),"Stuckey")</f>
        <v>Stuckey</v>
      </c>
      <c r="E4345" t="str">
        <f>IFERROR(__xludf.DUMMYFUNCTION("""COMPUTED_VALUE"""),"Darrell")</f>
        <v>Darrell</v>
      </c>
      <c r="F4345">
        <f>IFERROR(__xludf.DUMMYFUNCTION("""COMPUTED_VALUE"""),14.200000000000001)</f>
        <v>14.2</v>
      </c>
    </row>
    <row r="4346">
      <c r="D4346" t="str">
        <f>IFERROR(__xludf.DUMMYFUNCTION("""COMPUTED_VALUE"""),"Stupar")</f>
        <v>Stupar</v>
      </c>
      <c r="E4346" t="str">
        <f>IFERROR(__xludf.DUMMYFUNCTION("""COMPUTED_VALUE"""),"Nathan")</f>
        <v>Nathan</v>
      </c>
      <c r="F4346">
        <f>IFERROR(__xludf.DUMMYFUNCTION("""COMPUTED_VALUE"""),14.4)</f>
        <v>14.4</v>
      </c>
    </row>
    <row r="4347">
      <c r="D4347" t="str">
        <f>IFERROR(__xludf.DUMMYFUNCTION("""COMPUTED_VALUE"""),"Sturgis")</f>
        <v>Sturgis</v>
      </c>
      <c r="E4347" t="str">
        <f>IFERROR(__xludf.DUMMYFUNCTION("""COMPUTED_VALUE"""),"Caleb")</f>
        <v>Caleb</v>
      </c>
      <c r="F4347">
        <f>IFERROR(__xludf.DUMMYFUNCTION("""COMPUTED_VALUE"""),16.0)</f>
        <v>16</v>
      </c>
    </row>
    <row r="4348">
      <c r="D4348" t="str">
        <f>IFERROR(__xludf.DUMMYFUNCTION("""COMPUTED_VALUE"""),"Sua-Filo")</f>
        <v>Sua-Filo</v>
      </c>
      <c r="E4348" t="str">
        <f>IFERROR(__xludf.DUMMYFUNCTION("""COMPUTED_VALUE"""),"Xavier")</f>
        <v>Xavier</v>
      </c>
      <c r="F4348">
        <f>IFERROR(__xludf.DUMMYFUNCTION("""COMPUTED_VALUE"""),14.200000000000001)</f>
        <v>14.2</v>
      </c>
    </row>
    <row r="4349">
      <c r="D4349" t="str">
        <f>IFERROR(__xludf.DUMMYFUNCTION("""COMPUTED_VALUE"""),"Succop")</f>
        <v>Succop</v>
      </c>
      <c r="E4349" t="str">
        <f>IFERROR(__xludf.DUMMYFUNCTION("""COMPUTED_VALUE"""),"Ryan")</f>
        <v>Ryan</v>
      </c>
      <c r="F4349">
        <f>IFERROR(__xludf.DUMMYFUNCTION("""COMPUTED_VALUE"""),16.400000000000002)</f>
        <v>16.4</v>
      </c>
    </row>
    <row r="4350">
      <c r="D4350" t="str">
        <f>IFERROR(__xludf.DUMMYFUNCTION("""COMPUTED_VALUE"""),"Sudfeld")</f>
        <v>Sudfeld</v>
      </c>
      <c r="E4350" t="str">
        <f>IFERROR(__xludf.DUMMYFUNCTION("""COMPUTED_VALUE"""),"Nate")</f>
        <v>Nate</v>
      </c>
      <c r="F4350">
        <f>IFERROR(__xludf.DUMMYFUNCTION("""COMPUTED_VALUE"""),12.8)</f>
        <v>12.8</v>
      </c>
    </row>
    <row r="4351">
      <c r="D4351" t="str">
        <f>IFERROR(__xludf.DUMMYFUNCTION("""COMPUTED_VALUE"""),"Suggs")</f>
        <v>Suggs</v>
      </c>
      <c r="E4351" t="str">
        <f>IFERROR(__xludf.DUMMYFUNCTION("""COMPUTED_VALUE"""),"Terrell")</f>
        <v>Terrell</v>
      </c>
      <c r="F4351">
        <f>IFERROR(__xludf.DUMMYFUNCTION("""COMPUTED_VALUE"""),17.2)</f>
        <v>17.2</v>
      </c>
    </row>
    <row r="4352">
      <c r="D4352" t="str">
        <f>IFERROR(__xludf.DUMMYFUNCTION("""COMPUTED_VALUE"""),"Suh")</f>
        <v>Suh</v>
      </c>
      <c r="E4352" t="str">
        <f>IFERROR(__xludf.DUMMYFUNCTION("""COMPUTED_VALUE"""),"Ndamukong")</f>
        <v>Ndamukong</v>
      </c>
      <c r="F4352">
        <f>IFERROR(__xludf.DUMMYFUNCTION("""COMPUTED_VALUE"""),18.6)</f>
        <v>18.6</v>
      </c>
    </row>
    <row r="4353">
      <c r="D4353" t="str">
        <f>IFERROR(__xludf.DUMMYFUNCTION("""COMPUTED_VALUE"""),"Sullivan")</f>
        <v>Sullivan</v>
      </c>
      <c r="E4353" t="str">
        <f>IFERROR(__xludf.DUMMYFUNCTION("""COMPUTED_VALUE"""),"John")</f>
        <v>John</v>
      </c>
      <c r="F4353">
        <f>IFERROR(__xludf.DUMMYFUNCTION("""COMPUTED_VALUE"""),15.200000000000001)</f>
        <v>15.2</v>
      </c>
    </row>
    <row r="4354">
      <c r="D4354" t="str">
        <f>IFERROR(__xludf.DUMMYFUNCTION("""COMPUTED_VALUE"""),"Sundberg")</f>
        <v>Sundberg</v>
      </c>
      <c r="E4354" t="str">
        <f>IFERROR(__xludf.DUMMYFUNCTION("""COMPUTED_VALUE"""),"Nick")</f>
        <v>Nick</v>
      </c>
      <c r="F4354">
        <f>IFERROR(__xludf.DUMMYFUNCTION("""COMPUTED_VALUE"""),11.0)</f>
        <v>11</v>
      </c>
    </row>
    <row r="4355">
      <c r="D4355" t="str">
        <f>IFERROR(__xludf.DUMMYFUNCTION("""COMPUTED_VALUE"""),"Sunseri")</f>
        <v>Sunseri</v>
      </c>
      <c r="E4355" t="str">
        <f>IFERROR(__xludf.DUMMYFUNCTION("""COMPUTED_VALUE"""),"Vinnie")</f>
        <v>Vinnie</v>
      </c>
      <c r="F4355">
        <f>IFERROR(__xludf.DUMMYFUNCTION("""COMPUTED_VALUE"""),12.8)</f>
        <v>12.8</v>
      </c>
    </row>
    <row r="4356">
      <c r="D4356" t="str">
        <f>IFERROR(__xludf.DUMMYFUNCTION("""COMPUTED_VALUE"""),"Supernaw")</f>
        <v>Supernaw</v>
      </c>
      <c r="E4356" t="str">
        <f>IFERROR(__xludf.DUMMYFUNCTION("""COMPUTED_VALUE"""),"Phillip")</f>
        <v>Phillip</v>
      </c>
      <c r="F4356">
        <f>IFERROR(__xludf.DUMMYFUNCTION("""COMPUTED_VALUE"""),14.200000000000001)</f>
        <v>14.2</v>
      </c>
    </row>
    <row r="4357">
      <c r="D4357" t="str">
        <f>IFERROR(__xludf.DUMMYFUNCTION("""COMPUTED_VALUE"""),"Sutton")</f>
        <v>Sutton</v>
      </c>
      <c r="E4357" t="str">
        <f>IFERROR(__xludf.DUMMYFUNCTION("""COMPUTED_VALUE"""),"Cameron")</f>
        <v>Cameron</v>
      </c>
      <c r="F4357">
        <f>IFERROR(__xludf.DUMMYFUNCTION("""COMPUTED_VALUE"""),13.8)</f>
        <v>13.8</v>
      </c>
    </row>
    <row r="4358">
      <c r="D4358" t="str">
        <f>IFERROR(__xludf.DUMMYFUNCTION("""COMPUTED_VALUE"""),"Sutton")</f>
        <v>Sutton</v>
      </c>
      <c r="E4358" t="str">
        <f>IFERROR(__xludf.DUMMYFUNCTION("""COMPUTED_VALUE"""),"Will")</f>
        <v>Will</v>
      </c>
      <c r="F4358">
        <f>IFERROR(__xludf.DUMMYFUNCTION("""COMPUTED_VALUE"""),14.0)</f>
        <v>14</v>
      </c>
    </row>
    <row r="4359">
      <c r="D4359" t="str">
        <f>IFERROR(__xludf.DUMMYFUNCTION("""COMPUTED_VALUE"""),"Swaim")</f>
        <v>Swaim</v>
      </c>
      <c r="E4359" t="str">
        <f>IFERROR(__xludf.DUMMYFUNCTION("""COMPUTED_VALUE"""),"Geoff")</f>
        <v>Geoff</v>
      </c>
      <c r="F4359">
        <f>IFERROR(__xludf.DUMMYFUNCTION("""COMPUTED_VALUE"""),14.8)</f>
        <v>14.8</v>
      </c>
    </row>
    <row r="4360">
      <c r="D4360" t="str">
        <f>IFERROR(__xludf.DUMMYFUNCTION("""COMPUTED_VALUE"""),"Swann")</f>
        <v>Swann</v>
      </c>
      <c r="E4360" t="str">
        <f>IFERROR(__xludf.DUMMYFUNCTION("""COMPUTED_VALUE"""),"Damian")</f>
        <v>Damian</v>
      </c>
      <c r="F4360">
        <f>IFERROR(__xludf.DUMMYFUNCTION("""COMPUTED_VALUE"""),13.600000000000001)</f>
        <v>13.6</v>
      </c>
    </row>
    <row r="4361">
      <c r="D4361" t="str">
        <f>IFERROR(__xludf.DUMMYFUNCTION("""COMPUTED_VALUE"""),"Swanson")</f>
        <v>Swanson</v>
      </c>
      <c r="E4361" t="str">
        <f>IFERROR(__xludf.DUMMYFUNCTION("""COMPUTED_VALUE"""),"Travis")</f>
        <v>Travis</v>
      </c>
      <c r="F4361">
        <f>IFERROR(__xludf.DUMMYFUNCTION("""COMPUTED_VALUE"""),16.2)</f>
        <v>16.2</v>
      </c>
    </row>
    <row r="4362">
      <c r="D4362" t="str">
        <f>IFERROR(__xludf.DUMMYFUNCTION("""COMPUTED_VALUE"""),"Swearinger")</f>
        <v>Swearinger</v>
      </c>
      <c r="E4362" t="str">
        <f>IFERROR(__xludf.DUMMYFUNCTION("""COMPUTED_VALUE"""),"DJ")</f>
        <v>DJ</v>
      </c>
      <c r="F4362">
        <f>IFERROR(__xludf.DUMMYFUNCTION("""COMPUTED_VALUE"""),16.8)</f>
        <v>16.8</v>
      </c>
    </row>
    <row r="4363">
      <c r="D4363" t="str">
        <f>IFERROR(__xludf.DUMMYFUNCTION("""COMPUTED_VALUE"""),"Sweezy")</f>
        <v>Sweezy</v>
      </c>
      <c r="E4363" t="str">
        <f>IFERROR(__xludf.DUMMYFUNCTION("""COMPUTED_VALUE"""),"JR")</f>
        <v>JR</v>
      </c>
      <c r="F4363">
        <f>IFERROR(__xludf.DUMMYFUNCTION("""COMPUTED_VALUE"""),15.4)</f>
        <v>15.4</v>
      </c>
    </row>
    <row r="4364">
      <c r="D4364" t="str">
        <f>IFERROR(__xludf.DUMMYFUNCTION("""COMPUTED_VALUE"""),"Switzer")</f>
        <v>Switzer</v>
      </c>
      <c r="E4364" t="str">
        <f>IFERROR(__xludf.DUMMYFUNCTION("""COMPUTED_VALUE"""),"Ryan")</f>
        <v>Ryan</v>
      </c>
      <c r="F4364">
        <f>IFERROR(__xludf.DUMMYFUNCTION("""COMPUTED_VALUE"""),14.8)</f>
        <v>14.8</v>
      </c>
    </row>
    <row r="4365">
      <c r="D4365" t="str">
        <f>IFERROR(__xludf.DUMMYFUNCTION("""COMPUTED_VALUE"""),"Swoope")</f>
        <v>Swoope</v>
      </c>
      <c r="E4365" t="str">
        <f>IFERROR(__xludf.DUMMYFUNCTION("""COMPUTED_VALUE"""),"Erik")</f>
        <v>Erik</v>
      </c>
      <c r="F4365">
        <f>IFERROR(__xludf.DUMMYFUNCTION("""COMPUTED_VALUE"""),13.200000000000001)</f>
        <v>13.2</v>
      </c>
    </row>
    <row r="4366">
      <c r="D4366" t="str">
        <f>IFERROR(__xludf.DUMMYFUNCTION("""COMPUTED_VALUE"""),"Tabor")</f>
        <v>Tabor</v>
      </c>
      <c r="E4366" t="str">
        <f>IFERROR(__xludf.DUMMYFUNCTION("""COMPUTED_VALUE"""),"Teez")</f>
        <v>Teez</v>
      </c>
      <c r="F4366">
        <f>IFERROR(__xludf.DUMMYFUNCTION("""COMPUTED_VALUE"""),14.600000000000001)</f>
        <v>14.6</v>
      </c>
    </row>
    <row r="4367">
      <c r="D4367" t="str">
        <f>IFERROR(__xludf.DUMMYFUNCTION("""COMPUTED_VALUE"""),"Taliaferro")</f>
        <v>Taliaferro</v>
      </c>
      <c r="E4367" t="str">
        <f>IFERROR(__xludf.DUMMYFUNCTION("""COMPUTED_VALUE"""),"Lorenzo")</f>
        <v>Lorenzo</v>
      </c>
      <c r="F4367">
        <f>IFERROR(__xludf.DUMMYFUNCTION("""COMPUTED_VALUE"""),14.0)</f>
        <v>14</v>
      </c>
    </row>
    <row r="4368">
      <c r="D4368" t="str">
        <f>IFERROR(__xludf.DUMMYFUNCTION("""COMPUTED_VALUE"""),"Talib")</f>
        <v>Talib</v>
      </c>
      <c r="E4368" t="str">
        <f>IFERROR(__xludf.DUMMYFUNCTION("""COMPUTED_VALUE"""),"Aqib")</f>
        <v>Aqib</v>
      </c>
      <c r="F4368">
        <f>IFERROR(__xludf.DUMMYFUNCTION("""COMPUTED_VALUE"""),18.8)</f>
        <v>18.8</v>
      </c>
    </row>
    <row r="4369">
      <c r="D4369" t="str">
        <f>IFERROR(__xludf.DUMMYFUNCTION("""COMPUTED_VALUE"""),"Tandy")</f>
        <v>Tandy</v>
      </c>
      <c r="E4369" t="str">
        <f>IFERROR(__xludf.DUMMYFUNCTION("""COMPUTED_VALUE"""),"Keith")</f>
        <v>Keith</v>
      </c>
      <c r="F4369">
        <f>IFERROR(__xludf.DUMMYFUNCTION("""COMPUTED_VALUE"""),15.200000000000001)</f>
        <v>15.2</v>
      </c>
    </row>
    <row r="4370">
      <c r="D4370" t="str">
        <f>IFERROR(__xludf.DUMMYFUNCTION("""COMPUTED_VALUE"""),"Tankersley")</f>
        <v>Tankersley</v>
      </c>
      <c r="E4370" t="str">
        <f>IFERROR(__xludf.DUMMYFUNCTION("""COMPUTED_VALUE"""),"Cordrea")</f>
        <v>Cordrea</v>
      </c>
      <c r="F4370">
        <f>IFERROR(__xludf.DUMMYFUNCTION("""COMPUTED_VALUE"""),14.4)</f>
        <v>14.4</v>
      </c>
    </row>
    <row r="4371">
      <c r="D4371" t="str">
        <f>IFERROR(__xludf.DUMMYFUNCTION("""COMPUTED_VALUE"""),"Tannehill")</f>
        <v>Tannehill</v>
      </c>
      <c r="E4371" t="str">
        <f>IFERROR(__xludf.DUMMYFUNCTION("""COMPUTED_VALUE"""),"Ryan")</f>
        <v>Ryan</v>
      </c>
      <c r="F4371">
        <f>IFERROR(__xludf.DUMMYFUNCTION("""COMPUTED_VALUE"""),16.6)</f>
        <v>16.6</v>
      </c>
    </row>
    <row r="4372">
      <c r="D4372" t="str">
        <f>IFERROR(__xludf.DUMMYFUNCTION("""COMPUTED_VALUE"""),"Tanney")</f>
        <v>Tanney</v>
      </c>
      <c r="E4372" t="str">
        <f>IFERROR(__xludf.DUMMYFUNCTION("""COMPUTED_VALUE"""),"Alex")</f>
        <v>Alex</v>
      </c>
      <c r="F4372">
        <f>IFERROR(__xludf.DUMMYFUNCTION("""COMPUTED_VALUE"""),12.200000000000001)</f>
        <v>12.2</v>
      </c>
    </row>
    <row r="4373">
      <c r="D4373" t="str">
        <f>IFERROR(__xludf.DUMMYFUNCTION("""COMPUTED_VALUE"""),"Tapp")</f>
        <v>Tapp</v>
      </c>
      <c r="E4373" t="str">
        <f>IFERROR(__xludf.DUMMYFUNCTION("""COMPUTED_VALUE"""),"Darryl")</f>
        <v>Darryl</v>
      </c>
      <c r="F4373">
        <f>IFERROR(__xludf.DUMMYFUNCTION("""COMPUTED_VALUE"""),14.4)</f>
        <v>14.4</v>
      </c>
    </row>
    <row r="4374">
      <c r="D4374" t="str">
        <f>IFERROR(__xludf.DUMMYFUNCTION("""COMPUTED_VALUE"""),"Tapper")</f>
        <v>Tapper</v>
      </c>
      <c r="E4374" t="str">
        <f>IFERROR(__xludf.DUMMYFUNCTION("""COMPUTED_VALUE"""),"Charles")</f>
        <v>Charles</v>
      </c>
      <c r="F4374">
        <f>IFERROR(__xludf.DUMMYFUNCTION("""COMPUTED_VALUE"""),13.8)</f>
        <v>13.8</v>
      </c>
    </row>
    <row r="4375">
      <c r="D4375" t="str">
        <f>IFERROR(__xludf.DUMMYFUNCTION("""COMPUTED_VALUE"""),"Tartt")</f>
        <v>Tartt</v>
      </c>
      <c r="E4375" t="str">
        <f>IFERROR(__xludf.DUMMYFUNCTION("""COMPUTED_VALUE"""),"Jaquiski")</f>
        <v>Jaquiski</v>
      </c>
      <c r="F4375">
        <f>IFERROR(__xludf.DUMMYFUNCTION("""COMPUTED_VALUE"""),14.4)</f>
        <v>14.4</v>
      </c>
    </row>
    <row r="4376">
      <c r="D4376" t="str">
        <f>IFERROR(__xludf.DUMMYFUNCTION("""COMPUTED_VALUE"""),"Tate")</f>
        <v>Tate</v>
      </c>
      <c r="E4376" t="str">
        <f>IFERROR(__xludf.DUMMYFUNCTION("""COMPUTED_VALUE"""),"Brandon")</f>
        <v>Brandon</v>
      </c>
      <c r="F4376">
        <f>IFERROR(__xludf.DUMMYFUNCTION("""COMPUTED_VALUE"""),13.8)</f>
        <v>13.8</v>
      </c>
    </row>
    <row r="4377">
      <c r="D4377" t="str">
        <f>IFERROR(__xludf.DUMMYFUNCTION("""COMPUTED_VALUE"""),"Tate III")</f>
        <v>Tate III</v>
      </c>
      <c r="E4377" t="str">
        <f>IFERROR(__xludf.DUMMYFUNCTION("""COMPUTED_VALUE"""),"Golden")</f>
        <v>Golden</v>
      </c>
      <c r="F4377">
        <f>IFERROR(__xludf.DUMMYFUNCTION("""COMPUTED_VALUE"""),17.400000000000002)</f>
        <v>17.4</v>
      </c>
    </row>
    <row r="4378">
      <c r="D4378" t="str">
        <f>IFERROR(__xludf.DUMMYFUNCTION("""COMPUTED_VALUE"""),"Taumoepenu")</f>
        <v>Taumoepenu</v>
      </c>
      <c r="E4378" t="str">
        <f>IFERROR(__xludf.DUMMYFUNCTION("""COMPUTED_VALUE"""),"Pita")</f>
        <v>Pita</v>
      </c>
      <c r="F4378">
        <f>IFERROR(__xludf.DUMMYFUNCTION("""COMPUTED_VALUE"""),12.600000000000001)</f>
        <v>12.6</v>
      </c>
    </row>
    <row r="4379">
      <c r="D4379" t="str">
        <f>IFERROR(__xludf.DUMMYFUNCTION("""COMPUTED_VALUE"""),"Tautu")</f>
        <v>Tautu</v>
      </c>
      <c r="E4379" t="str">
        <f>IFERROR(__xludf.DUMMYFUNCTION("""COMPUTED_VALUE"""),"Sae")</f>
        <v>Sae</v>
      </c>
      <c r="F4379">
        <f>IFERROR(__xludf.DUMMYFUNCTION("""COMPUTED_VALUE"""),12.4)</f>
        <v>12.4</v>
      </c>
    </row>
    <row r="4380">
      <c r="D4380" t="str">
        <f>IFERROR(__xludf.DUMMYFUNCTION("""COMPUTED_VALUE"""),"Tavecchio")</f>
        <v>Tavecchio</v>
      </c>
      <c r="E4380" t="str">
        <f>IFERROR(__xludf.DUMMYFUNCTION("""COMPUTED_VALUE"""),"Giorgio")</f>
        <v>Giorgio</v>
      </c>
      <c r="F4380">
        <f>IFERROR(__xludf.DUMMYFUNCTION("""COMPUTED_VALUE"""),13.200000000000001)</f>
        <v>13.2</v>
      </c>
    </row>
    <row r="4381">
      <c r="D4381" t="str">
        <f>IFERROR(__xludf.DUMMYFUNCTION("""COMPUTED_VALUE"""),"Taylor")</f>
        <v>Taylor</v>
      </c>
      <c r="E4381" t="str">
        <f>IFERROR(__xludf.DUMMYFUNCTION("""COMPUTED_VALUE"""),"Devin")</f>
        <v>Devin</v>
      </c>
      <c r="F4381">
        <f>IFERROR(__xludf.DUMMYFUNCTION("""COMPUTED_VALUE"""),14.200000000000001)</f>
        <v>14.2</v>
      </c>
    </row>
    <row r="4382">
      <c r="D4382" t="str">
        <f>IFERROR(__xludf.DUMMYFUNCTION("""COMPUTED_VALUE"""),"Taylor")</f>
        <v>Taylor</v>
      </c>
      <c r="E4382" t="str">
        <f>IFERROR(__xludf.DUMMYFUNCTION("""COMPUTED_VALUE"""),"Jamar")</f>
        <v>Jamar</v>
      </c>
      <c r="F4382">
        <f>IFERROR(__xludf.DUMMYFUNCTION("""COMPUTED_VALUE"""),16.2)</f>
        <v>16.2</v>
      </c>
    </row>
    <row r="4383">
      <c r="D4383" t="str">
        <f>IFERROR(__xludf.DUMMYFUNCTION("""COMPUTED_VALUE"""),"Taylor")</f>
        <v>Taylor</v>
      </c>
      <c r="E4383" t="str">
        <f>IFERROR(__xludf.DUMMYFUNCTION("""COMPUTED_VALUE"""),"Jordan")</f>
        <v>Jordan</v>
      </c>
      <c r="F4383">
        <f>IFERROR(__xludf.DUMMYFUNCTION("""COMPUTED_VALUE"""),13.0)</f>
        <v>13</v>
      </c>
    </row>
    <row r="4384">
      <c r="D4384" t="str">
        <f>IFERROR(__xludf.DUMMYFUNCTION("""COMPUTED_VALUE"""),"Taylor")</f>
        <v>Taylor</v>
      </c>
      <c r="E4384" t="str">
        <f>IFERROR(__xludf.DUMMYFUNCTION("""COMPUTED_VALUE"""),"Lane")</f>
        <v>Lane</v>
      </c>
      <c r="F4384">
        <f>IFERROR(__xludf.DUMMYFUNCTION("""COMPUTED_VALUE"""),15.0)</f>
        <v>15</v>
      </c>
    </row>
    <row r="4385">
      <c r="D4385" t="str">
        <f>IFERROR(__xludf.DUMMYFUNCTION("""COMPUTED_VALUE"""),"Taylor")</f>
        <v>Taylor</v>
      </c>
      <c r="E4385" t="str">
        <f>IFERROR(__xludf.DUMMYFUNCTION("""COMPUTED_VALUE"""),"Taywan")</f>
        <v>Taywan</v>
      </c>
      <c r="F4385">
        <f>IFERROR(__xludf.DUMMYFUNCTION("""COMPUTED_VALUE"""),15.4)</f>
        <v>15.4</v>
      </c>
    </row>
    <row r="4386">
      <c r="D4386" t="str">
        <f>IFERROR(__xludf.DUMMYFUNCTION("""COMPUTED_VALUE"""),"Taylor")</f>
        <v>Taylor</v>
      </c>
      <c r="E4386" t="str">
        <f>IFERROR(__xludf.DUMMYFUNCTION("""COMPUTED_VALUE"""),"Trent")</f>
        <v>Trent</v>
      </c>
      <c r="F4386">
        <f>IFERROR(__xludf.DUMMYFUNCTION("""COMPUTED_VALUE"""),14.0)</f>
        <v>14</v>
      </c>
    </row>
    <row r="4387">
      <c r="D4387" t="str">
        <f>IFERROR(__xludf.DUMMYFUNCTION("""COMPUTED_VALUE"""),"Taylor")</f>
        <v>Taylor</v>
      </c>
      <c r="E4387" t="str">
        <f>IFERROR(__xludf.DUMMYFUNCTION("""COMPUTED_VALUE"""),"Tyrod")</f>
        <v>Tyrod</v>
      </c>
      <c r="F4387">
        <f>IFERROR(__xludf.DUMMYFUNCTION("""COMPUTED_VALUE"""),16.400000000000002)</f>
        <v>16.4</v>
      </c>
    </row>
    <row r="4388">
      <c r="D4388" t="str">
        <f>IFERROR(__xludf.DUMMYFUNCTION("""COMPUTED_VALUE"""),"Taylor")</f>
        <v>Taylor</v>
      </c>
      <c r="E4388" t="str">
        <f>IFERROR(__xludf.DUMMYFUNCTION("""COMPUTED_VALUE"""),"Vincent")</f>
        <v>Vincent</v>
      </c>
      <c r="F4388">
        <f>IFERROR(__xludf.DUMMYFUNCTION("""COMPUTED_VALUE"""),13.0)</f>
        <v>13</v>
      </c>
    </row>
    <row r="4389">
      <c r="D4389" t="str">
        <f>IFERROR(__xludf.DUMMYFUNCTION("""COMPUTED_VALUE"""),"Taylor Sr")</f>
        <v>Taylor Sr</v>
      </c>
      <c r="E4389" t="str">
        <f>IFERROR(__xludf.DUMMYFUNCTION("""COMPUTED_VALUE"""),"Phil")</f>
        <v>Phil</v>
      </c>
      <c r="F4389">
        <f>IFERROR(__xludf.DUMMYFUNCTION("""COMPUTED_VALUE"""),14.200000000000001)</f>
        <v>14.2</v>
      </c>
    </row>
    <row r="4390">
      <c r="D4390" t="str">
        <f>IFERROR(__xludf.DUMMYFUNCTION("""COMPUTED_VALUE"""),"Telfer")</f>
        <v>Telfer</v>
      </c>
      <c r="E4390" t="str">
        <f>IFERROR(__xludf.DUMMYFUNCTION("""COMPUTED_VALUE"""),"Randall")</f>
        <v>Randall</v>
      </c>
      <c r="F4390">
        <f>IFERROR(__xludf.DUMMYFUNCTION("""COMPUTED_VALUE"""),13.0)</f>
        <v>13</v>
      </c>
    </row>
    <row r="4391">
      <c r="D4391" t="str">
        <f>IFERROR(__xludf.DUMMYFUNCTION("""COMPUTED_VALUE"""),"Teo")</f>
        <v>Teo</v>
      </c>
      <c r="E4391" t="str">
        <f>IFERROR(__xludf.DUMMYFUNCTION("""COMPUTED_VALUE"""),"Manti")</f>
        <v>Manti</v>
      </c>
      <c r="F4391">
        <f>IFERROR(__xludf.DUMMYFUNCTION("""COMPUTED_VALUE"""),15.0)</f>
        <v>15</v>
      </c>
    </row>
    <row r="4392">
      <c r="D4392" t="str">
        <f>IFERROR(__xludf.DUMMYFUNCTION("""COMPUTED_VALUE"""),"Terrell")</f>
        <v>Terrell</v>
      </c>
      <c r="E4392" t="str">
        <f>IFERROR(__xludf.DUMMYFUNCTION("""COMPUTED_VALUE"""),"Steven")</f>
        <v>Steven</v>
      </c>
      <c r="F4392">
        <f>IFERROR(__xludf.DUMMYFUNCTION("""COMPUTED_VALUE"""),14.0)</f>
        <v>14</v>
      </c>
    </row>
    <row r="4393">
      <c r="D4393" t="str">
        <f>IFERROR(__xludf.DUMMYFUNCTION("""COMPUTED_VALUE"""),"Tevi")</f>
        <v>Tevi</v>
      </c>
      <c r="E4393" t="str">
        <f>IFERROR(__xludf.DUMMYFUNCTION("""COMPUTED_VALUE"""),"Sam")</f>
        <v>Sam</v>
      </c>
      <c r="F4393">
        <f>IFERROR(__xludf.DUMMYFUNCTION("""COMPUTED_VALUE"""),13.200000000000001)</f>
        <v>13.2</v>
      </c>
    </row>
    <row r="4394">
      <c r="D4394" t="str">
        <f>IFERROR(__xludf.DUMMYFUNCTION("""COMPUTED_VALUE"""),"Therezie")</f>
        <v>Therezie</v>
      </c>
      <c r="E4394" t="str">
        <f>IFERROR(__xludf.DUMMYFUNCTION("""COMPUTED_VALUE"""),"Robenson")</f>
        <v>Robenson</v>
      </c>
      <c r="F4394">
        <f>IFERROR(__xludf.DUMMYFUNCTION("""COMPUTED_VALUE"""),13.4)</f>
        <v>13.4</v>
      </c>
    </row>
    <row r="4395">
      <c r="D4395" t="str">
        <f>IFERROR(__xludf.DUMMYFUNCTION("""COMPUTED_VALUE"""),"Theus")</f>
        <v>Theus</v>
      </c>
      <c r="E4395" t="str">
        <f>IFERROR(__xludf.DUMMYFUNCTION("""COMPUTED_VALUE"""),"John")</f>
        <v>John</v>
      </c>
      <c r="F4395">
        <f>IFERROR(__xludf.DUMMYFUNCTION("""COMPUTED_VALUE"""),12.8)</f>
        <v>12.8</v>
      </c>
    </row>
    <row r="4396">
      <c r="D4396" t="str">
        <f>IFERROR(__xludf.DUMMYFUNCTION("""COMPUTED_VALUE"""),"Thielen")</f>
        <v>Thielen</v>
      </c>
      <c r="E4396" t="str">
        <f>IFERROR(__xludf.DUMMYFUNCTION("""COMPUTED_VALUE"""),"Adam")</f>
        <v>Adam</v>
      </c>
      <c r="F4396">
        <f>IFERROR(__xludf.DUMMYFUNCTION("""COMPUTED_VALUE"""),16.2)</f>
        <v>16.2</v>
      </c>
    </row>
    <row r="4397">
      <c r="D4397" t="str">
        <f>IFERROR(__xludf.DUMMYFUNCTION("""COMPUTED_VALUE"""),"Thomas")</f>
        <v>Thomas</v>
      </c>
      <c r="E4397" t="str">
        <f>IFERROR(__xludf.DUMMYFUNCTION("""COMPUTED_VALUE"""),"Brandon")</f>
        <v>Brandon</v>
      </c>
      <c r="F4397">
        <f>IFERROR(__xludf.DUMMYFUNCTION("""COMPUTED_VALUE"""),13.4)</f>
        <v>13.4</v>
      </c>
    </row>
    <row r="4398">
      <c r="D4398" t="str">
        <f>IFERROR(__xludf.DUMMYFUNCTION("""COMPUTED_VALUE"""),"Thomas")</f>
        <v>Thomas</v>
      </c>
      <c r="E4398" t="str">
        <f>IFERROR(__xludf.DUMMYFUNCTION("""COMPUTED_VALUE"""),"Cam")</f>
        <v>Cam</v>
      </c>
      <c r="F4398">
        <f>IFERROR(__xludf.DUMMYFUNCTION("""COMPUTED_VALUE"""),14.600000000000001)</f>
        <v>14.6</v>
      </c>
    </row>
    <row r="4399">
      <c r="D4399" t="str">
        <f>IFERROR(__xludf.DUMMYFUNCTION("""COMPUTED_VALUE"""),"Thomas")</f>
        <v>Thomas</v>
      </c>
      <c r="E4399" t="str">
        <f>IFERROR(__xludf.DUMMYFUNCTION("""COMPUTED_VALUE"""),"Dallas")</f>
        <v>Dallas</v>
      </c>
      <c r="F4399">
        <f>IFERROR(__xludf.DUMMYFUNCTION("""COMPUTED_VALUE"""),12.8)</f>
        <v>12.8</v>
      </c>
    </row>
    <row r="4400">
      <c r="D4400" t="str">
        <f>IFERROR(__xludf.DUMMYFUNCTION("""COMPUTED_VALUE"""),"Thomas")</f>
        <v>Thomas</v>
      </c>
      <c r="E4400" t="str">
        <f>IFERROR(__xludf.DUMMYFUNCTION("""COMPUTED_VALUE"""),"DeAnthony")</f>
        <v>DeAnthony</v>
      </c>
      <c r="F4400">
        <f>IFERROR(__xludf.DUMMYFUNCTION("""COMPUTED_VALUE"""),13.8)</f>
        <v>13.8</v>
      </c>
    </row>
    <row r="4401">
      <c r="D4401" t="str">
        <f>IFERROR(__xludf.DUMMYFUNCTION("""COMPUTED_VALUE"""),"Thomas")</f>
        <v>Thomas</v>
      </c>
      <c r="E4401" t="str">
        <f>IFERROR(__xludf.DUMMYFUNCTION("""COMPUTED_VALUE"""),"Demaryius")</f>
        <v>Demaryius</v>
      </c>
      <c r="F4401">
        <f>IFERROR(__xludf.DUMMYFUNCTION("""COMPUTED_VALUE"""),17.400000000000002)</f>
        <v>17.4</v>
      </c>
    </row>
    <row r="4402">
      <c r="D4402" t="str">
        <f>IFERROR(__xludf.DUMMYFUNCTION("""COMPUTED_VALUE"""),"Thomas")</f>
        <v>Thomas</v>
      </c>
      <c r="E4402" t="str">
        <f>IFERROR(__xludf.DUMMYFUNCTION("""COMPUTED_VALUE"""),"Dwayne")</f>
        <v>Dwayne</v>
      </c>
      <c r="F4402">
        <f>IFERROR(__xludf.DUMMYFUNCTION("""COMPUTED_VALUE"""),12.200000000000001)</f>
        <v>12.2</v>
      </c>
    </row>
    <row r="4403">
      <c r="D4403" t="str">
        <f>IFERROR(__xludf.DUMMYFUNCTION("""COMPUTED_VALUE"""),"Thomas")</f>
        <v>Thomas</v>
      </c>
      <c r="E4403" t="str">
        <f>IFERROR(__xludf.DUMMYFUNCTION("""COMPUTED_VALUE"""),"Joe")</f>
        <v>Joe</v>
      </c>
      <c r="F4403">
        <f>IFERROR(__xludf.DUMMYFUNCTION("""COMPUTED_VALUE"""),14.200000000000001)</f>
        <v>14.2</v>
      </c>
    </row>
    <row r="4404">
      <c r="D4404" t="str">
        <f>IFERROR(__xludf.DUMMYFUNCTION("""COMPUTED_VALUE"""),"Thomas")</f>
        <v>Thomas</v>
      </c>
      <c r="E4404" t="str">
        <f>IFERROR(__xludf.DUMMYFUNCTION("""COMPUTED_VALUE"""),"Joe")</f>
        <v>Joe</v>
      </c>
      <c r="F4404">
        <f>IFERROR(__xludf.DUMMYFUNCTION("""COMPUTED_VALUE"""),18.400000000000002)</f>
        <v>18.4</v>
      </c>
    </row>
    <row r="4405">
      <c r="D4405" t="str">
        <f>IFERROR(__xludf.DUMMYFUNCTION("""COMPUTED_VALUE"""),"Thomas")</f>
        <v>Thomas</v>
      </c>
      <c r="E4405" t="str">
        <f>IFERROR(__xludf.DUMMYFUNCTION("""COMPUTED_VALUE"""),"Julius")</f>
        <v>Julius</v>
      </c>
      <c r="F4405">
        <f>IFERROR(__xludf.DUMMYFUNCTION("""COMPUTED_VALUE"""),16.2)</f>
        <v>16.2</v>
      </c>
    </row>
    <row r="4406">
      <c r="D4406" t="str">
        <f>IFERROR(__xludf.DUMMYFUNCTION("""COMPUTED_VALUE"""),"Thomas")</f>
        <v>Thomas</v>
      </c>
      <c r="E4406" t="str">
        <f>IFERROR(__xludf.DUMMYFUNCTION("""COMPUTED_VALUE"""),"Lawrence")</f>
        <v>Lawrence</v>
      </c>
      <c r="F4406">
        <f>IFERROR(__xludf.DUMMYFUNCTION("""COMPUTED_VALUE"""),12.4)</f>
        <v>12.4</v>
      </c>
    </row>
    <row r="4407">
      <c r="D4407" t="str">
        <f>IFERROR(__xludf.DUMMYFUNCTION("""COMPUTED_VALUE"""),"Thomas")</f>
        <v>Thomas</v>
      </c>
      <c r="E4407" t="str">
        <f>IFERROR(__xludf.DUMMYFUNCTION("""COMPUTED_VALUE"""),"Logan")</f>
        <v>Logan</v>
      </c>
      <c r="F4407">
        <f>IFERROR(__xludf.DUMMYFUNCTION("""COMPUTED_VALUE"""),12.0)</f>
        <v>12</v>
      </c>
    </row>
    <row r="4408">
      <c r="D4408" t="str">
        <f>IFERROR(__xludf.DUMMYFUNCTION("""COMPUTED_VALUE"""),"Thomas")</f>
        <v>Thomas</v>
      </c>
      <c r="E4408" t="str">
        <f>IFERROR(__xludf.DUMMYFUNCTION("""COMPUTED_VALUE"""),"Michael")</f>
        <v>Michael</v>
      </c>
      <c r="F4408">
        <f>IFERROR(__xludf.DUMMYFUNCTION("""COMPUTED_VALUE"""),16.8)</f>
        <v>16.8</v>
      </c>
    </row>
    <row r="4409">
      <c r="D4409" t="str">
        <f>IFERROR(__xludf.DUMMYFUNCTION("""COMPUTED_VALUE"""),"Thomas")</f>
        <v>Thomas</v>
      </c>
      <c r="E4409" t="str">
        <f>IFERROR(__xludf.DUMMYFUNCTION("""COMPUTED_VALUE"""),"Michael")</f>
        <v>Michael</v>
      </c>
      <c r="F4409">
        <f>IFERROR(__xludf.DUMMYFUNCTION("""COMPUTED_VALUE"""),13.600000000000001)</f>
        <v>13.6</v>
      </c>
    </row>
    <row r="4410">
      <c r="D4410" t="str">
        <f>IFERROR(__xludf.DUMMYFUNCTION("""COMPUTED_VALUE"""),"Thomas")</f>
        <v>Thomas</v>
      </c>
      <c r="E4410" t="str">
        <f>IFERROR(__xludf.DUMMYFUNCTION("""COMPUTED_VALUE"""),"Mike")</f>
        <v>Mike</v>
      </c>
      <c r="F4410">
        <f>IFERROR(__xludf.DUMMYFUNCTION("""COMPUTED_VALUE"""),12.600000000000001)</f>
        <v>12.6</v>
      </c>
    </row>
    <row r="4411">
      <c r="D4411" t="str">
        <f>IFERROR(__xludf.DUMMYFUNCTION("""COMPUTED_VALUE"""),"Thomas")</f>
        <v>Thomas</v>
      </c>
      <c r="E4411" t="str">
        <f>IFERROR(__xludf.DUMMYFUNCTION("""COMPUTED_VALUE"""),"Robert")</f>
        <v>Robert</v>
      </c>
      <c r="F4411">
        <f>IFERROR(__xludf.DUMMYFUNCTION("""COMPUTED_VALUE"""),12.600000000000001)</f>
        <v>12.6</v>
      </c>
    </row>
    <row r="4412">
      <c r="D4412" t="str">
        <f>IFERROR(__xludf.DUMMYFUNCTION("""COMPUTED_VALUE"""),"Thomas")</f>
        <v>Thomas</v>
      </c>
      <c r="E4412" t="str">
        <f>IFERROR(__xludf.DUMMYFUNCTION("""COMPUTED_VALUE"""),"Shamarko")</f>
        <v>Shamarko</v>
      </c>
      <c r="F4412">
        <f>IFERROR(__xludf.DUMMYFUNCTION("""COMPUTED_VALUE"""),13.8)</f>
        <v>13.8</v>
      </c>
    </row>
    <row r="4413">
      <c r="D4413" t="str">
        <f>IFERROR(__xludf.DUMMYFUNCTION("""COMPUTED_VALUE"""),"Thomas")</f>
        <v>Thomas</v>
      </c>
      <c r="E4413" t="str">
        <f>IFERROR(__xludf.DUMMYFUNCTION("""COMPUTED_VALUE"""),"Solomon")</f>
        <v>Solomon</v>
      </c>
      <c r="F4413">
        <f>IFERROR(__xludf.DUMMYFUNCTION("""COMPUTED_VALUE"""),15.8)</f>
        <v>15.8</v>
      </c>
    </row>
    <row r="4414">
      <c r="D4414" t="str">
        <f>IFERROR(__xludf.DUMMYFUNCTION("""COMPUTED_VALUE"""),"Thomas III")</f>
        <v>Thomas III</v>
      </c>
      <c r="E4414" t="str">
        <f>IFERROR(__xludf.DUMMYFUNCTION("""COMPUTED_VALUE"""),"Earl")</f>
        <v>Earl</v>
      </c>
      <c r="F4414">
        <f>IFERROR(__xludf.DUMMYFUNCTION("""COMPUTED_VALUE"""),18.8)</f>
        <v>18.8</v>
      </c>
    </row>
    <row r="4415">
      <c r="D4415" t="str">
        <f>IFERROR(__xludf.DUMMYFUNCTION("""COMPUTED_VALUE"""),"Thomas III")</f>
        <v>Thomas III</v>
      </c>
      <c r="E4415" t="str">
        <f>IFERROR(__xludf.DUMMYFUNCTION("""COMPUTED_VALUE"""),"JT")</f>
        <v>JT</v>
      </c>
      <c r="F4415">
        <f>IFERROR(__xludf.DUMMYFUNCTION("""COMPUTED_VALUE"""),14.600000000000001)</f>
        <v>14.6</v>
      </c>
    </row>
    <row r="4416">
      <c r="D4416" t="str">
        <f>IFERROR(__xludf.DUMMYFUNCTION("""COMPUTED_VALUE"""),"Thompson")</f>
        <v>Thompson</v>
      </c>
      <c r="E4416" t="str">
        <f>IFERROR(__xludf.DUMMYFUNCTION("""COMPUTED_VALUE"""),"Brandon")</f>
        <v>Brandon</v>
      </c>
      <c r="F4416">
        <f>IFERROR(__xludf.DUMMYFUNCTION("""COMPUTED_VALUE"""),13.4)</f>
        <v>13.4</v>
      </c>
    </row>
    <row r="4417">
      <c r="D4417" t="str">
        <f>IFERROR(__xludf.DUMMYFUNCTION("""COMPUTED_VALUE"""),"Thompson")</f>
        <v>Thompson</v>
      </c>
      <c r="E4417" t="str">
        <f>IFERROR(__xludf.DUMMYFUNCTION("""COMPUTED_VALUE"""),"Carlos")</f>
        <v>Carlos</v>
      </c>
      <c r="F4417">
        <f>IFERROR(__xludf.DUMMYFUNCTION("""COMPUTED_VALUE"""),12.4)</f>
        <v>12.4</v>
      </c>
    </row>
    <row r="4418">
      <c r="D4418" t="str">
        <f>IFERROR(__xludf.DUMMYFUNCTION("""COMPUTED_VALUE"""),"Thompson")</f>
        <v>Thompson</v>
      </c>
      <c r="E4418" t="str">
        <f>IFERROR(__xludf.DUMMYFUNCTION("""COMPUTED_VALUE"""),"Chris")</f>
        <v>Chris</v>
      </c>
      <c r="F4418">
        <f>IFERROR(__xludf.DUMMYFUNCTION("""COMPUTED_VALUE"""),15.4)</f>
        <v>15.4</v>
      </c>
    </row>
    <row r="4419">
      <c r="D4419" t="str">
        <f>IFERROR(__xludf.DUMMYFUNCTION("""COMPUTED_VALUE"""),"Thompson")</f>
        <v>Thompson</v>
      </c>
      <c r="E4419" t="str">
        <f>IFERROR(__xludf.DUMMYFUNCTION("""COMPUTED_VALUE"""),"Darian")</f>
        <v>Darian</v>
      </c>
      <c r="F4419">
        <f>IFERROR(__xludf.DUMMYFUNCTION("""COMPUTED_VALUE"""),13.8)</f>
        <v>13.8</v>
      </c>
    </row>
    <row r="4420">
      <c r="D4420" t="str">
        <f>IFERROR(__xludf.DUMMYFUNCTION("""COMPUTED_VALUE"""),"Thompson")</f>
        <v>Thompson</v>
      </c>
      <c r="E4420" t="str">
        <f>IFERROR(__xludf.DUMMYFUNCTION("""COMPUTED_VALUE"""),"Deonte")</f>
        <v>Deonte</v>
      </c>
      <c r="F4420">
        <f>IFERROR(__xludf.DUMMYFUNCTION("""COMPUTED_VALUE"""),13.8)</f>
        <v>13.8</v>
      </c>
    </row>
    <row r="4421">
      <c r="D4421" t="str">
        <f>IFERROR(__xludf.DUMMYFUNCTION("""COMPUTED_VALUE"""),"Thompson")</f>
        <v>Thompson</v>
      </c>
      <c r="E4421" t="str">
        <f>IFERROR(__xludf.DUMMYFUNCTION("""COMPUTED_VALUE"""),"Juwan")</f>
        <v>Juwan</v>
      </c>
      <c r="F4421">
        <f>IFERROR(__xludf.DUMMYFUNCTION("""COMPUTED_VALUE"""),13.8)</f>
        <v>13.8</v>
      </c>
    </row>
    <row r="4422">
      <c r="D4422" t="str">
        <f>IFERROR(__xludf.DUMMYFUNCTION("""COMPUTED_VALUE"""),"Thompson")</f>
        <v>Thompson</v>
      </c>
      <c r="E4422" t="str">
        <f>IFERROR(__xludf.DUMMYFUNCTION("""COMPUTED_VALUE"""),"Mykkele")</f>
        <v>Mykkele</v>
      </c>
      <c r="F4422">
        <f>IFERROR(__xludf.DUMMYFUNCTION("""COMPUTED_VALUE"""),12.8)</f>
        <v>12.8</v>
      </c>
    </row>
    <row r="4423">
      <c r="D4423" t="str">
        <f>IFERROR(__xludf.DUMMYFUNCTION("""COMPUTED_VALUE"""),"Thompson")</f>
        <v>Thompson</v>
      </c>
      <c r="E4423" t="str">
        <f>IFERROR(__xludf.DUMMYFUNCTION("""COMPUTED_VALUE"""),"Peyton")</f>
        <v>Peyton</v>
      </c>
      <c r="F4423">
        <f>IFERROR(__xludf.DUMMYFUNCTION("""COMPUTED_VALUE"""),12.4)</f>
        <v>12.4</v>
      </c>
    </row>
    <row r="4424">
      <c r="D4424" t="str">
        <f>IFERROR(__xludf.DUMMYFUNCTION("""COMPUTED_VALUE"""),"Thompson")</f>
        <v>Thompson</v>
      </c>
      <c r="E4424" t="str">
        <f>IFERROR(__xludf.DUMMYFUNCTION("""COMPUTED_VALUE"""),"Shaq")</f>
        <v>Shaq</v>
      </c>
      <c r="F4424">
        <f>IFERROR(__xludf.DUMMYFUNCTION("""COMPUTED_VALUE"""),16.6)</f>
        <v>16.6</v>
      </c>
    </row>
    <row r="4425">
      <c r="D4425" t="str">
        <f>IFERROR(__xludf.DUMMYFUNCTION("""COMPUTED_VALUE"""),"Thompson")</f>
        <v>Thompson</v>
      </c>
      <c r="E4425" t="str">
        <f>IFERROR(__xludf.DUMMYFUNCTION("""COMPUTED_VALUE"""),"Tedric")</f>
        <v>Tedric</v>
      </c>
      <c r="F4425">
        <f>IFERROR(__xludf.DUMMYFUNCTION("""COMPUTED_VALUE"""),14.4)</f>
        <v>14.4</v>
      </c>
    </row>
    <row r="4426">
      <c r="D4426" t="str">
        <f>IFERROR(__xludf.DUMMYFUNCTION("""COMPUTED_VALUE"""),"Thompson")</f>
        <v>Thompson</v>
      </c>
      <c r="E4426" t="str">
        <f>IFERROR(__xludf.DUMMYFUNCTION("""COMPUTED_VALUE"""),"Tyrus")</f>
        <v>Tyrus</v>
      </c>
      <c r="F4426">
        <f>IFERROR(__xludf.DUMMYFUNCTION("""COMPUTED_VALUE"""),13.200000000000001)</f>
        <v>13.2</v>
      </c>
    </row>
    <row r="4427">
      <c r="D4427" t="str">
        <f>IFERROR(__xludf.DUMMYFUNCTION("""COMPUTED_VALUE"""),"Thornton")</f>
        <v>Thornton</v>
      </c>
      <c r="E4427" t="str">
        <f>IFERROR(__xludf.DUMMYFUNCTION("""COMPUTED_VALUE"""),"Cedric")</f>
        <v>Cedric</v>
      </c>
      <c r="F4427">
        <f>IFERROR(__xludf.DUMMYFUNCTION("""COMPUTED_VALUE"""),14.8)</f>
        <v>14.8</v>
      </c>
    </row>
    <row r="4428">
      <c r="D4428" t="str">
        <f>IFERROR(__xludf.DUMMYFUNCTION("""COMPUTED_VALUE"""),"Thornton")</f>
        <v>Thornton</v>
      </c>
      <c r="E4428" t="str">
        <f>IFERROR(__xludf.DUMMYFUNCTION("""COMPUTED_VALUE"""),"Khyri")</f>
        <v>Khyri</v>
      </c>
      <c r="F4428">
        <f>IFERROR(__xludf.DUMMYFUNCTION("""COMPUTED_VALUE"""),13.0)</f>
        <v>13</v>
      </c>
    </row>
    <row r="4429">
      <c r="D4429" t="str">
        <f>IFERROR(__xludf.DUMMYFUNCTION("""COMPUTED_VALUE"""),"Thorpe")</f>
        <v>Thorpe</v>
      </c>
      <c r="E4429" t="str">
        <f>IFERROR(__xludf.DUMMYFUNCTION("""COMPUTED_VALUE"""),"Neiko")</f>
        <v>Neiko</v>
      </c>
      <c r="F4429">
        <f>IFERROR(__xludf.DUMMYFUNCTION("""COMPUTED_VALUE"""),12.8)</f>
        <v>12.8</v>
      </c>
    </row>
    <row r="4430">
      <c r="D4430" t="str">
        <f>IFERROR(__xludf.DUMMYFUNCTION("""COMPUTED_VALUE"""),"Thuney")</f>
        <v>Thuney</v>
      </c>
      <c r="E4430" t="str">
        <f>IFERROR(__xludf.DUMMYFUNCTION("""COMPUTED_VALUE"""),"Joe")</f>
        <v>Joe</v>
      </c>
      <c r="F4430">
        <f>IFERROR(__xludf.DUMMYFUNCTION("""COMPUTED_VALUE"""),15.200000000000001)</f>
        <v>15.2</v>
      </c>
    </row>
    <row r="4431">
      <c r="D4431" t="str">
        <f>IFERROR(__xludf.DUMMYFUNCTION("""COMPUTED_VALUE"""),"Tialavea")</f>
        <v>Tialavea</v>
      </c>
      <c r="E4431" t="str">
        <f>IFERROR(__xludf.DUMMYFUNCTION("""COMPUTED_VALUE"""),"DJ")</f>
        <v>DJ</v>
      </c>
      <c r="F4431">
        <f>IFERROR(__xludf.DUMMYFUNCTION("""COMPUTED_VALUE"""),13.200000000000001)</f>
        <v>13.2</v>
      </c>
    </row>
    <row r="4432">
      <c r="D4432" t="str">
        <f>IFERROR(__xludf.DUMMYFUNCTION("""COMPUTED_VALUE"""),"Tiller")</f>
        <v>Tiller</v>
      </c>
      <c r="E4432" t="str">
        <f>IFERROR(__xludf.DUMMYFUNCTION("""COMPUTED_VALUE"""),"Andrew")</f>
        <v>Andrew</v>
      </c>
      <c r="F4432">
        <f>IFERROR(__xludf.DUMMYFUNCTION("""COMPUTED_VALUE"""),15.0)</f>
        <v>15</v>
      </c>
    </row>
    <row r="4433">
      <c r="D4433" t="str">
        <f>IFERROR(__xludf.DUMMYFUNCTION("""COMPUTED_VALUE"""),"Timmons")</f>
        <v>Timmons</v>
      </c>
      <c r="E4433" t="str">
        <f>IFERROR(__xludf.DUMMYFUNCTION("""COMPUTED_VALUE"""),"Lawrence")</f>
        <v>Lawrence</v>
      </c>
      <c r="F4433">
        <f>IFERROR(__xludf.DUMMYFUNCTION("""COMPUTED_VALUE"""),16.0)</f>
        <v>16</v>
      </c>
    </row>
    <row r="4434">
      <c r="D4434" t="str">
        <f>IFERROR(__xludf.DUMMYFUNCTION("""COMPUTED_VALUE"""),"Timu")</f>
        <v>Timu</v>
      </c>
      <c r="E4434" t="str">
        <f>IFERROR(__xludf.DUMMYFUNCTION("""COMPUTED_VALUE"""),"John")</f>
        <v>John</v>
      </c>
      <c r="F4434">
        <f>IFERROR(__xludf.DUMMYFUNCTION("""COMPUTED_VALUE"""),13.0)</f>
        <v>13</v>
      </c>
    </row>
    <row r="4435">
      <c r="D4435" t="str">
        <f>IFERROR(__xludf.DUMMYFUNCTION("""COMPUTED_VALUE"""),"Tinker")</f>
        <v>Tinker</v>
      </c>
      <c r="E4435" t="str">
        <f>IFERROR(__xludf.DUMMYFUNCTION("""COMPUTED_VALUE"""),"Carson")</f>
        <v>Carson</v>
      </c>
      <c r="F4435">
        <f>IFERROR(__xludf.DUMMYFUNCTION("""COMPUTED_VALUE"""),9.200000000000001)</f>
        <v>9.2</v>
      </c>
    </row>
    <row r="4436">
      <c r="D4436" t="str">
        <f>IFERROR(__xludf.DUMMYFUNCTION("""COMPUTED_VALUE"""),"Tobin")</f>
        <v>Tobin</v>
      </c>
      <c r="E4436" t="str">
        <f>IFERROR(__xludf.DUMMYFUNCTION("""COMPUTED_VALUE"""),"Matt")</f>
        <v>Matt</v>
      </c>
      <c r="F4436">
        <f>IFERROR(__xludf.DUMMYFUNCTION("""COMPUTED_VALUE"""),14.600000000000001)</f>
        <v>14.6</v>
      </c>
    </row>
    <row r="4437">
      <c r="D4437" t="str">
        <f>IFERROR(__xludf.DUMMYFUNCTION("""COMPUTED_VALUE"""),"Tocho")</f>
        <v>Tocho</v>
      </c>
      <c r="E4437" t="str">
        <f>IFERROR(__xludf.DUMMYFUNCTION("""COMPUTED_VALUE"""),"Jack")</f>
        <v>Jack</v>
      </c>
      <c r="F4437">
        <f>IFERROR(__xludf.DUMMYFUNCTION("""COMPUTED_VALUE"""),12.600000000000001)</f>
        <v>12.6</v>
      </c>
    </row>
    <row r="4438">
      <c r="D4438" t="str">
        <f>IFERROR(__xludf.DUMMYFUNCTION("""COMPUTED_VALUE"""),"Todman")</f>
        <v>Todman</v>
      </c>
      <c r="E4438" t="str">
        <f>IFERROR(__xludf.DUMMYFUNCTION("""COMPUTED_VALUE"""),"Jordan")</f>
        <v>Jordan</v>
      </c>
      <c r="F4438">
        <f>IFERROR(__xludf.DUMMYFUNCTION("""COMPUTED_VALUE"""),13.600000000000001)</f>
        <v>13.6</v>
      </c>
    </row>
    <row r="4439">
      <c r="D4439" t="str">
        <f>IFERROR(__xludf.DUMMYFUNCTION("""COMPUTED_VALUE"""),"Toilolo")</f>
        <v>Toilolo</v>
      </c>
      <c r="E4439" t="str">
        <f>IFERROR(__xludf.DUMMYFUNCTION("""COMPUTED_VALUE"""),"Levine")</f>
        <v>Levine</v>
      </c>
      <c r="F4439">
        <f>IFERROR(__xludf.DUMMYFUNCTION("""COMPUTED_VALUE"""),14.0)</f>
        <v>14</v>
      </c>
    </row>
    <row r="4440">
      <c r="D4440" t="str">
        <f>IFERROR(__xludf.DUMMYFUNCTION("""COMPUTED_VALUE"""),"Tolbert")</f>
        <v>Tolbert</v>
      </c>
      <c r="E4440" t="str">
        <f>IFERROR(__xludf.DUMMYFUNCTION("""COMPUTED_VALUE"""),"Mike")</f>
        <v>Mike</v>
      </c>
      <c r="F4440">
        <f>IFERROR(__xludf.DUMMYFUNCTION("""COMPUTED_VALUE"""),15.4)</f>
        <v>15.4</v>
      </c>
    </row>
    <row r="4441">
      <c r="D4441" t="str">
        <f>IFERROR(__xludf.DUMMYFUNCTION("""COMPUTED_VALUE"""),"Tolzien")</f>
        <v>Tolzien</v>
      </c>
      <c r="E4441" t="str">
        <f>IFERROR(__xludf.DUMMYFUNCTION("""COMPUTED_VALUE"""),"Scott")</f>
        <v>Scott</v>
      </c>
      <c r="F4441">
        <f>IFERROR(__xludf.DUMMYFUNCTION("""COMPUTED_VALUE"""),13.200000000000001)</f>
        <v>13.2</v>
      </c>
    </row>
    <row r="4442">
      <c r="D4442" t="str">
        <f>IFERROR(__xludf.DUMMYFUNCTION("""COMPUTED_VALUE"""),"Tom")</f>
        <v>Tom</v>
      </c>
      <c r="E4442" t="str">
        <f>IFERROR(__xludf.DUMMYFUNCTION("""COMPUTED_VALUE"""),"Cameron")</f>
        <v>Cameron</v>
      </c>
      <c r="F4442">
        <f>IFERROR(__xludf.DUMMYFUNCTION("""COMPUTED_VALUE"""),12.200000000000001)</f>
        <v>12.2</v>
      </c>
    </row>
    <row r="4443">
      <c r="D4443" t="str">
        <f>IFERROR(__xludf.DUMMYFUNCTION("""COMPUTED_VALUE"""),"Tomlinson")</f>
        <v>Tomlinson</v>
      </c>
      <c r="E4443" t="str">
        <f>IFERROR(__xludf.DUMMYFUNCTION("""COMPUTED_VALUE"""),"Dalvin")</f>
        <v>Dalvin</v>
      </c>
      <c r="F4443">
        <f>IFERROR(__xludf.DUMMYFUNCTION("""COMPUTED_VALUE"""),14.200000000000001)</f>
        <v>14.2</v>
      </c>
    </row>
    <row r="4444">
      <c r="D4444" t="str">
        <f>IFERROR(__xludf.DUMMYFUNCTION("""COMPUTED_VALUE"""),"Tomlinson")</f>
        <v>Tomlinson</v>
      </c>
      <c r="E4444" t="str">
        <f>IFERROR(__xludf.DUMMYFUNCTION("""COMPUTED_VALUE"""),"Eric")</f>
        <v>Eric</v>
      </c>
      <c r="F4444">
        <f>IFERROR(__xludf.DUMMYFUNCTION("""COMPUTED_VALUE"""),12.600000000000001)</f>
        <v>12.6</v>
      </c>
    </row>
    <row r="4445">
      <c r="D4445" t="str">
        <f>IFERROR(__xludf.DUMMYFUNCTION("""COMPUTED_VALUE"""),"Tomlinson")</f>
        <v>Tomlinson</v>
      </c>
      <c r="E4445" t="str">
        <f>IFERROR(__xludf.DUMMYFUNCTION("""COMPUTED_VALUE"""),"Laken")</f>
        <v>Laken</v>
      </c>
      <c r="F4445">
        <f>IFERROR(__xludf.DUMMYFUNCTION("""COMPUTED_VALUE"""),14.200000000000001)</f>
        <v>14.2</v>
      </c>
    </row>
    <row r="4446">
      <c r="D4446" t="str">
        <f>IFERROR(__xludf.DUMMYFUNCTION("""COMPUTED_VALUE"""),"Toner")</f>
        <v>Toner</v>
      </c>
      <c r="E4446" t="str">
        <f>IFERROR(__xludf.DUMMYFUNCTION("""COMPUTED_VALUE"""),"Cole")</f>
        <v>Cole</v>
      </c>
      <c r="F4446">
        <f>IFERROR(__xludf.DUMMYFUNCTION("""COMPUTED_VALUE"""),13.0)</f>
        <v>13</v>
      </c>
    </row>
    <row r="4447">
      <c r="D4447" t="str">
        <f>IFERROR(__xludf.DUMMYFUNCTION("""COMPUTED_VALUE"""),"Toomer")</f>
        <v>Toomer</v>
      </c>
      <c r="E4447" t="str">
        <f>IFERROR(__xludf.DUMMYFUNCTION("""COMPUTED_VALUE"""),"Korey")</f>
        <v>Korey</v>
      </c>
      <c r="F4447">
        <f>IFERROR(__xludf.DUMMYFUNCTION("""COMPUTED_VALUE"""),15.0)</f>
        <v>15</v>
      </c>
    </row>
    <row r="4448">
      <c r="D4448" t="str">
        <f>IFERROR(__xludf.DUMMYFUNCTION("""COMPUTED_VALUE"""),"Torgersen")</f>
        <v>Torgersen</v>
      </c>
      <c r="E4448" t="str">
        <f>IFERROR(__xludf.DUMMYFUNCTION("""COMPUTED_VALUE"""),"Alek")</f>
        <v>Alek</v>
      </c>
      <c r="F4448">
        <f>IFERROR(__xludf.DUMMYFUNCTION("""COMPUTED_VALUE"""),11.600000000000001)</f>
        <v>11.6</v>
      </c>
    </row>
    <row r="4449">
      <c r="D4449" t="str">
        <f>IFERROR(__xludf.DUMMYFUNCTION("""COMPUTED_VALUE"""),"Toussaint")</f>
        <v>Toussaint</v>
      </c>
      <c r="E4449" t="str">
        <f>IFERROR(__xludf.DUMMYFUNCTION("""COMPUTED_VALUE"""),"Fitzgerald")</f>
        <v>Fitzgerald</v>
      </c>
      <c r="F4449">
        <f>IFERROR(__xludf.DUMMYFUNCTION("""COMPUTED_VALUE"""),13.200000000000001)</f>
        <v>13.2</v>
      </c>
    </row>
    <row r="4450">
      <c r="D4450" t="str">
        <f>IFERROR(__xludf.DUMMYFUNCTION("""COMPUTED_VALUE"""),"Towbridge")</f>
        <v>Towbridge</v>
      </c>
      <c r="E4450" t="str">
        <f>IFERROR(__xludf.DUMMYFUNCTION("""COMPUTED_VALUE"""),"Keith")</f>
        <v>Keith</v>
      </c>
      <c r="F4450">
        <f>IFERROR(__xludf.DUMMYFUNCTION("""COMPUTED_VALUE"""),13.600000000000001)</f>
        <v>13.6</v>
      </c>
    </row>
    <row r="4451">
      <c r="D4451" t="str">
        <f>IFERROR(__xludf.DUMMYFUNCTION("""COMPUTED_VALUE"""),"Trail")</f>
        <v>Trail</v>
      </c>
      <c r="E4451" t="str">
        <f>IFERROR(__xludf.DUMMYFUNCTION("""COMPUTED_VALUE"""),"Lynden")</f>
        <v>Lynden</v>
      </c>
      <c r="F4451">
        <f>IFERROR(__xludf.DUMMYFUNCTION("""COMPUTED_VALUE"""),11.600000000000001)</f>
        <v>11.6</v>
      </c>
    </row>
    <row r="4452">
      <c r="D4452" t="str">
        <f>IFERROR(__xludf.DUMMYFUNCTION("""COMPUTED_VALUE"""),"Travis")</f>
        <v>Travis</v>
      </c>
      <c r="E4452" t="str">
        <f>IFERROR(__xludf.DUMMYFUNCTION("""COMPUTED_VALUE"""),"Damarius")</f>
        <v>Damarius</v>
      </c>
      <c r="F4452">
        <f>IFERROR(__xludf.DUMMYFUNCTION("""COMPUTED_VALUE"""),11.8)</f>
        <v>11.8</v>
      </c>
    </row>
    <row r="4453">
      <c r="D4453" t="str">
        <f>IFERROR(__xludf.DUMMYFUNCTION("""COMPUTED_VALUE"""),"Travis")</f>
        <v>Travis</v>
      </c>
      <c r="E4453" t="str">
        <f>IFERROR(__xludf.DUMMYFUNCTION("""COMPUTED_VALUE"""),"Ross")</f>
        <v>Ross</v>
      </c>
      <c r="F4453">
        <f>IFERROR(__xludf.DUMMYFUNCTION("""COMPUTED_VALUE"""),11.600000000000001)</f>
        <v>11.6</v>
      </c>
    </row>
    <row r="4454">
      <c r="D4454" t="str">
        <f>IFERROR(__xludf.DUMMYFUNCTION("""COMPUTED_VALUE"""),"Trawick")</f>
        <v>Trawick</v>
      </c>
      <c r="E4454" t="str">
        <f>IFERROR(__xludf.DUMMYFUNCTION("""COMPUTED_VALUE"""),"Brynden")</f>
        <v>Brynden</v>
      </c>
      <c r="F4454">
        <f>IFERROR(__xludf.DUMMYFUNCTION("""COMPUTED_VALUE"""),13.600000000000001)</f>
        <v>13.6</v>
      </c>
    </row>
    <row r="4455">
      <c r="D4455" t="str">
        <f>IFERROR(__xludf.DUMMYFUNCTION("""COMPUTED_VALUE"""),"Traylor")</f>
        <v>Traylor</v>
      </c>
      <c r="E4455" t="str">
        <f>IFERROR(__xludf.DUMMYFUNCTION("""COMPUTED_VALUE"""),"Austin")</f>
        <v>Austin</v>
      </c>
      <c r="F4455">
        <f>IFERROR(__xludf.DUMMYFUNCTION("""COMPUTED_VALUE"""),12.600000000000001)</f>
        <v>12.6</v>
      </c>
    </row>
    <row r="4456">
      <c r="D4456" t="str">
        <f>IFERROR(__xludf.DUMMYFUNCTION("""COMPUTED_VALUE"""),"Treadwell")</f>
        <v>Treadwell</v>
      </c>
      <c r="E4456" t="str">
        <f>IFERROR(__xludf.DUMMYFUNCTION("""COMPUTED_VALUE"""),"Laquon")</f>
        <v>Laquon</v>
      </c>
      <c r="F4456">
        <f>IFERROR(__xludf.DUMMYFUNCTION("""COMPUTED_VALUE"""),14.600000000000001)</f>
        <v>14.6</v>
      </c>
    </row>
    <row r="4457">
      <c r="D4457" t="str">
        <f>IFERROR(__xludf.DUMMYFUNCTION("""COMPUTED_VALUE"""),"Treggs")</f>
        <v>Treggs</v>
      </c>
      <c r="E4457" t="str">
        <f>IFERROR(__xludf.DUMMYFUNCTION("""COMPUTED_VALUE"""),"Bryce")</f>
        <v>Bryce</v>
      </c>
      <c r="F4457">
        <f>IFERROR(__xludf.DUMMYFUNCTION("""COMPUTED_VALUE"""),12.200000000000001)</f>
        <v>12.2</v>
      </c>
    </row>
    <row r="4458">
      <c r="D4458" t="str">
        <f>IFERROR(__xludf.DUMMYFUNCTION("""COMPUTED_VALUE"""),"Tretola")</f>
        <v>Tretola</v>
      </c>
      <c r="E4458" t="str">
        <f>IFERROR(__xludf.DUMMYFUNCTION("""COMPUTED_VALUE"""),"Sebastian")</f>
        <v>Sebastian</v>
      </c>
      <c r="F4458">
        <f>IFERROR(__xludf.DUMMYFUNCTION("""COMPUTED_VALUE"""),12.8)</f>
        <v>12.8</v>
      </c>
    </row>
    <row r="4459">
      <c r="D4459" t="str">
        <f>IFERROR(__xludf.DUMMYFUNCTION("""COMPUTED_VALUE"""),"Tretter")</f>
        <v>Tretter</v>
      </c>
      <c r="E4459" t="str">
        <f>IFERROR(__xludf.DUMMYFUNCTION("""COMPUTED_VALUE"""),"JC")</f>
        <v>JC</v>
      </c>
      <c r="F4459">
        <f>IFERROR(__xludf.DUMMYFUNCTION("""COMPUTED_VALUE"""),16.8)</f>
        <v>16.8</v>
      </c>
    </row>
    <row r="4460">
      <c r="D4460" t="str">
        <f>IFERROR(__xludf.DUMMYFUNCTION("""COMPUTED_VALUE"""),"Trevathan")</f>
        <v>Trevathan</v>
      </c>
      <c r="E4460" t="str">
        <f>IFERROR(__xludf.DUMMYFUNCTION("""COMPUTED_VALUE"""),"Danny")</f>
        <v>Danny</v>
      </c>
      <c r="F4460">
        <f>IFERROR(__xludf.DUMMYFUNCTION("""COMPUTED_VALUE"""),16.8)</f>
        <v>16.8</v>
      </c>
    </row>
    <row r="4461">
      <c r="D4461" t="str">
        <f>IFERROR(__xludf.DUMMYFUNCTION("""COMPUTED_VALUE"""),"Trinca-Pasat")</f>
        <v>Trinca-Pasat</v>
      </c>
      <c r="E4461" t="str">
        <f>IFERROR(__xludf.DUMMYFUNCTION("""COMPUTED_VALUE"""),"Louis")</f>
        <v>Louis</v>
      </c>
      <c r="F4461">
        <f>IFERROR(__xludf.DUMMYFUNCTION("""COMPUTED_VALUE"""),11.600000000000001)</f>
        <v>11.6</v>
      </c>
    </row>
    <row r="4462">
      <c r="D4462" t="str">
        <f>IFERROR(__xludf.DUMMYFUNCTION("""COMPUTED_VALUE"""),"Tripp")</f>
        <v>Tripp</v>
      </c>
      <c r="E4462" t="str">
        <f>IFERROR(__xludf.DUMMYFUNCTION("""COMPUTED_VALUE"""),"Jordan")</f>
        <v>Jordan</v>
      </c>
      <c r="F4462">
        <f>IFERROR(__xludf.DUMMYFUNCTION("""COMPUTED_VALUE"""),12.4)</f>
        <v>12.4</v>
      </c>
    </row>
    <row r="4463">
      <c r="D4463" t="str">
        <f>IFERROR(__xludf.DUMMYFUNCTION("""COMPUTED_VALUE"""),"Trubisky")</f>
        <v>Trubisky</v>
      </c>
      <c r="E4463" t="str">
        <f>IFERROR(__xludf.DUMMYFUNCTION("""COMPUTED_VALUE"""),"Mitchell")</f>
        <v>Mitchell</v>
      </c>
      <c r="F4463">
        <f>IFERROR(__xludf.DUMMYFUNCTION("""COMPUTED_VALUE"""),15.4)</f>
        <v>15.4</v>
      </c>
    </row>
    <row r="4464">
      <c r="D4464" t="str">
        <f>IFERROR(__xludf.DUMMYFUNCTION("""COMPUTED_VALUE"""),"Trufant")</f>
        <v>Trufant</v>
      </c>
      <c r="E4464" t="str">
        <f>IFERROR(__xludf.DUMMYFUNCTION("""COMPUTED_VALUE"""),"Desmond")</f>
        <v>Desmond</v>
      </c>
      <c r="F4464">
        <f>IFERROR(__xludf.DUMMYFUNCTION("""COMPUTED_VALUE"""),17.8)</f>
        <v>17.8</v>
      </c>
    </row>
    <row r="4465">
      <c r="D4465" t="str">
        <f>IFERROR(__xludf.DUMMYFUNCTION("""COMPUTED_VALUE"""),"Tucker")</f>
        <v>Tucker</v>
      </c>
      <c r="E4465" t="str">
        <f>IFERROR(__xludf.DUMMYFUNCTION("""COMPUTED_VALUE"""),"Justin")</f>
        <v>Justin</v>
      </c>
      <c r="F4465">
        <f>IFERROR(__xludf.DUMMYFUNCTION("""COMPUTED_VALUE"""),17.400000000000002)</f>
        <v>17.4</v>
      </c>
    </row>
    <row r="4466">
      <c r="D4466" t="str">
        <f>IFERROR(__xludf.DUMMYFUNCTION("""COMPUTED_VALUE"""),"Tucker")</f>
        <v>Tucker</v>
      </c>
      <c r="E4466" t="str">
        <f>IFERROR(__xludf.DUMMYFUNCTION("""COMPUTED_VALUE"""),"Marcus")</f>
        <v>Marcus</v>
      </c>
      <c r="F4466">
        <f>IFERROR(__xludf.DUMMYFUNCTION("""COMPUTED_VALUE"""),12.200000000000001)</f>
        <v>12.2</v>
      </c>
    </row>
    <row r="4467">
      <c r="D4467" t="str">
        <f>IFERROR(__xludf.DUMMYFUNCTION("""COMPUTED_VALUE"""),"Tuerk")</f>
        <v>Tuerk</v>
      </c>
      <c r="E4467" t="str">
        <f>IFERROR(__xludf.DUMMYFUNCTION("""COMPUTED_VALUE"""),"Max")</f>
        <v>Max</v>
      </c>
      <c r="F4467">
        <f>IFERROR(__xludf.DUMMYFUNCTION("""COMPUTED_VALUE"""),13.4)</f>
        <v>13.4</v>
      </c>
    </row>
    <row r="4468">
      <c r="D4468" t="str">
        <f>IFERROR(__xludf.DUMMYFUNCTION("""COMPUTED_VALUE"""),"TuIkolovatu")</f>
        <v>TuIkolovatu</v>
      </c>
      <c r="E4468" t="str">
        <f>IFERROR(__xludf.DUMMYFUNCTION("""COMPUTED_VALUE"""),"Stevie")</f>
        <v>Stevie</v>
      </c>
      <c r="F4468">
        <f>IFERROR(__xludf.DUMMYFUNCTION("""COMPUTED_VALUE"""),13.4)</f>
        <v>13.4</v>
      </c>
    </row>
    <row r="4469">
      <c r="D4469" t="str">
        <f>IFERROR(__xludf.DUMMYFUNCTION("""COMPUTED_VALUE"""),"Tuitt")</f>
        <v>Tuitt</v>
      </c>
      <c r="E4469" t="str">
        <f>IFERROR(__xludf.DUMMYFUNCTION("""COMPUTED_VALUE"""),"Stephon")</f>
        <v>Stephon</v>
      </c>
      <c r="F4469">
        <f>IFERROR(__xludf.DUMMYFUNCTION("""COMPUTED_VALUE"""),16.6)</f>
        <v>16.6</v>
      </c>
    </row>
    <row r="4470">
      <c r="D4470" t="str">
        <f>IFERROR(__xludf.DUMMYFUNCTION("""COMPUTED_VALUE"""),"Tunsil")</f>
        <v>Tunsil</v>
      </c>
      <c r="E4470" t="str">
        <f>IFERROR(__xludf.DUMMYFUNCTION("""COMPUTED_VALUE"""),"Laremy")</f>
        <v>Laremy</v>
      </c>
      <c r="F4470">
        <f>IFERROR(__xludf.DUMMYFUNCTION("""COMPUTED_VALUE"""),15.600000000000001)</f>
        <v>15.6</v>
      </c>
    </row>
    <row r="4471">
      <c r="D4471" t="str">
        <f>IFERROR(__xludf.DUMMYFUNCTION("""COMPUTED_VALUE"""),"Turbin")</f>
        <v>Turbin</v>
      </c>
      <c r="E4471" t="str">
        <f>IFERROR(__xludf.DUMMYFUNCTION("""COMPUTED_VALUE"""),"Robert")</f>
        <v>Robert</v>
      </c>
      <c r="F4471">
        <f>IFERROR(__xludf.DUMMYFUNCTION("""COMPUTED_VALUE"""),15.200000000000001)</f>
        <v>15.2</v>
      </c>
    </row>
    <row r="4472">
      <c r="D4472" t="str">
        <f>IFERROR(__xludf.DUMMYFUNCTION("""COMPUTED_VALUE"""),"Turner")</f>
        <v>Turner</v>
      </c>
      <c r="E4472" t="str">
        <f>IFERROR(__xludf.DUMMYFUNCTION("""COMPUTED_VALUE"""),"Billy")</f>
        <v>Billy</v>
      </c>
      <c r="F4472">
        <f>IFERROR(__xludf.DUMMYFUNCTION("""COMPUTED_VALUE"""),13.600000000000001)</f>
        <v>13.6</v>
      </c>
    </row>
    <row r="4473">
      <c r="D4473" t="str">
        <f>IFERROR(__xludf.DUMMYFUNCTION("""COMPUTED_VALUE"""),"Turner")</f>
        <v>Turner</v>
      </c>
      <c r="E4473" t="str">
        <f>IFERROR(__xludf.DUMMYFUNCTION("""COMPUTED_VALUE"""),"Landon")</f>
        <v>Landon</v>
      </c>
      <c r="F4473">
        <f>IFERROR(__xludf.DUMMYFUNCTION("""COMPUTED_VALUE"""),12.0)</f>
        <v>12</v>
      </c>
    </row>
    <row r="4474">
      <c r="D4474" t="str">
        <f>IFERROR(__xludf.DUMMYFUNCTION("""COMPUTED_VALUE"""),"Turner")</f>
        <v>Turner</v>
      </c>
      <c r="E4474" t="str">
        <f>IFERROR(__xludf.DUMMYFUNCTION("""COMPUTED_VALUE"""),"Paul")</f>
        <v>Paul</v>
      </c>
      <c r="F4474">
        <f>IFERROR(__xludf.DUMMYFUNCTION("""COMPUTED_VALUE"""),13.200000000000001)</f>
        <v>13.2</v>
      </c>
    </row>
    <row r="4475">
      <c r="D4475" t="str">
        <f>IFERROR(__xludf.DUMMYFUNCTION("""COMPUTED_VALUE"""),"Turner")</f>
        <v>Turner</v>
      </c>
      <c r="E4475" t="str">
        <f>IFERROR(__xludf.DUMMYFUNCTION("""COMPUTED_VALUE"""),"Trai")</f>
        <v>Trai</v>
      </c>
      <c r="F4475">
        <f>IFERROR(__xludf.DUMMYFUNCTION("""COMPUTED_VALUE"""),15.4)</f>
        <v>15.4</v>
      </c>
    </row>
    <row r="4476">
      <c r="D4476" t="str">
        <f>IFERROR(__xludf.DUMMYFUNCTION("""COMPUTED_VALUE"""),"Tye")</f>
        <v>Tye</v>
      </c>
      <c r="E4476" t="str">
        <f>IFERROR(__xludf.DUMMYFUNCTION("""COMPUTED_VALUE"""),"Will")</f>
        <v>Will</v>
      </c>
      <c r="F4476">
        <f>IFERROR(__xludf.DUMMYFUNCTION("""COMPUTED_VALUE"""),15.0)</f>
        <v>15</v>
      </c>
    </row>
    <row r="4477">
      <c r="D4477" t="str">
        <f>IFERROR(__xludf.DUMMYFUNCTION("""COMPUTED_VALUE"""),"Tyson")</f>
        <v>Tyson</v>
      </c>
      <c r="E4477" t="str">
        <f>IFERROR(__xludf.DUMMYFUNCTION("""COMPUTED_VALUE"""),"Michael")</f>
        <v>Michael</v>
      </c>
      <c r="F4477">
        <f>IFERROR(__xludf.DUMMYFUNCTION("""COMPUTED_VALUE"""),13.0)</f>
        <v>13</v>
      </c>
    </row>
    <row r="4478">
      <c r="D4478" t="str">
        <f>IFERROR(__xludf.DUMMYFUNCTION("""COMPUTED_VALUE"""),"Ugokwe")</f>
        <v>Ugokwe</v>
      </c>
      <c r="E4478" t="str">
        <f>IFERROR(__xludf.DUMMYFUNCTION("""COMPUTED_VALUE"""),"Jerry")</f>
        <v>Jerry</v>
      </c>
      <c r="F4478">
        <f>IFERROR(__xludf.DUMMYFUNCTION("""COMPUTED_VALUE"""),12.4)</f>
        <v>12.4</v>
      </c>
    </row>
    <row r="4479">
      <c r="D4479" t="str">
        <f>IFERROR(__xludf.DUMMYFUNCTION("""COMPUTED_VALUE"""),"Unger")</f>
        <v>Unger</v>
      </c>
      <c r="E4479" t="str">
        <f>IFERROR(__xludf.DUMMYFUNCTION("""COMPUTED_VALUE"""),"Max")</f>
        <v>Max</v>
      </c>
      <c r="F4479">
        <f>IFERROR(__xludf.DUMMYFUNCTION("""COMPUTED_VALUE"""),16.8)</f>
        <v>16.8</v>
      </c>
    </row>
    <row r="4480">
      <c r="D4480" t="str">
        <f>IFERROR(__xludf.DUMMYFUNCTION("""COMPUTED_VALUE"""),"Unrein")</f>
        <v>Unrein</v>
      </c>
      <c r="E4480" t="str">
        <f>IFERROR(__xludf.DUMMYFUNCTION("""COMPUTED_VALUE"""),"Mitch")</f>
        <v>Mitch</v>
      </c>
      <c r="F4480">
        <f>IFERROR(__xludf.DUMMYFUNCTION("""COMPUTED_VALUE"""),14.200000000000001)</f>
        <v>14.2</v>
      </c>
    </row>
    <row r="4481">
      <c r="D4481" t="str">
        <f>IFERROR(__xludf.DUMMYFUNCTION("""COMPUTED_VALUE"""),"Upshaw")</f>
        <v>Upshaw</v>
      </c>
      <c r="E4481" t="str">
        <f>IFERROR(__xludf.DUMMYFUNCTION("""COMPUTED_VALUE"""),"Courtney")</f>
        <v>Courtney</v>
      </c>
      <c r="F4481">
        <f>IFERROR(__xludf.DUMMYFUNCTION("""COMPUTED_VALUE"""),14.600000000000001)</f>
        <v>14.6</v>
      </c>
    </row>
    <row r="4482">
      <c r="D4482" t="str">
        <f>IFERROR(__xludf.DUMMYFUNCTION("""COMPUTED_VALUE"""),"Urban")</f>
        <v>Urban</v>
      </c>
      <c r="E4482" t="str">
        <f>IFERROR(__xludf.DUMMYFUNCTION("""COMPUTED_VALUE"""),"Brent")</f>
        <v>Brent</v>
      </c>
      <c r="F4482">
        <f>IFERROR(__xludf.DUMMYFUNCTION("""COMPUTED_VALUE"""),13.8)</f>
        <v>13.8</v>
      </c>
    </row>
    <row r="4483">
      <c r="D4483" t="str">
        <f>IFERROR(__xludf.DUMMYFUNCTION("""COMPUTED_VALUE"""),"Urbik")</f>
        <v>Urbik</v>
      </c>
      <c r="E4483" t="str">
        <f>IFERROR(__xludf.DUMMYFUNCTION("""COMPUTED_VALUE"""),"Kraig")</f>
        <v>Kraig</v>
      </c>
      <c r="F4483">
        <f>IFERROR(__xludf.DUMMYFUNCTION("""COMPUTED_VALUE"""),13.8)</f>
        <v>13.8</v>
      </c>
    </row>
    <row r="4484">
      <c r="D4484" t="str">
        <f>IFERROR(__xludf.DUMMYFUNCTION("""COMPUTED_VALUE"""),"Urschel")</f>
        <v>Urschel</v>
      </c>
      <c r="E4484" t="str">
        <f>IFERROR(__xludf.DUMMYFUNCTION("""COMPUTED_VALUE"""),"John")</f>
        <v>John</v>
      </c>
      <c r="F4484">
        <f>IFERROR(__xludf.DUMMYFUNCTION("""COMPUTED_VALUE"""),14.4)</f>
        <v>14.4</v>
      </c>
    </row>
    <row r="4485">
      <c r="D4485" t="str">
        <f>IFERROR(__xludf.DUMMYFUNCTION("""COMPUTED_VALUE"""),"Uzomah")</f>
        <v>Uzomah</v>
      </c>
      <c r="E4485" t="str">
        <f>IFERROR(__xludf.DUMMYFUNCTION("""COMPUTED_VALUE"""),"CJ")</f>
        <v>CJ</v>
      </c>
      <c r="F4485">
        <f>IFERROR(__xludf.DUMMYFUNCTION("""COMPUTED_VALUE"""),13.8)</f>
        <v>13.8</v>
      </c>
    </row>
    <row r="4486">
      <c r="D4486" t="str">
        <f>IFERROR(__xludf.DUMMYFUNCTION("""COMPUTED_VALUE"""),"Vaccaro")</f>
        <v>Vaccaro</v>
      </c>
      <c r="E4486" t="str">
        <f>IFERROR(__xludf.DUMMYFUNCTION("""COMPUTED_VALUE"""),"Kenny")</f>
        <v>Kenny</v>
      </c>
      <c r="F4486">
        <f>IFERROR(__xludf.DUMMYFUNCTION("""COMPUTED_VALUE"""),16.400000000000002)</f>
        <v>16.4</v>
      </c>
    </row>
    <row r="4487">
      <c r="D4487" t="str">
        <f>IFERROR(__xludf.DUMMYFUNCTION("""COMPUTED_VALUE"""),"Vaeao")</f>
        <v>Vaeao</v>
      </c>
      <c r="E4487" t="str">
        <f>IFERROR(__xludf.DUMMYFUNCTION("""COMPUTED_VALUE"""),"Destiny")</f>
        <v>Destiny</v>
      </c>
      <c r="F4487">
        <f>IFERROR(__xludf.DUMMYFUNCTION("""COMPUTED_VALUE"""),12.8)</f>
        <v>12.8</v>
      </c>
    </row>
    <row r="4488">
      <c r="D4488" t="str">
        <f>IFERROR(__xludf.DUMMYFUNCTION("""COMPUTED_VALUE"""),"Vaitai")</f>
        <v>Vaitai</v>
      </c>
      <c r="E4488" t="str">
        <f>IFERROR(__xludf.DUMMYFUNCTION("""COMPUTED_VALUE"""),"Hal")</f>
        <v>Hal</v>
      </c>
      <c r="F4488">
        <f>IFERROR(__xludf.DUMMYFUNCTION("""COMPUTED_VALUE"""),14.0)</f>
        <v>14</v>
      </c>
    </row>
    <row r="4489">
      <c r="D4489" t="str">
        <f>IFERROR(__xludf.DUMMYFUNCTION("""COMPUTED_VALUE"""),"Valentine")</f>
        <v>Valentine</v>
      </c>
      <c r="E4489" t="str">
        <f>IFERROR(__xludf.DUMMYFUNCTION("""COMPUTED_VALUE"""),"Vincent")</f>
        <v>Vincent</v>
      </c>
      <c r="F4489">
        <f>IFERROR(__xludf.DUMMYFUNCTION("""COMPUTED_VALUE"""),14.0)</f>
        <v>14</v>
      </c>
    </row>
    <row r="4490">
      <c r="D4490" t="str">
        <f>IFERROR(__xludf.DUMMYFUNCTION("""COMPUTED_VALUE"""),"Vallejo")</f>
        <v>Vallejo</v>
      </c>
      <c r="E4490" t="str">
        <f>IFERROR(__xludf.DUMMYFUNCTION("""COMPUTED_VALUE"""),"Tanner")</f>
        <v>Tanner</v>
      </c>
      <c r="F4490">
        <f>IFERROR(__xludf.DUMMYFUNCTION("""COMPUTED_VALUE"""),12.600000000000001)</f>
        <v>12.6</v>
      </c>
    </row>
    <row r="4491">
      <c r="D4491" t="str">
        <f>IFERROR(__xludf.DUMMYFUNCTION("""COMPUTED_VALUE"""),"Valles")</f>
        <v>Valles</v>
      </c>
      <c r="E4491" t="str">
        <f>IFERROR(__xludf.DUMMYFUNCTION("""COMPUTED_VALUE"""),"Hakeem")</f>
        <v>Hakeem</v>
      </c>
      <c r="F4491">
        <f>IFERROR(__xludf.DUMMYFUNCTION("""COMPUTED_VALUE"""),12.600000000000001)</f>
        <v>12.6</v>
      </c>
    </row>
    <row r="4492">
      <c r="D4492" t="str">
        <f>IFERROR(__xludf.DUMMYFUNCTION("""COMPUTED_VALUE"""),"Valles")</f>
        <v>Valles</v>
      </c>
      <c r="E4492" t="str">
        <f>IFERROR(__xludf.DUMMYFUNCTION("""COMPUTED_VALUE"""),"Max")</f>
        <v>Max</v>
      </c>
      <c r="F4492">
        <f>IFERROR(__xludf.DUMMYFUNCTION("""COMPUTED_VALUE"""),12.600000000000001)</f>
        <v>12.6</v>
      </c>
    </row>
    <row r="4493">
      <c r="D4493" t="str">
        <f>IFERROR(__xludf.DUMMYFUNCTION("""COMPUTED_VALUE"""),"Van Noy")</f>
        <v>Van Noy</v>
      </c>
      <c r="E4493" t="str">
        <f>IFERROR(__xludf.DUMMYFUNCTION("""COMPUTED_VALUE"""),"Kyle")</f>
        <v>Kyle</v>
      </c>
      <c r="F4493">
        <f>IFERROR(__xludf.DUMMYFUNCTION("""COMPUTED_VALUE"""),14.200000000000001)</f>
        <v>14.2</v>
      </c>
    </row>
    <row r="4494">
      <c r="D4494" t="str">
        <f>IFERROR(__xludf.DUMMYFUNCTION("""COMPUTED_VALUE"""),"Vanderdoes")</f>
        <v>Vanderdoes</v>
      </c>
      <c r="E4494" t="str">
        <f>IFERROR(__xludf.DUMMYFUNCTION("""COMPUTED_VALUE"""),"Eddie")</f>
        <v>Eddie</v>
      </c>
      <c r="F4494">
        <f>IFERROR(__xludf.DUMMYFUNCTION("""COMPUTED_VALUE"""),13.8)</f>
        <v>13.8</v>
      </c>
    </row>
    <row r="4495">
      <c r="D4495" t="str">
        <f>IFERROR(__xludf.DUMMYFUNCTION("""COMPUTED_VALUE"""),"Vannett")</f>
        <v>Vannett</v>
      </c>
      <c r="E4495" t="str">
        <f>IFERROR(__xludf.DUMMYFUNCTION("""COMPUTED_VALUE"""),"Nick")</f>
        <v>Nick</v>
      </c>
      <c r="F4495">
        <f>IFERROR(__xludf.DUMMYFUNCTION("""COMPUTED_VALUE"""),14.0)</f>
        <v>14</v>
      </c>
    </row>
    <row r="4496">
      <c r="D4496" t="str">
        <f>IFERROR(__xludf.DUMMYFUNCTION("""COMPUTED_VALUE"""),"Vaughan")</f>
        <v>Vaughan</v>
      </c>
      <c r="E4496" t="str">
        <f>IFERROR(__xludf.DUMMYFUNCTION("""COMPUTED_VALUE"""),"Dustin")</f>
        <v>Dustin</v>
      </c>
      <c r="F4496">
        <f>IFERROR(__xludf.DUMMYFUNCTION("""COMPUTED_VALUE"""),12.0)</f>
        <v>12</v>
      </c>
    </row>
    <row r="4497">
      <c r="D4497" t="str">
        <f>IFERROR(__xludf.DUMMYFUNCTION("""COMPUTED_VALUE"""),"Veldheer")</f>
        <v>Veldheer</v>
      </c>
      <c r="E4497" t="str">
        <f>IFERROR(__xludf.DUMMYFUNCTION("""COMPUTED_VALUE"""),"Jared")</f>
        <v>Jared</v>
      </c>
      <c r="F4497">
        <f>IFERROR(__xludf.DUMMYFUNCTION("""COMPUTED_VALUE"""),16.8)</f>
        <v>16.8</v>
      </c>
    </row>
    <row r="4498">
      <c r="D4498" t="str">
        <f>IFERROR(__xludf.DUMMYFUNCTION("""COMPUTED_VALUE"""),"Vellano")</f>
        <v>Vellano</v>
      </c>
      <c r="E4498" t="str">
        <f>IFERROR(__xludf.DUMMYFUNCTION("""COMPUTED_VALUE"""),"Joe")</f>
        <v>Joe</v>
      </c>
      <c r="F4498">
        <f>IFERROR(__xludf.DUMMYFUNCTION("""COMPUTED_VALUE"""),13.600000000000001)</f>
        <v>13.6</v>
      </c>
    </row>
    <row r="4499">
      <c r="D4499" t="str">
        <f>IFERROR(__xludf.DUMMYFUNCTION("""COMPUTED_VALUE"""),"Vereen")</f>
        <v>Vereen</v>
      </c>
      <c r="E4499" t="str">
        <f>IFERROR(__xludf.DUMMYFUNCTION("""COMPUTED_VALUE"""),"Shane")</f>
        <v>Shane</v>
      </c>
      <c r="F4499">
        <f>IFERROR(__xludf.DUMMYFUNCTION("""COMPUTED_VALUE"""),16.400000000000002)</f>
        <v>16.4</v>
      </c>
    </row>
    <row r="4500">
      <c r="D4500" t="str">
        <f>IFERROR(__xludf.DUMMYFUNCTION("""COMPUTED_VALUE"""),"Vernon")</f>
        <v>Vernon</v>
      </c>
      <c r="E4500" t="str">
        <f>IFERROR(__xludf.DUMMYFUNCTION("""COMPUTED_VALUE"""),"Olivier")</f>
        <v>Olivier</v>
      </c>
      <c r="F4500">
        <f>IFERROR(__xludf.DUMMYFUNCTION("""COMPUTED_VALUE"""),17.6)</f>
        <v>17.6</v>
      </c>
    </row>
    <row r="4501">
      <c r="D4501" t="str">
        <f>IFERROR(__xludf.DUMMYFUNCTION("""COMPUTED_VALUE"""),"Verrett")</f>
        <v>Verrett</v>
      </c>
      <c r="E4501" t="str">
        <f>IFERROR(__xludf.DUMMYFUNCTION("""COMPUTED_VALUE"""),"Jason")</f>
        <v>Jason</v>
      </c>
      <c r="F4501">
        <f>IFERROR(__xludf.DUMMYFUNCTION("""COMPUTED_VALUE"""),17.2)</f>
        <v>17.2</v>
      </c>
    </row>
    <row r="4502">
      <c r="D4502" t="str">
        <f>IFERROR(__xludf.DUMMYFUNCTION("""COMPUTED_VALUE"""),"Vigil")</f>
        <v>Vigil</v>
      </c>
      <c r="E4502" t="str">
        <f>IFERROR(__xludf.DUMMYFUNCTION("""COMPUTED_VALUE"""),"Nick")</f>
        <v>Nick</v>
      </c>
      <c r="F4502">
        <f>IFERROR(__xludf.DUMMYFUNCTION("""COMPUTED_VALUE"""),13.4)</f>
        <v>13.4</v>
      </c>
    </row>
    <row r="4503">
      <c r="D4503" t="str">
        <f>IFERROR(__xludf.DUMMYFUNCTION("""COMPUTED_VALUE"""),"Vigil")</f>
        <v>Vigil</v>
      </c>
      <c r="E4503" t="str">
        <f>IFERROR(__xludf.DUMMYFUNCTION("""COMPUTED_VALUE"""),"Zach")</f>
        <v>Zach</v>
      </c>
      <c r="F4503">
        <f>IFERROR(__xludf.DUMMYFUNCTION("""COMPUTED_VALUE"""),12.4)</f>
        <v>12.4</v>
      </c>
    </row>
    <row r="4504">
      <c r="D4504" t="str">
        <f>IFERROR(__xludf.DUMMYFUNCTION("""COMPUTED_VALUE"""),"Villanueva")</f>
        <v>Villanueva</v>
      </c>
      <c r="E4504" t="str">
        <f>IFERROR(__xludf.DUMMYFUNCTION("""COMPUTED_VALUE"""),"Alejandro")</f>
        <v>Alejandro</v>
      </c>
      <c r="F4504">
        <f>IFERROR(__xludf.DUMMYFUNCTION("""COMPUTED_VALUE"""),16.2)</f>
        <v>16.2</v>
      </c>
    </row>
    <row r="4505">
      <c r="D4505" t="str">
        <f>IFERROR(__xludf.DUMMYFUNCTION("""COMPUTED_VALUE"""),"Vinatieri")</f>
        <v>Vinatieri</v>
      </c>
      <c r="E4505" t="str">
        <f>IFERROR(__xludf.DUMMYFUNCTION("""COMPUTED_VALUE"""),"Adam")</f>
        <v>Adam</v>
      </c>
      <c r="F4505">
        <f>IFERROR(__xludf.DUMMYFUNCTION("""COMPUTED_VALUE"""),16.8)</f>
        <v>16.8</v>
      </c>
    </row>
    <row r="4506">
      <c r="D4506" t="str">
        <f>IFERROR(__xludf.DUMMYFUNCTION("""COMPUTED_VALUE"""),"Virgin")</f>
        <v>Virgin</v>
      </c>
      <c r="E4506" t="str">
        <f>IFERROR(__xludf.DUMMYFUNCTION("""COMPUTED_VALUE"""),"Dee")</f>
        <v>Dee</v>
      </c>
      <c r="F4506">
        <f>IFERROR(__xludf.DUMMYFUNCTION("""COMPUTED_VALUE"""),12.4)</f>
        <v>12.4</v>
      </c>
    </row>
    <row r="4507">
      <c r="D4507" t="str">
        <f>IFERROR(__xludf.DUMMYFUNCTION("""COMPUTED_VALUE"""),"Vitale")</f>
        <v>Vitale</v>
      </c>
      <c r="E4507" t="str">
        <f>IFERROR(__xludf.DUMMYFUNCTION("""COMPUTED_VALUE"""),"Danny")</f>
        <v>Danny</v>
      </c>
      <c r="F4507">
        <f>IFERROR(__xludf.DUMMYFUNCTION("""COMPUTED_VALUE"""),14.0)</f>
        <v>14</v>
      </c>
    </row>
    <row r="4508">
      <c r="D4508" t="str">
        <f>IFERROR(__xludf.DUMMYFUNCTION("""COMPUTED_VALUE"""),"Vogel")</f>
        <v>Vogel</v>
      </c>
      <c r="E4508" t="str">
        <f>IFERROR(__xludf.DUMMYFUNCTION("""COMPUTED_VALUE"""),"Justin")</f>
        <v>Justin</v>
      </c>
      <c r="F4508">
        <f>IFERROR(__xludf.DUMMYFUNCTION("""COMPUTED_VALUE"""),15.0)</f>
        <v>15</v>
      </c>
    </row>
    <row r="4509">
      <c r="D4509" t="str">
        <f>IFERROR(__xludf.DUMMYFUNCTION("""COMPUTED_VALUE"""),"Vujnovich")</f>
        <v>Vujnovich</v>
      </c>
      <c r="E4509" t="str">
        <f>IFERROR(__xludf.DUMMYFUNCTION("""COMPUTED_VALUE"""),"Jeremy")</f>
        <v>Jeremy</v>
      </c>
      <c r="F4509">
        <f>IFERROR(__xludf.DUMMYFUNCTION("""COMPUTED_VALUE"""),12.8)</f>
        <v>12.8</v>
      </c>
    </row>
    <row r="4510">
      <c r="D4510" t="str">
        <f>IFERROR(__xludf.DUMMYFUNCTION("""COMPUTED_VALUE"""),"Waddle")</f>
        <v>Waddle</v>
      </c>
      <c r="E4510" t="str">
        <f>IFERROR(__xludf.DUMMYFUNCTION("""COMPUTED_VALUE"""),"LaAdrian")</f>
        <v>LaAdrian</v>
      </c>
      <c r="F4510">
        <f>IFERROR(__xludf.DUMMYFUNCTION("""COMPUTED_VALUE"""),13.600000000000001)</f>
        <v>13.6</v>
      </c>
    </row>
    <row r="4511">
      <c r="D4511" t="str">
        <f>IFERROR(__xludf.DUMMYFUNCTION("""COMPUTED_VALUE"""),"Wagner")</f>
        <v>Wagner</v>
      </c>
      <c r="E4511" t="str">
        <f>IFERROR(__xludf.DUMMYFUNCTION("""COMPUTED_VALUE"""),"Bobby")</f>
        <v>Bobby</v>
      </c>
      <c r="F4511">
        <f>IFERROR(__xludf.DUMMYFUNCTION("""COMPUTED_VALUE"""),18.6)</f>
        <v>18.6</v>
      </c>
    </row>
    <row r="4512">
      <c r="D4512" t="str">
        <f>IFERROR(__xludf.DUMMYFUNCTION("""COMPUTED_VALUE"""),"Wagner")</f>
        <v>Wagner</v>
      </c>
      <c r="E4512" t="str">
        <f>IFERROR(__xludf.DUMMYFUNCTION("""COMPUTED_VALUE"""),"Rick")</f>
        <v>Rick</v>
      </c>
      <c r="F4512">
        <f>IFERROR(__xludf.DUMMYFUNCTION("""COMPUTED_VALUE"""),16.6)</f>
        <v>16.6</v>
      </c>
    </row>
    <row r="4513">
      <c r="D4513" t="str">
        <f>IFERROR(__xludf.DUMMYFUNCTION("""COMPUTED_VALUE"""),"Wake")</f>
        <v>Wake</v>
      </c>
      <c r="E4513" t="str">
        <f>IFERROR(__xludf.DUMMYFUNCTION("""COMPUTED_VALUE"""),"Cameron")</f>
        <v>Cameron</v>
      </c>
      <c r="F4513">
        <f>IFERROR(__xludf.DUMMYFUNCTION("""COMPUTED_VALUE"""),17.8)</f>
        <v>17.8</v>
      </c>
    </row>
    <row r="4514">
      <c r="D4514" t="str">
        <f>IFERROR(__xludf.DUMMYFUNCTION("""COMPUTED_VALUE"""),"Walford")</f>
        <v>Walford</v>
      </c>
      <c r="E4514" t="str">
        <f>IFERROR(__xludf.DUMMYFUNCTION("""COMPUTED_VALUE"""),"Clive")</f>
        <v>Clive</v>
      </c>
      <c r="F4514">
        <f>IFERROR(__xludf.DUMMYFUNCTION("""COMPUTED_VALUE"""),15.0)</f>
        <v>15</v>
      </c>
    </row>
    <row r="4515">
      <c r="D4515" t="str">
        <f>IFERROR(__xludf.DUMMYFUNCTION("""COMPUTED_VALUE"""),"Walker")</f>
        <v>Walker</v>
      </c>
      <c r="E4515" t="str">
        <f>IFERROR(__xludf.DUMMYFUNCTION("""COMPUTED_VALUE"""),"Delanie")</f>
        <v>Delanie</v>
      </c>
      <c r="F4515">
        <f>IFERROR(__xludf.DUMMYFUNCTION("""COMPUTED_VALUE"""),18.6)</f>
        <v>18.6</v>
      </c>
    </row>
    <row r="4516">
      <c r="D4516" t="str">
        <f>IFERROR(__xludf.DUMMYFUNCTION("""COMPUTED_VALUE"""),"Walker")</f>
        <v>Walker</v>
      </c>
      <c r="E4516" t="str">
        <f>IFERROR(__xludf.DUMMYFUNCTION("""COMPUTED_VALUE"""),"DeMarcus")</f>
        <v>DeMarcus</v>
      </c>
      <c r="F4516">
        <f>IFERROR(__xludf.DUMMYFUNCTION("""COMPUTED_VALUE"""),14.0)</f>
        <v>14</v>
      </c>
    </row>
    <row r="4517">
      <c r="D4517" t="str">
        <f>IFERROR(__xludf.DUMMYFUNCTION("""COMPUTED_VALUE"""),"Walker")</f>
        <v>Walker</v>
      </c>
      <c r="E4517" t="str">
        <f>IFERROR(__xludf.DUMMYFUNCTION("""COMPUTED_VALUE"""),"Joe")</f>
        <v>Joe</v>
      </c>
      <c r="F4517">
        <f>IFERROR(__xludf.DUMMYFUNCTION("""COMPUTED_VALUE"""),12.0)</f>
        <v>12</v>
      </c>
    </row>
    <row r="4518">
      <c r="D4518" t="str">
        <f>IFERROR(__xludf.DUMMYFUNCTION("""COMPUTED_VALUE"""),"Walker")</f>
        <v>Walker</v>
      </c>
      <c r="E4518" t="str">
        <f>IFERROR(__xludf.DUMMYFUNCTION("""COMPUTED_VALUE"""),"Josh")</f>
        <v>Josh</v>
      </c>
      <c r="F4518">
        <f>IFERROR(__xludf.DUMMYFUNCTION("""COMPUTED_VALUE"""),12.4)</f>
        <v>12.4</v>
      </c>
    </row>
    <row r="4519">
      <c r="D4519" t="str">
        <f>IFERROR(__xludf.DUMMYFUNCTION("""COMPUTED_VALUE"""),"Walker Jr")</f>
        <v>Walker Jr</v>
      </c>
      <c r="E4519" t="str">
        <f>IFERROR(__xludf.DUMMYFUNCTION("""COMPUTED_VALUE"""),"Anthony")</f>
        <v>Anthony</v>
      </c>
      <c r="F4519">
        <f>IFERROR(__xludf.DUMMYFUNCTION("""COMPUTED_VALUE"""),13.200000000000001)</f>
        <v>13.2</v>
      </c>
    </row>
    <row r="4520">
      <c r="D4520" t="str">
        <f>IFERROR(__xludf.DUMMYFUNCTION("""COMPUTED_VALUE"""),"Wallace")</f>
        <v>Wallace</v>
      </c>
      <c r="E4520" t="str">
        <f>IFERROR(__xludf.DUMMYFUNCTION("""COMPUTED_VALUE"""),"Aaron")</f>
        <v>Aaron</v>
      </c>
      <c r="F4520">
        <f>IFERROR(__xludf.DUMMYFUNCTION("""COMPUTED_VALUE"""),12.8)</f>
        <v>12.8</v>
      </c>
    </row>
    <row r="4521">
      <c r="D4521" t="str">
        <f>IFERROR(__xludf.DUMMYFUNCTION("""COMPUTED_VALUE"""),"Wallace")</f>
        <v>Wallace</v>
      </c>
      <c r="E4521" t="str">
        <f>IFERROR(__xludf.DUMMYFUNCTION("""COMPUTED_VALUE"""),"Mike")</f>
        <v>Mike</v>
      </c>
      <c r="F4521">
        <f>IFERROR(__xludf.DUMMYFUNCTION("""COMPUTED_VALUE"""),16.400000000000002)</f>
        <v>16.4</v>
      </c>
    </row>
    <row r="4522">
      <c r="D4522" t="str">
        <f>IFERROR(__xludf.DUMMYFUNCTION("""COMPUTED_VALUE"""),"Waller")</f>
        <v>Waller</v>
      </c>
      <c r="E4522" t="str">
        <f>IFERROR(__xludf.DUMMYFUNCTION("""COMPUTED_VALUE"""),"Darren")</f>
        <v>Darren</v>
      </c>
      <c r="F4522">
        <f>IFERROR(__xludf.DUMMYFUNCTION("""COMPUTED_VALUE"""),13.600000000000001)</f>
        <v>13.6</v>
      </c>
    </row>
    <row r="4523">
      <c r="D4523" t="str">
        <f>IFERROR(__xludf.DUMMYFUNCTION("""COMPUTED_VALUE"""),"Walsh")</f>
        <v>Walsh</v>
      </c>
      <c r="E4523" t="str">
        <f>IFERROR(__xludf.DUMMYFUNCTION("""COMPUTED_VALUE"""),"Blair")</f>
        <v>Blair</v>
      </c>
      <c r="F4523">
        <f>IFERROR(__xludf.DUMMYFUNCTION("""COMPUTED_VALUE"""),14.4)</f>
        <v>14.4</v>
      </c>
    </row>
    <row r="4524">
      <c r="D4524" t="str">
        <f>IFERROR(__xludf.DUMMYFUNCTION("""COMPUTED_VALUE"""),"Walton")</f>
        <v>Walton</v>
      </c>
      <c r="E4524" t="str">
        <f>IFERROR(__xludf.DUMMYFUNCTION("""COMPUTED_VALUE"""),"LT")</f>
        <v>LT</v>
      </c>
      <c r="F4524">
        <f>IFERROR(__xludf.DUMMYFUNCTION("""COMPUTED_VALUE"""),12.200000000000001)</f>
        <v>12.2</v>
      </c>
    </row>
    <row r="4525">
      <c r="D4525" t="str">
        <f>IFERROR(__xludf.DUMMYFUNCTION("""COMPUTED_VALUE"""),"Ward")</f>
        <v>Ward</v>
      </c>
      <c r="E4525" t="str">
        <f>IFERROR(__xludf.DUMMYFUNCTION("""COMPUTED_VALUE"""),"Channing")</f>
        <v>Channing</v>
      </c>
      <c r="F4525">
        <f>IFERROR(__xludf.DUMMYFUNCTION("""COMPUTED_VALUE"""),12.0)</f>
        <v>12</v>
      </c>
    </row>
    <row r="4526">
      <c r="D4526" t="str">
        <f>IFERROR(__xludf.DUMMYFUNCTION("""COMPUTED_VALUE"""),"Ward")</f>
        <v>Ward</v>
      </c>
      <c r="E4526" t="str">
        <f>IFERROR(__xludf.DUMMYFUNCTION("""COMPUTED_VALUE"""),"Jihad")</f>
        <v>Jihad</v>
      </c>
      <c r="F4526">
        <f>IFERROR(__xludf.DUMMYFUNCTION("""COMPUTED_VALUE"""),14.4)</f>
        <v>14.4</v>
      </c>
    </row>
    <row r="4527">
      <c r="D4527" t="str">
        <f>IFERROR(__xludf.DUMMYFUNCTION("""COMPUTED_VALUE"""),"Ward")</f>
        <v>Ward</v>
      </c>
      <c r="E4527" t="str">
        <f>IFERROR(__xludf.DUMMYFUNCTION("""COMPUTED_VALUE"""),"Jimmie")</f>
        <v>Jimmie</v>
      </c>
      <c r="F4527">
        <f>IFERROR(__xludf.DUMMYFUNCTION("""COMPUTED_VALUE"""),16.0)</f>
        <v>16</v>
      </c>
    </row>
    <row r="4528">
      <c r="D4528" t="str">
        <f>IFERROR(__xludf.DUMMYFUNCTION("""COMPUTED_VALUE"""),"Ward")</f>
        <v>Ward</v>
      </c>
      <c r="E4528" t="str">
        <f>IFERROR(__xludf.DUMMYFUNCTION("""COMPUTED_VALUE"""),"Terron")</f>
        <v>Terron</v>
      </c>
      <c r="F4528">
        <f>IFERROR(__xludf.DUMMYFUNCTION("""COMPUTED_VALUE"""),13.600000000000001)</f>
        <v>13.6</v>
      </c>
    </row>
    <row r="4529">
      <c r="D4529" t="str">
        <f>IFERROR(__xludf.DUMMYFUNCTION("""COMPUTED_VALUE"""),"Ward")</f>
        <v>Ward</v>
      </c>
      <c r="E4529" t="str">
        <f>IFERROR(__xludf.DUMMYFUNCTION("""COMPUTED_VALUE"""),"TJ")</f>
        <v>TJ</v>
      </c>
      <c r="F4529">
        <f>IFERROR(__xludf.DUMMYFUNCTION("""COMPUTED_VALUE"""),16.2)</f>
        <v>16.2</v>
      </c>
    </row>
    <row r="4530">
      <c r="D4530" t="str">
        <f>IFERROR(__xludf.DUMMYFUNCTION("""COMPUTED_VALUE"""),"Ware")</f>
        <v>Ware</v>
      </c>
      <c r="E4530" t="str">
        <f>IFERROR(__xludf.DUMMYFUNCTION("""COMPUTED_VALUE"""),"Jylan")</f>
        <v>Jylan</v>
      </c>
      <c r="F4530">
        <f>IFERROR(__xludf.DUMMYFUNCTION("""COMPUTED_VALUE"""),13.200000000000001)</f>
        <v>13.2</v>
      </c>
    </row>
    <row r="4531">
      <c r="D4531" t="str">
        <f>IFERROR(__xludf.DUMMYFUNCTION("""COMPUTED_VALUE"""),"Ware")</f>
        <v>Ware</v>
      </c>
      <c r="E4531" t="str">
        <f>IFERROR(__xludf.DUMMYFUNCTION("""COMPUTED_VALUE"""),"Spencer")</f>
        <v>Spencer</v>
      </c>
      <c r="F4531">
        <f>IFERROR(__xludf.DUMMYFUNCTION("""COMPUTED_VALUE"""),16.400000000000002)</f>
        <v>16.4</v>
      </c>
    </row>
    <row r="4532">
      <c r="D4532" t="str">
        <f>IFERROR(__xludf.DUMMYFUNCTION("""COMPUTED_VALUE"""),"Warford")</f>
        <v>Warford</v>
      </c>
      <c r="E4532" t="str">
        <f>IFERROR(__xludf.DUMMYFUNCTION("""COMPUTED_VALUE"""),"Larry")</f>
        <v>Larry</v>
      </c>
      <c r="F4532">
        <f>IFERROR(__xludf.DUMMYFUNCTION("""COMPUTED_VALUE"""),16.2)</f>
        <v>16.2</v>
      </c>
    </row>
    <row r="4533">
      <c r="D4533" t="str">
        <f>IFERROR(__xludf.DUMMYFUNCTION("""COMPUTED_VALUE"""),"Warmack")</f>
        <v>Warmack</v>
      </c>
      <c r="E4533" t="str">
        <f>IFERROR(__xludf.DUMMYFUNCTION("""COMPUTED_VALUE"""),"Chance")</f>
        <v>Chance</v>
      </c>
      <c r="F4533">
        <f>IFERROR(__xludf.DUMMYFUNCTION("""COMPUTED_VALUE"""),15.200000000000001)</f>
        <v>15.2</v>
      </c>
    </row>
    <row r="4534">
      <c r="D4534" t="str">
        <f>IFERROR(__xludf.DUMMYFUNCTION("""COMPUTED_VALUE"""),"Warmsley")</f>
        <v>Warmsley</v>
      </c>
      <c r="E4534" t="str">
        <f>IFERROR(__xludf.DUMMYFUNCTION("""COMPUTED_VALUE"""),"Julius")</f>
        <v>Julius</v>
      </c>
      <c r="F4534">
        <f>IFERROR(__xludf.DUMMYFUNCTION("""COMPUTED_VALUE"""),13.0)</f>
        <v>13</v>
      </c>
    </row>
    <row r="4535">
      <c r="D4535" t="str">
        <f>IFERROR(__xludf.DUMMYFUNCTION("""COMPUTED_VALUE"""),"Washington")</f>
        <v>Washington</v>
      </c>
      <c r="E4535" t="str">
        <f>IFERROR(__xludf.DUMMYFUNCTION("""COMPUTED_VALUE"""),"Adolphus")</f>
        <v>Adolphus</v>
      </c>
      <c r="F4535">
        <f>IFERROR(__xludf.DUMMYFUNCTION("""COMPUTED_VALUE"""),14.200000000000001)</f>
        <v>14.2</v>
      </c>
    </row>
    <row r="4536">
      <c r="D4536" t="str">
        <f>IFERROR(__xludf.DUMMYFUNCTION("""COMPUTED_VALUE"""),"Washington")</f>
        <v>Washington</v>
      </c>
      <c r="E4536" t="str">
        <f>IFERROR(__xludf.DUMMYFUNCTION("""COMPUTED_VALUE"""),"Cornelius")</f>
        <v>Cornelius</v>
      </c>
      <c r="F4536">
        <f>IFERROR(__xludf.DUMMYFUNCTION("""COMPUTED_VALUE"""),12.8)</f>
        <v>12.8</v>
      </c>
    </row>
    <row r="4537">
      <c r="D4537" t="str">
        <f>IFERROR(__xludf.DUMMYFUNCTION("""COMPUTED_VALUE"""),"Washington")</f>
        <v>Washington</v>
      </c>
      <c r="E4537" t="str">
        <f>IFERROR(__xludf.DUMMYFUNCTION("""COMPUTED_VALUE"""),"DeAndre")</f>
        <v>DeAndre</v>
      </c>
      <c r="F4537">
        <f>IFERROR(__xludf.DUMMYFUNCTION("""COMPUTED_VALUE"""),14.8)</f>
        <v>14.8</v>
      </c>
    </row>
    <row r="4538">
      <c r="D4538" t="str">
        <f>IFERROR(__xludf.DUMMYFUNCTION("""COMPUTED_VALUE"""),"Washington")</f>
        <v>Washington</v>
      </c>
      <c r="E4538" t="str">
        <f>IFERROR(__xludf.DUMMYFUNCTION("""COMPUTED_VALUE"""),"Dwayne")</f>
        <v>Dwayne</v>
      </c>
      <c r="F4538">
        <f>IFERROR(__xludf.DUMMYFUNCTION("""COMPUTED_VALUE"""),13.600000000000001)</f>
        <v>13.6</v>
      </c>
    </row>
    <row r="4539">
      <c r="D4539" t="str">
        <f>IFERROR(__xludf.DUMMYFUNCTION("""COMPUTED_VALUE"""),"Waters")</f>
        <v>Waters</v>
      </c>
      <c r="E4539" t="str">
        <f>IFERROR(__xludf.DUMMYFUNCTION("""COMPUTED_VALUE"""),"Herb")</f>
        <v>Herb</v>
      </c>
      <c r="F4539">
        <f>IFERROR(__xludf.DUMMYFUNCTION("""COMPUTED_VALUE"""),12.4)</f>
        <v>12.4</v>
      </c>
    </row>
    <row r="4540">
      <c r="D4540" t="str">
        <f>IFERROR(__xludf.DUMMYFUNCTION("""COMPUTED_VALUE"""),"Watford")</f>
        <v>Watford</v>
      </c>
      <c r="E4540" t="str">
        <f>IFERROR(__xludf.DUMMYFUNCTION("""COMPUTED_VALUE"""),"Earl")</f>
        <v>Earl</v>
      </c>
      <c r="F4540">
        <f>IFERROR(__xludf.DUMMYFUNCTION("""COMPUTED_VALUE"""),14.0)</f>
        <v>14</v>
      </c>
    </row>
    <row r="4541">
      <c r="D4541" t="str">
        <f>IFERROR(__xludf.DUMMYFUNCTION("""COMPUTED_VALUE"""),"Watkins")</f>
        <v>Watkins</v>
      </c>
      <c r="E4541" t="str">
        <f>IFERROR(__xludf.DUMMYFUNCTION("""COMPUTED_VALUE"""),"Carlos")</f>
        <v>Carlos</v>
      </c>
      <c r="F4541">
        <f>IFERROR(__xludf.DUMMYFUNCTION("""COMPUTED_VALUE"""),13.600000000000001)</f>
        <v>13.6</v>
      </c>
    </row>
    <row r="4542">
      <c r="D4542" t="str">
        <f>IFERROR(__xludf.DUMMYFUNCTION("""COMPUTED_VALUE"""),"Watkins")</f>
        <v>Watkins</v>
      </c>
      <c r="E4542" t="str">
        <f>IFERROR(__xludf.DUMMYFUNCTION("""COMPUTED_VALUE"""),"Jaylen")</f>
        <v>Jaylen</v>
      </c>
      <c r="F4542">
        <f>IFERROR(__xludf.DUMMYFUNCTION("""COMPUTED_VALUE"""),14.4)</f>
        <v>14.4</v>
      </c>
    </row>
    <row r="4543">
      <c r="D4543" t="str">
        <f>IFERROR(__xludf.DUMMYFUNCTION("""COMPUTED_VALUE"""),"Watkins")</f>
        <v>Watkins</v>
      </c>
      <c r="E4543" t="str">
        <f>IFERROR(__xludf.DUMMYFUNCTION("""COMPUTED_VALUE"""),"Sammy")</f>
        <v>Sammy</v>
      </c>
      <c r="F4543">
        <f>IFERROR(__xludf.DUMMYFUNCTION("""COMPUTED_VALUE"""),17.2)</f>
        <v>17.2</v>
      </c>
    </row>
    <row r="4544">
      <c r="D4544" t="str">
        <f>IFERROR(__xludf.DUMMYFUNCTION("""COMPUTED_VALUE"""),"Watson")</f>
        <v>Watson</v>
      </c>
      <c r="E4544" t="str">
        <f>IFERROR(__xludf.DUMMYFUNCTION("""COMPUTED_VALUE"""),"Benjamin")</f>
        <v>Benjamin</v>
      </c>
      <c r="F4544">
        <f>IFERROR(__xludf.DUMMYFUNCTION("""COMPUTED_VALUE"""),16.0)</f>
        <v>16</v>
      </c>
    </row>
    <row r="4545">
      <c r="D4545" t="str">
        <f>IFERROR(__xludf.DUMMYFUNCTION("""COMPUTED_VALUE"""),"Watson")</f>
        <v>Watson</v>
      </c>
      <c r="E4545" t="str">
        <f>IFERROR(__xludf.DUMMYFUNCTION("""COMPUTED_VALUE"""),"Dekoda")</f>
        <v>Dekoda</v>
      </c>
      <c r="F4545">
        <f>IFERROR(__xludf.DUMMYFUNCTION("""COMPUTED_VALUE"""),13.600000000000001)</f>
        <v>13.6</v>
      </c>
    </row>
    <row r="4546">
      <c r="D4546" t="str">
        <f>IFERROR(__xludf.DUMMYFUNCTION("""COMPUTED_VALUE"""),"Watson")</f>
        <v>Watson</v>
      </c>
      <c r="E4546" t="str">
        <f>IFERROR(__xludf.DUMMYFUNCTION("""COMPUTED_VALUE"""),"Deshaun")</f>
        <v>Deshaun</v>
      </c>
      <c r="F4546">
        <f>IFERROR(__xludf.DUMMYFUNCTION("""COMPUTED_VALUE"""),15.200000000000001)</f>
        <v>15.2</v>
      </c>
    </row>
    <row r="4547">
      <c r="D4547" t="str">
        <f>IFERROR(__xludf.DUMMYFUNCTION("""COMPUTED_VALUE"""),"Watson")</f>
        <v>Watson</v>
      </c>
      <c r="E4547" t="str">
        <f>IFERROR(__xludf.DUMMYFUNCTION("""COMPUTED_VALUE"""),"Menelik")</f>
        <v>Menelik</v>
      </c>
      <c r="F4547">
        <f>IFERROR(__xludf.DUMMYFUNCTION("""COMPUTED_VALUE"""),14.600000000000001)</f>
        <v>14.6</v>
      </c>
    </row>
    <row r="4548">
      <c r="D4548" t="str">
        <f>IFERROR(__xludf.DUMMYFUNCTION("""COMPUTED_VALUE"""),"Watt")</f>
        <v>Watt</v>
      </c>
      <c r="E4548" t="str">
        <f>IFERROR(__xludf.DUMMYFUNCTION("""COMPUTED_VALUE"""),"Derek")</f>
        <v>Derek</v>
      </c>
      <c r="F4548">
        <f>IFERROR(__xludf.DUMMYFUNCTION("""COMPUTED_VALUE"""),12.200000000000001)</f>
        <v>12.2</v>
      </c>
    </row>
    <row r="4549">
      <c r="D4549" t="str">
        <f>IFERROR(__xludf.DUMMYFUNCTION("""COMPUTED_VALUE"""),"Watt")</f>
        <v>Watt</v>
      </c>
      <c r="E4549" t="str">
        <f>IFERROR(__xludf.DUMMYFUNCTION("""COMPUTED_VALUE"""),"JJ")</f>
        <v>JJ</v>
      </c>
      <c r="F4549">
        <f>IFERROR(__xludf.DUMMYFUNCTION("""COMPUTED_VALUE"""),19.6)</f>
        <v>19.6</v>
      </c>
    </row>
    <row r="4550">
      <c r="D4550" t="str">
        <f>IFERROR(__xludf.DUMMYFUNCTION("""COMPUTED_VALUE"""),"Watt")</f>
        <v>Watt</v>
      </c>
      <c r="E4550" t="str">
        <f>IFERROR(__xludf.DUMMYFUNCTION("""COMPUTED_VALUE"""),"TJ")</f>
        <v>TJ</v>
      </c>
      <c r="F4550">
        <f>IFERROR(__xludf.DUMMYFUNCTION("""COMPUTED_VALUE"""),14.8)</f>
        <v>14.8</v>
      </c>
    </row>
    <row r="4551">
      <c r="D4551" t="str">
        <f>IFERROR(__xludf.DUMMYFUNCTION("""COMPUTED_VALUE"""),"Watts")</f>
        <v>Watts</v>
      </c>
      <c r="E4551" t="str">
        <f>IFERROR(__xludf.DUMMYFUNCTION("""COMPUTED_VALUE"""),"Brandon")</f>
        <v>Brandon</v>
      </c>
      <c r="F4551">
        <f>IFERROR(__xludf.DUMMYFUNCTION("""COMPUTED_VALUE"""),12.4)</f>
        <v>12.4</v>
      </c>
    </row>
    <row r="4552">
      <c r="D4552" t="str">
        <f>IFERROR(__xludf.DUMMYFUNCTION("""COMPUTED_VALUE"""),"Watts")</f>
        <v>Watts</v>
      </c>
      <c r="E4552" t="str">
        <f>IFERROR(__xludf.DUMMYFUNCTION("""COMPUTED_VALUE"""),"Craig")</f>
        <v>Craig</v>
      </c>
      <c r="F4552">
        <f>IFERROR(__xludf.DUMMYFUNCTION("""COMPUTED_VALUE"""),12.600000000000001)</f>
        <v>12.6</v>
      </c>
    </row>
    <row r="4553">
      <c r="D4553" t="str">
        <f>IFERROR(__xludf.DUMMYFUNCTION("""COMPUTED_VALUE"""),"Way")</f>
        <v>Way</v>
      </c>
      <c r="E4553" t="str">
        <f>IFERROR(__xludf.DUMMYFUNCTION("""COMPUTED_VALUE"""),"Tress")</f>
        <v>Tress</v>
      </c>
      <c r="F4553">
        <f>IFERROR(__xludf.DUMMYFUNCTION("""COMPUTED_VALUE"""),15.8)</f>
        <v>15.8</v>
      </c>
    </row>
    <row r="4554">
      <c r="D4554" t="str">
        <f>IFERROR(__xludf.DUMMYFUNCTION("""COMPUTED_VALUE"""),"Waynes")</f>
        <v>Waynes</v>
      </c>
      <c r="E4554" t="str">
        <f>IFERROR(__xludf.DUMMYFUNCTION("""COMPUTED_VALUE"""),"Trae")</f>
        <v>Trae</v>
      </c>
      <c r="F4554">
        <f>IFERROR(__xludf.DUMMYFUNCTION("""COMPUTED_VALUE"""),15.0)</f>
        <v>15</v>
      </c>
    </row>
    <row r="4555">
      <c r="D4555" t="str">
        <f>IFERROR(__xludf.DUMMYFUNCTION("""COMPUTED_VALUE"""),"Weatherly")</f>
        <v>Weatherly</v>
      </c>
      <c r="E4555" t="str">
        <f>IFERROR(__xludf.DUMMYFUNCTION("""COMPUTED_VALUE"""),"Stephen")</f>
        <v>Stephen</v>
      </c>
      <c r="F4555">
        <f>IFERROR(__xludf.DUMMYFUNCTION("""COMPUTED_VALUE"""),12.8)</f>
        <v>12.8</v>
      </c>
    </row>
    <row r="4556">
      <c r="D4556" t="str">
        <f>IFERROR(__xludf.DUMMYFUNCTION("""COMPUTED_VALUE"""),"Webb")</f>
        <v>Webb</v>
      </c>
      <c r="E4556" t="str">
        <f>IFERROR(__xludf.DUMMYFUNCTION("""COMPUTED_VALUE"""),"BW")</f>
        <v>BW</v>
      </c>
      <c r="F4556">
        <f>IFERROR(__xludf.DUMMYFUNCTION("""COMPUTED_VALUE"""),14.200000000000001)</f>
        <v>14.2</v>
      </c>
    </row>
    <row r="4557">
      <c r="D4557" t="str">
        <f>IFERROR(__xludf.DUMMYFUNCTION("""COMPUTED_VALUE"""),"Webb")</f>
        <v>Webb</v>
      </c>
      <c r="E4557" t="str">
        <f>IFERROR(__xludf.DUMMYFUNCTION("""COMPUTED_VALUE"""),"Davis")</f>
        <v>Davis</v>
      </c>
      <c r="F4557">
        <f>IFERROR(__xludf.DUMMYFUNCTION("""COMPUTED_VALUE"""),14.600000000000001)</f>
        <v>14.6</v>
      </c>
    </row>
    <row r="4558">
      <c r="D4558" t="str">
        <f>IFERROR(__xludf.DUMMYFUNCTION("""COMPUTED_VALUE"""),"Webb")</f>
        <v>Webb</v>
      </c>
      <c r="E4558" t="str">
        <f>IFERROR(__xludf.DUMMYFUNCTION("""COMPUTED_VALUE"""),"Joe")</f>
        <v>Joe</v>
      </c>
      <c r="F4558">
        <f>IFERROR(__xludf.DUMMYFUNCTION("""COMPUTED_VALUE"""),12.8)</f>
        <v>12.8</v>
      </c>
    </row>
    <row r="4559">
      <c r="D4559" t="str">
        <f>IFERROR(__xludf.DUMMYFUNCTION("""COMPUTED_VALUE"""),"Webb")</f>
        <v>Webb</v>
      </c>
      <c r="E4559" t="str">
        <f>IFERROR(__xludf.DUMMYFUNCTION("""COMPUTED_VALUE"""),"Lardarius")</f>
        <v>Lardarius</v>
      </c>
      <c r="F4559">
        <f>IFERROR(__xludf.DUMMYFUNCTION("""COMPUTED_VALUE"""),16.400000000000002)</f>
        <v>16.4</v>
      </c>
    </row>
    <row r="4560">
      <c r="D4560" t="str">
        <f>IFERROR(__xludf.DUMMYFUNCTION("""COMPUTED_VALUE"""),"Webster")</f>
        <v>Webster</v>
      </c>
      <c r="E4560" t="str">
        <f>IFERROR(__xludf.DUMMYFUNCTION("""COMPUTED_VALUE"""),"Kayvon")</f>
        <v>Kayvon</v>
      </c>
      <c r="F4560">
        <f>IFERROR(__xludf.DUMMYFUNCTION("""COMPUTED_VALUE"""),14.600000000000001)</f>
        <v>14.6</v>
      </c>
    </row>
    <row r="4561">
      <c r="D4561" t="str">
        <f>IFERROR(__xludf.DUMMYFUNCTION("""COMPUTED_VALUE"""),"Webster III")</f>
        <v>Webster III</v>
      </c>
      <c r="E4561" t="str">
        <f>IFERROR(__xludf.DUMMYFUNCTION("""COMPUTED_VALUE"""),"Larry")</f>
        <v>Larry</v>
      </c>
      <c r="F4561">
        <f>IFERROR(__xludf.DUMMYFUNCTION("""COMPUTED_VALUE"""),13.0)</f>
        <v>13</v>
      </c>
    </row>
    <row r="4562">
      <c r="D4562" t="str">
        <f>IFERROR(__xludf.DUMMYFUNCTION("""COMPUTED_VALUE"""),"Weddle")</f>
        <v>Weddle</v>
      </c>
      <c r="E4562" t="str">
        <f>IFERROR(__xludf.DUMMYFUNCTION("""COMPUTED_VALUE"""),"Eric")</f>
        <v>Eric</v>
      </c>
      <c r="F4562">
        <f>IFERROR(__xludf.DUMMYFUNCTION("""COMPUTED_VALUE"""),18.6)</f>
        <v>18.6</v>
      </c>
    </row>
    <row r="4563">
      <c r="D4563" t="str">
        <f>IFERROR(__xludf.DUMMYFUNCTION("""COMPUTED_VALUE"""),"Weeden")</f>
        <v>Weeden</v>
      </c>
      <c r="E4563" t="str">
        <f>IFERROR(__xludf.DUMMYFUNCTION("""COMPUTED_VALUE"""),"Brandon")</f>
        <v>Brandon</v>
      </c>
      <c r="F4563">
        <f>IFERROR(__xludf.DUMMYFUNCTION("""COMPUTED_VALUE"""),13.600000000000001)</f>
        <v>13.6</v>
      </c>
    </row>
    <row r="4564">
      <c r="D4564" t="str">
        <f>IFERROR(__xludf.DUMMYFUNCTION("""COMPUTED_VALUE"""),"Weeks")</f>
        <v>Weeks</v>
      </c>
      <c r="E4564" t="str">
        <f>IFERROR(__xludf.DUMMYFUNCTION("""COMPUTED_VALUE"""),"Jon")</f>
        <v>Jon</v>
      </c>
      <c r="F4564">
        <f>IFERROR(__xludf.DUMMYFUNCTION("""COMPUTED_VALUE"""),8.4)</f>
        <v>8.4</v>
      </c>
    </row>
    <row r="4565">
      <c r="D4565" t="str">
        <f>IFERROR(__xludf.DUMMYFUNCTION("""COMPUTED_VALUE"""),"Weems")</f>
        <v>Weems</v>
      </c>
      <c r="E4565" t="str">
        <f>IFERROR(__xludf.DUMMYFUNCTION("""COMPUTED_VALUE"""),"Eric")</f>
        <v>Eric</v>
      </c>
      <c r="F4565">
        <f>IFERROR(__xludf.DUMMYFUNCTION("""COMPUTED_VALUE"""),13.8)</f>
        <v>13.8</v>
      </c>
    </row>
    <row r="4566">
      <c r="D4566" t="str">
        <f>IFERROR(__xludf.DUMMYFUNCTION("""COMPUTED_VALUE"""),"Wells")</f>
        <v>Wells</v>
      </c>
      <c r="E4566" t="str">
        <f>IFERROR(__xludf.DUMMYFUNCTION("""COMPUTED_VALUE"""),"Josh")</f>
        <v>Josh</v>
      </c>
      <c r="F4566">
        <f>IFERROR(__xludf.DUMMYFUNCTION("""COMPUTED_VALUE"""),14.0)</f>
        <v>14</v>
      </c>
    </row>
    <row r="4567">
      <c r="D4567" t="str">
        <f>IFERROR(__xludf.DUMMYFUNCTION("""COMPUTED_VALUE"""),"Wentz")</f>
        <v>Wentz</v>
      </c>
      <c r="E4567" t="str">
        <f>IFERROR(__xludf.DUMMYFUNCTION("""COMPUTED_VALUE"""),"Carson")</f>
        <v>Carson</v>
      </c>
      <c r="F4567">
        <f>IFERROR(__xludf.DUMMYFUNCTION("""COMPUTED_VALUE"""),15.8)</f>
        <v>15.8</v>
      </c>
    </row>
    <row r="4568">
      <c r="D4568" t="str">
        <f>IFERROR(__xludf.DUMMYFUNCTION("""COMPUTED_VALUE"""),"Wesley")</f>
        <v>Wesley</v>
      </c>
      <c r="E4568" t="str">
        <f>IFERROR(__xludf.DUMMYFUNCTION("""COMPUTED_VALUE"""),"DeOndre")</f>
        <v>DeOndre</v>
      </c>
      <c r="F4568">
        <f>IFERROR(__xludf.DUMMYFUNCTION("""COMPUTED_VALUE"""),13.4)</f>
        <v>13.4</v>
      </c>
    </row>
    <row r="4569">
      <c r="D4569" t="str">
        <f>IFERROR(__xludf.DUMMYFUNCTION("""COMPUTED_VALUE"""),"West")</f>
        <v>West</v>
      </c>
      <c r="E4569" t="str">
        <f>IFERROR(__xludf.DUMMYFUNCTION("""COMPUTED_VALUE"""),"Charcandrick")</f>
        <v>Charcandrick</v>
      </c>
      <c r="F4569">
        <f>IFERROR(__xludf.DUMMYFUNCTION("""COMPUTED_VALUE"""),15.200000000000001)</f>
        <v>15.2</v>
      </c>
    </row>
    <row r="4570">
      <c r="D4570" t="str">
        <f>IFERROR(__xludf.DUMMYFUNCTION("""COMPUTED_VALUE"""),"West")</f>
        <v>West</v>
      </c>
      <c r="E4570" t="str">
        <f>IFERROR(__xludf.DUMMYFUNCTION("""COMPUTED_VALUE"""),"Terrance")</f>
        <v>Terrance</v>
      </c>
      <c r="F4570">
        <f>IFERROR(__xludf.DUMMYFUNCTION("""COMPUTED_VALUE"""),16.2)</f>
        <v>16.2</v>
      </c>
    </row>
    <row r="4571">
      <c r="D4571" t="str">
        <f>IFERROR(__xludf.DUMMYFUNCTION("""COMPUTED_VALUE"""),"Westbrook")</f>
        <v>Westbrook</v>
      </c>
      <c r="E4571" t="str">
        <f>IFERROR(__xludf.DUMMYFUNCTION("""COMPUTED_VALUE"""),"Dede")</f>
        <v>Dede</v>
      </c>
      <c r="F4571">
        <f>IFERROR(__xludf.DUMMYFUNCTION("""COMPUTED_VALUE"""),15.0)</f>
        <v>15</v>
      </c>
    </row>
    <row r="4572">
      <c r="D4572" t="str">
        <f>IFERROR(__xludf.DUMMYFUNCTION("""COMPUTED_VALUE"""),"Westbrooks")</f>
        <v>Westbrooks</v>
      </c>
      <c r="E4572" t="str">
        <f>IFERROR(__xludf.DUMMYFUNCTION("""COMPUTED_VALUE"""),"Ethan")</f>
        <v>Ethan</v>
      </c>
      <c r="F4572">
        <f>IFERROR(__xludf.DUMMYFUNCTION("""COMPUTED_VALUE"""),14.4)</f>
        <v>14.4</v>
      </c>
    </row>
    <row r="4573">
      <c r="D4573" t="str">
        <f>IFERROR(__xludf.DUMMYFUNCTION("""COMPUTED_VALUE"""),"Wester")</f>
        <v>Wester</v>
      </c>
      <c r="E4573" t="str">
        <f>IFERROR(__xludf.DUMMYFUNCTION("""COMPUTED_VALUE"""),"Leonard")</f>
        <v>Leonard</v>
      </c>
      <c r="F4573">
        <f>IFERROR(__xludf.DUMMYFUNCTION("""COMPUTED_VALUE"""),12.600000000000001)</f>
        <v>12.6</v>
      </c>
    </row>
    <row r="4574">
      <c r="D4574" t="str">
        <f>IFERROR(__xludf.DUMMYFUNCTION("""COMPUTED_VALUE"""),"Westerman")</f>
        <v>Westerman</v>
      </c>
      <c r="E4574" t="str">
        <f>IFERROR(__xludf.DUMMYFUNCTION("""COMPUTED_VALUE"""),"Christian")</f>
        <v>Christian</v>
      </c>
      <c r="F4574">
        <f>IFERROR(__xludf.DUMMYFUNCTION("""COMPUTED_VALUE"""),13.200000000000001)</f>
        <v>13.2</v>
      </c>
    </row>
    <row r="4575">
      <c r="D4575" t="str">
        <f>IFERROR(__xludf.DUMMYFUNCTION("""COMPUTED_VALUE"""),"Wetzel")</f>
        <v>Wetzel</v>
      </c>
      <c r="E4575" t="str">
        <f>IFERROR(__xludf.DUMMYFUNCTION("""COMPUTED_VALUE"""),"John")</f>
        <v>John</v>
      </c>
      <c r="F4575">
        <f>IFERROR(__xludf.DUMMYFUNCTION("""COMPUTED_VALUE"""),13.600000000000001)</f>
        <v>13.6</v>
      </c>
    </row>
    <row r="4576">
      <c r="D4576" t="str">
        <f>IFERROR(__xludf.DUMMYFUNCTION("""COMPUTED_VALUE"""),"Wheaton")</f>
        <v>Wheaton</v>
      </c>
      <c r="E4576" t="str">
        <f>IFERROR(__xludf.DUMMYFUNCTION("""COMPUTED_VALUE"""),"Markus")</f>
        <v>Markus</v>
      </c>
      <c r="F4576">
        <f>IFERROR(__xludf.DUMMYFUNCTION("""COMPUTED_VALUE"""),15.0)</f>
        <v>15</v>
      </c>
    </row>
    <row r="4577">
      <c r="D4577" t="str">
        <f>IFERROR(__xludf.DUMMYFUNCTION("""COMPUTED_VALUE"""),"White")</f>
        <v>White</v>
      </c>
      <c r="E4577" t="str">
        <f>IFERROR(__xludf.DUMMYFUNCTION("""COMPUTED_VALUE"""),"Corey")</f>
        <v>Corey</v>
      </c>
      <c r="F4577">
        <f>IFERROR(__xludf.DUMMYFUNCTION("""COMPUTED_VALUE"""),14.200000000000001)</f>
        <v>14.2</v>
      </c>
    </row>
    <row r="4578">
      <c r="D4578" t="str">
        <f>IFERROR(__xludf.DUMMYFUNCTION("""COMPUTED_VALUE"""),"White")</f>
        <v>White</v>
      </c>
      <c r="E4578" t="str">
        <f>IFERROR(__xludf.DUMMYFUNCTION("""COMPUTED_VALUE"""),"DJ")</f>
        <v>DJ</v>
      </c>
      <c r="F4578">
        <f>IFERROR(__xludf.DUMMYFUNCTION("""COMPUTED_VALUE"""),12.600000000000001)</f>
        <v>12.6</v>
      </c>
    </row>
    <row r="4579">
      <c r="D4579" t="str">
        <f>IFERROR(__xludf.DUMMYFUNCTION("""COMPUTED_VALUE"""),"White")</f>
        <v>White</v>
      </c>
      <c r="E4579" t="str">
        <f>IFERROR(__xludf.DUMMYFUNCTION("""COMPUTED_VALUE"""),"James")</f>
        <v>James</v>
      </c>
      <c r="F4579">
        <f>IFERROR(__xludf.DUMMYFUNCTION("""COMPUTED_VALUE"""),16.2)</f>
        <v>16.2</v>
      </c>
    </row>
    <row r="4580">
      <c r="D4580" t="str">
        <f>IFERROR(__xludf.DUMMYFUNCTION("""COMPUTED_VALUE"""),"White")</f>
        <v>White</v>
      </c>
      <c r="E4580" t="str">
        <f>IFERROR(__xludf.DUMMYFUNCTION("""COMPUTED_VALUE"""),"Kevin")</f>
        <v>Kevin</v>
      </c>
      <c r="F4580">
        <f>IFERROR(__xludf.DUMMYFUNCTION("""COMPUTED_VALUE"""),14.4)</f>
        <v>14.4</v>
      </c>
    </row>
    <row r="4581">
      <c r="D4581" t="str">
        <f>IFERROR(__xludf.DUMMYFUNCTION("""COMPUTED_VALUE"""),"White")</f>
        <v>White</v>
      </c>
      <c r="E4581" t="str">
        <f>IFERROR(__xludf.DUMMYFUNCTION("""COMPUTED_VALUE"""),"Marquez")</f>
        <v>Marquez</v>
      </c>
      <c r="F4581">
        <f>IFERROR(__xludf.DUMMYFUNCTION("""COMPUTED_VALUE"""),13.0)</f>
        <v>13</v>
      </c>
    </row>
    <row r="4582">
      <c r="D4582" t="str">
        <f>IFERROR(__xludf.DUMMYFUNCTION("""COMPUTED_VALUE"""),"White")</f>
        <v>White</v>
      </c>
      <c r="E4582" t="str">
        <f>IFERROR(__xludf.DUMMYFUNCTION("""COMPUTED_VALUE"""),"Myles")</f>
        <v>Myles</v>
      </c>
      <c r="F4582">
        <f>IFERROR(__xludf.DUMMYFUNCTION("""COMPUTED_VALUE"""),12.600000000000001)</f>
        <v>12.6</v>
      </c>
    </row>
    <row r="4583">
      <c r="D4583" t="str">
        <f>IFERROR(__xludf.DUMMYFUNCTION("""COMPUTED_VALUE"""),"White")</f>
        <v>White</v>
      </c>
      <c r="E4583" t="str">
        <f>IFERROR(__xludf.DUMMYFUNCTION("""COMPUTED_VALUE"""),"Tim")</f>
        <v>Tim</v>
      </c>
      <c r="F4583">
        <f>IFERROR(__xludf.DUMMYFUNCTION("""COMPUTED_VALUE"""),11.4)</f>
        <v>11.4</v>
      </c>
    </row>
    <row r="4584">
      <c r="D4584" t="str">
        <f>IFERROR(__xludf.DUMMYFUNCTION("""COMPUTED_VALUE"""),"White")</f>
        <v>White</v>
      </c>
      <c r="E4584" t="str">
        <f>IFERROR(__xludf.DUMMYFUNCTION("""COMPUTED_VALUE"""),"TreDavious")</f>
        <v>TreDavious</v>
      </c>
      <c r="F4584">
        <f>IFERROR(__xludf.DUMMYFUNCTION("""COMPUTED_VALUE"""),15.600000000000001)</f>
        <v>15.6</v>
      </c>
    </row>
    <row r="4585">
      <c r="D4585" t="str">
        <f>IFERROR(__xludf.DUMMYFUNCTION("""COMPUTED_VALUE"""),"Whitehair")</f>
        <v>Whitehair</v>
      </c>
      <c r="E4585" t="str">
        <f>IFERROR(__xludf.DUMMYFUNCTION("""COMPUTED_VALUE"""),"Cody")</f>
        <v>Cody</v>
      </c>
      <c r="F4585">
        <f>IFERROR(__xludf.DUMMYFUNCTION("""COMPUTED_VALUE"""),17.2)</f>
        <v>17.2</v>
      </c>
    </row>
    <row r="4586">
      <c r="D4586" t="str">
        <f>IFERROR(__xludf.DUMMYFUNCTION("""COMPUTED_VALUE"""),"Whitehead")</f>
        <v>Whitehead</v>
      </c>
      <c r="E4586" t="str">
        <f>IFERROR(__xludf.DUMMYFUNCTION("""COMPUTED_VALUE"""),"Jermaine")</f>
        <v>Jermaine</v>
      </c>
      <c r="F4586">
        <f>IFERROR(__xludf.DUMMYFUNCTION("""COMPUTED_VALUE"""),11.8)</f>
        <v>11.8</v>
      </c>
    </row>
    <row r="4587">
      <c r="D4587" t="str">
        <f>IFERROR(__xludf.DUMMYFUNCTION("""COMPUTED_VALUE"""),"Whitehead")</f>
        <v>Whitehead</v>
      </c>
      <c r="E4587" t="str">
        <f>IFERROR(__xludf.DUMMYFUNCTION("""COMPUTED_VALUE"""),"Lucky")</f>
        <v>Lucky</v>
      </c>
      <c r="F4587">
        <f>IFERROR(__xludf.DUMMYFUNCTION("""COMPUTED_VALUE"""),14.0)</f>
        <v>14</v>
      </c>
    </row>
    <row r="4588">
      <c r="D4588" t="str">
        <f>IFERROR(__xludf.DUMMYFUNCTION("""COMPUTED_VALUE"""),"Whitehead")</f>
        <v>Whitehead</v>
      </c>
      <c r="E4588" t="str">
        <f>IFERROR(__xludf.DUMMYFUNCTION("""COMPUTED_VALUE"""),"Tahir")</f>
        <v>Tahir</v>
      </c>
      <c r="F4588">
        <f>IFERROR(__xludf.DUMMYFUNCTION("""COMPUTED_VALUE"""),14.8)</f>
        <v>14.8</v>
      </c>
    </row>
    <row r="4589">
      <c r="D4589" t="str">
        <f>IFERROR(__xludf.DUMMYFUNCTION("""COMPUTED_VALUE"""),"Whittaker")</f>
        <v>Whittaker</v>
      </c>
      <c r="E4589" t="str">
        <f>IFERROR(__xludf.DUMMYFUNCTION("""COMPUTED_VALUE"""),"Fozzy")</f>
        <v>Fozzy</v>
      </c>
      <c r="F4589">
        <f>IFERROR(__xludf.DUMMYFUNCTION("""COMPUTED_VALUE"""),13.8)</f>
        <v>13.8</v>
      </c>
    </row>
    <row r="4590">
      <c r="D4590" t="str">
        <f>IFERROR(__xludf.DUMMYFUNCTION("""COMPUTED_VALUE"""),"Whitworth")</f>
        <v>Whitworth</v>
      </c>
      <c r="E4590" t="str">
        <f>IFERROR(__xludf.DUMMYFUNCTION("""COMPUTED_VALUE"""),"Andrew")</f>
        <v>Andrew</v>
      </c>
      <c r="F4590">
        <f>IFERROR(__xludf.DUMMYFUNCTION("""COMPUTED_VALUE"""),17.8)</f>
        <v>17.8</v>
      </c>
    </row>
    <row r="4591">
      <c r="D4591" t="str">
        <f>IFERROR(__xludf.DUMMYFUNCTION("""COMPUTED_VALUE"""),"Wichmann")</f>
        <v>Wichmann</v>
      </c>
      <c r="E4591" t="str">
        <f>IFERROR(__xludf.DUMMYFUNCTION("""COMPUTED_VALUE"""),"Cody")</f>
        <v>Cody</v>
      </c>
      <c r="F4591">
        <f>IFERROR(__xludf.DUMMYFUNCTION("""COMPUTED_VALUE"""),13.8)</f>
        <v>13.8</v>
      </c>
    </row>
    <row r="4592">
      <c r="D4592" t="str">
        <f>IFERROR(__xludf.DUMMYFUNCTION("""COMPUTED_VALUE"""),"Wick")</f>
        <v>Wick</v>
      </c>
      <c r="E4592" t="str">
        <f>IFERROR(__xludf.DUMMYFUNCTION("""COMPUTED_VALUE"""),"Cole")</f>
        <v>Cole</v>
      </c>
      <c r="F4592">
        <f>IFERROR(__xludf.DUMMYFUNCTION("""COMPUTED_VALUE"""),13.4)</f>
        <v>13.4</v>
      </c>
    </row>
    <row r="4593">
      <c r="D4593" t="str">
        <f>IFERROR(__xludf.DUMMYFUNCTION("""COMPUTED_VALUE"""),"Wiggins")</f>
        <v>Wiggins</v>
      </c>
      <c r="E4593" t="str">
        <f>IFERROR(__xludf.DUMMYFUNCTION("""COMPUTED_VALUE"""),"Kenny")</f>
        <v>Kenny</v>
      </c>
      <c r="F4593">
        <f>IFERROR(__xludf.DUMMYFUNCTION("""COMPUTED_VALUE"""),13.200000000000001)</f>
        <v>13.2</v>
      </c>
    </row>
    <row r="4594">
      <c r="D4594" t="str">
        <f>IFERROR(__xludf.DUMMYFUNCTION("""COMPUTED_VALUE"""),"Wilber")</f>
        <v>Wilber</v>
      </c>
      <c r="E4594" t="str">
        <f>IFERROR(__xludf.DUMMYFUNCTION("""COMPUTED_VALUE"""),"Kyle")</f>
        <v>Kyle</v>
      </c>
      <c r="F4594">
        <f>IFERROR(__xludf.DUMMYFUNCTION("""COMPUTED_VALUE"""),14.600000000000001)</f>
        <v>14.6</v>
      </c>
    </row>
    <row r="4595">
      <c r="D4595" t="str">
        <f>IFERROR(__xludf.DUMMYFUNCTION("""COMPUTED_VALUE"""),"Wilcox")</f>
        <v>Wilcox</v>
      </c>
      <c r="E4595" t="str">
        <f>IFERROR(__xludf.DUMMYFUNCTION("""COMPUTED_VALUE"""),"JJ")</f>
        <v>JJ</v>
      </c>
      <c r="F4595">
        <f>IFERROR(__xludf.DUMMYFUNCTION("""COMPUTED_VALUE"""),16.2)</f>
        <v>16.2</v>
      </c>
    </row>
    <row r="4596">
      <c r="D4596" t="str">
        <f>IFERROR(__xludf.DUMMYFUNCTION("""COMPUTED_VALUE"""),"Wilds")</f>
        <v>Wilds</v>
      </c>
      <c r="E4596" t="str">
        <f>IFERROR(__xludf.DUMMYFUNCTION("""COMPUTED_VALUE"""),"Brandon")</f>
        <v>Brandon</v>
      </c>
      <c r="F4596">
        <f>IFERROR(__xludf.DUMMYFUNCTION("""COMPUTED_VALUE"""),13.0)</f>
        <v>13</v>
      </c>
    </row>
    <row r="4597">
      <c r="D4597" t="str">
        <f>IFERROR(__xludf.DUMMYFUNCTION("""COMPUTED_VALUE"""),"Wile")</f>
        <v>Wile</v>
      </c>
      <c r="E4597" t="str">
        <f>IFERROR(__xludf.DUMMYFUNCTION("""COMPUTED_VALUE"""),"Matt")</f>
        <v>Matt</v>
      </c>
      <c r="F4597">
        <f>IFERROR(__xludf.DUMMYFUNCTION("""COMPUTED_VALUE"""),14.0)</f>
        <v>14</v>
      </c>
    </row>
    <row r="4598">
      <c r="D4598" t="str">
        <f>IFERROR(__xludf.DUMMYFUNCTION("""COMPUTED_VALUE"""),"Wilhoite")</f>
        <v>Wilhoite</v>
      </c>
      <c r="E4598" t="str">
        <f>IFERROR(__xludf.DUMMYFUNCTION("""COMPUTED_VALUE"""),"Michael")</f>
        <v>Michael</v>
      </c>
      <c r="F4598">
        <f>IFERROR(__xludf.DUMMYFUNCTION("""COMPUTED_VALUE"""),14.0)</f>
        <v>14</v>
      </c>
    </row>
    <row r="4599">
      <c r="D4599" t="str">
        <f>IFERROR(__xludf.DUMMYFUNCTION("""COMPUTED_VALUE"""),"Wilkerson")</f>
        <v>Wilkerson</v>
      </c>
      <c r="E4599" t="str">
        <f>IFERROR(__xludf.DUMMYFUNCTION("""COMPUTED_VALUE"""),"Muhammad")</f>
        <v>Muhammad</v>
      </c>
      <c r="F4599">
        <f>IFERROR(__xludf.DUMMYFUNCTION("""COMPUTED_VALUE"""),15.8)</f>
        <v>15.8</v>
      </c>
    </row>
    <row r="4600">
      <c r="D4600" t="str">
        <f>IFERROR(__xludf.DUMMYFUNCTION("""COMPUTED_VALUE"""),"Williams")</f>
        <v>Williams</v>
      </c>
      <c r="E4600" t="str">
        <f>IFERROR(__xludf.DUMMYFUNCTION("""COMPUTED_VALUE"""),"Andre")</f>
        <v>Andre</v>
      </c>
      <c r="F4600">
        <f>IFERROR(__xludf.DUMMYFUNCTION("""COMPUTED_VALUE"""),13.8)</f>
        <v>13.8</v>
      </c>
    </row>
    <row r="4601">
      <c r="D4601" t="str">
        <f>IFERROR(__xludf.DUMMYFUNCTION("""COMPUTED_VALUE"""),"Williams")</f>
        <v>Williams</v>
      </c>
      <c r="E4601" t="str">
        <f>IFERROR(__xludf.DUMMYFUNCTION("""COMPUTED_VALUE"""),"Antwione")</f>
        <v>Antwione</v>
      </c>
      <c r="F4601">
        <f>IFERROR(__xludf.DUMMYFUNCTION("""COMPUTED_VALUE"""),13.0)</f>
        <v>13</v>
      </c>
    </row>
    <row r="4602">
      <c r="D4602" t="str">
        <f>IFERROR(__xludf.DUMMYFUNCTION("""COMPUTED_VALUE"""),"Williams")</f>
        <v>Williams</v>
      </c>
      <c r="E4602" t="str">
        <f>IFERROR(__xludf.DUMMYFUNCTION("""COMPUTED_VALUE"""),"Brandon")</f>
        <v>Brandon</v>
      </c>
      <c r="F4602">
        <f>IFERROR(__xludf.DUMMYFUNCTION("""COMPUTED_VALUE"""),14.200000000000001)</f>
        <v>14.2</v>
      </c>
    </row>
    <row r="4603">
      <c r="D4603" t="str">
        <f>IFERROR(__xludf.DUMMYFUNCTION("""COMPUTED_VALUE"""),"Williams")</f>
        <v>Williams</v>
      </c>
      <c r="E4603" t="str">
        <f>IFERROR(__xludf.DUMMYFUNCTION("""COMPUTED_VALUE"""),"Brandon")</f>
        <v>Brandon</v>
      </c>
      <c r="F4603">
        <f>IFERROR(__xludf.DUMMYFUNCTION("""COMPUTED_VALUE"""),16.400000000000002)</f>
        <v>16.4</v>
      </c>
    </row>
    <row r="4604">
      <c r="D4604" t="str">
        <f>IFERROR(__xludf.DUMMYFUNCTION("""COMPUTED_VALUE"""),"Williams")</f>
        <v>Williams</v>
      </c>
      <c r="E4604" t="str">
        <f>IFERROR(__xludf.DUMMYFUNCTION("""COMPUTED_VALUE"""),"Brandon")</f>
        <v>Brandon</v>
      </c>
      <c r="F4604">
        <f>IFERROR(__xludf.DUMMYFUNCTION("""COMPUTED_VALUE"""),13.8)</f>
        <v>13.8</v>
      </c>
    </row>
    <row r="4605">
      <c r="D4605" t="str">
        <f>IFERROR(__xludf.DUMMYFUNCTION("""COMPUTED_VALUE"""),"Williams")</f>
        <v>Williams</v>
      </c>
      <c r="E4605" t="str">
        <f>IFERROR(__xludf.DUMMYFUNCTION("""COMPUTED_VALUE"""),"Chad")</f>
        <v>Chad</v>
      </c>
      <c r="F4605">
        <f>IFERROR(__xludf.DUMMYFUNCTION("""COMPUTED_VALUE"""),14.4)</f>
        <v>14.4</v>
      </c>
    </row>
    <row r="4606">
      <c r="D4606" t="str">
        <f>IFERROR(__xludf.DUMMYFUNCTION("""COMPUTED_VALUE"""),"Williams")</f>
        <v>Williams</v>
      </c>
      <c r="E4606" t="str">
        <f>IFERROR(__xludf.DUMMYFUNCTION("""COMPUTED_VALUE"""),"Damien")</f>
        <v>Damien</v>
      </c>
      <c r="F4606">
        <f>IFERROR(__xludf.DUMMYFUNCTION("""COMPUTED_VALUE"""),15.200000000000001)</f>
        <v>15.2</v>
      </c>
    </row>
    <row r="4607">
      <c r="D4607" t="str">
        <f>IFERROR(__xludf.DUMMYFUNCTION("""COMPUTED_VALUE"""),"Williams")</f>
        <v>Williams</v>
      </c>
      <c r="E4607" t="str">
        <f>IFERROR(__xludf.DUMMYFUNCTION("""COMPUTED_VALUE"""),"Darrell")</f>
        <v>Darrell</v>
      </c>
      <c r="F4607">
        <f>IFERROR(__xludf.DUMMYFUNCTION("""COMPUTED_VALUE"""),13.200000000000001)</f>
        <v>13.2</v>
      </c>
    </row>
    <row r="4608">
      <c r="D4608" t="str">
        <f>IFERROR(__xludf.DUMMYFUNCTION("""COMPUTED_VALUE"""),"Williams")</f>
        <v>Williams</v>
      </c>
      <c r="E4608" t="str">
        <f>IFERROR(__xludf.DUMMYFUNCTION("""COMPUTED_VALUE"""),"Daryl")</f>
        <v>Daryl</v>
      </c>
      <c r="F4608">
        <f>IFERROR(__xludf.DUMMYFUNCTION("""COMPUTED_VALUE"""),14.0)</f>
        <v>14</v>
      </c>
    </row>
    <row r="4609">
      <c r="D4609" t="str">
        <f>IFERROR(__xludf.DUMMYFUNCTION("""COMPUTED_VALUE"""),"Williams")</f>
        <v>Williams</v>
      </c>
      <c r="E4609" t="str">
        <f>IFERROR(__xludf.DUMMYFUNCTION("""COMPUTED_VALUE"""),"DeShawn")</f>
        <v>DeShawn</v>
      </c>
      <c r="F4609">
        <f>IFERROR(__xludf.DUMMYFUNCTION("""COMPUTED_VALUE"""),12.200000000000001)</f>
        <v>12.2</v>
      </c>
    </row>
    <row r="4610">
      <c r="D4610" t="str">
        <f>IFERROR(__xludf.DUMMYFUNCTION("""COMPUTED_VALUE"""),"Williams")</f>
        <v>Williams</v>
      </c>
      <c r="E4610" t="str">
        <f>IFERROR(__xludf.DUMMYFUNCTION("""COMPUTED_VALUE"""),"Jamaal")</f>
        <v>Jamaal</v>
      </c>
      <c r="F4610">
        <f>IFERROR(__xludf.DUMMYFUNCTION("""COMPUTED_VALUE"""),14.4)</f>
        <v>14.4</v>
      </c>
    </row>
    <row r="4611">
      <c r="D4611" t="str">
        <f>IFERROR(__xludf.DUMMYFUNCTION("""COMPUTED_VALUE"""),"Williams")</f>
        <v>Williams</v>
      </c>
      <c r="E4611" t="str">
        <f>IFERROR(__xludf.DUMMYFUNCTION("""COMPUTED_VALUE"""),"Joe")</f>
        <v>Joe</v>
      </c>
      <c r="F4611">
        <f>IFERROR(__xludf.DUMMYFUNCTION("""COMPUTED_VALUE"""),14.4)</f>
        <v>14.4</v>
      </c>
    </row>
    <row r="4612">
      <c r="D4612" t="str">
        <f>IFERROR(__xludf.DUMMYFUNCTION("""COMPUTED_VALUE"""),"Williams")</f>
        <v>Williams</v>
      </c>
      <c r="E4612" t="str">
        <f>IFERROR(__xludf.DUMMYFUNCTION("""COMPUTED_VALUE"""),"Jonathan")</f>
        <v>Jonathan</v>
      </c>
      <c r="F4612">
        <f>IFERROR(__xludf.DUMMYFUNCTION("""COMPUTED_VALUE"""),12.8)</f>
        <v>12.8</v>
      </c>
    </row>
    <row r="4613">
      <c r="D4613" t="str">
        <f>IFERROR(__xludf.DUMMYFUNCTION("""COMPUTED_VALUE"""),"Williams")</f>
        <v>Williams</v>
      </c>
      <c r="E4613" t="str">
        <f>IFERROR(__xludf.DUMMYFUNCTION("""COMPUTED_VALUE"""),"Jordan")</f>
        <v>Jordan</v>
      </c>
      <c r="F4613">
        <f>IFERROR(__xludf.DUMMYFUNCTION("""COMPUTED_VALUE"""),12.0)</f>
        <v>12</v>
      </c>
    </row>
    <row r="4614">
      <c r="D4614" t="str">
        <f>IFERROR(__xludf.DUMMYFUNCTION("""COMPUTED_VALUE"""),"Williams")</f>
        <v>Williams</v>
      </c>
      <c r="E4614" t="str">
        <f>IFERROR(__xludf.DUMMYFUNCTION("""COMPUTED_VALUE"""),"Kasen")</f>
        <v>Kasen</v>
      </c>
      <c r="F4614">
        <f>IFERROR(__xludf.DUMMYFUNCTION("""COMPUTED_VALUE"""),12.600000000000001)</f>
        <v>12.6</v>
      </c>
    </row>
    <row r="4615">
      <c r="D4615" t="str">
        <f>IFERROR(__xludf.DUMMYFUNCTION("""COMPUTED_VALUE"""),"Williams")</f>
        <v>Williams</v>
      </c>
      <c r="E4615" t="str">
        <f>IFERROR(__xludf.DUMMYFUNCTION("""COMPUTED_VALUE"""),"Kerwynn")</f>
        <v>Kerwynn</v>
      </c>
      <c r="F4615">
        <f>IFERROR(__xludf.DUMMYFUNCTION("""COMPUTED_VALUE"""),14.600000000000001)</f>
        <v>14.6</v>
      </c>
    </row>
    <row r="4616">
      <c r="D4616" t="str">
        <f>IFERROR(__xludf.DUMMYFUNCTION("""COMPUTED_VALUE"""),"Williams")</f>
        <v>Williams</v>
      </c>
      <c r="E4616" t="str">
        <f>IFERROR(__xludf.DUMMYFUNCTION("""COMPUTED_VALUE"""),"KWaun")</f>
        <v>KWaun</v>
      </c>
      <c r="F4616">
        <f>IFERROR(__xludf.DUMMYFUNCTION("""COMPUTED_VALUE"""),14.8)</f>
        <v>14.8</v>
      </c>
    </row>
    <row r="4617">
      <c r="D4617" t="str">
        <f>IFERROR(__xludf.DUMMYFUNCTION("""COMPUTED_VALUE"""),"Williams")</f>
        <v>Williams</v>
      </c>
      <c r="E4617" t="str">
        <f>IFERROR(__xludf.DUMMYFUNCTION("""COMPUTED_VALUE"""),"Kyle")</f>
        <v>Kyle</v>
      </c>
      <c r="F4617">
        <f>IFERROR(__xludf.DUMMYFUNCTION("""COMPUTED_VALUE"""),17.400000000000002)</f>
        <v>17.4</v>
      </c>
    </row>
    <row r="4618">
      <c r="D4618" t="str">
        <f>IFERROR(__xludf.DUMMYFUNCTION("""COMPUTED_VALUE"""),"Williams")</f>
        <v>Williams</v>
      </c>
      <c r="E4618" t="str">
        <f>IFERROR(__xludf.DUMMYFUNCTION("""COMPUTED_VALUE"""),"Leonard")</f>
        <v>Leonard</v>
      </c>
      <c r="F4618">
        <f>IFERROR(__xludf.DUMMYFUNCTION("""COMPUTED_VALUE"""),17.0)</f>
        <v>17</v>
      </c>
    </row>
    <row r="4619">
      <c r="D4619" t="str">
        <f>IFERROR(__xludf.DUMMYFUNCTION("""COMPUTED_VALUE"""),"Williams")</f>
        <v>Williams</v>
      </c>
      <c r="E4619" t="str">
        <f>IFERROR(__xludf.DUMMYFUNCTION("""COMPUTED_VALUE"""),"Marcus")</f>
        <v>Marcus</v>
      </c>
      <c r="F4619">
        <f>IFERROR(__xludf.DUMMYFUNCTION("""COMPUTED_VALUE"""),15.0)</f>
        <v>15</v>
      </c>
    </row>
    <row r="4620">
      <c r="D4620" t="str">
        <f>IFERROR(__xludf.DUMMYFUNCTION("""COMPUTED_VALUE"""),"Williams")</f>
        <v>Williams</v>
      </c>
      <c r="E4620" t="str">
        <f>IFERROR(__xludf.DUMMYFUNCTION("""COMPUTED_VALUE"""),"Marcus")</f>
        <v>Marcus</v>
      </c>
      <c r="F4620">
        <f>IFERROR(__xludf.DUMMYFUNCTION("""COMPUTED_VALUE"""),14.8)</f>
        <v>14.8</v>
      </c>
    </row>
    <row r="4621">
      <c r="D4621" t="str">
        <f>IFERROR(__xludf.DUMMYFUNCTION("""COMPUTED_VALUE"""),"Williams")</f>
        <v>Williams</v>
      </c>
      <c r="E4621" t="str">
        <f>IFERROR(__xludf.DUMMYFUNCTION("""COMPUTED_VALUE"""),"Marquez")</f>
        <v>Marquez</v>
      </c>
      <c r="F4621">
        <f>IFERROR(__xludf.DUMMYFUNCTION("""COMPUTED_VALUE"""),13.600000000000001)</f>
        <v>13.6</v>
      </c>
    </row>
    <row r="4622">
      <c r="D4622" t="str">
        <f>IFERROR(__xludf.DUMMYFUNCTION("""COMPUTED_VALUE"""),"Williams")</f>
        <v>Williams</v>
      </c>
      <c r="E4622" t="str">
        <f>IFERROR(__xludf.DUMMYFUNCTION("""COMPUTED_VALUE"""),"Maxx")</f>
        <v>Maxx</v>
      </c>
      <c r="F4622">
        <f>IFERROR(__xludf.DUMMYFUNCTION("""COMPUTED_VALUE"""),15.200000000000001)</f>
        <v>15.2</v>
      </c>
    </row>
    <row r="4623">
      <c r="D4623" t="str">
        <f>IFERROR(__xludf.DUMMYFUNCTION("""COMPUTED_VALUE"""),"Williams")</f>
        <v>Williams</v>
      </c>
      <c r="E4623" t="str">
        <f>IFERROR(__xludf.DUMMYFUNCTION("""COMPUTED_VALUE"""),"Mike")</f>
        <v>Mike</v>
      </c>
      <c r="F4623">
        <f>IFERROR(__xludf.DUMMYFUNCTION("""COMPUTED_VALUE"""),15.8)</f>
        <v>15.8</v>
      </c>
    </row>
    <row r="4624">
      <c r="D4624" t="str">
        <f>IFERROR(__xludf.DUMMYFUNCTION("""COMPUTED_VALUE"""),"Williams")</f>
        <v>Williams</v>
      </c>
      <c r="E4624" t="str">
        <f>IFERROR(__xludf.DUMMYFUNCTION("""COMPUTED_VALUE"""),"Nick")</f>
        <v>Nick</v>
      </c>
      <c r="F4624">
        <f>IFERROR(__xludf.DUMMYFUNCTION("""COMPUTED_VALUE"""),14.0)</f>
        <v>14</v>
      </c>
    </row>
    <row r="4625">
      <c r="D4625" t="str">
        <f>IFERROR(__xludf.DUMMYFUNCTION("""COMPUTED_VALUE"""),"Williams")</f>
        <v>Williams</v>
      </c>
      <c r="E4625" t="str">
        <f>IFERROR(__xludf.DUMMYFUNCTION("""COMPUTED_VALUE"""),"Nick")</f>
        <v>Nick</v>
      </c>
      <c r="F4625">
        <f>IFERROR(__xludf.DUMMYFUNCTION("""COMPUTED_VALUE"""),13.600000000000001)</f>
        <v>13.6</v>
      </c>
    </row>
    <row r="4626">
      <c r="D4626" t="str">
        <f>IFERROR(__xludf.DUMMYFUNCTION("""COMPUTED_VALUE"""),"Williams")</f>
        <v>Williams</v>
      </c>
      <c r="E4626" t="str">
        <f>IFERROR(__xludf.DUMMYFUNCTION("""COMPUTED_VALUE"""),"PJ")</f>
        <v>PJ</v>
      </c>
      <c r="F4626">
        <f>IFERROR(__xludf.DUMMYFUNCTION("""COMPUTED_VALUE"""),14.8)</f>
        <v>14.8</v>
      </c>
    </row>
    <row r="4627">
      <c r="D4627" t="str">
        <f>IFERROR(__xludf.DUMMYFUNCTION("""COMPUTED_VALUE"""),"Williams")</f>
        <v>Williams</v>
      </c>
      <c r="E4627" t="str">
        <f>IFERROR(__xludf.DUMMYFUNCTION("""COMPUTED_VALUE"""),"Shawn")</f>
        <v>Shawn</v>
      </c>
      <c r="F4627">
        <f>IFERROR(__xludf.DUMMYFUNCTION("""COMPUTED_VALUE"""),16.0)</f>
        <v>16</v>
      </c>
    </row>
    <row r="4628">
      <c r="D4628" t="str">
        <f>IFERROR(__xludf.DUMMYFUNCTION("""COMPUTED_VALUE"""),"Williams")</f>
        <v>Williams</v>
      </c>
      <c r="E4628" t="str">
        <f>IFERROR(__xludf.DUMMYFUNCTION("""COMPUTED_VALUE"""),"Sylvester")</f>
        <v>Sylvester</v>
      </c>
      <c r="F4628">
        <f>IFERROR(__xludf.DUMMYFUNCTION("""COMPUTED_VALUE"""),14.4)</f>
        <v>14.4</v>
      </c>
    </row>
    <row r="4629">
      <c r="D4629" t="str">
        <f>IFERROR(__xludf.DUMMYFUNCTION("""COMPUTED_VALUE"""),"Williams")</f>
        <v>Williams</v>
      </c>
      <c r="E4629" t="str">
        <f>IFERROR(__xludf.DUMMYFUNCTION("""COMPUTED_VALUE"""),"Teddy")</f>
        <v>Teddy</v>
      </c>
      <c r="F4629">
        <f>IFERROR(__xludf.DUMMYFUNCTION("""COMPUTED_VALUE"""),12.4)</f>
        <v>12.4</v>
      </c>
    </row>
    <row r="4630">
      <c r="D4630" t="str">
        <f>IFERROR(__xludf.DUMMYFUNCTION("""COMPUTED_VALUE"""),"Williams")</f>
        <v>Williams</v>
      </c>
      <c r="E4630" t="str">
        <f>IFERROR(__xludf.DUMMYFUNCTION("""COMPUTED_VALUE"""),"Terrance")</f>
        <v>Terrance</v>
      </c>
      <c r="F4630">
        <f>IFERROR(__xludf.DUMMYFUNCTION("""COMPUTED_VALUE"""),16.0)</f>
        <v>16</v>
      </c>
    </row>
    <row r="4631">
      <c r="D4631" t="str">
        <f>IFERROR(__xludf.DUMMYFUNCTION("""COMPUTED_VALUE"""),"Williams")</f>
        <v>Williams</v>
      </c>
      <c r="E4631" t="str">
        <f>IFERROR(__xludf.DUMMYFUNCTION("""COMPUTED_VALUE"""),"Tim")</f>
        <v>Tim</v>
      </c>
      <c r="F4631">
        <f>IFERROR(__xludf.DUMMYFUNCTION("""COMPUTED_VALUE"""),14.200000000000001)</f>
        <v>14.2</v>
      </c>
    </row>
    <row r="4632">
      <c r="D4632" t="str">
        <f>IFERROR(__xludf.DUMMYFUNCTION("""COMPUTED_VALUE"""),"Williams")</f>
        <v>Williams</v>
      </c>
      <c r="E4632" t="str">
        <f>IFERROR(__xludf.DUMMYFUNCTION("""COMPUTED_VALUE"""),"Trent")</f>
        <v>Trent</v>
      </c>
      <c r="F4632">
        <f>IFERROR(__xludf.DUMMYFUNCTION("""COMPUTED_VALUE"""),19.0)</f>
        <v>19</v>
      </c>
    </row>
    <row r="4633">
      <c r="D4633" t="str">
        <f>IFERROR(__xludf.DUMMYFUNCTION("""COMPUTED_VALUE"""),"Williams")</f>
        <v>Williams</v>
      </c>
      <c r="E4633" t="str">
        <f>IFERROR(__xludf.DUMMYFUNCTION("""COMPUTED_VALUE"""),"Trevor")</f>
        <v>Trevor</v>
      </c>
      <c r="F4633">
        <f>IFERROR(__xludf.DUMMYFUNCTION("""COMPUTED_VALUE"""),13.200000000000001)</f>
        <v>13.2</v>
      </c>
    </row>
    <row r="4634">
      <c r="D4634" t="str">
        <f>IFERROR(__xludf.DUMMYFUNCTION("""COMPUTED_VALUE"""),"Williams")</f>
        <v>Williams</v>
      </c>
      <c r="E4634" t="str">
        <f>IFERROR(__xludf.DUMMYFUNCTION("""COMPUTED_VALUE"""),"Tyrell")</f>
        <v>Tyrell</v>
      </c>
      <c r="F4634">
        <f>IFERROR(__xludf.DUMMYFUNCTION("""COMPUTED_VALUE"""),16.0)</f>
        <v>16</v>
      </c>
    </row>
    <row r="4635">
      <c r="D4635" t="str">
        <f>IFERROR(__xludf.DUMMYFUNCTION("""COMPUTED_VALUE"""),"Williams")</f>
        <v>Williams</v>
      </c>
      <c r="E4635" t="str">
        <f>IFERROR(__xludf.DUMMYFUNCTION("""COMPUTED_VALUE"""),"Vince")</f>
        <v>Vince</v>
      </c>
      <c r="F4635">
        <f>IFERROR(__xludf.DUMMYFUNCTION("""COMPUTED_VALUE"""),14.8)</f>
        <v>14.8</v>
      </c>
    </row>
    <row r="4636">
      <c r="D4636" t="str">
        <f>IFERROR(__xludf.DUMMYFUNCTION("""COMPUTED_VALUE"""),"Williams")</f>
        <v>Williams</v>
      </c>
      <c r="E4636" t="str">
        <f>IFERROR(__xludf.DUMMYFUNCTION("""COMPUTED_VALUE"""),"Wendall")</f>
        <v>Wendall</v>
      </c>
      <c r="F4636">
        <f>IFERROR(__xludf.DUMMYFUNCTION("""COMPUTED_VALUE"""),12.4)</f>
        <v>12.4</v>
      </c>
    </row>
    <row r="4637">
      <c r="D4637" t="str">
        <f>IFERROR(__xludf.DUMMYFUNCTION("""COMPUTED_VALUE"""),"Williams")</f>
        <v>Williams</v>
      </c>
      <c r="E4637" t="str">
        <f>IFERROR(__xludf.DUMMYFUNCTION("""COMPUTED_VALUE"""),"Xavier")</f>
        <v>Xavier</v>
      </c>
      <c r="F4637">
        <f>IFERROR(__xludf.DUMMYFUNCTION("""COMPUTED_VALUE"""),12.0)</f>
        <v>12</v>
      </c>
    </row>
    <row r="4638">
      <c r="D4638" t="str">
        <f>IFERROR(__xludf.DUMMYFUNCTION("""COMPUTED_VALUE"""),"Williamson")</f>
        <v>Williamson</v>
      </c>
      <c r="E4638" t="str">
        <f>IFERROR(__xludf.DUMMYFUNCTION("""COMPUTED_VALUE"""),"Avery")</f>
        <v>Avery</v>
      </c>
      <c r="F4638">
        <f>IFERROR(__xludf.DUMMYFUNCTION("""COMPUTED_VALUE"""),15.8)</f>
        <v>15.8</v>
      </c>
    </row>
    <row r="4639">
      <c r="D4639" t="str">
        <f>IFERROR(__xludf.DUMMYFUNCTION("""COMPUTED_VALUE"""),"Willis")</f>
        <v>Willis</v>
      </c>
      <c r="E4639" t="str">
        <f>IFERROR(__xludf.DUMMYFUNCTION("""COMPUTED_VALUE"""),"Jordan")</f>
        <v>Jordan</v>
      </c>
      <c r="F4639">
        <f>IFERROR(__xludf.DUMMYFUNCTION("""COMPUTED_VALUE"""),15.200000000000001)</f>
        <v>15.2</v>
      </c>
    </row>
    <row r="4640">
      <c r="D4640" t="str">
        <f>IFERROR(__xludf.DUMMYFUNCTION("""COMPUTED_VALUE"""),"Willson")</f>
        <v>Willson</v>
      </c>
      <c r="E4640" t="str">
        <f>IFERROR(__xludf.DUMMYFUNCTION("""COMPUTED_VALUE"""),"Luke")</f>
        <v>Luke</v>
      </c>
      <c r="F4640">
        <f>IFERROR(__xludf.DUMMYFUNCTION("""COMPUTED_VALUE"""),15.200000000000001)</f>
        <v>15.2</v>
      </c>
    </row>
    <row r="4641">
      <c r="D4641" t="str">
        <f>IFERROR(__xludf.DUMMYFUNCTION("""COMPUTED_VALUE"""),"Wilson")</f>
        <v>Wilson</v>
      </c>
      <c r="E4641" t="str">
        <f>IFERROR(__xludf.DUMMYFUNCTION("""COMPUTED_VALUE"""),"Albert")</f>
        <v>Albert</v>
      </c>
      <c r="F4641">
        <f>IFERROR(__xludf.DUMMYFUNCTION("""COMPUTED_VALUE"""),14.8)</f>
        <v>14.8</v>
      </c>
    </row>
    <row r="4642">
      <c r="D4642" t="str">
        <f>IFERROR(__xludf.DUMMYFUNCTION("""COMPUTED_VALUE"""),"Wilson")</f>
        <v>Wilson</v>
      </c>
      <c r="E4642" t="str">
        <f>IFERROR(__xludf.DUMMYFUNCTION("""COMPUTED_VALUE"""),"Brandon")</f>
        <v>Brandon</v>
      </c>
      <c r="F4642">
        <f>IFERROR(__xludf.DUMMYFUNCTION("""COMPUTED_VALUE"""),12.8)</f>
        <v>12.8</v>
      </c>
    </row>
    <row r="4643">
      <c r="D4643" t="str">
        <f>IFERROR(__xludf.DUMMYFUNCTION("""COMPUTED_VALUE"""),"Wilson")</f>
        <v>Wilson</v>
      </c>
      <c r="E4643" t="str">
        <f>IFERROR(__xludf.DUMMYFUNCTION("""COMPUTED_VALUE"""),"CJ")</f>
        <v>CJ</v>
      </c>
      <c r="F4643">
        <f>IFERROR(__xludf.DUMMYFUNCTION("""COMPUTED_VALUE"""),14.200000000000001)</f>
        <v>14.2</v>
      </c>
    </row>
    <row r="4644">
      <c r="D4644" t="str">
        <f>IFERROR(__xludf.DUMMYFUNCTION("""COMPUTED_VALUE"""),"Wilson")</f>
        <v>Wilson</v>
      </c>
      <c r="E4644" t="str">
        <f>IFERROR(__xludf.DUMMYFUNCTION("""COMPUTED_VALUE"""),"Damien")</f>
        <v>Damien</v>
      </c>
      <c r="F4644">
        <f>IFERROR(__xludf.DUMMYFUNCTION("""COMPUTED_VALUE"""),14.600000000000001)</f>
        <v>14.6</v>
      </c>
    </row>
    <row r="4645">
      <c r="D4645" t="str">
        <f>IFERROR(__xludf.DUMMYFUNCTION("""COMPUTED_VALUE"""),"Wilson")</f>
        <v>Wilson</v>
      </c>
      <c r="E4645" t="str">
        <f>IFERROR(__xludf.DUMMYFUNCTION("""COMPUTED_VALUE"""),"Eric")</f>
        <v>Eric</v>
      </c>
      <c r="F4645">
        <f>IFERROR(__xludf.DUMMYFUNCTION("""COMPUTED_VALUE"""),12.200000000000001)</f>
        <v>12.2</v>
      </c>
    </row>
    <row r="4646">
      <c r="D4646" t="str">
        <f>IFERROR(__xludf.DUMMYFUNCTION("""COMPUTED_VALUE"""),"Wilson")</f>
        <v>Wilson</v>
      </c>
      <c r="E4646" t="str">
        <f>IFERROR(__xludf.DUMMYFUNCTION("""COMPUTED_VALUE"""),"Howard")</f>
        <v>Howard</v>
      </c>
      <c r="F4646">
        <f>IFERROR(__xludf.DUMMYFUNCTION("""COMPUTED_VALUE"""),13.8)</f>
        <v>13.8</v>
      </c>
    </row>
    <row r="4647">
      <c r="D4647" t="str">
        <f>IFERROR(__xludf.DUMMYFUNCTION("""COMPUTED_VALUE"""),"Wilson")</f>
        <v>Wilson</v>
      </c>
      <c r="E4647" t="str">
        <f>IFERROR(__xludf.DUMMYFUNCTION("""COMPUTED_VALUE"""),"Jarrod")</f>
        <v>Jarrod</v>
      </c>
      <c r="F4647">
        <f>IFERROR(__xludf.DUMMYFUNCTION("""COMPUTED_VALUE"""),12.4)</f>
        <v>12.4</v>
      </c>
    </row>
    <row r="4648">
      <c r="D4648" t="str">
        <f>IFERROR(__xludf.DUMMYFUNCTION("""COMPUTED_VALUE"""),"Wilson")</f>
        <v>Wilson</v>
      </c>
      <c r="E4648" t="str">
        <f>IFERROR(__xludf.DUMMYFUNCTION("""COMPUTED_VALUE"""),"Quincy")</f>
        <v>Quincy</v>
      </c>
      <c r="F4648">
        <f>IFERROR(__xludf.DUMMYFUNCTION("""COMPUTED_VALUE"""),14.8)</f>
        <v>14.8</v>
      </c>
    </row>
    <row r="4649">
      <c r="D4649" t="str">
        <f>IFERROR(__xludf.DUMMYFUNCTION("""COMPUTED_VALUE"""),"Wilson")</f>
        <v>Wilson</v>
      </c>
      <c r="E4649" t="str">
        <f>IFERROR(__xludf.DUMMYFUNCTION("""COMPUTED_VALUE"""),"Ramik")</f>
        <v>Ramik</v>
      </c>
      <c r="F4649">
        <f>IFERROR(__xludf.DUMMYFUNCTION("""COMPUTED_VALUE"""),15.8)</f>
        <v>15.8</v>
      </c>
    </row>
    <row r="4650">
      <c r="D4650" t="str">
        <f>IFERROR(__xludf.DUMMYFUNCTION("""COMPUTED_VALUE"""),"Wilson")</f>
        <v>Wilson</v>
      </c>
      <c r="E4650" t="str">
        <f>IFERROR(__xludf.DUMMYFUNCTION("""COMPUTED_VALUE"""),"Russell")</f>
        <v>Russell</v>
      </c>
      <c r="F4650">
        <f>IFERROR(__xludf.DUMMYFUNCTION("""COMPUTED_VALUE"""),18.0)</f>
        <v>18</v>
      </c>
    </row>
    <row r="4651">
      <c r="D4651" t="str">
        <f>IFERROR(__xludf.DUMMYFUNCTION("""COMPUTED_VALUE"""),"Wilson Jr")</f>
        <v>Wilson Jr</v>
      </c>
      <c r="E4651" t="str">
        <f>IFERROR(__xludf.DUMMYFUNCTION("""COMPUTED_VALUE"""),"Bobo")</f>
        <v>Bobo</v>
      </c>
      <c r="F4651">
        <f>IFERROR(__xludf.DUMMYFUNCTION("""COMPUTED_VALUE"""),12.4)</f>
        <v>12.4</v>
      </c>
    </row>
    <row r="4652">
      <c r="D4652" t="str">
        <f>IFERROR(__xludf.DUMMYFUNCTION("""COMPUTED_VALUE"""),"Wilson Sr")</f>
        <v>Wilson Sr</v>
      </c>
      <c r="E4652" t="str">
        <f>IFERROR(__xludf.DUMMYFUNCTION("""COMPUTED_VALUE"""),"Tavon")</f>
        <v>Tavon</v>
      </c>
      <c r="F4652">
        <f>IFERROR(__xludf.DUMMYFUNCTION("""COMPUTED_VALUE"""),16.400000000000002)</f>
        <v>16.4</v>
      </c>
    </row>
    <row r="4653">
      <c r="D4653" t="str">
        <f>IFERROR(__xludf.DUMMYFUNCTION("""COMPUTED_VALUE"""),"Winchester")</f>
        <v>Winchester</v>
      </c>
      <c r="E4653" t="str">
        <f>IFERROR(__xludf.DUMMYFUNCTION("""COMPUTED_VALUE"""),"James")</f>
        <v>James</v>
      </c>
      <c r="F4653">
        <f>IFERROR(__xludf.DUMMYFUNCTION("""COMPUTED_VALUE"""),8.6)</f>
        <v>8.6</v>
      </c>
    </row>
    <row r="4654">
      <c r="D4654" t="str">
        <f>IFERROR(__xludf.DUMMYFUNCTION("""COMPUTED_VALUE"""),"Windt")</f>
        <v>Windt</v>
      </c>
      <c r="E4654" t="str">
        <f>IFERROR(__xludf.DUMMYFUNCTION("""COMPUTED_VALUE"""),"Mike")</f>
        <v>Mike</v>
      </c>
      <c r="F4654">
        <f>IFERROR(__xludf.DUMMYFUNCTION("""COMPUTED_VALUE"""),9.4)</f>
        <v>9.4</v>
      </c>
    </row>
    <row r="4655">
      <c r="D4655" t="str">
        <f>IFERROR(__xludf.DUMMYFUNCTION("""COMPUTED_VALUE"""),"Wing")</f>
        <v>Wing</v>
      </c>
      <c r="E4655" t="str">
        <f>IFERROR(__xludf.DUMMYFUNCTION("""COMPUTED_VALUE"""),"Brad")</f>
        <v>Brad</v>
      </c>
      <c r="F4655">
        <f>IFERROR(__xludf.DUMMYFUNCTION("""COMPUTED_VALUE"""),15.4)</f>
        <v>15.4</v>
      </c>
    </row>
    <row r="4656">
      <c r="D4656" t="str">
        <f>IFERROR(__xludf.DUMMYFUNCTION("""COMPUTED_VALUE"""),"Winn")</f>
        <v>Winn</v>
      </c>
      <c r="E4656" t="str">
        <f>IFERROR(__xludf.DUMMYFUNCTION("""COMPUTED_VALUE"""),"Billy")</f>
        <v>Billy</v>
      </c>
      <c r="F4656">
        <f>IFERROR(__xludf.DUMMYFUNCTION("""COMPUTED_VALUE"""),13.600000000000001)</f>
        <v>13.6</v>
      </c>
    </row>
    <row r="4657">
      <c r="D4657" t="str">
        <f>IFERROR(__xludf.DUMMYFUNCTION("""COMPUTED_VALUE"""),"Winston")</f>
        <v>Winston</v>
      </c>
      <c r="E4657" t="str">
        <f>IFERROR(__xludf.DUMMYFUNCTION("""COMPUTED_VALUE"""),"Eric")</f>
        <v>Eric</v>
      </c>
      <c r="F4657">
        <f>IFERROR(__xludf.DUMMYFUNCTION("""COMPUTED_VALUE"""),14.4)</f>
        <v>14.4</v>
      </c>
    </row>
    <row r="4658">
      <c r="D4658" t="str">
        <f>IFERROR(__xludf.DUMMYFUNCTION("""COMPUTED_VALUE"""),"Winston")</f>
        <v>Winston</v>
      </c>
      <c r="E4658" t="str">
        <f>IFERROR(__xludf.DUMMYFUNCTION("""COMPUTED_VALUE"""),"Jameis")</f>
        <v>Jameis</v>
      </c>
      <c r="F4658">
        <f>IFERROR(__xludf.DUMMYFUNCTION("""COMPUTED_VALUE"""),16.2)</f>
        <v>16.2</v>
      </c>
    </row>
    <row r="4659">
      <c r="D4659" t="str">
        <f>IFERROR(__xludf.DUMMYFUNCTION("""COMPUTED_VALUE"""),"Winters")</f>
        <v>Winters</v>
      </c>
      <c r="E4659" t="str">
        <f>IFERROR(__xludf.DUMMYFUNCTION("""COMPUTED_VALUE"""),"Brian")</f>
        <v>Brian</v>
      </c>
      <c r="F4659">
        <f>IFERROR(__xludf.DUMMYFUNCTION("""COMPUTED_VALUE"""),15.600000000000001)</f>
        <v>15.6</v>
      </c>
    </row>
    <row r="4660">
      <c r="D4660" t="str">
        <f>IFERROR(__xludf.DUMMYFUNCTION("""COMPUTED_VALUE"""),"Wise Jr")</f>
        <v>Wise Jr</v>
      </c>
      <c r="E4660" t="str">
        <f>IFERROR(__xludf.DUMMYFUNCTION("""COMPUTED_VALUE"""),"Deatrich")</f>
        <v>Deatrich</v>
      </c>
      <c r="F4660">
        <f>IFERROR(__xludf.DUMMYFUNCTION("""COMPUTED_VALUE"""),13.8)</f>
        <v>13.8</v>
      </c>
    </row>
    <row r="4661">
      <c r="D4661" t="str">
        <f>IFERROR(__xludf.DUMMYFUNCTION("""COMPUTED_VALUE"""),"Wisniewski")</f>
        <v>Wisniewski</v>
      </c>
      <c r="E4661" t="str">
        <f>IFERROR(__xludf.DUMMYFUNCTION("""COMPUTED_VALUE"""),"Stefen")</f>
        <v>Stefen</v>
      </c>
      <c r="F4661">
        <f>IFERROR(__xludf.DUMMYFUNCTION("""COMPUTED_VALUE"""),14.600000000000001)</f>
        <v>14.6</v>
      </c>
    </row>
    <row r="4662">
      <c r="D4662" t="str">
        <f>IFERROR(__xludf.DUMMYFUNCTION("""COMPUTED_VALUE"""),"Witherspoon")</f>
        <v>Witherspoon</v>
      </c>
      <c r="E4662" t="str">
        <f>IFERROR(__xludf.DUMMYFUNCTION("""COMPUTED_VALUE"""),"Ahkello")</f>
        <v>Ahkello</v>
      </c>
      <c r="F4662">
        <f>IFERROR(__xludf.DUMMYFUNCTION("""COMPUTED_VALUE"""),14.200000000000001)</f>
        <v>14.2</v>
      </c>
    </row>
    <row r="4663">
      <c r="D4663" t="str">
        <f>IFERROR(__xludf.DUMMYFUNCTION("""COMPUTED_VALUE"""),"Witten")</f>
        <v>Witten</v>
      </c>
      <c r="E4663" t="str">
        <f>IFERROR(__xludf.DUMMYFUNCTION("""COMPUTED_VALUE"""),"Jason")</f>
        <v>Jason</v>
      </c>
      <c r="F4663">
        <f>IFERROR(__xludf.DUMMYFUNCTION("""COMPUTED_VALUE"""),18.0)</f>
        <v>18</v>
      </c>
    </row>
    <row r="4664">
      <c r="D4664" t="str">
        <f>IFERROR(__xludf.DUMMYFUNCTION("""COMPUTED_VALUE"""),"Witzmann")</f>
        <v>Witzmann</v>
      </c>
      <c r="E4664" t="str">
        <f>IFERROR(__xludf.DUMMYFUNCTION("""COMPUTED_VALUE"""),"Bryan")</f>
        <v>Bryan</v>
      </c>
      <c r="F4664">
        <f>IFERROR(__xludf.DUMMYFUNCTION("""COMPUTED_VALUE"""),13.200000000000001)</f>
        <v>13.2</v>
      </c>
    </row>
    <row r="4665">
      <c r="D4665" t="str">
        <f>IFERROR(__xludf.DUMMYFUNCTION("""COMPUTED_VALUE"""),"Wolfe")</f>
        <v>Wolfe</v>
      </c>
      <c r="E4665" t="str">
        <f>IFERROR(__xludf.DUMMYFUNCTION("""COMPUTED_VALUE"""),"Derek")</f>
        <v>Derek</v>
      </c>
      <c r="F4665">
        <f>IFERROR(__xludf.DUMMYFUNCTION("""COMPUTED_VALUE"""),16.2)</f>
        <v>16.2</v>
      </c>
    </row>
    <row r="4666">
      <c r="D4666" t="str">
        <f>IFERROR(__xludf.DUMMYFUNCTION("""COMPUTED_VALUE"""),"Wolff IV")</f>
        <v>Wolff IV</v>
      </c>
      <c r="E4666" t="str">
        <f>IFERROR(__xludf.DUMMYFUNCTION("""COMPUTED_VALUE"""),"Earl")</f>
        <v>Earl</v>
      </c>
      <c r="F4666">
        <f>IFERROR(__xludf.DUMMYFUNCTION("""COMPUTED_VALUE"""),13.200000000000001)</f>
        <v>13.2</v>
      </c>
    </row>
    <row r="4667">
      <c r="D4667" t="str">
        <f>IFERROR(__xludf.DUMMYFUNCTION("""COMPUTED_VALUE"""),"Wood")</f>
        <v>Wood</v>
      </c>
      <c r="E4667" t="str">
        <f>IFERROR(__xludf.DUMMYFUNCTION("""COMPUTED_VALUE"""),"Eric")</f>
        <v>Eric</v>
      </c>
      <c r="F4667">
        <f>IFERROR(__xludf.DUMMYFUNCTION("""COMPUTED_VALUE"""),14.600000000000001)</f>
        <v>14.6</v>
      </c>
    </row>
    <row r="4668">
      <c r="D4668" t="str">
        <f>IFERROR(__xludf.DUMMYFUNCTION("""COMPUTED_VALUE"""),"Woodard")</f>
        <v>Woodard</v>
      </c>
      <c r="E4668" t="str">
        <f>IFERROR(__xludf.DUMMYFUNCTION("""COMPUTED_VALUE"""),"Jonathan")</f>
        <v>Jonathan</v>
      </c>
      <c r="F4668">
        <f>IFERROR(__xludf.DUMMYFUNCTION("""COMPUTED_VALUE"""),12.600000000000001)</f>
        <v>12.6</v>
      </c>
    </row>
    <row r="4669">
      <c r="D4669" t="str">
        <f>IFERROR(__xludf.DUMMYFUNCTION("""COMPUTED_VALUE"""),"Woodhead")</f>
        <v>Woodhead</v>
      </c>
      <c r="E4669" t="str">
        <f>IFERROR(__xludf.DUMMYFUNCTION("""COMPUTED_VALUE"""),"Danny")</f>
        <v>Danny</v>
      </c>
      <c r="F4669">
        <f>IFERROR(__xludf.DUMMYFUNCTION("""COMPUTED_VALUE"""),16.400000000000002)</f>
        <v>16.4</v>
      </c>
    </row>
    <row r="4670">
      <c r="D4670" t="str">
        <f>IFERROR(__xludf.DUMMYFUNCTION("""COMPUTED_VALUE"""),"Woods")</f>
        <v>Woods</v>
      </c>
      <c r="E4670" t="str">
        <f>IFERROR(__xludf.DUMMYFUNCTION("""COMPUTED_VALUE"""),"Al")</f>
        <v>Al</v>
      </c>
      <c r="F4670">
        <f>IFERROR(__xludf.DUMMYFUNCTION("""COMPUTED_VALUE"""),14.8)</f>
        <v>14.8</v>
      </c>
    </row>
    <row r="4671">
      <c r="D4671" t="str">
        <f>IFERROR(__xludf.DUMMYFUNCTION("""COMPUTED_VALUE"""),"Woods")</f>
        <v>Woods</v>
      </c>
      <c r="E4671" t="str">
        <f>IFERROR(__xludf.DUMMYFUNCTION("""COMPUTED_VALUE"""),"Robert")</f>
        <v>Robert</v>
      </c>
      <c r="F4671">
        <f>IFERROR(__xludf.DUMMYFUNCTION("""COMPUTED_VALUE"""),15.600000000000001)</f>
        <v>15.6</v>
      </c>
    </row>
    <row r="4672">
      <c r="D4672" t="str">
        <f>IFERROR(__xludf.DUMMYFUNCTION("""COMPUTED_VALUE"""),"Woods")</f>
        <v>Woods</v>
      </c>
      <c r="E4672" t="str">
        <f>IFERROR(__xludf.DUMMYFUNCTION("""COMPUTED_VALUE"""),"Xavier")</f>
        <v>Xavier</v>
      </c>
      <c r="F4672">
        <f>IFERROR(__xludf.DUMMYFUNCTION("""COMPUTED_VALUE"""),13.8)</f>
        <v>13.8</v>
      </c>
    </row>
    <row r="4673">
      <c r="D4673" t="str">
        <f>IFERROR(__xludf.DUMMYFUNCTION("""COMPUTED_VALUE"""),"Woodyard")</f>
        <v>Woodyard</v>
      </c>
      <c r="E4673" t="str">
        <f>IFERROR(__xludf.DUMMYFUNCTION("""COMPUTED_VALUE"""),"Wesley")</f>
        <v>Wesley</v>
      </c>
      <c r="F4673">
        <f>IFERROR(__xludf.DUMMYFUNCTION("""COMPUTED_VALUE"""),16.400000000000002)</f>
        <v>16.4</v>
      </c>
    </row>
    <row r="4674">
      <c r="D4674" t="str">
        <f>IFERROR(__xludf.DUMMYFUNCTION("""COMPUTED_VALUE"""),"Worley")</f>
        <v>Worley</v>
      </c>
      <c r="E4674" t="str">
        <f>IFERROR(__xludf.DUMMYFUNCTION("""COMPUTED_VALUE"""),"Daryl")</f>
        <v>Daryl</v>
      </c>
      <c r="F4674">
        <f>IFERROR(__xludf.DUMMYFUNCTION("""COMPUTED_VALUE"""),14.8)</f>
        <v>14.8</v>
      </c>
    </row>
    <row r="4675">
      <c r="D4675" t="str">
        <f>IFERROR(__xludf.DUMMYFUNCTION("""COMPUTED_VALUE"""),"Wormley")</f>
        <v>Wormley</v>
      </c>
      <c r="E4675" t="str">
        <f>IFERROR(__xludf.DUMMYFUNCTION("""COMPUTED_VALUE"""),"Chris")</f>
        <v>Chris</v>
      </c>
      <c r="F4675">
        <f>IFERROR(__xludf.DUMMYFUNCTION("""COMPUTED_VALUE"""),14.4)</f>
        <v>14.4</v>
      </c>
    </row>
    <row r="4676">
      <c r="D4676" t="str">
        <f>IFERROR(__xludf.DUMMYFUNCTION("""COMPUTED_VALUE"""),"Worrilow")</f>
        <v>Worrilow</v>
      </c>
      <c r="E4676" t="str">
        <f>IFERROR(__xludf.DUMMYFUNCTION("""COMPUTED_VALUE"""),"Paul")</f>
        <v>Paul</v>
      </c>
      <c r="F4676">
        <f>IFERROR(__xludf.DUMMYFUNCTION("""COMPUTED_VALUE"""),15.0)</f>
        <v>15</v>
      </c>
    </row>
    <row r="4677">
      <c r="D4677" t="str">
        <f>IFERROR(__xludf.DUMMYFUNCTION("""COMPUTED_VALUE"""),"Worthy")</f>
        <v>Worthy</v>
      </c>
      <c r="E4677" t="str">
        <f>IFERROR(__xludf.DUMMYFUNCTION("""COMPUTED_VALUE"""),"Jerel")</f>
        <v>Jerel</v>
      </c>
      <c r="F4677">
        <f>IFERROR(__xludf.DUMMYFUNCTION("""COMPUTED_VALUE"""),14.0)</f>
        <v>14</v>
      </c>
    </row>
    <row r="4678">
      <c r="D4678" t="str">
        <f>IFERROR(__xludf.DUMMYFUNCTION("""COMPUTED_VALUE"""),"Wreh-Wilson")</f>
        <v>Wreh-Wilson</v>
      </c>
      <c r="E4678" t="str">
        <f>IFERROR(__xludf.DUMMYFUNCTION("""COMPUTED_VALUE"""),"Blidi")</f>
        <v>Blidi</v>
      </c>
      <c r="F4678">
        <f>IFERROR(__xludf.DUMMYFUNCTION("""COMPUTED_VALUE"""),14.200000000000001)</f>
        <v>14.2</v>
      </c>
    </row>
    <row r="4679">
      <c r="D4679" t="str">
        <f>IFERROR(__xludf.DUMMYFUNCTION("""COMPUTED_VALUE"""),"Wright")</f>
        <v>Wright</v>
      </c>
      <c r="E4679" t="str">
        <f>IFERROR(__xludf.DUMMYFUNCTION("""COMPUTED_VALUE"""),"Gabe")</f>
        <v>Gabe</v>
      </c>
      <c r="F4679">
        <f>IFERROR(__xludf.DUMMYFUNCTION("""COMPUTED_VALUE"""),14.0)</f>
        <v>14</v>
      </c>
    </row>
    <row r="4680">
      <c r="D4680" t="str">
        <f>IFERROR(__xludf.DUMMYFUNCTION("""COMPUTED_VALUE"""),"Wright")</f>
        <v>Wright</v>
      </c>
      <c r="E4680" t="str">
        <f>IFERROR(__xludf.DUMMYFUNCTION("""COMPUTED_VALUE"""),"James")</f>
        <v>James</v>
      </c>
      <c r="F4680">
        <f>IFERROR(__xludf.DUMMYFUNCTION("""COMPUTED_VALUE"""),12.8)</f>
        <v>12.8</v>
      </c>
    </row>
    <row r="4681">
      <c r="D4681" t="str">
        <f>IFERROR(__xludf.DUMMYFUNCTION("""COMPUTED_VALUE"""),"Wright")</f>
        <v>Wright</v>
      </c>
      <c r="E4681" t="str">
        <f>IFERROR(__xludf.DUMMYFUNCTION("""COMPUTED_VALUE"""),"Jarius")</f>
        <v>Jarius</v>
      </c>
      <c r="F4681">
        <f>IFERROR(__xludf.DUMMYFUNCTION("""COMPUTED_VALUE"""),14.600000000000001)</f>
        <v>14.6</v>
      </c>
    </row>
    <row r="4682">
      <c r="D4682" t="str">
        <f>IFERROR(__xludf.DUMMYFUNCTION("""COMPUTED_VALUE"""),"Wright")</f>
        <v>Wright</v>
      </c>
      <c r="E4682" t="str">
        <f>IFERROR(__xludf.DUMMYFUNCTION("""COMPUTED_VALUE"""),"Kendall")</f>
        <v>Kendall</v>
      </c>
      <c r="F4682">
        <f>IFERROR(__xludf.DUMMYFUNCTION("""COMPUTED_VALUE"""),15.4)</f>
        <v>15.4</v>
      </c>
    </row>
    <row r="4683">
      <c r="D4683" t="str">
        <f>IFERROR(__xludf.DUMMYFUNCTION("""COMPUTED_VALUE"""),"Wright")</f>
        <v>Wright</v>
      </c>
      <c r="E4683" t="str">
        <f>IFERROR(__xludf.DUMMYFUNCTION("""COMPUTED_VALUE"""),"KJ")</f>
        <v>KJ</v>
      </c>
      <c r="F4683">
        <f>IFERROR(__xludf.DUMMYFUNCTION("""COMPUTED_VALUE"""),17.400000000000002)</f>
        <v>17.4</v>
      </c>
    </row>
    <row r="4684">
      <c r="D4684" t="str">
        <f>IFERROR(__xludf.DUMMYFUNCTION("""COMPUTED_VALUE"""),"Wright")</f>
        <v>Wright</v>
      </c>
      <c r="E4684" t="str">
        <f>IFERROR(__xludf.DUMMYFUNCTION("""COMPUTED_VALUE"""),"Shareece")</f>
        <v>Shareece</v>
      </c>
      <c r="F4684">
        <f>IFERROR(__xludf.DUMMYFUNCTION("""COMPUTED_VALUE"""),15.0)</f>
        <v>15</v>
      </c>
    </row>
    <row r="4685">
      <c r="D4685" t="str">
        <f>IFERROR(__xludf.DUMMYFUNCTION("""COMPUTED_VALUE"""),"Wright III")</f>
        <v>Wright III</v>
      </c>
      <c r="E4685" t="str">
        <f>IFERROR(__xludf.DUMMYFUNCTION("""COMPUTED_VALUE"""),"Scooby")</f>
        <v>Scooby</v>
      </c>
      <c r="F4685">
        <f>IFERROR(__xludf.DUMMYFUNCTION("""COMPUTED_VALUE"""),13.8)</f>
        <v>13.8</v>
      </c>
    </row>
    <row r="4686">
      <c r="D4686" t="str">
        <f>IFERROR(__xludf.DUMMYFUNCTION("""COMPUTED_VALUE"""),"Wynn")</f>
        <v>Wynn</v>
      </c>
      <c r="E4686" t="str">
        <f>IFERROR(__xludf.DUMMYFUNCTION("""COMPUTED_VALUE"""),"Kerry")</f>
        <v>Kerry</v>
      </c>
      <c r="F4686">
        <f>IFERROR(__xludf.DUMMYFUNCTION("""COMPUTED_VALUE"""),13.0)</f>
        <v>13</v>
      </c>
    </row>
    <row r="4687">
      <c r="D4687" t="str">
        <f>IFERROR(__xludf.DUMMYFUNCTION("""COMPUTED_VALUE"""),"Wynn")</f>
        <v>Wynn</v>
      </c>
      <c r="E4687" t="str">
        <f>IFERROR(__xludf.DUMMYFUNCTION("""COMPUTED_VALUE"""),"Shane")</f>
        <v>Shane</v>
      </c>
      <c r="F4687">
        <f>IFERROR(__xludf.DUMMYFUNCTION("""COMPUTED_VALUE"""),11.4)</f>
        <v>11.4</v>
      </c>
    </row>
    <row r="4688">
      <c r="D4688" t="str">
        <f>IFERROR(__xludf.DUMMYFUNCTION("""COMPUTED_VALUE"""),"Yancey")</f>
        <v>Yancey</v>
      </c>
      <c r="E4688" t="str">
        <f>IFERROR(__xludf.DUMMYFUNCTION("""COMPUTED_VALUE"""),"DeAngelo")</f>
        <v>DeAngelo</v>
      </c>
      <c r="F4688">
        <f>IFERROR(__xludf.DUMMYFUNCTION("""COMPUTED_VALUE"""),13.200000000000001)</f>
        <v>13.2</v>
      </c>
    </row>
    <row r="4689">
      <c r="D4689" t="str">
        <f>IFERROR(__xludf.DUMMYFUNCTION("""COMPUTED_VALUE"""),"Yanda")</f>
        <v>Yanda</v>
      </c>
      <c r="E4689" t="str">
        <f>IFERROR(__xludf.DUMMYFUNCTION("""COMPUTED_VALUE"""),"Marshal")</f>
        <v>Marshal</v>
      </c>
      <c r="F4689">
        <f>IFERROR(__xludf.DUMMYFUNCTION("""COMPUTED_VALUE"""),19.200000000000003)</f>
        <v>19.2</v>
      </c>
    </row>
    <row r="4690">
      <c r="D4690" t="str">
        <f>IFERROR(__xludf.DUMMYFUNCTION("""COMPUTED_VALUE"""),"Yankey")</f>
        <v>Yankey</v>
      </c>
      <c r="E4690" t="str">
        <f>IFERROR(__xludf.DUMMYFUNCTION("""COMPUTED_VALUE"""),"David")</f>
        <v>David</v>
      </c>
      <c r="F4690">
        <f>IFERROR(__xludf.DUMMYFUNCTION("""COMPUTED_VALUE"""),13.8)</f>
        <v>13.8</v>
      </c>
    </row>
    <row r="4691">
      <c r="D4691" t="str">
        <f>IFERROR(__xludf.DUMMYFUNCTION("""COMPUTED_VALUE"""),"Yarbrough")</f>
        <v>Yarbrough</v>
      </c>
      <c r="E4691" t="str">
        <f>IFERROR(__xludf.DUMMYFUNCTION("""COMPUTED_VALUE"""),"Eddie")</f>
        <v>Eddie</v>
      </c>
      <c r="F4691">
        <f>IFERROR(__xludf.DUMMYFUNCTION("""COMPUTED_VALUE"""),12.600000000000001)</f>
        <v>12.6</v>
      </c>
    </row>
    <row r="4692">
      <c r="D4692" t="str">
        <f>IFERROR(__xludf.DUMMYFUNCTION("""COMPUTED_VALUE"""),"Yates")</f>
        <v>Yates</v>
      </c>
      <c r="E4692" t="str">
        <f>IFERROR(__xludf.DUMMYFUNCTION("""COMPUTED_VALUE"""),"TJ")</f>
        <v>TJ</v>
      </c>
      <c r="F4692">
        <f>IFERROR(__xludf.DUMMYFUNCTION("""COMPUTED_VALUE"""),13.4)</f>
        <v>13.4</v>
      </c>
    </row>
    <row r="4693">
      <c r="D4693" t="str">
        <f>IFERROR(__xludf.DUMMYFUNCTION("""COMPUTED_VALUE"""),"Yeldon")</f>
        <v>Yeldon</v>
      </c>
      <c r="E4693" t="str">
        <f>IFERROR(__xludf.DUMMYFUNCTION("""COMPUTED_VALUE"""),"TJ")</f>
        <v>TJ</v>
      </c>
      <c r="F4693">
        <f>IFERROR(__xludf.DUMMYFUNCTION("""COMPUTED_VALUE"""),15.8)</f>
        <v>15.8</v>
      </c>
    </row>
    <row r="4694">
      <c r="D4694" t="str">
        <f>IFERROR(__xludf.DUMMYFUNCTION("""COMPUTED_VALUE"""),"Young")</f>
        <v>Young</v>
      </c>
      <c r="E4694" t="str">
        <f>IFERROR(__xludf.DUMMYFUNCTION("""COMPUTED_VALUE"""),"Avery")</f>
        <v>Avery</v>
      </c>
      <c r="F4694">
        <f>IFERROR(__xludf.DUMMYFUNCTION("""COMPUTED_VALUE"""),11.8)</f>
        <v>11.8</v>
      </c>
    </row>
    <row r="4695">
      <c r="D4695" t="str">
        <f>IFERROR(__xludf.DUMMYFUNCTION("""COMPUTED_VALUE"""),"Young")</f>
        <v>Young</v>
      </c>
      <c r="E4695" t="str">
        <f>IFERROR(__xludf.DUMMYFUNCTION("""COMPUTED_VALUE"""),"Darrel")</f>
        <v>Darrel</v>
      </c>
      <c r="F4695">
        <f>IFERROR(__xludf.DUMMYFUNCTION("""COMPUTED_VALUE"""),14.8)</f>
        <v>14.8</v>
      </c>
    </row>
    <row r="4696">
      <c r="D4696" t="str">
        <f>IFERROR(__xludf.DUMMYFUNCTION("""COMPUTED_VALUE"""),"Young")</f>
        <v>Young</v>
      </c>
      <c r="E4696" t="str">
        <f>IFERROR(__xludf.DUMMYFUNCTION("""COMPUTED_VALUE"""),"Lou")</f>
        <v>Lou</v>
      </c>
      <c r="F4696">
        <f>IFERROR(__xludf.DUMMYFUNCTION("""COMPUTED_VALUE"""),12.4)</f>
        <v>12.4</v>
      </c>
    </row>
    <row r="4697">
      <c r="D4697" t="str">
        <f>IFERROR(__xludf.DUMMYFUNCTION("""COMPUTED_VALUE"""),"Young")</f>
        <v>Young</v>
      </c>
      <c r="E4697" t="str">
        <f>IFERROR(__xludf.DUMMYFUNCTION("""COMPUTED_VALUE"""),"Sam")</f>
        <v>Sam</v>
      </c>
      <c r="F4697">
        <f>IFERROR(__xludf.DUMMYFUNCTION("""COMPUTED_VALUE"""),14.0)</f>
        <v>14</v>
      </c>
    </row>
    <row r="4698">
      <c r="D4698" t="str">
        <f>IFERROR(__xludf.DUMMYFUNCTION("""COMPUTED_VALUE"""),"Young")</f>
        <v>Young</v>
      </c>
      <c r="E4698" t="str">
        <f>IFERROR(__xludf.DUMMYFUNCTION("""COMPUTED_VALUE"""),"Tavon")</f>
        <v>Tavon</v>
      </c>
      <c r="F4698">
        <f>IFERROR(__xludf.DUMMYFUNCTION("""COMPUTED_VALUE"""),16.0)</f>
        <v>16</v>
      </c>
    </row>
    <row r="4699">
      <c r="D4699" t="str">
        <f>IFERROR(__xludf.DUMMYFUNCTION("""COMPUTED_VALUE"""),"Young")</f>
        <v>Young</v>
      </c>
      <c r="E4699" t="str">
        <f>IFERROR(__xludf.DUMMYFUNCTION("""COMPUTED_VALUE"""),"Willie")</f>
        <v>Willie</v>
      </c>
      <c r="F4699">
        <f>IFERROR(__xludf.DUMMYFUNCTION("""COMPUTED_VALUE"""),15.8)</f>
        <v>15.8</v>
      </c>
    </row>
    <row r="4700">
      <c r="D4700" t="str">
        <f>IFERROR(__xludf.DUMMYFUNCTION("""COMPUTED_VALUE"""),"Zamora")</f>
        <v>Zamora</v>
      </c>
      <c r="E4700" t="str">
        <f>IFERROR(__xludf.DUMMYFUNCTION("""COMPUTED_VALUE"""),"Ishmael")</f>
        <v>Ishmael</v>
      </c>
      <c r="F4700">
        <f>IFERROR(__xludf.DUMMYFUNCTION("""COMPUTED_VALUE"""),12.0)</f>
        <v>12</v>
      </c>
    </row>
    <row r="4701">
      <c r="D4701" t="str">
        <f>IFERROR(__xludf.DUMMYFUNCTION("""COMPUTED_VALUE"""),"Zeitler")</f>
        <v>Zeitler</v>
      </c>
      <c r="E4701" t="str">
        <f>IFERROR(__xludf.DUMMYFUNCTION("""COMPUTED_VALUE"""),"Kevin")</f>
        <v>Kevin</v>
      </c>
      <c r="F4701">
        <f>IFERROR(__xludf.DUMMYFUNCTION("""COMPUTED_VALUE"""),17.6)</f>
        <v>17.6</v>
      </c>
    </row>
    <row r="4702">
      <c r="D4702" t="str">
        <f>IFERROR(__xludf.DUMMYFUNCTION("""COMPUTED_VALUE"""),"Zenner")</f>
        <v>Zenner</v>
      </c>
      <c r="E4702" t="str">
        <f>IFERROR(__xludf.DUMMYFUNCTION("""COMPUTED_VALUE"""),"Zach")</f>
        <v>Zach</v>
      </c>
      <c r="F4702">
        <f>IFERROR(__xludf.DUMMYFUNCTION("""COMPUTED_VALUE"""),14.8)</f>
        <v>14.8</v>
      </c>
    </row>
    <row r="4703">
      <c r="D4703" t="str">
        <f>IFERROR(__xludf.DUMMYFUNCTION("""COMPUTED_VALUE"""),"Zettel")</f>
        <v>Zettel</v>
      </c>
      <c r="E4703" t="str">
        <f>IFERROR(__xludf.DUMMYFUNCTION("""COMPUTED_VALUE"""),"Anthony")</f>
        <v>Anthony</v>
      </c>
      <c r="F4703">
        <f>IFERROR(__xludf.DUMMYFUNCTION("""COMPUTED_VALUE"""),13.8)</f>
        <v>13.8</v>
      </c>
    </row>
    <row r="4704">
      <c r="D4704" t="str">
        <f>IFERROR(__xludf.DUMMYFUNCTION("""COMPUTED_VALUE"""),"Zombo")</f>
        <v>Zombo</v>
      </c>
      <c r="E4704" t="str">
        <f>IFERROR(__xludf.DUMMYFUNCTION("""COMPUTED_VALUE"""),"Frank")</f>
        <v>Frank</v>
      </c>
      <c r="F4704">
        <f>IFERROR(__xludf.DUMMYFUNCTION("""COMPUTED_VALUE"""),13.8)</f>
        <v>13.8</v>
      </c>
    </row>
    <row r="4705">
      <c r="D4705" t="str">
        <f>IFERROR(__xludf.DUMMYFUNCTION("""COMPUTED_VALUE"""),"Zuerlein")</f>
        <v>Zuerlein</v>
      </c>
      <c r="E4705" t="str">
        <f>IFERROR(__xludf.DUMMYFUNCTION("""COMPUTED_VALUE"""),"Greg")</f>
        <v>Greg</v>
      </c>
      <c r="F4705">
        <f>IFERROR(__xludf.DUMMYFUNCTION("""COMPUTED_VALUE"""),15.8)</f>
        <v>15.8</v>
      </c>
    </row>
    <row r="4706">
      <c r="D4706" t="str">
        <f>IFERROR(__xludf.DUMMYFUNCTION("""COMPUTED_VALUE"""),"Zuttah")</f>
        <v>Zuttah</v>
      </c>
      <c r="E4706" t="str">
        <f>IFERROR(__xludf.DUMMYFUNCTION("""COMPUTED_VALUE"""),"Jeremy")</f>
        <v>Jeremy</v>
      </c>
      <c r="F4706">
        <f>IFERROR(__xludf.DUMMYFUNCTION("""COMPUTED_VALUE"""),16.400000000000002)</f>
        <v>16.4</v>
      </c>
    </row>
    <row r="4707">
      <c r="D4707" t="str">
        <f>IFERROR(__xludf.DUMMYFUNCTION("""COMPUTED_VALUE"""),"Abdullah")</f>
        <v>Abdullah</v>
      </c>
      <c r="E4707" t="str">
        <f>IFERROR(__xludf.DUMMYFUNCTION("""COMPUTED_VALUE"""),"Ameer")</f>
        <v>Ameer</v>
      </c>
      <c r="F4707">
        <f>IFERROR(__xludf.DUMMYFUNCTION("""COMPUTED_VALUE"""),19.0)</f>
        <v>19</v>
      </c>
    </row>
    <row r="4708">
      <c r="D4708" t="str">
        <f>IFERROR(__xludf.DUMMYFUNCTION("""COMPUTED_VALUE"""),"Acho")</f>
        <v>Acho</v>
      </c>
      <c r="E4708" t="str">
        <f>IFERROR(__xludf.DUMMYFUNCTION("""COMPUTED_VALUE"""),"Sam")</f>
        <v>Sam</v>
      </c>
      <c r="F4708">
        <f>IFERROR(__xludf.DUMMYFUNCTION("""COMPUTED_VALUE"""),17.5)</f>
        <v>17.5</v>
      </c>
    </row>
    <row r="4709">
      <c r="D4709" t="str">
        <f>IFERROR(__xludf.DUMMYFUNCTION("""COMPUTED_VALUE"""),"Acker")</f>
        <v>Acker</v>
      </c>
      <c r="E4709" t="str">
        <f>IFERROR(__xludf.DUMMYFUNCTION("""COMPUTED_VALUE"""),"Kenneth")</f>
        <v>Kenneth</v>
      </c>
      <c r="F4709">
        <f>IFERROR(__xludf.DUMMYFUNCTION("""COMPUTED_VALUE"""),17.5)</f>
        <v>17.5</v>
      </c>
    </row>
    <row r="4710">
      <c r="D4710" t="str">
        <f>IFERROR(__xludf.DUMMYFUNCTION("""COMPUTED_VALUE"""),"Adams")</f>
        <v>Adams</v>
      </c>
      <c r="E4710" t="str">
        <f>IFERROR(__xludf.DUMMYFUNCTION("""COMPUTED_VALUE"""),"Andrew")</f>
        <v>Andrew</v>
      </c>
      <c r="F4710">
        <f>IFERROR(__xludf.DUMMYFUNCTION("""COMPUTED_VALUE"""),17.5)</f>
        <v>17.5</v>
      </c>
    </row>
    <row r="4711">
      <c r="D4711" t="str">
        <f>IFERROR(__xludf.DUMMYFUNCTION("""COMPUTED_VALUE"""),"Adams")</f>
        <v>Adams</v>
      </c>
      <c r="E4711" t="str">
        <f>IFERROR(__xludf.DUMMYFUNCTION("""COMPUTED_VALUE"""),"Davante")</f>
        <v>Davante</v>
      </c>
      <c r="F4711">
        <f>IFERROR(__xludf.DUMMYFUNCTION("""COMPUTED_VALUE"""),21.0)</f>
        <v>21</v>
      </c>
    </row>
    <row r="4712">
      <c r="D4712" t="str">
        <f>IFERROR(__xludf.DUMMYFUNCTION("""COMPUTED_VALUE"""),"Adams")</f>
        <v>Adams</v>
      </c>
      <c r="E4712" t="str">
        <f>IFERROR(__xludf.DUMMYFUNCTION("""COMPUTED_VALUE"""),"Jamal")</f>
        <v>Jamal</v>
      </c>
      <c r="F4712">
        <f>IFERROR(__xludf.DUMMYFUNCTION("""COMPUTED_VALUE"""),20.25)</f>
        <v>20.25</v>
      </c>
    </row>
    <row r="4713">
      <c r="D4713" t="str">
        <f>IFERROR(__xludf.DUMMYFUNCTION("""COMPUTED_VALUE"""),"Adams")</f>
        <v>Adams</v>
      </c>
      <c r="E4713" t="str">
        <f>IFERROR(__xludf.DUMMYFUNCTION("""COMPUTED_VALUE"""),"Jerell")</f>
        <v>Jerell</v>
      </c>
      <c r="F4713">
        <f>IFERROR(__xludf.DUMMYFUNCTION("""COMPUTED_VALUE"""),17.0)</f>
        <v>17</v>
      </c>
    </row>
    <row r="4714">
      <c r="D4714" t="str">
        <f>IFERROR(__xludf.DUMMYFUNCTION("""COMPUTED_VALUE"""),"Adams")</f>
        <v>Adams</v>
      </c>
      <c r="E4714" t="str">
        <f>IFERROR(__xludf.DUMMYFUNCTION("""COMPUTED_VALUE"""),"Keion")</f>
        <v>Keion</v>
      </c>
      <c r="F4714">
        <f>IFERROR(__xludf.DUMMYFUNCTION("""COMPUTED_VALUE"""),15.5)</f>
        <v>15.5</v>
      </c>
    </row>
    <row r="4715">
      <c r="D4715" t="str">
        <f>IFERROR(__xludf.DUMMYFUNCTION("""COMPUTED_VALUE"""),"Adams")</f>
        <v>Adams</v>
      </c>
      <c r="E4715" t="str">
        <f>IFERROR(__xludf.DUMMYFUNCTION("""COMPUTED_VALUE"""),"Matthew")</f>
        <v>Matthew</v>
      </c>
      <c r="F4715">
        <f>IFERROR(__xludf.DUMMYFUNCTION("""COMPUTED_VALUE"""),16.5)</f>
        <v>16.5</v>
      </c>
    </row>
    <row r="4716">
      <c r="D4716" t="str">
        <f>IFERROR(__xludf.DUMMYFUNCTION("""COMPUTED_VALUE"""),"Adams")</f>
        <v>Adams</v>
      </c>
      <c r="E4716" t="str">
        <f>IFERROR(__xludf.DUMMYFUNCTION("""COMPUTED_VALUE"""),"Mike")</f>
        <v>Mike</v>
      </c>
      <c r="F4716">
        <f>IFERROR(__xludf.DUMMYFUNCTION("""COMPUTED_VALUE"""),18.75)</f>
        <v>18.75</v>
      </c>
    </row>
    <row r="4717">
      <c r="D4717" t="str">
        <f>IFERROR(__xludf.DUMMYFUNCTION("""COMPUTED_VALUE"""),"Adams")</f>
        <v>Adams</v>
      </c>
      <c r="E4717" t="str">
        <f>IFERROR(__xludf.DUMMYFUNCTION("""COMPUTED_VALUE"""),"Montravius")</f>
        <v>Montravius</v>
      </c>
      <c r="F4717">
        <f>IFERROR(__xludf.DUMMYFUNCTION("""COMPUTED_VALUE"""),17.0)</f>
        <v>17</v>
      </c>
    </row>
    <row r="4718">
      <c r="D4718" t="str">
        <f>IFERROR(__xludf.DUMMYFUNCTION("""COMPUTED_VALUE"""),"Addae")</f>
        <v>Addae</v>
      </c>
      <c r="E4718" t="str">
        <f>IFERROR(__xludf.DUMMYFUNCTION("""COMPUTED_VALUE"""),"Jahleel")</f>
        <v>Jahleel</v>
      </c>
      <c r="F4718">
        <f>IFERROR(__xludf.DUMMYFUNCTION("""COMPUTED_VALUE"""),20.0)</f>
        <v>20</v>
      </c>
    </row>
    <row r="4719">
      <c r="D4719" t="str">
        <f>IFERROR(__xludf.DUMMYFUNCTION("""COMPUTED_VALUE"""),"Addison")</f>
        <v>Addison</v>
      </c>
      <c r="E4719" t="str">
        <f>IFERROR(__xludf.DUMMYFUNCTION("""COMPUTED_VALUE"""),"Mario")</f>
        <v>Mario</v>
      </c>
      <c r="F4719">
        <f>IFERROR(__xludf.DUMMYFUNCTION("""COMPUTED_VALUE"""),18.75)</f>
        <v>18.75</v>
      </c>
    </row>
    <row r="4720">
      <c r="D4720" t="str">
        <f>IFERROR(__xludf.DUMMYFUNCTION("""COMPUTED_VALUE"""),"Adeboyejo")</f>
        <v>Adeboyejo</v>
      </c>
      <c r="E4720" t="str">
        <f>IFERROR(__xludf.DUMMYFUNCTION("""COMPUTED_VALUE"""),"Quincy")</f>
        <v>Quincy</v>
      </c>
      <c r="F4720">
        <f>IFERROR(__xludf.DUMMYFUNCTION("""COMPUTED_VALUE"""),16.25)</f>
        <v>16.25</v>
      </c>
    </row>
    <row r="4721">
      <c r="D4721" t="str">
        <f>IFERROR(__xludf.DUMMYFUNCTION("""COMPUTED_VALUE"""),"Agholor")</f>
        <v>Agholor</v>
      </c>
      <c r="E4721" t="str">
        <f>IFERROR(__xludf.DUMMYFUNCTION("""COMPUTED_VALUE"""),"Nelson")</f>
        <v>Nelson</v>
      </c>
      <c r="F4721">
        <f>IFERROR(__xludf.DUMMYFUNCTION("""COMPUTED_VALUE"""),20.25)</f>
        <v>20.25</v>
      </c>
    </row>
    <row r="4722">
      <c r="D4722" t="str">
        <f>IFERROR(__xludf.DUMMYFUNCTION("""COMPUTED_VALUE"""),"Agnew")</f>
        <v>Agnew</v>
      </c>
      <c r="E4722" t="str">
        <f>IFERROR(__xludf.DUMMYFUNCTION("""COMPUTED_VALUE"""),"Jamal")</f>
        <v>Jamal</v>
      </c>
      <c r="F4722">
        <f>IFERROR(__xludf.DUMMYFUNCTION("""COMPUTED_VALUE"""),17.75)</f>
        <v>17.75</v>
      </c>
    </row>
    <row r="4723">
      <c r="D4723" t="str">
        <f>IFERROR(__xludf.DUMMYFUNCTION("""COMPUTED_VALUE"""),"Aguayo")</f>
        <v>Aguayo</v>
      </c>
      <c r="E4723" t="str">
        <f>IFERROR(__xludf.DUMMYFUNCTION("""COMPUTED_VALUE"""),"Roberto")</f>
        <v>Roberto</v>
      </c>
      <c r="F4723">
        <f>IFERROR(__xludf.DUMMYFUNCTION("""COMPUTED_VALUE"""),18.75)</f>
        <v>18.75</v>
      </c>
    </row>
    <row r="4724">
      <c r="D4724" t="str">
        <f>IFERROR(__xludf.DUMMYFUNCTION("""COMPUTED_VALUE"""),"Agudosi")</f>
        <v>Agudosi</v>
      </c>
      <c r="E4724" t="str">
        <f>IFERROR(__xludf.DUMMYFUNCTION("""COMPUTED_VALUE"""),"Carlton")</f>
        <v>Carlton</v>
      </c>
      <c r="F4724">
        <f>IFERROR(__xludf.DUMMYFUNCTION("""COMPUTED_VALUE"""),15.5)</f>
        <v>15.5</v>
      </c>
    </row>
    <row r="4725">
      <c r="D4725" t="str">
        <f>IFERROR(__xludf.DUMMYFUNCTION("""COMPUTED_VALUE"""),"Aiken")</f>
        <v>Aiken</v>
      </c>
      <c r="E4725" t="str">
        <f>IFERROR(__xludf.DUMMYFUNCTION("""COMPUTED_VALUE"""),"Kamar")</f>
        <v>Kamar</v>
      </c>
      <c r="F4725">
        <f>IFERROR(__xludf.DUMMYFUNCTION("""COMPUTED_VALUE"""),15.25)</f>
        <v>15.25</v>
      </c>
    </row>
    <row r="4726">
      <c r="D4726" t="str">
        <f>IFERROR(__xludf.DUMMYFUNCTION("""COMPUTED_VALUE"""),"Aikens")</f>
        <v>Aikens</v>
      </c>
      <c r="E4726" t="str">
        <f>IFERROR(__xludf.DUMMYFUNCTION("""COMPUTED_VALUE"""),"Walt")</f>
        <v>Walt</v>
      </c>
      <c r="F4726">
        <f>IFERROR(__xludf.DUMMYFUNCTION("""COMPUTED_VALUE"""),17.0)</f>
        <v>17</v>
      </c>
    </row>
    <row r="4727">
      <c r="D4727" t="str">
        <f>IFERROR(__xludf.DUMMYFUNCTION("""COMPUTED_VALUE"""),"Ajayi")</f>
        <v>Ajayi</v>
      </c>
      <c r="E4727" t="str">
        <f>IFERROR(__xludf.DUMMYFUNCTION("""COMPUTED_VALUE"""),"Jay")</f>
        <v>Jay</v>
      </c>
      <c r="F4727">
        <f>IFERROR(__xludf.DUMMYFUNCTION("""COMPUTED_VALUE"""),20.75)</f>
        <v>20.75</v>
      </c>
    </row>
    <row r="4728">
      <c r="D4728" t="str">
        <f>IFERROR(__xludf.DUMMYFUNCTION("""COMPUTED_VALUE"""),"Akins")</f>
        <v>Akins</v>
      </c>
      <c r="E4728" t="str">
        <f>IFERROR(__xludf.DUMMYFUNCTION("""COMPUTED_VALUE"""),"Jordan")</f>
        <v>Jordan</v>
      </c>
      <c r="F4728">
        <f>IFERROR(__xludf.DUMMYFUNCTION("""COMPUTED_VALUE"""),17.75)</f>
        <v>17.75</v>
      </c>
    </row>
    <row r="4729">
      <c r="D4729" t="str">
        <f>IFERROR(__xludf.DUMMYFUNCTION("""COMPUTED_VALUE"""),"Albright")</f>
        <v>Albright</v>
      </c>
      <c r="E4729" t="str">
        <f>IFERROR(__xludf.DUMMYFUNCTION("""COMPUTED_VALUE"""),"Bryson")</f>
        <v>Bryson</v>
      </c>
      <c r="F4729">
        <f>IFERROR(__xludf.DUMMYFUNCTION("""COMPUTED_VALUE"""),15.75)</f>
        <v>15.75</v>
      </c>
    </row>
    <row r="4730">
      <c r="D4730" t="str">
        <f>IFERROR(__xludf.DUMMYFUNCTION("""COMPUTED_VALUE"""),"Alexander")</f>
        <v>Alexander</v>
      </c>
      <c r="E4730" t="str">
        <f>IFERROR(__xludf.DUMMYFUNCTION("""COMPUTED_VALUE"""),"DJ")</f>
        <v>DJ</v>
      </c>
      <c r="F4730">
        <f>IFERROR(__xludf.DUMMYFUNCTION("""COMPUTED_VALUE"""),18.0)</f>
        <v>18</v>
      </c>
    </row>
    <row r="4731">
      <c r="D4731" t="str">
        <f>IFERROR(__xludf.DUMMYFUNCTION("""COMPUTED_VALUE"""),"Alexander")</f>
        <v>Alexander</v>
      </c>
      <c r="E4731" t="str">
        <f>IFERROR(__xludf.DUMMYFUNCTION("""COMPUTED_VALUE"""),"Jaire")</f>
        <v>Jaire</v>
      </c>
      <c r="F4731">
        <f>IFERROR(__xludf.DUMMYFUNCTION("""COMPUTED_VALUE"""),19.25)</f>
        <v>19.25</v>
      </c>
    </row>
    <row r="4732">
      <c r="D4732" t="str">
        <f>IFERROR(__xludf.DUMMYFUNCTION("""COMPUTED_VALUE"""),"Alexander")</f>
        <v>Alexander</v>
      </c>
      <c r="E4732" t="str">
        <f>IFERROR(__xludf.DUMMYFUNCTION("""COMPUTED_VALUE"""),"Jaire")</f>
        <v>Jaire</v>
      </c>
      <c r="F4732">
        <f>IFERROR(__xludf.DUMMYFUNCTION("""COMPUTED_VALUE"""),21.75)</f>
        <v>21.75</v>
      </c>
    </row>
    <row r="4733">
      <c r="D4733" t="str">
        <f>IFERROR(__xludf.DUMMYFUNCTION("""COMPUTED_VALUE"""),"Alexander")</f>
        <v>Alexander</v>
      </c>
      <c r="E4733" t="str">
        <f>IFERROR(__xludf.DUMMYFUNCTION("""COMPUTED_VALUE"""),"Kwon")</f>
        <v>Kwon</v>
      </c>
      <c r="F4733">
        <f>IFERROR(__xludf.DUMMYFUNCTION("""COMPUTED_VALUE"""),20.5)</f>
        <v>20.5</v>
      </c>
    </row>
    <row r="4734">
      <c r="D4734" t="str">
        <f>IFERROR(__xludf.DUMMYFUNCTION("""COMPUTED_VALUE"""),"Alexander")</f>
        <v>Alexander</v>
      </c>
      <c r="E4734" t="str">
        <f>IFERROR(__xludf.DUMMYFUNCTION("""COMPUTED_VALUE"""),"Lorenzo")</f>
        <v>Lorenzo</v>
      </c>
      <c r="F4734">
        <f>IFERROR(__xludf.DUMMYFUNCTION("""COMPUTED_VALUE"""),19.25)</f>
        <v>19.25</v>
      </c>
    </row>
    <row r="4735">
      <c r="D4735" t="str">
        <f>IFERROR(__xludf.DUMMYFUNCTION("""COMPUTED_VALUE"""),"Alexander")</f>
        <v>Alexander</v>
      </c>
      <c r="E4735" t="str">
        <f>IFERROR(__xludf.DUMMYFUNCTION("""COMPUTED_VALUE"""),"Mackensie")</f>
        <v>Mackensie</v>
      </c>
      <c r="F4735">
        <f>IFERROR(__xludf.DUMMYFUNCTION("""COMPUTED_VALUE"""),17.5)</f>
        <v>17.5</v>
      </c>
    </row>
    <row r="4736">
      <c r="D4736" t="str">
        <f>IFERROR(__xludf.DUMMYFUNCTION("""COMPUTED_VALUE"""),"Alexander")</f>
        <v>Alexander</v>
      </c>
      <c r="E4736" t="str">
        <f>IFERROR(__xludf.DUMMYFUNCTION("""COMPUTED_VALUE"""),"Maurice")</f>
        <v>Maurice</v>
      </c>
      <c r="F4736">
        <f>IFERROR(__xludf.DUMMYFUNCTION("""COMPUTED_VALUE"""),18.5)</f>
        <v>18.5</v>
      </c>
    </row>
    <row r="4737">
      <c r="D4737" t="str">
        <f>IFERROR(__xludf.DUMMYFUNCTION("""COMPUTED_VALUE"""),"Alexander")</f>
        <v>Alexander</v>
      </c>
      <c r="E4737" t="str">
        <f>IFERROR(__xludf.DUMMYFUNCTION("""COMPUTED_VALUE"""),"Vadal")</f>
        <v>Vadal</v>
      </c>
      <c r="F4737">
        <f>IFERROR(__xludf.DUMMYFUNCTION("""COMPUTED_VALUE"""),17.5)</f>
        <v>17.5</v>
      </c>
    </row>
    <row r="4738">
      <c r="D4738" t="str">
        <f>IFERROR(__xludf.DUMMYFUNCTION("""COMPUTED_VALUE"""),"Alford")</f>
        <v>Alford</v>
      </c>
      <c r="E4738" t="str">
        <f>IFERROR(__xludf.DUMMYFUNCTION("""COMPUTED_VALUE"""),"Robert")</f>
        <v>Robert</v>
      </c>
      <c r="F4738">
        <f>IFERROR(__xludf.DUMMYFUNCTION("""COMPUTED_VALUE"""),20.5)</f>
        <v>20.5</v>
      </c>
    </row>
    <row r="4739">
      <c r="D4739" t="str">
        <f>IFERROR(__xludf.DUMMYFUNCTION("""COMPUTED_VALUE"""),"Allen")</f>
        <v>Allen</v>
      </c>
      <c r="E4739" t="str">
        <f>IFERROR(__xludf.DUMMYFUNCTION("""COMPUTED_VALUE"""),"Beau")</f>
        <v>Beau</v>
      </c>
      <c r="F4739">
        <f>IFERROR(__xludf.DUMMYFUNCTION("""COMPUTED_VALUE"""),18.5)</f>
        <v>18.5</v>
      </c>
    </row>
    <row r="4740">
      <c r="D4740" t="str">
        <f>IFERROR(__xludf.DUMMYFUNCTION("""COMPUTED_VALUE"""),"Allen")</f>
        <v>Allen</v>
      </c>
      <c r="E4740" t="str">
        <f>IFERROR(__xludf.DUMMYFUNCTION("""COMPUTED_VALUE"""),"Brandon")</f>
        <v>Brandon</v>
      </c>
      <c r="F4740">
        <f>IFERROR(__xludf.DUMMYFUNCTION("""COMPUTED_VALUE"""),16.0)</f>
        <v>16</v>
      </c>
    </row>
    <row r="4741">
      <c r="D4741" t="str">
        <f>IFERROR(__xludf.DUMMYFUNCTION("""COMPUTED_VALUE"""),"Allen")</f>
        <v>Allen</v>
      </c>
      <c r="E4741" t="str">
        <f>IFERROR(__xludf.DUMMYFUNCTION("""COMPUTED_VALUE"""),"Brian")</f>
        <v>Brian</v>
      </c>
      <c r="F4741">
        <f>IFERROR(__xludf.DUMMYFUNCTION("""COMPUTED_VALUE"""),17.0)</f>
        <v>17</v>
      </c>
    </row>
    <row r="4742">
      <c r="D4742" t="str">
        <f>IFERROR(__xludf.DUMMYFUNCTION("""COMPUTED_VALUE"""),"Allen")</f>
        <v>Allen</v>
      </c>
      <c r="E4742" t="str">
        <f>IFERROR(__xludf.DUMMYFUNCTION("""COMPUTED_VALUE"""),"Brian")</f>
        <v>Brian</v>
      </c>
      <c r="F4742">
        <f>IFERROR(__xludf.DUMMYFUNCTION("""COMPUTED_VALUE"""),17.25)</f>
        <v>17.25</v>
      </c>
    </row>
    <row r="4743">
      <c r="D4743" t="str">
        <f>IFERROR(__xludf.DUMMYFUNCTION("""COMPUTED_VALUE"""),"Allen")</f>
        <v>Allen</v>
      </c>
      <c r="E4743" t="str">
        <f>IFERROR(__xludf.DUMMYFUNCTION("""COMPUTED_VALUE"""),"Chase")</f>
        <v>Chase</v>
      </c>
      <c r="F4743">
        <f>IFERROR(__xludf.DUMMYFUNCTION("""COMPUTED_VALUE"""),18.25)</f>
        <v>18.25</v>
      </c>
    </row>
    <row r="4744">
      <c r="D4744" t="str">
        <f>IFERROR(__xludf.DUMMYFUNCTION("""COMPUTED_VALUE"""),"Allen")</f>
        <v>Allen</v>
      </c>
      <c r="E4744" t="str">
        <f>IFERROR(__xludf.DUMMYFUNCTION("""COMPUTED_VALUE"""),"Dwayne")</f>
        <v>Dwayne</v>
      </c>
      <c r="F4744">
        <f>IFERROR(__xludf.DUMMYFUNCTION("""COMPUTED_VALUE"""),19.75)</f>
        <v>19.75</v>
      </c>
    </row>
    <row r="4745">
      <c r="D4745" t="str">
        <f>IFERROR(__xludf.DUMMYFUNCTION("""COMPUTED_VALUE"""),"Allen")</f>
        <v>Allen</v>
      </c>
      <c r="E4745" t="str">
        <f>IFERROR(__xludf.DUMMYFUNCTION("""COMPUTED_VALUE"""),"Javorius")</f>
        <v>Javorius</v>
      </c>
      <c r="F4745">
        <f>IFERROR(__xludf.DUMMYFUNCTION("""COMPUTED_VALUE"""),18.5)</f>
        <v>18.5</v>
      </c>
    </row>
    <row r="4746">
      <c r="D4746" t="str">
        <f>IFERROR(__xludf.DUMMYFUNCTION("""COMPUTED_VALUE"""),"Allen")</f>
        <v>Allen</v>
      </c>
      <c r="E4746" t="str">
        <f>IFERROR(__xludf.DUMMYFUNCTION("""COMPUTED_VALUE"""),"Jeff")</f>
        <v>Jeff</v>
      </c>
      <c r="F4746">
        <f>IFERROR(__xludf.DUMMYFUNCTION("""COMPUTED_VALUE"""),18.25)</f>
        <v>18.25</v>
      </c>
    </row>
    <row r="4747">
      <c r="D4747" t="str">
        <f>IFERROR(__xludf.DUMMYFUNCTION("""COMPUTED_VALUE"""),"Allen")</f>
        <v>Allen</v>
      </c>
      <c r="E4747" t="str">
        <f>IFERROR(__xludf.DUMMYFUNCTION("""COMPUTED_VALUE"""),"Jonathan")</f>
        <v>Jonathan</v>
      </c>
      <c r="F4747">
        <f>IFERROR(__xludf.DUMMYFUNCTION("""COMPUTED_VALUE"""),19.25)</f>
        <v>19.25</v>
      </c>
    </row>
    <row r="4748">
      <c r="D4748" t="str">
        <f>IFERROR(__xludf.DUMMYFUNCTION("""COMPUTED_VALUE"""),"Allen")</f>
        <v>Allen</v>
      </c>
      <c r="E4748" t="str">
        <f>IFERROR(__xludf.DUMMYFUNCTION("""COMPUTED_VALUE"""),"Josh")</f>
        <v>Josh</v>
      </c>
      <c r="F4748">
        <f>IFERROR(__xludf.DUMMYFUNCTION("""COMPUTED_VALUE"""),15.75)</f>
        <v>15.75</v>
      </c>
    </row>
    <row r="4749">
      <c r="D4749" t="str">
        <f>IFERROR(__xludf.DUMMYFUNCTION("""COMPUTED_VALUE"""),"Allen")</f>
        <v>Allen</v>
      </c>
      <c r="E4749" t="str">
        <f>IFERROR(__xludf.DUMMYFUNCTION("""COMPUTED_VALUE"""),"Josh")</f>
        <v>Josh</v>
      </c>
      <c r="F4749">
        <f>IFERROR(__xludf.DUMMYFUNCTION("""COMPUTED_VALUE"""),19.0)</f>
        <v>19</v>
      </c>
    </row>
    <row r="4750">
      <c r="D4750" t="str">
        <f>IFERROR(__xludf.DUMMYFUNCTION("""COMPUTED_VALUE"""),"Allen")</f>
        <v>Allen</v>
      </c>
      <c r="E4750" t="str">
        <f>IFERROR(__xludf.DUMMYFUNCTION("""COMPUTED_VALUE"""),"Keenan")</f>
        <v>Keenan</v>
      </c>
      <c r="F4750">
        <f>IFERROR(__xludf.DUMMYFUNCTION("""COMPUTED_VALUE"""),21.5)</f>
        <v>21.5</v>
      </c>
    </row>
    <row r="4751">
      <c r="D4751" t="str">
        <f>IFERROR(__xludf.DUMMYFUNCTION("""COMPUTED_VALUE"""),"Allen")</f>
        <v>Allen</v>
      </c>
      <c r="E4751" t="str">
        <f>IFERROR(__xludf.DUMMYFUNCTION("""COMPUTED_VALUE"""),"Marcus")</f>
        <v>Marcus</v>
      </c>
      <c r="F4751">
        <f>IFERROR(__xludf.DUMMYFUNCTION("""COMPUTED_VALUE"""),16.75)</f>
        <v>16.75</v>
      </c>
    </row>
    <row r="4752">
      <c r="D4752" t="str">
        <f>IFERROR(__xludf.DUMMYFUNCTION("""COMPUTED_VALUE"""),"Allen")</f>
        <v>Allen</v>
      </c>
      <c r="E4752" t="str">
        <f>IFERROR(__xludf.DUMMYFUNCTION("""COMPUTED_VALUE"""),"Riitemo")</f>
        <v>Riitemo</v>
      </c>
      <c r="F4752">
        <f>IFERROR(__xludf.DUMMYFUNCTION("""COMPUTED_VALUE"""),20.0)</f>
        <v>20</v>
      </c>
    </row>
    <row r="4753">
      <c r="D4753" t="str">
        <f>IFERROR(__xludf.DUMMYFUNCTION("""COMPUTED_VALUE"""),"Allen")</f>
        <v>Allen</v>
      </c>
      <c r="E4753" t="str">
        <f>IFERROR(__xludf.DUMMYFUNCTION("""COMPUTED_VALUE"""),"Ryan")</f>
        <v>Ryan</v>
      </c>
      <c r="F4753">
        <f>IFERROR(__xludf.DUMMYFUNCTION("""COMPUTED_VALUE"""),19.75)</f>
        <v>19.75</v>
      </c>
    </row>
    <row r="4754">
      <c r="D4754" t="str">
        <f>IFERROR(__xludf.DUMMYFUNCTION("""COMPUTED_VALUE"""),"Allison")</f>
        <v>Allison</v>
      </c>
      <c r="E4754" t="str">
        <f>IFERROR(__xludf.DUMMYFUNCTION("""COMPUTED_VALUE"""),"Geronimo")</f>
        <v>Geronimo</v>
      </c>
      <c r="F4754">
        <f>IFERROR(__xludf.DUMMYFUNCTION("""COMPUTED_VALUE"""),18.0)</f>
        <v>18</v>
      </c>
    </row>
    <row r="4755">
      <c r="D4755" t="str">
        <f>IFERROR(__xludf.DUMMYFUNCTION("""COMPUTED_VALUE"""),"Alonso")</f>
        <v>Alonso</v>
      </c>
      <c r="E4755" t="str">
        <f>IFERROR(__xludf.DUMMYFUNCTION("""COMPUTED_VALUE"""),"Kiko")</f>
        <v>Kiko</v>
      </c>
      <c r="F4755">
        <f>IFERROR(__xludf.DUMMYFUNCTION("""COMPUTED_VALUE"""),18.25)</f>
        <v>18.25</v>
      </c>
    </row>
    <row r="4756">
      <c r="D4756" t="str">
        <f>IFERROR(__xludf.DUMMYFUNCTION("""COMPUTED_VALUE"""),"Alualu")</f>
        <v>Alualu</v>
      </c>
      <c r="E4756" t="str">
        <f>IFERROR(__xludf.DUMMYFUNCTION("""COMPUTED_VALUE"""),"Tyson")</f>
        <v>Tyson</v>
      </c>
      <c r="F4756">
        <f>IFERROR(__xludf.DUMMYFUNCTION("""COMPUTED_VALUE"""),18.25)</f>
        <v>18.25</v>
      </c>
    </row>
    <row r="4757">
      <c r="D4757" t="str">
        <f>IFERROR(__xludf.DUMMYFUNCTION("""COMPUTED_VALUE"""),"Amaro")</f>
        <v>Amaro</v>
      </c>
      <c r="E4757" t="str">
        <f>IFERROR(__xludf.DUMMYFUNCTION("""COMPUTED_VALUE"""),"Jace")</f>
        <v>Jace</v>
      </c>
      <c r="F4757">
        <f>IFERROR(__xludf.DUMMYFUNCTION("""COMPUTED_VALUE"""),18.5)</f>
        <v>18.5</v>
      </c>
    </row>
    <row r="4758">
      <c r="D4758" t="str">
        <f>IFERROR(__xludf.DUMMYFUNCTION("""COMPUTED_VALUE"""),"Amendola")</f>
        <v>Amendola</v>
      </c>
      <c r="E4758" t="str">
        <f>IFERROR(__xludf.DUMMYFUNCTION("""COMPUTED_VALUE"""),"Danny")</f>
        <v>Danny</v>
      </c>
      <c r="F4758">
        <f>IFERROR(__xludf.DUMMYFUNCTION("""COMPUTED_VALUE"""),20.0)</f>
        <v>20</v>
      </c>
    </row>
    <row r="4759">
      <c r="D4759" t="str">
        <f>IFERROR(__xludf.DUMMYFUNCTION("""COMPUTED_VALUE"""),"Amerson")</f>
        <v>Amerson</v>
      </c>
      <c r="E4759" t="str">
        <f>IFERROR(__xludf.DUMMYFUNCTION("""COMPUTED_VALUE"""),"David")</f>
        <v>David</v>
      </c>
      <c r="F4759">
        <f>IFERROR(__xludf.DUMMYFUNCTION("""COMPUTED_VALUE"""),19.5)</f>
        <v>19.5</v>
      </c>
    </row>
    <row r="4760">
      <c r="D4760" t="str">
        <f>IFERROR(__xludf.DUMMYFUNCTION("""COMPUTED_VALUE"""),"Amichia")</f>
        <v>Amichia</v>
      </c>
      <c r="E4760" t="str">
        <f>IFERROR(__xludf.DUMMYFUNCTION("""COMPUTED_VALUE"""),"Kofi")</f>
        <v>Kofi</v>
      </c>
      <c r="F4760">
        <f>IFERROR(__xludf.DUMMYFUNCTION("""COMPUTED_VALUE"""),17.5)</f>
        <v>17.5</v>
      </c>
    </row>
    <row r="4761">
      <c r="D4761" t="str">
        <f>IFERROR(__xludf.DUMMYFUNCTION("""COMPUTED_VALUE"""),"Amos")</f>
        <v>Amos</v>
      </c>
      <c r="E4761" t="str">
        <f>IFERROR(__xludf.DUMMYFUNCTION("""COMPUTED_VALUE"""),"Adrian")</f>
        <v>Adrian</v>
      </c>
      <c r="F4761">
        <f>IFERROR(__xludf.DUMMYFUNCTION("""COMPUTED_VALUE"""),21.0)</f>
        <v>21</v>
      </c>
    </row>
    <row r="4762">
      <c r="D4762" t="str">
        <f>IFERROR(__xludf.DUMMYFUNCTION("""COMPUTED_VALUE"""),"Amos")</f>
        <v>Amos</v>
      </c>
      <c r="E4762" t="str">
        <f>IFERROR(__xludf.DUMMYFUNCTION("""COMPUTED_VALUE"""),"Adrian")</f>
        <v>Adrian</v>
      </c>
      <c r="F4762">
        <f>IFERROR(__xludf.DUMMYFUNCTION("""COMPUTED_VALUE"""),22.25)</f>
        <v>22.25</v>
      </c>
    </row>
    <row r="4763">
      <c r="D4763" t="str">
        <f>IFERROR(__xludf.DUMMYFUNCTION("""COMPUTED_VALUE"""),"Amukamara")</f>
        <v>Amukamara</v>
      </c>
      <c r="E4763" t="str">
        <f>IFERROR(__xludf.DUMMYFUNCTION("""COMPUTED_VALUE"""),"Prince")</f>
        <v>Prince</v>
      </c>
      <c r="F4763">
        <f>IFERROR(__xludf.DUMMYFUNCTION("""COMPUTED_VALUE"""),19.5)</f>
        <v>19.5</v>
      </c>
    </row>
    <row r="4764">
      <c r="D4764" t="str">
        <f>IFERROR(__xludf.DUMMYFUNCTION("""COMPUTED_VALUE"""),"Anderson")</f>
        <v>Anderson</v>
      </c>
      <c r="E4764" t="str">
        <f>IFERROR(__xludf.DUMMYFUNCTION("""COMPUTED_VALUE"""),"CJ")</f>
        <v>CJ</v>
      </c>
      <c r="F4764">
        <f>IFERROR(__xludf.DUMMYFUNCTION("""COMPUTED_VALUE"""),20.25)</f>
        <v>20.25</v>
      </c>
    </row>
    <row r="4765">
      <c r="D4765" t="str">
        <f>IFERROR(__xludf.DUMMYFUNCTION("""COMPUTED_VALUE"""),"Anderson")</f>
        <v>Anderson</v>
      </c>
      <c r="E4765" t="str">
        <f>IFERROR(__xludf.DUMMYFUNCTION("""COMPUTED_VALUE"""),"Dres")</f>
        <v>Dres</v>
      </c>
      <c r="F4765">
        <f>IFERROR(__xludf.DUMMYFUNCTION("""COMPUTED_VALUE"""),16.25)</f>
        <v>16.25</v>
      </c>
    </row>
    <row r="4766">
      <c r="D4766" t="str">
        <f>IFERROR(__xludf.DUMMYFUNCTION("""COMPUTED_VALUE"""),"Anderson")</f>
        <v>Anderson</v>
      </c>
      <c r="E4766" t="str">
        <f>IFERROR(__xludf.DUMMYFUNCTION("""COMPUTED_VALUE"""),"Henry")</f>
        <v>Henry</v>
      </c>
      <c r="F4766">
        <f>IFERROR(__xludf.DUMMYFUNCTION("""COMPUTED_VALUE"""),19.25)</f>
        <v>19.25</v>
      </c>
    </row>
    <row r="4767">
      <c r="D4767" t="str">
        <f>IFERROR(__xludf.DUMMYFUNCTION("""COMPUTED_VALUE"""),"Anderson")</f>
        <v>Anderson</v>
      </c>
      <c r="E4767" t="str">
        <f>IFERROR(__xludf.DUMMYFUNCTION("""COMPUTED_VALUE"""),"Jonathan")</f>
        <v>Jonathan</v>
      </c>
      <c r="F4767">
        <f>IFERROR(__xludf.DUMMYFUNCTION("""COMPUTED_VALUE"""),16.0)</f>
        <v>16</v>
      </c>
    </row>
    <row r="4768">
      <c r="D4768" t="str">
        <f>IFERROR(__xludf.DUMMYFUNCTION("""COMPUTED_VALUE"""),"Anderson")</f>
        <v>Anderson</v>
      </c>
      <c r="E4768" t="str">
        <f>IFERROR(__xludf.DUMMYFUNCTION("""COMPUTED_VALUE"""),"Robby")</f>
        <v>Robby</v>
      </c>
      <c r="F4768">
        <f>IFERROR(__xludf.DUMMYFUNCTION("""COMPUTED_VALUE"""),20.0)</f>
        <v>20</v>
      </c>
    </row>
    <row r="4769">
      <c r="D4769" t="str">
        <f>IFERROR(__xludf.DUMMYFUNCTION("""COMPUTED_VALUE"""),"Anderson")</f>
        <v>Anderson</v>
      </c>
      <c r="E4769" t="str">
        <f>IFERROR(__xludf.DUMMYFUNCTION("""COMPUTED_VALUE"""),"Ryan")</f>
        <v>Ryan</v>
      </c>
      <c r="F4769">
        <f>IFERROR(__xludf.DUMMYFUNCTION("""COMPUTED_VALUE"""),18.75)</f>
        <v>18.75</v>
      </c>
    </row>
    <row r="4770">
      <c r="D4770" t="str">
        <f>IFERROR(__xludf.DUMMYFUNCTION("""COMPUTED_VALUE"""),"Anderson")</f>
        <v>Anderson</v>
      </c>
      <c r="E4770" t="str">
        <f>IFERROR(__xludf.DUMMYFUNCTION("""COMPUTED_VALUE"""),"Stephen")</f>
        <v>Stephen</v>
      </c>
      <c r="F4770">
        <f>IFERROR(__xludf.DUMMYFUNCTION("""COMPUTED_VALUE"""),17.75)</f>
        <v>17.75</v>
      </c>
    </row>
    <row r="4771">
      <c r="D4771" t="str">
        <f>IFERROR(__xludf.DUMMYFUNCTION("""COMPUTED_VALUE"""),"Anderson")</f>
        <v>Anderson</v>
      </c>
      <c r="E4771" t="str">
        <f>IFERROR(__xludf.DUMMYFUNCTION("""COMPUTED_VALUE"""),"Zaire")</f>
        <v>Zaire</v>
      </c>
      <c r="F4771">
        <f>IFERROR(__xludf.DUMMYFUNCTION("""COMPUTED_VALUE"""),16.5)</f>
        <v>16.5</v>
      </c>
    </row>
    <row r="4772">
      <c r="D4772" t="str">
        <f>IFERROR(__xludf.DUMMYFUNCTION("""COMPUTED_VALUE"""),"Andrews")</f>
        <v>Andrews</v>
      </c>
      <c r="E4772" t="str">
        <f>IFERROR(__xludf.DUMMYFUNCTION("""COMPUTED_VALUE"""),"David")</f>
        <v>David</v>
      </c>
      <c r="F4772">
        <f>IFERROR(__xludf.DUMMYFUNCTION("""COMPUTED_VALUE"""),20.75)</f>
        <v>20.75</v>
      </c>
    </row>
    <row r="4773">
      <c r="D4773" t="str">
        <f>IFERROR(__xludf.DUMMYFUNCTION("""COMPUTED_VALUE"""),"Andrews")</f>
        <v>Andrews</v>
      </c>
      <c r="E4773" t="str">
        <f>IFERROR(__xludf.DUMMYFUNCTION("""COMPUTED_VALUE"""),"Josh")</f>
        <v>Josh</v>
      </c>
      <c r="F4773">
        <f>IFERROR(__xludf.DUMMYFUNCTION("""COMPUTED_VALUE"""),16.75)</f>
        <v>16.75</v>
      </c>
    </row>
    <row r="4774">
      <c r="D4774" t="str">
        <f>IFERROR(__xludf.DUMMYFUNCTION("""COMPUTED_VALUE"""),"Andrews")</f>
        <v>Andrews</v>
      </c>
      <c r="E4774" t="str">
        <f>IFERROR(__xludf.DUMMYFUNCTION("""COMPUTED_VALUE"""),"Mark")</f>
        <v>Mark</v>
      </c>
      <c r="F4774">
        <f>IFERROR(__xludf.DUMMYFUNCTION("""COMPUTED_VALUE"""),18.25)</f>
        <v>18.25</v>
      </c>
    </row>
    <row r="4775">
      <c r="D4775" t="str">
        <f>IFERROR(__xludf.DUMMYFUNCTION("""COMPUTED_VALUE"""),"Anger")</f>
        <v>Anger</v>
      </c>
      <c r="E4775" t="str">
        <f>IFERROR(__xludf.DUMMYFUNCTION("""COMPUTED_VALUE"""),"Bryan")</f>
        <v>Bryan</v>
      </c>
      <c r="F4775">
        <f>IFERROR(__xludf.DUMMYFUNCTION("""COMPUTED_VALUE"""),20.75)</f>
        <v>20.75</v>
      </c>
    </row>
    <row r="4776">
      <c r="D4776" t="str">
        <f>IFERROR(__xludf.DUMMYFUNCTION("""COMPUTED_VALUE"""),"Ansah")</f>
        <v>Ansah</v>
      </c>
      <c r="E4776" t="str">
        <f>IFERROR(__xludf.DUMMYFUNCTION("""COMPUTED_VALUE"""),"Ezekiel")</f>
        <v>Ezekiel</v>
      </c>
      <c r="F4776">
        <f>IFERROR(__xludf.DUMMYFUNCTION("""COMPUTED_VALUE"""),20.0)</f>
        <v>20</v>
      </c>
    </row>
    <row r="4777">
      <c r="D4777" t="str">
        <f>IFERROR(__xludf.DUMMYFUNCTION("""COMPUTED_VALUE"""),"Anthony")</f>
        <v>Anthony</v>
      </c>
      <c r="E4777" t="str">
        <f>IFERROR(__xludf.DUMMYFUNCTION("""COMPUTED_VALUE"""),"Stephone")</f>
        <v>Stephone</v>
      </c>
      <c r="F4777">
        <f>IFERROR(__xludf.DUMMYFUNCTION("""COMPUTED_VALUE"""),19.0)</f>
        <v>19</v>
      </c>
    </row>
    <row r="4778">
      <c r="D4778" t="str">
        <f>IFERROR(__xludf.DUMMYFUNCTION("""COMPUTED_VALUE"""),"Anzalone")</f>
        <v>Anzalone</v>
      </c>
      <c r="E4778" t="str">
        <f>IFERROR(__xludf.DUMMYFUNCTION("""COMPUTED_VALUE"""),"Alex")</f>
        <v>Alex</v>
      </c>
      <c r="F4778">
        <f>IFERROR(__xludf.DUMMYFUNCTION("""COMPUTED_VALUE"""),19.25)</f>
        <v>19.25</v>
      </c>
    </row>
    <row r="4779">
      <c r="D4779" t="str">
        <f>IFERROR(__xludf.DUMMYFUNCTION("""COMPUTED_VALUE"""),"Apke")</f>
        <v>Apke</v>
      </c>
      <c r="E4779" t="str">
        <f>IFERROR(__xludf.DUMMYFUNCTION("""COMPUTED_VALUE"""),"Troy")</f>
        <v>Troy</v>
      </c>
      <c r="F4779">
        <f>IFERROR(__xludf.DUMMYFUNCTION("""COMPUTED_VALUE"""),17.5)</f>
        <v>17.5</v>
      </c>
    </row>
    <row r="4780">
      <c r="D4780" t="str">
        <f>IFERROR(__xludf.DUMMYFUNCTION("""COMPUTED_VALUE"""),"Apple")</f>
        <v>Apple</v>
      </c>
      <c r="E4780" t="str">
        <f>IFERROR(__xludf.DUMMYFUNCTION("""COMPUTED_VALUE"""),"Eli")</f>
        <v>Eli</v>
      </c>
      <c r="F4780">
        <f>IFERROR(__xludf.DUMMYFUNCTION("""COMPUTED_VALUE"""),17.75)</f>
        <v>17.75</v>
      </c>
    </row>
    <row r="4781">
      <c r="D4781" t="str">
        <f>IFERROR(__xludf.DUMMYFUNCTION("""COMPUTED_VALUE"""),"Armah")</f>
        <v>Armah</v>
      </c>
      <c r="E4781" t="str">
        <f>IFERROR(__xludf.DUMMYFUNCTION("""COMPUTED_VALUE"""),"Alex")</f>
        <v>Alex</v>
      </c>
      <c r="F4781">
        <f>IFERROR(__xludf.DUMMYFUNCTION("""COMPUTED_VALUE"""),17.0)</f>
        <v>17</v>
      </c>
    </row>
    <row r="4782">
      <c r="D4782" t="str">
        <f>IFERROR(__xludf.DUMMYFUNCTION("""COMPUTED_VALUE"""),"Armbrister")</f>
        <v>Armbrister</v>
      </c>
      <c r="E4782" t="str">
        <f>IFERROR(__xludf.DUMMYFUNCTION("""COMPUTED_VALUE"""),"Thurston")</f>
        <v>Thurston</v>
      </c>
      <c r="F4782">
        <f>IFERROR(__xludf.DUMMYFUNCTION("""COMPUTED_VALUE"""),15.5)</f>
        <v>15.5</v>
      </c>
    </row>
    <row r="4783">
      <c r="D4783" t="str">
        <f>IFERROR(__xludf.DUMMYFUNCTION("""COMPUTED_VALUE"""),"Armstead")</f>
        <v>Armstead</v>
      </c>
      <c r="E4783" t="str">
        <f>IFERROR(__xludf.DUMMYFUNCTION("""COMPUTED_VALUE"""),"Arik")</f>
        <v>Arik</v>
      </c>
      <c r="F4783">
        <f>IFERROR(__xludf.DUMMYFUNCTION("""COMPUTED_VALUE"""),19.25)</f>
        <v>19.25</v>
      </c>
    </row>
    <row r="4784">
      <c r="D4784" t="str">
        <f>IFERROR(__xludf.DUMMYFUNCTION("""COMPUTED_VALUE"""),"Armstead")</f>
        <v>Armstead</v>
      </c>
      <c r="E4784" t="str">
        <f>IFERROR(__xludf.DUMMYFUNCTION("""COMPUTED_VALUE"""),"Terron")</f>
        <v>Terron</v>
      </c>
      <c r="F4784">
        <f>IFERROR(__xludf.DUMMYFUNCTION("""COMPUTED_VALUE"""),20.0)</f>
        <v>20</v>
      </c>
    </row>
    <row r="4785">
      <c r="D4785" t="str">
        <f>IFERROR(__xludf.DUMMYFUNCTION("""COMPUTED_VALUE"""),"Armstrong")</f>
        <v>Armstrong</v>
      </c>
      <c r="E4785" t="str">
        <f>IFERROR(__xludf.DUMMYFUNCTION("""COMPUTED_VALUE"""),"Cornell")</f>
        <v>Cornell</v>
      </c>
      <c r="F4785">
        <f>IFERROR(__xludf.DUMMYFUNCTION("""COMPUTED_VALUE"""),17.0)</f>
        <v>17</v>
      </c>
    </row>
    <row r="4786">
      <c r="D4786" t="str">
        <f>IFERROR(__xludf.DUMMYFUNCTION("""COMPUTED_VALUE"""),"Armstrong")</f>
        <v>Armstrong</v>
      </c>
      <c r="E4786" t="str">
        <f>IFERROR(__xludf.DUMMYFUNCTION("""COMPUTED_VALUE"""),"Ray-Ray")</f>
        <v>Ray-Ray</v>
      </c>
      <c r="F4786">
        <f>IFERROR(__xludf.DUMMYFUNCTION("""COMPUTED_VALUE"""),18.0)</f>
        <v>18</v>
      </c>
    </row>
    <row r="4787">
      <c r="D4787" t="str">
        <f>IFERROR(__xludf.DUMMYFUNCTION("""COMPUTED_VALUE"""),"Armstrong Jr")</f>
        <v>Armstrong Jr</v>
      </c>
      <c r="E4787" t="str">
        <f>IFERROR(__xludf.DUMMYFUNCTION("""COMPUTED_VALUE"""),"Dorance")</f>
        <v>Dorance</v>
      </c>
      <c r="F4787">
        <f>IFERROR(__xludf.DUMMYFUNCTION("""COMPUTED_VALUE"""),17.0)</f>
        <v>17</v>
      </c>
    </row>
    <row r="4788">
      <c r="D4788" t="str">
        <f>IFERROR(__xludf.DUMMYFUNCTION("""COMPUTED_VALUE"""),"Artis-Payne")</f>
        <v>Artis-Payne</v>
      </c>
      <c r="E4788" t="str">
        <f>IFERROR(__xludf.DUMMYFUNCTION("""COMPUTED_VALUE"""),"Cameron")</f>
        <v>Cameron</v>
      </c>
      <c r="F4788">
        <f>IFERROR(__xludf.DUMMYFUNCTION("""COMPUTED_VALUE"""),17.5)</f>
        <v>17.5</v>
      </c>
    </row>
    <row r="4789">
      <c r="D4789" t="str">
        <f>IFERROR(__xludf.DUMMYFUNCTION("""COMPUTED_VALUE"""),"Aruna")</f>
        <v>Aruna</v>
      </c>
      <c r="E4789" t="str">
        <f>IFERROR(__xludf.DUMMYFUNCTION("""COMPUTED_VALUE"""),"Ade")</f>
        <v>Ade</v>
      </c>
      <c r="F4789">
        <f>IFERROR(__xludf.DUMMYFUNCTION("""COMPUTED_VALUE"""),16.25)</f>
        <v>16.25</v>
      </c>
    </row>
    <row r="4790">
      <c r="D4790" t="str">
        <f>IFERROR(__xludf.DUMMYFUNCTION("""COMPUTED_VALUE"""),"Ash")</f>
        <v>Ash</v>
      </c>
      <c r="E4790" t="str">
        <f>IFERROR(__xludf.DUMMYFUNCTION("""COMPUTED_VALUE"""),"Richard")</f>
        <v>Richard</v>
      </c>
      <c r="F4790">
        <f>IFERROR(__xludf.DUMMYFUNCTION("""COMPUTED_VALUE"""),15.75)</f>
        <v>15.75</v>
      </c>
    </row>
    <row r="4791">
      <c r="D4791" t="str">
        <f>IFERROR(__xludf.DUMMYFUNCTION("""COMPUTED_VALUE"""),"Asiata")</f>
        <v>Asiata</v>
      </c>
      <c r="E4791" t="str">
        <f>IFERROR(__xludf.DUMMYFUNCTION("""COMPUTED_VALUE"""),"Isaac")</f>
        <v>Isaac</v>
      </c>
      <c r="F4791">
        <f>IFERROR(__xludf.DUMMYFUNCTION("""COMPUTED_VALUE"""),18.0)</f>
        <v>18</v>
      </c>
    </row>
    <row r="4792">
      <c r="D4792" t="str">
        <f>IFERROR(__xludf.DUMMYFUNCTION("""COMPUTED_VALUE"""),"Ateman")</f>
        <v>Ateman</v>
      </c>
      <c r="E4792" t="str">
        <f>IFERROR(__xludf.DUMMYFUNCTION("""COMPUTED_VALUE"""),"Marcell")</f>
        <v>Marcell</v>
      </c>
      <c r="F4792">
        <f>IFERROR(__xludf.DUMMYFUNCTION("""COMPUTED_VALUE"""),17.5)</f>
        <v>17.5</v>
      </c>
    </row>
    <row r="4793">
      <c r="D4793" t="str">
        <f>IFERROR(__xludf.DUMMYFUNCTION("""COMPUTED_VALUE"""),"Atkins")</f>
        <v>Atkins</v>
      </c>
      <c r="E4793" t="str">
        <f>IFERROR(__xludf.DUMMYFUNCTION("""COMPUTED_VALUE"""),"Geno")</f>
        <v>Geno</v>
      </c>
      <c r="F4793">
        <f>IFERROR(__xludf.DUMMYFUNCTION("""COMPUTED_VALUE"""),21.5)</f>
        <v>21.5</v>
      </c>
    </row>
    <row r="4794">
      <c r="D4794" t="str">
        <f>IFERROR(__xludf.DUMMYFUNCTION("""COMPUTED_VALUE"""),"Atkins")</f>
        <v>Atkins</v>
      </c>
      <c r="E4794" t="str">
        <f>IFERROR(__xludf.DUMMYFUNCTION("""COMPUTED_VALUE"""),"Geno")</f>
        <v>Geno</v>
      </c>
      <c r="F4794">
        <f>IFERROR(__xludf.DUMMYFUNCTION("""COMPUTED_VALUE"""),22.25)</f>
        <v>22.25</v>
      </c>
    </row>
    <row r="4795">
      <c r="D4795" t="str">
        <f>IFERROR(__xludf.DUMMYFUNCTION("""COMPUTED_VALUE"""),"Attaochu")</f>
        <v>Attaochu</v>
      </c>
      <c r="E4795" t="str">
        <f>IFERROR(__xludf.DUMMYFUNCTION("""COMPUTED_VALUE"""),"Jeremiah")</f>
        <v>Jeremiah</v>
      </c>
      <c r="F4795">
        <f>IFERROR(__xludf.DUMMYFUNCTION("""COMPUTED_VALUE"""),18.25)</f>
        <v>18.25</v>
      </c>
    </row>
    <row r="4796">
      <c r="D4796" t="str">
        <f>IFERROR(__xludf.DUMMYFUNCTION("""COMPUTED_VALUE"""),"Auclair")</f>
        <v>Auclair</v>
      </c>
      <c r="E4796" t="str">
        <f>IFERROR(__xludf.DUMMYFUNCTION("""COMPUTED_VALUE"""),"Antony")</f>
        <v>Antony</v>
      </c>
      <c r="F4796">
        <f>IFERROR(__xludf.DUMMYFUNCTION("""COMPUTED_VALUE"""),15.75)</f>
        <v>15.75</v>
      </c>
    </row>
    <row r="4797">
      <c r="D4797" t="str">
        <f>IFERROR(__xludf.DUMMYFUNCTION("""COMPUTED_VALUE"""),"Austin")</f>
        <v>Austin</v>
      </c>
      <c r="E4797" t="str">
        <f>IFERROR(__xludf.DUMMYFUNCTION("""COMPUTED_VALUE"""),"Tavon")</f>
        <v>Tavon</v>
      </c>
      <c r="F4797">
        <f>IFERROR(__xludf.DUMMYFUNCTION("""COMPUTED_VALUE"""),18.0)</f>
        <v>18</v>
      </c>
    </row>
    <row r="4798">
      <c r="D4798" t="str">
        <f>IFERROR(__xludf.DUMMYFUNCTION("""COMPUTED_VALUE"""),"Autry")</f>
        <v>Autry</v>
      </c>
      <c r="E4798" t="str">
        <f>IFERROR(__xludf.DUMMYFUNCTION("""COMPUTED_VALUE"""),"Denico")</f>
        <v>Denico</v>
      </c>
      <c r="F4798">
        <f>IFERROR(__xludf.DUMMYFUNCTION("""COMPUTED_VALUE"""),18.25)</f>
        <v>18.25</v>
      </c>
    </row>
    <row r="4799">
      <c r="D4799" t="str">
        <f>IFERROR(__xludf.DUMMYFUNCTION("""COMPUTED_VALUE"""),"Averett")</f>
        <v>Averett</v>
      </c>
      <c r="E4799" t="str">
        <f>IFERROR(__xludf.DUMMYFUNCTION("""COMPUTED_VALUE"""),"Anthony")</f>
        <v>Anthony</v>
      </c>
      <c r="F4799">
        <f>IFERROR(__xludf.DUMMYFUNCTION("""COMPUTED_VALUE"""),17.5)</f>
        <v>17.5</v>
      </c>
    </row>
    <row r="4800">
      <c r="D4800" t="str">
        <f>IFERROR(__xludf.DUMMYFUNCTION("""COMPUTED_VALUE"""),"Avery")</f>
        <v>Avery</v>
      </c>
      <c r="E4800" t="str">
        <f>IFERROR(__xludf.DUMMYFUNCTION("""COMPUTED_VALUE"""),"Genard")</f>
        <v>Genard</v>
      </c>
      <c r="F4800">
        <f>IFERROR(__xludf.DUMMYFUNCTION("""COMPUTED_VALUE"""),17.0)</f>
        <v>17</v>
      </c>
    </row>
    <row r="4801">
      <c r="D4801" t="str">
        <f>IFERROR(__xludf.DUMMYFUNCTION("""COMPUTED_VALUE"""),"Avril")</f>
        <v>Avril</v>
      </c>
      <c r="E4801" t="str">
        <f>IFERROR(__xludf.DUMMYFUNCTION("""COMPUTED_VALUE"""),"Cliff")</f>
        <v>Cliff</v>
      </c>
      <c r="F4801">
        <f>IFERROR(__xludf.DUMMYFUNCTION("""COMPUTED_VALUE"""),15.25)</f>
        <v>15.25</v>
      </c>
    </row>
    <row r="4802">
      <c r="D4802" t="str">
        <f>IFERROR(__xludf.DUMMYFUNCTION("""COMPUTED_VALUE"""),"Awuzie")</f>
        <v>Awuzie</v>
      </c>
      <c r="E4802" t="str">
        <f>IFERROR(__xludf.DUMMYFUNCTION("""COMPUTED_VALUE"""),"Chidobe")</f>
        <v>Chidobe</v>
      </c>
      <c r="F4802">
        <f>IFERROR(__xludf.DUMMYFUNCTION("""COMPUTED_VALUE"""),19.75)</f>
        <v>19.75</v>
      </c>
    </row>
    <row r="4803">
      <c r="D4803" t="str">
        <f>IFERROR(__xludf.DUMMYFUNCTION("""COMPUTED_VALUE"""),"Ayers")</f>
        <v>Ayers</v>
      </c>
      <c r="E4803" t="str">
        <f>IFERROR(__xludf.DUMMYFUNCTION("""COMPUTED_VALUE"""),"DeMarcus")</f>
        <v>DeMarcus</v>
      </c>
      <c r="F4803">
        <f>IFERROR(__xludf.DUMMYFUNCTION("""COMPUTED_VALUE"""),15.75)</f>
        <v>15.75</v>
      </c>
    </row>
    <row r="4804">
      <c r="D4804" t="str">
        <f>IFERROR(__xludf.DUMMYFUNCTION("""COMPUTED_VALUE"""),"Ayers Jr")</f>
        <v>Ayers Jr</v>
      </c>
      <c r="E4804" t="str">
        <f>IFERROR(__xludf.DUMMYFUNCTION("""COMPUTED_VALUE"""),"Robert")</f>
        <v>Robert</v>
      </c>
      <c r="F4804">
        <f>IFERROR(__xludf.DUMMYFUNCTION("""COMPUTED_VALUE"""),15.25)</f>
        <v>15.25</v>
      </c>
    </row>
    <row r="4805">
      <c r="D4805" t="str">
        <f>IFERROR(__xludf.DUMMYFUNCTION("""COMPUTED_VALUE"""),"Bademosi")</f>
        <v>Bademosi</v>
      </c>
      <c r="E4805" t="str">
        <f>IFERROR(__xludf.DUMMYFUNCTION("""COMPUTED_VALUE"""),"Johnson")</f>
        <v>Johnson</v>
      </c>
      <c r="F4805">
        <f>IFERROR(__xludf.DUMMYFUNCTION("""COMPUTED_VALUE"""),17.75)</f>
        <v>17.75</v>
      </c>
    </row>
    <row r="4806">
      <c r="D4806" t="str">
        <f>IFERROR(__xludf.DUMMYFUNCTION("""COMPUTED_VALUE"""),"Bailey")</f>
        <v>Bailey</v>
      </c>
      <c r="E4806" t="str">
        <f>IFERROR(__xludf.DUMMYFUNCTION("""COMPUTED_VALUE"""),"Allen")</f>
        <v>Allen</v>
      </c>
      <c r="F4806">
        <f>IFERROR(__xludf.DUMMYFUNCTION("""COMPUTED_VALUE"""),18.75)</f>
        <v>18.75</v>
      </c>
    </row>
    <row r="4807">
      <c r="D4807" t="str">
        <f>IFERROR(__xludf.DUMMYFUNCTION("""COMPUTED_VALUE"""),"Bailey")</f>
        <v>Bailey</v>
      </c>
      <c r="E4807" t="str">
        <f>IFERROR(__xludf.DUMMYFUNCTION("""COMPUTED_VALUE"""),"Champ")</f>
        <v>Champ</v>
      </c>
      <c r="F4807">
        <f>IFERROR(__xludf.DUMMYFUNCTION("""COMPUTED_VALUE"""),21.0)</f>
        <v>21</v>
      </c>
    </row>
    <row r="4808">
      <c r="D4808" t="str">
        <f>IFERROR(__xludf.DUMMYFUNCTION("""COMPUTED_VALUE"""),"Bailey")</f>
        <v>Bailey</v>
      </c>
      <c r="E4808" t="str">
        <f>IFERROR(__xludf.DUMMYFUNCTION("""COMPUTED_VALUE"""),"Champ")</f>
        <v>Champ</v>
      </c>
      <c r="F4808">
        <f>IFERROR(__xludf.DUMMYFUNCTION("""COMPUTED_VALUE"""),20.75)</f>
        <v>20.75</v>
      </c>
    </row>
    <row r="4809">
      <c r="D4809" t="str">
        <f>IFERROR(__xludf.DUMMYFUNCTION("""COMPUTED_VALUE"""),"Bailey")</f>
        <v>Bailey</v>
      </c>
      <c r="E4809" t="str">
        <f>IFERROR(__xludf.DUMMYFUNCTION("""COMPUTED_VALUE"""),"Champ")</f>
        <v>Champ</v>
      </c>
      <c r="F4809">
        <f>IFERROR(__xludf.DUMMYFUNCTION("""COMPUTED_VALUE"""),21.25)</f>
        <v>21.25</v>
      </c>
    </row>
    <row r="4810">
      <c r="D4810" t="str">
        <f>IFERROR(__xludf.DUMMYFUNCTION("""COMPUTED_VALUE"""),"Bailey")</f>
        <v>Bailey</v>
      </c>
      <c r="E4810" t="str">
        <f>IFERROR(__xludf.DUMMYFUNCTION("""COMPUTED_VALUE"""),"Champ")</f>
        <v>Champ</v>
      </c>
      <c r="F4810">
        <f>IFERROR(__xludf.DUMMYFUNCTION("""COMPUTED_VALUE"""),22.75)</f>
        <v>22.75</v>
      </c>
    </row>
    <row r="4811">
      <c r="D4811" t="str">
        <f>IFERROR(__xludf.DUMMYFUNCTION("""COMPUTED_VALUE"""),"Bailey")</f>
        <v>Bailey</v>
      </c>
      <c r="E4811" t="str">
        <f>IFERROR(__xludf.DUMMYFUNCTION("""COMPUTED_VALUE"""),"Champ")</f>
        <v>Champ</v>
      </c>
      <c r="F4811">
        <f>IFERROR(__xludf.DUMMYFUNCTION("""COMPUTED_VALUE"""),22.25)</f>
        <v>22.25</v>
      </c>
    </row>
    <row r="4812">
      <c r="D4812" t="str">
        <f>IFERROR(__xludf.DUMMYFUNCTION("""COMPUTED_VALUE"""),"Bailey")</f>
        <v>Bailey</v>
      </c>
      <c r="E4812" t="str">
        <f>IFERROR(__xludf.DUMMYFUNCTION("""COMPUTED_VALUE"""),"Champ")</f>
        <v>Champ</v>
      </c>
      <c r="F4812">
        <f>IFERROR(__xludf.DUMMYFUNCTION("""COMPUTED_VALUE"""),21.75)</f>
        <v>21.75</v>
      </c>
    </row>
    <row r="4813">
      <c r="D4813" t="str">
        <f>IFERROR(__xludf.DUMMYFUNCTION("""COMPUTED_VALUE"""),"Bailey")</f>
        <v>Bailey</v>
      </c>
      <c r="E4813" t="str">
        <f>IFERROR(__xludf.DUMMYFUNCTION("""COMPUTED_VALUE"""),"Dan")</f>
        <v>Dan</v>
      </c>
      <c r="F4813">
        <f>IFERROR(__xludf.DUMMYFUNCTION("""COMPUTED_VALUE"""),19.75)</f>
        <v>19.75</v>
      </c>
    </row>
    <row r="4814">
      <c r="D4814" t="str">
        <f>IFERROR(__xludf.DUMMYFUNCTION("""COMPUTED_VALUE"""),"Baker")</f>
        <v>Baker</v>
      </c>
      <c r="E4814" t="str">
        <f>IFERROR(__xludf.DUMMYFUNCTION("""COMPUTED_VALUE"""),"Budda")</f>
        <v>Budda</v>
      </c>
      <c r="F4814">
        <f>IFERROR(__xludf.DUMMYFUNCTION("""COMPUTED_VALUE"""),19.25)</f>
        <v>19.25</v>
      </c>
    </row>
    <row r="4815">
      <c r="D4815" t="str">
        <f>IFERROR(__xludf.DUMMYFUNCTION("""COMPUTED_VALUE"""),"Baker")</f>
        <v>Baker</v>
      </c>
      <c r="E4815" t="str">
        <f>IFERROR(__xludf.DUMMYFUNCTION("""COMPUTED_VALUE"""),"Chris")</f>
        <v>Chris</v>
      </c>
      <c r="F4815">
        <f>IFERROR(__xludf.DUMMYFUNCTION("""COMPUTED_VALUE"""),18.75)</f>
        <v>18.75</v>
      </c>
    </row>
    <row r="4816">
      <c r="D4816" t="str">
        <f>IFERROR(__xludf.DUMMYFUNCTION("""COMPUTED_VALUE"""),"Baker")</f>
        <v>Baker</v>
      </c>
      <c r="E4816" t="str">
        <f>IFERROR(__xludf.DUMMYFUNCTION("""COMPUTED_VALUE"""),"Jerome")</f>
        <v>Jerome</v>
      </c>
      <c r="F4816">
        <f>IFERROR(__xludf.DUMMYFUNCTION("""COMPUTED_VALUE"""),17.75)</f>
        <v>17.75</v>
      </c>
    </row>
    <row r="4817">
      <c r="D4817" t="str">
        <f>IFERROR(__xludf.DUMMYFUNCTION("""COMPUTED_VALUE"""),"Bakhtiari")</f>
        <v>Bakhtiari</v>
      </c>
      <c r="E4817" t="str">
        <f>IFERROR(__xludf.DUMMYFUNCTION("""COMPUTED_VALUE"""),"David")</f>
        <v>David</v>
      </c>
      <c r="F4817">
        <f>IFERROR(__xludf.DUMMYFUNCTION("""COMPUTED_VALUE"""),22.75)</f>
        <v>22.75</v>
      </c>
    </row>
    <row r="4818">
      <c r="D4818" t="str">
        <f>IFERROR(__xludf.DUMMYFUNCTION("""COMPUTED_VALUE"""),"Bakhtiari")</f>
        <v>Bakhtiari</v>
      </c>
      <c r="E4818" t="str">
        <f>IFERROR(__xludf.DUMMYFUNCTION("""COMPUTED_VALUE"""),"David")</f>
        <v>David</v>
      </c>
      <c r="F4818">
        <f>IFERROR(__xludf.DUMMYFUNCTION("""COMPUTED_VALUE"""),21.5)</f>
        <v>21.5</v>
      </c>
    </row>
    <row r="4819">
      <c r="D4819" t="str">
        <f>IFERROR(__xludf.DUMMYFUNCTION("""COMPUTED_VALUE"""),"Balducci")</f>
        <v>Balducci</v>
      </c>
      <c r="E4819" t="str">
        <f>IFERROR(__xludf.DUMMYFUNCTION("""COMPUTED_VALUE"""),"Alex")</f>
        <v>Alex</v>
      </c>
      <c r="F4819">
        <f>IFERROR(__xludf.DUMMYFUNCTION("""COMPUTED_VALUE"""),16.25)</f>
        <v>16.25</v>
      </c>
    </row>
    <row r="4820">
      <c r="D4820" t="str">
        <f>IFERROR(__xludf.DUMMYFUNCTION("""COMPUTED_VALUE"""),"Baldwin")</f>
        <v>Baldwin</v>
      </c>
      <c r="E4820" t="str">
        <f>IFERROR(__xludf.DUMMYFUNCTION("""COMPUTED_VALUE"""),"Doug")</f>
        <v>Doug</v>
      </c>
      <c r="F4820">
        <f>IFERROR(__xludf.DUMMYFUNCTION("""COMPUTED_VALUE"""),21.25)</f>
        <v>21.25</v>
      </c>
    </row>
    <row r="4821">
      <c r="D4821" t="str">
        <f>IFERROR(__xludf.DUMMYFUNCTION("""COMPUTED_VALUE"""),"Baldwin")</f>
        <v>Baldwin</v>
      </c>
      <c r="E4821" t="str">
        <f>IFERROR(__xludf.DUMMYFUNCTION("""COMPUTED_VALUE"""),"Doug")</f>
        <v>Doug</v>
      </c>
      <c r="F4821">
        <f>IFERROR(__xludf.DUMMYFUNCTION("""COMPUTED_VALUE"""),22.0)</f>
        <v>22</v>
      </c>
    </row>
    <row r="4822">
      <c r="D4822" t="str">
        <f>IFERROR(__xludf.DUMMYFUNCTION("""COMPUTED_VALUE"""),"Ballage")</f>
        <v>Ballage</v>
      </c>
      <c r="E4822" t="str">
        <f>IFERROR(__xludf.DUMMYFUNCTION("""COMPUTED_VALUE"""),"Kalen")</f>
        <v>Kalen</v>
      </c>
      <c r="F4822">
        <f>IFERROR(__xludf.DUMMYFUNCTION("""COMPUTED_VALUE"""),18.5)</f>
        <v>18.5</v>
      </c>
    </row>
    <row r="4823">
      <c r="D4823" t="str">
        <f>IFERROR(__xludf.DUMMYFUNCTION("""COMPUTED_VALUE"""),"Banjo")</f>
        <v>Banjo</v>
      </c>
      <c r="E4823" t="str">
        <f>IFERROR(__xludf.DUMMYFUNCTION("""COMPUTED_VALUE"""),"Chris")</f>
        <v>Chris</v>
      </c>
      <c r="F4823">
        <f>IFERROR(__xludf.DUMMYFUNCTION("""COMPUTED_VALUE"""),17.25)</f>
        <v>17.25</v>
      </c>
    </row>
    <row r="4824">
      <c r="D4824" t="str">
        <f>IFERROR(__xludf.DUMMYFUNCTION("""COMPUTED_VALUE"""),"Banner")</f>
        <v>Banner</v>
      </c>
      <c r="E4824" t="str">
        <f>IFERROR(__xludf.DUMMYFUNCTION("""COMPUTED_VALUE"""),"Zach")</f>
        <v>Zach</v>
      </c>
      <c r="F4824">
        <f>IFERROR(__xludf.DUMMYFUNCTION("""COMPUTED_VALUE"""),15.0)</f>
        <v>15</v>
      </c>
    </row>
    <row r="4825">
      <c r="D4825" t="str">
        <f>IFERROR(__xludf.DUMMYFUNCTION("""COMPUTED_VALUE"""),"Barber")</f>
        <v>Barber</v>
      </c>
      <c r="E4825" t="str">
        <f>IFERROR(__xludf.DUMMYFUNCTION("""COMPUTED_VALUE"""),"Peyton")</f>
        <v>Peyton</v>
      </c>
      <c r="F4825">
        <f>IFERROR(__xludf.DUMMYFUNCTION("""COMPUTED_VALUE"""),18.0)</f>
        <v>18</v>
      </c>
    </row>
    <row r="4826">
      <c r="D4826" t="str">
        <f>IFERROR(__xludf.DUMMYFUNCTION("""COMPUTED_VALUE"""),"Barkley")</f>
        <v>Barkley</v>
      </c>
      <c r="E4826" t="str">
        <f>IFERROR(__xludf.DUMMYFUNCTION("""COMPUTED_VALUE"""),"Matt")</f>
        <v>Matt</v>
      </c>
      <c r="F4826">
        <f>IFERROR(__xludf.DUMMYFUNCTION("""COMPUTED_VALUE"""),17.75)</f>
        <v>17.75</v>
      </c>
    </row>
    <row r="4827">
      <c r="D4827" t="str">
        <f>IFERROR(__xludf.DUMMYFUNCTION("""COMPUTED_VALUE"""),"Barkley")</f>
        <v>Barkley</v>
      </c>
      <c r="E4827" t="str">
        <f>IFERROR(__xludf.DUMMYFUNCTION("""COMPUTED_VALUE"""),"Saquon")</f>
        <v>Saquon</v>
      </c>
      <c r="F4827">
        <f>IFERROR(__xludf.DUMMYFUNCTION("""COMPUTED_VALUE"""),19.75)</f>
        <v>19.75</v>
      </c>
    </row>
    <row r="4828">
      <c r="D4828" t="str">
        <f>IFERROR(__xludf.DUMMYFUNCTION("""COMPUTED_VALUE"""),"Barksdale")</f>
        <v>Barksdale</v>
      </c>
      <c r="E4828" t="str">
        <f>IFERROR(__xludf.DUMMYFUNCTION("""COMPUTED_VALUE"""),"Joe")</f>
        <v>Joe</v>
      </c>
      <c r="F4828">
        <f>IFERROR(__xludf.DUMMYFUNCTION("""COMPUTED_VALUE"""),19.0)</f>
        <v>19</v>
      </c>
    </row>
    <row r="4829">
      <c r="D4829" t="str">
        <f>IFERROR(__xludf.DUMMYFUNCTION("""COMPUTED_VALUE"""),"Barner")</f>
        <v>Barner</v>
      </c>
      <c r="E4829" t="str">
        <f>IFERROR(__xludf.DUMMYFUNCTION("""COMPUTED_VALUE"""),"Kenjon")</f>
        <v>Kenjon</v>
      </c>
      <c r="F4829">
        <f>IFERROR(__xludf.DUMMYFUNCTION("""COMPUTED_VALUE"""),17.5)</f>
        <v>17.5</v>
      </c>
    </row>
    <row r="4830">
      <c r="D4830" t="str">
        <f>IFERROR(__xludf.DUMMYFUNCTION("""COMPUTED_VALUE"""),"Barnes")</f>
        <v>Barnes</v>
      </c>
      <c r="E4830" t="str">
        <f>IFERROR(__xludf.DUMMYFUNCTION("""COMPUTED_VALUE"""),"Tavaris")</f>
        <v>Tavaris</v>
      </c>
      <c r="F4830">
        <f>IFERROR(__xludf.DUMMYFUNCTION("""COMPUTED_VALUE"""),15.5)</f>
        <v>15.5</v>
      </c>
    </row>
    <row r="4831">
      <c r="D4831" t="str">
        <f>IFERROR(__xludf.DUMMYFUNCTION("""COMPUTED_VALUE"""),"Barnett")</f>
        <v>Barnett</v>
      </c>
      <c r="E4831" t="str">
        <f>IFERROR(__xludf.DUMMYFUNCTION("""COMPUTED_VALUE"""),"Derek")</f>
        <v>Derek</v>
      </c>
      <c r="F4831">
        <f>IFERROR(__xludf.DUMMYFUNCTION("""COMPUTED_VALUE"""),19.5)</f>
        <v>19.5</v>
      </c>
    </row>
    <row r="4832">
      <c r="D4832" t="str">
        <f>IFERROR(__xludf.DUMMYFUNCTION("""COMPUTED_VALUE"""),"Barr")</f>
        <v>Barr</v>
      </c>
      <c r="E4832" t="str">
        <f>IFERROR(__xludf.DUMMYFUNCTION("""COMPUTED_VALUE"""),"Anthony")</f>
        <v>Anthony</v>
      </c>
      <c r="F4832">
        <f>IFERROR(__xludf.DUMMYFUNCTION("""COMPUTED_VALUE"""),21.0)</f>
        <v>21</v>
      </c>
    </row>
    <row r="4833">
      <c r="D4833" t="str">
        <f>IFERROR(__xludf.DUMMYFUNCTION("""COMPUTED_VALUE"""),"Barrett")</f>
        <v>Barrett</v>
      </c>
      <c r="E4833" t="str">
        <f>IFERROR(__xludf.DUMMYFUNCTION("""COMPUTED_VALUE"""),"Alex")</f>
        <v>Alex</v>
      </c>
      <c r="F4833">
        <f>IFERROR(__xludf.DUMMYFUNCTION("""COMPUTED_VALUE"""),16.25)</f>
        <v>16.25</v>
      </c>
    </row>
    <row r="4834">
      <c r="D4834" t="str">
        <f>IFERROR(__xludf.DUMMYFUNCTION("""COMPUTED_VALUE"""),"Barrett")</f>
        <v>Barrett</v>
      </c>
      <c r="E4834" t="str">
        <f>IFERROR(__xludf.DUMMYFUNCTION("""COMPUTED_VALUE"""),"Shaquil")</f>
        <v>Shaquil</v>
      </c>
      <c r="F4834">
        <f>IFERROR(__xludf.DUMMYFUNCTION("""COMPUTED_VALUE"""),19.75)</f>
        <v>19.75</v>
      </c>
    </row>
    <row r="4835">
      <c r="D4835" t="str">
        <f>IFERROR(__xludf.DUMMYFUNCTION("""COMPUTED_VALUE"""),"Barron")</f>
        <v>Barron</v>
      </c>
      <c r="E4835" t="str">
        <f>IFERROR(__xludf.DUMMYFUNCTION("""COMPUTED_VALUE"""),"Mark")</f>
        <v>Mark</v>
      </c>
      <c r="F4835">
        <f>IFERROR(__xludf.DUMMYFUNCTION("""COMPUTED_VALUE"""),20.0)</f>
        <v>20</v>
      </c>
    </row>
    <row r="4836">
      <c r="D4836" t="str">
        <f>IFERROR(__xludf.DUMMYFUNCTION("""COMPUTED_VALUE"""),"Barwin")</f>
        <v>Barwin</v>
      </c>
      <c r="E4836" t="str">
        <f>IFERROR(__xludf.DUMMYFUNCTION("""COMPUTED_VALUE"""),"Connor")</f>
        <v>Connor</v>
      </c>
      <c r="F4836">
        <f>IFERROR(__xludf.DUMMYFUNCTION("""COMPUTED_VALUE"""),19.75)</f>
        <v>19.75</v>
      </c>
    </row>
    <row r="4837">
      <c r="D4837" t="str">
        <f>IFERROR(__xludf.DUMMYFUNCTION("""COMPUTED_VALUE"""),"Basham")</f>
        <v>Basham</v>
      </c>
      <c r="E4837" t="str">
        <f>IFERROR(__xludf.DUMMYFUNCTION("""COMPUTED_VALUE"""),"Tarell")</f>
        <v>Tarell</v>
      </c>
      <c r="F4837">
        <f>IFERROR(__xludf.DUMMYFUNCTION("""COMPUTED_VALUE"""),17.75)</f>
        <v>17.75</v>
      </c>
    </row>
    <row r="4838">
      <c r="D4838" t="str">
        <f>IFERROR(__xludf.DUMMYFUNCTION("""COMPUTED_VALUE"""),"Bass")</f>
        <v>Bass</v>
      </c>
      <c r="E4838" t="str">
        <f>IFERROR(__xludf.DUMMYFUNCTION("""COMPUTED_VALUE"""),"David")</f>
        <v>David</v>
      </c>
      <c r="F4838">
        <f>IFERROR(__xludf.DUMMYFUNCTION("""COMPUTED_VALUE"""),19.25)</f>
        <v>19.25</v>
      </c>
    </row>
    <row r="4839">
      <c r="D4839" t="str">
        <f>IFERROR(__xludf.DUMMYFUNCTION("""COMPUTED_VALUE"""),"Bates")</f>
        <v>Bates</v>
      </c>
      <c r="E4839" t="str">
        <f>IFERROR(__xludf.DUMMYFUNCTION("""COMPUTED_VALUE"""),"Daren")</f>
        <v>Daren</v>
      </c>
      <c r="F4839">
        <f>IFERROR(__xludf.DUMMYFUNCTION("""COMPUTED_VALUE"""),17.75)</f>
        <v>17.75</v>
      </c>
    </row>
    <row r="4840">
      <c r="D4840" t="str">
        <f>IFERROR(__xludf.DUMMYFUNCTION("""COMPUTED_VALUE"""),"Bates III")</f>
        <v>Bates III</v>
      </c>
      <c r="E4840" t="str">
        <f>IFERROR(__xludf.DUMMYFUNCTION("""COMPUTED_VALUE"""),"Jessie")</f>
        <v>Jessie</v>
      </c>
      <c r="F4840">
        <f>IFERROR(__xludf.DUMMYFUNCTION("""COMPUTED_VALUE"""),18.5)</f>
        <v>18.5</v>
      </c>
    </row>
    <row r="4841">
      <c r="D4841" t="str">
        <f>IFERROR(__xludf.DUMMYFUNCTION("""COMPUTED_VALUE"""),"Battle")</f>
        <v>Battle</v>
      </c>
      <c r="E4841" t="str">
        <f>IFERROR(__xludf.DUMMYFUNCTION("""COMPUTED_VALUE"""),"Isaiah")</f>
        <v>Isaiah</v>
      </c>
      <c r="F4841">
        <f>IFERROR(__xludf.DUMMYFUNCTION("""COMPUTED_VALUE"""),17.25)</f>
        <v>17.25</v>
      </c>
    </row>
    <row r="4842">
      <c r="D4842" t="str">
        <f>IFERROR(__xludf.DUMMYFUNCTION("""COMPUTED_VALUE"""),"Bausby")</f>
        <v>Bausby</v>
      </c>
      <c r="E4842" t="str">
        <f>IFERROR(__xludf.DUMMYFUNCTION("""COMPUTED_VALUE"""),"DeVante")</f>
        <v>DeVante</v>
      </c>
      <c r="F4842">
        <f>IFERROR(__xludf.DUMMYFUNCTION("""COMPUTED_VALUE"""),16.0)</f>
        <v>16</v>
      </c>
    </row>
    <row r="4843">
      <c r="D4843" t="str">
        <f>IFERROR(__xludf.DUMMYFUNCTION("""COMPUTED_VALUE"""),"Bawden")</f>
        <v>Bawden</v>
      </c>
      <c r="E4843" t="str">
        <f>IFERROR(__xludf.DUMMYFUNCTION("""COMPUTED_VALUE"""),"Nick")</f>
        <v>Nick</v>
      </c>
      <c r="F4843">
        <f>IFERROR(__xludf.DUMMYFUNCTION("""COMPUTED_VALUE"""),18.0)</f>
        <v>18</v>
      </c>
    </row>
    <row r="4844">
      <c r="D4844" t="str">
        <f>IFERROR(__xludf.DUMMYFUNCTION("""COMPUTED_VALUE"""),"Baylis")</f>
        <v>Baylis</v>
      </c>
      <c r="E4844" t="str">
        <f>IFERROR(__xludf.DUMMYFUNCTION("""COMPUTED_VALUE"""),"Evan")</f>
        <v>Evan</v>
      </c>
      <c r="F4844">
        <f>IFERROR(__xludf.DUMMYFUNCTION("""COMPUTED_VALUE"""),16.25)</f>
        <v>16.25</v>
      </c>
    </row>
    <row r="4845">
      <c r="D4845" t="str">
        <f>IFERROR(__xludf.DUMMYFUNCTION("""COMPUTED_VALUE"""),"Beachum")</f>
        <v>Beachum</v>
      </c>
      <c r="E4845" t="str">
        <f>IFERROR(__xludf.DUMMYFUNCTION("""COMPUTED_VALUE"""),"Kelvin")</f>
        <v>Kelvin</v>
      </c>
      <c r="F4845">
        <f>IFERROR(__xludf.DUMMYFUNCTION("""COMPUTED_VALUE"""),19.25)</f>
        <v>19.25</v>
      </c>
    </row>
    <row r="4846">
      <c r="D4846" t="str">
        <f>IFERROR(__xludf.DUMMYFUNCTION("""COMPUTED_VALUE"""),"Beasley")</f>
        <v>Beasley</v>
      </c>
      <c r="E4846" t="str">
        <f>IFERROR(__xludf.DUMMYFUNCTION("""COMPUTED_VALUE"""),"Cole")</f>
        <v>Cole</v>
      </c>
      <c r="F4846">
        <f>IFERROR(__xludf.DUMMYFUNCTION("""COMPUTED_VALUE"""),19.0)</f>
        <v>19</v>
      </c>
    </row>
    <row r="4847">
      <c r="D4847" t="str">
        <f>IFERROR(__xludf.DUMMYFUNCTION("""COMPUTED_VALUE"""),"Beasley Jr")</f>
        <v>Beasley Jr</v>
      </c>
      <c r="E4847" t="str">
        <f>IFERROR(__xludf.DUMMYFUNCTION("""COMPUTED_VALUE"""),"Vic")</f>
        <v>Vic</v>
      </c>
      <c r="F4847">
        <f>IFERROR(__xludf.DUMMYFUNCTION("""COMPUTED_VALUE"""),19.5)</f>
        <v>19.5</v>
      </c>
    </row>
    <row r="4848">
      <c r="D4848" t="str">
        <f>IFERROR(__xludf.DUMMYFUNCTION("""COMPUTED_VALUE"""),"Beathard")</f>
        <v>Beathard</v>
      </c>
      <c r="E4848" t="str">
        <f>IFERROR(__xludf.DUMMYFUNCTION("""COMPUTED_VALUE"""),"CJ")</f>
        <v>CJ</v>
      </c>
      <c r="F4848">
        <f>IFERROR(__xludf.DUMMYFUNCTION("""COMPUTED_VALUE"""),18.0)</f>
        <v>18</v>
      </c>
    </row>
    <row r="4849">
      <c r="D4849" t="str">
        <f>IFERROR(__xludf.DUMMYFUNCTION("""COMPUTED_VALUE"""),"Beavers")</f>
        <v>Beavers</v>
      </c>
      <c r="E4849" t="str">
        <f>IFERROR(__xludf.DUMMYFUNCTION("""COMPUTED_VALUE"""),"Willie")</f>
        <v>Willie</v>
      </c>
      <c r="F4849">
        <f>IFERROR(__xludf.DUMMYFUNCTION("""COMPUTED_VALUE"""),18.25)</f>
        <v>18.25</v>
      </c>
    </row>
    <row r="4850">
      <c r="D4850" t="str">
        <f>IFERROR(__xludf.DUMMYFUNCTION("""COMPUTED_VALUE"""),"Beckham Jr")</f>
        <v>Beckham Jr</v>
      </c>
      <c r="E4850" t="str">
        <f>IFERROR(__xludf.DUMMYFUNCTION("""COMPUTED_VALUE"""),"Odell")</f>
        <v>Odell</v>
      </c>
      <c r="F4850">
        <f>IFERROR(__xludf.DUMMYFUNCTION("""COMPUTED_VALUE"""),22.25)</f>
        <v>22.25</v>
      </c>
    </row>
    <row r="4851">
      <c r="D4851" t="str">
        <f>IFERROR(__xludf.DUMMYFUNCTION("""COMPUTED_VALUE"""),"Beckham Jr")</f>
        <v>Beckham Jr</v>
      </c>
      <c r="E4851" t="str">
        <f>IFERROR(__xludf.DUMMYFUNCTION("""COMPUTED_VALUE"""),"Odell")</f>
        <v>Odell</v>
      </c>
      <c r="F4851">
        <f>IFERROR(__xludf.DUMMYFUNCTION("""COMPUTED_VALUE"""),21.75)</f>
        <v>21.75</v>
      </c>
    </row>
    <row r="4852">
      <c r="D4852" t="str">
        <f>IFERROR(__xludf.DUMMYFUNCTION("""COMPUTED_VALUE"""),"Beckwith")</f>
        <v>Beckwith</v>
      </c>
      <c r="E4852" t="str">
        <f>IFERROR(__xludf.DUMMYFUNCTION("""COMPUTED_VALUE"""),"Kendell")</f>
        <v>Kendell</v>
      </c>
      <c r="F4852">
        <f>IFERROR(__xludf.DUMMYFUNCTION("""COMPUTED_VALUE"""),19.5)</f>
        <v>19.5</v>
      </c>
    </row>
    <row r="4853">
      <c r="D4853" t="str">
        <f>IFERROR(__xludf.DUMMYFUNCTION("""COMPUTED_VALUE"""),"Bell")</f>
        <v>Bell</v>
      </c>
      <c r="E4853" t="str">
        <f>IFERROR(__xludf.DUMMYFUNCTION("""COMPUTED_VALUE"""),"Blake")</f>
        <v>Blake</v>
      </c>
      <c r="F4853">
        <f>IFERROR(__xludf.DUMMYFUNCTION("""COMPUTED_VALUE"""),16.0)</f>
        <v>16</v>
      </c>
    </row>
    <row r="4854">
      <c r="D4854" t="str">
        <f>IFERROR(__xludf.DUMMYFUNCTION("""COMPUTED_VALUE"""),"Bell")</f>
        <v>Bell</v>
      </c>
      <c r="E4854" t="str">
        <f>IFERROR(__xludf.DUMMYFUNCTION("""COMPUTED_VALUE"""),"Brandon")</f>
        <v>Brandon</v>
      </c>
      <c r="F4854">
        <f>IFERROR(__xludf.DUMMYFUNCTION("""COMPUTED_VALUE"""),16.25)</f>
        <v>16.25</v>
      </c>
    </row>
    <row r="4855">
      <c r="D4855" t="str">
        <f>IFERROR(__xludf.DUMMYFUNCTION("""COMPUTED_VALUE"""),"Bell")</f>
        <v>Bell</v>
      </c>
      <c r="E4855" t="str">
        <f>IFERROR(__xludf.DUMMYFUNCTION("""COMPUTED_VALUE"""),"Kenny")</f>
        <v>Kenny</v>
      </c>
      <c r="F4855">
        <f>IFERROR(__xludf.DUMMYFUNCTION("""COMPUTED_VALUE"""),16.5)</f>
        <v>16.5</v>
      </c>
    </row>
    <row r="4856">
      <c r="D4856" t="str">
        <f>IFERROR(__xludf.DUMMYFUNCTION("""COMPUTED_VALUE"""),"Bell")</f>
        <v>Bell</v>
      </c>
      <c r="E4856" t="str">
        <f>IFERROR(__xludf.DUMMYFUNCTION("""COMPUTED_VALUE"""),"LeVeon")</f>
        <v>LeVeon</v>
      </c>
      <c r="F4856">
        <f>IFERROR(__xludf.DUMMYFUNCTION("""COMPUTED_VALUE"""),22.0)</f>
        <v>22</v>
      </c>
    </row>
    <row r="4857">
      <c r="D4857" t="str">
        <f>IFERROR(__xludf.DUMMYFUNCTION("""COMPUTED_VALUE"""),"Bell")</f>
        <v>Bell</v>
      </c>
      <c r="E4857" t="str">
        <f>IFERROR(__xludf.DUMMYFUNCTION("""COMPUTED_VALUE"""),"LeVeon")</f>
        <v>LeVeon</v>
      </c>
      <c r="F4857">
        <f>IFERROR(__xludf.DUMMYFUNCTION("""COMPUTED_VALUE"""),23.0)</f>
        <v>23</v>
      </c>
    </row>
    <row r="4858">
      <c r="D4858" t="str">
        <f>IFERROR(__xludf.DUMMYFUNCTION("""COMPUTED_VALUE"""),"Bell")</f>
        <v>Bell</v>
      </c>
      <c r="E4858" t="str">
        <f>IFERROR(__xludf.DUMMYFUNCTION("""COMPUTED_VALUE"""),"Vonn")</f>
        <v>Vonn</v>
      </c>
      <c r="F4858">
        <f>IFERROR(__xludf.DUMMYFUNCTION("""COMPUTED_VALUE"""),18.5)</f>
        <v>18.5</v>
      </c>
    </row>
    <row r="4859">
      <c r="D4859" t="str">
        <f>IFERROR(__xludf.DUMMYFUNCTION("""COMPUTED_VALUE"""),"Bellamy")</f>
        <v>Bellamy</v>
      </c>
      <c r="E4859" t="str">
        <f>IFERROR(__xludf.DUMMYFUNCTION("""COMPUTED_VALUE"""),"Josh")</f>
        <v>Josh</v>
      </c>
      <c r="F4859">
        <f>IFERROR(__xludf.DUMMYFUNCTION("""COMPUTED_VALUE"""),18.25)</f>
        <v>18.25</v>
      </c>
    </row>
    <row r="4860">
      <c r="D4860" t="str">
        <f>IFERROR(__xludf.DUMMYFUNCTION("""COMPUTED_VALUE"""),"Bello")</f>
        <v>Bello</v>
      </c>
      <c r="E4860" t="str">
        <f>IFERROR(__xludf.DUMMYFUNCTION("""COMPUTED_VALUE"""),"BJ")</f>
        <v>BJ</v>
      </c>
      <c r="F4860">
        <f>IFERROR(__xludf.DUMMYFUNCTION("""COMPUTED_VALUE"""),15.75)</f>
        <v>15.75</v>
      </c>
    </row>
    <row r="4861">
      <c r="D4861" t="str">
        <f>IFERROR(__xludf.DUMMYFUNCTION("""COMPUTED_VALUE"""),"Bellore")</f>
        <v>Bellore</v>
      </c>
      <c r="E4861" t="str">
        <f>IFERROR(__xludf.DUMMYFUNCTION("""COMPUTED_VALUE"""),"Nick")</f>
        <v>Nick</v>
      </c>
      <c r="F4861">
        <f>IFERROR(__xludf.DUMMYFUNCTION("""COMPUTED_VALUE"""),18.75)</f>
        <v>18.75</v>
      </c>
    </row>
    <row r="4862">
      <c r="D4862" t="str">
        <f>IFERROR(__xludf.DUMMYFUNCTION("""COMPUTED_VALUE"""),"Benenoch")</f>
        <v>Benenoch</v>
      </c>
      <c r="E4862" t="str">
        <f>IFERROR(__xludf.DUMMYFUNCTION("""COMPUTED_VALUE"""),"Caleb")</f>
        <v>Caleb</v>
      </c>
      <c r="F4862">
        <f>IFERROR(__xludf.DUMMYFUNCTION("""COMPUTED_VALUE"""),16.25)</f>
        <v>16.25</v>
      </c>
    </row>
    <row r="4863">
      <c r="D4863" t="str">
        <f>IFERROR(__xludf.DUMMYFUNCTION("""COMPUTED_VALUE"""),"Benjamin")</f>
        <v>Benjamin</v>
      </c>
      <c r="E4863" t="str">
        <f>IFERROR(__xludf.DUMMYFUNCTION("""COMPUTED_VALUE"""),"Kelvin")</f>
        <v>Kelvin</v>
      </c>
      <c r="F4863">
        <f>IFERROR(__xludf.DUMMYFUNCTION("""COMPUTED_VALUE"""),20.25)</f>
        <v>20.25</v>
      </c>
    </row>
    <row r="4864">
      <c r="D4864" t="str">
        <f>IFERROR(__xludf.DUMMYFUNCTION("""COMPUTED_VALUE"""),"Benjamin")</f>
        <v>Benjamin</v>
      </c>
      <c r="E4864" t="str">
        <f>IFERROR(__xludf.DUMMYFUNCTION("""COMPUTED_VALUE"""),"Travis")</f>
        <v>Travis</v>
      </c>
      <c r="F4864">
        <f>IFERROR(__xludf.DUMMYFUNCTION("""COMPUTED_VALUE"""),19.25)</f>
        <v>19.25</v>
      </c>
    </row>
    <row r="4865">
      <c r="D4865" t="str">
        <f>IFERROR(__xludf.DUMMYFUNCTION("""COMPUTED_VALUE"""),"Bennett")</f>
        <v>Bennett</v>
      </c>
      <c r="E4865" t="str">
        <f>IFERROR(__xludf.DUMMYFUNCTION("""COMPUTED_VALUE"""),"Michael")</f>
        <v>Michael</v>
      </c>
      <c r="F4865">
        <f>IFERROR(__xludf.DUMMYFUNCTION("""COMPUTED_VALUE"""),20.75)</f>
        <v>20.75</v>
      </c>
    </row>
    <row r="4866">
      <c r="D4866" t="str">
        <f>IFERROR(__xludf.DUMMYFUNCTION("""COMPUTED_VALUE"""),"Bennett")</f>
        <v>Bennett</v>
      </c>
      <c r="E4866" t="str">
        <f>IFERROR(__xludf.DUMMYFUNCTION("""COMPUTED_VALUE"""),"Michael")</f>
        <v>Michael</v>
      </c>
      <c r="F4866">
        <f>IFERROR(__xludf.DUMMYFUNCTION("""COMPUTED_VALUE"""),16.5)</f>
        <v>16.5</v>
      </c>
    </row>
    <row r="4867">
      <c r="D4867" t="str">
        <f>IFERROR(__xludf.DUMMYFUNCTION("""COMPUTED_VALUE"""),"Bentley")</f>
        <v>Bentley</v>
      </c>
      <c r="E4867" t="str">
        <f>IFERROR(__xludf.DUMMYFUNCTION("""COMPUTED_VALUE"""),"JaWhaun")</f>
        <v>JaWhaun</v>
      </c>
      <c r="F4867">
        <f>IFERROR(__xludf.DUMMYFUNCTION("""COMPUTED_VALUE"""),17.5)</f>
        <v>17.5</v>
      </c>
    </row>
    <row r="4868">
      <c r="D4868" t="str">
        <f>IFERROR(__xludf.DUMMYFUNCTION("""COMPUTED_VALUE"""),"Benwikere")</f>
        <v>Benwikere</v>
      </c>
      <c r="E4868" t="str">
        <f>IFERROR(__xludf.DUMMYFUNCTION("""COMPUTED_VALUE"""),"Bene")</f>
        <v>Bene</v>
      </c>
      <c r="F4868">
        <f>IFERROR(__xludf.DUMMYFUNCTION("""COMPUTED_VALUE"""),17.75)</f>
        <v>17.75</v>
      </c>
    </row>
    <row r="4869">
      <c r="D4869" t="str">
        <f>IFERROR(__xludf.DUMMYFUNCTION("""COMPUTED_VALUE"""),"Bergstrom")</f>
        <v>Bergstrom</v>
      </c>
      <c r="E4869" t="str">
        <f>IFERROR(__xludf.DUMMYFUNCTION("""COMPUTED_VALUE"""),"Tony")</f>
        <v>Tony</v>
      </c>
      <c r="F4869">
        <f>IFERROR(__xludf.DUMMYFUNCTION("""COMPUTED_VALUE"""),16.75)</f>
        <v>16.75</v>
      </c>
    </row>
    <row r="4870">
      <c r="D4870" t="str">
        <f>IFERROR(__xludf.DUMMYFUNCTION("""COMPUTED_VALUE"""),"Berhe")</f>
        <v>Berhe</v>
      </c>
      <c r="E4870" t="str">
        <f>IFERROR(__xludf.DUMMYFUNCTION("""COMPUTED_VALUE"""),"Nat")</f>
        <v>Nat</v>
      </c>
      <c r="F4870">
        <f>IFERROR(__xludf.DUMMYFUNCTION("""COMPUTED_VALUE"""),16.25)</f>
        <v>16.25</v>
      </c>
    </row>
    <row r="4871">
      <c r="D4871" t="str">
        <f>IFERROR(__xludf.DUMMYFUNCTION("""COMPUTED_VALUE"""),"Bernard")</f>
        <v>Bernard</v>
      </c>
      <c r="E4871" t="str">
        <f>IFERROR(__xludf.DUMMYFUNCTION("""COMPUTED_VALUE"""),"Giovani")</f>
        <v>Giovani</v>
      </c>
      <c r="F4871">
        <f>IFERROR(__xludf.DUMMYFUNCTION("""COMPUTED_VALUE"""),19.25)</f>
        <v>19.25</v>
      </c>
    </row>
    <row r="4872">
      <c r="D4872" t="str">
        <f>IFERROR(__xludf.DUMMYFUNCTION("""COMPUTED_VALUE"""),"Berrios")</f>
        <v>Berrios</v>
      </c>
      <c r="E4872" t="str">
        <f>IFERROR(__xludf.DUMMYFUNCTION("""COMPUTED_VALUE"""),"Braxton")</f>
        <v>Braxton</v>
      </c>
      <c r="F4872">
        <f>IFERROR(__xludf.DUMMYFUNCTION("""COMPUTED_VALUE"""),17.5)</f>
        <v>17.5</v>
      </c>
    </row>
    <row r="4873">
      <c r="D4873" t="str">
        <f>IFERROR(__xludf.DUMMYFUNCTION("""COMPUTED_VALUE"""),"Berry")</f>
        <v>Berry</v>
      </c>
      <c r="E4873" t="str">
        <f>IFERROR(__xludf.DUMMYFUNCTION("""COMPUTED_VALUE"""),"Eric")</f>
        <v>Eric</v>
      </c>
      <c r="F4873">
        <f>IFERROR(__xludf.DUMMYFUNCTION("""COMPUTED_VALUE"""),21.75)</f>
        <v>21.75</v>
      </c>
    </row>
    <row r="4874">
      <c r="D4874" t="str">
        <f>IFERROR(__xludf.DUMMYFUNCTION("""COMPUTED_VALUE"""),"Berry")</f>
        <v>Berry</v>
      </c>
      <c r="E4874" t="str">
        <f>IFERROR(__xludf.DUMMYFUNCTION("""COMPUTED_VALUE"""),"Jordan")</f>
        <v>Jordan</v>
      </c>
      <c r="F4874">
        <f>IFERROR(__xludf.DUMMYFUNCTION("""COMPUTED_VALUE"""),19.75)</f>
        <v>19.75</v>
      </c>
    </row>
    <row r="4875">
      <c r="D4875" t="str">
        <f>IFERROR(__xludf.DUMMYFUNCTION("""COMPUTED_VALUE"""),"Bethea")</f>
        <v>Bethea</v>
      </c>
      <c r="E4875" t="str">
        <f>IFERROR(__xludf.DUMMYFUNCTION("""COMPUTED_VALUE"""),"Antoine")</f>
        <v>Antoine</v>
      </c>
      <c r="F4875">
        <f>IFERROR(__xludf.DUMMYFUNCTION("""COMPUTED_VALUE"""),19.75)</f>
        <v>19.75</v>
      </c>
    </row>
    <row r="4876">
      <c r="D4876" t="str">
        <f>IFERROR(__xludf.DUMMYFUNCTION("""COMPUTED_VALUE"""),"Bethel")</f>
        <v>Bethel</v>
      </c>
      <c r="E4876" t="str">
        <f>IFERROR(__xludf.DUMMYFUNCTION("""COMPUTED_VALUE"""),"Justin")</f>
        <v>Justin</v>
      </c>
      <c r="F4876">
        <f>IFERROR(__xludf.DUMMYFUNCTION("""COMPUTED_VALUE"""),18.5)</f>
        <v>18.5</v>
      </c>
    </row>
    <row r="4877">
      <c r="D4877" t="str">
        <f>IFERROR(__xludf.DUMMYFUNCTION("""COMPUTED_VALUE"""),"Bibbs")</f>
        <v>Bibbs</v>
      </c>
      <c r="E4877" t="str">
        <f>IFERROR(__xludf.DUMMYFUNCTION("""COMPUTED_VALUE"""),"Kapri")</f>
        <v>Kapri</v>
      </c>
      <c r="F4877">
        <f>IFERROR(__xludf.DUMMYFUNCTION("""COMPUTED_VALUE"""),17.5)</f>
        <v>17.5</v>
      </c>
    </row>
    <row r="4878">
      <c r="D4878" t="str">
        <f>IFERROR(__xludf.DUMMYFUNCTION("""COMPUTED_VALUE"""),"Biegel")</f>
        <v>Biegel</v>
      </c>
      <c r="E4878" t="str">
        <f>IFERROR(__xludf.DUMMYFUNCTION("""COMPUTED_VALUE"""),"Vince")</f>
        <v>Vince</v>
      </c>
      <c r="F4878">
        <f>IFERROR(__xludf.DUMMYFUNCTION("""COMPUTED_VALUE"""),18.0)</f>
        <v>18</v>
      </c>
    </row>
    <row r="4879">
      <c r="D4879" t="str">
        <f>IFERROR(__xludf.DUMMYFUNCTION("""COMPUTED_VALUE"""),"Bierria")</f>
        <v>Bierria</v>
      </c>
      <c r="E4879" t="str">
        <f>IFERROR(__xludf.DUMMYFUNCTION("""COMPUTED_VALUE"""),"Keishawn")</f>
        <v>Keishawn</v>
      </c>
      <c r="F4879">
        <f>IFERROR(__xludf.DUMMYFUNCTION("""COMPUTED_VALUE"""),16.0)</f>
        <v>16</v>
      </c>
    </row>
    <row r="4880">
      <c r="D4880" t="str">
        <f>IFERROR(__xludf.DUMMYFUNCTION("""COMPUTED_VALUE"""),"Bighill")</f>
        <v>Bighill</v>
      </c>
      <c r="E4880" t="str">
        <f>IFERROR(__xludf.DUMMYFUNCTION("""COMPUTED_VALUE"""),"Adam")</f>
        <v>Adam</v>
      </c>
      <c r="F4880">
        <f>IFERROR(__xludf.DUMMYFUNCTION("""COMPUTED_VALUE"""),17.0)</f>
        <v>17</v>
      </c>
    </row>
    <row r="4881">
      <c r="D4881" t="str">
        <f>IFERROR(__xludf.DUMMYFUNCTION("""COMPUTED_VALUE"""),"Billings")</f>
        <v>Billings</v>
      </c>
      <c r="E4881" t="str">
        <f>IFERROR(__xludf.DUMMYFUNCTION("""COMPUTED_VALUE"""),"Andrew")</f>
        <v>Andrew</v>
      </c>
      <c r="F4881">
        <f>IFERROR(__xludf.DUMMYFUNCTION("""COMPUTED_VALUE"""),17.0)</f>
        <v>17</v>
      </c>
    </row>
    <row r="4882">
      <c r="D4882" t="str">
        <f>IFERROR(__xludf.DUMMYFUNCTION("""COMPUTED_VALUE"""),"Bisnowaty")</f>
        <v>Bisnowaty</v>
      </c>
      <c r="E4882" t="str">
        <f>IFERROR(__xludf.DUMMYFUNCTION("""COMPUTED_VALUE"""),"Adam")</f>
        <v>Adam</v>
      </c>
      <c r="F4882">
        <f>IFERROR(__xludf.DUMMYFUNCTION("""COMPUTED_VALUE"""),16.75)</f>
        <v>16.75</v>
      </c>
    </row>
    <row r="4883">
      <c r="D4883" t="str">
        <f>IFERROR(__xludf.DUMMYFUNCTION("""COMPUTED_VALUE"""),"Bitonio")</f>
        <v>Bitonio</v>
      </c>
      <c r="E4883" t="str">
        <f>IFERROR(__xludf.DUMMYFUNCTION("""COMPUTED_VALUE"""),"Joel")</f>
        <v>Joel</v>
      </c>
      <c r="F4883">
        <f>IFERROR(__xludf.DUMMYFUNCTION("""COMPUTED_VALUE"""),22.0)</f>
        <v>22</v>
      </c>
    </row>
    <row r="4884">
      <c r="D4884" t="str">
        <f>IFERROR(__xludf.DUMMYFUNCTION("""COMPUTED_VALUE"""),"Bitonio")</f>
        <v>Bitonio</v>
      </c>
      <c r="E4884" t="str">
        <f>IFERROR(__xludf.DUMMYFUNCTION("""COMPUTED_VALUE"""),"Joel")</f>
        <v>Joel</v>
      </c>
      <c r="F4884">
        <f>IFERROR(__xludf.DUMMYFUNCTION("""COMPUTED_VALUE"""),20.5)</f>
        <v>20.5</v>
      </c>
    </row>
    <row r="4885">
      <c r="D4885" t="str">
        <f>IFERROR(__xludf.DUMMYFUNCTION("""COMPUTED_VALUE"""),"Blackson")</f>
        <v>Blackson</v>
      </c>
      <c r="E4885" t="str">
        <f>IFERROR(__xludf.DUMMYFUNCTION("""COMPUTED_VALUE"""),"Angelo")</f>
        <v>Angelo</v>
      </c>
      <c r="F4885">
        <f>IFERROR(__xludf.DUMMYFUNCTION("""COMPUTED_VALUE"""),16.25)</f>
        <v>16.25</v>
      </c>
    </row>
    <row r="4886">
      <c r="D4886" t="str">
        <f>IFERROR(__xludf.DUMMYFUNCTION("""COMPUTED_VALUE"""),"Blair III")</f>
        <v>Blair III</v>
      </c>
      <c r="E4886" t="str">
        <f>IFERROR(__xludf.DUMMYFUNCTION("""COMPUTED_VALUE"""),"Ronald")</f>
        <v>Ronald</v>
      </c>
      <c r="F4886">
        <f>IFERROR(__xludf.DUMMYFUNCTION("""COMPUTED_VALUE"""),17.75)</f>
        <v>17.75</v>
      </c>
    </row>
    <row r="4887">
      <c r="D4887" t="str">
        <f>IFERROR(__xludf.DUMMYFUNCTION("""COMPUTED_VALUE"""),"Blount")</f>
        <v>Blount</v>
      </c>
      <c r="E4887" t="str">
        <f>IFERROR(__xludf.DUMMYFUNCTION("""COMPUTED_VALUE"""),"LeGarrette")</f>
        <v>LeGarrette</v>
      </c>
      <c r="F4887">
        <f>IFERROR(__xludf.DUMMYFUNCTION("""COMPUTED_VALUE"""),20.25)</f>
        <v>20.25</v>
      </c>
    </row>
    <row r="4888">
      <c r="D4888" t="str">
        <f>IFERROR(__xludf.DUMMYFUNCTION("""COMPUTED_VALUE"""),"Blue")</f>
        <v>Blue</v>
      </c>
      <c r="E4888" t="str">
        <f>IFERROR(__xludf.DUMMYFUNCTION("""COMPUTED_VALUE"""),"Alfred")</f>
        <v>Alfred</v>
      </c>
      <c r="F4888">
        <f>IFERROR(__xludf.DUMMYFUNCTION("""COMPUTED_VALUE"""),17.75)</f>
        <v>17.75</v>
      </c>
    </row>
    <row r="4889">
      <c r="D4889" t="str">
        <f>IFERROR(__xludf.DUMMYFUNCTION("""COMPUTED_VALUE"""),"Blythe")</f>
        <v>Blythe</v>
      </c>
      <c r="E4889" t="str">
        <f>IFERROR(__xludf.DUMMYFUNCTION("""COMPUTED_VALUE"""),"Austin")</f>
        <v>Austin</v>
      </c>
      <c r="F4889">
        <f>IFERROR(__xludf.DUMMYFUNCTION("""COMPUTED_VALUE"""),16.25)</f>
        <v>16.25</v>
      </c>
    </row>
    <row r="4890">
      <c r="D4890" t="str">
        <f>IFERROR(__xludf.DUMMYFUNCTION("""COMPUTED_VALUE"""),"Boddy-Calhoun")</f>
        <v>Boddy-Calhoun</v>
      </c>
      <c r="E4890" t="str">
        <f>IFERROR(__xludf.DUMMYFUNCTION("""COMPUTED_VALUE"""),"Briean")</f>
        <v>Briean</v>
      </c>
      <c r="F4890">
        <f>IFERROR(__xludf.DUMMYFUNCTION("""COMPUTED_VALUE"""),19.75)</f>
        <v>19.75</v>
      </c>
    </row>
    <row r="4891">
      <c r="D4891" t="str">
        <f>IFERROR(__xludf.DUMMYFUNCTION("""COMPUTED_VALUE"""),"Bodine")</f>
        <v>Bodine</v>
      </c>
      <c r="E4891" t="str">
        <f>IFERROR(__xludf.DUMMYFUNCTION("""COMPUTED_VALUE"""),"Russell")</f>
        <v>Russell</v>
      </c>
      <c r="F4891">
        <f>IFERROR(__xludf.DUMMYFUNCTION("""COMPUTED_VALUE"""),18.5)</f>
        <v>18.5</v>
      </c>
    </row>
    <row r="4892">
      <c r="D4892" t="str">
        <f>IFERROR(__xludf.DUMMYFUNCTION("""COMPUTED_VALUE"""),"Boehm")</f>
        <v>Boehm</v>
      </c>
      <c r="E4892" t="str">
        <f>IFERROR(__xludf.DUMMYFUNCTION("""COMPUTED_VALUE"""),"Evan")</f>
        <v>Evan</v>
      </c>
      <c r="F4892">
        <f>IFERROR(__xludf.DUMMYFUNCTION("""COMPUTED_VALUE"""),18.25)</f>
        <v>18.25</v>
      </c>
    </row>
    <row r="4893">
      <c r="D4893" t="str">
        <f>IFERROR(__xludf.DUMMYFUNCTION("""COMPUTED_VALUE"""),"Boehringer")</f>
        <v>Boehringer</v>
      </c>
      <c r="E4893" t="str">
        <f>IFERROR(__xludf.DUMMYFUNCTION("""COMPUTED_VALUE"""),"Moritz")</f>
        <v>Moritz</v>
      </c>
      <c r="F4893">
        <f>IFERROR(__xludf.DUMMYFUNCTION("""COMPUTED_VALUE"""),16.25)</f>
        <v>16.25</v>
      </c>
    </row>
    <row r="4894">
      <c r="D4894" t="str">
        <f>IFERROR(__xludf.DUMMYFUNCTION("""COMPUTED_VALUE"""),"Bohanon")</f>
        <v>Bohanon</v>
      </c>
      <c r="E4894" t="str">
        <f>IFERROR(__xludf.DUMMYFUNCTION("""COMPUTED_VALUE"""),"Tommy")</f>
        <v>Tommy</v>
      </c>
      <c r="F4894">
        <f>IFERROR(__xludf.DUMMYFUNCTION("""COMPUTED_VALUE"""),20.0)</f>
        <v>20</v>
      </c>
    </row>
    <row r="4895">
      <c r="D4895" t="str">
        <f>IFERROR(__xludf.DUMMYFUNCTION("""COMPUTED_VALUE"""),"Bohanon")</f>
        <v>Bohanon</v>
      </c>
      <c r="E4895" t="str">
        <f>IFERROR(__xludf.DUMMYFUNCTION("""COMPUTED_VALUE"""),"Tommy")</f>
        <v>Tommy</v>
      </c>
      <c r="F4895">
        <f>IFERROR(__xludf.DUMMYFUNCTION("""COMPUTED_VALUE"""),21.75)</f>
        <v>21.75</v>
      </c>
    </row>
    <row r="4896">
      <c r="D4896" t="str">
        <f>IFERROR(__xludf.DUMMYFUNCTION("""COMPUTED_VALUE"""),"Bolden")</f>
        <v>Bolden</v>
      </c>
      <c r="E4896" t="str">
        <f>IFERROR(__xludf.DUMMYFUNCTION("""COMPUTED_VALUE"""),"Brandon")</f>
        <v>Brandon</v>
      </c>
      <c r="F4896">
        <f>IFERROR(__xludf.DUMMYFUNCTION("""COMPUTED_VALUE"""),17.5)</f>
        <v>17.5</v>
      </c>
    </row>
    <row r="4897">
      <c r="D4897" t="str">
        <f>IFERROR(__xludf.DUMMYFUNCTION("""COMPUTED_VALUE"""),"Bolden Jr")</f>
        <v>Bolden Jr</v>
      </c>
      <c r="E4897" t="str">
        <f>IFERROR(__xludf.DUMMYFUNCTION("""COMPUTED_VALUE"""),"Victor")</f>
        <v>Victor</v>
      </c>
      <c r="F4897">
        <f>IFERROR(__xludf.DUMMYFUNCTION("""COMPUTED_VALUE"""),16.5)</f>
        <v>16.5</v>
      </c>
    </row>
    <row r="4898">
      <c r="D4898" t="str">
        <f>IFERROR(__xludf.DUMMYFUNCTION("""COMPUTED_VALUE"""),"Boling")</f>
        <v>Boling</v>
      </c>
      <c r="E4898" t="str">
        <f>IFERROR(__xludf.DUMMYFUNCTION("""COMPUTED_VALUE"""),"Clint")</f>
        <v>Clint</v>
      </c>
      <c r="F4898">
        <f>IFERROR(__xludf.DUMMYFUNCTION("""COMPUTED_VALUE"""),19.5)</f>
        <v>19.5</v>
      </c>
    </row>
    <row r="4899">
      <c r="D4899" t="str">
        <f>IFERROR(__xludf.DUMMYFUNCTION("""COMPUTED_VALUE"""),"Bolles")</f>
        <v>Bolles</v>
      </c>
      <c r="E4899" t="str">
        <f>IFERROR(__xludf.DUMMYFUNCTION("""COMPUTED_VALUE"""),"Garett")</f>
        <v>Garett</v>
      </c>
      <c r="F4899">
        <f>IFERROR(__xludf.DUMMYFUNCTION("""COMPUTED_VALUE"""),18.75)</f>
        <v>18.75</v>
      </c>
    </row>
    <row r="4900">
      <c r="D4900" t="str">
        <f>IFERROR(__xludf.DUMMYFUNCTION("""COMPUTED_VALUE"""),"Bond")</f>
        <v>Bond</v>
      </c>
      <c r="E4900" t="str">
        <f>IFERROR(__xludf.DUMMYFUNCTION("""COMPUTED_VALUE"""),"Devante")</f>
        <v>Devante</v>
      </c>
      <c r="F4900">
        <f>IFERROR(__xludf.DUMMYFUNCTION("""COMPUTED_VALUE"""),16.0)</f>
        <v>16</v>
      </c>
    </row>
    <row r="4901">
      <c r="D4901" t="str">
        <f>IFERROR(__xludf.DUMMYFUNCTION("""COMPUTED_VALUE"""),"Bond")</f>
        <v>Bond</v>
      </c>
      <c r="E4901" t="str">
        <f>IFERROR(__xludf.DUMMYFUNCTION("""COMPUTED_VALUE"""),"Deyshawn")</f>
        <v>Deyshawn</v>
      </c>
      <c r="F4901">
        <f>IFERROR(__xludf.DUMMYFUNCTION("""COMPUTED_VALUE"""),16.75)</f>
        <v>16.75</v>
      </c>
    </row>
    <row r="4902">
      <c r="D4902" t="str">
        <f>IFERROR(__xludf.DUMMYFUNCTION("""COMPUTED_VALUE"""),"Booker")</f>
        <v>Booker</v>
      </c>
      <c r="E4902" t="str">
        <f>IFERROR(__xludf.DUMMYFUNCTION("""COMPUTED_VALUE"""),"Devontae")</f>
        <v>Devontae</v>
      </c>
      <c r="F4902">
        <f>IFERROR(__xludf.DUMMYFUNCTION("""COMPUTED_VALUE"""),18.75)</f>
        <v>18.75</v>
      </c>
    </row>
    <row r="4903">
      <c r="D4903" t="str">
        <f>IFERROR(__xludf.DUMMYFUNCTION("""COMPUTED_VALUE"""),"Boone")</f>
        <v>Boone</v>
      </c>
      <c r="E4903" t="str">
        <f>IFERROR(__xludf.DUMMYFUNCTION("""COMPUTED_VALUE"""),"Alex")</f>
        <v>Alex</v>
      </c>
      <c r="F4903">
        <f>IFERROR(__xludf.DUMMYFUNCTION("""COMPUTED_VALUE"""),15.0)</f>
        <v>15</v>
      </c>
    </row>
    <row r="4904">
      <c r="D4904" t="str">
        <f>IFERROR(__xludf.DUMMYFUNCTION("""COMPUTED_VALUE"""),"Borders")</f>
        <v>Borders</v>
      </c>
      <c r="E4904" t="str">
        <f>IFERROR(__xludf.DUMMYFUNCTION("""COMPUTED_VALUE"""),"Breon")</f>
        <v>Breon</v>
      </c>
      <c r="F4904">
        <f>IFERROR(__xludf.DUMMYFUNCTION("""COMPUTED_VALUE"""),17.0)</f>
        <v>17</v>
      </c>
    </row>
    <row r="4905">
      <c r="D4905" t="str">
        <f>IFERROR(__xludf.DUMMYFUNCTION("""COMPUTED_VALUE"""),"Bortles")</f>
        <v>Bortles</v>
      </c>
      <c r="E4905" t="str">
        <f>IFERROR(__xludf.DUMMYFUNCTION("""COMPUTED_VALUE"""),"Blake")</f>
        <v>Blake</v>
      </c>
      <c r="F4905">
        <f>IFERROR(__xludf.DUMMYFUNCTION("""COMPUTED_VALUE"""),20.0)</f>
        <v>20</v>
      </c>
    </row>
    <row r="4906">
      <c r="D4906" t="str">
        <f>IFERROR(__xludf.DUMMYFUNCTION("""COMPUTED_VALUE"""),"Bosa")</f>
        <v>Bosa</v>
      </c>
      <c r="E4906" t="str">
        <f>IFERROR(__xludf.DUMMYFUNCTION("""COMPUTED_VALUE"""),"Joey")</f>
        <v>Joey</v>
      </c>
      <c r="F4906">
        <f>IFERROR(__xludf.DUMMYFUNCTION("""COMPUTED_VALUE"""),21.25)</f>
        <v>21.25</v>
      </c>
    </row>
    <row r="4907">
      <c r="D4907" t="str">
        <f>IFERROR(__xludf.DUMMYFUNCTION("""COMPUTED_VALUE"""),"Bosher")</f>
        <v>Bosher</v>
      </c>
      <c r="E4907" t="str">
        <f>IFERROR(__xludf.DUMMYFUNCTION("""COMPUTED_VALUE"""),"Matt")</f>
        <v>Matt</v>
      </c>
      <c r="F4907">
        <f>IFERROR(__xludf.DUMMYFUNCTION("""COMPUTED_VALUE"""),20.0)</f>
        <v>20</v>
      </c>
    </row>
    <row r="4908">
      <c r="D4908" t="str">
        <f>IFERROR(__xludf.DUMMYFUNCTION("""COMPUTED_VALUE"""),"Bostic")</f>
        <v>Bostic</v>
      </c>
      <c r="E4908" t="str">
        <f>IFERROR(__xludf.DUMMYFUNCTION("""COMPUTED_VALUE"""),"Jon")</f>
        <v>Jon</v>
      </c>
      <c r="F4908">
        <f>IFERROR(__xludf.DUMMYFUNCTION("""COMPUTED_VALUE"""),18.5)</f>
        <v>18.5</v>
      </c>
    </row>
    <row r="4909">
      <c r="D4909" t="str">
        <f>IFERROR(__xludf.DUMMYFUNCTION("""COMPUTED_VALUE"""),"Boston")</f>
        <v>Boston</v>
      </c>
      <c r="E4909" t="str">
        <f>IFERROR(__xludf.DUMMYFUNCTION("""COMPUTED_VALUE"""),"Tre")</f>
        <v>Tre</v>
      </c>
      <c r="F4909">
        <f>IFERROR(__xludf.DUMMYFUNCTION("""COMPUTED_VALUE"""),20.0)</f>
        <v>20</v>
      </c>
    </row>
    <row r="4910">
      <c r="D4910" t="str">
        <f>IFERROR(__xludf.DUMMYFUNCTION("""COMPUTED_VALUE"""),"Boswell")</f>
        <v>Boswell</v>
      </c>
      <c r="E4910" t="str">
        <f>IFERROR(__xludf.DUMMYFUNCTION("""COMPUTED_VALUE"""),"Chris")</f>
        <v>Chris</v>
      </c>
      <c r="F4910">
        <f>IFERROR(__xludf.DUMMYFUNCTION("""COMPUTED_VALUE"""),20.25)</f>
        <v>20.25</v>
      </c>
    </row>
    <row r="4911">
      <c r="D4911" t="str">
        <f>IFERROR(__xludf.DUMMYFUNCTION("""COMPUTED_VALUE"""),"Bourne")</f>
        <v>Bourne</v>
      </c>
      <c r="E4911" t="str">
        <f>IFERROR(__xludf.DUMMYFUNCTION("""COMPUTED_VALUE"""),"Kendrick")</f>
        <v>Kendrick</v>
      </c>
      <c r="F4911">
        <f>IFERROR(__xludf.DUMMYFUNCTION("""COMPUTED_VALUE"""),17.5)</f>
        <v>17.5</v>
      </c>
    </row>
    <row r="4912">
      <c r="D4912" t="str">
        <f>IFERROR(__xludf.DUMMYFUNCTION("""COMPUTED_VALUE"""),"Bouye")</f>
        <v>Bouye</v>
      </c>
      <c r="E4912" t="str">
        <f>IFERROR(__xludf.DUMMYFUNCTION("""COMPUTED_VALUE"""),"AJ")</f>
        <v>AJ</v>
      </c>
      <c r="F4912">
        <f>IFERROR(__xludf.DUMMYFUNCTION("""COMPUTED_VALUE"""),21.75)</f>
        <v>21.75</v>
      </c>
    </row>
    <row r="4913">
      <c r="D4913" t="str">
        <f>IFERROR(__xludf.DUMMYFUNCTION("""COMPUTED_VALUE"""),"Bowanko")</f>
        <v>Bowanko</v>
      </c>
      <c r="E4913" t="str">
        <f>IFERROR(__xludf.DUMMYFUNCTION("""COMPUTED_VALUE"""),"Luke")</f>
        <v>Luke</v>
      </c>
      <c r="F4913">
        <f>IFERROR(__xludf.DUMMYFUNCTION("""COMPUTED_VALUE"""),17.5)</f>
        <v>17.5</v>
      </c>
    </row>
    <row r="4914">
      <c r="D4914" t="str">
        <f>IFERROR(__xludf.DUMMYFUNCTION("""COMPUTED_VALUE"""),"Bower")</f>
        <v>Bower</v>
      </c>
      <c r="E4914" t="str">
        <f>IFERROR(__xludf.DUMMYFUNCTION("""COMPUTED_VALUE"""),"Tashawn")</f>
        <v>Tashawn</v>
      </c>
      <c r="F4914">
        <f>IFERROR(__xludf.DUMMYFUNCTION("""COMPUTED_VALUE"""),16.5)</f>
        <v>16.5</v>
      </c>
    </row>
    <row r="4915">
      <c r="D4915" t="str">
        <f>IFERROR(__xludf.DUMMYFUNCTION("""COMPUTED_VALUE"""),"Bowman")</f>
        <v>Bowman</v>
      </c>
      <c r="E4915" t="str">
        <f>IFERROR(__xludf.DUMMYFUNCTION("""COMPUTED_VALUE"""),"NaVorro")</f>
        <v>NaVorro</v>
      </c>
      <c r="F4915">
        <f>IFERROR(__xludf.DUMMYFUNCTION("""COMPUTED_VALUE"""),15.25)</f>
        <v>15.25</v>
      </c>
    </row>
    <row r="4916">
      <c r="D4916" t="str">
        <f>IFERROR(__xludf.DUMMYFUNCTION("""COMPUTED_VALUE"""),"Bowser")</f>
        <v>Bowser</v>
      </c>
      <c r="E4916" t="str">
        <f>IFERROR(__xludf.DUMMYFUNCTION("""COMPUTED_VALUE"""),"Tyus")</f>
        <v>Tyus</v>
      </c>
      <c r="F4916">
        <f>IFERROR(__xludf.DUMMYFUNCTION("""COMPUTED_VALUE"""),18.0)</f>
        <v>18</v>
      </c>
    </row>
    <row r="4917">
      <c r="D4917" t="str">
        <f>IFERROR(__xludf.DUMMYFUNCTION("""COMPUTED_VALUE"""),"Boyd")</f>
        <v>Boyd</v>
      </c>
      <c r="E4917" t="str">
        <f>IFERROR(__xludf.DUMMYFUNCTION("""COMPUTED_VALUE"""),"Tyler")</f>
        <v>Tyler</v>
      </c>
      <c r="F4917">
        <f>IFERROR(__xludf.DUMMYFUNCTION("""COMPUTED_VALUE"""),18.5)</f>
        <v>18.5</v>
      </c>
    </row>
    <row r="4918">
      <c r="D4918" t="str">
        <f>IFERROR(__xludf.DUMMYFUNCTION("""COMPUTED_VALUE"""),"Boykins")</f>
        <v>Boykins</v>
      </c>
      <c r="E4918" t="str">
        <f>IFERROR(__xludf.DUMMYFUNCTION("""COMPUTED_VALUE"""),"Jeremy")</f>
        <v>Jeremy</v>
      </c>
      <c r="F4918">
        <f>IFERROR(__xludf.DUMMYFUNCTION("""COMPUTED_VALUE"""),15.5)</f>
        <v>15.5</v>
      </c>
    </row>
    <row r="4919">
      <c r="D4919" t="str">
        <f>IFERROR(__xludf.DUMMYFUNCTION("""COMPUTED_VALUE"""),"Boyle")</f>
        <v>Boyle</v>
      </c>
      <c r="E4919" t="str">
        <f>IFERROR(__xludf.DUMMYFUNCTION("""COMPUTED_VALUE"""),"Nick")</f>
        <v>Nick</v>
      </c>
      <c r="F4919">
        <f>IFERROR(__xludf.DUMMYFUNCTION("""COMPUTED_VALUE"""),18.5)</f>
        <v>18.5</v>
      </c>
    </row>
    <row r="4920">
      <c r="D4920" t="str">
        <f>IFERROR(__xludf.DUMMYFUNCTION("""COMPUTED_VALUE"""),"Bozeman")</f>
        <v>Bozeman</v>
      </c>
      <c r="E4920" t="str">
        <f>IFERROR(__xludf.DUMMYFUNCTION("""COMPUTED_VALUE"""),"Bradley")</f>
        <v>Bradley</v>
      </c>
      <c r="F4920">
        <f>IFERROR(__xludf.DUMMYFUNCTION("""COMPUTED_VALUE"""),17.0)</f>
        <v>17</v>
      </c>
    </row>
    <row r="4921">
      <c r="D4921" t="str">
        <f>IFERROR(__xludf.DUMMYFUNCTION("""COMPUTED_VALUE"""),"Bradberry")</f>
        <v>Bradberry</v>
      </c>
      <c r="E4921" t="str">
        <f>IFERROR(__xludf.DUMMYFUNCTION("""COMPUTED_VALUE"""),"James")</f>
        <v>James</v>
      </c>
      <c r="F4921">
        <f>IFERROR(__xludf.DUMMYFUNCTION("""COMPUTED_VALUE"""),19.25)</f>
        <v>19.25</v>
      </c>
    </row>
    <row r="4922">
      <c r="D4922" t="str">
        <f>IFERROR(__xludf.DUMMYFUNCTION("""COMPUTED_VALUE"""),"Braden")</f>
        <v>Braden</v>
      </c>
      <c r="E4922" t="str">
        <f>IFERROR(__xludf.DUMMYFUNCTION("""COMPUTED_VALUE"""),"Ben")</f>
        <v>Ben</v>
      </c>
      <c r="F4922">
        <f>IFERROR(__xludf.DUMMYFUNCTION("""COMPUTED_VALUE"""),16.0)</f>
        <v>16</v>
      </c>
    </row>
    <row r="4923">
      <c r="D4923" t="str">
        <f>IFERROR(__xludf.DUMMYFUNCTION("""COMPUTED_VALUE"""),"Bradford")</f>
        <v>Bradford</v>
      </c>
      <c r="E4923" t="str">
        <f>IFERROR(__xludf.DUMMYFUNCTION("""COMPUTED_VALUE"""),"Sam")</f>
        <v>Sam</v>
      </c>
      <c r="F4923">
        <f>IFERROR(__xludf.DUMMYFUNCTION("""COMPUTED_VALUE"""),19.5)</f>
        <v>19.5</v>
      </c>
    </row>
    <row r="4924">
      <c r="D4924" t="str">
        <f>IFERROR(__xludf.DUMMYFUNCTION("""COMPUTED_VALUE"""),"Bradham")</f>
        <v>Bradham</v>
      </c>
      <c r="E4924" t="str">
        <f>IFERROR(__xludf.DUMMYFUNCTION("""COMPUTED_VALUE"""),"Nigel")</f>
        <v>Nigel</v>
      </c>
      <c r="F4924">
        <f>IFERROR(__xludf.DUMMYFUNCTION("""COMPUTED_VALUE"""),21.0)</f>
        <v>21</v>
      </c>
    </row>
    <row r="4925">
      <c r="D4925" t="str">
        <f>IFERROR(__xludf.DUMMYFUNCTION("""COMPUTED_VALUE"""),"Bradley")</f>
        <v>Bradley</v>
      </c>
      <c r="E4925" t="str">
        <f>IFERROR(__xludf.DUMMYFUNCTION("""COMPUTED_VALUE"""),"Bam")</f>
        <v>Bam</v>
      </c>
      <c r="F4925">
        <f>IFERROR(__xludf.DUMMYFUNCTION("""COMPUTED_VALUE"""),17.25)</f>
        <v>17.25</v>
      </c>
    </row>
    <row r="4926">
      <c r="D4926" t="str">
        <f>IFERROR(__xludf.DUMMYFUNCTION("""COMPUTED_VALUE"""),"Brady")</f>
        <v>Brady</v>
      </c>
      <c r="E4926" t="str">
        <f>IFERROR(__xludf.DUMMYFUNCTION("""COMPUTED_VALUE"""),"Tom")</f>
        <v>Tom</v>
      </c>
      <c r="F4926">
        <f>IFERROR(__xludf.DUMMYFUNCTION("""COMPUTED_VALUE"""),22.0)</f>
        <v>22</v>
      </c>
    </row>
    <row r="4927">
      <c r="D4927" t="str">
        <f>IFERROR(__xludf.DUMMYFUNCTION("""COMPUTED_VALUE"""),"Brady")</f>
        <v>Brady</v>
      </c>
      <c r="E4927" t="str">
        <f>IFERROR(__xludf.DUMMYFUNCTION("""COMPUTED_VALUE"""),"Tom")</f>
        <v>Tom</v>
      </c>
      <c r="F4927">
        <f>IFERROR(__xludf.DUMMYFUNCTION("""COMPUTED_VALUE"""),23.0)</f>
        <v>23</v>
      </c>
    </row>
    <row r="4928">
      <c r="D4928" t="str">
        <f>IFERROR(__xludf.DUMMYFUNCTION("""COMPUTED_VALUE"""),"Branch")</f>
        <v>Branch</v>
      </c>
      <c r="E4928" t="str">
        <f>IFERROR(__xludf.DUMMYFUNCTION("""COMPUTED_VALUE"""),"Andre")</f>
        <v>Andre</v>
      </c>
      <c r="F4928">
        <f>IFERROR(__xludf.DUMMYFUNCTION("""COMPUTED_VALUE"""),17.25)</f>
        <v>17.25</v>
      </c>
    </row>
    <row r="4929">
      <c r="D4929" t="str">
        <f>IFERROR(__xludf.DUMMYFUNCTION("""COMPUTED_VALUE"""),"Brantley")</f>
        <v>Brantley</v>
      </c>
      <c r="E4929" t="str">
        <f>IFERROR(__xludf.DUMMYFUNCTION("""COMPUTED_VALUE"""),"Caleb")</f>
        <v>Caleb</v>
      </c>
      <c r="F4929">
        <f>IFERROR(__xludf.DUMMYFUNCTION("""COMPUTED_VALUE"""),17.75)</f>
        <v>17.75</v>
      </c>
    </row>
    <row r="4930">
      <c r="D4930" t="str">
        <f>IFERROR(__xludf.DUMMYFUNCTION("""COMPUTED_VALUE"""),"Brate")</f>
        <v>Brate</v>
      </c>
      <c r="E4930" t="str">
        <f>IFERROR(__xludf.DUMMYFUNCTION("""COMPUTED_VALUE"""),"Cameron")</f>
        <v>Cameron</v>
      </c>
      <c r="F4930">
        <f>IFERROR(__xludf.DUMMYFUNCTION("""COMPUTED_VALUE"""),19.75)</f>
        <v>19.75</v>
      </c>
    </row>
    <row r="4931">
      <c r="D4931" t="str">
        <f>IFERROR(__xludf.DUMMYFUNCTION("""COMPUTED_VALUE"""),"Braunecker")</f>
        <v>Braunecker</v>
      </c>
      <c r="E4931" t="str">
        <f>IFERROR(__xludf.DUMMYFUNCTION("""COMPUTED_VALUE"""),"Ben")</f>
        <v>Ben</v>
      </c>
      <c r="F4931">
        <f>IFERROR(__xludf.DUMMYFUNCTION("""COMPUTED_VALUE"""),15.75)</f>
        <v>15.75</v>
      </c>
    </row>
    <row r="4932">
      <c r="D4932" t="str">
        <f>IFERROR(__xludf.DUMMYFUNCTION("""COMPUTED_VALUE"""),"Bray")</f>
        <v>Bray</v>
      </c>
      <c r="E4932" t="str">
        <f>IFERROR(__xludf.DUMMYFUNCTION("""COMPUTED_VALUE"""),"Quan")</f>
        <v>Quan</v>
      </c>
      <c r="F4932">
        <f>IFERROR(__xludf.DUMMYFUNCTION("""COMPUTED_VALUE"""),16.75)</f>
        <v>16.75</v>
      </c>
    </row>
    <row r="4933">
      <c r="D4933" t="str">
        <f>IFERROR(__xludf.DUMMYFUNCTION("""COMPUTED_VALUE"""),"Bray")</f>
        <v>Bray</v>
      </c>
      <c r="E4933" t="str">
        <f>IFERROR(__xludf.DUMMYFUNCTION("""COMPUTED_VALUE"""),"Tyler")</f>
        <v>Tyler</v>
      </c>
      <c r="F4933">
        <f>IFERROR(__xludf.DUMMYFUNCTION("""COMPUTED_VALUE"""),15.75)</f>
        <v>15.75</v>
      </c>
    </row>
    <row r="4934">
      <c r="D4934" t="str">
        <f>IFERROR(__xludf.DUMMYFUNCTION("""COMPUTED_VALUE"""),"Breaux")</f>
        <v>Breaux</v>
      </c>
      <c r="E4934" t="str">
        <f>IFERROR(__xludf.DUMMYFUNCTION("""COMPUTED_VALUE"""),"Delvin")</f>
        <v>Delvin</v>
      </c>
      <c r="F4934">
        <f>IFERROR(__xludf.DUMMYFUNCTION("""COMPUTED_VALUE"""),19.25)</f>
        <v>19.25</v>
      </c>
    </row>
    <row r="4935">
      <c r="D4935" t="str">
        <f>IFERROR(__xludf.DUMMYFUNCTION("""COMPUTED_VALUE"""),"Breeland")</f>
        <v>Breeland</v>
      </c>
      <c r="E4935" t="str">
        <f>IFERROR(__xludf.DUMMYFUNCTION("""COMPUTED_VALUE"""),"Bashaud")</f>
        <v>Bashaud</v>
      </c>
      <c r="F4935">
        <f>IFERROR(__xludf.DUMMYFUNCTION("""COMPUTED_VALUE"""),15.25)</f>
        <v>15.25</v>
      </c>
    </row>
    <row r="4936">
      <c r="D4936" t="str">
        <f>IFERROR(__xludf.DUMMYFUNCTION("""COMPUTED_VALUE"""),"Brees")</f>
        <v>Brees</v>
      </c>
      <c r="E4936" t="str">
        <f>IFERROR(__xludf.DUMMYFUNCTION("""COMPUTED_VALUE"""),"Drew")</f>
        <v>Drew</v>
      </c>
      <c r="F4936">
        <f>IFERROR(__xludf.DUMMYFUNCTION("""COMPUTED_VALUE"""),21.5)</f>
        <v>21.5</v>
      </c>
    </row>
    <row r="4937">
      <c r="D4937" t="str">
        <f>IFERROR(__xludf.DUMMYFUNCTION("""COMPUTED_VALUE"""),"Breida")</f>
        <v>Breida</v>
      </c>
      <c r="E4937" t="str">
        <f>IFERROR(__xludf.DUMMYFUNCTION("""COMPUTED_VALUE"""),"Matt")</f>
        <v>Matt</v>
      </c>
      <c r="F4937">
        <f>IFERROR(__xludf.DUMMYFUNCTION("""COMPUTED_VALUE"""),18.75)</f>
        <v>18.75</v>
      </c>
    </row>
    <row r="4938">
      <c r="D4938" t="str">
        <f>IFERROR(__xludf.DUMMYFUNCTION("""COMPUTED_VALUE"""),"Brendel")</f>
        <v>Brendel</v>
      </c>
      <c r="E4938" t="str">
        <f>IFERROR(__xludf.DUMMYFUNCTION("""COMPUTED_VALUE"""),"Jake")</f>
        <v>Jake</v>
      </c>
      <c r="F4938">
        <f>IFERROR(__xludf.DUMMYFUNCTION("""COMPUTED_VALUE"""),16.75)</f>
        <v>16.75</v>
      </c>
    </row>
    <row r="4939">
      <c r="D4939" t="str">
        <f>IFERROR(__xludf.DUMMYFUNCTION("""COMPUTED_VALUE"""),"Brent")</f>
        <v>Brent</v>
      </c>
      <c r="E4939" t="str">
        <f>IFERROR(__xludf.DUMMYFUNCTION("""COMPUTED_VALUE"""),"KJ")</f>
        <v>KJ</v>
      </c>
      <c r="F4939">
        <f>IFERROR(__xludf.DUMMYFUNCTION("""COMPUTED_VALUE"""),16.5)</f>
        <v>16.5</v>
      </c>
    </row>
    <row r="4940">
      <c r="D4940" t="str">
        <f>IFERROR(__xludf.DUMMYFUNCTION("""COMPUTED_VALUE"""),"Brice")</f>
        <v>Brice</v>
      </c>
      <c r="E4940" t="str">
        <f>IFERROR(__xludf.DUMMYFUNCTION("""COMPUTED_VALUE"""),"Kentrell")</f>
        <v>Kentrell</v>
      </c>
      <c r="F4940">
        <f>IFERROR(__xludf.DUMMYFUNCTION("""COMPUTED_VALUE"""),17.25)</f>
        <v>17.25</v>
      </c>
    </row>
    <row r="4941">
      <c r="D4941" t="str">
        <f>IFERROR(__xludf.DUMMYFUNCTION("""COMPUTED_VALUE"""),"Bridgewater")</f>
        <v>Bridgewater</v>
      </c>
      <c r="E4941" t="str">
        <f>IFERROR(__xludf.DUMMYFUNCTION("""COMPUTED_VALUE"""),"Teddy")</f>
        <v>Teddy</v>
      </c>
      <c r="F4941">
        <f>IFERROR(__xludf.DUMMYFUNCTION("""COMPUTED_VALUE"""),19.75)</f>
        <v>19.75</v>
      </c>
    </row>
    <row r="4942">
      <c r="D4942" t="str">
        <f>IFERROR(__xludf.DUMMYFUNCTION("""COMPUTED_VALUE"""),"Brissett")</f>
        <v>Brissett</v>
      </c>
      <c r="E4942" t="str">
        <f>IFERROR(__xludf.DUMMYFUNCTION("""COMPUTED_VALUE"""),"Jacoby")</f>
        <v>Jacoby</v>
      </c>
      <c r="F4942">
        <f>IFERROR(__xludf.DUMMYFUNCTION("""COMPUTED_VALUE"""),19.25)</f>
        <v>19.25</v>
      </c>
    </row>
    <row r="4943">
      <c r="D4943" t="str">
        <f>IFERROR(__xludf.DUMMYFUNCTION("""COMPUTED_VALUE"""),"Britt")</f>
        <v>Britt</v>
      </c>
      <c r="E4943" t="str">
        <f>IFERROR(__xludf.DUMMYFUNCTION("""COMPUTED_VALUE"""),"Justin")</f>
        <v>Justin</v>
      </c>
      <c r="F4943">
        <f>IFERROR(__xludf.DUMMYFUNCTION("""COMPUTED_VALUE"""),19.5)</f>
        <v>19.5</v>
      </c>
    </row>
    <row r="4944">
      <c r="D4944" t="str">
        <f>IFERROR(__xludf.DUMMYFUNCTION("""COMPUTED_VALUE"""),"Britt")</f>
        <v>Britt</v>
      </c>
      <c r="E4944" t="str">
        <f>IFERROR(__xludf.DUMMYFUNCTION("""COMPUTED_VALUE"""),"Kenny")</f>
        <v>Kenny</v>
      </c>
      <c r="F4944">
        <f>IFERROR(__xludf.DUMMYFUNCTION("""COMPUTED_VALUE"""),18.25)</f>
        <v>18.25</v>
      </c>
    </row>
    <row r="4945">
      <c r="D4945" t="str">
        <f>IFERROR(__xludf.DUMMYFUNCTION("""COMPUTED_VALUE"""),"Brock Sr")</f>
        <v>Brock Sr</v>
      </c>
      <c r="E4945" t="str">
        <f>IFERROR(__xludf.DUMMYFUNCTION("""COMPUTED_VALUE"""),"Tramaine")</f>
        <v>Tramaine</v>
      </c>
      <c r="F4945">
        <f>IFERROR(__xludf.DUMMYFUNCTION("""COMPUTED_VALUE"""),17.5)</f>
        <v>17.5</v>
      </c>
    </row>
    <row r="4946">
      <c r="D4946" t="str">
        <f>IFERROR(__xludf.DUMMYFUNCTION("""COMPUTED_VALUE"""),"Brockers")</f>
        <v>Brockers</v>
      </c>
      <c r="E4946" t="str">
        <f>IFERROR(__xludf.DUMMYFUNCTION("""COMPUTED_VALUE"""),"Michael")</f>
        <v>Michael</v>
      </c>
      <c r="F4946">
        <f>IFERROR(__xludf.DUMMYFUNCTION("""COMPUTED_VALUE"""),19.25)</f>
        <v>19.25</v>
      </c>
    </row>
    <row r="4947">
      <c r="D4947" t="str">
        <f>IFERROR(__xludf.DUMMYFUNCTION("""COMPUTED_VALUE"""),"Bromley")</f>
        <v>Bromley</v>
      </c>
      <c r="E4947" t="str">
        <f>IFERROR(__xludf.DUMMYFUNCTION("""COMPUTED_VALUE"""),"Jay")</f>
        <v>Jay</v>
      </c>
      <c r="F4947">
        <f>IFERROR(__xludf.DUMMYFUNCTION("""COMPUTED_VALUE"""),17.75)</f>
        <v>17.75</v>
      </c>
    </row>
    <row r="4948">
      <c r="D4948" t="str">
        <f>IFERROR(__xludf.DUMMYFUNCTION("""COMPUTED_VALUE"""),"Brooks")</f>
        <v>Brooks</v>
      </c>
      <c r="E4948" t="str">
        <f>IFERROR(__xludf.DUMMYFUNCTION("""COMPUTED_VALUE"""),"Ahmad")</f>
        <v>Ahmad</v>
      </c>
      <c r="F4948">
        <f>IFERROR(__xludf.DUMMYFUNCTION("""COMPUTED_VALUE"""),15.25)</f>
        <v>15.25</v>
      </c>
    </row>
    <row r="4949">
      <c r="D4949" t="str">
        <f>IFERROR(__xludf.DUMMYFUNCTION("""COMPUTED_VALUE"""),"Brooks")</f>
        <v>Brooks</v>
      </c>
      <c r="E4949" t="str">
        <f>IFERROR(__xludf.DUMMYFUNCTION("""COMPUTED_VALUE"""),"Brandon")</f>
        <v>Brandon</v>
      </c>
      <c r="F4949">
        <f>IFERROR(__xludf.DUMMYFUNCTION("""COMPUTED_VALUE"""),21.25)</f>
        <v>21.25</v>
      </c>
    </row>
    <row r="4950">
      <c r="D4950" t="str">
        <f>IFERROR(__xludf.DUMMYFUNCTION("""COMPUTED_VALUE"""),"Brooks")</f>
        <v>Brooks</v>
      </c>
      <c r="E4950" t="str">
        <f>IFERROR(__xludf.DUMMYFUNCTION("""COMPUTED_VALUE"""),"Derrick")</f>
        <v>Derrick</v>
      </c>
      <c r="F4950">
        <f>IFERROR(__xludf.DUMMYFUNCTION("""COMPUTED_VALUE"""),21.0)</f>
        <v>21</v>
      </c>
    </row>
    <row r="4951">
      <c r="D4951" t="str">
        <f>IFERROR(__xludf.DUMMYFUNCTION("""COMPUTED_VALUE"""),"Brooks")</f>
        <v>Brooks</v>
      </c>
      <c r="E4951" t="str">
        <f>IFERROR(__xludf.DUMMYFUNCTION("""COMPUTED_VALUE"""),"Derrick")</f>
        <v>Derrick</v>
      </c>
      <c r="F4951">
        <f>IFERROR(__xludf.DUMMYFUNCTION("""COMPUTED_VALUE"""),20.5)</f>
        <v>20.5</v>
      </c>
    </row>
    <row r="4952">
      <c r="D4952" t="str">
        <f>IFERROR(__xludf.DUMMYFUNCTION("""COMPUTED_VALUE"""),"Brooks")</f>
        <v>Brooks</v>
      </c>
      <c r="E4952" t="str">
        <f>IFERROR(__xludf.DUMMYFUNCTION("""COMPUTED_VALUE"""),"Derrick")</f>
        <v>Derrick</v>
      </c>
      <c r="F4952">
        <f>IFERROR(__xludf.DUMMYFUNCTION("""COMPUTED_VALUE"""),20.75)</f>
        <v>20.75</v>
      </c>
    </row>
    <row r="4953">
      <c r="D4953" t="str">
        <f>IFERROR(__xludf.DUMMYFUNCTION("""COMPUTED_VALUE"""),"Brooks")</f>
        <v>Brooks</v>
      </c>
      <c r="E4953" t="str">
        <f>IFERROR(__xludf.DUMMYFUNCTION("""COMPUTED_VALUE"""),"Derrick")</f>
        <v>Derrick</v>
      </c>
      <c r="F4953">
        <f>IFERROR(__xludf.DUMMYFUNCTION("""COMPUTED_VALUE"""),22.0)</f>
        <v>22</v>
      </c>
    </row>
    <row r="4954">
      <c r="D4954" t="str">
        <f>IFERROR(__xludf.DUMMYFUNCTION("""COMPUTED_VALUE"""),"Brooks")</f>
        <v>Brooks</v>
      </c>
      <c r="E4954" t="str">
        <f>IFERROR(__xludf.DUMMYFUNCTION("""COMPUTED_VALUE"""),"Derrick")</f>
        <v>Derrick</v>
      </c>
      <c r="F4954">
        <f>IFERROR(__xludf.DUMMYFUNCTION("""COMPUTED_VALUE"""),21.5)</f>
        <v>21.5</v>
      </c>
    </row>
    <row r="4955">
      <c r="D4955" t="str">
        <f>IFERROR(__xludf.DUMMYFUNCTION("""COMPUTED_VALUE"""),"Brooks")</f>
        <v>Brooks</v>
      </c>
      <c r="E4955" t="str">
        <f>IFERROR(__xludf.DUMMYFUNCTION("""COMPUTED_VALUE"""),"Terrence")</f>
        <v>Terrence</v>
      </c>
      <c r="F4955">
        <f>IFERROR(__xludf.DUMMYFUNCTION("""COMPUTED_VALUE"""),19.0)</f>
        <v>19</v>
      </c>
    </row>
    <row r="4956">
      <c r="D4956" t="str">
        <f>IFERROR(__xludf.DUMMYFUNCTION("""COMPUTED_VALUE"""),"Brothers")</f>
        <v>Brothers</v>
      </c>
      <c r="E4956" t="str">
        <f>IFERROR(__xludf.DUMMYFUNCTION("""COMPUTED_VALUE"""),"Kentrell")</f>
        <v>Kentrell</v>
      </c>
      <c r="F4956">
        <f>IFERROR(__xludf.DUMMYFUNCTION("""COMPUTED_VALUE"""),17.5)</f>
        <v>17.5</v>
      </c>
    </row>
    <row r="4957">
      <c r="D4957" t="str">
        <f>IFERROR(__xludf.DUMMYFUNCTION("""COMPUTED_VALUE"""),"Brown")</f>
        <v>Brown</v>
      </c>
      <c r="E4957" t="str">
        <f>IFERROR(__xludf.DUMMYFUNCTION("""COMPUTED_VALUE"""),"Andrew")</f>
        <v>Andrew</v>
      </c>
      <c r="F4957">
        <f>IFERROR(__xludf.DUMMYFUNCTION("""COMPUTED_VALUE"""),17.5)</f>
        <v>17.5</v>
      </c>
    </row>
    <row r="4958">
      <c r="D4958" t="str">
        <f>IFERROR(__xludf.DUMMYFUNCTION("""COMPUTED_VALUE"""),"Brown")</f>
        <v>Brown</v>
      </c>
      <c r="E4958" t="str">
        <f>IFERROR(__xludf.DUMMYFUNCTION("""COMPUTED_VALUE"""),"Anthony")</f>
        <v>Anthony</v>
      </c>
      <c r="F4958">
        <f>IFERROR(__xludf.DUMMYFUNCTION("""COMPUTED_VALUE"""),18.75)</f>
        <v>18.75</v>
      </c>
    </row>
    <row r="4959">
      <c r="D4959" t="str">
        <f>IFERROR(__xludf.DUMMYFUNCTION("""COMPUTED_VALUE"""),"Brown")</f>
        <v>Brown</v>
      </c>
      <c r="E4959" t="str">
        <f>IFERROR(__xludf.DUMMYFUNCTION("""COMPUTED_VALUE"""),"Antonio")</f>
        <v>Antonio</v>
      </c>
      <c r="F4959">
        <f>IFERROR(__xludf.DUMMYFUNCTION("""COMPUTED_VALUE"""),22.25)</f>
        <v>22.25</v>
      </c>
    </row>
    <row r="4960">
      <c r="D4960" t="str">
        <f>IFERROR(__xludf.DUMMYFUNCTION("""COMPUTED_VALUE"""),"Brown")</f>
        <v>Brown</v>
      </c>
      <c r="E4960" t="str">
        <f>IFERROR(__xludf.DUMMYFUNCTION("""COMPUTED_VALUE"""),"Blair")</f>
        <v>Blair</v>
      </c>
      <c r="F4960">
        <f>IFERROR(__xludf.DUMMYFUNCTION("""COMPUTED_VALUE"""),18.0)</f>
        <v>18</v>
      </c>
    </row>
    <row r="4961">
      <c r="D4961" t="str">
        <f>IFERROR(__xludf.DUMMYFUNCTION("""COMPUTED_VALUE"""),"Brown")</f>
        <v>Brown</v>
      </c>
      <c r="E4961" t="str">
        <f>IFERROR(__xludf.DUMMYFUNCTION("""COMPUTED_VALUE"""),"Daniel")</f>
        <v>Daniel</v>
      </c>
      <c r="F4961">
        <f>IFERROR(__xludf.DUMMYFUNCTION("""COMPUTED_VALUE"""),17.5)</f>
        <v>17.5</v>
      </c>
    </row>
    <row r="4962">
      <c r="D4962" t="str">
        <f>IFERROR(__xludf.DUMMYFUNCTION("""COMPUTED_VALUE"""),"Brown")</f>
        <v>Brown</v>
      </c>
      <c r="E4962" t="str">
        <f>IFERROR(__xludf.DUMMYFUNCTION("""COMPUTED_VALUE"""),"Donatello")</f>
        <v>Donatello</v>
      </c>
      <c r="F4962">
        <f>IFERROR(__xludf.DUMMYFUNCTION("""COMPUTED_VALUE"""),16.25)</f>
        <v>16.25</v>
      </c>
    </row>
    <row r="4963">
      <c r="D4963" t="str">
        <f>IFERROR(__xludf.DUMMYFUNCTION("""COMPUTED_VALUE"""),"Brown")</f>
        <v>Brown</v>
      </c>
      <c r="E4963" t="str">
        <f>IFERROR(__xludf.DUMMYFUNCTION("""COMPUTED_VALUE"""),"Duane")</f>
        <v>Duane</v>
      </c>
      <c r="F4963">
        <f>IFERROR(__xludf.DUMMYFUNCTION("""COMPUTED_VALUE"""),20.25)</f>
        <v>20.25</v>
      </c>
    </row>
    <row r="4964">
      <c r="D4964" t="str">
        <f>IFERROR(__xludf.DUMMYFUNCTION("""COMPUTED_VALUE"""),"Brown")</f>
        <v>Brown</v>
      </c>
      <c r="E4964" t="str">
        <f>IFERROR(__xludf.DUMMYFUNCTION("""COMPUTED_VALUE"""),"Jamon")</f>
        <v>Jamon</v>
      </c>
      <c r="F4964">
        <f>IFERROR(__xludf.DUMMYFUNCTION("""COMPUTED_VALUE"""),18.5)</f>
        <v>18.5</v>
      </c>
    </row>
    <row r="4965">
      <c r="D4965" t="str">
        <f>IFERROR(__xludf.DUMMYFUNCTION("""COMPUTED_VALUE"""),"Brown")</f>
        <v>Brown</v>
      </c>
      <c r="E4965" t="str">
        <f>IFERROR(__xludf.DUMMYFUNCTION("""COMPUTED_VALUE"""),"Jaron")</f>
        <v>Jaron</v>
      </c>
      <c r="F4965">
        <f>IFERROR(__xludf.DUMMYFUNCTION("""COMPUTED_VALUE"""),19.0)</f>
        <v>19</v>
      </c>
    </row>
    <row r="4966">
      <c r="D4966" t="str">
        <f>IFERROR(__xludf.DUMMYFUNCTION("""COMPUTED_VALUE"""),"Brown")</f>
        <v>Brown</v>
      </c>
      <c r="E4966" t="str">
        <f>IFERROR(__xludf.DUMMYFUNCTION("""COMPUTED_VALUE"""),"Jatavis")</f>
        <v>Jatavis</v>
      </c>
      <c r="F4966">
        <f>IFERROR(__xludf.DUMMYFUNCTION("""COMPUTED_VALUE"""),19.5)</f>
        <v>19.5</v>
      </c>
    </row>
    <row r="4967">
      <c r="D4967" t="str">
        <f>IFERROR(__xludf.DUMMYFUNCTION("""COMPUTED_VALUE"""),"Brown")</f>
        <v>Brown</v>
      </c>
      <c r="E4967" t="str">
        <f>IFERROR(__xludf.DUMMYFUNCTION("""COMPUTED_VALUE"""),"Jayon")</f>
        <v>Jayon</v>
      </c>
      <c r="F4967">
        <f>IFERROR(__xludf.DUMMYFUNCTION("""COMPUTED_VALUE"""),18.0)</f>
        <v>18</v>
      </c>
    </row>
    <row r="4968">
      <c r="D4968" t="str">
        <f>IFERROR(__xludf.DUMMYFUNCTION("""COMPUTED_VALUE"""),"Brown")</f>
        <v>Brown</v>
      </c>
      <c r="E4968" t="str">
        <f>IFERROR(__xludf.DUMMYFUNCTION("""COMPUTED_VALUE"""),"John")</f>
        <v>John</v>
      </c>
      <c r="F4968">
        <f>IFERROR(__xludf.DUMMYFUNCTION("""COMPUTED_VALUE"""),19.0)</f>
        <v>19</v>
      </c>
    </row>
    <row r="4969">
      <c r="D4969" t="str">
        <f>IFERROR(__xludf.DUMMYFUNCTION("""COMPUTED_VALUE"""),"Brown")</f>
        <v>Brown</v>
      </c>
      <c r="E4969" t="str">
        <f>IFERROR(__xludf.DUMMYFUNCTION("""COMPUTED_VALUE"""),"Mack")</f>
        <v>Mack</v>
      </c>
      <c r="F4969">
        <f>IFERROR(__xludf.DUMMYFUNCTION("""COMPUTED_VALUE"""),17.25)</f>
        <v>17.25</v>
      </c>
    </row>
    <row r="4970">
      <c r="D4970" t="str">
        <f>IFERROR(__xludf.DUMMYFUNCTION("""COMPUTED_VALUE"""),"Brown")</f>
        <v>Brown</v>
      </c>
      <c r="E4970" t="str">
        <f>IFERROR(__xludf.DUMMYFUNCTION("""COMPUTED_VALUE"""),"Malcolm")</f>
        <v>Malcolm</v>
      </c>
      <c r="F4970">
        <f>IFERROR(__xludf.DUMMYFUNCTION("""COMPUTED_VALUE"""),17.75)</f>
        <v>17.75</v>
      </c>
    </row>
    <row r="4971">
      <c r="D4971" t="str">
        <f>IFERROR(__xludf.DUMMYFUNCTION("""COMPUTED_VALUE"""),"Brown")</f>
        <v>Brown</v>
      </c>
      <c r="E4971" t="str">
        <f>IFERROR(__xludf.DUMMYFUNCTION("""COMPUTED_VALUE"""),"Malcom")</f>
        <v>Malcom</v>
      </c>
      <c r="F4971">
        <f>IFERROR(__xludf.DUMMYFUNCTION("""COMPUTED_VALUE"""),19.75)</f>
        <v>19.75</v>
      </c>
    </row>
    <row r="4972">
      <c r="D4972" t="str">
        <f>IFERROR(__xludf.DUMMYFUNCTION("""COMPUTED_VALUE"""),"Brown")</f>
        <v>Brown</v>
      </c>
      <c r="E4972" t="str">
        <f>IFERROR(__xludf.DUMMYFUNCTION("""COMPUTED_VALUE"""),"Marlon")</f>
        <v>Marlon</v>
      </c>
      <c r="F4972">
        <f>IFERROR(__xludf.DUMMYFUNCTION("""COMPUTED_VALUE"""),17.75)</f>
        <v>17.75</v>
      </c>
    </row>
    <row r="4973">
      <c r="D4973" t="str">
        <f>IFERROR(__xludf.DUMMYFUNCTION("""COMPUTED_VALUE"""),"Brown")</f>
        <v>Brown</v>
      </c>
      <c r="E4973" t="str">
        <f>IFERROR(__xludf.DUMMYFUNCTION("""COMPUTED_VALUE"""),"Noah")</f>
        <v>Noah</v>
      </c>
      <c r="F4973">
        <f>IFERROR(__xludf.DUMMYFUNCTION("""COMPUTED_VALUE"""),17.25)</f>
        <v>17.25</v>
      </c>
    </row>
    <row r="4974">
      <c r="D4974" t="str">
        <f>IFERROR(__xludf.DUMMYFUNCTION("""COMPUTED_VALUE"""),"Brown")</f>
        <v>Brown</v>
      </c>
      <c r="E4974" t="str">
        <f>IFERROR(__xludf.DUMMYFUNCTION("""COMPUTED_VALUE"""),"Orlando")</f>
        <v>Orlando</v>
      </c>
      <c r="F4974">
        <f>IFERROR(__xludf.DUMMYFUNCTION("""COMPUTED_VALUE"""),18.75)</f>
        <v>18.75</v>
      </c>
    </row>
    <row r="4975">
      <c r="D4975" t="str">
        <f>IFERROR(__xludf.DUMMYFUNCTION("""COMPUTED_VALUE"""),"Brown")</f>
        <v>Brown</v>
      </c>
      <c r="E4975" t="str">
        <f>IFERROR(__xludf.DUMMYFUNCTION("""COMPUTED_VALUE"""),"Pharaoh")</f>
        <v>Pharaoh</v>
      </c>
      <c r="F4975">
        <f>IFERROR(__xludf.DUMMYFUNCTION("""COMPUTED_VALUE"""),17.0)</f>
        <v>17</v>
      </c>
    </row>
    <row r="4976">
      <c r="D4976" t="str">
        <f>IFERROR(__xludf.DUMMYFUNCTION("""COMPUTED_VALUE"""),"Brown")</f>
        <v>Brown</v>
      </c>
      <c r="E4976" t="str">
        <f>IFERROR(__xludf.DUMMYFUNCTION("""COMPUTED_VALUE"""),"Preston")</f>
        <v>Preston</v>
      </c>
      <c r="F4976">
        <f>IFERROR(__xludf.DUMMYFUNCTION("""COMPUTED_VALUE"""),19.5)</f>
        <v>19.5</v>
      </c>
    </row>
    <row r="4977">
      <c r="D4977" t="str">
        <f>IFERROR(__xludf.DUMMYFUNCTION("""COMPUTED_VALUE"""),"Brown")</f>
        <v>Brown</v>
      </c>
      <c r="E4977" t="str">
        <f>IFERROR(__xludf.DUMMYFUNCTION("""COMPUTED_VALUE"""),"Trent")</f>
        <v>Trent</v>
      </c>
      <c r="F4977">
        <f>IFERROR(__xludf.DUMMYFUNCTION("""COMPUTED_VALUE"""),19.75)</f>
        <v>19.75</v>
      </c>
    </row>
    <row r="4978">
      <c r="D4978" t="str">
        <f>IFERROR(__xludf.DUMMYFUNCTION("""COMPUTED_VALUE"""),"Brown")</f>
        <v>Brown</v>
      </c>
      <c r="E4978" t="str">
        <f>IFERROR(__xludf.DUMMYFUNCTION("""COMPUTED_VALUE"""),"Zach")</f>
        <v>Zach</v>
      </c>
      <c r="F4978">
        <f>IFERROR(__xludf.DUMMYFUNCTION("""COMPUTED_VALUE"""),20.75)</f>
        <v>20.75</v>
      </c>
    </row>
    <row r="4979">
      <c r="D4979" t="str">
        <f>IFERROR(__xludf.DUMMYFUNCTION("""COMPUTED_VALUE"""),"Brunskill")</f>
        <v>Brunskill</v>
      </c>
      <c r="E4979" t="str">
        <f>IFERROR(__xludf.DUMMYFUNCTION("""COMPUTED_VALUE"""),"Daniel")</f>
        <v>Daniel</v>
      </c>
      <c r="F4979">
        <f>IFERROR(__xludf.DUMMYFUNCTION("""COMPUTED_VALUE"""),15.5)</f>
        <v>15.5</v>
      </c>
    </row>
    <row r="4980">
      <c r="D4980" t="str">
        <f>IFERROR(__xludf.DUMMYFUNCTION("""COMPUTED_VALUE"""),"Bryan")</f>
        <v>Bryan</v>
      </c>
      <c r="E4980" t="str">
        <f>IFERROR(__xludf.DUMMYFUNCTION("""COMPUTED_VALUE"""),"Taven")</f>
        <v>Taven</v>
      </c>
      <c r="F4980">
        <f>IFERROR(__xludf.DUMMYFUNCTION("""COMPUTED_VALUE"""),19.0)</f>
        <v>19</v>
      </c>
    </row>
    <row r="4981">
      <c r="D4981" t="str">
        <f>IFERROR(__xludf.DUMMYFUNCTION("""COMPUTED_VALUE"""),"Bryant")</f>
        <v>Bryant</v>
      </c>
      <c r="E4981" t="str">
        <f>IFERROR(__xludf.DUMMYFUNCTION("""COMPUTED_VALUE"""),"Dez")</f>
        <v>Dez</v>
      </c>
      <c r="F4981">
        <f>IFERROR(__xludf.DUMMYFUNCTION("""COMPUTED_VALUE"""),20.25)</f>
        <v>20.25</v>
      </c>
    </row>
    <row r="4982">
      <c r="D4982" t="str">
        <f>IFERROR(__xludf.DUMMYFUNCTION("""COMPUTED_VALUE"""),"Bryant")</f>
        <v>Bryant</v>
      </c>
      <c r="E4982" t="str">
        <f>IFERROR(__xludf.DUMMYFUNCTION("""COMPUTED_VALUE"""),"Martavis")</f>
        <v>Martavis</v>
      </c>
      <c r="F4982">
        <f>IFERROR(__xludf.DUMMYFUNCTION("""COMPUTED_VALUE"""),19.5)</f>
        <v>19.5</v>
      </c>
    </row>
    <row r="4983">
      <c r="D4983" t="str">
        <f>IFERROR(__xludf.DUMMYFUNCTION("""COMPUTED_VALUE"""),"Bryant")</f>
        <v>Bryant</v>
      </c>
      <c r="E4983" t="str">
        <f>IFERROR(__xludf.DUMMYFUNCTION("""COMPUTED_VALUE"""),"Matt")</f>
        <v>Matt</v>
      </c>
      <c r="F4983">
        <f>IFERROR(__xludf.DUMMYFUNCTION("""COMPUTED_VALUE"""),21.75)</f>
        <v>21.75</v>
      </c>
    </row>
    <row r="4984">
      <c r="D4984" t="str">
        <f>IFERROR(__xludf.DUMMYFUNCTION("""COMPUTED_VALUE"""),"Bucannon")</f>
        <v>Bucannon</v>
      </c>
      <c r="E4984" t="str">
        <f>IFERROR(__xludf.DUMMYFUNCTION("""COMPUTED_VALUE"""),"Deone")</f>
        <v>Deone</v>
      </c>
      <c r="F4984">
        <f>IFERROR(__xludf.DUMMYFUNCTION("""COMPUTED_VALUE"""),18.5)</f>
        <v>18.5</v>
      </c>
    </row>
    <row r="4985">
      <c r="D4985" t="str">
        <f>IFERROR(__xludf.DUMMYFUNCTION("""COMPUTED_VALUE"""),"Buckner")</f>
        <v>Buckner</v>
      </c>
      <c r="E4985" t="str">
        <f>IFERROR(__xludf.DUMMYFUNCTION("""COMPUTED_VALUE"""),"DeForest")</f>
        <v>DeForest</v>
      </c>
      <c r="F4985">
        <f>IFERROR(__xludf.DUMMYFUNCTION("""COMPUTED_VALUE"""),20.75)</f>
        <v>20.75</v>
      </c>
    </row>
    <row r="4986">
      <c r="D4986" t="str">
        <f>IFERROR(__xludf.DUMMYFUNCTION("""COMPUTED_VALUE"""),"Bulaga")</f>
        <v>Bulaga</v>
      </c>
      <c r="E4986" t="str">
        <f>IFERROR(__xludf.DUMMYFUNCTION("""COMPUTED_VALUE"""),"Bryan")</f>
        <v>Bryan</v>
      </c>
      <c r="F4986">
        <f>IFERROR(__xludf.DUMMYFUNCTION("""COMPUTED_VALUE"""),19.75)</f>
        <v>19.75</v>
      </c>
    </row>
    <row r="4987">
      <c r="D4987" t="str">
        <f>IFERROR(__xludf.DUMMYFUNCTION("""COMPUTED_VALUE"""),"Bullard")</f>
        <v>Bullard</v>
      </c>
      <c r="E4987" t="str">
        <f>IFERROR(__xludf.DUMMYFUNCTION("""COMPUTED_VALUE"""),"Jonathan")</f>
        <v>Jonathan</v>
      </c>
      <c r="F4987">
        <f>IFERROR(__xludf.DUMMYFUNCTION("""COMPUTED_VALUE"""),18.0)</f>
        <v>18</v>
      </c>
    </row>
    <row r="4988">
      <c r="D4988" t="str">
        <f>IFERROR(__xludf.DUMMYFUNCTION("""COMPUTED_VALUE"""),"Bullock")</f>
        <v>Bullock</v>
      </c>
      <c r="E4988" t="str">
        <f>IFERROR(__xludf.DUMMYFUNCTION("""COMPUTED_VALUE"""),"Randy")</f>
        <v>Randy</v>
      </c>
      <c r="F4988">
        <f>IFERROR(__xludf.DUMMYFUNCTION("""COMPUTED_VALUE"""),19.5)</f>
        <v>19.5</v>
      </c>
    </row>
    <row r="4989">
      <c r="D4989" t="str">
        <f>IFERROR(__xludf.DUMMYFUNCTION("""COMPUTED_VALUE"""),"Bullough")</f>
        <v>Bullough</v>
      </c>
      <c r="E4989" t="str">
        <f>IFERROR(__xludf.DUMMYFUNCTION("""COMPUTED_VALUE"""),"Riley")</f>
        <v>Riley</v>
      </c>
      <c r="F4989">
        <f>IFERROR(__xludf.DUMMYFUNCTION("""COMPUTED_VALUE"""),17.25)</f>
        <v>17.25</v>
      </c>
    </row>
    <row r="4990">
      <c r="D4990" t="str">
        <f>IFERROR(__xludf.DUMMYFUNCTION("""COMPUTED_VALUE"""),"Burbridge")</f>
        <v>Burbridge</v>
      </c>
      <c r="E4990" t="str">
        <f>IFERROR(__xludf.DUMMYFUNCTION("""COMPUTED_VALUE"""),"Aaron")</f>
        <v>Aaron</v>
      </c>
      <c r="F4990">
        <f>IFERROR(__xludf.DUMMYFUNCTION("""COMPUTED_VALUE"""),17.25)</f>
        <v>17.25</v>
      </c>
    </row>
    <row r="4991">
      <c r="D4991" t="str">
        <f>IFERROR(__xludf.DUMMYFUNCTION("""COMPUTED_VALUE"""),"Burfict")</f>
        <v>Burfict</v>
      </c>
      <c r="E4991" t="str">
        <f>IFERROR(__xludf.DUMMYFUNCTION("""COMPUTED_VALUE"""),"Vontaze")</f>
        <v>Vontaze</v>
      </c>
      <c r="F4991">
        <f>IFERROR(__xludf.DUMMYFUNCTION("""COMPUTED_VALUE"""),20.5)</f>
        <v>20.5</v>
      </c>
    </row>
    <row r="4992">
      <c r="D4992" t="str">
        <f>IFERROR(__xludf.DUMMYFUNCTION("""COMPUTED_VALUE"""),"Burgess Jr")</f>
        <v>Burgess Jr</v>
      </c>
      <c r="E4992" t="str">
        <f>IFERROR(__xludf.DUMMYFUNCTION("""COMPUTED_VALUE"""),"James")</f>
        <v>James</v>
      </c>
      <c r="F4992">
        <f>IFERROR(__xludf.DUMMYFUNCTION("""COMPUTED_VALUE"""),16.0)</f>
        <v>16</v>
      </c>
    </row>
    <row r="4993">
      <c r="D4993" t="str">
        <f>IFERROR(__xludf.DUMMYFUNCTION("""COMPUTED_VALUE"""),"Burkhead")</f>
        <v>Burkhead</v>
      </c>
      <c r="E4993" t="str">
        <f>IFERROR(__xludf.DUMMYFUNCTION("""COMPUTED_VALUE"""),"Rex")</f>
        <v>Rex</v>
      </c>
      <c r="F4993">
        <f>IFERROR(__xludf.DUMMYFUNCTION("""COMPUTED_VALUE"""),19.25)</f>
        <v>19.25</v>
      </c>
    </row>
    <row r="4994">
      <c r="D4994" t="str">
        <f>IFERROR(__xludf.DUMMYFUNCTION("""COMPUTED_VALUE"""),"Burks")</f>
        <v>Burks</v>
      </c>
      <c r="E4994" t="str">
        <f>IFERROR(__xludf.DUMMYFUNCTION("""COMPUTED_VALUE"""),"Oren")</f>
        <v>Oren</v>
      </c>
      <c r="F4994">
        <f>IFERROR(__xludf.DUMMYFUNCTION("""COMPUTED_VALUE"""),18.0)</f>
        <v>18</v>
      </c>
    </row>
    <row r="4995">
      <c r="D4995" t="str">
        <f>IFERROR(__xludf.DUMMYFUNCTION("""COMPUTED_VALUE"""),"Burnett")</f>
        <v>Burnett</v>
      </c>
      <c r="E4995" t="str">
        <f>IFERROR(__xludf.DUMMYFUNCTION("""COMPUTED_VALUE"""),"Morgan")</f>
        <v>Morgan</v>
      </c>
      <c r="F4995">
        <f>IFERROR(__xludf.DUMMYFUNCTION("""COMPUTED_VALUE"""),20.25)</f>
        <v>20.25</v>
      </c>
    </row>
    <row r="4996">
      <c r="D4996" t="str">
        <f>IFERROR(__xludf.DUMMYFUNCTION("""COMPUTED_VALUE"""),"Burns")</f>
        <v>Burns</v>
      </c>
      <c r="E4996" t="str">
        <f>IFERROR(__xludf.DUMMYFUNCTION("""COMPUTED_VALUE"""),"Artie")</f>
        <v>Artie</v>
      </c>
      <c r="F4996">
        <f>IFERROR(__xludf.DUMMYFUNCTION("""COMPUTED_VALUE"""),20.0)</f>
        <v>20</v>
      </c>
    </row>
    <row r="4997">
      <c r="D4997" t="str">
        <f>IFERROR(__xludf.DUMMYFUNCTION("""COMPUTED_VALUE"""),"Burris")</f>
        <v>Burris</v>
      </c>
      <c r="E4997" t="str">
        <f>IFERROR(__xludf.DUMMYFUNCTION("""COMPUTED_VALUE"""),"Juston")</f>
        <v>Juston</v>
      </c>
      <c r="F4997">
        <f>IFERROR(__xludf.DUMMYFUNCTION("""COMPUTED_VALUE"""),16.75)</f>
        <v>16.75</v>
      </c>
    </row>
    <row r="4998">
      <c r="D4998" t="str">
        <f>IFERROR(__xludf.DUMMYFUNCTION("""COMPUTED_VALUE"""),"Burton")</f>
        <v>Burton</v>
      </c>
      <c r="E4998" t="str">
        <f>IFERROR(__xludf.DUMMYFUNCTION("""COMPUTED_VALUE"""),"Michael")</f>
        <v>Michael</v>
      </c>
      <c r="F4998">
        <f>IFERROR(__xludf.DUMMYFUNCTION("""COMPUTED_VALUE"""),16.0)</f>
        <v>16</v>
      </c>
    </row>
    <row r="4999">
      <c r="D4999" t="str">
        <f>IFERROR(__xludf.DUMMYFUNCTION("""COMPUTED_VALUE"""),"Burton")</f>
        <v>Burton</v>
      </c>
      <c r="E4999" t="str">
        <f>IFERROR(__xludf.DUMMYFUNCTION("""COMPUTED_VALUE"""),"Trey")</f>
        <v>Trey</v>
      </c>
      <c r="F4999">
        <f>IFERROR(__xludf.DUMMYFUNCTION("""COMPUTED_VALUE"""),19.75)</f>
        <v>19.75</v>
      </c>
    </row>
    <row r="5000">
      <c r="D5000" t="str">
        <f>IFERROR(__xludf.DUMMYFUNCTION("""COMPUTED_VALUE"""),"Burwell")</f>
        <v>Burwell</v>
      </c>
      <c r="E5000" t="str">
        <f>IFERROR(__xludf.DUMMYFUNCTION("""COMPUTED_VALUE"""),"Tyreek")</f>
        <v>Tyreek</v>
      </c>
      <c r="F5000">
        <f>IFERROR(__xludf.DUMMYFUNCTION("""COMPUTED_VALUE"""),15.75)</f>
        <v>15.75</v>
      </c>
    </row>
    <row r="5001">
      <c r="D5001" t="str">
        <f>IFERROR(__xludf.DUMMYFUNCTION("""COMPUTED_VALUE"""),"Bush")</f>
        <v>Bush</v>
      </c>
      <c r="E5001" t="str">
        <f>IFERROR(__xludf.DUMMYFUNCTION("""COMPUTED_VALUE"""),"Deon")</f>
        <v>Deon</v>
      </c>
      <c r="F5001">
        <f>IFERROR(__xludf.DUMMYFUNCTION("""COMPUTED_VALUE"""),16.0)</f>
        <v>16</v>
      </c>
    </row>
    <row r="5002">
      <c r="D5002" t="str">
        <f>IFERROR(__xludf.DUMMYFUNCTION("""COMPUTED_VALUE"""),"Bush")</f>
        <v>Bush</v>
      </c>
      <c r="E5002" t="str">
        <f>IFERROR(__xludf.DUMMYFUNCTION("""COMPUTED_VALUE"""),"Rafael")</f>
        <v>Rafael</v>
      </c>
      <c r="F5002">
        <f>IFERROR(__xludf.DUMMYFUNCTION("""COMPUTED_VALUE"""),17.5)</f>
        <v>17.5</v>
      </c>
    </row>
    <row r="5003">
      <c r="D5003" t="str">
        <f>IFERROR(__xludf.DUMMYFUNCTION("""COMPUTED_VALUE"""),"Bushrod")</f>
        <v>Bushrod</v>
      </c>
      <c r="E5003" t="str">
        <f>IFERROR(__xludf.DUMMYFUNCTION("""COMPUTED_VALUE"""),"Jermon")</f>
        <v>Jermon</v>
      </c>
      <c r="F5003">
        <f>IFERROR(__xludf.DUMMYFUNCTION("""COMPUTED_VALUE"""),18.0)</f>
        <v>18</v>
      </c>
    </row>
    <row r="5004">
      <c r="D5004" t="str">
        <f>IFERROR(__xludf.DUMMYFUNCTION("""COMPUTED_VALUE"""),"Butker")</f>
        <v>Butker</v>
      </c>
      <c r="E5004" t="str">
        <f>IFERROR(__xludf.DUMMYFUNCTION("""COMPUTED_VALUE"""),"Harrison")</f>
        <v>Harrison</v>
      </c>
      <c r="F5004">
        <f>IFERROR(__xludf.DUMMYFUNCTION("""COMPUTED_VALUE"""),20.5)</f>
        <v>20.5</v>
      </c>
    </row>
    <row r="5005">
      <c r="D5005" t="str">
        <f>IFERROR(__xludf.DUMMYFUNCTION("""COMPUTED_VALUE"""),"Butler")</f>
        <v>Butler</v>
      </c>
      <c r="E5005" t="str">
        <f>IFERROR(__xludf.DUMMYFUNCTION("""COMPUTED_VALUE"""),"Adam")</f>
        <v>Adam</v>
      </c>
      <c r="F5005">
        <f>IFERROR(__xludf.DUMMYFUNCTION("""COMPUTED_VALUE"""),18.0)</f>
        <v>18</v>
      </c>
    </row>
    <row r="5006">
      <c r="D5006" t="str">
        <f>IFERROR(__xludf.DUMMYFUNCTION("""COMPUTED_VALUE"""),"Butler")</f>
        <v>Butler</v>
      </c>
      <c r="E5006" t="str">
        <f>IFERROR(__xludf.DUMMYFUNCTION("""COMPUTED_VALUE"""),"Brice")</f>
        <v>Brice</v>
      </c>
      <c r="F5006">
        <f>IFERROR(__xludf.DUMMYFUNCTION("""COMPUTED_VALUE"""),18.5)</f>
        <v>18.5</v>
      </c>
    </row>
    <row r="5007">
      <c r="D5007" t="str">
        <f>IFERROR(__xludf.DUMMYFUNCTION("""COMPUTED_VALUE"""),"Butler")</f>
        <v>Butler</v>
      </c>
      <c r="E5007" t="str">
        <f>IFERROR(__xludf.DUMMYFUNCTION("""COMPUTED_VALUE"""),"Malcolm")</f>
        <v>Malcolm</v>
      </c>
      <c r="F5007">
        <f>IFERROR(__xludf.DUMMYFUNCTION("""COMPUTED_VALUE"""),21.0)</f>
        <v>21</v>
      </c>
    </row>
    <row r="5008">
      <c r="D5008" t="str">
        <f>IFERROR(__xludf.DUMMYFUNCTION("""COMPUTED_VALUE"""),"Butler Jr")</f>
        <v>Butler Jr</v>
      </c>
      <c r="E5008" t="str">
        <f>IFERROR(__xludf.DUMMYFUNCTION("""COMPUTED_VALUE"""),"Vernon")</f>
        <v>Vernon</v>
      </c>
      <c r="F5008">
        <f>IFERROR(__xludf.DUMMYFUNCTION("""COMPUTED_VALUE"""),18.5)</f>
        <v>18.5</v>
      </c>
    </row>
    <row r="5009">
      <c r="D5009" t="str">
        <f>IFERROR(__xludf.DUMMYFUNCTION("""COMPUTED_VALUE"""),"Butt")</f>
        <v>Butt</v>
      </c>
      <c r="E5009" t="str">
        <f>IFERROR(__xludf.DUMMYFUNCTION("""COMPUTED_VALUE"""),"Jake")</f>
        <v>Jake</v>
      </c>
      <c r="F5009">
        <f>IFERROR(__xludf.DUMMYFUNCTION("""COMPUTED_VALUE"""),18.25)</f>
        <v>18.25</v>
      </c>
    </row>
    <row r="5010">
      <c r="D5010" t="str">
        <f>IFERROR(__xludf.DUMMYFUNCTION("""COMPUTED_VALUE"""),"Byard")</f>
        <v>Byard</v>
      </c>
      <c r="E5010" t="str">
        <f>IFERROR(__xludf.DUMMYFUNCTION("""COMPUTED_VALUE"""),"Kevin")</f>
        <v>Kevin</v>
      </c>
      <c r="F5010">
        <f>IFERROR(__xludf.DUMMYFUNCTION("""COMPUTED_VALUE"""),21.0)</f>
        <v>21</v>
      </c>
    </row>
    <row r="5011">
      <c r="D5011" t="str">
        <f>IFERROR(__xludf.DUMMYFUNCTION("""COMPUTED_VALUE"""),"Bynes")</f>
        <v>Bynes</v>
      </c>
      <c r="E5011" t="str">
        <f>IFERROR(__xludf.DUMMYFUNCTION("""COMPUTED_VALUE"""),"Josh")</f>
        <v>Josh</v>
      </c>
      <c r="F5011">
        <f>IFERROR(__xludf.DUMMYFUNCTION("""COMPUTED_VALUE"""),19.0)</f>
        <v>19</v>
      </c>
    </row>
    <row r="5012">
      <c r="D5012" t="str">
        <f>IFERROR(__xludf.DUMMYFUNCTION("""COMPUTED_VALUE"""),"Byrd")</f>
        <v>Byrd</v>
      </c>
      <c r="E5012" t="str">
        <f>IFERROR(__xludf.DUMMYFUNCTION("""COMPUTED_VALUE"""),"Damiere")</f>
        <v>Damiere</v>
      </c>
      <c r="F5012">
        <f>IFERROR(__xludf.DUMMYFUNCTION("""COMPUTED_VALUE"""),17.75)</f>
        <v>17.75</v>
      </c>
    </row>
    <row r="5013">
      <c r="D5013" t="str">
        <f>IFERROR(__xludf.DUMMYFUNCTION("""COMPUTED_VALUE"""),"Cadet")</f>
        <v>Cadet</v>
      </c>
      <c r="E5013" t="str">
        <f>IFERROR(__xludf.DUMMYFUNCTION("""COMPUTED_VALUE"""),"Travaris")</f>
        <v>Travaris</v>
      </c>
      <c r="F5013">
        <f>IFERROR(__xludf.DUMMYFUNCTION("""COMPUTED_VALUE"""),17.75)</f>
        <v>17.75</v>
      </c>
    </row>
    <row r="5014">
      <c r="D5014" t="str">
        <f>IFERROR(__xludf.DUMMYFUNCTION("""COMPUTED_VALUE"""),"Cain")</f>
        <v>Cain</v>
      </c>
      <c r="E5014" t="str">
        <f>IFERROR(__xludf.DUMMYFUNCTION("""COMPUTED_VALUE"""),"Deon")</f>
        <v>Deon</v>
      </c>
      <c r="F5014">
        <f>IFERROR(__xludf.DUMMYFUNCTION("""COMPUTED_VALUE"""),17.75)</f>
        <v>17.75</v>
      </c>
    </row>
    <row r="5015">
      <c r="D5015" t="str">
        <f>IFERROR(__xludf.DUMMYFUNCTION("""COMPUTED_VALUE"""),"Calhoun")</f>
        <v>Calhoun</v>
      </c>
      <c r="E5015" t="str">
        <f>IFERROR(__xludf.DUMMYFUNCTION("""COMPUTED_VALUE"""),"Shilique")</f>
        <v>Shilique</v>
      </c>
      <c r="F5015">
        <f>IFERROR(__xludf.DUMMYFUNCTION("""COMPUTED_VALUE"""),17.5)</f>
        <v>17.5</v>
      </c>
    </row>
    <row r="5016">
      <c r="D5016" t="str">
        <f>IFERROR(__xludf.DUMMYFUNCTION("""COMPUTED_VALUE"""),"Calhoun")</f>
        <v>Calhoun</v>
      </c>
      <c r="E5016" t="str">
        <f>IFERROR(__xludf.DUMMYFUNCTION("""COMPUTED_VALUE"""),"Taveze")</f>
        <v>Taveze</v>
      </c>
      <c r="F5016">
        <f>IFERROR(__xludf.DUMMYFUNCTION("""COMPUTED_VALUE"""),15.5)</f>
        <v>15.5</v>
      </c>
    </row>
    <row r="5017">
      <c r="D5017" t="str">
        <f>IFERROR(__xludf.DUMMYFUNCTION("""COMPUTED_VALUE"""),"Callahan")</f>
        <v>Callahan</v>
      </c>
      <c r="E5017" t="str">
        <f>IFERROR(__xludf.DUMMYFUNCTION("""COMPUTED_VALUE"""),"Bryce")</f>
        <v>Bryce</v>
      </c>
      <c r="F5017">
        <f>IFERROR(__xludf.DUMMYFUNCTION("""COMPUTED_VALUE"""),19.0)</f>
        <v>19</v>
      </c>
    </row>
    <row r="5018">
      <c r="D5018" t="str">
        <f>IFERROR(__xludf.DUMMYFUNCTION("""COMPUTED_VALUE"""),"Callahan")</f>
        <v>Callahan</v>
      </c>
      <c r="E5018" t="str">
        <f>IFERROR(__xludf.DUMMYFUNCTION("""COMPUTED_VALUE"""),"Joe")</f>
        <v>Joe</v>
      </c>
      <c r="F5018">
        <f>IFERROR(__xludf.DUMMYFUNCTION("""COMPUTED_VALUE"""),16.25)</f>
        <v>16.25</v>
      </c>
    </row>
    <row r="5019">
      <c r="D5019" t="str">
        <f>IFERROR(__xludf.DUMMYFUNCTION("""COMPUTED_VALUE"""),"Callaway")</f>
        <v>Callaway</v>
      </c>
      <c r="E5019" t="str">
        <f>IFERROR(__xludf.DUMMYFUNCTION("""COMPUTED_VALUE"""),"Antonio")</f>
        <v>Antonio</v>
      </c>
      <c r="F5019">
        <f>IFERROR(__xludf.DUMMYFUNCTION("""COMPUTED_VALUE"""),18.0)</f>
        <v>18</v>
      </c>
    </row>
    <row r="5020">
      <c r="D5020" t="str">
        <f>IFERROR(__xludf.DUMMYFUNCTION("""COMPUTED_VALUE"""),"Calvin")</f>
        <v>Calvin</v>
      </c>
      <c r="E5020" t="str">
        <f>IFERROR(__xludf.DUMMYFUNCTION("""COMPUTED_VALUE"""),"Johnathan")</f>
        <v>Johnathan</v>
      </c>
      <c r="F5020">
        <f>IFERROR(__xludf.DUMMYFUNCTION("""COMPUTED_VALUE"""),16.0)</f>
        <v>16</v>
      </c>
    </row>
    <row r="5021">
      <c r="D5021" t="str">
        <f>IFERROR(__xludf.DUMMYFUNCTION("""COMPUTED_VALUE"""),"Campanaro")</f>
        <v>Campanaro</v>
      </c>
      <c r="E5021" t="str">
        <f>IFERROR(__xludf.DUMMYFUNCTION("""COMPUTED_VALUE"""),"Michael")</f>
        <v>Michael</v>
      </c>
      <c r="F5021">
        <f>IFERROR(__xludf.DUMMYFUNCTION("""COMPUTED_VALUE"""),17.5)</f>
        <v>17.5</v>
      </c>
    </row>
    <row r="5022">
      <c r="D5022" t="str">
        <f>IFERROR(__xludf.DUMMYFUNCTION("""COMPUTED_VALUE"""),"Campbell")</f>
        <v>Campbell</v>
      </c>
      <c r="E5022" t="str">
        <f>IFERROR(__xludf.DUMMYFUNCTION("""COMPUTED_VALUE"""),"Calais")</f>
        <v>Calais</v>
      </c>
      <c r="F5022">
        <f>IFERROR(__xludf.DUMMYFUNCTION("""COMPUTED_VALUE"""),21.0)</f>
        <v>21</v>
      </c>
    </row>
    <row r="5023">
      <c r="D5023" t="str">
        <f>IFERROR(__xludf.DUMMYFUNCTION("""COMPUTED_VALUE"""),"Campbell")</f>
        <v>Campbell</v>
      </c>
      <c r="E5023" t="str">
        <f>IFERROR(__xludf.DUMMYFUNCTION("""COMPUTED_VALUE"""),"Christian")</f>
        <v>Christian</v>
      </c>
      <c r="F5023">
        <f>IFERROR(__xludf.DUMMYFUNCTION("""COMPUTED_VALUE"""),16.75)</f>
        <v>16.75</v>
      </c>
    </row>
    <row r="5024">
      <c r="D5024" t="str">
        <f>IFERROR(__xludf.DUMMYFUNCTION("""COMPUTED_VALUE"""),"Campbell")</f>
        <v>Campbell</v>
      </c>
      <c r="E5024" t="str">
        <f>IFERROR(__xludf.DUMMYFUNCTION("""COMPUTED_VALUE"""),"DeVondre")</f>
        <v>DeVondre</v>
      </c>
      <c r="F5024">
        <f>IFERROR(__xludf.DUMMYFUNCTION("""COMPUTED_VALUE"""),20.25)</f>
        <v>20.25</v>
      </c>
    </row>
    <row r="5025">
      <c r="D5025" t="str">
        <f>IFERROR(__xludf.DUMMYFUNCTION("""COMPUTED_VALUE"""),"Campbell")</f>
        <v>Campbell</v>
      </c>
      <c r="E5025" t="str">
        <f>IFERROR(__xludf.DUMMYFUNCTION("""COMPUTED_VALUE"""),"Ibraheim")</f>
        <v>Ibraheim</v>
      </c>
      <c r="F5025">
        <f>IFERROR(__xludf.DUMMYFUNCTION("""COMPUTED_VALUE"""),17.75)</f>
        <v>17.75</v>
      </c>
    </row>
    <row r="5026">
      <c r="D5026" t="str">
        <f>IFERROR(__xludf.DUMMYFUNCTION("""COMPUTED_VALUE"""),"Canady")</f>
        <v>Canady</v>
      </c>
      <c r="E5026" t="str">
        <f>IFERROR(__xludf.DUMMYFUNCTION("""COMPUTED_VALUE"""),"Maurice")</f>
        <v>Maurice</v>
      </c>
      <c r="F5026">
        <f>IFERROR(__xludf.DUMMYFUNCTION("""COMPUTED_VALUE"""),18.25)</f>
        <v>18.25</v>
      </c>
    </row>
    <row r="5027">
      <c r="D5027" t="str">
        <f>IFERROR(__xludf.DUMMYFUNCTION("""COMPUTED_VALUE"""),"Cann")</f>
        <v>Cann</v>
      </c>
      <c r="E5027" t="str">
        <f>IFERROR(__xludf.DUMMYFUNCTION("""COMPUTED_VALUE"""),"AJ")</f>
        <v>AJ</v>
      </c>
      <c r="F5027">
        <f>IFERROR(__xludf.DUMMYFUNCTION("""COMPUTED_VALUE"""),18.75)</f>
        <v>18.75</v>
      </c>
    </row>
    <row r="5028">
      <c r="D5028" t="str">
        <f>IFERROR(__xludf.DUMMYFUNCTION("""COMPUTED_VALUE"""),"Cannon")</f>
        <v>Cannon</v>
      </c>
      <c r="E5028" t="str">
        <f>IFERROR(__xludf.DUMMYFUNCTION("""COMPUTED_VALUE"""),"KD")</f>
        <v>KD</v>
      </c>
      <c r="F5028">
        <f>IFERROR(__xludf.DUMMYFUNCTION("""COMPUTED_VALUE"""),17.0)</f>
        <v>17</v>
      </c>
    </row>
    <row r="5029">
      <c r="D5029" t="str">
        <f>IFERROR(__xludf.DUMMYFUNCTION("""COMPUTED_VALUE"""),"Cannon")</f>
        <v>Cannon</v>
      </c>
      <c r="E5029" t="str">
        <f>IFERROR(__xludf.DUMMYFUNCTION("""COMPUTED_VALUE"""),"Marcus")</f>
        <v>Marcus</v>
      </c>
      <c r="F5029">
        <f>IFERROR(__xludf.DUMMYFUNCTION("""COMPUTED_VALUE"""),20.5)</f>
        <v>20.5</v>
      </c>
    </row>
    <row r="5030">
      <c r="D5030" t="str">
        <f>IFERROR(__xludf.DUMMYFUNCTION("""COMPUTED_VALUE"""),"Cannon")</f>
        <v>Cannon</v>
      </c>
      <c r="E5030" t="str">
        <f>IFERROR(__xludf.DUMMYFUNCTION("""COMPUTED_VALUE"""),"Trenton")</f>
        <v>Trenton</v>
      </c>
      <c r="F5030">
        <f>IFERROR(__xludf.DUMMYFUNCTION("""COMPUTED_VALUE"""),16.75)</f>
        <v>16.75</v>
      </c>
    </row>
    <row r="5031">
      <c r="D5031" t="str">
        <f>IFERROR(__xludf.DUMMYFUNCTION("""COMPUTED_VALUE"""),"Cantrell")</f>
        <v>Cantrell</v>
      </c>
      <c r="E5031" t="str">
        <f>IFERROR(__xludf.DUMMYFUNCTION("""COMPUTED_VALUE"""),"Dylan")</f>
        <v>Dylan</v>
      </c>
      <c r="F5031">
        <f>IFERROR(__xludf.DUMMYFUNCTION("""COMPUTED_VALUE"""),18.5)</f>
        <v>18.5</v>
      </c>
    </row>
    <row r="5032">
      <c r="D5032" t="str">
        <f>IFERROR(__xludf.DUMMYFUNCTION("""COMPUTED_VALUE"""),"Cappa")</f>
        <v>Cappa</v>
      </c>
      <c r="E5032" t="str">
        <f>IFERROR(__xludf.DUMMYFUNCTION("""COMPUTED_VALUE"""),"Alex")</f>
        <v>Alex</v>
      </c>
      <c r="F5032">
        <f>IFERROR(__xludf.DUMMYFUNCTION("""COMPUTED_VALUE"""),17.5)</f>
        <v>17.5</v>
      </c>
    </row>
    <row r="5033">
      <c r="D5033" t="str">
        <f>IFERROR(__xludf.DUMMYFUNCTION("""COMPUTED_VALUE"""),"Carder")</f>
        <v>Carder</v>
      </c>
      <c r="E5033" t="str">
        <f>IFERROR(__xludf.DUMMYFUNCTION("""COMPUTED_VALUE"""),"Tank")</f>
        <v>Tank</v>
      </c>
      <c r="F5033">
        <f>IFERROR(__xludf.DUMMYFUNCTION("""COMPUTED_VALUE"""),18.0)</f>
        <v>18</v>
      </c>
    </row>
    <row r="5034">
      <c r="D5034" t="str">
        <f>IFERROR(__xludf.DUMMYFUNCTION("""COMPUTED_VALUE"""),"Carey")</f>
        <v>Carey</v>
      </c>
      <c r="E5034" t="str">
        <f>IFERROR(__xludf.DUMMYFUNCTION("""COMPUTED_VALUE"""),"Don")</f>
        <v>Don</v>
      </c>
      <c r="F5034">
        <f>IFERROR(__xludf.DUMMYFUNCTION("""COMPUTED_VALUE"""),17.75)</f>
        <v>17.75</v>
      </c>
    </row>
    <row r="5035">
      <c r="D5035" t="str">
        <f>IFERROR(__xludf.DUMMYFUNCTION("""COMPUTED_VALUE"""),"Carlson")</f>
        <v>Carlson</v>
      </c>
      <c r="E5035" t="str">
        <f>IFERROR(__xludf.DUMMYFUNCTION("""COMPUTED_VALUE"""),"Daniel")</f>
        <v>Daniel</v>
      </c>
      <c r="F5035">
        <f>IFERROR(__xludf.DUMMYFUNCTION("""COMPUTED_VALUE"""),19.75)</f>
        <v>19.75</v>
      </c>
    </row>
    <row r="5036">
      <c r="D5036" t="str">
        <f>IFERROR(__xludf.DUMMYFUNCTION("""COMPUTED_VALUE"""),"Carpenter")</f>
        <v>Carpenter</v>
      </c>
      <c r="E5036" t="str">
        <f>IFERROR(__xludf.DUMMYFUNCTION("""COMPUTED_VALUE"""),"James")</f>
        <v>James</v>
      </c>
      <c r="F5036">
        <f>IFERROR(__xludf.DUMMYFUNCTION("""COMPUTED_VALUE"""),18.25)</f>
        <v>18.25</v>
      </c>
    </row>
    <row r="5037">
      <c r="D5037" t="str">
        <f>IFERROR(__xludf.DUMMYFUNCTION("""COMPUTED_VALUE"""),"Carr")</f>
        <v>Carr</v>
      </c>
      <c r="E5037" t="str">
        <f>IFERROR(__xludf.DUMMYFUNCTION("""COMPUTED_VALUE"""),"Austin")</f>
        <v>Austin</v>
      </c>
      <c r="F5037">
        <f>IFERROR(__xludf.DUMMYFUNCTION("""COMPUTED_VALUE"""),17.0)</f>
        <v>17</v>
      </c>
    </row>
    <row r="5038">
      <c r="D5038" t="str">
        <f>IFERROR(__xludf.DUMMYFUNCTION("""COMPUTED_VALUE"""),"Carr")</f>
        <v>Carr</v>
      </c>
      <c r="E5038" t="str">
        <f>IFERROR(__xludf.DUMMYFUNCTION("""COMPUTED_VALUE"""),"Brandon")</f>
        <v>Brandon</v>
      </c>
      <c r="F5038">
        <f>IFERROR(__xludf.DUMMYFUNCTION("""COMPUTED_VALUE"""),19.5)</f>
        <v>19.5</v>
      </c>
    </row>
    <row r="5039">
      <c r="D5039" t="str">
        <f>IFERROR(__xludf.DUMMYFUNCTION("""COMPUTED_VALUE"""),"Carr")</f>
        <v>Carr</v>
      </c>
      <c r="E5039" t="str">
        <f>IFERROR(__xludf.DUMMYFUNCTION("""COMPUTED_VALUE"""),"Derek")</f>
        <v>Derek</v>
      </c>
      <c r="F5039">
        <f>IFERROR(__xludf.DUMMYFUNCTION("""COMPUTED_VALUE"""),20.5)</f>
        <v>20.5</v>
      </c>
    </row>
    <row r="5040">
      <c r="D5040" t="str">
        <f>IFERROR(__xludf.DUMMYFUNCTION("""COMPUTED_VALUE"""),"Carradine")</f>
        <v>Carradine</v>
      </c>
      <c r="E5040" t="str">
        <f>IFERROR(__xludf.DUMMYFUNCTION("""COMPUTED_VALUE"""),"Tank")</f>
        <v>Tank</v>
      </c>
      <c r="F5040">
        <f>IFERROR(__xludf.DUMMYFUNCTION("""COMPUTED_VALUE"""),19.0)</f>
        <v>19</v>
      </c>
    </row>
    <row r="5041">
      <c r="D5041" t="str">
        <f>IFERROR(__xludf.DUMMYFUNCTION("""COMPUTED_VALUE"""),"Carraway")</f>
        <v>Carraway</v>
      </c>
      <c r="E5041" t="str">
        <f>IFERROR(__xludf.DUMMYFUNCTION("""COMPUTED_VALUE"""),"Josh")</f>
        <v>Josh</v>
      </c>
      <c r="F5041">
        <f>IFERROR(__xludf.DUMMYFUNCTION("""COMPUTED_VALUE"""),15.75)</f>
        <v>15.75</v>
      </c>
    </row>
    <row r="5042">
      <c r="D5042" t="str">
        <f>IFERROR(__xludf.DUMMYFUNCTION("""COMPUTED_VALUE"""),"Carrie")</f>
        <v>Carrie</v>
      </c>
      <c r="E5042" t="str">
        <f>IFERROR(__xludf.DUMMYFUNCTION("""COMPUTED_VALUE"""),"TJ")</f>
        <v>TJ</v>
      </c>
      <c r="F5042">
        <f>IFERROR(__xludf.DUMMYFUNCTION("""COMPUTED_VALUE"""),19.5)</f>
        <v>19.5</v>
      </c>
    </row>
    <row r="5043">
      <c r="D5043" t="str">
        <f>IFERROR(__xludf.DUMMYFUNCTION("""COMPUTED_VALUE"""),"Carrier")</f>
        <v>Carrier</v>
      </c>
      <c r="E5043" t="str">
        <f>IFERROR(__xludf.DUMMYFUNCTION("""COMPUTED_VALUE"""),"Derek")</f>
        <v>Derek</v>
      </c>
      <c r="F5043">
        <f>IFERROR(__xludf.DUMMYFUNCTION("""COMPUTED_VALUE"""),17.25)</f>
        <v>17.25</v>
      </c>
    </row>
    <row r="5044">
      <c r="D5044" t="str">
        <f>IFERROR(__xludf.DUMMYFUNCTION("""COMPUTED_VALUE"""),"Carroo")</f>
        <v>Carroo</v>
      </c>
      <c r="E5044" t="str">
        <f>IFERROR(__xludf.DUMMYFUNCTION("""COMPUTED_VALUE"""),"Leonte")</f>
        <v>Leonte</v>
      </c>
      <c r="F5044">
        <f>IFERROR(__xludf.DUMMYFUNCTION("""COMPUTED_VALUE"""),17.75)</f>
        <v>17.75</v>
      </c>
    </row>
    <row r="5045">
      <c r="D5045" t="str">
        <f>IFERROR(__xludf.DUMMYFUNCTION("""COMPUTED_VALUE"""),"Carson")</f>
        <v>Carson</v>
      </c>
      <c r="E5045" t="str">
        <f>IFERROR(__xludf.DUMMYFUNCTION("""COMPUTED_VALUE"""),"Chris")</f>
        <v>Chris</v>
      </c>
      <c r="F5045">
        <f>IFERROR(__xludf.DUMMYFUNCTION("""COMPUTED_VALUE"""),19.25)</f>
        <v>19.25</v>
      </c>
    </row>
    <row r="5046">
      <c r="D5046" t="str">
        <f>IFERROR(__xludf.DUMMYFUNCTION("""COMPUTED_VALUE"""),"Carson")</f>
        <v>Carson</v>
      </c>
      <c r="E5046" t="str">
        <f>IFERROR(__xludf.DUMMYFUNCTION("""COMPUTED_VALUE"""),"Tra")</f>
        <v>Tra</v>
      </c>
      <c r="F5046">
        <f>IFERROR(__xludf.DUMMYFUNCTION("""COMPUTED_VALUE"""),15.5)</f>
        <v>15.5</v>
      </c>
    </row>
    <row r="5047">
      <c r="D5047" t="str">
        <f>IFERROR(__xludf.DUMMYFUNCTION("""COMPUTED_VALUE"""),"Carter")</f>
        <v>Carter</v>
      </c>
      <c r="E5047" t="str">
        <f>IFERROR(__xludf.DUMMYFUNCTION("""COMPUTED_VALUE"""),"Alex")</f>
        <v>Alex</v>
      </c>
      <c r="F5047">
        <f>IFERROR(__xludf.DUMMYFUNCTION("""COMPUTED_VALUE"""),17.25)</f>
        <v>17.25</v>
      </c>
    </row>
    <row r="5048">
      <c r="D5048" t="str">
        <f>IFERROR(__xludf.DUMMYFUNCTION("""COMPUTED_VALUE"""),"Carter")</f>
        <v>Carter</v>
      </c>
      <c r="E5048" t="str">
        <f>IFERROR(__xludf.DUMMYFUNCTION("""COMPUTED_VALUE"""),"Jamal")</f>
        <v>Jamal</v>
      </c>
      <c r="F5048">
        <f>IFERROR(__xludf.DUMMYFUNCTION("""COMPUTED_VALUE"""),16.5)</f>
        <v>16.5</v>
      </c>
    </row>
    <row r="5049">
      <c r="D5049" t="str">
        <f>IFERROR(__xludf.DUMMYFUNCTION("""COMPUTED_VALUE"""),"Carter")</f>
        <v>Carter</v>
      </c>
      <c r="E5049" t="str">
        <f>IFERROR(__xludf.DUMMYFUNCTION("""COMPUTED_VALUE"""),"Lorenzo")</f>
        <v>Lorenzo</v>
      </c>
      <c r="F5049">
        <f>IFERROR(__xludf.DUMMYFUNCTION("""COMPUTED_VALUE"""),18.25)</f>
        <v>18.25</v>
      </c>
    </row>
    <row r="5050">
      <c r="D5050" t="str">
        <f>IFERROR(__xludf.DUMMYFUNCTION("""COMPUTED_VALUE"""),"Carter Jr")</f>
        <v>Carter Jr</v>
      </c>
      <c r="E5050" t="str">
        <f>IFERROR(__xludf.DUMMYFUNCTION("""COMPUTED_VALUE"""),"Jermaine")</f>
        <v>Jermaine</v>
      </c>
      <c r="F5050">
        <f>IFERROR(__xludf.DUMMYFUNCTION("""COMPUTED_VALUE"""),17.25)</f>
        <v>17.25</v>
      </c>
    </row>
    <row r="5051">
      <c r="D5051" t="str">
        <f>IFERROR(__xludf.DUMMYFUNCTION("""COMPUTED_VALUE"""),"Casey")</f>
        <v>Casey</v>
      </c>
      <c r="E5051" t="str">
        <f>IFERROR(__xludf.DUMMYFUNCTION("""COMPUTED_VALUE"""),"Jurrell")</f>
        <v>Jurrell</v>
      </c>
      <c r="F5051">
        <f>IFERROR(__xludf.DUMMYFUNCTION("""COMPUTED_VALUE"""),21.25)</f>
        <v>21.25</v>
      </c>
    </row>
    <row r="5052">
      <c r="D5052" t="str">
        <f>IFERROR(__xludf.DUMMYFUNCTION("""COMPUTED_VALUE"""),"Cassel")</f>
        <v>Cassel</v>
      </c>
      <c r="E5052" t="str">
        <f>IFERROR(__xludf.DUMMYFUNCTION("""COMPUTED_VALUE"""),"Matt")</f>
        <v>Matt</v>
      </c>
      <c r="F5052">
        <f>IFERROR(__xludf.DUMMYFUNCTION("""COMPUTED_VALUE"""),16.5)</f>
        <v>16.5</v>
      </c>
    </row>
    <row r="5053">
      <c r="D5053" t="str">
        <f>IFERROR(__xludf.DUMMYFUNCTION("""COMPUTED_VALUE"""),"Castonzo")</f>
        <v>Castonzo</v>
      </c>
      <c r="E5053" t="str">
        <f>IFERROR(__xludf.DUMMYFUNCTION("""COMPUTED_VALUE"""),"Anthony")</f>
        <v>Anthony</v>
      </c>
      <c r="F5053">
        <f>IFERROR(__xludf.DUMMYFUNCTION("""COMPUTED_VALUE"""),20.25)</f>
        <v>20.25</v>
      </c>
    </row>
    <row r="5054">
      <c r="D5054" t="str">
        <f>IFERROR(__xludf.DUMMYFUNCTION("""COMPUTED_VALUE"""),"Catalina")</f>
        <v>Catalina</v>
      </c>
      <c r="E5054" t="str">
        <f>IFERROR(__xludf.DUMMYFUNCTION("""COMPUTED_VALUE"""),"Tyler")</f>
        <v>Tyler</v>
      </c>
      <c r="F5054">
        <f>IFERROR(__xludf.DUMMYFUNCTION("""COMPUTED_VALUE"""),15.75)</f>
        <v>15.75</v>
      </c>
    </row>
    <row r="5055">
      <c r="D5055" t="str">
        <f>IFERROR(__xludf.DUMMYFUNCTION("""COMPUTED_VALUE"""),"Catanzaro")</f>
        <v>Catanzaro</v>
      </c>
      <c r="E5055" t="str">
        <f>IFERROR(__xludf.DUMMYFUNCTION("""COMPUTED_VALUE"""),"Chandler")</f>
        <v>Chandler</v>
      </c>
      <c r="F5055">
        <f>IFERROR(__xludf.DUMMYFUNCTION("""COMPUTED_VALUE"""),19.5)</f>
        <v>19.5</v>
      </c>
    </row>
    <row r="5056">
      <c r="D5056" t="str">
        <f>IFERROR(__xludf.DUMMYFUNCTION("""COMPUTED_VALUE"""),"Celek")</f>
        <v>Celek</v>
      </c>
      <c r="E5056" t="str">
        <f>IFERROR(__xludf.DUMMYFUNCTION("""COMPUTED_VALUE"""),"Brent")</f>
        <v>Brent</v>
      </c>
      <c r="F5056">
        <f>IFERROR(__xludf.DUMMYFUNCTION("""COMPUTED_VALUE"""),15.0)</f>
        <v>15</v>
      </c>
    </row>
    <row r="5057">
      <c r="D5057" t="str">
        <f>IFERROR(__xludf.DUMMYFUNCTION("""COMPUTED_VALUE"""),"Celek")</f>
        <v>Celek</v>
      </c>
      <c r="E5057" t="str">
        <f>IFERROR(__xludf.DUMMYFUNCTION("""COMPUTED_VALUE"""),"Garrett")</f>
        <v>Garrett</v>
      </c>
      <c r="F5057">
        <f>IFERROR(__xludf.DUMMYFUNCTION("""COMPUTED_VALUE"""),18.75)</f>
        <v>18.75</v>
      </c>
    </row>
    <row r="5058">
      <c r="D5058" t="str">
        <f>IFERROR(__xludf.DUMMYFUNCTION("""COMPUTED_VALUE"""),"Chancellor")</f>
        <v>Chancellor</v>
      </c>
      <c r="E5058" t="str">
        <f>IFERROR(__xludf.DUMMYFUNCTION("""COMPUTED_VALUE"""),"Kam")</f>
        <v>Kam</v>
      </c>
      <c r="F5058">
        <f>IFERROR(__xludf.DUMMYFUNCTION("""COMPUTED_VALUE"""),21.25)</f>
        <v>21.25</v>
      </c>
    </row>
    <row r="5059">
      <c r="D5059" t="str">
        <f>IFERROR(__xludf.DUMMYFUNCTION("""COMPUTED_VALUE"""),"Chark")</f>
        <v>Chark</v>
      </c>
      <c r="E5059" t="str">
        <f>IFERROR(__xludf.DUMMYFUNCTION("""COMPUTED_VALUE"""),"DJ")</f>
        <v>DJ</v>
      </c>
      <c r="F5059">
        <f>IFERROR(__xludf.DUMMYFUNCTION("""COMPUTED_VALUE"""),18.5)</f>
        <v>18.5</v>
      </c>
    </row>
    <row r="5060">
      <c r="D5060" t="str">
        <f>IFERROR(__xludf.DUMMYFUNCTION("""COMPUTED_VALUE"""),"Charles")</f>
        <v>Charles</v>
      </c>
      <c r="E5060" t="str">
        <f>IFERROR(__xludf.DUMMYFUNCTION("""COMPUTED_VALUE"""),"Jamaal")</f>
        <v>Jamaal</v>
      </c>
      <c r="F5060">
        <f>IFERROR(__xludf.DUMMYFUNCTION("""COMPUTED_VALUE"""),15.25)</f>
        <v>15.25</v>
      </c>
    </row>
    <row r="5061">
      <c r="D5061" t="str">
        <f>IFERROR(__xludf.DUMMYFUNCTION("""COMPUTED_VALUE"""),"Charles")</f>
        <v>Charles</v>
      </c>
      <c r="E5061" t="str">
        <f>IFERROR(__xludf.DUMMYFUNCTION("""COMPUTED_VALUE"""),"Stefan")</f>
        <v>Stefan</v>
      </c>
      <c r="F5061">
        <f>IFERROR(__xludf.DUMMYFUNCTION("""COMPUTED_VALUE"""),17.0)</f>
        <v>17</v>
      </c>
    </row>
    <row r="5062">
      <c r="D5062" t="str">
        <f>IFERROR(__xludf.DUMMYFUNCTION("""COMPUTED_VALUE"""),"Charlton")</f>
        <v>Charlton</v>
      </c>
      <c r="E5062" t="str">
        <f>IFERROR(__xludf.DUMMYFUNCTION("""COMPUTED_VALUE"""),"Taco")</f>
        <v>Taco</v>
      </c>
      <c r="F5062">
        <f>IFERROR(__xludf.DUMMYFUNCTION("""COMPUTED_VALUE"""),18.0)</f>
        <v>18</v>
      </c>
    </row>
    <row r="5063">
      <c r="D5063" t="str">
        <f>IFERROR(__xludf.DUMMYFUNCTION("""COMPUTED_VALUE"""),"Cheek")</f>
        <v>Cheek</v>
      </c>
      <c r="E5063" t="str">
        <f>IFERROR(__xludf.DUMMYFUNCTION("""COMPUTED_VALUE"""),"Joseph")</f>
        <v>Joseph</v>
      </c>
      <c r="F5063">
        <f>IFERROR(__xludf.DUMMYFUNCTION("""COMPUTED_VALUE"""),15.5)</f>
        <v>15.5</v>
      </c>
    </row>
    <row r="5064">
      <c r="D5064" t="str">
        <f>IFERROR(__xludf.DUMMYFUNCTION("""COMPUTED_VALUE"""),"Chesson")</f>
        <v>Chesson</v>
      </c>
      <c r="E5064" t="str">
        <f>IFERROR(__xludf.DUMMYFUNCTION("""COMPUTED_VALUE"""),"Jehu")</f>
        <v>Jehu</v>
      </c>
      <c r="F5064">
        <f>IFERROR(__xludf.DUMMYFUNCTION("""COMPUTED_VALUE"""),17.25)</f>
        <v>17.25</v>
      </c>
    </row>
    <row r="5065">
      <c r="D5065" t="str">
        <f>IFERROR(__xludf.DUMMYFUNCTION("""COMPUTED_VALUE"""),"Chickillo")</f>
        <v>Chickillo</v>
      </c>
      <c r="E5065" t="str">
        <f>IFERROR(__xludf.DUMMYFUNCTION("""COMPUTED_VALUE"""),"Anthony")</f>
        <v>Anthony</v>
      </c>
      <c r="F5065">
        <f>IFERROR(__xludf.DUMMYFUNCTION("""COMPUTED_VALUE"""),16.5)</f>
        <v>16.5</v>
      </c>
    </row>
    <row r="5066">
      <c r="D5066" t="str">
        <f>IFERROR(__xludf.DUMMYFUNCTION("""COMPUTED_VALUE"""),"Christian")</f>
        <v>Christian</v>
      </c>
      <c r="E5066" t="str">
        <f>IFERROR(__xludf.DUMMYFUNCTION("""COMPUTED_VALUE"""),"Geron")</f>
        <v>Geron</v>
      </c>
      <c r="F5066">
        <f>IFERROR(__xludf.DUMMYFUNCTION("""COMPUTED_VALUE"""),17.75)</f>
        <v>17.75</v>
      </c>
    </row>
    <row r="5067">
      <c r="D5067" t="str">
        <f>IFERROR(__xludf.DUMMYFUNCTION("""COMPUTED_VALUE"""),"Christian")</f>
        <v>Christian</v>
      </c>
      <c r="E5067" t="str">
        <f>IFERROR(__xludf.DUMMYFUNCTION("""COMPUTED_VALUE"""),"Marqui")</f>
        <v>Marqui</v>
      </c>
      <c r="F5067">
        <f>IFERROR(__xludf.DUMMYFUNCTION("""COMPUTED_VALUE"""),16.25)</f>
        <v>16.25</v>
      </c>
    </row>
    <row r="5068">
      <c r="D5068" t="str">
        <f>IFERROR(__xludf.DUMMYFUNCTION("""COMPUTED_VALUE"""),"Chubb")</f>
        <v>Chubb</v>
      </c>
      <c r="E5068" t="str">
        <f>IFERROR(__xludf.DUMMYFUNCTION("""COMPUTED_VALUE"""),"Bradley")</f>
        <v>Bradley</v>
      </c>
      <c r="F5068">
        <f>IFERROR(__xludf.DUMMYFUNCTION("""COMPUTED_VALUE"""),19.75)</f>
        <v>19.75</v>
      </c>
    </row>
    <row r="5069">
      <c r="D5069" t="str">
        <f>IFERROR(__xludf.DUMMYFUNCTION("""COMPUTED_VALUE"""),"Chubb")</f>
        <v>Chubb</v>
      </c>
      <c r="E5069" t="str">
        <f>IFERROR(__xludf.DUMMYFUNCTION("""COMPUTED_VALUE"""),"Nick")</f>
        <v>Nick</v>
      </c>
      <c r="F5069">
        <f>IFERROR(__xludf.DUMMYFUNCTION("""COMPUTED_VALUE"""),19.0)</f>
        <v>19</v>
      </c>
    </row>
    <row r="5070">
      <c r="D5070" t="str">
        <f>IFERROR(__xludf.DUMMYFUNCTION("""COMPUTED_VALUE"""),"Chung")</f>
        <v>Chung</v>
      </c>
      <c r="E5070" t="str">
        <f>IFERROR(__xludf.DUMMYFUNCTION("""COMPUTED_VALUE"""),"Patrick")</f>
        <v>Patrick</v>
      </c>
      <c r="F5070">
        <f>IFERROR(__xludf.DUMMYFUNCTION("""COMPUTED_VALUE"""),19.75)</f>
        <v>19.75</v>
      </c>
    </row>
    <row r="5071">
      <c r="D5071" t="str">
        <f>IFERROR(__xludf.DUMMYFUNCTION("""COMPUTED_VALUE"""),"Chung")</f>
        <v>Chung</v>
      </c>
      <c r="E5071" t="str">
        <f>IFERROR(__xludf.DUMMYFUNCTION("""COMPUTED_VALUE"""),"Patrick")</f>
        <v>Patrick</v>
      </c>
      <c r="F5071">
        <f>IFERROR(__xludf.DUMMYFUNCTION("""COMPUTED_VALUE"""),21.25)</f>
        <v>21.25</v>
      </c>
    </row>
    <row r="5072">
      <c r="D5072" t="str">
        <f>IFERROR(__xludf.DUMMYFUNCTION("""COMPUTED_VALUE"""),"Church")</f>
        <v>Church</v>
      </c>
      <c r="E5072" t="str">
        <f>IFERROR(__xludf.DUMMYFUNCTION("""COMPUTED_VALUE"""),"Barry")</f>
        <v>Barry</v>
      </c>
      <c r="F5072">
        <f>IFERROR(__xludf.DUMMYFUNCTION("""COMPUTED_VALUE"""),19.75)</f>
        <v>19.75</v>
      </c>
    </row>
    <row r="5073">
      <c r="D5073" t="str">
        <f>IFERROR(__xludf.DUMMYFUNCTION("""COMPUTED_VALUE"""),"Cichy")</f>
        <v>Cichy</v>
      </c>
      <c r="E5073" t="str">
        <f>IFERROR(__xludf.DUMMYFUNCTION("""COMPUTED_VALUE"""),"Jack")</f>
        <v>Jack</v>
      </c>
      <c r="F5073">
        <f>IFERROR(__xludf.DUMMYFUNCTION("""COMPUTED_VALUE"""),17.5)</f>
        <v>17.5</v>
      </c>
    </row>
    <row r="5074">
      <c r="D5074" t="str">
        <f>IFERROR(__xludf.DUMMYFUNCTION("""COMPUTED_VALUE"""),"Claiborne")</f>
        <v>Claiborne</v>
      </c>
      <c r="E5074" t="str">
        <f>IFERROR(__xludf.DUMMYFUNCTION("""COMPUTED_VALUE"""),"Morris")</f>
        <v>Morris</v>
      </c>
      <c r="F5074">
        <f>IFERROR(__xludf.DUMMYFUNCTION("""COMPUTED_VALUE"""),19.25)</f>
        <v>19.25</v>
      </c>
    </row>
    <row r="5075">
      <c r="D5075" t="str">
        <f>IFERROR(__xludf.DUMMYFUNCTION("""COMPUTED_VALUE"""),"Clapp")</f>
        <v>Clapp</v>
      </c>
      <c r="E5075" t="str">
        <f>IFERROR(__xludf.DUMMYFUNCTION("""COMPUTED_VALUE"""),"Will")</f>
        <v>Will</v>
      </c>
      <c r="F5075">
        <f>IFERROR(__xludf.DUMMYFUNCTION("""COMPUTED_VALUE"""),16.5)</f>
        <v>16.5</v>
      </c>
    </row>
    <row r="5076">
      <c r="D5076" t="str">
        <f>IFERROR(__xludf.DUMMYFUNCTION("""COMPUTED_VALUE"""),"Clark")</f>
        <v>Clark</v>
      </c>
      <c r="E5076" t="str">
        <f>IFERROR(__xludf.DUMMYFUNCTION("""COMPUTED_VALUE"""),"Chuck")</f>
        <v>Chuck</v>
      </c>
      <c r="F5076">
        <f>IFERROR(__xludf.DUMMYFUNCTION("""COMPUTED_VALUE"""),16.75)</f>
        <v>16.75</v>
      </c>
    </row>
    <row r="5077">
      <c r="D5077" t="str">
        <f>IFERROR(__xludf.DUMMYFUNCTION("""COMPUTED_VALUE"""),"Clark")</f>
        <v>Clark</v>
      </c>
      <c r="E5077" t="str">
        <f>IFERROR(__xludf.DUMMYFUNCTION("""COMPUTED_VALUE"""),"Donavon")</f>
        <v>Donavon</v>
      </c>
      <c r="F5077">
        <f>IFERROR(__xludf.DUMMYFUNCTION("""COMPUTED_VALUE"""),16.0)</f>
        <v>16</v>
      </c>
    </row>
    <row r="5078">
      <c r="D5078" t="str">
        <f>IFERROR(__xludf.DUMMYFUNCTION("""COMPUTED_VALUE"""),"Clark")</f>
        <v>Clark</v>
      </c>
      <c r="E5078" t="str">
        <f>IFERROR(__xludf.DUMMYFUNCTION("""COMPUTED_VALUE"""),"Frank")</f>
        <v>Frank</v>
      </c>
      <c r="F5078">
        <f>IFERROR(__xludf.DUMMYFUNCTION("""COMPUTED_VALUE"""),19.75)</f>
        <v>19.75</v>
      </c>
    </row>
    <row r="5079">
      <c r="D5079" t="str">
        <f>IFERROR(__xludf.DUMMYFUNCTION("""COMPUTED_VALUE"""),"Clark")</f>
        <v>Clark</v>
      </c>
      <c r="E5079" t="str">
        <f>IFERROR(__xludf.DUMMYFUNCTION("""COMPUTED_VALUE"""),"Jeremy")</f>
        <v>Jeremy</v>
      </c>
      <c r="F5079">
        <f>IFERROR(__xludf.DUMMYFUNCTION("""COMPUTED_VALUE"""),16.5)</f>
        <v>16.5</v>
      </c>
    </row>
    <row r="5080">
      <c r="D5080" t="str">
        <f>IFERROR(__xludf.DUMMYFUNCTION("""COMPUTED_VALUE"""),"Clark")</f>
        <v>Clark</v>
      </c>
      <c r="E5080" t="str">
        <f>IFERROR(__xludf.DUMMYFUNCTION("""COMPUTED_VALUE"""),"Kenny")</f>
        <v>Kenny</v>
      </c>
      <c r="F5080">
        <f>IFERROR(__xludf.DUMMYFUNCTION("""COMPUTED_VALUE"""),21.0)</f>
        <v>21</v>
      </c>
    </row>
    <row r="5081">
      <c r="D5081" t="str">
        <f>IFERROR(__xludf.DUMMYFUNCTION("""COMPUTED_VALUE"""),"Clark")</f>
        <v>Clark</v>
      </c>
      <c r="E5081" t="str">
        <f>IFERROR(__xludf.DUMMYFUNCTION("""COMPUTED_VALUE"""),"LeRaven")</f>
        <v>LeRaven</v>
      </c>
      <c r="F5081">
        <f>IFERROR(__xludf.DUMMYFUNCTION("""COMPUTED_VALUE"""),16.0)</f>
        <v>16</v>
      </c>
    </row>
    <row r="5082">
      <c r="D5082" t="str">
        <f>IFERROR(__xludf.DUMMYFUNCTION("""COMPUTED_VALUE"""),"Clark")</f>
        <v>Clark</v>
      </c>
      <c r="E5082" t="str">
        <f>IFERROR(__xludf.DUMMYFUNCTION("""COMPUTED_VALUE"""),"Michael")</f>
        <v>Michael</v>
      </c>
      <c r="F5082">
        <f>IFERROR(__xludf.DUMMYFUNCTION("""COMPUTED_VALUE"""),15.5)</f>
        <v>15.5</v>
      </c>
    </row>
    <row r="5083">
      <c r="D5083" t="str">
        <f>IFERROR(__xludf.DUMMYFUNCTION("""COMPUTED_VALUE"""),"Clarke Jr.")</f>
        <v>Clarke Jr.</v>
      </c>
      <c r="E5083" t="str">
        <f>IFERROR(__xludf.DUMMYFUNCTION("""COMPUTED_VALUE"""),"Will")</f>
        <v>Will</v>
      </c>
      <c r="F5083">
        <f>IFERROR(__xludf.DUMMYFUNCTION("""COMPUTED_VALUE"""),16.25)</f>
        <v>16.25</v>
      </c>
    </row>
    <row r="5084">
      <c r="D5084" t="str">
        <f>IFERROR(__xludf.DUMMYFUNCTION("""COMPUTED_VALUE"""),"Clausell")</f>
        <v>Clausell</v>
      </c>
      <c r="E5084" t="str">
        <f>IFERROR(__xludf.DUMMYFUNCTION("""COMPUTED_VALUE"""),"Blaine")</f>
        <v>Blaine</v>
      </c>
      <c r="F5084">
        <f>IFERROR(__xludf.DUMMYFUNCTION("""COMPUTED_VALUE"""),16.75)</f>
        <v>16.75</v>
      </c>
    </row>
    <row r="5085">
      <c r="D5085" t="str">
        <f>IFERROR(__xludf.DUMMYFUNCTION("""COMPUTED_VALUE"""),"Clay")</f>
        <v>Clay</v>
      </c>
      <c r="E5085" t="str">
        <f>IFERROR(__xludf.DUMMYFUNCTION("""COMPUTED_VALUE"""),"Charles")</f>
        <v>Charles</v>
      </c>
      <c r="F5085">
        <f>IFERROR(__xludf.DUMMYFUNCTION("""COMPUTED_VALUE"""),20.5)</f>
        <v>20.5</v>
      </c>
    </row>
    <row r="5086">
      <c r="D5086" t="str">
        <f>IFERROR(__xludf.DUMMYFUNCTION("""COMPUTED_VALUE"""),"Clay")</f>
        <v>Clay</v>
      </c>
      <c r="E5086" t="str">
        <f>IFERROR(__xludf.DUMMYFUNCTION("""COMPUTED_VALUE"""),"Kaelin")</f>
        <v>Kaelin</v>
      </c>
      <c r="F5086">
        <f>IFERROR(__xludf.DUMMYFUNCTION("""COMPUTED_VALUE"""),16.0)</f>
        <v>16</v>
      </c>
    </row>
    <row r="5087">
      <c r="D5087" t="str">
        <f>IFERROR(__xludf.DUMMYFUNCTION("""COMPUTED_VALUE"""),"Clayborn")</f>
        <v>Clayborn</v>
      </c>
      <c r="E5087" t="str">
        <f>IFERROR(__xludf.DUMMYFUNCTION("""COMPUTED_VALUE"""),"Adrian")</f>
        <v>Adrian</v>
      </c>
      <c r="F5087">
        <f>IFERROR(__xludf.DUMMYFUNCTION("""COMPUTED_VALUE"""),19.5)</f>
        <v>19.5</v>
      </c>
    </row>
    <row r="5088">
      <c r="D5088" t="str">
        <f>IFERROR(__xludf.DUMMYFUNCTION("""COMPUTED_VALUE"""),"Clement")</f>
        <v>Clement</v>
      </c>
      <c r="E5088" t="str">
        <f>IFERROR(__xludf.DUMMYFUNCTION("""COMPUTED_VALUE"""),"Corey")</f>
        <v>Corey</v>
      </c>
      <c r="F5088">
        <f>IFERROR(__xludf.DUMMYFUNCTION("""COMPUTED_VALUE"""),19.5)</f>
        <v>19.5</v>
      </c>
    </row>
    <row r="5089">
      <c r="D5089" t="str">
        <f>IFERROR(__xludf.DUMMYFUNCTION("""COMPUTED_VALUE"""),"Clemmings")</f>
        <v>Clemmings</v>
      </c>
      <c r="E5089" t="str">
        <f>IFERROR(__xludf.DUMMYFUNCTION("""COMPUTED_VALUE"""),"TJ")</f>
        <v>TJ</v>
      </c>
      <c r="F5089">
        <f>IFERROR(__xludf.DUMMYFUNCTION("""COMPUTED_VALUE"""),18.0)</f>
        <v>18</v>
      </c>
    </row>
    <row r="5090">
      <c r="D5090" t="str">
        <f>IFERROR(__xludf.DUMMYFUNCTION("""COMPUTED_VALUE"""),"Clinton-Dix")</f>
        <v>Clinton-Dix</v>
      </c>
      <c r="E5090" t="str">
        <f>IFERROR(__xludf.DUMMYFUNCTION("""COMPUTED_VALUE"""),"Ha Ha")</f>
        <v>Ha Ha</v>
      </c>
      <c r="F5090">
        <f>IFERROR(__xludf.DUMMYFUNCTION("""COMPUTED_VALUE"""),20.5)</f>
        <v>20.5</v>
      </c>
    </row>
    <row r="5091">
      <c r="D5091" t="str">
        <f>IFERROR(__xludf.DUMMYFUNCTION("""COMPUTED_VALUE"""),"Clowney")</f>
        <v>Clowney</v>
      </c>
      <c r="E5091" t="str">
        <f>IFERROR(__xludf.DUMMYFUNCTION("""COMPUTED_VALUE"""),"Jadeveon")</f>
        <v>Jadeveon</v>
      </c>
      <c r="F5091">
        <f>IFERROR(__xludf.DUMMYFUNCTION("""COMPUTED_VALUE"""),21.75)</f>
        <v>21.75</v>
      </c>
    </row>
    <row r="5092">
      <c r="D5092" t="str">
        <f>IFERROR(__xludf.DUMMYFUNCTION("""COMPUTED_VALUE"""),"Clowney")</f>
        <v>Clowney</v>
      </c>
      <c r="E5092" t="str">
        <f>IFERROR(__xludf.DUMMYFUNCTION("""COMPUTED_VALUE"""),"Jadeveon")</f>
        <v>Jadeveon</v>
      </c>
      <c r="F5092">
        <f>IFERROR(__xludf.DUMMYFUNCTION("""COMPUTED_VALUE"""),22.75)</f>
        <v>22.75</v>
      </c>
    </row>
    <row r="5093">
      <c r="D5093" t="str">
        <f>IFERROR(__xludf.DUMMYFUNCTION("""COMPUTED_VALUE"""),"Coates")</f>
        <v>Coates</v>
      </c>
      <c r="E5093" t="str">
        <f>IFERROR(__xludf.DUMMYFUNCTION("""COMPUTED_VALUE"""),"Sammie")</f>
        <v>Sammie</v>
      </c>
      <c r="F5093">
        <f>IFERROR(__xludf.DUMMYFUNCTION("""COMPUTED_VALUE"""),17.5)</f>
        <v>17.5</v>
      </c>
    </row>
    <row r="5094">
      <c r="D5094" t="str">
        <f>IFERROR(__xludf.DUMMYFUNCTION("""COMPUTED_VALUE"""),"Cobb")</f>
        <v>Cobb</v>
      </c>
      <c r="E5094" t="str">
        <f>IFERROR(__xludf.DUMMYFUNCTION("""COMPUTED_VALUE"""),"Randall")</f>
        <v>Randall</v>
      </c>
      <c r="F5094">
        <f>IFERROR(__xludf.DUMMYFUNCTION("""COMPUTED_VALUE"""),20.25)</f>
        <v>20.25</v>
      </c>
    </row>
    <row r="5095">
      <c r="D5095" t="str">
        <f>IFERROR(__xludf.DUMMYFUNCTION("""COMPUTED_VALUE"""),"Cockrell")</f>
        <v>Cockrell</v>
      </c>
      <c r="E5095" t="str">
        <f>IFERROR(__xludf.DUMMYFUNCTION("""COMPUTED_VALUE"""),"Ross")</f>
        <v>Ross</v>
      </c>
      <c r="F5095">
        <f>IFERROR(__xludf.DUMMYFUNCTION("""COMPUTED_VALUE"""),18.75)</f>
        <v>18.75</v>
      </c>
    </row>
    <row r="5096">
      <c r="D5096" t="str">
        <f>IFERROR(__xludf.DUMMYFUNCTION("""COMPUTED_VALUE"""),"Cohen")</f>
        <v>Cohen</v>
      </c>
      <c r="E5096" t="str">
        <f>IFERROR(__xludf.DUMMYFUNCTION("""COMPUTED_VALUE"""),"Tarik")</f>
        <v>Tarik</v>
      </c>
      <c r="F5096">
        <f>IFERROR(__xludf.DUMMYFUNCTION("""COMPUTED_VALUE"""),19.75)</f>
        <v>19.75</v>
      </c>
    </row>
    <row r="5097">
      <c r="D5097" t="str">
        <f>IFERROR(__xludf.DUMMYFUNCTION("""COMPUTED_VALUE"""),"Colbert")</f>
        <v>Colbert</v>
      </c>
      <c r="E5097" t="str">
        <f>IFERROR(__xludf.DUMMYFUNCTION("""COMPUTED_VALUE"""),"Adrian")</f>
        <v>Adrian</v>
      </c>
      <c r="F5097">
        <f>IFERROR(__xludf.DUMMYFUNCTION("""COMPUTED_VALUE"""),19.0)</f>
        <v>19</v>
      </c>
    </row>
    <row r="5098">
      <c r="D5098" t="str">
        <f>IFERROR(__xludf.DUMMYFUNCTION("""COMPUTED_VALUE"""),"Cole")</f>
        <v>Cole</v>
      </c>
      <c r="E5098" t="str">
        <f>IFERROR(__xludf.DUMMYFUNCTION("""COMPUTED_VALUE"""),"Dylan")</f>
        <v>Dylan</v>
      </c>
      <c r="F5098">
        <f>IFERROR(__xludf.DUMMYFUNCTION("""COMPUTED_VALUE"""),19.5)</f>
        <v>19.5</v>
      </c>
    </row>
    <row r="5099">
      <c r="D5099" t="str">
        <f>IFERROR(__xludf.DUMMYFUNCTION("""COMPUTED_VALUE"""),"Cole")</f>
        <v>Cole</v>
      </c>
      <c r="E5099" t="str">
        <f>IFERROR(__xludf.DUMMYFUNCTION("""COMPUTED_VALUE"""),"Keelan")</f>
        <v>Keelan</v>
      </c>
      <c r="F5099">
        <f>IFERROR(__xludf.DUMMYFUNCTION("""COMPUTED_VALUE"""),18.75)</f>
        <v>18.75</v>
      </c>
    </row>
    <row r="5100">
      <c r="D5100" t="str">
        <f>IFERROR(__xludf.DUMMYFUNCTION("""COMPUTED_VALUE"""),"Cole")</f>
        <v>Cole</v>
      </c>
      <c r="E5100" t="str">
        <f>IFERROR(__xludf.DUMMYFUNCTION("""COMPUTED_VALUE"""),"Mason")</f>
        <v>Mason</v>
      </c>
      <c r="F5100">
        <f>IFERROR(__xludf.DUMMYFUNCTION("""COMPUTED_VALUE"""),18.0)</f>
        <v>18</v>
      </c>
    </row>
    <row r="5101">
      <c r="D5101" t="str">
        <f>IFERROR(__xludf.DUMMYFUNCTION("""COMPUTED_VALUE"""),"Coleman")</f>
        <v>Coleman</v>
      </c>
      <c r="E5101" t="str">
        <f>IFERROR(__xludf.DUMMYFUNCTION("""COMPUTED_VALUE"""),"Brandon")</f>
        <v>Brandon</v>
      </c>
      <c r="F5101">
        <f>IFERROR(__xludf.DUMMYFUNCTION("""COMPUTED_VALUE"""),19.0)</f>
        <v>19</v>
      </c>
    </row>
    <row r="5102">
      <c r="D5102" t="str">
        <f>IFERROR(__xludf.DUMMYFUNCTION("""COMPUTED_VALUE"""),"Coleman")</f>
        <v>Coleman</v>
      </c>
      <c r="E5102" t="str">
        <f>IFERROR(__xludf.DUMMYFUNCTION("""COMPUTED_VALUE"""),"Corey")</f>
        <v>Corey</v>
      </c>
      <c r="F5102">
        <f>IFERROR(__xludf.DUMMYFUNCTION("""COMPUTED_VALUE"""),19.0)</f>
        <v>19</v>
      </c>
    </row>
    <row r="5103">
      <c r="D5103" t="str">
        <f>IFERROR(__xludf.DUMMYFUNCTION("""COMPUTED_VALUE"""),"Coleman")</f>
        <v>Coleman</v>
      </c>
      <c r="E5103" t="str">
        <f>IFERROR(__xludf.DUMMYFUNCTION("""COMPUTED_VALUE"""),"Justin")</f>
        <v>Justin</v>
      </c>
      <c r="F5103">
        <f>IFERROR(__xludf.DUMMYFUNCTION("""COMPUTED_VALUE"""),18.75)</f>
        <v>18.75</v>
      </c>
    </row>
    <row r="5104">
      <c r="D5104" t="str">
        <f>IFERROR(__xludf.DUMMYFUNCTION("""COMPUTED_VALUE"""),"Coleman")</f>
        <v>Coleman</v>
      </c>
      <c r="E5104" t="str">
        <f>IFERROR(__xludf.DUMMYFUNCTION("""COMPUTED_VALUE"""),"Kurt")</f>
        <v>Kurt</v>
      </c>
      <c r="F5104">
        <f>IFERROR(__xludf.DUMMYFUNCTION("""COMPUTED_VALUE"""),18.25)</f>
        <v>18.25</v>
      </c>
    </row>
    <row r="5105">
      <c r="D5105" t="str">
        <f>IFERROR(__xludf.DUMMYFUNCTION("""COMPUTED_VALUE"""),"Coleman")</f>
        <v>Coleman</v>
      </c>
      <c r="E5105" t="str">
        <f>IFERROR(__xludf.DUMMYFUNCTION("""COMPUTED_VALUE"""),"Shon")</f>
        <v>Shon</v>
      </c>
      <c r="F5105">
        <f>IFERROR(__xludf.DUMMYFUNCTION("""COMPUTED_VALUE"""),17.75)</f>
        <v>17.75</v>
      </c>
    </row>
    <row r="5106">
      <c r="D5106" t="str">
        <f>IFERROR(__xludf.DUMMYFUNCTION("""COMPUTED_VALUE"""),"Coleman")</f>
        <v>Coleman</v>
      </c>
      <c r="E5106" t="str">
        <f>IFERROR(__xludf.DUMMYFUNCTION("""COMPUTED_VALUE"""),"Tevin")</f>
        <v>Tevin</v>
      </c>
      <c r="F5106">
        <f>IFERROR(__xludf.DUMMYFUNCTION("""COMPUTED_VALUE"""),20.5)</f>
        <v>20.5</v>
      </c>
    </row>
    <row r="5107">
      <c r="D5107" t="str">
        <f>IFERROR(__xludf.DUMMYFUNCTION("""COMPUTED_VALUE"""),"Coley")</f>
        <v>Coley</v>
      </c>
      <c r="E5107" t="str">
        <f>IFERROR(__xludf.DUMMYFUNCTION("""COMPUTED_VALUE"""),"Stacy")</f>
        <v>Stacy</v>
      </c>
      <c r="F5107">
        <f>IFERROR(__xludf.DUMMYFUNCTION("""COMPUTED_VALUE"""),17.25)</f>
        <v>17.25</v>
      </c>
    </row>
    <row r="5108">
      <c r="D5108" t="str">
        <f>IFERROR(__xludf.DUMMYFUNCTION("""COMPUTED_VALUE"""),"Coley")</f>
        <v>Coley</v>
      </c>
      <c r="E5108" t="str">
        <f>IFERROR(__xludf.DUMMYFUNCTION("""COMPUTED_VALUE"""),"Trevon")</f>
        <v>Trevon</v>
      </c>
      <c r="F5108">
        <f>IFERROR(__xludf.DUMMYFUNCTION("""COMPUTED_VALUE"""),18.0)</f>
        <v>18</v>
      </c>
    </row>
    <row r="5109">
      <c r="D5109" t="str">
        <f>IFERROR(__xludf.DUMMYFUNCTION("""COMPUTED_VALUE"""),"Collins")</f>
        <v>Collins</v>
      </c>
      <c r="E5109" t="str">
        <f>IFERROR(__xludf.DUMMYFUNCTION("""COMPUTED_VALUE"""),"Alex")</f>
        <v>Alex</v>
      </c>
      <c r="F5109">
        <f>IFERROR(__xludf.DUMMYFUNCTION("""COMPUTED_VALUE"""),19.75)</f>
        <v>19.75</v>
      </c>
    </row>
    <row r="5110">
      <c r="D5110" t="str">
        <f>IFERROR(__xludf.DUMMYFUNCTION("""COMPUTED_VALUE"""),"Collins")</f>
        <v>Collins</v>
      </c>
      <c r="E5110" t="str">
        <f>IFERROR(__xludf.DUMMYFUNCTION("""COMPUTED_VALUE"""),"Aviante")</f>
        <v>Aviante</v>
      </c>
      <c r="F5110">
        <f>IFERROR(__xludf.DUMMYFUNCTION("""COMPUTED_VALUE"""),18.5)</f>
        <v>18.5</v>
      </c>
    </row>
    <row r="5111">
      <c r="D5111" t="str">
        <f>IFERROR(__xludf.DUMMYFUNCTION("""COMPUTED_VALUE"""),"Collins")</f>
        <v>Collins</v>
      </c>
      <c r="E5111" t="str">
        <f>IFERROR(__xludf.DUMMYFUNCTION("""COMPUTED_VALUE"""),"Lael")</f>
        <v>Lael</v>
      </c>
      <c r="F5111">
        <f>IFERROR(__xludf.DUMMYFUNCTION("""COMPUTED_VALUE"""),19.0)</f>
        <v>19</v>
      </c>
    </row>
    <row r="5112">
      <c r="D5112" t="str">
        <f>IFERROR(__xludf.DUMMYFUNCTION("""COMPUTED_VALUE"""),"Collins")</f>
        <v>Collins</v>
      </c>
      <c r="E5112" t="str">
        <f>IFERROR(__xludf.DUMMYFUNCTION("""COMPUTED_VALUE"""),"Landon")</f>
        <v>Landon</v>
      </c>
      <c r="F5112">
        <f>IFERROR(__xludf.DUMMYFUNCTION("""COMPUTED_VALUE"""),21.75)</f>
        <v>21.75</v>
      </c>
    </row>
    <row r="5113">
      <c r="D5113" t="str">
        <f>IFERROR(__xludf.DUMMYFUNCTION("""COMPUTED_VALUE"""),"Collins")</f>
        <v>Collins</v>
      </c>
      <c r="E5113" t="str">
        <f>IFERROR(__xludf.DUMMYFUNCTION("""COMPUTED_VALUE"""),"Landon")</f>
        <v>Landon</v>
      </c>
      <c r="F5113">
        <f>IFERROR(__xludf.DUMMYFUNCTION("""COMPUTED_VALUE"""),20.5)</f>
        <v>20.5</v>
      </c>
    </row>
    <row r="5114">
      <c r="D5114" t="str">
        <f>IFERROR(__xludf.DUMMYFUNCTION("""COMPUTED_VALUE"""),"Collins")</f>
        <v>Collins</v>
      </c>
      <c r="E5114" t="str">
        <f>IFERROR(__xludf.DUMMYFUNCTION("""COMPUTED_VALUE"""),"Maliek")</f>
        <v>Maliek</v>
      </c>
      <c r="F5114">
        <f>IFERROR(__xludf.DUMMYFUNCTION("""COMPUTED_VALUE"""),17.5)</f>
        <v>17.5</v>
      </c>
    </row>
    <row r="5115">
      <c r="D5115" t="str">
        <f>IFERROR(__xludf.DUMMYFUNCTION("""COMPUTED_VALUE"""),"Collins Sr")</f>
        <v>Collins Sr</v>
      </c>
      <c r="E5115" t="str">
        <f>IFERROR(__xludf.DUMMYFUNCTION("""COMPUTED_VALUE"""),"Jamie")</f>
        <v>Jamie</v>
      </c>
      <c r="F5115">
        <f>IFERROR(__xludf.DUMMYFUNCTION("""COMPUTED_VALUE"""),20.25)</f>
        <v>20.25</v>
      </c>
    </row>
    <row r="5116">
      <c r="D5116" t="str">
        <f>IFERROR(__xludf.DUMMYFUNCTION("""COMPUTED_VALUE"""),"Colquitt")</f>
        <v>Colquitt</v>
      </c>
      <c r="E5116" t="str">
        <f>IFERROR(__xludf.DUMMYFUNCTION("""COMPUTED_VALUE"""),"Britton")</f>
        <v>Britton</v>
      </c>
      <c r="F5116">
        <f>IFERROR(__xludf.DUMMYFUNCTION("""COMPUTED_VALUE"""),19.0)</f>
        <v>19</v>
      </c>
    </row>
    <row r="5117">
      <c r="D5117" t="str">
        <f>IFERROR(__xludf.DUMMYFUNCTION("""COMPUTED_VALUE"""),"Colquitt")</f>
        <v>Colquitt</v>
      </c>
      <c r="E5117" t="str">
        <f>IFERROR(__xludf.DUMMYFUNCTION("""COMPUTED_VALUE"""),"Dustin")</f>
        <v>Dustin</v>
      </c>
      <c r="F5117">
        <f>IFERROR(__xludf.DUMMYFUNCTION("""COMPUTED_VALUE"""),19.75)</f>
        <v>19.75</v>
      </c>
    </row>
    <row r="5118">
      <c r="D5118" t="str">
        <f>IFERROR(__xludf.DUMMYFUNCTION("""COMPUTED_VALUE"""),"Colvin")</f>
        <v>Colvin</v>
      </c>
      <c r="E5118" t="str">
        <f>IFERROR(__xludf.DUMMYFUNCTION("""COMPUTED_VALUE"""),"Aaron")</f>
        <v>Aaron</v>
      </c>
      <c r="F5118">
        <f>IFERROR(__xludf.DUMMYFUNCTION("""COMPUTED_VALUE"""),19.25)</f>
        <v>19.25</v>
      </c>
    </row>
    <row r="5119">
      <c r="D5119" t="str">
        <f>IFERROR(__xludf.DUMMYFUNCTION("""COMPUTED_VALUE"""),"Compton")</f>
        <v>Compton</v>
      </c>
      <c r="E5119" t="str">
        <f>IFERROR(__xludf.DUMMYFUNCTION("""COMPUTED_VALUE"""),"Tom")</f>
        <v>Tom</v>
      </c>
      <c r="F5119">
        <f>IFERROR(__xludf.DUMMYFUNCTION("""COMPUTED_VALUE"""),17.75)</f>
        <v>17.75</v>
      </c>
    </row>
    <row r="5120">
      <c r="D5120" t="str">
        <f>IFERROR(__xludf.DUMMYFUNCTION("""COMPUTED_VALUE"""),"Conklin")</f>
        <v>Conklin</v>
      </c>
      <c r="E5120" t="str">
        <f>IFERROR(__xludf.DUMMYFUNCTION("""COMPUTED_VALUE"""),"Jack")</f>
        <v>Jack</v>
      </c>
      <c r="F5120">
        <f>IFERROR(__xludf.DUMMYFUNCTION("""COMPUTED_VALUE"""),20.75)</f>
        <v>20.75</v>
      </c>
    </row>
    <row r="5121">
      <c r="D5121" t="str">
        <f>IFERROR(__xludf.DUMMYFUNCTION("""COMPUTED_VALUE"""),"Conklin")</f>
        <v>Conklin</v>
      </c>
      <c r="E5121" t="str">
        <f>IFERROR(__xludf.DUMMYFUNCTION("""COMPUTED_VALUE"""),"Jack")</f>
        <v>Jack</v>
      </c>
      <c r="F5121">
        <f>IFERROR(__xludf.DUMMYFUNCTION("""COMPUTED_VALUE"""),22.0)</f>
        <v>22</v>
      </c>
    </row>
    <row r="5122">
      <c r="D5122" t="str">
        <f>IFERROR(__xludf.DUMMYFUNCTION("""COMPUTED_VALUE"""),"Conklin")</f>
        <v>Conklin</v>
      </c>
      <c r="E5122" t="str">
        <f>IFERROR(__xludf.DUMMYFUNCTION("""COMPUTED_VALUE"""),"Tyler")</f>
        <v>Tyler</v>
      </c>
      <c r="F5122">
        <f>IFERROR(__xludf.DUMMYFUNCTION("""COMPUTED_VALUE"""),16.75)</f>
        <v>16.75</v>
      </c>
    </row>
    <row r="5123">
      <c r="D5123" t="str">
        <f>IFERROR(__xludf.DUMMYFUNCTION("""COMPUTED_VALUE"""),"Conley")</f>
        <v>Conley</v>
      </c>
      <c r="E5123" t="str">
        <f>IFERROR(__xludf.DUMMYFUNCTION("""COMPUTED_VALUE"""),"Chris")</f>
        <v>Chris</v>
      </c>
      <c r="F5123">
        <f>IFERROR(__xludf.DUMMYFUNCTION("""COMPUTED_VALUE"""),19.0)</f>
        <v>19</v>
      </c>
    </row>
    <row r="5124">
      <c r="D5124" t="str">
        <f>IFERROR(__xludf.DUMMYFUNCTION("""COMPUTED_VALUE"""),"Conley")</f>
        <v>Conley</v>
      </c>
      <c r="E5124" t="str">
        <f>IFERROR(__xludf.DUMMYFUNCTION("""COMPUTED_VALUE"""),"Gareon")</f>
        <v>Gareon</v>
      </c>
      <c r="F5124">
        <f>IFERROR(__xludf.DUMMYFUNCTION("""COMPUTED_VALUE"""),18.75)</f>
        <v>18.75</v>
      </c>
    </row>
    <row r="5125">
      <c r="D5125" t="str">
        <f>IFERROR(__xludf.DUMMYFUNCTION("""COMPUTED_VALUE"""),"Conner")</f>
        <v>Conner</v>
      </c>
      <c r="E5125" t="str">
        <f>IFERROR(__xludf.DUMMYFUNCTION("""COMPUTED_VALUE"""),"James")</f>
        <v>James</v>
      </c>
      <c r="F5125">
        <f>IFERROR(__xludf.DUMMYFUNCTION("""COMPUTED_VALUE"""),18.0)</f>
        <v>18</v>
      </c>
    </row>
    <row r="5126">
      <c r="D5126" t="str">
        <f>IFERROR(__xludf.DUMMYFUNCTION("""COMPUTED_VALUE"""),"Conte")</f>
        <v>Conte</v>
      </c>
      <c r="E5126" t="str">
        <f>IFERROR(__xludf.DUMMYFUNCTION("""COMPUTED_VALUE"""),"Chris")</f>
        <v>Chris</v>
      </c>
      <c r="F5126">
        <f>IFERROR(__xludf.DUMMYFUNCTION("""COMPUTED_VALUE"""),18.0)</f>
        <v>18</v>
      </c>
    </row>
    <row r="5127">
      <c r="D5127" t="str">
        <f>IFERROR(__xludf.DUMMYFUNCTION("""COMPUTED_VALUE"""),"Cook")</f>
        <v>Cook</v>
      </c>
      <c r="E5127" t="str">
        <f>IFERROR(__xludf.DUMMYFUNCTION("""COMPUTED_VALUE"""),"Connor")</f>
        <v>Connor</v>
      </c>
      <c r="F5127">
        <f>IFERROR(__xludf.DUMMYFUNCTION("""COMPUTED_VALUE"""),17.0)</f>
        <v>17</v>
      </c>
    </row>
    <row r="5128">
      <c r="D5128" t="str">
        <f>IFERROR(__xludf.DUMMYFUNCTION("""COMPUTED_VALUE"""),"Cook")</f>
        <v>Cook</v>
      </c>
      <c r="E5128" t="str">
        <f>IFERROR(__xludf.DUMMYFUNCTION("""COMPUTED_VALUE"""),"Dalvin")</f>
        <v>Dalvin</v>
      </c>
      <c r="F5128">
        <f>IFERROR(__xludf.DUMMYFUNCTION("""COMPUTED_VALUE"""),20.5)</f>
        <v>20.5</v>
      </c>
    </row>
    <row r="5129">
      <c r="D5129" t="str">
        <f>IFERROR(__xludf.DUMMYFUNCTION("""COMPUTED_VALUE"""),"Cook")</f>
        <v>Cook</v>
      </c>
      <c r="E5129" t="str">
        <f>IFERROR(__xludf.DUMMYFUNCTION("""COMPUTED_VALUE"""),"Jared")</f>
        <v>Jared</v>
      </c>
      <c r="F5129">
        <f>IFERROR(__xludf.DUMMYFUNCTION("""COMPUTED_VALUE"""),20.0)</f>
        <v>20</v>
      </c>
    </row>
    <row r="5130">
      <c r="D5130" t="str">
        <f>IFERROR(__xludf.DUMMYFUNCTION("""COMPUTED_VALUE"""),"Cooke")</f>
        <v>Cooke</v>
      </c>
      <c r="E5130" t="str">
        <f>IFERROR(__xludf.DUMMYFUNCTION("""COMPUTED_VALUE"""),"Logan")</f>
        <v>Logan</v>
      </c>
      <c r="F5130">
        <f>IFERROR(__xludf.DUMMYFUNCTION("""COMPUTED_VALUE"""),19.0)</f>
        <v>19</v>
      </c>
    </row>
    <row r="5131">
      <c r="D5131" t="str">
        <f>IFERROR(__xludf.DUMMYFUNCTION("""COMPUTED_VALUE"""),"Cooks")</f>
        <v>Cooks</v>
      </c>
      <c r="E5131" t="str">
        <f>IFERROR(__xludf.DUMMYFUNCTION("""COMPUTED_VALUE"""),"Brandin")</f>
        <v>Brandin</v>
      </c>
      <c r="F5131">
        <f>IFERROR(__xludf.DUMMYFUNCTION("""COMPUTED_VALUE"""),20.75)</f>
        <v>20.75</v>
      </c>
    </row>
    <row r="5132">
      <c r="D5132" t="str">
        <f>IFERROR(__xludf.DUMMYFUNCTION("""COMPUTED_VALUE"""),"Cooper")</f>
        <v>Cooper</v>
      </c>
      <c r="E5132" t="str">
        <f>IFERROR(__xludf.DUMMYFUNCTION("""COMPUTED_VALUE"""),"Amari")</f>
        <v>Amari</v>
      </c>
      <c r="F5132">
        <f>IFERROR(__xludf.DUMMYFUNCTION("""COMPUTED_VALUE"""),20.5)</f>
        <v>20.5</v>
      </c>
    </row>
    <row r="5133">
      <c r="D5133" t="str">
        <f>IFERROR(__xludf.DUMMYFUNCTION("""COMPUTED_VALUE"""),"Cooper")</f>
        <v>Cooper</v>
      </c>
      <c r="E5133" t="str">
        <f>IFERROR(__xludf.DUMMYFUNCTION("""COMPUTED_VALUE"""),"Ethan")</f>
        <v>Ethan</v>
      </c>
      <c r="F5133">
        <f>IFERROR(__xludf.DUMMYFUNCTION("""COMPUTED_VALUE"""),16.0)</f>
        <v>16</v>
      </c>
    </row>
    <row r="5134">
      <c r="D5134" t="str">
        <f>IFERROR(__xludf.DUMMYFUNCTION("""COMPUTED_VALUE"""),"Cooper")</f>
        <v>Cooper</v>
      </c>
      <c r="E5134" t="str">
        <f>IFERROR(__xludf.DUMMYFUNCTION("""COMPUTED_VALUE"""),"Jonathan")</f>
        <v>Jonathan</v>
      </c>
      <c r="F5134">
        <f>IFERROR(__xludf.DUMMYFUNCTION("""COMPUTED_VALUE"""),19.25)</f>
        <v>19.25</v>
      </c>
    </row>
    <row r="5135">
      <c r="D5135" t="str">
        <f>IFERROR(__xludf.DUMMYFUNCTION("""COMPUTED_VALUE"""),"Cooper")</f>
        <v>Cooper</v>
      </c>
      <c r="E5135" t="str">
        <f>IFERROR(__xludf.DUMMYFUNCTION("""COMPUTED_VALUE"""),"Pharoh")</f>
        <v>Pharoh</v>
      </c>
      <c r="F5135">
        <f>IFERROR(__xludf.DUMMYFUNCTION("""COMPUTED_VALUE"""),16.75)</f>
        <v>16.75</v>
      </c>
    </row>
    <row r="5136">
      <c r="D5136" t="str">
        <f>IFERROR(__xludf.DUMMYFUNCTION("""COMPUTED_VALUE"""),"Cooper")</f>
        <v>Cooper</v>
      </c>
      <c r="E5136" t="str">
        <f>IFERROR(__xludf.DUMMYFUNCTION("""COMPUTED_VALUE"""),"Xavier")</f>
        <v>Xavier</v>
      </c>
      <c r="F5136">
        <f>IFERROR(__xludf.DUMMYFUNCTION("""COMPUTED_VALUE"""),17.5)</f>
        <v>17.5</v>
      </c>
    </row>
    <row r="5137">
      <c r="D5137" t="str">
        <f>IFERROR(__xludf.DUMMYFUNCTION("""COMPUTED_VALUE"""),"Cooper Sr")</f>
        <v>Cooper Sr</v>
      </c>
      <c r="E5137" t="str">
        <f>IFERROR(__xludf.DUMMYFUNCTION("""COMPUTED_VALUE"""),"Marcus")</f>
        <v>Marcus</v>
      </c>
      <c r="F5137">
        <f>IFERROR(__xludf.DUMMYFUNCTION("""COMPUTED_VALUE"""),18.25)</f>
        <v>18.25</v>
      </c>
    </row>
    <row r="5138">
      <c r="D5138" t="str">
        <f>IFERROR(__xludf.DUMMYFUNCTION("""COMPUTED_VALUE"""),"Copeland")</f>
        <v>Copeland</v>
      </c>
      <c r="E5138" t="str">
        <f>IFERROR(__xludf.DUMMYFUNCTION("""COMPUTED_VALUE"""),"Brandon")</f>
        <v>Brandon</v>
      </c>
      <c r="F5138">
        <f>IFERROR(__xludf.DUMMYFUNCTION("""COMPUTED_VALUE"""),17.0)</f>
        <v>17</v>
      </c>
    </row>
    <row r="5139">
      <c r="D5139" t="str">
        <f>IFERROR(__xludf.DUMMYFUNCTION("""COMPUTED_VALUE"""),"Corbett")</f>
        <v>Corbett</v>
      </c>
      <c r="E5139" t="str">
        <f>IFERROR(__xludf.DUMMYFUNCTION("""COMPUTED_VALUE"""),"Austin")</f>
        <v>Austin</v>
      </c>
      <c r="F5139">
        <f>IFERROR(__xludf.DUMMYFUNCTION("""COMPUTED_VALUE"""),18.5)</f>
        <v>18.5</v>
      </c>
    </row>
    <row r="5140">
      <c r="D5140" t="str">
        <f>IFERROR(__xludf.DUMMYFUNCTION("""COMPUTED_VALUE"""),"Core")</f>
        <v>Core</v>
      </c>
      <c r="E5140" t="str">
        <f>IFERROR(__xludf.DUMMYFUNCTION("""COMPUTED_VALUE"""),"Cody")</f>
        <v>Cody</v>
      </c>
      <c r="F5140">
        <f>IFERROR(__xludf.DUMMYFUNCTION("""COMPUTED_VALUE"""),17.25)</f>
        <v>17.25</v>
      </c>
    </row>
    <row r="5141">
      <c r="D5141" t="str">
        <f>IFERROR(__xludf.DUMMYFUNCTION("""COMPUTED_VALUE"""),"Correa")</f>
        <v>Correa</v>
      </c>
      <c r="E5141" t="str">
        <f>IFERROR(__xludf.DUMMYFUNCTION("""COMPUTED_VALUE"""),"Kamalei")</f>
        <v>Kamalei</v>
      </c>
      <c r="F5141">
        <f>IFERROR(__xludf.DUMMYFUNCTION("""COMPUTED_VALUE"""),17.75)</f>
        <v>17.75</v>
      </c>
    </row>
    <row r="5142">
      <c r="D5142" t="str">
        <f>IFERROR(__xludf.DUMMYFUNCTION("""COMPUTED_VALUE"""),"Countess")</f>
        <v>Countess</v>
      </c>
      <c r="E5142" t="str">
        <f>IFERROR(__xludf.DUMMYFUNCTION("""COMPUTED_VALUE"""),"Blake")</f>
        <v>Blake</v>
      </c>
      <c r="F5142">
        <f>IFERROR(__xludf.DUMMYFUNCTION("""COMPUTED_VALUE"""),17.25)</f>
        <v>17.25</v>
      </c>
    </row>
    <row r="5143">
      <c r="D5143" t="str">
        <f>IFERROR(__xludf.DUMMYFUNCTION("""COMPUTED_VALUE"""),"Cousins")</f>
        <v>Cousins</v>
      </c>
      <c r="E5143" t="str">
        <f>IFERROR(__xludf.DUMMYFUNCTION("""COMPUTED_VALUE"""),"Kirk")</f>
        <v>Kirk</v>
      </c>
      <c r="F5143">
        <f>IFERROR(__xludf.DUMMYFUNCTION("""COMPUTED_VALUE"""),20.25)</f>
        <v>20.25</v>
      </c>
    </row>
    <row r="5144">
      <c r="D5144" t="str">
        <f>IFERROR(__xludf.DUMMYFUNCTION("""COMPUTED_VALUE"""),"Coutee")</f>
        <v>Coutee</v>
      </c>
      <c r="E5144" t="str">
        <f>IFERROR(__xludf.DUMMYFUNCTION("""COMPUTED_VALUE"""),"Keke")</f>
        <v>Keke</v>
      </c>
      <c r="F5144">
        <f>IFERROR(__xludf.DUMMYFUNCTION("""COMPUTED_VALUE"""),18.25)</f>
        <v>18.25</v>
      </c>
    </row>
    <row r="5145">
      <c r="D5145" t="str">
        <f>IFERROR(__xludf.DUMMYFUNCTION("""COMPUTED_VALUE"""),"Covington")</f>
        <v>Covington</v>
      </c>
      <c r="E5145" t="str">
        <f>IFERROR(__xludf.DUMMYFUNCTION("""COMPUTED_VALUE"""),"Chris")</f>
        <v>Chris</v>
      </c>
      <c r="F5145">
        <f>IFERROR(__xludf.DUMMYFUNCTION("""COMPUTED_VALUE"""),16.25)</f>
        <v>16.25</v>
      </c>
    </row>
    <row r="5146">
      <c r="D5146" t="str">
        <f>IFERROR(__xludf.DUMMYFUNCTION("""COMPUTED_VALUE"""),"Covington")</f>
        <v>Covington</v>
      </c>
      <c r="E5146" t="str">
        <f>IFERROR(__xludf.DUMMYFUNCTION("""COMPUTED_VALUE"""),"Christian")</f>
        <v>Christian</v>
      </c>
      <c r="F5146">
        <f>IFERROR(__xludf.DUMMYFUNCTION("""COMPUTED_VALUE"""),18.0)</f>
        <v>18</v>
      </c>
    </row>
    <row r="5147">
      <c r="D5147" t="str">
        <f>IFERROR(__xludf.DUMMYFUNCTION("""COMPUTED_VALUE"""),"Coward")</f>
        <v>Coward</v>
      </c>
      <c r="E5147" t="str">
        <f>IFERROR(__xludf.DUMMYFUNCTION("""COMPUTED_VALUE"""),"Rashaad")</f>
        <v>Rashaad</v>
      </c>
      <c r="F5147">
        <f>IFERROR(__xludf.DUMMYFUNCTION("""COMPUTED_VALUE"""),15.5)</f>
        <v>15.5</v>
      </c>
    </row>
    <row r="5148">
      <c r="D5148" t="str">
        <f>IFERROR(__xludf.DUMMYFUNCTION("""COMPUTED_VALUE"""),"Cowser")</f>
        <v>Cowser</v>
      </c>
      <c r="E5148" t="str">
        <f>IFERROR(__xludf.DUMMYFUNCTION("""COMPUTED_VALUE"""),"James")</f>
        <v>James</v>
      </c>
      <c r="F5148">
        <f>IFERROR(__xludf.DUMMYFUNCTION("""COMPUTED_VALUE"""),18.75)</f>
        <v>18.75</v>
      </c>
    </row>
    <row r="5149">
      <c r="D5149" t="str">
        <f>IFERROR(__xludf.DUMMYFUNCTION("""COMPUTED_VALUE"""),"Cox")</f>
        <v>Cox</v>
      </c>
      <c r="E5149" t="str">
        <f>IFERROR(__xludf.DUMMYFUNCTION("""COMPUTED_VALUE"""),"Bryan")</f>
        <v>Bryan</v>
      </c>
      <c r="F5149">
        <f>IFERROR(__xludf.DUMMYFUNCTION("""COMPUTED_VALUE"""),17.0)</f>
        <v>17</v>
      </c>
    </row>
    <row r="5150">
      <c r="D5150" t="str">
        <f>IFERROR(__xludf.DUMMYFUNCTION("""COMPUTED_VALUE"""),"Cox")</f>
        <v>Cox</v>
      </c>
      <c r="E5150" t="str">
        <f>IFERROR(__xludf.DUMMYFUNCTION("""COMPUTED_VALUE"""),"Demetrious")</f>
        <v>Demetrious</v>
      </c>
      <c r="F5150">
        <f>IFERROR(__xludf.DUMMYFUNCTION("""COMPUTED_VALUE"""),16.0)</f>
        <v>16</v>
      </c>
    </row>
    <row r="5151">
      <c r="D5151" t="str">
        <f>IFERROR(__xludf.DUMMYFUNCTION("""COMPUTED_VALUE"""),"Cox")</f>
        <v>Cox</v>
      </c>
      <c r="E5151" t="str">
        <f>IFERROR(__xludf.DUMMYFUNCTION("""COMPUTED_VALUE"""),"Fletcher")</f>
        <v>Fletcher</v>
      </c>
      <c r="F5151">
        <f>IFERROR(__xludf.DUMMYFUNCTION("""COMPUTED_VALUE"""),21.75)</f>
        <v>21.75</v>
      </c>
    </row>
    <row r="5152">
      <c r="D5152" t="str">
        <f>IFERROR(__xludf.DUMMYFUNCTION("""COMPUTED_VALUE"""),"Coyle")</f>
        <v>Coyle</v>
      </c>
      <c r="E5152" t="str">
        <f>IFERROR(__xludf.DUMMYFUNCTION("""COMPUTED_VALUE"""),"Brock")</f>
        <v>Brock</v>
      </c>
      <c r="F5152">
        <f>IFERROR(__xludf.DUMMYFUNCTION("""COMPUTED_VALUE"""),16.25)</f>
        <v>16.25</v>
      </c>
    </row>
    <row r="5153">
      <c r="D5153" t="str">
        <f>IFERROR(__xludf.DUMMYFUNCTION("""COMPUTED_VALUE"""),"Crabtree")</f>
        <v>Crabtree</v>
      </c>
      <c r="E5153" t="str">
        <f>IFERROR(__xludf.DUMMYFUNCTION("""COMPUTED_VALUE"""),"Michael")</f>
        <v>Michael</v>
      </c>
      <c r="F5153">
        <f>IFERROR(__xludf.DUMMYFUNCTION("""COMPUTED_VALUE"""),20.5)</f>
        <v>20.5</v>
      </c>
    </row>
    <row r="5154">
      <c r="D5154" t="str">
        <f>IFERROR(__xludf.DUMMYFUNCTION("""COMPUTED_VALUE"""),"Cravens")</f>
        <v>Cravens</v>
      </c>
      <c r="E5154" t="str">
        <f>IFERROR(__xludf.DUMMYFUNCTION("""COMPUTED_VALUE"""),"Sua")</f>
        <v>Sua</v>
      </c>
      <c r="F5154">
        <f>IFERROR(__xludf.DUMMYFUNCTION("""COMPUTED_VALUE"""),18.75)</f>
        <v>18.75</v>
      </c>
    </row>
    <row r="5155">
      <c r="D5155" t="str">
        <f>IFERROR(__xludf.DUMMYFUNCTION("""COMPUTED_VALUE"""),"Crawford")</f>
        <v>Crawford</v>
      </c>
      <c r="E5155" t="str">
        <f>IFERROR(__xludf.DUMMYFUNCTION("""COMPUTED_VALUE"""),"Jack")</f>
        <v>Jack</v>
      </c>
      <c r="F5155">
        <f>IFERROR(__xludf.DUMMYFUNCTION("""COMPUTED_VALUE"""),16.5)</f>
        <v>16.5</v>
      </c>
    </row>
    <row r="5156">
      <c r="D5156" t="str">
        <f>IFERROR(__xludf.DUMMYFUNCTION("""COMPUTED_VALUE"""),"Crawford")</f>
        <v>Crawford</v>
      </c>
      <c r="E5156" t="str">
        <f>IFERROR(__xludf.DUMMYFUNCTION("""COMPUTED_VALUE"""),"Tyrone")</f>
        <v>Tyrone</v>
      </c>
      <c r="F5156">
        <f>IFERROR(__xludf.DUMMYFUNCTION("""COMPUTED_VALUE"""),19.5)</f>
        <v>19.5</v>
      </c>
    </row>
    <row r="5157">
      <c r="D5157" t="str">
        <f>IFERROR(__xludf.DUMMYFUNCTION("""COMPUTED_VALUE"""),"Crawley")</f>
        <v>Crawley</v>
      </c>
      <c r="E5157" t="str">
        <f>IFERROR(__xludf.DUMMYFUNCTION("""COMPUTED_VALUE"""),"Ken")</f>
        <v>Ken</v>
      </c>
      <c r="F5157">
        <f>IFERROR(__xludf.DUMMYFUNCTION("""COMPUTED_VALUE"""),20.25)</f>
        <v>20.25</v>
      </c>
    </row>
    <row r="5158">
      <c r="D5158" t="str">
        <f>IFERROR(__xludf.DUMMYFUNCTION("""COMPUTED_VALUE"""),"Crockett")</f>
        <v>Crockett</v>
      </c>
      <c r="E5158" t="str">
        <f>IFERROR(__xludf.DUMMYFUNCTION("""COMPUTED_VALUE"""),"Montay")</f>
        <v>Montay</v>
      </c>
      <c r="F5158">
        <f>IFERROR(__xludf.DUMMYFUNCTION("""COMPUTED_VALUE"""),16.25)</f>
        <v>16.25</v>
      </c>
    </row>
    <row r="5159">
      <c r="D5159" t="str">
        <f>IFERROR(__xludf.DUMMYFUNCTION("""COMPUTED_VALUE"""),"Croom")</f>
        <v>Croom</v>
      </c>
      <c r="E5159" t="str">
        <f>IFERROR(__xludf.DUMMYFUNCTION("""COMPUTED_VALUE"""),"Jason")</f>
        <v>Jason</v>
      </c>
      <c r="F5159">
        <f>IFERROR(__xludf.DUMMYFUNCTION("""COMPUTED_VALUE"""),16.5)</f>
        <v>16.5</v>
      </c>
    </row>
    <row r="5160">
      <c r="D5160" t="str">
        <f>IFERROR(__xludf.DUMMYFUNCTION("""COMPUTED_VALUE"""),"Crosby")</f>
        <v>Crosby</v>
      </c>
      <c r="E5160" t="str">
        <f>IFERROR(__xludf.DUMMYFUNCTION("""COMPUTED_VALUE"""),"Mason")</f>
        <v>Mason</v>
      </c>
      <c r="F5160">
        <f>IFERROR(__xludf.DUMMYFUNCTION("""COMPUTED_VALUE"""),19.5)</f>
        <v>19.5</v>
      </c>
    </row>
    <row r="5161">
      <c r="D5161" t="str">
        <f>IFERROR(__xludf.DUMMYFUNCTION("""COMPUTED_VALUE"""),"Crosby")</f>
        <v>Crosby</v>
      </c>
      <c r="E5161" t="str">
        <f>IFERROR(__xludf.DUMMYFUNCTION("""COMPUTED_VALUE"""),"Tyrell")</f>
        <v>Tyrell</v>
      </c>
      <c r="F5161">
        <f>IFERROR(__xludf.DUMMYFUNCTION("""COMPUTED_VALUE"""),17.75)</f>
        <v>17.75</v>
      </c>
    </row>
    <row r="5162">
      <c r="D5162" t="str">
        <f>IFERROR(__xludf.DUMMYFUNCTION("""COMPUTED_VALUE"""),"Cross")</f>
        <v>Cross</v>
      </c>
      <c r="E5162" t="str">
        <f>IFERROR(__xludf.DUMMYFUNCTION("""COMPUTED_VALUE"""),"Alan")</f>
        <v>Alan</v>
      </c>
      <c r="F5162">
        <f>IFERROR(__xludf.DUMMYFUNCTION("""COMPUTED_VALUE"""),15.75)</f>
        <v>15.75</v>
      </c>
    </row>
    <row r="5163">
      <c r="D5163" t="str">
        <f>IFERROR(__xludf.DUMMYFUNCTION("""COMPUTED_VALUE"""),"Crossan")</f>
        <v>Crossan</v>
      </c>
      <c r="E5163" t="str">
        <f>IFERROR(__xludf.DUMMYFUNCTION("""COMPUTED_VALUE"""),"Dalton")</f>
        <v>Dalton</v>
      </c>
      <c r="F5163">
        <f>IFERROR(__xludf.DUMMYFUNCTION("""COMPUTED_VALUE"""),15.5)</f>
        <v>15.5</v>
      </c>
    </row>
    <row r="5164">
      <c r="D5164" t="str">
        <f>IFERROR(__xludf.DUMMYFUNCTION("""COMPUTED_VALUE"""),"Crossen")</f>
        <v>Crossen</v>
      </c>
      <c r="E5164" t="str">
        <f>IFERROR(__xludf.DUMMYFUNCTION("""COMPUTED_VALUE"""),"Keion")</f>
        <v>Keion</v>
      </c>
      <c r="F5164">
        <f>IFERROR(__xludf.DUMMYFUNCTION("""COMPUTED_VALUE"""),17.75)</f>
        <v>17.75</v>
      </c>
    </row>
    <row r="5165">
      <c r="D5165" t="str">
        <f>IFERROR(__xludf.DUMMYFUNCTION("""COMPUTED_VALUE"""),"Croston")</f>
        <v>Croston</v>
      </c>
      <c r="E5165" t="str">
        <f>IFERROR(__xludf.DUMMYFUNCTION("""COMPUTED_VALUE"""),"Cole")</f>
        <v>Cole</v>
      </c>
      <c r="F5165">
        <f>IFERROR(__xludf.DUMMYFUNCTION("""COMPUTED_VALUE"""),17.0)</f>
        <v>17</v>
      </c>
    </row>
    <row r="5166">
      <c r="D5166" t="str">
        <f>IFERROR(__xludf.DUMMYFUNCTION("""COMPUTED_VALUE"""),"Crowder")</f>
        <v>Crowder</v>
      </c>
      <c r="E5166" t="str">
        <f>IFERROR(__xludf.DUMMYFUNCTION("""COMPUTED_VALUE"""),"Jamison")</f>
        <v>Jamison</v>
      </c>
      <c r="F5166">
        <f>IFERROR(__xludf.DUMMYFUNCTION("""COMPUTED_VALUE"""),19.5)</f>
        <v>19.5</v>
      </c>
    </row>
    <row r="5167">
      <c r="D5167" t="str">
        <f>IFERROR(__xludf.DUMMYFUNCTION("""COMPUTED_VALUE"""),"Crowell")</f>
        <v>Crowell</v>
      </c>
      <c r="E5167" t="str">
        <f>IFERROR(__xludf.DUMMYFUNCTION("""COMPUTED_VALUE"""),"Isaiah")</f>
        <v>Isaiah</v>
      </c>
      <c r="F5167">
        <f>IFERROR(__xludf.DUMMYFUNCTION("""COMPUTED_VALUE"""),19.25)</f>
        <v>19.25</v>
      </c>
    </row>
    <row r="5168">
      <c r="D5168" t="str">
        <f>IFERROR(__xludf.DUMMYFUNCTION("""COMPUTED_VALUE"""),"Cruikshank")</f>
        <v>Cruikshank</v>
      </c>
      <c r="E5168" t="str">
        <f>IFERROR(__xludf.DUMMYFUNCTION("""COMPUTED_VALUE"""),"Dane")</f>
        <v>Dane</v>
      </c>
      <c r="F5168">
        <f>IFERROR(__xludf.DUMMYFUNCTION("""COMPUTED_VALUE"""),18.25)</f>
        <v>18.25</v>
      </c>
    </row>
    <row r="5169">
      <c r="D5169" t="str">
        <f>IFERROR(__xludf.DUMMYFUNCTION("""COMPUTED_VALUE"""),"Culkin")</f>
        <v>Culkin</v>
      </c>
      <c r="E5169" t="str">
        <f>IFERROR(__xludf.DUMMYFUNCTION("""COMPUTED_VALUE"""),"Sean")</f>
        <v>Sean</v>
      </c>
      <c r="F5169">
        <f>IFERROR(__xludf.DUMMYFUNCTION("""COMPUTED_VALUE"""),16.75)</f>
        <v>16.75</v>
      </c>
    </row>
    <row r="5170">
      <c r="D5170" t="str">
        <f>IFERROR(__xludf.DUMMYFUNCTION("""COMPUTED_VALUE"""),"Cunningham")</f>
        <v>Cunningham</v>
      </c>
      <c r="E5170" t="str">
        <f>IFERROR(__xludf.DUMMYFUNCTION("""COMPUTED_VALUE"""),"Benny")</f>
        <v>Benny</v>
      </c>
      <c r="F5170">
        <f>IFERROR(__xludf.DUMMYFUNCTION("""COMPUTED_VALUE"""),17.5)</f>
        <v>17.5</v>
      </c>
    </row>
    <row r="5171">
      <c r="D5171" t="str">
        <f>IFERROR(__xludf.DUMMYFUNCTION("""COMPUTED_VALUE"""),"Cunningham")</f>
        <v>Cunningham</v>
      </c>
      <c r="E5171" t="str">
        <f>IFERROR(__xludf.DUMMYFUNCTION("""COMPUTED_VALUE"""),"Korey")</f>
        <v>Korey</v>
      </c>
      <c r="F5171">
        <f>IFERROR(__xludf.DUMMYFUNCTION("""COMPUTED_VALUE"""),16.75)</f>
        <v>16.75</v>
      </c>
    </row>
    <row r="5172">
      <c r="D5172" t="str">
        <f>IFERROR(__xludf.DUMMYFUNCTION("""COMPUTED_VALUE"""),"Cunningham")</f>
        <v>Cunningham</v>
      </c>
      <c r="E5172" t="str">
        <f>IFERROR(__xludf.DUMMYFUNCTION("""COMPUTED_VALUE"""),"Zach")</f>
        <v>Zach</v>
      </c>
      <c r="F5172">
        <f>IFERROR(__xludf.DUMMYFUNCTION("""COMPUTED_VALUE"""),20.0)</f>
        <v>20</v>
      </c>
    </row>
    <row r="5173">
      <c r="D5173" t="str">
        <f>IFERROR(__xludf.DUMMYFUNCTION("""COMPUTED_VALUE"""),"Currie")</f>
        <v>Currie</v>
      </c>
      <c r="E5173" t="str">
        <f>IFERROR(__xludf.DUMMYFUNCTION("""COMPUTED_VALUE"""),"Justin")</f>
        <v>Justin</v>
      </c>
      <c r="F5173">
        <f>IFERROR(__xludf.DUMMYFUNCTION("""COMPUTED_VALUE"""),17.0)</f>
        <v>17</v>
      </c>
    </row>
    <row r="5174">
      <c r="D5174" t="str">
        <f>IFERROR(__xludf.DUMMYFUNCTION("""COMPUTED_VALUE"""),"Cyprien")</f>
        <v>Cyprien</v>
      </c>
      <c r="E5174" t="str">
        <f>IFERROR(__xludf.DUMMYFUNCTION("""COMPUTED_VALUE"""),"Johnathan")</f>
        <v>Johnathan</v>
      </c>
      <c r="F5174">
        <f>IFERROR(__xludf.DUMMYFUNCTION("""COMPUTED_VALUE"""),19.5)</f>
        <v>19.5</v>
      </c>
    </row>
    <row r="5175">
      <c r="D5175" t="str">
        <f>IFERROR(__xludf.DUMMYFUNCTION("""COMPUTED_VALUE"""),"Dahl")</f>
        <v>Dahl</v>
      </c>
      <c r="E5175" t="str">
        <f>IFERROR(__xludf.DUMMYFUNCTION("""COMPUTED_VALUE"""),"Joe")</f>
        <v>Joe</v>
      </c>
      <c r="F5175">
        <f>IFERROR(__xludf.DUMMYFUNCTION("""COMPUTED_VALUE"""),17.75)</f>
        <v>17.75</v>
      </c>
    </row>
    <row r="5176">
      <c r="D5176" t="str">
        <f>IFERROR(__xludf.DUMMYFUNCTION("""COMPUTED_VALUE"""),"Dalton")</f>
        <v>Dalton</v>
      </c>
      <c r="E5176" t="str">
        <f>IFERROR(__xludf.DUMMYFUNCTION("""COMPUTED_VALUE"""),"Andy")</f>
        <v>Andy</v>
      </c>
      <c r="F5176">
        <f>IFERROR(__xludf.DUMMYFUNCTION("""COMPUTED_VALUE"""),19.75)</f>
        <v>19.75</v>
      </c>
    </row>
    <row r="5177">
      <c r="D5177" t="str">
        <f>IFERROR(__xludf.DUMMYFUNCTION("""COMPUTED_VALUE"""),"Dangerfield")</f>
        <v>Dangerfield</v>
      </c>
      <c r="E5177" t="str">
        <f>IFERROR(__xludf.DUMMYFUNCTION("""COMPUTED_VALUE"""),"Jordan")</f>
        <v>Jordan</v>
      </c>
      <c r="F5177">
        <f>IFERROR(__xludf.DUMMYFUNCTION("""COMPUTED_VALUE"""),18.25)</f>
        <v>18.25</v>
      </c>
    </row>
    <row r="5178">
      <c r="D5178" t="str">
        <f>IFERROR(__xludf.DUMMYFUNCTION("""COMPUTED_VALUE"""),"Daniel")</f>
        <v>Daniel</v>
      </c>
      <c r="E5178" t="str">
        <f>IFERROR(__xludf.DUMMYFUNCTION("""COMPUTED_VALUE"""),"Chase")</f>
        <v>Chase</v>
      </c>
      <c r="F5178">
        <f>IFERROR(__xludf.DUMMYFUNCTION("""COMPUTED_VALUE"""),17.5)</f>
        <v>17.5</v>
      </c>
    </row>
    <row r="5179">
      <c r="D5179" t="str">
        <f>IFERROR(__xludf.DUMMYFUNCTION("""COMPUTED_VALUE"""),"Daniels")</f>
        <v>Daniels</v>
      </c>
      <c r="E5179" t="str">
        <f>IFERROR(__xludf.DUMMYFUNCTION("""COMPUTED_VALUE"""),"Darrell")</f>
        <v>Darrell</v>
      </c>
      <c r="F5179">
        <f>IFERROR(__xludf.DUMMYFUNCTION("""COMPUTED_VALUE"""),17.0)</f>
        <v>17</v>
      </c>
    </row>
    <row r="5180">
      <c r="D5180" t="str">
        <f>IFERROR(__xludf.DUMMYFUNCTION("""COMPUTED_VALUE"""),"Daniels")</f>
        <v>Daniels</v>
      </c>
      <c r="E5180" t="str">
        <f>IFERROR(__xludf.DUMMYFUNCTION("""COMPUTED_VALUE"""),"James")</f>
        <v>James</v>
      </c>
      <c r="F5180">
        <f>IFERROR(__xludf.DUMMYFUNCTION("""COMPUTED_VALUE"""),18.5)</f>
        <v>18.5</v>
      </c>
    </row>
    <row r="5181">
      <c r="D5181" t="str">
        <f>IFERROR(__xludf.DUMMYFUNCTION("""COMPUTED_VALUE"""),"Daniels")</f>
        <v>Daniels</v>
      </c>
      <c r="E5181" t="str">
        <f>IFERROR(__xludf.DUMMYFUNCTION("""COMPUTED_VALUE"""),"LeShun")</f>
        <v>LeShun</v>
      </c>
      <c r="F5181">
        <f>IFERROR(__xludf.DUMMYFUNCTION("""COMPUTED_VALUE"""),16.5)</f>
        <v>16.5</v>
      </c>
    </row>
    <row r="5182">
      <c r="D5182" t="str">
        <f>IFERROR(__xludf.DUMMYFUNCTION("""COMPUTED_VALUE"""),"Daniels")</f>
        <v>Daniels</v>
      </c>
      <c r="E5182" t="str">
        <f>IFERROR(__xludf.DUMMYFUNCTION("""COMPUTED_VALUE"""),"Mike")</f>
        <v>Mike</v>
      </c>
      <c r="F5182">
        <f>IFERROR(__xludf.DUMMYFUNCTION("""COMPUTED_VALUE"""),21.0)</f>
        <v>21</v>
      </c>
    </row>
    <row r="5183">
      <c r="D5183" t="str">
        <f>IFERROR(__xludf.DUMMYFUNCTION("""COMPUTED_VALUE"""),"Daniels")</f>
        <v>Daniels</v>
      </c>
      <c r="E5183" t="str">
        <f>IFERROR(__xludf.DUMMYFUNCTION("""COMPUTED_VALUE"""),"Mike")</f>
        <v>Mike</v>
      </c>
      <c r="F5183">
        <f>IFERROR(__xludf.DUMMYFUNCTION("""COMPUTED_VALUE"""),22.0)</f>
        <v>22</v>
      </c>
    </row>
    <row r="5184">
      <c r="D5184" t="str">
        <f>IFERROR(__xludf.DUMMYFUNCTION("""COMPUTED_VALUE"""),"Dansby")</f>
        <v>Dansby</v>
      </c>
      <c r="E5184" t="str">
        <f>IFERROR(__xludf.DUMMYFUNCTION("""COMPUTED_VALUE"""),"Karlos")</f>
        <v>Karlos</v>
      </c>
      <c r="F5184">
        <f>IFERROR(__xludf.DUMMYFUNCTION("""COMPUTED_VALUE"""),21.25)</f>
        <v>21.25</v>
      </c>
    </row>
    <row r="5185">
      <c r="D5185" t="str">
        <f>IFERROR(__xludf.DUMMYFUNCTION("""COMPUTED_VALUE"""),"Dansby")</f>
        <v>Dansby</v>
      </c>
      <c r="E5185" t="str">
        <f>IFERROR(__xludf.DUMMYFUNCTION("""COMPUTED_VALUE"""),"Karlos")</f>
        <v>Karlos</v>
      </c>
      <c r="F5185">
        <f>IFERROR(__xludf.DUMMYFUNCTION("""COMPUTED_VALUE"""),18.75)</f>
        <v>18.75</v>
      </c>
    </row>
    <row r="5186">
      <c r="D5186" t="str">
        <f>IFERROR(__xludf.DUMMYFUNCTION("""COMPUTED_VALUE"""),"Darboh")</f>
        <v>Darboh</v>
      </c>
      <c r="E5186" t="str">
        <f>IFERROR(__xludf.DUMMYFUNCTION("""COMPUTED_VALUE"""),"Amara")</f>
        <v>Amara</v>
      </c>
      <c r="F5186">
        <f>IFERROR(__xludf.DUMMYFUNCTION("""COMPUTED_VALUE"""),18.0)</f>
        <v>18</v>
      </c>
    </row>
    <row r="5187">
      <c r="D5187" t="str">
        <f>IFERROR(__xludf.DUMMYFUNCTION("""COMPUTED_VALUE"""),"Darby")</f>
        <v>Darby</v>
      </c>
      <c r="E5187" t="str">
        <f>IFERROR(__xludf.DUMMYFUNCTION("""COMPUTED_VALUE"""),"Ronald")</f>
        <v>Ronald</v>
      </c>
      <c r="F5187">
        <f>IFERROR(__xludf.DUMMYFUNCTION("""COMPUTED_VALUE"""),20.5)</f>
        <v>20.5</v>
      </c>
    </row>
    <row r="5188">
      <c r="D5188" t="str">
        <f>IFERROR(__xludf.DUMMYFUNCTION("""COMPUTED_VALUE"""),"Dareus")</f>
        <v>Dareus</v>
      </c>
      <c r="E5188" t="str">
        <f>IFERROR(__xludf.DUMMYFUNCTION("""COMPUTED_VALUE"""),"Marcell")</f>
        <v>Marcell</v>
      </c>
      <c r="F5188">
        <f>IFERROR(__xludf.DUMMYFUNCTION("""COMPUTED_VALUE"""),20.0)</f>
        <v>20</v>
      </c>
    </row>
    <row r="5189">
      <c r="D5189" t="str">
        <f>IFERROR(__xludf.DUMMYFUNCTION("""COMPUTED_VALUE"""),"Darkwa")</f>
        <v>Darkwa</v>
      </c>
      <c r="E5189" t="str">
        <f>IFERROR(__xludf.DUMMYFUNCTION("""COMPUTED_VALUE"""),"Orleans")</f>
        <v>Orleans</v>
      </c>
      <c r="F5189">
        <f>IFERROR(__xludf.DUMMYFUNCTION("""COMPUTED_VALUE"""),15.25)</f>
        <v>15.25</v>
      </c>
    </row>
    <row r="5190">
      <c r="D5190" t="str">
        <f>IFERROR(__xludf.DUMMYFUNCTION("""COMPUTED_VALUE"""),"Darnold")</f>
        <v>Darnold</v>
      </c>
      <c r="E5190" t="str">
        <f>IFERROR(__xludf.DUMMYFUNCTION("""COMPUTED_VALUE"""),"Sam")</f>
        <v>Sam</v>
      </c>
      <c r="F5190">
        <f>IFERROR(__xludf.DUMMYFUNCTION("""COMPUTED_VALUE"""),19.25)</f>
        <v>19.25</v>
      </c>
    </row>
    <row r="5191">
      <c r="D5191" t="str">
        <f>IFERROR(__xludf.DUMMYFUNCTION("""COMPUTED_VALUE"""),"Davenport")</f>
        <v>Davenport</v>
      </c>
      <c r="E5191" t="str">
        <f>IFERROR(__xludf.DUMMYFUNCTION("""COMPUTED_VALUE"""),"Julien")</f>
        <v>Julien</v>
      </c>
      <c r="F5191">
        <f>IFERROR(__xludf.DUMMYFUNCTION("""COMPUTED_VALUE"""),16.5)</f>
        <v>16.5</v>
      </c>
    </row>
    <row r="5192">
      <c r="D5192" t="str">
        <f>IFERROR(__xludf.DUMMYFUNCTION("""COMPUTED_VALUE"""),"Davenport")</f>
        <v>Davenport</v>
      </c>
      <c r="E5192" t="str">
        <f>IFERROR(__xludf.DUMMYFUNCTION("""COMPUTED_VALUE"""),"Marcus")</f>
        <v>Marcus</v>
      </c>
      <c r="F5192">
        <f>IFERROR(__xludf.DUMMYFUNCTION("""COMPUTED_VALUE"""),19.25)</f>
        <v>19.25</v>
      </c>
    </row>
    <row r="5193">
      <c r="D5193" t="str">
        <f>IFERROR(__xludf.DUMMYFUNCTION("""COMPUTED_VALUE"""),"David")</f>
        <v>David</v>
      </c>
      <c r="E5193" t="str">
        <f>IFERROR(__xludf.DUMMYFUNCTION("""COMPUTED_VALUE"""),"Lavonte")</f>
        <v>Lavonte</v>
      </c>
      <c r="F5193">
        <f>IFERROR(__xludf.DUMMYFUNCTION("""COMPUTED_VALUE"""),22.0)</f>
        <v>22</v>
      </c>
    </row>
    <row r="5194">
      <c r="D5194" t="str">
        <f>IFERROR(__xludf.DUMMYFUNCTION("""COMPUTED_VALUE"""),"Davis")</f>
        <v>Davis</v>
      </c>
      <c r="E5194" t="str">
        <f>IFERROR(__xludf.DUMMYFUNCTION("""COMPUTED_VALUE"""),"Austin")</f>
        <v>Austin</v>
      </c>
      <c r="F5194">
        <f>IFERROR(__xludf.DUMMYFUNCTION("""COMPUTED_VALUE"""),17.5)</f>
        <v>17.5</v>
      </c>
    </row>
    <row r="5195">
      <c r="D5195" t="str">
        <f>IFERROR(__xludf.DUMMYFUNCTION("""COMPUTED_VALUE"""),"Davis")</f>
        <v>Davis</v>
      </c>
      <c r="E5195" t="str">
        <f>IFERROR(__xludf.DUMMYFUNCTION("""COMPUTED_VALUE"""),"Carl")</f>
        <v>Carl</v>
      </c>
      <c r="F5195">
        <f>IFERROR(__xludf.DUMMYFUNCTION("""COMPUTED_VALUE"""),17.5)</f>
        <v>17.5</v>
      </c>
    </row>
    <row r="5196">
      <c r="D5196" t="str">
        <f>IFERROR(__xludf.DUMMYFUNCTION("""COMPUTED_VALUE"""),"Davis")</f>
        <v>Davis</v>
      </c>
      <c r="E5196" t="str">
        <f>IFERROR(__xludf.DUMMYFUNCTION("""COMPUTED_VALUE"""),"Carlton")</f>
        <v>Carlton</v>
      </c>
      <c r="F5196">
        <f>IFERROR(__xludf.DUMMYFUNCTION("""COMPUTED_VALUE"""),18.0)</f>
        <v>18</v>
      </c>
    </row>
    <row r="5197">
      <c r="D5197" t="str">
        <f>IFERROR(__xludf.DUMMYFUNCTION("""COMPUTED_VALUE"""),"Davis")</f>
        <v>Davis</v>
      </c>
      <c r="E5197" t="str">
        <f>IFERROR(__xludf.DUMMYFUNCTION("""COMPUTED_VALUE"""),"Cody")</f>
        <v>Cody</v>
      </c>
      <c r="F5197">
        <f>IFERROR(__xludf.DUMMYFUNCTION("""COMPUTED_VALUE"""),18.75)</f>
        <v>18.75</v>
      </c>
    </row>
    <row r="5198">
      <c r="D5198" t="str">
        <f>IFERROR(__xludf.DUMMYFUNCTION("""COMPUTED_VALUE"""),"Davis")</f>
        <v>Davis</v>
      </c>
      <c r="E5198" t="str">
        <f>IFERROR(__xludf.DUMMYFUNCTION("""COMPUTED_VALUE"""),"Corey")</f>
        <v>Corey</v>
      </c>
      <c r="F5198">
        <f>IFERROR(__xludf.DUMMYFUNCTION("""COMPUTED_VALUE"""),19.5)</f>
        <v>19.5</v>
      </c>
    </row>
    <row r="5199">
      <c r="D5199" t="str">
        <f>IFERROR(__xludf.DUMMYFUNCTION("""COMPUTED_VALUE"""),"Davis")</f>
        <v>Davis</v>
      </c>
      <c r="E5199" t="str">
        <f>IFERROR(__xludf.DUMMYFUNCTION("""COMPUTED_VALUE"""),"Demario")</f>
        <v>Demario</v>
      </c>
      <c r="F5199">
        <f>IFERROR(__xludf.DUMMYFUNCTION("""COMPUTED_VALUE"""),21.0)</f>
        <v>21</v>
      </c>
    </row>
    <row r="5200">
      <c r="D5200" t="str">
        <f>IFERROR(__xludf.DUMMYFUNCTION("""COMPUTED_VALUE"""),"Davis")</f>
        <v>Davis</v>
      </c>
      <c r="E5200" t="str">
        <f>IFERROR(__xludf.DUMMYFUNCTION("""COMPUTED_VALUE"""),"Geremy")</f>
        <v>Geremy</v>
      </c>
      <c r="F5200">
        <f>IFERROR(__xludf.DUMMYFUNCTION("""COMPUTED_VALUE"""),16.75)</f>
        <v>16.75</v>
      </c>
    </row>
    <row r="5201">
      <c r="D5201" t="str">
        <f>IFERROR(__xludf.DUMMYFUNCTION("""COMPUTED_VALUE"""),"Davis")</f>
        <v>Davis</v>
      </c>
      <c r="E5201" t="str">
        <f>IFERROR(__xludf.DUMMYFUNCTION("""COMPUTED_VALUE"""),"Jarrad")</f>
        <v>Jarrad</v>
      </c>
      <c r="F5201">
        <f>IFERROR(__xludf.DUMMYFUNCTION("""COMPUTED_VALUE"""),19.0)</f>
        <v>19</v>
      </c>
    </row>
    <row r="5202">
      <c r="D5202" t="str">
        <f>IFERROR(__xludf.DUMMYFUNCTION("""COMPUTED_VALUE"""),"Davis")</f>
        <v>Davis</v>
      </c>
      <c r="E5202" t="str">
        <f>IFERROR(__xludf.DUMMYFUNCTION("""COMPUTED_VALUE"""),"Jesse")</f>
        <v>Jesse</v>
      </c>
      <c r="F5202">
        <f>IFERROR(__xludf.DUMMYFUNCTION("""COMPUTED_VALUE"""),17.5)</f>
        <v>17.5</v>
      </c>
    </row>
    <row r="5203">
      <c r="D5203" t="str">
        <f>IFERROR(__xludf.DUMMYFUNCTION("""COMPUTED_VALUE"""),"Davis")</f>
        <v>Davis</v>
      </c>
      <c r="E5203" t="str">
        <f>IFERROR(__xludf.DUMMYFUNCTION("""COMPUTED_VALUE"""),"Justin")</f>
        <v>Justin</v>
      </c>
      <c r="F5203">
        <f>IFERROR(__xludf.DUMMYFUNCTION("""COMPUTED_VALUE"""),16.5)</f>
        <v>16.5</v>
      </c>
    </row>
    <row r="5204">
      <c r="D5204" t="str">
        <f>IFERROR(__xludf.DUMMYFUNCTION("""COMPUTED_VALUE"""),"Davis")</f>
        <v>Davis</v>
      </c>
      <c r="E5204" t="str">
        <f>IFERROR(__xludf.DUMMYFUNCTION("""COMPUTED_VALUE"""),"Michael")</f>
        <v>Michael</v>
      </c>
      <c r="F5204">
        <f>IFERROR(__xludf.DUMMYFUNCTION("""COMPUTED_VALUE"""),16.5)</f>
        <v>16.5</v>
      </c>
    </row>
    <row r="5205">
      <c r="D5205" t="str">
        <f>IFERROR(__xludf.DUMMYFUNCTION("""COMPUTED_VALUE"""),"Davis")</f>
        <v>Davis</v>
      </c>
      <c r="E5205" t="str">
        <f>IFERROR(__xludf.DUMMYFUNCTION("""COMPUTED_VALUE"""),"Mike")</f>
        <v>Mike</v>
      </c>
      <c r="F5205">
        <f>IFERROR(__xludf.DUMMYFUNCTION("""COMPUTED_VALUE"""),18.25)</f>
        <v>18.25</v>
      </c>
    </row>
    <row r="5206">
      <c r="D5206" t="str">
        <f>IFERROR(__xludf.DUMMYFUNCTION("""COMPUTED_VALUE"""),"Davis")</f>
        <v>Davis</v>
      </c>
      <c r="E5206" t="str">
        <f>IFERROR(__xludf.DUMMYFUNCTION("""COMPUTED_VALUE"""),"Reggie")</f>
        <v>Reggie</v>
      </c>
      <c r="F5206">
        <f>IFERROR(__xludf.DUMMYFUNCTION("""COMPUTED_VALUE"""),16.0)</f>
        <v>16</v>
      </c>
    </row>
    <row r="5207">
      <c r="D5207" t="str">
        <f>IFERROR(__xludf.DUMMYFUNCTION("""COMPUTED_VALUE"""),"Davis")</f>
        <v>Davis</v>
      </c>
      <c r="E5207" t="str">
        <f>IFERROR(__xludf.DUMMYFUNCTION("""COMPUTED_VALUE"""),"Robert")</f>
        <v>Robert</v>
      </c>
      <c r="F5207">
        <f>IFERROR(__xludf.DUMMYFUNCTION("""COMPUTED_VALUE"""),17.0)</f>
        <v>17</v>
      </c>
    </row>
    <row r="5208">
      <c r="D5208" t="str">
        <f>IFERROR(__xludf.DUMMYFUNCTION("""COMPUTED_VALUE"""),"Davis")</f>
        <v>Davis</v>
      </c>
      <c r="E5208" t="str">
        <f>IFERROR(__xludf.DUMMYFUNCTION("""COMPUTED_VALUE"""),"Ryan")</f>
        <v>Ryan</v>
      </c>
      <c r="F5208">
        <f>IFERROR(__xludf.DUMMYFUNCTION("""COMPUTED_VALUE"""),17.25)</f>
        <v>17.25</v>
      </c>
    </row>
    <row r="5209">
      <c r="D5209" t="str">
        <f>IFERROR(__xludf.DUMMYFUNCTION("""COMPUTED_VALUE"""),"Davis")</f>
        <v>Davis</v>
      </c>
      <c r="E5209" t="str">
        <f>IFERROR(__xludf.DUMMYFUNCTION("""COMPUTED_VALUE"""),"Sean")</f>
        <v>Sean</v>
      </c>
      <c r="F5209">
        <f>IFERROR(__xludf.DUMMYFUNCTION("""COMPUTED_VALUE"""),18.25)</f>
        <v>18.25</v>
      </c>
    </row>
    <row r="5210">
      <c r="D5210" t="str">
        <f>IFERROR(__xludf.DUMMYFUNCTION("""COMPUTED_VALUE"""),"Davis")</f>
        <v>Davis</v>
      </c>
      <c r="E5210" t="str">
        <f>IFERROR(__xludf.DUMMYFUNCTION("""COMPUTED_VALUE"""),"Todd")</f>
        <v>Todd</v>
      </c>
      <c r="F5210">
        <f>IFERROR(__xludf.DUMMYFUNCTION("""COMPUTED_VALUE"""),19.25)</f>
        <v>19.25</v>
      </c>
    </row>
    <row r="5211">
      <c r="D5211" t="str">
        <f>IFERROR(__xludf.DUMMYFUNCTION("""COMPUTED_VALUE"""),"Davis")</f>
        <v>Davis</v>
      </c>
      <c r="E5211" t="str">
        <f>IFERROR(__xludf.DUMMYFUNCTION("""COMPUTED_VALUE"""),"Trevor")</f>
        <v>Trevor</v>
      </c>
      <c r="F5211">
        <f>IFERROR(__xludf.DUMMYFUNCTION("""COMPUTED_VALUE"""),17.5)</f>
        <v>17.5</v>
      </c>
    </row>
    <row r="5212">
      <c r="D5212" t="str">
        <f>IFERROR(__xludf.DUMMYFUNCTION("""COMPUTED_VALUE"""),"Davis")</f>
        <v>Davis</v>
      </c>
      <c r="E5212" t="str">
        <f>IFERROR(__xludf.DUMMYFUNCTION("""COMPUTED_VALUE"""),"Vernon")</f>
        <v>Vernon</v>
      </c>
      <c r="F5212">
        <f>IFERROR(__xludf.DUMMYFUNCTION("""COMPUTED_VALUE"""),20.0)</f>
        <v>20</v>
      </c>
    </row>
    <row r="5213">
      <c r="D5213" t="str">
        <f>IFERROR(__xludf.DUMMYFUNCTION("""COMPUTED_VALUE"""),"Davis")</f>
        <v>Davis</v>
      </c>
      <c r="E5213" t="str">
        <f>IFERROR(__xludf.DUMMYFUNCTION("""COMPUTED_VALUE"""),"Vernon")</f>
        <v>Vernon</v>
      </c>
      <c r="F5213">
        <f>IFERROR(__xludf.DUMMYFUNCTION("""COMPUTED_VALUE"""),21.5)</f>
        <v>21.5</v>
      </c>
    </row>
    <row r="5214">
      <c r="D5214" t="str">
        <f>IFERROR(__xludf.DUMMYFUNCTION("""COMPUTED_VALUE"""),"Davis")</f>
        <v>Davis</v>
      </c>
      <c r="E5214" t="str">
        <f>IFERROR(__xludf.DUMMYFUNCTION("""COMPUTED_VALUE"""),"Vontae")</f>
        <v>Vontae</v>
      </c>
      <c r="F5214">
        <f>IFERROR(__xludf.DUMMYFUNCTION("""COMPUTED_VALUE"""),19.5)</f>
        <v>19.5</v>
      </c>
    </row>
    <row r="5215">
      <c r="D5215" t="str">
        <f>IFERROR(__xludf.DUMMYFUNCTION("""COMPUTED_VALUE"""),"Davis Sr")</f>
        <v>Davis Sr</v>
      </c>
      <c r="E5215" t="str">
        <f>IFERROR(__xludf.DUMMYFUNCTION("""COMPUTED_VALUE"""),"Thomas")</f>
        <v>Thomas</v>
      </c>
      <c r="F5215">
        <f>IFERROR(__xludf.DUMMYFUNCTION("""COMPUTED_VALUE"""),20.75)</f>
        <v>20.75</v>
      </c>
    </row>
    <row r="5216">
      <c r="D5216" t="str">
        <f>IFERROR(__xludf.DUMMYFUNCTION("""COMPUTED_VALUE"""),"Davison")</f>
        <v>Davison</v>
      </c>
      <c r="E5216" t="str">
        <f>IFERROR(__xludf.DUMMYFUNCTION("""COMPUTED_VALUE"""),"Tyeler")</f>
        <v>Tyeler</v>
      </c>
      <c r="F5216">
        <f>IFERROR(__xludf.DUMMYFUNCTION("""COMPUTED_VALUE"""),19.25)</f>
        <v>19.25</v>
      </c>
    </row>
    <row r="5217">
      <c r="D5217" t="str">
        <f>IFERROR(__xludf.DUMMYFUNCTION("""COMPUTED_VALUE"""),"Dawkins")</f>
        <v>Dawkins</v>
      </c>
      <c r="E5217" t="str">
        <f>IFERROR(__xludf.DUMMYFUNCTION("""COMPUTED_VALUE"""),"Dion")</f>
        <v>Dion</v>
      </c>
      <c r="F5217">
        <f>IFERROR(__xludf.DUMMYFUNCTION("""COMPUTED_VALUE"""),19.5)</f>
        <v>19.5</v>
      </c>
    </row>
    <row r="5218">
      <c r="D5218" t="str">
        <f>IFERROR(__xludf.DUMMYFUNCTION("""COMPUTED_VALUE"""),"Dawson")</f>
        <v>Dawson</v>
      </c>
      <c r="E5218" t="str">
        <f>IFERROR(__xludf.DUMMYFUNCTION("""COMPUTED_VALUE"""),"Phil")</f>
        <v>Phil</v>
      </c>
      <c r="F5218">
        <f>IFERROR(__xludf.DUMMYFUNCTION("""COMPUTED_VALUE"""),19.5)</f>
        <v>19.5</v>
      </c>
    </row>
    <row r="5219">
      <c r="D5219" t="str">
        <f>IFERROR(__xludf.DUMMYFUNCTION("""COMPUTED_VALUE"""),"Dawson Jr")</f>
        <v>Dawson Jr</v>
      </c>
      <c r="E5219" t="str">
        <f>IFERROR(__xludf.DUMMYFUNCTION("""COMPUTED_VALUE"""),"Duke")</f>
        <v>Duke</v>
      </c>
      <c r="F5219">
        <f>IFERROR(__xludf.DUMMYFUNCTION("""COMPUTED_VALUE"""),18.25)</f>
        <v>18.25</v>
      </c>
    </row>
    <row r="5220">
      <c r="D5220" t="str">
        <f>IFERROR(__xludf.DUMMYFUNCTION("""COMPUTED_VALUE"""),"Day")</f>
        <v>Day</v>
      </c>
      <c r="E5220" t="str">
        <f>IFERROR(__xludf.DUMMYFUNCTION("""COMPUTED_VALUE"""),"Dillon")</f>
        <v>Dillon</v>
      </c>
      <c r="F5220">
        <f>IFERROR(__xludf.DUMMYFUNCTION("""COMPUTED_VALUE"""),16.5)</f>
        <v>16.5</v>
      </c>
    </row>
    <row r="5221">
      <c r="D5221" t="str">
        <f>IFERROR(__xludf.DUMMYFUNCTION("""COMPUTED_VALUE"""),"Day")</f>
        <v>Day</v>
      </c>
      <c r="E5221" t="str">
        <f>IFERROR(__xludf.DUMMYFUNCTION("""COMPUTED_VALUE"""),"Sheldon")</f>
        <v>Sheldon</v>
      </c>
      <c r="F5221">
        <f>IFERROR(__xludf.DUMMYFUNCTION("""COMPUTED_VALUE"""),18.25)</f>
        <v>18.25</v>
      </c>
    </row>
    <row r="5222">
      <c r="D5222" t="str">
        <f>IFERROR(__xludf.DUMMYFUNCTION("""COMPUTED_VALUE"""),"Dayes")</f>
        <v>Dayes</v>
      </c>
      <c r="E5222" t="str">
        <f>IFERROR(__xludf.DUMMYFUNCTION("""COMPUTED_VALUE"""),"Matthew")</f>
        <v>Matthew</v>
      </c>
      <c r="F5222">
        <f>IFERROR(__xludf.DUMMYFUNCTION("""COMPUTED_VALUE"""),15.75)</f>
        <v>15.75</v>
      </c>
    </row>
    <row r="5223">
      <c r="D5223" t="str">
        <f>IFERROR(__xludf.DUMMYFUNCTION("""COMPUTED_VALUE"""),"Deayon")</f>
        <v>Deayon</v>
      </c>
      <c r="E5223" t="str">
        <f>IFERROR(__xludf.DUMMYFUNCTION("""COMPUTED_VALUE"""),"Donte")</f>
        <v>Donte</v>
      </c>
      <c r="F5223">
        <f>IFERROR(__xludf.DUMMYFUNCTION("""COMPUTED_VALUE"""),16.75)</f>
        <v>16.75</v>
      </c>
    </row>
    <row r="5224">
      <c r="D5224" t="str">
        <f>IFERROR(__xludf.DUMMYFUNCTION("""COMPUTED_VALUE"""),"DeCastro")</f>
        <v>DeCastro</v>
      </c>
      <c r="E5224" t="str">
        <f>IFERROR(__xludf.DUMMYFUNCTION("""COMPUTED_VALUE"""),"David")</f>
        <v>David</v>
      </c>
      <c r="F5224">
        <f>IFERROR(__xludf.DUMMYFUNCTION("""COMPUTED_VALUE"""),21.75)</f>
        <v>21.75</v>
      </c>
    </row>
    <row r="5225">
      <c r="D5225" t="str">
        <f>IFERROR(__xludf.DUMMYFUNCTION("""COMPUTED_VALUE"""),"Decker")</f>
        <v>Decker</v>
      </c>
      <c r="E5225" t="str">
        <f>IFERROR(__xludf.DUMMYFUNCTION("""COMPUTED_VALUE"""),"Eric")</f>
        <v>Eric</v>
      </c>
      <c r="F5225">
        <f>IFERROR(__xludf.DUMMYFUNCTION("""COMPUTED_VALUE"""),15.25)</f>
        <v>15.25</v>
      </c>
    </row>
    <row r="5226">
      <c r="D5226" t="str">
        <f>IFERROR(__xludf.DUMMYFUNCTION("""COMPUTED_VALUE"""),"Decker")</f>
        <v>Decker</v>
      </c>
      <c r="E5226" t="str">
        <f>IFERROR(__xludf.DUMMYFUNCTION("""COMPUTED_VALUE"""),"Taylor")</f>
        <v>Taylor</v>
      </c>
      <c r="F5226">
        <f>IFERROR(__xludf.DUMMYFUNCTION("""COMPUTED_VALUE"""),19.25)</f>
        <v>19.25</v>
      </c>
    </row>
    <row r="5227">
      <c r="D5227" t="str">
        <f>IFERROR(__xludf.DUMMYFUNCTION("""COMPUTED_VALUE"""),"DeCoud")</f>
        <v>DeCoud</v>
      </c>
      <c r="E5227" t="str">
        <f>IFERROR(__xludf.DUMMYFUNCTION("""COMPUTED_VALUE"""),"Treston")</f>
        <v>Treston</v>
      </c>
      <c r="F5227">
        <f>IFERROR(__xludf.DUMMYFUNCTION("""COMPUTED_VALUE"""),17.25)</f>
        <v>17.25</v>
      </c>
    </row>
    <row r="5228">
      <c r="D5228" t="str">
        <f>IFERROR(__xludf.DUMMYFUNCTION("""COMPUTED_VALUE"""),"Demby")</f>
        <v>Demby</v>
      </c>
      <c r="E5228" t="str">
        <f>IFERROR(__xludf.DUMMYFUNCTION("""COMPUTED_VALUE"""),"Jamil")</f>
        <v>Jamil</v>
      </c>
      <c r="F5228">
        <f>IFERROR(__xludf.DUMMYFUNCTION("""COMPUTED_VALUE"""),17.25)</f>
        <v>17.25</v>
      </c>
    </row>
    <row r="5229">
      <c r="D5229" t="str">
        <f>IFERROR(__xludf.DUMMYFUNCTION("""COMPUTED_VALUE"""),"Dennard")</f>
        <v>Dennard</v>
      </c>
      <c r="E5229" t="str">
        <f>IFERROR(__xludf.DUMMYFUNCTION("""COMPUTED_VALUE"""),"Darqueze")</f>
        <v>Darqueze</v>
      </c>
      <c r="F5229">
        <f>IFERROR(__xludf.DUMMYFUNCTION("""COMPUTED_VALUE"""),19.25)</f>
        <v>19.25</v>
      </c>
    </row>
    <row r="5230">
      <c r="D5230" t="str">
        <f>IFERROR(__xludf.DUMMYFUNCTION("""COMPUTED_VALUE"""),"Derby")</f>
        <v>Derby</v>
      </c>
      <c r="E5230" t="str">
        <f>IFERROR(__xludf.DUMMYFUNCTION("""COMPUTED_VALUE"""),"AJ")</f>
        <v>AJ</v>
      </c>
      <c r="F5230">
        <f>IFERROR(__xludf.DUMMYFUNCTION("""COMPUTED_VALUE"""),19.0)</f>
        <v>19</v>
      </c>
    </row>
    <row r="5231">
      <c r="D5231" t="str">
        <f>IFERROR(__xludf.DUMMYFUNCTION("""COMPUTED_VALUE"""),"Desir")</f>
        <v>Desir</v>
      </c>
      <c r="E5231" t="str">
        <f>IFERROR(__xludf.DUMMYFUNCTION("""COMPUTED_VALUE"""),"Pierre")</f>
        <v>Pierre</v>
      </c>
      <c r="F5231">
        <f>IFERROR(__xludf.DUMMYFUNCTION("""COMPUTED_VALUE"""),18.75)</f>
        <v>18.75</v>
      </c>
    </row>
    <row r="5232">
      <c r="D5232" t="str">
        <f>IFERROR(__xludf.DUMMYFUNCTION("""COMPUTED_VALUE"""),"DeValve")</f>
        <v>DeValve</v>
      </c>
      <c r="E5232" t="str">
        <f>IFERROR(__xludf.DUMMYFUNCTION("""COMPUTED_VALUE"""),"Seth")</f>
        <v>Seth</v>
      </c>
      <c r="F5232">
        <f>IFERROR(__xludf.DUMMYFUNCTION("""COMPUTED_VALUE"""),19.0)</f>
        <v>19</v>
      </c>
    </row>
    <row r="5233">
      <c r="D5233" t="str">
        <f>IFERROR(__xludf.DUMMYFUNCTION("""COMPUTED_VALUE"""),"Develin")</f>
        <v>Develin</v>
      </c>
      <c r="E5233" t="str">
        <f>IFERROR(__xludf.DUMMYFUNCTION("""COMPUTED_VALUE"""),"James")</f>
        <v>James</v>
      </c>
      <c r="F5233">
        <f>IFERROR(__xludf.DUMMYFUNCTION("""COMPUTED_VALUE"""),20.75)</f>
        <v>20.75</v>
      </c>
    </row>
    <row r="5234">
      <c r="D5234" t="str">
        <f>IFERROR(__xludf.DUMMYFUNCTION("""COMPUTED_VALUE"""),"Devey")</f>
        <v>Devey</v>
      </c>
      <c r="E5234" t="str">
        <f>IFERROR(__xludf.DUMMYFUNCTION("""COMPUTED_VALUE"""),"Jordan")</f>
        <v>Jordan</v>
      </c>
      <c r="F5234">
        <f>IFERROR(__xludf.DUMMYFUNCTION("""COMPUTED_VALUE"""),17.0)</f>
        <v>17</v>
      </c>
    </row>
    <row r="5235">
      <c r="D5235" t="str">
        <f>IFERROR(__xludf.DUMMYFUNCTION("""COMPUTED_VALUE"""),"Dickson")</f>
        <v>Dickson</v>
      </c>
      <c r="E5235" t="str">
        <f>IFERROR(__xludf.DUMMYFUNCTION("""COMPUTED_VALUE"""),"Ed")</f>
        <v>Ed</v>
      </c>
      <c r="F5235">
        <f>IFERROR(__xludf.DUMMYFUNCTION("""COMPUTED_VALUE"""),18.5)</f>
        <v>18.5</v>
      </c>
    </row>
    <row r="5236">
      <c r="D5236" t="str">
        <f>IFERROR(__xludf.DUMMYFUNCTION("""COMPUTED_VALUE"""),"Dickson")</f>
        <v>Dickson</v>
      </c>
      <c r="E5236" t="str">
        <f>IFERROR(__xludf.DUMMYFUNCTION("""COMPUTED_VALUE"""),"Michael")</f>
        <v>Michael</v>
      </c>
      <c r="F5236">
        <f>IFERROR(__xludf.DUMMYFUNCTION("""COMPUTED_VALUE"""),19.75)</f>
        <v>19.75</v>
      </c>
    </row>
    <row r="5237">
      <c r="D5237" t="str">
        <f>IFERROR(__xludf.DUMMYFUNCTION("""COMPUTED_VALUE"""),"Dielman")</f>
        <v>Dielman</v>
      </c>
      <c r="E5237" t="str">
        <f>IFERROR(__xludf.DUMMYFUNCTION("""COMPUTED_VALUE"""),"JJ")</f>
        <v>JJ</v>
      </c>
      <c r="F5237">
        <f>IFERROR(__xludf.DUMMYFUNCTION("""COMPUTED_VALUE"""),17.75)</f>
        <v>17.75</v>
      </c>
    </row>
    <row r="5238">
      <c r="D5238" t="str">
        <f>IFERROR(__xludf.DUMMYFUNCTION("""COMPUTED_VALUE"""),"Diggs")</f>
        <v>Diggs</v>
      </c>
      <c r="E5238" t="str">
        <f>IFERROR(__xludf.DUMMYFUNCTION("""COMPUTED_VALUE"""),"Quandre")</f>
        <v>Quandre</v>
      </c>
      <c r="F5238">
        <f>IFERROR(__xludf.DUMMYFUNCTION("""COMPUTED_VALUE"""),19.0)</f>
        <v>19</v>
      </c>
    </row>
    <row r="5239">
      <c r="D5239" t="str">
        <f>IFERROR(__xludf.DUMMYFUNCTION("""COMPUTED_VALUE"""),"Diggs")</f>
        <v>Diggs</v>
      </c>
      <c r="E5239" t="str">
        <f>IFERROR(__xludf.DUMMYFUNCTION("""COMPUTED_VALUE"""),"Stefon")</f>
        <v>Stefon</v>
      </c>
      <c r="F5239">
        <f>IFERROR(__xludf.DUMMYFUNCTION("""COMPUTED_VALUE"""),21.25)</f>
        <v>21.25</v>
      </c>
    </row>
    <row r="5240">
      <c r="D5240" t="str">
        <f>IFERROR(__xludf.DUMMYFUNCTION("""COMPUTED_VALUE"""),"DiMarco")</f>
        <v>DiMarco</v>
      </c>
      <c r="E5240" t="str">
        <f>IFERROR(__xludf.DUMMYFUNCTION("""COMPUTED_VALUE"""),"Patrick")</f>
        <v>Patrick</v>
      </c>
      <c r="F5240">
        <f>IFERROR(__xludf.DUMMYFUNCTION("""COMPUTED_VALUE"""),18.25)</f>
        <v>18.25</v>
      </c>
    </row>
    <row r="5241">
      <c r="D5241" t="str">
        <f>IFERROR(__xludf.DUMMYFUNCTION("""COMPUTED_VALUE"""),"Dissly")</f>
        <v>Dissly</v>
      </c>
      <c r="E5241" t="str">
        <f>IFERROR(__xludf.DUMMYFUNCTION("""COMPUTED_VALUE"""),"Will")</f>
        <v>Will</v>
      </c>
      <c r="F5241">
        <f>IFERROR(__xludf.DUMMYFUNCTION("""COMPUTED_VALUE"""),18.0)</f>
        <v>18</v>
      </c>
    </row>
    <row r="5242">
      <c r="D5242" t="str">
        <f>IFERROR(__xludf.DUMMYFUNCTION("""COMPUTED_VALUE"""),"Dixon")</f>
        <v>Dixon</v>
      </c>
      <c r="E5242" t="str">
        <f>IFERROR(__xludf.DUMMYFUNCTION("""COMPUTED_VALUE"""),"Brandon")</f>
        <v>Brandon</v>
      </c>
      <c r="F5242">
        <f>IFERROR(__xludf.DUMMYFUNCTION("""COMPUTED_VALUE"""),16.0)</f>
        <v>16</v>
      </c>
    </row>
    <row r="5243">
      <c r="D5243" t="str">
        <f>IFERROR(__xludf.DUMMYFUNCTION("""COMPUTED_VALUE"""),"Dixon")</f>
        <v>Dixon</v>
      </c>
      <c r="E5243" t="str">
        <f>IFERROR(__xludf.DUMMYFUNCTION("""COMPUTED_VALUE"""),"Kenneth")</f>
        <v>Kenneth</v>
      </c>
      <c r="F5243">
        <f>IFERROR(__xludf.DUMMYFUNCTION("""COMPUTED_VALUE"""),18.5)</f>
        <v>18.5</v>
      </c>
    </row>
    <row r="5244">
      <c r="D5244" t="str">
        <f>IFERROR(__xludf.DUMMYFUNCTION("""COMPUTED_VALUE"""),"Dixon")</f>
        <v>Dixon</v>
      </c>
      <c r="E5244" t="str">
        <f>IFERROR(__xludf.DUMMYFUNCTION("""COMPUTED_VALUE"""),"Riley")</f>
        <v>Riley</v>
      </c>
      <c r="F5244">
        <f>IFERROR(__xludf.DUMMYFUNCTION("""COMPUTED_VALUE"""),18.75)</f>
        <v>18.75</v>
      </c>
    </row>
    <row r="5245">
      <c r="D5245" t="str">
        <f>IFERROR(__xludf.DUMMYFUNCTION("""COMPUTED_VALUE"""),"Dobbs")</f>
        <v>Dobbs</v>
      </c>
      <c r="E5245" t="str">
        <f>IFERROR(__xludf.DUMMYFUNCTION("""COMPUTED_VALUE"""),"Joshua")</f>
        <v>Joshua</v>
      </c>
      <c r="F5245">
        <f>IFERROR(__xludf.DUMMYFUNCTION("""COMPUTED_VALUE"""),18.25)</f>
        <v>18.25</v>
      </c>
    </row>
    <row r="5246">
      <c r="D5246" t="str">
        <f>IFERROR(__xludf.DUMMYFUNCTION("""COMPUTED_VALUE"""),"Doctson")</f>
        <v>Doctson</v>
      </c>
      <c r="E5246" t="str">
        <f>IFERROR(__xludf.DUMMYFUNCTION("""COMPUTED_VALUE"""),"Josh")</f>
        <v>Josh</v>
      </c>
      <c r="F5246">
        <f>IFERROR(__xludf.DUMMYFUNCTION("""COMPUTED_VALUE"""),19.25)</f>
        <v>19.25</v>
      </c>
    </row>
    <row r="5247">
      <c r="D5247" t="str">
        <f>IFERROR(__xludf.DUMMYFUNCTION("""COMPUTED_VALUE"""),"Dodd")</f>
        <v>Dodd</v>
      </c>
      <c r="E5247" t="str">
        <f>IFERROR(__xludf.DUMMYFUNCTION("""COMPUTED_VALUE"""),"Kevin")</f>
        <v>Kevin</v>
      </c>
      <c r="F5247">
        <f>IFERROR(__xludf.DUMMYFUNCTION("""COMPUTED_VALUE"""),18.75)</f>
        <v>18.75</v>
      </c>
    </row>
    <row r="5248">
      <c r="D5248" t="str">
        <f>IFERROR(__xludf.DUMMYFUNCTION("""COMPUTED_VALUE"""),"Donahue")</f>
        <v>Donahue</v>
      </c>
      <c r="E5248" t="str">
        <f>IFERROR(__xludf.DUMMYFUNCTION("""COMPUTED_VALUE"""),"Dylan")</f>
        <v>Dylan</v>
      </c>
      <c r="F5248">
        <f>IFERROR(__xludf.DUMMYFUNCTION("""COMPUTED_VALUE"""),17.0)</f>
        <v>17</v>
      </c>
    </row>
    <row r="5249">
      <c r="D5249" t="str">
        <f>IFERROR(__xludf.DUMMYFUNCTION("""COMPUTED_VALUE"""),"Donald")</f>
        <v>Donald</v>
      </c>
      <c r="E5249" t="str">
        <f>IFERROR(__xludf.DUMMYFUNCTION("""COMPUTED_VALUE"""),"Aaron")</f>
        <v>Aaron</v>
      </c>
      <c r="F5249">
        <f>IFERROR(__xludf.DUMMYFUNCTION("""COMPUTED_VALUE"""),22.25)</f>
        <v>22.25</v>
      </c>
    </row>
    <row r="5250">
      <c r="D5250" t="str">
        <f>IFERROR(__xludf.DUMMYFUNCTION("""COMPUTED_VALUE"""),"Donnal")</f>
        <v>Donnal</v>
      </c>
      <c r="E5250" t="str">
        <f>IFERROR(__xludf.DUMMYFUNCTION("""COMPUTED_VALUE"""),"Andrew")</f>
        <v>Andrew</v>
      </c>
      <c r="F5250">
        <f>IFERROR(__xludf.DUMMYFUNCTION("""COMPUTED_VALUE"""),15.5)</f>
        <v>15.5</v>
      </c>
    </row>
    <row r="5251">
      <c r="D5251" t="str">
        <f>IFERROR(__xludf.DUMMYFUNCTION("""COMPUTED_VALUE"""),"Donnerson")</f>
        <v>Donnerson</v>
      </c>
      <c r="E5251" t="str">
        <f>IFERROR(__xludf.DUMMYFUNCTION("""COMPUTED_VALUE"""),"Kendall")</f>
        <v>Kendall</v>
      </c>
      <c r="F5251">
        <f>IFERROR(__xludf.DUMMYFUNCTION("""COMPUTED_VALUE"""),16.0)</f>
        <v>16</v>
      </c>
    </row>
    <row r="5252">
      <c r="D5252" t="str">
        <f>IFERROR(__xludf.DUMMYFUNCTION("""COMPUTED_VALUE"""),"Dora")</f>
        <v>Dora</v>
      </c>
      <c r="E5252" t="str">
        <f>IFERROR(__xludf.DUMMYFUNCTION("""COMPUTED_VALUE"""),"Vontarrius")</f>
        <v>Vontarrius</v>
      </c>
      <c r="F5252">
        <f>IFERROR(__xludf.DUMMYFUNCTION("""COMPUTED_VALUE"""),15.5)</f>
        <v>15.5</v>
      </c>
    </row>
    <row r="5253">
      <c r="D5253" t="str">
        <f>IFERROR(__xludf.DUMMYFUNCTION("""COMPUTED_VALUE"""),"Dorsett")</f>
        <v>Dorsett</v>
      </c>
      <c r="E5253" t="str">
        <f>IFERROR(__xludf.DUMMYFUNCTION("""COMPUTED_VALUE"""),"Phillip")</f>
        <v>Phillip</v>
      </c>
      <c r="F5253">
        <f>IFERROR(__xludf.DUMMYFUNCTION("""COMPUTED_VALUE"""),18.75)</f>
        <v>18.75</v>
      </c>
    </row>
    <row r="5254">
      <c r="D5254" t="str">
        <f>IFERROR(__xludf.DUMMYFUNCTION("""COMPUTED_VALUE"""),"Doss")</f>
        <v>Doss</v>
      </c>
      <c r="E5254" t="str">
        <f>IFERROR(__xludf.DUMMYFUNCTION("""COMPUTED_VALUE"""),"Lorenzo")</f>
        <v>Lorenzo</v>
      </c>
      <c r="F5254">
        <f>IFERROR(__xludf.DUMMYFUNCTION("""COMPUTED_VALUE"""),16.0)</f>
        <v>16</v>
      </c>
    </row>
    <row r="5255">
      <c r="D5255" t="str">
        <f>IFERROR(__xludf.DUMMYFUNCTION("""COMPUTED_VALUE"""),"Dotson")</f>
        <v>Dotson</v>
      </c>
      <c r="E5255" t="str">
        <f>IFERROR(__xludf.DUMMYFUNCTION("""COMPUTED_VALUE"""),"Demar")</f>
        <v>Demar</v>
      </c>
      <c r="F5255">
        <f>IFERROR(__xludf.DUMMYFUNCTION("""COMPUTED_VALUE"""),21.0)</f>
        <v>21</v>
      </c>
    </row>
    <row r="5256">
      <c r="D5256" t="str">
        <f>IFERROR(__xludf.DUMMYFUNCTION("""COMPUTED_VALUE"""),"Douglas")</f>
        <v>Douglas</v>
      </c>
      <c r="E5256" t="str">
        <f>IFERROR(__xludf.DUMMYFUNCTION("""COMPUTED_VALUE"""),"Jamil")</f>
        <v>Jamil</v>
      </c>
      <c r="F5256">
        <f>IFERROR(__xludf.DUMMYFUNCTION("""COMPUTED_VALUE"""),16.5)</f>
        <v>16.5</v>
      </c>
    </row>
    <row r="5257">
      <c r="D5257" t="str">
        <f>IFERROR(__xludf.DUMMYFUNCTION("""COMPUTED_VALUE"""),"Douglas")</f>
        <v>Douglas</v>
      </c>
      <c r="E5257" t="str">
        <f>IFERROR(__xludf.DUMMYFUNCTION("""COMPUTED_VALUE"""),"Rasul")</f>
        <v>Rasul</v>
      </c>
      <c r="F5257">
        <f>IFERROR(__xludf.DUMMYFUNCTION("""COMPUTED_VALUE"""),18.5)</f>
        <v>18.5</v>
      </c>
    </row>
    <row r="5258">
      <c r="D5258" t="str">
        <f>IFERROR(__xludf.DUMMYFUNCTION("""COMPUTED_VALUE"""),"Downs")</f>
        <v>Downs</v>
      </c>
      <c r="E5258" t="str">
        <f>IFERROR(__xludf.DUMMYFUNCTION("""COMPUTED_VALUE"""),"Devante")</f>
        <v>Devante</v>
      </c>
      <c r="F5258">
        <f>IFERROR(__xludf.DUMMYFUNCTION("""COMPUTED_VALUE"""),16.75)</f>
        <v>16.75</v>
      </c>
    </row>
    <row r="5259">
      <c r="D5259" t="str">
        <f>IFERROR(__xludf.DUMMYFUNCTION("""COMPUTED_VALUE"""),"Doyle")</f>
        <v>Doyle</v>
      </c>
      <c r="E5259" t="str">
        <f>IFERROR(__xludf.DUMMYFUNCTION("""COMPUTED_VALUE"""),"Jack")</f>
        <v>Jack</v>
      </c>
      <c r="F5259">
        <f>IFERROR(__xludf.DUMMYFUNCTION("""COMPUTED_VALUE"""),20.0)</f>
        <v>20</v>
      </c>
    </row>
    <row r="5260">
      <c r="D5260" t="str">
        <f>IFERROR(__xludf.DUMMYFUNCTION("""COMPUTED_VALUE"""),"Dozier")</f>
        <v>Dozier</v>
      </c>
      <c r="E5260" t="str">
        <f>IFERROR(__xludf.DUMMYFUNCTION("""COMPUTED_VALUE"""),"Dakota")</f>
        <v>Dakota</v>
      </c>
      <c r="F5260">
        <f>IFERROR(__xludf.DUMMYFUNCTION("""COMPUTED_VALUE"""),17.75)</f>
        <v>17.75</v>
      </c>
    </row>
    <row r="5261">
      <c r="D5261" t="str">
        <f>IFERROR(__xludf.DUMMYFUNCTION("""COMPUTED_VALUE"""),"Drake")</f>
        <v>Drake</v>
      </c>
      <c r="E5261" t="str">
        <f>IFERROR(__xludf.DUMMYFUNCTION("""COMPUTED_VALUE"""),"Kenyan")</f>
        <v>Kenyan</v>
      </c>
      <c r="F5261">
        <f>IFERROR(__xludf.DUMMYFUNCTION("""COMPUTED_VALUE"""),19.25)</f>
        <v>19.25</v>
      </c>
    </row>
    <row r="5262">
      <c r="D5262" t="str">
        <f>IFERROR(__xludf.DUMMYFUNCTION("""COMPUTED_VALUE"""),"Drango")</f>
        <v>Drango</v>
      </c>
      <c r="E5262" t="str">
        <f>IFERROR(__xludf.DUMMYFUNCTION("""COMPUTED_VALUE"""),"Spencer")</f>
        <v>Spencer</v>
      </c>
      <c r="F5262">
        <f>IFERROR(__xludf.DUMMYFUNCTION("""COMPUTED_VALUE"""),17.5)</f>
        <v>17.5</v>
      </c>
    </row>
    <row r="5263">
      <c r="D5263" t="str">
        <f>IFERROR(__xludf.DUMMYFUNCTION("""COMPUTED_VALUE"""),"Driskel")</f>
        <v>Driskel</v>
      </c>
      <c r="E5263" t="str">
        <f>IFERROR(__xludf.DUMMYFUNCTION("""COMPUTED_VALUE"""),"Jeff")</f>
        <v>Jeff</v>
      </c>
      <c r="F5263">
        <f>IFERROR(__xludf.DUMMYFUNCTION("""COMPUTED_VALUE"""),17.0)</f>
        <v>17</v>
      </c>
    </row>
    <row r="5264">
      <c r="D5264" t="str">
        <f>IFERROR(__xludf.DUMMYFUNCTION("""COMPUTED_VALUE"""),"Drummond")</f>
        <v>Drummond</v>
      </c>
      <c r="E5264" t="str">
        <f>IFERROR(__xludf.DUMMYFUNCTION("""COMPUTED_VALUE"""),"Kurtis")</f>
        <v>Kurtis</v>
      </c>
      <c r="F5264">
        <f>IFERROR(__xludf.DUMMYFUNCTION("""COMPUTED_VALUE"""),16.0)</f>
        <v>16</v>
      </c>
    </row>
    <row r="5265">
      <c r="D5265" t="str">
        <f>IFERROR(__xludf.DUMMYFUNCTION("""COMPUTED_VALUE"""),"Duarte")</f>
        <v>Duarte</v>
      </c>
      <c r="E5265" t="str">
        <f>IFERROR(__xludf.DUMMYFUNCTION("""COMPUTED_VALUE"""),"Thomas")</f>
        <v>Thomas</v>
      </c>
      <c r="F5265">
        <f>IFERROR(__xludf.DUMMYFUNCTION("""COMPUTED_VALUE"""),16.0)</f>
        <v>16</v>
      </c>
    </row>
    <row r="5266">
      <c r="D5266" t="str">
        <f>IFERROR(__xludf.DUMMYFUNCTION("""COMPUTED_VALUE"""),"Ducasse")</f>
        <v>Ducasse</v>
      </c>
      <c r="E5266" t="str">
        <f>IFERROR(__xludf.DUMMYFUNCTION("""COMPUTED_VALUE"""),"Vladimir")</f>
        <v>Vladimir</v>
      </c>
      <c r="F5266">
        <f>IFERROR(__xludf.DUMMYFUNCTION("""COMPUTED_VALUE"""),19.0)</f>
        <v>19</v>
      </c>
    </row>
    <row r="5267">
      <c r="D5267" t="str">
        <f>IFERROR(__xludf.DUMMYFUNCTION("""COMPUTED_VALUE"""),"Duke")</f>
        <v>Duke</v>
      </c>
      <c r="E5267" t="str">
        <f>IFERROR(__xludf.DUMMYFUNCTION("""COMPUTED_VALUE"""),"Austin")</f>
        <v>Austin</v>
      </c>
      <c r="F5267">
        <f>IFERROR(__xludf.DUMMYFUNCTION("""COMPUTED_VALUE"""),15.75)</f>
        <v>15.75</v>
      </c>
    </row>
    <row r="5268">
      <c r="D5268" t="str">
        <f>IFERROR(__xludf.DUMMYFUNCTION("""COMPUTED_VALUE"""),"Dunbar")</f>
        <v>Dunbar</v>
      </c>
      <c r="E5268" t="str">
        <f>IFERROR(__xludf.DUMMYFUNCTION("""COMPUTED_VALUE"""),"Quinton")</f>
        <v>Quinton</v>
      </c>
      <c r="F5268">
        <f>IFERROR(__xludf.DUMMYFUNCTION("""COMPUTED_VALUE"""),19.5)</f>
        <v>19.5</v>
      </c>
    </row>
    <row r="5269">
      <c r="D5269" t="str">
        <f>IFERROR(__xludf.DUMMYFUNCTION("""COMPUTED_VALUE"""),"Dunlap")</f>
        <v>Dunlap</v>
      </c>
      <c r="E5269" t="str">
        <f>IFERROR(__xludf.DUMMYFUNCTION("""COMPUTED_VALUE"""),"Carlos")</f>
        <v>Carlos</v>
      </c>
      <c r="F5269">
        <f>IFERROR(__xludf.DUMMYFUNCTION("""COMPUTED_VALUE"""),19.75)</f>
        <v>19.75</v>
      </c>
    </row>
    <row r="5270">
      <c r="D5270" t="str">
        <f>IFERROR(__xludf.DUMMYFUNCTION("""COMPUTED_VALUE"""),"Dunn")</f>
        <v>Dunn</v>
      </c>
      <c r="E5270" t="str">
        <f>IFERROR(__xludf.DUMMYFUNCTION("""COMPUTED_VALUE"""),"Brandon")</f>
        <v>Brandon</v>
      </c>
      <c r="F5270">
        <f>IFERROR(__xludf.DUMMYFUNCTION("""COMPUTED_VALUE"""),17.5)</f>
        <v>17.5</v>
      </c>
    </row>
    <row r="5271">
      <c r="D5271" t="str">
        <f>IFERROR(__xludf.DUMMYFUNCTION("""COMPUTED_VALUE"""),"Dupre")</f>
        <v>Dupre</v>
      </c>
      <c r="E5271" t="str">
        <f>IFERROR(__xludf.DUMMYFUNCTION("""COMPUTED_VALUE"""),"Malachi")</f>
        <v>Malachi</v>
      </c>
      <c r="F5271">
        <f>IFERROR(__xludf.DUMMYFUNCTION("""COMPUTED_VALUE"""),17.0)</f>
        <v>17</v>
      </c>
    </row>
    <row r="5272">
      <c r="D5272" t="str">
        <f>IFERROR(__xludf.DUMMYFUNCTION("""COMPUTED_VALUE"""),"Dupree")</f>
        <v>Dupree</v>
      </c>
      <c r="E5272" t="str">
        <f>IFERROR(__xludf.DUMMYFUNCTION("""COMPUTED_VALUE"""),"Bud")</f>
        <v>Bud</v>
      </c>
      <c r="F5272">
        <f>IFERROR(__xludf.DUMMYFUNCTION("""COMPUTED_VALUE"""),19.0)</f>
        <v>19</v>
      </c>
    </row>
    <row r="5273">
      <c r="D5273" t="str">
        <f>IFERROR(__xludf.DUMMYFUNCTION("""COMPUTED_VALUE"""),"Dural")</f>
        <v>Dural</v>
      </c>
      <c r="E5273" t="str">
        <f>IFERROR(__xludf.DUMMYFUNCTION("""COMPUTED_VALUE"""),"Travin")</f>
        <v>Travin</v>
      </c>
      <c r="F5273">
        <f>IFERROR(__xludf.DUMMYFUNCTION("""COMPUTED_VALUE"""),16.0)</f>
        <v>16</v>
      </c>
    </row>
    <row r="5274">
      <c r="D5274" t="str">
        <f>IFERROR(__xludf.DUMMYFUNCTION("""COMPUTED_VALUE"""),"Duvernay-Tardif")</f>
        <v>Duvernay-Tardif</v>
      </c>
      <c r="E5274" t="str">
        <f>IFERROR(__xludf.DUMMYFUNCTION("""COMPUTED_VALUE"""),"Laurent")</f>
        <v>Laurent</v>
      </c>
      <c r="F5274">
        <f>IFERROR(__xludf.DUMMYFUNCTION("""COMPUTED_VALUE"""),19.75)</f>
        <v>19.75</v>
      </c>
    </row>
    <row r="5275">
      <c r="D5275" t="str">
        <f>IFERROR(__xludf.DUMMYFUNCTION("""COMPUTED_VALUE"""),"Dzubnar")</f>
        <v>Dzubnar</v>
      </c>
      <c r="E5275" t="str">
        <f>IFERROR(__xludf.DUMMYFUNCTION("""COMPUTED_VALUE"""),"Nick")</f>
        <v>Nick</v>
      </c>
      <c r="F5275">
        <f>IFERROR(__xludf.DUMMYFUNCTION("""COMPUTED_VALUE"""),16.0)</f>
        <v>16</v>
      </c>
    </row>
    <row r="5276">
      <c r="D5276" t="str">
        <f>IFERROR(__xludf.DUMMYFUNCTION("""COMPUTED_VALUE"""),"Ealy")</f>
        <v>Ealy</v>
      </c>
      <c r="E5276" t="str">
        <f>IFERROR(__xludf.DUMMYFUNCTION("""COMPUTED_VALUE"""),"Kony")</f>
        <v>Kony</v>
      </c>
      <c r="F5276">
        <f>IFERROR(__xludf.DUMMYFUNCTION("""COMPUTED_VALUE"""),18.75)</f>
        <v>18.75</v>
      </c>
    </row>
    <row r="5277">
      <c r="D5277" t="str">
        <f>IFERROR(__xludf.DUMMYFUNCTION("""COMPUTED_VALUE"""),"Easley")</f>
        <v>Easley</v>
      </c>
      <c r="E5277" t="str">
        <f>IFERROR(__xludf.DUMMYFUNCTION("""COMPUTED_VALUE"""),"Dominique")</f>
        <v>Dominique</v>
      </c>
      <c r="F5277">
        <f>IFERROR(__xludf.DUMMYFUNCTION("""COMPUTED_VALUE"""),19.0)</f>
        <v>19</v>
      </c>
    </row>
    <row r="5278">
      <c r="D5278" t="str">
        <f>IFERROR(__xludf.DUMMYFUNCTION("""COMPUTED_VALUE"""),"Easton")</f>
        <v>Easton</v>
      </c>
      <c r="E5278" t="str">
        <f>IFERROR(__xludf.DUMMYFUNCTION("""COMPUTED_VALUE"""),"Nick")</f>
        <v>Nick</v>
      </c>
      <c r="F5278">
        <f>IFERROR(__xludf.DUMMYFUNCTION("""COMPUTED_VALUE"""),18.75)</f>
        <v>18.75</v>
      </c>
    </row>
    <row r="5279">
      <c r="D5279" t="str">
        <f>IFERROR(__xludf.DUMMYFUNCTION("""COMPUTED_VALUE"""),"Ebner")</f>
        <v>Ebner</v>
      </c>
      <c r="E5279" t="str">
        <f>IFERROR(__xludf.DUMMYFUNCTION("""COMPUTED_VALUE"""),"Nate")</f>
        <v>Nate</v>
      </c>
      <c r="F5279">
        <f>IFERROR(__xludf.DUMMYFUNCTION("""COMPUTED_VALUE"""),17.25)</f>
        <v>17.25</v>
      </c>
    </row>
    <row r="5280">
      <c r="D5280" t="str">
        <f>IFERROR(__xludf.DUMMYFUNCTION("""COMPUTED_VALUE"""),"Ebron")</f>
        <v>Ebron</v>
      </c>
      <c r="E5280" t="str">
        <f>IFERROR(__xludf.DUMMYFUNCTION("""COMPUTED_VALUE"""),"Eric")</f>
        <v>Eric</v>
      </c>
      <c r="F5280">
        <f>IFERROR(__xludf.DUMMYFUNCTION("""COMPUTED_VALUE"""),20.25)</f>
        <v>20.25</v>
      </c>
    </row>
    <row r="5281">
      <c r="D5281" t="str">
        <f>IFERROR(__xludf.DUMMYFUNCTION("""COMPUTED_VALUE"""),"Ebukam")</f>
        <v>Ebukam</v>
      </c>
      <c r="E5281" t="str">
        <f>IFERROR(__xludf.DUMMYFUNCTION("""COMPUTED_VALUE"""),"Samson")</f>
        <v>Samson</v>
      </c>
      <c r="F5281">
        <f>IFERROR(__xludf.DUMMYFUNCTION("""COMPUTED_VALUE"""),19.25)</f>
        <v>19.25</v>
      </c>
    </row>
    <row r="5282">
      <c r="D5282" t="str">
        <f>IFERROR(__xludf.DUMMYFUNCTION("""COMPUTED_VALUE"""),"Edelman")</f>
        <v>Edelman</v>
      </c>
      <c r="E5282" t="str">
        <f>IFERROR(__xludf.DUMMYFUNCTION("""COMPUTED_VALUE"""),"Julian")</f>
        <v>Julian</v>
      </c>
      <c r="F5282">
        <f>IFERROR(__xludf.DUMMYFUNCTION("""COMPUTED_VALUE"""),21.0)</f>
        <v>21</v>
      </c>
    </row>
    <row r="5283">
      <c r="D5283" t="str">
        <f>IFERROR(__xludf.DUMMYFUNCTION("""COMPUTED_VALUE"""),"Edison")</f>
        <v>Edison</v>
      </c>
      <c r="E5283" t="str">
        <f>IFERROR(__xludf.DUMMYFUNCTION("""COMPUTED_VALUE"""),"Cornelius")</f>
        <v>Cornelius</v>
      </c>
      <c r="F5283">
        <f>IFERROR(__xludf.DUMMYFUNCTION("""COMPUTED_VALUE"""),16.0)</f>
        <v>16</v>
      </c>
    </row>
    <row r="5284">
      <c r="D5284" t="str">
        <f>IFERROR(__xludf.DUMMYFUNCTION("""COMPUTED_VALUE"""),"Edmonds")</f>
        <v>Edmonds</v>
      </c>
      <c r="E5284" t="str">
        <f>IFERROR(__xludf.DUMMYFUNCTION("""COMPUTED_VALUE"""),"Chase")</f>
        <v>Chase</v>
      </c>
      <c r="F5284">
        <f>IFERROR(__xludf.DUMMYFUNCTION("""COMPUTED_VALUE"""),17.0)</f>
        <v>17</v>
      </c>
    </row>
    <row r="5285">
      <c r="D5285" t="str">
        <f>IFERROR(__xludf.DUMMYFUNCTION("""COMPUTED_VALUE"""),"Edmunds")</f>
        <v>Edmunds</v>
      </c>
      <c r="E5285" t="str">
        <f>IFERROR(__xludf.DUMMYFUNCTION("""COMPUTED_VALUE"""),"Terrell")</f>
        <v>Terrell</v>
      </c>
      <c r="F5285">
        <f>IFERROR(__xludf.DUMMYFUNCTION("""COMPUTED_VALUE"""),18.75)</f>
        <v>18.75</v>
      </c>
    </row>
    <row r="5286">
      <c r="D5286" t="str">
        <f>IFERROR(__xludf.DUMMYFUNCTION("""COMPUTED_VALUE"""),"Edmunds")</f>
        <v>Edmunds</v>
      </c>
      <c r="E5286" t="str">
        <f>IFERROR(__xludf.DUMMYFUNCTION("""COMPUTED_VALUE"""),"Tremaine")</f>
        <v>Tremaine</v>
      </c>
      <c r="F5286">
        <f>IFERROR(__xludf.DUMMYFUNCTION("""COMPUTED_VALUE"""),19.0)</f>
        <v>19</v>
      </c>
    </row>
    <row r="5287">
      <c r="D5287" t="str">
        <f>IFERROR(__xludf.DUMMYFUNCTION("""COMPUTED_VALUE"""),"Edmunds")</f>
        <v>Edmunds</v>
      </c>
      <c r="E5287" t="str">
        <f>IFERROR(__xludf.DUMMYFUNCTION("""COMPUTED_VALUE"""),"Trey")</f>
        <v>Trey</v>
      </c>
      <c r="F5287">
        <f>IFERROR(__xludf.DUMMYFUNCTION("""COMPUTED_VALUE"""),17.0)</f>
        <v>17</v>
      </c>
    </row>
    <row r="5288">
      <c r="D5288" t="str">
        <f>IFERROR(__xludf.DUMMYFUNCTION("""COMPUTED_VALUE"""),"Edwards")</f>
        <v>Edwards</v>
      </c>
      <c r="E5288" t="str">
        <f>IFERROR(__xludf.DUMMYFUNCTION("""COMPUTED_VALUE"""),"Kadeem")</f>
        <v>Kadeem</v>
      </c>
      <c r="F5288">
        <f>IFERROR(__xludf.DUMMYFUNCTION("""COMPUTED_VALUE"""),16.75)</f>
        <v>16.75</v>
      </c>
    </row>
    <row r="5289">
      <c r="D5289" t="str">
        <f>IFERROR(__xludf.DUMMYFUNCTION("""COMPUTED_VALUE"""),"Edwards")</f>
        <v>Edwards</v>
      </c>
      <c r="E5289" t="str">
        <f>IFERROR(__xludf.DUMMYFUNCTION("""COMPUTED_VALUE"""),"Lac")</f>
        <v>Lac</v>
      </c>
      <c r="F5289">
        <f>IFERROR(__xludf.DUMMYFUNCTION("""COMPUTED_VALUE"""),19.25)</f>
        <v>19.25</v>
      </c>
    </row>
    <row r="5290">
      <c r="D5290" t="str">
        <f>IFERROR(__xludf.DUMMYFUNCTION("""COMPUTED_VALUE"""),"Edwards Jr")</f>
        <v>Edwards Jr</v>
      </c>
      <c r="E5290" t="str">
        <f>IFERROR(__xludf.DUMMYFUNCTION("""COMPUTED_VALUE"""),"Mario")</f>
        <v>Mario</v>
      </c>
      <c r="F5290">
        <f>IFERROR(__xludf.DUMMYFUNCTION("""COMPUTED_VALUE"""),18.75)</f>
        <v>18.75</v>
      </c>
    </row>
    <row r="5291">
      <c r="D5291" t="str">
        <f>IFERROR(__xludf.DUMMYFUNCTION("""COMPUTED_VALUE"""),"Ehinger")</f>
        <v>Ehinger</v>
      </c>
      <c r="E5291" t="str">
        <f>IFERROR(__xludf.DUMMYFUNCTION("""COMPUTED_VALUE"""),"Parker")</f>
        <v>Parker</v>
      </c>
      <c r="F5291">
        <f>IFERROR(__xludf.DUMMYFUNCTION("""COMPUTED_VALUE"""),17.0)</f>
        <v>17</v>
      </c>
    </row>
    <row r="5292">
      <c r="D5292" t="str">
        <f>IFERROR(__xludf.DUMMYFUNCTION("""COMPUTED_VALUE"""),"Eifert")</f>
        <v>Eifert</v>
      </c>
      <c r="E5292" t="str">
        <f>IFERROR(__xludf.DUMMYFUNCTION("""COMPUTED_VALUE"""),"Tyler")</f>
        <v>Tyler</v>
      </c>
      <c r="F5292">
        <f>IFERROR(__xludf.DUMMYFUNCTION("""COMPUTED_VALUE"""),20.5)</f>
        <v>20.5</v>
      </c>
    </row>
    <row r="5293">
      <c r="D5293" t="str">
        <f>IFERROR(__xludf.DUMMYFUNCTION("""COMPUTED_VALUE"""),"Eifert")</f>
        <v>Eifert</v>
      </c>
      <c r="E5293" t="str">
        <f>IFERROR(__xludf.DUMMYFUNCTION("""COMPUTED_VALUE"""),"Tyler")</f>
        <v>Tyler</v>
      </c>
      <c r="F5293">
        <f>IFERROR(__xludf.DUMMYFUNCTION("""COMPUTED_VALUE"""),21.75)</f>
        <v>21.75</v>
      </c>
    </row>
    <row r="5294">
      <c r="D5294" t="str">
        <f>IFERROR(__xludf.DUMMYFUNCTION("""COMPUTED_VALUE"""),"Ejiofor")</f>
        <v>Ejiofor</v>
      </c>
      <c r="E5294" t="str">
        <f>IFERROR(__xludf.DUMMYFUNCTION("""COMPUTED_VALUE"""),"Duke")</f>
        <v>Duke</v>
      </c>
      <c r="F5294">
        <f>IFERROR(__xludf.DUMMYFUNCTION("""COMPUTED_VALUE"""),17.25)</f>
        <v>17.25</v>
      </c>
    </row>
    <row r="5295">
      <c r="D5295" t="str">
        <f>IFERROR(__xludf.DUMMYFUNCTION("""COMPUTED_VALUE"""),"Ekeler")</f>
        <v>Ekeler</v>
      </c>
      <c r="E5295" t="str">
        <f>IFERROR(__xludf.DUMMYFUNCTION("""COMPUTED_VALUE"""),"Austin")</f>
        <v>Austin</v>
      </c>
      <c r="F5295">
        <f>IFERROR(__xludf.DUMMYFUNCTION("""COMPUTED_VALUE"""),18.5)</f>
        <v>18.5</v>
      </c>
    </row>
    <row r="5296">
      <c r="D5296" t="str">
        <f>IFERROR(__xludf.DUMMYFUNCTION("""COMPUTED_VALUE"""),"Eldrenkamp")</f>
        <v>Eldrenkamp</v>
      </c>
      <c r="E5296" t="str">
        <f>IFERROR(__xludf.DUMMYFUNCTION("""COMPUTED_VALUE"""),"Jake")</f>
        <v>Jake</v>
      </c>
      <c r="F5296">
        <f>IFERROR(__xludf.DUMMYFUNCTION("""COMPUTED_VALUE"""),16.75)</f>
        <v>16.75</v>
      </c>
    </row>
    <row r="5297">
      <c r="D5297" t="str">
        <f>IFERROR(__xludf.DUMMYFUNCTION("""COMPUTED_VALUE"""),"Elflein")</f>
        <v>Elflein</v>
      </c>
      <c r="E5297" t="str">
        <f>IFERROR(__xludf.DUMMYFUNCTION("""COMPUTED_VALUE"""),"Pat")</f>
        <v>Pat</v>
      </c>
      <c r="F5297">
        <f>IFERROR(__xludf.DUMMYFUNCTION("""COMPUTED_VALUE"""),18.75)</f>
        <v>18.75</v>
      </c>
    </row>
    <row r="5298">
      <c r="D5298" t="str">
        <f>IFERROR(__xludf.DUMMYFUNCTION("""COMPUTED_VALUE"""),"Eligwe")</f>
        <v>Eligwe</v>
      </c>
      <c r="E5298" t="str">
        <f>IFERROR(__xludf.DUMMYFUNCTION("""COMPUTED_VALUE"""),"Ukeme")</f>
        <v>Ukeme</v>
      </c>
      <c r="F5298">
        <f>IFERROR(__xludf.DUMMYFUNCTION("""COMPUTED_VALUE"""),16.75)</f>
        <v>16.75</v>
      </c>
    </row>
    <row r="5299">
      <c r="D5299" t="str">
        <f>IFERROR(__xludf.DUMMYFUNCTION("""COMPUTED_VALUE"""),"Ellington")</f>
        <v>Ellington</v>
      </c>
      <c r="E5299" t="str">
        <f>IFERROR(__xludf.DUMMYFUNCTION("""COMPUTED_VALUE"""),"Bruce")</f>
        <v>Bruce</v>
      </c>
      <c r="F5299">
        <f>IFERROR(__xludf.DUMMYFUNCTION("""COMPUTED_VALUE"""),18.5)</f>
        <v>18.5</v>
      </c>
    </row>
    <row r="5300">
      <c r="D5300" t="str">
        <f>IFERROR(__xludf.DUMMYFUNCTION("""COMPUTED_VALUE"""),"Elliott")</f>
        <v>Elliott</v>
      </c>
      <c r="E5300" t="str">
        <f>IFERROR(__xludf.DUMMYFUNCTION("""COMPUTED_VALUE"""),"DeAndre")</f>
        <v>DeAndre</v>
      </c>
      <c r="F5300">
        <f>IFERROR(__xludf.DUMMYFUNCTION("""COMPUTED_VALUE"""),16.25)</f>
        <v>16.25</v>
      </c>
    </row>
    <row r="5301">
      <c r="D5301" t="str">
        <f>IFERROR(__xludf.DUMMYFUNCTION("""COMPUTED_VALUE"""),"Elliott")</f>
        <v>Elliott</v>
      </c>
      <c r="E5301" t="str">
        <f>IFERROR(__xludf.DUMMYFUNCTION("""COMPUTED_VALUE"""),"Deshon")</f>
        <v>Deshon</v>
      </c>
      <c r="F5301">
        <f>IFERROR(__xludf.DUMMYFUNCTION("""COMPUTED_VALUE"""),17.25)</f>
        <v>17.25</v>
      </c>
    </row>
    <row r="5302">
      <c r="D5302" t="str">
        <f>IFERROR(__xludf.DUMMYFUNCTION("""COMPUTED_VALUE"""),"Elliott")</f>
        <v>Elliott</v>
      </c>
      <c r="E5302" t="str">
        <f>IFERROR(__xludf.DUMMYFUNCTION("""COMPUTED_VALUE"""),"Ezekiel")</f>
        <v>Ezekiel</v>
      </c>
      <c r="F5302">
        <f>IFERROR(__xludf.DUMMYFUNCTION("""COMPUTED_VALUE"""),21.5)</f>
        <v>21.5</v>
      </c>
    </row>
    <row r="5303">
      <c r="D5303" t="str">
        <f>IFERROR(__xludf.DUMMYFUNCTION("""COMPUTED_VALUE"""),"Elliott")</f>
        <v>Elliott</v>
      </c>
      <c r="E5303" t="str">
        <f>IFERROR(__xludf.DUMMYFUNCTION("""COMPUTED_VALUE"""),"Jake")</f>
        <v>Jake</v>
      </c>
      <c r="F5303">
        <f>IFERROR(__xludf.DUMMYFUNCTION("""COMPUTED_VALUE"""),20.75)</f>
        <v>20.75</v>
      </c>
    </row>
    <row r="5304">
      <c r="D5304" t="str">
        <f>IFERROR(__xludf.DUMMYFUNCTION("""COMPUTED_VALUE"""),"Elliott")</f>
        <v>Elliott</v>
      </c>
      <c r="E5304" t="str">
        <f>IFERROR(__xludf.DUMMYFUNCTION("""COMPUTED_VALUE"""),"Javien")</f>
        <v>Javien</v>
      </c>
      <c r="F5304">
        <f>IFERROR(__xludf.DUMMYFUNCTION("""COMPUTED_VALUE"""),17.5)</f>
        <v>17.5</v>
      </c>
    </row>
    <row r="5305">
      <c r="D5305" t="str">
        <f>IFERROR(__xludf.DUMMYFUNCTION("""COMPUTED_VALUE"""),"Elliott")</f>
        <v>Elliott</v>
      </c>
      <c r="E5305" t="str">
        <f>IFERROR(__xludf.DUMMYFUNCTION("""COMPUTED_VALUE"""),"Jayrone")</f>
        <v>Jayrone</v>
      </c>
      <c r="F5305">
        <f>IFERROR(__xludf.DUMMYFUNCTION("""COMPUTED_VALUE"""),18.25)</f>
        <v>18.25</v>
      </c>
    </row>
    <row r="5306">
      <c r="D5306" t="str">
        <f>IFERROR(__xludf.DUMMYFUNCTION("""COMPUTED_VALUE"""),"Ellis")</f>
        <v>Ellis</v>
      </c>
      <c r="E5306" t="str">
        <f>IFERROR(__xludf.DUMMYFUNCTION("""COMPUTED_VALUE"""),"Brooks")</f>
        <v>Brooks</v>
      </c>
      <c r="F5306">
        <f>IFERROR(__xludf.DUMMYFUNCTION("""COMPUTED_VALUE"""),16.5)</f>
        <v>16.5</v>
      </c>
    </row>
    <row r="5307">
      <c r="D5307" t="str">
        <f>IFERROR(__xludf.DUMMYFUNCTION("""COMPUTED_VALUE"""),"Ellis")</f>
        <v>Ellis</v>
      </c>
      <c r="E5307" t="str">
        <f>IFERROR(__xludf.DUMMYFUNCTION("""COMPUTED_VALUE"""),"Justin")</f>
        <v>Justin</v>
      </c>
      <c r="F5307">
        <f>IFERROR(__xludf.DUMMYFUNCTION("""COMPUTED_VALUE"""),19.0)</f>
        <v>19</v>
      </c>
    </row>
    <row r="5308">
      <c r="D5308" t="str">
        <f>IFERROR(__xludf.DUMMYFUNCTION("""COMPUTED_VALUE"""),"Ellison")</f>
        <v>Ellison</v>
      </c>
      <c r="E5308" t="str">
        <f>IFERROR(__xludf.DUMMYFUNCTION("""COMPUTED_VALUE"""),"Rhett")</f>
        <v>Rhett</v>
      </c>
      <c r="F5308">
        <f>IFERROR(__xludf.DUMMYFUNCTION("""COMPUTED_VALUE"""),19.0)</f>
        <v>19</v>
      </c>
    </row>
    <row r="5309">
      <c r="D5309" t="str">
        <f>IFERROR(__xludf.DUMMYFUNCTION("""COMPUTED_VALUE"""),"Elston")</f>
        <v>Elston</v>
      </c>
      <c r="E5309" t="str">
        <f>IFERROR(__xludf.DUMMYFUNCTION("""COMPUTED_VALUE"""),"Trae")</f>
        <v>Trae</v>
      </c>
      <c r="F5309">
        <f>IFERROR(__xludf.DUMMYFUNCTION("""COMPUTED_VALUE"""),17.0)</f>
        <v>17</v>
      </c>
    </row>
    <row r="5310">
      <c r="D5310" t="str">
        <f>IFERROR(__xludf.DUMMYFUNCTION("""COMPUTED_VALUE"""),"Eluemunor")</f>
        <v>Eluemunor</v>
      </c>
      <c r="E5310" t="str">
        <f>IFERROR(__xludf.DUMMYFUNCTION("""COMPUTED_VALUE"""),"Jermaine")</f>
        <v>Jermaine</v>
      </c>
      <c r="F5310">
        <f>IFERROR(__xludf.DUMMYFUNCTION("""COMPUTED_VALUE"""),16.5)</f>
        <v>16.5</v>
      </c>
    </row>
    <row r="5311">
      <c r="D5311" t="str">
        <f>IFERROR(__xludf.DUMMYFUNCTION("""COMPUTED_VALUE"""),"Emanuel")</f>
        <v>Emanuel</v>
      </c>
      <c r="E5311" t="str">
        <f>IFERROR(__xludf.DUMMYFUNCTION("""COMPUTED_VALUE"""),"Kyle")</f>
        <v>Kyle</v>
      </c>
      <c r="F5311">
        <f>IFERROR(__xludf.DUMMYFUNCTION("""COMPUTED_VALUE"""),19.5)</f>
        <v>19.5</v>
      </c>
    </row>
    <row r="5312">
      <c r="D5312" t="str">
        <f>IFERROR(__xludf.DUMMYFUNCTION("""COMPUTED_VALUE"""),"Engram")</f>
        <v>Engram</v>
      </c>
      <c r="E5312" t="str">
        <f>IFERROR(__xludf.DUMMYFUNCTION("""COMPUTED_VALUE"""),"Evan")</f>
        <v>Evan</v>
      </c>
      <c r="F5312">
        <f>IFERROR(__xludf.DUMMYFUNCTION("""COMPUTED_VALUE"""),20.25)</f>
        <v>20.25</v>
      </c>
    </row>
    <row r="5313">
      <c r="D5313" t="str">
        <f>IFERROR(__xludf.DUMMYFUNCTION("""COMPUTED_VALUE"""),"Enunwa")</f>
        <v>Enunwa</v>
      </c>
      <c r="E5313" t="str">
        <f>IFERROR(__xludf.DUMMYFUNCTION("""COMPUTED_VALUE"""),"Quincy")</f>
        <v>Quincy</v>
      </c>
      <c r="F5313">
        <f>IFERROR(__xludf.DUMMYFUNCTION("""COMPUTED_VALUE"""),19.25)</f>
        <v>19.25</v>
      </c>
    </row>
    <row r="5314">
      <c r="D5314" t="str">
        <f>IFERROR(__xludf.DUMMYFUNCTION("""COMPUTED_VALUE"""),"Erickson")</f>
        <v>Erickson</v>
      </c>
      <c r="E5314" t="str">
        <f>IFERROR(__xludf.DUMMYFUNCTION("""COMPUTED_VALUE"""),"Alex")</f>
        <v>Alex</v>
      </c>
      <c r="F5314">
        <f>IFERROR(__xludf.DUMMYFUNCTION("""COMPUTED_VALUE"""),17.0)</f>
        <v>17</v>
      </c>
    </row>
    <row r="5315">
      <c r="D5315" t="str">
        <f>IFERROR(__xludf.DUMMYFUNCTION("""COMPUTED_VALUE"""),"Ertz")</f>
        <v>Ertz</v>
      </c>
      <c r="E5315" t="str">
        <f>IFERROR(__xludf.DUMMYFUNCTION("""COMPUTED_VALUE"""),"Zach")</f>
        <v>Zach</v>
      </c>
      <c r="F5315">
        <f>IFERROR(__xludf.DUMMYFUNCTION("""COMPUTED_VALUE"""),21.0)</f>
        <v>21</v>
      </c>
    </row>
    <row r="5316">
      <c r="D5316" t="str">
        <f>IFERROR(__xludf.DUMMYFUNCTION("""COMPUTED_VALUE"""),"Ervin")</f>
        <v>Ervin</v>
      </c>
      <c r="E5316" t="str">
        <f>IFERROR(__xludf.DUMMYFUNCTION("""COMPUTED_VALUE"""),"Tyler")</f>
        <v>Tyler</v>
      </c>
      <c r="F5316">
        <f>IFERROR(__xludf.DUMMYFUNCTION("""COMPUTED_VALUE"""),16.0)</f>
        <v>16</v>
      </c>
    </row>
    <row r="5317">
      <c r="D5317" t="str">
        <f>IFERROR(__xludf.DUMMYFUNCTION("""COMPUTED_VALUE"""),"Erving")</f>
        <v>Erving</v>
      </c>
      <c r="E5317" t="str">
        <f>IFERROR(__xludf.DUMMYFUNCTION("""COMPUTED_VALUE"""),"Cameron")</f>
        <v>Cameron</v>
      </c>
      <c r="F5317">
        <f>IFERROR(__xludf.DUMMYFUNCTION("""COMPUTED_VALUE"""),17.5)</f>
        <v>17.5</v>
      </c>
    </row>
    <row r="5318">
      <c r="D5318" t="str">
        <f>IFERROR(__xludf.DUMMYFUNCTION("""COMPUTED_VALUE"""),"Escobar")</f>
        <v>Escobar</v>
      </c>
      <c r="E5318" t="str">
        <f>IFERROR(__xludf.DUMMYFUNCTION("""COMPUTED_VALUE"""),"Gavin")</f>
        <v>Gavin</v>
      </c>
      <c r="F5318">
        <f>IFERROR(__xludf.DUMMYFUNCTION("""COMPUTED_VALUE"""),18.25)</f>
        <v>18.25</v>
      </c>
    </row>
    <row r="5319">
      <c r="D5319" t="str">
        <f>IFERROR(__xludf.DUMMYFUNCTION("""COMPUTED_VALUE"""),"Etling")</f>
        <v>Etling</v>
      </c>
      <c r="E5319" t="str">
        <f>IFERROR(__xludf.DUMMYFUNCTION("""COMPUTED_VALUE"""),"Danny")</f>
        <v>Danny</v>
      </c>
      <c r="F5319">
        <f>IFERROR(__xludf.DUMMYFUNCTION("""COMPUTED_VALUE"""),16.75)</f>
        <v>16.75</v>
      </c>
    </row>
    <row r="5320">
      <c r="D5320" t="str">
        <f>IFERROR(__xludf.DUMMYFUNCTION("""COMPUTED_VALUE"""),"Etta-Tawo")</f>
        <v>Etta-Tawo</v>
      </c>
      <c r="E5320" t="str">
        <f>IFERROR(__xludf.DUMMYFUNCTION("""COMPUTED_VALUE"""),"Amba")</f>
        <v>Amba</v>
      </c>
      <c r="F5320">
        <f>IFERROR(__xludf.DUMMYFUNCTION("""COMPUTED_VALUE"""),16.75)</f>
        <v>16.75</v>
      </c>
    </row>
    <row r="5321">
      <c r="D5321" t="str">
        <f>IFERROR(__xludf.DUMMYFUNCTION("""COMPUTED_VALUE"""),"Evans")</f>
        <v>Evans</v>
      </c>
      <c r="E5321" t="str">
        <f>IFERROR(__xludf.DUMMYFUNCTION("""COMPUTED_VALUE"""),"Jahri")</f>
        <v>Jahri</v>
      </c>
      <c r="F5321">
        <f>IFERROR(__xludf.DUMMYFUNCTION("""COMPUTED_VALUE"""),15.0)</f>
        <v>15</v>
      </c>
    </row>
    <row r="5322">
      <c r="D5322" t="str">
        <f>IFERROR(__xludf.DUMMYFUNCTION("""COMPUTED_VALUE"""),"Evans")</f>
        <v>Evans</v>
      </c>
      <c r="E5322" t="str">
        <f>IFERROR(__xludf.DUMMYFUNCTION("""COMPUTED_VALUE"""),"Jordan")</f>
        <v>Jordan</v>
      </c>
      <c r="F5322">
        <f>IFERROR(__xludf.DUMMYFUNCTION("""COMPUTED_VALUE"""),16.5)</f>
        <v>16.5</v>
      </c>
    </row>
    <row r="5323">
      <c r="D5323" t="str">
        <f>IFERROR(__xludf.DUMMYFUNCTION("""COMPUTED_VALUE"""),"Evans")</f>
        <v>Evans</v>
      </c>
      <c r="E5323" t="str">
        <f>IFERROR(__xludf.DUMMYFUNCTION("""COMPUTED_VALUE"""),"Justin")</f>
        <v>Justin</v>
      </c>
      <c r="F5323">
        <f>IFERROR(__xludf.DUMMYFUNCTION("""COMPUTED_VALUE"""),17.75)</f>
        <v>17.75</v>
      </c>
    </row>
    <row r="5324">
      <c r="D5324" t="str">
        <f>IFERROR(__xludf.DUMMYFUNCTION("""COMPUTED_VALUE"""),"Evans")</f>
        <v>Evans</v>
      </c>
      <c r="E5324" t="str">
        <f>IFERROR(__xludf.DUMMYFUNCTION("""COMPUTED_VALUE"""),"Marwin")</f>
        <v>Marwin</v>
      </c>
      <c r="F5324">
        <f>IFERROR(__xludf.DUMMYFUNCTION("""COMPUTED_VALUE"""),16.5)</f>
        <v>16.5</v>
      </c>
    </row>
    <row r="5325">
      <c r="D5325" t="str">
        <f>IFERROR(__xludf.DUMMYFUNCTION("""COMPUTED_VALUE"""),"Evans")</f>
        <v>Evans</v>
      </c>
      <c r="E5325" t="str">
        <f>IFERROR(__xludf.DUMMYFUNCTION("""COMPUTED_VALUE"""),"Mike")</f>
        <v>Mike</v>
      </c>
      <c r="F5325">
        <f>IFERROR(__xludf.DUMMYFUNCTION("""COMPUTED_VALUE"""),21.0)</f>
        <v>21</v>
      </c>
    </row>
    <row r="5326">
      <c r="D5326" t="str">
        <f>IFERROR(__xludf.DUMMYFUNCTION("""COMPUTED_VALUE"""),"Evans")</f>
        <v>Evans</v>
      </c>
      <c r="E5326" t="str">
        <f>IFERROR(__xludf.DUMMYFUNCTION("""COMPUTED_VALUE"""),"Rashaan")</f>
        <v>Rashaan</v>
      </c>
      <c r="F5326">
        <f>IFERROR(__xludf.DUMMYFUNCTION("""COMPUTED_VALUE"""),19.25)</f>
        <v>19.25</v>
      </c>
    </row>
    <row r="5327">
      <c r="D5327" t="str">
        <f>IFERROR(__xludf.DUMMYFUNCTION("""COMPUTED_VALUE"""),"Evans")</f>
        <v>Evans</v>
      </c>
      <c r="E5327" t="str">
        <f>IFERROR(__xludf.DUMMYFUNCTION("""COMPUTED_VALUE"""),"Rashaan")</f>
        <v>Rashaan</v>
      </c>
      <c r="F5327">
        <f>IFERROR(__xludf.DUMMYFUNCTION("""COMPUTED_VALUE"""),21.75)</f>
        <v>21.75</v>
      </c>
    </row>
    <row r="5328">
      <c r="D5328" t="str">
        <f>IFERROR(__xludf.DUMMYFUNCTION("""COMPUTED_VALUE"""),"Everett")</f>
        <v>Everett</v>
      </c>
      <c r="E5328" t="str">
        <f>IFERROR(__xludf.DUMMYFUNCTION("""COMPUTED_VALUE"""),"Deshazor")</f>
        <v>Deshazor</v>
      </c>
      <c r="F5328">
        <f>IFERROR(__xludf.DUMMYFUNCTION("""COMPUTED_VALUE"""),15.5)</f>
        <v>15.5</v>
      </c>
    </row>
    <row r="5329">
      <c r="D5329" t="str">
        <f>IFERROR(__xludf.DUMMYFUNCTION("""COMPUTED_VALUE"""),"Everett")</f>
        <v>Everett</v>
      </c>
      <c r="E5329" t="str">
        <f>IFERROR(__xludf.DUMMYFUNCTION("""COMPUTED_VALUE"""),"Gerald")</f>
        <v>Gerald</v>
      </c>
      <c r="F5329">
        <f>IFERROR(__xludf.DUMMYFUNCTION("""COMPUTED_VALUE"""),19.0)</f>
        <v>19</v>
      </c>
    </row>
    <row r="5330">
      <c r="D5330" t="str">
        <f>IFERROR(__xludf.DUMMYFUNCTION("""COMPUTED_VALUE"""),"Fabiano")</f>
        <v>Fabiano</v>
      </c>
      <c r="E5330" t="str">
        <f>IFERROR(__xludf.DUMMYFUNCTION("""COMPUTED_VALUE"""),"Anthony")</f>
        <v>Anthony</v>
      </c>
      <c r="F5330">
        <f>IFERROR(__xludf.DUMMYFUNCTION("""COMPUTED_VALUE"""),17.0)</f>
        <v>17</v>
      </c>
    </row>
    <row r="5331">
      <c r="D5331" t="str">
        <f>IFERROR(__xludf.DUMMYFUNCTION("""COMPUTED_VALUE"""),"Fackrell")</f>
        <v>Fackrell</v>
      </c>
      <c r="E5331" t="str">
        <f>IFERROR(__xludf.DUMMYFUNCTION("""COMPUTED_VALUE"""),"Kyler")</f>
        <v>Kyler</v>
      </c>
      <c r="F5331">
        <f>IFERROR(__xludf.DUMMYFUNCTION("""COMPUTED_VALUE"""),19.0)</f>
        <v>19</v>
      </c>
    </row>
    <row r="5332">
      <c r="D5332" t="str">
        <f>IFERROR(__xludf.DUMMYFUNCTION("""COMPUTED_VALUE"""),"Fairbairn")</f>
        <v>Fairbairn</v>
      </c>
      <c r="E5332" t="str">
        <f>IFERROR(__xludf.DUMMYFUNCTION("""COMPUTED_VALUE"""),"Kaimi")</f>
        <v>Kaimi</v>
      </c>
      <c r="F5332">
        <f>IFERROR(__xludf.DUMMYFUNCTION("""COMPUTED_VALUE"""),19.0)</f>
        <v>19</v>
      </c>
    </row>
    <row r="5333">
      <c r="D5333" t="str">
        <f>IFERROR(__xludf.DUMMYFUNCTION("""COMPUTED_VALUE"""),"Fales")</f>
        <v>Fales</v>
      </c>
      <c r="E5333" t="str">
        <f>IFERROR(__xludf.DUMMYFUNCTION("""COMPUTED_VALUE"""),"David")</f>
        <v>David</v>
      </c>
      <c r="F5333">
        <f>IFERROR(__xludf.DUMMYFUNCTION("""COMPUTED_VALUE"""),16.75)</f>
        <v>16.75</v>
      </c>
    </row>
    <row r="5334">
      <c r="D5334" t="str">
        <f>IFERROR(__xludf.DUMMYFUNCTION("""COMPUTED_VALUE"""),"Falk")</f>
        <v>Falk</v>
      </c>
      <c r="E5334" t="str">
        <f>IFERROR(__xludf.DUMMYFUNCTION("""COMPUTED_VALUE"""),"Luke")</f>
        <v>Luke</v>
      </c>
      <c r="F5334">
        <f>IFERROR(__xludf.DUMMYFUNCTION("""COMPUTED_VALUE"""),17.5)</f>
        <v>17.5</v>
      </c>
    </row>
    <row r="5335">
      <c r="D5335" t="str">
        <f>IFERROR(__xludf.DUMMYFUNCTION("""COMPUTED_VALUE"""),"Fant")</f>
        <v>Fant</v>
      </c>
      <c r="E5335" t="str">
        <f>IFERROR(__xludf.DUMMYFUNCTION("""COMPUTED_VALUE"""),"George")</f>
        <v>George</v>
      </c>
      <c r="F5335">
        <f>IFERROR(__xludf.DUMMYFUNCTION("""COMPUTED_VALUE"""),18.75)</f>
        <v>18.75</v>
      </c>
    </row>
    <row r="5336">
      <c r="D5336" t="str">
        <f>IFERROR(__xludf.DUMMYFUNCTION("""COMPUTED_VALUE"""),"Farley")</f>
        <v>Farley</v>
      </c>
      <c r="E5336" t="str">
        <f>IFERROR(__xludf.DUMMYFUNCTION("""COMPUTED_VALUE"""),"Matthias")</f>
        <v>Matthias</v>
      </c>
      <c r="F5336">
        <f>IFERROR(__xludf.DUMMYFUNCTION("""COMPUTED_VALUE"""),19.25)</f>
        <v>19.25</v>
      </c>
    </row>
    <row r="5337">
      <c r="D5337" t="str">
        <f>IFERROR(__xludf.DUMMYFUNCTION("""COMPUTED_VALUE"""),"Fatukasi")</f>
        <v>Fatukasi</v>
      </c>
      <c r="E5337" t="str">
        <f>IFERROR(__xludf.DUMMYFUNCTION("""COMPUTED_VALUE"""),"Folorunso")</f>
        <v>Folorunso</v>
      </c>
      <c r="F5337">
        <f>IFERROR(__xludf.DUMMYFUNCTION("""COMPUTED_VALUE"""),16.5)</f>
        <v>16.5</v>
      </c>
    </row>
    <row r="5338">
      <c r="D5338" t="str">
        <f>IFERROR(__xludf.DUMMYFUNCTION("""COMPUTED_VALUE"""),"Fede")</f>
        <v>Fede</v>
      </c>
      <c r="E5338" t="str">
        <f>IFERROR(__xludf.DUMMYFUNCTION("""COMPUTED_VALUE"""),"Terrence")</f>
        <v>Terrence</v>
      </c>
      <c r="F5338">
        <f>IFERROR(__xludf.DUMMYFUNCTION("""COMPUTED_VALUE"""),16.5)</f>
        <v>16.5</v>
      </c>
    </row>
    <row r="5339">
      <c r="D5339" t="str">
        <f>IFERROR(__xludf.DUMMYFUNCTION("""COMPUTED_VALUE"""),"Feeney")</f>
        <v>Feeney</v>
      </c>
      <c r="E5339" t="str">
        <f>IFERROR(__xludf.DUMMYFUNCTION("""COMPUTED_VALUE"""),"Dan")</f>
        <v>Dan</v>
      </c>
      <c r="F5339">
        <f>IFERROR(__xludf.DUMMYFUNCTION("""COMPUTED_VALUE"""),19.25)</f>
        <v>19.25</v>
      </c>
    </row>
    <row r="5340">
      <c r="D5340" t="str">
        <f>IFERROR(__xludf.DUMMYFUNCTION("""COMPUTED_VALUE"""),"Feiler")</f>
        <v>Feiler</v>
      </c>
      <c r="E5340" t="str">
        <f>IFERROR(__xludf.DUMMYFUNCTION("""COMPUTED_VALUE"""),"Matt")</f>
        <v>Matt</v>
      </c>
      <c r="F5340">
        <f>IFERROR(__xludf.DUMMYFUNCTION("""COMPUTED_VALUE"""),18.5)</f>
        <v>18.5</v>
      </c>
    </row>
    <row r="5341">
      <c r="D5341" t="str">
        <f>IFERROR(__xludf.DUMMYFUNCTION("""COMPUTED_VALUE"""),"Fejedelem")</f>
        <v>Fejedelem</v>
      </c>
      <c r="E5341" t="str">
        <f>IFERROR(__xludf.DUMMYFUNCTION("""COMPUTED_VALUE"""),"Clayton")</f>
        <v>Clayton</v>
      </c>
      <c r="F5341">
        <f>IFERROR(__xludf.DUMMYFUNCTION("""COMPUTED_VALUE"""),16.5)</f>
        <v>16.5</v>
      </c>
    </row>
    <row r="5342">
      <c r="D5342" t="str">
        <f>IFERROR(__xludf.DUMMYFUNCTION("""COMPUTED_VALUE"""),"Feliciano")</f>
        <v>Feliciano</v>
      </c>
      <c r="E5342" t="str">
        <f>IFERROR(__xludf.DUMMYFUNCTION("""COMPUTED_VALUE"""),"Jon")</f>
        <v>Jon</v>
      </c>
      <c r="F5342">
        <f>IFERROR(__xludf.DUMMYFUNCTION("""COMPUTED_VALUE"""),17.5)</f>
        <v>17.5</v>
      </c>
    </row>
    <row r="5343">
      <c r="D5343" t="str">
        <f>IFERROR(__xludf.DUMMYFUNCTION("""COMPUTED_VALUE"""),"Fells")</f>
        <v>Fells</v>
      </c>
      <c r="E5343" t="str">
        <f>IFERROR(__xludf.DUMMYFUNCTION("""COMPUTED_VALUE"""),"Darren")</f>
        <v>Darren</v>
      </c>
      <c r="F5343">
        <f>IFERROR(__xludf.DUMMYFUNCTION("""COMPUTED_VALUE"""),18.75)</f>
        <v>18.75</v>
      </c>
    </row>
    <row r="5344">
      <c r="D5344" t="str">
        <f>IFERROR(__xludf.DUMMYFUNCTION("""COMPUTED_VALUE"""),"Ferguson")</f>
        <v>Ferguson</v>
      </c>
      <c r="E5344" t="str">
        <f>IFERROR(__xludf.DUMMYFUNCTION("""COMPUTED_VALUE"""),"Josh")</f>
        <v>Josh</v>
      </c>
      <c r="F5344">
        <f>IFERROR(__xludf.DUMMYFUNCTION("""COMPUTED_VALUE"""),16.25)</f>
        <v>16.25</v>
      </c>
    </row>
    <row r="5345">
      <c r="D5345" t="str">
        <f>IFERROR(__xludf.DUMMYFUNCTION("""COMPUTED_VALUE"""),"Ficken")</f>
        <v>Ficken</v>
      </c>
      <c r="E5345" t="str">
        <f>IFERROR(__xludf.DUMMYFUNCTION("""COMPUTED_VALUE"""),"Sam")</f>
        <v>Sam</v>
      </c>
      <c r="F5345">
        <f>IFERROR(__xludf.DUMMYFUNCTION("""COMPUTED_VALUE"""),18.75)</f>
        <v>18.75</v>
      </c>
    </row>
    <row r="5346">
      <c r="D5346" t="str">
        <f>IFERROR(__xludf.DUMMYFUNCTION("""COMPUTED_VALUE"""),"Finney")</f>
        <v>Finney</v>
      </c>
      <c r="E5346" t="str">
        <f>IFERROR(__xludf.DUMMYFUNCTION("""COMPUTED_VALUE"""),"BJ")</f>
        <v>BJ</v>
      </c>
      <c r="F5346">
        <f>IFERROR(__xludf.DUMMYFUNCTION("""COMPUTED_VALUE"""),18.75)</f>
        <v>18.75</v>
      </c>
    </row>
    <row r="5347">
      <c r="D5347" t="str">
        <f>IFERROR(__xludf.DUMMYFUNCTION("""COMPUTED_VALUE"""),"Fisher")</f>
        <v>Fisher</v>
      </c>
      <c r="E5347" t="str">
        <f>IFERROR(__xludf.DUMMYFUNCTION("""COMPUTED_VALUE"""),"Eric")</f>
        <v>Eric</v>
      </c>
      <c r="F5347">
        <f>IFERROR(__xludf.DUMMYFUNCTION("""COMPUTED_VALUE"""),19.25)</f>
        <v>19.25</v>
      </c>
    </row>
    <row r="5348">
      <c r="D5348" t="str">
        <f>IFERROR(__xludf.DUMMYFUNCTION("""COMPUTED_VALUE"""),"Fisher")</f>
        <v>Fisher</v>
      </c>
      <c r="E5348" t="str">
        <f>IFERROR(__xludf.DUMMYFUNCTION("""COMPUTED_VALUE"""),"Jake")</f>
        <v>Jake</v>
      </c>
      <c r="F5348">
        <f>IFERROR(__xludf.DUMMYFUNCTION("""COMPUTED_VALUE"""),18.5)</f>
        <v>18.5</v>
      </c>
    </row>
    <row r="5349">
      <c r="D5349" t="str">
        <f>IFERROR(__xludf.DUMMYFUNCTION("""COMPUTED_VALUE"""),"Fitts")</f>
        <v>Fitts</v>
      </c>
      <c r="E5349" t="str">
        <f>IFERROR(__xludf.DUMMYFUNCTION("""COMPUTED_VALUE"""),"Kylie")</f>
        <v>Kylie</v>
      </c>
      <c r="F5349">
        <f>IFERROR(__xludf.DUMMYFUNCTION("""COMPUTED_VALUE"""),16.5)</f>
        <v>16.5</v>
      </c>
    </row>
    <row r="5350">
      <c r="D5350" t="str">
        <f>IFERROR(__xludf.DUMMYFUNCTION("""COMPUTED_VALUE"""),"Fitzgerald")</f>
        <v>Fitzgerald</v>
      </c>
      <c r="E5350" t="str">
        <f>IFERROR(__xludf.DUMMYFUNCTION("""COMPUTED_VALUE"""),"Larry")</f>
        <v>Larry</v>
      </c>
      <c r="F5350">
        <f>IFERROR(__xludf.DUMMYFUNCTION("""COMPUTED_VALUE"""),21.5)</f>
        <v>21.5</v>
      </c>
    </row>
    <row r="5351">
      <c r="D5351" t="str">
        <f>IFERROR(__xludf.DUMMYFUNCTION("""COMPUTED_VALUE"""),"Fitzpatrick")</f>
        <v>Fitzpatrick</v>
      </c>
      <c r="E5351" t="str">
        <f>IFERROR(__xludf.DUMMYFUNCTION("""COMPUTED_VALUE"""),"Minkah")</f>
        <v>Minkah</v>
      </c>
      <c r="F5351">
        <f>IFERROR(__xludf.DUMMYFUNCTION("""COMPUTED_VALUE"""),19.5)</f>
        <v>19.5</v>
      </c>
    </row>
    <row r="5352">
      <c r="D5352" t="str">
        <f>IFERROR(__xludf.DUMMYFUNCTION("""COMPUTED_VALUE"""),"Fitzpatrick")</f>
        <v>Fitzpatrick</v>
      </c>
      <c r="E5352" t="str">
        <f>IFERROR(__xludf.DUMMYFUNCTION("""COMPUTED_VALUE"""),"Ryan")</f>
        <v>Ryan</v>
      </c>
      <c r="F5352">
        <f>IFERROR(__xludf.DUMMYFUNCTION("""COMPUTED_VALUE"""),19.0)</f>
        <v>19</v>
      </c>
    </row>
    <row r="5353">
      <c r="D5353" t="str">
        <f>IFERROR(__xludf.DUMMYFUNCTION("""COMPUTED_VALUE"""),"Flacco")</f>
        <v>Flacco</v>
      </c>
      <c r="E5353" t="str">
        <f>IFERROR(__xludf.DUMMYFUNCTION("""COMPUTED_VALUE"""),"Joe")</f>
        <v>Joe</v>
      </c>
      <c r="F5353">
        <f>IFERROR(__xludf.DUMMYFUNCTION("""COMPUTED_VALUE"""),19.5)</f>
        <v>19.5</v>
      </c>
    </row>
    <row r="5354">
      <c r="D5354" t="str">
        <f>IFERROR(__xludf.DUMMYFUNCTION("""COMPUTED_VALUE"""),"Fleming")</f>
        <v>Fleming</v>
      </c>
      <c r="E5354" t="str">
        <f>IFERROR(__xludf.DUMMYFUNCTION("""COMPUTED_VALUE"""),"Cameron")</f>
        <v>Cameron</v>
      </c>
      <c r="F5354">
        <f>IFERROR(__xludf.DUMMYFUNCTION("""COMPUTED_VALUE"""),19.5)</f>
        <v>19.5</v>
      </c>
    </row>
    <row r="5355">
      <c r="D5355" t="str">
        <f>IFERROR(__xludf.DUMMYFUNCTION("""COMPUTED_VALUE"""),"Flowers")</f>
        <v>Flowers</v>
      </c>
      <c r="E5355" t="str">
        <f>IFERROR(__xludf.DUMMYFUNCTION("""COMPUTED_VALUE"""),"Ereck")</f>
        <v>Ereck</v>
      </c>
      <c r="F5355">
        <f>IFERROR(__xludf.DUMMYFUNCTION("""COMPUTED_VALUE"""),18.5)</f>
        <v>18.5</v>
      </c>
    </row>
    <row r="5356">
      <c r="D5356" t="str">
        <f>IFERROR(__xludf.DUMMYFUNCTION("""COMPUTED_VALUE"""),"Flowers")</f>
        <v>Flowers</v>
      </c>
      <c r="E5356" t="str">
        <f>IFERROR(__xludf.DUMMYFUNCTION("""COMPUTED_VALUE"""),"Marquis")</f>
        <v>Marquis</v>
      </c>
      <c r="F5356">
        <f>IFERROR(__xludf.DUMMYFUNCTION("""COMPUTED_VALUE"""),18.75)</f>
        <v>18.75</v>
      </c>
    </row>
    <row r="5357">
      <c r="D5357" t="str">
        <f>IFERROR(__xludf.DUMMYFUNCTION("""COMPUTED_VALUE"""),"Flowers")</f>
        <v>Flowers</v>
      </c>
      <c r="E5357" t="str">
        <f>IFERROR(__xludf.DUMMYFUNCTION("""COMPUTED_VALUE"""),"Tre")</f>
        <v>Tre</v>
      </c>
      <c r="F5357">
        <f>IFERROR(__xludf.DUMMYFUNCTION("""COMPUTED_VALUE"""),16.5)</f>
        <v>16.5</v>
      </c>
    </row>
    <row r="5358">
      <c r="D5358" t="str">
        <f>IFERROR(__xludf.DUMMYFUNCTION("""COMPUTED_VALUE"""),"Flowers")</f>
        <v>Flowers</v>
      </c>
      <c r="E5358" t="str">
        <f>IFERROR(__xludf.DUMMYFUNCTION("""COMPUTED_VALUE"""),"Trey")</f>
        <v>Trey</v>
      </c>
      <c r="F5358">
        <f>IFERROR(__xludf.DUMMYFUNCTION("""COMPUTED_VALUE"""),20.25)</f>
        <v>20.25</v>
      </c>
    </row>
    <row r="5359">
      <c r="D5359" t="str">
        <f>IFERROR(__xludf.DUMMYFUNCTION("""COMPUTED_VALUE"""),"Floyd")</f>
        <v>Floyd</v>
      </c>
      <c r="E5359" t="str">
        <f>IFERROR(__xludf.DUMMYFUNCTION("""COMPUTED_VALUE"""),"Leonard")</f>
        <v>Leonard</v>
      </c>
      <c r="F5359">
        <f>IFERROR(__xludf.DUMMYFUNCTION("""COMPUTED_VALUE"""),19.75)</f>
        <v>19.75</v>
      </c>
    </row>
    <row r="5360">
      <c r="D5360" t="str">
        <f>IFERROR(__xludf.DUMMYFUNCTION("""COMPUTED_VALUE"""),"Fluellen")</f>
        <v>Fluellen</v>
      </c>
      <c r="E5360" t="str">
        <f>IFERROR(__xludf.DUMMYFUNCTION("""COMPUTED_VALUE"""),"David")</f>
        <v>David</v>
      </c>
      <c r="F5360">
        <f>IFERROR(__xludf.DUMMYFUNCTION("""COMPUTED_VALUE"""),15.5)</f>
        <v>15.5</v>
      </c>
    </row>
    <row r="5361">
      <c r="D5361" t="str">
        <f>IFERROR(__xludf.DUMMYFUNCTION("""COMPUTED_VALUE"""),"Fluker")</f>
        <v>Fluker</v>
      </c>
      <c r="E5361" t="str">
        <f>IFERROR(__xludf.DUMMYFUNCTION("""COMPUTED_VALUE"""),"DJ")</f>
        <v>DJ</v>
      </c>
      <c r="F5361">
        <f>IFERROR(__xludf.DUMMYFUNCTION("""COMPUTED_VALUE"""),19.0)</f>
        <v>19</v>
      </c>
    </row>
    <row r="5362">
      <c r="D5362" t="str">
        <f>IFERROR(__xludf.DUMMYFUNCTION("""COMPUTED_VALUE"""),"Foles")</f>
        <v>Foles</v>
      </c>
      <c r="E5362" t="str">
        <f>IFERROR(__xludf.DUMMYFUNCTION("""COMPUTED_VALUE"""),"Nick")</f>
        <v>Nick</v>
      </c>
      <c r="F5362">
        <f>IFERROR(__xludf.DUMMYFUNCTION("""COMPUTED_VALUE"""),19.75)</f>
        <v>19.75</v>
      </c>
    </row>
    <row r="5363">
      <c r="D5363" t="str">
        <f>IFERROR(__xludf.DUMMYFUNCTION("""COMPUTED_VALUE"""),"Forbath")</f>
        <v>Forbath</v>
      </c>
      <c r="E5363" t="str">
        <f>IFERROR(__xludf.DUMMYFUNCTION("""COMPUTED_VALUE"""),"Kai")</f>
        <v>Kai</v>
      </c>
      <c r="F5363">
        <f>IFERROR(__xludf.DUMMYFUNCTION("""COMPUTED_VALUE"""),19.0)</f>
        <v>19</v>
      </c>
    </row>
    <row r="5364">
      <c r="D5364" t="str">
        <f>IFERROR(__xludf.DUMMYFUNCTION("""COMPUTED_VALUE"""),"Ford")</f>
        <v>Ford</v>
      </c>
      <c r="E5364" t="str">
        <f>IFERROR(__xludf.DUMMYFUNCTION("""COMPUTED_VALUE"""),"Dee")</f>
        <v>Dee</v>
      </c>
      <c r="F5364">
        <f>IFERROR(__xludf.DUMMYFUNCTION("""COMPUTED_VALUE"""),18.75)</f>
        <v>18.75</v>
      </c>
    </row>
    <row r="5365">
      <c r="D5365" t="str">
        <f>IFERROR(__xludf.DUMMYFUNCTION("""COMPUTED_VALUE"""),"Ford")</f>
        <v>Ford</v>
      </c>
      <c r="E5365" t="str">
        <f>IFERROR(__xludf.DUMMYFUNCTION("""COMPUTED_VALUE"""),"Rudy")</f>
        <v>Rudy</v>
      </c>
      <c r="F5365">
        <f>IFERROR(__xludf.DUMMYFUNCTION("""COMPUTED_VALUE"""),18.25)</f>
        <v>18.25</v>
      </c>
    </row>
    <row r="5366">
      <c r="D5366" t="str">
        <f>IFERROR(__xludf.DUMMYFUNCTION("""COMPUTED_VALUE"""),"Foreman")</f>
        <v>Foreman</v>
      </c>
      <c r="E5366" t="str">
        <f>IFERROR(__xludf.DUMMYFUNCTION("""COMPUTED_VALUE"""),"DOnta")</f>
        <v>DOnta</v>
      </c>
      <c r="F5366">
        <f>IFERROR(__xludf.DUMMYFUNCTION("""COMPUTED_VALUE"""),18.25)</f>
        <v>18.25</v>
      </c>
    </row>
    <row r="5367">
      <c r="D5367" t="str">
        <f>IFERROR(__xludf.DUMMYFUNCTION("""COMPUTED_VALUE"""),"Fort")</f>
        <v>Fort</v>
      </c>
      <c r="E5367" t="str">
        <f>IFERROR(__xludf.DUMMYFUNCTION("""COMPUTED_VALUE"""),"LJ")</f>
        <v>LJ</v>
      </c>
      <c r="F5367">
        <f>IFERROR(__xludf.DUMMYFUNCTION("""COMPUTED_VALUE"""),18.25)</f>
        <v>18.25</v>
      </c>
    </row>
    <row r="5368">
      <c r="D5368" t="str">
        <f>IFERROR(__xludf.DUMMYFUNCTION("""COMPUTED_VALUE"""),"Foster")</f>
        <v>Foster</v>
      </c>
      <c r="E5368" t="str">
        <f>IFERROR(__xludf.DUMMYFUNCTION("""COMPUTED_VALUE"""),"DJ")</f>
        <v>DJ</v>
      </c>
      <c r="F5368">
        <f>IFERROR(__xludf.DUMMYFUNCTION("""COMPUTED_VALUE"""),17.0)</f>
        <v>17</v>
      </c>
    </row>
    <row r="5369">
      <c r="D5369" t="str">
        <f>IFERROR(__xludf.DUMMYFUNCTION("""COMPUTED_VALUE"""),"Foster")</f>
        <v>Foster</v>
      </c>
      <c r="E5369" t="str">
        <f>IFERROR(__xludf.DUMMYFUNCTION("""COMPUTED_VALUE"""),"Mason")</f>
        <v>Mason</v>
      </c>
      <c r="F5369">
        <f>IFERROR(__xludf.DUMMYFUNCTION("""COMPUTED_VALUE"""),19.0)</f>
        <v>19</v>
      </c>
    </row>
    <row r="5370">
      <c r="D5370" t="str">
        <f>IFERROR(__xludf.DUMMYFUNCTION("""COMPUTED_VALUE"""),"Foster")</f>
        <v>Foster</v>
      </c>
      <c r="E5370" t="str">
        <f>IFERROR(__xludf.DUMMYFUNCTION("""COMPUTED_VALUE"""),"Ramon")</f>
        <v>Ramon</v>
      </c>
      <c r="F5370">
        <f>IFERROR(__xludf.DUMMYFUNCTION("""COMPUTED_VALUE"""),19.5)</f>
        <v>19.5</v>
      </c>
    </row>
    <row r="5371">
      <c r="D5371" t="str">
        <f>IFERROR(__xludf.DUMMYFUNCTION("""COMPUTED_VALUE"""),"Foster")</f>
        <v>Foster</v>
      </c>
      <c r="E5371" t="str">
        <f>IFERROR(__xludf.DUMMYFUNCTION("""COMPUTED_VALUE"""),"Reuben")</f>
        <v>Reuben</v>
      </c>
      <c r="F5371">
        <f>IFERROR(__xludf.DUMMYFUNCTION("""COMPUTED_VALUE"""),22.5)</f>
        <v>22.5</v>
      </c>
    </row>
    <row r="5372">
      <c r="D5372" t="str">
        <f>IFERROR(__xludf.DUMMYFUNCTION("""COMPUTED_VALUE"""),"Foster")</f>
        <v>Foster</v>
      </c>
      <c r="E5372" t="str">
        <f>IFERROR(__xludf.DUMMYFUNCTION("""COMPUTED_VALUE"""),"Reuben")</f>
        <v>Reuben</v>
      </c>
      <c r="F5372">
        <f>IFERROR(__xludf.DUMMYFUNCTION("""COMPUTED_VALUE"""),21.25)</f>
        <v>21.25</v>
      </c>
    </row>
    <row r="5373">
      <c r="D5373" t="str">
        <f>IFERROR(__xludf.DUMMYFUNCTION("""COMPUTED_VALUE"""),"Fountain")</f>
        <v>Fountain</v>
      </c>
      <c r="E5373" t="str">
        <f>IFERROR(__xludf.DUMMYFUNCTION("""COMPUTED_VALUE"""),"Reece")</f>
        <v>Reece</v>
      </c>
      <c r="F5373">
        <f>IFERROR(__xludf.DUMMYFUNCTION("""COMPUTED_VALUE"""),18.0)</f>
        <v>18</v>
      </c>
    </row>
    <row r="5374">
      <c r="D5374" t="str">
        <f>IFERROR(__xludf.DUMMYFUNCTION("""COMPUTED_VALUE"""),"Fournette")</f>
        <v>Fournette</v>
      </c>
      <c r="E5374" t="str">
        <f>IFERROR(__xludf.DUMMYFUNCTION("""COMPUTED_VALUE"""),"Leonard")</f>
        <v>Leonard</v>
      </c>
      <c r="F5374">
        <f>IFERROR(__xludf.DUMMYFUNCTION("""COMPUTED_VALUE"""),21.0)</f>
        <v>21</v>
      </c>
    </row>
    <row r="5375">
      <c r="D5375" t="str">
        <f>IFERROR(__xludf.DUMMYFUNCTION("""COMPUTED_VALUE"""),"Fowler")</f>
        <v>Fowler</v>
      </c>
      <c r="E5375" t="str">
        <f>IFERROR(__xludf.DUMMYFUNCTION("""COMPUTED_VALUE"""),"Jalston")</f>
        <v>Jalston</v>
      </c>
      <c r="F5375">
        <f>IFERROR(__xludf.DUMMYFUNCTION("""COMPUTED_VALUE"""),17.75)</f>
        <v>17.75</v>
      </c>
    </row>
    <row r="5376">
      <c r="D5376" t="str">
        <f>IFERROR(__xludf.DUMMYFUNCTION("""COMPUTED_VALUE"""),"Fowler III")</f>
        <v>Fowler III</v>
      </c>
      <c r="E5376" t="str">
        <f>IFERROR(__xludf.DUMMYFUNCTION("""COMPUTED_VALUE"""),"Bennie")</f>
        <v>Bennie</v>
      </c>
      <c r="F5376">
        <f>IFERROR(__xludf.DUMMYFUNCTION("""COMPUTED_VALUE"""),18.0)</f>
        <v>18</v>
      </c>
    </row>
    <row r="5377">
      <c r="D5377" t="str">
        <f>IFERROR(__xludf.DUMMYFUNCTION("""COMPUTED_VALUE"""),"Fowler Jr")</f>
        <v>Fowler Jr</v>
      </c>
      <c r="E5377" t="str">
        <f>IFERROR(__xludf.DUMMYFUNCTION("""COMPUTED_VALUE"""),"Dante")</f>
        <v>Dante</v>
      </c>
      <c r="F5377">
        <f>IFERROR(__xludf.DUMMYFUNCTION("""COMPUTED_VALUE"""),18.75)</f>
        <v>18.75</v>
      </c>
    </row>
    <row r="5378">
      <c r="D5378" t="str">
        <f>IFERROR(__xludf.DUMMYFUNCTION("""COMPUTED_VALUE"""),"Fox")</f>
        <v>Fox</v>
      </c>
      <c r="E5378" t="str">
        <f>IFERROR(__xludf.DUMMYFUNCTION("""COMPUTED_VALUE"""),"Morgan")</f>
        <v>Morgan</v>
      </c>
      <c r="F5378">
        <f>IFERROR(__xludf.DUMMYFUNCTION("""COMPUTED_VALUE"""),17.5)</f>
        <v>17.5</v>
      </c>
    </row>
    <row r="5379">
      <c r="D5379" t="str">
        <f>IFERROR(__xludf.DUMMYFUNCTION("""COMPUTED_VALUE"""),"Francis")</f>
        <v>Francis</v>
      </c>
      <c r="E5379" t="str">
        <f>IFERROR(__xludf.DUMMYFUNCTION("""COMPUTED_VALUE"""),"AJ")</f>
        <v>AJ</v>
      </c>
      <c r="F5379">
        <f>IFERROR(__xludf.DUMMYFUNCTION("""COMPUTED_VALUE"""),15.75)</f>
        <v>15.75</v>
      </c>
    </row>
    <row r="5380">
      <c r="D5380" t="str">
        <f>IFERROR(__xludf.DUMMYFUNCTION("""COMPUTED_VALUE"""),"Franklin")</f>
        <v>Franklin</v>
      </c>
      <c r="E5380" t="str">
        <f>IFERROR(__xludf.DUMMYFUNCTION("""COMPUTED_VALUE"""),"Zaire")</f>
        <v>Zaire</v>
      </c>
      <c r="F5380">
        <f>IFERROR(__xludf.DUMMYFUNCTION("""COMPUTED_VALUE"""),17.25)</f>
        <v>17.25</v>
      </c>
    </row>
    <row r="5381">
      <c r="D5381" t="str">
        <f>IFERROR(__xludf.DUMMYFUNCTION("""COMPUTED_VALUE"""),"Franklin-Myers")</f>
        <v>Franklin-Myers</v>
      </c>
      <c r="E5381" t="str">
        <f>IFERROR(__xludf.DUMMYFUNCTION("""COMPUTED_VALUE"""),"John")</f>
        <v>John</v>
      </c>
      <c r="F5381">
        <f>IFERROR(__xludf.DUMMYFUNCTION("""COMPUTED_VALUE"""),16.25)</f>
        <v>16.25</v>
      </c>
    </row>
    <row r="5382">
      <c r="D5382" t="str">
        <f>IFERROR(__xludf.DUMMYFUNCTION("""COMPUTED_VALUE"""),"Frazier")</f>
        <v>Frazier</v>
      </c>
      <c r="E5382" t="str">
        <f>IFERROR(__xludf.DUMMYFUNCTION("""COMPUTED_VALUE"""),"Joshua")</f>
        <v>Joshua</v>
      </c>
      <c r="F5382">
        <f>IFERROR(__xludf.DUMMYFUNCTION("""COMPUTED_VALUE"""),16.25)</f>
        <v>16.25</v>
      </c>
    </row>
    <row r="5383">
      <c r="D5383" t="str">
        <f>IFERROR(__xludf.DUMMYFUNCTION("""COMPUTED_VALUE"""),"Frazier")</f>
        <v>Frazier</v>
      </c>
      <c r="E5383" t="str">
        <f>IFERROR(__xludf.DUMMYFUNCTION("""COMPUTED_VALUE"""),"Kavon")</f>
        <v>Kavon</v>
      </c>
      <c r="F5383">
        <f>IFERROR(__xludf.DUMMYFUNCTION("""COMPUTED_VALUE"""),18.0)</f>
        <v>18</v>
      </c>
    </row>
    <row r="5384">
      <c r="D5384" t="str">
        <f>IFERROR(__xludf.DUMMYFUNCTION("""COMPUTED_VALUE"""),"Frazier")</f>
        <v>Frazier</v>
      </c>
      <c r="E5384" t="str">
        <f>IFERROR(__xludf.DUMMYFUNCTION("""COMPUTED_VALUE"""),"Mose")</f>
        <v>Mose</v>
      </c>
      <c r="F5384">
        <f>IFERROR(__xludf.DUMMYFUNCTION("""COMPUTED_VALUE"""),16.25)</f>
        <v>16.25</v>
      </c>
    </row>
    <row r="5385">
      <c r="D5385" t="str">
        <f>IFERROR(__xludf.DUMMYFUNCTION("""COMPUTED_VALUE"""),"Frederick")</f>
        <v>Frederick</v>
      </c>
      <c r="E5385" t="str">
        <f>IFERROR(__xludf.DUMMYFUNCTION("""COMPUTED_VALUE"""),"Travis")</f>
        <v>Travis</v>
      </c>
      <c r="F5385">
        <f>IFERROR(__xludf.DUMMYFUNCTION("""COMPUTED_VALUE"""),21.75)</f>
        <v>21.75</v>
      </c>
    </row>
    <row r="5386">
      <c r="D5386" t="str">
        <f>IFERROR(__xludf.DUMMYFUNCTION("""COMPUTED_VALUE"""),"Frederick")</f>
        <v>Frederick</v>
      </c>
      <c r="E5386" t="str">
        <f>IFERROR(__xludf.DUMMYFUNCTION("""COMPUTED_VALUE"""),"Travis")</f>
        <v>Travis</v>
      </c>
      <c r="F5386">
        <f>IFERROR(__xludf.DUMMYFUNCTION("""COMPUTED_VALUE"""),22.75)</f>
        <v>22.75</v>
      </c>
    </row>
    <row r="5387">
      <c r="D5387" t="str">
        <f>IFERROR(__xludf.DUMMYFUNCTION("""COMPUTED_VALUE"""),"Freeman")</f>
        <v>Freeman</v>
      </c>
      <c r="E5387" t="str">
        <f>IFERROR(__xludf.DUMMYFUNCTION("""COMPUTED_VALUE"""),"Devonta")</f>
        <v>Devonta</v>
      </c>
      <c r="F5387">
        <f>IFERROR(__xludf.DUMMYFUNCTION("""COMPUTED_VALUE"""),21.25)</f>
        <v>21.25</v>
      </c>
    </row>
    <row r="5388">
      <c r="D5388" t="str">
        <f>IFERROR(__xludf.DUMMYFUNCTION("""COMPUTED_VALUE"""),"Freeman")</f>
        <v>Freeman</v>
      </c>
      <c r="E5388" t="str">
        <f>IFERROR(__xludf.DUMMYFUNCTION("""COMPUTED_VALUE"""),"Royce")</f>
        <v>Royce</v>
      </c>
      <c r="F5388">
        <f>IFERROR(__xludf.DUMMYFUNCTION("""COMPUTED_VALUE"""),18.5)</f>
        <v>18.5</v>
      </c>
    </row>
    <row r="5389">
      <c r="D5389" t="str">
        <f>IFERROR(__xludf.DUMMYFUNCTION("""COMPUTED_VALUE"""),"Freeny")</f>
        <v>Freeny</v>
      </c>
      <c r="E5389" t="str">
        <f>IFERROR(__xludf.DUMMYFUNCTION("""COMPUTED_VALUE"""),"Jonathan")</f>
        <v>Jonathan</v>
      </c>
      <c r="F5389">
        <f>IFERROR(__xludf.DUMMYFUNCTION("""COMPUTED_VALUE"""),17.0)</f>
        <v>17</v>
      </c>
    </row>
    <row r="5390">
      <c r="D5390" t="str">
        <f>IFERROR(__xludf.DUMMYFUNCTION("""COMPUTED_VALUE"""),"Fuller")</f>
        <v>Fuller</v>
      </c>
      <c r="E5390" t="str">
        <f>IFERROR(__xludf.DUMMYFUNCTION("""COMPUTED_VALUE"""),"Kendall")</f>
        <v>Kendall</v>
      </c>
      <c r="F5390">
        <f>IFERROR(__xludf.DUMMYFUNCTION("""COMPUTED_VALUE"""),20.5)</f>
        <v>20.5</v>
      </c>
    </row>
    <row r="5391">
      <c r="D5391" t="str">
        <f>IFERROR(__xludf.DUMMYFUNCTION("""COMPUTED_VALUE"""),"Fuller")</f>
        <v>Fuller</v>
      </c>
      <c r="E5391" t="str">
        <f>IFERROR(__xludf.DUMMYFUNCTION("""COMPUTED_VALUE"""),"Kyle")</f>
        <v>Kyle</v>
      </c>
      <c r="F5391">
        <f>IFERROR(__xludf.DUMMYFUNCTION("""COMPUTED_VALUE"""),16.5)</f>
        <v>16.5</v>
      </c>
    </row>
    <row r="5392">
      <c r="D5392" t="str">
        <f>IFERROR(__xludf.DUMMYFUNCTION("""COMPUTED_VALUE"""),"Fuller")</f>
        <v>Fuller</v>
      </c>
      <c r="E5392" t="str">
        <f>IFERROR(__xludf.DUMMYFUNCTION("""COMPUTED_VALUE"""),"Kyle")</f>
        <v>Kyle</v>
      </c>
      <c r="F5392">
        <f>IFERROR(__xludf.DUMMYFUNCTION("""COMPUTED_VALUE"""),20.0)</f>
        <v>20</v>
      </c>
    </row>
    <row r="5393">
      <c r="D5393" t="str">
        <f>IFERROR(__xludf.DUMMYFUNCTION("""COMPUTED_VALUE"""),"Fuller V")</f>
        <v>Fuller V</v>
      </c>
      <c r="E5393" t="str">
        <f>IFERROR(__xludf.DUMMYFUNCTION("""COMPUTED_VALUE"""),"Will")</f>
        <v>Will</v>
      </c>
      <c r="F5393">
        <f>IFERROR(__xludf.DUMMYFUNCTION("""COMPUTED_VALUE"""),19.75)</f>
        <v>19.75</v>
      </c>
    </row>
    <row r="5394">
      <c r="D5394" t="str">
        <f>IFERROR(__xludf.DUMMYFUNCTION("""COMPUTED_VALUE"""),"Fullington")</f>
        <v>Fullington</v>
      </c>
      <c r="E5394" t="str">
        <f>IFERROR(__xludf.DUMMYFUNCTION("""COMPUTED_VALUE"""),"John")</f>
        <v>John</v>
      </c>
      <c r="F5394">
        <f>IFERROR(__xludf.DUMMYFUNCTION("""COMPUTED_VALUE"""),15.75)</f>
        <v>15.75</v>
      </c>
    </row>
    <row r="5395">
      <c r="D5395" t="str">
        <f>IFERROR(__xludf.DUMMYFUNCTION("""COMPUTED_VALUE"""),"Fulton")</f>
        <v>Fulton</v>
      </c>
      <c r="E5395" t="str">
        <f>IFERROR(__xludf.DUMMYFUNCTION("""COMPUTED_VALUE"""),"Zach")</f>
        <v>Zach</v>
      </c>
      <c r="F5395">
        <f>IFERROR(__xludf.DUMMYFUNCTION("""COMPUTED_VALUE"""),19.75)</f>
        <v>19.75</v>
      </c>
    </row>
    <row r="5396">
      <c r="D5396" t="str">
        <f>IFERROR(__xludf.DUMMYFUNCTION("""COMPUTED_VALUE"""),"Fumagalli")</f>
        <v>Fumagalli</v>
      </c>
      <c r="E5396" t="str">
        <f>IFERROR(__xludf.DUMMYFUNCTION("""COMPUTED_VALUE"""),"Troy")</f>
        <v>Troy</v>
      </c>
      <c r="F5396">
        <f>IFERROR(__xludf.DUMMYFUNCTION("""COMPUTED_VALUE"""),17.5)</f>
        <v>17.5</v>
      </c>
    </row>
    <row r="5397">
      <c r="D5397" t="str">
        <f>IFERROR(__xludf.DUMMYFUNCTION("""COMPUTED_VALUE"""),"Funchess")</f>
        <v>Funchess</v>
      </c>
      <c r="E5397" t="str">
        <f>IFERROR(__xludf.DUMMYFUNCTION("""COMPUTED_VALUE"""),"Devin")</f>
        <v>Devin</v>
      </c>
      <c r="F5397">
        <f>IFERROR(__xludf.DUMMYFUNCTION("""COMPUTED_VALUE"""),19.75)</f>
        <v>19.75</v>
      </c>
    </row>
    <row r="5398">
      <c r="D5398" t="str">
        <f>IFERROR(__xludf.DUMMYFUNCTION("""COMPUTED_VALUE"""),"Fusco")</f>
        <v>Fusco</v>
      </c>
      <c r="E5398" t="str">
        <f>IFERROR(__xludf.DUMMYFUNCTION("""COMPUTED_VALUE"""),"Brandon")</f>
        <v>Brandon</v>
      </c>
      <c r="F5398">
        <f>IFERROR(__xludf.DUMMYFUNCTION("""COMPUTED_VALUE"""),19.5)</f>
        <v>19.5</v>
      </c>
    </row>
    <row r="5399">
      <c r="D5399" t="str">
        <f>IFERROR(__xludf.DUMMYFUNCTION("""COMPUTED_VALUE"""),"Gabbert")</f>
        <v>Gabbert</v>
      </c>
      <c r="E5399" t="str">
        <f>IFERROR(__xludf.DUMMYFUNCTION("""COMPUTED_VALUE"""),"Blaine")</f>
        <v>Blaine</v>
      </c>
      <c r="F5399">
        <f>IFERROR(__xludf.DUMMYFUNCTION("""COMPUTED_VALUE"""),18.25)</f>
        <v>18.25</v>
      </c>
    </row>
    <row r="5400">
      <c r="D5400" t="str">
        <f>IFERROR(__xludf.DUMMYFUNCTION("""COMPUTED_VALUE"""),"Gabriel")</f>
        <v>Gabriel</v>
      </c>
      <c r="E5400" t="str">
        <f>IFERROR(__xludf.DUMMYFUNCTION("""COMPUTED_VALUE"""),"Taylor")</f>
        <v>Taylor</v>
      </c>
      <c r="F5400">
        <f>IFERROR(__xludf.DUMMYFUNCTION("""COMPUTED_VALUE"""),19.5)</f>
        <v>19.5</v>
      </c>
    </row>
    <row r="5401">
      <c r="D5401" t="str">
        <f>IFERROR(__xludf.DUMMYFUNCTION("""COMPUTED_VALUE"""),"Gage")</f>
        <v>Gage</v>
      </c>
      <c r="E5401" t="str">
        <f>IFERROR(__xludf.DUMMYFUNCTION("""COMPUTED_VALUE"""),"Russell")</f>
        <v>Russell</v>
      </c>
      <c r="F5401">
        <f>IFERROR(__xludf.DUMMYFUNCTION("""COMPUTED_VALUE"""),16.5)</f>
        <v>16.5</v>
      </c>
    </row>
    <row r="5402">
      <c r="D5402" t="str">
        <f>IFERROR(__xludf.DUMMYFUNCTION("""COMPUTED_VALUE"""),"Gaines")</f>
        <v>Gaines</v>
      </c>
      <c r="E5402" t="str">
        <f>IFERROR(__xludf.DUMMYFUNCTION("""COMPUTED_VALUE"""),"EJ")</f>
        <v>EJ</v>
      </c>
      <c r="F5402">
        <f>IFERROR(__xludf.DUMMYFUNCTION("""COMPUTED_VALUE"""),20.0)</f>
        <v>20</v>
      </c>
    </row>
    <row r="5403">
      <c r="D5403" t="str">
        <f>IFERROR(__xludf.DUMMYFUNCTION("""COMPUTED_VALUE"""),"Gallman Jr")</f>
        <v>Gallman Jr</v>
      </c>
      <c r="E5403" t="str">
        <f>IFERROR(__xludf.DUMMYFUNCTION("""COMPUTED_VALUE"""),"Wayne")</f>
        <v>Wayne</v>
      </c>
      <c r="F5403">
        <f>IFERROR(__xludf.DUMMYFUNCTION("""COMPUTED_VALUE"""),18.75)</f>
        <v>18.75</v>
      </c>
    </row>
    <row r="5404">
      <c r="D5404" t="str">
        <f>IFERROR(__xludf.DUMMYFUNCTION("""COMPUTED_VALUE"""),"Gallup")</f>
        <v>Gallup</v>
      </c>
      <c r="E5404" t="str">
        <f>IFERROR(__xludf.DUMMYFUNCTION("""COMPUTED_VALUE"""),"Michael")</f>
        <v>Michael</v>
      </c>
      <c r="F5404">
        <f>IFERROR(__xludf.DUMMYFUNCTION("""COMPUTED_VALUE"""),18.75)</f>
        <v>18.75</v>
      </c>
    </row>
    <row r="5405">
      <c r="D5405" t="str">
        <f>IFERROR(__xludf.DUMMYFUNCTION("""COMPUTED_VALUE"""),"Gano")</f>
        <v>Gano</v>
      </c>
      <c r="E5405" t="str">
        <f>IFERROR(__xludf.DUMMYFUNCTION("""COMPUTED_VALUE"""),"Graham")</f>
        <v>Graham</v>
      </c>
      <c r="F5405">
        <f>IFERROR(__xludf.DUMMYFUNCTION("""COMPUTED_VALUE"""),20.5)</f>
        <v>20.5</v>
      </c>
    </row>
    <row r="5406">
      <c r="D5406" t="str">
        <f>IFERROR(__xludf.DUMMYFUNCTION("""COMPUTED_VALUE"""),"Garcia")</f>
        <v>Garcia</v>
      </c>
      <c r="E5406" t="str">
        <f>IFERROR(__xludf.DUMMYFUNCTION("""COMPUTED_VALUE"""),"Max")</f>
        <v>Max</v>
      </c>
      <c r="F5406">
        <f>IFERROR(__xludf.DUMMYFUNCTION("""COMPUTED_VALUE"""),18.5)</f>
        <v>18.5</v>
      </c>
    </row>
    <row r="5407">
      <c r="D5407" t="str">
        <f>IFERROR(__xludf.DUMMYFUNCTION("""COMPUTED_VALUE"""),"Garcia")</f>
        <v>Garcia</v>
      </c>
      <c r="E5407" t="str">
        <f>IFERROR(__xludf.DUMMYFUNCTION("""COMPUTED_VALUE"""),"Tony")</f>
        <v>Tony</v>
      </c>
      <c r="F5407">
        <f>IFERROR(__xludf.DUMMYFUNCTION("""COMPUTED_VALUE"""),18.75)</f>
        <v>18.75</v>
      </c>
    </row>
    <row r="5408">
      <c r="D5408" t="str">
        <f>IFERROR(__xludf.DUMMYFUNCTION("""COMPUTED_VALUE"""),"Garcia-Williams")</f>
        <v>Garcia-Williams</v>
      </c>
      <c r="E5408" t="str">
        <f>IFERROR(__xludf.DUMMYFUNCTION("""COMPUTED_VALUE"""),"Jerrol")</f>
        <v>Jerrol</v>
      </c>
      <c r="F5408">
        <f>IFERROR(__xludf.DUMMYFUNCTION("""COMPUTED_VALUE"""),16.75)</f>
        <v>16.75</v>
      </c>
    </row>
    <row r="5409">
      <c r="D5409" t="str">
        <f>IFERROR(__xludf.DUMMYFUNCTION("""COMPUTED_VALUE"""),"Garcon")</f>
        <v>Garcon</v>
      </c>
      <c r="E5409" t="str">
        <f>IFERROR(__xludf.DUMMYFUNCTION("""COMPUTED_VALUE"""),"Pierre")</f>
        <v>Pierre</v>
      </c>
      <c r="F5409">
        <f>IFERROR(__xludf.DUMMYFUNCTION("""COMPUTED_VALUE"""),20.5)</f>
        <v>20.5</v>
      </c>
    </row>
    <row r="5410">
      <c r="D5410" t="str">
        <f>IFERROR(__xludf.DUMMYFUNCTION("""COMPUTED_VALUE"""),"Garcon")</f>
        <v>Garcon</v>
      </c>
      <c r="E5410" t="str">
        <f>IFERROR(__xludf.DUMMYFUNCTION("""COMPUTED_VALUE"""),"Pierre")</f>
        <v>Pierre</v>
      </c>
      <c r="F5410">
        <f>IFERROR(__xludf.DUMMYFUNCTION("""COMPUTED_VALUE"""),21.75)</f>
        <v>21.75</v>
      </c>
    </row>
    <row r="5411">
      <c r="D5411" t="str">
        <f>IFERROR(__xludf.DUMMYFUNCTION("""COMPUTED_VALUE"""),"Garland")</f>
        <v>Garland</v>
      </c>
      <c r="E5411" t="str">
        <f>IFERROR(__xludf.DUMMYFUNCTION("""COMPUTED_VALUE"""),"Ben")</f>
        <v>Ben</v>
      </c>
      <c r="F5411">
        <f>IFERROR(__xludf.DUMMYFUNCTION("""COMPUTED_VALUE"""),18.0)</f>
        <v>18</v>
      </c>
    </row>
    <row r="5412">
      <c r="D5412" t="str">
        <f>IFERROR(__xludf.DUMMYFUNCTION("""COMPUTED_VALUE"""),"Garnett")</f>
        <v>Garnett</v>
      </c>
      <c r="E5412" t="str">
        <f>IFERROR(__xludf.DUMMYFUNCTION("""COMPUTED_VALUE"""),"Joshua")</f>
        <v>Joshua</v>
      </c>
      <c r="F5412">
        <f>IFERROR(__xludf.DUMMYFUNCTION("""COMPUTED_VALUE"""),18.25)</f>
        <v>18.25</v>
      </c>
    </row>
    <row r="5413">
      <c r="D5413" t="str">
        <f>IFERROR(__xludf.DUMMYFUNCTION("""COMPUTED_VALUE"""),"Garoppolo")</f>
        <v>Garoppolo</v>
      </c>
      <c r="E5413" t="str">
        <f>IFERROR(__xludf.DUMMYFUNCTION("""COMPUTED_VALUE"""),"Jimmy")</f>
        <v>Jimmy</v>
      </c>
      <c r="F5413">
        <f>IFERROR(__xludf.DUMMYFUNCTION("""COMPUTED_VALUE"""),20.5)</f>
        <v>20.5</v>
      </c>
    </row>
    <row r="5414">
      <c r="D5414" t="str">
        <f>IFERROR(__xludf.DUMMYFUNCTION("""COMPUTED_VALUE"""),"Garrett")</f>
        <v>Garrett</v>
      </c>
      <c r="E5414" t="str">
        <f>IFERROR(__xludf.DUMMYFUNCTION("""COMPUTED_VALUE"""),"Myles")</f>
        <v>Myles</v>
      </c>
      <c r="F5414">
        <f>IFERROR(__xludf.DUMMYFUNCTION("""COMPUTED_VALUE"""),20.75)</f>
        <v>20.75</v>
      </c>
    </row>
    <row r="5415">
      <c r="D5415" t="str">
        <f>IFERROR(__xludf.DUMMYFUNCTION("""COMPUTED_VALUE"""),"Garvin")</f>
        <v>Garvin</v>
      </c>
      <c r="E5415" t="str">
        <f>IFERROR(__xludf.DUMMYFUNCTION("""COMPUTED_VALUE"""),"Terence")</f>
        <v>Terence</v>
      </c>
      <c r="F5415">
        <f>IFERROR(__xludf.DUMMYFUNCTION("""COMPUTED_VALUE"""),16.25)</f>
        <v>16.25</v>
      </c>
    </row>
    <row r="5416">
      <c r="D5416" t="str">
        <f>IFERROR(__xludf.DUMMYFUNCTION("""COMPUTED_VALUE"""),"Gates")</f>
        <v>Gates</v>
      </c>
      <c r="E5416" t="str">
        <f>IFERROR(__xludf.DUMMYFUNCTION("""COMPUTED_VALUE"""),"Antonio")</f>
        <v>Antonio</v>
      </c>
      <c r="F5416">
        <f>IFERROR(__xludf.DUMMYFUNCTION("""COMPUTED_VALUE"""),15.0)</f>
        <v>15</v>
      </c>
    </row>
    <row r="5417">
      <c r="D5417" t="str">
        <f>IFERROR(__xludf.DUMMYFUNCTION("""COMPUTED_VALUE"""),"Gathers")</f>
        <v>Gathers</v>
      </c>
      <c r="E5417" t="str">
        <f>IFERROR(__xludf.DUMMYFUNCTION("""COMPUTED_VALUE"""),"Rico")</f>
        <v>Rico</v>
      </c>
      <c r="F5417">
        <f>IFERROR(__xludf.DUMMYFUNCTION("""COMPUTED_VALUE"""),16.75)</f>
        <v>16.75</v>
      </c>
    </row>
    <row r="5418">
      <c r="D5418" t="str">
        <f>IFERROR(__xludf.DUMMYFUNCTION("""COMPUTED_VALUE"""),"Gaulden")</f>
        <v>Gaulden</v>
      </c>
      <c r="E5418" t="str">
        <f>IFERROR(__xludf.DUMMYFUNCTION("""COMPUTED_VALUE"""),"Rashaan")</f>
        <v>Rashaan</v>
      </c>
      <c r="F5418">
        <f>IFERROR(__xludf.DUMMYFUNCTION("""COMPUTED_VALUE"""),17.25)</f>
        <v>17.25</v>
      </c>
    </row>
    <row r="5419">
      <c r="D5419" t="str">
        <f>IFERROR(__xludf.DUMMYFUNCTION("""COMPUTED_VALUE"""),"Gay")</f>
        <v>Gay</v>
      </c>
      <c r="E5419" t="str">
        <f>IFERROR(__xludf.DUMMYFUNCTION("""COMPUTED_VALUE"""),"William")</f>
        <v>William</v>
      </c>
      <c r="F5419">
        <f>IFERROR(__xludf.DUMMYFUNCTION("""COMPUTED_VALUE"""),17.5)</f>
        <v>17.5</v>
      </c>
    </row>
    <row r="5420">
      <c r="D5420" t="str">
        <f>IFERROR(__xludf.DUMMYFUNCTION("""COMPUTED_VALUE"""),"Geathers")</f>
        <v>Geathers</v>
      </c>
      <c r="E5420" t="str">
        <f>IFERROR(__xludf.DUMMYFUNCTION("""COMPUTED_VALUE"""),"Clayton")</f>
        <v>Clayton</v>
      </c>
      <c r="F5420">
        <f>IFERROR(__xludf.DUMMYFUNCTION("""COMPUTED_VALUE"""),18.75)</f>
        <v>18.75</v>
      </c>
    </row>
    <row r="5421">
      <c r="D5421" t="str">
        <f>IFERROR(__xludf.DUMMYFUNCTION("""COMPUTED_VALUE"""),"Gedeon")</f>
        <v>Gedeon</v>
      </c>
      <c r="E5421" t="str">
        <f>IFERROR(__xludf.DUMMYFUNCTION("""COMPUTED_VALUE"""),"Ben")</f>
        <v>Ben</v>
      </c>
      <c r="F5421">
        <f>IFERROR(__xludf.DUMMYFUNCTION("""COMPUTED_VALUE"""),19.0)</f>
        <v>19</v>
      </c>
    </row>
    <row r="5422">
      <c r="D5422" t="str">
        <f>IFERROR(__xludf.DUMMYFUNCTION("""COMPUTED_VALUE"""),"Gentry")</f>
        <v>Gentry</v>
      </c>
      <c r="E5422" t="str">
        <f>IFERROR(__xludf.DUMMYFUNCTION("""COMPUTED_VALUE"""),"Tanner")</f>
        <v>Tanner</v>
      </c>
      <c r="F5422">
        <f>IFERROR(__xludf.DUMMYFUNCTION("""COMPUTED_VALUE"""),16.25)</f>
        <v>16.25</v>
      </c>
    </row>
    <row r="5423">
      <c r="D5423" t="str">
        <f>IFERROR(__xludf.DUMMYFUNCTION("""COMPUTED_VALUE"""),"George")</f>
        <v>George</v>
      </c>
      <c r="E5423" t="str">
        <f>IFERROR(__xludf.DUMMYFUNCTION("""COMPUTED_VALUE"""),"Jeremiah")</f>
        <v>Jeremiah</v>
      </c>
      <c r="F5423">
        <f>IFERROR(__xludf.DUMMYFUNCTION("""COMPUTED_VALUE"""),16.25)</f>
        <v>16.25</v>
      </c>
    </row>
    <row r="5424">
      <c r="D5424" t="str">
        <f>IFERROR(__xludf.DUMMYFUNCTION("""COMPUTED_VALUE"""),"Gerry")</f>
        <v>Gerry</v>
      </c>
      <c r="E5424" t="str">
        <f>IFERROR(__xludf.DUMMYFUNCTION("""COMPUTED_VALUE"""),"Nathan")</f>
        <v>Nathan</v>
      </c>
      <c r="F5424">
        <f>IFERROR(__xludf.DUMMYFUNCTION("""COMPUTED_VALUE"""),18.0)</f>
        <v>18</v>
      </c>
    </row>
    <row r="5425">
      <c r="D5425" t="str">
        <f>IFERROR(__xludf.DUMMYFUNCTION("""COMPUTED_VALUE"""),"Gesicki")</f>
        <v>Gesicki</v>
      </c>
      <c r="E5425" t="str">
        <f>IFERROR(__xludf.DUMMYFUNCTION("""COMPUTED_VALUE"""),"Mike")</f>
        <v>Mike</v>
      </c>
      <c r="F5425">
        <f>IFERROR(__xludf.DUMMYFUNCTION("""COMPUTED_VALUE"""),18.75)</f>
        <v>18.75</v>
      </c>
    </row>
    <row r="5426">
      <c r="D5426" t="str">
        <f>IFERROR(__xludf.DUMMYFUNCTION("""COMPUTED_VALUE"""),"Gettis")</f>
        <v>Gettis</v>
      </c>
      <c r="E5426" t="str">
        <f>IFERROR(__xludf.DUMMYFUNCTION("""COMPUTED_VALUE"""),"Adam")</f>
        <v>Adam</v>
      </c>
      <c r="F5426">
        <f>IFERROR(__xludf.DUMMYFUNCTION("""COMPUTED_VALUE"""),17.25)</f>
        <v>17.25</v>
      </c>
    </row>
    <row r="5427">
      <c r="D5427" t="str">
        <f>IFERROR(__xludf.DUMMYFUNCTION("""COMPUTED_VALUE"""),"Gholston")</f>
        <v>Gholston</v>
      </c>
      <c r="E5427" t="str">
        <f>IFERROR(__xludf.DUMMYFUNCTION("""COMPUTED_VALUE"""),"William")</f>
        <v>William</v>
      </c>
      <c r="F5427">
        <f>IFERROR(__xludf.DUMMYFUNCTION("""COMPUTED_VALUE"""),17.75)</f>
        <v>17.75</v>
      </c>
    </row>
    <row r="5428">
      <c r="D5428" t="str">
        <f>IFERROR(__xludf.DUMMYFUNCTION("""COMPUTED_VALUE"""),"Giacomini")</f>
        <v>Giacomini</v>
      </c>
      <c r="E5428" t="str">
        <f>IFERROR(__xludf.DUMMYFUNCTION("""COMPUTED_VALUE"""),"Breno")</f>
        <v>Breno</v>
      </c>
      <c r="F5428">
        <f>IFERROR(__xludf.DUMMYFUNCTION("""COMPUTED_VALUE"""),17.25)</f>
        <v>17.25</v>
      </c>
    </row>
    <row r="5429">
      <c r="D5429" t="str">
        <f>IFERROR(__xludf.DUMMYFUNCTION("""COMPUTED_VALUE"""),"Gibson")</f>
        <v>Gibson</v>
      </c>
      <c r="E5429" t="str">
        <f>IFERROR(__xludf.DUMMYFUNCTION("""COMPUTED_VALUE"""),"Shelton")</f>
        <v>Shelton</v>
      </c>
      <c r="F5429">
        <f>IFERROR(__xludf.DUMMYFUNCTION("""COMPUTED_VALUE"""),17.0)</f>
        <v>17</v>
      </c>
    </row>
    <row r="5430">
      <c r="D5430" t="str">
        <f>IFERROR(__xludf.DUMMYFUNCTION("""COMPUTED_VALUE"""),"Gilbert")</f>
        <v>Gilbert</v>
      </c>
      <c r="E5430" t="str">
        <f>IFERROR(__xludf.DUMMYFUNCTION("""COMPUTED_VALUE"""),"Garrett")</f>
        <v>Garrett</v>
      </c>
      <c r="F5430">
        <f>IFERROR(__xludf.DUMMYFUNCTION("""COMPUTED_VALUE"""),15.5)</f>
        <v>15.5</v>
      </c>
    </row>
    <row r="5431">
      <c r="D5431" t="str">
        <f>IFERROR(__xludf.DUMMYFUNCTION("""COMPUTED_VALUE"""),"Gilbert")</f>
        <v>Gilbert</v>
      </c>
      <c r="E5431" t="str">
        <f>IFERROR(__xludf.DUMMYFUNCTION("""COMPUTED_VALUE"""),"Marcus")</f>
        <v>Marcus</v>
      </c>
      <c r="F5431">
        <f>IFERROR(__xludf.DUMMYFUNCTION("""COMPUTED_VALUE"""),21.25)</f>
        <v>21.25</v>
      </c>
    </row>
    <row r="5432">
      <c r="D5432" t="str">
        <f>IFERROR(__xludf.DUMMYFUNCTION("""COMPUTED_VALUE"""),"Gilbert")</f>
        <v>Gilbert</v>
      </c>
      <c r="E5432" t="str">
        <f>IFERROR(__xludf.DUMMYFUNCTION("""COMPUTED_VALUE"""),"Reggie")</f>
        <v>Reggie</v>
      </c>
      <c r="F5432">
        <f>IFERROR(__xludf.DUMMYFUNCTION("""COMPUTED_VALUE"""),15.5)</f>
        <v>15.5</v>
      </c>
    </row>
    <row r="5433">
      <c r="D5433" t="str">
        <f>IFERROR(__xludf.DUMMYFUNCTION("""COMPUTED_VALUE"""),"Gilchrist")</f>
        <v>Gilchrist</v>
      </c>
      <c r="E5433" t="str">
        <f>IFERROR(__xludf.DUMMYFUNCTION("""COMPUTED_VALUE"""),"Marcus")</f>
        <v>Marcus</v>
      </c>
      <c r="F5433">
        <f>IFERROR(__xludf.DUMMYFUNCTION("""COMPUTED_VALUE"""),19.5)</f>
        <v>19.5</v>
      </c>
    </row>
    <row r="5434">
      <c r="D5434" t="str">
        <f>IFERROR(__xludf.DUMMYFUNCTION("""COMPUTED_VALUE"""),"Gilliam")</f>
        <v>Gilliam</v>
      </c>
      <c r="E5434" t="str">
        <f>IFERROR(__xludf.DUMMYFUNCTION("""COMPUTED_VALUE"""),"Garry")</f>
        <v>Garry</v>
      </c>
      <c r="F5434">
        <f>IFERROR(__xludf.DUMMYFUNCTION("""COMPUTED_VALUE"""),18.75)</f>
        <v>18.75</v>
      </c>
    </row>
    <row r="5435">
      <c r="D5435" t="str">
        <f>IFERROR(__xludf.DUMMYFUNCTION("""COMPUTED_VALUE"""),"Gillislee")</f>
        <v>Gillislee</v>
      </c>
      <c r="E5435" t="str">
        <f>IFERROR(__xludf.DUMMYFUNCTION("""COMPUTED_VALUE"""),"Mike")</f>
        <v>Mike</v>
      </c>
      <c r="F5435">
        <f>IFERROR(__xludf.DUMMYFUNCTION("""COMPUTED_VALUE"""),19.0)</f>
        <v>19</v>
      </c>
    </row>
    <row r="5436">
      <c r="D5436" t="str">
        <f>IFERROR(__xludf.DUMMYFUNCTION("""COMPUTED_VALUE"""),"Gilmore")</f>
        <v>Gilmore</v>
      </c>
      <c r="E5436" t="str">
        <f>IFERROR(__xludf.DUMMYFUNCTION("""COMPUTED_VALUE"""),"Stephon")</f>
        <v>Stephon</v>
      </c>
      <c r="F5436">
        <f>IFERROR(__xludf.DUMMYFUNCTION("""COMPUTED_VALUE"""),21.0)</f>
        <v>21</v>
      </c>
    </row>
    <row r="5437">
      <c r="D5437" t="str">
        <f>IFERROR(__xludf.DUMMYFUNCTION("""COMPUTED_VALUE"""),"Gilmore")</f>
        <v>Gilmore</v>
      </c>
      <c r="E5437" t="str">
        <f>IFERROR(__xludf.DUMMYFUNCTION("""COMPUTED_VALUE"""),"Stephon")</f>
        <v>Stephon</v>
      </c>
      <c r="F5437">
        <f>IFERROR(__xludf.DUMMYFUNCTION("""COMPUTED_VALUE"""),22.0)</f>
        <v>22</v>
      </c>
    </row>
    <row r="5438">
      <c r="D5438" t="str">
        <f>IFERROR(__xludf.DUMMYFUNCTION("""COMPUTED_VALUE"""),"Ginn Jr")</f>
        <v>Ginn Jr</v>
      </c>
      <c r="E5438" t="str">
        <f>IFERROR(__xludf.DUMMYFUNCTION("""COMPUTED_VALUE"""),"Ted")</f>
        <v>Ted</v>
      </c>
      <c r="F5438">
        <f>IFERROR(__xludf.DUMMYFUNCTION("""COMPUTED_VALUE"""),19.5)</f>
        <v>19.5</v>
      </c>
    </row>
    <row r="5439">
      <c r="D5439" t="str">
        <f>IFERROR(__xludf.DUMMYFUNCTION("""COMPUTED_VALUE"""),"Ginn Jr")</f>
        <v>Ginn Jr</v>
      </c>
      <c r="E5439" t="str">
        <f>IFERROR(__xludf.DUMMYFUNCTION("""COMPUTED_VALUE"""),"Ted")</f>
        <v>Ted</v>
      </c>
      <c r="F5439">
        <f>IFERROR(__xludf.DUMMYFUNCTION("""COMPUTED_VALUE"""),21.25)</f>
        <v>21.25</v>
      </c>
    </row>
    <row r="5440">
      <c r="D5440" t="str">
        <f>IFERROR(__xludf.DUMMYFUNCTION("""COMPUTED_VALUE"""),"Gipson")</f>
        <v>Gipson</v>
      </c>
      <c r="E5440" t="str">
        <f>IFERROR(__xludf.DUMMYFUNCTION("""COMPUTED_VALUE"""),"Tashaun")</f>
        <v>Tashaun</v>
      </c>
      <c r="F5440">
        <f>IFERROR(__xludf.DUMMYFUNCTION("""COMPUTED_VALUE"""),20.5)</f>
        <v>20.5</v>
      </c>
    </row>
    <row r="5441">
      <c r="D5441" t="str">
        <f>IFERROR(__xludf.DUMMYFUNCTION("""COMPUTED_VALUE"""),"Glanton")</f>
        <v>Glanton</v>
      </c>
      <c r="E5441" t="str">
        <f>IFERROR(__xludf.DUMMYFUNCTION("""COMPUTED_VALUE"""),"Adarius")</f>
        <v>Adarius</v>
      </c>
      <c r="F5441">
        <f>IFERROR(__xludf.DUMMYFUNCTION("""COMPUTED_VALUE"""),18.0)</f>
        <v>18</v>
      </c>
    </row>
    <row r="5442">
      <c r="D5442" t="str">
        <f>IFERROR(__xludf.DUMMYFUNCTION("""COMPUTED_VALUE"""),"Glasgow")</f>
        <v>Glasgow</v>
      </c>
      <c r="E5442" t="str">
        <f>IFERROR(__xludf.DUMMYFUNCTION("""COMPUTED_VALUE"""),"Graham")</f>
        <v>Graham</v>
      </c>
      <c r="F5442">
        <f>IFERROR(__xludf.DUMMYFUNCTION("""COMPUTED_VALUE"""),18.75)</f>
        <v>18.75</v>
      </c>
    </row>
    <row r="5443">
      <c r="D5443" t="str">
        <f>IFERROR(__xludf.DUMMYFUNCTION("""COMPUTED_VALUE"""),"Glasgow")</f>
        <v>Glasgow</v>
      </c>
      <c r="E5443" t="str">
        <f>IFERROR(__xludf.DUMMYFUNCTION("""COMPUTED_VALUE"""),"Ryan")</f>
        <v>Ryan</v>
      </c>
      <c r="F5443">
        <f>IFERROR(__xludf.DUMMYFUNCTION("""COMPUTED_VALUE"""),18.0)</f>
        <v>18</v>
      </c>
    </row>
    <row r="5444">
      <c r="D5444" t="str">
        <f>IFERROR(__xludf.DUMMYFUNCTION("""COMPUTED_VALUE"""),"Glenn")</f>
        <v>Glenn</v>
      </c>
      <c r="E5444" t="str">
        <f>IFERROR(__xludf.DUMMYFUNCTION("""COMPUTED_VALUE"""),"Cordy")</f>
        <v>Cordy</v>
      </c>
      <c r="F5444">
        <f>IFERROR(__xludf.DUMMYFUNCTION("""COMPUTED_VALUE"""),19.5)</f>
        <v>19.5</v>
      </c>
    </row>
    <row r="5445">
      <c r="D5445" t="str">
        <f>IFERROR(__xludf.DUMMYFUNCTION("""COMPUTED_VALUE"""),"Glennon")</f>
        <v>Glennon</v>
      </c>
      <c r="E5445" t="str">
        <f>IFERROR(__xludf.DUMMYFUNCTION("""COMPUTED_VALUE"""),"Mike")</f>
        <v>Mike</v>
      </c>
      <c r="F5445">
        <f>IFERROR(__xludf.DUMMYFUNCTION("""COMPUTED_VALUE"""),19.0)</f>
        <v>19</v>
      </c>
    </row>
    <row r="5446">
      <c r="D5446" t="str">
        <f>IFERROR(__xludf.DUMMYFUNCTION("""COMPUTED_VALUE"""),"Glowinski")</f>
        <v>Glowinski</v>
      </c>
      <c r="E5446" t="str">
        <f>IFERROR(__xludf.DUMMYFUNCTION("""COMPUTED_VALUE"""),"Mark")</f>
        <v>Mark</v>
      </c>
      <c r="F5446">
        <f>IFERROR(__xludf.DUMMYFUNCTION("""COMPUTED_VALUE"""),16.0)</f>
        <v>16</v>
      </c>
    </row>
    <row r="5447">
      <c r="D5447" t="str">
        <f>IFERROR(__xludf.DUMMYFUNCTION("""COMPUTED_VALUE"""),"Godchaux")</f>
        <v>Godchaux</v>
      </c>
      <c r="E5447" t="str">
        <f>IFERROR(__xludf.DUMMYFUNCTION("""COMPUTED_VALUE"""),"Davon")</f>
        <v>Davon</v>
      </c>
      <c r="F5447">
        <f>IFERROR(__xludf.DUMMYFUNCTION("""COMPUTED_VALUE"""),18.75)</f>
        <v>18.75</v>
      </c>
    </row>
    <row r="5448">
      <c r="D5448" t="str">
        <f>IFERROR(__xludf.DUMMYFUNCTION("""COMPUTED_VALUE"""),"Godwin")</f>
        <v>Godwin</v>
      </c>
      <c r="E5448" t="str">
        <f>IFERROR(__xludf.DUMMYFUNCTION("""COMPUTED_VALUE"""),"Chris")</f>
        <v>Chris</v>
      </c>
      <c r="F5448">
        <f>IFERROR(__xludf.DUMMYFUNCTION("""COMPUTED_VALUE"""),19.25)</f>
        <v>19.25</v>
      </c>
    </row>
    <row r="5449">
      <c r="D5449" t="str">
        <f>IFERROR(__xludf.DUMMYFUNCTION("""COMPUTED_VALUE"""),"Goedert")</f>
        <v>Goedert</v>
      </c>
      <c r="E5449" t="str">
        <f>IFERROR(__xludf.DUMMYFUNCTION("""COMPUTED_VALUE"""),"Dallas")</f>
        <v>Dallas</v>
      </c>
      <c r="F5449">
        <f>IFERROR(__xludf.DUMMYFUNCTION("""COMPUTED_VALUE"""),18.5)</f>
        <v>18.5</v>
      </c>
    </row>
    <row r="5450">
      <c r="D5450" t="str">
        <f>IFERROR(__xludf.DUMMYFUNCTION("""COMPUTED_VALUE"""),"Goff")</f>
        <v>Goff</v>
      </c>
      <c r="E5450" t="str">
        <f>IFERROR(__xludf.DUMMYFUNCTION("""COMPUTED_VALUE"""),"Jared")</f>
        <v>Jared</v>
      </c>
      <c r="F5450">
        <f>IFERROR(__xludf.DUMMYFUNCTION("""COMPUTED_VALUE"""),20.25)</f>
        <v>20.25</v>
      </c>
    </row>
    <row r="5451">
      <c r="D5451" t="str">
        <f>IFERROR(__xludf.DUMMYFUNCTION("""COMPUTED_VALUE"""),"Golden")</f>
        <v>Golden</v>
      </c>
      <c r="E5451" t="str">
        <f>IFERROR(__xludf.DUMMYFUNCTION("""COMPUTED_VALUE"""),"Markus")</f>
        <v>Markus</v>
      </c>
      <c r="F5451">
        <f>IFERROR(__xludf.DUMMYFUNCTION("""COMPUTED_VALUE"""),18.5)</f>
        <v>18.5</v>
      </c>
    </row>
    <row r="5452">
      <c r="D5452" t="str">
        <f>IFERROR(__xludf.DUMMYFUNCTION("""COMPUTED_VALUE"""),"Golden")</f>
        <v>Golden</v>
      </c>
      <c r="E5452" t="str">
        <f>IFERROR(__xludf.DUMMYFUNCTION("""COMPUTED_VALUE"""),"Robert")</f>
        <v>Robert</v>
      </c>
      <c r="F5452">
        <f>IFERROR(__xludf.DUMMYFUNCTION("""COMPUTED_VALUE"""),17.75)</f>
        <v>17.75</v>
      </c>
    </row>
    <row r="5453">
      <c r="D5453" t="str">
        <f>IFERROR(__xludf.DUMMYFUNCTION("""COMPUTED_VALUE"""),"Goldman")</f>
        <v>Goldman</v>
      </c>
      <c r="E5453" t="str">
        <f>IFERROR(__xludf.DUMMYFUNCTION("""COMPUTED_VALUE"""),"Eddie")</f>
        <v>Eddie</v>
      </c>
      <c r="F5453">
        <f>IFERROR(__xludf.DUMMYFUNCTION("""COMPUTED_VALUE"""),19.0)</f>
        <v>19</v>
      </c>
    </row>
    <row r="5454">
      <c r="D5454" t="str">
        <f>IFERROR(__xludf.DUMMYFUNCTION("""COMPUTED_VALUE"""),"Golladay")</f>
        <v>Golladay</v>
      </c>
      <c r="E5454" t="str">
        <f>IFERROR(__xludf.DUMMYFUNCTION("""COMPUTED_VALUE"""),"Kenny")</f>
        <v>Kenny</v>
      </c>
      <c r="F5454">
        <f>IFERROR(__xludf.DUMMYFUNCTION("""COMPUTED_VALUE"""),19.0)</f>
        <v>19</v>
      </c>
    </row>
    <row r="5455">
      <c r="D5455" t="str">
        <f>IFERROR(__xludf.DUMMYFUNCTION("""COMPUTED_VALUE"""),"Gonzalez")</f>
        <v>Gonzalez</v>
      </c>
      <c r="E5455" t="str">
        <f>IFERROR(__xludf.DUMMYFUNCTION("""COMPUTED_VALUE"""),"Zane")</f>
        <v>Zane</v>
      </c>
      <c r="F5455">
        <f>IFERROR(__xludf.DUMMYFUNCTION("""COMPUTED_VALUE"""),19.25)</f>
        <v>19.25</v>
      </c>
    </row>
    <row r="5456">
      <c r="D5456" t="str">
        <f>IFERROR(__xludf.DUMMYFUNCTION("""COMPUTED_VALUE"""),"Good")</f>
        <v>Good</v>
      </c>
      <c r="E5456" t="str">
        <f>IFERROR(__xludf.DUMMYFUNCTION("""COMPUTED_VALUE"""),"Denzelle")</f>
        <v>Denzelle</v>
      </c>
      <c r="F5456">
        <f>IFERROR(__xludf.DUMMYFUNCTION("""COMPUTED_VALUE"""),18.5)</f>
        <v>18.5</v>
      </c>
    </row>
    <row r="5457">
      <c r="D5457" t="str">
        <f>IFERROR(__xludf.DUMMYFUNCTION("""COMPUTED_VALUE"""),"Goode")</f>
        <v>Goode</v>
      </c>
      <c r="E5457" t="str">
        <f>IFERROR(__xludf.DUMMYFUNCTION("""COMPUTED_VALUE"""),"Najee")</f>
        <v>Najee</v>
      </c>
      <c r="F5457">
        <f>IFERROR(__xludf.DUMMYFUNCTION("""COMPUTED_VALUE"""),16.25)</f>
        <v>16.25</v>
      </c>
    </row>
    <row r="5458">
      <c r="D5458" t="str">
        <f>IFERROR(__xludf.DUMMYFUNCTION("""COMPUTED_VALUE"""),"Goodson")</f>
        <v>Goodson</v>
      </c>
      <c r="E5458" t="str">
        <f>IFERROR(__xludf.DUMMYFUNCTION("""COMPUTED_VALUE"""),"BJ")</f>
        <v>BJ</v>
      </c>
      <c r="F5458">
        <f>IFERROR(__xludf.DUMMYFUNCTION("""COMPUTED_VALUE"""),18.0)</f>
        <v>18</v>
      </c>
    </row>
    <row r="5459">
      <c r="D5459" t="str">
        <f>IFERROR(__xludf.DUMMYFUNCTION("""COMPUTED_VALUE"""),"Goodson")</f>
        <v>Goodson</v>
      </c>
      <c r="E5459" t="str">
        <f>IFERROR(__xludf.DUMMYFUNCTION("""COMPUTED_VALUE"""),"Demetri")</f>
        <v>Demetri</v>
      </c>
      <c r="F5459">
        <f>IFERROR(__xludf.DUMMYFUNCTION("""COMPUTED_VALUE"""),17.0)</f>
        <v>17</v>
      </c>
    </row>
    <row r="5460">
      <c r="D5460" t="str">
        <f>IFERROR(__xludf.DUMMYFUNCTION("""COMPUTED_VALUE"""),"Goodwin")</f>
        <v>Goodwin</v>
      </c>
      <c r="E5460" t="str">
        <f>IFERROR(__xludf.DUMMYFUNCTION("""COMPUTED_VALUE"""),"Marquise")</f>
        <v>Marquise</v>
      </c>
      <c r="F5460">
        <f>IFERROR(__xludf.DUMMYFUNCTION("""COMPUTED_VALUE"""),19.75)</f>
        <v>19.75</v>
      </c>
    </row>
    <row r="5461">
      <c r="D5461" t="str">
        <f>IFERROR(__xludf.DUMMYFUNCTION("""COMPUTED_VALUE"""),"Gordon")</f>
        <v>Gordon</v>
      </c>
      <c r="E5461" t="str">
        <f>IFERROR(__xludf.DUMMYFUNCTION("""COMPUTED_VALUE"""),"Dillon")</f>
        <v>Dillon</v>
      </c>
      <c r="F5461">
        <f>IFERROR(__xludf.DUMMYFUNCTION("""COMPUTED_VALUE"""),17.0)</f>
        <v>17</v>
      </c>
    </row>
    <row r="5462">
      <c r="D5462" t="str">
        <f>IFERROR(__xludf.DUMMYFUNCTION("""COMPUTED_VALUE"""),"Gordon")</f>
        <v>Gordon</v>
      </c>
      <c r="E5462" t="str">
        <f>IFERROR(__xludf.DUMMYFUNCTION("""COMPUTED_VALUE"""),"Josh")</f>
        <v>Josh</v>
      </c>
      <c r="F5462">
        <f>IFERROR(__xludf.DUMMYFUNCTION("""COMPUTED_VALUE"""),19.5)</f>
        <v>19.5</v>
      </c>
    </row>
    <row r="5463">
      <c r="D5463" t="str">
        <f>IFERROR(__xludf.DUMMYFUNCTION("""COMPUTED_VALUE"""),"Gordon")</f>
        <v>Gordon</v>
      </c>
      <c r="E5463" t="str">
        <f>IFERROR(__xludf.DUMMYFUNCTION("""COMPUTED_VALUE"""),"Melvin")</f>
        <v>Melvin</v>
      </c>
      <c r="F5463">
        <f>IFERROR(__xludf.DUMMYFUNCTION("""COMPUTED_VALUE"""),21.0)</f>
        <v>21</v>
      </c>
    </row>
    <row r="5464">
      <c r="D5464" t="str">
        <f>IFERROR(__xludf.DUMMYFUNCTION("""COMPUTED_VALUE"""),"Gordon")</f>
        <v>Gordon</v>
      </c>
      <c r="E5464" t="str">
        <f>IFERROR(__xludf.DUMMYFUNCTION("""COMPUTED_VALUE"""),"Melvin")</f>
        <v>Melvin</v>
      </c>
      <c r="F5464">
        <f>IFERROR(__xludf.DUMMYFUNCTION("""COMPUTED_VALUE"""),22.5)</f>
        <v>22.5</v>
      </c>
    </row>
    <row r="5465">
      <c r="D5465" t="str">
        <f>IFERROR(__xludf.DUMMYFUNCTION("""COMPUTED_VALUE"""),"Gore")</f>
        <v>Gore</v>
      </c>
      <c r="E5465" t="str">
        <f>IFERROR(__xludf.DUMMYFUNCTION("""COMPUTED_VALUE"""),"Frank")</f>
        <v>Frank</v>
      </c>
      <c r="F5465">
        <f>IFERROR(__xludf.DUMMYFUNCTION("""COMPUTED_VALUE"""),19.25)</f>
        <v>19.25</v>
      </c>
    </row>
    <row r="5466">
      <c r="D5466" t="str">
        <f>IFERROR(__xludf.DUMMYFUNCTION("""COMPUTED_VALUE"""),"Gossett")</f>
        <v>Gossett</v>
      </c>
      <c r="E5466" t="str">
        <f>IFERROR(__xludf.DUMMYFUNCTION("""COMPUTED_VALUE"""),"Colby")</f>
        <v>Colby</v>
      </c>
      <c r="F5466">
        <f>IFERROR(__xludf.DUMMYFUNCTION("""COMPUTED_VALUE"""),17.75)</f>
        <v>17.75</v>
      </c>
    </row>
    <row r="5467">
      <c r="D5467" t="str">
        <f>IFERROR(__xludf.DUMMYFUNCTION("""COMPUTED_VALUE"""),"Gostkowski")</f>
        <v>Gostkowski</v>
      </c>
      <c r="E5467" t="str">
        <f>IFERROR(__xludf.DUMMYFUNCTION("""COMPUTED_VALUE"""),"Stephen")</f>
        <v>Stephen</v>
      </c>
      <c r="F5467">
        <f>IFERROR(__xludf.DUMMYFUNCTION("""COMPUTED_VALUE"""),21.25)</f>
        <v>21.25</v>
      </c>
    </row>
    <row r="5468">
      <c r="D5468" t="str">
        <f>IFERROR(__xludf.DUMMYFUNCTION("""COMPUTED_VALUE"""),"Gotsis")</f>
        <v>Gotsis</v>
      </c>
      <c r="E5468" t="str">
        <f>IFERROR(__xludf.DUMMYFUNCTION("""COMPUTED_VALUE"""),"Adam")</f>
        <v>Adam</v>
      </c>
      <c r="F5468">
        <f>IFERROR(__xludf.DUMMYFUNCTION("""COMPUTED_VALUE"""),18.5)</f>
        <v>18.5</v>
      </c>
    </row>
    <row r="5469">
      <c r="D5469" t="str">
        <f>IFERROR(__xludf.DUMMYFUNCTION("""COMPUTED_VALUE"""),"Gould")</f>
        <v>Gould</v>
      </c>
      <c r="E5469" t="str">
        <f>IFERROR(__xludf.DUMMYFUNCTION("""COMPUTED_VALUE"""),"Robbie")</f>
        <v>Robbie</v>
      </c>
      <c r="F5469">
        <f>IFERROR(__xludf.DUMMYFUNCTION("""COMPUTED_VALUE"""),20.75)</f>
        <v>20.75</v>
      </c>
    </row>
    <row r="5470">
      <c r="D5470" t="str">
        <f>IFERROR(__xludf.DUMMYFUNCTION("""COMPUTED_VALUE"""),"Grace")</f>
        <v>Grace</v>
      </c>
      <c r="E5470" t="str">
        <f>IFERROR(__xludf.DUMMYFUNCTION("""COMPUTED_VALUE"""),"Jermaine")</f>
        <v>Jermaine</v>
      </c>
      <c r="F5470">
        <f>IFERROR(__xludf.DUMMYFUNCTION("""COMPUTED_VALUE"""),17.75)</f>
        <v>17.75</v>
      </c>
    </row>
    <row r="5471">
      <c r="D5471" t="str">
        <f>IFERROR(__xludf.DUMMYFUNCTION("""COMPUTED_VALUE"""),"Graham")</f>
        <v>Graham</v>
      </c>
      <c r="E5471" t="str">
        <f>IFERROR(__xludf.DUMMYFUNCTION("""COMPUTED_VALUE"""),"Brandon")</f>
        <v>Brandon</v>
      </c>
      <c r="F5471">
        <f>IFERROR(__xludf.DUMMYFUNCTION("""COMPUTED_VALUE"""),21.5)</f>
        <v>21.5</v>
      </c>
    </row>
    <row r="5472">
      <c r="D5472" t="str">
        <f>IFERROR(__xludf.DUMMYFUNCTION("""COMPUTED_VALUE"""),"Graham")</f>
        <v>Graham</v>
      </c>
      <c r="E5472" t="str">
        <f>IFERROR(__xludf.DUMMYFUNCTION("""COMPUTED_VALUE"""),"Corey")</f>
        <v>Corey</v>
      </c>
      <c r="F5472">
        <f>IFERROR(__xludf.DUMMYFUNCTION("""COMPUTED_VALUE"""),18.5)</f>
        <v>18.5</v>
      </c>
    </row>
    <row r="5473">
      <c r="D5473" t="str">
        <f>IFERROR(__xludf.DUMMYFUNCTION("""COMPUTED_VALUE"""),"Graham")</f>
        <v>Graham</v>
      </c>
      <c r="E5473" t="str">
        <f>IFERROR(__xludf.DUMMYFUNCTION("""COMPUTED_VALUE"""),"Jimmy")</f>
        <v>Jimmy</v>
      </c>
      <c r="F5473">
        <f>IFERROR(__xludf.DUMMYFUNCTION("""COMPUTED_VALUE"""),20.75)</f>
        <v>20.75</v>
      </c>
    </row>
    <row r="5474">
      <c r="D5474" t="str">
        <f>IFERROR(__xludf.DUMMYFUNCTION("""COMPUTED_VALUE"""),"Grant")</f>
        <v>Grant</v>
      </c>
      <c r="E5474" t="str">
        <f>IFERROR(__xludf.DUMMYFUNCTION("""COMPUTED_VALUE"""),"Corey")</f>
        <v>Corey</v>
      </c>
      <c r="F5474">
        <f>IFERROR(__xludf.DUMMYFUNCTION("""COMPUTED_VALUE"""),18.0)</f>
        <v>18</v>
      </c>
    </row>
    <row r="5475">
      <c r="D5475" t="str">
        <f>IFERROR(__xludf.DUMMYFUNCTION("""COMPUTED_VALUE"""),"Grant")</f>
        <v>Grant</v>
      </c>
      <c r="E5475" t="str">
        <f>IFERROR(__xludf.DUMMYFUNCTION("""COMPUTED_VALUE"""),"Jakeem")</f>
        <v>Jakeem</v>
      </c>
      <c r="F5475">
        <f>IFERROR(__xludf.DUMMYFUNCTION("""COMPUTED_VALUE"""),18.0)</f>
        <v>18</v>
      </c>
    </row>
    <row r="5476">
      <c r="D5476" t="str">
        <f>IFERROR(__xludf.DUMMYFUNCTION("""COMPUTED_VALUE"""),"Grant")</f>
        <v>Grant</v>
      </c>
      <c r="E5476" t="str">
        <f>IFERROR(__xludf.DUMMYFUNCTION("""COMPUTED_VALUE"""),"Ryan")</f>
        <v>Ryan</v>
      </c>
      <c r="F5476">
        <f>IFERROR(__xludf.DUMMYFUNCTION("""COMPUTED_VALUE"""),18.75)</f>
        <v>18.75</v>
      </c>
    </row>
    <row r="5477">
      <c r="D5477" t="str">
        <f>IFERROR(__xludf.DUMMYFUNCTION("""COMPUTED_VALUE"""),"Grasu")</f>
        <v>Grasu</v>
      </c>
      <c r="E5477" t="str">
        <f>IFERROR(__xludf.DUMMYFUNCTION("""COMPUTED_VALUE"""),"Hroniss")</f>
        <v>Hroniss</v>
      </c>
      <c r="F5477">
        <f>IFERROR(__xludf.DUMMYFUNCTION("""COMPUTED_VALUE"""),17.25)</f>
        <v>17.25</v>
      </c>
    </row>
    <row r="5478">
      <c r="D5478" t="str">
        <f>IFERROR(__xludf.DUMMYFUNCTION("""COMPUTED_VALUE"""),"Gray")</f>
        <v>Gray</v>
      </c>
      <c r="E5478" t="str">
        <f>IFERROR(__xludf.DUMMYFUNCTION("""COMPUTED_VALUE"""),"Geoff")</f>
        <v>Geoff</v>
      </c>
      <c r="F5478">
        <f>IFERROR(__xludf.DUMMYFUNCTION("""COMPUTED_VALUE"""),16.25)</f>
        <v>16.25</v>
      </c>
    </row>
    <row r="5479">
      <c r="D5479" t="str">
        <f>IFERROR(__xludf.DUMMYFUNCTION("""COMPUTED_VALUE"""),"Gray")</f>
        <v>Gray</v>
      </c>
      <c r="E5479" t="str">
        <f>IFERROR(__xludf.DUMMYFUNCTION("""COMPUTED_VALUE"""),"MarQueis")</f>
        <v>MarQueis</v>
      </c>
      <c r="F5479">
        <f>IFERROR(__xludf.DUMMYFUNCTION("""COMPUTED_VALUE"""),16.5)</f>
        <v>16.5</v>
      </c>
    </row>
    <row r="5480">
      <c r="D5480" t="str">
        <f>IFERROR(__xludf.DUMMYFUNCTION("""COMPUTED_VALUE"""),"Grayson")</f>
        <v>Grayson</v>
      </c>
      <c r="E5480" t="str">
        <f>IFERROR(__xludf.DUMMYFUNCTION("""COMPUTED_VALUE"""),"Garrett")</f>
        <v>Garrett</v>
      </c>
      <c r="F5480">
        <f>IFERROR(__xludf.DUMMYFUNCTION("""COMPUTED_VALUE"""),15.75)</f>
        <v>15.75</v>
      </c>
    </row>
    <row r="5481">
      <c r="D5481" t="str">
        <f>IFERROR(__xludf.DUMMYFUNCTION("""COMPUTED_VALUE"""),"Greco")</f>
        <v>Greco</v>
      </c>
      <c r="E5481" t="str">
        <f>IFERROR(__xludf.DUMMYFUNCTION("""COMPUTED_VALUE"""),"John")</f>
        <v>John</v>
      </c>
      <c r="F5481">
        <f>IFERROR(__xludf.DUMMYFUNCTION("""COMPUTED_VALUE"""),18.25)</f>
        <v>18.25</v>
      </c>
    </row>
    <row r="5482">
      <c r="D5482" t="str">
        <f>IFERROR(__xludf.DUMMYFUNCTION("""COMPUTED_VALUE"""),"Green")</f>
        <v>Green</v>
      </c>
      <c r="E5482" t="str">
        <f>IFERROR(__xludf.DUMMYFUNCTION("""COMPUTED_VALUE"""),"AJ")</f>
        <v>AJ</v>
      </c>
      <c r="F5482">
        <f>IFERROR(__xludf.DUMMYFUNCTION("""COMPUTED_VALUE"""),21.75)</f>
        <v>21.75</v>
      </c>
    </row>
    <row r="5483">
      <c r="D5483" t="str">
        <f>IFERROR(__xludf.DUMMYFUNCTION("""COMPUTED_VALUE"""),"Green")</f>
        <v>Green</v>
      </c>
      <c r="E5483" t="str">
        <f>IFERROR(__xludf.DUMMYFUNCTION("""COMPUTED_VALUE"""),"Chaz")</f>
        <v>Chaz</v>
      </c>
      <c r="F5483">
        <f>IFERROR(__xludf.DUMMYFUNCTION("""COMPUTED_VALUE"""),16.5)</f>
        <v>16.5</v>
      </c>
    </row>
    <row r="5484">
      <c r="D5484" t="str">
        <f>IFERROR(__xludf.DUMMYFUNCTION("""COMPUTED_VALUE"""),"Green")</f>
        <v>Green</v>
      </c>
      <c r="E5484" t="str">
        <f>IFERROR(__xludf.DUMMYFUNCTION("""COMPUTED_VALUE"""),"Rasheem")</f>
        <v>Rasheem</v>
      </c>
      <c r="F5484">
        <f>IFERROR(__xludf.DUMMYFUNCTION("""COMPUTED_VALUE"""),17.5)</f>
        <v>17.5</v>
      </c>
    </row>
    <row r="5485">
      <c r="D5485" t="str">
        <f>IFERROR(__xludf.DUMMYFUNCTION("""COMPUTED_VALUE"""),"Green")</f>
        <v>Green</v>
      </c>
      <c r="E5485" t="str">
        <f>IFERROR(__xludf.DUMMYFUNCTION("""COMPUTED_VALUE"""),"Tion")</f>
        <v>Tion</v>
      </c>
      <c r="F5485">
        <f>IFERROR(__xludf.DUMMYFUNCTION("""COMPUTED_VALUE"""),18.0)</f>
        <v>18</v>
      </c>
    </row>
    <row r="5486">
      <c r="D5486" t="str">
        <f>IFERROR(__xludf.DUMMYFUNCTION("""COMPUTED_VALUE"""),"Green")</f>
        <v>Green</v>
      </c>
      <c r="E5486" t="str">
        <f>IFERROR(__xludf.DUMMYFUNCTION("""COMPUTED_VALUE"""),"TJ")</f>
        <v>TJ</v>
      </c>
      <c r="F5486">
        <f>IFERROR(__xludf.DUMMYFUNCTION("""COMPUTED_VALUE"""),19.0)</f>
        <v>19</v>
      </c>
    </row>
    <row r="5487">
      <c r="D5487" t="str">
        <f>IFERROR(__xludf.DUMMYFUNCTION("""COMPUTED_VALUE"""),"Green")</f>
        <v>Green</v>
      </c>
      <c r="E5487" t="str">
        <f>IFERROR(__xludf.DUMMYFUNCTION("""COMPUTED_VALUE"""),"Virgil")</f>
        <v>Virgil</v>
      </c>
      <c r="F5487">
        <f>IFERROR(__xludf.DUMMYFUNCTION("""COMPUTED_VALUE"""),18.75)</f>
        <v>18.75</v>
      </c>
    </row>
    <row r="5488">
      <c r="D5488" t="str">
        <f>IFERROR(__xludf.DUMMYFUNCTION("""COMPUTED_VALUE"""),"Greene")</f>
        <v>Greene</v>
      </c>
      <c r="E5488" t="str">
        <f>IFERROR(__xludf.DUMMYFUNCTION("""COMPUTED_VALUE"""),"Darrell")</f>
        <v>Darrell</v>
      </c>
      <c r="F5488">
        <f>IFERROR(__xludf.DUMMYFUNCTION("""COMPUTED_VALUE"""),15.5)</f>
        <v>15.5</v>
      </c>
    </row>
    <row r="5489">
      <c r="D5489" t="str">
        <f>IFERROR(__xludf.DUMMYFUNCTION("""COMPUTED_VALUE"""),"Greene Sr")</f>
        <v>Greene Sr</v>
      </c>
      <c r="E5489" t="str">
        <f>IFERROR(__xludf.DUMMYFUNCTION("""COMPUTED_VALUE"""),"Rashad")</f>
        <v>Rashad</v>
      </c>
      <c r="F5489">
        <f>IFERROR(__xludf.DUMMYFUNCTION("""COMPUTED_VALUE"""),17.5)</f>
        <v>17.5</v>
      </c>
    </row>
    <row r="5490">
      <c r="D5490" t="str">
        <f>IFERROR(__xludf.DUMMYFUNCTION("""COMPUTED_VALUE"""),"Gregory")</f>
        <v>Gregory</v>
      </c>
      <c r="E5490" t="str">
        <f>IFERROR(__xludf.DUMMYFUNCTION("""COMPUTED_VALUE"""),"Randy")</f>
        <v>Randy</v>
      </c>
      <c r="F5490">
        <f>IFERROR(__xludf.DUMMYFUNCTION("""COMPUTED_VALUE"""),18.5)</f>
        <v>18.5</v>
      </c>
    </row>
    <row r="5491">
      <c r="D5491" t="str">
        <f>IFERROR(__xludf.DUMMYFUNCTION("""COMPUTED_VALUE"""),"Gresham")</f>
        <v>Gresham</v>
      </c>
      <c r="E5491" t="str">
        <f>IFERROR(__xludf.DUMMYFUNCTION("""COMPUTED_VALUE"""),"Jermaine")</f>
        <v>Jermaine</v>
      </c>
      <c r="F5491">
        <f>IFERROR(__xludf.DUMMYFUNCTION("""COMPUTED_VALUE"""),20.0)</f>
        <v>20</v>
      </c>
    </row>
    <row r="5492">
      <c r="D5492" t="str">
        <f>IFERROR(__xludf.DUMMYFUNCTION("""COMPUTED_VALUE"""),"Griffen")</f>
        <v>Griffen</v>
      </c>
      <c r="E5492" t="str">
        <f>IFERROR(__xludf.DUMMYFUNCTION("""COMPUTED_VALUE"""),"Everson")</f>
        <v>Everson</v>
      </c>
      <c r="F5492">
        <f>IFERROR(__xludf.DUMMYFUNCTION("""COMPUTED_VALUE"""),21.5)</f>
        <v>21.5</v>
      </c>
    </row>
    <row r="5493">
      <c r="D5493" t="str">
        <f>IFERROR(__xludf.DUMMYFUNCTION("""COMPUTED_VALUE"""),"Griffin")</f>
        <v>Griffin</v>
      </c>
      <c r="E5493" t="str">
        <f>IFERROR(__xludf.DUMMYFUNCTION("""COMPUTED_VALUE"""),"Garrett")</f>
        <v>Garrett</v>
      </c>
      <c r="F5493">
        <f>IFERROR(__xludf.DUMMYFUNCTION("""COMPUTED_VALUE"""),16.75)</f>
        <v>16.75</v>
      </c>
    </row>
    <row r="5494">
      <c r="D5494" t="str">
        <f>IFERROR(__xludf.DUMMYFUNCTION("""COMPUTED_VALUE"""),"Griffin")</f>
        <v>Griffin</v>
      </c>
      <c r="E5494" t="str">
        <f>IFERROR(__xludf.DUMMYFUNCTION("""COMPUTED_VALUE"""),"Ryan")</f>
        <v>Ryan</v>
      </c>
      <c r="F5494">
        <f>IFERROR(__xludf.DUMMYFUNCTION("""COMPUTED_VALUE"""),15.75)</f>
        <v>15.75</v>
      </c>
    </row>
    <row r="5495">
      <c r="D5495" t="str">
        <f>IFERROR(__xludf.DUMMYFUNCTION("""COMPUTED_VALUE"""),"Griffin")</f>
        <v>Griffin</v>
      </c>
      <c r="E5495" t="str">
        <f>IFERROR(__xludf.DUMMYFUNCTION("""COMPUTED_VALUE"""),"Ryan")</f>
        <v>Ryan</v>
      </c>
      <c r="F5495">
        <f>IFERROR(__xludf.DUMMYFUNCTION("""COMPUTED_VALUE"""),18.5)</f>
        <v>18.5</v>
      </c>
    </row>
    <row r="5496">
      <c r="D5496" t="str">
        <f>IFERROR(__xludf.DUMMYFUNCTION("""COMPUTED_VALUE"""),"Griffin")</f>
        <v>Griffin</v>
      </c>
      <c r="E5496" t="str">
        <f>IFERROR(__xludf.DUMMYFUNCTION("""COMPUTED_VALUE"""),"Shaquem")</f>
        <v>Shaquem</v>
      </c>
      <c r="F5496">
        <f>IFERROR(__xludf.DUMMYFUNCTION("""COMPUTED_VALUE"""),17.75)</f>
        <v>17.75</v>
      </c>
    </row>
    <row r="5497">
      <c r="D5497" t="str">
        <f>IFERROR(__xludf.DUMMYFUNCTION("""COMPUTED_VALUE"""),"Griffin")</f>
        <v>Griffin</v>
      </c>
      <c r="E5497" t="str">
        <f>IFERROR(__xludf.DUMMYFUNCTION("""COMPUTED_VALUE"""),"Shaquill")</f>
        <v>Shaquill</v>
      </c>
      <c r="F5497">
        <f>IFERROR(__xludf.DUMMYFUNCTION("""COMPUTED_VALUE"""),20.0)</f>
        <v>20</v>
      </c>
    </row>
    <row r="5498">
      <c r="D5498" t="str">
        <f>IFERROR(__xludf.DUMMYFUNCTION("""COMPUTED_VALUE"""),"Griffin III")</f>
        <v>Griffin III</v>
      </c>
      <c r="E5498" t="str">
        <f>IFERROR(__xludf.DUMMYFUNCTION("""COMPUTED_VALUE"""),"Robert")</f>
        <v>Robert</v>
      </c>
      <c r="F5498">
        <f>IFERROR(__xludf.DUMMYFUNCTION("""COMPUTED_VALUE"""),18.75)</f>
        <v>18.75</v>
      </c>
    </row>
    <row r="5499">
      <c r="D5499" t="str">
        <f>IFERROR(__xludf.DUMMYFUNCTION("""COMPUTED_VALUE"""),"Grigsby")</f>
        <v>Grigsby</v>
      </c>
      <c r="E5499" t="str">
        <f>IFERROR(__xludf.DUMMYFUNCTION("""COMPUTED_VALUE"""),"Nicholas")</f>
        <v>Nicholas</v>
      </c>
      <c r="F5499">
        <f>IFERROR(__xludf.DUMMYFUNCTION("""COMPUTED_VALUE"""),15.75)</f>
        <v>15.75</v>
      </c>
    </row>
    <row r="5500">
      <c r="D5500" t="str">
        <f>IFERROR(__xludf.DUMMYFUNCTION("""COMPUTED_VALUE"""),"Grimble")</f>
        <v>Grimble</v>
      </c>
      <c r="E5500" t="str">
        <f>IFERROR(__xludf.DUMMYFUNCTION("""COMPUTED_VALUE"""),"Xavier")</f>
        <v>Xavier</v>
      </c>
      <c r="F5500">
        <f>IFERROR(__xludf.DUMMYFUNCTION("""COMPUTED_VALUE"""),18.0)</f>
        <v>18</v>
      </c>
    </row>
    <row r="5501">
      <c r="D5501" t="str">
        <f>IFERROR(__xludf.DUMMYFUNCTION("""COMPUTED_VALUE"""),"Grimes")</f>
        <v>Grimes</v>
      </c>
      <c r="E5501" t="str">
        <f>IFERROR(__xludf.DUMMYFUNCTION("""COMPUTED_VALUE"""),"Brent")</f>
        <v>Brent</v>
      </c>
      <c r="F5501">
        <f>IFERROR(__xludf.DUMMYFUNCTION("""COMPUTED_VALUE"""),20.75)</f>
        <v>20.75</v>
      </c>
    </row>
    <row r="5502">
      <c r="D5502" t="str">
        <f>IFERROR(__xludf.DUMMYFUNCTION("""COMPUTED_VALUE"""),"Grimes")</f>
        <v>Grimes</v>
      </c>
      <c r="E5502" t="str">
        <f>IFERROR(__xludf.DUMMYFUNCTION("""COMPUTED_VALUE"""),"Brent")</f>
        <v>Brent</v>
      </c>
      <c r="F5502">
        <f>IFERROR(__xludf.DUMMYFUNCTION("""COMPUTED_VALUE"""),21.5)</f>
        <v>21.5</v>
      </c>
    </row>
    <row r="5503">
      <c r="D5503" t="str">
        <f>IFERROR(__xludf.DUMMYFUNCTION("""COMPUTED_VALUE"""),"Grissom")</f>
        <v>Grissom</v>
      </c>
      <c r="E5503" t="str">
        <f>IFERROR(__xludf.DUMMYFUNCTION("""COMPUTED_VALUE"""),"Geneo")</f>
        <v>Geneo</v>
      </c>
      <c r="F5503">
        <f>IFERROR(__xludf.DUMMYFUNCTION("""COMPUTED_VALUE"""),16.0)</f>
        <v>16</v>
      </c>
    </row>
    <row r="5504">
      <c r="D5504" t="str">
        <f>IFERROR(__xludf.DUMMYFUNCTION("""COMPUTED_VALUE"""),"Groy")</f>
        <v>Groy</v>
      </c>
      <c r="E5504" t="str">
        <f>IFERROR(__xludf.DUMMYFUNCTION("""COMPUTED_VALUE"""),"Ryan")</f>
        <v>Ryan</v>
      </c>
      <c r="F5504">
        <f>IFERROR(__xludf.DUMMYFUNCTION("""COMPUTED_VALUE"""),18.75)</f>
        <v>18.75</v>
      </c>
    </row>
    <row r="5505">
      <c r="D5505" t="str">
        <f>IFERROR(__xludf.DUMMYFUNCTION("""COMPUTED_VALUE"""),"Grugier-Hill")</f>
        <v>Grugier-Hill</v>
      </c>
      <c r="E5505" t="str">
        <f>IFERROR(__xludf.DUMMYFUNCTION("""COMPUTED_VALUE"""),"Kamu")</f>
        <v>Kamu</v>
      </c>
      <c r="F5505">
        <f>IFERROR(__xludf.DUMMYFUNCTION("""COMPUTED_VALUE"""),17.75)</f>
        <v>17.75</v>
      </c>
    </row>
    <row r="5506">
      <c r="D5506" t="str">
        <f>IFERROR(__xludf.DUMMYFUNCTION("""COMPUTED_VALUE"""),"Guice")</f>
        <v>Guice</v>
      </c>
      <c r="E5506" t="str">
        <f>IFERROR(__xludf.DUMMYFUNCTION("""COMPUTED_VALUE"""),"Derrius")</f>
        <v>Derrius</v>
      </c>
      <c r="F5506">
        <f>IFERROR(__xludf.DUMMYFUNCTION("""COMPUTED_VALUE"""),19.25)</f>
        <v>19.25</v>
      </c>
    </row>
    <row r="5507">
      <c r="D5507" t="str">
        <f>IFERROR(__xludf.DUMMYFUNCTION("""COMPUTED_VALUE"""),"Gunter")</f>
        <v>Gunter</v>
      </c>
      <c r="E5507" t="str">
        <f>IFERROR(__xludf.DUMMYFUNCTION("""COMPUTED_VALUE"""),"LaDarius")</f>
        <v>LaDarius</v>
      </c>
      <c r="F5507">
        <f>IFERROR(__xludf.DUMMYFUNCTION("""COMPUTED_VALUE"""),18.0)</f>
        <v>18</v>
      </c>
    </row>
    <row r="5508">
      <c r="D5508" t="str">
        <f>IFERROR(__xludf.DUMMYFUNCTION("""COMPUTED_VALUE"""),"Gunter")</f>
        <v>Gunter</v>
      </c>
      <c r="E5508" t="str">
        <f>IFERROR(__xludf.DUMMYFUNCTION("""COMPUTED_VALUE"""),"Rodney")</f>
        <v>Rodney</v>
      </c>
      <c r="F5508">
        <f>IFERROR(__xludf.DUMMYFUNCTION("""COMPUTED_VALUE"""),16.5)</f>
        <v>16.5</v>
      </c>
    </row>
    <row r="5509">
      <c r="D5509" t="str">
        <f>IFERROR(__xludf.DUMMYFUNCTION("""COMPUTED_VALUE"""),"Gurley II")</f>
        <v>Gurley II</v>
      </c>
      <c r="E5509" t="str">
        <f>IFERROR(__xludf.DUMMYFUNCTION("""COMPUTED_VALUE"""),"Todd")</f>
        <v>Todd</v>
      </c>
      <c r="F5509">
        <f>IFERROR(__xludf.DUMMYFUNCTION("""COMPUTED_VALUE"""),21.5)</f>
        <v>21.5</v>
      </c>
    </row>
    <row r="5510">
      <c r="D5510" t="str">
        <f>IFERROR(__xludf.DUMMYFUNCTION("""COMPUTED_VALUE"""),"Guy")</f>
        <v>Guy</v>
      </c>
      <c r="E5510" t="str">
        <f>IFERROR(__xludf.DUMMYFUNCTION("""COMPUTED_VALUE"""),"Lawrence")</f>
        <v>Lawrence</v>
      </c>
      <c r="F5510">
        <f>IFERROR(__xludf.DUMMYFUNCTION("""COMPUTED_VALUE"""),18.25)</f>
        <v>18.25</v>
      </c>
    </row>
    <row r="5511">
      <c r="D5511" t="str">
        <f>IFERROR(__xludf.DUMMYFUNCTION("""COMPUTED_VALUE"""),"Gwacham")</f>
        <v>Gwacham</v>
      </c>
      <c r="E5511" t="str">
        <f>IFERROR(__xludf.DUMMYFUNCTION("""COMPUTED_VALUE"""),"Obum")</f>
        <v>Obum</v>
      </c>
      <c r="F5511">
        <f>IFERROR(__xludf.DUMMYFUNCTION("""COMPUTED_VALUE"""),15.75)</f>
        <v>15.75</v>
      </c>
    </row>
    <row r="5512">
      <c r="D5512" t="str">
        <f>IFERROR(__xludf.DUMMYFUNCTION("""COMPUTED_VALUE"""),"Haack")</f>
        <v>Haack</v>
      </c>
      <c r="E5512" t="str">
        <f>IFERROR(__xludf.DUMMYFUNCTION("""COMPUTED_VALUE"""),"Matt")</f>
        <v>Matt</v>
      </c>
      <c r="F5512">
        <f>IFERROR(__xludf.DUMMYFUNCTION("""COMPUTED_VALUE"""),20.25)</f>
        <v>20.25</v>
      </c>
    </row>
    <row r="5513">
      <c r="D5513" t="str">
        <f>IFERROR(__xludf.DUMMYFUNCTION("""COMPUTED_VALUE"""),"Hackenberg")</f>
        <v>Hackenberg</v>
      </c>
      <c r="E5513" t="str">
        <f>IFERROR(__xludf.DUMMYFUNCTION("""COMPUTED_VALUE"""),"Christian")</f>
        <v>Christian</v>
      </c>
      <c r="F5513">
        <f>IFERROR(__xludf.DUMMYFUNCTION("""COMPUTED_VALUE"""),16.5)</f>
        <v>16.5</v>
      </c>
    </row>
    <row r="5514">
      <c r="D5514" t="str">
        <f>IFERROR(__xludf.DUMMYFUNCTION("""COMPUTED_VALUE"""),"Haden")</f>
        <v>Haden</v>
      </c>
      <c r="E5514" t="str">
        <f>IFERROR(__xludf.DUMMYFUNCTION("""COMPUTED_VALUE"""),"Joe")</f>
        <v>Joe</v>
      </c>
      <c r="F5514">
        <f>IFERROR(__xludf.DUMMYFUNCTION("""COMPUTED_VALUE"""),20.75)</f>
        <v>20.75</v>
      </c>
    </row>
    <row r="5515">
      <c r="D5515" t="str">
        <f>IFERROR(__xludf.DUMMYFUNCTION("""COMPUTED_VALUE"""),"Haeg")</f>
        <v>Haeg</v>
      </c>
      <c r="E5515" t="str">
        <f>IFERROR(__xludf.DUMMYFUNCTION("""COMPUTED_VALUE"""),"Joe")</f>
        <v>Joe</v>
      </c>
      <c r="F5515">
        <f>IFERROR(__xludf.DUMMYFUNCTION("""COMPUTED_VALUE"""),16.75)</f>
        <v>16.75</v>
      </c>
    </row>
    <row r="5516">
      <c r="D5516" t="str">
        <f>IFERROR(__xludf.DUMMYFUNCTION("""COMPUTED_VALUE"""),"Hager")</f>
        <v>Hager</v>
      </c>
      <c r="E5516" t="str">
        <f>IFERROR(__xludf.DUMMYFUNCTION("""COMPUTED_VALUE"""),"Bryce")</f>
        <v>Bryce</v>
      </c>
      <c r="F5516">
        <f>IFERROR(__xludf.DUMMYFUNCTION("""COMPUTED_VALUE"""),18.5)</f>
        <v>18.5</v>
      </c>
    </row>
    <row r="5517">
      <c r="D5517" t="str">
        <f>IFERROR(__xludf.DUMMYFUNCTION("""COMPUTED_VALUE"""),"Hairston")</f>
        <v>Hairston</v>
      </c>
      <c r="E5517" t="str">
        <f>IFERROR(__xludf.DUMMYFUNCTION("""COMPUTED_VALUE"""),"Chris")</f>
        <v>Chris</v>
      </c>
      <c r="F5517">
        <f>IFERROR(__xludf.DUMMYFUNCTION("""COMPUTED_VALUE"""),18.25)</f>
        <v>18.25</v>
      </c>
    </row>
    <row r="5518">
      <c r="D5518" t="str">
        <f>IFERROR(__xludf.DUMMYFUNCTION("""COMPUTED_VALUE"""),"Hairston")</f>
        <v>Hairston</v>
      </c>
      <c r="E5518" t="str">
        <f>IFERROR(__xludf.DUMMYFUNCTION("""COMPUTED_VALUE"""),"Nate")</f>
        <v>Nate</v>
      </c>
      <c r="F5518">
        <f>IFERROR(__xludf.DUMMYFUNCTION("""COMPUTED_VALUE"""),18.0)</f>
        <v>18</v>
      </c>
    </row>
    <row r="5519">
      <c r="D5519" t="str">
        <f>IFERROR(__xludf.DUMMYFUNCTION("""COMPUTED_VALUE"""),"Hal")</f>
        <v>Hal</v>
      </c>
      <c r="E5519" t="str">
        <f>IFERROR(__xludf.DUMMYFUNCTION("""COMPUTED_VALUE"""),"Andre")</f>
        <v>Andre</v>
      </c>
      <c r="F5519">
        <f>IFERROR(__xludf.DUMMYFUNCTION("""COMPUTED_VALUE"""),20.25)</f>
        <v>20.25</v>
      </c>
    </row>
    <row r="5520">
      <c r="D5520" t="str">
        <f>IFERROR(__xludf.DUMMYFUNCTION("""COMPUTED_VALUE"""),"Halapio")</f>
        <v>Halapio</v>
      </c>
      <c r="E5520" t="str">
        <f>IFERROR(__xludf.DUMMYFUNCTION("""COMPUTED_VALUE"""),"Jon")</f>
        <v>Jon</v>
      </c>
      <c r="F5520">
        <f>IFERROR(__xludf.DUMMYFUNCTION("""COMPUTED_VALUE"""),16.0)</f>
        <v>16</v>
      </c>
    </row>
    <row r="5521">
      <c r="D5521" t="str">
        <f>IFERROR(__xludf.DUMMYFUNCTION("""COMPUTED_VALUE"""),"Hall")</f>
        <v>Hall</v>
      </c>
      <c r="E5521" t="str">
        <f>IFERROR(__xludf.DUMMYFUNCTION("""COMPUTED_VALUE"""),"Deiondre")</f>
        <v>Deiondre</v>
      </c>
      <c r="F5521">
        <f>IFERROR(__xludf.DUMMYFUNCTION("""COMPUTED_VALUE"""),17.25)</f>
        <v>17.25</v>
      </c>
    </row>
    <row r="5522">
      <c r="D5522" t="str">
        <f>IFERROR(__xludf.DUMMYFUNCTION("""COMPUTED_VALUE"""),"Hall")</f>
        <v>Hall</v>
      </c>
      <c r="E5522" t="str">
        <f>IFERROR(__xludf.DUMMYFUNCTION("""COMPUTED_VALUE"""),"Leon")</f>
        <v>Leon</v>
      </c>
      <c r="F5522">
        <f>IFERROR(__xludf.DUMMYFUNCTION("""COMPUTED_VALUE"""),17.75)</f>
        <v>17.75</v>
      </c>
    </row>
    <row r="5523">
      <c r="D5523" t="str">
        <f>IFERROR(__xludf.DUMMYFUNCTION("""COMPUTED_VALUE"""),"Hall")</f>
        <v>Hall</v>
      </c>
      <c r="E5523" t="str">
        <f>IFERROR(__xludf.DUMMYFUNCTION("""COMPUTED_VALUE"""),"Marvin")</f>
        <v>Marvin</v>
      </c>
      <c r="F5523">
        <f>IFERROR(__xludf.DUMMYFUNCTION("""COMPUTED_VALUE"""),17.75)</f>
        <v>17.75</v>
      </c>
    </row>
    <row r="5524">
      <c r="D5524" t="str">
        <f>IFERROR(__xludf.DUMMYFUNCTION("""COMPUTED_VALUE"""),"Hall")</f>
        <v>Hall</v>
      </c>
      <c r="E5524" t="str">
        <f>IFERROR(__xludf.DUMMYFUNCTION("""COMPUTED_VALUE"""),"PJ")</f>
        <v>PJ</v>
      </c>
      <c r="F5524">
        <f>IFERROR(__xludf.DUMMYFUNCTION("""COMPUTED_VALUE"""),18.25)</f>
        <v>18.25</v>
      </c>
    </row>
    <row r="5525">
      <c r="D5525" t="str">
        <f>IFERROR(__xludf.DUMMYFUNCTION("""COMPUTED_VALUE"""),"Ham")</f>
        <v>Ham</v>
      </c>
      <c r="E5525" t="str">
        <f>IFERROR(__xludf.DUMMYFUNCTION("""COMPUTED_VALUE"""),"CJ")</f>
        <v>CJ</v>
      </c>
      <c r="F5525">
        <f>IFERROR(__xludf.DUMMYFUNCTION("""COMPUTED_VALUE"""),17.75)</f>
        <v>17.75</v>
      </c>
    </row>
    <row r="5526">
      <c r="D5526" t="str">
        <f>IFERROR(__xludf.DUMMYFUNCTION("""COMPUTED_VALUE"""),"Hamilton")</f>
        <v>Hamilton</v>
      </c>
      <c r="E5526" t="str">
        <f>IFERROR(__xludf.DUMMYFUNCTION("""COMPUTED_VALUE"""),"Daesean")</f>
        <v>Daesean</v>
      </c>
      <c r="F5526">
        <f>IFERROR(__xludf.DUMMYFUNCTION("""COMPUTED_VALUE"""),18.5)</f>
        <v>18.5</v>
      </c>
    </row>
    <row r="5527">
      <c r="D5527" t="str">
        <f>IFERROR(__xludf.DUMMYFUNCTION("""COMPUTED_VALUE"""),"Hamilton")</f>
        <v>Hamilton</v>
      </c>
      <c r="E5527" t="str">
        <f>IFERROR(__xludf.DUMMYFUNCTION("""COMPUTED_VALUE"""),"Justin")</f>
        <v>Justin</v>
      </c>
      <c r="F5527">
        <f>IFERROR(__xludf.DUMMYFUNCTION("""COMPUTED_VALUE"""),16.75)</f>
        <v>16.75</v>
      </c>
    </row>
    <row r="5528">
      <c r="D5528" t="str">
        <f>IFERROR(__xludf.DUMMYFUNCTION("""COMPUTED_VALUE"""),"Hamilton")</f>
        <v>Hamilton</v>
      </c>
      <c r="E5528" t="str">
        <f>IFERROR(__xludf.DUMMYFUNCTION("""COMPUTED_VALUE"""),"Shaun Dion")</f>
        <v>Shaun Dion</v>
      </c>
      <c r="F5528">
        <f>IFERROR(__xludf.DUMMYFUNCTION("""COMPUTED_VALUE"""),17.25)</f>
        <v>17.25</v>
      </c>
    </row>
    <row r="5529">
      <c r="D5529" t="str">
        <f>IFERROR(__xludf.DUMMYFUNCTION("""COMPUTED_VALUE"""),"Hand")</f>
        <v>Hand</v>
      </c>
      <c r="E5529" t="str">
        <f>IFERROR(__xludf.DUMMYFUNCTION("""COMPUTED_VALUE"""),"DaShawn")</f>
        <v>DaShawn</v>
      </c>
      <c r="F5529">
        <f>IFERROR(__xludf.DUMMYFUNCTION("""COMPUTED_VALUE"""),17.25)</f>
        <v>17.25</v>
      </c>
    </row>
    <row r="5530">
      <c r="D5530" t="str">
        <f>IFERROR(__xludf.DUMMYFUNCTION("""COMPUTED_VALUE"""),"Hankins")</f>
        <v>Hankins</v>
      </c>
      <c r="E5530" t="str">
        <f>IFERROR(__xludf.DUMMYFUNCTION("""COMPUTED_VALUE"""),"Johnathan")</f>
        <v>Johnathan</v>
      </c>
      <c r="F5530">
        <f>IFERROR(__xludf.DUMMYFUNCTION("""COMPUTED_VALUE"""),15.25)</f>
        <v>15.25</v>
      </c>
    </row>
    <row r="5531">
      <c r="D5531" t="str">
        <f>IFERROR(__xludf.DUMMYFUNCTION("""COMPUTED_VALUE"""),"Hansbrough")</f>
        <v>Hansbrough</v>
      </c>
      <c r="E5531" t="str">
        <f>IFERROR(__xludf.DUMMYFUNCTION("""COMPUTED_VALUE"""),"Russell")</f>
        <v>Russell</v>
      </c>
      <c r="F5531">
        <f>IFERROR(__xludf.DUMMYFUNCTION("""COMPUTED_VALUE"""),15.75)</f>
        <v>15.75</v>
      </c>
    </row>
    <row r="5532">
      <c r="D5532" t="str">
        <f>IFERROR(__xludf.DUMMYFUNCTION("""COMPUTED_VALUE"""),"Hansen")</f>
        <v>Hansen</v>
      </c>
      <c r="E5532" t="str">
        <f>IFERROR(__xludf.DUMMYFUNCTION("""COMPUTED_VALUE"""),"Chad")</f>
        <v>Chad</v>
      </c>
      <c r="F5532">
        <f>IFERROR(__xludf.DUMMYFUNCTION("""COMPUTED_VALUE"""),17.75)</f>
        <v>17.75</v>
      </c>
    </row>
    <row r="5533">
      <c r="D5533" t="str">
        <f>IFERROR(__xludf.DUMMYFUNCTION("""COMPUTED_VALUE"""),"Hardee")</f>
        <v>Hardee</v>
      </c>
      <c r="E5533" t="str">
        <f>IFERROR(__xludf.DUMMYFUNCTION("""COMPUTED_VALUE"""),"Justin")</f>
        <v>Justin</v>
      </c>
      <c r="F5533">
        <f>IFERROR(__xludf.DUMMYFUNCTION("""COMPUTED_VALUE"""),17.25)</f>
        <v>17.25</v>
      </c>
    </row>
    <row r="5534">
      <c r="D5534" t="str">
        <f>IFERROR(__xludf.DUMMYFUNCTION("""COMPUTED_VALUE"""),"Hardison")</f>
        <v>Hardison</v>
      </c>
      <c r="E5534" t="str">
        <f>IFERROR(__xludf.DUMMYFUNCTION("""COMPUTED_VALUE"""),"Marcus")</f>
        <v>Marcus</v>
      </c>
      <c r="F5534">
        <f>IFERROR(__xludf.DUMMYFUNCTION("""COMPUTED_VALUE"""),15.5)</f>
        <v>15.5</v>
      </c>
    </row>
    <row r="5535">
      <c r="D5535" t="str">
        <f>IFERROR(__xludf.DUMMYFUNCTION("""COMPUTED_VALUE"""),"Hargrave")</f>
        <v>Hargrave</v>
      </c>
      <c r="E5535" t="str">
        <f>IFERROR(__xludf.DUMMYFUNCTION("""COMPUTED_VALUE"""),"Javon")</f>
        <v>Javon</v>
      </c>
      <c r="F5535">
        <f>IFERROR(__xludf.DUMMYFUNCTION("""COMPUTED_VALUE"""),19.5)</f>
        <v>19.5</v>
      </c>
    </row>
    <row r="5536">
      <c r="D5536" t="str">
        <f>IFERROR(__xludf.DUMMYFUNCTION("""COMPUTED_VALUE"""),"Hargreaves III")</f>
        <v>Hargreaves III</v>
      </c>
      <c r="E5536" t="str">
        <f>IFERROR(__xludf.DUMMYFUNCTION("""COMPUTED_VALUE"""),"Vernon")</f>
        <v>Vernon</v>
      </c>
      <c r="F5536">
        <f>IFERROR(__xludf.DUMMYFUNCTION("""COMPUTED_VALUE"""),19.0)</f>
        <v>19</v>
      </c>
    </row>
    <row r="5537">
      <c r="D5537" t="str">
        <f>IFERROR(__xludf.DUMMYFUNCTION("""COMPUTED_VALUE"""),"Harlow")</f>
        <v>Harlow</v>
      </c>
      <c r="E5537" t="str">
        <f>IFERROR(__xludf.DUMMYFUNCTION("""COMPUTED_VALUE"""),"Sean")</f>
        <v>Sean</v>
      </c>
      <c r="F5537">
        <f>IFERROR(__xludf.DUMMYFUNCTION("""COMPUTED_VALUE"""),18.0)</f>
        <v>18</v>
      </c>
    </row>
    <row r="5538">
      <c r="D5538" t="str">
        <f>IFERROR(__xludf.DUMMYFUNCTION("""COMPUTED_VALUE"""),"Harmon")</f>
        <v>Harmon</v>
      </c>
      <c r="E5538" t="str">
        <f>IFERROR(__xludf.DUMMYFUNCTION("""COMPUTED_VALUE"""),"Duron")</f>
        <v>Duron</v>
      </c>
      <c r="F5538">
        <f>IFERROR(__xludf.DUMMYFUNCTION("""COMPUTED_VALUE"""),19.5)</f>
        <v>19.5</v>
      </c>
    </row>
    <row r="5539">
      <c r="D5539" t="str">
        <f>IFERROR(__xludf.DUMMYFUNCTION("""COMPUTED_VALUE"""),"Harold")</f>
        <v>Harold</v>
      </c>
      <c r="E5539" t="str">
        <f>IFERROR(__xludf.DUMMYFUNCTION("""COMPUTED_VALUE"""),"Eli")</f>
        <v>Eli</v>
      </c>
      <c r="F5539">
        <f>IFERROR(__xludf.DUMMYFUNCTION("""COMPUTED_VALUE"""),17.75)</f>
        <v>17.75</v>
      </c>
    </row>
    <row r="5540">
      <c r="D5540" t="str">
        <f>IFERROR(__xludf.DUMMYFUNCTION("""COMPUTED_VALUE"""),"Harris")</f>
        <v>Harris</v>
      </c>
      <c r="E5540" t="str">
        <f>IFERROR(__xludf.DUMMYFUNCTION("""COMPUTED_VALUE"""),"Anthony")</f>
        <v>Anthony</v>
      </c>
      <c r="F5540">
        <f>IFERROR(__xludf.DUMMYFUNCTION("""COMPUTED_VALUE"""),18.5)</f>
        <v>18.5</v>
      </c>
    </row>
    <row r="5541">
      <c r="D5541" t="str">
        <f>IFERROR(__xludf.DUMMYFUNCTION("""COMPUTED_VALUE"""),"Harris")</f>
        <v>Harris</v>
      </c>
      <c r="E5541" t="str">
        <f>IFERROR(__xludf.DUMMYFUNCTION("""COMPUTED_VALUE"""),"Charles")</f>
        <v>Charles</v>
      </c>
      <c r="F5541">
        <f>IFERROR(__xludf.DUMMYFUNCTION("""COMPUTED_VALUE"""),18.25)</f>
        <v>18.25</v>
      </c>
    </row>
    <row r="5542">
      <c r="D5542" t="str">
        <f>IFERROR(__xludf.DUMMYFUNCTION("""COMPUTED_VALUE"""),"Harris")</f>
        <v>Harris</v>
      </c>
      <c r="E5542" t="str">
        <f>IFERROR(__xludf.DUMMYFUNCTION("""COMPUTED_VALUE"""),"Davontae")</f>
        <v>Davontae</v>
      </c>
      <c r="F5542">
        <f>IFERROR(__xludf.DUMMYFUNCTION("""COMPUTED_VALUE"""),17.25)</f>
        <v>17.25</v>
      </c>
    </row>
    <row r="5543">
      <c r="D5543" t="str">
        <f>IFERROR(__xludf.DUMMYFUNCTION("""COMPUTED_VALUE"""),"Harris")</f>
        <v>Harris</v>
      </c>
      <c r="E5543" t="str">
        <f>IFERROR(__xludf.DUMMYFUNCTION("""COMPUTED_VALUE"""),"Demetrius")</f>
        <v>Demetrius</v>
      </c>
      <c r="F5543">
        <f>IFERROR(__xludf.DUMMYFUNCTION("""COMPUTED_VALUE"""),18.0)</f>
        <v>18</v>
      </c>
    </row>
    <row r="5544">
      <c r="D5544" t="str">
        <f>IFERROR(__xludf.DUMMYFUNCTION("""COMPUTED_VALUE"""),"Harris")</f>
        <v>Harris</v>
      </c>
      <c r="E5544" t="str">
        <f>IFERROR(__xludf.DUMMYFUNCTION("""COMPUTED_VALUE"""),"Dwayne")</f>
        <v>Dwayne</v>
      </c>
      <c r="F5544">
        <f>IFERROR(__xludf.DUMMYFUNCTION("""COMPUTED_VALUE"""),17.75)</f>
        <v>17.75</v>
      </c>
    </row>
    <row r="5545">
      <c r="D5545" t="str">
        <f>IFERROR(__xludf.DUMMYFUNCTION("""COMPUTED_VALUE"""),"Harris")</f>
        <v>Harris</v>
      </c>
      <c r="E5545" t="str">
        <f>IFERROR(__xludf.DUMMYFUNCTION("""COMPUTED_VALUE"""),"Erik")</f>
        <v>Erik</v>
      </c>
      <c r="F5545">
        <f>IFERROR(__xludf.DUMMYFUNCTION("""COMPUTED_VALUE"""),16.0)</f>
        <v>16</v>
      </c>
    </row>
    <row r="5546">
      <c r="D5546" t="str">
        <f>IFERROR(__xludf.DUMMYFUNCTION("""COMPUTED_VALUE"""),"Harris")</f>
        <v>Harris</v>
      </c>
      <c r="E5546" t="str">
        <f>IFERROR(__xludf.DUMMYFUNCTION("""COMPUTED_VALUE"""),"Marcell")</f>
        <v>Marcell</v>
      </c>
      <c r="F5546">
        <f>IFERROR(__xludf.DUMMYFUNCTION("""COMPUTED_VALUE"""),16.25)</f>
        <v>16.25</v>
      </c>
    </row>
    <row r="5547">
      <c r="D5547" t="str">
        <f>IFERROR(__xludf.DUMMYFUNCTION("""COMPUTED_VALUE"""),"Harris")</f>
        <v>Harris</v>
      </c>
      <c r="E5547" t="str">
        <f>IFERROR(__xludf.DUMMYFUNCTION("""COMPUTED_VALUE"""),"Maurice")</f>
        <v>Maurice</v>
      </c>
      <c r="F5547">
        <f>IFERROR(__xludf.DUMMYFUNCTION("""COMPUTED_VALUE"""),16.5)</f>
        <v>16.5</v>
      </c>
    </row>
    <row r="5548">
      <c r="D5548" t="str">
        <f>IFERROR(__xludf.DUMMYFUNCTION("""COMPUTED_VALUE"""),"Harris")</f>
        <v>Harris</v>
      </c>
      <c r="E5548" t="str">
        <f>IFERROR(__xludf.DUMMYFUNCTION("""COMPUTED_VALUE"""),"Nigel")</f>
        <v>Nigel</v>
      </c>
      <c r="F5548">
        <f>IFERROR(__xludf.DUMMYFUNCTION("""COMPUTED_VALUE"""),17.0)</f>
        <v>17</v>
      </c>
    </row>
    <row r="5549">
      <c r="D5549" t="str">
        <f>IFERROR(__xludf.DUMMYFUNCTION("""COMPUTED_VALUE"""),"Harris")</f>
        <v>Harris</v>
      </c>
      <c r="E5549" t="str">
        <f>IFERROR(__xludf.DUMMYFUNCTION("""COMPUTED_VALUE"""),"Shelby")</f>
        <v>Shelby</v>
      </c>
      <c r="F5549">
        <f>IFERROR(__xludf.DUMMYFUNCTION("""COMPUTED_VALUE"""),18.75)</f>
        <v>18.75</v>
      </c>
    </row>
    <row r="5550">
      <c r="D5550" t="str">
        <f>IFERROR(__xludf.DUMMYFUNCTION("""COMPUTED_VALUE"""),"Harris Jr")</f>
        <v>Harris Jr</v>
      </c>
      <c r="E5550" t="str">
        <f>IFERROR(__xludf.DUMMYFUNCTION("""COMPUTED_VALUE"""),"Chris")</f>
        <v>Chris</v>
      </c>
      <c r="F5550">
        <f>IFERROR(__xludf.DUMMYFUNCTION("""COMPUTED_VALUE"""),21.25)</f>
        <v>21.25</v>
      </c>
    </row>
    <row r="5551">
      <c r="D5551" t="str">
        <f>IFERROR(__xludf.DUMMYFUNCTION("""COMPUTED_VALUE"""),"Harrison")</f>
        <v>Harrison</v>
      </c>
      <c r="E5551" t="str">
        <f>IFERROR(__xludf.DUMMYFUNCTION("""COMPUTED_VALUE"""),"Jonotthan")</f>
        <v>Jonotthan</v>
      </c>
      <c r="F5551">
        <f>IFERROR(__xludf.DUMMYFUNCTION("""COMPUTED_VALUE"""),17.75)</f>
        <v>17.75</v>
      </c>
    </row>
    <row r="5552">
      <c r="D5552" t="str">
        <f>IFERROR(__xludf.DUMMYFUNCTION("""COMPUTED_VALUE"""),"Harrison")</f>
        <v>Harrison</v>
      </c>
      <c r="E5552" t="str">
        <f>IFERROR(__xludf.DUMMYFUNCTION("""COMPUTED_VALUE"""),"Ronnie")</f>
        <v>Ronnie</v>
      </c>
      <c r="F5552">
        <f>IFERROR(__xludf.DUMMYFUNCTION("""COMPUTED_VALUE"""),18.0)</f>
        <v>18</v>
      </c>
    </row>
    <row r="5553">
      <c r="D5553" t="str">
        <f>IFERROR(__xludf.DUMMYFUNCTION("""COMPUTED_VALUE"""),"Harrison Sr")</f>
        <v>Harrison Sr</v>
      </c>
      <c r="E5553" t="str">
        <f>IFERROR(__xludf.DUMMYFUNCTION("""COMPUTED_VALUE"""),"Damon")</f>
        <v>Damon</v>
      </c>
      <c r="F5553">
        <f>IFERROR(__xludf.DUMMYFUNCTION("""COMPUTED_VALUE"""),21.25)</f>
        <v>21.25</v>
      </c>
    </row>
    <row r="5554">
      <c r="D5554" t="str">
        <f>IFERROR(__xludf.DUMMYFUNCTION("""COMPUTED_VALUE"""),"Hart")</f>
        <v>Hart</v>
      </c>
      <c r="E5554" t="str">
        <f>IFERROR(__xludf.DUMMYFUNCTION("""COMPUTED_VALUE"""),"Bobby")</f>
        <v>Bobby</v>
      </c>
      <c r="F5554">
        <f>IFERROR(__xludf.DUMMYFUNCTION("""COMPUTED_VALUE"""),16.5)</f>
        <v>16.5</v>
      </c>
    </row>
    <row r="5555">
      <c r="D5555" t="str">
        <f>IFERROR(__xludf.DUMMYFUNCTION("""COMPUTED_VALUE"""),"Hart")</f>
        <v>Hart</v>
      </c>
      <c r="E5555" t="str">
        <f>IFERROR(__xludf.DUMMYFUNCTION("""COMPUTED_VALUE"""),"Taylor")</f>
        <v>Taylor</v>
      </c>
      <c r="F5555">
        <f>IFERROR(__xludf.DUMMYFUNCTION("""COMPUTED_VALUE"""),17.0)</f>
        <v>17</v>
      </c>
    </row>
    <row r="5556">
      <c r="D5556" t="str">
        <f>IFERROR(__xludf.DUMMYFUNCTION("""COMPUTED_VALUE"""),"Harvey-Clemons")</f>
        <v>Harvey-Clemons</v>
      </c>
      <c r="E5556" t="str">
        <f>IFERROR(__xludf.DUMMYFUNCTION("""COMPUTED_VALUE"""),"Josh")</f>
        <v>Josh</v>
      </c>
      <c r="F5556">
        <f>IFERROR(__xludf.DUMMYFUNCTION("""COMPUTED_VALUE"""),16.5)</f>
        <v>16.5</v>
      </c>
    </row>
    <row r="5557">
      <c r="D5557" t="str">
        <f>IFERROR(__xludf.DUMMYFUNCTION("""COMPUTED_VALUE"""),"Hatcher")</f>
        <v>Hatcher</v>
      </c>
      <c r="E5557" t="str">
        <f>IFERROR(__xludf.DUMMYFUNCTION("""COMPUTED_VALUE"""),"Keon")</f>
        <v>Keon</v>
      </c>
      <c r="F5557">
        <f>IFERROR(__xludf.DUMMYFUNCTION("""COMPUTED_VALUE"""),15.75)</f>
        <v>15.75</v>
      </c>
    </row>
    <row r="5558">
      <c r="D5558" t="str">
        <f>IFERROR(__xludf.DUMMYFUNCTION("""COMPUTED_VALUE"""),"Hatfield")</f>
        <v>Hatfield</v>
      </c>
      <c r="E5558" t="str">
        <f>IFERROR(__xludf.DUMMYFUNCTION("""COMPUTED_VALUE"""),"Dominique")</f>
        <v>Dominique</v>
      </c>
      <c r="F5558">
        <f>IFERROR(__xludf.DUMMYFUNCTION("""COMPUTED_VALUE"""),15.5)</f>
        <v>15.5</v>
      </c>
    </row>
    <row r="5559">
      <c r="D5559" t="str">
        <f>IFERROR(__xludf.DUMMYFUNCTION("""COMPUTED_VALUE"""),"Hatley")</f>
        <v>Hatley</v>
      </c>
      <c r="E5559" t="str">
        <f>IFERROR(__xludf.DUMMYFUNCTION("""COMPUTED_VALUE"""),"Rickey")</f>
        <v>Rickey</v>
      </c>
      <c r="F5559">
        <f>IFERROR(__xludf.DUMMYFUNCTION("""COMPUTED_VALUE"""),16.5)</f>
        <v>16.5</v>
      </c>
    </row>
    <row r="5560">
      <c r="D5560" t="str">
        <f>IFERROR(__xludf.DUMMYFUNCTION("""COMPUTED_VALUE"""),"Hauschka")</f>
        <v>Hauschka</v>
      </c>
      <c r="E5560" t="str">
        <f>IFERROR(__xludf.DUMMYFUNCTION("""COMPUTED_VALUE"""),"Steven")</f>
        <v>Steven</v>
      </c>
      <c r="F5560">
        <f>IFERROR(__xludf.DUMMYFUNCTION("""COMPUTED_VALUE"""),20.25)</f>
        <v>20.25</v>
      </c>
    </row>
    <row r="5561">
      <c r="D5561" t="str">
        <f>IFERROR(__xludf.DUMMYFUNCTION("""COMPUTED_VALUE"""),"Havenstein")</f>
        <v>Havenstein</v>
      </c>
      <c r="E5561" t="str">
        <f>IFERROR(__xludf.DUMMYFUNCTION("""COMPUTED_VALUE"""),"Rob")</f>
        <v>Rob</v>
      </c>
      <c r="F5561">
        <f>IFERROR(__xludf.DUMMYFUNCTION("""COMPUTED_VALUE"""),20.0)</f>
        <v>20</v>
      </c>
    </row>
    <row r="5562">
      <c r="D5562" t="str">
        <f>IFERROR(__xludf.DUMMYFUNCTION("""COMPUTED_VALUE"""),"Hawkins")</f>
        <v>Hawkins</v>
      </c>
      <c r="E5562" t="str">
        <f>IFERROR(__xludf.DUMMYFUNCTION("""COMPUTED_VALUE"""),"Jerald")</f>
        <v>Jerald</v>
      </c>
      <c r="F5562">
        <f>IFERROR(__xludf.DUMMYFUNCTION("""COMPUTED_VALUE"""),17.5)</f>
        <v>17.5</v>
      </c>
    </row>
    <row r="5563">
      <c r="D5563" t="str">
        <f>IFERROR(__xludf.DUMMYFUNCTION("""COMPUTED_VALUE"""),"Hawkins")</f>
        <v>Hawkins</v>
      </c>
      <c r="E5563" t="str">
        <f>IFERROR(__xludf.DUMMYFUNCTION("""COMPUTED_VALUE"""),"Josh")</f>
        <v>Josh</v>
      </c>
      <c r="F5563">
        <f>IFERROR(__xludf.DUMMYFUNCTION("""COMPUTED_VALUE"""),17.5)</f>
        <v>17.5</v>
      </c>
    </row>
    <row r="5564">
      <c r="D5564" t="str">
        <f>IFERROR(__xludf.DUMMYFUNCTION("""COMPUTED_VALUE"""),"Hayden")</f>
        <v>Hayden</v>
      </c>
      <c r="E5564" t="str">
        <f>IFERROR(__xludf.DUMMYFUNCTION("""COMPUTED_VALUE"""),"DJ")</f>
        <v>DJ</v>
      </c>
      <c r="F5564">
        <f>IFERROR(__xludf.DUMMYFUNCTION("""COMPUTED_VALUE"""),18.5)</f>
        <v>18.5</v>
      </c>
    </row>
    <row r="5565">
      <c r="D5565" t="str">
        <f>IFERROR(__xludf.DUMMYFUNCTION("""COMPUTED_VALUE"""),"Hayes")</f>
        <v>Hayes</v>
      </c>
      <c r="E5565" t="str">
        <f>IFERROR(__xludf.DUMMYFUNCTION("""COMPUTED_VALUE"""),"William")</f>
        <v>William</v>
      </c>
      <c r="F5565">
        <f>IFERROR(__xludf.DUMMYFUNCTION("""COMPUTED_VALUE"""),19.75)</f>
        <v>19.75</v>
      </c>
    </row>
    <row r="5566">
      <c r="D5566" t="str">
        <f>IFERROR(__xludf.DUMMYFUNCTION("""COMPUTED_VALUE"""),"Haynes")</f>
        <v>Haynes</v>
      </c>
      <c r="E5566" t="str">
        <f>IFERROR(__xludf.DUMMYFUNCTION("""COMPUTED_VALUE"""),"Marquis")</f>
        <v>Marquis</v>
      </c>
      <c r="F5566">
        <f>IFERROR(__xludf.DUMMYFUNCTION("""COMPUTED_VALUE"""),16.75)</f>
        <v>16.75</v>
      </c>
    </row>
    <row r="5567">
      <c r="D5567" t="str">
        <f>IFERROR(__xludf.DUMMYFUNCTION("""COMPUTED_VALUE"""),"Hayward")</f>
        <v>Hayward</v>
      </c>
      <c r="E5567" t="str">
        <f>IFERROR(__xludf.DUMMYFUNCTION("""COMPUTED_VALUE"""),"Casey")</f>
        <v>Casey</v>
      </c>
      <c r="F5567">
        <f>IFERROR(__xludf.DUMMYFUNCTION("""COMPUTED_VALUE"""),21.5)</f>
        <v>21.5</v>
      </c>
    </row>
    <row r="5568">
      <c r="D5568" t="str">
        <f>IFERROR(__xludf.DUMMYFUNCTION("""COMPUTED_VALUE"""),"Heath")</f>
        <v>Heath</v>
      </c>
      <c r="E5568" t="str">
        <f>IFERROR(__xludf.DUMMYFUNCTION("""COMPUTED_VALUE"""),"Jeff")</f>
        <v>Jeff</v>
      </c>
      <c r="F5568">
        <f>IFERROR(__xludf.DUMMYFUNCTION("""COMPUTED_VALUE"""),18.5)</f>
        <v>18.5</v>
      </c>
    </row>
    <row r="5569">
      <c r="D5569" t="str">
        <f>IFERROR(__xludf.DUMMYFUNCTION("""COMPUTED_VALUE"""),"Heath")</f>
        <v>Heath</v>
      </c>
      <c r="E5569" t="str">
        <f>IFERROR(__xludf.DUMMYFUNCTION("""COMPUTED_VALUE"""),"Joel")</f>
        <v>Joel</v>
      </c>
      <c r="F5569">
        <f>IFERROR(__xludf.DUMMYFUNCTION("""COMPUTED_VALUE"""),17.0)</f>
        <v>17</v>
      </c>
    </row>
    <row r="5570">
      <c r="D5570" t="str">
        <f>IFERROR(__xludf.DUMMYFUNCTION("""COMPUTED_VALUE"""),"Heeney")</f>
        <v>Heeney</v>
      </c>
      <c r="E5570" t="str">
        <f>IFERROR(__xludf.DUMMYFUNCTION("""COMPUTED_VALUE"""),"Ben")</f>
        <v>Ben</v>
      </c>
      <c r="F5570">
        <f>IFERROR(__xludf.DUMMYFUNCTION("""COMPUTED_VALUE"""),18.25)</f>
        <v>18.25</v>
      </c>
    </row>
    <row r="5571">
      <c r="D5571" t="str">
        <f>IFERROR(__xludf.DUMMYFUNCTION("""COMPUTED_VALUE"""),"Heinicke")</f>
        <v>Heinicke</v>
      </c>
      <c r="E5571" t="str">
        <f>IFERROR(__xludf.DUMMYFUNCTION("""COMPUTED_VALUE"""),"Taylor")</f>
        <v>Taylor</v>
      </c>
      <c r="F5571">
        <f>IFERROR(__xludf.DUMMYFUNCTION("""COMPUTED_VALUE"""),15.5)</f>
        <v>15.5</v>
      </c>
    </row>
    <row r="5572">
      <c r="D5572" t="str">
        <f>IFERROR(__xludf.DUMMYFUNCTION("""COMPUTED_VALUE"""),"Hekker")</f>
        <v>Hekker</v>
      </c>
      <c r="E5572" t="str">
        <f>IFERROR(__xludf.DUMMYFUNCTION("""COMPUTED_VALUE"""),"Johnny")</f>
        <v>Johnny</v>
      </c>
      <c r="F5572">
        <f>IFERROR(__xludf.DUMMYFUNCTION("""COMPUTED_VALUE"""),22.25)</f>
        <v>22.25</v>
      </c>
    </row>
    <row r="5573">
      <c r="D5573" t="str">
        <f>IFERROR(__xludf.DUMMYFUNCTION("""COMPUTED_VALUE"""),"Hemingway")</f>
        <v>Hemingway</v>
      </c>
      <c r="E5573" t="str">
        <f>IFERROR(__xludf.DUMMYFUNCTION("""COMPUTED_VALUE"""),"Temarrick")</f>
        <v>Temarrick</v>
      </c>
      <c r="F5573">
        <f>IFERROR(__xludf.DUMMYFUNCTION("""COMPUTED_VALUE"""),15.5)</f>
        <v>15.5</v>
      </c>
    </row>
    <row r="5574">
      <c r="D5574" t="str">
        <f>IFERROR(__xludf.DUMMYFUNCTION("""COMPUTED_VALUE"""),"Henderson")</f>
        <v>Henderson</v>
      </c>
      <c r="E5574" t="str">
        <f>IFERROR(__xludf.DUMMYFUNCTION("""COMPUTED_VALUE"""),"Carlos")</f>
        <v>Carlos</v>
      </c>
      <c r="F5574">
        <f>IFERROR(__xludf.DUMMYFUNCTION("""COMPUTED_VALUE"""),18.25)</f>
        <v>18.25</v>
      </c>
    </row>
    <row r="5575">
      <c r="D5575" t="str">
        <f>IFERROR(__xludf.DUMMYFUNCTION("""COMPUTED_VALUE"""),"Henderson")</f>
        <v>Henderson</v>
      </c>
      <c r="E5575" t="str">
        <f>IFERROR(__xludf.DUMMYFUNCTION("""COMPUTED_VALUE"""),"DeAngelo")</f>
        <v>DeAngelo</v>
      </c>
      <c r="F5575">
        <f>IFERROR(__xludf.DUMMYFUNCTION("""COMPUTED_VALUE"""),17.25)</f>
        <v>17.25</v>
      </c>
    </row>
    <row r="5576">
      <c r="D5576" t="str">
        <f>IFERROR(__xludf.DUMMYFUNCTION("""COMPUTED_VALUE"""),"Henderson")</f>
        <v>Henderson</v>
      </c>
      <c r="E5576" t="str">
        <f>IFERROR(__xludf.DUMMYFUNCTION("""COMPUTED_VALUE"""),"Seantrel")</f>
        <v>Seantrel</v>
      </c>
      <c r="F5576">
        <f>IFERROR(__xludf.DUMMYFUNCTION("""COMPUTED_VALUE"""),18.75)</f>
        <v>18.75</v>
      </c>
    </row>
    <row r="5577">
      <c r="D5577" t="str">
        <f>IFERROR(__xludf.DUMMYFUNCTION("""COMPUTED_VALUE"""),"Hendricks")</f>
        <v>Hendricks</v>
      </c>
      <c r="E5577" t="str">
        <f>IFERROR(__xludf.DUMMYFUNCTION("""COMPUTED_VALUE"""),"Ted")</f>
        <v>Ted</v>
      </c>
      <c r="F5577">
        <f>IFERROR(__xludf.DUMMYFUNCTION("""COMPUTED_VALUE"""),21.0)</f>
        <v>21</v>
      </c>
    </row>
    <row r="5578">
      <c r="D5578" t="str">
        <f>IFERROR(__xludf.DUMMYFUNCTION("""COMPUTED_VALUE"""),"Hendricks")</f>
        <v>Hendricks</v>
      </c>
      <c r="E5578" t="str">
        <f>IFERROR(__xludf.DUMMYFUNCTION("""COMPUTED_VALUE"""),"Ted")</f>
        <v>Ted</v>
      </c>
      <c r="F5578">
        <f>IFERROR(__xludf.DUMMYFUNCTION("""COMPUTED_VALUE"""),20.75)</f>
        <v>20.75</v>
      </c>
    </row>
    <row r="5579">
      <c r="D5579" t="str">
        <f>IFERROR(__xludf.DUMMYFUNCTION("""COMPUTED_VALUE"""),"Hendricks")</f>
        <v>Hendricks</v>
      </c>
      <c r="E5579" t="str">
        <f>IFERROR(__xludf.DUMMYFUNCTION("""COMPUTED_VALUE"""),"Ted")</f>
        <v>Ted</v>
      </c>
      <c r="F5579">
        <f>IFERROR(__xludf.DUMMYFUNCTION("""COMPUTED_VALUE"""),20.5)</f>
        <v>20.5</v>
      </c>
    </row>
    <row r="5580">
      <c r="D5580" t="str">
        <f>IFERROR(__xludf.DUMMYFUNCTION("""COMPUTED_VALUE"""),"Hendricks")</f>
        <v>Hendricks</v>
      </c>
      <c r="E5580" t="str">
        <f>IFERROR(__xludf.DUMMYFUNCTION("""COMPUTED_VALUE"""),"Ted")</f>
        <v>Ted</v>
      </c>
      <c r="F5580">
        <f>IFERROR(__xludf.DUMMYFUNCTION("""COMPUTED_VALUE"""),21.5)</f>
        <v>21.5</v>
      </c>
    </row>
    <row r="5581">
      <c r="D5581" t="str">
        <f>IFERROR(__xludf.DUMMYFUNCTION("""COMPUTED_VALUE"""),"Hendricks")</f>
        <v>Hendricks</v>
      </c>
      <c r="E5581" t="str">
        <f>IFERROR(__xludf.DUMMYFUNCTION("""COMPUTED_VALUE"""),"Ted")</f>
        <v>Ted</v>
      </c>
      <c r="F5581">
        <f>IFERROR(__xludf.DUMMYFUNCTION("""COMPUTED_VALUE"""),22.0)</f>
        <v>22</v>
      </c>
    </row>
    <row r="5582">
      <c r="D5582" t="str">
        <f>IFERROR(__xludf.DUMMYFUNCTION("""COMPUTED_VALUE"""),"Hendricks")</f>
        <v>Hendricks</v>
      </c>
      <c r="E5582" t="str">
        <f>IFERROR(__xludf.DUMMYFUNCTION("""COMPUTED_VALUE"""),"Ted")</f>
        <v>Ted</v>
      </c>
      <c r="F5582">
        <f>IFERROR(__xludf.DUMMYFUNCTION("""COMPUTED_VALUE"""),22.5)</f>
        <v>22.5</v>
      </c>
    </row>
    <row r="5583">
      <c r="D5583" t="str">
        <f>IFERROR(__xludf.DUMMYFUNCTION("""COMPUTED_VALUE"""),"Hendrickson")</f>
        <v>Hendrickson</v>
      </c>
      <c r="E5583" t="str">
        <f>IFERROR(__xludf.DUMMYFUNCTION("""COMPUTED_VALUE"""),"Trey")</f>
        <v>Trey</v>
      </c>
      <c r="F5583">
        <f>IFERROR(__xludf.DUMMYFUNCTION("""COMPUTED_VALUE"""),18.25)</f>
        <v>18.25</v>
      </c>
    </row>
    <row r="5584">
      <c r="D5584" t="str">
        <f>IFERROR(__xludf.DUMMYFUNCTION("""COMPUTED_VALUE"""),"Hendy")</f>
        <v>Hendy</v>
      </c>
      <c r="E5584" t="str">
        <f>IFERROR(__xludf.DUMMYFUNCTION("""COMPUTED_VALUE"""),"AJ")</f>
        <v>AJ</v>
      </c>
      <c r="F5584">
        <f>IFERROR(__xludf.DUMMYFUNCTION("""COMPUTED_VALUE"""),15.75)</f>
        <v>15.75</v>
      </c>
    </row>
    <row r="5585">
      <c r="D5585" t="str">
        <f>IFERROR(__xludf.DUMMYFUNCTION("""COMPUTED_VALUE"""),"Henne")</f>
        <v>Henne</v>
      </c>
      <c r="E5585" t="str">
        <f>IFERROR(__xludf.DUMMYFUNCTION("""COMPUTED_VALUE"""),"Chad")</f>
        <v>Chad</v>
      </c>
      <c r="F5585">
        <f>IFERROR(__xludf.DUMMYFUNCTION("""COMPUTED_VALUE"""),17.25)</f>
        <v>17.25</v>
      </c>
    </row>
    <row r="5586">
      <c r="D5586" t="str">
        <f>IFERROR(__xludf.DUMMYFUNCTION("""COMPUTED_VALUE"""),"Henry")</f>
        <v>Henry</v>
      </c>
      <c r="E5586" t="str">
        <f>IFERROR(__xludf.DUMMYFUNCTION("""COMPUTED_VALUE"""),"Derrick")</f>
        <v>Derrick</v>
      </c>
      <c r="F5586">
        <f>IFERROR(__xludf.DUMMYFUNCTION("""COMPUTED_VALUE"""),20.75)</f>
        <v>20.75</v>
      </c>
    </row>
    <row r="5587">
      <c r="D5587" t="str">
        <f>IFERROR(__xludf.DUMMYFUNCTION("""COMPUTED_VALUE"""),"Henry")</f>
        <v>Henry</v>
      </c>
      <c r="E5587" t="str">
        <f>IFERROR(__xludf.DUMMYFUNCTION("""COMPUTED_VALUE"""),"Hunter")</f>
        <v>Hunter</v>
      </c>
      <c r="F5587">
        <f>IFERROR(__xludf.DUMMYFUNCTION("""COMPUTED_VALUE"""),21.0)</f>
        <v>21</v>
      </c>
    </row>
    <row r="5588">
      <c r="D5588" t="str">
        <f>IFERROR(__xludf.DUMMYFUNCTION("""COMPUTED_VALUE"""),"Henry")</f>
        <v>Henry</v>
      </c>
      <c r="E5588" t="str">
        <f>IFERROR(__xludf.DUMMYFUNCTION("""COMPUTED_VALUE"""),"Willie")</f>
        <v>Willie</v>
      </c>
      <c r="F5588">
        <f>IFERROR(__xludf.DUMMYFUNCTION("""COMPUTED_VALUE"""),19.0)</f>
        <v>19</v>
      </c>
    </row>
    <row r="5589">
      <c r="D5589" t="str">
        <f>IFERROR(__xludf.DUMMYFUNCTION("""COMPUTED_VALUE"""),"Hernandez")</f>
        <v>Hernandez</v>
      </c>
      <c r="E5589" t="str">
        <f>IFERROR(__xludf.DUMMYFUNCTION("""COMPUTED_VALUE"""),"Will")</f>
        <v>Will</v>
      </c>
      <c r="F5589">
        <f>IFERROR(__xludf.DUMMYFUNCTION("""COMPUTED_VALUE"""),19.25)</f>
        <v>19.25</v>
      </c>
    </row>
    <row r="5590">
      <c r="D5590" t="str">
        <f>IFERROR(__xludf.DUMMYFUNCTION("""COMPUTED_VALUE"""),"Herndon IV")</f>
        <v>Herndon IV</v>
      </c>
      <c r="E5590" t="str">
        <f>IFERROR(__xludf.DUMMYFUNCTION("""COMPUTED_VALUE"""),"Christopher")</f>
        <v>Christopher</v>
      </c>
      <c r="F5590">
        <f>IFERROR(__xludf.DUMMYFUNCTION("""COMPUTED_VALUE"""),17.25)</f>
        <v>17.25</v>
      </c>
    </row>
    <row r="5591">
      <c r="D5591" t="str">
        <f>IFERROR(__xludf.DUMMYFUNCTION("""COMPUTED_VALUE"""),"Herzlich")</f>
        <v>Herzlich</v>
      </c>
      <c r="E5591" t="str">
        <f>IFERROR(__xludf.DUMMYFUNCTION("""COMPUTED_VALUE"""),"Mark")</f>
        <v>Mark</v>
      </c>
      <c r="F5591">
        <f>IFERROR(__xludf.DUMMYFUNCTION("""COMPUTED_VALUE"""),18.25)</f>
        <v>18.25</v>
      </c>
    </row>
    <row r="5592">
      <c r="D5592" t="str">
        <f>IFERROR(__xludf.DUMMYFUNCTION("""COMPUTED_VALUE"""),"Hester")</f>
        <v>Hester</v>
      </c>
      <c r="E5592" t="str">
        <f>IFERROR(__xludf.DUMMYFUNCTION("""COMPUTED_VALUE"""),"Treyvon")</f>
        <v>Treyvon</v>
      </c>
      <c r="F5592">
        <f>IFERROR(__xludf.DUMMYFUNCTION("""COMPUTED_VALUE"""),18.0)</f>
        <v>18</v>
      </c>
    </row>
    <row r="5593">
      <c r="D5593" t="str">
        <f>IFERROR(__xludf.DUMMYFUNCTION("""COMPUTED_VALUE"""),"Heuerman")</f>
        <v>Heuerman</v>
      </c>
      <c r="E5593" t="str">
        <f>IFERROR(__xludf.DUMMYFUNCTION("""COMPUTED_VALUE"""),"Jeff")</f>
        <v>Jeff</v>
      </c>
      <c r="F5593">
        <f>IFERROR(__xludf.DUMMYFUNCTION("""COMPUTED_VALUE"""),18.5)</f>
        <v>18.5</v>
      </c>
    </row>
    <row r="5594">
      <c r="D5594" t="str">
        <f>IFERROR(__xludf.DUMMYFUNCTION("""COMPUTED_VALUE"""),"Hewitt")</f>
        <v>Hewitt</v>
      </c>
      <c r="E5594" t="str">
        <f>IFERROR(__xludf.DUMMYFUNCTION("""COMPUTED_VALUE"""),"Neville")</f>
        <v>Neville</v>
      </c>
      <c r="F5594">
        <f>IFERROR(__xludf.DUMMYFUNCTION("""COMPUTED_VALUE"""),18.25)</f>
        <v>18.25</v>
      </c>
    </row>
    <row r="5595">
      <c r="D5595" t="str">
        <f>IFERROR(__xludf.DUMMYFUNCTION("""COMPUTED_VALUE"""),"Hewitt")</f>
        <v>Hewitt</v>
      </c>
      <c r="E5595" t="str">
        <f>IFERROR(__xludf.DUMMYFUNCTION("""COMPUTED_VALUE"""),"Ryan")</f>
        <v>Ryan</v>
      </c>
      <c r="F5595">
        <f>IFERROR(__xludf.DUMMYFUNCTION("""COMPUTED_VALUE"""),16.5)</f>
        <v>16.5</v>
      </c>
    </row>
    <row r="5596">
      <c r="D5596" t="str">
        <f>IFERROR(__xludf.DUMMYFUNCTION("""COMPUTED_VALUE"""),"Heyward")</f>
        <v>Heyward</v>
      </c>
      <c r="E5596" t="str">
        <f>IFERROR(__xludf.DUMMYFUNCTION("""COMPUTED_VALUE"""),"Cameron")</f>
        <v>Cameron</v>
      </c>
      <c r="F5596">
        <f>IFERROR(__xludf.DUMMYFUNCTION("""COMPUTED_VALUE"""),20.5)</f>
        <v>20.5</v>
      </c>
    </row>
    <row r="5597">
      <c r="D5597" t="str">
        <f>IFERROR(__xludf.DUMMYFUNCTION("""COMPUTED_VALUE"""),"Heyward-Bey")</f>
        <v>Heyward-Bey</v>
      </c>
      <c r="E5597" t="str">
        <f>IFERROR(__xludf.DUMMYFUNCTION("""COMPUTED_VALUE"""),"Darrius")</f>
        <v>Darrius</v>
      </c>
      <c r="F5597">
        <f>IFERROR(__xludf.DUMMYFUNCTION("""COMPUTED_VALUE"""),17.75)</f>
        <v>17.75</v>
      </c>
    </row>
    <row r="5598">
      <c r="D5598" t="str">
        <f>IFERROR(__xludf.DUMMYFUNCTION("""COMPUTED_VALUE"""),"Hicks")</f>
        <v>Hicks</v>
      </c>
      <c r="E5598" t="str">
        <f>IFERROR(__xludf.DUMMYFUNCTION("""COMPUTED_VALUE"""),"Akiem")</f>
        <v>Akiem</v>
      </c>
      <c r="F5598">
        <f>IFERROR(__xludf.DUMMYFUNCTION("""COMPUTED_VALUE"""),20.0)</f>
        <v>20</v>
      </c>
    </row>
    <row r="5599">
      <c r="D5599" t="str">
        <f>IFERROR(__xludf.DUMMYFUNCTION("""COMPUTED_VALUE"""),"Hicks")</f>
        <v>Hicks</v>
      </c>
      <c r="E5599" t="str">
        <f>IFERROR(__xludf.DUMMYFUNCTION("""COMPUTED_VALUE"""),"Akiem")</f>
        <v>Akiem</v>
      </c>
      <c r="F5599">
        <f>IFERROR(__xludf.DUMMYFUNCTION("""COMPUTED_VALUE"""),21.75)</f>
        <v>21.75</v>
      </c>
    </row>
    <row r="5600">
      <c r="D5600" t="str">
        <f>IFERROR(__xludf.DUMMYFUNCTION("""COMPUTED_VALUE"""),"Hicks")</f>
        <v>Hicks</v>
      </c>
      <c r="E5600" t="str">
        <f>IFERROR(__xludf.DUMMYFUNCTION("""COMPUTED_VALUE"""),"Jordan")</f>
        <v>Jordan</v>
      </c>
      <c r="F5600">
        <f>IFERROR(__xludf.DUMMYFUNCTION("""COMPUTED_VALUE"""),20.5)</f>
        <v>20.5</v>
      </c>
    </row>
    <row r="5601">
      <c r="D5601" t="str">
        <f>IFERROR(__xludf.DUMMYFUNCTION("""COMPUTED_VALUE"""),"Higbee")</f>
        <v>Higbee</v>
      </c>
      <c r="E5601" t="str">
        <f>IFERROR(__xludf.DUMMYFUNCTION("""COMPUTED_VALUE"""),"Tyler")</f>
        <v>Tyler</v>
      </c>
      <c r="F5601">
        <f>IFERROR(__xludf.DUMMYFUNCTION("""COMPUTED_VALUE"""),19.5)</f>
        <v>19.5</v>
      </c>
    </row>
    <row r="5602">
      <c r="D5602" t="str">
        <f>IFERROR(__xludf.DUMMYFUNCTION("""COMPUTED_VALUE"""),"Higgins")</f>
        <v>Higgins</v>
      </c>
      <c r="E5602" t="str">
        <f>IFERROR(__xludf.DUMMYFUNCTION("""COMPUTED_VALUE"""),"Rashard")</f>
        <v>Rashard</v>
      </c>
      <c r="F5602">
        <f>IFERROR(__xludf.DUMMYFUNCTION("""COMPUTED_VALUE"""),17.5)</f>
        <v>17.5</v>
      </c>
    </row>
    <row r="5603">
      <c r="D5603" t="str">
        <f>IFERROR(__xludf.DUMMYFUNCTION("""COMPUTED_VALUE"""),"Hightower")</f>
        <v>Hightower</v>
      </c>
      <c r="E5603" t="str">
        <f>IFERROR(__xludf.DUMMYFUNCTION("""COMPUTED_VALUE"""),"Donta")</f>
        <v>Donta</v>
      </c>
      <c r="F5603">
        <f>IFERROR(__xludf.DUMMYFUNCTION("""COMPUTED_VALUE"""),20.5)</f>
        <v>20.5</v>
      </c>
    </row>
    <row r="5604">
      <c r="D5604" t="str">
        <f>IFERROR(__xludf.DUMMYFUNCTION("""COMPUTED_VALUE"""),"Hikutini")</f>
        <v>Hikutini</v>
      </c>
      <c r="E5604" t="str">
        <f>IFERROR(__xludf.DUMMYFUNCTION("""COMPUTED_VALUE"""),"Cole")</f>
        <v>Cole</v>
      </c>
      <c r="F5604">
        <f>IFERROR(__xludf.DUMMYFUNCTION("""COMPUTED_VALUE"""),16.5)</f>
        <v>16.5</v>
      </c>
    </row>
    <row r="5605">
      <c r="D5605" t="str">
        <f>IFERROR(__xludf.DUMMYFUNCTION("""COMPUTED_VALUE"""),"Hill")</f>
        <v>Hill</v>
      </c>
      <c r="E5605" t="str">
        <f>IFERROR(__xludf.DUMMYFUNCTION("""COMPUTED_VALUE"""),"BJ")</f>
        <v>BJ</v>
      </c>
      <c r="F5605">
        <f>IFERROR(__xludf.DUMMYFUNCTION("""COMPUTED_VALUE"""),17.75)</f>
        <v>17.75</v>
      </c>
    </row>
    <row r="5606">
      <c r="D5606" t="str">
        <f>IFERROR(__xludf.DUMMYFUNCTION("""COMPUTED_VALUE"""),"Hill")</f>
        <v>Hill</v>
      </c>
      <c r="E5606" t="str">
        <f>IFERROR(__xludf.DUMMYFUNCTION("""COMPUTED_VALUE"""),"Brian")</f>
        <v>Brian</v>
      </c>
      <c r="F5606">
        <f>IFERROR(__xludf.DUMMYFUNCTION("""COMPUTED_VALUE"""),17.75)</f>
        <v>17.75</v>
      </c>
    </row>
    <row r="5607">
      <c r="D5607" t="str">
        <f>IFERROR(__xludf.DUMMYFUNCTION("""COMPUTED_VALUE"""),"Hill")</f>
        <v>Hill</v>
      </c>
      <c r="E5607" t="str">
        <f>IFERROR(__xludf.DUMMYFUNCTION("""COMPUTED_VALUE"""),"Bronson")</f>
        <v>Bronson</v>
      </c>
      <c r="F5607">
        <f>IFERROR(__xludf.DUMMYFUNCTION("""COMPUTED_VALUE"""),16.75)</f>
        <v>16.75</v>
      </c>
    </row>
    <row r="5608">
      <c r="D5608" t="str">
        <f>IFERROR(__xludf.DUMMYFUNCTION("""COMPUTED_VALUE"""),"Hill")</f>
        <v>Hill</v>
      </c>
      <c r="E5608" t="str">
        <f>IFERROR(__xludf.DUMMYFUNCTION("""COMPUTED_VALUE"""),"Delano")</f>
        <v>Delano</v>
      </c>
      <c r="F5608">
        <f>IFERROR(__xludf.DUMMYFUNCTION("""COMPUTED_VALUE"""),17.5)</f>
        <v>17.5</v>
      </c>
    </row>
    <row r="5609">
      <c r="D5609" t="str">
        <f>IFERROR(__xludf.DUMMYFUNCTION("""COMPUTED_VALUE"""),"Hill")</f>
        <v>Hill</v>
      </c>
      <c r="E5609" t="str">
        <f>IFERROR(__xludf.DUMMYFUNCTION("""COMPUTED_VALUE"""),"Jaylen")</f>
        <v>Jaylen</v>
      </c>
      <c r="F5609">
        <f>IFERROR(__xludf.DUMMYFUNCTION("""COMPUTED_VALUE"""),16.25)</f>
        <v>16.25</v>
      </c>
    </row>
    <row r="5610">
      <c r="D5610" t="str">
        <f>IFERROR(__xludf.DUMMYFUNCTION("""COMPUTED_VALUE"""),"Hill")</f>
        <v>Hill</v>
      </c>
      <c r="E5610" t="str">
        <f>IFERROR(__xludf.DUMMYFUNCTION("""COMPUTED_VALUE"""),"Jeremy")</f>
        <v>Jeremy</v>
      </c>
      <c r="F5610">
        <f>IFERROR(__xludf.DUMMYFUNCTION("""COMPUTED_VALUE"""),18.75)</f>
        <v>18.75</v>
      </c>
    </row>
    <row r="5611">
      <c r="D5611" t="str">
        <f>IFERROR(__xludf.DUMMYFUNCTION("""COMPUTED_VALUE"""),"Hill")</f>
        <v>Hill</v>
      </c>
      <c r="E5611" t="str">
        <f>IFERROR(__xludf.DUMMYFUNCTION("""COMPUTED_VALUE"""),"Josh")</f>
        <v>Josh</v>
      </c>
      <c r="F5611">
        <f>IFERROR(__xludf.DUMMYFUNCTION("""COMPUTED_VALUE"""),19.5)</f>
        <v>19.5</v>
      </c>
    </row>
    <row r="5612">
      <c r="D5612" t="str">
        <f>IFERROR(__xludf.DUMMYFUNCTION("""COMPUTED_VALUE"""),"Hill")</f>
        <v>Hill</v>
      </c>
      <c r="E5612" t="str">
        <f>IFERROR(__xludf.DUMMYFUNCTION("""COMPUTED_VALUE"""),"Rashod")</f>
        <v>Rashod</v>
      </c>
      <c r="F5612">
        <f>IFERROR(__xludf.DUMMYFUNCTION("""COMPUTED_VALUE"""),16.25)</f>
        <v>16.25</v>
      </c>
    </row>
    <row r="5613">
      <c r="D5613" t="str">
        <f>IFERROR(__xludf.DUMMYFUNCTION("""COMPUTED_VALUE"""),"Hill")</f>
        <v>Hill</v>
      </c>
      <c r="E5613" t="str">
        <f>IFERROR(__xludf.DUMMYFUNCTION("""COMPUTED_VALUE"""),"Taysom")</f>
        <v>Taysom</v>
      </c>
      <c r="F5613">
        <f>IFERROR(__xludf.DUMMYFUNCTION("""COMPUTED_VALUE"""),15.5)</f>
        <v>15.5</v>
      </c>
    </row>
    <row r="5614">
      <c r="D5614" t="str">
        <f>IFERROR(__xludf.DUMMYFUNCTION("""COMPUTED_VALUE"""),"Hill")</f>
        <v>Hill</v>
      </c>
      <c r="E5614" t="str">
        <f>IFERROR(__xludf.DUMMYFUNCTION("""COMPUTED_VALUE"""),"Troy")</f>
        <v>Troy</v>
      </c>
      <c r="F5614">
        <f>IFERROR(__xludf.DUMMYFUNCTION("""COMPUTED_VALUE"""),18.0)</f>
        <v>18</v>
      </c>
    </row>
    <row r="5615">
      <c r="D5615" t="str">
        <f>IFERROR(__xludf.DUMMYFUNCTION("""COMPUTED_VALUE"""),"Hill")</f>
        <v>Hill</v>
      </c>
      <c r="E5615" t="str">
        <f>IFERROR(__xludf.DUMMYFUNCTION("""COMPUTED_VALUE"""),"Tyreek")</f>
        <v>Tyreek</v>
      </c>
      <c r="F5615">
        <f>IFERROR(__xludf.DUMMYFUNCTION("""COMPUTED_VALUE"""),20.75)</f>
        <v>20.75</v>
      </c>
    </row>
    <row r="5616">
      <c r="D5616" t="str">
        <f>IFERROR(__xludf.DUMMYFUNCTION("""COMPUTED_VALUE"""),"Hilton")</f>
        <v>Hilton</v>
      </c>
      <c r="E5616" t="str">
        <f>IFERROR(__xludf.DUMMYFUNCTION("""COMPUTED_VALUE"""),"Mike")</f>
        <v>Mike</v>
      </c>
      <c r="F5616">
        <f>IFERROR(__xludf.DUMMYFUNCTION("""COMPUTED_VALUE"""),19.75)</f>
        <v>19.75</v>
      </c>
    </row>
    <row r="5617">
      <c r="D5617" t="str">
        <f>IFERROR(__xludf.DUMMYFUNCTION("""COMPUTED_VALUE"""),"Hilton")</f>
        <v>Hilton</v>
      </c>
      <c r="E5617" t="str">
        <f>IFERROR(__xludf.DUMMYFUNCTION("""COMPUTED_VALUE"""),"TY")</f>
        <v>TY</v>
      </c>
      <c r="F5617">
        <f>IFERROR(__xludf.DUMMYFUNCTION("""COMPUTED_VALUE"""),21.0)</f>
        <v>21</v>
      </c>
    </row>
    <row r="5618">
      <c r="D5618" t="str">
        <f>IFERROR(__xludf.DUMMYFUNCTION("""COMPUTED_VALUE"""),"Hines")</f>
        <v>Hines</v>
      </c>
      <c r="E5618" t="str">
        <f>IFERROR(__xludf.DUMMYFUNCTION("""COMPUTED_VALUE"""),"Nyheim")</f>
        <v>Nyheim</v>
      </c>
      <c r="F5618">
        <f>IFERROR(__xludf.DUMMYFUNCTION("""COMPUTED_VALUE"""),18.25)</f>
        <v>18.25</v>
      </c>
    </row>
    <row r="5619">
      <c r="D5619" t="str">
        <f>IFERROR(__xludf.DUMMYFUNCTION("""COMPUTED_VALUE"""),"Hitchens")</f>
        <v>Hitchens</v>
      </c>
      <c r="E5619" t="str">
        <f>IFERROR(__xludf.DUMMYFUNCTION("""COMPUTED_VALUE"""),"Anthony")</f>
        <v>Anthony</v>
      </c>
      <c r="F5619">
        <f>IFERROR(__xludf.DUMMYFUNCTION("""COMPUTED_VALUE"""),20.25)</f>
        <v>20.25</v>
      </c>
    </row>
    <row r="5620">
      <c r="D5620" t="str">
        <f>IFERROR(__xludf.DUMMYFUNCTION("""COMPUTED_VALUE"""),"Hogan")</f>
        <v>Hogan</v>
      </c>
      <c r="E5620" t="str">
        <f>IFERROR(__xludf.DUMMYFUNCTION("""COMPUTED_VALUE"""),"Chris")</f>
        <v>Chris</v>
      </c>
      <c r="F5620">
        <f>IFERROR(__xludf.DUMMYFUNCTION("""COMPUTED_VALUE"""),20.0)</f>
        <v>20</v>
      </c>
    </row>
    <row r="5621">
      <c r="D5621" t="str">
        <f>IFERROR(__xludf.DUMMYFUNCTION("""COMPUTED_VALUE"""),"Hogan")</f>
        <v>Hogan</v>
      </c>
      <c r="E5621" t="str">
        <f>IFERROR(__xludf.DUMMYFUNCTION("""COMPUTED_VALUE"""),"Kevin")</f>
        <v>Kevin</v>
      </c>
      <c r="F5621">
        <f>IFERROR(__xludf.DUMMYFUNCTION("""COMPUTED_VALUE"""),17.5)</f>
        <v>17.5</v>
      </c>
    </row>
    <row r="5622">
      <c r="D5622" t="str">
        <f>IFERROR(__xludf.DUMMYFUNCTION("""COMPUTED_VALUE"""),"Hogan")</f>
        <v>Hogan</v>
      </c>
      <c r="E5622" t="str">
        <f>IFERROR(__xludf.DUMMYFUNCTION("""COMPUTED_VALUE"""),"Krishawn")</f>
        <v>Krishawn</v>
      </c>
      <c r="F5622">
        <f>IFERROR(__xludf.DUMMYFUNCTION("""COMPUTED_VALUE"""),15.5)</f>
        <v>15.5</v>
      </c>
    </row>
    <row r="5623">
      <c r="D5623" t="str">
        <f>IFERROR(__xludf.DUMMYFUNCTION("""COMPUTED_VALUE"""),"Holden")</f>
        <v>Holden</v>
      </c>
      <c r="E5623" t="str">
        <f>IFERROR(__xludf.DUMMYFUNCTION("""COMPUTED_VALUE"""),"Will")</f>
        <v>Will</v>
      </c>
      <c r="F5623">
        <f>IFERROR(__xludf.DUMMYFUNCTION("""COMPUTED_VALUE"""),17.25)</f>
        <v>17.25</v>
      </c>
    </row>
    <row r="5624">
      <c r="D5624" t="str">
        <f>IFERROR(__xludf.DUMMYFUNCTION("""COMPUTED_VALUE"""),"Hollins")</f>
        <v>Hollins</v>
      </c>
      <c r="E5624" t="str">
        <f>IFERROR(__xludf.DUMMYFUNCTION("""COMPUTED_VALUE"""),"Mack")</f>
        <v>Mack</v>
      </c>
      <c r="F5624">
        <f>IFERROR(__xludf.DUMMYFUNCTION("""COMPUTED_VALUE"""),18.0)</f>
        <v>18</v>
      </c>
    </row>
    <row r="5625">
      <c r="D5625" t="str">
        <f>IFERROR(__xludf.DUMMYFUNCTION("""COMPUTED_VALUE"""),"Hollister")</f>
        <v>Hollister</v>
      </c>
      <c r="E5625" t="str">
        <f>IFERROR(__xludf.DUMMYFUNCTION("""COMPUTED_VALUE"""),"Jacob")</f>
        <v>Jacob</v>
      </c>
      <c r="F5625">
        <f>IFERROR(__xludf.DUMMYFUNCTION("""COMPUTED_VALUE"""),18.0)</f>
        <v>18</v>
      </c>
    </row>
    <row r="5626">
      <c r="D5626" t="str">
        <f>IFERROR(__xludf.DUMMYFUNCTION("""COMPUTED_VALUE"""),"Holmes")</f>
        <v>Holmes</v>
      </c>
      <c r="E5626" t="str">
        <f>IFERROR(__xludf.DUMMYFUNCTION("""COMPUTED_VALUE"""),"Andre")</f>
        <v>Andre</v>
      </c>
      <c r="F5626">
        <f>IFERROR(__xludf.DUMMYFUNCTION("""COMPUTED_VALUE"""),18.5)</f>
        <v>18.5</v>
      </c>
    </row>
    <row r="5627">
      <c r="D5627" t="str">
        <f>IFERROR(__xludf.DUMMYFUNCTION("""COMPUTED_VALUE"""),"Holmes")</f>
        <v>Holmes</v>
      </c>
      <c r="E5627" t="str">
        <f>IFERROR(__xludf.DUMMYFUNCTION("""COMPUTED_VALUE"""),"Gabe")</f>
        <v>Gabe</v>
      </c>
      <c r="F5627">
        <f>IFERROR(__xludf.DUMMYFUNCTION("""COMPUTED_VALUE"""),15.5)</f>
        <v>15.5</v>
      </c>
    </row>
    <row r="5628">
      <c r="D5628" t="str">
        <f>IFERROR(__xludf.DUMMYFUNCTION("""COMPUTED_VALUE"""),"Holmes")</f>
        <v>Holmes</v>
      </c>
      <c r="E5628" t="str">
        <f>IFERROR(__xludf.DUMMYFUNCTION("""COMPUTED_VALUE"""),"Jalyn")</f>
        <v>Jalyn</v>
      </c>
      <c r="F5628">
        <f>IFERROR(__xludf.DUMMYFUNCTION("""COMPUTED_VALUE"""),17.75)</f>
        <v>17.75</v>
      </c>
    </row>
    <row r="5629">
      <c r="D5629" t="str">
        <f>IFERROR(__xludf.DUMMYFUNCTION("""COMPUTED_VALUE"""),"Holmes")</f>
        <v>Holmes</v>
      </c>
      <c r="E5629" t="str">
        <f>IFERROR(__xludf.DUMMYFUNCTION("""COMPUTED_VALUE"""),"Tyrone")</f>
        <v>Tyrone</v>
      </c>
      <c r="F5629">
        <f>IFERROR(__xludf.DUMMYFUNCTION("""COMPUTED_VALUE"""),17.75)</f>
        <v>17.75</v>
      </c>
    </row>
    <row r="5630">
      <c r="D5630" t="str">
        <f>IFERROR(__xludf.DUMMYFUNCTION("""COMPUTED_VALUE"""),"Holsey")</f>
        <v>Holsey</v>
      </c>
      <c r="E5630" t="str">
        <f>IFERROR(__xludf.DUMMYFUNCTION("""COMPUTED_VALUE"""),"Joshua")</f>
        <v>Joshua</v>
      </c>
      <c r="F5630">
        <f>IFERROR(__xludf.DUMMYFUNCTION("""COMPUTED_VALUE"""),17.0)</f>
        <v>17</v>
      </c>
    </row>
    <row r="5631">
      <c r="D5631" t="str">
        <f>IFERROR(__xludf.DUMMYFUNCTION("""COMPUTED_VALUE"""),"Holton")</f>
        <v>Holton</v>
      </c>
      <c r="E5631" t="str">
        <f>IFERROR(__xludf.DUMMYFUNCTION("""COMPUTED_VALUE"""),"Johnny")</f>
        <v>Johnny</v>
      </c>
      <c r="F5631">
        <f>IFERROR(__xludf.DUMMYFUNCTION("""COMPUTED_VALUE"""),17.75)</f>
        <v>17.75</v>
      </c>
    </row>
    <row r="5632">
      <c r="D5632" t="str">
        <f>IFERROR(__xludf.DUMMYFUNCTION("""COMPUTED_VALUE"""),"Hood")</f>
        <v>Hood</v>
      </c>
      <c r="E5632" t="str">
        <f>IFERROR(__xludf.DUMMYFUNCTION("""COMPUTED_VALUE"""),"Elijah")</f>
        <v>Elijah</v>
      </c>
      <c r="F5632">
        <f>IFERROR(__xludf.DUMMYFUNCTION("""COMPUTED_VALUE"""),15.75)</f>
        <v>15.75</v>
      </c>
    </row>
    <row r="5633">
      <c r="D5633" t="str">
        <f>IFERROR(__xludf.DUMMYFUNCTION("""COMPUTED_VALUE"""),"Hood")</f>
        <v>Hood</v>
      </c>
      <c r="E5633" t="str">
        <f>IFERROR(__xludf.DUMMYFUNCTION("""COMPUTED_VALUE"""),"Ziggy")</f>
        <v>Ziggy</v>
      </c>
      <c r="F5633">
        <f>IFERROR(__xludf.DUMMYFUNCTION("""COMPUTED_VALUE"""),16.75)</f>
        <v>16.75</v>
      </c>
    </row>
    <row r="5634">
      <c r="D5634" t="str">
        <f>IFERROR(__xludf.DUMMYFUNCTION("""COMPUTED_VALUE"""),"Hooker")</f>
        <v>Hooker</v>
      </c>
      <c r="E5634" t="str">
        <f>IFERROR(__xludf.DUMMYFUNCTION("""COMPUTED_VALUE"""),"Malik")</f>
        <v>Malik</v>
      </c>
      <c r="F5634">
        <f>IFERROR(__xludf.DUMMYFUNCTION("""COMPUTED_VALUE"""),19.0)</f>
        <v>19</v>
      </c>
    </row>
    <row r="5635">
      <c r="D5635" t="str">
        <f>IFERROR(__xludf.DUMMYFUNCTION("""COMPUTED_VALUE"""),"Hooks")</f>
        <v>Hooks</v>
      </c>
      <c r="E5635" t="str">
        <f>IFERROR(__xludf.DUMMYFUNCTION("""COMPUTED_VALUE"""),"Lavon")</f>
        <v>Lavon</v>
      </c>
      <c r="F5635">
        <f>IFERROR(__xludf.DUMMYFUNCTION("""COMPUTED_VALUE"""),15.5)</f>
        <v>15.5</v>
      </c>
    </row>
    <row r="5636">
      <c r="D5636" t="str">
        <f>IFERROR(__xludf.DUMMYFUNCTION("""COMPUTED_VALUE"""),"Hoomanawanui")</f>
        <v>Hoomanawanui</v>
      </c>
      <c r="E5636" t="str">
        <f>IFERROR(__xludf.DUMMYFUNCTION("""COMPUTED_VALUE"""),"Michael")</f>
        <v>Michael</v>
      </c>
      <c r="F5636">
        <f>IFERROR(__xludf.DUMMYFUNCTION("""COMPUTED_VALUE"""),17.75)</f>
        <v>17.75</v>
      </c>
    </row>
    <row r="5637">
      <c r="D5637" t="str">
        <f>IFERROR(__xludf.DUMMYFUNCTION("""COMPUTED_VALUE"""),"Hooper")</f>
        <v>Hooper</v>
      </c>
      <c r="E5637" t="str">
        <f>IFERROR(__xludf.DUMMYFUNCTION("""COMPUTED_VALUE"""),"Austin")</f>
        <v>Austin</v>
      </c>
      <c r="F5637">
        <f>IFERROR(__xludf.DUMMYFUNCTION("""COMPUTED_VALUE"""),19.75)</f>
        <v>19.75</v>
      </c>
    </row>
    <row r="5638">
      <c r="D5638" t="str">
        <f>IFERROR(__xludf.DUMMYFUNCTION("""COMPUTED_VALUE"""),"Hopkins")</f>
        <v>Hopkins</v>
      </c>
      <c r="E5638" t="str">
        <f>IFERROR(__xludf.DUMMYFUNCTION("""COMPUTED_VALUE"""),"DeAndre")</f>
        <v>DeAndre</v>
      </c>
      <c r="F5638">
        <f>IFERROR(__xludf.DUMMYFUNCTION("""COMPUTED_VALUE"""),22.0)</f>
        <v>22</v>
      </c>
    </row>
    <row r="5639">
      <c r="D5639" t="str">
        <f>IFERROR(__xludf.DUMMYFUNCTION("""COMPUTED_VALUE"""),"Hopkins")</f>
        <v>Hopkins</v>
      </c>
      <c r="E5639" t="str">
        <f>IFERROR(__xludf.DUMMYFUNCTION("""COMPUTED_VALUE"""),"Dustin")</f>
        <v>Dustin</v>
      </c>
      <c r="F5639">
        <f>IFERROR(__xludf.DUMMYFUNCTION("""COMPUTED_VALUE"""),19.25)</f>
        <v>19.25</v>
      </c>
    </row>
    <row r="5640">
      <c r="D5640" t="str">
        <f>IFERROR(__xludf.DUMMYFUNCTION("""COMPUTED_VALUE"""),"Hopkins")</f>
        <v>Hopkins</v>
      </c>
      <c r="E5640" t="str">
        <f>IFERROR(__xludf.DUMMYFUNCTION("""COMPUTED_VALUE"""),"Trey")</f>
        <v>Trey</v>
      </c>
      <c r="F5640">
        <f>IFERROR(__xludf.DUMMYFUNCTION("""COMPUTED_VALUE"""),18.0)</f>
        <v>18</v>
      </c>
    </row>
    <row r="5641">
      <c r="D5641" t="str">
        <f>IFERROR(__xludf.DUMMYFUNCTION("""COMPUTED_VALUE"""),"Horton")</f>
        <v>Horton</v>
      </c>
      <c r="E5641" t="str">
        <f>IFERROR(__xludf.DUMMYFUNCTION("""COMPUTED_VALUE"""),"Wes")</f>
        <v>Wes</v>
      </c>
      <c r="F5641">
        <f>IFERROR(__xludf.DUMMYFUNCTION("""COMPUTED_VALUE"""),17.25)</f>
        <v>17.25</v>
      </c>
    </row>
    <row r="5642">
      <c r="D5642" t="str">
        <f>IFERROR(__xludf.DUMMYFUNCTION("""COMPUTED_VALUE"""),"House")</f>
        <v>House</v>
      </c>
      <c r="E5642" t="str">
        <f>IFERROR(__xludf.DUMMYFUNCTION("""COMPUTED_VALUE"""),"Davon")</f>
        <v>Davon</v>
      </c>
      <c r="F5642">
        <f>IFERROR(__xludf.DUMMYFUNCTION("""COMPUTED_VALUE"""),18.0)</f>
        <v>18</v>
      </c>
    </row>
    <row r="5643">
      <c r="D5643" t="str">
        <f>IFERROR(__xludf.DUMMYFUNCTION("""COMPUTED_VALUE"""),"Houston")</f>
        <v>Houston</v>
      </c>
      <c r="E5643" t="str">
        <f>IFERROR(__xludf.DUMMYFUNCTION("""COMPUTED_VALUE"""),"Justin")</f>
        <v>Justin</v>
      </c>
      <c r="F5643">
        <f>IFERROR(__xludf.DUMMYFUNCTION("""COMPUTED_VALUE"""),21.75)</f>
        <v>21.75</v>
      </c>
    </row>
    <row r="5644">
      <c r="D5644" t="str">
        <f>IFERROR(__xludf.DUMMYFUNCTION("""COMPUTED_VALUE"""),"Houston-Carson")</f>
        <v>Houston-Carson</v>
      </c>
      <c r="E5644" t="str">
        <f>IFERROR(__xludf.DUMMYFUNCTION("""COMPUTED_VALUE"""),"DeAndre")</f>
        <v>DeAndre</v>
      </c>
      <c r="F5644">
        <f>IFERROR(__xludf.DUMMYFUNCTION("""COMPUTED_VALUE"""),17.0)</f>
        <v>17</v>
      </c>
    </row>
    <row r="5645">
      <c r="D5645" t="str">
        <f>IFERROR(__xludf.DUMMYFUNCTION("""COMPUTED_VALUE"""),"Howard")</f>
        <v>Howard</v>
      </c>
      <c r="E5645" t="str">
        <f>IFERROR(__xludf.DUMMYFUNCTION("""COMPUTED_VALUE"""),"Austin")</f>
        <v>Austin</v>
      </c>
      <c r="F5645">
        <f>IFERROR(__xludf.DUMMYFUNCTION("""COMPUTED_VALUE"""),19.25)</f>
        <v>19.25</v>
      </c>
    </row>
    <row r="5646">
      <c r="D5646" t="str">
        <f>IFERROR(__xludf.DUMMYFUNCTION("""COMPUTED_VALUE"""),"Howard")</f>
        <v>Howard</v>
      </c>
      <c r="E5646" t="str">
        <f>IFERROR(__xludf.DUMMYFUNCTION("""COMPUTED_VALUE"""),"Jordan")</f>
        <v>Jordan</v>
      </c>
      <c r="F5646">
        <f>IFERROR(__xludf.DUMMYFUNCTION("""COMPUTED_VALUE"""),21.0)</f>
        <v>21</v>
      </c>
    </row>
    <row r="5647">
      <c r="D5647" t="str">
        <f>IFERROR(__xludf.DUMMYFUNCTION("""COMPUTED_VALUE"""),"Howard")</f>
        <v>Howard</v>
      </c>
      <c r="E5647" t="str">
        <f>IFERROR(__xludf.DUMMYFUNCTION("""COMPUTED_VALUE"""),"OJ")</f>
        <v>OJ</v>
      </c>
      <c r="F5647">
        <f>IFERROR(__xludf.DUMMYFUNCTION("""COMPUTED_VALUE"""),19.5)</f>
        <v>19.5</v>
      </c>
    </row>
    <row r="5648">
      <c r="D5648" t="str">
        <f>IFERROR(__xludf.DUMMYFUNCTION("""COMPUTED_VALUE"""),"Howard")</f>
        <v>Howard</v>
      </c>
      <c r="E5648" t="str">
        <f>IFERROR(__xludf.DUMMYFUNCTION("""COMPUTED_VALUE"""),"Travin")</f>
        <v>Travin</v>
      </c>
      <c r="F5648">
        <f>IFERROR(__xludf.DUMMYFUNCTION("""COMPUTED_VALUE"""),16.25)</f>
        <v>16.25</v>
      </c>
    </row>
    <row r="5649">
      <c r="D5649" t="str">
        <f>IFERROR(__xludf.DUMMYFUNCTION("""COMPUTED_VALUE"""),"Howard")</f>
        <v>Howard</v>
      </c>
      <c r="E5649" t="str">
        <f>IFERROR(__xludf.DUMMYFUNCTION("""COMPUTED_VALUE"""),"Xavien")</f>
        <v>Xavien</v>
      </c>
      <c r="F5649">
        <f>IFERROR(__xludf.DUMMYFUNCTION("""COMPUTED_VALUE"""),18.75)</f>
        <v>18.75</v>
      </c>
    </row>
    <row r="5650">
      <c r="D5650" t="str">
        <f>IFERROR(__xludf.DUMMYFUNCTION("""COMPUTED_VALUE"""),"Hoyer")</f>
        <v>Hoyer</v>
      </c>
      <c r="E5650" t="str">
        <f>IFERROR(__xludf.DUMMYFUNCTION("""COMPUTED_VALUE"""),"Brian")</f>
        <v>Brian</v>
      </c>
      <c r="F5650">
        <f>IFERROR(__xludf.DUMMYFUNCTION("""COMPUTED_VALUE"""),17.75)</f>
        <v>17.75</v>
      </c>
    </row>
    <row r="5651">
      <c r="D5651" t="str">
        <f>IFERROR(__xludf.DUMMYFUNCTION("""COMPUTED_VALUE"""),"Hubbard")</f>
        <v>Hubbard</v>
      </c>
      <c r="E5651" t="str">
        <f>IFERROR(__xludf.DUMMYFUNCTION("""COMPUTED_VALUE"""),"Chris")</f>
        <v>Chris</v>
      </c>
      <c r="F5651">
        <f>IFERROR(__xludf.DUMMYFUNCTION("""COMPUTED_VALUE"""),18.75)</f>
        <v>18.75</v>
      </c>
    </row>
    <row r="5652">
      <c r="D5652" t="str">
        <f>IFERROR(__xludf.DUMMYFUNCTION("""COMPUTED_VALUE"""),"Hubbard")</f>
        <v>Hubbard</v>
      </c>
      <c r="E5652" t="str">
        <f>IFERROR(__xludf.DUMMYFUNCTION("""COMPUTED_VALUE"""),"Sam")</f>
        <v>Sam</v>
      </c>
      <c r="F5652">
        <f>IFERROR(__xludf.DUMMYFUNCTION("""COMPUTED_VALUE"""),18.0)</f>
        <v>18</v>
      </c>
    </row>
    <row r="5653">
      <c r="D5653" t="str">
        <f>IFERROR(__xludf.DUMMYFUNCTION("""COMPUTED_VALUE"""),"Huber")</f>
        <v>Huber</v>
      </c>
      <c r="E5653" t="str">
        <f>IFERROR(__xludf.DUMMYFUNCTION("""COMPUTED_VALUE"""),"Kevin")</f>
        <v>Kevin</v>
      </c>
      <c r="F5653">
        <f>IFERROR(__xludf.DUMMYFUNCTION("""COMPUTED_VALUE"""),18.75)</f>
        <v>18.75</v>
      </c>
    </row>
    <row r="5654">
      <c r="D5654" t="str">
        <f>IFERROR(__xludf.DUMMYFUNCTION("""COMPUTED_VALUE"""),"Hudson")</f>
        <v>Hudson</v>
      </c>
      <c r="E5654" t="str">
        <f>IFERROR(__xludf.DUMMYFUNCTION("""COMPUTED_VALUE"""),"Rodney")</f>
        <v>Rodney</v>
      </c>
      <c r="F5654">
        <f>IFERROR(__xludf.DUMMYFUNCTION("""COMPUTED_VALUE"""),21.25)</f>
        <v>21.25</v>
      </c>
    </row>
    <row r="5655">
      <c r="D5655" t="str">
        <f>IFERROR(__xludf.DUMMYFUNCTION("""COMPUTED_VALUE"""),"Huff")</f>
        <v>Huff</v>
      </c>
      <c r="E5655" t="str">
        <f>IFERROR(__xludf.DUMMYFUNCTION("""COMPUTED_VALUE"""),"Josh")</f>
        <v>Josh</v>
      </c>
      <c r="F5655">
        <f>IFERROR(__xludf.DUMMYFUNCTION("""COMPUTED_VALUE"""),17.75)</f>
        <v>17.75</v>
      </c>
    </row>
    <row r="5656">
      <c r="D5656" t="str">
        <f>IFERROR(__xludf.DUMMYFUNCTION("""COMPUTED_VALUE"""),"Huff")</f>
        <v>Huff</v>
      </c>
      <c r="E5656" t="str">
        <f>IFERROR(__xludf.DUMMYFUNCTION("""COMPUTED_VALUE"""),"Marqueston")</f>
        <v>Marqueston</v>
      </c>
      <c r="F5656">
        <f>IFERROR(__xludf.DUMMYFUNCTION("""COMPUTED_VALUE"""),17.25)</f>
        <v>17.25</v>
      </c>
    </row>
    <row r="5657">
      <c r="D5657" t="str">
        <f>IFERROR(__xludf.DUMMYFUNCTION("""COMPUTED_VALUE"""),"Hughes")</f>
        <v>Hughes</v>
      </c>
      <c r="E5657" t="str">
        <f>IFERROR(__xludf.DUMMYFUNCTION("""COMPUTED_VALUE"""),"Jerry")</f>
        <v>Jerry</v>
      </c>
      <c r="F5657">
        <f>IFERROR(__xludf.DUMMYFUNCTION("""COMPUTED_VALUE"""),20.0)</f>
        <v>20</v>
      </c>
    </row>
    <row r="5658">
      <c r="D5658" t="str">
        <f>IFERROR(__xludf.DUMMYFUNCTION("""COMPUTED_VALUE"""),"Hughes")</f>
        <v>Hughes</v>
      </c>
      <c r="E5658" t="str">
        <f>IFERROR(__xludf.DUMMYFUNCTION("""COMPUTED_VALUE"""),"Mike")</f>
        <v>Mike</v>
      </c>
      <c r="F5658">
        <f>IFERROR(__xludf.DUMMYFUNCTION("""COMPUTED_VALUE"""),19.0)</f>
        <v>19</v>
      </c>
    </row>
    <row r="5659">
      <c r="D5659" t="str">
        <f>IFERROR(__xludf.DUMMYFUNCTION("""COMPUTED_VALUE"""),"Hull")</f>
        <v>Hull</v>
      </c>
      <c r="E5659" t="str">
        <f>IFERROR(__xludf.DUMMYFUNCTION("""COMPUTED_VALUE"""),"Mike")</f>
        <v>Mike</v>
      </c>
      <c r="F5659">
        <f>IFERROR(__xludf.DUMMYFUNCTION("""COMPUTED_VALUE"""),17.5)</f>
        <v>17.5</v>
      </c>
    </row>
    <row r="5660">
      <c r="D5660" t="str">
        <f>IFERROR(__xludf.DUMMYFUNCTION("""COMPUTED_VALUE"""),"Humber")</f>
        <v>Humber</v>
      </c>
      <c r="E5660" t="str">
        <f>IFERROR(__xludf.DUMMYFUNCTION("""COMPUTED_VALUE"""),"Ramon")</f>
        <v>Ramon</v>
      </c>
      <c r="F5660">
        <f>IFERROR(__xludf.DUMMYFUNCTION("""COMPUTED_VALUE"""),16.75)</f>
        <v>16.75</v>
      </c>
    </row>
    <row r="5661">
      <c r="D5661" t="str">
        <f>IFERROR(__xludf.DUMMYFUNCTION("""COMPUTED_VALUE"""),"Humphrey")</f>
        <v>Humphrey</v>
      </c>
      <c r="E5661" t="str">
        <f>IFERROR(__xludf.DUMMYFUNCTION("""COMPUTED_VALUE"""),"Marlon")</f>
        <v>Marlon</v>
      </c>
      <c r="F5661">
        <f>IFERROR(__xludf.DUMMYFUNCTION("""COMPUTED_VALUE"""),19.75)</f>
        <v>19.75</v>
      </c>
    </row>
    <row r="5662">
      <c r="D5662" t="str">
        <f>IFERROR(__xludf.DUMMYFUNCTION("""COMPUTED_VALUE"""),"Humphries")</f>
        <v>Humphries</v>
      </c>
      <c r="E5662" t="str">
        <f>IFERROR(__xludf.DUMMYFUNCTION("""COMPUTED_VALUE"""),"Adam")</f>
        <v>Adam</v>
      </c>
      <c r="F5662">
        <f>IFERROR(__xludf.DUMMYFUNCTION("""COMPUTED_VALUE"""),18.75)</f>
        <v>18.75</v>
      </c>
    </row>
    <row r="5663">
      <c r="D5663" t="str">
        <f>IFERROR(__xludf.DUMMYFUNCTION("""COMPUTED_VALUE"""),"Humphries")</f>
        <v>Humphries</v>
      </c>
      <c r="E5663" t="str">
        <f>IFERROR(__xludf.DUMMYFUNCTION("""COMPUTED_VALUE"""),"DJ")</f>
        <v>DJ</v>
      </c>
      <c r="F5663">
        <f>IFERROR(__xludf.DUMMYFUNCTION("""COMPUTED_VALUE"""),19.0)</f>
        <v>19</v>
      </c>
    </row>
    <row r="5664">
      <c r="D5664" t="str">
        <f>IFERROR(__xludf.DUMMYFUNCTION("""COMPUTED_VALUE"""),"Hundley")</f>
        <v>Hundley</v>
      </c>
      <c r="E5664" t="str">
        <f>IFERROR(__xludf.DUMMYFUNCTION("""COMPUTED_VALUE"""),"Brett")</f>
        <v>Brett</v>
      </c>
      <c r="F5664">
        <f>IFERROR(__xludf.DUMMYFUNCTION("""COMPUTED_VALUE"""),18.75)</f>
        <v>18.75</v>
      </c>
    </row>
    <row r="5665">
      <c r="D5665" t="str">
        <f>IFERROR(__xludf.DUMMYFUNCTION("""COMPUTED_VALUE"""),"Hunt")</f>
        <v>Hunt</v>
      </c>
      <c r="E5665" t="str">
        <f>IFERROR(__xludf.DUMMYFUNCTION("""COMPUTED_VALUE"""),"Joey")</f>
        <v>Joey</v>
      </c>
      <c r="F5665">
        <f>IFERROR(__xludf.DUMMYFUNCTION("""COMPUTED_VALUE"""),18.0)</f>
        <v>18</v>
      </c>
    </row>
    <row r="5666">
      <c r="D5666" t="str">
        <f>IFERROR(__xludf.DUMMYFUNCTION("""COMPUTED_VALUE"""),"Hunt")</f>
        <v>Hunt</v>
      </c>
      <c r="E5666" t="str">
        <f>IFERROR(__xludf.DUMMYFUNCTION("""COMPUTED_VALUE"""),"Kareem")</f>
        <v>Kareem</v>
      </c>
      <c r="F5666">
        <f>IFERROR(__xludf.DUMMYFUNCTION("""COMPUTED_VALUE"""),21.25)</f>
        <v>21.25</v>
      </c>
    </row>
    <row r="5667">
      <c r="D5667" t="str">
        <f>IFERROR(__xludf.DUMMYFUNCTION("""COMPUTED_VALUE"""),"Hunt")</f>
        <v>Hunt</v>
      </c>
      <c r="E5667" t="str">
        <f>IFERROR(__xludf.DUMMYFUNCTION("""COMPUTED_VALUE"""),"Margus")</f>
        <v>Margus</v>
      </c>
      <c r="F5667">
        <f>IFERROR(__xludf.DUMMYFUNCTION("""COMPUTED_VALUE"""),19.0)</f>
        <v>19</v>
      </c>
    </row>
    <row r="5668">
      <c r="D5668" t="str">
        <f>IFERROR(__xludf.DUMMYFUNCTION("""COMPUTED_VALUE"""),"Hunter")</f>
        <v>Hunter</v>
      </c>
      <c r="E5668" t="str">
        <f>IFERROR(__xludf.DUMMYFUNCTION("""COMPUTED_VALUE"""),"Danielle")</f>
        <v>Danielle</v>
      </c>
      <c r="F5668">
        <f>IFERROR(__xludf.DUMMYFUNCTION("""COMPUTED_VALUE"""),20.5)</f>
        <v>20.5</v>
      </c>
    </row>
    <row r="5669">
      <c r="D5669" t="str">
        <f>IFERROR(__xludf.DUMMYFUNCTION("""COMPUTED_VALUE"""),"Hunter")</f>
        <v>Hunter</v>
      </c>
      <c r="E5669" t="str">
        <f>IFERROR(__xludf.DUMMYFUNCTION("""COMPUTED_VALUE"""),"Justin")</f>
        <v>Justin</v>
      </c>
      <c r="F5669">
        <f>IFERROR(__xludf.DUMMYFUNCTION("""COMPUTED_VALUE"""),18.0)</f>
        <v>18</v>
      </c>
    </row>
    <row r="5670">
      <c r="D5670" t="str">
        <f>IFERROR(__xludf.DUMMYFUNCTION("""COMPUTED_VALUE"""),"Hurns")</f>
        <v>Hurns</v>
      </c>
      <c r="E5670" t="str">
        <f>IFERROR(__xludf.DUMMYFUNCTION("""COMPUTED_VALUE"""),"Allen")</f>
        <v>Allen</v>
      </c>
      <c r="F5670">
        <f>IFERROR(__xludf.DUMMYFUNCTION("""COMPUTED_VALUE"""),19.5)</f>
        <v>19.5</v>
      </c>
    </row>
    <row r="5671">
      <c r="D5671" t="str">
        <f>IFERROR(__xludf.DUMMYFUNCTION("""COMPUTED_VALUE"""),"Hurst")</f>
        <v>Hurst</v>
      </c>
      <c r="E5671" t="str">
        <f>IFERROR(__xludf.DUMMYFUNCTION("""COMPUTED_VALUE"""),"Demontre")</f>
        <v>Demontre</v>
      </c>
      <c r="F5671">
        <f>IFERROR(__xludf.DUMMYFUNCTION("""COMPUTED_VALUE"""),15.75)</f>
        <v>15.75</v>
      </c>
    </row>
    <row r="5672">
      <c r="D5672" t="str">
        <f>IFERROR(__xludf.DUMMYFUNCTION("""COMPUTED_VALUE"""),"Hurst")</f>
        <v>Hurst</v>
      </c>
      <c r="E5672" t="str">
        <f>IFERROR(__xludf.DUMMYFUNCTION("""COMPUTED_VALUE"""),"Hayden")</f>
        <v>Hayden</v>
      </c>
      <c r="F5672">
        <f>IFERROR(__xludf.DUMMYFUNCTION("""COMPUTED_VALUE"""),19.0)</f>
        <v>19</v>
      </c>
    </row>
    <row r="5673">
      <c r="D5673" t="str">
        <f>IFERROR(__xludf.DUMMYFUNCTION("""COMPUTED_VALUE"""),"Hurst")</f>
        <v>Hurst</v>
      </c>
      <c r="E5673" t="str">
        <f>IFERROR(__xludf.DUMMYFUNCTION("""COMPUTED_VALUE"""),"James")</f>
        <v>James</v>
      </c>
      <c r="F5673">
        <f>IFERROR(__xludf.DUMMYFUNCTION("""COMPUTED_VALUE"""),18.5)</f>
        <v>18.5</v>
      </c>
    </row>
    <row r="5674">
      <c r="D5674" t="str">
        <f>IFERROR(__xludf.DUMMYFUNCTION("""COMPUTED_VALUE"""),"Hurst")</f>
        <v>Hurst</v>
      </c>
      <c r="E5674" t="str">
        <f>IFERROR(__xludf.DUMMYFUNCTION("""COMPUTED_VALUE"""),"Maurice")</f>
        <v>Maurice</v>
      </c>
      <c r="F5674">
        <f>IFERROR(__xludf.DUMMYFUNCTION("""COMPUTED_VALUE"""),18.5)</f>
        <v>18.5</v>
      </c>
    </row>
    <row r="5675">
      <c r="D5675" t="str">
        <f>IFERROR(__xludf.DUMMYFUNCTION("""COMPUTED_VALUE"""),"Hutchinson")</f>
        <v>Hutchinson</v>
      </c>
      <c r="E5675" t="str">
        <f>IFERROR(__xludf.DUMMYFUNCTION("""COMPUTED_VALUE"""),"Steve")</f>
        <v>Steve</v>
      </c>
      <c r="F5675">
        <f>IFERROR(__xludf.DUMMYFUNCTION("""COMPUTED_VALUE"""),20.75)</f>
        <v>20.75</v>
      </c>
    </row>
    <row r="5676">
      <c r="D5676" t="str">
        <f>IFERROR(__xludf.DUMMYFUNCTION("""COMPUTED_VALUE"""),"Hutchinson")</f>
        <v>Hutchinson</v>
      </c>
      <c r="E5676" t="str">
        <f>IFERROR(__xludf.DUMMYFUNCTION("""COMPUTED_VALUE"""),"Steve")</f>
        <v>Steve</v>
      </c>
      <c r="F5676">
        <f>IFERROR(__xludf.DUMMYFUNCTION("""COMPUTED_VALUE"""),20.5)</f>
        <v>20.5</v>
      </c>
    </row>
    <row r="5677">
      <c r="D5677" t="str">
        <f>IFERROR(__xludf.DUMMYFUNCTION("""COMPUTED_VALUE"""),"Hutchinson")</f>
        <v>Hutchinson</v>
      </c>
      <c r="E5677" t="str">
        <f>IFERROR(__xludf.DUMMYFUNCTION("""COMPUTED_VALUE"""),"Steve")</f>
        <v>Steve</v>
      </c>
      <c r="F5677">
        <f>IFERROR(__xludf.DUMMYFUNCTION("""COMPUTED_VALUE"""),22.0)</f>
        <v>22</v>
      </c>
    </row>
    <row r="5678">
      <c r="D5678" t="str">
        <f>IFERROR(__xludf.DUMMYFUNCTION("""COMPUTED_VALUE"""),"Hutchinson")</f>
        <v>Hutchinson</v>
      </c>
      <c r="E5678" t="str">
        <f>IFERROR(__xludf.DUMMYFUNCTION("""COMPUTED_VALUE"""),"Steve")</f>
        <v>Steve</v>
      </c>
      <c r="F5678">
        <f>IFERROR(__xludf.DUMMYFUNCTION("""COMPUTED_VALUE"""),22.5)</f>
        <v>22.5</v>
      </c>
    </row>
    <row r="5679">
      <c r="D5679" t="str">
        <f>IFERROR(__xludf.DUMMYFUNCTION("""COMPUTED_VALUE"""),"Hutchinson")</f>
        <v>Hutchinson</v>
      </c>
      <c r="E5679" t="str">
        <f>IFERROR(__xludf.DUMMYFUNCTION("""COMPUTED_VALUE"""),"Steve")</f>
        <v>Steve</v>
      </c>
      <c r="F5679">
        <f>IFERROR(__xludf.DUMMYFUNCTION("""COMPUTED_VALUE"""),21.5)</f>
        <v>21.5</v>
      </c>
    </row>
    <row r="5680">
      <c r="D5680" t="str">
        <f>IFERROR(__xludf.DUMMYFUNCTION("""COMPUTED_VALUE"""),"Hutchinson")</f>
        <v>Hutchinson</v>
      </c>
      <c r="E5680" t="str">
        <f>IFERROR(__xludf.DUMMYFUNCTION("""COMPUTED_VALUE"""),"Steve")</f>
        <v>Steve</v>
      </c>
      <c r="F5680">
        <f>IFERROR(__xludf.DUMMYFUNCTION("""COMPUTED_VALUE"""),21.0)</f>
        <v>21</v>
      </c>
    </row>
    <row r="5681">
      <c r="D5681" t="str">
        <f>IFERROR(__xludf.DUMMYFUNCTION("""COMPUTED_VALUE"""),"Hyde")</f>
        <v>Hyde</v>
      </c>
      <c r="E5681" t="str">
        <f>IFERROR(__xludf.DUMMYFUNCTION("""COMPUTED_VALUE"""),"Carlos")</f>
        <v>Carlos</v>
      </c>
      <c r="F5681">
        <f>IFERROR(__xludf.DUMMYFUNCTION("""COMPUTED_VALUE"""),20.0)</f>
        <v>20</v>
      </c>
    </row>
    <row r="5682">
      <c r="D5682" t="str">
        <f>IFERROR(__xludf.DUMMYFUNCTION("""COMPUTED_VALUE"""),"Hyde")</f>
        <v>Hyde</v>
      </c>
      <c r="E5682" t="str">
        <f>IFERROR(__xludf.DUMMYFUNCTION("""COMPUTED_VALUE"""),"Micah")</f>
        <v>Micah</v>
      </c>
      <c r="F5682">
        <f>IFERROR(__xludf.DUMMYFUNCTION("""COMPUTED_VALUE"""),20.75)</f>
        <v>20.75</v>
      </c>
    </row>
    <row r="5683">
      <c r="D5683" t="str">
        <f>IFERROR(__xludf.DUMMYFUNCTION("""COMPUTED_VALUE"""),"Hyder Jr")</f>
        <v>Hyder Jr</v>
      </c>
      <c r="E5683" t="str">
        <f>IFERROR(__xludf.DUMMYFUNCTION("""COMPUTED_VALUE"""),"Kerry")</f>
        <v>Kerry</v>
      </c>
      <c r="F5683">
        <f>IFERROR(__xludf.DUMMYFUNCTION("""COMPUTED_VALUE"""),19.0)</f>
        <v>19</v>
      </c>
    </row>
    <row r="5684">
      <c r="D5684" t="str">
        <f>IFERROR(__xludf.DUMMYFUNCTION("""COMPUTED_VALUE"""),"Ifedi")</f>
        <v>Ifedi</v>
      </c>
      <c r="E5684" t="str">
        <f>IFERROR(__xludf.DUMMYFUNCTION("""COMPUTED_VALUE"""),"Germain")</f>
        <v>Germain</v>
      </c>
      <c r="F5684">
        <f>IFERROR(__xludf.DUMMYFUNCTION("""COMPUTED_VALUE"""),18.25)</f>
        <v>18.25</v>
      </c>
    </row>
    <row r="5685">
      <c r="D5685" t="str">
        <f>IFERROR(__xludf.DUMMYFUNCTION("""COMPUTED_VALUE"""),"Ijalana")</f>
        <v>Ijalana</v>
      </c>
      <c r="E5685" t="str">
        <f>IFERROR(__xludf.DUMMYFUNCTION("""COMPUTED_VALUE"""),"Ben")</f>
        <v>Ben</v>
      </c>
      <c r="F5685">
        <f>IFERROR(__xludf.DUMMYFUNCTION("""COMPUTED_VALUE"""),17.75)</f>
        <v>17.75</v>
      </c>
    </row>
    <row r="5686">
      <c r="D5686" t="str">
        <f>IFERROR(__xludf.DUMMYFUNCTION("""COMPUTED_VALUE"""),"Iloka")</f>
        <v>Iloka</v>
      </c>
      <c r="E5686" t="str">
        <f>IFERROR(__xludf.DUMMYFUNCTION("""COMPUTED_VALUE"""),"George")</f>
        <v>George</v>
      </c>
      <c r="F5686">
        <f>IFERROR(__xludf.DUMMYFUNCTION("""COMPUTED_VALUE"""),19.25)</f>
        <v>19.25</v>
      </c>
    </row>
    <row r="5687">
      <c r="D5687" t="str">
        <f>IFERROR(__xludf.DUMMYFUNCTION("""COMPUTED_VALUE"""),"Ingram")</f>
        <v>Ingram</v>
      </c>
      <c r="E5687" t="str">
        <f>IFERROR(__xludf.DUMMYFUNCTION("""COMPUTED_VALUE"""),"Melvin")</f>
        <v>Melvin</v>
      </c>
      <c r="F5687">
        <f>IFERROR(__xludf.DUMMYFUNCTION("""COMPUTED_VALUE"""),21.0)</f>
        <v>21</v>
      </c>
    </row>
    <row r="5688">
      <c r="D5688" t="str">
        <f>IFERROR(__xludf.DUMMYFUNCTION("""COMPUTED_VALUE"""),"Ingram II")</f>
        <v>Ingram II</v>
      </c>
      <c r="E5688" t="str">
        <f>IFERROR(__xludf.DUMMYFUNCTION("""COMPUTED_VALUE"""),"Mark")</f>
        <v>Mark</v>
      </c>
      <c r="F5688">
        <f>IFERROR(__xludf.DUMMYFUNCTION("""COMPUTED_VALUE"""),20.75)</f>
        <v>20.75</v>
      </c>
    </row>
    <row r="5689">
      <c r="D5689" t="str">
        <f>IFERROR(__xludf.DUMMYFUNCTION("""COMPUTED_VALUE"""),"Inman")</f>
        <v>Inman</v>
      </c>
      <c r="E5689" t="str">
        <f>IFERROR(__xludf.DUMMYFUNCTION("""COMPUTED_VALUE"""),"Dontrelle")</f>
        <v>Dontrelle</v>
      </c>
      <c r="F5689">
        <f>IFERROR(__xludf.DUMMYFUNCTION("""COMPUTED_VALUE"""),15.25)</f>
        <v>15.25</v>
      </c>
    </row>
    <row r="5690">
      <c r="D5690" t="str">
        <f>IFERROR(__xludf.DUMMYFUNCTION("""COMPUTED_VALUE"""),"Ioannidis")</f>
        <v>Ioannidis</v>
      </c>
      <c r="E5690" t="str">
        <f>IFERROR(__xludf.DUMMYFUNCTION("""COMPUTED_VALUE"""),"Matthew")</f>
        <v>Matthew</v>
      </c>
      <c r="F5690">
        <f>IFERROR(__xludf.DUMMYFUNCTION("""COMPUTED_VALUE"""),19.5)</f>
        <v>19.5</v>
      </c>
    </row>
    <row r="5691">
      <c r="D5691" t="str">
        <f>IFERROR(__xludf.DUMMYFUNCTION("""COMPUTED_VALUE"""),"Irvin")</f>
        <v>Irvin</v>
      </c>
      <c r="E5691" t="str">
        <f>IFERROR(__xludf.DUMMYFUNCTION("""COMPUTED_VALUE"""),"Bruce")</f>
        <v>Bruce</v>
      </c>
      <c r="F5691">
        <f>IFERROR(__xludf.DUMMYFUNCTION("""COMPUTED_VALUE"""),20.5)</f>
        <v>20.5</v>
      </c>
    </row>
    <row r="5692">
      <c r="D5692" t="str">
        <f>IFERROR(__xludf.DUMMYFUNCTION("""COMPUTED_VALUE"""),"Irving")</f>
        <v>Irving</v>
      </c>
      <c r="E5692" t="str">
        <f>IFERROR(__xludf.DUMMYFUNCTION("""COMPUTED_VALUE"""),"David")</f>
        <v>David</v>
      </c>
      <c r="F5692">
        <f>IFERROR(__xludf.DUMMYFUNCTION("""COMPUTED_VALUE"""),19.75)</f>
        <v>19.75</v>
      </c>
    </row>
    <row r="5693">
      <c r="D5693" t="str">
        <f>IFERROR(__xludf.DUMMYFUNCTION("""COMPUTED_VALUE"""),"Irving")</f>
        <v>Irving</v>
      </c>
      <c r="E5693" t="str">
        <f>IFERROR(__xludf.DUMMYFUNCTION("""COMPUTED_VALUE"""),"Isaiah")</f>
        <v>Isaiah</v>
      </c>
      <c r="F5693">
        <f>IFERROR(__xludf.DUMMYFUNCTION("""COMPUTED_VALUE"""),16.75)</f>
        <v>16.75</v>
      </c>
    </row>
    <row r="5694">
      <c r="D5694" t="str">
        <f>IFERROR(__xludf.DUMMYFUNCTION("""COMPUTED_VALUE"""),"Ishmael")</f>
        <v>Ishmael</v>
      </c>
      <c r="E5694" t="str">
        <f>IFERROR(__xludf.DUMMYFUNCTION("""COMPUTED_VALUE"""),"Kemal")</f>
        <v>Kemal</v>
      </c>
      <c r="F5694">
        <f>IFERROR(__xludf.DUMMYFUNCTION("""COMPUTED_VALUE"""),17.25)</f>
        <v>17.25</v>
      </c>
    </row>
    <row r="5695">
      <c r="D5695" t="str">
        <f>IFERROR(__xludf.DUMMYFUNCTION("""COMPUTED_VALUE"""),"Isidora")</f>
        <v>Isidora</v>
      </c>
      <c r="E5695" t="str">
        <f>IFERROR(__xludf.DUMMYFUNCTION("""COMPUTED_VALUE"""),"Danny")</f>
        <v>Danny</v>
      </c>
      <c r="F5695">
        <f>IFERROR(__xludf.DUMMYFUNCTION("""COMPUTED_VALUE"""),17.5)</f>
        <v>17.5</v>
      </c>
    </row>
    <row r="5696">
      <c r="D5696" t="str">
        <f>IFERROR(__xludf.DUMMYFUNCTION("""COMPUTED_VALUE"""),"Iupati")</f>
        <v>Iupati</v>
      </c>
      <c r="E5696" t="str">
        <f>IFERROR(__xludf.DUMMYFUNCTION("""COMPUTED_VALUE"""),"Mike")</f>
        <v>Mike</v>
      </c>
      <c r="F5696">
        <f>IFERROR(__xludf.DUMMYFUNCTION("""COMPUTED_VALUE"""),19.75)</f>
        <v>19.75</v>
      </c>
    </row>
    <row r="5697">
      <c r="D5697" t="str">
        <f>IFERROR(__xludf.DUMMYFUNCTION("""COMPUTED_VALUE"""),"Ivie")</f>
        <v>Ivie</v>
      </c>
      <c r="E5697" t="str">
        <f>IFERROR(__xludf.DUMMYFUNCTION("""COMPUTED_VALUE"""),"Joey")</f>
        <v>Joey</v>
      </c>
      <c r="F5697">
        <f>IFERROR(__xludf.DUMMYFUNCTION("""COMPUTED_VALUE"""),16.75)</f>
        <v>16.75</v>
      </c>
    </row>
    <row r="5698">
      <c r="D5698" t="str">
        <f>IFERROR(__xludf.DUMMYFUNCTION("""COMPUTED_VALUE"""),"Ivory")</f>
        <v>Ivory</v>
      </c>
      <c r="E5698" t="str">
        <f>IFERROR(__xludf.DUMMYFUNCTION("""COMPUTED_VALUE"""),"Chris")</f>
        <v>Chris</v>
      </c>
      <c r="F5698">
        <f>IFERROR(__xludf.DUMMYFUNCTION("""COMPUTED_VALUE"""),19.0)</f>
        <v>19</v>
      </c>
    </row>
    <row r="5699">
      <c r="D5699" t="str">
        <f>IFERROR(__xludf.DUMMYFUNCTION("""COMPUTED_VALUE"""),"Iyiegbuniwe")</f>
        <v>Iyiegbuniwe</v>
      </c>
      <c r="E5699" t="str">
        <f>IFERROR(__xludf.DUMMYFUNCTION("""COMPUTED_VALUE"""),"Joel")</f>
        <v>Joel</v>
      </c>
      <c r="F5699">
        <f>IFERROR(__xludf.DUMMYFUNCTION("""COMPUTED_VALUE"""),17.75)</f>
        <v>17.75</v>
      </c>
    </row>
    <row r="5700">
      <c r="D5700" t="str">
        <f>IFERROR(__xludf.DUMMYFUNCTION("""COMPUTED_VALUE"""),"Izzo")</f>
        <v>Izzo</v>
      </c>
      <c r="E5700" t="str">
        <f>IFERROR(__xludf.DUMMYFUNCTION("""COMPUTED_VALUE"""),"Ryan")</f>
        <v>Ryan</v>
      </c>
      <c r="F5700">
        <f>IFERROR(__xludf.DUMMYFUNCTION("""COMPUTED_VALUE"""),17.0)</f>
        <v>17</v>
      </c>
    </row>
    <row r="5701">
      <c r="D5701" t="str">
        <f>IFERROR(__xludf.DUMMYFUNCTION("""COMPUTED_VALUE"""),"Jack")</f>
        <v>Jack</v>
      </c>
      <c r="E5701" t="str">
        <f>IFERROR(__xludf.DUMMYFUNCTION("""COMPUTED_VALUE"""),"Myles")</f>
        <v>Myles</v>
      </c>
      <c r="F5701">
        <f>IFERROR(__xludf.DUMMYFUNCTION("""COMPUTED_VALUE"""),21.25)</f>
        <v>21.25</v>
      </c>
    </row>
    <row r="5702">
      <c r="D5702" t="str">
        <f>IFERROR(__xludf.DUMMYFUNCTION("""COMPUTED_VALUE"""),"Jackson")</f>
        <v>Jackson</v>
      </c>
      <c r="E5702" t="str">
        <f>IFERROR(__xludf.DUMMYFUNCTION("""COMPUTED_VALUE"""),"Adoree")</f>
        <v>Adoree</v>
      </c>
      <c r="F5702">
        <f>IFERROR(__xludf.DUMMYFUNCTION("""COMPUTED_VALUE"""),20.5)</f>
        <v>20.5</v>
      </c>
    </row>
    <row r="5703">
      <c r="D5703" t="str">
        <f>IFERROR(__xludf.DUMMYFUNCTION("""COMPUTED_VALUE"""),"Jackson")</f>
        <v>Jackson</v>
      </c>
      <c r="E5703" t="str">
        <f>IFERROR(__xludf.DUMMYFUNCTION("""COMPUTED_VALUE"""),"Branden")</f>
        <v>Branden</v>
      </c>
      <c r="F5703">
        <f>IFERROR(__xludf.DUMMYFUNCTION("""COMPUTED_VALUE"""),16.0)</f>
        <v>16</v>
      </c>
    </row>
    <row r="5704">
      <c r="D5704" t="str">
        <f>IFERROR(__xludf.DUMMYFUNCTION("""COMPUTED_VALUE"""),"Jackson")</f>
        <v>Jackson</v>
      </c>
      <c r="E5704" t="str">
        <f>IFERROR(__xludf.DUMMYFUNCTION("""COMPUTED_VALUE"""),"DeSean")</f>
        <v>DeSean</v>
      </c>
      <c r="F5704">
        <f>IFERROR(__xludf.DUMMYFUNCTION("""COMPUTED_VALUE"""),20.5)</f>
        <v>20.5</v>
      </c>
    </row>
    <row r="5705">
      <c r="D5705" t="str">
        <f>IFERROR(__xludf.DUMMYFUNCTION("""COMPUTED_VALUE"""),"Jackson")</f>
        <v>Jackson</v>
      </c>
      <c r="E5705" t="str">
        <f>IFERROR(__xludf.DUMMYFUNCTION("""COMPUTED_VALUE"""),"Donte")</f>
        <v>Donte</v>
      </c>
      <c r="F5705">
        <f>IFERROR(__xludf.DUMMYFUNCTION("""COMPUTED_VALUE"""),18.5)</f>
        <v>18.5</v>
      </c>
    </row>
    <row r="5706">
      <c r="D5706" t="str">
        <f>IFERROR(__xludf.DUMMYFUNCTION("""COMPUTED_VALUE"""),"Jackson")</f>
        <v>Jackson</v>
      </c>
      <c r="E5706" t="str">
        <f>IFERROR(__xludf.DUMMYFUNCTION("""COMPUTED_VALUE"""),"Eddie")</f>
        <v>Eddie</v>
      </c>
      <c r="F5706">
        <f>IFERROR(__xludf.DUMMYFUNCTION("""COMPUTED_VALUE"""),19.25)</f>
        <v>19.25</v>
      </c>
    </row>
    <row r="5707">
      <c r="D5707" t="str">
        <f>IFERROR(__xludf.DUMMYFUNCTION("""COMPUTED_VALUE"""),"Jackson")</f>
        <v>Jackson</v>
      </c>
      <c r="E5707" t="str">
        <f>IFERROR(__xludf.DUMMYFUNCTION("""COMPUTED_VALUE"""),"Gabe")</f>
        <v>Gabe</v>
      </c>
      <c r="F5707">
        <f>IFERROR(__xludf.DUMMYFUNCTION("""COMPUTED_VALUE"""),19.75)</f>
        <v>19.75</v>
      </c>
    </row>
    <row r="5708">
      <c r="D5708" t="str">
        <f>IFERROR(__xludf.DUMMYFUNCTION("""COMPUTED_VALUE"""),"Jackson")</f>
        <v>Jackson</v>
      </c>
      <c r="E5708" t="str">
        <f>IFERROR(__xludf.DUMMYFUNCTION("""COMPUTED_VALUE"""),"Josh")</f>
        <v>Josh</v>
      </c>
      <c r="F5708">
        <f>IFERROR(__xludf.DUMMYFUNCTION("""COMPUTED_VALUE"""),18.75)</f>
        <v>18.75</v>
      </c>
    </row>
    <row r="5709">
      <c r="D5709" t="str">
        <f>IFERROR(__xludf.DUMMYFUNCTION("""COMPUTED_VALUE"""),"Jackson")</f>
        <v>Jackson</v>
      </c>
      <c r="E5709" t="str">
        <f>IFERROR(__xludf.DUMMYFUNCTION("""COMPUTED_VALUE"""),"Justin")</f>
        <v>Justin</v>
      </c>
      <c r="F5709">
        <f>IFERROR(__xludf.DUMMYFUNCTION("""COMPUTED_VALUE"""),17.25)</f>
        <v>17.25</v>
      </c>
    </row>
    <row r="5710">
      <c r="D5710" t="str">
        <f>IFERROR(__xludf.DUMMYFUNCTION("""COMPUTED_VALUE"""),"Jackson")</f>
        <v>Jackson</v>
      </c>
      <c r="E5710" t="str">
        <f>IFERROR(__xludf.DUMMYFUNCTION("""COMPUTED_VALUE"""),"Kareem")</f>
        <v>Kareem</v>
      </c>
      <c r="F5710">
        <f>IFERROR(__xludf.DUMMYFUNCTION("""COMPUTED_VALUE"""),19.5)</f>
        <v>19.5</v>
      </c>
    </row>
    <row r="5711">
      <c r="D5711" t="str">
        <f>IFERROR(__xludf.DUMMYFUNCTION("""COMPUTED_VALUE"""),"Jackson")</f>
        <v>Jackson</v>
      </c>
      <c r="E5711" t="str">
        <f>IFERROR(__xludf.DUMMYFUNCTION("""COMPUTED_VALUE"""),"Lamar")</f>
        <v>Lamar</v>
      </c>
      <c r="F5711">
        <f>IFERROR(__xludf.DUMMYFUNCTION("""COMPUTED_VALUE"""),18.75)</f>
        <v>18.75</v>
      </c>
    </row>
    <row r="5712">
      <c r="D5712" t="str">
        <f>IFERROR(__xludf.DUMMYFUNCTION("""COMPUTED_VALUE"""),"Jackson")</f>
        <v>Jackson</v>
      </c>
      <c r="E5712" t="str">
        <f>IFERROR(__xludf.DUMMYFUNCTION("""COMPUTED_VALUE"""),"Malik")</f>
        <v>Malik</v>
      </c>
      <c r="F5712">
        <f>IFERROR(__xludf.DUMMYFUNCTION("""COMPUTED_VALUE"""),20.5)</f>
        <v>20.5</v>
      </c>
    </row>
    <row r="5713">
      <c r="D5713" t="str">
        <f>IFERROR(__xludf.DUMMYFUNCTION("""COMPUTED_VALUE"""),"Jackson")</f>
        <v>Jackson</v>
      </c>
      <c r="E5713" t="str">
        <f>IFERROR(__xludf.DUMMYFUNCTION("""COMPUTED_VALUE"""),"William")</f>
        <v>William</v>
      </c>
      <c r="F5713">
        <f>IFERROR(__xludf.DUMMYFUNCTION("""COMPUTED_VALUE"""),20.25)</f>
        <v>20.25</v>
      </c>
    </row>
    <row r="5714">
      <c r="D5714" t="str">
        <f>IFERROR(__xludf.DUMMYFUNCTION("""COMPUTED_VALUE"""),"Jacobs")</f>
        <v>Jacobs</v>
      </c>
      <c r="E5714" t="str">
        <f>IFERROR(__xludf.DUMMYFUNCTION("""COMPUTED_VALUE"""),"Ben")</f>
        <v>Ben</v>
      </c>
      <c r="F5714">
        <f>IFERROR(__xludf.DUMMYFUNCTION("""COMPUTED_VALUE"""),16.75)</f>
        <v>16.75</v>
      </c>
    </row>
    <row r="5715">
      <c r="D5715" t="str">
        <f>IFERROR(__xludf.DUMMYFUNCTION("""COMPUTED_VALUE"""),"Jacobs")</f>
        <v>Jacobs</v>
      </c>
      <c r="E5715" t="str">
        <f>IFERROR(__xludf.DUMMYFUNCTION("""COMPUTED_VALUE"""),"Leon")</f>
        <v>Leon</v>
      </c>
      <c r="F5715">
        <f>IFERROR(__xludf.DUMMYFUNCTION("""COMPUTED_VALUE"""),16.75)</f>
        <v>16.75</v>
      </c>
    </row>
    <row r="5716">
      <c r="D5716" t="str">
        <f>IFERROR(__xludf.DUMMYFUNCTION("""COMPUTED_VALUE"""),"Jamerson")</f>
        <v>Jamerson</v>
      </c>
      <c r="E5716" t="str">
        <f>IFERROR(__xludf.DUMMYFUNCTION("""COMPUTED_VALUE"""),"Natrell")</f>
        <v>Natrell</v>
      </c>
      <c r="F5716">
        <f>IFERROR(__xludf.DUMMYFUNCTION("""COMPUTED_VALUE"""),16.75)</f>
        <v>16.75</v>
      </c>
    </row>
    <row r="5717">
      <c r="D5717" t="str">
        <f>IFERROR(__xludf.DUMMYFUNCTION("""COMPUTED_VALUE"""),"James")</f>
        <v>James</v>
      </c>
      <c r="E5717" t="str">
        <f>IFERROR(__xludf.DUMMYFUNCTION("""COMPUTED_VALUE"""),"Derwin")</f>
        <v>Derwin</v>
      </c>
      <c r="F5717">
        <f>IFERROR(__xludf.DUMMYFUNCTION("""COMPUTED_VALUE"""),19.25)</f>
        <v>19.25</v>
      </c>
    </row>
    <row r="5718">
      <c r="D5718" t="str">
        <f>IFERROR(__xludf.DUMMYFUNCTION("""COMPUTED_VALUE"""),"James")</f>
        <v>James</v>
      </c>
      <c r="E5718" t="str">
        <f>IFERROR(__xludf.DUMMYFUNCTION("""COMPUTED_VALUE"""),"JaWuan")</f>
        <v>JaWuan</v>
      </c>
      <c r="F5718">
        <f>IFERROR(__xludf.DUMMYFUNCTION("""COMPUTED_VALUE"""),20.0)</f>
        <v>20</v>
      </c>
    </row>
    <row r="5719">
      <c r="D5719" t="str">
        <f>IFERROR(__xludf.DUMMYFUNCTION("""COMPUTED_VALUE"""),"James")</f>
        <v>James</v>
      </c>
      <c r="E5719" t="str">
        <f>IFERROR(__xludf.DUMMYFUNCTION("""COMPUTED_VALUE"""),"Jesse")</f>
        <v>Jesse</v>
      </c>
      <c r="F5719">
        <f>IFERROR(__xludf.DUMMYFUNCTION("""COMPUTED_VALUE"""),19.25)</f>
        <v>19.25</v>
      </c>
    </row>
    <row r="5720">
      <c r="D5720" t="str">
        <f>IFERROR(__xludf.DUMMYFUNCTION("""COMPUTED_VALUE"""),"James")</f>
        <v>James</v>
      </c>
      <c r="E5720" t="str">
        <f>IFERROR(__xludf.DUMMYFUNCTION("""COMPUTED_VALUE"""),"Josh")</f>
        <v>Josh</v>
      </c>
      <c r="F5720">
        <f>IFERROR(__xludf.DUMMYFUNCTION("""COMPUTED_VALUE"""),15.5)</f>
        <v>15.5</v>
      </c>
    </row>
    <row r="5721">
      <c r="D5721" t="str">
        <f>IFERROR(__xludf.DUMMYFUNCTION("""COMPUTED_VALUE"""),"James")</f>
        <v>James</v>
      </c>
      <c r="E5721" t="str">
        <f>IFERROR(__xludf.DUMMYFUNCTION("""COMPUTED_VALUE"""),"Richie")</f>
        <v>Richie</v>
      </c>
      <c r="F5721">
        <f>IFERROR(__xludf.DUMMYFUNCTION("""COMPUTED_VALUE"""),17.0)</f>
        <v>17</v>
      </c>
    </row>
    <row r="5722">
      <c r="D5722" t="str">
        <f>IFERROR(__xludf.DUMMYFUNCTION("""COMPUTED_VALUE"""),"Janikowski")</f>
        <v>Janikowski</v>
      </c>
      <c r="E5722" t="str">
        <f>IFERROR(__xludf.DUMMYFUNCTION("""COMPUTED_VALUE"""),"Sebastian")</f>
        <v>Sebastian</v>
      </c>
      <c r="F5722">
        <f>IFERROR(__xludf.DUMMYFUNCTION("""COMPUTED_VALUE"""),21.0)</f>
        <v>21</v>
      </c>
    </row>
    <row r="5723">
      <c r="D5723" t="str">
        <f>IFERROR(__xludf.DUMMYFUNCTION("""COMPUTED_VALUE"""),"Janis")</f>
        <v>Janis</v>
      </c>
      <c r="E5723" t="str">
        <f>IFERROR(__xludf.DUMMYFUNCTION("""COMPUTED_VALUE"""),"Jeff")</f>
        <v>Jeff</v>
      </c>
      <c r="F5723">
        <f>IFERROR(__xludf.DUMMYFUNCTION("""COMPUTED_VALUE"""),17.5)</f>
        <v>17.5</v>
      </c>
    </row>
    <row r="5724">
      <c r="D5724" t="str">
        <f>IFERROR(__xludf.DUMMYFUNCTION("""COMPUTED_VALUE"""),"Janovich")</f>
        <v>Janovich</v>
      </c>
      <c r="E5724" t="str">
        <f>IFERROR(__xludf.DUMMYFUNCTION("""COMPUTED_VALUE"""),"Andy")</f>
        <v>Andy</v>
      </c>
      <c r="F5724">
        <f>IFERROR(__xludf.DUMMYFUNCTION("""COMPUTED_VALUE"""),19.5)</f>
        <v>19.5</v>
      </c>
    </row>
    <row r="5725">
      <c r="D5725" t="str">
        <f>IFERROR(__xludf.DUMMYFUNCTION("""COMPUTED_VALUE"""),"Jarrett")</f>
        <v>Jarrett</v>
      </c>
      <c r="E5725" t="str">
        <f>IFERROR(__xludf.DUMMYFUNCTION("""COMPUTED_VALUE"""),"Grady")</f>
        <v>Grady</v>
      </c>
      <c r="F5725">
        <f>IFERROR(__xludf.DUMMYFUNCTION("""COMPUTED_VALUE"""),20.75)</f>
        <v>20.75</v>
      </c>
    </row>
    <row r="5726">
      <c r="D5726" t="str">
        <f>IFERROR(__xludf.DUMMYFUNCTION("""COMPUTED_VALUE"""),"Jarwin")</f>
        <v>Jarwin</v>
      </c>
      <c r="E5726" t="str">
        <f>IFERROR(__xludf.DUMMYFUNCTION("""COMPUTED_VALUE"""),"Blake")</f>
        <v>Blake</v>
      </c>
      <c r="F5726">
        <f>IFERROR(__xludf.DUMMYFUNCTION("""COMPUTED_VALUE"""),17.25)</f>
        <v>17.25</v>
      </c>
    </row>
    <row r="5727">
      <c r="D5727" t="str">
        <f>IFERROR(__xludf.DUMMYFUNCTION("""COMPUTED_VALUE"""),"Jean-Baptiste")</f>
        <v>Jean-Baptiste</v>
      </c>
      <c r="E5727" t="str">
        <f>IFERROR(__xludf.DUMMYFUNCTION("""COMPUTED_VALUE"""),"Stanley")</f>
        <v>Stanley</v>
      </c>
      <c r="F5727">
        <f>IFERROR(__xludf.DUMMYFUNCTION("""COMPUTED_VALUE"""),17.25)</f>
        <v>17.25</v>
      </c>
    </row>
    <row r="5728">
      <c r="D5728" t="str">
        <f>IFERROR(__xludf.DUMMYFUNCTION("""COMPUTED_VALUE"""),"Jefferson")</f>
        <v>Jefferson</v>
      </c>
      <c r="E5728" t="str">
        <f>IFERROR(__xludf.DUMMYFUNCTION("""COMPUTED_VALUE"""),"Malik")</f>
        <v>Malik</v>
      </c>
      <c r="F5728">
        <f>IFERROR(__xludf.DUMMYFUNCTION("""COMPUTED_VALUE"""),17.0)</f>
        <v>17</v>
      </c>
    </row>
    <row r="5729">
      <c r="D5729" t="str">
        <f>IFERROR(__xludf.DUMMYFUNCTION("""COMPUTED_VALUE"""),"Jefferson")</f>
        <v>Jefferson</v>
      </c>
      <c r="E5729" t="str">
        <f>IFERROR(__xludf.DUMMYFUNCTION("""COMPUTED_VALUE"""),"Quinton")</f>
        <v>Quinton</v>
      </c>
      <c r="F5729">
        <f>IFERROR(__xludf.DUMMYFUNCTION("""COMPUTED_VALUE"""),16.0)</f>
        <v>16</v>
      </c>
    </row>
    <row r="5730">
      <c r="D5730" t="str">
        <f>IFERROR(__xludf.DUMMYFUNCTION("""COMPUTED_VALUE"""),"Jefferson")</f>
        <v>Jefferson</v>
      </c>
      <c r="E5730" t="str">
        <f>IFERROR(__xludf.DUMMYFUNCTION("""COMPUTED_VALUE"""),"Tony")</f>
        <v>Tony</v>
      </c>
      <c r="F5730">
        <f>IFERROR(__xludf.DUMMYFUNCTION("""COMPUTED_VALUE"""),20.0)</f>
        <v>20</v>
      </c>
    </row>
    <row r="5731">
      <c r="D5731" t="str">
        <f>IFERROR(__xludf.DUMMYFUNCTION("""COMPUTED_VALUE"""),"Jeffery")</f>
        <v>Jeffery</v>
      </c>
      <c r="E5731" t="str">
        <f>IFERROR(__xludf.DUMMYFUNCTION("""COMPUTED_VALUE"""),"Alshon")</f>
        <v>Alshon</v>
      </c>
      <c r="F5731">
        <f>IFERROR(__xludf.DUMMYFUNCTION("""COMPUTED_VALUE"""),21.25)</f>
        <v>21.25</v>
      </c>
    </row>
    <row r="5732">
      <c r="D5732" t="str">
        <f>IFERROR(__xludf.DUMMYFUNCTION("""COMPUTED_VALUE"""),"Jenkins")</f>
        <v>Jenkins</v>
      </c>
      <c r="E5732" t="str">
        <f>IFERROR(__xludf.DUMMYFUNCTION("""COMPUTED_VALUE"""),"Janoris")</f>
        <v>Janoris</v>
      </c>
      <c r="F5732">
        <f>IFERROR(__xludf.DUMMYFUNCTION("""COMPUTED_VALUE"""),21.0)</f>
        <v>21</v>
      </c>
    </row>
    <row r="5733">
      <c r="D5733" t="str">
        <f>IFERROR(__xludf.DUMMYFUNCTION("""COMPUTED_VALUE"""),"Jenkins")</f>
        <v>Jenkins</v>
      </c>
      <c r="E5733" t="str">
        <f>IFERROR(__xludf.DUMMYFUNCTION("""COMPUTED_VALUE"""),"Jarvis")</f>
        <v>Jarvis</v>
      </c>
      <c r="F5733">
        <f>IFERROR(__xludf.DUMMYFUNCTION("""COMPUTED_VALUE"""),17.25)</f>
        <v>17.25</v>
      </c>
    </row>
    <row r="5734">
      <c r="D5734" t="str">
        <f>IFERROR(__xludf.DUMMYFUNCTION("""COMPUTED_VALUE"""),"Jenkins")</f>
        <v>Jenkins</v>
      </c>
      <c r="E5734" t="str">
        <f>IFERROR(__xludf.DUMMYFUNCTION("""COMPUTED_VALUE"""),"John")</f>
        <v>John</v>
      </c>
      <c r="F5734">
        <f>IFERROR(__xludf.DUMMYFUNCTION("""COMPUTED_VALUE"""),18.0)</f>
        <v>18</v>
      </c>
    </row>
    <row r="5735">
      <c r="D5735" t="str">
        <f>IFERROR(__xludf.DUMMYFUNCTION("""COMPUTED_VALUE"""),"Jenkins")</f>
        <v>Jenkins</v>
      </c>
      <c r="E5735" t="str">
        <f>IFERROR(__xludf.DUMMYFUNCTION("""COMPUTED_VALUE"""),"Jordan")</f>
        <v>Jordan</v>
      </c>
      <c r="F5735">
        <f>IFERROR(__xludf.DUMMYFUNCTION("""COMPUTED_VALUE"""),20.0)</f>
        <v>20</v>
      </c>
    </row>
    <row r="5736">
      <c r="D5736" t="str">
        <f>IFERROR(__xludf.DUMMYFUNCTION("""COMPUTED_VALUE"""),"Jenkins")</f>
        <v>Jenkins</v>
      </c>
      <c r="E5736" t="str">
        <f>IFERROR(__xludf.DUMMYFUNCTION("""COMPUTED_VALUE"""),"Malcolm")</f>
        <v>Malcolm</v>
      </c>
      <c r="F5736">
        <f>IFERROR(__xludf.DUMMYFUNCTION("""COMPUTED_VALUE"""),21.5)</f>
        <v>21.5</v>
      </c>
    </row>
    <row r="5737">
      <c r="D5737" t="str">
        <f>IFERROR(__xludf.DUMMYFUNCTION("""COMPUTED_VALUE"""),"Jenkins")</f>
        <v>Jenkins</v>
      </c>
      <c r="E5737" t="str">
        <f>IFERROR(__xludf.DUMMYFUNCTION("""COMPUTED_VALUE"""),"Rayshawn")</f>
        <v>Rayshawn</v>
      </c>
      <c r="F5737">
        <f>IFERROR(__xludf.DUMMYFUNCTION("""COMPUTED_VALUE"""),17.5)</f>
        <v>17.5</v>
      </c>
    </row>
    <row r="5738">
      <c r="D5738" t="str">
        <f>IFERROR(__xludf.DUMMYFUNCTION("""COMPUTED_VALUE"""),"Jennings")</f>
        <v>Jennings</v>
      </c>
      <c r="E5738" t="str">
        <f>IFERROR(__xludf.DUMMYFUNCTION("""COMPUTED_VALUE"""),"Darius")</f>
        <v>Darius</v>
      </c>
      <c r="F5738">
        <f>IFERROR(__xludf.DUMMYFUNCTION("""COMPUTED_VALUE"""),16.0)</f>
        <v>16</v>
      </c>
    </row>
    <row r="5739">
      <c r="D5739" t="str">
        <f>IFERROR(__xludf.DUMMYFUNCTION("""COMPUTED_VALUE"""),"Jensen")</f>
        <v>Jensen</v>
      </c>
      <c r="E5739" t="str">
        <f>IFERROR(__xludf.DUMMYFUNCTION("""COMPUTED_VALUE"""),"Ryan")</f>
        <v>Ryan</v>
      </c>
      <c r="F5739">
        <f>IFERROR(__xludf.DUMMYFUNCTION("""COMPUTED_VALUE"""),19.5)</f>
        <v>19.5</v>
      </c>
    </row>
    <row r="5740">
      <c r="D5740" t="str">
        <f>IFERROR(__xludf.DUMMYFUNCTION("""COMPUTED_VALUE"""),"Jernigan")</f>
        <v>Jernigan</v>
      </c>
      <c r="E5740" t="str">
        <f>IFERROR(__xludf.DUMMYFUNCTION("""COMPUTED_VALUE"""),"Tim")</f>
        <v>Tim</v>
      </c>
      <c r="F5740">
        <f>IFERROR(__xludf.DUMMYFUNCTION("""COMPUTED_VALUE"""),20.25)</f>
        <v>20.25</v>
      </c>
    </row>
    <row r="5741">
      <c r="D5741" t="str">
        <f>IFERROR(__xludf.DUMMYFUNCTION("""COMPUTED_VALUE"""),"Jerry")</f>
        <v>Jerry</v>
      </c>
      <c r="E5741" t="str">
        <f>IFERROR(__xludf.DUMMYFUNCTION("""COMPUTED_VALUE"""),"John")</f>
        <v>John</v>
      </c>
      <c r="F5741">
        <f>IFERROR(__xludf.DUMMYFUNCTION("""COMPUTED_VALUE"""),19.25)</f>
        <v>19.25</v>
      </c>
    </row>
    <row r="5742">
      <c r="D5742" t="str">
        <f>IFERROR(__xludf.DUMMYFUNCTION("""COMPUTED_VALUE"""),"Jewell")</f>
        <v>Jewell</v>
      </c>
      <c r="E5742" t="str">
        <f>IFERROR(__xludf.DUMMYFUNCTION("""COMPUTED_VALUE"""),"Josey")</f>
        <v>Josey</v>
      </c>
      <c r="F5742">
        <f>IFERROR(__xludf.DUMMYFUNCTION("""COMPUTED_VALUE"""),17.5)</f>
        <v>17.5</v>
      </c>
    </row>
    <row r="5743">
      <c r="D5743" t="str">
        <f>IFERROR(__xludf.DUMMYFUNCTION("""COMPUTED_VALUE"""),"Joeckel")</f>
        <v>Joeckel</v>
      </c>
      <c r="E5743" t="str">
        <f>IFERROR(__xludf.DUMMYFUNCTION("""COMPUTED_VALUE"""),"Luke")</f>
        <v>Luke</v>
      </c>
      <c r="F5743">
        <f>IFERROR(__xludf.DUMMYFUNCTION("""COMPUTED_VALUE"""),15.0)</f>
        <v>15</v>
      </c>
    </row>
    <row r="5744">
      <c r="D5744" t="str">
        <f>IFERROR(__xludf.DUMMYFUNCTION("""COMPUTED_VALUE"""),"Johnson")</f>
        <v>Johnson</v>
      </c>
      <c r="E5744" t="str">
        <f>IFERROR(__xludf.DUMMYFUNCTION("""COMPUTED_VALUE"""),"Anthony")</f>
        <v>Anthony</v>
      </c>
      <c r="F5744">
        <f>IFERROR(__xludf.DUMMYFUNCTION("""COMPUTED_VALUE"""),16.0)</f>
        <v>16</v>
      </c>
    </row>
    <row r="5745">
      <c r="D5745" t="str">
        <f>IFERROR(__xludf.DUMMYFUNCTION("""COMPUTED_VALUE"""),"Johnson")</f>
        <v>Johnson</v>
      </c>
      <c r="E5745" t="str">
        <f>IFERROR(__xludf.DUMMYFUNCTION("""COMPUTED_VALUE"""),"Austin")</f>
        <v>Austin</v>
      </c>
      <c r="F5745">
        <f>IFERROR(__xludf.DUMMYFUNCTION("""COMPUTED_VALUE"""),17.0)</f>
        <v>17</v>
      </c>
    </row>
    <row r="5746">
      <c r="D5746" t="str">
        <f>IFERROR(__xludf.DUMMYFUNCTION("""COMPUTED_VALUE"""),"Johnson")</f>
        <v>Johnson</v>
      </c>
      <c r="E5746" t="str">
        <f>IFERROR(__xludf.DUMMYFUNCTION("""COMPUTED_VALUE"""),"Austin")</f>
        <v>Austin</v>
      </c>
      <c r="F5746">
        <f>IFERROR(__xludf.DUMMYFUNCTION("""COMPUTED_VALUE"""),18.0)</f>
        <v>18</v>
      </c>
    </row>
    <row r="5747">
      <c r="D5747" t="str">
        <f>IFERROR(__xludf.DUMMYFUNCTION("""COMPUTED_VALUE"""),"Johnson")</f>
        <v>Johnson</v>
      </c>
      <c r="E5747" t="str">
        <f>IFERROR(__xludf.DUMMYFUNCTION("""COMPUTED_VALUE"""),"Cam")</f>
        <v>Cam</v>
      </c>
      <c r="F5747">
        <f>IFERROR(__xludf.DUMMYFUNCTION("""COMPUTED_VALUE"""),19.5)</f>
        <v>19.5</v>
      </c>
    </row>
    <row r="5748">
      <c r="D5748" t="str">
        <f>IFERROR(__xludf.DUMMYFUNCTION("""COMPUTED_VALUE"""),"Johnson")</f>
        <v>Johnson</v>
      </c>
      <c r="E5748" t="str">
        <f>IFERROR(__xludf.DUMMYFUNCTION("""COMPUTED_VALUE"""),"Charles")</f>
        <v>Charles</v>
      </c>
      <c r="F5748">
        <f>IFERROR(__xludf.DUMMYFUNCTION("""COMPUTED_VALUE"""),18.0)</f>
        <v>18</v>
      </c>
    </row>
    <row r="5749">
      <c r="D5749" t="str">
        <f>IFERROR(__xludf.DUMMYFUNCTION("""COMPUTED_VALUE"""),"Johnson")</f>
        <v>Johnson</v>
      </c>
      <c r="E5749" t="str">
        <f>IFERROR(__xludf.DUMMYFUNCTION("""COMPUTED_VALUE"""),"David")</f>
        <v>David</v>
      </c>
      <c r="F5749">
        <f>IFERROR(__xludf.DUMMYFUNCTION("""COMPUTED_VALUE"""),21.75)</f>
        <v>21.75</v>
      </c>
    </row>
    <row r="5750">
      <c r="D5750" t="str">
        <f>IFERROR(__xludf.DUMMYFUNCTION("""COMPUTED_VALUE"""),"Johnson")</f>
        <v>Johnson</v>
      </c>
      <c r="E5750" t="str">
        <f>IFERROR(__xludf.DUMMYFUNCTION("""COMPUTED_VALUE"""),"Denzel")</f>
        <v>Denzel</v>
      </c>
      <c r="F5750">
        <f>IFERROR(__xludf.DUMMYFUNCTION("""COMPUTED_VALUE"""),17.0)</f>
        <v>17</v>
      </c>
    </row>
    <row r="5751">
      <c r="D5751" t="str">
        <f>IFERROR(__xludf.DUMMYFUNCTION("""COMPUTED_VALUE"""),"Johnson")</f>
        <v>Johnson</v>
      </c>
      <c r="E5751" t="str">
        <f>IFERROR(__xludf.DUMMYFUNCTION("""COMPUTED_VALUE"""),"Derrick")</f>
        <v>Derrick</v>
      </c>
      <c r="F5751">
        <f>IFERROR(__xludf.DUMMYFUNCTION("""COMPUTED_VALUE"""),20.5)</f>
        <v>20.5</v>
      </c>
    </row>
    <row r="5752">
      <c r="D5752" t="str">
        <f>IFERROR(__xludf.DUMMYFUNCTION("""COMPUTED_VALUE"""),"Johnson")</f>
        <v>Johnson</v>
      </c>
      <c r="E5752" t="str">
        <f>IFERROR(__xludf.DUMMYFUNCTION("""COMPUTED_VALUE"""),"Dontae")</f>
        <v>Dontae</v>
      </c>
      <c r="F5752">
        <f>IFERROR(__xludf.DUMMYFUNCTION("""COMPUTED_VALUE"""),17.75)</f>
        <v>17.75</v>
      </c>
    </row>
    <row r="5753">
      <c r="D5753" t="str">
        <f>IFERROR(__xludf.DUMMYFUNCTION("""COMPUTED_VALUE"""),"Johnson")</f>
        <v>Johnson</v>
      </c>
      <c r="E5753" t="str">
        <f>IFERROR(__xludf.DUMMYFUNCTION("""COMPUTED_VALUE"""),"Dorian")</f>
        <v>Dorian</v>
      </c>
      <c r="F5753">
        <f>IFERROR(__xludf.DUMMYFUNCTION("""COMPUTED_VALUE"""),18.75)</f>
        <v>18.75</v>
      </c>
    </row>
    <row r="5754">
      <c r="D5754" t="str">
        <f>IFERROR(__xludf.DUMMYFUNCTION("""COMPUTED_VALUE"""),"Johnson")</f>
        <v>Johnson</v>
      </c>
      <c r="E5754" t="str">
        <f>IFERROR(__xludf.DUMMYFUNCTION("""COMPUTED_VALUE"""),"Isaiah")</f>
        <v>Isaiah</v>
      </c>
      <c r="F5754">
        <f>IFERROR(__xludf.DUMMYFUNCTION("""COMPUTED_VALUE"""),16.75)</f>
        <v>16.75</v>
      </c>
    </row>
    <row r="5755">
      <c r="D5755" t="str">
        <f>IFERROR(__xludf.DUMMYFUNCTION("""COMPUTED_VALUE"""),"Johnson")</f>
        <v>Johnson</v>
      </c>
      <c r="E5755" t="str">
        <f>IFERROR(__xludf.DUMMYFUNCTION("""COMPUTED_VALUE"""),"Isaiah")</f>
        <v>Isaiah</v>
      </c>
      <c r="F5755">
        <f>IFERROR(__xludf.DUMMYFUNCTION("""COMPUTED_VALUE"""),16.0)</f>
        <v>16</v>
      </c>
    </row>
    <row r="5756">
      <c r="D5756" t="str">
        <f>IFERROR(__xludf.DUMMYFUNCTION("""COMPUTED_VALUE"""),"Johnson")</f>
        <v>Johnson</v>
      </c>
      <c r="E5756" t="str">
        <f>IFERROR(__xludf.DUMMYFUNCTION("""COMPUTED_VALUE"""),"Jaleel")</f>
        <v>Jaleel</v>
      </c>
      <c r="F5756">
        <f>IFERROR(__xludf.DUMMYFUNCTION("""COMPUTED_VALUE"""),17.75)</f>
        <v>17.75</v>
      </c>
    </row>
    <row r="5757">
      <c r="D5757" t="str">
        <f>IFERROR(__xludf.DUMMYFUNCTION("""COMPUTED_VALUE"""),"Johnson")</f>
        <v>Johnson</v>
      </c>
      <c r="E5757" t="str">
        <f>IFERROR(__xludf.DUMMYFUNCTION("""COMPUTED_VALUE"""),"Kerryon")</f>
        <v>Kerryon</v>
      </c>
      <c r="F5757">
        <f>IFERROR(__xludf.DUMMYFUNCTION("""COMPUTED_VALUE"""),18.75)</f>
        <v>18.75</v>
      </c>
    </row>
    <row r="5758">
      <c r="D5758" t="str">
        <f>IFERROR(__xludf.DUMMYFUNCTION("""COMPUTED_VALUE"""),"Johnson")</f>
        <v>Johnson</v>
      </c>
      <c r="E5758" t="str">
        <f>IFERROR(__xludf.DUMMYFUNCTION("""COMPUTED_VALUE"""),"Kevin")</f>
        <v>Kevin</v>
      </c>
      <c r="F5758">
        <f>IFERROR(__xludf.DUMMYFUNCTION("""COMPUTED_VALUE"""),18.25)</f>
        <v>18.25</v>
      </c>
    </row>
    <row r="5759">
      <c r="D5759" t="str">
        <f>IFERROR(__xludf.DUMMYFUNCTION("""COMPUTED_VALUE"""),"Johnson")</f>
        <v>Johnson</v>
      </c>
      <c r="E5759" t="str">
        <f>IFERROR(__xludf.DUMMYFUNCTION("""COMPUTED_VALUE"""),"Lane")</f>
        <v>Lane</v>
      </c>
      <c r="F5759">
        <f>IFERROR(__xludf.DUMMYFUNCTION("""COMPUTED_VALUE"""),21.75)</f>
        <v>21.75</v>
      </c>
    </row>
    <row r="5760">
      <c r="D5760" t="str">
        <f>IFERROR(__xludf.DUMMYFUNCTION("""COMPUTED_VALUE"""),"Johnson")</f>
        <v>Johnson</v>
      </c>
      <c r="E5760" t="str">
        <f>IFERROR(__xludf.DUMMYFUNCTION("""COMPUTED_VALUE"""),"Marcus")</f>
        <v>Marcus</v>
      </c>
      <c r="F5760">
        <f>IFERROR(__xludf.DUMMYFUNCTION("""COMPUTED_VALUE"""),17.25)</f>
        <v>17.25</v>
      </c>
    </row>
    <row r="5761">
      <c r="D5761" t="str">
        <f>IFERROR(__xludf.DUMMYFUNCTION("""COMPUTED_VALUE"""),"Johnson")</f>
        <v>Johnson</v>
      </c>
      <c r="E5761" t="str">
        <f>IFERROR(__xludf.DUMMYFUNCTION("""COMPUTED_VALUE"""),"Michael")</f>
        <v>Michael</v>
      </c>
      <c r="F5761">
        <f>IFERROR(__xludf.DUMMYFUNCTION("""COMPUTED_VALUE"""),18.5)</f>
        <v>18.5</v>
      </c>
    </row>
    <row r="5762">
      <c r="D5762" t="str">
        <f>IFERROR(__xludf.DUMMYFUNCTION("""COMPUTED_VALUE"""),"Johnson")</f>
        <v>Johnson</v>
      </c>
      <c r="E5762" t="str">
        <f>IFERROR(__xludf.DUMMYFUNCTION("""COMPUTED_VALUE"""),"Rod")</f>
        <v>Rod</v>
      </c>
      <c r="F5762">
        <f>IFERROR(__xludf.DUMMYFUNCTION("""COMPUTED_VALUE"""),18.25)</f>
        <v>18.25</v>
      </c>
    </row>
    <row r="5763">
      <c r="D5763" t="str">
        <f>IFERROR(__xludf.DUMMYFUNCTION("""COMPUTED_VALUE"""),"Johnson")</f>
        <v>Johnson</v>
      </c>
      <c r="E5763" t="str">
        <f>IFERROR(__xludf.DUMMYFUNCTION("""COMPUTED_VALUE"""),"Taron")</f>
        <v>Taron</v>
      </c>
      <c r="F5763">
        <f>IFERROR(__xludf.DUMMYFUNCTION("""COMPUTED_VALUE"""),17.5)</f>
        <v>17.5</v>
      </c>
    </row>
    <row r="5764">
      <c r="D5764" t="str">
        <f>IFERROR(__xludf.DUMMYFUNCTION("""COMPUTED_VALUE"""),"Johnson")</f>
        <v>Johnson</v>
      </c>
      <c r="E5764" t="str">
        <f>IFERROR(__xludf.DUMMYFUNCTION("""COMPUTED_VALUE"""),"TJ")</f>
        <v>TJ</v>
      </c>
      <c r="F5764">
        <f>IFERROR(__xludf.DUMMYFUNCTION("""COMPUTED_VALUE"""),17.0)</f>
        <v>17</v>
      </c>
    </row>
    <row r="5765">
      <c r="D5765" t="str">
        <f>IFERROR(__xludf.DUMMYFUNCTION("""COMPUTED_VALUE"""),"Johnson")</f>
        <v>Johnson</v>
      </c>
      <c r="E5765" t="str">
        <f>IFERROR(__xludf.DUMMYFUNCTION("""COMPUTED_VALUE"""),"Toby")</f>
        <v>Toby</v>
      </c>
      <c r="F5765">
        <f>IFERROR(__xludf.DUMMYFUNCTION("""COMPUTED_VALUE"""),16.5)</f>
        <v>16.5</v>
      </c>
    </row>
    <row r="5766">
      <c r="D5766" t="str">
        <f>IFERROR(__xludf.DUMMYFUNCTION("""COMPUTED_VALUE"""),"Johnson")</f>
        <v>Johnson</v>
      </c>
      <c r="E5766" t="str">
        <f>IFERROR(__xludf.DUMMYFUNCTION("""COMPUTED_VALUE"""),"Tom")</f>
        <v>Tom</v>
      </c>
      <c r="F5766">
        <f>IFERROR(__xludf.DUMMYFUNCTION("""COMPUTED_VALUE"""),18.5)</f>
        <v>18.5</v>
      </c>
    </row>
    <row r="5767">
      <c r="D5767" t="str">
        <f>IFERROR(__xludf.DUMMYFUNCTION("""COMPUTED_VALUE"""),"Johnson")</f>
        <v>Johnson</v>
      </c>
      <c r="E5767" t="str">
        <f>IFERROR(__xludf.DUMMYFUNCTION("""COMPUTED_VALUE"""),"Trevon")</f>
        <v>Trevon</v>
      </c>
      <c r="F5767">
        <f>IFERROR(__xludf.DUMMYFUNCTION("""COMPUTED_VALUE"""),15.5)</f>
        <v>15.5</v>
      </c>
    </row>
    <row r="5768">
      <c r="D5768" t="str">
        <f>IFERROR(__xludf.DUMMYFUNCTION("""COMPUTED_VALUE"""),"Johnson")</f>
        <v>Johnson</v>
      </c>
      <c r="E5768" t="str">
        <f>IFERROR(__xludf.DUMMYFUNCTION("""COMPUTED_VALUE"""),"Trumaine")</f>
        <v>Trumaine</v>
      </c>
      <c r="F5768">
        <f>IFERROR(__xludf.DUMMYFUNCTION("""COMPUTED_VALUE"""),20.5)</f>
        <v>20.5</v>
      </c>
    </row>
    <row r="5769">
      <c r="D5769" t="str">
        <f>IFERROR(__xludf.DUMMYFUNCTION("""COMPUTED_VALUE"""),"Johnson")</f>
        <v>Johnson</v>
      </c>
      <c r="E5769" t="str">
        <f>IFERROR(__xludf.DUMMYFUNCTION("""COMPUTED_VALUE"""),"Wesley")</f>
        <v>Wesley</v>
      </c>
      <c r="F5769">
        <f>IFERROR(__xludf.DUMMYFUNCTION("""COMPUTED_VALUE"""),17.25)</f>
        <v>17.25</v>
      </c>
    </row>
    <row r="5770">
      <c r="D5770" t="str">
        <f>IFERROR(__xludf.DUMMYFUNCTION("""COMPUTED_VALUE"""),"Johnson III")</f>
        <v>Johnson III</v>
      </c>
      <c r="E5770" t="str">
        <f>IFERROR(__xludf.DUMMYFUNCTION("""COMPUTED_VALUE"""),"John")</f>
        <v>John</v>
      </c>
      <c r="F5770">
        <f>IFERROR(__xludf.DUMMYFUNCTION("""COMPUTED_VALUE"""),20.5)</f>
        <v>20.5</v>
      </c>
    </row>
    <row r="5771">
      <c r="D5771" t="str">
        <f>IFERROR(__xludf.DUMMYFUNCTION("""COMPUTED_VALUE"""),"Johnson Jr")</f>
        <v>Johnson Jr</v>
      </c>
      <c r="E5771" t="str">
        <f>IFERROR(__xludf.DUMMYFUNCTION("""COMPUTED_VALUE"""),"Duke")</f>
        <v>Duke</v>
      </c>
      <c r="F5771">
        <f>IFERROR(__xludf.DUMMYFUNCTION("""COMPUTED_VALUE"""),19.5)</f>
        <v>19.5</v>
      </c>
    </row>
    <row r="5772">
      <c r="D5772" t="str">
        <f>IFERROR(__xludf.DUMMYFUNCTION("""COMPUTED_VALUE"""),"Johnson Jr")</f>
        <v>Johnson Jr</v>
      </c>
      <c r="E5772" t="str">
        <f>IFERROR(__xludf.DUMMYFUNCTION("""COMPUTED_VALUE"""),"George")</f>
        <v>George</v>
      </c>
      <c r="F5772">
        <f>IFERROR(__xludf.DUMMYFUNCTION("""COMPUTED_VALUE"""),17.25)</f>
        <v>17.25</v>
      </c>
    </row>
    <row r="5773">
      <c r="D5773" t="str">
        <f>IFERROR(__xludf.DUMMYFUNCTION("""COMPUTED_VALUE"""),"Jones")</f>
        <v>Jones</v>
      </c>
      <c r="E5773" t="str">
        <f>IFERROR(__xludf.DUMMYFUNCTION("""COMPUTED_VALUE"""),"Aaron")</f>
        <v>Aaron</v>
      </c>
      <c r="F5773">
        <f>IFERROR(__xludf.DUMMYFUNCTION("""COMPUTED_VALUE"""),19.5)</f>
        <v>19.5</v>
      </c>
    </row>
    <row r="5774">
      <c r="D5774" t="str">
        <f>IFERROR(__xludf.DUMMYFUNCTION("""COMPUTED_VALUE"""),"Jones")</f>
        <v>Jones</v>
      </c>
      <c r="E5774" t="str">
        <f>IFERROR(__xludf.DUMMYFUNCTION("""COMPUTED_VALUE"""),"Abry")</f>
        <v>Abry</v>
      </c>
      <c r="F5774">
        <f>IFERROR(__xludf.DUMMYFUNCTION("""COMPUTED_VALUE"""),19.0)</f>
        <v>19</v>
      </c>
    </row>
    <row r="5775">
      <c r="D5775" t="str">
        <f>IFERROR(__xludf.DUMMYFUNCTION("""COMPUTED_VALUE"""),"Jones")</f>
        <v>Jones</v>
      </c>
      <c r="E5775" t="str">
        <f>IFERROR(__xludf.DUMMYFUNCTION("""COMPUTED_VALUE"""),"Adam")</f>
        <v>Adam</v>
      </c>
      <c r="F5775">
        <f>IFERROR(__xludf.DUMMYFUNCTION("""COMPUTED_VALUE"""),15.25)</f>
        <v>15.25</v>
      </c>
    </row>
    <row r="5776">
      <c r="D5776" t="str">
        <f>IFERROR(__xludf.DUMMYFUNCTION("""COMPUTED_VALUE"""),"Jones")</f>
        <v>Jones</v>
      </c>
      <c r="E5776" t="str">
        <f>IFERROR(__xludf.DUMMYFUNCTION("""COMPUTED_VALUE"""),"Andy")</f>
        <v>Andy</v>
      </c>
      <c r="F5776">
        <f>IFERROR(__xludf.DUMMYFUNCTION("""COMPUTED_VALUE"""),16.75)</f>
        <v>16.75</v>
      </c>
    </row>
    <row r="5777">
      <c r="D5777" t="str">
        <f>IFERROR(__xludf.DUMMYFUNCTION("""COMPUTED_VALUE"""),"Jones")</f>
        <v>Jones</v>
      </c>
      <c r="E5777" t="str">
        <f>IFERROR(__xludf.DUMMYFUNCTION("""COMPUTED_VALUE"""),"Ben")</f>
        <v>Ben</v>
      </c>
      <c r="F5777">
        <f>IFERROR(__xludf.DUMMYFUNCTION("""COMPUTED_VALUE"""),19.25)</f>
        <v>19.25</v>
      </c>
    </row>
    <row r="5778">
      <c r="D5778" t="str">
        <f>IFERROR(__xludf.DUMMYFUNCTION("""COMPUTED_VALUE"""),"Jones")</f>
        <v>Jones</v>
      </c>
      <c r="E5778" t="str">
        <f>IFERROR(__xludf.DUMMYFUNCTION("""COMPUTED_VALUE"""),"Brett")</f>
        <v>Brett</v>
      </c>
      <c r="F5778">
        <f>IFERROR(__xludf.DUMMYFUNCTION("""COMPUTED_VALUE"""),18.25)</f>
        <v>18.25</v>
      </c>
    </row>
    <row r="5779">
      <c r="D5779" t="str">
        <f>IFERROR(__xludf.DUMMYFUNCTION("""COMPUTED_VALUE"""),"Jones")</f>
        <v>Jones</v>
      </c>
      <c r="E5779" t="str">
        <f>IFERROR(__xludf.DUMMYFUNCTION("""COMPUTED_VALUE"""),"Byron")</f>
        <v>Byron</v>
      </c>
      <c r="F5779">
        <f>IFERROR(__xludf.DUMMYFUNCTION("""COMPUTED_VALUE"""),19.5)</f>
        <v>19.5</v>
      </c>
    </row>
    <row r="5780">
      <c r="D5780" t="str">
        <f>IFERROR(__xludf.DUMMYFUNCTION("""COMPUTED_VALUE"""),"Jones")</f>
        <v>Jones</v>
      </c>
      <c r="E5780" t="str">
        <f>IFERROR(__xludf.DUMMYFUNCTION("""COMPUTED_VALUE"""),"Cardale")</f>
        <v>Cardale</v>
      </c>
      <c r="F5780">
        <f>IFERROR(__xludf.DUMMYFUNCTION("""COMPUTED_VALUE"""),16.75)</f>
        <v>16.75</v>
      </c>
    </row>
    <row r="5781">
      <c r="D5781" t="str">
        <f>IFERROR(__xludf.DUMMYFUNCTION("""COMPUTED_VALUE"""),"Jones")</f>
        <v>Jones</v>
      </c>
      <c r="E5781" t="str">
        <f>IFERROR(__xludf.DUMMYFUNCTION("""COMPUTED_VALUE"""),"Chandler")</f>
        <v>Chandler</v>
      </c>
      <c r="F5781">
        <f>IFERROR(__xludf.DUMMYFUNCTION("""COMPUTED_VALUE"""),20.5)</f>
        <v>20.5</v>
      </c>
    </row>
    <row r="5782">
      <c r="D5782" t="str">
        <f>IFERROR(__xludf.DUMMYFUNCTION("""COMPUTED_VALUE"""),"Jones")</f>
        <v>Jones</v>
      </c>
      <c r="E5782" t="str">
        <f>IFERROR(__xludf.DUMMYFUNCTION("""COMPUTED_VALUE"""),"Chris")</f>
        <v>Chris</v>
      </c>
      <c r="F5782">
        <f>IFERROR(__xludf.DUMMYFUNCTION("""COMPUTED_VALUE"""),21.0)</f>
        <v>21</v>
      </c>
    </row>
    <row r="5783">
      <c r="D5783" t="str">
        <f>IFERROR(__xludf.DUMMYFUNCTION("""COMPUTED_VALUE"""),"Jones")</f>
        <v>Jones</v>
      </c>
      <c r="E5783" t="str">
        <f>IFERROR(__xludf.DUMMYFUNCTION("""COMPUTED_VALUE"""),"Chris")</f>
        <v>Chris</v>
      </c>
      <c r="F5783">
        <f>IFERROR(__xludf.DUMMYFUNCTION("""COMPUTED_VALUE"""),20.5)</f>
        <v>20.5</v>
      </c>
    </row>
    <row r="5784">
      <c r="D5784" t="str">
        <f>IFERROR(__xludf.DUMMYFUNCTION("""COMPUTED_VALUE"""),"Jones")</f>
        <v>Jones</v>
      </c>
      <c r="E5784" t="str">
        <f>IFERROR(__xludf.DUMMYFUNCTION("""COMPUTED_VALUE"""),"Chris")</f>
        <v>Chris</v>
      </c>
      <c r="F5784">
        <f>IFERROR(__xludf.DUMMYFUNCTION("""COMPUTED_VALUE"""),21.75)</f>
        <v>21.75</v>
      </c>
    </row>
    <row r="5785">
      <c r="D5785" t="str">
        <f>IFERROR(__xludf.DUMMYFUNCTION("""COMPUTED_VALUE"""),"Jones")</f>
        <v>Jones</v>
      </c>
      <c r="E5785" t="str">
        <f>IFERROR(__xludf.DUMMYFUNCTION("""COMPUTED_VALUE"""),"Christian")</f>
        <v>Christian</v>
      </c>
      <c r="F5785">
        <f>IFERROR(__xludf.DUMMYFUNCTION("""COMPUTED_VALUE"""),18.5)</f>
        <v>18.5</v>
      </c>
    </row>
    <row r="5786">
      <c r="D5786" t="str">
        <f>IFERROR(__xludf.DUMMYFUNCTION("""COMPUTED_VALUE"""),"Jones")</f>
        <v>Jones</v>
      </c>
      <c r="E5786" t="str">
        <f>IFERROR(__xludf.DUMMYFUNCTION("""COMPUTED_VALUE"""),"Colin")</f>
        <v>Colin</v>
      </c>
      <c r="F5786">
        <f>IFERROR(__xludf.DUMMYFUNCTION("""COMPUTED_VALUE"""),17.75)</f>
        <v>17.75</v>
      </c>
    </row>
    <row r="5787">
      <c r="D5787" t="str">
        <f>IFERROR(__xludf.DUMMYFUNCTION("""COMPUTED_VALUE"""),"Jones")</f>
        <v>Jones</v>
      </c>
      <c r="E5787" t="str">
        <f>IFERROR(__xludf.DUMMYFUNCTION("""COMPUTED_VALUE"""),"Cyrus")</f>
        <v>Cyrus</v>
      </c>
      <c r="F5787">
        <f>IFERROR(__xludf.DUMMYFUNCTION("""COMPUTED_VALUE"""),17.75)</f>
        <v>17.75</v>
      </c>
    </row>
    <row r="5788">
      <c r="D5788" t="str">
        <f>IFERROR(__xludf.DUMMYFUNCTION("""COMPUTED_VALUE"""),"Jones")</f>
        <v>Jones</v>
      </c>
      <c r="E5788" t="str">
        <f>IFERROR(__xludf.DUMMYFUNCTION("""COMPUTED_VALUE"""),"DaQuan")</f>
        <v>DaQuan</v>
      </c>
      <c r="F5788">
        <f>IFERROR(__xludf.DUMMYFUNCTION("""COMPUTED_VALUE"""),19.0)</f>
        <v>19</v>
      </c>
    </row>
    <row r="5789">
      <c r="D5789" t="str">
        <f>IFERROR(__xludf.DUMMYFUNCTION("""COMPUTED_VALUE"""),"Jones")</f>
        <v>Jones</v>
      </c>
      <c r="E5789" t="str">
        <f>IFERROR(__xludf.DUMMYFUNCTION("""COMPUTED_VALUE"""),"Datone")</f>
        <v>Datone</v>
      </c>
      <c r="F5789">
        <f>IFERROR(__xludf.DUMMYFUNCTION("""COMPUTED_VALUE"""),17.5)</f>
        <v>17.5</v>
      </c>
    </row>
    <row r="5790">
      <c r="D5790" t="str">
        <f>IFERROR(__xludf.DUMMYFUNCTION("""COMPUTED_VALUE"""),"Jones")</f>
        <v>Jones</v>
      </c>
      <c r="E5790" t="str">
        <f>IFERROR(__xludf.DUMMYFUNCTION("""COMPUTED_VALUE"""),"Deion")</f>
        <v>Deion</v>
      </c>
      <c r="F5790">
        <f>IFERROR(__xludf.DUMMYFUNCTION("""COMPUTED_VALUE"""),21.25)</f>
        <v>21.25</v>
      </c>
    </row>
    <row r="5791">
      <c r="D5791" t="str">
        <f>IFERROR(__xludf.DUMMYFUNCTION("""COMPUTED_VALUE"""),"Jones")</f>
        <v>Jones</v>
      </c>
      <c r="E5791" t="str">
        <f>IFERROR(__xludf.DUMMYFUNCTION("""COMPUTED_VALUE"""),"Derrick")</f>
        <v>Derrick</v>
      </c>
      <c r="F5791">
        <f>IFERROR(__xludf.DUMMYFUNCTION("""COMPUTED_VALUE"""),16.0)</f>
        <v>16</v>
      </c>
    </row>
    <row r="5792">
      <c r="D5792" t="str">
        <f>IFERROR(__xludf.DUMMYFUNCTION("""COMPUTED_VALUE"""),"Jones")</f>
        <v>Jones</v>
      </c>
      <c r="E5792" t="str">
        <f>IFERROR(__xludf.DUMMYFUNCTION("""COMPUTED_VALUE"""),"DJ")</f>
        <v>DJ</v>
      </c>
      <c r="F5792">
        <f>IFERROR(__xludf.DUMMYFUNCTION("""COMPUTED_VALUE"""),17.25)</f>
        <v>17.25</v>
      </c>
    </row>
    <row r="5793">
      <c r="D5793" t="str">
        <f>IFERROR(__xludf.DUMMYFUNCTION("""COMPUTED_VALUE"""),"Jones")</f>
        <v>Jones</v>
      </c>
      <c r="E5793" t="str">
        <f>IFERROR(__xludf.DUMMYFUNCTION("""COMPUTED_VALUE"""),"Don")</f>
        <v>Don</v>
      </c>
      <c r="F5793">
        <f>IFERROR(__xludf.DUMMYFUNCTION("""COMPUTED_VALUE"""),17.5)</f>
        <v>17.5</v>
      </c>
    </row>
    <row r="5794">
      <c r="D5794" t="str">
        <f>IFERROR(__xludf.DUMMYFUNCTION("""COMPUTED_VALUE"""),"Jones")</f>
        <v>Jones</v>
      </c>
      <c r="E5794" t="str">
        <f>IFERROR(__xludf.DUMMYFUNCTION("""COMPUTED_VALUE"""),"Howard")</f>
        <v>Howard</v>
      </c>
      <c r="F5794">
        <f>IFERROR(__xludf.DUMMYFUNCTION("""COMPUTED_VALUE"""),16.5)</f>
        <v>16.5</v>
      </c>
    </row>
    <row r="5795">
      <c r="D5795" t="str">
        <f>IFERROR(__xludf.DUMMYFUNCTION("""COMPUTED_VALUE"""),"Jones")</f>
        <v>Jones</v>
      </c>
      <c r="E5795" t="str">
        <f>IFERROR(__xludf.DUMMYFUNCTION("""COMPUTED_VALUE"""),"Jamaal")</f>
        <v>Jamaal</v>
      </c>
      <c r="F5795">
        <f>IFERROR(__xludf.DUMMYFUNCTION("""COMPUTED_VALUE"""),15.5)</f>
        <v>15.5</v>
      </c>
    </row>
    <row r="5796">
      <c r="D5796" t="str">
        <f>IFERROR(__xludf.DUMMYFUNCTION("""COMPUTED_VALUE"""),"Jones")</f>
        <v>Jones</v>
      </c>
      <c r="E5796" t="str">
        <f>IFERROR(__xludf.DUMMYFUNCTION("""COMPUTED_VALUE"""),"Jamarco")</f>
        <v>Jamarco</v>
      </c>
      <c r="F5796">
        <f>IFERROR(__xludf.DUMMYFUNCTION("""COMPUTED_VALUE"""),17.0)</f>
        <v>17</v>
      </c>
    </row>
    <row r="5797">
      <c r="D5797" t="str">
        <f>IFERROR(__xludf.DUMMYFUNCTION("""COMPUTED_VALUE"""),"Jones")</f>
        <v>Jones</v>
      </c>
      <c r="E5797" t="str">
        <f>IFERROR(__xludf.DUMMYFUNCTION("""COMPUTED_VALUE"""),"Jarron")</f>
        <v>Jarron</v>
      </c>
      <c r="F5797">
        <f>IFERROR(__xludf.DUMMYFUNCTION("""COMPUTED_VALUE"""),15.75)</f>
        <v>15.75</v>
      </c>
    </row>
    <row r="5798">
      <c r="D5798" t="str">
        <f>IFERROR(__xludf.DUMMYFUNCTION("""COMPUTED_VALUE"""),"Jones")</f>
        <v>Jones</v>
      </c>
      <c r="E5798" t="str">
        <f>IFERROR(__xludf.DUMMYFUNCTION("""COMPUTED_VALUE"""),"Jonathan")</f>
        <v>Jonathan</v>
      </c>
      <c r="F5798">
        <f>IFERROR(__xludf.DUMMYFUNCTION("""COMPUTED_VALUE"""),18.75)</f>
        <v>18.75</v>
      </c>
    </row>
    <row r="5799">
      <c r="D5799" t="str">
        <f>IFERROR(__xludf.DUMMYFUNCTION("""COMPUTED_VALUE"""),"Jones")</f>
        <v>Jones</v>
      </c>
      <c r="E5799" t="str">
        <f>IFERROR(__xludf.DUMMYFUNCTION("""COMPUTED_VALUE"""),"Josh")</f>
        <v>Josh</v>
      </c>
      <c r="F5799">
        <f>IFERROR(__xludf.DUMMYFUNCTION("""COMPUTED_VALUE"""),18.25)</f>
        <v>18.25</v>
      </c>
    </row>
    <row r="5800">
      <c r="D5800" t="str">
        <f>IFERROR(__xludf.DUMMYFUNCTION("""COMPUTED_VALUE"""),"Jones")</f>
        <v>Jones</v>
      </c>
      <c r="E5800" t="str">
        <f>IFERROR(__xludf.DUMMYFUNCTION("""COMPUTED_VALUE"""),"Julio")</f>
        <v>Julio</v>
      </c>
      <c r="F5800">
        <f>IFERROR(__xludf.DUMMYFUNCTION("""COMPUTED_VALUE"""),22.75)</f>
        <v>22.75</v>
      </c>
    </row>
    <row r="5801">
      <c r="D5801" t="str">
        <f>IFERROR(__xludf.DUMMYFUNCTION("""COMPUTED_VALUE"""),"Jones")</f>
        <v>Jones</v>
      </c>
      <c r="E5801" t="str">
        <f>IFERROR(__xludf.DUMMYFUNCTION("""COMPUTED_VALUE"""),"Julio")</f>
        <v>Julio</v>
      </c>
      <c r="F5801">
        <f>IFERROR(__xludf.DUMMYFUNCTION("""COMPUTED_VALUE"""),22.0)</f>
        <v>22</v>
      </c>
    </row>
    <row r="5802">
      <c r="D5802" t="str">
        <f>IFERROR(__xludf.DUMMYFUNCTION("""COMPUTED_VALUE"""),"Jones")</f>
        <v>Jones</v>
      </c>
      <c r="E5802" t="str">
        <f>IFERROR(__xludf.DUMMYFUNCTION("""COMPUTED_VALUE"""),"Justin")</f>
        <v>Justin</v>
      </c>
      <c r="F5802">
        <f>IFERROR(__xludf.DUMMYFUNCTION("""COMPUTED_VALUE"""),17.5)</f>
        <v>17.5</v>
      </c>
    </row>
    <row r="5803">
      <c r="D5803" t="str">
        <f>IFERROR(__xludf.DUMMYFUNCTION("""COMPUTED_VALUE"""),"Jones")</f>
        <v>Jones</v>
      </c>
      <c r="E5803" t="str">
        <f>IFERROR(__xludf.DUMMYFUNCTION("""COMPUTED_VALUE"""),"Landry")</f>
        <v>Landry</v>
      </c>
      <c r="F5803">
        <f>IFERROR(__xludf.DUMMYFUNCTION("""COMPUTED_VALUE"""),17.25)</f>
        <v>17.25</v>
      </c>
    </row>
    <row r="5804">
      <c r="D5804" t="str">
        <f>IFERROR(__xludf.DUMMYFUNCTION("""COMPUTED_VALUE"""),"Jones")</f>
        <v>Jones</v>
      </c>
      <c r="E5804" t="str">
        <f>IFERROR(__xludf.DUMMYFUNCTION("""COMPUTED_VALUE"""),"Nazair")</f>
        <v>Nazair</v>
      </c>
      <c r="F5804">
        <f>IFERROR(__xludf.DUMMYFUNCTION("""COMPUTED_VALUE"""),18.75)</f>
        <v>18.75</v>
      </c>
    </row>
    <row r="5805">
      <c r="D5805" t="str">
        <f>IFERROR(__xludf.DUMMYFUNCTION("""COMPUTED_VALUE"""),"Jones")</f>
        <v>Jones</v>
      </c>
      <c r="E5805" t="str">
        <f>IFERROR(__xludf.DUMMYFUNCTION("""COMPUTED_VALUE"""),"Reshad")</f>
        <v>Reshad</v>
      </c>
      <c r="F5805">
        <f>IFERROR(__xludf.DUMMYFUNCTION("""COMPUTED_VALUE"""),21.25)</f>
        <v>21.25</v>
      </c>
    </row>
    <row r="5806">
      <c r="D5806" t="str">
        <f>IFERROR(__xludf.DUMMYFUNCTION("""COMPUTED_VALUE"""),"Jones")</f>
        <v>Jones</v>
      </c>
      <c r="E5806" t="str">
        <f>IFERROR(__xludf.DUMMYFUNCTION("""COMPUTED_VALUE"""),"Reshad")</f>
        <v>Reshad</v>
      </c>
      <c r="F5806">
        <f>IFERROR(__xludf.DUMMYFUNCTION("""COMPUTED_VALUE"""),22.0)</f>
        <v>22</v>
      </c>
    </row>
    <row r="5807">
      <c r="D5807" t="str">
        <f>IFERROR(__xludf.DUMMYFUNCTION("""COMPUTED_VALUE"""),"Jones")</f>
        <v>Jones</v>
      </c>
      <c r="E5807" t="str">
        <f>IFERROR(__xludf.DUMMYFUNCTION("""COMPUTED_VALUE"""),"Sam")</f>
        <v>Sam</v>
      </c>
      <c r="F5807">
        <f>IFERROR(__xludf.DUMMYFUNCTION("""COMPUTED_VALUE"""),17.0)</f>
        <v>17</v>
      </c>
    </row>
    <row r="5808">
      <c r="D5808" t="str">
        <f>IFERROR(__xludf.DUMMYFUNCTION("""COMPUTED_VALUE"""),"Jones")</f>
        <v>Jones</v>
      </c>
      <c r="E5808" t="str">
        <f>IFERROR(__xludf.DUMMYFUNCTION("""COMPUTED_VALUE"""),"Taiwan")</f>
        <v>Taiwan</v>
      </c>
      <c r="F5808">
        <f>IFERROR(__xludf.DUMMYFUNCTION("""COMPUTED_VALUE"""),17.25)</f>
        <v>17.25</v>
      </c>
    </row>
    <row r="5809">
      <c r="D5809" t="str">
        <f>IFERROR(__xludf.DUMMYFUNCTION("""COMPUTED_VALUE"""),"Jones")</f>
        <v>Jones</v>
      </c>
      <c r="E5809" t="str">
        <f>IFERROR(__xludf.DUMMYFUNCTION("""COMPUTED_VALUE"""),"TJ")</f>
        <v>TJ</v>
      </c>
      <c r="F5809">
        <f>IFERROR(__xludf.DUMMYFUNCTION("""COMPUTED_VALUE"""),18.5)</f>
        <v>18.5</v>
      </c>
    </row>
    <row r="5810">
      <c r="D5810" t="str">
        <f>IFERROR(__xludf.DUMMYFUNCTION("""COMPUTED_VALUE"""),"Jones")</f>
        <v>Jones</v>
      </c>
      <c r="E5810" t="str">
        <f>IFERROR(__xludf.DUMMYFUNCTION("""COMPUTED_VALUE"""),"Zay")</f>
        <v>Zay</v>
      </c>
      <c r="F5810">
        <f>IFERROR(__xludf.DUMMYFUNCTION("""COMPUTED_VALUE"""),18.75)</f>
        <v>18.75</v>
      </c>
    </row>
    <row r="5811">
      <c r="D5811" t="str">
        <f>IFERROR(__xludf.DUMMYFUNCTION("""COMPUTED_VALUE"""),"Jones II")</f>
        <v>Jones II</v>
      </c>
      <c r="E5811" t="str">
        <f>IFERROR(__xludf.DUMMYFUNCTION("""COMPUTED_VALUE"""),"Ronald")</f>
        <v>Ronald</v>
      </c>
      <c r="F5811">
        <f>IFERROR(__xludf.DUMMYFUNCTION("""COMPUTED_VALUE"""),19.0)</f>
        <v>19</v>
      </c>
    </row>
    <row r="5812">
      <c r="D5812" t="str">
        <f>IFERROR(__xludf.DUMMYFUNCTION("""COMPUTED_VALUE"""),"Jones IV")</f>
        <v>Jones IV</v>
      </c>
      <c r="E5812" t="str">
        <f>IFERROR(__xludf.DUMMYFUNCTION("""COMPUTED_VALUE"""),"Sidney")</f>
        <v>Sidney</v>
      </c>
      <c r="F5812">
        <f>IFERROR(__xludf.DUMMYFUNCTION("""COMPUTED_VALUE"""),19.25)</f>
        <v>19.25</v>
      </c>
    </row>
    <row r="5813">
      <c r="D5813" t="str">
        <f>IFERROR(__xludf.DUMMYFUNCTION("""COMPUTED_VALUE"""),"Jones Jr")</f>
        <v>Jones Jr</v>
      </c>
      <c r="E5813" t="str">
        <f>IFERROR(__xludf.DUMMYFUNCTION("""COMPUTED_VALUE"""),"Marvin")</f>
        <v>Marvin</v>
      </c>
      <c r="F5813">
        <f>IFERROR(__xludf.DUMMYFUNCTION("""COMPUTED_VALUE"""),20.5)</f>
        <v>20.5</v>
      </c>
    </row>
    <row r="5814">
      <c r="D5814" t="str">
        <f>IFERROR(__xludf.DUMMYFUNCTION("""COMPUTED_VALUE"""),"Jordan")</f>
        <v>Jordan</v>
      </c>
      <c r="E5814" t="str">
        <f>IFERROR(__xludf.DUMMYFUNCTION("""COMPUTED_VALUE"""),"Cameron")</f>
        <v>Cameron</v>
      </c>
      <c r="F5814">
        <f>IFERROR(__xludf.DUMMYFUNCTION("""COMPUTED_VALUE"""),21.75)</f>
        <v>21.75</v>
      </c>
    </row>
    <row r="5815">
      <c r="D5815" t="str">
        <f>IFERROR(__xludf.DUMMYFUNCTION("""COMPUTED_VALUE"""),"Jordan")</f>
        <v>Jordan</v>
      </c>
      <c r="E5815" t="str">
        <f>IFERROR(__xludf.DUMMYFUNCTION("""COMPUTED_VALUE"""),"Dion")</f>
        <v>Dion</v>
      </c>
      <c r="F5815">
        <f>IFERROR(__xludf.DUMMYFUNCTION("""COMPUTED_VALUE"""),18.75)</f>
        <v>18.75</v>
      </c>
    </row>
    <row r="5816">
      <c r="D5816" t="str">
        <f>IFERROR(__xludf.DUMMYFUNCTION("""COMPUTED_VALUE"""),"Jordan")</f>
        <v>Jordan</v>
      </c>
      <c r="E5816" t="str">
        <f>IFERROR(__xludf.DUMMYFUNCTION("""COMPUTED_VALUE"""),"Michael")</f>
        <v>Michael</v>
      </c>
      <c r="F5816">
        <f>IFERROR(__xludf.DUMMYFUNCTION("""COMPUTED_VALUE"""),16.75)</f>
        <v>16.75</v>
      </c>
    </row>
    <row r="5817">
      <c r="D5817" t="str">
        <f>IFERROR(__xludf.DUMMYFUNCTION("""COMPUTED_VALUE"""),"Joseph")</f>
        <v>Joseph</v>
      </c>
      <c r="E5817" t="str">
        <f>IFERROR(__xludf.DUMMYFUNCTION("""COMPUTED_VALUE"""),"Dieugot")</f>
        <v>Dieugot</v>
      </c>
      <c r="F5817">
        <f>IFERROR(__xludf.DUMMYFUNCTION("""COMPUTED_VALUE"""),16.25)</f>
        <v>16.25</v>
      </c>
    </row>
    <row r="5818">
      <c r="D5818" t="str">
        <f>IFERROR(__xludf.DUMMYFUNCTION("""COMPUTED_VALUE"""),"Joseph")</f>
        <v>Joseph</v>
      </c>
      <c r="E5818" t="str">
        <f>IFERROR(__xludf.DUMMYFUNCTION("""COMPUTED_VALUE"""),"Johnathan")</f>
        <v>Johnathan</v>
      </c>
      <c r="F5818">
        <f>IFERROR(__xludf.DUMMYFUNCTION("""COMPUTED_VALUE"""),20.25)</f>
        <v>20.25</v>
      </c>
    </row>
    <row r="5819">
      <c r="D5819" t="str">
        <f>IFERROR(__xludf.DUMMYFUNCTION("""COMPUTED_VALUE"""),"Joseph")</f>
        <v>Joseph</v>
      </c>
      <c r="E5819" t="str">
        <f>IFERROR(__xludf.DUMMYFUNCTION("""COMPUTED_VALUE"""),"Karl")</f>
        <v>Karl</v>
      </c>
      <c r="F5819">
        <f>IFERROR(__xludf.DUMMYFUNCTION("""COMPUTED_VALUE"""),19.5)</f>
        <v>19.5</v>
      </c>
    </row>
    <row r="5820">
      <c r="D5820" t="str">
        <f>IFERROR(__xludf.DUMMYFUNCTION("""COMPUTED_VALUE"""),"Joseph")</f>
        <v>Joseph</v>
      </c>
      <c r="E5820" t="str">
        <f>IFERROR(__xludf.DUMMYFUNCTION("""COMPUTED_VALUE"""),"Linval")</f>
        <v>Linval</v>
      </c>
      <c r="F5820">
        <f>IFERROR(__xludf.DUMMYFUNCTION("""COMPUTED_VALUE"""),21.0)</f>
        <v>21</v>
      </c>
    </row>
    <row r="5821">
      <c r="D5821" t="str">
        <f>IFERROR(__xludf.DUMMYFUNCTION("""COMPUTED_VALUE"""),"Joseph")</f>
        <v>Joseph</v>
      </c>
      <c r="E5821" t="str">
        <f>IFERROR(__xludf.DUMMYFUNCTION("""COMPUTED_VALUE"""),"Linval")</f>
        <v>Linval</v>
      </c>
      <c r="F5821">
        <f>IFERROR(__xludf.DUMMYFUNCTION("""COMPUTED_VALUE"""),22.0)</f>
        <v>22</v>
      </c>
    </row>
    <row r="5822">
      <c r="D5822" t="str">
        <f>IFERROR(__xludf.DUMMYFUNCTION("""COMPUTED_VALUE"""),"Joseph-Day")</f>
        <v>Joseph-Day</v>
      </c>
      <c r="E5822" t="str">
        <f>IFERROR(__xludf.DUMMYFUNCTION("""COMPUTED_VALUE"""),"Sebastian")</f>
        <v>Sebastian</v>
      </c>
      <c r="F5822">
        <f>IFERROR(__xludf.DUMMYFUNCTION("""COMPUTED_VALUE"""),17.0)</f>
        <v>17</v>
      </c>
    </row>
    <row r="5823">
      <c r="D5823" t="str">
        <f>IFERROR(__xludf.DUMMYFUNCTION("""COMPUTED_VALUE"""),"Joyner")</f>
        <v>Joyner</v>
      </c>
      <c r="E5823" t="str">
        <f>IFERROR(__xludf.DUMMYFUNCTION("""COMPUTED_VALUE"""),"Lamarcus")</f>
        <v>Lamarcus</v>
      </c>
      <c r="F5823">
        <f>IFERROR(__xludf.DUMMYFUNCTION("""COMPUTED_VALUE"""),21.25)</f>
        <v>21.25</v>
      </c>
    </row>
    <row r="5824">
      <c r="D5824" t="str">
        <f>IFERROR(__xludf.DUMMYFUNCTION("""COMPUTED_VALUE"""),"Joyner")</f>
        <v>Joyner</v>
      </c>
      <c r="E5824" t="str">
        <f>IFERROR(__xludf.DUMMYFUNCTION("""COMPUTED_VALUE"""),"Lamarcus")</f>
        <v>Lamarcus</v>
      </c>
      <c r="F5824">
        <f>IFERROR(__xludf.DUMMYFUNCTION("""COMPUTED_VALUE"""),22.0)</f>
        <v>22</v>
      </c>
    </row>
    <row r="5825">
      <c r="D5825" t="str">
        <f>IFERROR(__xludf.DUMMYFUNCTION("""COMPUTED_VALUE"""),"Judon")</f>
        <v>Judon</v>
      </c>
      <c r="E5825" t="str">
        <f>IFERROR(__xludf.DUMMYFUNCTION("""COMPUTED_VALUE"""),"Matthew")</f>
        <v>Matthew</v>
      </c>
      <c r="F5825">
        <f>IFERROR(__xludf.DUMMYFUNCTION("""COMPUTED_VALUE"""),20.0)</f>
        <v>20</v>
      </c>
    </row>
    <row r="5826">
      <c r="D5826" t="str">
        <f>IFERROR(__xludf.DUMMYFUNCTION("""COMPUTED_VALUE"""),"Juszczyk")</f>
        <v>Juszczyk</v>
      </c>
      <c r="E5826" t="str">
        <f>IFERROR(__xludf.DUMMYFUNCTION("""COMPUTED_VALUE"""),"Kyle")</f>
        <v>Kyle</v>
      </c>
      <c r="F5826">
        <f>IFERROR(__xludf.DUMMYFUNCTION("""COMPUTED_VALUE"""),21.0)</f>
        <v>21</v>
      </c>
    </row>
    <row r="5827">
      <c r="D5827" t="str">
        <f>IFERROR(__xludf.DUMMYFUNCTION("""COMPUTED_VALUE"""),"Kaaya")</f>
        <v>Kaaya</v>
      </c>
      <c r="E5827" t="str">
        <f>IFERROR(__xludf.DUMMYFUNCTION("""COMPUTED_VALUE"""),"Brad")</f>
        <v>Brad</v>
      </c>
      <c r="F5827">
        <f>IFERROR(__xludf.DUMMYFUNCTION("""COMPUTED_VALUE"""),16.5)</f>
        <v>16.5</v>
      </c>
    </row>
    <row r="5828">
      <c r="D5828" t="str">
        <f>IFERROR(__xludf.DUMMYFUNCTION("""COMPUTED_VALUE"""),"Kalambayi")</f>
        <v>Kalambayi</v>
      </c>
      <c r="E5828" t="str">
        <f>IFERROR(__xludf.DUMMYFUNCTION("""COMPUTED_VALUE"""),"Peter")</f>
        <v>Peter</v>
      </c>
      <c r="F5828">
        <f>IFERROR(__xludf.DUMMYFUNCTION("""COMPUTED_VALUE"""),16.5)</f>
        <v>16.5</v>
      </c>
    </row>
    <row r="5829">
      <c r="D5829" t="str">
        <f>IFERROR(__xludf.DUMMYFUNCTION("""COMPUTED_VALUE"""),"Kalil")</f>
        <v>Kalil</v>
      </c>
      <c r="E5829" t="str">
        <f>IFERROR(__xludf.DUMMYFUNCTION("""COMPUTED_VALUE"""),"Matt")</f>
        <v>Matt</v>
      </c>
      <c r="F5829">
        <f>IFERROR(__xludf.DUMMYFUNCTION("""COMPUTED_VALUE"""),18.5)</f>
        <v>18.5</v>
      </c>
    </row>
    <row r="5830">
      <c r="D5830" t="str">
        <f>IFERROR(__xludf.DUMMYFUNCTION("""COMPUTED_VALUE"""),"Kalil")</f>
        <v>Kalil</v>
      </c>
      <c r="E5830" t="str">
        <f>IFERROR(__xludf.DUMMYFUNCTION("""COMPUTED_VALUE"""),"Ryan")</f>
        <v>Ryan</v>
      </c>
      <c r="F5830">
        <f>IFERROR(__xludf.DUMMYFUNCTION("""COMPUTED_VALUE"""),19.0)</f>
        <v>19</v>
      </c>
    </row>
    <row r="5831">
      <c r="D5831" t="str">
        <f>IFERROR(__xludf.DUMMYFUNCTION("""COMPUTED_VALUE"""),"Kalis")</f>
        <v>Kalis</v>
      </c>
      <c r="E5831" t="str">
        <f>IFERROR(__xludf.DUMMYFUNCTION("""COMPUTED_VALUE"""),"Kyle")</f>
        <v>Kyle</v>
      </c>
      <c r="F5831">
        <f>IFERROR(__xludf.DUMMYFUNCTION("""COMPUTED_VALUE"""),15.75)</f>
        <v>15.75</v>
      </c>
    </row>
    <row r="5832">
      <c r="D5832" t="str">
        <f>IFERROR(__xludf.DUMMYFUNCTION("""COMPUTED_VALUE"""),"Kamalu")</f>
        <v>Kamalu</v>
      </c>
      <c r="E5832" t="str">
        <f>IFERROR(__xludf.DUMMYFUNCTION("""COMPUTED_VALUE"""),"Ufomba")</f>
        <v>Ufomba</v>
      </c>
      <c r="F5832">
        <f>IFERROR(__xludf.DUMMYFUNCTION("""COMPUTED_VALUE"""),16.5)</f>
        <v>16.5</v>
      </c>
    </row>
    <row r="5833">
      <c r="D5833" t="str">
        <f>IFERROR(__xludf.DUMMYFUNCTION("""COMPUTED_VALUE"""),"Kamara")</f>
        <v>Kamara</v>
      </c>
      <c r="E5833" t="str">
        <f>IFERROR(__xludf.DUMMYFUNCTION("""COMPUTED_VALUE"""),"Alvin")</f>
        <v>Alvin</v>
      </c>
      <c r="F5833">
        <f>IFERROR(__xludf.DUMMYFUNCTION("""COMPUTED_VALUE"""),21.25)</f>
        <v>21.25</v>
      </c>
    </row>
    <row r="5834">
      <c r="D5834" t="str">
        <f>IFERROR(__xludf.DUMMYFUNCTION("""COMPUTED_VALUE"""),"Karras")</f>
        <v>Karras</v>
      </c>
      <c r="E5834" t="str">
        <f>IFERROR(__xludf.DUMMYFUNCTION("""COMPUTED_VALUE"""),"Ted")</f>
        <v>Ted</v>
      </c>
      <c r="F5834">
        <f>IFERROR(__xludf.DUMMYFUNCTION("""COMPUTED_VALUE"""),18.0)</f>
        <v>18</v>
      </c>
    </row>
    <row r="5835">
      <c r="D5835" t="str">
        <f>IFERROR(__xludf.DUMMYFUNCTION("""COMPUTED_VALUE"""),"Kaser")</f>
        <v>Kaser</v>
      </c>
      <c r="E5835" t="str">
        <f>IFERROR(__xludf.DUMMYFUNCTION("""COMPUTED_VALUE"""),"Drew")</f>
        <v>Drew</v>
      </c>
      <c r="F5835">
        <f>IFERROR(__xludf.DUMMYFUNCTION("""COMPUTED_VALUE"""),19.5)</f>
        <v>19.5</v>
      </c>
    </row>
    <row r="5836">
      <c r="D5836" t="str">
        <f>IFERROR(__xludf.DUMMYFUNCTION("""COMPUTED_VALUE"""),"Kaufusi")</f>
        <v>Kaufusi</v>
      </c>
      <c r="E5836" t="str">
        <f>IFERROR(__xludf.DUMMYFUNCTION("""COMPUTED_VALUE"""),"Bronson")</f>
        <v>Bronson</v>
      </c>
      <c r="F5836">
        <f>IFERROR(__xludf.DUMMYFUNCTION("""COMPUTED_VALUE"""),16.75)</f>
        <v>16.75</v>
      </c>
    </row>
    <row r="5837">
      <c r="D5837" t="str">
        <f>IFERROR(__xludf.DUMMYFUNCTION("""COMPUTED_VALUE"""),"Kazee")</f>
        <v>Kazee</v>
      </c>
      <c r="E5837" t="str">
        <f>IFERROR(__xludf.DUMMYFUNCTION("""COMPUTED_VALUE"""),"Damontae")</f>
        <v>Damontae</v>
      </c>
      <c r="F5837">
        <f>IFERROR(__xludf.DUMMYFUNCTION("""COMPUTED_VALUE"""),18.5)</f>
        <v>18.5</v>
      </c>
    </row>
    <row r="5838">
      <c r="D5838" t="str">
        <f>IFERROR(__xludf.DUMMYFUNCTION("""COMPUTED_VALUE"""),"Kearse")</f>
        <v>Kearse</v>
      </c>
      <c r="E5838" t="str">
        <f>IFERROR(__xludf.DUMMYFUNCTION("""COMPUTED_VALUE"""),"Jayron")</f>
        <v>Jayron</v>
      </c>
      <c r="F5838">
        <f>IFERROR(__xludf.DUMMYFUNCTION("""COMPUTED_VALUE"""),16.75)</f>
        <v>16.75</v>
      </c>
    </row>
    <row r="5839">
      <c r="D5839" t="str">
        <f>IFERROR(__xludf.DUMMYFUNCTION("""COMPUTED_VALUE"""),"Kearse")</f>
        <v>Kearse</v>
      </c>
      <c r="E5839" t="str">
        <f>IFERROR(__xludf.DUMMYFUNCTION("""COMPUTED_VALUE"""),"Jermaine")</f>
        <v>Jermaine</v>
      </c>
      <c r="F5839">
        <f>IFERROR(__xludf.DUMMYFUNCTION("""COMPUTED_VALUE"""),19.75)</f>
        <v>19.75</v>
      </c>
    </row>
    <row r="5840">
      <c r="D5840" t="str">
        <f>IFERROR(__xludf.DUMMYFUNCTION("""COMPUTED_VALUE"""),"Keenum")</f>
        <v>Keenum</v>
      </c>
      <c r="E5840" t="str">
        <f>IFERROR(__xludf.DUMMYFUNCTION("""COMPUTED_VALUE"""),"Case")</f>
        <v>Case</v>
      </c>
      <c r="F5840">
        <f>IFERROR(__xludf.DUMMYFUNCTION("""COMPUTED_VALUE"""),20.5)</f>
        <v>20.5</v>
      </c>
    </row>
    <row r="5841">
      <c r="D5841" t="str">
        <f>IFERROR(__xludf.DUMMYFUNCTION("""COMPUTED_VALUE"""),"Kelce")</f>
        <v>Kelce</v>
      </c>
      <c r="E5841" t="str">
        <f>IFERROR(__xludf.DUMMYFUNCTION("""COMPUTED_VALUE"""),"Jason")</f>
        <v>Jason</v>
      </c>
      <c r="F5841">
        <f>IFERROR(__xludf.DUMMYFUNCTION("""COMPUTED_VALUE"""),20.75)</f>
        <v>20.75</v>
      </c>
    </row>
    <row r="5842">
      <c r="D5842" t="str">
        <f>IFERROR(__xludf.DUMMYFUNCTION("""COMPUTED_VALUE"""),"Kelce")</f>
        <v>Kelce</v>
      </c>
      <c r="E5842" t="str">
        <f>IFERROR(__xludf.DUMMYFUNCTION("""COMPUTED_VALUE"""),"Travis")</f>
        <v>Travis</v>
      </c>
      <c r="F5842">
        <f>IFERROR(__xludf.DUMMYFUNCTION("""COMPUTED_VALUE"""),21.75)</f>
        <v>21.75</v>
      </c>
    </row>
    <row r="5843">
      <c r="D5843" t="str">
        <f>IFERROR(__xludf.DUMMYFUNCTION("""COMPUTED_VALUE"""),"Kelce")</f>
        <v>Kelce</v>
      </c>
      <c r="E5843" t="str">
        <f>IFERROR(__xludf.DUMMYFUNCTION("""COMPUTED_VALUE"""),"Travis")</f>
        <v>Travis</v>
      </c>
      <c r="F5843">
        <f>IFERROR(__xludf.DUMMYFUNCTION("""COMPUTED_VALUE"""),22.75)</f>
        <v>22.75</v>
      </c>
    </row>
    <row r="5844">
      <c r="D5844" t="str">
        <f>IFERROR(__xludf.DUMMYFUNCTION("""COMPUTED_VALUE"""),"Kelemete")</f>
        <v>Kelemete</v>
      </c>
      <c r="E5844" t="str">
        <f>IFERROR(__xludf.DUMMYFUNCTION("""COMPUTED_VALUE"""),"Senio")</f>
        <v>Senio</v>
      </c>
      <c r="F5844">
        <f>IFERROR(__xludf.DUMMYFUNCTION("""COMPUTED_VALUE"""),18.5)</f>
        <v>18.5</v>
      </c>
    </row>
    <row r="5845">
      <c r="D5845" t="str">
        <f>IFERROR(__xludf.DUMMYFUNCTION("""COMPUTED_VALUE"""),"Kelley")</f>
        <v>Kelley</v>
      </c>
      <c r="E5845" t="str">
        <f>IFERROR(__xludf.DUMMYFUNCTION("""COMPUTED_VALUE"""),"Robert")</f>
        <v>Robert</v>
      </c>
      <c r="F5845">
        <f>IFERROR(__xludf.DUMMYFUNCTION("""COMPUTED_VALUE"""),18.75)</f>
        <v>18.75</v>
      </c>
    </row>
    <row r="5846">
      <c r="D5846" t="str">
        <f>IFERROR(__xludf.DUMMYFUNCTION("""COMPUTED_VALUE"""),"Kelly")</f>
        <v>Kelly</v>
      </c>
      <c r="E5846" t="str">
        <f>IFERROR(__xludf.DUMMYFUNCTION("""COMPUTED_VALUE"""),"Chad")</f>
        <v>Chad</v>
      </c>
      <c r="F5846">
        <f>IFERROR(__xludf.DUMMYFUNCTION("""COMPUTED_VALUE"""),17.5)</f>
        <v>17.5</v>
      </c>
    </row>
    <row r="5847">
      <c r="D5847" t="str">
        <f>IFERROR(__xludf.DUMMYFUNCTION("""COMPUTED_VALUE"""),"Kelly")</f>
        <v>Kelly</v>
      </c>
      <c r="E5847" t="str">
        <f>IFERROR(__xludf.DUMMYFUNCTION("""COMPUTED_VALUE"""),"Dennis")</f>
        <v>Dennis</v>
      </c>
      <c r="F5847">
        <f>IFERROR(__xludf.DUMMYFUNCTION("""COMPUTED_VALUE"""),17.5)</f>
        <v>17.5</v>
      </c>
    </row>
    <row r="5848">
      <c r="D5848" t="str">
        <f>IFERROR(__xludf.DUMMYFUNCTION("""COMPUTED_VALUE"""),"Kelly")</f>
        <v>Kelly</v>
      </c>
      <c r="E5848" t="str">
        <f>IFERROR(__xludf.DUMMYFUNCTION("""COMPUTED_VALUE"""),"John")</f>
        <v>John</v>
      </c>
      <c r="F5848">
        <f>IFERROR(__xludf.DUMMYFUNCTION("""COMPUTED_VALUE"""),18.25)</f>
        <v>18.25</v>
      </c>
    </row>
    <row r="5849">
      <c r="D5849" t="str">
        <f>IFERROR(__xludf.DUMMYFUNCTION("""COMPUTED_VALUE"""),"Kelly")</f>
        <v>Kelly</v>
      </c>
      <c r="E5849" t="str">
        <f>IFERROR(__xludf.DUMMYFUNCTION("""COMPUTED_VALUE"""),"Ryan")</f>
        <v>Ryan</v>
      </c>
      <c r="F5849">
        <f>IFERROR(__xludf.DUMMYFUNCTION("""COMPUTED_VALUE"""),18.25)</f>
        <v>18.25</v>
      </c>
    </row>
    <row r="5850">
      <c r="D5850" t="str">
        <f>IFERROR(__xludf.DUMMYFUNCTION("""COMPUTED_VALUE"""),"Kelly Jr")</f>
        <v>Kelly Jr</v>
      </c>
      <c r="E5850" t="str">
        <f>IFERROR(__xludf.DUMMYFUNCTION("""COMPUTED_VALUE"""),"Jermaine")</f>
        <v>Jermaine</v>
      </c>
      <c r="F5850">
        <f>IFERROR(__xludf.DUMMYFUNCTION("""COMPUTED_VALUE"""),16.5)</f>
        <v>16.5</v>
      </c>
    </row>
    <row r="5851">
      <c r="D5851" t="str">
        <f>IFERROR(__xludf.DUMMYFUNCTION("""COMPUTED_VALUE"""),"Kelsey Jr")</f>
        <v>Kelsey Jr</v>
      </c>
      <c r="E5851" t="str">
        <f>IFERROR(__xludf.DUMMYFUNCTION("""COMPUTED_VALUE"""),"Keith")</f>
        <v>Keith</v>
      </c>
      <c r="F5851">
        <f>IFERROR(__xludf.DUMMYFUNCTION("""COMPUTED_VALUE"""),15.75)</f>
        <v>15.75</v>
      </c>
    </row>
    <row r="5852">
      <c r="D5852" t="str">
        <f>IFERROR(__xludf.DUMMYFUNCTION("""COMPUTED_VALUE"""),"Kemp")</f>
        <v>Kemp</v>
      </c>
      <c r="E5852" t="str">
        <f>IFERROR(__xludf.DUMMYFUNCTION("""COMPUTED_VALUE"""),"Marcus")</f>
        <v>Marcus</v>
      </c>
      <c r="F5852">
        <f>IFERROR(__xludf.DUMMYFUNCTION("""COMPUTED_VALUE"""),16.25)</f>
        <v>16.25</v>
      </c>
    </row>
    <row r="5853">
      <c r="D5853" t="str">
        <f>IFERROR(__xludf.DUMMYFUNCTION("""COMPUTED_VALUE"""),"Kendricks")</f>
        <v>Kendricks</v>
      </c>
      <c r="E5853" t="str">
        <f>IFERROR(__xludf.DUMMYFUNCTION("""COMPUTED_VALUE"""),"Eric")</f>
        <v>Eric</v>
      </c>
      <c r="F5853">
        <f>IFERROR(__xludf.DUMMYFUNCTION("""COMPUTED_VALUE"""),20.25)</f>
        <v>20.25</v>
      </c>
    </row>
    <row r="5854">
      <c r="D5854" t="str">
        <f>IFERROR(__xludf.DUMMYFUNCTION("""COMPUTED_VALUE"""),"Kendricks")</f>
        <v>Kendricks</v>
      </c>
      <c r="E5854" t="str">
        <f>IFERROR(__xludf.DUMMYFUNCTION("""COMPUTED_VALUE"""),"Lance")</f>
        <v>Lance</v>
      </c>
      <c r="F5854">
        <f>IFERROR(__xludf.DUMMYFUNCTION("""COMPUTED_VALUE"""),18.75)</f>
        <v>18.75</v>
      </c>
    </row>
    <row r="5855">
      <c r="D5855" t="str">
        <f>IFERROR(__xludf.DUMMYFUNCTION("""COMPUTED_VALUE"""),"Kendricks")</f>
        <v>Kendricks</v>
      </c>
      <c r="E5855" t="str">
        <f>IFERROR(__xludf.DUMMYFUNCTION("""COMPUTED_VALUE"""),"Mychal")</f>
        <v>Mychal</v>
      </c>
      <c r="F5855">
        <f>IFERROR(__xludf.DUMMYFUNCTION("""COMPUTED_VALUE"""),21.0)</f>
        <v>21</v>
      </c>
    </row>
    <row r="5856">
      <c r="D5856" t="str">
        <f>IFERROR(__xludf.DUMMYFUNCTION("""COMPUTED_VALUE"""),"Kennard")</f>
        <v>Kennard</v>
      </c>
      <c r="E5856" t="str">
        <f>IFERROR(__xludf.DUMMYFUNCTION("""COMPUTED_VALUE"""),"Devon")</f>
        <v>Devon</v>
      </c>
      <c r="F5856">
        <f>IFERROR(__xludf.DUMMYFUNCTION("""COMPUTED_VALUE"""),19.25)</f>
        <v>19.25</v>
      </c>
    </row>
    <row r="5857">
      <c r="D5857" t="str">
        <f>IFERROR(__xludf.DUMMYFUNCTION("""COMPUTED_VALUE"""),"Kerley")</f>
        <v>Kerley</v>
      </c>
      <c r="E5857" t="str">
        <f>IFERROR(__xludf.DUMMYFUNCTION("""COMPUTED_VALUE"""),"Jeremy")</f>
        <v>Jeremy</v>
      </c>
      <c r="F5857">
        <f>IFERROR(__xludf.DUMMYFUNCTION("""COMPUTED_VALUE"""),18.5)</f>
        <v>18.5</v>
      </c>
    </row>
    <row r="5858">
      <c r="D5858" t="str">
        <f>IFERROR(__xludf.DUMMYFUNCTION("""COMPUTED_VALUE"""),"Kern")</f>
        <v>Kern</v>
      </c>
      <c r="E5858" t="str">
        <f>IFERROR(__xludf.DUMMYFUNCTION("""COMPUTED_VALUE"""),"Brett")</f>
        <v>Brett</v>
      </c>
      <c r="F5858">
        <f>IFERROR(__xludf.DUMMYFUNCTION("""COMPUTED_VALUE"""),19.5)</f>
        <v>19.5</v>
      </c>
    </row>
    <row r="5859">
      <c r="D5859" t="str">
        <f>IFERROR(__xludf.DUMMYFUNCTION("""COMPUTED_VALUE"""),"Kerr")</f>
        <v>Kerr</v>
      </c>
      <c r="E5859" t="str">
        <f>IFERROR(__xludf.DUMMYFUNCTION("""COMPUTED_VALUE"""),"Zach")</f>
        <v>Zach</v>
      </c>
      <c r="F5859">
        <f>IFERROR(__xludf.DUMMYFUNCTION("""COMPUTED_VALUE"""),18.25)</f>
        <v>18.25</v>
      </c>
    </row>
    <row r="5860">
      <c r="D5860" t="str">
        <f>IFERROR(__xludf.DUMMYFUNCTION("""COMPUTED_VALUE"""),"Kerridge")</f>
        <v>Kerridge</v>
      </c>
      <c r="E5860" t="str">
        <f>IFERROR(__xludf.DUMMYFUNCTION("""COMPUTED_VALUE"""),"Joe")</f>
        <v>Joe</v>
      </c>
      <c r="F5860">
        <f>IFERROR(__xludf.DUMMYFUNCTION("""COMPUTED_VALUE"""),16.75)</f>
        <v>16.75</v>
      </c>
    </row>
    <row r="5861">
      <c r="D5861" t="str">
        <f>IFERROR(__xludf.DUMMYFUNCTION("""COMPUTED_VALUE"""),"Kerrigan")</f>
        <v>Kerrigan</v>
      </c>
      <c r="E5861" t="str">
        <f>IFERROR(__xludf.DUMMYFUNCTION("""COMPUTED_VALUE"""),"Ryan")</f>
        <v>Ryan</v>
      </c>
      <c r="F5861">
        <f>IFERROR(__xludf.DUMMYFUNCTION("""COMPUTED_VALUE"""),21.0)</f>
        <v>21</v>
      </c>
    </row>
    <row r="5862">
      <c r="D5862" t="str">
        <f>IFERROR(__xludf.DUMMYFUNCTION("""COMPUTED_VALUE"""),"Kerrigan")</f>
        <v>Kerrigan</v>
      </c>
      <c r="E5862" t="str">
        <f>IFERROR(__xludf.DUMMYFUNCTION("""COMPUTED_VALUE"""),"Ryan")</f>
        <v>Ryan</v>
      </c>
      <c r="F5862">
        <f>IFERROR(__xludf.DUMMYFUNCTION("""COMPUTED_VALUE"""),22.5)</f>
        <v>22.5</v>
      </c>
    </row>
    <row r="5863">
      <c r="D5863" t="str">
        <f>IFERROR(__xludf.DUMMYFUNCTION("""COMPUTED_VALUE"""),"Kessler")</f>
        <v>Kessler</v>
      </c>
      <c r="E5863" t="str">
        <f>IFERROR(__xludf.DUMMYFUNCTION("""COMPUTED_VALUE"""),"Cody")</f>
        <v>Cody</v>
      </c>
      <c r="F5863">
        <f>IFERROR(__xludf.DUMMYFUNCTION("""COMPUTED_VALUE"""),17.75)</f>
        <v>17.75</v>
      </c>
    </row>
    <row r="5864">
      <c r="D5864" t="str">
        <f>IFERROR(__xludf.DUMMYFUNCTION("""COMPUTED_VALUE"""),"Key")</f>
        <v>Key</v>
      </c>
      <c r="E5864" t="str">
        <f>IFERROR(__xludf.DUMMYFUNCTION("""COMPUTED_VALUE"""),"Arden")</f>
        <v>Arden</v>
      </c>
      <c r="F5864">
        <f>IFERROR(__xludf.DUMMYFUNCTION("""COMPUTED_VALUE"""),17.5)</f>
        <v>17.5</v>
      </c>
    </row>
    <row r="5865">
      <c r="D5865" t="str">
        <f>IFERROR(__xludf.DUMMYFUNCTION("""COMPUTED_VALUE"""),"Keyes")</f>
        <v>Keyes</v>
      </c>
      <c r="E5865" t="str">
        <f>IFERROR(__xludf.DUMMYFUNCTION("""COMPUTED_VALUE"""),"Josh")</f>
        <v>Josh</v>
      </c>
      <c r="F5865">
        <f>IFERROR(__xludf.DUMMYFUNCTION("""COMPUTED_VALUE"""),16.0)</f>
        <v>16</v>
      </c>
    </row>
    <row r="5866">
      <c r="D5866" t="str">
        <f>IFERROR(__xludf.DUMMYFUNCTION("""COMPUTED_VALUE"""),"Kikaha")</f>
        <v>Kikaha</v>
      </c>
      <c r="E5866" t="str">
        <f>IFERROR(__xludf.DUMMYFUNCTION("""COMPUTED_VALUE"""),"Hauoli")</f>
        <v>Hauoli</v>
      </c>
      <c r="F5866">
        <f>IFERROR(__xludf.DUMMYFUNCTION("""COMPUTED_VALUE"""),17.0)</f>
        <v>17</v>
      </c>
    </row>
    <row r="5867">
      <c r="D5867" t="str">
        <f>IFERROR(__xludf.DUMMYFUNCTION("""COMPUTED_VALUE"""),"Kilgo")</f>
        <v>Kilgo</v>
      </c>
      <c r="E5867" t="str">
        <f>IFERROR(__xludf.DUMMYFUNCTION("""COMPUTED_VALUE"""),"Darius")</f>
        <v>Darius</v>
      </c>
      <c r="F5867">
        <f>IFERROR(__xludf.DUMMYFUNCTION("""COMPUTED_VALUE"""),16.25)</f>
        <v>16.25</v>
      </c>
    </row>
    <row r="5868">
      <c r="D5868" t="str">
        <f>IFERROR(__xludf.DUMMYFUNCTION("""COMPUTED_VALUE"""),"Kilgore")</f>
        <v>Kilgore</v>
      </c>
      <c r="E5868" t="str">
        <f>IFERROR(__xludf.DUMMYFUNCTION("""COMPUTED_VALUE"""),"Daniel")</f>
        <v>Daniel</v>
      </c>
      <c r="F5868">
        <f>IFERROR(__xludf.DUMMYFUNCTION("""COMPUTED_VALUE"""),18.5)</f>
        <v>18.5</v>
      </c>
    </row>
    <row r="5869">
      <c r="D5869" t="str">
        <f>IFERROR(__xludf.DUMMYFUNCTION("""COMPUTED_VALUE"""),"Killebrew")</f>
        <v>Killebrew</v>
      </c>
      <c r="E5869" t="str">
        <f>IFERROR(__xludf.DUMMYFUNCTION("""COMPUTED_VALUE"""),"Miles")</f>
        <v>Miles</v>
      </c>
      <c r="F5869">
        <f>IFERROR(__xludf.DUMMYFUNCTION("""COMPUTED_VALUE"""),18.25)</f>
        <v>18.25</v>
      </c>
    </row>
    <row r="5870">
      <c r="D5870" t="str">
        <f>IFERROR(__xludf.DUMMYFUNCTION("""COMPUTED_VALUE"""),"Kindred")</f>
        <v>Kindred</v>
      </c>
      <c r="E5870" t="str">
        <f>IFERROR(__xludf.DUMMYFUNCTION("""COMPUTED_VALUE"""),"Derrick")</f>
        <v>Derrick</v>
      </c>
      <c r="F5870">
        <f>IFERROR(__xludf.DUMMYFUNCTION("""COMPUTED_VALUE"""),19.25)</f>
        <v>19.25</v>
      </c>
    </row>
    <row r="5871">
      <c r="D5871" t="str">
        <f>IFERROR(__xludf.DUMMYFUNCTION("""COMPUTED_VALUE"""),"King")</f>
        <v>King</v>
      </c>
      <c r="E5871" t="str">
        <f>IFERROR(__xludf.DUMMYFUNCTION("""COMPUTED_VALUE"""),"Brandon")</f>
        <v>Brandon</v>
      </c>
      <c r="F5871">
        <f>IFERROR(__xludf.DUMMYFUNCTION("""COMPUTED_VALUE"""),16.0)</f>
        <v>16</v>
      </c>
    </row>
    <row r="5872">
      <c r="D5872" t="str">
        <f>IFERROR(__xludf.DUMMYFUNCTION("""COMPUTED_VALUE"""),"King")</f>
        <v>King</v>
      </c>
      <c r="E5872" t="str">
        <f>IFERROR(__xludf.DUMMYFUNCTION("""COMPUTED_VALUE"""),"David")</f>
        <v>David</v>
      </c>
      <c r="F5872">
        <f>IFERROR(__xludf.DUMMYFUNCTION("""COMPUTED_VALUE"""),15.75)</f>
        <v>15.75</v>
      </c>
    </row>
    <row r="5873">
      <c r="D5873" t="str">
        <f>IFERROR(__xludf.DUMMYFUNCTION("""COMPUTED_VALUE"""),"King")</f>
        <v>King</v>
      </c>
      <c r="E5873" t="str">
        <f>IFERROR(__xludf.DUMMYFUNCTION("""COMPUTED_VALUE"""),"Deon")</f>
        <v>Deon</v>
      </c>
      <c r="F5873">
        <f>IFERROR(__xludf.DUMMYFUNCTION("""COMPUTED_VALUE"""),17.75)</f>
        <v>17.75</v>
      </c>
    </row>
    <row r="5874">
      <c r="D5874" t="str">
        <f>IFERROR(__xludf.DUMMYFUNCTION("""COMPUTED_VALUE"""),"King")</f>
        <v>King</v>
      </c>
      <c r="E5874" t="str">
        <f>IFERROR(__xludf.DUMMYFUNCTION("""COMPUTED_VALUE"""),"Desmond")</f>
        <v>Desmond</v>
      </c>
      <c r="F5874">
        <f>IFERROR(__xludf.DUMMYFUNCTION("""COMPUTED_VALUE"""),19.75)</f>
        <v>19.75</v>
      </c>
    </row>
    <row r="5875">
      <c r="D5875" t="str">
        <f>IFERROR(__xludf.DUMMYFUNCTION("""COMPUTED_VALUE"""),"King")</f>
        <v>King</v>
      </c>
      <c r="E5875" t="str">
        <f>IFERROR(__xludf.DUMMYFUNCTION("""COMPUTED_VALUE"""),"Jason")</f>
        <v>Jason</v>
      </c>
      <c r="F5875">
        <f>IFERROR(__xludf.DUMMYFUNCTION("""COMPUTED_VALUE"""),18.75)</f>
        <v>18.75</v>
      </c>
    </row>
    <row r="5876">
      <c r="D5876" t="str">
        <f>IFERROR(__xludf.DUMMYFUNCTION("""COMPUTED_VALUE"""),"King")</f>
        <v>King</v>
      </c>
      <c r="E5876" t="str">
        <f>IFERROR(__xludf.DUMMYFUNCTION("""COMPUTED_VALUE"""),"Kevin")</f>
        <v>Kevin</v>
      </c>
      <c r="F5876">
        <f>IFERROR(__xludf.DUMMYFUNCTION("""COMPUTED_VALUE"""),19.0)</f>
        <v>19</v>
      </c>
    </row>
    <row r="5877">
      <c r="D5877" t="str">
        <f>IFERROR(__xludf.DUMMYFUNCTION("""COMPUTED_VALUE"""),"King")</f>
        <v>King</v>
      </c>
      <c r="E5877" t="str">
        <f>IFERROR(__xludf.DUMMYFUNCTION("""COMPUTED_VALUE"""),"Marquette")</f>
        <v>Marquette</v>
      </c>
      <c r="F5877">
        <f>IFERROR(__xludf.DUMMYFUNCTION("""COMPUTED_VALUE"""),21.75)</f>
        <v>21.75</v>
      </c>
    </row>
    <row r="5878">
      <c r="D5878" t="str">
        <f>IFERROR(__xludf.DUMMYFUNCTION("""COMPUTED_VALUE"""),"King")</f>
        <v>King</v>
      </c>
      <c r="E5878" t="str">
        <f>IFERROR(__xludf.DUMMYFUNCTION("""COMPUTED_VALUE"""),"Tavarres")</f>
        <v>Tavarres</v>
      </c>
      <c r="F5878">
        <f>IFERROR(__xludf.DUMMYFUNCTION("""COMPUTED_VALUE"""),17.5)</f>
        <v>17.5</v>
      </c>
    </row>
    <row r="5879">
      <c r="D5879" t="str">
        <f>IFERROR(__xludf.DUMMYFUNCTION("""COMPUTED_VALUE"""),"Kirk")</f>
        <v>Kirk</v>
      </c>
      <c r="E5879" t="str">
        <f>IFERROR(__xludf.DUMMYFUNCTION("""COMPUTED_VALUE"""),"Christian")</f>
        <v>Christian</v>
      </c>
      <c r="F5879">
        <f>IFERROR(__xludf.DUMMYFUNCTION("""COMPUTED_VALUE"""),18.75)</f>
        <v>18.75</v>
      </c>
    </row>
    <row r="5880">
      <c r="D5880" t="str">
        <f>IFERROR(__xludf.DUMMYFUNCTION("""COMPUTED_VALUE"""),"Kirkpatrick")</f>
        <v>Kirkpatrick</v>
      </c>
      <c r="E5880" t="str">
        <f>IFERROR(__xludf.DUMMYFUNCTION("""COMPUTED_VALUE"""),"Dre")</f>
        <v>Dre</v>
      </c>
      <c r="F5880">
        <f>IFERROR(__xludf.DUMMYFUNCTION("""COMPUTED_VALUE"""),19.25)</f>
        <v>19.25</v>
      </c>
    </row>
    <row r="5881">
      <c r="D5881" t="str">
        <f>IFERROR(__xludf.DUMMYFUNCTION("""COMPUTED_VALUE"""),"Kirksey")</f>
        <v>Kirksey</v>
      </c>
      <c r="E5881" t="str">
        <f>IFERROR(__xludf.DUMMYFUNCTION("""COMPUTED_VALUE"""),"Christian")</f>
        <v>Christian</v>
      </c>
      <c r="F5881">
        <f>IFERROR(__xludf.DUMMYFUNCTION("""COMPUTED_VALUE"""),19.0)</f>
        <v>19</v>
      </c>
    </row>
    <row r="5882">
      <c r="D5882" t="str">
        <f>IFERROR(__xludf.DUMMYFUNCTION("""COMPUTED_VALUE"""),"Kiser")</f>
        <v>Kiser</v>
      </c>
      <c r="E5882" t="str">
        <f>IFERROR(__xludf.DUMMYFUNCTION("""COMPUTED_VALUE"""),"Micah")</f>
        <v>Micah</v>
      </c>
      <c r="F5882">
        <f>IFERROR(__xludf.DUMMYFUNCTION("""COMPUTED_VALUE"""),18.0)</f>
        <v>18</v>
      </c>
    </row>
    <row r="5883">
      <c r="D5883" t="str">
        <f>IFERROR(__xludf.DUMMYFUNCTION("""COMPUTED_VALUE"""),"Kittle")</f>
        <v>Kittle</v>
      </c>
      <c r="E5883" t="str">
        <f>IFERROR(__xludf.DUMMYFUNCTION("""COMPUTED_VALUE"""),"George")</f>
        <v>George</v>
      </c>
      <c r="F5883">
        <f>IFERROR(__xludf.DUMMYFUNCTION("""COMPUTED_VALUE"""),19.25)</f>
        <v>19.25</v>
      </c>
    </row>
    <row r="5884">
      <c r="D5884" t="str">
        <f>IFERROR(__xludf.DUMMYFUNCTION("""COMPUTED_VALUE"""),"Kizer")</f>
        <v>Kizer</v>
      </c>
      <c r="E5884" t="str">
        <f>IFERROR(__xludf.DUMMYFUNCTION("""COMPUTED_VALUE"""),"DeShone")</f>
        <v>DeShone</v>
      </c>
      <c r="F5884">
        <f>IFERROR(__xludf.DUMMYFUNCTION("""COMPUTED_VALUE"""),19.0)</f>
        <v>19</v>
      </c>
    </row>
    <row r="5885">
      <c r="D5885" t="str">
        <f>IFERROR(__xludf.DUMMYFUNCTION("""COMPUTED_VALUE"""),"Klein")</f>
        <v>Klein</v>
      </c>
      <c r="E5885" t="str">
        <f>IFERROR(__xludf.DUMMYFUNCTION("""COMPUTED_VALUE"""),"AJ")</f>
        <v>AJ</v>
      </c>
      <c r="F5885">
        <f>IFERROR(__xludf.DUMMYFUNCTION("""COMPUTED_VALUE"""),18.0)</f>
        <v>18</v>
      </c>
    </row>
    <row r="5886">
      <c r="D5886" t="str">
        <f>IFERROR(__xludf.DUMMYFUNCTION("""COMPUTED_VALUE"""),"Kline")</f>
        <v>Kline</v>
      </c>
      <c r="E5886" t="str">
        <f>IFERROR(__xludf.DUMMYFUNCTION("""COMPUTED_VALUE"""),"Josh")</f>
        <v>Josh</v>
      </c>
      <c r="F5886">
        <f>IFERROR(__xludf.DUMMYFUNCTION("""COMPUTED_VALUE"""),19.75)</f>
        <v>19.75</v>
      </c>
    </row>
    <row r="5887">
      <c r="D5887" t="str">
        <f>IFERROR(__xludf.DUMMYFUNCTION("""COMPUTED_VALUE"""),"Koch")</f>
        <v>Koch</v>
      </c>
      <c r="E5887" t="str">
        <f>IFERROR(__xludf.DUMMYFUNCTION("""COMPUTED_VALUE"""),"Sam")</f>
        <v>Sam</v>
      </c>
      <c r="F5887">
        <f>IFERROR(__xludf.DUMMYFUNCTION("""COMPUTED_VALUE"""),21.0)</f>
        <v>21</v>
      </c>
    </row>
    <row r="5888">
      <c r="D5888" t="str">
        <f>IFERROR(__xludf.DUMMYFUNCTION("""COMPUTED_VALUE"""),"Kouandjio")</f>
        <v>Kouandjio</v>
      </c>
      <c r="E5888" t="str">
        <f>IFERROR(__xludf.DUMMYFUNCTION("""COMPUTED_VALUE"""),"Arie")</f>
        <v>Arie</v>
      </c>
      <c r="F5888">
        <f>IFERROR(__xludf.DUMMYFUNCTION("""COMPUTED_VALUE"""),17.0)</f>
        <v>17</v>
      </c>
    </row>
    <row r="5889">
      <c r="D5889" t="str">
        <f>IFERROR(__xludf.DUMMYFUNCTION("""COMPUTED_VALUE"""),"Kouandjio")</f>
        <v>Kouandjio</v>
      </c>
      <c r="E5889" t="str">
        <f>IFERROR(__xludf.DUMMYFUNCTION("""COMPUTED_VALUE"""),"Cyrus")</f>
        <v>Cyrus</v>
      </c>
      <c r="F5889">
        <f>IFERROR(__xludf.DUMMYFUNCTION("""COMPUTED_VALUE"""),18.25)</f>
        <v>18.25</v>
      </c>
    </row>
    <row r="5890">
      <c r="D5890" t="str">
        <f>IFERROR(__xludf.DUMMYFUNCTION("""COMPUTED_VALUE"""),"Koyack")</f>
        <v>Koyack</v>
      </c>
      <c r="E5890" t="str">
        <f>IFERROR(__xludf.DUMMYFUNCTION("""COMPUTED_VALUE"""),"Ben")</f>
        <v>Ben</v>
      </c>
      <c r="F5890">
        <f>IFERROR(__xludf.DUMMYFUNCTION("""COMPUTED_VALUE"""),18.0)</f>
        <v>18</v>
      </c>
    </row>
    <row r="5891">
      <c r="D5891" t="str">
        <f>IFERROR(__xludf.DUMMYFUNCTION("""COMPUTED_VALUE"""),"Kpassagnon")</f>
        <v>Kpassagnon</v>
      </c>
      <c r="E5891" t="str">
        <f>IFERROR(__xludf.DUMMYFUNCTION("""COMPUTED_VALUE"""),"Tanoh")</f>
        <v>Tanoh</v>
      </c>
      <c r="F5891">
        <f>IFERROR(__xludf.DUMMYFUNCTION("""COMPUTED_VALUE"""),16.75)</f>
        <v>16.75</v>
      </c>
    </row>
    <row r="5892">
      <c r="D5892" t="str">
        <f>IFERROR(__xludf.DUMMYFUNCTION("""COMPUTED_VALUE"""),"Krieger-Coble")</f>
        <v>Krieger-Coble</v>
      </c>
      <c r="E5892" t="str">
        <f>IFERROR(__xludf.DUMMYFUNCTION("""COMPUTED_VALUE"""),"Henry")</f>
        <v>Henry</v>
      </c>
      <c r="F5892">
        <f>IFERROR(__xludf.DUMMYFUNCTION("""COMPUTED_VALUE"""),15.5)</f>
        <v>15.5</v>
      </c>
    </row>
    <row r="5893">
      <c r="D5893" t="str">
        <f>IFERROR(__xludf.DUMMYFUNCTION("""COMPUTED_VALUE"""),"Kroft")</f>
        <v>Kroft</v>
      </c>
      <c r="E5893" t="str">
        <f>IFERROR(__xludf.DUMMYFUNCTION("""COMPUTED_VALUE"""),"Tyler")</f>
        <v>Tyler</v>
      </c>
      <c r="F5893">
        <f>IFERROR(__xludf.DUMMYFUNCTION("""COMPUTED_VALUE"""),19.0)</f>
        <v>19</v>
      </c>
    </row>
    <row r="5894">
      <c r="D5894" t="str">
        <f>IFERROR(__xludf.DUMMYFUNCTION("""COMPUTED_VALUE"""),"Kuechly")</f>
        <v>Kuechly</v>
      </c>
      <c r="E5894" t="str">
        <f>IFERROR(__xludf.DUMMYFUNCTION("""COMPUTED_VALUE"""),"Luke")</f>
        <v>Luke</v>
      </c>
      <c r="F5894">
        <f>IFERROR(__xludf.DUMMYFUNCTION("""COMPUTED_VALUE"""),22.25)</f>
        <v>22.25</v>
      </c>
    </row>
    <row r="5895">
      <c r="D5895" t="str">
        <f>IFERROR(__xludf.DUMMYFUNCTION("""COMPUTED_VALUE"""),"Kuhn")</f>
        <v>Kuhn</v>
      </c>
      <c r="E5895" t="str">
        <f>IFERROR(__xludf.DUMMYFUNCTION("""COMPUTED_VALUE"""),"John")</f>
        <v>John</v>
      </c>
      <c r="F5895">
        <f>IFERROR(__xludf.DUMMYFUNCTION("""COMPUTED_VALUE"""),15.25)</f>
        <v>15.25</v>
      </c>
    </row>
    <row r="5896">
      <c r="D5896" t="str">
        <f>IFERROR(__xludf.DUMMYFUNCTION("""COMPUTED_VALUE"""),"Kupp")</f>
        <v>Kupp</v>
      </c>
      <c r="E5896" t="str">
        <f>IFERROR(__xludf.DUMMYFUNCTION("""COMPUTED_VALUE"""),"Cooper")</f>
        <v>Cooper</v>
      </c>
      <c r="F5896">
        <f>IFERROR(__xludf.DUMMYFUNCTION("""COMPUTED_VALUE"""),19.25)</f>
        <v>19.25</v>
      </c>
    </row>
    <row r="5897">
      <c r="D5897" t="str">
        <f>IFERROR(__xludf.DUMMYFUNCTION("""COMPUTED_VALUE"""),"Kush")</f>
        <v>Kush</v>
      </c>
      <c r="E5897" t="str">
        <f>IFERROR(__xludf.DUMMYFUNCTION("""COMPUTED_VALUE"""),"Eric")</f>
        <v>Eric</v>
      </c>
      <c r="F5897">
        <f>IFERROR(__xludf.DUMMYFUNCTION("""COMPUTED_VALUE"""),16.5)</f>
        <v>16.5</v>
      </c>
    </row>
    <row r="5898">
      <c r="D5898" t="str">
        <f>IFERROR(__xludf.DUMMYFUNCTION("""COMPUTED_VALUE"""),"Kwiatkoski")</f>
        <v>Kwiatkoski</v>
      </c>
      <c r="E5898" t="str">
        <f>IFERROR(__xludf.DUMMYFUNCTION("""COMPUTED_VALUE"""),"Nick")</f>
        <v>Nick</v>
      </c>
      <c r="F5898">
        <f>IFERROR(__xludf.DUMMYFUNCTION("""COMPUTED_VALUE"""),19.75)</f>
        <v>19.75</v>
      </c>
    </row>
    <row r="5899">
      <c r="D5899" t="str">
        <f>IFERROR(__xludf.DUMMYFUNCTION("""COMPUTED_VALUE"""),"Lacey")</f>
        <v>Lacey</v>
      </c>
      <c r="E5899" t="str">
        <f>IFERROR(__xludf.DUMMYFUNCTION("""COMPUTED_VALUE"""),"Deon")</f>
        <v>Deon</v>
      </c>
      <c r="F5899">
        <f>IFERROR(__xludf.DUMMYFUNCTION("""COMPUTED_VALUE"""),18.5)</f>
        <v>18.5</v>
      </c>
    </row>
    <row r="5900">
      <c r="D5900" t="str">
        <f>IFERROR(__xludf.DUMMYFUNCTION("""COMPUTED_VALUE"""),"LaFell")</f>
        <v>LaFell</v>
      </c>
      <c r="E5900" t="str">
        <f>IFERROR(__xludf.DUMMYFUNCTION("""COMPUTED_VALUE"""),"Brandon")</f>
        <v>Brandon</v>
      </c>
      <c r="F5900">
        <f>IFERROR(__xludf.DUMMYFUNCTION("""COMPUTED_VALUE"""),19.25)</f>
        <v>19.25</v>
      </c>
    </row>
    <row r="5901">
      <c r="D5901" t="str">
        <f>IFERROR(__xludf.DUMMYFUNCTION("""COMPUTED_VALUE"""),"Lambert")</f>
        <v>Lambert</v>
      </c>
      <c r="E5901" t="str">
        <f>IFERROR(__xludf.DUMMYFUNCTION("""COMPUTED_VALUE"""),"DaVonte")</f>
        <v>DaVonte</v>
      </c>
      <c r="F5901">
        <f>IFERROR(__xludf.DUMMYFUNCTION("""COMPUTED_VALUE"""),16.0)</f>
        <v>16</v>
      </c>
    </row>
    <row r="5902">
      <c r="D5902" t="str">
        <f>IFERROR(__xludf.DUMMYFUNCTION("""COMPUTED_VALUE"""),"Lambo")</f>
        <v>Lambo</v>
      </c>
      <c r="E5902" t="str">
        <f>IFERROR(__xludf.DUMMYFUNCTION("""COMPUTED_VALUE"""),"Josh")</f>
        <v>Josh</v>
      </c>
      <c r="F5902">
        <f>IFERROR(__xludf.DUMMYFUNCTION("""COMPUTED_VALUE"""),19.75)</f>
        <v>19.75</v>
      </c>
    </row>
    <row r="5903">
      <c r="D5903" t="str">
        <f>IFERROR(__xludf.DUMMYFUNCTION("""COMPUTED_VALUE"""),"Lamm")</f>
        <v>Lamm</v>
      </c>
      <c r="E5903" t="str">
        <f>IFERROR(__xludf.DUMMYFUNCTION("""COMPUTED_VALUE"""),"Kendall")</f>
        <v>Kendall</v>
      </c>
      <c r="F5903">
        <f>IFERROR(__xludf.DUMMYFUNCTION("""COMPUTED_VALUE"""),18.5)</f>
        <v>18.5</v>
      </c>
    </row>
    <row r="5904">
      <c r="D5904" t="str">
        <f>IFERROR(__xludf.DUMMYFUNCTION("""COMPUTED_VALUE"""),"Lamp")</f>
        <v>Lamp</v>
      </c>
      <c r="E5904" t="str">
        <f>IFERROR(__xludf.DUMMYFUNCTION("""COMPUTED_VALUE"""),"Forrest")</f>
        <v>Forrest</v>
      </c>
      <c r="F5904">
        <f>IFERROR(__xludf.DUMMYFUNCTION("""COMPUTED_VALUE"""),19.5)</f>
        <v>19.5</v>
      </c>
    </row>
    <row r="5905">
      <c r="D5905" t="str">
        <f>IFERROR(__xludf.DUMMYFUNCTION("""COMPUTED_VALUE"""),"Lampman")</f>
        <v>Lampman</v>
      </c>
      <c r="E5905" t="str">
        <f>IFERROR(__xludf.DUMMYFUNCTION("""COMPUTED_VALUE"""),"Jake")</f>
        <v>Jake</v>
      </c>
      <c r="F5905">
        <f>IFERROR(__xludf.DUMMYFUNCTION("""COMPUTED_VALUE"""),16.0)</f>
        <v>16</v>
      </c>
    </row>
    <row r="5906">
      <c r="D5906" t="str">
        <f>IFERROR(__xludf.DUMMYFUNCTION("""COMPUTED_VALUE"""),"Lamur")</f>
        <v>Lamur</v>
      </c>
      <c r="E5906" t="str">
        <f>IFERROR(__xludf.DUMMYFUNCTION("""COMPUTED_VALUE"""),"Emmanuel")</f>
        <v>Emmanuel</v>
      </c>
      <c r="F5906">
        <f>IFERROR(__xludf.DUMMYFUNCTION("""COMPUTED_VALUE"""),18.0)</f>
        <v>18</v>
      </c>
    </row>
    <row r="5907">
      <c r="D5907" t="str">
        <f>IFERROR(__xludf.DUMMYFUNCTION("""COMPUTED_VALUE"""),"Landry")</f>
        <v>Landry</v>
      </c>
      <c r="E5907" t="str">
        <f>IFERROR(__xludf.DUMMYFUNCTION("""COMPUTED_VALUE"""),"Harold")</f>
        <v>Harold</v>
      </c>
      <c r="F5907">
        <f>IFERROR(__xludf.DUMMYFUNCTION("""COMPUTED_VALUE"""),18.75)</f>
        <v>18.75</v>
      </c>
    </row>
    <row r="5908">
      <c r="D5908" t="str">
        <f>IFERROR(__xludf.DUMMYFUNCTION("""COMPUTED_VALUE"""),"Landry")</f>
        <v>Landry</v>
      </c>
      <c r="E5908" t="str">
        <f>IFERROR(__xludf.DUMMYFUNCTION("""COMPUTED_VALUE"""),"Jarvis")</f>
        <v>Jarvis</v>
      </c>
      <c r="F5908">
        <f>IFERROR(__xludf.DUMMYFUNCTION("""COMPUTED_VALUE"""),21.5)</f>
        <v>21.5</v>
      </c>
    </row>
    <row r="5909">
      <c r="D5909" t="str">
        <f>IFERROR(__xludf.DUMMYFUNCTION("""COMPUTED_VALUE"""),"Landry")</f>
        <v>Landry</v>
      </c>
      <c r="E5909" t="str">
        <f>IFERROR(__xludf.DUMMYFUNCTION("""COMPUTED_VALUE"""),"Jarvis")</f>
        <v>Jarvis</v>
      </c>
      <c r="F5909">
        <f>IFERROR(__xludf.DUMMYFUNCTION("""COMPUTED_VALUE"""),22.25)</f>
        <v>22.25</v>
      </c>
    </row>
    <row r="5910">
      <c r="D5910" t="str">
        <f>IFERROR(__xludf.DUMMYFUNCTION("""COMPUTED_VALUE"""),"Lang")</f>
        <v>Lang</v>
      </c>
      <c r="E5910" t="str">
        <f>IFERROR(__xludf.DUMMYFUNCTION("""COMPUTED_VALUE"""),"TJ")</f>
        <v>TJ</v>
      </c>
      <c r="F5910">
        <f>IFERROR(__xludf.DUMMYFUNCTION("""COMPUTED_VALUE"""),20.0)</f>
        <v>20</v>
      </c>
    </row>
    <row r="5911">
      <c r="D5911" t="str">
        <f>IFERROR(__xludf.DUMMYFUNCTION("""COMPUTED_VALUE"""),"Lang")</f>
        <v>Lang</v>
      </c>
      <c r="E5911" t="str">
        <f>IFERROR(__xludf.DUMMYFUNCTION("""COMPUTED_VALUE"""),"TJ")</f>
        <v>TJ</v>
      </c>
      <c r="F5911">
        <f>IFERROR(__xludf.DUMMYFUNCTION("""COMPUTED_VALUE"""),21.5)</f>
        <v>21.5</v>
      </c>
    </row>
    <row r="5912">
      <c r="D5912" t="str">
        <f>IFERROR(__xludf.DUMMYFUNCTION("""COMPUTED_VALUE"""),"Langi")</f>
        <v>Langi</v>
      </c>
      <c r="E5912" t="str">
        <f>IFERROR(__xludf.DUMMYFUNCTION("""COMPUTED_VALUE"""),"Harvey")</f>
        <v>Harvey</v>
      </c>
      <c r="F5912">
        <f>IFERROR(__xludf.DUMMYFUNCTION("""COMPUTED_VALUE"""),17.0)</f>
        <v>17</v>
      </c>
    </row>
    <row r="5913">
      <c r="D5913" t="str">
        <f>IFERROR(__xludf.DUMMYFUNCTION("""COMPUTED_VALUE"""),"Langley")</f>
        <v>Langley</v>
      </c>
      <c r="E5913" t="str">
        <f>IFERROR(__xludf.DUMMYFUNCTION("""COMPUTED_VALUE"""),"Brendan")</f>
        <v>Brendan</v>
      </c>
      <c r="F5913">
        <f>IFERROR(__xludf.DUMMYFUNCTION("""COMPUTED_VALUE"""),17.5)</f>
        <v>17.5</v>
      </c>
    </row>
    <row r="5914">
      <c r="D5914" t="str">
        <f>IFERROR(__xludf.DUMMYFUNCTION("""COMPUTED_VALUE"""),"Lanier II")</f>
        <v>Lanier II</v>
      </c>
      <c r="E5914" t="str">
        <f>IFERROR(__xludf.DUMMYFUNCTION("""COMPUTED_VALUE"""),"Anthony")</f>
        <v>Anthony</v>
      </c>
      <c r="F5914">
        <f>IFERROR(__xludf.DUMMYFUNCTION("""COMPUTED_VALUE"""),16.75)</f>
        <v>16.75</v>
      </c>
    </row>
    <row r="5915">
      <c r="D5915" t="str">
        <f>IFERROR(__xludf.DUMMYFUNCTION("""COMPUTED_VALUE"""),"LARey")</f>
        <v>LARey</v>
      </c>
      <c r="E5915" t="str">
        <f>IFERROR(__xludf.DUMMYFUNCTION("""COMPUTED_VALUE"""),"Jalen")</f>
        <v>Jalen</v>
      </c>
      <c r="F5915">
        <f>IFERROR(__xludf.DUMMYFUNCTION("""COMPUTED_VALUE"""),22.25)</f>
        <v>22.25</v>
      </c>
    </row>
    <row r="5916">
      <c r="D5916" t="str">
        <f>IFERROR(__xludf.DUMMYFUNCTION("""COMPUTED_VALUE"""),"LARey")</f>
        <v>LARey</v>
      </c>
      <c r="E5916" t="str">
        <f>IFERROR(__xludf.DUMMYFUNCTION("""COMPUTED_VALUE"""),"Jalen")</f>
        <v>Jalen</v>
      </c>
      <c r="F5916">
        <f>IFERROR(__xludf.DUMMYFUNCTION("""COMPUTED_VALUE"""),23.0)</f>
        <v>23</v>
      </c>
    </row>
    <row r="5917">
      <c r="D5917" t="str">
        <f>IFERROR(__xludf.DUMMYFUNCTION("""COMPUTED_VALUE"""),"Larsen")</f>
        <v>Larsen</v>
      </c>
      <c r="E5917" t="str">
        <f>IFERROR(__xludf.DUMMYFUNCTION("""COMPUTED_VALUE"""),"Ted")</f>
        <v>Ted</v>
      </c>
      <c r="F5917">
        <f>IFERROR(__xludf.DUMMYFUNCTION("""COMPUTED_VALUE"""),17.25)</f>
        <v>17.25</v>
      </c>
    </row>
    <row r="5918">
      <c r="D5918" t="str">
        <f>IFERROR(__xludf.DUMMYFUNCTION("""COMPUTED_VALUE"""),"Larsen")</f>
        <v>Larsen</v>
      </c>
      <c r="E5918" t="str">
        <f>IFERROR(__xludf.DUMMYFUNCTION("""COMPUTED_VALUE"""),"Tyler")</f>
        <v>Tyler</v>
      </c>
      <c r="F5918">
        <f>IFERROR(__xludf.DUMMYFUNCTION("""COMPUTED_VALUE"""),18.25)</f>
        <v>18.25</v>
      </c>
    </row>
    <row r="5919">
      <c r="D5919" t="str">
        <f>IFERROR(__xludf.DUMMYFUNCTION("""COMPUTED_VALUE"""),"Lasco")</f>
        <v>Lasco</v>
      </c>
      <c r="E5919" t="str">
        <f>IFERROR(__xludf.DUMMYFUNCTION("""COMPUTED_VALUE"""),"Daniel")</f>
        <v>Daniel</v>
      </c>
      <c r="F5919">
        <f>IFERROR(__xludf.DUMMYFUNCTION("""COMPUTED_VALUE"""),16.25)</f>
        <v>16.25</v>
      </c>
    </row>
    <row r="5920">
      <c r="D5920" t="str">
        <f>IFERROR(__xludf.DUMMYFUNCTION("""COMPUTED_VALUE"""),"Lasley")</f>
        <v>Lasley</v>
      </c>
      <c r="E5920" t="str">
        <f>IFERROR(__xludf.DUMMYFUNCTION("""COMPUTED_VALUE"""),"Jordan")</f>
        <v>Jordan</v>
      </c>
      <c r="F5920">
        <f>IFERROR(__xludf.DUMMYFUNCTION("""COMPUTED_VALUE"""),17.25)</f>
        <v>17.25</v>
      </c>
    </row>
    <row r="5921">
      <c r="D5921" t="str">
        <f>IFERROR(__xludf.DUMMYFUNCTION("""COMPUTED_VALUE"""),"Latham")</f>
        <v>Latham</v>
      </c>
      <c r="E5921" t="str">
        <f>IFERROR(__xludf.DUMMYFUNCTION("""COMPUTED_VALUE"""),"Darius")</f>
        <v>Darius</v>
      </c>
      <c r="F5921">
        <f>IFERROR(__xludf.DUMMYFUNCTION("""COMPUTED_VALUE"""),16.75)</f>
        <v>16.75</v>
      </c>
    </row>
    <row r="5922">
      <c r="D5922" t="str">
        <f>IFERROR(__xludf.DUMMYFUNCTION("""COMPUTED_VALUE"""),"Latimer")</f>
        <v>Latimer</v>
      </c>
      <c r="E5922" t="str">
        <f>IFERROR(__xludf.DUMMYFUNCTION("""COMPUTED_VALUE"""),"Cody")</f>
        <v>Cody</v>
      </c>
      <c r="F5922">
        <f>IFERROR(__xludf.DUMMYFUNCTION("""COMPUTED_VALUE"""),18.0)</f>
        <v>18</v>
      </c>
    </row>
    <row r="5923">
      <c r="D5923" t="str">
        <f>IFERROR(__xludf.DUMMYFUNCTION("""COMPUTED_VALUE"""),"Lattimore")</f>
        <v>Lattimore</v>
      </c>
      <c r="E5923" t="str">
        <f>IFERROR(__xludf.DUMMYFUNCTION("""COMPUTED_VALUE"""),"Marshon")</f>
        <v>Marshon</v>
      </c>
      <c r="F5923">
        <f>IFERROR(__xludf.DUMMYFUNCTION("""COMPUTED_VALUE"""),21.5)</f>
        <v>21.5</v>
      </c>
    </row>
    <row r="5924">
      <c r="D5924" t="str">
        <f>IFERROR(__xludf.DUMMYFUNCTION("""COMPUTED_VALUE"""),"Lauletta")</f>
        <v>Lauletta</v>
      </c>
      <c r="E5924" t="str">
        <f>IFERROR(__xludf.DUMMYFUNCTION("""COMPUTED_VALUE"""),"Kyle")</f>
        <v>Kyle</v>
      </c>
      <c r="F5924">
        <f>IFERROR(__xludf.DUMMYFUNCTION("""COMPUTED_VALUE"""),18.0)</f>
        <v>18</v>
      </c>
    </row>
    <row r="5925">
      <c r="D5925" t="str">
        <f>IFERROR(__xludf.DUMMYFUNCTION("""COMPUTED_VALUE"""),"Lawler")</f>
        <v>Lawler</v>
      </c>
      <c r="E5925" t="str">
        <f>IFERROR(__xludf.DUMMYFUNCTION("""COMPUTED_VALUE"""),"Justin")</f>
        <v>Justin</v>
      </c>
      <c r="F5925">
        <f>IFERROR(__xludf.DUMMYFUNCTION("""COMPUTED_VALUE"""),16.5)</f>
        <v>16.5</v>
      </c>
    </row>
    <row r="5926">
      <c r="D5926" t="str">
        <f>IFERROR(__xludf.DUMMYFUNCTION("""COMPUTED_VALUE"""),"Lawrence")</f>
        <v>Lawrence</v>
      </c>
      <c r="E5926" t="str">
        <f>IFERROR(__xludf.DUMMYFUNCTION("""COMPUTED_VALUE"""),"DeMarcus")</f>
        <v>DeMarcus</v>
      </c>
      <c r="F5926">
        <f>IFERROR(__xludf.DUMMYFUNCTION("""COMPUTED_VALUE"""),20.75)</f>
        <v>20.75</v>
      </c>
    </row>
    <row r="5927">
      <c r="D5927" t="str">
        <f>IFERROR(__xludf.DUMMYFUNCTION("""COMPUTED_VALUE"""),"Lawson")</f>
        <v>Lawson</v>
      </c>
      <c r="E5927" t="str">
        <f>IFERROR(__xludf.DUMMYFUNCTION("""COMPUTED_VALUE"""),"Carl")</f>
        <v>Carl</v>
      </c>
      <c r="F5927">
        <f>IFERROR(__xludf.DUMMYFUNCTION("""COMPUTED_VALUE"""),19.75)</f>
        <v>19.75</v>
      </c>
    </row>
    <row r="5928">
      <c r="D5928" t="str">
        <f>IFERROR(__xludf.DUMMYFUNCTION("""COMPUTED_VALUE"""),"Lawson")</f>
        <v>Lawson</v>
      </c>
      <c r="E5928" t="str">
        <f>IFERROR(__xludf.DUMMYFUNCTION("""COMPUTED_VALUE"""),"Nevin")</f>
        <v>Nevin</v>
      </c>
      <c r="F5928">
        <f>IFERROR(__xludf.DUMMYFUNCTION("""COMPUTED_VALUE"""),18.0)</f>
        <v>18</v>
      </c>
    </row>
    <row r="5929">
      <c r="D5929" t="str">
        <f>IFERROR(__xludf.DUMMYFUNCTION("""COMPUTED_VALUE"""),"Lawson")</f>
        <v>Lawson</v>
      </c>
      <c r="E5929" t="str">
        <f>IFERROR(__xludf.DUMMYFUNCTION("""COMPUTED_VALUE"""),"Shaq")</f>
        <v>Shaq</v>
      </c>
      <c r="F5929">
        <f>IFERROR(__xludf.DUMMYFUNCTION("""COMPUTED_VALUE"""),18.75)</f>
        <v>18.75</v>
      </c>
    </row>
    <row r="5930">
      <c r="D5930" t="str">
        <f>IFERROR(__xludf.DUMMYFUNCTION("""COMPUTED_VALUE"""),"Leary")</f>
        <v>Leary</v>
      </c>
      <c r="E5930" t="str">
        <f>IFERROR(__xludf.DUMMYFUNCTION("""COMPUTED_VALUE"""),"Ron")</f>
        <v>Ron</v>
      </c>
      <c r="F5930">
        <f>IFERROR(__xludf.DUMMYFUNCTION("""COMPUTED_VALUE"""),20.25)</f>
        <v>20.25</v>
      </c>
    </row>
    <row r="5931">
      <c r="D5931" t="str">
        <f>IFERROR(__xludf.DUMMYFUNCTION("""COMPUTED_VALUE"""),"LeBlanc")</f>
        <v>LeBlanc</v>
      </c>
      <c r="E5931" t="str">
        <f>IFERROR(__xludf.DUMMYFUNCTION("""COMPUTED_VALUE"""),"CreVon")</f>
        <v>CreVon</v>
      </c>
      <c r="F5931">
        <f>IFERROR(__xludf.DUMMYFUNCTION("""COMPUTED_VALUE"""),18.75)</f>
        <v>18.75</v>
      </c>
    </row>
    <row r="5932">
      <c r="D5932" t="str">
        <f>IFERROR(__xludf.DUMMYFUNCTION("""COMPUTED_VALUE"""),"Lechler")</f>
        <v>Lechler</v>
      </c>
      <c r="E5932" t="str">
        <f>IFERROR(__xludf.DUMMYFUNCTION("""COMPUTED_VALUE"""),"Shane")</f>
        <v>Shane</v>
      </c>
      <c r="F5932">
        <f>IFERROR(__xludf.DUMMYFUNCTION("""COMPUTED_VALUE"""),19.5)</f>
        <v>19.5</v>
      </c>
    </row>
    <row r="5933">
      <c r="D5933" t="str">
        <f>IFERROR(__xludf.DUMMYFUNCTION("""COMPUTED_VALUE"""),"Ledbetter")</f>
        <v>Ledbetter</v>
      </c>
      <c r="E5933" t="str">
        <f>IFERROR(__xludf.DUMMYFUNCTION("""COMPUTED_VALUE"""),"Jeremiah")</f>
        <v>Jeremiah</v>
      </c>
      <c r="F5933">
        <f>IFERROR(__xludf.DUMMYFUNCTION("""COMPUTED_VALUE"""),16.5)</f>
        <v>16.5</v>
      </c>
    </row>
    <row r="5934">
      <c r="D5934" t="str">
        <f>IFERROR(__xludf.DUMMYFUNCTION("""COMPUTED_VALUE"""),"Lee")</f>
        <v>Lee</v>
      </c>
      <c r="E5934" t="str">
        <f>IFERROR(__xludf.DUMMYFUNCTION("""COMPUTED_VALUE"""),"Andy")</f>
        <v>Andy</v>
      </c>
      <c r="F5934">
        <f>IFERROR(__xludf.DUMMYFUNCTION("""COMPUTED_VALUE"""),20.5)</f>
        <v>20.5</v>
      </c>
    </row>
    <row r="5935">
      <c r="D5935" t="str">
        <f>IFERROR(__xludf.DUMMYFUNCTION("""COMPUTED_VALUE"""),"Lee")</f>
        <v>Lee</v>
      </c>
      <c r="E5935" t="str">
        <f>IFERROR(__xludf.DUMMYFUNCTION("""COMPUTED_VALUE"""),"Cameron")</f>
        <v>Cameron</v>
      </c>
      <c r="F5935">
        <f>IFERROR(__xludf.DUMMYFUNCTION("""COMPUTED_VALUE"""),15.75)</f>
        <v>15.75</v>
      </c>
    </row>
    <row r="5936">
      <c r="D5936" t="str">
        <f>IFERROR(__xludf.DUMMYFUNCTION("""COMPUTED_VALUE"""),"Lee")</f>
        <v>Lee</v>
      </c>
      <c r="E5936" t="str">
        <f>IFERROR(__xludf.DUMMYFUNCTION("""COMPUTED_VALUE"""),"Darron")</f>
        <v>Darron</v>
      </c>
      <c r="F5936">
        <f>IFERROR(__xludf.DUMMYFUNCTION("""COMPUTED_VALUE"""),18.5)</f>
        <v>18.5</v>
      </c>
    </row>
    <row r="5937">
      <c r="D5937" t="str">
        <f>IFERROR(__xludf.DUMMYFUNCTION("""COMPUTED_VALUE"""),"Lee")</f>
        <v>Lee</v>
      </c>
      <c r="E5937" t="str">
        <f>IFERROR(__xludf.DUMMYFUNCTION("""COMPUTED_VALUE"""),"Elijah")</f>
        <v>Elijah</v>
      </c>
      <c r="F5937">
        <f>IFERROR(__xludf.DUMMYFUNCTION("""COMPUTED_VALUE"""),17.25)</f>
        <v>17.25</v>
      </c>
    </row>
    <row r="5938">
      <c r="D5938" t="str">
        <f>IFERROR(__xludf.DUMMYFUNCTION("""COMPUTED_VALUE"""),"Lee")</f>
        <v>Lee</v>
      </c>
      <c r="E5938" t="str">
        <f>IFERROR(__xludf.DUMMYFUNCTION("""COMPUTED_VALUE"""),"Eric")</f>
        <v>Eric</v>
      </c>
      <c r="F5938">
        <f>IFERROR(__xludf.DUMMYFUNCTION("""COMPUTED_VALUE"""),17.5)</f>
        <v>17.5</v>
      </c>
    </row>
    <row r="5939">
      <c r="D5939" t="str">
        <f>IFERROR(__xludf.DUMMYFUNCTION("""COMPUTED_VALUE"""),"Lee")</f>
        <v>Lee</v>
      </c>
      <c r="E5939" t="str">
        <f>IFERROR(__xludf.DUMMYFUNCTION("""COMPUTED_VALUE"""),"Khari")</f>
        <v>Khari</v>
      </c>
      <c r="F5939">
        <f>IFERROR(__xludf.DUMMYFUNCTION("""COMPUTED_VALUE"""),17.5)</f>
        <v>17.5</v>
      </c>
    </row>
    <row r="5940">
      <c r="D5940" t="str">
        <f>IFERROR(__xludf.DUMMYFUNCTION("""COMPUTED_VALUE"""),"Lee")</f>
        <v>Lee</v>
      </c>
      <c r="E5940" t="str">
        <f>IFERROR(__xludf.DUMMYFUNCTION("""COMPUTED_VALUE"""),"Marqise")</f>
        <v>Marqise</v>
      </c>
      <c r="F5940">
        <f>IFERROR(__xludf.DUMMYFUNCTION("""COMPUTED_VALUE"""),19.5)</f>
        <v>19.5</v>
      </c>
    </row>
    <row r="5941">
      <c r="D5941" t="str">
        <f>IFERROR(__xludf.DUMMYFUNCTION("""COMPUTED_VALUE"""),"Lee")</f>
        <v>Lee</v>
      </c>
      <c r="E5941" t="str">
        <f>IFERROR(__xludf.DUMMYFUNCTION("""COMPUTED_VALUE"""),"Marquel")</f>
        <v>Marquel</v>
      </c>
      <c r="F5941">
        <f>IFERROR(__xludf.DUMMYFUNCTION("""COMPUTED_VALUE"""),17.25)</f>
        <v>17.25</v>
      </c>
    </row>
    <row r="5942">
      <c r="D5942" t="str">
        <f>IFERROR(__xludf.DUMMYFUNCTION("""COMPUTED_VALUE"""),"Lee")</f>
        <v>Lee</v>
      </c>
      <c r="E5942" t="str">
        <f>IFERROR(__xludf.DUMMYFUNCTION("""COMPUTED_VALUE"""),"Sean")</f>
        <v>Sean</v>
      </c>
      <c r="F5942">
        <f>IFERROR(__xludf.DUMMYFUNCTION("""COMPUTED_VALUE"""),21.5)</f>
        <v>21.5</v>
      </c>
    </row>
    <row r="5943">
      <c r="D5943" t="str">
        <f>IFERROR(__xludf.DUMMYFUNCTION("""COMPUTED_VALUE"""),"Lee")</f>
        <v>Lee</v>
      </c>
      <c r="E5943" t="str">
        <f>IFERROR(__xludf.DUMMYFUNCTION("""COMPUTED_VALUE"""),"Tanner")</f>
        <v>Tanner</v>
      </c>
      <c r="F5943">
        <f>IFERROR(__xludf.DUMMYFUNCTION("""COMPUTED_VALUE"""),16.5)</f>
        <v>16.5</v>
      </c>
    </row>
    <row r="5944">
      <c r="D5944" t="str">
        <f>IFERROR(__xludf.DUMMYFUNCTION("""COMPUTED_VALUE"""),"Leggett")</f>
        <v>Leggett</v>
      </c>
      <c r="E5944" t="str">
        <f>IFERROR(__xludf.DUMMYFUNCTION("""COMPUTED_VALUE"""),"Jordan")</f>
        <v>Jordan</v>
      </c>
      <c r="F5944">
        <f>IFERROR(__xludf.DUMMYFUNCTION("""COMPUTED_VALUE"""),17.25)</f>
        <v>17.25</v>
      </c>
    </row>
    <row r="5945">
      <c r="D5945" t="str">
        <f>IFERROR(__xludf.DUMMYFUNCTION("""COMPUTED_VALUE"""),"Lengel")</f>
        <v>Lengel</v>
      </c>
      <c r="E5945" t="str">
        <f>IFERROR(__xludf.DUMMYFUNCTION("""COMPUTED_VALUE"""),"Matt")</f>
        <v>Matt</v>
      </c>
      <c r="F5945">
        <f>IFERROR(__xludf.DUMMYFUNCTION("""COMPUTED_VALUE"""),17.25)</f>
        <v>17.25</v>
      </c>
    </row>
    <row r="5946">
      <c r="D5946" t="str">
        <f>IFERROR(__xludf.DUMMYFUNCTION("""COMPUTED_VALUE"""),"Leno Jr")</f>
        <v>Leno Jr</v>
      </c>
      <c r="E5946" t="str">
        <f>IFERROR(__xludf.DUMMYFUNCTION("""COMPUTED_VALUE"""),"Charles")</f>
        <v>Charles</v>
      </c>
      <c r="F5946">
        <f>IFERROR(__xludf.DUMMYFUNCTION("""COMPUTED_VALUE"""),19.75)</f>
        <v>19.75</v>
      </c>
    </row>
    <row r="5947">
      <c r="D5947" t="str">
        <f>IFERROR(__xludf.DUMMYFUNCTION("""COMPUTED_VALUE"""),"Leonard")</f>
        <v>Leonard</v>
      </c>
      <c r="E5947" t="str">
        <f>IFERROR(__xludf.DUMMYFUNCTION("""COMPUTED_VALUE"""),"Darius")</f>
        <v>Darius</v>
      </c>
      <c r="F5947">
        <f>IFERROR(__xludf.DUMMYFUNCTION("""COMPUTED_VALUE"""),18.5)</f>
        <v>18.5</v>
      </c>
    </row>
    <row r="5948">
      <c r="D5948" t="str">
        <f>IFERROR(__xludf.DUMMYFUNCTION("""COMPUTED_VALUE"""),"Leonard")</f>
        <v>Leonard</v>
      </c>
      <c r="E5948" t="str">
        <f>IFERROR(__xludf.DUMMYFUNCTION("""COMPUTED_VALUE"""),"Rick")</f>
        <v>Rick</v>
      </c>
      <c r="F5948">
        <f>IFERROR(__xludf.DUMMYFUNCTION("""COMPUTED_VALUE"""),17.0)</f>
        <v>17</v>
      </c>
    </row>
    <row r="5949">
      <c r="D5949" t="str">
        <f>IFERROR(__xludf.DUMMYFUNCTION("""COMPUTED_VALUE"""),"Leslie")</f>
        <v>Leslie</v>
      </c>
      <c r="E5949" t="str">
        <f>IFERROR(__xludf.DUMMYFUNCTION("""COMPUTED_VALUE"""),"Jordan")</f>
        <v>Jordan</v>
      </c>
      <c r="F5949">
        <f>IFERROR(__xludf.DUMMYFUNCTION("""COMPUTED_VALUE"""),17.0)</f>
        <v>17</v>
      </c>
    </row>
    <row r="5950">
      <c r="D5950" t="str">
        <f>IFERROR(__xludf.DUMMYFUNCTION("""COMPUTED_VALUE"""),"Levin")</f>
        <v>Levin</v>
      </c>
      <c r="E5950" t="str">
        <f>IFERROR(__xludf.DUMMYFUNCTION("""COMPUTED_VALUE"""),"Corey")</f>
        <v>Corey</v>
      </c>
      <c r="F5950">
        <f>IFERROR(__xludf.DUMMYFUNCTION("""COMPUTED_VALUE"""),16.75)</f>
        <v>16.75</v>
      </c>
    </row>
    <row r="5951">
      <c r="D5951" t="str">
        <f>IFERROR(__xludf.DUMMYFUNCTION("""COMPUTED_VALUE"""),"Levine Sr")</f>
        <v>Levine Sr</v>
      </c>
      <c r="E5951" t="str">
        <f>IFERROR(__xludf.DUMMYFUNCTION("""COMPUTED_VALUE"""),"Anthony")</f>
        <v>Anthony</v>
      </c>
      <c r="F5951">
        <f>IFERROR(__xludf.DUMMYFUNCTION("""COMPUTED_VALUE"""),18.75)</f>
        <v>18.75</v>
      </c>
    </row>
    <row r="5952">
      <c r="D5952" t="str">
        <f>IFERROR(__xludf.DUMMYFUNCTION("""COMPUTED_VALUE"""),"Levitre")</f>
        <v>Levitre</v>
      </c>
      <c r="E5952" t="str">
        <f>IFERROR(__xludf.DUMMYFUNCTION("""COMPUTED_VALUE"""),"Andy")</f>
        <v>Andy</v>
      </c>
      <c r="F5952">
        <f>IFERROR(__xludf.DUMMYFUNCTION("""COMPUTED_VALUE"""),20.0)</f>
        <v>20</v>
      </c>
    </row>
    <row r="5953">
      <c r="D5953" t="str">
        <f>IFERROR(__xludf.DUMMYFUNCTION("""COMPUTED_VALUE"""),"Lewan")</f>
        <v>Lewan</v>
      </c>
      <c r="E5953" t="str">
        <f>IFERROR(__xludf.DUMMYFUNCTION("""COMPUTED_VALUE"""),"Taylor")</f>
        <v>Taylor</v>
      </c>
      <c r="F5953">
        <f>IFERROR(__xludf.DUMMYFUNCTION("""COMPUTED_VALUE"""),20.5)</f>
        <v>20.5</v>
      </c>
    </row>
    <row r="5954">
      <c r="D5954" t="str">
        <f>IFERROR(__xludf.DUMMYFUNCTION("""COMPUTED_VALUE"""),"Lewis")</f>
        <v>Lewis</v>
      </c>
      <c r="E5954" t="str">
        <f>IFERROR(__xludf.DUMMYFUNCTION("""COMPUTED_VALUE"""),"Alex")</f>
        <v>Alex</v>
      </c>
      <c r="F5954">
        <f>IFERROR(__xludf.DUMMYFUNCTION("""COMPUTED_VALUE"""),18.5)</f>
        <v>18.5</v>
      </c>
    </row>
    <row r="5955">
      <c r="D5955" t="str">
        <f>IFERROR(__xludf.DUMMYFUNCTION("""COMPUTED_VALUE"""),"Lewis")</f>
        <v>Lewis</v>
      </c>
      <c r="E5955" t="str">
        <f>IFERROR(__xludf.DUMMYFUNCTION("""COMPUTED_VALUE"""),"Dion")</f>
        <v>Dion</v>
      </c>
      <c r="F5955">
        <f>IFERROR(__xludf.DUMMYFUNCTION("""COMPUTED_VALUE"""),20.5)</f>
        <v>20.5</v>
      </c>
    </row>
    <row r="5956">
      <c r="D5956" t="str">
        <f>IFERROR(__xludf.DUMMYFUNCTION("""COMPUTED_VALUE"""),"Lewis")</f>
        <v>Lewis</v>
      </c>
      <c r="E5956" t="str">
        <f>IFERROR(__xludf.DUMMYFUNCTION("""COMPUTED_VALUE"""),"Jourdan")</f>
        <v>Jourdan</v>
      </c>
      <c r="F5956">
        <f>IFERROR(__xludf.DUMMYFUNCTION("""COMPUTED_VALUE"""),19.0)</f>
        <v>19</v>
      </c>
    </row>
    <row r="5957">
      <c r="D5957" t="str">
        <f>IFERROR(__xludf.DUMMYFUNCTION("""COMPUTED_VALUE"""),"Lewis")</f>
        <v>Lewis</v>
      </c>
      <c r="E5957" t="str">
        <f>IFERROR(__xludf.DUMMYFUNCTION("""COMPUTED_VALUE"""),"Kendrick")</f>
        <v>Kendrick</v>
      </c>
      <c r="F5957">
        <f>IFERROR(__xludf.DUMMYFUNCTION("""COMPUTED_VALUE"""),18.0)</f>
        <v>18</v>
      </c>
    </row>
    <row r="5958">
      <c r="D5958" t="str">
        <f>IFERROR(__xludf.DUMMYFUNCTION("""COMPUTED_VALUE"""),"Lewis")</f>
        <v>Lewis</v>
      </c>
      <c r="E5958" t="str">
        <f>IFERROR(__xludf.DUMMYFUNCTION("""COMPUTED_VALUE"""),"LaTroy")</f>
        <v>LaTroy</v>
      </c>
      <c r="F5958">
        <f>IFERROR(__xludf.DUMMYFUNCTION("""COMPUTED_VALUE"""),15.75)</f>
        <v>15.75</v>
      </c>
    </row>
    <row r="5959">
      <c r="D5959" t="str">
        <f>IFERROR(__xludf.DUMMYFUNCTION("""COMPUTED_VALUE"""),"Lewis")</f>
        <v>Lewis</v>
      </c>
      <c r="E5959" t="str">
        <f>IFERROR(__xludf.DUMMYFUNCTION("""COMPUTED_VALUE"""),"Marcedes")</f>
        <v>Marcedes</v>
      </c>
      <c r="F5959">
        <f>IFERROR(__xludf.DUMMYFUNCTION("""COMPUTED_VALUE"""),19.5)</f>
        <v>19.5</v>
      </c>
    </row>
    <row r="5960">
      <c r="D5960" t="str">
        <f>IFERROR(__xludf.DUMMYFUNCTION("""COMPUTED_VALUE"""),"Lewis")</f>
        <v>Lewis</v>
      </c>
      <c r="E5960" t="str">
        <f>IFERROR(__xludf.DUMMYFUNCTION("""COMPUTED_VALUE"""),"Tommylee")</f>
        <v>Tommylee</v>
      </c>
      <c r="F5960">
        <f>IFERROR(__xludf.DUMMYFUNCTION("""COMPUTED_VALUE"""),17.0)</f>
        <v>17</v>
      </c>
    </row>
    <row r="5961">
      <c r="D5961" t="str">
        <f>IFERROR(__xludf.DUMMYFUNCTION("""COMPUTED_VALUE"""),"Lewis")</f>
        <v>Lewis</v>
      </c>
      <c r="E5961" t="str">
        <f>IFERROR(__xludf.DUMMYFUNCTION("""COMPUTED_VALUE"""),"Tyquan")</f>
        <v>Tyquan</v>
      </c>
      <c r="F5961">
        <f>IFERROR(__xludf.DUMMYFUNCTION("""COMPUTED_VALUE"""),18.75)</f>
        <v>18.75</v>
      </c>
    </row>
    <row r="5962">
      <c r="D5962" t="str">
        <f>IFERROR(__xludf.DUMMYFUNCTION("""COMPUTED_VALUE"""),"Lewis Jr")</f>
        <v>Lewis Jr</v>
      </c>
      <c r="E5962" t="str">
        <f>IFERROR(__xludf.DUMMYFUNCTION("""COMPUTED_VALUE"""),"Roger")</f>
        <v>Roger</v>
      </c>
      <c r="F5962">
        <f>IFERROR(__xludf.DUMMYFUNCTION("""COMPUTED_VALUE"""),18.0)</f>
        <v>18</v>
      </c>
    </row>
    <row r="5963">
      <c r="D5963" t="str">
        <f>IFERROR(__xludf.DUMMYFUNCTION("""COMPUTED_VALUE"""),"Lewis-Moore")</f>
        <v>Lewis-Moore</v>
      </c>
      <c r="E5963" t="str">
        <f>IFERROR(__xludf.DUMMYFUNCTION("""COMPUTED_VALUE"""),"Kapron")</f>
        <v>Kapron</v>
      </c>
      <c r="F5963">
        <f>IFERROR(__xludf.DUMMYFUNCTION("""COMPUTED_VALUE"""),16.75)</f>
        <v>16.75</v>
      </c>
    </row>
    <row r="5964">
      <c r="D5964" t="str">
        <f>IFERROR(__xludf.DUMMYFUNCTION("""COMPUTED_VALUE"""),"Liedtke")</f>
        <v>Liedtke</v>
      </c>
      <c r="E5964" t="str">
        <f>IFERROR(__xludf.DUMMYFUNCTION("""COMPUTED_VALUE"""),"Mike")</f>
        <v>Mike</v>
      </c>
      <c r="F5964">
        <f>IFERROR(__xludf.DUMMYFUNCTION("""COMPUTED_VALUE"""),17.75)</f>
        <v>17.75</v>
      </c>
    </row>
    <row r="5965">
      <c r="D5965" t="str">
        <f>IFERROR(__xludf.DUMMYFUNCTION("""COMPUTED_VALUE"""),"Linder")</f>
        <v>Linder</v>
      </c>
      <c r="E5965" t="str">
        <f>IFERROR(__xludf.DUMMYFUNCTION("""COMPUTED_VALUE"""),"Brandon")</f>
        <v>Brandon</v>
      </c>
      <c r="F5965">
        <f>IFERROR(__xludf.DUMMYFUNCTION("""COMPUTED_VALUE"""),21.0)</f>
        <v>21</v>
      </c>
    </row>
    <row r="5966">
      <c r="D5966" t="str">
        <f>IFERROR(__xludf.DUMMYFUNCTION("""COMPUTED_VALUE"""),"Line")</f>
        <v>Line</v>
      </c>
      <c r="E5966" t="str">
        <f>IFERROR(__xludf.DUMMYFUNCTION("""COMPUTED_VALUE"""),"Zach")</f>
        <v>Zach</v>
      </c>
      <c r="F5966">
        <f>IFERROR(__xludf.DUMMYFUNCTION("""COMPUTED_VALUE"""),19.75)</f>
        <v>19.75</v>
      </c>
    </row>
    <row r="5967">
      <c r="D5967" t="str">
        <f>IFERROR(__xludf.DUMMYFUNCTION("""COMPUTED_VALUE"""),"Linsley")</f>
        <v>Linsley</v>
      </c>
      <c r="E5967" t="str">
        <f>IFERROR(__xludf.DUMMYFUNCTION("""COMPUTED_VALUE"""),"Corey")</f>
        <v>Corey</v>
      </c>
      <c r="F5967">
        <f>IFERROR(__xludf.DUMMYFUNCTION("""COMPUTED_VALUE"""),19.25)</f>
        <v>19.25</v>
      </c>
    </row>
    <row r="5968">
      <c r="D5968" t="str">
        <f>IFERROR(__xludf.DUMMYFUNCTION("""COMPUTED_VALUE"""),"Lippett")</f>
        <v>Lippett</v>
      </c>
      <c r="E5968" t="str">
        <f>IFERROR(__xludf.DUMMYFUNCTION("""COMPUTED_VALUE"""),"Tony")</f>
        <v>Tony</v>
      </c>
      <c r="F5968">
        <f>IFERROR(__xludf.DUMMYFUNCTION("""COMPUTED_VALUE"""),19.5)</f>
        <v>19.5</v>
      </c>
    </row>
    <row r="5969">
      <c r="D5969" t="str">
        <f>IFERROR(__xludf.DUMMYFUNCTION("""COMPUTED_VALUE"""),"Listenbee")</f>
        <v>Listenbee</v>
      </c>
      <c r="E5969" t="str">
        <f>IFERROR(__xludf.DUMMYFUNCTION("""COMPUTED_VALUE"""),"Kolby")</f>
        <v>Kolby</v>
      </c>
      <c r="F5969">
        <f>IFERROR(__xludf.DUMMYFUNCTION("""COMPUTED_VALUE"""),17.25)</f>
        <v>17.25</v>
      </c>
    </row>
    <row r="5970">
      <c r="D5970" t="str">
        <f>IFERROR(__xludf.DUMMYFUNCTION("""COMPUTED_VALUE"""),"Littleton")</f>
        <v>Littleton</v>
      </c>
      <c r="E5970" t="str">
        <f>IFERROR(__xludf.DUMMYFUNCTION("""COMPUTED_VALUE"""),"Cory")</f>
        <v>Cory</v>
      </c>
      <c r="F5970">
        <f>IFERROR(__xludf.DUMMYFUNCTION("""COMPUTED_VALUE"""),17.5)</f>
        <v>17.5</v>
      </c>
    </row>
    <row r="5971">
      <c r="D5971" t="str">
        <f>IFERROR(__xludf.DUMMYFUNCTION("""COMPUTED_VALUE"""),"Liuget")</f>
        <v>Liuget</v>
      </c>
      <c r="E5971" t="str">
        <f>IFERROR(__xludf.DUMMYFUNCTION("""COMPUTED_VALUE"""),"Corey")</f>
        <v>Corey</v>
      </c>
      <c r="F5971">
        <f>IFERROR(__xludf.DUMMYFUNCTION("""COMPUTED_VALUE"""),20.0)</f>
        <v>20</v>
      </c>
    </row>
    <row r="5972">
      <c r="D5972" t="str">
        <f>IFERROR(__xludf.DUMMYFUNCTION("""COMPUTED_VALUE"""),"Locke")</f>
        <v>Locke</v>
      </c>
      <c r="E5972" t="str">
        <f>IFERROR(__xludf.DUMMYFUNCTION("""COMPUTED_VALUE"""),"Jeff")</f>
        <v>Jeff</v>
      </c>
      <c r="F5972">
        <f>IFERROR(__xludf.DUMMYFUNCTION("""COMPUTED_VALUE"""),19.0)</f>
        <v>19</v>
      </c>
    </row>
    <row r="5973">
      <c r="D5973" t="str">
        <f>IFERROR(__xludf.DUMMYFUNCTION("""COMPUTED_VALUE"""),"Lockett")</f>
        <v>Lockett</v>
      </c>
      <c r="E5973" t="str">
        <f>IFERROR(__xludf.DUMMYFUNCTION("""COMPUTED_VALUE"""),"Tyler")</f>
        <v>Tyler</v>
      </c>
      <c r="F5973">
        <f>IFERROR(__xludf.DUMMYFUNCTION("""COMPUTED_VALUE"""),19.25)</f>
        <v>19.25</v>
      </c>
    </row>
    <row r="5974">
      <c r="D5974" t="str">
        <f>IFERROR(__xludf.DUMMYFUNCTION("""COMPUTED_VALUE"""),"Loewen")</f>
        <v>Loewen</v>
      </c>
      <c r="E5974" t="str">
        <f>IFERROR(__xludf.DUMMYFUNCTION("""COMPUTED_VALUE"""),"Mitchell")</f>
        <v>Mitchell</v>
      </c>
      <c r="F5974">
        <f>IFERROR(__xludf.DUMMYFUNCTION("""COMPUTED_VALUE"""),18.5)</f>
        <v>18.5</v>
      </c>
    </row>
    <row r="5975">
      <c r="D5975" t="str">
        <f>IFERROR(__xludf.DUMMYFUNCTION("""COMPUTED_VALUE"""),"Logan")</f>
        <v>Logan</v>
      </c>
      <c r="E5975" t="str">
        <f>IFERROR(__xludf.DUMMYFUNCTION("""COMPUTED_VALUE"""),"Bennie")</f>
        <v>Bennie</v>
      </c>
      <c r="F5975">
        <f>IFERROR(__xludf.DUMMYFUNCTION("""COMPUTED_VALUE"""),19.0)</f>
        <v>19</v>
      </c>
    </row>
    <row r="5976">
      <c r="D5976" t="str">
        <f>IFERROR(__xludf.DUMMYFUNCTION("""COMPUTED_VALUE"""),"Logan")</f>
        <v>Logan</v>
      </c>
      <c r="E5976" t="str">
        <f>IFERROR(__xludf.DUMMYFUNCTION("""COMPUTED_VALUE"""),"TJ")</f>
        <v>TJ</v>
      </c>
      <c r="F5976">
        <f>IFERROR(__xludf.DUMMYFUNCTION("""COMPUTED_VALUE"""),17.75)</f>
        <v>17.75</v>
      </c>
    </row>
    <row r="5977">
      <c r="D5977" t="str">
        <f>IFERROR(__xludf.DUMMYFUNCTION("""COMPUTED_VALUE"""),"Long")</f>
        <v>Long</v>
      </c>
      <c r="E5977" t="str">
        <f>IFERROR(__xludf.DUMMYFUNCTION("""COMPUTED_VALUE"""),"Chris")</f>
        <v>Chris</v>
      </c>
      <c r="F5977">
        <f>IFERROR(__xludf.DUMMYFUNCTION("""COMPUTED_VALUE"""),19.75)</f>
        <v>19.75</v>
      </c>
    </row>
    <row r="5978">
      <c r="D5978" t="str">
        <f>IFERROR(__xludf.DUMMYFUNCTION("""COMPUTED_VALUE"""),"Long")</f>
        <v>Long</v>
      </c>
      <c r="E5978" t="str">
        <f>IFERROR(__xludf.DUMMYFUNCTION("""COMPUTED_VALUE"""),"Chris")</f>
        <v>Chris</v>
      </c>
      <c r="F5978">
        <f>IFERROR(__xludf.DUMMYFUNCTION("""COMPUTED_VALUE"""),21.25)</f>
        <v>21.25</v>
      </c>
    </row>
    <row r="5979">
      <c r="D5979" t="str">
        <f>IFERROR(__xludf.DUMMYFUNCTION("""COMPUTED_VALUE"""),"Long")</f>
        <v>Long</v>
      </c>
      <c r="E5979" t="str">
        <f>IFERROR(__xludf.DUMMYFUNCTION("""COMPUTED_VALUE"""),"Kyle")</f>
        <v>Kyle</v>
      </c>
      <c r="F5979">
        <f>IFERROR(__xludf.DUMMYFUNCTION("""COMPUTED_VALUE"""),20.25)</f>
        <v>20.25</v>
      </c>
    </row>
    <row r="5980">
      <c r="D5980" t="str">
        <f>IFERROR(__xludf.DUMMYFUNCTION("""COMPUTED_VALUE"""),"Long")</f>
        <v>Long</v>
      </c>
      <c r="E5980" t="str">
        <f>IFERROR(__xludf.DUMMYFUNCTION("""COMPUTED_VALUE"""),"Spencer")</f>
        <v>Spencer</v>
      </c>
      <c r="F5980">
        <f>IFERROR(__xludf.DUMMYFUNCTION("""COMPUTED_VALUE"""),18.5)</f>
        <v>18.5</v>
      </c>
    </row>
    <row r="5981">
      <c r="D5981" t="str">
        <f>IFERROR(__xludf.DUMMYFUNCTION("""COMPUTED_VALUE"""),"Longa")</f>
        <v>Longa</v>
      </c>
      <c r="E5981" t="str">
        <f>IFERROR(__xludf.DUMMYFUNCTION("""COMPUTED_VALUE"""),"Steve")</f>
        <v>Steve</v>
      </c>
      <c r="F5981">
        <f>IFERROR(__xludf.DUMMYFUNCTION("""COMPUTED_VALUE"""),16.25)</f>
        <v>16.25</v>
      </c>
    </row>
    <row r="5982">
      <c r="D5982" t="str">
        <f>IFERROR(__xludf.DUMMYFUNCTION("""COMPUTED_VALUE"""),"Longacre")</f>
        <v>Longacre</v>
      </c>
      <c r="E5982" t="str">
        <f>IFERROR(__xludf.DUMMYFUNCTION("""COMPUTED_VALUE"""),"Matt")</f>
        <v>Matt</v>
      </c>
      <c r="F5982">
        <f>IFERROR(__xludf.DUMMYFUNCTION("""COMPUTED_VALUE"""),17.0)</f>
        <v>17</v>
      </c>
    </row>
    <row r="5983">
      <c r="D5983" t="str">
        <f>IFERROR(__xludf.DUMMYFUNCTION("""COMPUTED_VALUE"""),"Looney")</f>
        <v>Looney</v>
      </c>
      <c r="E5983" t="str">
        <f>IFERROR(__xludf.DUMMYFUNCTION("""COMPUTED_VALUE"""),"James")</f>
        <v>James</v>
      </c>
      <c r="F5983">
        <f>IFERROR(__xludf.DUMMYFUNCTION("""COMPUTED_VALUE"""),16.5)</f>
        <v>16.5</v>
      </c>
    </row>
    <row r="5984">
      <c r="D5984" t="str">
        <f>IFERROR(__xludf.DUMMYFUNCTION("""COMPUTED_VALUE"""),"Looney")</f>
        <v>Looney</v>
      </c>
      <c r="E5984" t="str">
        <f>IFERROR(__xludf.DUMMYFUNCTION("""COMPUTED_VALUE"""),"Joe")</f>
        <v>Joe</v>
      </c>
      <c r="F5984">
        <f>IFERROR(__xludf.DUMMYFUNCTION("""COMPUTED_VALUE"""),17.25)</f>
        <v>17.25</v>
      </c>
    </row>
    <row r="5985">
      <c r="D5985" t="str">
        <f>IFERROR(__xludf.DUMMYFUNCTION("""COMPUTED_VALUE"""),"Lott")</f>
        <v>Lott</v>
      </c>
      <c r="E5985" t="str">
        <f>IFERROR(__xludf.DUMMYFUNCTION("""COMPUTED_VALUE"""),"Ronnie")</f>
        <v>Ronnie</v>
      </c>
      <c r="F5985">
        <f>IFERROR(__xludf.DUMMYFUNCTION("""COMPUTED_VALUE"""),23.5)</f>
        <v>23.5</v>
      </c>
    </row>
    <row r="5986">
      <c r="D5986" t="str">
        <f>IFERROR(__xludf.DUMMYFUNCTION("""COMPUTED_VALUE"""),"Lotulelei")</f>
        <v>Lotulelei</v>
      </c>
      <c r="E5986" t="str">
        <f>IFERROR(__xludf.DUMMYFUNCTION("""COMPUTED_VALUE"""),"Star")</f>
        <v>Star</v>
      </c>
      <c r="F5986">
        <f>IFERROR(__xludf.DUMMYFUNCTION("""COMPUTED_VALUE"""),18.25)</f>
        <v>18.25</v>
      </c>
    </row>
    <row r="5987">
      <c r="D5987" t="str">
        <f>IFERROR(__xludf.DUMMYFUNCTION("""COMPUTED_VALUE"""),"Louis")</f>
        <v>Louis</v>
      </c>
      <c r="E5987" t="str">
        <f>IFERROR(__xludf.DUMMYFUNCTION("""COMPUTED_VALUE"""),"Riitemo")</f>
        <v>Riitemo</v>
      </c>
      <c r="F5987">
        <f>IFERROR(__xludf.DUMMYFUNCTION("""COMPUTED_VALUE"""),17.75)</f>
        <v>17.75</v>
      </c>
    </row>
    <row r="5988">
      <c r="D5988" t="str">
        <f>IFERROR(__xludf.DUMMYFUNCTION("""COMPUTED_VALUE"""),"Love")</f>
        <v>Love</v>
      </c>
      <c r="E5988" t="str">
        <f>IFERROR(__xludf.DUMMYFUNCTION("""COMPUTED_VALUE"""),"Kyle")</f>
        <v>Kyle</v>
      </c>
      <c r="F5988">
        <f>IFERROR(__xludf.DUMMYFUNCTION("""COMPUTED_VALUE"""),17.5)</f>
        <v>17.5</v>
      </c>
    </row>
    <row r="5989">
      <c r="D5989" t="str">
        <f>IFERROR(__xludf.DUMMYFUNCTION("""COMPUTED_VALUE"""),"Lowry")</f>
        <v>Lowry</v>
      </c>
      <c r="E5989" t="str">
        <f>IFERROR(__xludf.DUMMYFUNCTION("""COMPUTED_VALUE"""),"Dean")</f>
        <v>Dean</v>
      </c>
      <c r="F5989">
        <f>IFERROR(__xludf.DUMMYFUNCTION("""COMPUTED_VALUE"""),18.5)</f>
        <v>18.5</v>
      </c>
    </row>
    <row r="5990">
      <c r="D5990" t="str">
        <f>IFERROR(__xludf.DUMMYFUNCTION("""COMPUTED_VALUE"""),"Luani")</f>
        <v>Luani</v>
      </c>
      <c r="E5990" t="str">
        <f>IFERROR(__xludf.DUMMYFUNCTION("""COMPUTED_VALUE"""),"Shalom")</f>
        <v>Shalom</v>
      </c>
      <c r="F5990">
        <f>IFERROR(__xludf.DUMMYFUNCTION("""COMPUTED_VALUE"""),16.5)</f>
        <v>16.5</v>
      </c>
    </row>
    <row r="5991">
      <c r="D5991" t="str">
        <f>IFERROR(__xludf.DUMMYFUNCTION("""COMPUTED_VALUE"""),"Lucas")</f>
        <v>Lucas</v>
      </c>
      <c r="E5991" t="str">
        <f>IFERROR(__xludf.DUMMYFUNCTION("""COMPUTED_VALUE"""),"Cornelius")</f>
        <v>Cornelius</v>
      </c>
      <c r="F5991">
        <f>IFERROR(__xludf.DUMMYFUNCTION("""COMPUTED_VALUE"""),18.25)</f>
        <v>18.25</v>
      </c>
    </row>
    <row r="5992">
      <c r="D5992" t="str">
        <f>IFERROR(__xludf.DUMMYFUNCTION("""COMPUTED_VALUE"""),"Lucas")</f>
        <v>Lucas</v>
      </c>
      <c r="E5992" t="str">
        <f>IFERROR(__xludf.DUMMYFUNCTION("""COMPUTED_VALUE"""),"Jordan")</f>
        <v>Jordan</v>
      </c>
      <c r="F5992">
        <f>IFERROR(__xludf.DUMMYFUNCTION("""COMPUTED_VALUE"""),17.0)</f>
        <v>17</v>
      </c>
    </row>
    <row r="5993">
      <c r="D5993" t="str">
        <f>IFERROR(__xludf.DUMMYFUNCTION("""COMPUTED_VALUE"""),"Luck")</f>
        <v>Luck</v>
      </c>
      <c r="E5993" t="str">
        <f>IFERROR(__xludf.DUMMYFUNCTION("""COMPUTED_VALUE"""),"Andrew")</f>
        <v>Andrew</v>
      </c>
      <c r="F5993">
        <f>IFERROR(__xludf.DUMMYFUNCTION("""COMPUTED_VALUE"""),20.75)</f>
        <v>20.75</v>
      </c>
    </row>
    <row r="5994">
      <c r="D5994" t="str">
        <f>IFERROR(__xludf.DUMMYFUNCTION("""COMPUTED_VALUE"""),"Luke")</f>
        <v>Luke</v>
      </c>
      <c r="E5994" t="str">
        <f>IFERROR(__xludf.DUMMYFUNCTION("""COMPUTED_VALUE"""),"Cole")</f>
        <v>Cole</v>
      </c>
      <c r="F5994">
        <f>IFERROR(__xludf.DUMMYFUNCTION("""COMPUTED_VALUE"""),16.25)</f>
        <v>16.25</v>
      </c>
    </row>
    <row r="5995">
      <c r="D5995" t="str">
        <f>IFERROR(__xludf.DUMMYFUNCTION("""COMPUTED_VALUE"""),"Lutz")</f>
        <v>Lutz</v>
      </c>
      <c r="E5995" t="str">
        <f>IFERROR(__xludf.DUMMYFUNCTION("""COMPUTED_VALUE"""),"Wil")</f>
        <v>Wil</v>
      </c>
      <c r="F5995">
        <f>IFERROR(__xludf.DUMMYFUNCTION("""COMPUTED_VALUE"""),20.0)</f>
        <v>20</v>
      </c>
    </row>
    <row r="5996">
      <c r="D5996" t="str">
        <f>IFERROR(__xludf.DUMMYFUNCTION("""COMPUTED_VALUE"""),"Lynch")</f>
        <v>Lynch</v>
      </c>
      <c r="E5996" t="str">
        <f>IFERROR(__xludf.DUMMYFUNCTION("""COMPUTED_VALUE"""),"Aaron")</f>
        <v>Aaron</v>
      </c>
      <c r="F5996">
        <f>IFERROR(__xludf.DUMMYFUNCTION("""COMPUTED_VALUE"""),18.75)</f>
        <v>18.75</v>
      </c>
    </row>
    <row r="5997">
      <c r="D5997" t="str">
        <f>IFERROR(__xludf.DUMMYFUNCTION("""COMPUTED_VALUE"""),"Lynch")</f>
        <v>Lynch</v>
      </c>
      <c r="E5997" t="str">
        <f>IFERROR(__xludf.DUMMYFUNCTION("""COMPUTED_VALUE"""),"Marshawn")</f>
        <v>Marshawn</v>
      </c>
      <c r="F5997">
        <f>IFERROR(__xludf.DUMMYFUNCTION("""COMPUTED_VALUE"""),20.25)</f>
        <v>20.25</v>
      </c>
    </row>
    <row r="5998">
      <c r="D5998" t="str">
        <f>IFERROR(__xludf.DUMMYFUNCTION("""COMPUTED_VALUE"""),"Lynch")</f>
        <v>Lynch</v>
      </c>
      <c r="E5998" t="str">
        <f>IFERROR(__xludf.DUMMYFUNCTION("""COMPUTED_VALUE"""),"Marshawn")</f>
        <v>Marshawn</v>
      </c>
      <c r="F5998">
        <f>IFERROR(__xludf.DUMMYFUNCTION("""COMPUTED_VALUE"""),21.5)</f>
        <v>21.5</v>
      </c>
    </row>
    <row r="5999">
      <c r="D5999" t="str">
        <f>IFERROR(__xludf.DUMMYFUNCTION("""COMPUTED_VALUE"""),"Lynch")</f>
        <v>Lynch</v>
      </c>
      <c r="E5999" t="str">
        <f>IFERROR(__xludf.DUMMYFUNCTION("""COMPUTED_VALUE"""),"Paxton")</f>
        <v>Paxton</v>
      </c>
      <c r="F5999">
        <f>IFERROR(__xludf.DUMMYFUNCTION("""COMPUTED_VALUE"""),18.5)</f>
        <v>18.5</v>
      </c>
    </row>
    <row r="6000">
      <c r="D6000" t="str">
        <f>IFERROR(__xludf.DUMMYFUNCTION("""COMPUTED_VALUE"""),"Mabin")</f>
        <v>Mabin</v>
      </c>
      <c r="E6000" t="str">
        <f>IFERROR(__xludf.DUMMYFUNCTION("""COMPUTED_VALUE"""),"Greg")</f>
        <v>Greg</v>
      </c>
      <c r="F6000">
        <f>IFERROR(__xludf.DUMMYFUNCTION("""COMPUTED_VALUE"""),17.25)</f>
        <v>17.25</v>
      </c>
    </row>
    <row r="6001">
      <c r="D6001" t="str">
        <f>IFERROR(__xludf.DUMMYFUNCTION("""COMPUTED_VALUE"""),"Mack")</f>
        <v>Mack</v>
      </c>
      <c r="E6001" t="str">
        <f>IFERROR(__xludf.DUMMYFUNCTION("""COMPUTED_VALUE"""),"Alex")</f>
        <v>Alex</v>
      </c>
      <c r="F6001">
        <f>IFERROR(__xludf.DUMMYFUNCTION("""COMPUTED_VALUE"""),21.5)</f>
        <v>21.5</v>
      </c>
    </row>
    <row r="6002">
      <c r="D6002" t="str">
        <f>IFERROR(__xludf.DUMMYFUNCTION("""COMPUTED_VALUE"""),"Mack")</f>
        <v>Mack</v>
      </c>
      <c r="E6002" t="str">
        <f>IFERROR(__xludf.DUMMYFUNCTION("""COMPUTED_VALUE"""),"Khalil")</f>
        <v>Khalil</v>
      </c>
      <c r="F6002">
        <f>IFERROR(__xludf.DUMMYFUNCTION("""COMPUTED_VALUE"""),22.0)</f>
        <v>22</v>
      </c>
    </row>
    <row r="6003">
      <c r="D6003" t="str">
        <f>IFERROR(__xludf.DUMMYFUNCTION("""COMPUTED_VALUE"""),"Mack")</f>
        <v>Mack</v>
      </c>
      <c r="E6003" t="str">
        <f>IFERROR(__xludf.DUMMYFUNCTION("""COMPUTED_VALUE"""),"Marlon")</f>
        <v>Marlon</v>
      </c>
      <c r="F6003">
        <f>IFERROR(__xludf.DUMMYFUNCTION("""COMPUTED_VALUE"""),18.5)</f>
        <v>18.5</v>
      </c>
    </row>
    <row r="6004">
      <c r="D6004" t="str">
        <f>IFERROR(__xludf.DUMMYFUNCTION("""COMPUTED_VALUE"""),"Maclin")</f>
        <v>Maclin</v>
      </c>
      <c r="E6004" t="str">
        <f>IFERROR(__xludf.DUMMYFUNCTION("""COMPUTED_VALUE"""),"Jeremy")</f>
        <v>Jeremy</v>
      </c>
      <c r="F6004">
        <f>IFERROR(__xludf.DUMMYFUNCTION("""COMPUTED_VALUE"""),15.25)</f>
        <v>15.25</v>
      </c>
    </row>
    <row r="6005">
      <c r="D6005" t="str">
        <f>IFERROR(__xludf.DUMMYFUNCTION("""COMPUTED_VALUE"""),"Madden")</f>
        <v>Madden</v>
      </c>
      <c r="E6005" t="str">
        <f>IFERROR(__xludf.DUMMYFUNCTION("""COMPUTED_VALUE"""),"Tre")</f>
        <v>Tre</v>
      </c>
      <c r="F6005">
        <f>IFERROR(__xludf.DUMMYFUNCTION("""COMPUTED_VALUE"""),19.25)</f>
        <v>19.25</v>
      </c>
    </row>
    <row r="6006">
      <c r="D6006" t="str">
        <f>IFERROR(__xludf.DUMMYFUNCTION("""COMPUTED_VALUE"""),"Maddox")</f>
        <v>Maddox</v>
      </c>
      <c r="E6006" t="str">
        <f>IFERROR(__xludf.DUMMYFUNCTION("""COMPUTED_VALUE"""),"Avonte")</f>
        <v>Avonte</v>
      </c>
      <c r="F6006">
        <f>IFERROR(__xludf.DUMMYFUNCTION("""COMPUTED_VALUE"""),17.75)</f>
        <v>17.75</v>
      </c>
    </row>
    <row r="6007">
      <c r="D6007" t="str">
        <f>IFERROR(__xludf.DUMMYFUNCTION("""COMPUTED_VALUE"""),"Madison")</f>
        <v>Madison</v>
      </c>
      <c r="E6007" t="str">
        <f>IFERROR(__xludf.DUMMYFUNCTION("""COMPUTED_VALUE"""),"Cole")</f>
        <v>Cole</v>
      </c>
      <c r="F6007">
        <f>IFERROR(__xludf.DUMMYFUNCTION("""COMPUTED_VALUE"""),17.5)</f>
        <v>17.5</v>
      </c>
    </row>
    <row r="6008">
      <c r="D6008" t="str">
        <f>IFERROR(__xludf.DUMMYFUNCTION("""COMPUTED_VALUE"""),"Magee")</f>
        <v>Magee</v>
      </c>
      <c r="E6008" t="str">
        <f>IFERROR(__xludf.DUMMYFUNCTION("""COMPUTED_VALUE"""),"Terrence")</f>
        <v>Terrence</v>
      </c>
      <c r="F6008">
        <f>IFERROR(__xludf.DUMMYFUNCTION("""COMPUTED_VALUE"""),17.0)</f>
        <v>17</v>
      </c>
    </row>
    <row r="6009">
      <c r="D6009" t="str">
        <f>IFERROR(__xludf.DUMMYFUNCTION("""COMPUTED_VALUE"""),"Mager")</f>
        <v>Mager</v>
      </c>
      <c r="E6009" t="str">
        <f>IFERROR(__xludf.DUMMYFUNCTION("""COMPUTED_VALUE"""),"Craig")</f>
        <v>Craig</v>
      </c>
      <c r="F6009">
        <f>IFERROR(__xludf.DUMMYFUNCTION("""COMPUTED_VALUE"""),18.75)</f>
        <v>18.75</v>
      </c>
    </row>
    <row r="6010">
      <c r="D6010" t="str">
        <f>IFERROR(__xludf.DUMMYFUNCTION("""COMPUTED_VALUE"""),"Magnuson")</f>
        <v>Magnuson</v>
      </c>
      <c r="E6010" t="str">
        <f>IFERROR(__xludf.DUMMYFUNCTION("""COMPUTED_VALUE"""),"Erik")</f>
        <v>Erik</v>
      </c>
      <c r="F6010">
        <f>IFERROR(__xludf.DUMMYFUNCTION("""COMPUTED_VALUE"""),17.25)</f>
        <v>17.25</v>
      </c>
    </row>
    <row r="6011">
      <c r="D6011" t="str">
        <f>IFERROR(__xludf.DUMMYFUNCTION("""COMPUTED_VALUE"""),"Mahomes II")</f>
        <v>Mahomes II</v>
      </c>
      <c r="E6011" t="str">
        <f>IFERROR(__xludf.DUMMYFUNCTION("""COMPUTED_VALUE"""),"Patrick")</f>
        <v>Patrick</v>
      </c>
      <c r="F6011">
        <f>IFERROR(__xludf.DUMMYFUNCTION("""COMPUTED_VALUE"""),19.5)</f>
        <v>19.5</v>
      </c>
    </row>
    <row r="6012">
      <c r="D6012" t="str">
        <f>IFERROR(__xludf.DUMMYFUNCTION("""COMPUTED_VALUE"""),"Mailata")</f>
        <v>Mailata</v>
      </c>
      <c r="E6012" t="str">
        <f>IFERROR(__xludf.DUMMYFUNCTION("""COMPUTED_VALUE"""),"Jordan")</f>
        <v>Jordan</v>
      </c>
      <c r="F6012">
        <f>IFERROR(__xludf.DUMMYFUNCTION("""COMPUTED_VALUE"""),16.5)</f>
        <v>16.5</v>
      </c>
    </row>
    <row r="6013">
      <c r="D6013" t="str">
        <f>IFERROR(__xludf.DUMMYFUNCTION("""COMPUTED_VALUE"""),"Malone")</f>
        <v>Malone</v>
      </c>
      <c r="E6013" t="str">
        <f>IFERROR(__xludf.DUMMYFUNCTION("""COMPUTED_VALUE"""),"Josh")</f>
        <v>Josh</v>
      </c>
      <c r="F6013">
        <f>IFERROR(__xludf.DUMMYFUNCTION("""COMPUTED_VALUE"""),17.5)</f>
        <v>17.5</v>
      </c>
    </row>
    <row r="6014">
      <c r="D6014" t="str">
        <f>IFERROR(__xludf.DUMMYFUNCTION("""COMPUTED_VALUE"""),"Malveaux")</f>
        <v>Malveaux</v>
      </c>
      <c r="E6014" t="str">
        <f>IFERROR(__xludf.DUMMYFUNCTION("""COMPUTED_VALUE"""),"Cameron")</f>
        <v>Cameron</v>
      </c>
      <c r="F6014">
        <f>IFERROR(__xludf.DUMMYFUNCTION("""COMPUTED_VALUE"""),16.75)</f>
        <v>16.75</v>
      </c>
    </row>
    <row r="6015">
      <c r="D6015" t="str">
        <f>IFERROR(__xludf.DUMMYFUNCTION("""COMPUTED_VALUE"""),"Mancz")</f>
        <v>Mancz</v>
      </c>
      <c r="E6015" t="str">
        <f>IFERROR(__xludf.DUMMYFUNCTION("""COMPUTED_VALUE"""),"Greg")</f>
        <v>Greg</v>
      </c>
      <c r="F6015">
        <f>IFERROR(__xludf.DUMMYFUNCTION("""COMPUTED_VALUE"""),18.25)</f>
        <v>18.25</v>
      </c>
    </row>
    <row r="6016">
      <c r="D6016" t="str">
        <f>IFERROR(__xludf.DUMMYFUNCTION("""COMPUTED_VALUE"""),"Manhertz")</f>
        <v>Manhertz</v>
      </c>
      <c r="E6016" t="str">
        <f>IFERROR(__xludf.DUMMYFUNCTION("""COMPUTED_VALUE"""),"Chris")</f>
        <v>Chris</v>
      </c>
      <c r="F6016">
        <f>IFERROR(__xludf.DUMMYFUNCTION("""COMPUTED_VALUE"""),16.25)</f>
        <v>16.25</v>
      </c>
    </row>
    <row r="6017">
      <c r="D6017" t="str">
        <f>IFERROR(__xludf.DUMMYFUNCTION("""COMPUTED_VALUE"""),"Manning")</f>
        <v>Manning</v>
      </c>
      <c r="E6017" t="str">
        <f>IFERROR(__xludf.DUMMYFUNCTION("""COMPUTED_VALUE"""),"Eli")</f>
        <v>Eli</v>
      </c>
      <c r="F6017">
        <f>IFERROR(__xludf.DUMMYFUNCTION("""COMPUTED_VALUE"""),19.5)</f>
        <v>19.5</v>
      </c>
    </row>
    <row r="6018">
      <c r="D6018" t="str">
        <f>IFERROR(__xludf.DUMMYFUNCTION("""COMPUTED_VALUE"""),"Mannion")</f>
        <v>Mannion</v>
      </c>
      <c r="E6018" t="str">
        <f>IFERROR(__xludf.DUMMYFUNCTION("""COMPUTED_VALUE"""),"Sean")</f>
        <v>Sean</v>
      </c>
      <c r="F6018">
        <f>IFERROR(__xludf.DUMMYFUNCTION("""COMPUTED_VALUE"""),16.25)</f>
        <v>16.25</v>
      </c>
    </row>
    <row r="6019">
      <c r="D6019" t="str">
        <f>IFERROR(__xludf.DUMMYFUNCTION("""COMPUTED_VALUE"""),"Manuel")</f>
        <v>Manuel</v>
      </c>
      <c r="E6019" t="str">
        <f>IFERROR(__xludf.DUMMYFUNCTION("""COMPUTED_VALUE"""),"EJ")</f>
        <v>EJ</v>
      </c>
      <c r="F6019">
        <f>IFERROR(__xludf.DUMMYFUNCTION("""COMPUTED_VALUE"""),18.25)</f>
        <v>18.25</v>
      </c>
    </row>
    <row r="6020">
      <c r="D6020" t="str">
        <f>IFERROR(__xludf.DUMMYFUNCTION("""COMPUTED_VALUE"""),"Maponga Sr")</f>
        <v>Maponga Sr</v>
      </c>
      <c r="E6020" t="str">
        <f>IFERROR(__xludf.DUMMYFUNCTION("""COMPUTED_VALUE"""),"Stansly")</f>
        <v>Stansly</v>
      </c>
      <c r="F6020">
        <f>IFERROR(__xludf.DUMMYFUNCTION("""COMPUTED_VALUE"""),17.5)</f>
        <v>17.5</v>
      </c>
    </row>
    <row r="6021">
      <c r="D6021" t="str">
        <f>IFERROR(__xludf.DUMMYFUNCTION("""COMPUTED_VALUE"""),"Maragos")</f>
        <v>Maragos</v>
      </c>
      <c r="E6021" t="str">
        <f>IFERROR(__xludf.DUMMYFUNCTION("""COMPUTED_VALUE"""),"Chris")</f>
        <v>Chris</v>
      </c>
      <c r="F6021">
        <f>IFERROR(__xludf.DUMMYFUNCTION("""COMPUTED_VALUE"""),16.75)</f>
        <v>16.75</v>
      </c>
    </row>
    <row r="6022">
      <c r="D6022" t="str">
        <f>IFERROR(__xludf.DUMMYFUNCTION("""COMPUTED_VALUE"""),"March-Lillard")</f>
        <v>March-Lillard</v>
      </c>
      <c r="E6022" t="str">
        <f>IFERROR(__xludf.DUMMYFUNCTION("""COMPUTED_VALUE"""),"Justin")</f>
        <v>Justin</v>
      </c>
      <c r="F6022">
        <f>IFERROR(__xludf.DUMMYFUNCTION("""COMPUTED_VALUE"""),19.0)</f>
        <v>19</v>
      </c>
    </row>
    <row r="6023">
      <c r="D6023" t="str">
        <f>IFERROR(__xludf.DUMMYFUNCTION("""COMPUTED_VALUE"""),"Mariota")</f>
        <v>Mariota</v>
      </c>
      <c r="E6023" t="str">
        <f>IFERROR(__xludf.DUMMYFUNCTION("""COMPUTED_VALUE"""),"Marcus")</f>
        <v>Marcus</v>
      </c>
      <c r="F6023">
        <f>IFERROR(__xludf.DUMMYFUNCTION("""COMPUTED_VALUE"""),20.25)</f>
        <v>20.25</v>
      </c>
    </row>
    <row r="6024">
      <c r="D6024" t="str">
        <f>IFERROR(__xludf.DUMMYFUNCTION("""COMPUTED_VALUE"""),"Marlowe")</f>
        <v>Marlowe</v>
      </c>
      <c r="E6024" t="str">
        <f>IFERROR(__xludf.DUMMYFUNCTION("""COMPUTED_VALUE"""),"Dean")</f>
        <v>Dean</v>
      </c>
      <c r="F6024">
        <f>IFERROR(__xludf.DUMMYFUNCTION("""COMPUTED_VALUE"""),17.5)</f>
        <v>17.5</v>
      </c>
    </row>
    <row r="6025">
      <c r="D6025" t="str">
        <f>IFERROR(__xludf.DUMMYFUNCTION("""COMPUTED_VALUE"""),"Marpet")</f>
        <v>Marpet</v>
      </c>
      <c r="E6025" t="str">
        <f>IFERROR(__xludf.DUMMYFUNCTION("""COMPUTED_VALUE"""),"Ali")</f>
        <v>Ali</v>
      </c>
      <c r="F6025">
        <f>IFERROR(__xludf.DUMMYFUNCTION("""COMPUTED_VALUE"""),20.25)</f>
        <v>20.25</v>
      </c>
    </row>
    <row r="6026">
      <c r="D6026" t="str">
        <f>IFERROR(__xludf.DUMMYFUNCTION("""COMPUTED_VALUE"""),"Marquez")</f>
        <v>Marquez</v>
      </c>
      <c r="E6026" t="str">
        <f>IFERROR(__xludf.DUMMYFUNCTION("""COMPUTED_VALUE"""),"Bradley")</f>
        <v>Bradley</v>
      </c>
      <c r="F6026">
        <f>IFERROR(__xludf.DUMMYFUNCTION("""COMPUTED_VALUE"""),16.25)</f>
        <v>16.25</v>
      </c>
    </row>
    <row r="6027">
      <c r="D6027" t="str">
        <f>IFERROR(__xludf.DUMMYFUNCTION("""COMPUTED_VALUE"""),"Marsh")</f>
        <v>Marsh</v>
      </c>
      <c r="E6027" t="str">
        <f>IFERROR(__xludf.DUMMYFUNCTION("""COMPUTED_VALUE"""),"Cassius")</f>
        <v>Cassius</v>
      </c>
      <c r="F6027">
        <f>IFERROR(__xludf.DUMMYFUNCTION("""COMPUTED_VALUE"""),16.5)</f>
        <v>16.5</v>
      </c>
    </row>
    <row r="6028">
      <c r="D6028" t="str">
        <f>IFERROR(__xludf.DUMMYFUNCTION("""COMPUTED_VALUE"""),"Marshall")</f>
        <v>Marshall</v>
      </c>
      <c r="E6028" t="str">
        <f>IFERROR(__xludf.DUMMYFUNCTION("""COMPUTED_VALUE"""),"Brandon")</f>
        <v>Brandon</v>
      </c>
      <c r="F6028">
        <f>IFERROR(__xludf.DUMMYFUNCTION("""COMPUTED_VALUE"""),19.25)</f>
        <v>19.25</v>
      </c>
    </row>
    <row r="6029">
      <c r="D6029" t="str">
        <f>IFERROR(__xludf.DUMMYFUNCTION("""COMPUTED_VALUE"""),"Marshall")</f>
        <v>Marshall</v>
      </c>
      <c r="E6029" t="str">
        <f>IFERROR(__xludf.DUMMYFUNCTION("""COMPUTED_VALUE"""),"Brandon")</f>
        <v>Brandon</v>
      </c>
      <c r="F6029">
        <f>IFERROR(__xludf.DUMMYFUNCTION("""COMPUTED_VALUE"""),19.0)</f>
        <v>19</v>
      </c>
    </row>
    <row r="6030">
      <c r="D6030" t="str">
        <f>IFERROR(__xludf.DUMMYFUNCTION("""COMPUTED_VALUE"""),"Marshall")</f>
        <v>Marshall</v>
      </c>
      <c r="E6030" t="str">
        <f>IFERROR(__xludf.DUMMYFUNCTION("""COMPUTED_VALUE"""),"Byron")</f>
        <v>Byron</v>
      </c>
      <c r="F6030">
        <f>IFERROR(__xludf.DUMMYFUNCTION("""COMPUTED_VALUE"""),16.25)</f>
        <v>16.25</v>
      </c>
    </row>
    <row r="6031">
      <c r="D6031" t="str">
        <f>IFERROR(__xludf.DUMMYFUNCTION("""COMPUTED_VALUE"""),"Marshall")</f>
        <v>Marshall</v>
      </c>
      <c r="E6031" t="str">
        <f>IFERROR(__xludf.DUMMYFUNCTION("""COMPUTED_VALUE"""),"Keith")</f>
        <v>Keith</v>
      </c>
      <c r="F6031">
        <f>IFERROR(__xludf.DUMMYFUNCTION("""COMPUTED_VALUE"""),17.25)</f>
        <v>17.25</v>
      </c>
    </row>
    <row r="6032">
      <c r="D6032" t="str">
        <f>IFERROR(__xludf.DUMMYFUNCTION("""COMPUTED_VALUE"""),"Martin")</f>
        <v>Martin</v>
      </c>
      <c r="E6032" t="str">
        <f>IFERROR(__xludf.DUMMYFUNCTION("""COMPUTED_VALUE"""),"Doug")</f>
        <v>Doug</v>
      </c>
      <c r="F6032">
        <f>IFERROR(__xludf.DUMMYFUNCTION("""COMPUTED_VALUE"""),19.5)</f>
        <v>19.5</v>
      </c>
    </row>
    <row r="6033">
      <c r="D6033" t="str">
        <f>IFERROR(__xludf.DUMMYFUNCTION("""COMPUTED_VALUE"""),"Martin")</f>
        <v>Martin</v>
      </c>
      <c r="E6033" t="str">
        <f>IFERROR(__xludf.DUMMYFUNCTION("""COMPUTED_VALUE"""),"Gabe")</f>
        <v>Gabe</v>
      </c>
      <c r="F6033">
        <f>IFERROR(__xludf.DUMMYFUNCTION("""COMPUTED_VALUE"""),15.5)</f>
        <v>15.5</v>
      </c>
    </row>
    <row r="6034">
      <c r="D6034" t="str">
        <f>IFERROR(__xludf.DUMMYFUNCTION("""COMPUTED_VALUE"""),"Martin")</f>
        <v>Martin</v>
      </c>
      <c r="E6034" t="str">
        <f>IFERROR(__xludf.DUMMYFUNCTION("""COMPUTED_VALUE"""),"Jacob")</f>
        <v>Jacob</v>
      </c>
      <c r="F6034">
        <f>IFERROR(__xludf.DUMMYFUNCTION("""COMPUTED_VALUE"""),16.25)</f>
        <v>16.25</v>
      </c>
    </row>
    <row r="6035">
      <c r="D6035" t="str">
        <f>IFERROR(__xludf.DUMMYFUNCTION("""COMPUTED_VALUE"""),"Martin")</f>
        <v>Martin</v>
      </c>
      <c r="E6035" t="str">
        <f>IFERROR(__xludf.DUMMYFUNCTION("""COMPUTED_VALUE"""),"Josh")</f>
        <v>Josh</v>
      </c>
      <c r="F6035">
        <f>IFERROR(__xludf.DUMMYFUNCTION("""COMPUTED_VALUE"""),18.5)</f>
        <v>18.5</v>
      </c>
    </row>
    <row r="6036">
      <c r="D6036" t="str">
        <f>IFERROR(__xludf.DUMMYFUNCTION("""COMPUTED_VALUE"""),"Martin")</f>
        <v>Martin</v>
      </c>
      <c r="E6036" t="str">
        <f>IFERROR(__xludf.DUMMYFUNCTION("""COMPUTED_VALUE"""),"Kareem")</f>
        <v>Kareem</v>
      </c>
      <c r="F6036">
        <f>IFERROR(__xludf.DUMMYFUNCTION("""COMPUTED_VALUE"""),18.75)</f>
        <v>18.75</v>
      </c>
    </row>
    <row r="6037">
      <c r="D6037" t="str">
        <f>IFERROR(__xludf.DUMMYFUNCTION("""COMPUTED_VALUE"""),"Martin")</f>
        <v>Martin</v>
      </c>
      <c r="E6037" t="str">
        <f>IFERROR(__xludf.DUMMYFUNCTION("""COMPUTED_VALUE"""),"Marcus")</f>
        <v>Marcus</v>
      </c>
      <c r="F6037">
        <f>IFERROR(__xludf.DUMMYFUNCTION("""COMPUTED_VALUE"""),17.0)</f>
        <v>17</v>
      </c>
    </row>
    <row r="6038">
      <c r="D6038" t="str">
        <f>IFERROR(__xludf.DUMMYFUNCTION("""COMPUTED_VALUE"""),"Martin")</f>
        <v>Martin</v>
      </c>
      <c r="E6038" t="str">
        <f>IFERROR(__xludf.DUMMYFUNCTION("""COMPUTED_VALUE"""),"Nick")</f>
        <v>Nick</v>
      </c>
      <c r="F6038">
        <f>IFERROR(__xludf.DUMMYFUNCTION("""COMPUTED_VALUE"""),19.0)</f>
        <v>19</v>
      </c>
    </row>
    <row r="6039">
      <c r="D6039" t="str">
        <f>IFERROR(__xludf.DUMMYFUNCTION("""COMPUTED_VALUE"""),"Martin")</f>
        <v>Martin</v>
      </c>
      <c r="E6039" t="str">
        <f>IFERROR(__xludf.DUMMYFUNCTION("""COMPUTED_VALUE"""),"Sam")</f>
        <v>Sam</v>
      </c>
      <c r="F6039">
        <f>IFERROR(__xludf.DUMMYFUNCTION("""COMPUTED_VALUE"""),20.5)</f>
        <v>20.5</v>
      </c>
    </row>
    <row r="6040">
      <c r="D6040" t="str">
        <f>IFERROR(__xludf.DUMMYFUNCTION("""COMPUTED_VALUE"""),"Martin")</f>
        <v>Martin</v>
      </c>
      <c r="E6040" t="str">
        <f>IFERROR(__xludf.DUMMYFUNCTION("""COMPUTED_VALUE"""),"Zack")</f>
        <v>Zack</v>
      </c>
      <c r="F6040">
        <f>IFERROR(__xludf.DUMMYFUNCTION("""COMPUTED_VALUE"""),22.0)</f>
        <v>22</v>
      </c>
    </row>
    <row r="6041">
      <c r="D6041" t="str">
        <f>IFERROR(__xludf.DUMMYFUNCTION("""COMPUTED_VALUE"""),"Martin Jr")</f>
        <v>Martin Jr</v>
      </c>
      <c r="E6041" t="str">
        <f>IFERROR(__xludf.DUMMYFUNCTION("""COMPUTED_VALUE"""),"Ronald")</f>
        <v>Ronald</v>
      </c>
      <c r="F6041">
        <f>IFERROR(__xludf.DUMMYFUNCTION("""COMPUTED_VALUE"""),16.5)</f>
        <v>16.5</v>
      </c>
    </row>
    <row r="6042">
      <c r="D6042" t="str">
        <f>IFERROR(__xludf.DUMMYFUNCTION("""COMPUTED_VALUE"""),"Martinez")</f>
        <v>Martinez</v>
      </c>
      <c r="E6042" t="str">
        <f>IFERROR(__xludf.DUMMYFUNCTION("""COMPUTED_VALUE"""),"Blake")</f>
        <v>Blake</v>
      </c>
      <c r="F6042">
        <f>IFERROR(__xludf.DUMMYFUNCTION("""COMPUTED_VALUE"""),19.75)</f>
        <v>19.75</v>
      </c>
    </row>
    <row r="6043">
      <c r="D6043" t="str">
        <f>IFERROR(__xludf.DUMMYFUNCTION("""COMPUTED_VALUE"""),"Martino")</f>
        <v>Martino</v>
      </c>
      <c r="E6043" t="str">
        <f>IFERROR(__xludf.DUMMYFUNCTION("""COMPUTED_VALUE"""),"Freddie")</f>
        <v>Freddie</v>
      </c>
      <c r="F6043">
        <f>IFERROR(__xludf.DUMMYFUNCTION("""COMPUTED_VALUE"""),16.75)</f>
        <v>16.75</v>
      </c>
    </row>
    <row r="6044">
      <c r="D6044" t="str">
        <f>IFERROR(__xludf.DUMMYFUNCTION("""COMPUTED_VALUE"""),"Marz")</f>
        <v>Marz</v>
      </c>
      <c r="E6044" t="str">
        <f>IFERROR(__xludf.DUMMYFUNCTION("""COMPUTED_VALUE"""),"Tyler")</f>
        <v>Tyler</v>
      </c>
      <c r="F6044">
        <f>IFERROR(__xludf.DUMMYFUNCTION("""COMPUTED_VALUE"""),16.0)</f>
        <v>16</v>
      </c>
    </row>
    <row r="6045">
      <c r="D6045" t="str">
        <f>IFERROR(__xludf.DUMMYFUNCTION("""COMPUTED_VALUE"""),"Mason")</f>
        <v>Mason</v>
      </c>
      <c r="E6045" t="str">
        <f>IFERROR(__xludf.DUMMYFUNCTION("""COMPUTED_VALUE"""),"Shaq")</f>
        <v>Shaq</v>
      </c>
      <c r="F6045">
        <f>IFERROR(__xludf.DUMMYFUNCTION("""COMPUTED_VALUE"""),20.5)</f>
        <v>20.5</v>
      </c>
    </row>
    <row r="6046">
      <c r="D6046" t="str">
        <f>IFERROR(__xludf.DUMMYFUNCTION("""COMPUTED_VALUE"""),"Massie")</f>
        <v>Massie</v>
      </c>
      <c r="E6046" t="str">
        <f>IFERROR(__xludf.DUMMYFUNCTION("""COMPUTED_VALUE"""),"Bobby")</f>
        <v>Bobby</v>
      </c>
      <c r="F6046">
        <f>IFERROR(__xludf.DUMMYFUNCTION("""COMPUTED_VALUE"""),19.0)</f>
        <v>19</v>
      </c>
    </row>
    <row r="6047">
      <c r="D6047" t="str">
        <f>IFERROR(__xludf.DUMMYFUNCTION("""COMPUTED_VALUE"""),"Matakevich")</f>
        <v>Matakevich</v>
      </c>
      <c r="E6047" t="str">
        <f>IFERROR(__xludf.DUMMYFUNCTION("""COMPUTED_VALUE"""),"Tyler")</f>
        <v>Tyler</v>
      </c>
      <c r="F6047">
        <f>IFERROR(__xludf.DUMMYFUNCTION("""COMPUTED_VALUE"""),17.0)</f>
        <v>17</v>
      </c>
    </row>
    <row r="6048">
      <c r="D6048" t="str">
        <f>IFERROR(__xludf.DUMMYFUNCTION("""COMPUTED_VALUE"""),"Mathieu")</f>
        <v>Mathieu</v>
      </c>
      <c r="E6048" t="str">
        <f>IFERROR(__xludf.DUMMYFUNCTION("""COMPUTED_VALUE"""),"Tyrann")</f>
        <v>Tyrann</v>
      </c>
      <c r="F6048">
        <f>IFERROR(__xludf.DUMMYFUNCTION("""COMPUTED_VALUE"""),21.5)</f>
        <v>21.5</v>
      </c>
    </row>
    <row r="6049">
      <c r="D6049" t="str">
        <f>IFERROR(__xludf.DUMMYFUNCTION("""COMPUTED_VALUE"""),"Matthews")</f>
        <v>Matthews</v>
      </c>
      <c r="E6049" t="str">
        <f>IFERROR(__xludf.DUMMYFUNCTION("""COMPUTED_VALUE"""),"Clay")</f>
        <v>Clay</v>
      </c>
      <c r="F6049">
        <f>IFERROR(__xludf.DUMMYFUNCTION("""COMPUTED_VALUE"""),20.75)</f>
        <v>20.75</v>
      </c>
    </row>
    <row r="6050">
      <c r="D6050" t="str">
        <f>IFERROR(__xludf.DUMMYFUNCTION("""COMPUTED_VALUE"""),"Matthews")</f>
        <v>Matthews</v>
      </c>
      <c r="E6050" t="str">
        <f>IFERROR(__xludf.DUMMYFUNCTION("""COMPUTED_VALUE"""),"Jake")</f>
        <v>Jake</v>
      </c>
      <c r="F6050">
        <f>IFERROR(__xludf.DUMMYFUNCTION("""COMPUTED_VALUE"""),20.0)</f>
        <v>20</v>
      </c>
    </row>
    <row r="6051">
      <c r="D6051" t="str">
        <f>IFERROR(__xludf.DUMMYFUNCTION("""COMPUTED_VALUE"""),"Matthews")</f>
        <v>Matthews</v>
      </c>
      <c r="E6051" t="str">
        <f>IFERROR(__xludf.DUMMYFUNCTION("""COMPUTED_VALUE"""),"Jordan")</f>
        <v>Jordan</v>
      </c>
      <c r="F6051">
        <f>IFERROR(__xludf.DUMMYFUNCTION("""COMPUTED_VALUE"""),19.0)</f>
        <v>19</v>
      </c>
    </row>
    <row r="6052">
      <c r="D6052" t="str">
        <f>IFERROR(__xludf.DUMMYFUNCTION("""COMPUTED_VALUE"""),"Matthews")</f>
        <v>Matthews</v>
      </c>
      <c r="E6052" t="str">
        <f>IFERROR(__xludf.DUMMYFUNCTION("""COMPUTED_VALUE"""),"Rishard")</f>
        <v>Rishard</v>
      </c>
      <c r="F6052">
        <f>IFERROR(__xludf.DUMMYFUNCTION("""COMPUTED_VALUE"""),20.0)</f>
        <v>20</v>
      </c>
    </row>
    <row r="6053">
      <c r="D6053" t="str">
        <f>IFERROR(__xludf.DUMMYFUNCTION("""COMPUTED_VALUE"""),"Mauger")</f>
        <v>Mauger</v>
      </c>
      <c r="E6053" t="str">
        <f>IFERROR(__xludf.DUMMYFUNCTION("""COMPUTED_VALUE"""),"Quincy")</f>
        <v>Quincy</v>
      </c>
      <c r="F6053">
        <f>IFERROR(__xludf.DUMMYFUNCTION("""COMPUTED_VALUE"""),17.0)</f>
        <v>17</v>
      </c>
    </row>
    <row r="6054">
      <c r="D6054" t="str">
        <f>IFERROR(__xludf.DUMMYFUNCTION("""COMPUTED_VALUE"""),"Mauldin IV")</f>
        <v>Mauldin IV</v>
      </c>
      <c r="E6054" t="str">
        <f>IFERROR(__xludf.DUMMYFUNCTION("""COMPUTED_VALUE"""),"Lorenzo")</f>
        <v>Lorenzo</v>
      </c>
      <c r="F6054">
        <f>IFERROR(__xludf.DUMMYFUNCTION("""COMPUTED_VALUE"""),17.75)</f>
        <v>17.75</v>
      </c>
    </row>
    <row r="6055">
      <c r="D6055" t="str">
        <f>IFERROR(__xludf.DUMMYFUNCTION("""COMPUTED_VALUE"""),"Maulet")</f>
        <v>Maulet</v>
      </c>
      <c r="E6055" t="str">
        <f>IFERROR(__xludf.DUMMYFUNCTION("""COMPUTED_VALUE"""),"Arthur")</f>
        <v>Arthur</v>
      </c>
      <c r="F6055">
        <f>IFERROR(__xludf.DUMMYFUNCTION("""COMPUTED_VALUE"""),16.0)</f>
        <v>16</v>
      </c>
    </row>
    <row r="6056">
      <c r="D6056" t="str">
        <f>IFERROR(__xludf.DUMMYFUNCTION("""COMPUTED_VALUE"""),"Mauro")</f>
        <v>Mauro</v>
      </c>
      <c r="E6056" t="str">
        <f>IFERROR(__xludf.DUMMYFUNCTION("""COMPUTED_VALUE"""),"Josh")</f>
        <v>Josh</v>
      </c>
      <c r="F6056">
        <f>IFERROR(__xludf.DUMMYFUNCTION("""COMPUTED_VALUE"""),16.25)</f>
        <v>16.25</v>
      </c>
    </row>
    <row r="6057">
      <c r="D6057" t="str">
        <f>IFERROR(__xludf.DUMMYFUNCTION("""COMPUTED_VALUE"""),"Maxwell")</f>
        <v>Maxwell</v>
      </c>
      <c r="E6057" t="str">
        <f>IFERROR(__xludf.DUMMYFUNCTION("""COMPUTED_VALUE"""),"Byron")</f>
        <v>Byron</v>
      </c>
      <c r="F6057">
        <f>IFERROR(__xludf.DUMMYFUNCTION("""COMPUTED_VALUE"""),18.5)</f>
        <v>18.5</v>
      </c>
    </row>
    <row r="6058">
      <c r="D6058" t="str">
        <f>IFERROR(__xludf.DUMMYFUNCTION("""COMPUTED_VALUE"""),"Maye")</f>
        <v>Maye</v>
      </c>
      <c r="E6058" t="str">
        <f>IFERROR(__xludf.DUMMYFUNCTION("""COMPUTED_VALUE"""),"Marcus")</f>
        <v>Marcus</v>
      </c>
      <c r="F6058">
        <f>IFERROR(__xludf.DUMMYFUNCTION("""COMPUTED_VALUE"""),18.75)</f>
        <v>18.75</v>
      </c>
    </row>
    <row r="6059">
      <c r="D6059" t="str">
        <f>IFERROR(__xludf.DUMMYFUNCTION("""COMPUTED_VALUE"""),"Mayfield")</f>
        <v>Mayfield</v>
      </c>
      <c r="E6059" t="str">
        <f>IFERROR(__xludf.DUMMYFUNCTION("""COMPUTED_VALUE"""),"Baker")</f>
        <v>Baker</v>
      </c>
      <c r="F6059">
        <f>IFERROR(__xludf.DUMMYFUNCTION("""COMPUTED_VALUE"""),19.75)</f>
        <v>19.75</v>
      </c>
    </row>
    <row r="6060">
      <c r="D6060" t="str">
        <f>IFERROR(__xludf.DUMMYFUNCTION("""COMPUTED_VALUE"""),"Mayfield")</f>
        <v>Mayfield</v>
      </c>
      <c r="E6060" t="str">
        <f>IFERROR(__xludf.DUMMYFUNCTION("""COMPUTED_VALUE"""),"Baker")</f>
        <v>Baker</v>
      </c>
      <c r="F6060">
        <f>IFERROR(__xludf.DUMMYFUNCTION("""COMPUTED_VALUE"""),21.75)</f>
        <v>21.75</v>
      </c>
    </row>
    <row r="6061">
      <c r="D6061" t="str">
        <f>IFERROR(__xludf.DUMMYFUNCTION("""COMPUTED_VALUE"""),"Mayle")</f>
        <v>Mayle</v>
      </c>
      <c r="E6061" t="str">
        <f>IFERROR(__xludf.DUMMYFUNCTION("""COMPUTED_VALUE"""),"Vince")</f>
        <v>Vince</v>
      </c>
      <c r="F6061">
        <f>IFERROR(__xludf.DUMMYFUNCTION("""COMPUTED_VALUE"""),17.5)</f>
        <v>17.5</v>
      </c>
    </row>
    <row r="6062">
      <c r="D6062" t="str">
        <f>IFERROR(__xludf.DUMMYFUNCTION("""COMPUTED_VALUE"""),"Mayo")</f>
        <v>Mayo</v>
      </c>
      <c r="E6062" t="str">
        <f>IFERROR(__xludf.DUMMYFUNCTION("""COMPUTED_VALUE"""),"David")</f>
        <v>David</v>
      </c>
      <c r="F6062">
        <f>IFERROR(__xludf.DUMMYFUNCTION("""COMPUTED_VALUE"""),17.75)</f>
        <v>17.75</v>
      </c>
    </row>
    <row r="6063">
      <c r="D6063" t="str">
        <f>IFERROR(__xludf.DUMMYFUNCTION("""COMPUTED_VALUE"""),"Mayowa")</f>
        <v>Mayowa</v>
      </c>
      <c r="E6063" t="str">
        <f>IFERROR(__xludf.DUMMYFUNCTION("""COMPUTED_VALUE"""),"Benson")</f>
        <v>Benson</v>
      </c>
      <c r="F6063">
        <f>IFERROR(__xludf.DUMMYFUNCTION("""COMPUTED_VALUE"""),17.5)</f>
        <v>17.5</v>
      </c>
    </row>
    <row r="6064">
      <c r="D6064" t="str">
        <f>IFERROR(__xludf.DUMMYFUNCTION("""COMPUTED_VALUE"""),"Mays")</f>
        <v>Mays</v>
      </c>
      <c r="E6064" t="str">
        <f>IFERROR(__xludf.DUMMYFUNCTION("""COMPUTED_VALUE"""),"Devante")</f>
        <v>Devante</v>
      </c>
      <c r="F6064">
        <f>IFERROR(__xludf.DUMMYFUNCTION("""COMPUTED_VALUE"""),16.75)</f>
        <v>16.75</v>
      </c>
    </row>
    <row r="6065">
      <c r="D6065" t="str">
        <f>IFERROR(__xludf.DUMMYFUNCTION("""COMPUTED_VALUE"""),"McCaffrey")</f>
        <v>McCaffrey</v>
      </c>
      <c r="E6065" t="str">
        <f>IFERROR(__xludf.DUMMYFUNCTION("""COMPUTED_VALUE"""),"Christian")</f>
        <v>Christian</v>
      </c>
      <c r="F6065">
        <f>IFERROR(__xludf.DUMMYFUNCTION("""COMPUTED_VALUE"""),20.5)</f>
        <v>20.5</v>
      </c>
    </row>
    <row r="6066">
      <c r="D6066" t="str">
        <f>IFERROR(__xludf.DUMMYFUNCTION("""COMPUTED_VALUE"""),"McCaffrey")</f>
        <v>McCaffrey</v>
      </c>
      <c r="E6066" t="str">
        <f>IFERROR(__xludf.DUMMYFUNCTION("""COMPUTED_VALUE"""),"Max")</f>
        <v>Max</v>
      </c>
      <c r="F6066">
        <f>IFERROR(__xludf.DUMMYFUNCTION("""COMPUTED_VALUE"""),16.5)</f>
        <v>16.5</v>
      </c>
    </row>
    <row r="6067">
      <c r="D6067" t="str">
        <f>IFERROR(__xludf.DUMMYFUNCTION("""COMPUTED_VALUE"""),"McCain")</f>
        <v>McCain</v>
      </c>
      <c r="E6067" t="str">
        <f>IFERROR(__xludf.DUMMYFUNCTION("""COMPUTED_VALUE"""),"Bobby")</f>
        <v>Bobby</v>
      </c>
      <c r="F6067">
        <f>IFERROR(__xludf.DUMMYFUNCTION("""COMPUTED_VALUE"""),19.25)</f>
        <v>19.25</v>
      </c>
    </row>
    <row r="6068">
      <c r="D6068" t="str">
        <f>IFERROR(__xludf.DUMMYFUNCTION("""COMPUTED_VALUE"""),"McCarron")</f>
        <v>McCarron</v>
      </c>
      <c r="E6068" t="str">
        <f>IFERROR(__xludf.DUMMYFUNCTION("""COMPUTED_VALUE"""),"AJ")</f>
        <v>AJ</v>
      </c>
      <c r="F6068">
        <f>IFERROR(__xludf.DUMMYFUNCTION("""COMPUTED_VALUE"""),18.75)</f>
        <v>18.75</v>
      </c>
    </row>
    <row r="6069">
      <c r="D6069" t="str">
        <f>IFERROR(__xludf.DUMMYFUNCTION("""COMPUTED_VALUE"""),"McClellan")</f>
        <v>McClellan</v>
      </c>
      <c r="E6069" t="str">
        <f>IFERROR(__xludf.DUMMYFUNCTION("""COMPUTED_VALUE"""),"Albert")</f>
        <v>Albert</v>
      </c>
      <c r="F6069">
        <f>IFERROR(__xludf.DUMMYFUNCTION("""COMPUTED_VALUE"""),18.25)</f>
        <v>18.25</v>
      </c>
    </row>
    <row r="6070">
      <c r="D6070" t="str">
        <f>IFERROR(__xludf.DUMMYFUNCTION("""COMPUTED_VALUE"""),"McCloud")</f>
        <v>McCloud</v>
      </c>
      <c r="E6070" t="str">
        <f>IFERROR(__xludf.DUMMYFUNCTION("""COMPUTED_VALUE"""),"Ray-Ray")</f>
        <v>Ray-Ray</v>
      </c>
      <c r="F6070">
        <f>IFERROR(__xludf.DUMMYFUNCTION("""COMPUTED_VALUE"""),17.0)</f>
        <v>17</v>
      </c>
    </row>
    <row r="6071">
      <c r="D6071" t="str">
        <f>IFERROR(__xludf.DUMMYFUNCTION("""COMPUTED_VALUE"""),"McClure")</f>
        <v>McClure</v>
      </c>
      <c r="E6071" t="str">
        <f>IFERROR(__xludf.DUMMYFUNCTION("""COMPUTED_VALUE"""),"Stefan")</f>
        <v>Stefan</v>
      </c>
      <c r="F6071">
        <f>IFERROR(__xludf.DUMMYFUNCTION("""COMPUTED_VALUE"""),15.75)</f>
        <v>15.75</v>
      </c>
    </row>
    <row r="6072">
      <c r="D6072" t="str">
        <f>IFERROR(__xludf.DUMMYFUNCTION("""COMPUTED_VALUE"""),"McCourty")</f>
        <v>McCourty</v>
      </c>
      <c r="E6072" t="str">
        <f>IFERROR(__xludf.DUMMYFUNCTION("""COMPUTED_VALUE"""),"Devin")</f>
        <v>Devin</v>
      </c>
      <c r="F6072">
        <f>IFERROR(__xludf.DUMMYFUNCTION("""COMPUTED_VALUE"""),21.0)</f>
        <v>21</v>
      </c>
    </row>
    <row r="6073">
      <c r="D6073" t="str">
        <f>IFERROR(__xludf.DUMMYFUNCTION("""COMPUTED_VALUE"""),"McCourty")</f>
        <v>McCourty</v>
      </c>
      <c r="E6073" t="str">
        <f>IFERROR(__xludf.DUMMYFUNCTION("""COMPUTED_VALUE"""),"Jason")</f>
        <v>Jason</v>
      </c>
      <c r="F6073">
        <f>IFERROR(__xludf.DUMMYFUNCTION("""COMPUTED_VALUE"""),21.0)</f>
        <v>21</v>
      </c>
    </row>
    <row r="6074">
      <c r="D6074" t="str">
        <f>IFERROR(__xludf.DUMMYFUNCTION("""COMPUTED_VALUE"""),"McCown")</f>
        <v>McCown</v>
      </c>
      <c r="E6074" t="str">
        <f>IFERROR(__xludf.DUMMYFUNCTION("""COMPUTED_VALUE"""),"Josh")</f>
        <v>Josh</v>
      </c>
      <c r="F6074">
        <f>IFERROR(__xludf.DUMMYFUNCTION("""COMPUTED_VALUE"""),19.25)</f>
        <v>19.25</v>
      </c>
    </row>
    <row r="6075">
      <c r="D6075" t="str">
        <f>IFERROR(__xludf.DUMMYFUNCTION("""COMPUTED_VALUE"""),"McCown")</f>
        <v>McCown</v>
      </c>
      <c r="E6075" t="str">
        <f>IFERROR(__xludf.DUMMYFUNCTION("""COMPUTED_VALUE"""),"Josh")</f>
        <v>Josh</v>
      </c>
      <c r="F6075">
        <f>IFERROR(__xludf.DUMMYFUNCTION("""COMPUTED_VALUE"""),21.25)</f>
        <v>21.25</v>
      </c>
    </row>
    <row r="6076">
      <c r="D6076" t="str">
        <f>IFERROR(__xludf.DUMMYFUNCTION("""COMPUTED_VALUE"""),"McCoy")</f>
        <v>McCoy</v>
      </c>
      <c r="E6076" t="str">
        <f>IFERROR(__xludf.DUMMYFUNCTION("""COMPUTED_VALUE"""),"Colt")</f>
        <v>Colt</v>
      </c>
      <c r="F6076">
        <f>IFERROR(__xludf.DUMMYFUNCTION("""COMPUTED_VALUE"""),17.25)</f>
        <v>17.25</v>
      </c>
    </row>
    <row r="6077">
      <c r="D6077" t="str">
        <f>IFERROR(__xludf.DUMMYFUNCTION("""COMPUTED_VALUE"""),"McCoy")</f>
        <v>McCoy</v>
      </c>
      <c r="E6077" t="str">
        <f>IFERROR(__xludf.DUMMYFUNCTION("""COMPUTED_VALUE"""),"Gerald")</f>
        <v>Gerald</v>
      </c>
      <c r="F6077">
        <f>IFERROR(__xludf.DUMMYFUNCTION("""COMPUTED_VALUE"""),21.5)</f>
        <v>21.5</v>
      </c>
    </row>
    <row r="6078">
      <c r="D6078" t="str">
        <f>IFERROR(__xludf.DUMMYFUNCTION("""COMPUTED_VALUE"""),"McCoy")</f>
        <v>McCoy</v>
      </c>
      <c r="E6078" t="str">
        <f>IFERROR(__xludf.DUMMYFUNCTION("""COMPUTED_VALUE"""),"LeSean")</f>
        <v>LeSean</v>
      </c>
      <c r="F6078">
        <f>IFERROR(__xludf.DUMMYFUNCTION("""COMPUTED_VALUE"""),20.75)</f>
        <v>20.75</v>
      </c>
    </row>
    <row r="6079">
      <c r="D6079" t="str">
        <f>IFERROR(__xludf.DUMMYFUNCTION("""COMPUTED_VALUE"""),"McCray")</f>
        <v>McCray</v>
      </c>
      <c r="E6079" t="str">
        <f>IFERROR(__xludf.DUMMYFUNCTION("""COMPUTED_VALUE"""),"Justin")</f>
        <v>Justin</v>
      </c>
      <c r="F6079">
        <f>IFERROR(__xludf.DUMMYFUNCTION("""COMPUTED_VALUE"""),17.5)</f>
        <v>17.5</v>
      </c>
    </row>
    <row r="6080">
      <c r="D6080" t="str">
        <f>IFERROR(__xludf.DUMMYFUNCTION("""COMPUTED_VALUE"""),"McCray")</f>
        <v>McCray</v>
      </c>
      <c r="E6080" t="str">
        <f>IFERROR(__xludf.DUMMYFUNCTION("""COMPUTED_VALUE"""),"Kelcie")</f>
        <v>Kelcie</v>
      </c>
      <c r="F6080">
        <f>IFERROR(__xludf.DUMMYFUNCTION("""COMPUTED_VALUE"""),18.0)</f>
        <v>18</v>
      </c>
    </row>
    <row r="6081">
      <c r="D6081" t="str">
        <f>IFERROR(__xludf.DUMMYFUNCTION("""COMPUTED_VALUE"""),"McCray")</f>
        <v>McCray</v>
      </c>
      <c r="E6081" t="str">
        <f>IFERROR(__xludf.DUMMYFUNCTION("""COMPUTED_VALUE"""),"Lerentee")</f>
        <v>Lerentee</v>
      </c>
      <c r="F6081">
        <f>IFERROR(__xludf.DUMMYFUNCTION("""COMPUTED_VALUE"""),17.25)</f>
        <v>17.25</v>
      </c>
    </row>
    <row r="6082">
      <c r="D6082" t="str">
        <f>IFERROR(__xludf.DUMMYFUNCTION("""COMPUTED_VALUE"""),"McCray II")</f>
        <v>McCray II</v>
      </c>
      <c r="E6082" t="str">
        <f>IFERROR(__xludf.DUMMYFUNCTION("""COMPUTED_VALUE"""),"LJ")</f>
        <v>LJ</v>
      </c>
      <c r="F6082">
        <f>IFERROR(__xludf.DUMMYFUNCTION("""COMPUTED_VALUE"""),17.5)</f>
        <v>17.5</v>
      </c>
    </row>
    <row r="6083">
      <c r="D6083" t="str">
        <f>IFERROR(__xludf.DUMMYFUNCTION("""COMPUTED_VALUE"""),"McCullers")</f>
        <v>McCullers</v>
      </c>
      <c r="E6083" t="str">
        <f>IFERROR(__xludf.DUMMYFUNCTION("""COMPUTED_VALUE"""),"Daniel")</f>
        <v>Daniel</v>
      </c>
      <c r="F6083">
        <f>IFERROR(__xludf.DUMMYFUNCTION("""COMPUTED_VALUE"""),17.25)</f>
        <v>17.25</v>
      </c>
    </row>
    <row r="6084">
      <c r="D6084" t="str">
        <f>IFERROR(__xludf.DUMMYFUNCTION("""COMPUTED_VALUE"""),"McDonald")</f>
        <v>McDonald</v>
      </c>
      <c r="E6084" t="str">
        <f>IFERROR(__xludf.DUMMYFUNCTION("""COMPUTED_VALUE"""),"Clinton")</f>
        <v>Clinton</v>
      </c>
      <c r="F6084">
        <f>IFERROR(__xludf.DUMMYFUNCTION("""COMPUTED_VALUE"""),18.0)</f>
        <v>18</v>
      </c>
    </row>
    <row r="6085">
      <c r="D6085" t="str">
        <f>IFERROR(__xludf.DUMMYFUNCTION("""COMPUTED_VALUE"""),"McDonald")</f>
        <v>McDonald</v>
      </c>
      <c r="E6085" t="str">
        <f>IFERROR(__xludf.DUMMYFUNCTION("""COMPUTED_VALUE"""),"Dexter")</f>
        <v>Dexter</v>
      </c>
      <c r="F6085">
        <f>IFERROR(__xludf.DUMMYFUNCTION("""COMPUTED_VALUE"""),18.0)</f>
        <v>18</v>
      </c>
    </row>
    <row r="6086">
      <c r="D6086" t="str">
        <f>IFERROR(__xludf.DUMMYFUNCTION("""COMPUTED_VALUE"""),"McDonald")</f>
        <v>McDonald</v>
      </c>
      <c r="E6086" t="str">
        <f>IFERROR(__xludf.DUMMYFUNCTION("""COMPUTED_VALUE"""),"Vance")</f>
        <v>Vance</v>
      </c>
      <c r="F6086">
        <f>IFERROR(__xludf.DUMMYFUNCTION("""COMPUTED_VALUE"""),19.25)</f>
        <v>19.25</v>
      </c>
    </row>
    <row r="6087">
      <c r="D6087" t="str">
        <f>IFERROR(__xludf.DUMMYFUNCTION("""COMPUTED_VALUE"""),"McDonald Jr")</f>
        <v>McDonald Jr</v>
      </c>
      <c r="E6087" t="str">
        <f>IFERROR(__xludf.DUMMYFUNCTION("""COMPUTED_VALUE"""),"TJ")</f>
        <v>TJ</v>
      </c>
      <c r="F6087">
        <f>IFERROR(__xludf.DUMMYFUNCTION("""COMPUTED_VALUE"""),18.25)</f>
        <v>18.25</v>
      </c>
    </row>
    <row r="6088">
      <c r="D6088" t="str">
        <f>IFERROR(__xludf.DUMMYFUNCTION("""COMPUTED_VALUE"""),"McDougald")</f>
        <v>McDougald</v>
      </c>
      <c r="E6088" t="str">
        <f>IFERROR(__xludf.DUMMYFUNCTION("""COMPUTED_VALUE"""),"Bradley")</f>
        <v>Bradley</v>
      </c>
      <c r="F6088">
        <f>IFERROR(__xludf.DUMMYFUNCTION("""COMPUTED_VALUE"""),19.0)</f>
        <v>19</v>
      </c>
    </row>
    <row r="6089">
      <c r="D6089" t="str">
        <f>IFERROR(__xludf.DUMMYFUNCTION("""COMPUTED_VALUE"""),"McDowell")</f>
        <v>McDowell</v>
      </c>
      <c r="E6089" t="str">
        <f>IFERROR(__xludf.DUMMYFUNCTION("""COMPUTED_VALUE"""),"Malik")</f>
        <v>Malik</v>
      </c>
      <c r="F6089">
        <f>IFERROR(__xludf.DUMMYFUNCTION("""COMPUTED_VALUE"""),19.0)</f>
        <v>19</v>
      </c>
    </row>
    <row r="6090">
      <c r="D6090" t="str">
        <f>IFERROR(__xludf.DUMMYFUNCTION("""COMPUTED_VALUE"""),"McEvoy")</f>
        <v>McEvoy</v>
      </c>
      <c r="E6090" t="str">
        <f>IFERROR(__xludf.DUMMYFUNCTION("""COMPUTED_VALUE"""),"Tanner")</f>
        <v>Tanner</v>
      </c>
      <c r="F6090">
        <f>IFERROR(__xludf.DUMMYFUNCTION("""COMPUTED_VALUE"""),17.5)</f>
        <v>17.5</v>
      </c>
    </row>
    <row r="6091">
      <c r="D6091" t="str">
        <f>IFERROR(__xludf.DUMMYFUNCTION("""COMPUTED_VALUE"""),"McFadden")</f>
        <v>McFadden</v>
      </c>
      <c r="E6091" t="str">
        <f>IFERROR(__xludf.DUMMYFUNCTION("""COMPUTED_VALUE"""),"Leon")</f>
        <v>Leon</v>
      </c>
      <c r="F6091">
        <f>IFERROR(__xludf.DUMMYFUNCTION("""COMPUTED_VALUE"""),17.25)</f>
        <v>17.25</v>
      </c>
    </row>
    <row r="6092">
      <c r="D6092" t="str">
        <f>IFERROR(__xludf.DUMMYFUNCTION("""COMPUTED_VALUE"""),"McGee")</f>
        <v>McGee</v>
      </c>
      <c r="E6092" t="str">
        <f>IFERROR(__xludf.DUMMYFUNCTION("""COMPUTED_VALUE"""),"Jake")</f>
        <v>Jake</v>
      </c>
      <c r="F6092">
        <f>IFERROR(__xludf.DUMMYFUNCTION("""COMPUTED_VALUE"""),15.75)</f>
        <v>15.75</v>
      </c>
    </row>
    <row r="6093">
      <c r="D6093" t="str">
        <f>IFERROR(__xludf.DUMMYFUNCTION("""COMPUTED_VALUE"""),"McGee")</f>
        <v>McGee</v>
      </c>
      <c r="E6093" t="str">
        <f>IFERROR(__xludf.DUMMYFUNCTION("""COMPUTED_VALUE"""),"Stacy")</f>
        <v>Stacy</v>
      </c>
      <c r="F6093">
        <f>IFERROR(__xludf.DUMMYFUNCTION("""COMPUTED_VALUE"""),17.75)</f>
        <v>17.75</v>
      </c>
    </row>
    <row r="6094">
      <c r="D6094" t="str">
        <f>IFERROR(__xludf.DUMMYFUNCTION("""COMPUTED_VALUE"""),"McGill")</f>
        <v>McGill</v>
      </c>
      <c r="E6094" t="str">
        <f>IFERROR(__xludf.DUMMYFUNCTION("""COMPUTED_VALUE"""),"TY")</f>
        <v>TY</v>
      </c>
      <c r="F6094">
        <f>IFERROR(__xludf.DUMMYFUNCTION("""COMPUTED_VALUE"""),18.5)</f>
        <v>18.5</v>
      </c>
    </row>
    <row r="6095">
      <c r="D6095" t="str">
        <f>IFERROR(__xludf.DUMMYFUNCTION("""COMPUTED_VALUE"""),"McGlinchey")</f>
        <v>McGlinchey</v>
      </c>
      <c r="E6095" t="str">
        <f>IFERROR(__xludf.DUMMYFUNCTION("""COMPUTED_VALUE"""),"Mike")</f>
        <v>Mike</v>
      </c>
      <c r="F6095">
        <f>IFERROR(__xludf.DUMMYFUNCTION("""COMPUTED_VALUE"""),19.75)</f>
        <v>19.75</v>
      </c>
    </row>
    <row r="6096">
      <c r="D6096" t="str">
        <f>IFERROR(__xludf.DUMMYFUNCTION("""COMPUTED_VALUE"""),"McGough")</f>
        <v>McGough</v>
      </c>
      <c r="E6096" t="str">
        <f>IFERROR(__xludf.DUMMYFUNCTION("""COMPUTED_VALUE"""),"Alex")</f>
        <v>Alex</v>
      </c>
      <c r="F6096">
        <f>IFERROR(__xludf.DUMMYFUNCTION("""COMPUTED_VALUE"""),16.25)</f>
        <v>16.25</v>
      </c>
    </row>
    <row r="6097">
      <c r="D6097" t="str">
        <f>IFERROR(__xludf.DUMMYFUNCTION("""COMPUTED_VALUE"""),"McGovern")</f>
        <v>McGovern</v>
      </c>
      <c r="E6097" t="str">
        <f>IFERROR(__xludf.DUMMYFUNCTION("""COMPUTED_VALUE"""),"Connor")</f>
        <v>Connor</v>
      </c>
      <c r="F6097">
        <f>IFERROR(__xludf.DUMMYFUNCTION("""COMPUTED_VALUE"""),17.75)</f>
        <v>17.75</v>
      </c>
    </row>
    <row r="6098">
      <c r="D6098" t="str">
        <f>IFERROR(__xludf.DUMMYFUNCTION("""COMPUTED_VALUE"""),"McGrath")</f>
        <v>McGrath</v>
      </c>
      <c r="E6098" t="str">
        <f>IFERROR(__xludf.DUMMYFUNCTION("""COMPUTED_VALUE"""),"Sean")</f>
        <v>Sean</v>
      </c>
      <c r="F6098">
        <f>IFERROR(__xludf.DUMMYFUNCTION("""COMPUTED_VALUE"""),17.5)</f>
        <v>17.5</v>
      </c>
    </row>
    <row r="6099">
      <c r="D6099" t="str">
        <f>IFERROR(__xludf.DUMMYFUNCTION("""COMPUTED_VALUE"""),"McGuire")</f>
        <v>McGuire</v>
      </c>
      <c r="E6099" t="str">
        <f>IFERROR(__xludf.DUMMYFUNCTION("""COMPUTED_VALUE"""),"Elijah")</f>
        <v>Elijah</v>
      </c>
      <c r="F6099">
        <f>IFERROR(__xludf.DUMMYFUNCTION("""COMPUTED_VALUE"""),18.5)</f>
        <v>18.5</v>
      </c>
    </row>
    <row r="6100">
      <c r="D6100" t="str">
        <f>IFERROR(__xludf.DUMMYFUNCTION("""COMPUTED_VALUE"""),"McIntosh")</f>
        <v>McIntosh</v>
      </c>
      <c r="E6100" t="str">
        <f>IFERROR(__xludf.DUMMYFUNCTION("""COMPUTED_VALUE"""),"RJ")</f>
        <v>RJ</v>
      </c>
      <c r="F6100">
        <f>IFERROR(__xludf.DUMMYFUNCTION("""COMPUTED_VALUE"""),16.75)</f>
        <v>16.75</v>
      </c>
    </row>
    <row r="6101">
      <c r="D6101" t="str">
        <f>IFERROR(__xludf.DUMMYFUNCTION("""COMPUTED_VALUE"""),"McKay")</f>
        <v>McKay</v>
      </c>
      <c r="E6101" t="str">
        <f>IFERROR(__xludf.DUMMYFUNCTION("""COMPUTED_VALUE"""),"Mekale")</f>
        <v>Mekale</v>
      </c>
      <c r="F6101">
        <f>IFERROR(__xludf.DUMMYFUNCTION("""COMPUTED_VALUE"""),16.25)</f>
        <v>16.25</v>
      </c>
    </row>
    <row r="6102">
      <c r="D6102" t="str">
        <f>IFERROR(__xludf.DUMMYFUNCTION("""COMPUTED_VALUE"""),"McKenzie")</f>
        <v>McKenzie</v>
      </c>
      <c r="E6102" t="str">
        <f>IFERROR(__xludf.DUMMYFUNCTION("""COMPUTED_VALUE"""),"Isaiah")</f>
        <v>Isaiah</v>
      </c>
      <c r="F6102">
        <f>IFERROR(__xludf.DUMMYFUNCTION("""COMPUTED_VALUE"""),17.25)</f>
        <v>17.25</v>
      </c>
    </row>
    <row r="6103">
      <c r="D6103" t="str">
        <f>IFERROR(__xludf.DUMMYFUNCTION("""COMPUTED_VALUE"""),"McKenzie")</f>
        <v>McKenzie</v>
      </c>
      <c r="E6103" t="str">
        <f>IFERROR(__xludf.DUMMYFUNCTION("""COMPUTED_VALUE"""),"Kahlil")</f>
        <v>Kahlil</v>
      </c>
      <c r="F6103">
        <f>IFERROR(__xludf.DUMMYFUNCTION("""COMPUTED_VALUE"""),16.5)</f>
        <v>16.5</v>
      </c>
    </row>
    <row r="6104">
      <c r="D6104" t="str">
        <f>IFERROR(__xludf.DUMMYFUNCTION("""COMPUTED_VALUE"""),"McKinley")</f>
        <v>McKinley</v>
      </c>
      <c r="E6104" t="str">
        <f>IFERROR(__xludf.DUMMYFUNCTION("""COMPUTED_VALUE"""),"Takkarist")</f>
        <v>Takkarist</v>
      </c>
      <c r="F6104">
        <f>IFERROR(__xludf.DUMMYFUNCTION("""COMPUTED_VALUE"""),19.25)</f>
        <v>19.25</v>
      </c>
    </row>
    <row r="6105">
      <c r="D6105" t="str">
        <f>IFERROR(__xludf.DUMMYFUNCTION("""COMPUTED_VALUE"""),"McKinney")</f>
        <v>McKinney</v>
      </c>
      <c r="E6105" t="str">
        <f>IFERROR(__xludf.DUMMYFUNCTION("""COMPUTED_VALUE"""),"Benardrick")</f>
        <v>Benardrick</v>
      </c>
      <c r="F6105">
        <f>IFERROR(__xludf.DUMMYFUNCTION("""COMPUTED_VALUE"""),19.5)</f>
        <v>19.5</v>
      </c>
    </row>
    <row r="6106">
      <c r="D6106" t="str">
        <f>IFERROR(__xludf.DUMMYFUNCTION("""COMPUTED_VALUE"""),"McKinnon")</f>
        <v>McKinnon</v>
      </c>
      <c r="E6106" t="str">
        <f>IFERROR(__xludf.DUMMYFUNCTION("""COMPUTED_VALUE"""),"Jerick")</f>
        <v>Jerick</v>
      </c>
      <c r="F6106">
        <f>IFERROR(__xludf.DUMMYFUNCTION("""COMPUTED_VALUE"""),19.75)</f>
        <v>19.75</v>
      </c>
    </row>
    <row r="6107">
      <c r="D6107" t="str">
        <f>IFERROR(__xludf.DUMMYFUNCTION("""COMPUTED_VALUE"""),"McKissic")</f>
        <v>McKissic</v>
      </c>
      <c r="E6107" t="str">
        <f>IFERROR(__xludf.DUMMYFUNCTION("""COMPUTED_VALUE"""),"JD")</f>
        <v>JD</v>
      </c>
      <c r="F6107">
        <f>IFERROR(__xludf.DUMMYFUNCTION("""COMPUTED_VALUE"""),18.25)</f>
        <v>18.25</v>
      </c>
    </row>
    <row r="6108">
      <c r="D6108" t="str">
        <f>IFERROR(__xludf.DUMMYFUNCTION("""COMPUTED_VALUE"""),"McLendon")</f>
        <v>McLendon</v>
      </c>
      <c r="E6108" t="str">
        <f>IFERROR(__xludf.DUMMYFUNCTION("""COMPUTED_VALUE"""),"Steve")</f>
        <v>Steve</v>
      </c>
      <c r="F6108">
        <f>IFERROR(__xludf.DUMMYFUNCTION("""COMPUTED_VALUE"""),19.75)</f>
        <v>19.75</v>
      </c>
    </row>
    <row r="6109">
      <c r="D6109" t="str">
        <f>IFERROR(__xludf.DUMMYFUNCTION("""COMPUTED_VALUE"""),"McLeod Jr")</f>
        <v>McLeod Jr</v>
      </c>
      <c r="E6109" t="str">
        <f>IFERROR(__xludf.DUMMYFUNCTION("""COMPUTED_VALUE"""),"Rodney")</f>
        <v>Rodney</v>
      </c>
      <c r="F6109">
        <f>IFERROR(__xludf.DUMMYFUNCTION("""COMPUTED_VALUE"""),19.75)</f>
        <v>19.75</v>
      </c>
    </row>
    <row r="6110">
      <c r="D6110" t="str">
        <f>IFERROR(__xludf.DUMMYFUNCTION("""COMPUTED_VALUE"""),"McManis")</f>
        <v>McManis</v>
      </c>
      <c r="E6110" t="str">
        <f>IFERROR(__xludf.DUMMYFUNCTION("""COMPUTED_VALUE"""),"Sherrick")</f>
        <v>Sherrick</v>
      </c>
      <c r="F6110">
        <f>IFERROR(__xludf.DUMMYFUNCTION("""COMPUTED_VALUE"""),16.75)</f>
        <v>16.75</v>
      </c>
    </row>
    <row r="6111">
      <c r="D6111" t="str">
        <f>IFERROR(__xludf.DUMMYFUNCTION("""COMPUTED_VALUE"""),"McManus")</f>
        <v>McManus</v>
      </c>
      <c r="E6111" t="str">
        <f>IFERROR(__xludf.DUMMYFUNCTION("""COMPUTED_VALUE"""),"Brandon")</f>
        <v>Brandon</v>
      </c>
      <c r="F6111">
        <f>IFERROR(__xludf.DUMMYFUNCTION("""COMPUTED_VALUE"""),21.0)</f>
        <v>21</v>
      </c>
    </row>
    <row r="6112">
      <c r="D6112" t="str">
        <f>IFERROR(__xludf.DUMMYFUNCTION("""COMPUTED_VALUE"""),"McMillan")</f>
        <v>McMillan</v>
      </c>
      <c r="E6112" t="str">
        <f>IFERROR(__xludf.DUMMYFUNCTION("""COMPUTED_VALUE"""),"Raekwon")</f>
        <v>Raekwon</v>
      </c>
      <c r="F6112">
        <f>IFERROR(__xludf.DUMMYFUNCTION("""COMPUTED_VALUE"""),19.5)</f>
        <v>19.5</v>
      </c>
    </row>
    <row r="6113">
      <c r="D6113" t="str">
        <f>IFERROR(__xludf.DUMMYFUNCTION("""COMPUTED_VALUE"""),"McNichols")</f>
        <v>McNichols</v>
      </c>
      <c r="E6113" t="str">
        <f>IFERROR(__xludf.DUMMYFUNCTION("""COMPUTED_VALUE"""),"Jeremy")</f>
        <v>Jeremy</v>
      </c>
      <c r="F6113">
        <f>IFERROR(__xludf.DUMMYFUNCTION("""COMPUTED_VALUE"""),17.25)</f>
        <v>17.25</v>
      </c>
    </row>
    <row r="6114">
      <c r="D6114" t="str">
        <f>IFERROR(__xludf.DUMMYFUNCTION("""COMPUTED_VALUE"""),"McPhee")</f>
        <v>McPhee</v>
      </c>
      <c r="E6114" t="str">
        <f>IFERROR(__xludf.DUMMYFUNCTION("""COMPUTED_VALUE"""),"Pernell")</f>
        <v>Pernell</v>
      </c>
      <c r="F6114">
        <f>IFERROR(__xludf.DUMMYFUNCTION("""COMPUTED_VALUE"""),20.25)</f>
        <v>20.25</v>
      </c>
    </row>
    <row r="6115">
      <c r="D6115" t="str">
        <f>IFERROR(__xludf.DUMMYFUNCTION("""COMPUTED_VALUE"""),"McQuay III")</f>
        <v>McQuay III</v>
      </c>
      <c r="E6115" t="str">
        <f>IFERROR(__xludf.DUMMYFUNCTION("""COMPUTED_VALUE"""),"Leon")</f>
        <v>Leon</v>
      </c>
      <c r="F6115">
        <f>IFERROR(__xludf.DUMMYFUNCTION("""COMPUTED_VALUE"""),16.75)</f>
        <v>16.75</v>
      </c>
    </row>
    <row r="6116">
      <c r="D6116" t="str">
        <f>IFERROR(__xludf.DUMMYFUNCTION("""COMPUTED_VALUE"""),"McRae")</f>
        <v>McRae</v>
      </c>
      <c r="E6116" t="str">
        <f>IFERROR(__xludf.DUMMYFUNCTION("""COMPUTED_VALUE"""),"Tony")</f>
        <v>Tony</v>
      </c>
      <c r="F6116">
        <f>IFERROR(__xludf.DUMMYFUNCTION("""COMPUTED_VALUE"""),16.25)</f>
        <v>16.25</v>
      </c>
    </row>
    <row r="6117">
      <c r="D6117" t="str">
        <f>IFERROR(__xludf.DUMMYFUNCTION("""COMPUTED_VALUE"""),"McTyer")</f>
        <v>McTyer</v>
      </c>
      <c r="E6117" t="str">
        <f>IFERROR(__xludf.DUMMYFUNCTION("""COMPUTED_VALUE"""),"Torry")</f>
        <v>Torry</v>
      </c>
      <c r="F6117">
        <f>IFERROR(__xludf.DUMMYFUNCTION("""COMPUTED_VALUE"""),16.0)</f>
        <v>16</v>
      </c>
    </row>
    <row r="6118">
      <c r="D6118" t="str">
        <f>IFERROR(__xludf.DUMMYFUNCTION("""COMPUTED_VALUE"""),"Means")</f>
        <v>Means</v>
      </c>
      <c r="E6118" t="str">
        <f>IFERROR(__xludf.DUMMYFUNCTION("""COMPUTED_VALUE"""),"Steven")</f>
        <v>Steven</v>
      </c>
      <c r="F6118">
        <f>IFERROR(__xludf.DUMMYFUNCTION("""COMPUTED_VALUE"""),16.5)</f>
        <v>16.5</v>
      </c>
    </row>
    <row r="6119">
      <c r="D6119" t="str">
        <f>IFERROR(__xludf.DUMMYFUNCTION("""COMPUTED_VALUE"""),"Mebane")</f>
        <v>Mebane</v>
      </c>
      <c r="E6119" t="str">
        <f>IFERROR(__xludf.DUMMYFUNCTION("""COMPUTED_VALUE"""),"Brandon")</f>
        <v>Brandon</v>
      </c>
      <c r="F6119">
        <f>IFERROR(__xludf.DUMMYFUNCTION("""COMPUTED_VALUE"""),18.5)</f>
        <v>18.5</v>
      </c>
    </row>
    <row r="6120">
      <c r="D6120" t="str">
        <f>IFERROR(__xludf.DUMMYFUNCTION("""COMPUTED_VALUE"""),"Meder")</f>
        <v>Meder</v>
      </c>
      <c r="E6120" t="str">
        <f>IFERROR(__xludf.DUMMYFUNCTION("""COMPUTED_VALUE"""),"Jamie")</f>
        <v>Jamie</v>
      </c>
      <c r="F6120">
        <f>IFERROR(__xludf.DUMMYFUNCTION("""COMPUTED_VALUE"""),18.0)</f>
        <v>18</v>
      </c>
    </row>
    <row r="6121">
      <c r="D6121" t="str">
        <f>IFERROR(__xludf.DUMMYFUNCTION("""COMPUTED_VALUE"""),"Melifonwu")</f>
        <v>Melifonwu</v>
      </c>
      <c r="E6121" t="str">
        <f>IFERROR(__xludf.DUMMYFUNCTION("""COMPUTED_VALUE"""),"Obi")</f>
        <v>Obi</v>
      </c>
      <c r="F6121">
        <f>IFERROR(__xludf.DUMMYFUNCTION("""COMPUTED_VALUE"""),18.5)</f>
        <v>18.5</v>
      </c>
    </row>
    <row r="6122">
      <c r="D6122" t="str">
        <f>IFERROR(__xludf.DUMMYFUNCTION("""COMPUTED_VALUE"""),"Melvin")</f>
        <v>Melvin</v>
      </c>
      <c r="E6122" t="str">
        <f>IFERROR(__xludf.DUMMYFUNCTION("""COMPUTED_VALUE"""),"Rashaan")</f>
        <v>Rashaan</v>
      </c>
      <c r="F6122">
        <f>IFERROR(__xludf.DUMMYFUNCTION("""COMPUTED_VALUE"""),20.75)</f>
        <v>20.75</v>
      </c>
    </row>
    <row r="6123">
      <c r="D6123" t="str">
        <f>IFERROR(__xludf.DUMMYFUNCTION("""COMPUTED_VALUE"""),"Mercilus")</f>
        <v>Mercilus</v>
      </c>
      <c r="E6123" t="str">
        <f>IFERROR(__xludf.DUMMYFUNCTION("""COMPUTED_VALUE"""),"Whitney")</f>
        <v>Whitney</v>
      </c>
      <c r="F6123">
        <f>IFERROR(__xludf.DUMMYFUNCTION("""COMPUTED_VALUE"""),20.5)</f>
        <v>20.5</v>
      </c>
    </row>
    <row r="6124">
      <c r="D6124" t="str">
        <f>IFERROR(__xludf.DUMMYFUNCTION("""COMPUTED_VALUE"""),"Mercilus")</f>
        <v>Mercilus</v>
      </c>
      <c r="E6124" t="str">
        <f>IFERROR(__xludf.DUMMYFUNCTION("""COMPUTED_VALUE"""),"Whitney")</f>
        <v>Whitney</v>
      </c>
      <c r="F6124">
        <f>IFERROR(__xludf.DUMMYFUNCTION("""COMPUTED_VALUE"""),21.75)</f>
        <v>21.75</v>
      </c>
    </row>
    <row r="6125">
      <c r="D6125" t="str">
        <f>IFERROR(__xludf.DUMMYFUNCTION("""COMPUTED_VALUE"""),"Meredith")</f>
        <v>Meredith</v>
      </c>
      <c r="E6125" t="str">
        <f>IFERROR(__xludf.DUMMYFUNCTION("""COMPUTED_VALUE"""),"Cameron")</f>
        <v>Cameron</v>
      </c>
      <c r="F6125">
        <f>IFERROR(__xludf.DUMMYFUNCTION("""COMPUTED_VALUE"""),20.0)</f>
        <v>20</v>
      </c>
    </row>
    <row r="6126">
      <c r="D6126" t="str">
        <f>IFERROR(__xludf.DUMMYFUNCTION("""COMPUTED_VALUE"""),"Mewhort")</f>
        <v>Mewhort</v>
      </c>
      <c r="E6126" t="str">
        <f>IFERROR(__xludf.DUMMYFUNCTION("""COMPUTED_VALUE"""),"Jack")</f>
        <v>Jack</v>
      </c>
      <c r="F6126">
        <f>IFERROR(__xludf.DUMMYFUNCTION("""COMPUTED_VALUE"""),19.25)</f>
        <v>19.25</v>
      </c>
    </row>
    <row r="6127">
      <c r="D6127" t="str">
        <f>IFERROR(__xludf.DUMMYFUNCTION("""COMPUTED_VALUE"""),"Michael")</f>
        <v>Michael</v>
      </c>
      <c r="E6127" t="str">
        <f>IFERROR(__xludf.DUMMYFUNCTION("""COMPUTED_VALUE"""),"Christine")</f>
        <v>Christine</v>
      </c>
      <c r="F6127">
        <f>IFERROR(__xludf.DUMMYFUNCTION("""COMPUTED_VALUE"""),17.5)</f>
        <v>17.5</v>
      </c>
    </row>
    <row r="6128">
      <c r="D6128" t="str">
        <f>IFERROR(__xludf.DUMMYFUNCTION("""COMPUTED_VALUE"""),"Michel")</f>
        <v>Michel</v>
      </c>
      <c r="E6128" t="str">
        <f>IFERROR(__xludf.DUMMYFUNCTION("""COMPUTED_VALUE"""),"Sony")</f>
        <v>Sony</v>
      </c>
      <c r="F6128">
        <f>IFERROR(__xludf.DUMMYFUNCTION("""COMPUTED_VALUE"""),19.25)</f>
        <v>19.25</v>
      </c>
    </row>
    <row r="6129">
      <c r="D6129" t="str">
        <f>IFERROR(__xludf.DUMMYFUNCTION("""COMPUTED_VALUE"""),"Mickens")</f>
        <v>Mickens</v>
      </c>
      <c r="E6129" t="str">
        <f>IFERROR(__xludf.DUMMYFUNCTION("""COMPUTED_VALUE"""),"Jaydon")</f>
        <v>Jaydon</v>
      </c>
      <c r="F6129">
        <f>IFERROR(__xludf.DUMMYFUNCTION("""COMPUTED_VALUE"""),17.25)</f>
        <v>17.25</v>
      </c>
    </row>
    <row r="6130">
      <c r="D6130" t="str">
        <f>IFERROR(__xludf.DUMMYFUNCTION("""COMPUTED_VALUE"""),"Middleton")</f>
        <v>Middleton</v>
      </c>
      <c r="E6130" t="str">
        <f>IFERROR(__xludf.DUMMYFUNCTION("""COMPUTED_VALUE"""),"Doug")</f>
        <v>Doug</v>
      </c>
      <c r="F6130">
        <f>IFERROR(__xludf.DUMMYFUNCTION("""COMPUTED_VALUE"""),15.75)</f>
        <v>15.75</v>
      </c>
    </row>
    <row r="6131">
      <c r="D6131" t="str">
        <f>IFERROR(__xludf.DUMMYFUNCTION("""COMPUTED_VALUE"""),"Mihalik")</f>
        <v>Mihalik</v>
      </c>
      <c r="E6131" t="str">
        <f>IFERROR(__xludf.DUMMYFUNCTION("""COMPUTED_VALUE"""),"Brian")</f>
        <v>Brian</v>
      </c>
      <c r="F6131">
        <f>IFERROR(__xludf.DUMMYFUNCTION("""COMPUTED_VALUE"""),17.5)</f>
        <v>17.5</v>
      </c>
    </row>
    <row r="6132">
      <c r="D6132" t="str">
        <f>IFERROR(__xludf.DUMMYFUNCTION("""COMPUTED_VALUE"""),"Milano")</f>
        <v>Milano</v>
      </c>
      <c r="E6132" t="str">
        <f>IFERROR(__xludf.DUMMYFUNCTION("""COMPUTED_VALUE"""),"Matt")</f>
        <v>Matt</v>
      </c>
      <c r="F6132">
        <f>IFERROR(__xludf.DUMMYFUNCTION("""COMPUTED_VALUE"""),18.25)</f>
        <v>18.25</v>
      </c>
    </row>
    <row r="6133">
      <c r="D6133" t="str">
        <f>IFERROR(__xludf.DUMMYFUNCTION("""COMPUTED_VALUE"""),"Miles")</f>
        <v>Miles</v>
      </c>
      <c r="E6133" t="str">
        <f>IFERROR(__xludf.DUMMYFUNCTION("""COMPUTED_VALUE"""),"Rontez")</f>
        <v>Rontez</v>
      </c>
      <c r="F6133">
        <f>IFERROR(__xludf.DUMMYFUNCTION("""COMPUTED_VALUE"""),18.0)</f>
        <v>18</v>
      </c>
    </row>
    <row r="6134">
      <c r="D6134" t="str">
        <f>IFERROR(__xludf.DUMMYFUNCTION("""COMPUTED_VALUE"""),"Miller")</f>
        <v>Miller</v>
      </c>
      <c r="E6134" t="str">
        <f>IFERROR(__xludf.DUMMYFUNCTION("""COMPUTED_VALUE"""),"Anthony")</f>
        <v>Anthony</v>
      </c>
      <c r="F6134">
        <f>IFERROR(__xludf.DUMMYFUNCTION("""COMPUTED_VALUE"""),19.0)</f>
        <v>19</v>
      </c>
    </row>
    <row r="6135">
      <c r="D6135" t="str">
        <f>IFERROR(__xludf.DUMMYFUNCTION("""COMPUTED_VALUE"""),"Miller")</f>
        <v>Miller</v>
      </c>
      <c r="E6135" t="str">
        <f>IFERROR(__xludf.DUMMYFUNCTION("""COMPUTED_VALUE"""),"Braxton")</f>
        <v>Braxton</v>
      </c>
      <c r="F6135">
        <f>IFERROR(__xludf.DUMMYFUNCTION("""COMPUTED_VALUE"""),18.25)</f>
        <v>18.25</v>
      </c>
    </row>
    <row r="6136">
      <c r="D6136" t="str">
        <f>IFERROR(__xludf.DUMMYFUNCTION("""COMPUTED_VALUE"""),"Miller")</f>
        <v>Miller</v>
      </c>
      <c r="E6136" t="str">
        <f>IFERROR(__xludf.DUMMYFUNCTION("""COMPUTED_VALUE"""),"Harlan")</f>
        <v>Harlan</v>
      </c>
      <c r="F6136">
        <f>IFERROR(__xludf.DUMMYFUNCTION("""COMPUTED_VALUE"""),16.5)</f>
        <v>16.5</v>
      </c>
    </row>
    <row r="6137">
      <c r="D6137" t="str">
        <f>IFERROR(__xludf.DUMMYFUNCTION("""COMPUTED_VALUE"""),"Miller")</f>
        <v>Miller</v>
      </c>
      <c r="E6137" t="str">
        <f>IFERROR(__xludf.DUMMYFUNCTION("""COMPUTED_VALUE"""),"John")</f>
        <v>John</v>
      </c>
      <c r="F6137">
        <f>IFERROR(__xludf.DUMMYFUNCTION("""COMPUTED_VALUE"""),17.5)</f>
        <v>17.5</v>
      </c>
    </row>
    <row r="6138">
      <c r="D6138" t="str">
        <f>IFERROR(__xludf.DUMMYFUNCTION("""COMPUTED_VALUE"""),"Miller")</f>
        <v>Miller</v>
      </c>
      <c r="E6138" t="str">
        <f>IFERROR(__xludf.DUMMYFUNCTION("""COMPUTED_VALUE"""),"Kolton")</f>
        <v>Kolton</v>
      </c>
      <c r="F6138">
        <f>IFERROR(__xludf.DUMMYFUNCTION("""COMPUTED_VALUE"""),19.5)</f>
        <v>19.5</v>
      </c>
    </row>
    <row r="6139">
      <c r="D6139" t="str">
        <f>IFERROR(__xludf.DUMMYFUNCTION("""COMPUTED_VALUE"""),"Miller")</f>
        <v>Miller</v>
      </c>
      <c r="E6139" t="str">
        <f>IFERROR(__xludf.DUMMYFUNCTION("""COMPUTED_VALUE"""),"Lamar")</f>
        <v>Lamar</v>
      </c>
      <c r="F6139">
        <f>IFERROR(__xludf.DUMMYFUNCTION("""COMPUTED_VALUE"""),20.25)</f>
        <v>20.25</v>
      </c>
    </row>
    <row r="6140">
      <c r="D6140" t="str">
        <f>IFERROR(__xludf.DUMMYFUNCTION("""COMPUTED_VALUE"""),"Miller")</f>
        <v>Miller</v>
      </c>
      <c r="E6140" t="str">
        <f>IFERROR(__xludf.DUMMYFUNCTION("""COMPUTED_VALUE"""),"Lamar")</f>
        <v>Lamar</v>
      </c>
      <c r="F6140">
        <f>IFERROR(__xludf.DUMMYFUNCTION("""COMPUTED_VALUE"""),21.75)</f>
        <v>21.75</v>
      </c>
    </row>
    <row r="6141">
      <c r="D6141" t="str">
        <f>IFERROR(__xludf.DUMMYFUNCTION("""COMPUTED_VALUE"""),"Miller")</f>
        <v>Miller</v>
      </c>
      <c r="E6141" t="str">
        <f>IFERROR(__xludf.DUMMYFUNCTION("""COMPUTED_VALUE"""),"Von")</f>
        <v>Von</v>
      </c>
      <c r="F6141">
        <f>IFERROR(__xludf.DUMMYFUNCTION("""COMPUTED_VALUE"""),22.0)</f>
        <v>22</v>
      </c>
    </row>
    <row r="6142">
      <c r="D6142" t="str">
        <f>IFERROR(__xludf.DUMMYFUNCTION("""COMPUTED_VALUE"""),"Miller")</f>
        <v>Miller</v>
      </c>
      <c r="E6142" t="str">
        <f>IFERROR(__xludf.DUMMYFUNCTION("""COMPUTED_VALUE"""),"Zach")</f>
        <v>Zach</v>
      </c>
      <c r="F6142">
        <f>IFERROR(__xludf.DUMMYFUNCTION("""COMPUTED_VALUE"""),20.5)</f>
        <v>20.5</v>
      </c>
    </row>
    <row r="6143">
      <c r="D6143" t="str">
        <f>IFERROR(__xludf.DUMMYFUNCTION("""COMPUTED_VALUE"""),"Milligan")</f>
        <v>Milligan</v>
      </c>
      <c r="E6143" t="str">
        <f>IFERROR(__xludf.DUMMYFUNCTION("""COMPUTED_VALUE"""),"Rolan")</f>
        <v>Rolan</v>
      </c>
      <c r="F6143">
        <f>IFERROR(__xludf.DUMMYFUNCTION("""COMPUTED_VALUE"""),15.5)</f>
        <v>15.5</v>
      </c>
    </row>
    <row r="6144">
      <c r="D6144" t="str">
        <f>IFERROR(__xludf.DUMMYFUNCTION("""COMPUTED_VALUE"""),"Mills")</f>
        <v>Mills</v>
      </c>
      <c r="E6144" t="str">
        <f>IFERROR(__xludf.DUMMYFUNCTION("""COMPUTED_VALUE"""),"Jalen")</f>
        <v>Jalen</v>
      </c>
      <c r="F6144">
        <f>IFERROR(__xludf.DUMMYFUNCTION("""COMPUTED_VALUE"""),20.25)</f>
        <v>20.25</v>
      </c>
    </row>
    <row r="6145">
      <c r="D6145" t="str">
        <f>IFERROR(__xludf.DUMMYFUNCTION("""COMPUTED_VALUE"""),"Mills")</f>
        <v>Mills</v>
      </c>
      <c r="E6145" t="str">
        <f>IFERROR(__xludf.DUMMYFUNCTION("""COMPUTED_VALUE"""),"Jordan")</f>
        <v>Jordan</v>
      </c>
      <c r="F6145">
        <f>IFERROR(__xludf.DUMMYFUNCTION("""COMPUTED_VALUE"""),19.25)</f>
        <v>19.25</v>
      </c>
    </row>
    <row r="6146">
      <c r="D6146" t="str">
        <f>IFERROR(__xludf.DUMMYFUNCTION("""COMPUTED_VALUE"""),"Milton")</f>
        <v>Milton</v>
      </c>
      <c r="E6146" t="str">
        <f>IFERROR(__xludf.DUMMYFUNCTION("""COMPUTED_VALUE"""),"Chris")</f>
        <v>Chris</v>
      </c>
      <c r="F6146">
        <f>IFERROR(__xludf.DUMMYFUNCTION("""COMPUTED_VALUE"""),15.5)</f>
        <v>15.5</v>
      </c>
    </row>
    <row r="6147">
      <c r="D6147" t="str">
        <f>IFERROR(__xludf.DUMMYFUNCTION("""COMPUTED_VALUE"""),"Mingo")</f>
        <v>Mingo</v>
      </c>
      <c r="E6147" t="str">
        <f>IFERROR(__xludf.DUMMYFUNCTION("""COMPUTED_VALUE"""),"Barkevious")</f>
        <v>Barkevious</v>
      </c>
      <c r="F6147">
        <f>IFERROR(__xludf.DUMMYFUNCTION("""COMPUTED_VALUE"""),20.25)</f>
        <v>20.25</v>
      </c>
    </row>
    <row r="6148">
      <c r="D6148" t="str">
        <f>IFERROR(__xludf.DUMMYFUNCTION("""COMPUTED_VALUE"""),"Minter")</f>
        <v>Minter</v>
      </c>
      <c r="E6148" t="str">
        <f>IFERROR(__xludf.DUMMYFUNCTION("""COMPUTED_VALUE"""),"Kevin")</f>
        <v>Kevin</v>
      </c>
      <c r="F6148">
        <f>IFERROR(__xludf.DUMMYFUNCTION("""COMPUTED_VALUE"""),18.5)</f>
        <v>18.5</v>
      </c>
    </row>
    <row r="6149">
      <c r="D6149" t="str">
        <f>IFERROR(__xludf.DUMMYFUNCTION("""COMPUTED_VALUE"""),"Mitchell")</f>
        <v>Mitchell</v>
      </c>
      <c r="E6149" t="str">
        <f>IFERROR(__xludf.DUMMYFUNCTION("""COMPUTED_VALUE"""),"Earl")</f>
        <v>Earl</v>
      </c>
      <c r="F6149">
        <f>IFERROR(__xludf.DUMMYFUNCTION("""COMPUTED_VALUE"""),17.25)</f>
        <v>17.25</v>
      </c>
    </row>
    <row r="6150">
      <c r="D6150" t="str">
        <f>IFERROR(__xludf.DUMMYFUNCTION("""COMPUTED_VALUE"""),"Mitchell")</f>
        <v>Mitchell</v>
      </c>
      <c r="E6150" t="str">
        <f>IFERROR(__xludf.DUMMYFUNCTION("""COMPUTED_VALUE"""),"Malcolm")</f>
        <v>Malcolm</v>
      </c>
      <c r="F6150">
        <f>IFERROR(__xludf.DUMMYFUNCTION("""COMPUTED_VALUE"""),18.75)</f>
        <v>18.75</v>
      </c>
    </row>
    <row r="6151">
      <c r="D6151" t="str">
        <f>IFERROR(__xludf.DUMMYFUNCTION("""COMPUTED_VALUE"""),"Mitchell")</f>
        <v>Mitchell</v>
      </c>
      <c r="E6151" t="str">
        <f>IFERROR(__xludf.DUMMYFUNCTION("""COMPUTED_VALUE"""),"Mike")</f>
        <v>Mike</v>
      </c>
      <c r="F6151">
        <f>IFERROR(__xludf.DUMMYFUNCTION("""COMPUTED_VALUE"""),15.25)</f>
        <v>15.25</v>
      </c>
    </row>
    <row r="6152">
      <c r="D6152" t="str">
        <f>IFERROR(__xludf.DUMMYFUNCTION("""COMPUTED_VALUE"""),"Mitchell")</f>
        <v>Mitchell</v>
      </c>
      <c r="E6152" t="str">
        <f>IFERROR(__xludf.DUMMYFUNCTION("""COMPUTED_VALUE"""),"Terrance")</f>
        <v>Terrance</v>
      </c>
      <c r="F6152">
        <f>IFERROR(__xludf.DUMMYFUNCTION("""COMPUTED_VALUE"""),18.5)</f>
        <v>18.5</v>
      </c>
    </row>
    <row r="6153">
      <c r="D6153" t="str">
        <f>IFERROR(__xludf.DUMMYFUNCTION("""COMPUTED_VALUE"""),"Mixon")</f>
        <v>Mixon</v>
      </c>
      <c r="E6153" t="str">
        <f>IFERROR(__xludf.DUMMYFUNCTION("""COMPUTED_VALUE"""),"Joe")</f>
        <v>Joe</v>
      </c>
      <c r="F6153">
        <f>IFERROR(__xludf.DUMMYFUNCTION("""COMPUTED_VALUE"""),20.0)</f>
        <v>20</v>
      </c>
    </row>
    <row r="6154">
      <c r="D6154" t="str">
        <f>IFERROR(__xludf.DUMMYFUNCTION("""COMPUTED_VALUE"""),"Mizzell")</f>
        <v>Mizzell</v>
      </c>
      <c r="E6154" t="str">
        <f>IFERROR(__xludf.DUMMYFUNCTION("""COMPUTED_VALUE"""),"Taquan")</f>
        <v>Taquan</v>
      </c>
      <c r="F6154">
        <f>IFERROR(__xludf.DUMMYFUNCTION("""COMPUTED_VALUE"""),16.0)</f>
        <v>16</v>
      </c>
    </row>
    <row r="6155">
      <c r="D6155" t="str">
        <f>IFERROR(__xludf.DUMMYFUNCTION("""COMPUTED_VALUE"""),"Moncrief")</f>
        <v>Moncrief</v>
      </c>
      <c r="E6155" t="str">
        <f>IFERROR(__xludf.DUMMYFUNCTION("""COMPUTED_VALUE"""),"Donte")</f>
        <v>Donte</v>
      </c>
      <c r="F6155">
        <f>IFERROR(__xludf.DUMMYFUNCTION("""COMPUTED_VALUE"""),19.25)</f>
        <v>19.25</v>
      </c>
    </row>
    <row r="6156">
      <c r="D6156" t="str">
        <f>IFERROR(__xludf.DUMMYFUNCTION("""COMPUTED_VALUE"""),"Montgomery")</f>
        <v>Montgomery</v>
      </c>
      <c r="E6156" t="str">
        <f>IFERROR(__xludf.DUMMYFUNCTION("""COMPUTED_VALUE"""),"Ty")</f>
        <v>Ty</v>
      </c>
      <c r="F6156">
        <f>IFERROR(__xludf.DUMMYFUNCTION("""COMPUTED_VALUE"""),19.75)</f>
        <v>19.75</v>
      </c>
    </row>
    <row r="6157">
      <c r="D6157" t="str">
        <f>IFERROR(__xludf.DUMMYFUNCTION("""COMPUTED_VALUE"""),"Moore")</f>
        <v>Moore</v>
      </c>
      <c r="E6157" t="str">
        <f>IFERROR(__xludf.DUMMYFUNCTION("""COMPUTED_VALUE"""),"Chris")</f>
        <v>Chris</v>
      </c>
      <c r="F6157">
        <f>IFERROR(__xludf.DUMMYFUNCTION("""COMPUTED_VALUE"""),17.5)</f>
        <v>17.5</v>
      </c>
    </row>
    <row r="6158">
      <c r="D6158" t="str">
        <f>IFERROR(__xludf.DUMMYFUNCTION("""COMPUTED_VALUE"""),"Moore")</f>
        <v>Moore</v>
      </c>
      <c r="E6158" t="str">
        <f>IFERROR(__xludf.DUMMYFUNCTION("""COMPUTED_VALUE"""),"Corey")</f>
        <v>Corey</v>
      </c>
      <c r="F6158">
        <f>IFERROR(__xludf.DUMMYFUNCTION("""COMPUTED_VALUE"""),19.0)</f>
        <v>19</v>
      </c>
    </row>
    <row r="6159">
      <c r="D6159" t="str">
        <f>IFERROR(__xludf.DUMMYFUNCTION("""COMPUTED_VALUE"""),"Moore")</f>
        <v>Moore</v>
      </c>
      <c r="E6159" t="str">
        <f>IFERROR(__xludf.DUMMYFUNCTION("""COMPUTED_VALUE"""),"David")</f>
        <v>David</v>
      </c>
      <c r="F6159">
        <f>IFERROR(__xludf.DUMMYFUNCTION("""COMPUTED_VALUE"""),17.0)</f>
        <v>17</v>
      </c>
    </row>
    <row r="6160">
      <c r="D6160" t="str">
        <f>IFERROR(__xludf.DUMMYFUNCTION("""COMPUTED_VALUE"""),"Moore")</f>
        <v>Moore</v>
      </c>
      <c r="E6160" t="str">
        <f>IFERROR(__xludf.DUMMYFUNCTION("""COMPUTED_VALUE"""),"DJ")</f>
        <v>DJ</v>
      </c>
      <c r="F6160">
        <f>IFERROR(__xludf.DUMMYFUNCTION("""COMPUTED_VALUE"""),19.25)</f>
        <v>19.25</v>
      </c>
    </row>
    <row r="6161">
      <c r="D6161" t="str">
        <f>IFERROR(__xludf.DUMMYFUNCTION("""COMPUTED_VALUE"""),"Moore")</f>
        <v>Moore</v>
      </c>
      <c r="E6161" t="str">
        <f>IFERROR(__xludf.DUMMYFUNCTION("""COMPUTED_VALUE"""),"DJ")</f>
        <v>DJ</v>
      </c>
      <c r="F6161">
        <f>IFERROR(__xludf.DUMMYFUNCTION("""COMPUTED_VALUE"""),21.75)</f>
        <v>21.75</v>
      </c>
    </row>
    <row r="6162">
      <c r="D6162" t="str">
        <f>IFERROR(__xludf.DUMMYFUNCTION("""COMPUTED_VALUE"""),"Moore")</f>
        <v>Moore</v>
      </c>
      <c r="E6162" t="str">
        <f>IFERROR(__xludf.DUMMYFUNCTION("""COMPUTED_VALUE"""),"JMon")</f>
        <v>JMon</v>
      </c>
      <c r="F6162">
        <f>IFERROR(__xludf.DUMMYFUNCTION("""COMPUTED_VALUE"""),17.75)</f>
        <v>17.75</v>
      </c>
    </row>
    <row r="6163">
      <c r="D6163" t="str">
        <f>IFERROR(__xludf.DUMMYFUNCTION("""COMPUTED_VALUE"""),"Moore")</f>
        <v>Moore</v>
      </c>
      <c r="E6163" t="str">
        <f>IFERROR(__xludf.DUMMYFUNCTION("""COMPUTED_VALUE"""),"Kamrin")</f>
        <v>Kamrin</v>
      </c>
      <c r="F6163">
        <f>IFERROR(__xludf.DUMMYFUNCTION("""COMPUTED_VALUE"""),17.0)</f>
        <v>17</v>
      </c>
    </row>
    <row r="6164">
      <c r="D6164" t="str">
        <f>IFERROR(__xludf.DUMMYFUNCTION("""COMPUTED_VALUE"""),"Moore")</f>
        <v>Moore</v>
      </c>
      <c r="E6164" t="str">
        <f>IFERROR(__xludf.DUMMYFUNCTION("""COMPUTED_VALUE"""),"Matt")</f>
        <v>Matt</v>
      </c>
      <c r="F6164">
        <f>IFERROR(__xludf.DUMMYFUNCTION("""COMPUTED_VALUE"""),15.25)</f>
        <v>15.25</v>
      </c>
    </row>
    <row r="6165">
      <c r="D6165" t="str">
        <f>IFERROR(__xludf.DUMMYFUNCTION("""COMPUTED_VALUE"""),"Moore")</f>
        <v>Moore</v>
      </c>
      <c r="E6165" t="str">
        <f>IFERROR(__xludf.DUMMYFUNCTION("""COMPUTED_VALUE"""),"Steven")</f>
        <v>Steven</v>
      </c>
      <c r="F6165">
        <f>IFERROR(__xludf.DUMMYFUNCTION("""COMPUTED_VALUE"""),15.75)</f>
        <v>15.75</v>
      </c>
    </row>
    <row r="6166">
      <c r="D6166" t="str">
        <f>IFERROR(__xludf.DUMMYFUNCTION("""COMPUTED_VALUE"""),"Moore")</f>
        <v>Moore</v>
      </c>
      <c r="E6166" t="str">
        <f>IFERROR(__xludf.DUMMYFUNCTION("""COMPUTED_VALUE"""),"Tarvarius")</f>
        <v>Tarvarius</v>
      </c>
      <c r="F6166">
        <f>IFERROR(__xludf.DUMMYFUNCTION("""COMPUTED_VALUE"""),17.75)</f>
        <v>17.75</v>
      </c>
    </row>
    <row r="6167">
      <c r="D6167" t="str">
        <f>IFERROR(__xludf.DUMMYFUNCTION("""COMPUTED_VALUE"""),"Moore")</f>
        <v>Moore</v>
      </c>
      <c r="E6167" t="str">
        <f>IFERROR(__xludf.DUMMYFUNCTION("""COMPUTED_VALUE"""),"Zach")</f>
        <v>Zach</v>
      </c>
      <c r="F6167">
        <f>IFERROR(__xludf.DUMMYFUNCTION("""COMPUTED_VALUE"""),16.75)</f>
        <v>16.75</v>
      </c>
    </row>
    <row r="6168">
      <c r="D6168" t="str">
        <f>IFERROR(__xludf.DUMMYFUNCTION("""COMPUTED_VALUE"""),"Moore II")</f>
        <v>Moore II</v>
      </c>
      <c r="E6168" t="str">
        <f>IFERROR(__xludf.DUMMYFUNCTION("""COMPUTED_VALUE"""),"Kenny")</f>
        <v>Kenny</v>
      </c>
      <c r="F6168">
        <f>IFERROR(__xludf.DUMMYFUNCTION("""COMPUTED_VALUE"""),17.0)</f>
        <v>17</v>
      </c>
    </row>
    <row r="6169">
      <c r="D6169" t="str">
        <f>IFERROR(__xludf.DUMMYFUNCTION("""COMPUTED_VALUE"""),"Moreau")</f>
        <v>Moreau</v>
      </c>
      <c r="E6169" t="str">
        <f>IFERROR(__xludf.DUMMYFUNCTION("""COMPUTED_VALUE"""),"Fabian")</f>
        <v>Fabian</v>
      </c>
      <c r="F6169">
        <f>IFERROR(__xludf.DUMMYFUNCTION("""COMPUTED_VALUE"""),18.25)</f>
        <v>18.25</v>
      </c>
    </row>
    <row r="6170">
      <c r="D6170" t="str">
        <f>IFERROR(__xludf.DUMMYFUNCTION("""COMPUTED_VALUE"""),"Morgan")</f>
        <v>Morgan</v>
      </c>
      <c r="E6170" t="str">
        <f>IFERROR(__xludf.DUMMYFUNCTION("""COMPUTED_VALUE"""),"Derrick")</f>
        <v>Derrick</v>
      </c>
      <c r="F6170">
        <f>IFERROR(__xludf.DUMMYFUNCTION("""COMPUTED_VALUE"""),19.0)</f>
        <v>19</v>
      </c>
    </row>
    <row r="6171">
      <c r="D6171" t="str">
        <f>IFERROR(__xludf.DUMMYFUNCTION("""COMPUTED_VALUE"""),"Morgan")</f>
        <v>Morgan</v>
      </c>
      <c r="E6171" t="str">
        <f>IFERROR(__xludf.DUMMYFUNCTION("""COMPUTED_VALUE"""),"Jordan")</f>
        <v>Jordan</v>
      </c>
      <c r="F6171">
        <f>IFERROR(__xludf.DUMMYFUNCTION("""COMPUTED_VALUE"""),18.0)</f>
        <v>18</v>
      </c>
    </row>
    <row r="6172">
      <c r="D6172" t="str">
        <f>IFERROR(__xludf.DUMMYFUNCTION("""COMPUTED_VALUE"""),"Morgan II")</f>
        <v>Morgan II</v>
      </c>
      <c r="E6172" t="str">
        <f>IFERROR(__xludf.DUMMYFUNCTION("""COMPUTED_VALUE"""),"David")</f>
        <v>David</v>
      </c>
      <c r="F6172">
        <f>IFERROR(__xludf.DUMMYFUNCTION("""COMPUTED_VALUE"""),18.25)</f>
        <v>18.25</v>
      </c>
    </row>
    <row r="6173">
      <c r="D6173" t="str">
        <f>IFERROR(__xludf.DUMMYFUNCTION("""COMPUTED_VALUE"""),"Morris")</f>
        <v>Morris</v>
      </c>
      <c r="E6173" t="str">
        <f>IFERROR(__xludf.DUMMYFUNCTION("""COMPUTED_VALUE"""),"Alfred")</f>
        <v>Alfred</v>
      </c>
      <c r="F6173">
        <f>IFERROR(__xludf.DUMMYFUNCTION("""COMPUTED_VALUE"""),15.25)</f>
        <v>15.25</v>
      </c>
    </row>
    <row r="6174">
      <c r="D6174" t="str">
        <f>IFERROR(__xludf.DUMMYFUNCTION("""COMPUTED_VALUE"""),"Morris")</f>
        <v>Morris</v>
      </c>
      <c r="E6174" t="str">
        <f>IFERROR(__xludf.DUMMYFUNCTION("""COMPUTED_VALUE"""),"Stephen")</f>
        <v>Stephen</v>
      </c>
      <c r="F6174">
        <f>IFERROR(__xludf.DUMMYFUNCTION("""COMPUTED_VALUE"""),16.25)</f>
        <v>16.25</v>
      </c>
    </row>
    <row r="6175">
      <c r="D6175" t="str">
        <f>IFERROR(__xludf.DUMMYFUNCTION("""COMPUTED_VALUE"""),"Morrison")</f>
        <v>Morrison</v>
      </c>
      <c r="E6175" t="str">
        <f>IFERROR(__xludf.DUMMYFUNCTION("""COMPUTED_VALUE"""),"Antonio")</f>
        <v>Antonio</v>
      </c>
      <c r="F6175">
        <f>IFERROR(__xludf.DUMMYFUNCTION("""COMPUTED_VALUE"""),17.0)</f>
        <v>17</v>
      </c>
    </row>
    <row r="6176">
      <c r="D6176" t="str">
        <f>IFERROR(__xludf.DUMMYFUNCTION("""COMPUTED_VALUE"""),"Morrow")</f>
        <v>Morrow</v>
      </c>
      <c r="E6176" t="str">
        <f>IFERROR(__xludf.DUMMYFUNCTION("""COMPUTED_VALUE"""),"Nicholas")</f>
        <v>Nicholas</v>
      </c>
      <c r="F6176">
        <f>IFERROR(__xludf.DUMMYFUNCTION("""COMPUTED_VALUE"""),17.5)</f>
        <v>17.5</v>
      </c>
    </row>
    <row r="6177">
      <c r="D6177" t="str">
        <f>IFERROR(__xludf.DUMMYFUNCTION("""COMPUTED_VALUE"""),"Morse")</f>
        <v>Morse</v>
      </c>
      <c r="E6177" t="str">
        <f>IFERROR(__xludf.DUMMYFUNCTION("""COMPUTED_VALUE"""),"Mitch")</f>
        <v>Mitch</v>
      </c>
      <c r="F6177">
        <f>IFERROR(__xludf.DUMMYFUNCTION("""COMPUTED_VALUE"""),19.0)</f>
        <v>19</v>
      </c>
    </row>
    <row r="6178">
      <c r="D6178" t="str">
        <f>IFERROR(__xludf.DUMMYFUNCTION("""COMPUTED_VALUE"""),"Morstead")</f>
        <v>Morstead</v>
      </c>
      <c r="E6178" t="str">
        <f>IFERROR(__xludf.DUMMYFUNCTION("""COMPUTED_VALUE"""),"Thomas")</f>
        <v>Thomas</v>
      </c>
      <c r="F6178">
        <f>IFERROR(__xludf.DUMMYFUNCTION("""COMPUTED_VALUE"""),21.25)</f>
        <v>21.25</v>
      </c>
    </row>
    <row r="6179">
      <c r="D6179" t="str">
        <f>IFERROR(__xludf.DUMMYFUNCTION("""COMPUTED_VALUE"""),"Moses")</f>
        <v>Moses</v>
      </c>
      <c r="E6179" t="str">
        <f>IFERROR(__xludf.DUMMYFUNCTION("""COMPUTED_VALUE"""),"Morgan")</f>
        <v>Morgan</v>
      </c>
      <c r="F6179">
        <f>IFERROR(__xludf.DUMMYFUNCTION("""COMPUTED_VALUE"""),19.5)</f>
        <v>19.5</v>
      </c>
    </row>
    <row r="6180">
      <c r="D6180" t="str">
        <f>IFERROR(__xludf.DUMMYFUNCTION("""COMPUTED_VALUE"""),"Mosley")</f>
        <v>Mosley</v>
      </c>
      <c r="E6180" t="str">
        <f>IFERROR(__xludf.DUMMYFUNCTION("""COMPUTED_VALUE"""),"CJ")</f>
        <v>CJ</v>
      </c>
      <c r="F6180">
        <f>IFERROR(__xludf.DUMMYFUNCTION("""COMPUTED_VALUE"""),20.75)</f>
        <v>20.75</v>
      </c>
    </row>
    <row r="6181">
      <c r="D6181" t="str">
        <f>IFERROR(__xludf.DUMMYFUNCTION("""COMPUTED_VALUE"""),"Moss")</f>
        <v>Moss</v>
      </c>
      <c r="E6181" t="str">
        <f>IFERROR(__xludf.DUMMYFUNCTION("""COMPUTED_VALUE"""),"Avery")</f>
        <v>Avery</v>
      </c>
      <c r="F6181">
        <f>IFERROR(__xludf.DUMMYFUNCTION("""COMPUTED_VALUE"""),15.75)</f>
        <v>15.75</v>
      </c>
    </row>
    <row r="6182">
      <c r="D6182" t="str">
        <f>IFERROR(__xludf.DUMMYFUNCTION("""COMPUTED_VALUE"""),"Moss")</f>
        <v>Moss</v>
      </c>
      <c r="E6182" t="str">
        <f>IFERROR(__xludf.DUMMYFUNCTION("""COMPUTED_VALUE"""),"Randy")</f>
        <v>Randy</v>
      </c>
      <c r="F6182">
        <f>IFERROR(__xludf.DUMMYFUNCTION("""COMPUTED_VALUE"""),21.0)</f>
        <v>21</v>
      </c>
    </row>
    <row r="6183">
      <c r="D6183" t="str">
        <f>IFERROR(__xludf.DUMMYFUNCTION("""COMPUTED_VALUE"""),"Moss")</f>
        <v>Moss</v>
      </c>
      <c r="E6183" t="str">
        <f>IFERROR(__xludf.DUMMYFUNCTION("""COMPUTED_VALUE"""),"Randy")</f>
        <v>Randy</v>
      </c>
      <c r="F6183">
        <f>IFERROR(__xludf.DUMMYFUNCTION("""COMPUTED_VALUE"""),21.25)</f>
        <v>21.25</v>
      </c>
    </row>
    <row r="6184">
      <c r="D6184" t="str">
        <f>IFERROR(__xludf.DUMMYFUNCTION("""COMPUTED_VALUE"""),"Moss")</f>
        <v>Moss</v>
      </c>
      <c r="E6184" t="str">
        <f>IFERROR(__xludf.DUMMYFUNCTION("""COMPUTED_VALUE"""),"Randy")</f>
        <v>Randy</v>
      </c>
      <c r="F6184">
        <f>IFERROR(__xludf.DUMMYFUNCTION("""COMPUTED_VALUE"""),20.75)</f>
        <v>20.75</v>
      </c>
    </row>
    <row r="6185">
      <c r="D6185" t="str">
        <f>IFERROR(__xludf.DUMMYFUNCTION("""COMPUTED_VALUE"""),"Moss")</f>
        <v>Moss</v>
      </c>
      <c r="E6185" t="str">
        <f>IFERROR(__xludf.DUMMYFUNCTION("""COMPUTED_VALUE"""),"Randy")</f>
        <v>Randy</v>
      </c>
      <c r="F6185">
        <f>IFERROR(__xludf.DUMMYFUNCTION("""COMPUTED_VALUE"""),21.75)</f>
        <v>21.75</v>
      </c>
    </row>
    <row r="6186">
      <c r="D6186" t="str">
        <f>IFERROR(__xludf.DUMMYFUNCTION("""COMPUTED_VALUE"""),"Moss")</f>
        <v>Moss</v>
      </c>
      <c r="E6186" t="str">
        <f>IFERROR(__xludf.DUMMYFUNCTION("""COMPUTED_VALUE"""),"Randy")</f>
        <v>Randy</v>
      </c>
      <c r="F6186">
        <f>IFERROR(__xludf.DUMMYFUNCTION("""COMPUTED_VALUE"""),22.75)</f>
        <v>22.75</v>
      </c>
    </row>
    <row r="6187">
      <c r="D6187" t="str">
        <f>IFERROR(__xludf.DUMMYFUNCTION("""COMPUTED_VALUE"""),"Mostert")</f>
        <v>Mostert</v>
      </c>
      <c r="E6187" t="str">
        <f>IFERROR(__xludf.DUMMYFUNCTION("""COMPUTED_VALUE"""),"Raheem")</f>
        <v>Raheem</v>
      </c>
      <c r="F6187">
        <f>IFERROR(__xludf.DUMMYFUNCTION("""COMPUTED_VALUE"""),16.25)</f>
        <v>16.25</v>
      </c>
    </row>
    <row r="6188">
      <c r="D6188" t="str">
        <f>IFERROR(__xludf.DUMMYFUNCTION("""COMPUTED_VALUE"""),"Moton")</f>
        <v>Moton</v>
      </c>
      <c r="E6188" t="str">
        <f>IFERROR(__xludf.DUMMYFUNCTION("""COMPUTED_VALUE"""),"Taylor")</f>
        <v>Taylor</v>
      </c>
      <c r="F6188">
        <f>IFERROR(__xludf.DUMMYFUNCTION("""COMPUTED_VALUE"""),18.0)</f>
        <v>18</v>
      </c>
    </row>
    <row r="6189">
      <c r="D6189" t="str">
        <f>IFERROR(__xludf.DUMMYFUNCTION("""COMPUTED_VALUE"""),"Mount")</f>
        <v>Mount</v>
      </c>
      <c r="E6189" t="str">
        <f>IFERROR(__xludf.DUMMYFUNCTION("""COMPUTED_VALUE"""),"Deiontrez")</f>
        <v>Deiontrez</v>
      </c>
      <c r="F6189">
        <f>IFERROR(__xludf.DUMMYFUNCTION("""COMPUTED_VALUE"""),16.5)</f>
        <v>16.5</v>
      </c>
    </row>
    <row r="6190">
      <c r="D6190" t="str">
        <f>IFERROR(__xludf.DUMMYFUNCTION("""COMPUTED_VALUE"""),"Muhammad")</f>
        <v>Muhammad</v>
      </c>
      <c r="E6190" t="str">
        <f>IFERROR(__xludf.DUMMYFUNCTION("""COMPUTED_VALUE"""),"Al-Quadin")</f>
        <v>Al-Quadin</v>
      </c>
      <c r="F6190">
        <f>IFERROR(__xludf.DUMMYFUNCTION("""COMPUTED_VALUE"""),16.0)</f>
        <v>16</v>
      </c>
    </row>
    <row r="6191">
      <c r="D6191" t="str">
        <f>IFERROR(__xludf.DUMMYFUNCTION("""COMPUTED_VALUE"""),"Mundt")</f>
        <v>Mundt</v>
      </c>
      <c r="E6191" t="str">
        <f>IFERROR(__xludf.DUMMYFUNCTION("""COMPUTED_VALUE"""),"Johnny")</f>
        <v>Johnny</v>
      </c>
      <c r="F6191">
        <f>IFERROR(__xludf.DUMMYFUNCTION("""COMPUTED_VALUE"""),16.25)</f>
        <v>16.25</v>
      </c>
    </row>
    <row r="6192">
      <c r="D6192" t="str">
        <f>IFERROR(__xludf.DUMMYFUNCTION("""COMPUTED_VALUE"""),"Munnerlyn")</f>
        <v>Munnerlyn</v>
      </c>
      <c r="E6192" t="str">
        <f>IFERROR(__xludf.DUMMYFUNCTION("""COMPUTED_VALUE"""),"Captain")</f>
        <v>Captain</v>
      </c>
      <c r="F6192">
        <f>IFERROR(__xludf.DUMMYFUNCTION("""COMPUTED_VALUE"""),18.25)</f>
        <v>18.25</v>
      </c>
    </row>
    <row r="6193">
      <c r="D6193" t="str">
        <f>IFERROR(__xludf.DUMMYFUNCTION("""COMPUTED_VALUE"""),"Munson")</f>
        <v>Munson</v>
      </c>
      <c r="E6193" t="str">
        <f>IFERROR(__xludf.DUMMYFUNCTION("""COMPUTED_VALUE"""),"Calvin")</f>
        <v>Calvin</v>
      </c>
      <c r="F6193">
        <f>IFERROR(__xludf.DUMMYFUNCTION("""COMPUTED_VALUE"""),15.5)</f>
        <v>15.5</v>
      </c>
    </row>
    <row r="6194">
      <c r="D6194" t="str">
        <f>IFERROR(__xludf.DUMMYFUNCTION("""COMPUTED_VALUE"""),"Munyer")</f>
        <v>Munyer</v>
      </c>
      <c r="E6194" t="str">
        <f>IFERROR(__xludf.DUMMYFUNCTION("""COMPUTED_VALUE"""),"Daniel")</f>
        <v>Daniel</v>
      </c>
      <c r="F6194">
        <f>IFERROR(__xludf.DUMMYFUNCTION("""COMPUTED_VALUE"""),15.5)</f>
        <v>15.5</v>
      </c>
    </row>
    <row r="6195">
      <c r="D6195" t="str">
        <f>IFERROR(__xludf.DUMMYFUNCTION("""COMPUTED_VALUE"""),"Murphy")</f>
        <v>Murphy</v>
      </c>
      <c r="E6195" t="str">
        <f>IFERROR(__xludf.DUMMYFUNCTION("""COMPUTED_VALUE"""),"Kyle")</f>
        <v>Kyle</v>
      </c>
      <c r="F6195">
        <f>IFERROR(__xludf.DUMMYFUNCTION("""COMPUTED_VALUE"""),17.0)</f>
        <v>17</v>
      </c>
    </row>
    <row r="6196">
      <c r="D6196" t="str">
        <f>IFERROR(__xludf.DUMMYFUNCTION("""COMPUTED_VALUE"""),"Murphy")</f>
        <v>Murphy</v>
      </c>
      <c r="E6196" t="str">
        <f>IFERROR(__xludf.DUMMYFUNCTION("""COMPUTED_VALUE"""),"Marcus")</f>
        <v>Marcus</v>
      </c>
      <c r="F6196">
        <f>IFERROR(__xludf.DUMMYFUNCTION("""COMPUTED_VALUE"""),16.75)</f>
        <v>16.75</v>
      </c>
    </row>
    <row r="6197">
      <c r="D6197" t="str">
        <f>IFERROR(__xludf.DUMMYFUNCTION("""COMPUTED_VALUE"""),"Murphy")</f>
        <v>Murphy</v>
      </c>
      <c r="E6197" t="str">
        <f>IFERROR(__xludf.DUMMYFUNCTION("""COMPUTED_VALUE"""),"Pace")</f>
        <v>Pace</v>
      </c>
      <c r="F6197">
        <f>IFERROR(__xludf.DUMMYFUNCTION("""COMPUTED_VALUE"""),17.0)</f>
        <v>17</v>
      </c>
    </row>
    <row r="6198">
      <c r="D6198" t="str">
        <f>IFERROR(__xludf.DUMMYFUNCTION("""COMPUTED_VALUE"""),"Murphy")</f>
        <v>Murphy</v>
      </c>
      <c r="E6198" t="str">
        <f>IFERROR(__xludf.DUMMYFUNCTION("""COMPUTED_VALUE"""),"Trent")</f>
        <v>Trent</v>
      </c>
      <c r="F6198">
        <f>IFERROR(__xludf.DUMMYFUNCTION("""COMPUTED_VALUE"""),19.75)</f>
        <v>19.75</v>
      </c>
    </row>
    <row r="6199">
      <c r="D6199" t="str">
        <f>IFERROR(__xludf.DUMMYFUNCTION("""COMPUTED_VALUE"""),"Murray")</f>
        <v>Murray</v>
      </c>
      <c r="E6199" t="str">
        <f>IFERROR(__xludf.DUMMYFUNCTION("""COMPUTED_VALUE"""),"DeMarco")</f>
        <v>DeMarco</v>
      </c>
      <c r="F6199">
        <f>IFERROR(__xludf.DUMMYFUNCTION("""COMPUTED_VALUE"""),20.25)</f>
        <v>20.25</v>
      </c>
    </row>
    <row r="6200">
      <c r="D6200" t="str">
        <f>IFERROR(__xludf.DUMMYFUNCTION("""COMPUTED_VALUE"""),"Murray")</f>
        <v>Murray</v>
      </c>
      <c r="E6200" t="str">
        <f>IFERROR(__xludf.DUMMYFUNCTION("""COMPUTED_VALUE"""),"Eric")</f>
        <v>Eric</v>
      </c>
      <c r="F6200">
        <f>IFERROR(__xludf.DUMMYFUNCTION("""COMPUTED_VALUE"""),16.25)</f>
        <v>16.25</v>
      </c>
    </row>
    <row r="6201">
      <c r="D6201" t="str">
        <f>IFERROR(__xludf.DUMMYFUNCTION("""COMPUTED_VALUE"""),"Murray")</f>
        <v>Murray</v>
      </c>
      <c r="E6201" t="str">
        <f>IFERROR(__xludf.DUMMYFUNCTION("""COMPUTED_VALUE"""),"Justin")</f>
        <v>Justin</v>
      </c>
      <c r="F6201">
        <f>IFERROR(__xludf.DUMMYFUNCTION("""COMPUTED_VALUE"""),15.75)</f>
        <v>15.75</v>
      </c>
    </row>
    <row r="6202">
      <c r="D6202" t="str">
        <f>IFERROR(__xludf.DUMMYFUNCTION("""COMPUTED_VALUE"""),"Murray")</f>
        <v>Murray</v>
      </c>
      <c r="E6202" t="str">
        <f>IFERROR(__xludf.DUMMYFUNCTION("""COMPUTED_VALUE"""),"Latavius")</f>
        <v>Latavius</v>
      </c>
      <c r="F6202">
        <f>IFERROR(__xludf.DUMMYFUNCTION("""COMPUTED_VALUE"""),20.0)</f>
        <v>20</v>
      </c>
    </row>
    <row r="6203">
      <c r="D6203" t="str">
        <f>IFERROR(__xludf.DUMMYFUNCTION("""COMPUTED_VALUE"""),"Myers")</f>
        <v>Myers</v>
      </c>
      <c r="E6203" t="str">
        <f>IFERROR(__xludf.DUMMYFUNCTION("""COMPUTED_VALUE"""),"Jason")</f>
        <v>Jason</v>
      </c>
      <c r="F6203">
        <f>IFERROR(__xludf.DUMMYFUNCTION("""COMPUTED_VALUE"""),19.0)</f>
        <v>19</v>
      </c>
    </row>
    <row r="6204">
      <c r="D6204" t="str">
        <f>IFERROR(__xludf.DUMMYFUNCTION("""COMPUTED_VALUE"""),"Myrick")</f>
        <v>Myrick</v>
      </c>
      <c r="E6204" t="str">
        <f>IFERROR(__xludf.DUMMYFUNCTION("""COMPUTED_VALUE"""),"Jalen")</f>
        <v>Jalen</v>
      </c>
      <c r="F6204">
        <f>IFERROR(__xludf.DUMMYFUNCTION("""COMPUTED_VALUE"""),17.5)</f>
        <v>17.5</v>
      </c>
    </row>
    <row r="6205">
      <c r="D6205" t="str">
        <f>IFERROR(__xludf.DUMMYFUNCTION("""COMPUTED_VALUE"""),"Nacua")</f>
        <v>Nacua</v>
      </c>
      <c r="E6205" t="str">
        <f>IFERROR(__xludf.DUMMYFUNCTION("""COMPUTED_VALUE"""),"Kai")</f>
        <v>Kai</v>
      </c>
      <c r="F6205">
        <f>IFERROR(__xludf.DUMMYFUNCTION("""COMPUTED_VALUE"""),17.25)</f>
        <v>17.25</v>
      </c>
    </row>
    <row r="6206">
      <c r="D6206" t="str">
        <f>IFERROR(__xludf.DUMMYFUNCTION("""COMPUTED_VALUE"""),"Nassib")</f>
        <v>Nassib</v>
      </c>
      <c r="E6206" t="str">
        <f>IFERROR(__xludf.DUMMYFUNCTION("""COMPUTED_VALUE"""),"Carl")</f>
        <v>Carl</v>
      </c>
      <c r="F6206">
        <f>IFERROR(__xludf.DUMMYFUNCTION("""COMPUTED_VALUE"""),18.0)</f>
        <v>18</v>
      </c>
    </row>
    <row r="6207">
      <c r="D6207" t="str">
        <f>IFERROR(__xludf.DUMMYFUNCTION("""COMPUTED_VALUE"""),"Neal")</f>
        <v>Neal</v>
      </c>
      <c r="E6207" t="str">
        <f>IFERROR(__xludf.DUMMYFUNCTION("""COMPUTED_VALUE"""),"Keanu")</f>
        <v>Keanu</v>
      </c>
      <c r="F6207">
        <f>IFERROR(__xludf.DUMMYFUNCTION("""COMPUTED_VALUE"""),20.75)</f>
        <v>20.75</v>
      </c>
    </row>
    <row r="6208">
      <c r="D6208" t="str">
        <f>IFERROR(__xludf.DUMMYFUNCTION("""COMPUTED_VALUE"""),"Neal")</f>
        <v>Neal</v>
      </c>
      <c r="E6208" t="str">
        <f>IFERROR(__xludf.DUMMYFUNCTION("""COMPUTED_VALUE"""),"Lewis")</f>
        <v>Lewis</v>
      </c>
      <c r="F6208">
        <f>IFERROR(__xludf.DUMMYFUNCTION("""COMPUTED_VALUE"""),15.5)</f>
        <v>15.5</v>
      </c>
    </row>
    <row r="6209">
      <c r="D6209" t="str">
        <f>IFERROR(__xludf.DUMMYFUNCTION("""COMPUTED_VALUE"""),"Neal")</f>
        <v>Neal</v>
      </c>
      <c r="E6209" t="str">
        <f>IFERROR(__xludf.DUMMYFUNCTION("""COMPUTED_VALUE"""),"Lorenzo")</f>
        <v>Lorenzo</v>
      </c>
      <c r="F6209">
        <f>IFERROR(__xludf.DUMMYFUNCTION("""COMPUTED_VALUE"""),22.0)</f>
        <v>22</v>
      </c>
    </row>
    <row r="6210">
      <c r="D6210" t="str">
        <f>IFERROR(__xludf.DUMMYFUNCTION("""COMPUTED_VALUE"""),"Neal")</f>
        <v>Neal</v>
      </c>
      <c r="E6210" t="str">
        <f>IFERROR(__xludf.DUMMYFUNCTION("""COMPUTED_VALUE"""),"Lorenzo")</f>
        <v>Lorenzo</v>
      </c>
      <c r="F6210">
        <f>IFERROR(__xludf.DUMMYFUNCTION("""COMPUTED_VALUE"""),20.75)</f>
        <v>20.75</v>
      </c>
    </row>
    <row r="6211">
      <c r="D6211" t="str">
        <f>IFERROR(__xludf.DUMMYFUNCTION("""COMPUTED_VALUE"""),"Neal")</f>
        <v>Neal</v>
      </c>
      <c r="E6211" t="str">
        <f>IFERROR(__xludf.DUMMYFUNCTION("""COMPUTED_VALUE"""),"Lorenzo")</f>
        <v>Lorenzo</v>
      </c>
      <c r="F6211">
        <f>IFERROR(__xludf.DUMMYFUNCTION("""COMPUTED_VALUE"""),20.5)</f>
        <v>20.5</v>
      </c>
    </row>
    <row r="6212">
      <c r="D6212" t="str">
        <f>IFERROR(__xludf.DUMMYFUNCTION("""COMPUTED_VALUE"""),"Neal")</f>
        <v>Neal</v>
      </c>
      <c r="E6212" t="str">
        <f>IFERROR(__xludf.DUMMYFUNCTION("""COMPUTED_VALUE"""),"Lorenzo")</f>
        <v>Lorenzo</v>
      </c>
      <c r="F6212">
        <f>IFERROR(__xludf.DUMMYFUNCTION("""COMPUTED_VALUE"""),21.0)</f>
        <v>21</v>
      </c>
    </row>
    <row r="6213">
      <c r="D6213" t="str">
        <f>IFERROR(__xludf.DUMMYFUNCTION("""COMPUTED_VALUE"""),"Neal")</f>
        <v>Neal</v>
      </c>
      <c r="E6213" t="str">
        <f>IFERROR(__xludf.DUMMYFUNCTION("""COMPUTED_VALUE"""),"Lorenzo")</f>
        <v>Lorenzo</v>
      </c>
      <c r="F6213">
        <f>IFERROR(__xludf.DUMMYFUNCTION("""COMPUTED_VALUE"""),21.5)</f>
        <v>21.5</v>
      </c>
    </row>
    <row r="6214">
      <c r="D6214" t="str">
        <f>IFERROR(__xludf.DUMMYFUNCTION("""COMPUTED_VALUE"""),"Neal")</f>
        <v>Neal</v>
      </c>
      <c r="E6214" t="str">
        <f>IFERROR(__xludf.DUMMYFUNCTION("""COMPUTED_VALUE"""),"Lorenzo")</f>
        <v>Lorenzo</v>
      </c>
      <c r="F6214">
        <f>IFERROR(__xludf.DUMMYFUNCTION("""COMPUTED_VALUE"""),22.5)</f>
        <v>22.5</v>
      </c>
    </row>
    <row r="6215">
      <c r="D6215" t="str">
        <f>IFERROR(__xludf.DUMMYFUNCTION("""COMPUTED_VALUE"""),"Neal")</f>
        <v>Neal</v>
      </c>
      <c r="E6215" t="str">
        <f>IFERROR(__xludf.DUMMYFUNCTION("""COMPUTED_VALUE"""),"Siran")</f>
        <v>Siran</v>
      </c>
      <c r="F6215">
        <f>IFERROR(__xludf.DUMMYFUNCTION("""COMPUTED_VALUE"""),17.0)</f>
        <v>17</v>
      </c>
    </row>
    <row r="6216">
      <c r="D6216" t="str">
        <f>IFERROR(__xludf.DUMMYFUNCTION("""COMPUTED_VALUE"""),"Neary")</f>
        <v>Neary</v>
      </c>
      <c r="E6216" t="str">
        <f>IFERROR(__xludf.DUMMYFUNCTION("""COMPUTED_VALUE"""),"Aaron")</f>
        <v>Aaron</v>
      </c>
      <c r="F6216">
        <f>IFERROR(__xludf.DUMMYFUNCTION("""COMPUTED_VALUE"""),16.5)</f>
        <v>16.5</v>
      </c>
    </row>
    <row r="6217">
      <c r="D6217" t="str">
        <f>IFERROR(__xludf.DUMMYFUNCTION("""COMPUTED_VALUE"""),"Nelson")</f>
        <v>Nelson</v>
      </c>
      <c r="E6217" t="str">
        <f>IFERROR(__xludf.DUMMYFUNCTION("""COMPUTED_VALUE"""),"Corey")</f>
        <v>Corey</v>
      </c>
      <c r="F6217">
        <f>IFERROR(__xludf.DUMMYFUNCTION("""COMPUTED_VALUE"""),17.5)</f>
        <v>17.5</v>
      </c>
    </row>
    <row r="6218">
      <c r="D6218" t="str">
        <f>IFERROR(__xludf.DUMMYFUNCTION("""COMPUTED_VALUE"""),"Nelson")</f>
        <v>Nelson</v>
      </c>
      <c r="E6218" t="str">
        <f>IFERROR(__xludf.DUMMYFUNCTION("""COMPUTED_VALUE"""),"JJ")</f>
        <v>JJ</v>
      </c>
      <c r="F6218">
        <f>IFERROR(__xludf.DUMMYFUNCTION("""COMPUTED_VALUE"""),18.5)</f>
        <v>18.5</v>
      </c>
    </row>
    <row r="6219">
      <c r="D6219" t="str">
        <f>IFERROR(__xludf.DUMMYFUNCTION("""COMPUTED_VALUE"""),"Nelson")</f>
        <v>Nelson</v>
      </c>
      <c r="E6219" t="str">
        <f>IFERROR(__xludf.DUMMYFUNCTION("""COMPUTED_VALUE"""),"Jordy")</f>
        <v>Jordy</v>
      </c>
      <c r="F6219">
        <f>IFERROR(__xludf.DUMMYFUNCTION("""COMPUTED_VALUE"""),20.75)</f>
        <v>20.75</v>
      </c>
    </row>
    <row r="6220">
      <c r="D6220" t="str">
        <f>IFERROR(__xludf.DUMMYFUNCTION("""COMPUTED_VALUE"""),"Nelson")</f>
        <v>Nelson</v>
      </c>
      <c r="E6220" t="str">
        <f>IFERROR(__xludf.DUMMYFUNCTION("""COMPUTED_VALUE"""),"Nick")</f>
        <v>Nick</v>
      </c>
      <c r="F6220">
        <f>IFERROR(__xludf.DUMMYFUNCTION("""COMPUTED_VALUE"""),17.25)</f>
        <v>17.25</v>
      </c>
    </row>
    <row r="6221">
      <c r="D6221" t="str">
        <f>IFERROR(__xludf.DUMMYFUNCTION("""COMPUTED_VALUE"""),"Nelson")</f>
        <v>Nelson</v>
      </c>
      <c r="E6221" t="str">
        <f>IFERROR(__xludf.DUMMYFUNCTION("""COMPUTED_VALUE"""),"Quenton")</f>
        <v>Quenton</v>
      </c>
      <c r="F6221">
        <f>IFERROR(__xludf.DUMMYFUNCTION("""COMPUTED_VALUE"""),19.75)</f>
        <v>19.75</v>
      </c>
    </row>
    <row r="6222">
      <c r="D6222" t="str">
        <f>IFERROR(__xludf.DUMMYFUNCTION("""COMPUTED_VALUE"""),"Nelson")</f>
        <v>Nelson</v>
      </c>
      <c r="E6222" t="str">
        <f>IFERROR(__xludf.DUMMYFUNCTION("""COMPUTED_VALUE"""),"Steven")</f>
        <v>Steven</v>
      </c>
      <c r="F6222">
        <f>IFERROR(__xludf.DUMMYFUNCTION("""COMPUTED_VALUE"""),19.0)</f>
        <v>19</v>
      </c>
    </row>
    <row r="6223">
      <c r="D6223" t="str">
        <f>IFERROR(__xludf.DUMMYFUNCTION("""COMPUTED_VALUE"""),"Nelson Jr")</f>
        <v>Nelson Jr</v>
      </c>
      <c r="E6223" t="str">
        <f>IFERROR(__xludf.DUMMYFUNCTION("""COMPUTED_VALUE"""),"Robert")</f>
        <v>Robert</v>
      </c>
      <c r="F6223">
        <f>IFERROR(__xludf.DUMMYFUNCTION("""COMPUTED_VALUE"""),18.0)</f>
        <v>18</v>
      </c>
    </row>
    <row r="6224">
      <c r="D6224" t="str">
        <f>IFERROR(__xludf.DUMMYFUNCTION("""COMPUTED_VALUE"""),"Newhouse")</f>
        <v>Newhouse</v>
      </c>
      <c r="E6224" t="str">
        <f>IFERROR(__xludf.DUMMYFUNCTION("""COMPUTED_VALUE"""),"Marshall")</f>
        <v>Marshall</v>
      </c>
      <c r="F6224">
        <f>IFERROR(__xludf.DUMMYFUNCTION("""COMPUTED_VALUE"""),18.0)</f>
        <v>18</v>
      </c>
    </row>
    <row r="6225">
      <c r="D6225" t="str">
        <f>IFERROR(__xludf.DUMMYFUNCTION("""COMPUTED_VALUE"""),"Newman")</f>
        <v>Newman</v>
      </c>
      <c r="E6225" t="str">
        <f>IFERROR(__xludf.DUMMYFUNCTION("""COMPUTED_VALUE"""),"Terence")</f>
        <v>Terence</v>
      </c>
      <c r="F6225">
        <f>IFERROR(__xludf.DUMMYFUNCTION("""COMPUTED_VALUE"""),19.0)</f>
        <v>19</v>
      </c>
    </row>
    <row r="6226">
      <c r="D6226" t="str">
        <f>IFERROR(__xludf.DUMMYFUNCTION("""COMPUTED_VALUE"""),"Newton")</f>
        <v>Newton</v>
      </c>
      <c r="E6226" t="str">
        <f>IFERROR(__xludf.DUMMYFUNCTION("""COMPUTED_VALUE"""),"Cam")</f>
        <v>Cam</v>
      </c>
      <c r="F6226">
        <f>IFERROR(__xludf.DUMMYFUNCTION("""COMPUTED_VALUE"""),21.0)</f>
        <v>21</v>
      </c>
    </row>
    <row r="6227">
      <c r="D6227" t="str">
        <f>IFERROR(__xludf.DUMMYFUNCTION("""COMPUTED_VALUE"""),"Newton")</f>
        <v>Newton</v>
      </c>
      <c r="E6227" t="str">
        <f>IFERROR(__xludf.DUMMYFUNCTION("""COMPUTED_VALUE"""),"Derek")</f>
        <v>Derek</v>
      </c>
      <c r="F6227">
        <f>IFERROR(__xludf.DUMMYFUNCTION("""COMPUTED_VALUE"""),15.0)</f>
        <v>15</v>
      </c>
    </row>
    <row r="6228">
      <c r="D6228" t="str">
        <f>IFERROR(__xludf.DUMMYFUNCTION("""COMPUTED_VALUE"""),"Ngakoue")</f>
        <v>Ngakoue</v>
      </c>
      <c r="E6228" t="str">
        <f>IFERROR(__xludf.DUMMYFUNCTION("""COMPUTED_VALUE"""),"Yannick")</f>
        <v>Yannick</v>
      </c>
      <c r="F6228">
        <f>IFERROR(__xludf.DUMMYFUNCTION("""COMPUTED_VALUE"""),20.25)</f>
        <v>20.25</v>
      </c>
    </row>
    <row r="6229">
      <c r="D6229" t="str">
        <f>IFERROR(__xludf.DUMMYFUNCTION("""COMPUTED_VALUE"""),"Ngata")</f>
        <v>Ngata</v>
      </c>
      <c r="E6229" t="str">
        <f>IFERROR(__xludf.DUMMYFUNCTION("""COMPUTED_VALUE"""),"Haloti")</f>
        <v>Haloti</v>
      </c>
      <c r="F6229">
        <f>IFERROR(__xludf.DUMMYFUNCTION("""COMPUTED_VALUE"""),19.25)</f>
        <v>19.25</v>
      </c>
    </row>
    <row r="6230">
      <c r="D6230" t="str">
        <f>IFERROR(__xludf.DUMMYFUNCTION("""COMPUTED_VALUE"""),"Nichols")</f>
        <v>Nichols</v>
      </c>
      <c r="E6230" t="str">
        <f>IFERROR(__xludf.DUMMYFUNCTION("""COMPUTED_VALUE"""),"Bilal")</f>
        <v>Bilal</v>
      </c>
      <c r="F6230">
        <f>IFERROR(__xludf.DUMMYFUNCTION("""COMPUTED_VALUE"""),17.0)</f>
        <v>17</v>
      </c>
    </row>
    <row r="6231">
      <c r="D6231" t="str">
        <f>IFERROR(__xludf.DUMMYFUNCTION("""COMPUTED_VALUE"""),"Nicholson")</f>
        <v>Nicholson</v>
      </c>
      <c r="E6231" t="str">
        <f>IFERROR(__xludf.DUMMYFUNCTION("""COMPUTED_VALUE"""),"Montae")</f>
        <v>Montae</v>
      </c>
      <c r="F6231">
        <f>IFERROR(__xludf.DUMMYFUNCTION("""COMPUTED_VALUE"""),18.75)</f>
        <v>18.75</v>
      </c>
    </row>
    <row r="6232">
      <c r="D6232" t="str">
        <f>IFERROR(__xludf.DUMMYFUNCTION("""COMPUTED_VALUE"""),"Nickerson")</f>
        <v>Nickerson</v>
      </c>
      <c r="E6232" t="str">
        <f>IFERROR(__xludf.DUMMYFUNCTION("""COMPUTED_VALUE"""),"Hardy")</f>
        <v>Hardy</v>
      </c>
      <c r="F6232">
        <f>IFERROR(__xludf.DUMMYFUNCTION("""COMPUTED_VALUE"""),16.0)</f>
        <v>16</v>
      </c>
    </row>
    <row r="6233">
      <c r="D6233" t="str">
        <f>IFERROR(__xludf.DUMMYFUNCTION("""COMPUTED_VALUE"""),"Nickerson")</f>
        <v>Nickerson</v>
      </c>
      <c r="E6233" t="str">
        <f>IFERROR(__xludf.DUMMYFUNCTION("""COMPUTED_VALUE"""),"Parry")</f>
        <v>Parry</v>
      </c>
      <c r="F6233">
        <f>IFERROR(__xludf.DUMMYFUNCTION("""COMPUTED_VALUE"""),17.75)</f>
        <v>17.75</v>
      </c>
    </row>
    <row r="6234">
      <c r="D6234" t="str">
        <f>IFERROR(__xludf.DUMMYFUNCTION("""COMPUTED_VALUE"""),"Nicolas")</f>
        <v>Nicolas</v>
      </c>
      <c r="E6234" t="str">
        <f>IFERROR(__xludf.DUMMYFUNCTION("""COMPUTED_VALUE"""),"Dadi")</f>
        <v>Dadi</v>
      </c>
      <c r="F6234">
        <f>IFERROR(__xludf.DUMMYFUNCTION("""COMPUTED_VALUE"""),16.75)</f>
        <v>16.75</v>
      </c>
    </row>
    <row r="6235">
      <c r="D6235" t="str">
        <f>IFERROR(__xludf.DUMMYFUNCTION("""COMPUTED_VALUE"""),"Niklas")</f>
        <v>Niklas</v>
      </c>
      <c r="E6235" t="str">
        <f>IFERROR(__xludf.DUMMYFUNCTION("""COMPUTED_VALUE"""),"Troy")</f>
        <v>Troy</v>
      </c>
      <c r="F6235">
        <f>IFERROR(__xludf.DUMMYFUNCTION("""COMPUTED_VALUE"""),17.5)</f>
        <v>17.5</v>
      </c>
    </row>
    <row r="6236">
      <c r="D6236" t="str">
        <f>IFERROR(__xludf.DUMMYFUNCTION("""COMPUTED_VALUE"""),"Nix")</f>
        <v>Nix</v>
      </c>
      <c r="E6236" t="str">
        <f>IFERROR(__xludf.DUMMYFUNCTION("""COMPUTED_VALUE"""),"Roosevelt")</f>
        <v>Roosevelt</v>
      </c>
      <c r="F6236">
        <f>IFERROR(__xludf.DUMMYFUNCTION("""COMPUTED_VALUE"""),18.0)</f>
        <v>18</v>
      </c>
    </row>
    <row r="6237">
      <c r="D6237" t="str">
        <f>IFERROR(__xludf.DUMMYFUNCTION("""COMPUTED_VALUE"""),"Nixon")</f>
        <v>Nixon</v>
      </c>
      <c r="E6237" t="str">
        <f>IFERROR(__xludf.DUMMYFUNCTION("""COMPUTED_VALUE"""),"Taurean")</f>
        <v>Taurean</v>
      </c>
      <c r="F6237">
        <f>IFERROR(__xludf.DUMMYFUNCTION("""COMPUTED_VALUE"""),16.25)</f>
        <v>16.25</v>
      </c>
    </row>
    <row r="6238">
      <c r="D6238" t="str">
        <f>IFERROR(__xludf.DUMMYFUNCTION("""COMPUTED_VALUE"""),"Njoku")</f>
        <v>Njoku</v>
      </c>
      <c r="E6238" t="str">
        <f>IFERROR(__xludf.DUMMYFUNCTION("""COMPUTED_VALUE"""),"David")</f>
        <v>David</v>
      </c>
      <c r="F6238">
        <f>IFERROR(__xludf.DUMMYFUNCTION("""COMPUTED_VALUE"""),19.25)</f>
        <v>19.25</v>
      </c>
    </row>
    <row r="6239">
      <c r="D6239" t="str">
        <f>IFERROR(__xludf.DUMMYFUNCTION("""COMPUTED_VALUE"""),"Nkemdiche")</f>
        <v>Nkemdiche</v>
      </c>
      <c r="E6239" t="str">
        <f>IFERROR(__xludf.DUMMYFUNCTION("""COMPUTED_VALUE"""),"Robert")</f>
        <v>Robert</v>
      </c>
      <c r="F6239">
        <f>IFERROR(__xludf.DUMMYFUNCTION("""COMPUTED_VALUE"""),18.25)</f>
        <v>18.25</v>
      </c>
    </row>
    <row r="6240">
      <c r="D6240" t="str">
        <f>IFERROR(__xludf.DUMMYFUNCTION("""COMPUTED_VALUE"""),"Nnadi")</f>
        <v>Nnadi</v>
      </c>
      <c r="E6240" t="str">
        <f>IFERROR(__xludf.DUMMYFUNCTION("""COMPUTED_VALUE"""),"Derrick")</f>
        <v>Derrick</v>
      </c>
      <c r="F6240">
        <f>IFERROR(__xludf.DUMMYFUNCTION("""COMPUTED_VALUE"""),18.0)</f>
        <v>18</v>
      </c>
    </row>
    <row r="6241">
      <c r="D6241" t="str">
        <f>IFERROR(__xludf.DUMMYFUNCTION("""COMPUTED_VALUE"""),"Norman")</f>
        <v>Norman</v>
      </c>
      <c r="E6241" t="str">
        <f>IFERROR(__xludf.DUMMYFUNCTION("""COMPUTED_VALUE"""),"Josh")</f>
        <v>Josh</v>
      </c>
      <c r="F6241">
        <f>IFERROR(__xludf.DUMMYFUNCTION("""COMPUTED_VALUE"""),21.0)</f>
        <v>21</v>
      </c>
    </row>
    <row r="6242">
      <c r="D6242" t="str">
        <f>IFERROR(__xludf.DUMMYFUNCTION("""COMPUTED_VALUE"""),"Norris")</f>
        <v>Norris</v>
      </c>
      <c r="E6242" t="str">
        <f>IFERROR(__xludf.DUMMYFUNCTION("""COMPUTED_VALUE"""),"Jared")</f>
        <v>Jared</v>
      </c>
      <c r="F6242">
        <f>IFERROR(__xludf.DUMMYFUNCTION("""COMPUTED_VALUE"""),18.0)</f>
        <v>18</v>
      </c>
    </row>
    <row r="6243">
      <c r="D6243" t="str">
        <f>IFERROR(__xludf.DUMMYFUNCTION("""COMPUTED_VALUE"""),"Norton")</f>
        <v>Norton</v>
      </c>
      <c r="E6243" t="str">
        <f>IFERROR(__xludf.DUMMYFUNCTION("""COMPUTED_VALUE"""),"Kendrick")</f>
        <v>Kendrick</v>
      </c>
      <c r="F6243">
        <f>IFERROR(__xludf.DUMMYFUNCTION("""COMPUTED_VALUE"""),16.75)</f>
        <v>16.75</v>
      </c>
    </row>
    <row r="6244">
      <c r="D6244" t="str">
        <f>IFERROR(__xludf.DUMMYFUNCTION("""COMPUTED_VALUE"""),"Norton")</f>
        <v>Norton</v>
      </c>
      <c r="E6244" t="str">
        <f>IFERROR(__xludf.DUMMYFUNCTION("""COMPUTED_VALUE"""),"Storm")</f>
        <v>Storm</v>
      </c>
      <c r="F6244">
        <f>IFERROR(__xludf.DUMMYFUNCTION("""COMPUTED_VALUE"""),16.0)</f>
        <v>16</v>
      </c>
    </row>
    <row r="6245">
      <c r="D6245" t="str">
        <f>IFERROR(__xludf.DUMMYFUNCTION("""COMPUTED_VALUE"""),"Norwell")</f>
        <v>Norwell</v>
      </c>
      <c r="E6245" t="str">
        <f>IFERROR(__xludf.DUMMYFUNCTION("""COMPUTED_VALUE"""),"Andrew")</f>
        <v>Andrew</v>
      </c>
      <c r="F6245">
        <f>IFERROR(__xludf.DUMMYFUNCTION("""COMPUTED_VALUE"""),21.25)</f>
        <v>21.25</v>
      </c>
    </row>
    <row r="6246">
      <c r="D6246" t="str">
        <f>IFERROR(__xludf.DUMMYFUNCTION("""COMPUTED_VALUE"""),"Noteboom")</f>
        <v>Noteboom</v>
      </c>
      <c r="E6246" t="str">
        <f>IFERROR(__xludf.DUMMYFUNCTION("""COMPUTED_VALUE"""),"Joseph")</f>
        <v>Joseph</v>
      </c>
      <c r="F6246">
        <f>IFERROR(__xludf.DUMMYFUNCTION("""COMPUTED_VALUE"""),17.25)</f>
        <v>17.25</v>
      </c>
    </row>
    <row r="6247">
      <c r="D6247" t="str">
        <f>IFERROR(__xludf.DUMMYFUNCTION("""COMPUTED_VALUE"""),"Nsekhe")</f>
        <v>Nsekhe</v>
      </c>
      <c r="E6247" t="str">
        <f>IFERROR(__xludf.DUMMYFUNCTION("""COMPUTED_VALUE"""),"Ty")</f>
        <v>Ty</v>
      </c>
      <c r="F6247">
        <f>IFERROR(__xludf.DUMMYFUNCTION("""COMPUTED_VALUE"""),18.5)</f>
        <v>18.5</v>
      </c>
    </row>
    <row r="6248">
      <c r="D6248" t="str">
        <f>IFERROR(__xludf.DUMMYFUNCTION("""COMPUTED_VALUE"""),"Nwachukwu")</f>
        <v>Nwachukwu</v>
      </c>
      <c r="E6248" t="str">
        <f>IFERROR(__xludf.DUMMYFUNCTION("""COMPUTED_VALUE"""),"Noble")</f>
        <v>Noble</v>
      </c>
      <c r="F6248">
        <f>IFERROR(__xludf.DUMMYFUNCTION("""COMPUTED_VALUE"""),15.75)</f>
        <v>15.75</v>
      </c>
    </row>
    <row r="6249">
      <c r="D6249" t="str">
        <f>IFERROR(__xludf.DUMMYFUNCTION("""COMPUTED_VALUE"""),"Nwosu")</f>
        <v>Nwosu</v>
      </c>
      <c r="E6249" t="str">
        <f>IFERROR(__xludf.DUMMYFUNCTION("""COMPUTED_VALUE"""),"Uchenna")</f>
        <v>Uchenna</v>
      </c>
      <c r="F6249">
        <f>IFERROR(__xludf.DUMMYFUNCTION("""COMPUTED_VALUE"""),18.25)</f>
        <v>18.25</v>
      </c>
    </row>
    <row r="6250">
      <c r="D6250" t="str">
        <f>IFERROR(__xludf.DUMMYFUNCTION("""COMPUTED_VALUE"""),"Nzeocha")</f>
        <v>Nzeocha</v>
      </c>
      <c r="E6250" t="str">
        <f>IFERROR(__xludf.DUMMYFUNCTION("""COMPUTED_VALUE"""),"Mark")</f>
        <v>Mark</v>
      </c>
      <c r="F6250">
        <f>IFERROR(__xludf.DUMMYFUNCTION("""COMPUTED_VALUE"""),17.75)</f>
        <v>17.75</v>
      </c>
    </row>
    <row r="6251">
      <c r="D6251" t="str">
        <f>IFERROR(__xludf.DUMMYFUNCTION("""COMPUTED_VALUE"""),"OConnor")</f>
        <v>OConnor</v>
      </c>
      <c r="E6251" t="str">
        <f>IFERROR(__xludf.DUMMYFUNCTION("""COMPUTED_VALUE"""),"Pat")</f>
        <v>Pat</v>
      </c>
      <c r="F6251">
        <f>IFERROR(__xludf.DUMMYFUNCTION("""COMPUTED_VALUE"""),17.25)</f>
        <v>17.25</v>
      </c>
    </row>
    <row r="6252">
      <c r="D6252" t="str">
        <f>IFERROR(__xludf.DUMMYFUNCTION("""COMPUTED_VALUE"""),"ODaniel")</f>
        <v>ODaniel</v>
      </c>
      <c r="E6252" t="str">
        <f>IFERROR(__xludf.DUMMYFUNCTION("""COMPUTED_VALUE"""),"Dorian")</f>
        <v>Dorian</v>
      </c>
      <c r="F6252">
        <f>IFERROR(__xludf.DUMMYFUNCTION("""COMPUTED_VALUE"""),17.75)</f>
        <v>17.75</v>
      </c>
    </row>
    <row r="6253">
      <c r="D6253" t="str">
        <f>IFERROR(__xludf.DUMMYFUNCTION("""COMPUTED_VALUE"""),"Odenigbo")</f>
        <v>Odenigbo</v>
      </c>
      <c r="E6253" t="str">
        <f>IFERROR(__xludf.DUMMYFUNCTION("""COMPUTED_VALUE"""),"Ifeadi")</f>
        <v>Ifeadi</v>
      </c>
      <c r="F6253">
        <f>IFERROR(__xludf.DUMMYFUNCTION("""COMPUTED_VALUE"""),16.75)</f>
        <v>16.75</v>
      </c>
    </row>
    <row r="6254">
      <c r="D6254" t="str">
        <f>IFERROR(__xludf.DUMMYFUNCTION("""COMPUTED_VALUE"""),"Odhiambo")</f>
        <v>Odhiambo</v>
      </c>
      <c r="E6254" t="str">
        <f>IFERROR(__xludf.DUMMYFUNCTION("""COMPUTED_VALUE"""),"Rees")</f>
        <v>Rees</v>
      </c>
      <c r="F6254">
        <f>IFERROR(__xludf.DUMMYFUNCTION("""COMPUTED_VALUE"""),17.25)</f>
        <v>17.25</v>
      </c>
    </row>
    <row r="6255">
      <c r="D6255" t="str">
        <f>IFERROR(__xludf.DUMMYFUNCTION("""COMPUTED_VALUE"""),"Odighizuwa")</f>
        <v>Odighizuwa</v>
      </c>
      <c r="E6255" t="str">
        <f>IFERROR(__xludf.DUMMYFUNCTION("""COMPUTED_VALUE"""),"Owa")</f>
        <v>Owa</v>
      </c>
      <c r="F6255">
        <f>IFERROR(__xludf.DUMMYFUNCTION("""COMPUTED_VALUE"""),16.75)</f>
        <v>16.75</v>
      </c>
    </row>
    <row r="6256">
      <c r="D6256" t="str">
        <f>IFERROR(__xludf.DUMMYFUNCTION("""COMPUTED_VALUE"""),"Odom")</f>
        <v>Odom</v>
      </c>
      <c r="E6256" t="str">
        <f>IFERROR(__xludf.DUMMYFUNCTION("""COMPUTED_VALUE"""),"Chris")</f>
        <v>Chris</v>
      </c>
      <c r="F6256">
        <f>IFERROR(__xludf.DUMMYFUNCTION("""COMPUTED_VALUE"""),15.75)</f>
        <v>15.75</v>
      </c>
    </row>
    <row r="6257">
      <c r="D6257" t="str">
        <f>IFERROR(__xludf.DUMMYFUNCTION("""COMPUTED_VALUE"""),"ODonnell")</f>
        <v>ODonnell</v>
      </c>
      <c r="E6257" t="str">
        <f>IFERROR(__xludf.DUMMYFUNCTION("""COMPUTED_VALUE"""),"Pat")</f>
        <v>Pat</v>
      </c>
      <c r="F6257">
        <f>IFERROR(__xludf.DUMMYFUNCTION("""COMPUTED_VALUE"""),19.25)</f>
        <v>19.25</v>
      </c>
    </row>
    <row r="6258">
      <c r="D6258" t="str">
        <f>IFERROR(__xludf.DUMMYFUNCTION("""COMPUTED_VALUE"""),"Ogbah")</f>
        <v>Ogbah</v>
      </c>
      <c r="E6258" t="str">
        <f>IFERROR(__xludf.DUMMYFUNCTION("""COMPUTED_VALUE"""),"Emmanuel")</f>
        <v>Emmanuel</v>
      </c>
      <c r="F6258">
        <f>IFERROR(__xludf.DUMMYFUNCTION("""COMPUTED_VALUE"""),18.5)</f>
        <v>18.5</v>
      </c>
    </row>
    <row r="6259">
      <c r="D6259" t="str">
        <f>IFERROR(__xludf.DUMMYFUNCTION("""COMPUTED_VALUE"""),"Ogbuehi")</f>
        <v>Ogbuehi</v>
      </c>
      <c r="E6259" t="str">
        <f>IFERROR(__xludf.DUMMYFUNCTION("""COMPUTED_VALUE"""),"Cedric")</f>
        <v>Cedric</v>
      </c>
      <c r="F6259">
        <f>IFERROR(__xludf.DUMMYFUNCTION("""COMPUTED_VALUE"""),18.0)</f>
        <v>18</v>
      </c>
    </row>
    <row r="6260">
      <c r="D6260" t="str">
        <f>IFERROR(__xludf.DUMMYFUNCTION("""COMPUTED_VALUE"""),"Ogletree")</f>
        <v>Ogletree</v>
      </c>
      <c r="E6260" t="str">
        <f>IFERROR(__xludf.DUMMYFUNCTION("""COMPUTED_VALUE"""),"Alec")</f>
        <v>Alec</v>
      </c>
      <c r="F6260">
        <f>IFERROR(__xludf.DUMMYFUNCTION("""COMPUTED_VALUE"""),19.25)</f>
        <v>19.25</v>
      </c>
    </row>
    <row r="6261">
      <c r="D6261" t="str">
        <f>IFERROR(__xludf.DUMMYFUNCTION("""COMPUTED_VALUE"""),"Ogunjobi")</f>
        <v>Ogunjobi</v>
      </c>
      <c r="E6261" t="str">
        <f>IFERROR(__xludf.DUMMYFUNCTION("""COMPUTED_VALUE"""),"Larry")</f>
        <v>Larry</v>
      </c>
      <c r="F6261">
        <f>IFERROR(__xludf.DUMMYFUNCTION("""COMPUTED_VALUE"""),19.25)</f>
        <v>19.25</v>
      </c>
    </row>
    <row r="6262">
      <c r="D6262" t="str">
        <f>IFERROR(__xludf.DUMMYFUNCTION("""COMPUTED_VALUE"""),"Okafor")</f>
        <v>Okafor</v>
      </c>
      <c r="E6262" t="str">
        <f>IFERROR(__xludf.DUMMYFUNCTION("""COMPUTED_VALUE"""),"Alex")</f>
        <v>Alex</v>
      </c>
      <c r="F6262">
        <f>IFERROR(__xludf.DUMMYFUNCTION("""COMPUTED_VALUE"""),19.5)</f>
        <v>19.5</v>
      </c>
    </row>
    <row r="6263">
      <c r="D6263" t="str">
        <f>IFERROR(__xludf.DUMMYFUNCTION("""COMPUTED_VALUE"""),"Okorafor")</f>
        <v>Okorafor</v>
      </c>
      <c r="E6263" t="str">
        <f>IFERROR(__xludf.DUMMYFUNCTION("""COMPUTED_VALUE"""),"Chukwuma")</f>
        <v>Chukwuma</v>
      </c>
      <c r="F6263">
        <f>IFERROR(__xludf.DUMMYFUNCTION("""COMPUTED_VALUE"""),18.0)</f>
        <v>18</v>
      </c>
    </row>
    <row r="6264">
      <c r="D6264" t="str">
        <f>IFERROR(__xludf.DUMMYFUNCTION("""COMPUTED_VALUE"""),"Okoronkwo")</f>
        <v>Okoronkwo</v>
      </c>
      <c r="E6264" t="str">
        <f>IFERROR(__xludf.DUMMYFUNCTION("""COMPUTED_VALUE"""),"Ogbonnia")</f>
        <v>Ogbonnia</v>
      </c>
      <c r="F6264">
        <f>IFERROR(__xludf.DUMMYFUNCTION("""COMPUTED_VALUE"""),16.75)</f>
        <v>16.75</v>
      </c>
    </row>
    <row r="6265">
      <c r="D6265" t="str">
        <f>IFERROR(__xludf.DUMMYFUNCTION("""COMPUTED_VALUE"""),"Okung")</f>
        <v>Okung</v>
      </c>
      <c r="E6265" t="str">
        <f>IFERROR(__xludf.DUMMYFUNCTION("""COMPUTED_VALUE"""),"Russell")</f>
        <v>Russell</v>
      </c>
      <c r="F6265">
        <f>IFERROR(__xludf.DUMMYFUNCTION("""COMPUTED_VALUE"""),19.75)</f>
        <v>19.75</v>
      </c>
    </row>
    <row r="6266">
      <c r="D6266" t="str">
        <f>IFERROR(__xludf.DUMMYFUNCTION("""COMPUTED_VALUE"""),"Okung")</f>
        <v>Okung</v>
      </c>
      <c r="E6266" t="str">
        <f>IFERROR(__xludf.DUMMYFUNCTION("""COMPUTED_VALUE"""),"Russell")</f>
        <v>Russell</v>
      </c>
      <c r="F6266">
        <f>IFERROR(__xludf.DUMMYFUNCTION("""COMPUTED_VALUE"""),21.75)</f>
        <v>21.75</v>
      </c>
    </row>
    <row r="6267">
      <c r="D6267" t="str">
        <f>IFERROR(__xludf.DUMMYFUNCTION("""COMPUTED_VALUE"""),"Okwara")</f>
        <v>Okwara</v>
      </c>
      <c r="E6267" t="str">
        <f>IFERROR(__xludf.DUMMYFUNCTION("""COMPUTED_VALUE"""),"Romeo")</f>
        <v>Romeo</v>
      </c>
      <c r="F6267">
        <f>IFERROR(__xludf.DUMMYFUNCTION("""COMPUTED_VALUE"""),15.5)</f>
        <v>15.5</v>
      </c>
    </row>
    <row r="6268">
      <c r="D6268" t="str">
        <f>IFERROR(__xludf.DUMMYFUNCTION("""COMPUTED_VALUE"""),"Olawale")</f>
        <v>Olawale</v>
      </c>
      <c r="E6268" t="str">
        <f>IFERROR(__xludf.DUMMYFUNCTION("""COMPUTED_VALUE"""),"Jamize")</f>
        <v>Jamize</v>
      </c>
      <c r="F6268">
        <f>IFERROR(__xludf.DUMMYFUNCTION("""COMPUTED_VALUE"""),19.0)</f>
        <v>19</v>
      </c>
    </row>
    <row r="6269">
      <c r="D6269" t="str">
        <f>IFERROR(__xludf.DUMMYFUNCTION("""COMPUTED_VALUE"""),"OLeary")</f>
        <v>OLeary</v>
      </c>
      <c r="E6269" t="str">
        <f>IFERROR(__xludf.DUMMYFUNCTION("""COMPUTED_VALUE"""),"Nick")</f>
        <v>Nick</v>
      </c>
      <c r="F6269">
        <f>IFERROR(__xludf.DUMMYFUNCTION("""COMPUTED_VALUE"""),17.75)</f>
        <v>17.75</v>
      </c>
    </row>
    <row r="6270">
      <c r="D6270" t="str">
        <f>IFERROR(__xludf.DUMMYFUNCTION("""COMPUTED_VALUE"""),"Oliver")</f>
        <v>Oliver</v>
      </c>
      <c r="E6270" t="str">
        <f>IFERROR(__xludf.DUMMYFUNCTION("""COMPUTED_VALUE"""),"Branden")</f>
        <v>Branden</v>
      </c>
      <c r="F6270">
        <f>IFERROR(__xludf.DUMMYFUNCTION("""COMPUTED_VALUE"""),15.25)</f>
        <v>15.25</v>
      </c>
    </row>
    <row r="6271">
      <c r="D6271" t="str">
        <f>IFERROR(__xludf.DUMMYFUNCTION("""COMPUTED_VALUE"""),"Oliver")</f>
        <v>Oliver</v>
      </c>
      <c r="E6271" t="str">
        <f>IFERROR(__xludf.DUMMYFUNCTION("""COMPUTED_VALUE"""),"Isaiah")</f>
        <v>Isaiah</v>
      </c>
      <c r="F6271">
        <f>IFERROR(__xludf.DUMMYFUNCTION("""COMPUTED_VALUE"""),18.25)</f>
        <v>18.25</v>
      </c>
    </row>
    <row r="6272">
      <c r="D6272" t="str">
        <f>IFERROR(__xludf.DUMMYFUNCTION("""COMPUTED_VALUE"""),"Olsen")</f>
        <v>Olsen</v>
      </c>
      <c r="E6272" t="str">
        <f>IFERROR(__xludf.DUMMYFUNCTION("""COMPUTED_VALUE"""),"Greg")</f>
        <v>Greg</v>
      </c>
      <c r="F6272">
        <f>IFERROR(__xludf.DUMMYFUNCTION("""COMPUTED_VALUE"""),21.25)</f>
        <v>21.25</v>
      </c>
    </row>
    <row r="6273">
      <c r="D6273" t="str">
        <f>IFERROR(__xludf.DUMMYFUNCTION("""COMPUTED_VALUE"""),"Olsen")</f>
        <v>Olsen</v>
      </c>
      <c r="E6273" t="str">
        <f>IFERROR(__xludf.DUMMYFUNCTION("""COMPUTED_VALUE"""),"Greg")</f>
        <v>Greg</v>
      </c>
      <c r="F6273">
        <f>IFERROR(__xludf.DUMMYFUNCTION("""COMPUTED_VALUE"""),22.75)</f>
        <v>22.75</v>
      </c>
    </row>
    <row r="6274">
      <c r="D6274" t="str">
        <f>IFERROR(__xludf.DUMMYFUNCTION("""COMPUTED_VALUE"""),"Oluokun")</f>
        <v>Oluokun</v>
      </c>
      <c r="E6274" t="str">
        <f>IFERROR(__xludf.DUMMYFUNCTION("""COMPUTED_VALUE"""),"Foyesade")</f>
        <v>Foyesade</v>
      </c>
      <c r="F6274">
        <f>IFERROR(__xludf.DUMMYFUNCTION("""COMPUTED_VALUE"""),17.0)</f>
        <v>17</v>
      </c>
    </row>
    <row r="6275">
      <c r="D6275" t="str">
        <f>IFERROR(__xludf.DUMMYFUNCTION("""COMPUTED_VALUE"""),"OMalley")</f>
        <v>OMalley</v>
      </c>
      <c r="E6275" t="str">
        <f>IFERROR(__xludf.DUMMYFUNCTION("""COMPUTED_VALUE"""),"Ryan")</f>
        <v>Ryan</v>
      </c>
      <c r="F6275">
        <f>IFERROR(__xludf.DUMMYFUNCTION("""COMPUTED_VALUE"""),16.25)</f>
        <v>16.25</v>
      </c>
    </row>
    <row r="6276">
      <c r="D6276" t="str">
        <f>IFERROR(__xludf.DUMMYFUNCTION("""COMPUTED_VALUE"""),"Omameh")</f>
        <v>Omameh</v>
      </c>
      <c r="E6276" t="str">
        <f>IFERROR(__xludf.DUMMYFUNCTION("""COMPUTED_VALUE"""),"Patrick")</f>
        <v>Patrick</v>
      </c>
      <c r="F6276">
        <f>IFERROR(__xludf.DUMMYFUNCTION("""COMPUTED_VALUE"""),18.75)</f>
        <v>18.75</v>
      </c>
    </row>
    <row r="6277">
      <c r="D6277" t="str">
        <f>IFERROR(__xludf.DUMMYFUNCTION("""COMPUTED_VALUE"""),"ONeill")</f>
        <v>ONeill</v>
      </c>
      <c r="E6277" t="str">
        <f>IFERROR(__xludf.DUMMYFUNCTION("""COMPUTED_VALUE"""),"Brian")</f>
        <v>Brian</v>
      </c>
      <c r="F6277">
        <f>IFERROR(__xludf.DUMMYFUNCTION("""COMPUTED_VALUE"""),18.25)</f>
        <v>18.25</v>
      </c>
    </row>
    <row r="6278">
      <c r="D6278" t="str">
        <f>IFERROR(__xludf.DUMMYFUNCTION("""COMPUTED_VALUE"""),"Onwualu")</f>
        <v>Onwualu</v>
      </c>
      <c r="E6278" t="str">
        <f>IFERROR(__xludf.DUMMYFUNCTION("""COMPUTED_VALUE"""),"James")</f>
        <v>James</v>
      </c>
      <c r="F6278">
        <f>IFERROR(__xludf.DUMMYFUNCTION("""COMPUTED_VALUE"""),18.5)</f>
        <v>18.5</v>
      </c>
    </row>
    <row r="6279">
      <c r="D6279" t="str">
        <f>IFERROR(__xludf.DUMMYFUNCTION("""COMPUTED_VALUE"""),"Onwuasor")</f>
        <v>Onwuasor</v>
      </c>
      <c r="E6279" t="str">
        <f>IFERROR(__xludf.DUMMYFUNCTION("""COMPUTED_VALUE"""),"Patrick")</f>
        <v>Patrick</v>
      </c>
      <c r="F6279">
        <f>IFERROR(__xludf.DUMMYFUNCTION("""COMPUTED_VALUE"""),19.0)</f>
        <v>19</v>
      </c>
    </row>
    <row r="6280">
      <c r="D6280" t="str">
        <f>IFERROR(__xludf.DUMMYFUNCTION("""COMPUTED_VALUE"""),"Onyemata")</f>
        <v>Onyemata</v>
      </c>
      <c r="E6280" t="str">
        <f>IFERROR(__xludf.DUMMYFUNCTION("""COMPUTED_VALUE"""),"David")</f>
        <v>David</v>
      </c>
      <c r="F6280">
        <f>IFERROR(__xludf.DUMMYFUNCTION("""COMPUTED_VALUE"""),19.5)</f>
        <v>19.5</v>
      </c>
    </row>
    <row r="6281">
      <c r="D6281" t="str">
        <f>IFERROR(__xludf.DUMMYFUNCTION("""COMPUTED_VALUE"""),"Orakpo")</f>
        <v>Orakpo</v>
      </c>
      <c r="E6281" t="str">
        <f>IFERROR(__xludf.DUMMYFUNCTION("""COMPUTED_VALUE"""),"Brian")</f>
        <v>Brian</v>
      </c>
      <c r="F6281">
        <f>IFERROR(__xludf.DUMMYFUNCTION("""COMPUTED_VALUE"""),20.75)</f>
        <v>20.75</v>
      </c>
    </row>
    <row r="6282">
      <c r="D6282" t="str">
        <f>IFERROR(__xludf.DUMMYFUNCTION("""COMPUTED_VALUE"""),"Orchard")</f>
        <v>Orchard</v>
      </c>
      <c r="E6282" t="str">
        <f>IFERROR(__xludf.DUMMYFUNCTION("""COMPUTED_VALUE"""),"Nate")</f>
        <v>Nate</v>
      </c>
      <c r="F6282">
        <f>IFERROR(__xludf.DUMMYFUNCTION("""COMPUTED_VALUE"""),16.75)</f>
        <v>16.75</v>
      </c>
    </row>
    <row r="6283">
      <c r="D6283" t="str">
        <f>IFERROR(__xludf.DUMMYFUNCTION("""COMPUTED_VALUE"""),"Osemele")</f>
        <v>Osemele</v>
      </c>
      <c r="E6283" t="str">
        <f>IFERROR(__xludf.DUMMYFUNCTION("""COMPUTED_VALUE"""),"Kelechi")</f>
        <v>Kelechi</v>
      </c>
      <c r="F6283">
        <f>IFERROR(__xludf.DUMMYFUNCTION("""COMPUTED_VALUE"""),21.0)</f>
        <v>21</v>
      </c>
    </row>
    <row r="6284">
      <c r="D6284" t="str">
        <f>IFERROR(__xludf.DUMMYFUNCTION("""COMPUTED_VALUE"""),"Osemele")</f>
        <v>Osemele</v>
      </c>
      <c r="E6284" t="str">
        <f>IFERROR(__xludf.DUMMYFUNCTION("""COMPUTED_VALUE"""),"Kelechi")</f>
        <v>Kelechi</v>
      </c>
      <c r="F6284">
        <f>IFERROR(__xludf.DUMMYFUNCTION("""COMPUTED_VALUE"""),22.5)</f>
        <v>22.5</v>
      </c>
    </row>
    <row r="6285">
      <c r="D6285" t="str">
        <f>IFERROR(__xludf.DUMMYFUNCTION("""COMPUTED_VALUE"""),"OShaughnessy")</f>
        <v>OShaughnessy</v>
      </c>
      <c r="E6285" t="str">
        <f>IFERROR(__xludf.DUMMYFUNCTION("""COMPUTED_VALUE"""),"James")</f>
        <v>James</v>
      </c>
      <c r="F6285">
        <f>IFERROR(__xludf.DUMMYFUNCTION("""COMPUTED_VALUE"""),18.0)</f>
        <v>18</v>
      </c>
    </row>
    <row r="6286">
      <c r="D6286" t="str">
        <f>IFERROR(__xludf.DUMMYFUNCTION("""COMPUTED_VALUE"""),"Osweiler")</f>
        <v>Osweiler</v>
      </c>
      <c r="E6286" t="str">
        <f>IFERROR(__xludf.DUMMYFUNCTION("""COMPUTED_VALUE"""),"Brock")</f>
        <v>Brock</v>
      </c>
      <c r="F6286">
        <f>IFERROR(__xludf.DUMMYFUNCTION("""COMPUTED_VALUE"""),18.5)</f>
        <v>18.5</v>
      </c>
    </row>
    <row r="6287">
      <c r="D6287" t="str">
        <f>IFERROR(__xludf.DUMMYFUNCTION("""COMPUTED_VALUE"""),"Painter")</f>
        <v>Painter</v>
      </c>
      <c r="E6287" t="str">
        <f>IFERROR(__xludf.DUMMYFUNCTION("""COMPUTED_VALUE"""),"Vinston")</f>
        <v>Vinston</v>
      </c>
      <c r="F6287">
        <f>IFERROR(__xludf.DUMMYFUNCTION("""COMPUTED_VALUE"""),16.0)</f>
        <v>16</v>
      </c>
    </row>
    <row r="6288">
      <c r="D6288" t="str">
        <f>IFERROR(__xludf.DUMMYFUNCTION("""COMPUTED_VALUE"""),"Palardy")</f>
        <v>Palardy</v>
      </c>
      <c r="E6288" t="str">
        <f>IFERROR(__xludf.DUMMYFUNCTION("""COMPUTED_VALUE"""),"Michael")</f>
        <v>Michael</v>
      </c>
      <c r="F6288">
        <f>IFERROR(__xludf.DUMMYFUNCTION("""COMPUTED_VALUE"""),19.25)</f>
        <v>19.25</v>
      </c>
    </row>
    <row r="6289">
      <c r="D6289" t="str">
        <f>IFERROR(__xludf.DUMMYFUNCTION("""COMPUTED_VALUE"""),"Palepoi")</f>
        <v>Palepoi</v>
      </c>
      <c r="E6289" t="str">
        <f>IFERROR(__xludf.DUMMYFUNCTION("""COMPUTED_VALUE"""),"Tenny")</f>
        <v>Tenny</v>
      </c>
      <c r="F6289">
        <f>IFERROR(__xludf.DUMMYFUNCTION("""COMPUTED_VALUE"""),18.25)</f>
        <v>18.25</v>
      </c>
    </row>
    <row r="6290">
      <c r="D6290" t="str">
        <f>IFERROR(__xludf.DUMMYFUNCTION("""COMPUTED_VALUE"""),"Palmer")</f>
        <v>Palmer</v>
      </c>
      <c r="E6290" t="str">
        <f>IFERROR(__xludf.DUMMYFUNCTION("""COMPUTED_VALUE"""),"Nate")</f>
        <v>Nate</v>
      </c>
      <c r="F6290">
        <f>IFERROR(__xludf.DUMMYFUNCTION("""COMPUTED_VALUE"""),16.75)</f>
        <v>16.75</v>
      </c>
    </row>
    <row r="6291">
      <c r="D6291" t="str">
        <f>IFERROR(__xludf.DUMMYFUNCTION("""COMPUTED_VALUE"""),"Pamphile")</f>
        <v>Pamphile</v>
      </c>
      <c r="E6291" t="str">
        <f>IFERROR(__xludf.DUMMYFUNCTION("""COMPUTED_VALUE"""),"Kevin")</f>
        <v>Kevin</v>
      </c>
      <c r="F6291">
        <f>IFERROR(__xludf.DUMMYFUNCTION("""COMPUTED_VALUE"""),18.25)</f>
        <v>18.25</v>
      </c>
    </row>
    <row r="6292">
      <c r="D6292" t="str">
        <f>IFERROR(__xludf.DUMMYFUNCTION("""COMPUTED_VALUE"""),"Pankey")</f>
        <v>Pankey</v>
      </c>
      <c r="E6292" t="str">
        <f>IFERROR(__xludf.DUMMYFUNCTION("""COMPUTED_VALUE"""),"Adam")</f>
        <v>Adam</v>
      </c>
      <c r="F6292">
        <f>IFERROR(__xludf.DUMMYFUNCTION("""COMPUTED_VALUE"""),16.25)</f>
        <v>16.25</v>
      </c>
    </row>
    <row r="6293">
      <c r="D6293" t="str">
        <f>IFERROR(__xludf.DUMMYFUNCTION("""COMPUTED_VALUE"""),"Paradis")</f>
        <v>Paradis</v>
      </c>
      <c r="E6293" t="str">
        <f>IFERROR(__xludf.DUMMYFUNCTION("""COMPUTED_VALUE"""),"Matt")</f>
        <v>Matt</v>
      </c>
      <c r="F6293">
        <f>IFERROR(__xludf.DUMMYFUNCTION("""COMPUTED_VALUE"""),20.0)</f>
        <v>20</v>
      </c>
    </row>
    <row r="6294">
      <c r="D6294" t="str">
        <f>IFERROR(__xludf.DUMMYFUNCTION("""COMPUTED_VALUE"""),"Parker")</f>
        <v>Parker</v>
      </c>
      <c r="E6294" t="str">
        <f>IFERROR(__xludf.DUMMYFUNCTION("""COMPUTED_VALUE"""),"Brandon")</f>
        <v>Brandon</v>
      </c>
      <c r="F6294">
        <f>IFERROR(__xludf.DUMMYFUNCTION("""COMPUTED_VALUE"""),18.0)</f>
        <v>18</v>
      </c>
    </row>
    <row r="6295">
      <c r="D6295" t="str">
        <f>IFERROR(__xludf.DUMMYFUNCTION("""COMPUTED_VALUE"""),"Parker")</f>
        <v>Parker</v>
      </c>
      <c r="E6295" t="str">
        <f>IFERROR(__xludf.DUMMYFUNCTION("""COMPUTED_VALUE"""),"Brian")</f>
        <v>Brian</v>
      </c>
      <c r="F6295">
        <f>IFERROR(__xludf.DUMMYFUNCTION("""COMPUTED_VALUE"""),16.0)</f>
        <v>16</v>
      </c>
    </row>
    <row r="6296">
      <c r="D6296" t="str">
        <f>IFERROR(__xludf.DUMMYFUNCTION("""COMPUTED_VALUE"""),"Parker")</f>
        <v>Parker</v>
      </c>
      <c r="E6296" t="str">
        <f>IFERROR(__xludf.DUMMYFUNCTION("""COMPUTED_VALUE"""),"DeVante")</f>
        <v>DeVante</v>
      </c>
      <c r="F6296">
        <f>IFERROR(__xludf.DUMMYFUNCTION("""COMPUTED_VALUE"""),20.25)</f>
        <v>20.25</v>
      </c>
    </row>
    <row r="6297">
      <c r="D6297" t="str">
        <f>IFERROR(__xludf.DUMMYFUNCTION("""COMPUTED_VALUE"""),"Parker")</f>
        <v>Parker</v>
      </c>
      <c r="E6297" t="str">
        <f>IFERROR(__xludf.DUMMYFUNCTION("""COMPUTED_VALUE"""),"Ron")</f>
        <v>Ron</v>
      </c>
      <c r="F6297">
        <f>IFERROR(__xludf.DUMMYFUNCTION("""COMPUTED_VALUE"""),15.25)</f>
        <v>15.25</v>
      </c>
    </row>
    <row r="6298">
      <c r="D6298" t="str">
        <f>IFERROR(__xludf.DUMMYFUNCTION("""COMPUTED_VALUE"""),"Parkey")</f>
        <v>Parkey</v>
      </c>
      <c r="E6298" t="str">
        <f>IFERROR(__xludf.DUMMYFUNCTION("""COMPUTED_VALUE"""),"Cody")</f>
        <v>Cody</v>
      </c>
      <c r="F6298">
        <f>IFERROR(__xludf.DUMMYFUNCTION("""COMPUTED_VALUE"""),19.25)</f>
        <v>19.25</v>
      </c>
    </row>
    <row r="6299">
      <c r="D6299" t="str">
        <f>IFERROR(__xludf.DUMMYFUNCTION("""COMPUTED_VALUE"""),"Parks")</f>
        <v>Parks</v>
      </c>
      <c r="E6299" t="str">
        <f>IFERROR(__xludf.DUMMYFUNCTION("""COMPUTED_VALUE"""),"Will")</f>
        <v>Will</v>
      </c>
      <c r="F6299">
        <f>IFERROR(__xludf.DUMMYFUNCTION("""COMPUTED_VALUE"""),18.0)</f>
        <v>18</v>
      </c>
    </row>
    <row r="6300">
      <c r="D6300" t="str">
        <f>IFERROR(__xludf.DUMMYFUNCTION("""COMPUTED_VALUE"""),"Parnell")</f>
        <v>Parnell</v>
      </c>
      <c r="E6300" t="str">
        <f>IFERROR(__xludf.DUMMYFUNCTION("""COMPUTED_VALUE"""),"Jermey")</f>
        <v>Jermey</v>
      </c>
      <c r="F6300">
        <f>IFERROR(__xludf.DUMMYFUNCTION("""COMPUTED_VALUE"""),19.75)</f>
        <v>19.75</v>
      </c>
    </row>
    <row r="6301">
      <c r="D6301" t="str">
        <f>IFERROR(__xludf.DUMMYFUNCTION("""COMPUTED_VALUE"""),"Parry")</f>
        <v>Parry</v>
      </c>
      <c r="E6301" t="str">
        <f>IFERROR(__xludf.DUMMYFUNCTION("""COMPUTED_VALUE"""),"David")</f>
        <v>David</v>
      </c>
      <c r="F6301">
        <f>IFERROR(__xludf.DUMMYFUNCTION("""COMPUTED_VALUE"""),17.0)</f>
        <v>17</v>
      </c>
    </row>
    <row r="6302">
      <c r="D6302" t="str">
        <f>IFERROR(__xludf.DUMMYFUNCTION("""COMPUTED_VALUE"""),"Pascal")</f>
        <v>Pascal</v>
      </c>
      <c r="E6302" t="str">
        <f>IFERROR(__xludf.DUMMYFUNCTION("""COMPUTED_VALUE"""),"Zach")</f>
        <v>Zach</v>
      </c>
      <c r="F6302">
        <f>IFERROR(__xludf.DUMMYFUNCTION("""COMPUTED_VALUE"""),16.75)</f>
        <v>16.75</v>
      </c>
    </row>
    <row r="6303">
      <c r="D6303" t="str">
        <f>IFERROR(__xludf.DUMMYFUNCTION("""COMPUTED_VALUE"""),"Pasztor")</f>
        <v>Pasztor</v>
      </c>
      <c r="E6303" t="str">
        <f>IFERROR(__xludf.DUMMYFUNCTION("""COMPUTED_VALUE"""),"Austin")</f>
        <v>Austin</v>
      </c>
      <c r="F6303">
        <f>IFERROR(__xludf.DUMMYFUNCTION("""COMPUTED_VALUE"""),18.0)</f>
        <v>18</v>
      </c>
    </row>
    <row r="6304">
      <c r="D6304" t="str">
        <f>IFERROR(__xludf.DUMMYFUNCTION("""COMPUTED_VALUE"""),"Patrick")</f>
        <v>Patrick</v>
      </c>
      <c r="E6304" t="str">
        <f>IFERROR(__xludf.DUMMYFUNCTION("""COMPUTED_VALUE"""),"Lucas")</f>
        <v>Lucas</v>
      </c>
      <c r="F6304">
        <f>IFERROR(__xludf.DUMMYFUNCTION("""COMPUTED_VALUE"""),17.25)</f>
        <v>17.25</v>
      </c>
    </row>
    <row r="6305">
      <c r="D6305" t="str">
        <f>IFERROR(__xludf.DUMMYFUNCTION("""COMPUTED_VALUE"""),"Patrick")</f>
        <v>Patrick</v>
      </c>
      <c r="E6305" t="str">
        <f>IFERROR(__xludf.DUMMYFUNCTION("""COMPUTED_VALUE"""),"Tim")</f>
        <v>Tim</v>
      </c>
      <c r="F6305">
        <f>IFERROR(__xludf.DUMMYFUNCTION("""COMPUTED_VALUE"""),16.0)</f>
        <v>16</v>
      </c>
    </row>
    <row r="6306">
      <c r="D6306" t="str">
        <f>IFERROR(__xludf.DUMMYFUNCTION("""COMPUTED_VALUE"""),"Patterson")</f>
        <v>Patterson</v>
      </c>
      <c r="E6306" t="str">
        <f>IFERROR(__xludf.DUMMYFUNCTION("""COMPUTED_VALUE"""),"Cordarrelle")</f>
        <v>Cordarrelle</v>
      </c>
      <c r="F6306">
        <f>IFERROR(__xludf.DUMMYFUNCTION("""COMPUTED_VALUE"""),18.75)</f>
        <v>18.75</v>
      </c>
    </row>
    <row r="6307">
      <c r="D6307" t="str">
        <f>IFERROR(__xludf.DUMMYFUNCTION("""COMPUTED_VALUE"""),"Paul")</f>
        <v>Paul</v>
      </c>
      <c r="E6307" t="str">
        <f>IFERROR(__xludf.DUMMYFUNCTION("""COMPUTED_VALUE"""),"Niles")</f>
        <v>Niles</v>
      </c>
      <c r="F6307">
        <f>IFERROR(__xludf.DUMMYFUNCTION("""COMPUTED_VALUE"""),17.75)</f>
        <v>17.75</v>
      </c>
    </row>
    <row r="6308">
      <c r="D6308" t="str">
        <f>IFERROR(__xludf.DUMMYFUNCTION("""COMPUTED_VALUE"""),"Paulsen")</f>
        <v>Paulsen</v>
      </c>
      <c r="E6308" t="str">
        <f>IFERROR(__xludf.DUMMYFUNCTION("""COMPUTED_VALUE"""),"Logan")</f>
        <v>Logan</v>
      </c>
      <c r="F6308">
        <f>IFERROR(__xludf.DUMMYFUNCTION("""COMPUTED_VALUE"""),16.25)</f>
        <v>16.25</v>
      </c>
    </row>
    <row r="6309">
      <c r="D6309" t="str">
        <f>IFERROR(__xludf.DUMMYFUNCTION("""COMPUTED_VALUE"""),"Payne")</f>
        <v>Payne</v>
      </c>
      <c r="E6309" t="str">
        <f>IFERROR(__xludf.DUMMYFUNCTION("""COMPUTED_VALUE"""),"DaRon")</f>
        <v>DaRon</v>
      </c>
      <c r="F6309">
        <f>IFERROR(__xludf.DUMMYFUNCTION("""COMPUTED_VALUE"""),19.25)</f>
        <v>19.25</v>
      </c>
    </row>
    <row r="6310">
      <c r="D6310" t="str">
        <f>IFERROR(__xludf.DUMMYFUNCTION("""COMPUTED_VALUE"""),"Payne")</f>
        <v>Payne</v>
      </c>
      <c r="E6310" t="str">
        <f>IFERROR(__xludf.DUMMYFUNCTION("""COMPUTED_VALUE"""),"Donald")</f>
        <v>Donald</v>
      </c>
      <c r="F6310">
        <f>IFERROR(__xludf.DUMMYFUNCTION("""COMPUTED_VALUE"""),17.0)</f>
        <v>17</v>
      </c>
    </row>
    <row r="6311">
      <c r="D6311" t="str">
        <f>IFERROR(__xludf.DUMMYFUNCTION("""COMPUTED_VALUE"""),"Peake")</f>
        <v>Peake</v>
      </c>
      <c r="E6311" t="str">
        <f>IFERROR(__xludf.DUMMYFUNCTION("""COMPUTED_VALUE"""),"Charone")</f>
        <v>Charone</v>
      </c>
      <c r="F6311">
        <f>IFERROR(__xludf.DUMMYFUNCTION("""COMPUTED_VALUE"""),17.25)</f>
        <v>17.25</v>
      </c>
    </row>
    <row r="6312">
      <c r="D6312" t="str">
        <f>IFERROR(__xludf.DUMMYFUNCTION("""COMPUTED_VALUE"""),"Peat")</f>
        <v>Peat</v>
      </c>
      <c r="E6312" t="str">
        <f>IFERROR(__xludf.DUMMYFUNCTION("""COMPUTED_VALUE"""),"Andrus")</f>
        <v>Andrus</v>
      </c>
      <c r="F6312">
        <f>IFERROR(__xludf.DUMMYFUNCTION("""COMPUTED_VALUE"""),19.0)</f>
        <v>19</v>
      </c>
    </row>
    <row r="6313">
      <c r="D6313" t="str">
        <f>IFERROR(__xludf.DUMMYFUNCTION("""COMPUTED_VALUE"""),"Peko")</f>
        <v>Peko</v>
      </c>
      <c r="E6313" t="str">
        <f>IFERROR(__xludf.DUMMYFUNCTION("""COMPUTED_VALUE"""),"Kyle")</f>
        <v>Kyle</v>
      </c>
      <c r="F6313">
        <f>IFERROR(__xludf.DUMMYFUNCTION("""COMPUTED_VALUE"""),16.0)</f>
        <v>16</v>
      </c>
    </row>
    <row r="6314">
      <c r="D6314" t="str">
        <f>IFERROR(__xludf.DUMMYFUNCTION("""COMPUTED_VALUE"""),"Peko Sr")</f>
        <v>Peko Sr</v>
      </c>
      <c r="E6314" t="str">
        <f>IFERROR(__xludf.DUMMYFUNCTION("""COMPUTED_VALUE"""),"Domata")</f>
        <v>Domata</v>
      </c>
      <c r="F6314">
        <f>IFERROR(__xludf.DUMMYFUNCTION("""COMPUTED_VALUE"""),19.25)</f>
        <v>19.25</v>
      </c>
    </row>
    <row r="6315">
      <c r="D6315" t="str">
        <f>IFERROR(__xludf.DUMMYFUNCTION("""COMPUTED_VALUE"""),"Penn")</f>
        <v>Penn</v>
      </c>
      <c r="E6315" t="str">
        <f>IFERROR(__xludf.DUMMYFUNCTION("""COMPUTED_VALUE"""),"Donald")</f>
        <v>Donald</v>
      </c>
      <c r="F6315">
        <f>IFERROR(__xludf.DUMMYFUNCTION("""COMPUTED_VALUE"""),20.75)</f>
        <v>20.75</v>
      </c>
    </row>
    <row r="6316">
      <c r="D6316" t="str">
        <f>IFERROR(__xludf.DUMMYFUNCTION("""COMPUTED_VALUE"""),"Pennel")</f>
        <v>Pennel</v>
      </c>
      <c r="E6316" t="str">
        <f>IFERROR(__xludf.DUMMYFUNCTION("""COMPUTED_VALUE"""),"Mike")</f>
        <v>Mike</v>
      </c>
      <c r="F6316">
        <f>IFERROR(__xludf.DUMMYFUNCTION("""COMPUTED_VALUE"""),17.25)</f>
        <v>17.25</v>
      </c>
    </row>
    <row r="6317">
      <c r="D6317" t="str">
        <f>IFERROR(__xludf.DUMMYFUNCTION("""COMPUTED_VALUE"""),"Penny")</f>
        <v>Penny</v>
      </c>
      <c r="E6317" t="str">
        <f>IFERROR(__xludf.DUMMYFUNCTION("""COMPUTED_VALUE"""),"Elijhaa")</f>
        <v>Elijhaa</v>
      </c>
      <c r="F6317">
        <f>IFERROR(__xludf.DUMMYFUNCTION("""COMPUTED_VALUE"""),16.5)</f>
        <v>16.5</v>
      </c>
    </row>
    <row r="6318">
      <c r="D6318" t="str">
        <f>IFERROR(__xludf.DUMMYFUNCTION("""COMPUTED_VALUE"""),"Penny")</f>
        <v>Penny</v>
      </c>
      <c r="E6318" t="str">
        <f>IFERROR(__xludf.DUMMYFUNCTION("""COMPUTED_VALUE"""),"Rashaad")</f>
        <v>Rashaad</v>
      </c>
      <c r="F6318">
        <f>IFERROR(__xludf.DUMMYFUNCTION("""COMPUTED_VALUE"""),18.75)</f>
        <v>18.75</v>
      </c>
    </row>
    <row r="6319">
      <c r="D6319" t="str">
        <f>IFERROR(__xludf.DUMMYFUNCTION("""COMPUTED_VALUE"""),"Peppers")</f>
        <v>Peppers</v>
      </c>
      <c r="E6319" t="str">
        <f>IFERROR(__xludf.DUMMYFUNCTION("""COMPUTED_VALUE"""),"Jabrill")</f>
        <v>Jabrill</v>
      </c>
      <c r="F6319">
        <f>IFERROR(__xludf.DUMMYFUNCTION("""COMPUTED_VALUE"""),19.0)</f>
        <v>19</v>
      </c>
    </row>
    <row r="6320">
      <c r="D6320" t="str">
        <f>IFERROR(__xludf.DUMMYFUNCTION("""COMPUTED_VALUE"""),"Peppers")</f>
        <v>Peppers</v>
      </c>
      <c r="E6320" t="str">
        <f>IFERROR(__xludf.DUMMYFUNCTION("""COMPUTED_VALUE"""),"Julius")</f>
        <v>Julius</v>
      </c>
      <c r="F6320">
        <f>IFERROR(__xludf.DUMMYFUNCTION("""COMPUTED_VALUE"""),20.0)</f>
        <v>20</v>
      </c>
    </row>
    <row r="6321">
      <c r="D6321" t="str">
        <f>IFERROR(__xludf.DUMMYFUNCTION("""COMPUTED_VALUE"""),"Perine")</f>
        <v>Perine</v>
      </c>
      <c r="E6321" t="str">
        <f>IFERROR(__xludf.DUMMYFUNCTION("""COMPUTED_VALUE"""),"Samaje")</f>
        <v>Samaje</v>
      </c>
      <c r="F6321">
        <f>IFERROR(__xludf.DUMMYFUNCTION("""COMPUTED_VALUE"""),18.5)</f>
        <v>18.5</v>
      </c>
    </row>
    <row r="6322">
      <c r="D6322" t="str">
        <f>IFERROR(__xludf.DUMMYFUNCTION("""COMPUTED_VALUE"""),"Perkins")</f>
        <v>Perkins</v>
      </c>
      <c r="E6322" t="str">
        <f>IFERROR(__xludf.DUMMYFUNCTION("""COMPUTED_VALUE"""),"Joshua")</f>
        <v>Joshua</v>
      </c>
      <c r="F6322">
        <f>IFERROR(__xludf.DUMMYFUNCTION("""COMPUTED_VALUE"""),15.75)</f>
        <v>15.75</v>
      </c>
    </row>
    <row r="6323">
      <c r="D6323" t="str">
        <f>IFERROR(__xludf.DUMMYFUNCTION("""COMPUTED_VALUE"""),"Perkins")</f>
        <v>Perkins</v>
      </c>
      <c r="E6323" t="str">
        <f>IFERROR(__xludf.DUMMYFUNCTION("""COMPUTED_VALUE"""),"Paul")</f>
        <v>Paul</v>
      </c>
      <c r="F6323">
        <f>IFERROR(__xludf.DUMMYFUNCTION("""COMPUTED_VALUE"""),18.0)</f>
        <v>18</v>
      </c>
    </row>
    <row r="6324">
      <c r="D6324" t="str">
        <f>IFERROR(__xludf.DUMMYFUNCTION("""COMPUTED_VALUE"""),"Perriman")</f>
        <v>Perriman</v>
      </c>
      <c r="E6324" t="str">
        <f>IFERROR(__xludf.DUMMYFUNCTION("""COMPUTED_VALUE"""),"Breshad")</f>
        <v>Breshad</v>
      </c>
      <c r="F6324">
        <f>IFERROR(__xludf.DUMMYFUNCTION("""COMPUTED_VALUE"""),18.5)</f>
        <v>18.5</v>
      </c>
    </row>
    <row r="6325">
      <c r="D6325" t="str">
        <f>IFERROR(__xludf.DUMMYFUNCTION("""COMPUTED_VALUE"""),"Perry")</f>
        <v>Perry</v>
      </c>
      <c r="E6325" t="str">
        <f>IFERROR(__xludf.DUMMYFUNCTION("""COMPUTED_VALUE"""),"Joshua")</f>
        <v>Joshua</v>
      </c>
      <c r="F6325">
        <f>IFERROR(__xludf.DUMMYFUNCTION("""COMPUTED_VALUE"""),18.25)</f>
        <v>18.25</v>
      </c>
    </row>
    <row r="6326">
      <c r="D6326" t="str">
        <f>IFERROR(__xludf.DUMMYFUNCTION("""COMPUTED_VALUE"""),"Perry")</f>
        <v>Perry</v>
      </c>
      <c r="E6326" t="str">
        <f>IFERROR(__xludf.DUMMYFUNCTION("""COMPUTED_VALUE"""),"Nick")</f>
        <v>Nick</v>
      </c>
      <c r="F6326">
        <f>IFERROR(__xludf.DUMMYFUNCTION("""COMPUTED_VALUE"""),20.0)</f>
        <v>20</v>
      </c>
    </row>
    <row r="6327">
      <c r="D6327" t="str">
        <f>IFERROR(__xludf.DUMMYFUNCTION("""COMPUTED_VALUE"""),"Perry")</f>
        <v>Perry</v>
      </c>
      <c r="E6327" t="str">
        <f>IFERROR(__xludf.DUMMYFUNCTION("""COMPUTED_VALUE"""),"Senorise")</f>
        <v>Senorise</v>
      </c>
      <c r="F6327">
        <f>IFERROR(__xludf.DUMMYFUNCTION("""COMPUTED_VALUE"""),16.0)</f>
        <v>16</v>
      </c>
    </row>
    <row r="6328">
      <c r="D6328" t="str">
        <f>IFERROR(__xludf.DUMMYFUNCTION("""COMPUTED_VALUE"""),"Perryman")</f>
        <v>Perryman</v>
      </c>
      <c r="E6328" t="str">
        <f>IFERROR(__xludf.DUMMYFUNCTION("""COMPUTED_VALUE"""),"Denzel")</f>
        <v>Denzel</v>
      </c>
      <c r="F6328">
        <f>IFERROR(__xludf.DUMMYFUNCTION("""COMPUTED_VALUE"""),19.75)</f>
        <v>19.75</v>
      </c>
    </row>
    <row r="6329">
      <c r="D6329" t="str">
        <f>IFERROR(__xludf.DUMMYFUNCTION("""COMPUTED_VALUE"""),"Peterman")</f>
        <v>Peterman</v>
      </c>
      <c r="E6329" t="str">
        <f>IFERROR(__xludf.DUMMYFUNCTION("""COMPUTED_VALUE"""),"Nathan")</f>
        <v>Nathan</v>
      </c>
      <c r="F6329">
        <f>IFERROR(__xludf.DUMMYFUNCTION("""COMPUTED_VALUE"""),18.0)</f>
        <v>18</v>
      </c>
    </row>
    <row r="6330">
      <c r="D6330" t="str">
        <f>IFERROR(__xludf.DUMMYFUNCTION("""COMPUTED_VALUE"""),"Peters")</f>
        <v>Peters</v>
      </c>
      <c r="E6330" t="str">
        <f>IFERROR(__xludf.DUMMYFUNCTION("""COMPUTED_VALUE"""),"Brian")</f>
        <v>Brian</v>
      </c>
      <c r="F6330">
        <f>IFERROR(__xludf.DUMMYFUNCTION("""COMPUTED_VALUE"""),16.25)</f>
        <v>16.25</v>
      </c>
    </row>
    <row r="6331">
      <c r="D6331" t="str">
        <f>IFERROR(__xludf.DUMMYFUNCTION("""COMPUTED_VALUE"""),"Peters")</f>
        <v>Peters</v>
      </c>
      <c r="E6331" t="str">
        <f>IFERROR(__xludf.DUMMYFUNCTION("""COMPUTED_VALUE"""),"Corey")</f>
        <v>Corey</v>
      </c>
      <c r="F6331">
        <f>IFERROR(__xludf.DUMMYFUNCTION("""COMPUTED_VALUE"""),19.75)</f>
        <v>19.75</v>
      </c>
    </row>
    <row r="6332">
      <c r="D6332" t="str">
        <f>IFERROR(__xludf.DUMMYFUNCTION("""COMPUTED_VALUE"""),"Peters")</f>
        <v>Peters</v>
      </c>
      <c r="E6332" t="str">
        <f>IFERROR(__xludf.DUMMYFUNCTION("""COMPUTED_VALUE"""),"Jason")</f>
        <v>Jason</v>
      </c>
      <c r="F6332">
        <f>IFERROR(__xludf.DUMMYFUNCTION("""COMPUTED_VALUE"""),21.25)</f>
        <v>21.25</v>
      </c>
    </row>
    <row r="6333">
      <c r="D6333" t="str">
        <f>IFERROR(__xludf.DUMMYFUNCTION("""COMPUTED_VALUE"""),"Peters")</f>
        <v>Peters</v>
      </c>
      <c r="E6333" t="str">
        <f>IFERROR(__xludf.DUMMYFUNCTION("""COMPUTED_VALUE"""),"Marcus")</f>
        <v>Marcus</v>
      </c>
      <c r="F6333">
        <f>IFERROR(__xludf.DUMMYFUNCTION("""COMPUTED_VALUE"""),21.25)</f>
        <v>21.25</v>
      </c>
    </row>
    <row r="6334">
      <c r="D6334" t="str">
        <f>IFERROR(__xludf.DUMMYFUNCTION("""COMPUTED_VALUE"""),"Peterson")</f>
        <v>Peterson</v>
      </c>
      <c r="E6334" t="str">
        <f>IFERROR(__xludf.DUMMYFUNCTION("""COMPUTED_VALUE"""),"Kevin")</f>
        <v>Kevin</v>
      </c>
      <c r="F6334">
        <f>IFERROR(__xludf.DUMMYFUNCTION("""COMPUTED_VALUE"""),16.0)</f>
        <v>16</v>
      </c>
    </row>
    <row r="6335">
      <c r="D6335" t="str">
        <f>IFERROR(__xludf.DUMMYFUNCTION("""COMPUTED_VALUE"""),"Peterson")</f>
        <v>Peterson</v>
      </c>
      <c r="E6335" t="str">
        <f>IFERROR(__xludf.DUMMYFUNCTION("""COMPUTED_VALUE"""),"Patrick")</f>
        <v>Patrick</v>
      </c>
      <c r="F6335">
        <f>IFERROR(__xludf.DUMMYFUNCTION("""COMPUTED_VALUE"""),22.0)</f>
        <v>22</v>
      </c>
    </row>
    <row r="6336">
      <c r="D6336" t="str">
        <f>IFERROR(__xludf.DUMMYFUNCTION("""COMPUTED_VALUE"""),"Pettis")</f>
        <v>Pettis</v>
      </c>
      <c r="E6336" t="str">
        <f>IFERROR(__xludf.DUMMYFUNCTION("""COMPUTED_VALUE"""),"Dante")</f>
        <v>Dante</v>
      </c>
      <c r="F6336">
        <f>IFERROR(__xludf.DUMMYFUNCTION("""COMPUTED_VALUE"""),19.0)</f>
        <v>19</v>
      </c>
    </row>
    <row r="6337">
      <c r="D6337" t="str">
        <f>IFERROR(__xludf.DUMMYFUNCTION("""COMPUTED_VALUE"""),"Petty")</f>
        <v>Petty</v>
      </c>
      <c r="E6337" t="str">
        <f>IFERROR(__xludf.DUMMYFUNCTION("""COMPUTED_VALUE"""),"Bryce")</f>
        <v>Bryce</v>
      </c>
      <c r="F6337">
        <f>IFERROR(__xludf.DUMMYFUNCTION("""COMPUTED_VALUE"""),18.0)</f>
        <v>18</v>
      </c>
    </row>
    <row r="6338">
      <c r="D6338" t="str">
        <f>IFERROR(__xludf.DUMMYFUNCTION("""COMPUTED_VALUE"""),"Phillips")</f>
        <v>Phillips</v>
      </c>
      <c r="E6338" t="str">
        <f>IFERROR(__xludf.DUMMYFUNCTION("""COMPUTED_VALUE"""),"Adrian")</f>
        <v>Adrian</v>
      </c>
      <c r="F6338">
        <f>IFERROR(__xludf.DUMMYFUNCTION("""COMPUTED_VALUE"""),18.25)</f>
        <v>18.25</v>
      </c>
    </row>
    <row r="6339">
      <c r="D6339" t="str">
        <f>IFERROR(__xludf.DUMMYFUNCTION("""COMPUTED_VALUE"""),"Phillips")</f>
        <v>Phillips</v>
      </c>
      <c r="E6339" t="str">
        <f>IFERROR(__xludf.DUMMYFUNCTION("""COMPUTED_VALUE"""),"Carroll")</f>
        <v>Carroll</v>
      </c>
      <c r="F6339">
        <f>IFERROR(__xludf.DUMMYFUNCTION("""COMPUTED_VALUE"""),15.5)</f>
        <v>15.5</v>
      </c>
    </row>
    <row r="6340">
      <c r="D6340" t="str">
        <f>IFERROR(__xludf.DUMMYFUNCTION("""COMPUTED_VALUE"""),"Phillips")</f>
        <v>Phillips</v>
      </c>
      <c r="E6340" t="str">
        <f>IFERROR(__xludf.DUMMYFUNCTION("""COMPUTED_VALUE"""),"Darius")</f>
        <v>Darius</v>
      </c>
      <c r="F6340">
        <f>IFERROR(__xludf.DUMMYFUNCTION("""COMPUTED_VALUE"""),16.75)</f>
        <v>16.75</v>
      </c>
    </row>
    <row r="6341">
      <c r="D6341" t="str">
        <f>IFERROR(__xludf.DUMMYFUNCTION("""COMPUTED_VALUE"""),"Phillips")</f>
        <v>Phillips</v>
      </c>
      <c r="E6341" t="str">
        <f>IFERROR(__xludf.DUMMYFUNCTION("""COMPUTED_VALUE"""),"Dashaun")</f>
        <v>Dashaun</v>
      </c>
      <c r="F6341">
        <f>IFERROR(__xludf.DUMMYFUNCTION("""COMPUTED_VALUE"""),16.25)</f>
        <v>16.25</v>
      </c>
    </row>
    <row r="6342">
      <c r="D6342" t="str">
        <f>IFERROR(__xludf.DUMMYFUNCTION("""COMPUTED_VALUE"""),"Phillips")</f>
        <v>Phillips</v>
      </c>
      <c r="E6342" t="str">
        <f>IFERROR(__xludf.DUMMYFUNCTION("""COMPUTED_VALUE"""),"Harrison")</f>
        <v>Harrison</v>
      </c>
      <c r="F6342">
        <f>IFERROR(__xludf.DUMMYFUNCTION("""COMPUTED_VALUE"""),18.0)</f>
        <v>18</v>
      </c>
    </row>
    <row r="6343">
      <c r="D6343" t="str">
        <f>IFERROR(__xludf.DUMMYFUNCTION("""COMPUTED_VALUE"""),"Phillips")</f>
        <v>Phillips</v>
      </c>
      <c r="E6343" t="str">
        <f>IFERROR(__xludf.DUMMYFUNCTION("""COMPUTED_VALUE"""),"Jordan")</f>
        <v>Jordan</v>
      </c>
      <c r="F6343">
        <f>IFERROR(__xludf.DUMMYFUNCTION("""COMPUTED_VALUE"""),18.25)</f>
        <v>18.25</v>
      </c>
    </row>
    <row r="6344">
      <c r="D6344" t="str">
        <f>IFERROR(__xludf.DUMMYFUNCTION("""COMPUTED_VALUE"""),"Philon")</f>
        <v>Philon</v>
      </c>
      <c r="E6344" t="str">
        <f>IFERROR(__xludf.DUMMYFUNCTION("""COMPUTED_VALUE"""),"Darius")</f>
        <v>Darius</v>
      </c>
      <c r="F6344">
        <f>IFERROR(__xludf.DUMMYFUNCTION("""COMPUTED_VALUE"""),17.5)</f>
        <v>17.5</v>
      </c>
    </row>
    <row r="6345">
      <c r="D6345" t="str">
        <f>IFERROR(__xludf.DUMMYFUNCTION("""COMPUTED_VALUE"""),"Pierce")</f>
        <v>Pierce</v>
      </c>
      <c r="E6345" t="str">
        <f>IFERROR(__xludf.DUMMYFUNCTION("""COMPUTED_VALUE"""),"Michael")</f>
        <v>Michael</v>
      </c>
      <c r="F6345">
        <f>IFERROR(__xludf.DUMMYFUNCTION("""COMPUTED_VALUE"""),20.25)</f>
        <v>20.25</v>
      </c>
    </row>
    <row r="6346">
      <c r="D6346" t="str">
        <f>IFERROR(__xludf.DUMMYFUNCTION("""COMPUTED_VALUE"""),"Pierre")</f>
        <v>Pierre</v>
      </c>
      <c r="E6346" t="str">
        <f>IFERROR(__xludf.DUMMYFUNCTION("""COMPUTED_VALUE"""),"Olsen")</f>
        <v>Olsen</v>
      </c>
      <c r="F6346">
        <f>IFERROR(__xludf.DUMMYFUNCTION("""COMPUTED_VALUE"""),17.75)</f>
        <v>17.75</v>
      </c>
    </row>
    <row r="6347">
      <c r="D6347" t="str">
        <f>IFERROR(__xludf.DUMMYFUNCTION("""COMPUTED_VALUE"""),"Pierre-Louis")</f>
        <v>Pierre-Louis</v>
      </c>
      <c r="E6347" t="str">
        <f>IFERROR(__xludf.DUMMYFUNCTION("""COMPUTED_VALUE"""),"Kevin")</f>
        <v>Kevin</v>
      </c>
      <c r="F6347">
        <f>IFERROR(__xludf.DUMMYFUNCTION("""COMPUTED_VALUE"""),18.5)</f>
        <v>18.5</v>
      </c>
    </row>
    <row r="6348">
      <c r="D6348" t="str">
        <f>IFERROR(__xludf.DUMMYFUNCTION("""COMPUTED_VALUE"""),"Pierre-Paul")</f>
        <v>Pierre-Paul</v>
      </c>
      <c r="E6348" t="str">
        <f>IFERROR(__xludf.DUMMYFUNCTION("""COMPUTED_VALUE"""),"Jason")</f>
        <v>Jason</v>
      </c>
      <c r="F6348">
        <f>IFERROR(__xludf.DUMMYFUNCTION("""COMPUTED_VALUE"""),19.5)</f>
        <v>19.5</v>
      </c>
    </row>
    <row r="6349">
      <c r="D6349" t="str">
        <f>IFERROR(__xludf.DUMMYFUNCTION("""COMPUTED_VALUE"""),"Pinion")</f>
        <v>Pinion</v>
      </c>
      <c r="E6349" t="str">
        <f>IFERROR(__xludf.DUMMYFUNCTION("""COMPUTED_VALUE"""),"Bradley")</f>
        <v>Bradley</v>
      </c>
      <c r="F6349">
        <f>IFERROR(__xludf.DUMMYFUNCTION("""COMPUTED_VALUE"""),20.0)</f>
        <v>20</v>
      </c>
    </row>
    <row r="6350">
      <c r="D6350" t="str">
        <f>IFERROR(__xludf.DUMMYFUNCTION("""COMPUTED_VALUE"""),"Pipkins")</f>
        <v>Pipkins</v>
      </c>
      <c r="E6350" t="str">
        <f>IFERROR(__xludf.DUMMYFUNCTION("""COMPUTED_VALUE"""),"Lenzy")</f>
        <v>Lenzy</v>
      </c>
      <c r="F6350">
        <f>IFERROR(__xludf.DUMMYFUNCTION("""COMPUTED_VALUE"""),17.75)</f>
        <v>17.75</v>
      </c>
    </row>
    <row r="6351">
      <c r="D6351" t="str">
        <f>IFERROR(__xludf.DUMMYFUNCTION("""COMPUTED_VALUE"""),"Pitts")</f>
        <v>Pitts</v>
      </c>
      <c r="E6351" t="str">
        <f>IFERROR(__xludf.DUMMYFUNCTION("""COMPUTED_VALUE"""),"Lafayette")</f>
        <v>Lafayette</v>
      </c>
      <c r="F6351">
        <f>IFERROR(__xludf.DUMMYFUNCTION("""COMPUTED_VALUE"""),16.5)</f>
        <v>16.5</v>
      </c>
    </row>
    <row r="6352">
      <c r="D6352" t="str">
        <f>IFERROR(__xludf.DUMMYFUNCTION("""COMPUTED_VALUE"""),"Pleasant")</f>
        <v>Pleasant</v>
      </c>
      <c r="E6352" t="str">
        <f>IFERROR(__xludf.DUMMYFUNCTION("""COMPUTED_VALUE"""),"Eddie")</f>
        <v>Eddie</v>
      </c>
      <c r="F6352">
        <f>IFERROR(__xludf.DUMMYFUNCTION("""COMPUTED_VALUE"""),15.0)</f>
        <v>15</v>
      </c>
    </row>
    <row r="6353">
      <c r="D6353" t="str">
        <f>IFERROR(__xludf.DUMMYFUNCTION("""COMPUTED_VALUE"""),"Pocic")</f>
        <v>Pocic</v>
      </c>
      <c r="E6353" t="str">
        <f>IFERROR(__xludf.DUMMYFUNCTION("""COMPUTED_VALUE"""),"Ethan")</f>
        <v>Ethan</v>
      </c>
      <c r="F6353">
        <f>IFERROR(__xludf.DUMMYFUNCTION("""COMPUTED_VALUE"""),17.5)</f>
        <v>17.5</v>
      </c>
    </row>
    <row r="6354">
      <c r="D6354" t="str">
        <f>IFERROR(__xludf.DUMMYFUNCTION("""COMPUTED_VALUE"""),"Poe")</f>
        <v>Poe</v>
      </c>
      <c r="E6354" t="str">
        <f>IFERROR(__xludf.DUMMYFUNCTION("""COMPUTED_VALUE"""),"Dontari")</f>
        <v>Dontari</v>
      </c>
      <c r="F6354">
        <f>IFERROR(__xludf.DUMMYFUNCTION("""COMPUTED_VALUE"""),20.5)</f>
        <v>20.5</v>
      </c>
    </row>
    <row r="6355">
      <c r="D6355" t="str">
        <f>IFERROR(__xludf.DUMMYFUNCTION("""COMPUTED_VALUE"""),"Poe")</f>
        <v>Poe</v>
      </c>
      <c r="E6355" t="str">
        <f>IFERROR(__xludf.DUMMYFUNCTION("""COMPUTED_VALUE"""),"Dontari")</f>
        <v>Dontari</v>
      </c>
      <c r="F6355">
        <f>IFERROR(__xludf.DUMMYFUNCTION("""COMPUTED_VALUE"""),21.75)</f>
        <v>21.75</v>
      </c>
    </row>
    <row r="6356">
      <c r="D6356" t="str">
        <f>IFERROR(__xludf.DUMMYFUNCTION("""COMPUTED_VALUE"""),"Poehls")</f>
        <v>Poehls</v>
      </c>
      <c r="E6356" t="str">
        <f>IFERROR(__xludf.DUMMYFUNCTION("""COMPUTED_VALUE"""),"William")</f>
        <v>William</v>
      </c>
      <c r="F6356">
        <f>IFERROR(__xludf.DUMMYFUNCTION("""COMPUTED_VALUE"""),17.75)</f>
        <v>17.75</v>
      </c>
    </row>
    <row r="6357">
      <c r="D6357" t="str">
        <f>IFERROR(__xludf.DUMMYFUNCTION("""COMPUTED_VALUE"""),"Poling")</f>
        <v>Poling</v>
      </c>
      <c r="E6357" t="str">
        <f>IFERROR(__xludf.DUMMYFUNCTION("""COMPUTED_VALUE"""),"Quentin")</f>
        <v>Quentin</v>
      </c>
      <c r="F6357">
        <f>IFERROR(__xludf.DUMMYFUNCTION("""COMPUTED_VALUE"""),16.0)</f>
        <v>16</v>
      </c>
    </row>
    <row r="6358">
      <c r="D6358" t="str">
        <f>IFERROR(__xludf.DUMMYFUNCTION("""COMPUTED_VALUE"""),"Poole")</f>
        <v>Poole</v>
      </c>
      <c r="E6358" t="str">
        <f>IFERROR(__xludf.DUMMYFUNCTION("""COMPUTED_VALUE"""),"Brian")</f>
        <v>Brian</v>
      </c>
      <c r="F6358">
        <f>IFERROR(__xludf.DUMMYFUNCTION("""COMPUTED_VALUE"""),19.75)</f>
        <v>19.75</v>
      </c>
    </row>
    <row r="6359">
      <c r="D6359" t="str">
        <f>IFERROR(__xludf.DUMMYFUNCTION("""COMPUTED_VALUE"""),"Pouncey")</f>
        <v>Pouncey</v>
      </c>
      <c r="E6359" t="str">
        <f>IFERROR(__xludf.DUMMYFUNCTION("""COMPUTED_VALUE"""),"Maurkice")</f>
        <v>Maurkice</v>
      </c>
      <c r="F6359">
        <f>IFERROR(__xludf.DUMMYFUNCTION("""COMPUTED_VALUE"""),20.25)</f>
        <v>20.25</v>
      </c>
    </row>
    <row r="6360">
      <c r="D6360" t="str">
        <f>IFERROR(__xludf.DUMMYFUNCTION("""COMPUTED_VALUE"""),"Pouncey")</f>
        <v>Pouncey</v>
      </c>
      <c r="E6360" t="str">
        <f>IFERROR(__xludf.DUMMYFUNCTION("""COMPUTED_VALUE"""),"Mike")</f>
        <v>Mike</v>
      </c>
      <c r="F6360">
        <f>IFERROR(__xludf.DUMMYFUNCTION("""COMPUTED_VALUE"""),19.5)</f>
        <v>19.5</v>
      </c>
    </row>
    <row r="6361">
      <c r="D6361" t="str">
        <f>IFERROR(__xludf.DUMMYFUNCTION("""COMPUTED_VALUE"""),"Poutasi")</f>
        <v>Poutasi</v>
      </c>
      <c r="E6361" t="str">
        <f>IFERROR(__xludf.DUMMYFUNCTION("""COMPUTED_VALUE"""),"Jeremiah")</f>
        <v>Jeremiah</v>
      </c>
      <c r="F6361">
        <f>IFERROR(__xludf.DUMMYFUNCTION("""COMPUTED_VALUE"""),17.75)</f>
        <v>17.75</v>
      </c>
    </row>
    <row r="6362">
      <c r="D6362" t="str">
        <f>IFERROR(__xludf.DUMMYFUNCTION("""COMPUTED_VALUE"""),"Powell")</f>
        <v>Powell</v>
      </c>
      <c r="E6362" t="str">
        <f>IFERROR(__xludf.DUMMYFUNCTION("""COMPUTED_VALUE"""),"Bilal")</f>
        <v>Bilal</v>
      </c>
      <c r="F6362">
        <f>IFERROR(__xludf.DUMMYFUNCTION("""COMPUTED_VALUE"""),19.75)</f>
        <v>19.75</v>
      </c>
    </row>
    <row r="6363">
      <c r="D6363" t="str">
        <f>IFERROR(__xludf.DUMMYFUNCTION("""COMPUTED_VALUE"""),"Powell")</f>
        <v>Powell</v>
      </c>
      <c r="E6363" t="str">
        <f>IFERROR(__xludf.DUMMYFUNCTION("""COMPUTED_VALUE"""),"Tyvis")</f>
        <v>Tyvis</v>
      </c>
      <c r="F6363">
        <f>IFERROR(__xludf.DUMMYFUNCTION("""COMPUTED_VALUE"""),17.5)</f>
        <v>17.5</v>
      </c>
    </row>
    <row r="6364">
      <c r="D6364" t="str">
        <f>IFERROR(__xludf.DUMMYFUNCTION("""COMPUTED_VALUE"""),"Poyer")</f>
        <v>Poyer</v>
      </c>
      <c r="E6364" t="str">
        <f>IFERROR(__xludf.DUMMYFUNCTION("""COMPUTED_VALUE"""),"Jordan")</f>
        <v>Jordan</v>
      </c>
      <c r="F6364">
        <f>IFERROR(__xludf.DUMMYFUNCTION("""COMPUTED_VALUE"""),20.75)</f>
        <v>20.75</v>
      </c>
    </row>
    <row r="6365">
      <c r="D6365" t="str">
        <f>IFERROR(__xludf.DUMMYFUNCTION("""COMPUTED_VALUE"""),"Prater")</f>
        <v>Prater</v>
      </c>
      <c r="E6365" t="str">
        <f>IFERROR(__xludf.DUMMYFUNCTION("""COMPUTED_VALUE"""),"Matt")</f>
        <v>Matt</v>
      </c>
      <c r="F6365">
        <f>IFERROR(__xludf.DUMMYFUNCTION("""COMPUTED_VALUE"""),21.25)</f>
        <v>21.25</v>
      </c>
    </row>
    <row r="6366">
      <c r="D6366" t="str">
        <f>IFERROR(__xludf.DUMMYFUNCTION("""COMPUTED_VALUE"""),"Prescott")</f>
        <v>Prescott</v>
      </c>
      <c r="E6366" t="str">
        <f>IFERROR(__xludf.DUMMYFUNCTION("""COMPUTED_VALUE"""),"Dak")</f>
        <v>Dak</v>
      </c>
      <c r="F6366">
        <f>IFERROR(__xludf.DUMMYFUNCTION("""COMPUTED_VALUE"""),20.25)</f>
        <v>20.25</v>
      </c>
    </row>
    <row r="6367">
      <c r="D6367" t="str">
        <f>IFERROR(__xludf.DUMMYFUNCTION("""COMPUTED_VALUE"""),"President")</f>
        <v>President</v>
      </c>
      <c r="E6367" t="str">
        <f>IFERROR(__xludf.DUMMYFUNCTION("""COMPUTED_VALUE"""),"Gimel")</f>
        <v>Gimel</v>
      </c>
      <c r="F6367">
        <f>IFERROR(__xludf.DUMMYFUNCTION("""COMPUTED_VALUE"""),16.0)</f>
        <v>16</v>
      </c>
    </row>
    <row r="6368">
      <c r="D6368" t="str">
        <f>IFERROR(__xludf.DUMMYFUNCTION("""COMPUTED_VALUE"""),"Price")</f>
        <v>Price</v>
      </c>
      <c r="E6368" t="str">
        <f>IFERROR(__xludf.DUMMYFUNCTION("""COMPUTED_VALUE"""),"Billy")</f>
        <v>Billy</v>
      </c>
      <c r="F6368">
        <f>IFERROR(__xludf.DUMMYFUNCTION("""COMPUTED_VALUE"""),19.0)</f>
        <v>19</v>
      </c>
    </row>
    <row r="6369">
      <c r="D6369" t="str">
        <f>IFERROR(__xludf.DUMMYFUNCTION("""COMPUTED_VALUE"""),"Price")</f>
        <v>Price</v>
      </c>
      <c r="E6369" t="str">
        <f>IFERROR(__xludf.DUMMYFUNCTION("""COMPUTED_VALUE"""),"Brian")</f>
        <v>Brian</v>
      </c>
      <c r="F6369">
        <f>IFERROR(__xludf.DUMMYFUNCTION("""COMPUTED_VALUE"""),16.0)</f>
        <v>16</v>
      </c>
    </row>
    <row r="6370">
      <c r="D6370" t="str">
        <f>IFERROR(__xludf.DUMMYFUNCTION("""COMPUTED_VALUE"""),"Price")</f>
        <v>Price</v>
      </c>
      <c r="E6370" t="str">
        <f>IFERROR(__xludf.DUMMYFUNCTION("""COMPUTED_VALUE"""),"Ejuan")</f>
        <v>Ejuan</v>
      </c>
      <c r="F6370">
        <f>IFERROR(__xludf.DUMMYFUNCTION("""COMPUTED_VALUE"""),16.25)</f>
        <v>16.25</v>
      </c>
    </row>
    <row r="6371">
      <c r="D6371" t="str">
        <f>IFERROR(__xludf.DUMMYFUNCTION("""COMPUTED_VALUE"""),"Price")</f>
        <v>Price</v>
      </c>
      <c r="E6371" t="str">
        <f>IFERROR(__xludf.DUMMYFUNCTION("""COMPUTED_VALUE"""),"Givens")</f>
        <v>Givens</v>
      </c>
      <c r="F6371">
        <f>IFERROR(__xludf.DUMMYFUNCTION("""COMPUTED_VALUE"""),15.5)</f>
        <v>15.5</v>
      </c>
    </row>
    <row r="6372">
      <c r="D6372" t="str">
        <f>IFERROR(__xludf.DUMMYFUNCTION("""COMPUTED_VALUE"""),"Proehl")</f>
        <v>Proehl</v>
      </c>
      <c r="E6372" t="str">
        <f>IFERROR(__xludf.DUMMYFUNCTION("""COMPUTED_VALUE"""),"Austin")</f>
        <v>Austin</v>
      </c>
      <c r="F6372">
        <f>IFERROR(__xludf.DUMMYFUNCTION("""COMPUTED_VALUE"""),16.75)</f>
        <v>16.75</v>
      </c>
    </row>
    <row r="6373">
      <c r="D6373" t="str">
        <f>IFERROR(__xludf.DUMMYFUNCTION("""COMPUTED_VALUE"""),"Prosch")</f>
        <v>Prosch</v>
      </c>
      <c r="E6373" t="str">
        <f>IFERROR(__xludf.DUMMYFUNCTION("""COMPUTED_VALUE"""),"Jay")</f>
        <v>Jay</v>
      </c>
      <c r="F6373">
        <f>IFERROR(__xludf.DUMMYFUNCTION("""COMPUTED_VALUE"""),18.5)</f>
        <v>18.5</v>
      </c>
    </row>
    <row r="6374">
      <c r="D6374" t="str">
        <f>IFERROR(__xludf.DUMMYFUNCTION("""COMPUTED_VALUE"""),"Prosise")</f>
        <v>Prosise</v>
      </c>
      <c r="E6374" t="str">
        <f>IFERROR(__xludf.DUMMYFUNCTION("""COMPUTED_VALUE"""),"CJ")</f>
        <v>CJ</v>
      </c>
      <c r="F6374">
        <f>IFERROR(__xludf.DUMMYFUNCTION("""COMPUTED_VALUE"""),18.5)</f>
        <v>18.5</v>
      </c>
    </row>
    <row r="6375">
      <c r="D6375" t="str">
        <f>IFERROR(__xludf.DUMMYFUNCTION("""COMPUTED_VALUE"""),"Pruitt")</f>
        <v>Pruitt</v>
      </c>
      <c r="E6375" t="str">
        <f>IFERROR(__xludf.DUMMYFUNCTION("""COMPUTED_VALUE"""),"MyCole")</f>
        <v>MyCole</v>
      </c>
      <c r="F6375">
        <f>IFERROR(__xludf.DUMMYFUNCTION("""COMPUTED_VALUE"""),16.75)</f>
        <v>16.75</v>
      </c>
    </row>
    <row r="6376">
      <c r="D6376" t="str">
        <f>IFERROR(__xludf.DUMMYFUNCTION("""COMPUTED_VALUE"""),"Pryor")</f>
        <v>Pryor</v>
      </c>
      <c r="E6376" t="str">
        <f>IFERROR(__xludf.DUMMYFUNCTION("""COMPUTED_VALUE"""),"Matt")</f>
        <v>Matt</v>
      </c>
      <c r="F6376">
        <f>IFERROR(__xludf.DUMMYFUNCTION("""COMPUTED_VALUE"""),17.75)</f>
        <v>17.75</v>
      </c>
    </row>
    <row r="6377">
      <c r="D6377" t="str">
        <f>IFERROR(__xludf.DUMMYFUNCTION("""COMPUTED_VALUE"""),"Pryor Sr")</f>
        <v>Pryor Sr</v>
      </c>
      <c r="E6377" t="str">
        <f>IFERROR(__xludf.DUMMYFUNCTION("""COMPUTED_VALUE"""),"Terrelle")</f>
        <v>Terrelle</v>
      </c>
      <c r="F6377">
        <f>IFERROR(__xludf.DUMMYFUNCTION("""COMPUTED_VALUE"""),18.75)</f>
        <v>18.75</v>
      </c>
    </row>
    <row r="6378">
      <c r="D6378" t="str">
        <f>IFERROR(__xludf.DUMMYFUNCTION("""COMPUTED_VALUE"""),"Pugh")</f>
        <v>Pugh</v>
      </c>
      <c r="E6378" t="str">
        <f>IFERROR(__xludf.DUMMYFUNCTION("""COMPUTED_VALUE"""),"Justin")</f>
        <v>Justin</v>
      </c>
      <c r="F6378">
        <f>IFERROR(__xludf.DUMMYFUNCTION("""COMPUTED_VALUE"""),20.0)</f>
        <v>20</v>
      </c>
    </row>
    <row r="6379">
      <c r="D6379" t="str">
        <f>IFERROR(__xludf.DUMMYFUNCTION("""COMPUTED_VALUE"""),"Pullard III")</f>
        <v>Pullard III</v>
      </c>
      <c r="E6379" t="str">
        <f>IFERROR(__xludf.DUMMYFUNCTION("""COMPUTED_VALUE"""),"Hayes")</f>
        <v>Hayes</v>
      </c>
      <c r="F6379">
        <f>IFERROR(__xludf.DUMMYFUNCTION("""COMPUTED_VALUE"""),17.75)</f>
        <v>17.75</v>
      </c>
    </row>
    <row r="6380">
      <c r="D6380" t="str">
        <f>IFERROR(__xludf.DUMMYFUNCTION("""COMPUTED_VALUE"""),"Pulley")</f>
        <v>Pulley</v>
      </c>
      <c r="E6380" t="str">
        <f>IFERROR(__xludf.DUMMYFUNCTION("""COMPUTED_VALUE"""),"Spencer")</f>
        <v>Spencer</v>
      </c>
      <c r="F6380">
        <f>IFERROR(__xludf.DUMMYFUNCTION("""COMPUTED_VALUE"""),17.75)</f>
        <v>17.75</v>
      </c>
    </row>
    <row r="6381">
      <c r="D6381" t="str">
        <f>IFERROR(__xludf.DUMMYFUNCTION("""COMPUTED_VALUE"""),"Pumphrey Jr")</f>
        <v>Pumphrey Jr</v>
      </c>
      <c r="E6381" t="str">
        <f>IFERROR(__xludf.DUMMYFUNCTION("""COMPUTED_VALUE"""),"Donnel")</f>
        <v>Donnel</v>
      </c>
      <c r="F6381">
        <f>IFERROR(__xludf.DUMMYFUNCTION("""COMPUTED_VALUE"""),17.75)</f>
        <v>17.75</v>
      </c>
    </row>
    <row r="6382">
      <c r="D6382" t="str">
        <f>IFERROR(__xludf.DUMMYFUNCTION("""COMPUTED_VALUE"""),"Qualls")</f>
        <v>Qualls</v>
      </c>
      <c r="E6382" t="str">
        <f>IFERROR(__xludf.DUMMYFUNCTION("""COMPUTED_VALUE"""),"Elijah")</f>
        <v>Elijah</v>
      </c>
      <c r="F6382">
        <f>IFERROR(__xludf.DUMMYFUNCTION("""COMPUTED_VALUE"""),17.5)</f>
        <v>17.5</v>
      </c>
    </row>
    <row r="6383">
      <c r="D6383" t="str">
        <f>IFERROR(__xludf.DUMMYFUNCTION("""COMPUTED_VALUE"""),"Quessenberry")</f>
        <v>Quessenberry</v>
      </c>
      <c r="E6383" t="str">
        <f>IFERROR(__xludf.DUMMYFUNCTION("""COMPUTED_VALUE"""),"David")</f>
        <v>David</v>
      </c>
      <c r="F6383">
        <f>IFERROR(__xludf.DUMMYFUNCTION("""COMPUTED_VALUE"""),18.0)</f>
        <v>18</v>
      </c>
    </row>
    <row r="6384">
      <c r="D6384" t="str">
        <f>IFERROR(__xludf.DUMMYFUNCTION("""COMPUTED_VALUE"""),"Quessenberry")</f>
        <v>Quessenberry</v>
      </c>
      <c r="E6384" t="str">
        <f>IFERROR(__xludf.DUMMYFUNCTION("""COMPUTED_VALUE"""),"Scott")</f>
        <v>Scott</v>
      </c>
      <c r="F6384">
        <f>IFERROR(__xludf.DUMMYFUNCTION("""COMPUTED_VALUE"""),17.5)</f>
        <v>17.5</v>
      </c>
    </row>
    <row r="6385">
      <c r="D6385" t="str">
        <f>IFERROR(__xludf.DUMMYFUNCTION("""COMPUTED_VALUE"""),"Quick")</f>
        <v>Quick</v>
      </c>
      <c r="E6385" t="str">
        <f>IFERROR(__xludf.DUMMYFUNCTION("""COMPUTED_VALUE"""),"Brian")</f>
        <v>Brian</v>
      </c>
      <c r="F6385">
        <f>IFERROR(__xludf.DUMMYFUNCTION("""COMPUTED_VALUE"""),18.25)</f>
        <v>18.25</v>
      </c>
    </row>
    <row r="6386">
      <c r="D6386" t="str">
        <f>IFERROR(__xludf.DUMMYFUNCTION("""COMPUTED_VALUE"""),"Quigley")</f>
        <v>Quigley</v>
      </c>
      <c r="E6386" t="str">
        <f>IFERROR(__xludf.DUMMYFUNCTION("""COMPUTED_VALUE"""),"Ryan")</f>
        <v>Ryan</v>
      </c>
      <c r="F6386">
        <f>IFERROR(__xludf.DUMMYFUNCTION("""COMPUTED_VALUE"""),19.75)</f>
        <v>19.75</v>
      </c>
    </row>
    <row r="6387">
      <c r="D6387" t="str">
        <f>IFERROR(__xludf.DUMMYFUNCTION("""COMPUTED_VALUE"""),"Quin")</f>
        <v>Quin</v>
      </c>
      <c r="E6387" t="str">
        <f>IFERROR(__xludf.DUMMYFUNCTION("""COMPUTED_VALUE"""),"Glover")</f>
        <v>Glover</v>
      </c>
      <c r="F6387">
        <f>IFERROR(__xludf.DUMMYFUNCTION("""COMPUTED_VALUE"""),20.75)</f>
        <v>20.75</v>
      </c>
    </row>
    <row r="6388">
      <c r="D6388" t="str">
        <f>IFERROR(__xludf.DUMMYFUNCTION("""COMPUTED_VALUE"""),"Quinn")</f>
        <v>Quinn</v>
      </c>
      <c r="E6388" t="str">
        <f>IFERROR(__xludf.DUMMYFUNCTION("""COMPUTED_VALUE"""),"Robert")</f>
        <v>Robert</v>
      </c>
      <c r="F6388">
        <f>IFERROR(__xludf.DUMMYFUNCTION("""COMPUTED_VALUE"""),19.25)</f>
        <v>19.25</v>
      </c>
    </row>
    <row r="6389">
      <c r="D6389" t="str">
        <f>IFERROR(__xludf.DUMMYFUNCTION("""COMPUTED_VALUE"""),"Quinn")</f>
        <v>Quinn</v>
      </c>
      <c r="E6389" t="str">
        <f>IFERROR(__xludf.DUMMYFUNCTION("""COMPUTED_VALUE"""),"Trey")</f>
        <v>Trey</v>
      </c>
      <c r="F6389">
        <f>IFERROR(__xludf.DUMMYFUNCTION("""COMPUTED_VALUE"""),17.5)</f>
        <v>17.5</v>
      </c>
    </row>
    <row r="6390">
      <c r="D6390" t="str">
        <f>IFERROR(__xludf.DUMMYFUNCTION("""COMPUTED_VALUE"""),"Qvale")</f>
        <v>Qvale</v>
      </c>
      <c r="E6390" t="str">
        <f>IFERROR(__xludf.DUMMYFUNCTION("""COMPUTED_VALUE"""),"Brent")</f>
        <v>Brent</v>
      </c>
      <c r="F6390">
        <f>IFERROR(__xludf.DUMMYFUNCTION("""COMPUTED_VALUE"""),16.25)</f>
        <v>16.25</v>
      </c>
    </row>
    <row r="6391">
      <c r="D6391" t="str">
        <f>IFERROR(__xludf.DUMMYFUNCTION("""COMPUTED_VALUE"""),"Ragland")</f>
        <v>Ragland</v>
      </c>
      <c r="E6391" t="str">
        <f>IFERROR(__xludf.DUMMYFUNCTION("""COMPUTED_VALUE"""),"Reggie")</f>
        <v>Reggie</v>
      </c>
      <c r="F6391">
        <f>IFERROR(__xludf.DUMMYFUNCTION("""COMPUTED_VALUE"""),19.5)</f>
        <v>19.5</v>
      </c>
    </row>
    <row r="6392">
      <c r="D6392" t="str">
        <f>IFERROR(__xludf.DUMMYFUNCTION("""COMPUTED_VALUE"""),"Ragnow")</f>
        <v>Ragnow</v>
      </c>
      <c r="E6392" t="str">
        <f>IFERROR(__xludf.DUMMYFUNCTION("""COMPUTED_VALUE"""),"Frank")</f>
        <v>Frank</v>
      </c>
      <c r="F6392">
        <f>IFERROR(__xludf.DUMMYFUNCTION("""COMPUTED_VALUE"""),19.5)</f>
        <v>19.5</v>
      </c>
    </row>
    <row r="6393">
      <c r="D6393" t="str">
        <f>IFERROR(__xludf.DUMMYFUNCTION("""COMPUTED_VALUE"""),"Ramczyk")</f>
        <v>Ramczyk</v>
      </c>
      <c r="E6393" t="str">
        <f>IFERROR(__xludf.DUMMYFUNCTION("""COMPUTED_VALUE"""),"Ryan")</f>
        <v>Ryan</v>
      </c>
      <c r="F6393">
        <f>IFERROR(__xludf.DUMMYFUNCTION("""COMPUTED_VALUE"""),21.25)</f>
        <v>21.25</v>
      </c>
    </row>
    <row r="6394">
      <c r="D6394" t="str">
        <f>IFERROR(__xludf.DUMMYFUNCTION("""COMPUTED_VALUE"""),"Randall")</f>
        <v>Randall</v>
      </c>
      <c r="E6394" t="str">
        <f>IFERROR(__xludf.DUMMYFUNCTION("""COMPUTED_VALUE"""),"Damarious")</f>
        <v>Damarious</v>
      </c>
      <c r="F6394">
        <f>IFERROR(__xludf.DUMMYFUNCTION("""COMPUTED_VALUE"""),19.5)</f>
        <v>19.5</v>
      </c>
    </row>
    <row r="6395">
      <c r="D6395" t="str">
        <f>IFERROR(__xludf.DUMMYFUNCTION("""COMPUTED_VALUE"""),"Rankin")</f>
        <v>Rankin</v>
      </c>
      <c r="E6395" t="str">
        <f>IFERROR(__xludf.DUMMYFUNCTION("""COMPUTED_VALUE"""),"Martinas")</f>
        <v>Martinas</v>
      </c>
      <c r="F6395">
        <f>IFERROR(__xludf.DUMMYFUNCTION("""COMPUTED_VALUE"""),17.5)</f>
        <v>17.5</v>
      </c>
    </row>
    <row r="6396">
      <c r="D6396" t="str">
        <f>IFERROR(__xludf.DUMMYFUNCTION("""COMPUTED_VALUE"""),"Rankins")</f>
        <v>Rankins</v>
      </c>
      <c r="E6396" t="str">
        <f>IFERROR(__xludf.DUMMYFUNCTION("""COMPUTED_VALUE"""),"Sheldon")</f>
        <v>Sheldon</v>
      </c>
      <c r="F6396">
        <f>IFERROR(__xludf.DUMMYFUNCTION("""COMPUTED_VALUE"""),19.5)</f>
        <v>19.5</v>
      </c>
    </row>
    <row r="6397">
      <c r="D6397" t="str">
        <f>IFERROR(__xludf.DUMMYFUNCTION("""COMPUTED_VALUE"""),"Ratley")</f>
        <v>Ratley</v>
      </c>
      <c r="E6397" t="str">
        <f>IFERROR(__xludf.DUMMYFUNCTION("""COMPUTED_VALUE"""),"Damion")</f>
        <v>Damion</v>
      </c>
      <c r="F6397">
        <f>IFERROR(__xludf.DUMMYFUNCTION("""COMPUTED_VALUE"""),16.75)</f>
        <v>16.75</v>
      </c>
    </row>
    <row r="6398">
      <c r="D6398" t="str">
        <f>IFERROR(__xludf.DUMMYFUNCTION("""COMPUTED_VALUE"""),"Rawls")</f>
        <v>Rawls</v>
      </c>
      <c r="E6398" t="str">
        <f>IFERROR(__xludf.DUMMYFUNCTION("""COMPUTED_VALUE"""),"Thomas")</f>
        <v>Thomas</v>
      </c>
      <c r="F6398">
        <f>IFERROR(__xludf.DUMMYFUNCTION("""COMPUTED_VALUE"""),18.5)</f>
        <v>18.5</v>
      </c>
    </row>
    <row r="6399">
      <c r="D6399" t="str">
        <f>IFERROR(__xludf.DUMMYFUNCTION("""COMPUTED_VALUE"""),"Ray")</f>
        <v>Ray</v>
      </c>
      <c r="E6399" t="str">
        <f>IFERROR(__xludf.DUMMYFUNCTION("""COMPUTED_VALUE"""),"Shane")</f>
        <v>Shane</v>
      </c>
      <c r="F6399">
        <f>IFERROR(__xludf.DUMMYFUNCTION("""COMPUTED_VALUE"""),18.5)</f>
        <v>18.5</v>
      </c>
    </row>
    <row r="6400">
      <c r="D6400" t="str">
        <f>IFERROR(__xludf.DUMMYFUNCTION("""COMPUTED_VALUE"""),"Raymond")</f>
        <v>Raymond</v>
      </c>
      <c r="E6400" t="str">
        <f>IFERROR(__xludf.DUMMYFUNCTION("""COMPUTED_VALUE"""),"Kalif")</f>
        <v>Kalif</v>
      </c>
      <c r="F6400">
        <f>IFERROR(__xludf.DUMMYFUNCTION("""COMPUTED_VALUE"""),17.0)</f>
        <v>17</v>
      </c>
    </row>
    <row r="6401">
      <c r="D6401" t="str">
        <f>IFERROR(__xludf.DUMMYFUNCTION("""COMPUTED_VALUE"""),"Reader")</f>
        <v>Reader</v>
      </c>
      <c r="E6401" t="str">
        <f>IFERROR(__xludf.DUMMYFUNCTION("""COMPUTED_VALUE"""),"DJ")</f>
        <v>DJ</v>
      </c>
      <c r="F6401">
        <f>IFERROR(__xludf.DUMMYFUNCTION("""COMPUTED_VALUE"""),20.0)</f>
        <v>20</v>
      </c>
    </row>
    <row r="6402">
      <c r="D6402" t="str">
        <f>IFERROR(__xludf.DUMMYFUNCTION("""COMPUTED_VALUE"""),"Reaser")</f>
        <v>Reaser</v>
      </c>
      <c r="E6402" t="str">
        <f>IFERROR(__xludf.DUMMYFUNCTION("""COMPUTED_VALUE"""),"Keith")</f>
        <v>Keith</v>
      </c>
      <c r="F6402">
        <f>IFERROR(__xludf.DUMMYFUNCTION("""COMPUTED_VALUE"""),17.0)</f>
        <v>17</v>
      </c>
    </row>
    <row r="6403">
      <c r="D6403" t="str">
        <f>IFERROR(__xludf.DUMMYFUNCTION("""COMPUTED_VALUE"""),"Reddick")</f>
        <v>Reddick</v>
      </c>
      <c r="E6403" t="str">
        <f>IFERROR(__xludf.DUMMYFUNCTION("""COMPUTED_VALUE"""),"Haason")</f>
        <v>Haason</v>
      </c>
      <c r="F6403">
        <f>IFERROR(__xludf.DUMMYFUNCTION("""COMPUTED_VALUE"""),19.0)</f>
        <v>19</v>
      </c>
    </row>
    <row r="6404">
      <c r="D6404" t="str">
        <f>IFERROR(__xludf.DUMMYFUNCTION("""COMPUTED_VALUE"""),"Redmond")</f>
        <v>Redmond</v>
      </c>
      <c r="E6404" t="str">
        <f>IFERROR(__xludf.DUMMYFUNCTION("""COMPUTED_VALUE"""),"Adam")</f>
        <v>Adam</v>
      </c>
      <c r="F6404">
        <f>IFERROR(__xludf.DUMMYFUNCTION("""COMPUTED_VALUE"""),16.25)</f>
        <v>16.25</v>
      </c>
    </row>
    <row r="6405">
      <c r="D6405" t="str">
        <f>IFERROR(__xludf.DUMMYFUNCTION("""COMPUTED_VALUE"""),"Redmond")</f>
        <v>Redmond</v>
      </c>
      <c r="E6405" t="str">
        <f>IFERROR(__xludf.DUMMYFUNCTION("""COMPUTED_VALUE"""),"Alex")</f>
        <v>Alex</v>
      </c>
      <c r="F6405">
        <f>IFERROR(__xludf.DUMMYFUNCTION("""COMPUTED_VALUE"""),16.25)</f>
        <v>16.25</v>
      </c>
    </row>
    <row r="6406">
      <c r="D6406" t="str">
        <f>IFERROR(__xludf.DUMMYFUNCTION("""COMPUTED_VALUE"""),"Redmond")</f>
        <v>Redmond</v>
      </c>
      <c r="E6406" t="str">
        <f>IFERROR(__xludf.DUMMYFUNCTION("""COMPUTED_VALUE"""),"Will")</f>
        <v>Will</v>
      </c>
      <c r="F6406">
        <f>IFERROR(__xludf.DUMMYFUNCTION("""COMPUTED_VALUE"""),16.5)</f>
        <v>16.5</v>
      </c>
    </row>
    <row r="6407">
      <c r="D6407" t="str">
        <f>IFERROR(__xludf.DUMMYFUNCTION("""COMPUTED_VALUE"""),"Reed")</f>
        <v>Reed</v>
      </c>
      <c r="E6407" t="str">
        <f>IFERROR(__xludf.DUMMYFUNCTION("""COMPUTED_VALUE"""),"Brooks")</f>
        <v>Brooks</v>
      </c>
      <c r="F6407">
        <f>IFERROR(__xludf.DUMMYFUNCTION("""COMPUTED_VALUE"""),19.5)</f>
        <v>19.5</v>
      </c>
    </row>
    <row r="6408">
      <c r="D6408" t="str">
        <f>IFERROR(__xludf.DUMMYFUNCTION("""COMPUTED_VALUE"""),"Reed")</f>
        <v>Reed</v>
      </c>
      <c r="E6408" t="str">
        <f>IFERROR(__xludf.DUMMYFUNCTION("""COMPUTED_VALUE"""),"Chris")</f>
        <v>Chris</v>
      </c>
      <c r="F6408">
        <f>IFERROR(__xludf.DUMMYFUNCTION("""COMPUTED_VALUE"""),17.5)</f>
        <v>17.5</v>
      </c>
    </row>
    <row r="6409">
      <c r="D6409" t="str">
        <f>IFERROR(__xludf.DUMMYFUNCTION("""COMPUTED_VALUE"""),"Reed")</f>
        <v>Reed</v>
      </c>
      <c r="E6409" t="str">
        <f>IFERROR(__xludf.DUMMYFUNCTION("""COMPUTED_VALUE"""),"DJ")</f>
        <v>DJ</v>
      </c>
      <c r="F6409">
        <f>IFERROR(__xludf.DUMMYFUNCTION("""COMPUTED_VALUE"""),17.5)</f>
        <v>17.5</v>
      </c>
    </row>
    <row r="6410">
      <c r="D6410" t="str">
        <f>IFERROR(__xludf.DUMMYFUNCTION("""COMPUTED_VALUE"""),"Reed")</f>
        <v>Reed</v>
      </c>
      <c r="E6410" t="str">
        <f>IFERROR(__xludf.DUMMYFUNCTION("""COMPUTED_VALUE"""),"Jarran")</f>
        <v>Jarran</v>
      </c>
      <c r="F6410">
        <f>IFERROR(__xludf.DUMMYFUNCTION("""COMPUTED_VALUE"""),19.25)</f>
        <v>19.25</v>
      </c>
    </row>
    <row r="6411">
      <c r="D6411" t="str">
        <f>IFERROR(__xludf.DUMMYFUNCTION("""COMPUTED_VALUE"""),"Reed")</f>
        <v>Reed</v>
      </c>
      <c r="E6411" t="str">
        <f>IFERROR(__xludf.DUMMYFUNCTION("""COMPUTED_VALUE"""),"Jordan")</f>
        <v>Jordan</v>
      </c>
      <c r="F6411">
        <f>IFERROR(__xludf.DUMMYFUNCTION("""COMPUTED_VALUE"""),21.25)</f>
        <v>21.25</v>
      </c>
    </row>
    <row r="6412">
      <c r="D6412" t="str">
        <f>IFERROR(__xludf.DUMMYFUNCTION("""COMPUTED_VALUE"""),"Reed")</f>
        <v>Reed</v>
      </c>
      <c r="E6412" t="str">
        <f>IFERROR(__xludf.DUMMYFUNCTION("""COMPUTED_VALUE"""),"Kalan")</f>
        <v>Kalan</v>
      </c>
      <c r="F6412">
        <f>IFERROR(__xludf.DUMMYFUNCTION("""COMPUTED_VALUE"""),17.0)</f>
        <v>17</v>
      </c>
    </row>
    <row r="6413">
      <c r="D6413" t="str">
        <f>IFERROR(__xludf.DUMMYFUNCTION("""COMPUTED_VALUE"""),"Reed")</f>
        <v>Reed</v>
      </c>
      <c r="E6413" t="str">
        <f>IFERROR(__xludf.DUMMYFUNCTION("""COMPUTED_VALUE"""),"Trovon")</f>
        <v>Trovon</v>
      </c>
      <c r="F6413">
        <f>IFERROR(__xludf.DUMMYFUNCTION("""COMPUTED_VALUE"""),16.5)</f>
        <v>16.5</v>
      </c>
    </row>
    <row r="6414">
      <c r="D6414" t="str">
        <f>IFERROR(__xludf.DUMMYFUNCTION("""COMPUTED_VALUE"""),"Reeves-Maybin")</f>
        <v>Reeves-Maybin</v>
      </c>
      <c r="E6414" t="str">
        <f>IFERROR(__xludf.DUMMYFUNCTION("""COMPUTED_VALUE"""),"Jalen")</f>
        <v>Jalen</v>
      </c>
      <c r="F6414">
        <f>IFERROR(__xludf.DUMMYFUNCTION("""COMPUTED_VALUE"""),17.5)</f>
        <v>17.5</v>
      </c>
    </row>
    <row r="6415">
      <c r="D6415" t="str">
        <f>IFERROR(__xludf.DUMMYFUNCTION("""COMPUTED_VALUE"""),"Reid")</f>
        <v>Reid</v>
      </c>
      <c r="E6415" t="str">
        <f>IFERROR(__xludf.DUMMYFUNCTION("""COMPUTED_VALUE"""),"Caraun")</f>
        <v>Caraun</v>
      </c>
      <c r="F6415">
        <f>IFERROR(__xludf.DUMMYFUNCTION("""COMPUTED_VALUE"""),15.75)</f>
        <v>15.75</v>
      </c>
    </row>
    <row r="6416">
      <c r="D6416" t="str">
        <f>IFERROR(__xludf.DUMMYFUNCTION("""COMPUTED_VALUE"""),"Reid")</f>
        <v>Reid</v>
      </c>
      <c r="E6416" t="str">
        <f>IFERROR(__xludf.DUMMYFUNCTION("""COMPUTED_VALUE"""),"Eric")</f>
        <v>Eric</v>
      </c>
      <c r="F6416">
        <f>IFERROR(__xludf.DUMMYFUNCTION("""COMPUTED_VALUE"""),19.75)</f>
        <v>19.75</v>
      </c>
    </row>
    <row r="6417">
      <c r="D6417" t="str">
        <f>IFERROR(__xludf.DUMMYFUNCTION("""COMPUTED_VALUE"""),"Reid")</f>
        <v>Reid</v>
      </c>
      <c r="E6417" t="str">
        <f>IFERROR(__xludf.DUMMYFUNCTION("""COMPUTED_VALUE"""),"Justin")</f>
        <v>Justin</v>
      </c>
      <c r="F6417">
        <f>IFERROR(__xludf.DUMMYFUNCTION("""COMPUTED_VALUE"""),18.25)</f>
        <v>18.25</v>
      </c>
    </row>
    <row r="6418">
      <c r="D6418" t="str">
        <f>IFERROR(__xludf.DUMMYFUNCTION("""COMPUTED_VALUE"""),"Reiff")</f>
        <v>Reiff</v>
      </c>
      <c r="E6418" t="str">
        <f>IFERROR(__xludf.DUMMYFUNCTION("""COMPUTED_VALUE"""),"Riley")</f>
        <v>Riley</v>
      </c>
      <c r="F6418">
        <f>IFERROR(__xludf.DUMMYFUNCTION("""COMPUTED_VALUE"""),19.0)</f>
        <v>19</v>
      </c>
    </row>
    <row r="6419">
      <c r="D6419" t="str">
        <f>IFERROR(__xludf.DUMMYFUNCTION("""COMPUTED_VALUE"""),"Reilly")</f>
        <v>Reilly</v>
      </c>
      <c r="E6419" t="str">
        <f>IFERROR(__xludf.DUMMYFUNCTION("""COMPUTED_VALUE"""),"Brandon")</f>
        <v>Brandon</v>
      </c>
      <c r="F6419">
        <f>IFERROR(__xludf.DUMMYFUNCTION("""COMPUTED_VALUE"""),16.0)</f>
        <v>16</v>
      </c>
    </row>
    <row r="6420">
      <c r="D6420" t="str">
        <f>IFERROR(__xludf.DUMMYFUNCTION("""COMPUTED_VALUE"""),"Reiter")</f>
        <v>Reiter</v>
      </c>
      <c r="E6420" t="str">
        <f>IFERROR(__xludf.DUMMYFUNCTION("""COMPUTED_VALUE"""),"Austin")</f>
        <v>Austin</v>
      </c>
      <c r="F6420">
        <f>IFERROR(__xludf.DUMMYFUNCTION("""COMPUTED_VALUE"""),16.5)</f>
        <v>16.5</v>
      </c>
    </row>
    <row r="6421">
      <c r="D6421" t="str">
        <f>IFERROR(__xludf.DUMMYFUNCTION("""COMPUTED_VALUE"""),"Remmers")</f>
        <v>Remmers</v>
      </c>
      <c r="E6421" t="str">
        <f>IFERROR(__xludf.DUMMYFUNCTION("""COMPUTED_VALUE"""),"Mike")</f>
        <v>Mike</v>
      </c>
      <c r="F6421">
        <f>IFERROR(__xludf.DUMMYFUNCTION("""COMPUTED_VALUE"""),19.5)</f>
        <v>19.5</v>
      </c>
    </row>
    <row r="6422">
      <c r="D6422" t="str">
        <f>IFERROR(__xludf.DUMMYFUNCTION("""COMPUTED_VALUE"""),"Rey")</f>
        <v>Rey</v>
      </c>
      <c r="E6422" t="str">
        <f>IFERROR(__xludf.DUMMYFUNCTION("""COMPUTED_VALUE"""),"Vincent")</f>
        <v>Vincent</v>
      </c>
      <c r="F6422">
        <f>IFERROR(__xludf.DUMMYFUNCTION("""COMPUTED_VALUE"""),18.5)</f>
        <v>18.5</v>
      </c>
    </row>
    <row r="6423">
      <c r="D6423" t="str">
        <f>IFERROR(__xludf.DUMMYFUNCTION("""COMPUTED_VALUE"""),"Reynolds")</f>
        <v>Reynolds</v>
      </c>
      <c r="E6423" t="str">
        <f>IFERROR(__xludf.DUMMYFUNCTION("""COMPUTED_VALUE"""),"Josh")</f>
        <v>Josh</v>
      </c>
      <c r="F6423">
        <f>IFERROR(__xludf.DUMMYFUNCTION("""COMPUTED_VALUE"""),18.0)</f>
        <v>18</v>
      </c>
    </row>
    <row r="6424">
      <c r="D6424" t="str">
        <f>IFERROR(__xludf.DUMMYFUNCTION("""COMPUTED_VALUE"""),"Rhaney")</f>
        <v>Rhaney</v>
      </c>
      <c r="E6424" t="str">
        <f>IFERROR(__xludf.DUMMYFUNCTION("""COMPUTED_VALUE"""),"Demetrius")</f>
        <v>Demetrius</v>
      </c>
      <c r="F6424">
        <f>IFERROR(__xludf.DUMMYFUNCTION("""COMPUTED_VALUE"""),17.0)</f>
        <v>17</v>
      </c>
    </row>
    <row r="6425">
      <c r="D6425" t="str">
        <f>IFERROR(__xludf.DUMMYFUNCTION("""COMPUTED_VALUE"""),"Rhodes")</f>
        <v>Rhodes</v>
      </c>
      <c r="E6425" t="str">
        <f>IFERROR(__xludf.DUMMYFUNCTION("""COMPUTED_VALUE"""),"Xavier")</f>
        <v>Xavier</v>
      </c>
      <c r="F6425">
        <f>IFERROR(__xludf.DUMMYFUNCTION("""COMPUTED_VALUE"""),22.0)</f>
        <v>22</v>
      </c>
    </row>
    <row r="6426">
      <c r="D6426" t="str">
        <f>IFERROR(__xludf.DUMMYFUNCTION("""COMPUTED_VALUE"""),"Rice")</f>
        <v>Rice</v>
      </c>
      <c r="E6426" t="str">
        <f>IFERROR(__xludf.DUMMYFUNCTION("""COMPUTED_VALUE"""),"Denzel")</f>
        <v>Denzel</v>
      </c>
      <c r="F6426">
        <f>IFERROR(__xludf.DUMMYFUNCTION("""COMPUTED_VALUE"""),15.75)</f>
        <v>15.75</v>
      </c>
    </row>
    <row r="6427">
      <c r="D6427" t="str">
        <f>IFERROR(__xludf.DUMMYFUNCTION("""COMPUTED_VALUE"""),"Richard")</f>
        <v>Richard</v>
      </c>
      <c r="E6427" t="str">
        <f>IFERROR(__xludf.DUMMYFUNCTION("""COMPUTED_VALUE"""),"Jalen")</f>
        <v>Jalen</v>
      </c>
      <c r="F6427">
        <f>IFERROR(__xludf.DUMMYFUNCTION("""COMPUTED_VALUE"""),18.25)</f>
        <v>18.25</v>
      </c>
    </row>
    <row r="6428">
      <c r="D6428" t="str">
        <f>IFERROR(__xludf.DUMMYFUNCTION("""COMPUTED_VALUE"""),"Richards")</f>
        <v>Richards</v>
      </c>
      <c r="E6428" t="str">
        <f>IFERROR(__xludf.DUMMYFUNCTION("""COMPUTED_VALUE"""),"Jeff")</f>
        <v>Jeff</v>
      </c>
      <c r="F6428">
        <f>IFERROR(__xludf.DUMMYFUNCTION("""COMPUTED_VALUE"""),16.5)</f>
        <v>16.5</v>
      </c>
    </row>
    <row r="6429">
      <c r="D6429" t="str">
        <f>IFERROR(__xludf.DUMMYFUNCTION("""COMPUTED_VALUE"""),"Richards")</f>
        <v>Richards</v>
      </c>
      <c r="E6429" t="str">
        <f>IFERROR(__xludf.DUMMYFUNCTION("""COMPUTED_VALUE"""),"Jordan")</f>
        <v>Jordan</v>
      </c>
      <c r="F6429">
        <f>IFERROR(__xludf.DUMMYFUNCTION("""COMPUTED_VALUE"""),17.75)</f>
        <v>17.75</v>
      </c>
    </row>
    <row r="6430">
      <c r="D6430" t="str">
        <f>IFERROR(__xludf.DUMMYFUNCTION("""COMPUTED_VALUE"""),"Richardson")</f>
        <v>Richardson</v>
      </c>
      <c r="E6430" t="str">
        <f>IFERROR(__xludf.DUMMYFUNCTION("""COMPUTED_VALUE"""),"Sheldon")</f>
        <v>Sheldon</v>
      </c>
      <c r="F6430">
        <f>IFERROR(__xludf.DUMMYFUNCTION("""COMPUTED_VALUE"""),20.5)</f>
        <v>20.5</v>
      </c>
    </row>
    <row r="6431">
      <c r="D6431" t="str">
        <f>IFERROR(__xludf.DUMMYFUNCTION("""COMPUTED_VALUE"""),"Richardson Jr")</f>
        <v>Richardson Jr</v>
      </c>
      <c r="E6431" t="str">
        <f>IFERROR(__xludf.DUMMYFUNCTION("""COMPUTED_VALUE"""),"Paul")</f>
        <v>Paul</v>
      </c>
      <c r="F6431">
        <f>IFERROR(__xludf.DUMMYFUNCTION("""COMPUTED_VALUE"""),19.75)</f>
        <v>19.75</v>
      </c>
    </row>
    <row r="6432">
      <c r="D6432" t="str">
        <f>IFERROR(__xludf.DUMMYFUNCTION("""COMPUTED_VALUE"""),"Richardson Jr")</f>
        <v>Richardson Jr</v>
      </c>
      <c r="E6432" t="str">
        <f>IFERROR(__xludf.DUMMYFUNCTION("""COMPUTED_VALUE"""),"Will")</f>
        <v>Will</v>
      </c>
      <c r="F6432">
        <f>IFERROR(__xludf.DUMMYFUNCTION("""COMPUTED_VALUE"""),17.25)</f>
        <v>17.25</v>
      </c>
    </row>
    <row r="6433">
      <c r="D6433" t="str">
        <f>IFERROR(__xludf.DUMMYFUNCTION("""COMPUTED_VALUE"""),"Richburg")</f>
        <v>Richburg</v>
      </c>
      <c r="E6433" t="str">
        <f>IFERROR(__xludf.DUMMYFUNCTION("""COMPUTED_VALUE"""),"Weston")</f>
        <v>Weston</v>
      </c>
      <c r="F6433">
        <f>IFERROR(__xludf.DUMMYFUNCTION("""COMPUTED_VALUE"""),19.75)</f>
        <v>19.75</v>
      </c>
    </row>
    <row r="6434">
      <c r="D6434" t="str">
        <f>IFERROR(__xludf.DUMMYFUNCTION("""COMPUTED_VALUE"""),"Riddick")</f>
        <v>Riddick</v>
      </c>
      <c r="E6434" t="str">
        <f>IFERROR(__xludf.DUMMYFUNCTION("""COMPUTED_VALUE"""),"Theo")</f>
        <v>Theo</v>
      </c>
      <c r="F6434">
        <f>IFERROR(__xludf.DUMMYFUNCTION("""COMPUTED_VALUE"""),19.0)</f>
        <v>19</v>
      </c>
    </row>
    <row r="6435">
      <c r="D6435" t="str">
        <f>IFERROR(__xludf.DUMMYFUNCTION("""COMPUTED_VALUE"""),"Ridgeway")</f>
        <v>Ridgeway</v>
      </c>
      <c r="E6435" t="str">
        <f>IFERROR(__xludf.DUMMYFUNCTION("""COMPUTED_VALUE"""),"Hassan")</f>
        <v>Hassan</v>
      </c>
      <c r="F6435">
        <f>IFERROR(__xludf.DUMMYFUNCTION("""COMPUTED_VALUE"""),17.5)</f>
        <v>17.5</v>
      </c>
    </row>
    <row r="6436">
      <c r="D6436" t="str">
        <f>IFERROR(__xludf.DUMMYFUNCTION("""COMPUTED_VALUE"""),"Ridley")</f>
        <v>Ridley</v>
      </c>
      <c r="E6436" t="str">
        <f>IFERROR(__xludf.DUMMYFUNCTION("""COMPUTED_VALUE"""),"Calvin")</f>
        <v>Calvin</v>
      </c>
      <c r="F6436">
        <f>IFERROR(__xludf.DUMMYFUNCTION("""COMPUTED_VALUE"""),19.25)</f>
        <v>19.25</v>
      </c>
    </row>
    <row r="6437">
      <c r="D6437" t="str">
        <f>IFERROR(__xludf.DUMMYFUNCTION("""COMPUTED_VALUE"""),"Ridley")</f>
        <v>Ridley</v>
      </c>
      <c r="E6437" t="str">
        <f>IFERROR(__xludf.DUMMYFUNCTION("""COMPUTED_VALUE"""),"Stevan")</f>
        <v>Stevan</v>
      </c>
      <c r="F6437">
        <f>IFERROR(__xludf.DUMMYFUNCTION("""COMPUTED_VALUE"""),17.0)</f>
        <v>17</v>
      </c>
    </row>
    <row r="6438">
      <c r="D6438" t="str">
        <f>IFERROR(__xludf.DUMMYFUNCTION("""COMPUTED_VALUE"""),"Riitem")</f>
        <v>Riitem</v>
      </c>
      <c r="E6438" t="str">
        <f>IFERROR(__xludf.DUMMYFUNCTION("""COMPUTED_VALUE"""),"Patrick")</f>
        <v>Patrick</v>
      </c>
      <c r="F6438">
        <f>IFERROR(__xludf.DUMMYFUNCTION("""COMPUTED_VALUE"""),20.25)</f>
        <v>20.25</v>
      </c>
    </row>
    <row r="6439">
      <c r="D6439" t="str">
        <f>IFERROR(__xludf.DUMMYFUNCTION("""COMPUTED_VALUE"""),"Riley")</f>
        <v>Riley</v>
      </c>
      <c r="E6439" t="str">
        <f>IFERROR(__xludf.DUMMYFUNCTION("""COMPUTED_VALUE"""),"Curtis")</f>
        <v>Curtis</v>
      </c>
      <c r="F6439">
        <f>IFERROR(__xludf.DUMMYFUNCTION("""COMPUTED_VALUE"""),15.75)</f>
        <v>15.75</v>
      </c>
    </row>
    <row r="6440">
      <c r="D6440" t="str">
        <f>IFERROR(__xludf.DUMMYFUNCTION("""COMPUTED_VALUE"""),"Riley")</f>
        <v>Riley</v>
      </c>
      <c r="E6440" t="str">
        <f>IFERROR(__xludf.DUMMYFUNCTION("""COMPUTED_VALUE"""),"Duke")</f>
        <v>Duke</v>
      </c>
      <c r="F6440">
        <f>IFERROR(__xludf.DUMMYFUNCTION("""COMPUTED_VALUE"""),17.0)</f>
        <v>17</v>
      </c>
    </row>
    <row r="6441">
      <c r="D6441" t="str">
        <f>IFERROR(__xludf.DUMMYFUNCTION("""COMPUTED_VALUE"""),"Ringo")</f>
        <v>Ringo</v>
      </c>
      <c r="E6441" t="str">
        <f>IFERROR(__xludf.DUMMYFUNCTION("""COMPUTED_VALUE"""),"Christian")</f>
        <v>Christian</v>
      </c>
      <c r="F6441">
        <f>IFERROR(__xludf.DUMMYFUNCTION("""COMPUTED_VALUE"""),16.25)</f>
        <v>16.25</v>
      </c>
    </row>
    <row r="6442">
      <c r="D6442" t="str">
        <f>IFERROR(__xludf.DUMMYFUNCTION("""COMPUTED_VALUE"""),"Rios")</f>
        <v>Rios</v>
      </c>
      <c r="E6442" t="str">
        <f>IFERROR(__xludf.DUMMYFUNCTION("""COMPUTED_VALUE"""),"Marcus")</f>
        <v>Marcus</v>
      </c>
      <c r="F6442">
        <f>IFERROR(__xludf.DUMMYFUNCTION("""COMPUTED_VALUE"""),15.5)</f>
        <v>15.5</v>
      </c>
    </row>
    <row r="6443">
      <c r="D6443" t="str">
        <f>IFERROR(__xludf.DUMMYFUNCTION("""COMPUTED_VALUE"""),"Ripkowski")</f>
        <v>Ripkowski</v>
      </c>
      <c r="E6443" t="str">
        <f>IFERROR(__xludf.DUMMYFUNCTION("""COMPUTED_VALUE"""),"Aaron")</f>
        <v>Aaron</v>
      </c>
      <c r="F6443">
        <f>IFERROR(__xludf.DUMMYFUNCTION("""COMPUTED_VALUE"""),18.75)</f>
        <v>18.75</v>
      </c>
    </row>
    <row r="6444">
      <c r="D6444" t="str">
        <f>IFERROR(__xludf.DUMMYFUNCTION("""COMPUTED_VALUE"""),"Rivers")</f>
        <v>Rivers</v>
      </c>
      <c r="E6444" t="str">
        <f>IFERROR(__xludf.DUMMYFUNCTION("""COMPUTED_VALUE"""),"David")</f>
        <v>David</v>
      </c>
      <c r="F6444">
        <f>IFERROR(__xludf.DUMMYFUNCTION("""COMPUTED_VALUE"""),15.75)</f>
        <v>15.75</v>
      </c>
    </row>
    <row r="6445">
      <c r="D6445" t="str">
        <f>IFERROR(__xludf.DUMMYFUNCTION("""COMPUTED_VALUE"""),"Rivers")</f>
        <v>Rivers</v>
      </c>
      <c r="E6445" t="str">
        <f>IFERROR(__xludf.DUMMYFUNCTION("""COMPUTED_VALUE"""),"Derek")</f>
        <v>Derek</v>
      </c>
      <c r="F6445">
        <f>IFERROR(__xludf.DUMMYFUNCTION("""COMPUTED_VALUE"""),18.5)</f>
        <v>18.5</v>
      </c>
    </row>
    <row r="6446">
      <c r="D6446" t="str">
        <f>IFERROR(__xludf.DUMMYFUNCTION("""COMPUTED_VALUE"""),"Rivers")</f>
        <v>Rivers</v>
      </c>
      <c r="E6446" t="str">
        <f>IFERROR(__xludf.DUMMYFUNCTION("""COMPUTED_VALUE"""),"Philip")</f>
        <v>Philip</v>
      </c>
      <c r="F6446">
        <f>IFERROR(__xludf.DUMMYFUNCTION("""COMPUTED_VALUE"""),20.5)</f>
        <v>20.5</v>
      </c>
    </row>
    <row r="6447">
      <c r="D6447" t="str">
        <f>IFERROR(__xludf.DUMMYFUNCTION("""COMPUTED_VALUE"""),"Roaf")</f>
        <v>Roaf</v>
      </c>
      <c r="E6447" t="str">
        <f>IFERROR(__xludf.DUMMYFUNCTION("""COMPUTED_VALUE"""),"Willie")</f>
        <v>Willie</v>
      </c>
      <c r="F6447">
        <f>IFERROR(__xludf.DUMMYFUNCTION("""COMPUTED_VALUE"""),20.75)</f>
        <v>20.75</v>
      </c>
    </row>
    <row r="6448">
      <c r="D6448" t="str">
        <f>IFERROR(__xludf.DUMMYFUNCTION("""COMPUTED_VALUE"""),"Roaf")</f>
        <v>Roaf</v>
      </c>
      <c r="E6448" t="str">
        <f>IFERROR(__xludf.DUMMYFUNCTION("""COMPUTED_VALUE"""),"Willie")</f>
        <v>Willie</v>
      </c>
      <c r="F6448">
        <f>IFERROR(__xludf.DUMMYFUNCTION("""COMPUTED_VALUE"""),21.0)</f>
        <v>21</v>
      </c>
    </row>
    <row r="6449">
      <c r="D6449" t="str">
        <f>IFERROR(__xludf.DUMMYFUNCTION("""COMPUTED_VALUE"""),"Roaf")</f>
        <v>Roaf</v>
      </c>
      <c r="E6449" t="str">
        <f>IFERROR(__xludf.DUMMYFUNCTION("""COMPUTED_VALUE"""),"Willie")</f>
        <v>Willie</v>
      </c>
      <c r="F6449">
        <f>IFERROR(__xludf.DUMMYFUNCTION("""COMPUTED_VALUE"""),20.5)</f>
        <v>20.5</v>
      </c>
    </row>
    <row r="6450">
      <c r="D6450" t="str">
        <f>IFERROR(__xludf.DUMMYFUNCTION("""COMPUTED_VALUE"""),"Roaf")</f>
        <v>Roaf</v>
      </c>
      <c r="E6450" t="str">
        <f>IFERROR(__xludf.DUMMYFUNCTION("""COMPUTED_VALUE"""),"Willie")</f>
        <v>Willie</v>
      </c>
      <c r="F6450">
        <f>IFERROR(__xludf.DUMMYFUNCTION("""COMPUTED_VALUE"""),22.0)</f>
        <v>22</v>
      </c>
    </row>
    <row r="6451">
      <c r="D6451" t="str">
        <f>IFERROR(__xludf.DUMMYFUNCTION("""COMPUTED_VALUE"""),"Roaf")</f>
        <v>Roaf</v>
      </c>
      <c r="E6451" t="str">
        <f>IFERROR(__xludf.DUMMYFUNCTION("""COMPUTED_VALUE"""),"Willie")</f>
        <v>Willie</v>
      </c>
      <c r="F6451">
        <f>IFERROR(__xludf.DUMMYFUNCTION("""COMPUTED_VALUE"""),21.5)</f>
        <v>21.5</v>
      </c>
    </row>
    <row r="6452">
      <c r="D6452" t="str">
        <f>IFERROR(__xludf.DUMMYFUNCTION("""COMPUTED_VALUE"""),"Roaf")</f>
        <v>Roaf</v>
      </c>
      <c r="E6452" t="str">
        <f>IFERROR(__xludf.DUMMYFUNCTION("""COMPUTED_VALUE"""),"Willie")</f>
        <v>Willie</v>
      </c>
      <c r="F6452">
        <f>IFERROR(__xludf.DUMMYFUNCTION("""COMPUTED_VALUE"""),22.5)</f>
        <v>22.5</v>
      </c>
    </row>
    <row r="6453">
      <c r="D6453" t="str">
        <f>IFERROR(__xludf.DUMMYFUNCTION("""COMPUTED_VALUE"""),"Roberts")</f>
        <v>Roberts</v>
      </c>
      <c r="E6453" t="str">
        <f>IFERROR(__xludf.DUMMYFUNCTION("""COMPUTED_VALUE"""),"Darryl")</f>
        <v>Darryl</v>
      </c>
      <c r="F6453">
        <f>IFERROR(__xludf.DUMMYFUNCTION("""COMPUTED_VALUE"""),18.5)</f>
        <v>18.5</v>
      </c>
    </row>
    <row r="6454">
      <c r="D6454" t="str">
        <f>IFERROR(__xludf.DUMMYFUNCTION("""COMPUTED_VALUE"""),"Roberts")</f>
        <v>Roberts</v>
      </c>
      <c r="E6454" t="str">
        <f>IFERROR(__xludf.DUMMYFUNCTION("""COMPUTED_VALUE"""),"Elandon")</f>
        <v>Elandon</v>
      </c>
      <c r="F6454">
        <f>IFERROR(__xludf.DUMMYFUNCTION("""COMPUTED_VALUE"""),18.75)</f>
        <v>18.75</v>
      </c>
    </row>
    <row r="6455">
      <c r="D6455" t="str">
        <f>IFERROR(__xludf.DUMMYFUNCTION("""COMPUTED_VALUE"""),"Roberts")</f>
        <v>Roberts</v>
      </c>
      <c r="E6455" t="str">
        <f>IFERROR(__xludf.DUMMYFUNCTION("""COMPUTED_VALUE"""),"Michael")</f>
        <v>Michael</v>
      </c>
      <c r="F6455">
        <f>IFERROR(__xludf.DUMMYFUNCTION("""COMPUTED_VALUE"""),18.25)</f>
        <v>18.25</v>
      </c>
    </row>
    <row r="6456">
      <c r="D6456" t="str">
        <f>IFERROR(__xludf.DUMMYFUNCTION("""COMPUTED_VALUE"""),"Roberts")</f>
        <v>Roberts</v>
      </c>
      <c r="E6456" t="str">
        <f>IFERROR(__xludf.DUMMYFUNCTION("""COMPUTED_VALUE"""),"Seth")</f>
        <v>Seth</v>
      </c>
      <c r="F6456">
        <f>IFERROR(__xludf.DUMMYFUNCTION("""COMPUTED_VALUE"""),18.75)</f>
        <v>18.75</v>
      </c>
    </row>
    <row r="6457">
      <c r="D6457" t="str">
        <f>IFERROR(__xludf.DUMMYFUNCTION("""COMPUTED_VALUE"""),"Robertson")</f>
        <v>Robertson</v>
      </c>
      <c r="E6457" t="str">
        <f>IFERROR(__xludf.DUMMYFUNCTION("""COMPUTED_VALUE"""),"Craig")</f>
        <v>Craig</v>
      </c>
      <c r="F6457">
        <f>IFERROR(__xludf.DUMMYFUNCTION("""COMPUTED_VALUE"""),19.75)</f>
        <v>19.75</v>
      </c>
    </row>
    <row r="6458">
      <c r="D6458" t="str">
        <f>IFERROR(__xludf.DUMMYFUNCTION("""COMPUTED_VALUE"""),"Robertson")</f>
        <v>Robertson</v>
      </c>
      <c r="E6458" t="str">
        <f>IFERROR(__xludf.DUMMYFUNCTION("""COMPUTED_VALUE"""),"Pete")</f>
        <v>Pete</v>
      </c>
      <c r="F6458">
        <f>IFERROR(__xludf.DUMMYFUNCTION("""COMPUTED_VALUE"""),15.5)</f>
        <v>15.5</v>
      </c>
    </row>
    <row r="6459">
      <c r="D6459" t="str">
        <f>IFERROR(__xludf.DUMMYFUNCTION("""COMPUTED_VALUE"""),"Robertson-Harris")</f>
        <v>Robertson-Harris</v>
      </c>
      <c r="E6459" t="str">
        <f>IFERROR(__xludf.DUMMYFUNCTION("""COMPUTED_VALUE"""),"Roy")</f>
        <v>Roy</v>
      </c>
      <c r="F6459">
        <f>IFERROR(__xludf.DUMMYFUNCTION("""COMPUTED_VALUE"""),17.25)</f>
        <v>17.25</v>
      </c>
    </row>
    <row r="6460">
      <c r="D6460" t="str">
        <f>IFERROR(__xludf.DUMMYFUNCTION("""COMPUTED_VALUE"""),"Robey-Coleman")</f>
        <v>Robey-Coleman</v>
      </c>
      <c r="E6460" t="str">
        <f>IFERROR(__xludf.DUMMYFUNCTION("""COMPUTED_VALUE"""),"Nickell")</f>
        <v>Nickell</v>
      </c>
      <c r="F6460">
        <f>IFERROR(__xludf.DUMMYFUNCTION("""COMPUTED_VALUE"""),20.0)</f>
        <v>20</v>
      </c>
    </row>
    <row r="6461">
      <c r="D6461" t="str">
        <f>IFERROR(__xludf.DUMMYFUNCTION("""COMPUTED_VALUE"""),"Robinson")</f>
        <v>Robinson</v>
      </c>
      <c r="E6461" t="str">
        <f>IFERROR(__xludf.DUMMYFUNCTION("""COMPUTED_VALUE"""),"Aldrick")</f>
        <v>Aldrick</v>
      </c>
      <c r="F6461">
        <f>IFERROR(__xludf.DUMMYFUNCTION("""COMPUTED_VALUE"""),18.0)</f>
        <v>18</v>
      </c>
    </row>
    <row r="6462">
      <c r="D6462" t="str">
        <f>IFERROR(__xludf.DUMMYFUNCTION("""COMPUTED_VALUE"""),"Robinson")</f>
        <v>Robinson</v>
      </c>
      <c r="E6462" t="str">
        <f>IFERROR(__xludf.DUMMYFUNCTION("""COMPUTED_VALUE"""),"Allen")</f>
        <v>Allen</v>
      </c>
      <c r="F6462">
        <f>IFERROR(__xludf.DUMMYFUNCTION("""COMPUTED_VALUE"""),20.5)</f>
        <v>20.5</v>
      </c>
    </row>
    <row r="6463">
      <c r="D6463" t="str">
        <f>IFERROR(__xludf.DUMMYFUNCTION("""COMPUTED_VALUE"""),"Robinson")</f>
        <v>Robinson</v>
      </c>
      <c r="E6463" t="str">
        <f>IFERROR(__xludf.DUMMYFUNCTION("""COMPUTED_VALUE"""),"AShawn")</f>
        <v>AShawn</v>
      </c>
      <c r="F6463">
        <f>IFERROR(__xludf.DUMMYFUNCTION("""COMPUTED_VALUE"""),19.25)</f>
        <v>19.25</v>
      </c>
    </row>
    <row r="6464">
      <c r="D6464" t="str">
        <f>IFERROR(__xludf.DUMMYFUNCTION("""COMPUTED_VALUE"""),"Robinson")</f>
        <v>Robinson</v>
      </c>
      <c r="E6464" t="str">
        <f>IFERROR(__xludf.DUMMYFUNCTION("""COMPUTED_VALUE"""),"Cam")</f>
        <v>Cam</v>
      </c>
      <c r="F6464">
        <f>IFERROR(__xludf.DUMMYFUNCTION("""COMPUTED_VALUE"""),19.0)</f>
        <v>19</v>
      </c>
    </row>
    <row r="6465">
      <c r="D6465" t="str">
        <f>IFERROR(__xludf.DUMMYFUNCTION("""COMPUTED_VALUE"""),"Robinson")</f>
        <v>Robinson</v>
      </c>
      <c r="E6465" t="str">
        <f>IFERROR(__xludf.DUMMYFUNCTION("""COMPUTED_VALUE"""),"Corey")</f>
        <v>Corey</v>
      </c>
      <c r="F6465">
        <f>IFERROR(__xludf.DUMMYFUNCTION("""COMPUTED_VALUE"""),17.5)</f>
        <v>17.5</v>
      </c>
    </row>
    <row r="6466">
      <c r="D6466" t="str">
        <f>IFERROR(__xludf.DUMMYFUNCTION("""COMPUTED_VALUE"""),"Robinson")</f>
        <v>Robinson</v>
      </c>
      <c r="E6466" t="str">
        <f>IFERROR(__xludf.DUMMYFUNCTION("""COMPUTED_VALUE"""),"Demarcus")</f>
        <v>Demarcus</v>
      </c>
      <c r="F6466">
        <f>IFERROR(__xludf.DUMMYFUNCTION("""COMPUTED_VALUE"""),18.25)</f>
        <v>18.25</v>
      </c>
    </row>
    <row r="6467">
      <c r="D6467" t="str">
        <f>IFERROR(__xludf.DUMMYFUNCTION("""COMPUTED_VALUE"""),"Robinson")</f>
        <v>Robinson</v>
      </c>
      <c r="E6467" t="str">
        <f>IFERROR(__xludf.DUMMYFUNCTION("""COMPUTED_VALUE"""),"Edmond")</f>
        <v>Edmond</v>
      </c>
      <c r="F6467">
        <f>IFERROR(__xludf.DUMMYFUNCTION("""COMPUTED_VALUE"""),16.0)</f>
        <v>16</v>
      </c>
    </row>
    <row r="6468">
      <c r="D6468" t="str">
        <f>IFERROR(__xludf.DUMMYFUNCTION("""COMPUTED_VALUE"""),"Robinson")</f>
        <v>Robinson</v>
      </c>
      <c r="E6468" t="str">
        <f>IFERROR(__xludf.DUMMYFUNCTION("""COMPUTED_VALUE"""),"Josh")</f>
        <v>Josh</v>
      </c>
      <c r="F6468">
        <f>IFERROR(__xludf.DUMMYFUNCTION("""COMPUTED_VALUE"""),16.25)</f>
        <v>16.25</v>
      </c>
    </row>
    <row r="6469">
      <c r="D6469" t="str">
        <f>IFERROR(__xludf.DUMMYFUNCTION("""COMPUTED_VALUE"""),"Robinson")</f>
        <v>Robinson</v>
      </c>
      <c r="E6469" t="str">
        <f>IFERROR(__xludf.DUMMYFUNCTION("""COMPUTED_VALUE"""),"Patrick")</f>
        <v>Patrick</v>
      </c>
      <c r="F6469">
        <f>IFERROR(__xludf.DUMMYFUNCTION("""COMPUTED_VALUE"""),20.5)</f>
        <v>20.5</v>
      </c>
    </row>
    <row r="6470">
      <c r="D6470" t="str">
        <f>IFERROR(__xludf.DUMMYFUNCTION("""COMPUTED_VALUE"""),"Robinson")</f>
        <v>Robinson</v>
      </c>
      <c r="E6470" t="str">
        <f>IFERROR(__xludf.DUMMYFUNCTION("""COMPUTED_VALUE"""),"Rashard")</f>
        <v>Rashard</v>
      </c>
      <c r="F6470">
        <f>IFERROR(__xludf.DUMMYFUNCTION("""COMPUTED_VALUE"""),17.0)</f>
        <v>17</v>
      </c>
    </row>
    <row r="6471">
      <c r="D6471" t="str">
        <f>IFERROR(__xludf.DUMMYFUNCTION("""COMPUTED_VALUE"""),"Robison")</f>
        <v>Robison</v>
      </c>
      <c r="E6471" t="str">
        <f>IFERROR(__xludf.DUMMYFUNCTION("""COMPUTED_VALUE"""),"Brian")</f>
        <v>Brian</v>
      </c>
      <c r="F6471">
        <f>IFERROR(__xludf.DUMMYFUNCTION("""COMPUTED_VALUE"""),18.0)</f>
        <v>18</v>
      </c>
    </row>
    <row r="6472">
      <c r="D6472" t="str">
        <f>IFERROR(__xludf.DUMMYFUNCTION("""COMPUTED_VALUE"""),"Roby")</f>
        <v>Roby</v>
      </c>
      <c r="E6472" t="str">
        <f>IFERROR(__xludf.DUMMYFUNCTION("""COMPUTED_VALUE"""),"Bradley")</f>
        <v>Bradley</v>
      </c>
      <c r="F6472">
        <f>IFERROR(__xludf.DUMMYFUNCTION("""COMPUTED_VALUE"""),20.25)</f>
        <v>20.25</v>
      </c>
    </row>
    <row r="6473">
      <c r="D6473" t="str">
        <f>IFERROR(__xludf.DUMMYFUNCTION("""COMPUTED_VALUE"""),"Rochell")</f>
        <v>Rochell</v>
      </c>
      <c r="E6473" t="str">
        <f>IFERROR(__xludf.DUMMYFUNCTION("""COMPUTED_VALUE"""),"Isaac")</f>
        <v>Isaac</v>
      </c>
      <c r="F6473">
        <f>IFERROR(__xludf.DUMMYFUNCTION("""COMPUTED_VALUE"""),17.0)</f>
        <v>17</v>
      </c>
    </row>
    <row r="6474">
      <c r="D6474" t="str">
        <f>IFERROR(__xludf.DUMMYFUNCTION("""COMPUTED_VALUE"""),"Rodgers")</f>
        <v>Rodgers</v>
      </c>
      <c r="E6474" t="str">
        <f>IFERROR(__xludf.DUMMYFUNCTION("""COMPUTED_VALUE"""),"Aaron")</f>
        <v>Aaron</v>
      </c>
      <c r="F6474">
        <f>IFERROR(__xludf.DUMMYFUNCTION("""COMPUTED_VALUE"""),22.25)</f>
        <v>22.25</v>
      </c>
    </row>
    <row r="6475">
      <c r="D6475" t="str">
        <f>IFERROR(__xludf.DUMMYFUNCTION("""COMPUTED_VALUE"""),"Rodgers")</f>
        <v>Rodgers</v>
      </c>
      <c r="E6475" t="str">
        <f>IFERROR(__xludf.DUMMYFUNCTION("""COMPUTED_VALUE"""),"Jacquizz")</f>
        <v>Jacquizz</v>
      </c>
      <c r="F6475">
        <f>IFERROR(__xludf.DUMMYFUNCTION("""COMPUTED_VALUE"""),18.75)</f>
        <v>18.75</v>
      </c>
    </row>
    <row r="6476">
      <c r="D6476" t="str">
        <f>IFERROR(__xludf.DUMMYFUNCTION("""COMPUTED_VALUE"""),"Rodgers")</f>
        <v>Rodgers</v>
      </c>
      <c r="E6476" t="str">
        <f>IFERROR(__xludf.DUMMYFUNCTION("""COMPUTED_VALUE"""),"Jake")</f>
        <v>Jake</v>
      </c>
      <c r="F6476">
        <f>IFERROR(__xludf.DUMMYFUNCTION("""COMPUTED_VALUE"""),17.0)</f>
        <v>17</v>
      </c>
    </row>
    <row r="6477">
      <c r="D6477" t="str">
        <f>IFERROR(__xludf.DUMMYFUNCTION("""COMPUTED_VALUE"""),"Rodgers")</f>
        <v>Rodgers</v>
      </c>
      <c r="E6477" t="str">
        <f>IFERROR(__xludf.DUMMYFUNCTION("""COMPUTED_VALUE"""),"Richard")</f>
        <v>Richard</v>
      </c>
      <c r="F6477">
        <f>IFERROR(__xludf.DUMMYFUNCTION("""COMPUTED_VALUE"""),18.5)</f>
        <v>18.5</v>
      </c>
    </row>
    <row r="6478">
      <c r="D6478" t="str">
        <f>IFERROR(__xludf.DUMMYFUNCTION("""COMPUTED_VALUE"""),"Rodgers-Cromartie")</f>
        <v>Rodgers-Cromartie</v>
      </c>
      <c r="E6478" t="str">
        <f>IFERROR(__xludf.DUMMYFUNCTION("""COMPUTED_VALUE"""),"Dominique")</f>
        <v>Dominique</v>
      </c>
      <c r="F6478">
        <f>IFERROR(__xludf.DUMMYFUNCTION("""COMPUTED_VALUE"""),20.75)</f>
        <v>20.75</v>
      </c>
    </row>
    <row r="6479">
      <c r="D6479" t="str">
        <f>IFERROR(__xludf.DUMMYFUNCTION("""COMPUTED_VALUE"""),"Roethlisberger")</f>
        <v>Roethlisberger</v>
      </c>
      <c r="E6479" t="str">
        <f>IFERROR(__xludf.DUMMYFUNCTION("""COMPUTED_VALUE"""),"Ben")</f>
        <v>Ben</v>
      </c>
      <c r="F6479">
        <f>IFERROR(__xludf.DUMMYFUNCTION("""COMPUTED_VALUE"""),21.0)</f>
        <v>21</v>
      </c>
    </row>
    <row r="6480">
      <c r="D6480" t="str">
        <f>IFERROR(__xludf.DUMMYFUNCTION("""COMPUTED_VALUE"""),"Rogers")</f>
        <v>Rogers</v>
      </c>
      <c r="E6480" t="str">
        <f>IFERROR(__xludf.DUMMYFUNCTION("""COMPUTED_VALUE"""),"Chester")</f>
        <v>Chester</v>
      </c>
      <c r="F6480">
        <f>IFERROR(__xludf.DUMMYFUNCTION("""COMPUTED_VALUE"""),18.25)</f>
        <v>18.25</v>
      </c>
    </row>
    <row r="6481">
      <c r="D6481" t="str">
        <f>IFERROR(__xludf.DUMMYFUNCTION("""COMPUTED_VALUE"""),"Rogers")</f>
        <v>Rogers</v>
      </c>
      <c r="E6481" t="str">
        <f>IFERROR(__xludf.DUMMYFUNCTION("""COMPUTED_VALUE"""),"Eli")</f>
        <v>Eli</v>
      </c>
      <c r="F6481">
        <f>IFERROR(__xludf.DUMMYFUNCTION("""COMPUTED_VALUE"""),15.25)</f>
        <v>15.25</v>
      </c>
    </row>
    <row r="6482">
      <c r="D6482" t="str">
        <f>IFERROR(__xludf.DUMMYFUNCTION("""COMPUTED_VALUE"""),"Rogers")</f>
        <v>Rogers</v>
      </c>
      <c r="E6482" t="str">
        <f>IFERROR(__xludf.DUMMYFUNCTION("""COMPUTED_VALUE"""),"Sam")</f>
        <v>Sam</v>
      </c>
      <c r="F6482">
        <f>IFERROR(__xludf.DUMMYFUNCTION("""COMPUTED_VALUE"""),17.5)</f>
        <v>17.5</v>
      </c>
    </row>
    <row r="6483">
      <c r="D6483" t="str">
        <f>IFERROR(__xludf.DUMMYFUNCTION("""COMPUTED_VALUE"""),"Rollins")</f>
        <v>Rollins</v>
      </c>
      <c r="E6483" t="str">
        <f>IFERROR(__xludf.DUMMYFUNCTION("""COMPUTED_VALUE"""),"Quinten")</f>
        <v>Quinten</v>
      </c>
      <c r="F6483">
        <f>IFERROR(__xludf.DUMMYFUNCTION("""COMPUTED_VALUE"""),18.25)</f>
        <v>18.25</v>
      </c>
    </row>
    <row r="6484">
      <c r="D6484" t="str">
        <f>IFERROR(__xludf.DUMMYFUNCTION("""COMPUTED_VALUE"""),"Roos")</f>
        <v>Roos</v>
      </c>
      <c r="E6484" t="str">
        <f>IFERROR(__xludf.DUMMYFUNCTION("""COMPUTED_VALUE"""),"Jordan")</f>
        <v>Jordan</v>
      </c>
      <c r="F6484">
        <f>IFERROR(__xludf.DUMMYFUNCTION("""COMPUTED_VALUE"""),17.25)</f>
        <v>17.25</v>
      </c>
    </row>
    <row r="6485">
      <c r="D6485" t="str">
        <f>IFERROR(__xludf.DUMMYFUNCTION("""COMPUTED_VALUE"""),"Rosas")</f>
        <v>Rosas</v>
      </c>
      <c r="E6485" t="str">
        <f>IFERROR(__xludf.DUMMYFUNCTION("""COMPUTED_VALUE"""),"Aldrick")</f>
        <v>Aldrick</v>
      </c>
      <c r="F6485">
        <f>IFERROR(__xludf.DUMMYFUNCTION("""COMPUTED_VALUE"""),19.0)</f>
        <v>19</v>
      </c>
    </row>
    <row r="6486">
      <c r="D6486" t="str">
        <f>IFERROR(__xludf.DUMMYFUNCTION("""COMPUTED_VALUE"""),"Rosen")</f>
        <v>Rosen</v>
      </c>
      <c r="E6486" t="str">
        <f>IFERROR(__xludf.DUMMYFUNCTION("""COMPUTED_VALUE"""),"Josh")</f>
        <v>Josh</v>
      </c>
      <c r="F6486">
        <f>IFERROR(__xludf.DUMMYFUNCTION("""COMPUTED_VALUE"""),19.5)</f>
        <v>19.5</v>
      </c>
    </row>
    <row r="6487">
      <c r="D6487" t="str">
        <f>IFERROR(__xludf.DUMMYFUNCTION("""COMPUTED_VALUE"""),"Ross")</f>
        <v>Ross</v>
      </c>
      <c r="E6487" t="str">
        <f>IFERROR(__xludf.DUMMYFUNCTION("""COMPUTED_VALUE"""),"Daniel")</f>
        <v>Daniel</v>
      </c>
      <c r="F6487">
        <f>IFERROR(__xludf.DUMMYFUNCTION("""COMPUTED_VALUE"""),15.5)</f>
        <v>15.5</v>
      </c>
    </row>
    <row r="6488">
      <c r="D6488" t="str">
        <f>IFERROR(__xludf.DUMMYFUNCTION("""COMPUTED_VALUE"""),"Ross")</f>
        <v>Ross</v>
      </c>
      <c r="E6488" t="str">
        <f>IFERROR(__xludf.DUMMYFUNCTION("""COMPUTED_VALUE"""),"John")</f>
        <v>John</v>
      </c>
      <c r="F6488">
        <f>IFERROR(__xludf.DUMMYFUNCTION("""COMPUTED_VALUE"""),18.5)</f>
        <v>18.5</v>
      </c>
    </row>
    <row r="6489">
      <c r="D6489" t="str">
        <f>IFERROR(__xludf.DUMMYFUNCTION("""COMPUTED_VALUE"""),"Ross")</f>
        <v>Ross</v>
      </c>
      <c r="E6489" t="str">
        <f>IFERROR(__xludf.DUMMYFUNCTION("""COMPUTED_VALUE"""),"Rashad")</f>
        <v>Rashad</v>
      </c>
      <c r="F6489">
        <f>IFERROR(__xludf.DUMMYFUNCTION("""COMPUTED_VALUE"""),16.75)</f>
        <v>16.75</v>
      </c>
    </row>
    <row r="6490">
      <c r="D6490" t="str">
        <f>IFERROR(__xludf.DUMMYFUNCTION("""COMPUTED_VALUE"""),"Roullier")</f>
        <v>Roullier</v>
      </c>
      <c r="E6490" t="str">
        <f>IFERROR(__xludf.DUMMYFUNCTION("""COMPUTED_VALUE"""),"Chase")</f>
        <v>Chase</v>
      </c>
      <c r="F6490">
        <f>IFERROR(__xludf.DUMMYFUNCTION("""COMPUTED_VALUE"""),18.0)</f>
        <v>18</v>
      </c>
    </row>
    <row r="6491">
      <c r="D6491" t="str">
        <f>IFERROR(__xludf.DUMMYFUNCTION("""COMPUTED_VALUE"""),"Rowe")</f>
        <v>Rowe</v>
      </c>
      <c r="E6491" t="str">
        <f>IFERROR(__xludf.DUMMYFUNCTION("""COMPUTED_VALUE"""),"Eric")</f>
        <v>Eric</v>
      </c>
      <c r="F6491">
        <f>IFERROR(__xludf.DUMMYFUNCTION("""COMPUTED_VALUE"""),18.25)</f>
        <v>18.25</v>
      </c>
    </row>
    <row r="6492">
      <c r="D6492" t="str">
        <f>IFERROR(__xludf.DUMMYFUNCTION("""COMPUTED_VALUE"""),"Rucker")</f>
        <v>Rucker</v>
      </c>
      <c r="E6492" t="str">
        <f>IFERROR(__xludf.DUMMYFUNCTION("""COMPUTED_VALUE"""),"Frostee")</f>
        <v>Frostee</v>
      </c>
      <c r="F6492">
        <f>IFERROR(__xludf.DUMMYFUNCTION("""COMPUTED_VALUE"""),18.0)</f>
        <v>18</v>
      </c>
    </row>
    <row r="6493">
      <c r="D6493" t="str">
        <f>IFERROR(__xludf.DUMMYFUNCTION("""COMPUTED_VALUE"""),"Rudock")</f>
        <v>Rudock</v>
      </c>
      <c r="E6493" t="str">
        <f>IFERROR(__xludf.DUMMYFUNCTION("""COMPUTED_VALUE"""),"Jake")</f>
        <v>Jake</v>
      </c>
      <c r="F6493">
        <f>IFERROR(__xludf.DUMMYFUNCTION("""COMPUTED_VALUE"""),16.0)</f>
        <v>16</v>
      </c>
    </row>
    <row r="6494">
      <c r="D6494" t="str">
        <f>IFERROR(__xludf.DUMMYFUNCTION("""COMPUTED_VALUE"""),"Rudolph")</f>
        <v>Rudolph</v>
      </c>
      <c r="E6494" t="str">
        <f>IFERROR(__xludf.DUMMYFUNCTION("""COMPUTED_VALUE"""),"Kyle")</f>
        <v>Kyle</v>
      </c>
      <c r="F6494">
        <f>IFERROR(__xludf.DUMMYFUNCTION("""COMPUTED_VALUE"""),20.75)</f>
        <v>20.75</v>
      </c>
    </row>
    <row r="6495">
      <c r="D6495" t="str">
        <f>IFERROR(__xludf.DUMMYFUNCTION("""COMPUTED_VALUE"""),"Rudolph")</f>
        <v>Rudolph</v>
      </c>
      <c r="E6495" t="str">
        <f>IFERROR(__xludf.DUMMYFUNCTION("""COMPUTED_VALUE"""),"Mason")</f>
        <v>Mason</v>
      </c>
      <c r="F6495">
        <f>IFERROR(__xludf.DUMMYFUNCTION("""COMPUTED_VALUE"""),18.5)</f>
        <v>18.5</v>
      </c>
    </row>
    <row r="6496">
      <c r="D6496" t="str">
        <f>IFERROR(__xludf.DUMMYFUNCTION("""COMPUTED_VALUE"""),"Rudolph")</f>
        <v>Rudolph</v>
      </c>
      <c r="E6496" t="str">
        <f>IFERROR(__xludf.DUMMYFUNCTION("""COMPUTED_VALUE"""),"Travis")</f>
        <v>Travis</v>
      </c>
      <c r="F6496">
        <f>IFERROR(__xludf.DUMMYFUNCTION("""COMPUTED_VALUE"""),17.25)</f>
        <v>17.25</v>
      </c>
    </row>
    <row r="6497">
      <c r="D6497" t="str">
        <f>IFERROR(__xludf.DUMMYFUNCTION("""COMPUTED_VALUE"""),"Rush")</f>
        <v>Rush</v>
      </c>
      <c r="E6497" t="str">
        <f>IFERROR(__xludf.DUMMYFUNCTION("""COMPUTED_VALUE"""),"Cooper")</f>
        <v>Cooper</v>
      </c>
      <c r="F6497">
        <f>IFERROR(__xludf.DUMMYFUNCTION("""COMPUTED_VALUE"""),16.75)</f>
        <v>16.75</v>
      </c>
    </row>
    <row r="6498">
      <c r="D6498" t="str">
        <f>IFERROR(__xludf.DUMMYFUNCTION("""COMPUTED_VALUE"""),"Russell")</f>
        <v>Russell</v>
      </c>
      <c r="E6498" t="str">
        <f>IFERROR(__xludf.DUMMYFUNCTION("""COMPUTED_VALUE"""),"KeiVarae")</f>
        <v>KeiVarae</v>
      </c>
      <c r="F6498">
        <f>IFERROR(__xludf.DUMMYFUNCTION("""COMPUTED_VALUE"""),17.5)</f>
        <v>17.5</v>
      </c>
    </row>
    <row r="6499">
      <c r="D6499" t="str">
        <f>IFERROR(__xludf.DUMMYFUNCTION("""COMPUTED_VALUE"""),"Ryan")</f>
        <v>Ryan</v>
      </c>
      <c r="E6499" t="str">
        <f>IFERROR(__xludf.DUMMYFUNCTION("""COMPUTED_VALUE"""),"Jake")</f>
        <v>Jake</v>
      </c>
      <c r="F6499">
        <f>IFERROR(__xludf.DUMMYFUNCTION("""COMPUTED_VALUE"""),20.0)</f>
        <v>20</v>
      </c>
    </row>
    <row r="6500">
      <c r="D6500" t="str">
        <f>IFERROR(__xludf.DUMMYFUNCTION("""COMPUTED_VALUE"""),"Ryan")</f>
        <v>Ryan</v>
      </c>
      <c r="E6500" t="str">
        <f>IFERROR(__xludf.DUMMYFUNCTION("""COMPUTED_VALUE"""),"Jon")</f>
        <v>Jon</v>
      </c>
      <c r="F6500">
        <f>IFERROR(__xludf.DUMMYFUNCTION("""COMPUTED_VALUE"""),19.0)</f>
        <v>19</v>
      </c>
    </row>
    <row r="6501">
      <c r="D6501" t="str">
        <f>IFERROR(__xludf.DUMMYFUNCTION("""COMPUTED_VALUE"""),"Ryan")</f>
        <v>Ryan</v>
      </c>
      <c r="E6501" t="str">
        <f>IFERROR(__xludf.DUMMYFUNCTION("""COMPUTED_VALUE"""),"Logan")</f>
        <v>Logan</v>
      </c>
      <c r="F6501">
        <f>IFERROR(__xludf.DUMMYFUNCTION("""COMPUTED_VALUE"""),20.25)</f>
        <v>20.25</v>
      </c>
    </row>
    <row r="6502">
      <c r="D6502" t="str">
        <f>IFERROR(__xludf.DUMMYFUNCTION("""COMPUTED_VALUE"""),"Ryan")</f>
        <v>Ryan</v>
      </c>
      <c r="E6502" t="str">
        <f>IFERROR(__xludf.DUMMYFUNCTION("""COMPUTED_VALUE"""),"Matt")</f>
        <v>Matt</v>
      </c>
      <c r="F6502">
        <f>IFERROR(__xludf.DUMMYFUNCTION("""COMPUTED_VALUE"""),21.25)</f>
        <v>21.25</v>
      </c>
    </row>
    <row r="6503">
      <c r="D6503" t="str">
        <f>IFERROR(__xludf.DUMMYFUNCTION("""COMPUTED_VALUE"""),"Ryan")</f>
        <v>Ryan</v>
      </c>
      <c r="E6503" t="str">
        <f>IFERROR(__xludf.DUMMYFUNCTION("""COMPUTED_VALUE"""),"Matt")</f>
        <v>Matt</v>
      </c>
      <c r="F6503">
        <f>IFERROR(__xludf.DUMMYFUNCTION("""COMPUTED_VALUE"""),22.0)</f>
        <v>22</v>
      </c>
    </row>
    <row r="6504">
      <c r="D6504" t="str">
        <f>IFERROR(__xludf.DUMMYFUNCTION("""COMPUTED_VALUE"""),"Saffold III")</f>
        <v>Saffold III</v>
      </c>
      <c r="E6504" t="str">
        <f>IFERROR(__xludf.DUMMYFUNCTION("""COMPUTED_VALUE"""),"Rodger")</f>
        <v>Rodger</v>
      </c>
      <c r="F6504">
        <f>IFERROR(__xludf.DUMMYFUNCTION("""COMPUTED_VALUE"""),20.75)</f>
        <v>20.75</v>
      </c>
    </row>
    <row r="6505">
      <c r="D6505" t="str">
        <f>IFERROR(__xludf.DUMMYFUNCTION("""COMPUTED_VALUE"""),"Sam")</f>
        <v>Sam</v>
      </c>
      <c r="E6505" t="str">
        <f>IFERROR(__xludf.DUMMYFUNCTION("""COMPUTED_VALUE"""),"Christian")</f>
        <v>Christian</v>
      </c>
      <c r="F6505">
        <f>IFERROR(__xludf.DUMMYFUNCTION("""COMPUTED_VALUE"""),16.75)</f>
        <v>16.75</v>
      </c>
    </row>
    <row r="6506">
      <c r="D6506" t="str">
        <f>IFERROR(__xludf.DUMMYFUNCTION("""COMPUTED_VALUE"""),"Sambrailo")</f>
        <v>Sambrailo</v>
      </c>
      <c r="E6506" t="str">
        <f>IFERROR(__xludf.DUMMYFUNCTION("""COMPUTED_VALUE"""),"Ty")</f>
        <v>Ty</v>
      </c>
      <c r="F6506">
        <f>IFERROR(__xludf.DUMMYFUNCTION("""COMPUTED_VALUE"""),17.75)</f>
        <v>17.75</v>
      </c>
    </row>
    <row r="6507">
      <c r="D6507" t="str">
        <f>IFERROR(__xludf.DUMMYFUNCTION("""COMPUTED_VALUE"""),"Samuel")</f>
        <v>Samuel</v>
      </c>
      <c r="E6507" t="str">
        <f>IFERROR(__xludf.DUMMYFUNCTION("""COMPUTED_VALUE"""),"Curtis")</f>
        <v>Curtis</v>
      </c>
      <c r="F6507">
        <f>IFERROR(__xludf.DUMMYFUNCTION("""COMPUTED_VALUE"""),18.5)</f>
        <v>18.5</v>
      </c>
    </row>
    <row r="6508">
      <c r="D6508" t="str">
        <f>IFERROR(__xludf.DUMMYFUNCTION("""COMPUTED_VALUE"""),"Samuels")</f>
        <v>Samuels</v>
      </c>
      <c r="E6508" t="str">
        <f>IFERROR(__xludf.DUMMYFUNCTION("""COMPUTED_VALUE"""),"Jaylen")</f>
        <v>Jaylen</v>
      </c>
      <c r="F6508">
        <f>IFERROR(__xludf.DUMMYFUNCTION("""COMPUTED_VALUE"""),18.0)</f>
        <v>18</v>
      </c>
    </row>
    <row r="6509">
      <c r="D6509" t="str">
        <f>IFERROR(__xludf.DUMMYFUNCTION("""COMPUTED_VALUE"""),"Sanchez")</f>
        <v>Sanchez</v>
      </c>
      <c r="E6509" t="str">
        <f>IFERROR(__xludf.DUMMYFUNCTION("""COMPUTED_VALUE"""),"Rigoberto")</f>
        <v>Rigoberto</v>
      </c>
      <c r="F6509">
        <f>IFERROR(__xludf.DUMMYFUNCTION("""COMPUTED_VALUE"""),19.5)</f>
        <v>19.5</v>
      </c>
    </row>
    <row r="6510">
      <c r="D6510" t="str">
        <f>IFERROR(__xludf.DUMMYFUNCTION("""COMPUTED_VALUE"""),"Sanchez")</f>
        <v>Sanchez</v>
      </c>
      <c r="E6510" t="str">
        <f>IFERROR(__xludf.DUMMYFUNCTION("""COMPUTED_VALUE"""),"Zack")</f>
        <v>Zack</v>
      </c>
      <c r="F6510">
        <f>IFERROR(__xludf.DUMMYFUNCTION("""COMPUTED_VALUE"""),17.25)</f>
        <v>17.25</v>
      </c>
    </row>
    <row r="6511">
      <c r="D6511" t="str">
        <f>IFERROR(__xludf.DUMMYFUNCTION("""COMPUTED_VALUE"""),"Sanders")</f>
        <v>Sanders</v>
      </c>
      <c r="E6511" t="str">
        <f>IFERROR(__xludf.DUMMYFUNCTION("""COMPUTED_VALUE"""),"Emmanuel")</f>
        <v>Emmanuel</v>
      </c>
      <c r="F6511">
        <f>IFERROR(__xludf.DUMMYFUNCTION("""COMPUTED_VALUE"""),20.75)</f>
        <v>20.75</v>
      </c>
    </row>
    <row r="6512">
      <c r="D6512" t="str">
        <f>IFERROR(__xludf.DUMMYFUNCTION("""COMPUTED_VALUE"""),"Sanders")</f>
        <v>Sanders</v>
      </c>
      <c r="E6512" t="str">
        <f>IFERROR(__xludf.DUMMYFUNCTION("""COMPUTED_VALUE"""),"Jason")</f>
        <v>Jason</v>
      </c>
      <c r="F6512">
        <f>IFERROR(__xludf.DUMMYFUNCTION("""COMPUTED_VALUE"""),19.25)</f>
        <v>19.25</v>
      </c>
    </row>
    <row r="6513">
      <c r="D6513" t="str">
        <f>IFERROR(__xludf.DUMMYFUNCTION("""COMPUTED_VALUE"""),"Sandland")</f>
        <v>Sandland</v>
      </c>
      <c r="E6513" t="str">
        <f>IFERROR(__xludf.DUMMYFUNCTION("""COMPUTED_VALUE"""),"Beau")</f>
        <v>Beau</v>
      </c>
      <c r="F6513">
        <f>IFERROR(__xludf.DUMMYFUNCTION("""COMPUTED_VALUE"""),16.0)</f>
        <v>16</v>
      </c>
    </row>
    <row r="6514">
      <c r="D6514" t="str">
        <f>IFERROR(__xludf.DUMMYFUNCTION("""COMPUTED_VALUE"""),"Santos")</f>
        <v>Santos</v>
      </c>
      <c r="E6514" t="str">
        <f>IFERROR(__xludf.DUMMYFUNCTION("""COMPUTED_VALUE"""),"Cairo")</f>
        <v>Cairo</v>
      </c>
      <c r="F6514">
        <f>IFERROR(__xludf.DUMMYFUNCTION("""COMPUTED_VALUE"""),19.75)</f>
        <v>19.75</v>
      </c>
    </row>
    <row r="6515">
      <c r="D6515" t="str">
        <f>IFERROR(__xludf.DUMMYFUNCTION("""COMPUTED_VALUE"""),"Sanu Sr")</f>
        <v>Sanu Sr</v>
      </c>
      <c r="E6515" t="str">
        <f>IFERROR(__xludf.DUMMYFUNCTION("""COMPUTED_VALUE"""),"Mohamed")</f>
        <v>Mohamed</v>
      </c>
      <c r="F6515">
        <f>IFERROR(__xludf.DUMMYFUNCTION("""COMPUTED_VALUE"""),20.0)</f>
        <v>20</v>
      </c>
    </row>
    <row r="6516">
      <c r="D6516" t="str">
        <f>IFERROR(__xludf.DUMMYFUNCTION("""COMPUTED_VALUE"""),"Saubert")</f>
        <v>Saubert</v>
      </c>
      <c r="E6516" t="str">
        <f>IFERROR(__xludf.DUMMYFUNCTION("""COMPUTED_VALUE"""),"Eric")</f>
        <v>Eric</v>
      </c>
      <c r="F6516">
        <f>IFERROR(__xludf.DUMMYFUNCTION("""COMPUTED_VALUE"""),17.75)</f>
        <v>17.75</v>
      </c>
    </row>
    <row r="6517">
      <c r="D6517" t="str">
        <f>IFERROR(__xludf.DUMMYFUNCTION("""COMPUTED_VALUE"""),"Savage")</f>
        <v>Savage</v>
      </c>
      <c r="E6517" t="str">
        <f>IFERROR(__xludf.DUMMYFUNCTION("""COMPUTED_VALUE"""),"Tom")</f>
        <v>Tom</v>
      </c>
      <c r="F6517">
        <f>IFERROR(__xludf.DUMMYFUNCTION("""COMPUTED_VALUE"""),18.5)</f>
        <v>18.5</v>
      </c>
    </row>
    <row r="6518">
      <c r="D6518" t="str">
        <f>IFERROR(__xludf.DUMMYFUNCTION("""COMPUTED_VALUE"""),"Sayles")</f>
        <v>Sayles</v>
      </c>
      <c r="E6518" t="str">
        <f>IFERROR(__xludf.DUMMYFUNCTION("""COMPUTED_VALUE"""),"Casey")</f>
        <v>Casey</v>
      </c>
      <c r="F6518">
        <f>IFERROR(__xludf.DUMMYFUNCTION("""COMPUTED_VALUE"""),17.25)</f>
        <v>17.25</v>
      </c>
    </row>
    <row r="6519">
      <c r="D6519" t="str">
        <f>IFERROR(__xludf.DUMMYFUNCTION("""COMPUTED_VALUE"""),"Scandrick")</f>
        <v>Scandrick</v>
      </c>
      <c r="E6519" t="str">
        <f>IFERROR(__xludf.DUMMYFUNCTION("""COMPUTED_VALUE"""),"Orlando")</f>
        <v>Orlando</v>
      </c>
      <c r="F6519">
        <f>IFERROR(__xludf.DUMMYFUNCTION("""COMPUTED_VALUE"""),19.0)</f>
        <v>19</v>
      </c>
    </row>
    <row r="6520">
      <c r="D6520" t="str">
        <f>IFERROR(__xludf.DUMMYFUNCTION("""COMPUTED_VALUE"""),"Scarbrough")</f>
        <v>Scarbrough</v>
      </c>
      <c r="E6520" t="str">
        <f>IFERROR(__xludf.DUMMYFUNCTION("""COMPUTED_VALUE"""),"Bo")</f>
        <v>Bo</v>
      </c>
      <c r="F6520">
        <f>IFERROR(__xludf.DUMMYFUNCTION("""COMPUTED_VALUE"""),17.75)</f>
        <v>17.75</v>
      </c>
    </row>
    <row r="6521">
      <c r="D6521" t="str">
        <f>IFERROR(__xludf.DUMMYFUNCTION("""COMPUTED_VALUE"""),"Scarlett")</f>
        <v>Scarlett</v>
      </c>
      <c r="E6521" t="str">
        <f>IFERROR(__xludf.DUMMYFUNCTION("""COMPUTED_VALUE"""),"Brennan")</f>
        <v>Brennan</v>
      </c>
      <c r="F6521">
        <f>IFERROR(__xludf.DUMMYFUNCTION("""COMPUTED_VALUE"""),17.25)</f>
        <v>17.25</v>
      </c>
    </row>
    <row r="6522">
      <c r="D6522" t="str">
        <f>IFERROR(__xludf.DUMMYFUNCTION("""COMPUTED_VALUE"""),"Schaub")</f>
        <v>Schaub</v>
      </c>
      <c r="E6522" t="str">
        <f>IFERROR(__xludf.DUMMYFUNCTION("""COMPUTED_VALUE"""),"Matt")</f>
        <v>Matt</v>
      </c>
      <c r="F6522">
        <f>IFERROR(__xludf.DUMMYFUNCTION("""COMPUTED_VALUE"""),17.0)</f>
        <v>17</v>
      </c>
    </row>
    <row r="6523">
      <c r="D6523" t="str">
        <f>IFERROR(__xludf.DUMMYFUNCTION("""COMPUTED_VALUE"""),"Scherff")</f>
        <v>Scherff</v>
      </c>
      <c r="E6523" t="str">
        <f>IFERROR(__xludf.DUMMYFUNCTION("""COMPUTED_VALUE"""),"Brandon")</f>
        <v>Brandon</v>
      </c>
      <c r="F6523">
        <f>IFERROR(__xludf.DUMMYFUNCTION("""COMPUTED_VALUE"""),21.0)</f>
        <v>21</v>
      </c>
    </row>
    <row r="6524">
      <c r="D6524" t="str">
        <f>IFERROR(__xludf.DUMMYFUNCTION("""COMPUTED_VALUE"""),"Schmidt")</f>
        <v>Schmidt</v>
      </c>
      <c r="E6524" t="str">
        <f>IFERROR(__xludf.DUMMYFUNCTION("""COMPUTED_VALUE"""),"Colton")</f>
        <v>Colton</v>
      </c>
      <c r="F6524">
        <f>IFERROR(__xludf.DUMMYFUNCTION("""COMPUTED_VALUE"""),19.0)</f>
        <v>19</v>
      </c>
    </row>
    <row r="6525">
      <c r="D6525" t="str">
        <f>IFERROR(__xludf.DUMMYFUNCTION("""COMPUTED_VALUE"""),"Schobert")</f>
        <v>Schobert</v>
      </c>
      <c r="E6525" t="str">
        <f>IFERROR(__xludf.DUMMYFUNCTION("""COMPUTED_VALUE"""),"Joe")</f>
        <v>Joe</v>
      </c>
      <c r="F6525">
        <f>IFERROR(__xludf.DUMMYFUNCTION("""COMPUTED_VALUE"""),19.25)</f>
        <v>19.25</v>
      </c>
    </row>
    <row r="6526">
      <c r="D6526" t="str">
        <f>IFERROR(__xludf.DUMMYFUNCTION("""COMPUTED_VALUE"""),"Schofield")</f>
        <v>Schofield</v>
      </c>
      <c r="E6526" t="str">
        <f>IFERROR(__xludf.DUMMYFUNCTION("""COMPUTED_VALUE"""),"Michael")</f>
        <v>Michael</v>
      </c>
      <c r="F6526">
        <f>IFERROR(__xludf.DUMMYFUNCTION("""COMPUTED_VALUE"""),17.25)</f>
        <v>17.25</v>
      </c>
    </row>
    <row r="6527">
      <c r="D6527" t="str">
        <f>IFERROR(__xludf.DUMMYFUNCTION("""COMPUTED_VALUE"""),"Schraeder")</f>
        <v>Schraeder</v>
      </c>
      <c r="E6527" t="str">
        <f>IFERROR(__xludf.DUMMYFUNCTION("""COMPUTED_VALUE"""),"Ryan")</f>
        <v>Ryan</v>
      </c>
      <c r="F6527">
        <f>IFERROR(__xludf.DUMMYFUNCTION("""COMPUTED_VALUE"""),20.25)</f>
        <v>20.25</v>
      </c>
    </row>
    <row r="6528">
      <c r="D6528" t="str">
        <f>IFERROR(__xludf.DUMMYFUNCTION("""COMPUTED_VALUE"""),"Schreck")</f>
        <v>Schreck</v>
      </c>
      <c r="E6528" t="str">
        <f>IFERROR(__xludf.DUMMYFUNCTION("""COMPUTED_VALUE"""),"Mason")</f>
        <v>Mason</v>
      </c>
      <c r="F6528">
        <f>IFERROR(__xludf.DUMMYFUNCTION("""COMPUTED_VALUE"""),17.0)</f>
        <v>17</v>
      </c>
    </row>
    <row r="6529">
      <c r="D6529" t="str">
        <f>IFERROR(__xludf.DUMMYFUNCTION("""COMPUTED_VALUE"""),"Schultz")</f>
        <v>Schultz</v>
      </c>
      <c r="E6529" t="str">
        <f>IFERROR(__xludf.DUMMYFUNCTION("""COMPUTED_VALUE"""),"Dalton")</f>
        <v>Dalton</v>
      </c>
      <c r="F6529">
        <f>IFERROR(__xludf.DUMMYFUNCTION("""COMPUTED_VALUE"""),17.25)</f>
        <v>17.25</v>
      </c>
    </row>
    <row r="6530">
      <c r="D6530" t="str">
        <f>IFERROR(__xludf.DUMMYFUNCTION("""COMPUTED_VALUE"""),"Schwartz")</f>
        <v>Schwartz</v>
      </c>
      <c r="E6530" t="str">
        <f>IFERROR(__xludf.DUMMYFUNCTION("""COMPUTED_VALUE"""),"Mitchell")</f>
        <v>Mitchell</v>
      </c>
      <c r="F6530">
        <f>IFERROR(__xludf.DUMMYFUNCTION("""COMPUTED_VALUE"""),20.25)</f>
        <v>20.25</v>
      </c>
    </row>
    <row r="6531">
      <c r="D6531" t="str">
        <f>IFERROR(__xludf.DUMMYFUNCTION("""COMPUTED_VALUE"""),"Schweitzer")</f>
        <v>Schweitzer</v>
      </c>
      <c r="E6531" t="str">
        <f>IFERROR(__xludf.DUMMYFUNCTION("""COMPUTED_VALUE"""),"Wes")</f>
        <v>Wes</v>
      </c>
      <c r="F6531">
        <f>IFERROR(__xludf.DUMMYFUNCTION("""COMPUTED_VALUE"""),17.0)</f>
        <v>17</v>
      </c>
    </row>
    <row r="6532">
      <c r="D6532" t="str">
        <f>IFERROR(__xludf.DUMMYFUNCTION("""COMPUTED_VALUE"""),"Scott")</f>
        <v>Scott</v>
      </c>
      <c r="E6532" t="str">
        <f>IFERROR(__xludf.DUMMYFUNCTION("""COMPUTED_VALUE"""),"Artavis")</f>
        <v>Artavis</v>
      </c>
      <c r="F6532">
        <f>IFERROR(__xludf.DUMMYFUNCTION("""COMPUTED_VALUE"""),16.5)</f>
        <v>16.5</v>
      </c>
    </row>
    <row r="6533">
      <c r="D6533" t="str">
        <f>IFERROR(__xludf.DUMMYFUNCTION("""COMPUTED_VALUE"""),"Scott")</f>
        <v>Scott</v>
      </c>
      <c r="E6533" t="str">
        <f>IFERROR(__xludf.DUMMYFUNCTION("""COMPUTED_VALUE"""),"Boston")</f>
        <v>Boston</v>
      </c>
      <c r="F6533">
        <f>IFERROR(__xludf.DUMMYFUNCTION("""COMPUTED_VALUE"""),17.5)</f>
        <v>17.5</v>
      </c>
    </row>
    <row r="6534">
      <c r="D6534" t="str">
        <f>IFERROR(__xludf.DUMMYFUNCTION("""COMPUTED_VALUE"""),"Scott")</f>
        <v>Scott</v>
      </c>
      <c r="E6534" t="str">
        <f>IFERROR(__xludf.DUMMYFUNCTION("""COMPUTED_VALUE"""),"Jaleel")</f>
        <v>Jaleel</v>
      </c>
      <c r="F6534">
        <f>IFERROR(__xludf.DUMMYFUNCTION("""COMPUTED_VALUE"""),17.75)</f>
        <v>17.75</v>
      </c>
    </row>
    <row r="6535">
      <c r="D6535" t="str">
        <f>IFERROR(__xludf.DUMMYFUNCTION("""COMPUTED_VALUE"""),"Scott")</f>
        <v>Scott</v>
      </c>
      <c r="E6535" t="str">
        <f>IFERROR(__xludf.DUMMYFUNCTION("""COMPUTED_VALUE"""),"JK")</f>
        <v>JK</v>
      </c>
      <c r="F6535">
        <f>IFERROR(__xludf.DUMMYFUNCTION("""COMPUTED_VALUE"""),19.5)</f>
        <v>19.5</v>
      </c>
    </row>
    <row r="6536">
      <c r="D6536" t="str">
        <f>IFERROR(__xludf.DUMMYFUNCTION("""COMPUTED_VALUE"""),"Scott")</f>
        <v>Scott</v>
      </c>
      <c r="E6536" t="str">
        <f>IFERROR(__xludf.DUMMYFUNCTION("""COMPUTED_VALUE"""),"Rashawn")</f>
        <v>Rashawn</v>
      </c>
      <c r="F6536">
        <f>IFERROR(__xludf.DUMMYFUNCTION("""COMPUTED_VALUE"""),15.75)</f>
        <v>15.75</v>
      </c>
    </row>
    <row r="6537">
      <c r="D6537" t="str">
        <f>IFERROR(__xludf.DUMMYFUNCTION("""COMPUTED_VALUE"""),"Seals-Jones")</f>
        <v>Seals-Jones</v>
      </c>
      <c r="E6537" t="str">
        <f>IFERROR(__xludf.DUMMYFUNCTION("""COMPUTED_VALUE"""),"Ricky")</f>
        <v>Ricky</v>
      </c>
      <c r="F6537">
        <f>IFERROR(__xludf.DUMMYFUNCTION("""COMPUTED_VALUE"""),18.0)</f>
        <v>18</v>
      </c>
    </row>
    <row r="6538">
      <c r="D6538" t="str">
        <f>IFERROR(__xludf.DUMMYFUNCTION("""COMPUTED_VALUE"""),"Seamster")</f>
        <v>Seamster</v>
      </c>
      <c r="E6538" t="str">
        <f>IFERROR(__xludf.DUMMYFUNCTION("""COMPUTED_VALUE"""),"Sammy")</f>
        <v>Sammy</v>
      </c>
      <c r="F6538">
        <f>IFERROR(__xludf.DUMMYFUNCTION("""COMPUTED_VALUE"""),16.5)</f>
        <v>16.5</v>
      </c>
    </row>
    <row r="6539">
      <c r="D6539" t="str">
        <f>IFERROR(__xludf.DUMMYFUNCTION("""COMPUTED_VALUE"""),"Searcy")</f>
        <v>Searcy</v>
      </c>
      <c r="E6539" t="str">
        <f>IFERROR(__xludf.DUMMYFUNCTION("""COMPUTED_VALUE"""),"DaNorris")</f>
        <v>DaNorris</v>
      </c>
      <c r="F6539">
        <f>IFERROR(__xludf.DUMMYFUNCTION("""COMPUTED_VALUE"""),18.0)</f>
        <v>18</v>
      </c>
    </row>
    <row r="6540">
      <c r="D6540" t="str">
        <f>IFERROR(__xludf.DUMMYFUNCTION("""COMPUTED_VALUE"""),"Seaton")</f>
        <v>Seaton</v>
      </c>
      <c r="E6540" t="str">
        <f>IFERROR(__xludf.DUMMYFUNCTION("""COMPUTED_VALUE"""),"Brad")</f>
        <v>Brad</v>
      </c>
      <c r="F6540">
        <f>IFERROR(__xludf.DUMMYFUNCTION("""COMPUTED_VALUE"""),16.5)</f>
        <v>16.5</v>
      </c>
    </row>
    <row r="6541">
      <c r="D6541" t="str">
        <f>IFERROR(__xludf.DUMMYFUNCTION("""COMPUTED_VALUE"""),"Seferian-Jenkins")</f>
        <v>Seferian-Jenkins</v>
      </c>
      <c r="E6541" t="str">
        <f>IFERROR(__xludf.DUMMYFUNCTION("""COMPUTED_VALUE"""),"Austin")</f>
        <v>Austin</v>
      </c>
      <c r="F6541">
        <f>IFERROR(__xludf.DUMMYFUNCTION("""COMPUTED_VALUE"""),19.5)</f>
        <v>19.5</v>
      </c>
    </row>
    <row r="6542">
      <c r="D6542" t="str">
        <f>IFERROR(__xludf.DUMMYFUNCTION("""COMPUTED_VALUE"""),"Senat")</f>
        <v>Senat</v>
      </c>
      <c r="E6542" t="str">
        <f>IFERROR(__xludf.DUMMYFUNCTION("""COMPUTED_VALUE"""),"Deadrin")</f>
        <v>Deadrin</v>
      </c>
      <c r="F6542">
        <f>IFERROR(__xludf.DUMMYFUNCTION("""COMPUTED_VALUE"""),17.75)</f>
        <v>17.75</v>
      </c>
    </row>
    <row r="6543">
      <c r="D6543" t="str">
        <f>IFERROR(__xludf.DUMMYFUNCTION("""COMPUTED_VALUE"""),"Senat")</f>
        <v>Senat</v>
      </c>
      <c r="E6543" t="str">
        <f>IFERROR(__xludf.DUMMYFUNCTION("""COMPUTED_VALUE"""),"Greg")</f>
        <v>Greg</v>
      </c>
      <c r="F6543">
        <f>IFERROR(__xludf.DUMMYFUNCTION("""COMPUTED_VALUE"""),16.75)</f>
        <v>16.75</v>
      </c>
    </row>
    <row r="6544">
      <c r="D6544" t="str">
        <f>IFERROR(__xludf.DUMMYFUNCTION("""COMPUTED_VALUE"""),"Sendejo")</f>
        <v>Sendejo</v>
      </c>
      <c r="E6544" t="str">
        <f>IFERROR(__xludf.DUMMYFUNCTION("""COMPUTED_VALUE"""),"Andrew")</f>
        <v>Andrew</v>
      </c>
      <c r="F6544">
        <f>IFERROR(__xludf.DUMMYFUNCTION("""COMPUTED_VALUE"""),20.0)</f>
        <v>20</v>
      </c>
    </row>
    <row r="6545">
      <c r="D6545" t="str">
        <f>IFERROR(__xludf.DUMMYFUNCTION("""COMPUTED_VALUE"""),"Sensabaugh")</f>
        <v>Sensabaugh</v>
      </c>
      <c r="E6545" t="str">
        <f>IFERROR(__xludf.DUMMYFUNCTION("""COMPUTED_VALUE"""),"Coty")</f>
        <v>Coty</v>
      </c>
      <c r="F6545">
        <f>IFERROR(__xludf.DUMMYFUNCTION("""COMPUTED_VALUE"""),17.5)</f>
        <v>17.5</v>
      </c>
    </row>
    <row r="6546">
      <c r="D6546" t="str">
        <f>IFERROR(__xludf.DUMMYFUNCTION("""COMPUTED_VALUE"""),"Settle")</f>
        <v>Settle</v>
      </c>
      <c r="E6546" t="str">
        <f>IFERROR(__xludf.DUMMYFUNCTION("""COMPUTED_VALUE"""),"Tim")</f>
        <v>Tim</v>
      </c>
      <c r="F6546">
        <f>IFERROR(__xludf.DUMMYFUNCTION("""COMPUTED_VALUE"""),17.25)</f>
        <v>17.25</v>
      </c>
    </row>
    <row r="6547">
      <c r="D6547" t="str">
        <f>IFERROR(__xludf.DUMMYFUNCTION("""COMPUTED_VALUE"""),"Seumalo")</f>
        <v>Seumalo</v>
      </c>
      <c r="E6547" t="str">
        <f>IFERROR(__xludf.DUMMYFUNCTION("""COMPUTED_VALUE"""),"Isaac")</f>
        <v>Isaac</v>
      </c>
      <c r="F6547">
        <f>IFERROR(__xludf.DUMMYFUNCTION("""COMPUTED_VALUE"""),18.0)</f>
        <v>18</v>
      </c>
    </row>
    <row r="6548">
      <c r="D6548" t="str">
        <f>IFERROR(__xludf.DUMMYFUNCTION("""COMPUTED_VALUE"""),"Seymour")</f>
        <v>Seymour</v>
      </c>
      <c r="E6548" t="str">
        <f>IFERROR(__xludf.DUMMYFUNCTION("""COMPUTED_VALUE"""),"Kevon")</f>
        <v>Kevon</v>
      </c>
      <c r="F6548">
        <f>IFERROR(__xludf.DUMMYFUNCTION("""COMPUTED_VALUE"""),18.0)</f>
        <v>18</v>
      </c>
    </row>
    <row r="6549">
      <c r="D6549" t="str">
        <f>IFERROR(__xludf.DUMMYFUNCTION("""COMPUTED_VALUE"""),"Shaheen")</f>
        <v>Shaheen</v>
      </c>
      <c r="E6549" t="str">
        <f>IFERROR(__xludf.DUMMYFUNCTION("""COMPUTED_VALUE"""),"Adam")</f>
        <v>Adam</v>
      </c>
      <c r="F6549">
        <f>IFERROR(__xludf.DUMMYFUNCTION("""COMPUTED_VALUE"""),19.0)</f>
        <v>19</v>
      </c>
    </row>
    <row r="6550">
      <c r="D6550" t="str">
        <f>IFERROR(__xludf.DUMMYFUNCTION("""COMPUTED_VALUE"""),"Shakir")</f>
        <v>Shakir</v>
      </c>
      <c r="E6550" t="str">
        <f>IFERROR(__xludf.DUMMYFUNCTION("""COMPUTED_VALUE"""),"Maurquice")</f>
        <v>Maurquice</v>
      </c>
      <c r="F6550">
        <f>IFERROR(__xludf.DUMMYFUNCTION("""COMPUTED_VALUE"""),16.25)</f>
        <v>16.25</v>
      </c>
    </row>
    <row r="6551">
      <c r="D6551" t="str">
        <f>IFERROR(__xludf.DUMMYFUNCTION("""COMPUTED_VALUE"""),"Sharp")</f>
        <v>Sharp</v>
      </c>
      <c r="E6551" t="str">
        <f>IFERROR(__xludf.DUMMYFUNCTION("""COMPUTED_VALUE"""),"Hunter")</f>
        <v>Hunter</v>
      </c>
      <c r="F6551">
        <f>IFERROR(__xludf.DUMMYFUNCTION("""COMPUTED_VALUE"""),16.5)</f>
        <v>16.5</v>
      </c>
    </row>
    <row r="6552">
      <c r="D6552" t="str">
        <f>IFERROR(__xludf.DUMMYFUNCTION("""COMPUTED_VALUE"""),"Sharpe")</f>
        <v>Sharpe</v>
      </c>
      <c r="E6552" t="str">
        <f>IFERROR(__xludf.DUMMYFUNCTION("""COMPUTED_VALUE"""),"David")</f>
        <v>David</v>
      </c>
      <c r="F6552">
        <f>IFERROR(__xludf.DUMMYFUNCTION("""COMPUTED_VALUE"""),17.25)</f>
        <v>17.25</v>
      </c>
    </row>
    <row r="6553">
      <c r="D6553" t="str">
        <f>IFERROR(__xludf.DUMMYFUNCTION("""COMPUTED_VALUE"""),"Sharpe")</f>
        <v>Sharpe</v>
      </c>
      <c r="E6553" t="str">
        <f>IFERROR(__xludf.DUMMYFUNCTION("""COMPUTED_VALUE"""),"Tajae")</f>
        <v>Tajae</v>
      </c>
      <c r="F6553">
        <f>IFERROR(__xludf.DUMMYFUNCTION("""COMPUTED_VALUE"""),18.75)</f>
        <v>18.75</v>
      </c>
    </row>
    <row r="6554">
      <c r="D6554" t="str">
        <f>IFERROR(__xludf.DUMMYFUNCTION("""COMPUTED_VALUE"""),"Shatley")</f>
        <v>Shatley</v>
      </c>
      <c r="E6554" t="str">
        <f>IFERROR(__xludf.DUMMYFUNCTION("""COMPUTED_VALUE"""),"Tyler")</f>
        <v>Tyler</v>
      </c>
      <c r="F6554">
        <f>IFERROR(__xludf.DUMMYFUNCTION("""COMPUTED_VALUE"""),17.75)</f>
        <v>17.75</v>
      </c>
    </row>
    <row r="6555">
      <c r="D6555" t="str">
        <f>IFERROR(__xludf.DUMMYFUNCTION("""COMPUTED_VALUE"""),"Shaw")</f>
        <v>Shaw</v>
      </c>
      <c r="E6555" t="str">
        <f>IFERROR(__xludf.DUMMYFUNCTION("""COMPUTED_VALUE"""),"Josh")</f>
        <v>Josh</v>
      </c>
      <c r="F6555">
        <f>IFERROR(__xludf.DUMMYFUNCTION("""COMPUTED_VALUE"""),16.25)</f>
        <v>16.25</v>
      </c>
    </row>
    <row r="6556">
      <c r="D6556" t="str">
        <f>IFERROR(__xludf.DUMMYFUNCTION("""COMPUTED_VALUE"""),"Shead")</f>
        <v>Shead</v>
      </c>
      <c r="E6556" t="str">
        <f>IFERROR(__xludf.DUMMYFUNCTION("""COMPUTED_VALUE"""),"DeShawn")</f>
        <v>DeShawn</v>
      </c>
      <c r="F6556">
        <f>IFERROR(__xludf.DUMMYFUNCTION("""COMPUTED_VALUE"""),19.0)</f>
        <v>19</v>
      </c>
    </row>
    <row r="6557">
      <c r="D6557" t="str">
        <f>IFERROR(__xludf.DUMMYFUNCTION("""COMPUTED_VALUE"""),"Sheard")</f>
        <v>Sheard</v>
      </c>
      <c r="E6557" t="str">
        <f>IFERROR(__xludf.DUMMYFUNCTION("""COMPUTED_VALUE"""),"Jabaal")</f>
        <v>Jabaal</v>
      </c>
      <c r="F6557">
        <f>IFERROR(__xludf.DUMMYFUNCTION("""COMPUTED_VALUE"""),20.75)</f>
        <v>20.75</v>
      </c>
    </row>
    <row r="6558">
      <c r="D6558" t="str">
        <f>IFERROR(__xludf.DUMMYFUNCTION("""COMPUTED_VALUE"""),"Sheard")</f>
        <v>Sheard</v>
      </c>
      <c r="E6558" t="str">
        <f>IFERROR(__xludf.DUMMYFUNCTION("""COMPUTED_VALUE"""),"Jabaal")</f>
        <v>Jabaal</v>
      </c>
      <c r="F6558">
        <f>IFERROR(__xludf.DUMMYFUNCTION("""COMPUTED_VALUE"""),22.0)</f>
        <v>22</v>
      </c>
    </row>
    <row r="6559">
      <c r="D6559" t="str">
        <f>IFERROR(__xludf.DUMMYFUNCTION("""COMPUTED_VALUE"""),"Shelby")</f>
        <v>Shelby</v>
      </c>
      <c r="E6559" t="str">
        <f>IFERROR(__xludf.DUMMYFUNCTION("""COMPUTED_VALUE"""),"Derrick")</f>
        <v>Derrick</v>
      </c>
      <c r="F6559">
        <f>IFERROR(__xludf.DUMMYFUNCTION("""COMPUTED_VALUE"""),18.25)</f>
        <v>18.25</v>
      </c>
    </row>
    <row r="6560">
      <c r="D6560" t="str">
        <f>IFERROR(__xludf.DUMMYFUNCTION("""COMPUTED_VALUE"""),"Shell")</f>
        <v>Shell</v>
      </c>
      <c r="E6560" t="str">
        <f>IFERROR(__xludf.DUMMYFUNCTION("""COMPUTED_VALUE"""),"Brandon")</f>
        <v>Brandon</v>
      </c>
      <c r="F6560">
        <f>IFERROR(__xludf.DUMMYFUNCTION("""COMPUTED_VALUE"""),18.25)</f>
        <v>18.25</v>
      </c>
    </row>
    <row r="6561">
      <c r="D6561" t="str">
        <f>IFERROR(__xludf.DUMMYFUNCTION("""COMPUTED_VALUE"""),"Shelton")</f>
        <v>Shelton</v>
      </c>
      <c r="E6561" t="str">
        <f>IFERROR(__xludf.DUMMYFUNCTION("""COMPUTED_VALUE"""),"Danny")</f>
        <v>Danny</v>
      </c>
      <c r="F6561">
        <f>IFERROR(__xludf.DUMMYFUNCTION("""COMPUTED_VALUE"""),20.0)</f>
        <v>20</v>
      </c>
    </row>
    <row r="6562">
      <c r="D6562" t="str">
        <f>IFERROR(__xludf.DUMMYFUNCTION("""COMPUTED_VALUE"""),"Shepard")</f>
        <v>Shepard</v>
      </c>
      <c r="E6562" t="str">
        <f>IFERROR(__xludf.DUMMYFUNCTION("""COMPUTED_VALUE"""),"Russell")</f>
        <v>Russell</v>
      </c>
      <c r="F6562">
        <f>IFERROR(__xludf.DUMMYFUNCTION("""COMPUTED_VALUE"""),18.0)</f>
        <v>18</v>
      </c>
    </row>
    <row r="6563">
      <c r="D6563" t="str">
        <f>IFERROR(__xludf.DUMMYFUNCTION("""COMPUTED_VALUE"""),"Shepard")</f>
        <v>Shepard</v>
      </c>
      <c r="E6563" t="str">
        <f>IFERROR(__xludf.DUMMYFUNCTION("""COMPUTED_VALUE"""),"Sterling")</f>
        <v>Sterling</v>
      </c>
      <c r="F6563">
        <f>IFERROR(__xludf.DUMMYFUNCTION("""COMPUTED_VALUE"""),19.5)</f>
        <v>19.5</v>
      </c>
    </row>
    <row r="6564">
      <c r="D6564" t="str">
        <f>IFERROR(__xludf.DUMMYFUNCTION("""COMPUTED_VALUE"""),"Shepherd")</f>
        <v>Shepherd</v>
      </c>
      <c r="E6564" t="str">
        <f>IFERROR(__xludf.DUMMYFUNCTION("""COMPUTED_VALUE"""),"Nathan")</f>
        <v>Nathan</v>
      </c>
      <c r="F6564">
        <f>IFERROR(__xludf.DUMMYFUNCTION("""COMPUTED_VALUE"""),17.75)</f>
        <v>17.75</v>
      </c>
    </row>
    <row r="6565">
      <c r="D6565" t="str">
        <f>IFERROR(__xludf.DUMMYFUNCTION("""COMPUTED_VALUE"""),"Sherels")</f>
        <v>Sherels</v>
      </c>
      <c r="E6565" t="str">
        <f>IFERROR(__xludf.DUMMYFUNCTION("""COMPUTED_VALUE"""),"Marcus")</f>
        <v>Marcus</v>
      </c>
      <c r="F6565">
        <f>IFERROR(__xludf.DUMMYFUNCTION("""COMPUTED_VALUE"""),16.75)</f>
        <v>16.75</v>
      </c>
    </row>
    <row r="6566">
      <c r="D6566" t="str">
        <f>IFERROR(__xludf.DUMMYFUNCTION("""COMPUTED_VALUE"""),"Sherman")</f>
        <v>Sherman</v>
      </c>
      <c r="E6566" t="str">
        <f>IFERROR(__xludf.DUMMYFUNCTION("""COMPUTED_VALUE"""),"Anthony")</f>
        <v>Anthony</v>
      </c>
      <c r="F6566">
        <f>IFERROR(__xludf.DUMMYFUNCTION("""COMPUTED_VALUE"""),20.5)</f>
        <v>20.5</v>
      </c>
    </row>
    <row r="6567">
      <c r="D6567" t="str">
        <f>IFERROR(__xludf.DUMMYFUNCTION("""COMPUTED_VALUE"""),"Sherman")</f>
        <v>Sherman</v>
      </c>
      <c r="E6567" t="str">
        <f>IFERROR(__xludf.DUMMYFUNCTION("""COMPUTED_VALUE"""),"Richard")</f>
        <v>Richard</v>
      </c>
      <c r="F6567">
        <f>IFERROR(__xludf.DUMMYFUNCTION("""COMPUTED_VALUE"""),21.75)</f>
        <v>21.75</v>
      </c>
    </row>
    <row r="6568">
      <c r="D6568" t="str">
        <f>IFERROR(__xludf.DUMMYFUNCTION("""COMPUTED_VALUE"""),"Shields")</f>
        <v>Shields</v>
      </c>
      <c r="E6568" t="str">
        <f>IFERROR(__xludf.DUMMYFUNCTION("""COMPUTED_VALUE"""),"Sam")</f>
        <v>Sam</v>
      </c>
      <c r="F6568">
        <f>IFERROR(__xludf.DUMMYFUNCTION("""COMPUTED_VALUE"""),17.75)</f>
        <v>17.75</v>
      </c>
    </row>
    <row r="6569">
      <c r="D6569" t="str">
        <f>IFERROR(__xludf.DUMMYFUNCTION("""COMPUTED_VALUE"""),"Shipley")</f>
        <v>Shipley</v>
      </c>
      <c r="E6569" t="str">
        <f>IFERROR(__xludf.DUMMYFUNCTION("""COMPUTED_VALUE"""),"AQ")</f>
        <v>AQ</v>
      </c>
      <c r="F6569">
        <f>IFERROR(__xludf.DUMMYFUNCTION("""COMPUTED_VALUE"""),18.75)</f>
        <v>18.75</v>
      </c>
    </row>
    <row r="6570">
      <c r="D6570" t="str">
        <f>IFERROR(__xludf.DUMMYFUNCTION("""COMPUTED_VALUE"""),"Shittu")</f>
        <v>Shittu</v>
      </c>
      <c r="E6570" t="str">
        <f>IFERROR(__xludf.DUMMYFUNCTION("""COMPUTED_VALUE"""),"Aziz")</f>
        <v>Aziz</v>
      </c>
      <c r="F6570">
        <f>IFERROR(__xludf.DUMMYFUNCTION("""COMPUTED_VALUE"""),17.0)</f>
        <v>17</v>
      </c>
    </row>
    <row r="6571">
      <c r="D6571" t="str">
        <f>IFERROR(__xludf.DUMMYFUNCTION("""COMPUTED_VALUE"""),"Short")</f>
        <v>Short</v>
      </c>
      <c r="E6571" t="str">
        <f>IFERROR(__xludf.DUMMYFUNCTION("""COMPUTED_VALUE"""),"Kawann")</f>
        <v>Kawann</v>
      </c>
      <c r="F6571">
        <f>IFERROR(__xludf.DUMMYFUNCTION("""COMPUTED_VALUE"""),21.25)</f>
        <v>21.25</v>
      </c>
    </row>
    <row r="6572">
      <c r="D6572" t="str">
        <f>IFERROR(__xludf.DUMMYFUNCTION("""COMPUTED_VALUE"""),"Showers")</f>
        <v>Showers</v>
      </c>
      <c r="E6572" t="str">
        <f>IFERROR(__xludf.DUMMYFUNCTION("""COMPUTED_VALUE"""),"Jameill")</f>
        <v>Jameill</v>
      </c>
      <c r="F6572">
        <f>IFERROR(__xludf.DUMMYFUNCTION("""COMPUTED_VALUE"""),15.5)</f>
        <v>15.5</v>
      </c>
    </row>
    <row r="6573">
      <c r="D6573" t="str">
        <f>IFERROR(__xludf.DUMMYFUNCTION("""COMPUTED_VALUE"""),"Sickels")</f>
        <v>Sickels</v>
      </c>
      <c r="E6573" t="str">
        <f>IFERROR(__xludf.DUMMYFUNCTION("""COMPUTED_VALUE"""),"Garrett")</f>
        <v>Garrett</v>
      </c>
      <c r="F6573">
        <f>IFERROR(__xludf.DUMMYFUNCTION("""COMPUTED_VALUE"""),15.75)</f>
        <v>15.75</v>
      </c>
    </row>
    <row r="6574">
      <c r="D6574" t="str">
        <f>IFERROR(__xludf.DUMMYFUNCTION("""COMPUTED_VALUE"""),"Sieler")</f>
        <v>Sieler</v>
      </c>
      <c r="E6574" t="str">
        <f>IFERROR(__xludf.DUMMYFUNCTION("""COMPUTED_VALUE"""),"Zach")</f>
        <v>Zach</v>
      </c>
      <c r="F6574">
        <f>IFERROR(__xludf.DUMMYFUNCTION("""COMPUTED_VALUE"""),17.0)</f>
        <v>17</v>
      </c>
    </row>
    <row r="6575">
      <c r="D6575" t="str">
        <f>IFERROR(__xludf.DUMMYFUNCTION("""COMPUTED_VALUE"""),"Siemian")</f>
        <v>Siemian</v>
      </c>
      <c r="E6575" t="str">
        <f>IFERROR(__xludf.DUMMYFUNCTION("""COMPUTED_VALUE"""),"Trevor")</f>
        <v>Trevor</v>
      </c>
      <c r="F6575">
        <f>IFERROR(__xludf.DUMMYFUNCTION("""COMPUTED_VALUE"""),18.75)</f>
        <v>18.75</v>
      </c>
    </row>
    <row r="6576">
      <c r="D6576" t="str">
        <f>IFERROR(__xludf.DUMMYFUNCTION("""COMPUTED_VALUE"""),"Silatolu")</f>
        <v>Silatolu</v>
      </c>
      <c r="E6576" t="str">
        <f>IFERROR(__xludf.DUMMYFUNCTION("""COMPUTED_VALUE"""),"Amini")</f>
        <v>Amini</v>
      </c>
      <c r="F6576">
        <f>IFERROR(__xludf.DUMMYFUNCTION("""COMPUTED_VALUE"""),17.75)</f>
        <v>17.75</v>
      </c>
    </row>
    <row r="6577">
      <c r="D6577" t="str">
        <f>IFERROR(__xludf.DUMMYFUNCTION("""COMPUTED_VALUE"""),"Silberman")</f>
        <v>Silberman</v>
      </c>
      <c r="E6577" t="str">
        <f>IFERROR(__xludf.DUMMYFUNCTION("""COMPUTED_VALUE"""),"Ian")</f>
        <v>Ian</v>
      </c>
      <c r="F6577">
        <f>IFERROR(__xludf.DUMMYFUNCTION("""COMPUTED_VALUE"""),17.5)</f>
        <v>17.5</v>
      </c>
    </row>
    <row r="6578">
      <c r="D6578" t="str">
        <f>IFERROR(__xludf.DUMMYFUNCTION("""COMPUTED_VALUE"""),"Simmons")</f>
        <v>Simmons</v>
      </c>
      <c r="E6578" t="str">
        <f>IFERROR(__xludf.DUMMYFUNCTION("""COMPUTED_VALUE"""),"Justin")</f>
        <v>Justin</v>
      </c>
      <c r="F6578">
        <f>IFERROR(__xludf.DUMMYFUNCTION("""COMPUTED_VALUE"""),19.75)</f>
        <v>19.75</v>
      </c>
    </row>
    <row r="6579">
      <c r="D6579" t="str">
        <f>IFERROR(__xludf.DUMMYFUNCTION("""COMPUTED_VALUE"""),"Simon")</f>
        <v>Simon</v>
      </c>
      <c r="E6579" t="str">
        <f>IFERROR(__xludf.DUMMYFUNCTION("""COMPUTED_VALUE"""),"Deon")</f>
        <v>Deon</v>
      </c>
      <c r="F6579">
        <f>IFERROR(__xludf.DUMMYFUNCTION("""COMPUTED_VALUE"""),17.25)</f>
        <v>17.25</v>
      </c>
    </row>
    <row r="6580">
      <c r="D6580" t="str">
        <f>IFERROR(__xludf.DUMMYFUNCTION("""COMPUTED_VALUE"""),"Simon")</f>
        <v>Simon</v>
      </c>
      <c r="E6580" t="str">
        <f>IFERROR(__xludf.DUMMYFUNCTION("""COMPUTED_VALUE"""),"John")</f>
        <v>John</v>
      </c>
      <c r="F6580">
        <f>IFERROR(__xludf.DUMMYFUNCTION("""COMPUTED_VALUE"""),19.75)</f>
        <v>19.75</v>
      </c>
    </row>
    <row r="6581">
      <c r="D6581" t="str">
        <f>IFERROR(__xludf.DUMMYFUNCTION("""COMPUTED_VALUE"""),"Sims")</f>
        <v>Sims</v>
      </c>
      <c r="E6581" t="str">
        <f>IFERROR(__xludf.DUMMYFUNCTION("""COMPUTED_VALUE"""),"Dion")</f>
        <v>Dion</v>
      </c>
      <c r="F6581">
        <f>IFERROR(__xludf.DUMMYFUNCTION("""COMPUTED_VALUE"""),19.25)</f>
        <v>19.25</v>
      </c>
    </row>
    <row r="6582">
      <c r="D6582" t="str">
        <f>IFERROR(__xludf.DUMMYFUNCTION("""COMPUTED_VALUE"""),"Sims")</f>
        <v>Sims</v>
      </c>
      <c r="E6582" t="str">
        <f>IFERROR(__xludf.DUMMYFUNCTION("""COMPUTED_VALUE"""),"LeShaun")</f>
        <v>LeShaun</v>
      </c>
      <c r="F6582">
        <f>IFERROR(__xludf.DUMMYFUNCTION("""COMPUTED_VALUE"""),17.75)</f>
        <v>17.75</v>
      </c>
    </row>
    <row r="6583">
      <c r="D6583" t="str">
        <f>IFERROR(__xludf.DUMMYFUNCTION("""COMPUTED_VALUE"""),"Sims III")</f>
        <v>Sims III</v>
      </c>
      <c r="E6583" t="str">
        <f>IFERROR(__xludf.DUMMYFUNCTION("""COMPUTED_VALUE"""),"Charles")</f>
        <v>Charles</v>
      </c>
      <c r="F6583">
        <f>IFERROR(__xludf.DUMMYFUNCTION("""COMPUTED_VALUE"""),19.0)</f>
        <v>19</v>
      </c>
    </row>
    <row r="6584">
      <c r="D6584" t="str">
        <f>IFERROR(__xludf.DUMMYFUNCTION("""COMPUTED_VALUE"""),"Siragusa")</f>
        <v>Siragusa</v>
      </c>
      <c r="E6584" t="str">
        <f>IFERROR(__xludf.DUMMYFUNCTION("""COMPUTED_VALUE"""),"Nico")</f>
        <v>Nico</v>
      </c>
      <c r="F6584">
        <f>IFERROR(__xludf.DUMMYFUNCTION("""COMPUTED_VALUE"""),19.0)</f>
        <v>19</v>
      </c>
    </row>
    <row r="6585">
      <c r="D6585" t="str">
        <f>IFERROR(__xludf.DUMMYFUNCTION("""COMPUTED_VALUE"""),"Sirles")</f>
        <v>Sirles</v>
      </c>
      <c r="E6585" t="str">
        <f>IFERROR(__xludf.DUMMYFUNCTION("""COMPUTED_VALUE"""),"Jeremiah")</f>
        <v>Jeremiah</v>
      </c>
      <c r="F6585">
        <f>IFERROR(__xludf.DUMMYFUNCTION("""COMPUTED_VALUE"""),16.5)</f>
        <v>16.5</v>
      </c>
    </row>
    <row r="6586">
      <c r="D6586" t="str">
        <f>IFERROR(__xludf.DUMMYFUNCTION("""COMPUTED_VALUE"""),"Sitton")</f>
        <v>Sitton</v>
      </c>
      <c r="E6586" t="str">
        <f>IFERROR(__xludf.DUMMYFUNCTION("""COMPUTED_VALUE"""),"Josh")</f>
        <v>Josh</v>
      </c>
      <c r="F6586">
        <f>IFERROR(__xludf.DUMMYFUNCTION("""COMPUTED_VALUE"""),21.5)</f>
        <v>21.5</v>
      </c>
    </row>
    <row r="6587">
      <c r="D6587" t="str">
        <f>IFERROR(__xludf.DUMMYFUNCTION("""COMPUTED_VALUE"""),"Skipper")</f>
        <v>Skipper</v>
      </c>
      <c r="E6587" t="str">
        <f>IFERROR(__xludf.DUMMYFUNCTION("""COMPUTED_VALUE"""),"Dan")</f>
        <v>Dan</v>
      </c>
      <c r="F6587">
        <f>IFERROR(__xludf.DUMMYFUNCTION("""COMPUTED_VALUE"""),16.75)</f>
        <v>16.75</v>
      </c>
    </row>
    <row r="6588">
      <c r="D6588" t="str">
        <f>IFERROR(__xludf.DUMMYFUNCTION("""COMPUTED_VALUE"""),"Skrine")</f>
        <v>Skrine</v>
      </c>
      <c r="E6588" t="str">
        <f>IFERROR(__xludf.DUMMYFUNCTION("""COMPUTED_VALUE"""),"Buster")</f>
        <v>Buster</v>
      </c>
      <c r="F6588">
        <f>IFERROR(__xludf.DUMMYFUNCTION("""COMPUTED_VALUE"""),19.0)</f>
        <v>19</v>
      </c>
    </row>
    <row r="6589">
      <c r="D6589" t="str">
        <f>IFERROR(__xludf.DUMMYFUNCTION("""COMPUTED_VALUE"""),"Skura")</f>
        <v>Skura</v>
      </c>
      <c r="E6589" t="str">
        <f>IFERROR(__xludf.DUMMYFUNCTION("""COMPUTED_VALUE"""),"Matt")</f>
        <v>Matt</v>
      </c>
      <c r="F6589">
        <f>IFERROR(__xludf.DUMMYFUNCTION("""COMPUTED_VALUE"""),17.0)</f>
        <v>17</v>
      </c>
    </row>
    <row r="6590">
      <c r="D6590" t="str">
        <f>IFERROR(__xludf.DUMMYFUNCTION("""COMPUTED_VALUE"""),"Slade")</f>
        <v>Slade</v>
      </c>
      <c r="E6590" t="str">
        <f>IFERROR(__xludf.DUMMYFUNCTION("""COMPUTED_VALUE"""),"Chad")</f>
        <v>Chad</v>
      </c>
      <c r="F6590">
        <f>IFERROR(__xludf.DUMMYFUNCTION("""COMPUTED_VALUE"""),16.5)</f>
        <v>16.5</v>
      </c>
    </row>
    <row r="6591">
      <c r="D6591" t="str">
        <f>IFERROR(__xludf.DUMMYFUNCTION("""COMPUTED_VALUE"""),"Slater")</f>
        <v>Slater</v>
      </c>
      <c r="E6591" t="str">
        <f>IFERROR(__xludf.DUMMYFUNCTION("""COMPUTED_VALUE"""),"Matthew")</f>
        <v>Matthew</v>
      </c>
      <c r="F6591">
        <f>IFERROR(__xludf.DUMMYFUNCTION("""COMPUTED_VALUE"""),17.25)</f>
        <v>17.25</v>
      </c>
    </row>
    <row r="6592">
      <c r="D6592" t="str">
        <f>IFERROR(__xludf.DUMMYFUNCTION("""COMPUTED_VALUE"""),"Slauson")</f>
        <v>Slauson</v>
      </c>
      <c r="E6592" t="str">
        <f>IFERROR(__xludf.DUMMYFUNCTION("""COMPUTED_VALUE"""),"Matt")</f>
        <v>Matt</v>
      </c>
      <c r="F6592">
        <f>IFERROR(__xludf.DUMMYFUNCTION("""COMPUTED_VALUE"""),19.25)</f>
        <v>19.25</v>
      </c>
    </row>
    <row r="6593">
      <c r="D6593" t="str">
        <f>IFERROR(__xludf.DUMMYFUNCTION("""COMPUTED_VALUE"""),"Slay Jr")</f>
        <v>Slay Jr</v>
      </c>
      <c r="E6593" t="str">
        <f>IFERROR(__xludf.DUMMYFUNCTION("""COMPUTED_VALUE"""),"Darius")</f>
        <v>Darius</v>
      </c>
      <c r="F6593">
        <f>IFERROR(__xludf.DUMMYFUNCTION("""COMPUTED_VALUE"""),21.5)</f>
        <v>21.5</v>
      </c>
    </row>
    <row r="6594">
      <c r="D6594" t="str">
        <f>IFERROR(__xludf.DUMMYFUNCTION("""COMPUTED_VALUE"""),"Sloter")</f>
        <v>Sloter</v>
      </c>
      <c r="E6594" t="str">
        <f>IFERROR(__xludf.DUMMYFUNCTION("""COMPUTED_VALUE"""),"Kyle")</f>
        <v>Kyle</v>
      </c>
      <c r="F6594">
        <f>IFERROR(__xludf.DUMMYFUNCTION("""COMPUTED_VALUE"""),17.25)</f>
        <v>17.25</v>
      </c>
    </row>
    <row r="6595">
      <c r="D6595" t="str">
        <f>IFERROR(__xludf.DUMMYFUNCTION("""COMPUTED_VALUE"""),"Smallwood")</f>
        <v>Smallwood</v>
      </c>
      <c r="E6595" t="str">
        <f>IFERROR(__xludf.DUMMYFUNCTION("""COMPUTED_VALUE"""),"Wendell")</f>
        <v>Wendell</v>
      </c>
      <c r="F6595">
        <f>IFERROR(__xludf.DUMMYFUNCTION("""COMPUTED_VALUE"""),18.0)</f>
        <v>18</v>
      </c>
    </row>
    <row r="6596">
      <c r="D6596" t="str">
        <f>IFERROR(__xludf.DUMMYFUNCTION("""COMPUTED_VALUE"""),"Smart")</f>
        <v>Smart</v>
      </c>
      <c r="E6596" t="str">
        <f>IFERROR(__xludf.DUMMYFUNCTION("""COMPUTED_VALUE"""),"Tanzel")</f>
        <v>Tanzel</v>
      </c>
      <c r="F6596">
        <f>IFERROR(__xludf.DUMMYFUNCTION("""COMPUTED_VALUE"""),17.0)</f>
        <v>17</v>
      </c>
    </row>
    <row r="6597">
      <c r="D6597" t="str">
        <f>IFERROR(__xludf.DUMMYFUNCTION("""COMPUTED_VALUE"""),"Smelter")</f>
        <v>Smelter</v>
      </c>
      <c r="E6597" t="str">
        <f>IFERROR(__xludf.DUMMYFUNCTION("""COMPUTED_VALUE"""),"DeAndre")</f>
        <v>DeAndre</v>
      </c>
      <c r="F6597">
        <f>IFERROR(__xludf.DUMMYFUNCTION("""COMPUTED_VALUE"""),16.5)</f>
        <v>16.5</v>
      </c>
    </row>
    <row r="6598">
      <c r="D6598" t="str">
        <f>IFERROR(__xludf.DUMMYFUNCTION("""COMPUTED_VALUE"""),"Smith")</f>
        <v>Smith</v>
      </c>
      <c r="E6598" t="str">
        <f>IFERROR(__xludf.DUMMYFUNCTION("""COMPUTED_VALUE"""),"Alex")</f>
        <v>Alex</v>
      </c>
      <c r="F6598">
        <f>IFERROR(__xludf.DUMMYFUNCTION("""COMPUTED_VALUE"""),20.75)</f>
        <v>20.75</v>
      </c>
    </row>
    <row r="6599">
      <c r="D6599" t="str">
        <f>IFERROR(__xludf.DUMMYFUNCTION("""COMPUTED_VALUE"""),"Smith")</f>
        <v>Smith</v>
      </c>
      <c r="E6599" t="str">
        <f>IFERROR(__xludf.DUMMYFUNCTION("""COMPUTED_VALUE"""),"Andre")</f>
        <v>Andre</v>
      </c>
      <c r="F6599">
        <f>IFERROR(__xludf.DUMMYFUNCTION("""COMPUTED_VALUE"""),19.0)</f>
        <v>19</v>
      </c>
    </row>
    <row r="6600">
      <c r="D6600" t="str">
        <f>IFERROR(__xludf.DUMMYFUNCTION("""COMPUTED_VALUE"""),"Smith")</f>
        <v>Smith</v>
      </c>
      <c r="E6600" t="str">
        <f>IFERROR(__xludf.DUMMYFUNCTION("""COMPUTED_VALUE"""),"Andre")</f>
        <v>Andre</v>
      </c>
      <c r="F6600">
        <f>IFERROR(__xludf.DUMMYFUNCTION("""COMPUTED_VALUE"""),16.5)</f>
        <v>16.5</v>
      </c>
    </row>
    <row r="6601">
      <c r="D6601" t="str">
        <f>IFERROR(__xludf.DUMMYFUNCTION("""COMPUTED_VALUE"""),"Smith")</f>
        <v>Smith</v>
      </c>
      <c r="E6601" t="str">
        <f>IFERROR(__xludf.DUMMYFUNCTION("""COMPUTED_VALUE"""),"Braden")</f>
        <v>Braden</v>
      </c>
      <c r="F6601">
        <f>IFERROR(__xludf.DUMMYFUNCTION("""COMPUTED_VALUE"""),18.75)</f>
        <v>18.75</v>
      </c>
    </row>
    <row r="6602">
      <c r="D6602" t="str">
        <f>IFERROR(__xludf.DUMMYFUNCTION("""COMPUTED_VALUE"""),"Smith")</f>
        <v>Smith</v>
      </c>
      <c r="E6602" t="str">
        <f>IFERROR(__xludf.DUMMYFUNCTION("""COMPUTED_VALUE"""),"Bruce")</f>
        <v>Bruce</v>
      </c>
      <c r="F6602">
        <f>IFERROR(__xludf.DUMMYFUNCTION("""COMPUTED_VALUE"""),20.75)</f>
        <v>20.75</v>
      </c>
    </row>
    <row r="6603">
      <c r="D6603" t="str">
        <f>IFERROR(__xludf.DUMMYFUNCTION("""COMPUTED_VALUE"""),"Smith")</f>
        <v>Smith</v>
      </c>
      <c r="E6603" t="str">
        <f>IFERROR(__xludf.DUMMYFUNCTION("""COMPUTED_VALUE"""),"Bruce")</f>
        <v>Bruce</v>
      </c>
      <c r="F6603">
        <f>IFERROR(__xludf.DUMMYFUNCTION("""COMPUTED_VALUE"""),21.0)</f>
        <v>21</v>
      </c>
    </row>
    <row r="6604">
      <c r="D6604" t="str">
        <f>IFERROR(__xludf.DUMMYFUNCTION("""COMPUTED_VALUE"""),"Smith")</f>
        <v>Smith</v>
      </c>
      <c r="E6604" t="str">
        <f>IFERROR(__xludf.DUMMYFUNCTION("""COMPUTED_VALUE"""),"Bruce")</f>
        <v>Bruce</v>
      </c>
      <c r="F6604">
        <f>IFERROR(__xludf.DUMMYFUNCTION("""COMPUTED_VALUE"""),20.5)</f>
        <v>20.5</v>
      </c>
    </row>
    <row r="6605">
      <c r="D6605" t="str">
        <f>IFERROR(__xludf.DUMMYFUNCTION("""COMPUTED_VALUE"""),"Smith")</f>
        <v>Smith</v>
      </c>
      <c r="E6605" t="str">
        <f>IFERROR(__xludf.DUMMYFUNCTION("""COMPUTED_VALUE"""),"Bruce")</f>
        <v>Bruce</v>
      </c>
      <c r="F6605">
        <f>IFERROR(__xludf.DUMMYFUNCTION("""COMPUTED_VALUE"""),22.5)</f>
        <v>22.5</v>
      </c>
    </row>
    <row r="6606">
      <c r="D6606" t="str">
        <f>IFERROR(__xludf.DUMMYFUNCTION("""COMPUTED_VALUE"""),"Smith")</f>
        <v>Smith</v>
      </c>
      <c r="E6606" t="str">
        <f>IFERROR(__xludf.DUMMYFUNCTION("""COMPUTED_VALUE"""),"Bruce")</f>
        <v>Bruce</v>
      </c>
      <c r="F6606">
        <f>IFERROR(__xludf.DUMMYFUNCTION("""COMPUTED_VALUE"""),21.5)</f>
        <v>21.5</v>
      </c>
    </row>
    <row r="6607">
      <c r="D6607" t="str">
        <f>IFERROR(__xludf.DUMMYFUNCTION("""COMPUTED_VALUE"""),"Smith")</f>
        <v>Smith</v>
      </c>
      <c r="E6607" t="str">
        <f>IFERROR(__xludf.DUMMYFUNCTION("""COMPUTED_VALUE"""),"Bruce")</f>
        <v>Bruce</v>
      </c>
      <c r="F6607">
        <f>IFERROR(__xludf.DUMMYFUNCTION("""COMPUTED_VALUE"""),22.0)</f>
        <v>22</v>
      </c>
    </row>
    <row r="6608">
      <c r="D6608" t="str">
        <f>IFERROR(__xludf.DUMMYFUNCTION("""COMPUTED_VALUE"""),"Smith")</f>
        <v>Smith</v>
      </c>
      <c r="E6608" t="str">
        <f>IFERROR(__xludf.DUMMYFUNCTION("""COMPUTED_VALUE"""),"Chris")</f>
        <v>Chris</v>
      </c>
      <c r="F6608">
        <f>IFERROR(__xludf.DUMMYFUNCTION("""COMPUTED_VALUE"""),17.5)</f>
        <v>17.5</v>
      </c>
    </row>
    <row r="6609">
      <c r="D6609" t="str">
        <f>IFERROR(__xludf.DUMMYFUNCTION("""COMPUTED_VALUE"""),"Smith")</f>
        <v>Smith</v>
      </c>
      <c r="E6609" t="str">
        <f>IFERROR(__xludf.DUMMYFUNCTION("""COMPUTED_VALUE"""),"Derron")</f>
        <v>Derron</v>
      </c>
      <c r="F6609">
        <f>IFERROR(__xludf.DUMMYFUNCTION("""COMPUTED_VALUE"""),17.5)</f>
        <v>17.5</v>
      </c>
    </row>
    <row r="6610">
      <c r="D6610" t="str">
        <f>IFERROR(__xludf.DUMMYFUNCTION("""COMPUTED_VALUE"""),"Smith")</f>
        <v>Smith</v>
      </c>
      <c r="E6610" t="str">
        <f>IFERROR(__xludf.DUMMYFUNCTION("""COMPUTED_VALUE"""),"DeVeon")</f>
        <v>DeVeon</v>
      </c>
      <c r="F6610">
        <f>IFERROR(__xludf.DUMMYFUNCTION("""COMPUTED_VALUE"""),16.25)</f>
        <v>16.25</v>
      </c>
    </row>
    <row r="6611">
      <c r="D6611" t="str">
        <f>IFERROR(__xludf.DUMMYFUNCTION("""COMPUTED_VALUE"""),"Smith")</f>
        <v>Smith</v>
      </c>
      <c r="E6611" t="str">
        <f>IFERROR(__xludf.DUMMYFUNCTION("""COMPUTED_VALUE"""),"Devin")</f>
        <v>Devin</v>
      </c>
      <c r="F6611">
        <f>IFERROR(__xludf.DUMMYFUNCTION("""COMPUTED_VALUE"""),17.5)</f>
        <v>17.5</v>
      </c>
    </row>
    <row r="6612">
      <c r="D6612" t="str">
        <f>IFERROR(__xludf.DUMMYFUNCTION("""COMPUTED_VALUE"""),"Smith")</f>
        <v>Smith</v>
      </c>
      <c r="E6612" t="str">
        <f>IFERROR(__xludf.DUMMYFUNCTION("""COMPUTED_VALUE"""),"Donovan")</f>
        <v>Donovan</v>
      </c>
      <c r="F6612">
        <f>IFERROR(__xludf.DUMMYFUNCTION("""COMPUTED_VALUE"""),19.0)</f>
        <v>19</v>
      </c>
    </row>
    <row r="6613">
      <c r="D6613" t="str">
        <f>IFERROR(__xludf.DUMMYFUNCTION("""COMPUTED_VALUE"""),"Smith")</f>
        <v>Smith</v>
      </c>
      <c r="E6613" t="str">
        <f>IFERROR(__xludf.DUMMYFUNCTION("""COMPUTED_VALUE"""),"Eric")</f>
        <v>Eric</v>
      </c>
      <c r="F6613">
        <f>IFERROR(__xludf.DUMMYFUNCTION("""COMPUTED_VALUE"""),16.25)</f>
        <v>16.25</v>
      </c>
    </row>
    <row r="6614">
      <c r="D6614" t="str">
        <f>IFERROR(__xludf.DUMMYFUNCTION("""COMPUTED_VALUE"""),"Smith")</f>
        <v>Smith</v>
      </c>
      <c r="E6614" t="str">
        <f>IFERROR(__xludf.DUMMYFUNCTION("""COMPUTED_VALUE"""),"Evan")</f>
        <v>Evan</v>
      </c>
      <c r="F6614">
        <f>IFERROR(__xludf.DUMMYFUNCTION("""COMPUTED_VALUE"""),19.25)</f>
        <v>19.25</v>
      </c>
    </row>
    <row r="6615">
      <c r="D6615" t="str">
        <f>IFERROR(__xludf.DUMMYFUNCTION("""COMPUTED_VALUE"""),"Smith")</f>
        <v>Smith</v>
      </c>
      <c r="E6615" t="str">
        <f>IFERROR(__xludf.DUMMYFUNCTION("""COMPUTED_VALUE"""),"Garrison")</f>
        <v>Garrison</v>
      </c>
      <c r="F6615">
        <f>IFERROR(__xludf.DUMMYFUNCTION("""COMPUTED_VALUE"""),15.75)</f>
        <v>15.75</v>
      </c>
    </row>
    <row r="6616">
      <c r="D6616" t="str">
        <f>IFERROR(__xludf.DUMMYFUNCTION("""COMPUTED_VALUE"""),"Smith")</f>
        <v>Smith</v>
      </c>
      <c r="E6616" t="str">
        <f>IFERROR(__xludf.DUMMYFUNCTION("""COMPUTED_VALUE"""),"Geno")</f>
        <v>Geno</v>
      </c>
      <c r="F6616">
        <f>IFERROR(__xludf.DUMMYFUNCTION("""COMPUTED_VALUE"""),18.5)</f>
        <v>18.5</v>
      </c>
    </row>
    <row r="6617">
      <c r="D6617" t="str">
        <f>IFERROR(__xludf.DUMMYFUNCTION("""COMPUTED_VALUE"""),"Smith")</f>
        <v>Smith</v>
      </c>
      <c r="E6617" t="str">
        <f>IFERROR(__xludf.DUMMYFUNCTION("""COMPUTED_VALUE"""),"Harrison")</f>
        <v>Harrison</v>
      </c>
      <c r="F6617">
        <f>IFERROR(__xludf.DUMMYFUNCTION("""COMPUTED_VALUE"""),22.0)</f>
        <v>22</v>
      </c>
    </row>
    <row r="6618">
      <c r="D6618" t="str">
        <f>IFERROR(__xludf.DUMMYFUNCTION("""COMPUTED_VALUE"""),"Smith")</f>
        <v>Smith</v>
      </c>
      <c r="E6618" t="str">
        <f>IFERROR(__xludf.DUMMYFUNCTION("""COMPUTED_VALUE"""),"Ito")</f>
        <v>Ito</v>
      </c>
      <c r="F6618">
        <f>IFERROR(__xludf.DUMMYFUNCTION("""COMPUTED_VALUE"""),17.5)</f>
        <v>17.5</v>
      </c>
    </row>
    <row r="6619">
      <c r="D6619" t="str">
        <f>IFERROR(__xludf.DUMMYFUNCTION("""COMPUTED_VALUE"""),"Smith")</f>
        <v>Smith</v>
      </c>
      <c r="E6619" t="str">
        <f>IFERROR(__xludf.DUMMYFUNCTION("""COMPUTED_VALUE"""),"Jaylon")</f>
        <v>Jaylon</v>
      </c>
      <c r="F6619">
        <f>IFERROR(__xludf.DUMMYFUNCTION("""COMPUTED_VALUE"""),19.5)</f>
        <v>19.5</v>
      </c>
    </row>
    <row r="6620">
      <c r="D6620" t="str">
        <f>IFERROR(__xludf.DUMMYFUNCTION("""COMPUTED_VALUE"""),"Smith")</f>
        <v>Smith</v>
      </c>
      <c r="E6620" t="str">
        <f>IFERROR(__xludf.DUMMYFUNCTION("""COMPUTED_VALUE"""),"Jimmy")</f>
        <v>Jimmy</v>
      </c>
      <c r="F6620">
        <f>IFERROR(__xludf.DUMMYFUNCTION("""COMPUTED_VALUE"""),21.25)</f>
        <v>21.25</v>
      </c>
    </row>
    <row r="6621">
      <c r="D6621" t="str">
        <f>IFERROR(__xludf.DUMMYFUNCTION("""COMPUTED_VALUE"""),"Smith")</f>
        <v>Smith</v>
      </c>
      <c r="E6621" t="str">
        <f>IFERROR(__xludf.DUMMYFUNCTION("""COMPUTED_VALUE"""),"Jonnu")</f>
        <v>Jonnu</v>
      </c>
      <c r="F6621">
        <f>IFERROR(__xludf.DUMMYFUNCTION("""COMPUTED_VALUE"""),18.25)</f>
        <v>18.25</v>
      </c>
    </row>
    <row r="6622">
      <c r="D6622" t="str">
        <f>IFERROR(__xludf.DUMMYFUNCTION("""COMPUTED_VALUE"""),"Smith")</f>
        <v>Smith</v>
      </c>
      <c r="E6622" t="str">
        <f>IFERROR(__xludf.DUMMYFUNCTION("""COMPUTED_VALUE"""),"Keith")</f>
        <v>Keith</v>
      </c>
      <c r="F6622">
        <f>IFERROR(__xludf.DUMMYFUNCTION("""COMPUTED_VALUE"""),16.5)</f>
        <v>16.5</v>
      </c>
    </row>
    <row r="6623">
      <c r="D6623" t="str">
        <f>IFERROR(__xludf.DUMMYFUNCTION("""COMPUTED_VALUE"""),"Smith")</f>
        <v>Smith</v>
      </c>
      <c r="E6623" t="str">
        <f>IFERROR(__xludf.DUMMYFUNCTION("""COMPUTED_VALUE"""),"Lee")</f>
        <v>Lee</v>
      </c>
      <c r="F6623">
        <f>IFERROR(__xludf.DUMMYFUNCTION("""COMPUTED_VALUE"""),16.75)</f>
        <v>16.75</v>
      </c>
    </row>
    <row r="6624">
      <c r="D6624" t="str">
        <f>IFERROR(__xludf.DUMMYFUNCTION("""COMPUTED_VALUE"""),"Smith")</f>
        <v>Smith</v>
      </c>
      <c r="E6624" t="str">
        <f>IFERROR(__xludf.DUMMYFUNCTION("""COMPUTED_VALUE"""),"Malcolm")</f>
        <v>Malcolm</v>
      </c>
      <c r="F6624">
        <f>IFERROR(__xludf.DUMMYFUNCTION("""COMPUTED_VALUE"""),18.25)</f>
        <v>18.25</v>
      </c>
    </row>
    <row r="6625">
      <c r="D6625" t="str">
        <f>IFERROR(__xludf.DUMMYFUNCTION("""COMPUTED_VALUE"""),"Smith")</f>
        <v>Smith</v>
      </c>
      <c r="E6625" t="str">
        <f>IFERROR(__xludf.DUMMYFUNCTION("""COMPUTED_VALUE"""),"Maurice")</f>
        <v>Maurice</v>
      </c>
      <c r="F6625">
        <f>IFERROR(__xludf.DUMMYFUNCTION("""COMPUTED_VALUE"""),17.0)</f>
        <v>17</v>
      </c>
    </row>
    <row r="6626">
      <c r="D6626" t="str">
        <f>IFERROR(__xludf.DUMMYFUNCTION("""COMPUTED_VALUE"""),"Smith")</f>
        <v>Smith</v>
      </c>
      <c r="E6626" t="str">
        <f>IFERROR(__xludf.DUMMYFUNCTION("""COMPUTED_VALUE"""),"Preston")</f>
        <v>Preston</v>
      </c>
      <c r="F6626">
        <f>IFERROR(__xludf.DUMMYFUNCTION("""COMPUTED_VALUE"""),19.25)</f>
        <v>19.25</v>
      </c>
    </row>
    <row r="6627">
      <c r="D6627" t="str">
        <f>IFERROR(__xludf.DUMMYFUNCTION("""COMPUTED_VALUE"""),"Smith")</f>
        <v>Smith</v>
      </c>
      <c r="E6627" t="str">
        <f>IFERROR(__xludf.DUMMYFUNCTION("""COMPUTED_VALUE"""),"Rod")</f>
        <v>Rod</v>
      </c>
      <c r="F6627">
        <f>IFERROR(__xludf.DUMMYFUNCTION("""COMPUTED_VALUE"""),17.75)</f>
        <v>17.75</v>
      </c>
    </row>
    <row r="6628">
      <c r="D6628" t="str">
        <f>IFERROR(__xludf.DUMMYFUNCTION("""COMPUTED_VALUE"""),"Smith")</f>
        <v>Smith</v>
      </c>
      <c r="E6628" t="str">
        <f>IFERROR(__xludf.DUMMYFUNCTION("""COMPUTED_VALUE"""),"Roquan")</f>
        <v>Roquan</v>
      </c>
      <c r="F6628">
        <f>IFERROR(__xludf.DUMMYFUNCTION("""COMPUTED_VALUE"""),19.75)</f>
        <v>19.75</v>
      </c>
    </row>
    <row r="6629">
      <c r="D6629" t="str">
        <f>IFERROR(__xludf.DUMMYFUNCTION("""COMPUTED_VALUE"""),"Smith")</f>
        <v>Smith</v>
      </c>
      <c r="E6629" t="str">
        <f>IFERROR(__xludf.DUMMYFUNCTION("""COMPUTED_VALUE"""),"Ryan")</f>
        <v>Ryan</v>
      </c>
      <c r="F6629">
        <f>IFERROR(__xludf.DUMMYFUNCTION("""COMPUTED_VALUE"""),17.25)</f>
        <v>17.25</v>
      </c>
    </row>
    <row r="6630">
      <c r="D6630" t="str">
        <f>IFERROR(__xludf.DUMMYFUNCTION("""COMPUTED_VALUE"""),"Smith")</f>
        <v>Smith</v>
      </c>
      <c r="E6630" t="str">
        <f>IFERROR(__xludf.DUMMYFUNCTION("""COMPUTED_VALUE"""),"Shane")</f>
        <v>Shane</v>
      </c>
      <c r="F6630">
        <f>IFERROR(__xludf.DUMMYFUNCTION("""COMPUTED_VALUE"""),16.25)</f>
        <v>16.25</v>
      </c>
    </row>
    <row r="6631">
      <c r="D6631" t="str">
        <f>IFERROR(__xludf.DUMMYFUNCTION("""COMPUTED_VALUE"""),"Smith")</f>
        <v>Smith</v>
      </c>
      <c r="E6631" t="str">
        <f>IFERROR(__xludf.DUMMYFUNCTION("""COMPUTED_VALUE"""),"Telvin")</f>
        <v>Telvin</v>
      </c>
      <c r="F6631">
        <f>IFERROR(__xludf.DUMMYFUNCTION("""COMPUTED_VALUE"""),21.25)</f>
        <v>21.25</v>
      </c>
    </row>
    <row r="6632">
      <c r="D6632" t="str">
        <f>IFERROR(__xludf.DUMMYFUNCTION("""COMPUTED_VALUE"""),"Smith")</f>
        <v>Smith</v>
      </c>
      <c r="E6632" t="str">
        <f>IFERROR(__xludf.DUMMYFUNCTION("""COMPUTED_VALUE"""),"Terrance")</f>
        <v>Terrance</v>
      </c>
      <c r="F6632">
        <f>IFERROR(__xludf.DUMMYFUNCTION("""COMPUTED_VALUE"""),17.75)</f>
        <v>17.75</v>
      </c>
    </row>
    <row r="6633">
      <c r="D6633" t="str">
        <f>IFERROR(__xludf.DUMMYFUNCTION("""COMPUTED_VALUE"""),"Smith")</f>
        <v>Smith</v>
      </c>
      <c r="E6633" t="str">
        <f>IFERROR(__xludf.DUMMYFUNCTION("""COMPUTED_VALUE"""),"Torrey")</f>
        <v>Torrey</v>
      </c>
      <c r="F6633">
        <f>IFERROR(__xludf.DUMMYFUNCTION("""COMPUTED_VALUE"""),19.0)</f>
        <v>19</v>
      </c>
    </row>
    <row r="6634">
      <c r="D6634" t="str">
        <f>IFERROR(__xludf.DUMMYFUNCTION("""COMPUTED_VALUE"""),"Smith")</f>
        <v>Smith</v>
      </c>
      <c r="E6634" t="str">
        <f>IFERROR(__xludf.DUMMYFUNCTION("""COMPUTED_VALUE"""),"Tremon")</f>
        <v>Tremon</v>
      </c>
      <c r="F6634">
        <f>IFERROR(__xludf.DUMMYFUNCTION("""COMPUTED_VALUE"""),18.0)</f>
        <v>18</v>
      </c>
    </row>
    <row r="6635">
      <c r="D6635" t="str">
        <f>IFERROR(__xludf.DUMMYFUNCTION("""COMPUTED_VALUE"""),"Smith")</f>
        <v>Smith</v>
      </c>
      <c r="E6635" t="str">
        <f>IFERROR(__xludf.DUMMYFUNCTION("""COMPUTED_VALUE"""),"Trequan")</f>
        <v>Trequan</v>
      </c>
      <c r="F6635">
        <f>IFERROR(__xludf.DUMMYFUNCTION("""COMPUTED_VALUE"""),18.75)</f>
        <v>18.75</v>
      </c>
    </row>
    <row r="6636">
      <c r="D6636" t="str">
        <f>IFERROR(__xludf.DUMMYFUNCTION("""COMPUTED_VALUE"""),"Smith")</f>
        <v>Smith</v>
      </c>
      <c r="E6636" t="str">
        <f>IFERROR(__xludf.DUMMYFUNCTION("""COMPUTED_VALUE"""),"Tye")</f>
        <v>Tye</v>
      </c>
      <c r="F6636">
        <f>IFERROR(__xludf.DUMMYFUNCTION("""COMPUTED_VALUE"""),16.5)</f>
        <v>16.5</v>
      </c>
    </row>
    <row r="6637">
      <c r="D6637" t="str">
        <f>IFERROR(__xludf.DUMMYFUNCTION("""COMPUTED_VALUE"""),"Smith")</f>
        <v>Smith</v>
      </c>
      <c r="E6637" t="str">
        <f>IFERROR(__xludf.DUMMYFUNCTION("""COMPUTED_VALUE"""),"Tyron")</f>
        <v>Tyron</v>
      </c>
      <c r="F6637">
        <f>IFERROR(__xludf.DUMMYFUNCTION("""COMPUTED_VALUE"""),22.0)</f>
        <v>22</v>
      </c>
    </row>
    <row r="6638">
      <c r="D6638" t="str">
        <f>IFERROR(__xludf.DUMMYFUNCTION("""COMPUTED_VALUE"""),"Smith")</f>
        <v>Smith</v>
      </c>
      <c r="E6638" t="str">
        <f>IFERROR(__xludf.DUMMYFUNCTION("""COMPUTED_VALUE"""),"ZaDarius")</f>
        <v>ZaDarius</v>
      </c>
      <c r="F6638">
        <f>IFERROR(__xludf.DUMMYFUNCTION("""COMPUTED_VALUE"""),17.5)</f>
        <v>17.5</v>
      </c>
    </row>
    <row r="6639">
      <c r="D6639" t="str">
        <f>IFERROR(__xludf.DUMMYFUNCTION("""COMPUTED_VALUE"""),"Smith II")</f>
        <v>Smith II</v>
      </c>
      <c r="E6639" t="str">
        <f>IFERROR(__xludf.DUMMYFUNCTION("""COMPUTED_VALUE"""),"Marcus")</f>
        <v>Marcus</v>
      </c>
      <c r="F6639">
        <f>IFERROR(__xludf.DUMMYFUNCTION("""COMPUTED_VALUE"""),17.5)</f>
        <v>17.5</v>
      </c>
    </row>
    <row r="6640">
      <c r="D6640" t="str">
        <f>IFERROR(__xludf.DUMMYFUNCTION("""COMPUTED_VALUE"""),"Smith III")</f>
        <v>Smith III</v>
      </c>
      <c r="E6640" t="str">
        <f>IFERROR(__xludf.DUMMYFUNCTION("""COMPUTED_VALUE"""),"CJ")</f>
        <v>CJ</v>
      </c>
      <c r="F6640">
        <f>IFERROR(__xludf.DUMMYFUNCTION("""COMPUTED_VALUE"""),15.5)</f>
        <v>15.5</v>
      </c>
    </row>
    <row r="6641">
      <c r="D6641" t="str">
        <f>IFERROR(__xludf.DUMMYFUNCTION("""COMPUTED_VALUE"""),"Smith-Schuster")</f>
        <v>Smith-Schuster</v>
      </c>
      <c r="E6641" t="str">
        <f>IFERROR(__xludf.DUMMYFUNCTION("""COMPUTED_VALUE"""),"JuJu")</f>
        <v>JuJu</v>
      </c>
      <c r="F6641">
        <f>IFERROR(__xludf.DUMMYFUNCTION("""COMPUTED_VALUE"""),20.0)</f>
        <v>20</v>
      </c>
    </row>
    <row r="6642">
      <c r="D6642" t="str">
        <f>IFERROR(__xludf.DUMMYFUNCTION("""COMPUTED_VALUE"""),"Smithson")</f>
        <v>Smithson</v>
      </c>
      <c r="E6642" t="str">
        <f>IFERROR(__xludf.DUMMYFUNCTION("""COMPUTED_VALUE"""),"Fish")</f>
        <v>Fish</v>
      </c>
      <c r="F6642">
        <f>IFERROR(__xludf.DUMMYFUNCTION("""COMPUTED_VALUE"""),15.5)</f>
        <v>15.5</v>
      </c>
    </row>
    <row r="6643">
      <c r="D6643" t="str">
        <f>IFERROR(__xludf.DUMMYFUNCTION("""COMPUTED_VALUE"""),"Smoot")</f>
        <v>Smoot</v>
      </c>
      <c r="E6643" t="str">
        <f>IFERROR(__xludf.DUMMYFUNCTION("""COMPUTED_VALUE"""),"Dawuane")</f>
        <v>Dawuane</v>
      </c>
      <c r="F6643">
        <f>IFERROR(__xludf.DUMMYFUNCTION("""COMPUTED_VALUE"""),18.0)</f>
        <v>18</v>
      </c>
    </row>
    <row r="6644">
      <c r="D6644" t="str">
        <f>IFERROR(__xludf.DUMMYFUNCTION("""COMPUTED_VALUE"""),"Smythe")</f>
        <v>Smythe</v>
      </c>
      <c r="E6644" t="str">
        <f>IFERROR(__xludf.DUMMYFUNCTION("""COMPUTED_VALUE"""),"Durham")</f>
        <v>Durham</v>
      </c>
      <c r="F6644">
        <f>IFERROR(__xludf.DUMMYFUNCTION("""COMPUTED_VALUE"""),17.5)</f>
        <v>17.5</v>
      </c>
    </row>
    <row r="6645">
      <c r="D6645" t="str">
        <f>IFERROR(__xludf.DUMMYFUNCTION("""COMPUTED_VALUE"""),"Snead IV")</f>
        <v>Snead IV</v>
      </c>
      <c r="E6645" t="str">
        <f>IFERROR(__xludf.DUMMYFUNCTION("""COMPUTED_VALUE"""),"Willie")</f>
        <v>Willie</v>
      </c>
      <c r="F6645">
        <f>IFERROR(__xludf.DUMMYFUNCTION("""COMPUTED_VALUE"""),18.75)</f>
        <v>18.75</v>
      </c>
    </row>
    <row r="6646">
      <c r="D6646" t="str">
        <f>IFERROR(__xludf.DUMMYFUNCTION("""COMPUTED_VALUE"""),"Sokoli")</f>
        <v>Sokoli</v>
      </c>
      <c r="E6646" t="str">
        <f>IFERROR(__xludf.DUMMYFUNCTION("""COMPUTED_VALUE"""),"Kristjan")</f>
        <v>Kristjan</v>
      </c>
      <c r="F6646">
        <f>IFERROR(__xludf.DUMMYFUNCTION("""COMPUTED_VALUE"""),16.75)</f>
        <v>16.75</v>
      </c>
    </row>
    <row r="6647">
      <c r="D6647" t="str">
        <f>IFERROR(__xludf.DUMMYFUNCTION("""COMPUTED_VALUE"""),"Solder")</f>
        <v>Solder</v>
      </c>
      <c r="E6647" t="str">
        <f>IFERROR(__xludf.DUMMYFUNCTION("""COMPUTED_VALUE"""),"Nate")</f>
        <v>Nate</v>
      </c>
      <c r="F6647">
        <f>IFERROR(__xludf.DUMMYFUNCTION("""COMPUTED_VALUE"""),20.5)</f>
        <v>20.5</v>
      </c>
    </row>
    <row r="6648">
      <c r="D6648" t="str">
        <f>IFERROR(__xludf.DUMMYFUNCTION("""COMPUTED_VALUE"""),"Sorensen")</f>
        <v>Sorensen</v>
      </c>
      <c r="E6648" t="str">
        <f>IFERROR(__xludf.DUMMYFUNCTION("""COMPUTED_VALUE"""),"Daniel")</f>
        <v>Daniel</v>
      </c>
      <c r="F6648">
        <f>IFERROR(__xludf.DUMMYFUNCTION("""COMPUTED_VALUE"""),18.25)</f>
        <v>18.25</v>
      </c>
    </row>
    <row r="6649">
      <c r="D6649" t="str">
        <f>IFERROR(__xludf.DUMMYFUNCTION("""COMPUTED_VALUE"""),"Southward")</f>
        <v>Southward</v>
      </c>
      <c r="E6649" t="str">
        <f>IFERROR(__xludf.DUMMYFUNCTION("""COMPUTED_VALUE"""),"Dezmen")</f>
        <v>Dezmen</v>
      </c>
      <c r="F6649">
        <f>IFERROR(__xludf.DUMMYFUNCTION("""COMPUTED_VALUE"""),17.75)</f>
        <v>17.75</v>
      </c>
    </row>
    <row r="6650">
      <c r="D6650" t="str">
        <f>IFERROR(__xludf.DUMMYFUNCTION("""COMPUTED_VALUE"""),"Sowell")</f>
        <v>Sowell</v>
      </c>
      <c r="E6650" t="str">
        <f>IFERROR(__xludf.DUMMYFUNCTION("""COMPUTED_VALUE"""),"Bradley")</f>
        <v>Bradley</v>
      </c>
      <c r="F6650">
        <f>IFERROR(__xludf.DUMMYFUNCTION("""COMPUTED_VALUE"""),17.0)</f>
        <v>17</v>
      </c>
    </row>
    <row r="6651">
      <c r="D6651" t="str">
        <f>IFERROR(__xludf.DUMMYFUNCTION("""COMPUTED_VALUE"""),"Spaight")</f>
        <v>Spaight</v>
      </c>
      <c r="E6651" t="str">
        <f>IFERROR(__xludf.DUMMYFUNCTION("""COMPUTED_VALUE"""),"Martrell")</f>
        <v>Martrell</v>
      </c>
      <c r="F6651">
        <f>IFERROR(__xludf.DUMMYFUNCTION("""COMPUTED_VALUE"""),18.0)</f>
        <v>18</v>
      </c>
    </row>
    <row r="6652">
      <c r="D6652" t="str">
        <f>IFERROR(__xludf.DUMMYFUNCTION("""COMPUTED_VALUE"""),"Spain")</f>
        <v>Spain</v>
      </c>
      <c r="E6652" t="str">
        <f>IFERROR(__xludf.DUMMYFUNCTION("""COMPUTED_VALUE"""),"Quinton")</f>
        <v>Quinton</v>
      </c>
      <c r="F6652">
        <f>IFERROR(__xludf.DUMMYFUNCTION("""COMPUTED_VALUE"""),19.5)</f>
        <v>19.5</v>
      </c>
    </row>
    <row r="6653">
      <c r="D6653" t="str">
        <f>IFERROR(__xludf.DUMMYFUNCTION("""COMPUTED_VALUE"""),"Speaks")</f>
        <v>Speaks</v>
      </c>
      <c r="E6653" t="str">
        <f>IFERROR(__xludf.DUMMYFUNCTION("""COMPUTED_VALUE"""),"Breeland")</f>
        <v>Breeland</v>
      </c>
      <c r="F6653">
        <f>IFERROR(__xludf.DUMMYFUNCTION("""COMPUTED_VALUE"""),18.5)</f>
        <v>18.5</v>
      </c>
    </row>
    <row r="6654">
      <c r="D6654" t="str">
        <f>IFERROR(__xludf.DUMMYFUNCTION("""COMPUTED_VALUE"""),"Spence")</f>
        <v>Spence</v>
      </c>
      <c r="E6654" t="str">
        <f>IFERROR(__xludf.DUMMYFUNCTION("""COMPUTED_VALUE"""),"Akeem")</f>
        <v>Akeem</v>
      </c>
      <c r="F6654">
        <f>IFERROR(__xludf.DUMMYFUNCTION("""COMPUTED_VALUE"""),18.75)</f>
        <v>18.75</v>
      </c>
    </row>
    <row r="6655">
      <c r="D6655" t="str">
        <f>IFERROR(__xludf.DUMMYFUNCTION("""COMPUTED_VALUE"""),"Spence")</f>
        <v>Spence</v>
      </c>
      <c r="E6655" t="str">
        <f>IFERROR(__xludf.DUMMYFUNCTION("""COMPUTED_VALUE"""),"Noah")</f>
        <v>Noah</v>
      </c>
      <c r="F6655">
        <f>IFERROR(__xludf.DUMMYFUNCTION("""COMPUTED_VALUE"""),18.5)</f>
        <v>18.5</v>
      </c>
    </row>
    <row r="6656">
      <c r="D6656" t="str">
        <f>IFERROR(__xludf.DUMMYFUNCTION("""COMPUTED_VALUE"""),"Spriggs")</f>
        <v>Spriggs</v>
      </c>
      <c r="E6656" t="str">
        <f>IFERROR(__xludf.DUMMYFUNCTION("""COMPUTED_VALUE"""),"Jason")</f>
        <v>Jason</v>
      </c>
      <c r="F6656">
        <f>IFERROR(__xludf.DUMMYFUNCTION("""COMPUTED_VALUE"""),17.75)</f>
        <v>17.75</v>
      </c>
    </row>
    <row r="6657">
      <c r="D6657" t="str">
        <f>IFERROR(__xludf.DUMMYFUNCTION("""COMPUTED_VALUE"""),"Sprinkle")</f>
        <v>Sprinkle</v>
      </c>
      <c r="E6657" t="str">
        <f>IFERROR(__xludf.DUMMYFUNCTION("""COMPUTED_VALUE"""),"Jeremy")</f>
        <v>Jeremy</v>
      </c>
      <c r="F6657">
        <f>IFERROR(__xludf.DUMMYFUNCTION("""COMPUTED_VALUE"""),17.25)</f>
        <v>17.25</v>
      </c>
    </row>
    <row r="6658">
      <c r="D6658" t="str">
        <f>IFERROR(__xludf.DUMMYFUNCTION("""COMPUTED_VALUE"""),"Sproles")</f>
        <v>Sproles</v>
      </c>
      <c r="E6658" t="str">
        <f>IFERROR(__xludf.DUMMYFUNCTION("""COMPUTED_VALUE"""),"Darren")</f>
        <v>Darren</v>
      </c>
      <c r="F6658">
        <f>IFERROR(__xludf.DUMMYFUNCTION("""COMPUTED_VALUE"""),18.75)</f>
        <v>18.75</v>
      </c>
    </row>
    <row r="6659">
      <c r="D6659" t="str">
        <f>IFERROR(__xludf.DUMMYFUNCTION("""COMPUTED_VALUE"""),"Square")</f>
        <v>Square</v>
      </c>
      <c r="E6659" t="str">
        <f>IFERROR(__xludf.DUMMYFUNCTION("""COMPUTED_VALUE"""),"Damion")</f>
        <v>Damion</v>
      </c>
      <c r="F6659">
        <f>IFERROR(__xludf.DUMMYFUNCTION("""COMPUTED_VALUE"""),16.25)</f>
        <v>16.25</v>
      </c>
    </row>
    <row r="6660">
      <c r="D6660" t="str">
        <f>IFERROR(__xludf.DUMMYFUNCTION("""COMPUTED_VALUE"""),"St. Brown")</f>
        <v>St. Brown</v>
      </c>
      <c r="E6660" t="str">
        <f>IFERROR(__xludf.DUMMYFUNCTION("""COMPUTED_VALUE"""),"Equanimeous")</f>
        <v>Equanimeous</v>
      </c>
      <c r="F6660">
        <f>IFERROR(__xludf.DUMMYFUNCTION("""COMPUTED_VALUE"""),17.0)</f>
        <v>17</v>
      </c>
    </row>
    <row r="6661">
      <c r="D6661" t="str">
        <f>IFERROR(__xludf.DUMMYFUNCTION("""COMPUTED_VALUE"""),"Stafford")</f>
        <v>Stafford</v>
      </c>
      <c r="E6661" t="str">
        <f>IFERROR(__xludf.DUMMYFUNCTION("""COMPUTED_VALUE"""),"Matthew")</f>
        <v>Matthew</v>
      </c>
      <c r="F6661">
        <f>IFERROR(__xludf.DUMMYFUNCTION("""COMPUTED_VALUE"""),20.75)</f>
        <v>20.75</v>
      </c>
    </row>
    <row r="6662">
      <c r="D6662" t="str">
        <f>IFERROR(__xludf.DUMMYFUNCTION("""COMPUTED_VALUE"""),"Stafford")</f>
        <v>Stafford</v>
      </c>
      <c r="E6662" t="str">
        <f>IFERROR(__xludf.DUMMYFUNCTION("""COMPUTED_VALUE"""),"Matthew")</f>
        <v>Matthew</v>
      </c>
      <c r="F6662">
        <f>IFERROR(__xludf.DUMMYFUNCTION("""COMPUTED_VALUE"""),22.25)</f>
        <v>22.25</v>
      </c>
    </row>
    <row r="6663">
      <c r="D6663" t="str">
        <f>IFERROR(__xludf.DUMMYFUNCTION("""COMPUTED_VALUE"""),"Staley")</f>
        <v>Staley</v>
      </c>
      <c r="E6663" t="str">
        <f>IFERROR(__xludf.DUMMYFUNCTION("""COMPUTED_VALUE"""),"Joe")</f>
        <v>Joe</v>
      </c>
      <c r="F6663">
        <f>IFERROR(__xludf.DUMMYFUNCTION("""COMPUTED_VALUE"""),21.0)</f>
        <v>21</v>
      </c>
    </row>
    <row r="6664">
      <c r="D6664" t="str">
        <f>IFERROR(__xludf.DUMMYFUNCTION("""COMPUTED_VALUE"""),"Stanford")</f>
        <v>Stanford</v>
      </c>
      <c r="E6664" t="str">
        <f>IFERROR(__xludf.DUMMYFUNCTION("""COMPUTED_VALUE"""),"Julian")</f>
        <v>Julian</v>
      </c>
      <c r="F6664">
        <f>IFERROR(__xludf.DUMMYFUNCTION("""COMPUTED_VALUE"""),17.25)</f>
        <v>17.25</v>
      </c>
    </row>
    <row r="6665">
      <c r="D6665" t="str">
        <f>IFERROR(__xludf.DUMMYFUNCTION("""COMPUTED_VALUE"""),"Stanley")</f>
        <v>Stanley</v>
      </c>
      <c r="E6665" t="str">
        <f>IFERROR(__xludf.DUMMYFUNCTION("""COMPUTED_VALUE"""),"Ronnie")</f>
        <v>Ronnie</v>
      </c>
      <c r="F6665">
        <f>IFERROR(__xludf.DUMMYFUNCTION("""COMPUTED_VALUE"""),19.75)</f>
        <v>19.75</v>
      </c>
    </row>
    <row r="6666">
      <c r="D6666" t="str">
        <f>IFERROR(__xludf.DUMMYFUNCTION("""COMPUTED_VALUE"""),"Stanton")</f>
        <v>Stanton</v>
      </c>
      <c r="E6666" t="str">
        <f>IFERROR(__xludf.DUMMYFUNCTION("""COMPUTED_VALUE"""),"Drew")</f>
        <v>Drew</v>
      </c>
      <c r="F6666">
        <f>IFERROR(__xludf.DUMMYFUNCTION("""COMPUTED_VALUE"""),18.25)</f>
        <v>18.25</v>
      </c>
    </row>
    <row r="6667">
      <c r="D6667" t="str">
        <f>IFERROR(__xludf.DUMMYFUNCTION("""COMPUTED_VALUE"""),"Stephenson")</f>
        <v>Stephenson</v>
      </c>
      <c r="E6667" t="str">
        <f>IFERROR(__xludf.DUMMYFUNCTION("""COMPUTED_VALUE"""),"Donald")</f>
        <v>Donald</v>
      </c>
      <c r="F6667">
        <f>IFERROR(__xludf.DUMMYFUNCTION("""COMPUTED_VALUE"""),18.75)</f>
        <v>18.75</v>
      </c>
    </row>
    <row r="6668">
      <c r="D6668" t="str">
        <f>IFERROR(__xludf.DUMMYFUNCTION("""COMPUTED_VALUE"""),"Sterling")</f>
        <v>Sterling</v>
      </c>
      <c r="E6668" t="str">
        <f>IFERROR(__xludf.DUMMYFUNCTION("""COMPUTED_VALUE"""),"Neal")</f>
        <v>Neal</v>
      </c>
      <c r="F6668">
        <f>IFERROR(__xludf.DUMMYFUNCTION("""COMPUTED_VALUE"""),17.75)</f>
        <v>17.75</v>
      </c>
    </row>
    <row r="6669">
      <c r="D6669" t="str">
        <f>IFERROR(__xludf.DUMMYFUNCTION("""COMPUTED_VALUE"""),"Sterup")</f>
        <v>Sterup</v>
      </c>
      <c r="E6669" t="str">
        <f>IFERROR(__xludf.DUMMYFUNCTION("""COMPUTED_VALUE"""),"Zach")</f>
        <v>Zach</v>
      </c>
      <c r="F6669">
        <f>IFERROR(__xludf.DUMMYFUNCTION("""COMPUTED_VALUE"""),17.25)</f>
        <v>17.25</v>
      </c>
    </row>
    <row r="6670">
      <c r="D6670" t="str">
        <f>IFERROR(__xludf.DUMMYFUNCTION("""COMPUTED_VALUE"""),"Stevenson")</f>
        <v>Stevenson</v>
      </c>
      <c r="E6670" t="str">
        <f>IFERROR(__xludf.DUMMYFUNCTION("""COMPUTED_VALUE"""),"Freddie")</f>
        <v>Freddie</v>
      </c>
      <c r="F6670">
        <f>IFERROR(__xludf.DUMMYFUNCTION("""COMPUTED_VALUE"""),15.25)</f>
        <v>15.25</v>
      </c>
    </row>
    <row r="6671">
      <c r="D6671" t="str">
        <f>IFERROR(__xludf.DUMMYFUNCTION("""COMPUTED_VALUE"""),"Stewart")</f>
        <v>Stewart</v>
      </c>
      <c r="E6671" t="str">
        <f>IFERROR(__xludf.DUMMYFUNCTION("""COMPUTED_VALUE"""),"ArDarius")</f>
        <v>ArDarius</v>
      </c>
      <c r="F6671">
        <f>IFERROR(__xludf.DUMMYFUNCTION("""COMPUTED_VALUE"""),18.25)</f>
        <v>18.25</v>
      </c>
    </row>
    <row r="6672">
      <c r="D6672" t="str">
        <f>IFERROR(__xludf.DUMMYFUNCTION("""COMPUTED_VALUE"""),"Stewart")</f>
        <v>Stewart</v>
      </c>
      <c r="E6672" t="str">
        <f>IFERROR(__xludf.DUMMYFUNCTION("""COMPUTED_VALUE"""),"Darian")</f>
        <v>Darian</v>
      </c>
      <c r="F6672">
        <f>IFERROR(__xludf.DUMMYFUNCTION("""COMPUTED_VALUE"""),19.5)</f>
        <v>19.5</v>
      </c>
    </row>
    <row r="6673">
      <c r="D6673" t="str">
        <f>IFERROR(__xludf.DUMMYFUNCTION("""COMPUTED_VALUE"""),"Stewart")</f>
        <v>Stewart</v>
      </c>
      <c r="E6673" t="str">
        <f>IFERROR(__xludf.DUMMYFUNCTION("""COMPUTED_VALUE"""),"Grover")</f>
        <v>Grover</v>
      </c>
      <c r="F6673">
        <f>IFERROR(__xludf.DUMMYFUNCTION("""COMPUTED_VALUE"""),17.0)</f>
        <v>17</v>
      </c>
    </row>
    <row r="6674">
      <c r="D6674" t="str">
        <f>IFERROR(__xludf.DUMMYFUNCTION("""COMPUTED_VALUE"""),"Stewart")</f>
        <v>Stewart</v>
      </c>
      <c r="E6674" t="str">
        <f>IFERROR(__xludf.DUMMYFUNCTION("""COMPUTED_VALUE"""),"Jonathan")</f>
        <v>Jonathan</v>
      </c>
      <c r="F6674">
        <f>IFERROR(__xludf.DUMMYFUNCTION("""COMPUTED_VALUE"""),20.0)</f>
        <v>20</v>
      </c>
    </row>
    <row r="6675">
      <c r="D6675" t="str">
        <f>IFERROR(__xludf.DUMMYFUNCTION("""COMPUTED_VALUE"""),"Stewart")</f>
        <v>Stewart</v>
      </c>
      <c r="E6675" t="str">
        <f>IFERROR(__xludf.DUMMYFUNCTION("""COMPUTED_VALUE"""),"Orion")</f>
        <v>Orion</v>
      </c>
      <c r="F6675">
        <f>IFERROR(__xludf.DUMMYFUNCTION("""COMPUTED_VALUE"""),16.25)</f>
        <v>16.25</v>
      </c>
    </row>
    <row r="6676">
      <c r="D6676" t="str">
        <f>IFERROR(__xludf.DUMMYFUNCTION("""COMPUTED_VALUE"""),"Stewart Jr")</f>
        <v>Stewart Jr</v>
      </c>
      <c r="E6676" t="str">
        <f>IFERROR(__xludf.DUMMYFUNCTION("""COMPUTED_VALUE"""),"JM")</f>
        <v>JM</v>
      </c>
      <c r="F6676">
        <f>IFERROR(__xludf.DUMMYFUNCTION("""COMPUTED_VALUE"""),18.5)</f>
        <v>18.5</v>
      </c>
    </row>
    <row r="6677">
      <c r="D6677" t="str">
        <f>IFERROR(__xludf.DUMMYFUNCTION("""COMPUTED_VALUE"""),"Stills")</f>
        <v>Stills</v>
      </c>
      <c r="E6677" t="str">
        <f>IFERROR(__xludf.DUMMYFUNCTION("""COMPUTED_VALUE"""),"Kenny")</f>
        <v>Kenny</v>
      </c>
      <c r="F6677">
        <f>IFERROR(__xludf.DUMMYFUNCTION("""COMPUTED_VALUE"""),19.75)</f>
        <v>19.75</v>
      </c>
    </row>
    <row r="6678">
      <c r="D6678" t="str">
        <f>IFERROR(__xludf.DUMMYFUNCTION("""COMPUTED_VALUE"""),"Stocker")</f>
        <v>Stocker</v>
      </c>
      <c r="E6678" t="str">
        <f>IFERROR(__xludf.DUMMYFUNCTION("""COMPUTED_VALUE"""),"Luke")</f>
        <v>Luke</v>
      </c>
      <c r="F6678">
        <f>IFERROR(__xludf.DUMMYFUNCTION("""COMPUTED_VALUE"""),18.0)</f>
        <v>18</v>
      </c>
    </row>
    <row r="6679">
      <c r="D6679" t="str">
        <f>IFERROR(__xludf.DUMMYFUNCTION("""COMPUTED_VALUE"""),"Streater")</f>
        <v>Streater</v>
      </c>
      <c r="E6679" t="str">
        <f>IFERROR(__xludf.DUMMYFUNCTION("""COMPUTED_VALUE"""),"Rod")</f>
        <v>Rod</v>
      </c>
      <c r="F6679">
        <f>IFERROR(__xludf.DUMMYFUNCTION("""COMPUTED_VALUE"""),17.75)</f>
        <v>17.75</v>
      </c>
    </row>
    <row r="6680">
      <c r="D6680" t="str">
        <f>IFERROR(__xludf.DUMMYFUNCTION("""COMPUTED_VALUE"""),"Street")</f>
        <v>Street</v>
      </c>
      <c r="E6680" t="str">
        <f>IFERROR(__xludf.DUMMYFUNCTION("""COMPUTED_VALUE"""),"Kentavius")</f>
        <v>Kentavius</v>
      </c>
      <c r="F6680">
        <f>IFERROR(__xludf.DUMMYFUNCTION("""COMPUTED_VALUE"""),17.25)</f>
        <v>17.25</v>
      </c>
    </row>
    <row r="6681">
      <c r="D6681" t="str">
        <f>IFERROR(__xludf.DUMMYFUNCTION("""COMPUTED_VALUE"""),"Stribling")</f>
        <v>Stribling</v>
      </c>
      <c r="E6681" t="str">
        <f>IFERROR(__xludf.DUMMYFUNCTION("""COMPUTED_VALUE"""),"Channing")</f>
        <v>Channing</v>
      </c>
      <c r="F6681">
        <f>IFERROR(__xludf.DUMMYFUNCTION("""COMPUTED_VALUE"""),15.75)</f>
        <v>15.75</v>
      </c>
    </row>
    <row r="6682">
      <c r="D6682" t="str">
        <f>IFERROR(__xludf.DUMMYFUNCTION("""COMPUTED_VALUE"""),"Stroman")</f>
        <v>Stroman</v>
      </c>
      <c r="E6682" t="str">
        <f>IFERROR(__xludf.DUMMYFUNCTION("""COMPUTED_VALUE"""),"Greg")</f>
        <v>Greg</v>
      </c>
      <c r="F6682">
        <f>IFERROR(__xludf.DUMMYFUNCTION("""COMPUTED_VALUE"""),17.25)</f>
        <v>17.25</v>
      </c>
    </row>
    <row r="6683">
      <c r="D6683" t="str">
        <f>IFERROR(__xludf.DUMMYFUNCTION("""COMPUTED_VALUE"""),"Stupar")</f>
        <v>Stupar</v>
      </c>
      <c r="E6683" t="str">
        <f>IFERROR(__xludf.DUMMYFUNCTION("""COMPUTED_VALUE"""),"Nathan")</f>
        <v>Nathan</v>
      </c>
      <c r="F6683">
        <f>IFERROR(__xludf.DUMMYFUNCTION("""COMPUTED_VALUE"""),17.75)</f>
        <v>17.75</v>
      </c>
    </row>
    <row r="6684">
      <c r="D6684" t="str">
        <f>IFERROR(__xludf.DUMMYFUNCTION("""COMPUTED_VALUE"""),"Sturgis")</f>
        <v>Sturgis</v>
      </c>
      <c r="E6684" t="str">
        <f>IFERROR(__xludf.DUMMYFUNCTION("""COMPUTED_VALUE"""),"Caleb")</f>
        <v>Caleb</v>
      </c>
      <c r="F6684">
        <f>IFERROR(__xludf.DUMMYFUNCTION("""COMPUTED_VALUE"""),19.75)</f>
        <v>19.75</v>
      </c>
    </row>
    <row r="6685">
      <c r="D6685" t="str">
        <f>IFERROR(__xludf.DUMMYFUNCTION("""COMPUTED_VALUE"""),"Sua-Filo")</f>
        <v>Sua-Filo</v>
      </c>
      <c r="E6685" t="str">
        <f>IFERROR(__xludf.DUMMYFUNCTION("""COMPUTED_VALUE"""),"Xavier")</f>
        <v>Xavier</v>
      </c>
      <c r="F6685">
        <f>IFERROR(__xludf.DUMMYFUNCTION("""COMPUTED_VALUE"""),17.75)</f>
        <v>17.75</v>
      </c>
    </row>
    <row r="6686">
      <c r="D6686" t="str">
        <f>IFERROR(__xludf.DUMMYFUNCTION("""COMPUTED_VALUE"""),"Succop")</f>
        <v>Succop</v>
      </c>
      <c r="E6686" t="str">
        <f>IFERROR(__xludf.DUMMYFUNCTION("""COMPUTED_VALUE"""),"Ryan")</f>
        <v>Ryan</v>
      </c>
      <c r="F6686">
        <f>IFERROR(__xludf.DUMMYFUNCTION("""COMPUTED_VALUE"""),19.25)</f>
        <v>19.25</v>
      </c>
    </row>
    <row r="6687">
      <c r="D6687" t="str">
        <f>IFERROR(__xludf.DUMMYFUNCTION("""COMPUTED_VALUE"""),"Sudfeld")</f>
        <v>Sudfeld</v>
      </c>
      <c r="E6687" t="str">
        <f>IFERROR(__xludf.DUMMYFUNCTION("""COMPUTED_VALUE"""),"Nate")</f>
        <v>Nate</v>
      </c>
      <c r="F6687">
        <f>IFERROR(__xludf.DUMMYFUNCTION("""COMPUTED_VALUE"""),16.75)</f>
        <v>16.75</v>
      </c>
    </row>
    <row r="6688">
      <c r="D6688" t="str">
        <f>IFERROR(__xludf.DUMMYFUNCTION("""COMPUTED_VALUE"""),"Suggs")</f>
        <v>Suggs</v>
      </c>
      <c r="E6688" t="str">
        <f>IFERROR(__xludf.DUMMYFUNCTION("""COMPUTED_VALUE"""),"Terrell")</f>
        <v>Terrell</v>
      </c>
      <c r="F6688">
        <f>IFERROR(__xludf.DUMMYFUNCTION("""COMPUTED_VALUE"""),20.5)</f>
        <v>20.5</v>
      </c>
    </row>
    <row r="6689">
      <c r="D6689" t="str">
        <f>IFERROR(__xludf.DUMMYFUNCTION("""COMPUTED_VALUE"""),"Suggs")</f>
        <v>Suggs</v>
      </c>
      <c r="E6689" t="str">
        <f>IFERROR(__xludf.DUMMYFUNCTION("""COMPUTED_VALUE"""),"Terrell")</f>
        <v>Terrell</v>
      </c>
      <c r="F6689">
        <f>IFERROR(__xludf.DUMMYFUNCTION("""COMPUTED_VALUE"""),21.5)</f>
        <v>21.5</v>
      </c>
    </row>
    <row r="6690">
      <c r="D6690" t="str">
        <f>IFERROR(__xludf.DUMMYFUNCTION("""COMPUTED_VALUE"""),"Suh")</f>
        <v>Suh</v>
      </c>
      <c r="E6690" t="str">
        <f>IFERROR(__xludf.DUMMYFUNCTION("""COMPUTED_VALUE"""),"Ndamukong")</f>
        <v>Ndamukong</v>
      </c>
      <c r="F6690">
        <f>IFERROR(__xludf.DUMMYFUNCTION("""COMPUTED_VALUE"""),22.0)</f>
        <v>22</v>
      </c>
    </row>
    <row r="6691">
      <c r="D6691" t="str">
        <f>IFERROR(__xludf.DUMMYFUNCTION("""COMPUTED_VALUE"""),"Suh")</f>
        <v>Suh</v>
      </c>
      <c r="E6691" t="str">
        <f>IFERROR(__xludf.DUMMYFUNCTION("""COMPUTED_VALUE"""),"Ndamukong")</f>
        <v>Ndamukong</v>
      </c>
      <c r="F6691">
        <f>IFERROR(__xludf.DUMMYFUNCTION("""COMPUTED_VALUE"""),23.0)</f>
        <v>23</v>
      </c>
    </row>
    <row r="6692">
      <c r="D6692" t="str">
        <f>IFERROR(__xludf.DUMMYFUNCTION("""COMPUTED_VALUE"""),"Sullivan")</f>
        <v>Sullivan</v>
      </c>
      <c r="E6692" t="str">
        <f>IFERROR(__xludf.DUMMYFUNCTION("""COMPUTED_VALUE"""),"John")</f>
        <v>John</v>
      </c>
      <c r="F6692">
        <f>IFERROR(__xludf.DUMMYFUNCTION("""COMPUTED_VALUE"""),19.75)</f>
        <v>19.75</v>
      </c>
    </row>
    <row r="6693">
      <c r="D6693" t="str">
        <f>IFERROR(__xludf.DUMMYFUNCTION("""COMPUTED_VALUE"""),"Sundberg")</f>
        <v>Sundberg</v>
      </c>
      <c r="E6693" t="str">
        <f>IFERROR(__xludf.DUMMYFUNCTION("""COMPUTED_VALUE"""),"Nick")</f>
        <v>Nick</v>
      </c>
      <c r="F6693">
        <f>IFERROR(__xludf.DUMMYFUNCTION("""COMPUTED_VALUE"""),15.5)</f>
        <v>15.5</v>
      </c>
    </row>
    <row r="6694">
      <c r="D6694" t="str">
        <f>IFERROR(__xludf.DUMMYFUNCTION("""COMPUTED_VALUE"""),"Supernaw")</f>
        <v>Supernaw</v>
      </c>
      <c r="E6694" t="str">
        <f>IFERROR(__xludf.DUMMYFUNCTION("""COMPUTED_VALUE"""),"Phillip")</f>
        <v>Phillip</v>
      </c>
      <c r="F6694">
        <f>IFERROR(__xludf.DUMMYFUNCTION("""COMPUTED_VALUE"""),16.75)</f>
        <v>16.75</v>
      </c>
    </row>
    <row r="6695">
      <c r="D6695" t="str">
        <f>IFERROR(__xludf.DUMMYFUNCTION("""COMPUTED_VALUE"""),"Sutton")</f>
        <v>Sutton</v>
      </c>
      <c r="E6695" t="str">
        <f>IFERROR(__xludf.DUMMYFUNCTION("""COMPUTED_VALUE"""),"Cameron")</f>
        <v>Cameron</v>
      </c>
      <c r="F6695">
        <f>IFERROR(__xludf.DUMMYFUNCTION("""COMPUTED_VALUE"""),17.25)</f>
        <v>17.25</v>
      </c>
    </row>
    <row r="6696">
      <c r="D6696" t="str">
        <f>IFERROR(__xludf.DUMMYFUNCTION("""COMPUTED_VALUE"""),"Sutton")</f>
        <v>Sutton</v>
      </c>
      <c r="E6696" t="str">
        <f>IFERROR(__xludf.DUMMYFUNCTION("""COMPUTED_VALUE"""),"Courtland")</f>
        <v>Courtland</v>
      </c>
      <c r="F6696">
        <f>IFERROR(__xludf.DUMMYFUNCTION("""COMPUTED_VALUE"""),19.25)</f>
        <v>19.25</v>
      </c>
    </row>
    <row r="6697">
      <c r="D6697" t="str">
        <f>IFERROR(__xludf.DUMMYFUNCTION("""COMPUTED_VALUE"""),"Swaim")</f>
        <v>Swaim</v>
      </c>
      <c r="E6697" t="str">
        <f>IFERROR(__xludf.DUMMYFUNCTION("""COMPUTED_VALUE"""),"Geoff")</f>
        <v>Geoff</v>
      </c>
      <c r="F6697">
        <f>IFERROR(__xludf.DUMMYFUNCTION("""COMPUTED_VALUE"""),18.25)</f>
        <v>18.25</v>
      </c>
    </row>
    <row r="6698">
      <c r="D6698" t="str">
        <f>IFERROR(__xludf.DUMMYFUNCTION("""COMPUTED_VALUE"""),"Swearinger")</f>
        <v>Swearinger</v>
      </c>
      <c r="E6698" t="str">
        <f>IFERROR(__xludf.DUMMYFUNCTION("""COMPUTED_VALUE"""),"DJ")</f>
        <v>DJ</v>
      </c>
      <c r="F6698">
        <f>IFERROR(__xludf.DUMMYFUNCTION("""COMPUTED_VALUE"""),21.0)</f>
        <v>21</v>
      </c>
    </row>
    <row r="6699">
      <c r="D6699" t="str">
        <f>IFERROR(__xludf.DUMMYFUNCTION("""COMPUTED_VALUE"""),"Sweat")</f>
        <v>Sweat</v>
      </c>
      <c r="E6699" t="str">
        <f>IFERROR(__xludf.DUMMYFUNCTION("""COMPUTED_VALUE"""),"Josh")</f>
        <v>Josh</v>
      </c>
      <c r="F6699">
        <f>IFERROR(__xludf.DUMMYFUNCTION("""COMPUTED_VALUE"""),16.75)</f>
        <v>16.75</v>
      </c>
    </row>
    <row r="6700">
      <c r="D6700" t="str">
        <f>IFERROR(__xludf.DUMMYFUNCTION("""COMPUTED_VALUE"""),"Sweezy")</f>
        <v>Sweezy</v>
      </c>
      <c r="E6700" t="str">
        <f>IFERROR(__xludf.DUMMYFUNCTION("""COMPUTED_VALUE"""),"JR")</f>
        <v>JR</v>
      </c>
      <c r="F6700">
        <f>IFERROR(__xludf.DUMMYFUNCTION("""COMPUTED_VALUE"""),19.0)</f>
        <v>19</v>
      </c>
    </row>
    <row r="6701">
      <c r="D6701" t="str">
        <f>IFERROR(__xludf.DUMMYFUNCTION("""COMPUTED_VALUE"""),"Switzer")</f>
        <v>Switzer</v>
      </c>
      <c r="E6701" t="str">
        <f>IFERROR(__xludf.DUMMYFUNCTION("""COMPUTED_VALUE"""),"Ryan")</f>
        <v>Ryan</v>
      </c>
      <c r="F6701">
        <f>IFERROR(__xludf.DUMMYFUNCTION("""COMPUTED_VALUE"""),18.25)</f>
        <v>18.25</v>
      </c>
    </row>
    <row r="6702">
      <c r="D6702" t="str">
        <f>IFERROR(__xludf.DUMMYFUNCTION("""COMPUTED_VALUE"""),"Swoope")</f>
        <v>Swoope</v>
      </c>
      <c r="E6702" t="str">
        <f>IFERROR(__xludf.DUMMYFUNCTION("""COMPUTED_VALUE"""),"Erik")</f>
        <v>Erik</v>
      </c>
      <c r="F6702">
        <f>IFERROR(__xludf.DUMMYFUNCTION("""COMPUTED_VALUE"""),16.5)</f>
        <v>16.5</v>
      </c>
    </row>
    <row r="6703">
      <c r="D6703" t="str">
        <f>IFERROR(__xludf.DUMMYFUNCTION("""COMPUTED_VALUE"""),"Tabor")</f>
        <v>Tabor</v>
      </c>
      <c r="E6703" t="str">
        <f>IFERROR(__xludf.DUMMYFUNCTION("""COMPUTED_VALUE"""),"Teez")</f>
        <v>Teez</v>
      </c>
      <c r="F6703">
        <f>IFERROR(__xludf.DUMMYFUNCTION("""COMPUTED_VALUE"""),18.25)</f>
        <v>18.25</v>
      </c>
    </row>
    <row r="6704">
      <c r="D6704" t="str">
        <f>IFERROR(__xludf.DUMMYFUNCTION("""COMPUTED_VALUE"""),"Talib")</f>
        <v>Talib</v>
      </c>
      <c r="E6704" t="str">
        <f>IFERROR(__xludf.DUMMYFUNCTION("""COMPUTED_VALUE"""),"Aqib")</f>
        <v>Aqib</v>
      </c>
      <c r="F6704">
        <f>IFERROR(__xludf.DUMMYFUNCTION("""COMPUTED_VALUE"""),21.5)</f>
        <v>21.5</v>
      </c>
    </row>
    <row r="6705">
      <c r="D6705" t="str">
        <f>IFERROR(__xludf.DUMMYFUNCTION("""COMPUTED_VALUE"""),"Tandy")</f>
        <v>Tandy</v>
      </c>
      <c r="E6705" t="str">
        <f>IFERROR(__xludf.DUMMYFUNCTION("""COMPUTED_VALUE"""),"Keith")</f>
        <v>Keith</v>
      </c>
      <c r="F6705">
        <f>IFERROR(__xludf.DUMMYFUNCTION("""COMPUTED_VALUE"""),17.75)</f>
        <v>17.75</v>
      </c>
    </row>
    <row r="6706">
      <c r="D6706" t="str">
        <f>IFERROR(__xludf.DUMMYFUNCTION("""COMPUTED_VALUE"""),"Tankersley")</f>
        <v>Tankersley</v>
      </c>
      <c r="E6706" t="str">
        <f>IFERROR(__xludf.DUMMYFUNCTION("""COMPUTED_VALUE"""),"Cordrea")</f>
        <v>Cordrea</v>
      </c>
      <c r="F6706">
        <f>IFERROR(__xludf.DUMMYFUNCTION("""COMPUTED_VALUE"""),18.5)</f>
        <v>18.5</v>
      </c>
    </row>
    <row r="6707">
      <c r="D6707" t="str">
        <f>IFERROR(__xludf.DUMMYFUNCTION("""COMPUTED_VALUE"""),"Tannehill")</f>
        <v>Tannehill</v>
      </c>
      <c r="E6707" t="str">
        <f>IFERROR(__xludf.DUMMYFUNCTION("""COMPUTED_VALUE"""),"Ryan")</f>
        <v>Ryan</v>
      </c>
      <c r="F6707">
        <f>IFERROR(__xludf.DUMMYFUNCTION("""COMPUTED_VALUE"""),19.75)</f>
        <v>19.75</v>
      </c>
    </row>
    <row r="6708">
      <c r="D6708" t="str">
        <f>IFERROR(__xludf.DUMMYFUNCTION("""COMPUTED_VALUE"""),"Tapper")</f>
        <v>Tapper</v>
      </c>
      <c r="E6708" t="str">
        <f>IFERROR(__xludf.DUMMYFUNCTION("""COMPUTED_VALUE"""),"Charles")</f>
        <v>Charles</v>
      </c>
      <c r="F6708">
        <f>IFERROR(__xludf.DUMMYFUNCTION("""COMPUTED_VALUE"""),18.5)</f>
        <v>18.5</v>
      </c>
    </row>
    <row r="6709">
      <c r="D6709" t="str">
        <f>IFERROR(__xludf.DUMMYFUNCTION("""COMPUTED_VALUE"""),"Tartt")</f>
        <v>Tartt</v>
      </c>
      <c r="E6709" t="str">
        <f>IFERROR(__xludf.DUMMYFUNCTION("""COMPUTED_VALUE"""),"Jaquiski")</f>
        <v>Jaquiski</v>
      </c>
      <c r="F6709">
        <f>IFERROR(__xludf.DUMMYFUNCTION("""COMPUTED_VALUE"""),20.0)</f>
        <v>20</v>
      </c>
    </row>
    <row r="6710">
      <c r="D6710" t="str">
        <f>IFERROR(__xludf.DUMMYFUNCTION("""COMPUTED_VALUE"""),"Tate")</f>
        <v>Tate</v>
      </c>
      <c r="E6710" t="str">
        <f>IFERROR(__xludf.DUMMYFUNCTION("""COMPUTED_VALUE"""),"Auden")</f>
        <v>Auden</v>
      </c>
      <c r="F6710">
        <f>IFERROR(__xludf.DUMMYFUNCTION("""COMPUTED_VALUE"""),17.25)</f>
        <v>17.25</v>
      </c>
    </row>
    <row r="6711">
      <c r="D6711" t="str">
        <f>IFERROR(__xludf.DUMMYFUNCTION("""COMPUTED_VALUE"""),"Tate III")</f>
        <v>Tate III</v>
      </c>
      <c r="E6711" t="str">
        <f>IFERROR(__xludf.DUMMYFUNCTION("""COMPUTED_VALUE"""),"Golden")</f>
        <v>Golden</v>
      </c>
      <c r="F6711">
        <f>IFERROR(__xludf.DUMMYFUNCTION("""COMPUTED_VALUE"""),21.25)</f>
        <v>21.25</v>
      </c>
    </row>
    <row r="6712">
      <c r="D6712" t="str">
        <f>IFERROR(__xludf.DUMMYFUNCTION("""COMPUTED_VALUE"""),"Taumoepenu")</f>
        <v>Taumoepenu</v>
      </c>
      <c r="E6712" t="str">
        <f>IFERROR(__xludf.DUMMYFUNCTION("""COMPUTED_VALUE"""),"Pita")</f>
        <v>Pita</v>
      </c>
      <c r="F6712">
        <f>IFERROR(__xludf.DUMMYFUNCTION("""COMPUTED_VALUE"""),15.5)</f>
        <v>15.5</v>
      </c>
    </row>
    <row r="6713">
      <c r="D6713" t="str">
        <f>IFERROR(__xludf.DUMMYFUNCTION("""COMPUTED_VALUE"""),"Tavecchio")</f>
        <v>Tavecchio</v>
      </c>
      <c r="E6713" t="str">
        <f>IFERROR(__xludf.DUMMYFUNCTION("""COMPUTED_VALUE"""),"Giorgio")</f>
        <v>Giorgio</v>
      </c>
      <c r="F6713">
        <f>IFERROR(__xludf.DUMMYFUNCTION("""COMPUTED_VALUE"""),18.75)</f>
        <v>18.75</v>
      </c>
    </row>
    <row r="6714">
      <c r="D6714" t="str">
        <f>IFERROR(__xludf.DUMMYFUNCTION("""COMPUTED_VALUE"""),"Taylor")</f>
        <v>Taylor</v>
      </c>
      <c r="E6714" t="str">
        <f>IFERROR(__xludf.DUMMYFUNCTION("""COMPUTED_VALUE"""),"Jamar")</f>
        <v>Jamar</v>
      </c>
      <c r="F6714">
        <f>IFERROR(__xludf.DUMMYFUNCTION("""COMPUTED_VALUE"""),19.75)</f>
        <v>19.75</v>
      </c>
    </row>
    <row r="6715">
      <c r="D6715" t="str">
        <f>IFERROR(__xludf.DUMMYFUNCTION("""COMPUTED_VALUE"""),"Taylor")</f>
        <v>Taylor</v>
      </c>
      <c r="E6715" t="str">
        <f>IFERROR(__xludf.DUMMYFUNCTION("""COMPUTED_VALUE"""),"Jordan")</f>
        <v>Jordan</v>
      </c>
      <c r="F6715">
        <f>IFERROR(__xludf.DUMMYFUNCTION("""COMPUTED_VALUE"""),17.75)</f>
        <v>17.75</v>
      </c>
    </row>
    <row r="6716">
      <c r="D6716" t="str">
        <f>IFERROR(__xludf.DUMMYFUNCTION("""COMPUTED_VALUE"""),"Taylor")</f>
        <v>Taylor</v>
      </c>
      <c r="E6716" t="str">
        <f>IFERROR(__xludf.DUMMYFUNCTION("""COMPUTED_VALUE"""),"Jullian")</f>
        <v>Jullian</v>
      </c>
      <c r="F6716">
        <f>IFERROR(__xludf.DUMMYFUNCTION("""COMPUTED_VALUE"""),17.25)</f>
        <v>17.25</v>
      </c>
    </row>
    <row r="6717">
      <c r="D6717" t="str">
        <f>IFERROR(__xludf.DUMMYFUNCTION("""COMPUTED_VALUE"""),"Taylor")</f>
        <v>Taylor</v>
      </c>
      <c r="E6717" t="str">
        <f>IFERROR(__xludf.DUMMYFUNCTION("""COMPUTED_VALUE"""),"Lane")</f>
        <v>Lane</v>
      </c>
      <c r="F6717">
        <f>IFERROR(__xludf.DUMMYFUNCTION("""COMPUTED_VALUE"""),19.0)</f>
        <v>19</v>
      </c>
    </row>
    <row r="6718">
      <c r="D6718" t="str">
        <f>IFERROR(__xludf.DUMMYFUNCTION("""COMPUTED_VALUE"""),"Taylor")</f>
        <v>Taylor</v>
      </c>
      <c r="E6718" t="str">
        <f>IFERROR(__xludf.DUMMYFUNCTION("""COMPUTED_VALUE"""),"Rod")</f>
        <v>Rod</v>
      </c>
      <c r="F6718">
        <f>IFERROR(__xludf.DUMMYFUNCTION("""COMPUTED_VALUE"""),16.75)</f>
        <v>16.75</v>
      </c>
    </row>
    <row r="6719">
      <c r="D6719" t="str">
        <f>IFERROR(__xludf.DUMMYFUNCTION("""COMPUTED_VALUE"""),"Taylor")</f>
        <v>Taylor</v>
      </c>
      <c r="E6719" t="str">
        <f>IFERROR(__xludf.DUMMYFUNCTION("""COMPUTED_VALUE"""),"Sean")</f>
        <v>Sean</v>
      </c>
      <c r="F6719">
        <f>IFERROR(__xludf.DUMMYFUNCTION("""COMPUTED_VALUE"""),22.5)</f>
        <v>22.5</v>
      </c>
    </row>
    <row r="6720">
      <c r="D6720" t="str">
        <f>IFERROR(__xludf.DUMMYFUNCTION("""COMPUTED_VALUE"""),"Taylor")</f>
        <v>Taylor</v>
      </c>
      <c r="E6720" t="str">
        <f>IFERROR(__xludf.DUMMYFUNCTION("""COMPUTED_VALUE"""),"Sean")</f>
        <v>Sean</v>
      </c>
      <c r="F6720">
        <f>IFERROR(__xludf.DUMMYFUNCTION("""COMPUTED_VALUE"""),20.75)</f>
        <v>20.75</v>
      </c>
    </row>
    <row r="6721">
      <c r="D6721" t="str">
        <f>IFERROR(__xludf.DUMMYFUNCTION("""COMPUTED_VALUE"""),"Taylor")</f>
        <v>Taylor</v>
      </c>
      <c r="E6721" t="str">
        <f>IFERROR(__xludf.DUMMYFUNCTION("""COMPUTED_VALUE"""),"Sean")</f>
        <v>Sean</v>
      </c>
      <c r="F6721">
        <f>IFERROR(__xludf.DUMMYFUNCTION("""COMPUTED_VALUE"""),20.5)</f>
        <v>20.5</v>
      </c>
    </row>
    <row r="6722">
      <c r="D6722" t="str">
        <f>IFERROR(__xludf.DUMMYFUNCTION("""COMPUTED_VALUE"""),"Taylor")</f>
        <v>Taylor</v>
      </c>
      <c r="E6722" t="str">
        <f>IFERROR(__xludf.DUMMYFUNCTION("""COMPUTED_VALUE"""),"Sean")</f>
        <v>Sean</v>
      </c>
      <c r="F6722">
        <f>IFERROR(__xludf.DUMMYFUNCTION("""COMPUTED_VALUE"""),21.5)</f>
        <v>21.5</v>
      </c>
    </row>
    <row r="6723">
      <c r="D6723" t="str">
        <f>IFERROR(__xludf.DUMMYFUNCTION("""COMPUTED_VALUE"""),"Taylor")</f>
        <v>Taylor</v>
      </c>
      <c r="E6723" t="str">
        <f>IFERROR(__xludf.DUMMYFUNCTION("""COMPUTED_VALUE"""),"Sean")</f>
        <v>Sean</v>
      </c>
      <c r="F6723">
        <f>IFERROR(__xludf.DUMMYFUNCTION("""COMPUTED_VALUE"""),21.0)</f>
        <v>21</v>
      </c>
    </row>
    <row r="6724">
      <c r="D6724" t="str">
        <f>IFERROR(__xludf.DUMMYFUNCTION("""COMPUTED_VALUE"""),"Taylor")</f>
        <v>Taylor</v>
      </c>
      <c r="E6724" t="str">
        <f>IFERROR(__xludf.DUMMYFUNCTION("""COMPUTED_VALUE"""),"Taywan")</f>
        <v>Taywan</v>
      </c>
      <c r="F6724">
        <f>IFERROR(__xludf.DUMMYFUNCTION("""COMPUTED_VALUE"""),18.5)</f>
        <v>18.5</v>
      </c>
    </row>
    <row r="6725">
      <c r="D6725" t="str">
        <f>IFERROR(__xludf.DUMMYFUNCTION("""COMPUTED_VALUE"""),"Taylor")</f>
        <v>Taylor</v>
      </c>
      <c r="E6725" t="str">
        <f>IFERROR(__xludf.DUMMYFUNCTION("""COMPUTED_VALUE"""),"Trent")</f>
        <v>Trent</v>
      </c>
      <c r="F6725">
        <f>IFERROR(__xludf.DUMMYFUNCTION("""COMPUTED_VALUE"""),18.25)</f>
        <v>18.25</v>
      </c>
    </row>
    <row r="6726">
      <c r="D6726" t="str">
        <f>IFERROR(__xludf.DUMMYFUNCTION("""COMPUTED_VALUE"""),"Taylor")</f>
        <v>Taylor</v>
      </c>
      <c r="E6726" t="str">
        <f>IFERROR(__xludf.DUMMYFUNCTION("""COMPUTED_VALUE"""),"Tyrod")</f>
        <v>Tyrod</v>
      </c>
      <c r="F6726">
        <f>IFERROR(__xludf.DUMMYFUNCTION("""COMPUTED_VALUE"""),20.0)</f>
        <v>20</v>
      </c>
    </row>
    <row r="6727">
      <c r="D6727" t="str">
        <f>IFERROR(__xludf.DUMMYFUNCTION("""COMPUTED_VALUE"""),"Taylor")</f>
        <v>Taylor</v>
      </c>
      <c r="E6727" t="str">
        <f>IFERROR(__xludf.DUMMYFUNCTION("""COMPUTED_VALUE"""),"Vincent")</f>
        <v>Vincent</v>
      </c>
      <c r="F6727">
        <f>IFERROR(__xludf.DUMMYFUNCTION("""COMPUTED_VALUE"""),18.25)</f>
        <v>18.25</v>
      </c>
    </row>
    <row r="6728">
      <c r="D6728" t="str">
        <f>IFERROR(__xludf.DUMMYFUNCTION("""COMPUTED_VALUE"""),"Taylor Sr")</f>
        <v>Taylor Sr</v>
      </c>
      <c r="E6728" t="str">
        <f>IFERROR(__xludf.DUMMYFUNCTION("""COMPUTED_VALUE"""),"Phil")</f>
        <v>Phil</v>
      </c>
      <c r="F6728">
        <f>IFERROR(__xludf.DUMMYFUNCTION("""COMPUTED_VALUE"""),18.5)</f>
        <v>18.5</v>
      </c>
    </row>
    <row r="6729">
      <c r="D6729" t="str">
        <f>IFERROR(__xludf.DUMMYFUNCTION("""COMPUTED_VALUE"""),"Teller")</f>
        <v>Teller</v>
      </c>
      <c r="E6729" t="str">
        <f>IFERROR(__xludf.DUMMYFUNCTION("""COMPUTED_VALUE"""),"Wyatt")</f>
        <v>Wyatt</v>
      </c>
      <c r="F6729">
        <f>IFERROR(__xludf.DUMMYFUNCTION("""COMPUTED_VALUE"""),18.25)</f>
        <v>18.25</v>
      </c>
    </row>
    <row r="6730">
      <c r="D6730" t="str">
        <f>IFERROR(__xludf.DUMMYFUNCTION("""COMPUTED_VALUE"""),"Teo")</f>
        <v>Teo</v>
      </c>
      <c r="E6730" t="str">
        <f>IFERROR(__xludf.DUMMYFUNCTION("""COMPUTED_VALUE"""),"Manti")</f>
        <v>Manti</v>
      </c>
      <c r="F6730">
        <f>IFERROR(__xludf.DUMMYFUNCTION("""COMPUTED_VALUE"""),20.0)</f>
        <v>20</v>
      </c>
    </row>
    <row r="6731">
      <c r="D6731" t="str">
        <f>IFERROR(__xludf.DUMMYFUNCTION("""COMPUTED_VALUE"""),"Tevi")</f>
        <v>Tevi</v>
      </c>
      <c r="E6731" t="str">
        <f>IFERROR(__xludf.DUMMYFUNCTION("""COMPUTED_VALUE"""),"Sam")</f>
        <v>Sam</v>
      </c>
      <c r="F6731">
        <f>IFERROR(__xludf.DUMMYFUNCTION("""COMPUTED_VALUE"""),16.5)</f>
        <v>16.5</v>
      </c>
    </row>
    <row r="6732">
      <c r="D6732" t="str">
        <f>IFERROR(__xludf.DUMMYFUNCTION("""COMPUTED_VALUE"""),"Thielen")</f>
        <v>Thielen</v>
      </c>
      <c r="E6732" t="str">
        <f>IFERROR(__xludf.DUMMYFUNCTION("""COMPUTED_VALUE"""),"Adam")</f>
        <v>Adam</v>
      </c>
      <c r="F6732">
        <f>IFERROR(__xludf.DUMMYFUNCTION("""COMPUTED_VALUE"""),21.0)</f>
        <v>21</v>
      </c>
    </row>
    <row r="6733">
      <c r="D6733" t="str">
        <f>IFERROR(__xludf.DUMMYFUNCTION("""COMPUTED_VALUE"""),"Thomas")</f>
        <v>Thomas</v>
      </c>
      <c r="E6733" t="str">
        <f>IFERROR(__xludf.DUMMYFUNCTION("""COMPUTED_VALUE"""),"Brandon")</f>
        <v>Brandon</v>
      </c>
      <c r="F6733">
        <f>IFERROR(__xludf.DUMMYFUNCTION("""COMPUTED_VALUE"""),18.5)</f>
        <v>18.5</v>
      </c>
    </row>
    <row r="6734">
      <c r="D6734" t="str">
        <f>IFERROR(__xludf.DUMMYFUNCTION("""COMPUTED_VALUE"""),"Thomas")</f>
        <v>Thomas</v>
      </c>
      <c r="E6734" t="str">
        <f>IFERROR(__xludf.DUMMYFUNCTION("""COMPUTED_VALUE"""),"Chad")</f>
        <v>Chad</v>
      </c>
      <c r="F6734">
        <f>IFERROR(__xludf.DUMMYFUNCTION("""COMPUTED_VALUE"""),18.0)</f>
        <v>18</v>
      </c>
    </row>
    <row r="6735">
      <c r="D6735" t="str">
        <f>IFERROR(__xludf.DUMMYFUNCTION("""COMPUTED_VALUE"""),"Thomas")</f>
        <v>Thomas</v>
      </c>
      <c r="E6735" t="str">
        <f>IFERROR(__xludf.DUMMYFUNCTION("""COMPUTED_VALUE"""),"DeAnthony")</f>
        <v>DeAnthony</v>
      </c>
      <c r="F6735">
        <f>IFERROR(__xludf.DUMMYFUNCTION("""COMPUTED_VALUE"""),17.5)</f>
        <v>17.5</v>
      </c>
    </row>
    <row r="6736">
      <c r="D6736" t="str">
        <f>IFERROR(__xludf.DUMMYFUNCTION("""COMPUTED_VALUE"""),"Thomas")</f>
        <v>Thomas</v>
      </c>
      <c r="E6736" t="str">
        <f>IFERROR(__xludf.DUMMYFUNCTION("""COMPUTED_VALUE"""),"Demaryius")</f>
        <v>Demaryius</v>
      </c>
      <c r="F6736">
        <f>IFERROR(__xludf.DUMMYFUNCTION("""COMPUTED_VALUE"""),20.75)</f>
        <v>20.75</v>
      </c>
    </row>
    <row r="6737">
      <c r="D6737" t="str">
        <f>IFERROR(__xludf.DUMMYFUNCTION("""COMPUTED_VALUE"""),"Thomas")</f>
        <v>Thomas</v>
      </c>
      <c r="E6737" t="str">
        <f>IFERROR(__xludf.DUMMYFUNCTION("""COMPUTED_VALUE"""),"Dymonte")</f>
        <v>Dymonte</v>
      </c>
      <c r="F6737">
        <f>IFERROR(__xludf.DUMMYFUNCTION("""COMPUTED_VALUE"""),16.75)</f>
        <v>16.75</v>
      </c>
    </row>
    <row r="6738">
      <c r="D6738" t="str">
        <f>IFERROR(__xludf.DUMMYFUNCTION("""COMPUTED_VALUE"""),"Thomas")</f>
        <v>Thomas</v>
      </c>
      <c r="E6738" t="str">
        <f>IFERROR(__xludf.DUMMYFUNCTION("""COMPUTED_VALUE"""),"Ian")</f>
        <v>Ian</v>
      </c>
      <c r="F6738">
        <f>IFERROR(__xludf.DUMMYFUNCTION("""COMPUTED_VALUE"""),17.75)</f>
        <v>17.75</v>
      </c>
    </row>
    <row r="6739">
      <c r="D6739" t="str">
        <f>IFERROR(__xludf.DUMMYFUNCTION("""COMPUTED_VALUE"""),"Thomas")</f>
        <v>Thomas</v>
      </c>
      <c r="E6739" t="str">
        <f>IFERROR(__xludf.DUMMYFUNCTION("""COMPUTED_VALUE"""),"Joe")</f>
        <v>Joe</v>
      </c>
      <c r="F6739">
        <f>IFERROR(__xludf.DUMMYFUNCTION("""COMPUTED_VALUE"""),19.0)</f>
        <v>19</v>
      </c>
    </row>
    <row r="6740">
      <c r="D6740" t="str">
        <f>IFERROR(__xludf.DUMMYFUNCTION("""COMPUTED_VALUE"""),"Thomas")</f>
        <v>Thomas</v>
      </c>
      <c r="E6740" t="str">
        <f>IFERROR(__xludf.DUMMYFUNCTION("""COMPUTED_VALUE"""),"Jordan")</f>
        <v>Jordan</v>
      </c>
      <c r="F6740">
        <f>IFERROR(__xludf.DUMMYFUNCTION("""COMPUTED_VALUE"""),16.5)</f>
        <v>16.5</v>
      </c>
    </row>
    <row r="6741">
      <c r="D6741" t="str">
        <f>IFERROR(__xludf.DUMMYFUNCTION("""COMPUTED_VALUE"""),"Thomas")</f>
        <v>Thomas</v>
      </c>
      <c r="E6741" t="str">
        <f>IFERROR(__xludf.DUMMYFUNCTION("""COMPUTED_VALUE"""),"Julius")</f>
        <v>Julius</v>
      </c>
      <c r="F6741">
        <f>IFERROR(__xludf.DUMMYFUNCTION("""COMPUTED_VALUE"""),15.0)</f>
        <v>15</v>
      </c>
    </row>
    <row r="6742">
      <c r="D6742" t="str">
        <f>IFERROR(__xludf.DUMMYFUNCTION("""COMPUTED_VALUE"""),"Thomas")</f>
        <v>Thomas</v>
      </c>
      <c r="E6742" t="str">
        <f>IFERROR(__xludf.DUMMYFUNCTION("""COMPUTED_VALUE"""),"Lawrence")</f>
        <v>Lawrence</v>
      </c>
      <c r="F6742">
        <f>IFERROR(__xludf.DUMMYFUNCTION("""COMPUTED_VALUE"""),15.5)</f>
        <v>15.5</v>
      </c>
    </row>
    <row r="6743">
      <c r="D6743" t="str">
        <f>IFERROR(__xludf.DUMMYFUNCTION("""COMPUTED_VALUE"""),"Thomas")</f>
        <v>Thomas</v>
      </c>
      <c r="E6743" t="str">
        <f>IFERROR(__xludf.DUMMYFUNCTION("""COMPUTED_VALUE"""),"Logan")</f>
        <v>Logan</v>
      </c>
      <c r="F6743">
        <f>IFERROR(__xludf.DUMMYFUNCTION("""COMPUTED_VALUE"""),17.75)</f>
        <v>17.75</v>
      </c>
    </row>
    <row r="6744">
      <c r="D6744" t="str">
        <f>IFERROR(__xludf.DUMMYFUNCTION("""COMPUTED_VALUE"""),"Thomas")</f>
        <v>Thomas</v>
      </c>
      <c r="E6744" t="str">
        <f>IFERROR(__xludf.DUMMYFUNCTION("""COMPUTED_VALUE"""),"Michael")</f>
        <v>Michael</v>
      </c>
      <c r="F6744">
        <f>IFERROR(__xludf.DUMMYFUNCTION("""COMPUTED_VALUE"""),18.75)</f>
        <v>18.75</v>
      </c>
    </row>
    <row r="6745">
      <c r="D6745" t="str">
        <f>IFERROR(__xludf.DUMMYFUNCTION("""COMPUTED_VALUE"""),"Thomas")</f>
        <v>Thomas</v>
      </c>
      <c r="E6745" t="str">
        <f>IFERROR(__xludf.DUMMYFUNCTION("""COMPUTED_VALUE"""),"Michael")</f>
        <v>Michael</v>
      </c>
      <c r="F6745">
        <f>IFERROR(__xludf.DUMMYFUNCTION("""COMPUTED_VALUE"""),21.5)</f>
        <v>21.5</v>
      </c>
    </row>
    <row r="6746">
      <c r="D6746" t="str">
        <f>IFERROR(__xludf.DUMMYFUNCTION("""COMPUTED_VALUE"""),"Thomas")</f>
        <v>Thomas</v>
      </c>
      <c r="E6746" t="str">
        <f>IFERROR(__xludf.DUMMYFUNCTION("""COMPUTED_VALUE"""),"Mike")</f>
        <v>Mike</v>
      </c>
      <c r="F6746">
        <f>IFERROR(__xludf.DUMMYFUNCTION("""COMPUTED_VALUE"""),16.75)</f>
        <v>16.75</v>
      </c>
    </row>
    <row r="6747">
      <c r="D6747" t="str">
        <f>IFERROR(__xludf.DUMMYFUNCTION("""COMPUTED_VALUE"""),"Thomas")</f>
        <v>Thomas</v>
      </c>
      <c r="E6747" t="str">
        <f>IFERROR(__xludf.DUMMYFUNCTION("""COMPUTED_VALUE"""),"Robert")</f>
        <v>Robert</v>
      </c>
      <c r="F6747">
        <f>IFERROR(__xludf.DUMMYFUNCTION("""COMPUTED_VALUE"""),16.5)</f>
        <v>16.5</v>
      </c>
    </row>
    <row r="6748">
      <c r="D6748" t="str">
        <f>IFERROR(__xludf.DUMMYFUNCTION("""COMPUTED_VALUE"""),"Thomas")</f>
        <v>Thomas</v>
      </c>
      <c r="E6748" t="str">
        <f>IFERROR(__xludf.DUMMYFUNCTION("""COMPUTED_VALUE"""),"Simeon")</f>
        <v>Simeon</v>
      </c>
      <c r="F6748">
        <f>IFERROR(__xludf.DUMMYFUNCTION("""COMPUTED_VALUE"""),16.5)</f>
        <v>16.5</v>
      </c>
    </row>
    <row r="6749">
      <c r="D6749" t="str">
        <f>IFERROR(__xludf.DUMMYFUNCTION("""COMPUTED_VALUE"""),"Thomas")</f>
        <v>Thomas</v>
      </c>
      <c r="E6749" t="str">
        <f>IFERROR(__xludf.DUMMYFUNCTION("""COMPUTED_VALUE"""),"Solomon")</f>
        <v>Solomon</v>
      </c>
      <c r="F6749">
        <f>IFERROR(__xludf.DUMMYFUNCTION("""COMPUTED_VALUE"""),18.75)</f>
        <v>18.75</v>
      </c>
    </row>
    <row r="6750">
      <c r="D6750" t="str">
        <f>IFERROR(__xludf.DUMMYFUNCTION("""COMPUTED_VALUE"""),"Thomas III")</f>
        <v>Thomas III</v>
      </c>
      <c r="E6750" t="str">
        <f>IFERROR(__xludf.DUMMYFUNCTION("""COMPUTED_VALUE"""),"Earl")</f>
        <v>Earl</v>
      </c>
      <c r="F6750">
        <f>IFERROR(__xludf.DUMMYFUNCTION("""COMPUTED_VALUE"""),21.75)</f>
        <v>21.75</v>
      </c>
    </row>
    <row r="6751">
      <c r="D6751" t="str">
        <f>IFERROR(__xludf.DUMMYFUNCTION("""COMPUTED_VALUE"""),"Thompson")</f>
        <v>Thompson</v>
      </c>
      <c r="E6751" t="str">
        <f>IFERROR(__xludf.DUMMYFUNCTION("""COMPUTED_VALUE"""),"Carlos")</f>
        <v>Carlos</v>
      </c>
      <c r="F6751">
        <f>IFERROR(__xludf.DUMMYFUNCTION("""COMPUTED_VALUE"""),16.0)</f>
        <v>16</v>
      </c>
    </row>
    <row r="6752">
      <c r="D6752" t="str">
        <f>IFERROR(__xludf.DUMMYFUNCTION("""COMPUTED_VALUE"""),"Thompson")</f>
        <v>Thompson</v>
      </c>
      <c r="E6752" t="str">
        <f>IFERROR(__xludf.DUMMYFUNCTION("""COMPUTED_VALUE"""),"Chris")</f>
        <v>Chris</v>
      </c>
      <c r="F6752">
        <f>IFERROR(__xludf.DUMMYFUNCTION("""COMPUTED_VALUE"""),17.0)</f>
        <v>17</v>
      </c>
    </row>
    <row r="6753">
      <c r="D6753" t="str">
        <f>IFERROR(__xludf.DUMMYFUNCTION("""COMPUTED_VALUE"""),"Thompson")</f>
        <v>Thompson</v>
      </c>
      <c r="E6753" t="str">
        <f>IFERROR(__xludf.DUMMYFUNCTION("""COMPUTED_VALUE"""),"Chris")</f>
        <v>Chris</v>
      </c>
      <c r="F6753">
        <f>IFERROR(__xludf.DUMMYFUNCTION("""COMPUTED_VALUE"""),19.5)</f>
        <v>19.5</v>
      </c>
    </row>
    <row r="6754">
      <c r="D6754" t="str">
        <f>IFERROR(__xludf.DUMMYFUNCTION("""COMPUTED_VALUE"""),"Thompson")</f>
        <v>Thompson</v>
      </c>
      <c r="E6754" t="str">
        <f>IFERROR(__xludf.DUMMYFUNCTION("""COMPUTED_VALUE"""),"Darian")</f>
        <v>Darian</v>
      </c>
      <c r="F6754">
        <f>IFERROR(__xludf.DUMMYFUNCTION("""COMPUTED_VALUE"""),17.75)</f>
        <v>17.75</v>
      </c>
    </row>
    <row r="6755">
      <c r="D6755" t="str">
        <f>IFERROR(__xludf.DUMMYFUNCTION("""COMPUTED_VALUE"""),"Thompson")</f>
        <v>Thompson</v>
      </c>
      <c r="E6755" t="str">
        <f>IFERROR(__xludf.DUMMYFUNCTION("""COMPUTED_VALUE"""),"Deonte")</f>
        <v>Deonte</v>
      </c>
      <c r="F6755">
        <f>IFERROR(__xludf.DUMMYFUNCTION("""COMPUTED_VALUE"""),18.5)</f>
        <v>18.5</v>
      </c>
    </row>
    <row r="6756">
      <c r="D6756" t="str">
        <f>IFERROR(__xludf.DUMMYFUNCTION("""COMPUTED_VALUE"""),"Thompson")</f>
        <v>Thompson</v>
      </c>
      <c r="E6756" t="str">
        <f>IFERROR(__xludf.DUMMYFUNCTION("""COMPUTED_VALUE"""),"Shaq")</f>
        <v>Shaq</v>
      </c>
      <c r="F6756">
        <f>IFERROR(__xludf.DUMMYFUNCTION("""COMPUTED_VALUE"""),20.0)</f>
        <v>20</v>
      </c>
    </row>
    <row r="6757">
      <c r="D6757" t="str">
        <f>IFERROR(__xludf.DUMMYFUNCTION("""COMPUTED_VALUE"""),"Thompson")</f>
        <v>Thompson</v>
      </c>
      <c r="E6757" t="str">
        <f>IFERROR(__xludf.DUMMYFUNCTION("""COMPUTED_VALUE"""),"Tedric")</f>
        <v>Tedric</v>
      </c>
      <c r="F6757">
        <f>IFERROR(__xludf.DUMMYFUNCTION("""COMPUTED_VALUE"""),18.0)</f>
        <v>18</v>
      </c>
    </row>
    <row r="6758">
      <c r="D6758" t="str">
        <f>IFERROR(__xludf.DUMMYFUNCTION("""COMPUTED_VALUE"""),"Thorpe")</f>
        <v>Thorpe</v>
      </c>
      <c r="E6758" t="str">
        <f>IFERROR(__xludf.DUMMYFUNCTION("""COMPUTED_VALUE"""),"Neiko")</f>
        <v>Neiko</v>
      </c>
      <c r="F6758">
        <f>IFERROR(__xludf.DUMMYFUNCTION("""COMPUTED_VALUE"""),16.25)</f>
        <v>16.25</v>
      </c>
    </row>
    <row r="6759">
      <c r="D6759" t="str">
        <f>IFERROR(__xludf.DUMMYFUNCTION("""COMPUTED_VALUE"""),"Thuney")</f>
        <v>Thuney</v>
      </c>
      <c r="E6759" t="str">
        <f>IFERROR(__xludf.DUMMYFUNCTION("""COMPUTED_VALUE"""),"Joe")</f>
        <v>Joe</v>
      </c>
      <c r="F6759">
        <f>IFERROR(__xludf.DUMMYFUNCTION("""COMPUTED_VALUE"""),20.0)</f>
        <v>20</v>
      </c>
    </row>
    <row r="6760">
      <c r="D6760" t="str">
        <f>IFERROR(__xludf.DUMMYFUNCTION("""COMPUTED_VALUE"""),"Timmons")</f>
        <v>Timmons</v>
      </c>
      <c r="E6760" t="str">
        <f>IFERROR(__xludf.DUMMYFUNCTION("""COMPUTED_VALUE"""),"Lawrence")</f>
        <v>Lawrence</v>
      </c>
      <c r="F6760">
        <f>IFERROR(__xludf.DUMMYFUNCTION("""COMPUTED_VALUE"""),15.25)</f>
        <v>15.25</v>
      </c>
    </row>
    <row r="6761">
      <c r="D6761" t="str">
        <f>IFERROR(__xludf.DUMMYFUNCTION("""COMPUTED_VALUE"""),"Timu")</f>
        <v>Timu</v>
      </c>
      <c r="E6761" t="str">
        <f>IFERROR(__xludf.DUMMYFUNCTION("""COMPUTED_VALUE"""),"John")</f>
        <v>John</v>
      </c>
      <c r="F6761">
        <f>IFERROR(__xludf.DUMMYFUNCTION("""COMPUTED_VALUE"""),18.75)</f>
        <v>18.75</v>
      </c>
    </row>
    <row r="6762">
      <c r="D6762" t="str">
        <f>IFERROR(__xludf.DUMMYFUNCTION("""COMPUTED_VALUE"""),"Tobin")</f>
        <v>Tobin</v>
      </c>
      <c r="E6762" t="str">
        <f>IFERROR(__xludf.DUMMYFUNCTION("""COMPUTED_VALUE"""),"Matt")</f>
        <v>Matt</v>
      </c>
      <c r="F6762">
        <f>IFERROR(__xludf.DUMMYFUNCTION("""COMPUTED_VALUE"""),17.75)</f>
        <v>17.75</v>
      </c>
    </row>
    <row r="6763">
      <c r="D6763" t="str">
        <f>IFERROR(__xludf.DUMMYFUNCTION("""COMPUTED_VALUE"""),"Tocho")</f>
        <v>Tocho</v>
      </c>
      <c r="E6763" t="str">
        <f>IFERROR(__xludf.DUMMYFUNCTION("""COMPUTED_VALUE"""),"Jack")</f>
        <v>Jack</v>
      </c>
      <c r="F6763">
        <f>IFERROR(__xludf.DUMMYFUNCTION("""COMPUTED_VALUE"""),16.75)</f>
        <v>16.75</v>
      </c>
    </row>
    <row r="6764">
      <c r="D6764" t="str">
        <f>IFERROR(__xludf.DUMMYFUNCTION("""COMPUTED_VALUE"""),"Toilolo")</f>
        <v>Toilolo</v>
      </c>
      <c r="E6764" t="str">
        <f>IFERROR(__xludf.DUMMYFUNCTION("""COMPUTED_VALUE"""),"Levine")</f>
        <v>Levine</v>
      </c>
      <c r="F6764">
        <f>IFERROR(__xludf.DUMMYFUNCTION("""COMPUTED_VALUE"""),18.75)</f>
        <v>18.75</v>
      </c>
    </row>
    <row r="6765">
      <c r="D6765" t="str">
        <f>IFERROR(__xludf.DUMMYFUNCTION("""COMPUTED_VALUE"""),"Tom")</f>
        <v>Tom</v>
      </c>
      <c r="E6765" t="str">
        <f>IFERROR(__xludf.DUMMYFUNCTION("""COMPUTED_VALUE"""),"Cameron")</f>
        <v>Cameron</v>
      </c>
      <c r="F6765">
        <f>IFERROR(__xludf.DUMMYFUNCTION("""COMPUTED_VALUE"""),15.75)</f>
        <v>15.75</v>
      </c>
    </row>
    <row r="6766">
      <c r="D6766" t="str">
        <f>IFERROR(__xludf.DUMMYFUNCTION("""COMPUTED_VALUE"""),"Tomlinson")</f>
        <v>Tomlinson</v>
      </c>
      <c r="E6766" t="str">
        <f>IFERROR(__xludf.DUMMYFUNCTION("""COMPUTED_VALUE"""),"Dalvin")</f>
        <v>Dalvin</v>
      </c>
      <c r="F6766">
        <f>IFERROR(__xludf.DUMMYFUNCTION("""COMPUTED_VALUE"""),19.25)</f>
        <v>19.25</v>
      </c>
    </row>
    <row r="6767">
      <c r="D6767" t="str">
        <f>IFERROR(__xludf.DUMMYFUNCTION("""COMPUTED_VALUE"""),"Tomlinson")</f>
        <v>Tomlinson</v>
      </c>
      <c r="E6767" t="str">
        <f>IFERROR(__xludf.DUMMYFUNCTION("""COMPUTED_VALUE"""),"Eric")</f>
        <v>Eric</v>
      </c>
      <c r="F6767">
        <f>IFERROR(__xludf.DUMMYFUNCTION("""COMPUTED_VALUE"""),17.5)</f>
        <v>17.5</v>
      </c>
    </row>
    <row r="6768">
      <c r="D6768" t="str">
        <f>IFERROR(__xludf.DUMMYFUNCTION("""COMPUTED_VALUE"""),"Tomlinson")</f>
        <v>Tomlinson</v>
      </c>
      <c r="E6768" t="str">
        <f>IFERROR(__xludf.DUMMYFUNCTION("""COMPUTED_VALUE"""),"Laken")</f>
        <v>Laken</v>
      </c>
      <c r="F6768">
        <f>IFERROR(__xludf.DUMMYFUNCTION("""COMPUTED_VALUE"""),19.0)</f>
        <v>19</v>
      </c>
    </row>
    <row r="6769">
      <c r="D6769" t="str">
        <f>IFERROR(__xludf.DUMMYFUNCTION("""COMPUTED_VALUE"""),"Toner")</f>
        <v>Toner</v>
      </c>
      <c r="E6769" t="str">
        <f>IFERROR(__xludf.DUMMYFUNCTION("""COMPUTED_VALUE"""),"Cole")</f>
        <v>Cole</v>
      </c>
      <c r="F6769">
        <f>IFERROR(__xludf.DUMMYFUNCTION("""COMPUTED_VALUE"""),15.5)</f>
        <v>15.5</v>
      </c>
    </row>
    <row r="6770">
      <c r="D6770" t="str">
        <f>IFERROR(__xludf.DUMMYFUNCTION("""COMPUTED_VALUE"""),"Toomer")</f>
        <v>Toomer</v>
      </c>
      <c r="E6770" t="str">
        <f>IFERROR(__xludf.DUMMYFUNCTION("""COMPUTED_VALUE"""),"Korey")</f>
        <v>Korey</v>
      </c>
      <c r="F6770">
        <f>IFERROR(__xludf.DUMMYFUNCTION("""COMPUTED_VALUE"""),19.75)</f>
        <v>19.75</v>
      </c>
    </row>
    <row r="6771">
      <c r="D6771" t="str">
        <f>IFERROR(__xludf.DUMMYFUNCTION("""COMPUTED_VALUE"""),"Toussaint")</f>
        <v>Toussaint</v>
      </c>
      <c r="E6771" t="str">
        <f>IFERROR(__xludf.DUMMYFUNCTION("""COMPUTED_VALUE"""),"Fitzgerald")</f>
        <v>Fitzgerald</v>
      </c>
      <c r="F6771">
        <f>IFERROR(__xludf.DUMMYFUNCTION("""COMPUTED_VALUE"""),16.5)</f>
        <v>16.5</v>
      </c>
    </row>
    <row r="6772">
      <c r="D6772" t="str">
        <f>IFERROR(__xludf.DUMMYFUNCTION("""COMPUTED_VALUE"""),"Towbridge")</f>
        <v>Towbridge</v>
      </c>
      <c r="E6772" t="str">
        <f>IFERROR(__xludf.DUMMYFUNCTION("""COMPUTED_VALUE"""),"Keith")</f>
        <v>Keith</v>
      </c>
      <c r="F6772">
        <f>IFERROR(__xludf.DUMMYFUNCTION("""COMPUTED_VALUE"""),17.0)</f>
        <v>17</v>
      </c>
    </row>
    <row r="6773">
      <c r="D6773" t="str">
        <f>IFERROR(__xludf.DUMMYFUNCTION("""COMPUTED_VALUE"""),"Townsend")</f>
        <v>Townsend</v>
      </c>
      <c r="E6773" t="str">
        <f>IFERROR(__xludf.DUMMYFUNCTION("""COMPUTED_VALUE"""),"Johnny")</f>
        <v>Johnny</v>
      </c>
      <c r="F6773">
        <f>IFERROR(__xludf.DUMMYFUNCTION("""COMPUTED_VALUE"""),19.25)</f>
        <v>19.25</v>
      </c>
    </row>
    <row r="6774">
      <c r="D6774" t="str">
        <f>IFERROR(__xludf.DUMMYFUNCTION("""COMPUTED_VALUE"""),"Travis")</f>
        <v>Travis</v>
      </c>
      <c r="E6774" t="str">
        <f>IFERROR(__xludf.DUMMYFUNCTION("""COMPUTED_VALUE"""),"Ross")</f>
        <v>Ross</v>
      </c>
      <c r="F6774">
        <f>IFERROR(__xludf.DUMMYFUNCTION("""COMPUTED_VALUE"""),17.0)</f>
        <v>17</v>
      </c>
    </row>
    <row r="6775">
      <c r="D6775" t="str">
        <f>IFERROR(__xludf.DUMMYFUNCTION("""COMPUTED_VALUE"""),"Trawick")</f>
        <v>Trawick</v>
      </c>
      <c r="E6775" t="str">
        <f>IFERROR(__xludf.DUMMYFUNCTION("""COMPUTED_VALUE"""),"Brynden")</f>
        <v>Brynden</v>
      </c>
      <c r="F6775">
        <f>IFERROR(__xludf.DUMMYFUNCTION("""COMPUTED_VALUE"""),16.5)</f>
        <v>16.5</v>
      </c>
    </row>
    <row r="6776">
      <c r="D6776" t="str">
        <f>IFERROR(__xludf.DUMMYFUNCTION("""COMPUTED_VALUE"""),"Traylor")</f>
        <v>Traylor</v>
      </c>
      <c r="E6776" t="str">
        <f>IFERROR(__xludf.DUMMYFUNCTION("""COMPUTED_VALUE"""),"Austin")</f>
        <v>Austin</v>
      </c>
      <c r="F6776">
        <f>IFERROR(__xludf.DUMMYFUNCTION("""COMPUTED_VALUE"""),17.25)</f>
        <v>17.25</v>
      </c>
    </row>
    <row r="6777">
      <c r="D6777" t="str">
        <f>IFERROR(__xludf.DUMMYFUNCTION("""COMPUTED_VALUE"""),"Treadwell")</f>
        <v>Treadwell</v>
      </c>
      <c r="E6777" t="str">
        <f>IFERROR(__xludf.DUMMYFUNCTION("""COMPUTED_VALUE"""),"Laquon")</f>
        <v>Laquon</v>
      </c>
      <c r="F6777">
        <f>IFERROR(__xludf.DUMMYFUNCTION("""COMPUTED_VALUE"""),18.25)</f>
        <v>18.25</v>
      </c>
    </row>
    <row r="6778">
      <c r="D6778" t="str">
        <f>IFERROR(__xludf.DUMMYFUNCTION("""COMPUTED_VALUE"""),"Treggs")</f>
        <v>Treggs</v>
      </c>
      <c r="E6778" t="str">
        <f>IFERROR(__xludf.DUMMYFUNCTION("""COMPUTED_VALUE"""),"Bryce")</f>
        <v>Bryce</v>
      </c>
      <c r="F6778">
        <f>IFERROR(__xludf.DUMMYFUNCTION("""COMPUTED_VALUE"""),17.25)</f>
        <v>17.25</v>
      </c>
    </row>
    <row r="6779">
      <c r="D6779" t="str">
        <f>IFERROR(__xludf.DUMMYFUNCTION("""COMPUTED_VALUE"""),"Tretter")</f>
        <v>Tretter</v>
      </c>
      <c r="E6779" t="str">
        <f>IFERROR(__xludf.DUMMYFUNCTION("""COMPUTED_VALUE"""),"JC")</f>
        <v>JC</v>
      </c>
      <c r="F6779">
        <f>IFERROR(__xludf.DUMMYFUNCTION("""COMPUTED_VALUE"""),19.25)</f>
        <v>19.25</v>
      </c>
    </row>
    <row r="6780">
      <c r="D6780" t="str">
        <f>IFERROR(__xludf.DUMMYFUNCTION("""COMPUTED_VALUE"""),"Trevathan")</f>
        <v>Trevathan</v>
      </c>
      <c r="E6780" t="str">
        <f>IFERROR(__xludf.DUMMYFUNCTION("""COMPUTED_VALUE"""),"Danny")</f>
        <v>Danny</v>
      </c>
      <c r="F6780">
        <f>IFERROR(__xludf.DUMMYFUNCTION("""COMPUTED_VALUE"""),21.0)</f>
        <v>21</v>
      </c>
    </row>
    <row r="6781">
      <c r="D6781" t="str">
        <f>IFERROR(__xludf.DUMMYFUNCTION("""COMPUTED_VALUE"""),"Trevathan")</f>
        <v>Trevathan</v>
      </c>
      <c r="E6781" t="str">
        <f>IFERROR(__xludf.DUMMYFUNCTION("""COMPUTED_VALUE"""),"Danny")</f>
        <v>Danny</v>
      </c>
      <c r="F6781">
        <f>IFERROR(__xludf.DUMMYFUNCTION("""COMPUTED_VALUE"""),22.0)</f>
        <v>22</v>
      </c>
    </row>
    <row r="6782">
      <c r="D6782" t="str">
        <f>IFERROR(__xludf.DUMMYFUNCTION("""COMPUTED_VALUE"""),"Trubisky")</f>
        <v>Trubisky</v>
      </c>
      <c r="E6782" t="str">
        <f>IFERROR(__xludf.DUMMYFUNCTION("""COMPUTED_VALUE"""),"Mitchell")</f>
        <v>Mitchell</v>
      </c>
      <c r="F6782">
        <f>IFERROR(__xludf.DUMMYFUNCTION("""COMPUTED_VALUE"""),19.25)</f>
        <v>19.25</v>
      </c>
    </row>
    <row r="6783">
      <c r="D6783" t="str">
        <f>IFERROR(__xludf.DUMMYFUNCTION("""COMPUTED_VALUE"""),"Trufant")</f>
        <v>Trufant</v>
      </c>
      <c r="E6783" t="str">
        <f>IFERROR(__xludf.DUMMYFUNCTION("""COMPUTED_VALUE"""),"Desmond")</f>
        <v>Desmond</v>
      </c>
      <c r="F6783">
        <f>IFERROR(__xludf.DUMMYFUNCTION("""COMPUTED_VALUE"""),21.75)</f>
        <v>21.75</v>
      </c>
    </row>
    <row r="6784">
      <c r="D6784" t="str">
        <f>IFERROR(__xludf.DUMMYFUNCTION("""COMPUTED_VALUE"""),"Tucker")</f>
        <v>Tucker</v>
      </c>
      <c r="E6784" t="str">
        <f>IFERROR(__xludf.DUMMYFUNCTION("""COMPUTED_VALUE"""),"Justin")</f>
        <v>Justin</v>
      </c>
      <c r="F6784">
        <f>IFERROR(__xludf.DUMMYFUNCTION("""COMPUTED_VALUE"""),22.25)</f>
        <v>22.25</v>
      </c>
    </row>
    <row r="6785">
      <c r="D6785" t="str">
        <f>IFERROR(__xludf.DUMMYFUNCTION("""COMPUTED_VALUE"""),"Tucker")</f>
        <v>Tucker</v>
      </c>
      <c r="E6785" t="str">
        <f>IFERROR(__xludf.DUMMYFUNCTION("""COMPUTED_VALUE"""),"Marcus")</f>
        <v>Marcus</v>
      </c>
      <c r="F6785">
        <f>IFERROR(__xludf.DUMMYFUNCTION("""COMPUTED_VALUE"""),15.75)</f>
        <v>15.75</v>
      </c>
    </row>
    <row r="6786">
      <c r="D6786" t="str">
        <f>IFERROR(__xludf.DUMMYFUNCTION("""COMPUTED_VALUE"""),"TuIkolovatu")</f>
        <v>TuIkolovatu</v>
      </c>
      <c r="E6786" t="str">
        <f>IFERROR(__xludf.DUMMYFUNCTION("""COMPUTED_VALUE"""),"Stevie")</f>
        <v>Stevie</v>
      </c>
      <c r="F6786">
        <f>IFERROR(__xludf.DUMMYFUNCTION("""COMPUTED_VALUE"""),17.75)</f>
        <v>17.75</v>
      </c>
    </row>
    <row r="6787">
      <c r="D6787" t="str">
        <f>IFERROR(__xludf.DUMMYFUNCTION("""COMPUTED_VALUE"""),"Tuitt")</f>
        <v>Tuitt</v>
      </c>
      <c r="E6787" t="str">
        <f>IFERROR(__xludf.DUMMYFUNCTION("""COMPUTED_VALUE"""),"Stephon")</f>
        <v>Stephon</v>
      </c>
      <c r="F6787">
        <f>IFERROR(__xludf.DUMMYFUNCTION("""COMPUTED_VALUE"""),20.25)</f>
        <v>20.25</v>
      </c>
    </row>
    <row r="6788">
      <c r="D6788" t="str">
        <f>IFERROR(__xludf.DUMMYFUNCTION("""COMPUTED_VALUE"""),"Tunsil")</f>
        <v>Tunsil</v>
      </c>
      <c r="E6788" t="str">
        <f>IFERROR(__xludf.DUMMYFUNCTION("""COMPUTED_VALUE"""),"Laremy")</f>
        <v>Laremy</v>
      </c>
      <c r="F6788">
        <f>IFERROR(__xludf.DUMMYFUNCTION("""COMPUTED_VALUE"""),19.25)</f>
        <v>19.25</v>
      </c>
    </row>
    <row r="6789">
      <c r="D6789" t="str">
        <f>IFERROR(__xludf.DUMMYFUNCTION("""COMPUTED_VALUE"""),"Tupou")</f>
        <v>Tupou</v>
      </c>
      <c r="E6789" t="str">
        <f>IFERROR(__xludf.DUMMYFUNCTION("""COMPUTED_VALUE"""),"Josh")</f>
        <v>Josh</v>
      </c>
      <c r="F6789">
        <f>IFERROR(__xludf.DUMMYFUNCTION("""COMPUTED_VALUE"""),15.5)</f>
        <v>15.5</v>
      </c>
    </row>
    <row r="6790">
      <c r="D6790" t="str">
        <f>IFERROR(__xludf.DUMMYFUNCTION("""COMPUTED_VALUE"""),"Turay")</f>
        <v>Turay</v>
      </c>
      <c r="E6790" t="str">
        <f>IFERROR(__xludf.DUMMYFUNCTION("""COMPUTED_VALUE"""),"Kemoko")</f>
        <v>Kemoko</v>
      </c>
      <c r="F6790">
        <f>IFERROR(__xludf.DUMMYFUNCTION("""COMPUTED_VALUE"""),18.0)</f>
        <v>18</v>
      </c>
    </row>
    <row r="6791">
      <c r="D6791" t="str">
        <f>IFERROR(__xludf.DUMMYFUNCTION("""COMPUTED_VALUE"""),"Turbin")</f>
        <v>Turbin</v>
      </c>
      <c r="E6791" t="str">
        <f>IFERROR(__xludf.DUMMYFUNCTION("""COMPUTED_VALUE"""),"Robert")</f>
        <v>Robert</v>
      </c>
      <c r="F6791">
        <f>IFERROR(__xludf.DUMMYFUNCTION("""COMPUTED_VALUE"""),18.25)</f>
        <v>18.25</v>
      </c>
    </row>
    <row r="6792">
      <c r="D6792" t="str">
        <f>IFERROR(__xludf.DUMMYFUNCTION("""COMPUTED_VALUE"""),"Turner")</f>
        <v>Turner</v>
      </c>
      <c r="E6792" t="str">
        <f>IFERROR(__xludf.DUMMYFUNCTION("""COMPUTED_VALUE"""),"Billy")</f>
        <v>Billy</v>
      </c>
      <c r="F6792">
        <f>IFERROR(__xludf.DUMMYFUNCTION("""COMPUTED_VALUE"""),17.25)</f>
        <v>17.25</v>
      </c>
    </row>
    <row r="6793">
      <c r="D6793" t="str">
        <f>IFERROR(__xludf.DUMMYFUNCTION("""COMPUTED_VALUE"""),"Turner")</f>
        <v>Turner</v>
      </c>
      <c r="E6793" t="str">
        <f>IFERROR(__xludf.DUMMYFUNCTION("""COMPUTED_VALUE"""),"Trai")</f>
        <v>Trai</v>
      </c>
      <c r="F6793">
        <f>IFERROR(__xludf.DUMMYFUNCTION("""COMPUTED_VALUE"""),20.5)</f>
        <v>20.5</v>
      </c>
    </row>
    <row r="6794">
      <c r="D6794" t="str">
        <f>IFERROR(__xludf.DUMMYFUNCTION("""COMPUTED_VALUE"""),"Tye")</f>
        <v>Tye</v>
      </c>
      <c r="E6794" t="str">
        <f>IFERROR(__xludf.DUMMYFUNCTION("""COMPUTED_VALUE"""),"Will")</f>
        <v>Will</v>
      </c>
      <c r="F6794">
        <f>IFERROR(__xludf.DUMMYFUNCTION("""COMPUTED_VALUE"""),18.75)</f>
        <v>18.75</v>
      </c>
    </row>
    <row r="6795">
      <c r="D6795" t="str">
        <f>IFERROR(__xludf.DUMMYFUNCTION("""COMPUTED_VALUE"""),"Tyson")</f>
        <v>Tyson</v>
      </c>
      <c r="E6795" t="str">
        <f>IFERROR(__xludf.DUMMYFUNCTION("""COMPUTED_VALUE"""),"Mike")</f>
        <v>Mike</v>
      </c>
      <c r="F6795">
        <f>IFERROR(__xludf.DUMMYFUNCTION("""COMPUTED_VALUE"""),17.0)</f>
        <v>17</v>
      </c>
    </row>
    <row r="6796">
      <c r="D6796" t="str">
        <f>IFERROR(__xludf.DUMMYFUNCTION("""COMPUTED_VALUE"""),"Unger")</f>
        <v>Unger</v>
      </c>
      <c r="E6796" t="str">
        <f>IFERROR(__xludf.DUMMYFUNCTION("""COMPUTED_VALUE"""),"Max")</f>
        <v>Max</v>
      </c>
      <c r="F6796">
        <f>IFERROR(__xludf.DUMMYFUNCTION("""COMPUTED_VALUE"""),20.0)</f>
        <v>20</v>
      </c>
    </row>
    <row r="6797">
      <c r="D6797" t="str">
        <f>IFERROR(__xludf.DUMMYFUNCTION("""COMPUTED_VALUE"""),"Unrein")</f>
        <v>Unrein</v>
      </c>
      <c r="E6797" t="str">
        <f>IFERROR(__xludf.DUMMYFUNCTION("""COMPUTED_VALUE"""),"Mitch")</f>
        <v>Mitch</v>
      </c>
      <c r="F6797">
        <f>IFERROR(__xludf.DUMMYFUNCTION("""COMPUTED_VALUE"""),19.5)</f>
        <v>19.5</v>
      </c>
    </row>
    <row r="6798">
      <c r="D6798" t="str">
        <f>IFERROR(__xludf.DUMMYFUNCTION("""COMPUTED_VALUE"""),"Urban")</f>
        <v>Urban</v>
      </c>
      <c r="E6798" t="str">
        <f>IFERROR(__xludf.DUMMYFUNCTION("""COMPUTED_VALUE"""),"Brent")</f>
        <v>Brent</v>
      </c>
      <c r="F6798">
        <f>IFERROR(__xludf.DUMMYFUNCTION("""COMPUTED_VALUE"""),17.5)</f>
        <v>17.5</v>
      </c>
    </row>
    <row r="6799">
      <c r="D6799" t="str">
        <f>IFERROR(__xludf.DUMMYFUNCTION("""COMPUTED_VALUE"""),"Uzomah")</f>
        <v>Uzomah</v>
      </c>
      <c r="E6799" t="str">
        <f>IFERROR(__xludf.DUMMYFUNCTION("""COMPUTED_VALUE"""),"CJ")</f>
        <v>CJ</v>
      </c>
      <c r="F6799">
        <f>IFERROR(__xludf.DUMMYFUNCTION("""COMPUTED_VALUE"""),18.5)</f>
        <v>18.5</v>
      </c>
    </row>
    <row r="6800">
      <c r="D6800" t="str">
        <f>IFERROR(__xludf.DUMMYFUNCTION("""COMPUTED_VALUE"""),"Vaccaro")</f>
        <v>Vaccaro</v>
      </c>
      <c r="E6800" t="str">
        <f>IFERROR(__xludf.DUMMYFUNCTION("""COMPUTED_VALUE"""),"Kenny")</f>
        <v>Kenny</v>
      </c>
      <c r="F6800">
        <f>IFERROR(__xludf.DUMMYFUNCTION("""COMPUTED_VALUE"""),19.75)</f>
        <v>19.75</v>
      </c>
    </row>
    <row r="6801">
      <c r="D6801" t="str">
        <f>IFERROR(__xludf.DUMMYFUNCTION("""COMPUTED_VALUE"""),"Vaeao")</f>
        <v>Vaeao</v>
      </c>
      <c r="E6801" t="str">
        <f>IFERROR(__xludf.DUMMYFUNCTION("""COMPUTED_VALUE"""),"Destiny")</f>
        <v>Destiny</v>
      </c>
      <c r="F6801">
        <f>IFERROR(__xludf.DUMMYFUNCTION("""COMPUTED_VALUE"""),15.75)</f>
        <v>15.75</v>
      </c>
    </row>
    <row r="6802">
      <c r="D6802" t="str">
        <f>IFERROR(__xludf.DUMMYFUNCTION("""COMPUTED_VALUE"""),"Vaitai")</f>
        <v>Vaitai</v>
      </c>
      <c r="E6802" t="str">
        <f>IFERROR(__xludf.DUMMYFUNCTION("""COMPUTED_VALUE"""),"Hal")</f>
        <v>Hal</v>
      </c>
      <c r="F6802">
        <f>IFERROR(__xludf.DUMMYFUNCTION("""COMPUTED_VALUE"""),18.75)</f>
        <v>18.75</v>
      </c>
    </row>
    <row r="6803">
      <c r="D6803" t="str">
        <f>IFERROR(__xludf.DUMMYFUNCTION("""COMPUTED_VALUE"""),"Valdes-Scantling")</f>
        <v>Valdes-Scantling</v>
      </c>
      <c r="E6803" t="str">
        <f>IFERROR(__xludf.DUMMYFUNCTION("""COMPUTED_VALUE"""),"Marquez")</f>
        <v>Marquez</v>
      </c>
      <c r="F6803">
        <f>IFERROR(__xludf.DUMMYFUNCTION("""COMPUTED_VALUE"""),18.25)</f>
        <v>18.25</v>
      </c>
    </row>
    <row r="6804">
      <c r="D6804" t="str">
        <f>IFERROR(__xludf.DUMMYFUNCTION("""COMPUTED_VALUE"""),"Valentine")</f>
        <v>Valentine</v>
      </c>
      <c r="E6804" t="str">
        <f>IFERROR(__xludf.DUMMYFUNCTION("""COMPUTED_VALUE"""),"Vincent")</f>
        <v>Vincent</v>
      </c>
      <c r="F6804">
        <f>IFERROR(__xludf.DUMMYFUNCTION("""COMPUTED_VALUE"""),18.25)</f>
        <v>18.25</v>
      </c>
    </row>
    <row r="6805">
      <c r="D6805" t="str">
        <f>IFERROR(__xludf.DUMMYFUNCTION("""COMPUTED_VALUE"""),"Vallejo")</f>
        <v>Vallejo</v>
      </c>
      <c r="E6805" t="str">
        <f>IFERROR(__xludf.DUMMYFUNCTION("""COMPUTED_VALUE"""),"Tanner")</f>
        <v>Tanner</v>
      </c>
      <c r="F6805">
        <f>IFERROR(__xludf.DUMMYFUNCTION("""COMPUTED_VALUE"""),16.5)</f>
        <v>16.5</v>
      </c>
    </row>
    <row r="6806">
      <c r="D6806" t="str">
        <f>IFERROR(__xludf.DUMMYFUNCTION("""COMPUTED_VALUE"""),"Valles")</f>
        <v>Valles</v>
      </c>
      <c r="E6806" t="str">
        <f>IFERROR(__xludf.DUMMYFUNCTION("""COMPUTED_VALUE"""),"Hakeem")</f>
        <v>Hakeem</v>
      </c>
      <c r="F6806">
        <f>IFERROR(__xludf.DUMMYFUNCTION("""COMPUTED_VALUE"""),16.0)</f>
        <v>16</v>
      </c>
    </row>
    <row r="6807">
      <c r="D6807" t="str">
        <f>IFERROR(__xludf.DUMMYFUNCTION("""COMPUTED_VALUE"""),"Valoaga")</f>
        <v>Valoaga</v>
      </c>
      <c r="E6807" t="str">
        <f>IFERROR(__xludf.DUMMYFUNCTION("""COMPUTED_VALUE"""),"Jeremiah")</f>
        <v>Jeremiah</v>
      </c>
      <c r="F6807">
        <f>IFERROR(__xludf.DUMMYFUNCTION("""COMPUTED_VALUE"""),15.75)</f>
        <v>15.75</v>
      </c>
    </row>
    <row r="6808">
      <c r="D6808" t="str">
        <f>IFERROR(__xludf.DUMMYFUNCTION("""COMPUTED_VALUE"""),"Van Noy")</f>
        <v>Van Noy</v>
      </c>
      <c r="E6808" t="str">
        <f>IFERROR(__xludf.DUMMYFUNCTION("""COMPUTED_VALUE"""),"Kyle")</f>
        <v>Kyle</v>
      </c>
      <c r="F6808">
        <f>IFERROR(__xludf.DUMMYFUNCTION("""COMPUTED_VALUE"""),19.5)</f>
        <v>19.5</v>
      </c>
    </row>
    <row r="6809">
      <c r="D6809" t="str">
        <f>IFERROR(__xludf.DUMMYFUNCTION("""COMPUTED_VALUE"""),"Van Roten")</f>
        <v>Van Roten</v>
      </c>
      <c r="E6809" t="str">
        <f>IFERROR(__xludf.DUMMYFUNCTION("""COMPUTED_VALUE"""),"Greg")</f>
        <v>Greg</v>
      </c>
      <c r="F6809">
        <f>IFERROR(__xludf.DUMMYFUNCTION("""COMPUTED_VALUE"""),17.75)</f>
        <v>17.75</v>
      </c>
    </row>
    <row r="6810">
      <c r="D6810" t="str">
        <f>IFERROR(__xludf.DUMMYFUNCTION("""COMPUTED_VALUE"""),"Vander Esch")</f>
        <v>Vander Esch</v>
      </c>
      <c r="E6810" t="str">
        <f>IFERROR(__xludf.DUMMYFUNCTION("""COMPUTED_VALUE"""),"Leighton")</f>
        <v>Leighton</v>
      </c>
      <c r="F6810">
        <f>IFERROR(__xludf.DUMMYFUNCTION("""COMPUTED_VALUE"""),19.0)</f>
        <v>19</v>
      </c>
    </row>
    <row r="6811">
      <c r="D6811" t="str">
        <f>IFERROR(__xludf.DUMMYFUNCTION("""COMPUTED_VALUE"""),"Vanderdoes")</f>
        <v>Vanderdoes</v>
      </c>
      <c r="E6811" t="str">
        <f>IFERROR(__xludf.DUMMYFUNCTION("""COMPUTED_VALUE"""),"Eddie")</f>
        <v>Eddie</v>
      </c>
      <c r="F6811">
        <f>IFERROR(__xludf.DUMMYFUNCTION("""COMPUTED_VALUE"""),18.0)</f>
        <v>18</v>
      </c>
    </row>
    <row r="6812">
      <c r="D6812" t="str">
        <f>IFERROR(__xludf.DUMMYFUNCTION("""COMPUTED_VALUE"""),"Vannett")</f>
        <v>Vannett</v>
      </c>
      <c r="E6812" t="str">
        <f>IFERROR(__xludf.DUMMYFUNCTION("""COMPUTED_VALUE"""),"Nick")</f>
        <v>Nick</v>
      </c>
      <c r="F6812">
        <f>IFERROR(__xludf.DUMMYFUNCTION("""COMPUTED_VALUE"""),17.5)</f>
        <v>17.5</v>
      </c>
    </row>
    <row r="6813">
      <c r="D6813" t="str">
        <f>IFERROR(__xludf.DUMMYFUNCTION("""COMPUTED_VALUE"""),"Vea")</f>
        <v>Vea</v>
      </c>
      <c r="E6813" t="str">
        <f>IFERROR(__xludf.DUMMYFUNCTION("""COMPUTED_VALUE"""),"Vita")</f>
        <v>Vita</v>
      </c>
      <c r="F6813">
        <f>IFERROR(__xludf.DUMMYFUNCTION("""COMPUTED_VALUE"""),19.5)</f>
        <v>19.5</v>
      </c>
    </row>
    <row r="6814">
      <c r="D6814" t="str">
        <f>IFERROR(__xludf.DUMMYFUNCTION("""COMPUTED_VALUE"""),"Vea")</f>
        <v>Vea</v>
      </c>
      <c r="E6814" t="str">
        <f>IFERROR(__xludf.DUMMYFUNCTION("""COMPUTED_VALUE"""),"Vita")</f>
        <v>Vita</v>
      </c>
      <c r="F6814">
        <f>IFERROR(__xludf.DUMMYFUNCTION("""COMPUTED_VALUE"""),21.75)</f>
        <v>21.75</v>
      </c>
    </row>
    <row r="6815">
      <c r="D6815" t="str">
        <f>IFERROR(__xludf.DUMMYFUNCTION("""COMPUTED_VALUE"""),"Veldheer")</f>
        <v>Veldheer</v>
      </c>
      <c r="E6815" t="str">
        <f>IFERROR(__xludf.DUMMYFUNCTION("""COMPUTED_VALUE"""),"Jared")</f>
        <v>Jared</v>
      </c>
      <c r="F6815">
        <f>IFERROR(__xludf.DUMMYFUNCTION("""COMPUTED_VALUE"""),19.25)</f>
        <v>19.25</v>
      </c>
    </row>
    <row r="6816">
      <c r="D6816" t="str">
        <f>IFERROR(__xludf.DUMMYFUNCTION("""COMPUTED_VALUE"""),"Verner")</f>
        <v>Verner</v>
      </c>
      <c r="E6816" t="str">
        <f>IFERROR(__xludf.DUMMYFUNCTION("""COMPUTED_VALUE"""),"Alterraun")</f>
        <v>Alterraun</v>
      </c>
      <c r="F6816">
        <f>IFERROR(__xludf.DUMMYFUNCTION("""COMPUTED_VALUE"""),15.25)</f>
        <v>15.25</v>
      </c>
    </row>
    <row r="6817">
      <c r="D6817" t="str">
        <f>IFERROR(__xludf.DUMMYFUNCTION("""COMPUTED_VALUE"""),"Vernon")</f>
        <v>Vernon</v>
      </c>
      <c r="E6817" t="str">
        <f>IFERROR(__xludf.DUMMYFUNCTION("""COMPUTED_VALUE"""),"Olivier")</f>
        <v>Olivier</v>
      </c>
      <c r="F6817">
        <f>IFERROR(__xludf.DUMMYFUNCTION("""COMPUTED_VALUE"""),20.0)</f>
        <v>20</v>
      </c>
    </row>
    <row r="6818">
      <c r="D6818" t="str">
        <f>IFERROR(__xludf.DUMMYFUNCTION("""COMPUTED_VALUE"""),"Verrett")</f>
        <v>Verrett</v>
      </c>
      <c r="E6818" t="str">
        <f>IFERROR(__xludf.DUMMYFUNCTION("""COMPUTED_VALUE"""),"Jason")</f>
        <v>Jason</v>
      </c>
      <c r="F6818">
        <f>IFERROR(__xludf.DUMMYFUNCTION("""COMPUTED_VALUE"""),20.75)</f>
        <v>20.75</v>
      </c>
    </row>
    <row r="6819">
      <c r="D6819" t="str">
        <f>IFERROR(__xludf.DUMMYFUNCTION("""COMPUTED_VALUE"""),"Victor")</f>
        <v>Victor</v>
      </c>
      <c r="E6819" t="str">
        <f>IFERROR(__xludf.DUMMYFUNCTION("""COMPUTED_VALUE"""),"Azeem")</f>
        <v>Azeem</v>
      </c>
      <c r="F6819">
        <f>IFERROR(__xludf.DUMMYFUNCTION("""COMPUTED_VALUE"""),17.0)</f>
        <v>17</v>
      </c>
    </row>
    <row r="6820">
      <c r="D6820" t="str">
        <f>IFERROR(__xludf.DUMMYFUNCTION("""COMPUTED_VALUE"""),"Vigil")</f>
        <v>Vigil</v>
      </c>
      <c r="E6820" t="str">
        <f>IFERROR(__xludf.DUMMYFUNCTION("""COMPUTED_VALUE"""),"Nick")</f>
        <v>Nick</v>
      </c>
      <c r="F6820">
        <f>IFERROR(__xludf.DUMMYFUNCTION("""COMPUTED_VALUE"""),17.5)</f>
        <v>17.5</v>
      </c>
    </row>
    <row r="6821">
      <c r="D6821" t="str">
        <f>IFERROR(__xludf.DUMMYFUNCTION("""COMPUTED_VALUE"""),"Vigil")</f>
        <v>Vigil</v>
      </c>
      <c r="E6821" t="str">
        <f>IFERROR(__xludf.DUMMYFUNCTION("""COMPUTED_VALUE"""),"Zach")</f>
        <v>Zach</v>
      </c>
      <c r="F6821">
        <f>IFERROR(__xludf.DUMMYFUNCTION("""COMPUTED_VALUE"""),18.75)</f>
        <v>18.75</v>
      </c>
    </row>
    <row r="6822">
      <c r="D6822" t="str">
        <f>IFERROR(__xludf.DUMMYFUNCTION("""COMPUTED_VALUE"""),"Villanueva")</f>
        <v>Villanueva</v>
      </c>
      <c r="E6822" t="str">
        <f>IFERROR(__xludf.DUMMYFUNCTION("""COMPUTED_VALUE"""),"Alejandro")</f>
        <v>Alejandro</v>
      </c>
      <c r="F6822">
        <f>IFERROR(__xludf.DUMMYFUNCTION("""COMPUTED_VALUE"""),19.5)</f>
        <v>19.5</v>
      </c>
    </row>
    <row r="6823">
      <c r="D6823" t="str">
        <f>IFERROR(__xludf.DUMMYFUNCTION("""COMPUTED_VALUE"""),"Vinatieri")</f>
        <v>Vinatieri</v>
      </c>
      <c r="E6823" t="str">
        <f>IFERROR(__xludf.DUMMYFUNCTION("""COMPUTED_VALUE"""),"Adam")</f>
        <v>Adam</v>
      </c>
      <c r="F6823">
        <f>IFERROR(__xludf.DUMMYFUNCTION("""COMPUTED_VALUE"""),20.0)</f>
        <v>20</v>
      </c>
    </row>
    <row r="6824">
      <c r="D6824" t="str">
        <f>IFERROR(__xludf.DUMMYFUNCTION("""COMPUTED_VALUE"""),"Virgin")</f>
        <v>Virgin</v>
      </c>
      <c r="E6824" t="str">
        <f>IFERROR(__xludf.DUMMYFUNCTION("""COMPUTED_VALUE"""),"Dee")</f>
        <v>Dee</v>
      </c>
      <c r="F6824">
        <f>IFERROR(__xludf.DUMMYFUNCTION("""COMPUTED_VALUE"""),16.5)</f>
        <v>16.5</v>
      </c>
    </row>
    <row r="6825">
      <c r="D6825" t="str">
        <f>IFERROR(__xludf.DUMMYFUNCTION("""COMPUTED_VALUE"""),"Vitale")</f>
        <v>Vitale</v>
      </c>
      <c r="E6825" t="str">
        <f>IFERROR(__xludf.DUMMYFUNCTION("""COMPUTED_VALUE"""),"Danny")</f>
        <v>Danny</v>
      </c>
      <c r="F6825">
        <f>IFERROR(__xludf.DUMMYFUNCTION("""COMPUTED_VALUE"""),17.25)</f>
        <v>17.25</v>
      </c>
    </row>
    <row r="6826">
      <c r="D6826" t="str">
        <f>IFERROR(__xludf.DUMMYFUNCTION("""COMPUTED_VALUE"""),"Vogel")</f>
        <v>Vogel</v>
      </c>
      <c r="E6826" t="str">
        <f>IFERROR(__xludf.DUMMYFUNCTION("""COMPUTED_VALUE"""),"Justin")</f>
        <v>Justin</v>
      </c>
      <c r="F6826">
        <f>IFERROR(__xludf.DUMMYFUNCTION("""COMPUTED_VALUE"""),19.25)</f>
        <v>19.25</v>
      </c>
    </row>
    <row r="6827">
      <c r="D6827" t="str">
        <f>IFERROR(__xludf.DUMMYFUNCTION("""COMPUTED_VALUE"""),"Vujnovich")</f>
        <v>Vujnovich</v>
      </c>
      <c r="E6827" t="str">
        <f>IFERROR(__xludf.DUMMYFUNCTION("""COMPUTED_VALUE"""),"Jeremy")</f>
        <v>Jeremy</v>
      </c>
      <c r="F6827">
        <f>IFERROR(__xludf.DUMMYFUNCTION("""COMPUTED_VALUE"""),17.5)</f>
        <v>17.5</v>
      </c>
    </row>
    <row r="6828">
      <c r="D6828" t="str">
        <f>IFERROR(__xludf.DUMMYFUNCTION("""COMPUTED_VALUE"""),"Waddle")</f>
        <v>Waddle</v>
      </c>
      <c r="E6828" t="str">
        <f>IFERROR(__xludf.DUMMYFUNCTION("""COMPUTED_VALUE"""),"LaAdrian")</f>
        <v>LaAdrian</v>
      </c>
      <c r="F6828">
        <f>IFERROR(__xludf.DUMMYFUNCTION("""COMPUTED_VALUE"""),18.25)</f>
        <v>18.25</v>
      </c>
    </row>
    <row r="6829">
      <c r="D6829" t="str">
        <f>IFERROR(__xludf.DUMMYFUNCTION("""COMPUTED_VALUE"""),"Wagner")</f>
        <v>Wagner</v>
      </c>
      <c r="E6829" t="str">
        <f>IFERROR(__xludf.DUMMYFUNCTION("""COMPUTED_VALUE"""),"Rick")</f>
        <v>Rick</v>
      </c>
      <c r="F6829">
        <f>IFERROR(__xludf.DUMMYFUNCTION("""COMPUTED_VALUE"""),20.75)</f>
        <v>20.75</v>
      </c>
    </row>
    <row r="6830">
      <c r="D6830" t="str">
        <f>IFERROR(__xludf.DUMMYFUNCTION("""COMPUTED_VALUE"""),"Wake")</f>
        <v>Wake</v>
      </c>
      <c r="E6830" t="str">
        <f>IFERROR(__xludf.DUMMYFUNCTION("""COMPUTED_VALUE"""),"Cameron")</f>
        <v>Cameron</v>
      </c>
      <c r="F6830">
        <f>IFERROR(__xludf.DUMMYFUNCTION("""COMPUTED_VALUE"""),20.25)</f>
        <v>20.25</v>
      </c>
    </row>
    <row r="6831">
      <c r="D6831" t="str">
        <f>IFERROR(__xludf.DUMMYFUNCTION("""COMPUTED_VALUE"""),"Walford")</f>
        <v>Walford</v>
      </c>
      <c r="E6831" t="str">
        <f>IFERROR(__xludf.DUMMYFUNCTION("""COMPUTED_VALUE"""),"Clive")</f>
        <v>Clive</v>
      </c>
      <c r="F6831">
        <f>IFERROR(__xludf.DUMMYFUNCTION("""COMPUTED_VALUE"""),18.25)</f>
        <v>18.25</v>
      </c>
    </row>
    <row r="6832">
      <c r="D6832" t="str">
        <f>IFERROR(__xludf.DUMMYFUNCTION("""COMPUTED_VALUE"""),"Walker")</f>
        <v>Walker</v>
      </c>
      <c r="E6832" t="str">
        <f>IFERROR(__xludf.DUMMYFUNCTION("""COMPUTED_VALUE"""),"Delanie")</f>
        <v>Delanie</v>
      </c>
      <c r="F6832">
        <f>IFERROR(__xludf.DUMMYFUNCTION("""COMPUTED_VALUE"""),21.5)</f>
        <v>21.5</v>
      </c>
    </row>
    <row r="6833">
      <c r="D6833" t="str">
        <f>IFERROR(__xludf.DUMMYFUNCTION("""COMPUTED_VALUE"""),"Walker")</f>
        <v>Walker</v>
      </c>
      <c r="E6833" t="str">
        <f>IFERROR(__xludf.DUMMYFUNCTION("""COMPUTED_VALUE"""),"Delanie")</f>
        <v>Delanie</v>
      </c>
      <c r="F6833">
        <f>IFERROR(__xludf.DUMMYFUNCTION("""COMPUTED_VALUE"""),22.5)</f>
        <v>22.5</v>
      </c>
    </row>
    <row r="6834">
      <c r="D6834" t="str">
        <f>IFERROR(__xludf.DUMMYFUNCTION("""COMPUTED_VALUE"""),"Walker")</f>
        <v>Walker</v>
      </c>
      <c r="E6834" t="str">
        <f>IFERROR(__xludf.DUMMYFUNCTION("""COMPUTED_VALUE"""),"DeMarcus")</f>
        <v>DeMarcus</v>
      </c>
      <c r="F6834">
        <f>IFERROR(__xludf.DUMMYFUNCTION("""COMPUTED_VALUE"""),17.75)</f>
        <v>17.75</v>
      </c>
    </row>
    <row r="6835">
      <c r="D6835" t="str">
        <f>IFERROR(__xludf.DUMMYFUNCTION("""COMPUTED_VALUE"""),"Walker")</f>
        <v>Walker</v>
      </c>
      <c r="E6835" t="str">
        <f>IFERROR(__xludf.DUMMYFUNCTION("""COMPUTED_VALUE"""),"Joe")</f>
        <v>Joe</v>
      </c>
      <c r="F6835">
        <f>IFERROR(__xludf.DUMMYFUNCTION("""COMPUTED_VALUE"""),16.75)</f>
        <v>16.75</v>
      </c>
    </row>
    <row r="6836">
      <c r="D6836" t="str">
        <f>IFERROR(__xludf.DUMMYFUNCTION("""COMPUTED_VALUE"""),"Walker")</f>
        <v>Walker</v>
      </c>
      <c r="E6836" t="str">
        <f>IFERROR(__xludf.DUMMYFUNCTION("""COMPUTED_VALUE"""),"Tracy")</f>
        <v>Tracy</v>
      </c>
      <c r="F6836">
        <f>IFERROR(__xludf.DUMMYFUNCTION("""COMPUTED_VALUE"""),17.75)</f>
        <v>17.75</v>
      </c>
    </row>
    <row r="6837">
      <c r="D6837" t="str">
        <f>IFERROR(__xludf.DUMMYFUNCTION("""COMPUTED_VALUE"""),"Walker Jr")</f>
        <v>Walker Jr</v>
      </c>
      <c r="E6837" t="str">
        <f>IFERROR(__xludf.DUMMYFUNCTION("""COMPUTED_VALUE"""),"Anthony")</f>
        <v>Anthony</v>
      </c>
      <c r="F6837">
        <f>IFERROR(__xludf.DUMMYFUNCTION("""COMPUTED_VALUE"""),17.25)</f>
        <v>17.25</v>
      </c>
    </row>
    <row r="6838">
      <c r="D6838" t="str">
        <f>IFERROR(__xludf.DUMMYFUNCTION("""COMPUTED_VALUE"""),"Wallace")</f>
        <v>Wallace</v>
      </c>
      <c r="E6838" t="str">
        <f>IFERROR(__xludf.DUMMYFUNCTION("""COMPUTED_VALUE"""),"Aaron")</f>
        <v>Aaron</v>
      </c>
      <c r="F6838">
        <f>IFERROR(__xludf.DUMMYFUNCTION("""COMPUTED_VALUE"""),16.75)</f>
        <v>16.75</v>
      </c>
    </row>
    <row r="6839">
      <c r="D6839" t="str">
        <f>IFERROR(__xludf.DUMMYFUNCTION("""COMPUTED_VALUE"""),"Wallace")</f>
        <v>Wallace</v>
      </c>
      <c r="E6839" t="str">
        <f>IFERROR(__xludf.DUMMYFUNCTION("""COMPUTED_VALUE"""),"Mike")</f>
        <v>Mike</v>
      </c>
      <c r="F6839">
        <f>IFERROR(__xludf.DUMMYFUNCTION("""COMPUTED_VALUE"""),19.75)</f>
        <v>19.75</v>
      </c>
    </row>
    <row r="6840">
      <c r="D6840" t="str">
        <f>IFERROR(__xludf.DUMMYFUNCTION("""COMPUTED_VALUE"""),"Walton")</f>
        <v>Walton</v>
      </c>
      <c r="E6840" t="str">
        <f>IFERROR(__xludf.DUMMYFUNCTION("""COMPUTED_VALUE"""),"LT")</f>
        <v>LT</v>
      </c>
      <c r="F6840">
        <f>IFERROR(__xludf.DUMMYFUNCTION("""COMPUTED_VALUE"""),17.0)</f>
        <v>17</v>
      </c>
    </row>
    <row r="6841">
      <c r="D6841" t="str">
        <f>IFERROR(__xludf.DUMMYFUNCTION("""COMPUTED_VALUE"""),"Walton Jr")</f>
        <v>Walton Jr</v>
      </c>
      <c r="E6841" t="str">
        <f>IFERROR(__xludf.DUMMYFUNCTION("""COMPUTED_VALUE"""),"Mark")</f>
        <v>Mark</v>
      </c>
      <c r="F6841">
        <f>IFERROR(__xludf.DUMMYFUNCTION("""COMPUTED_VALUE"""),17.75)</f>
        <v>17.75</v>
      </c>
    </row>
    <row r="6842">
      <c r="D6842" t="str">
        <f>IFERROR(__xludf.DUMMYFUNCTION("""COMPUTED_VALUE"""),"Ward")</f>
        <v>Ward</v>
      </c>
      <c r="E6842" t="str">
        <f>IFERROR(__xludf.DUMMYFUNCTION("""COMPUTED_VALUE"""),"Channing")</f>
        <v>Channing</v>
      </c>
      <c r="F6842">
        <f>IFERROR(__xludf.DUMMYFUNCTION("""COMPUTED_VALUE"""),15.75)</f>
        <v>15.75</v>
      </c>
    </row>
    <row r="6843">
      <c r="D6843" t="str">
        <f>IFERROR(__xludf.DUMMYFUNCTION("""COMPUTED_VALUE"""),"Ward")</f>
        <v>Ward</v>
      </c>
      <c r="E6843" t="str">
        <f>IFERROR(__xludf.DUMMYFUNCTION("""COMPUTED_VALUE"""),"Denzel")</f>
        <v>Denzel</v>
      </c>
      <c r="F6843">
        <f>IFERROR(__xludf.DUMMYFUNCTION("""COMPUTED_VALUE"""),19.75)</f>
        <v>19.75</v>
      </c>
    </row>
    <row r="6844">
      <c r="D6844" t="str">
        <f>IFERROR(__xludf.DUMMYFUNCTION("""COMPUTED_VALUE"""),"Ward")</f>
        <v>Ward</v>
      </c>
      <c r="E6844" t="str">
        <f>IFERROR(__xludf.DUMMYFUNCTION("""COMPUTED_VALUE"""),"Jihad")</f>
        <v>Jihad</v>
      </c>
      <c r="F6844">
        <f>IFERROR(__xludf.DUMMYFUNCTION("""COMPUTED_VALUE"""),16.25)</f>
        <v>16.25</v>
      </c>
    </row>
    <row r="6845">
      <c r="D6845" t="str">
        <f>IFERROR(__xludf.DUMMYFUNCTION("""COMPUTED_VALUE"""),"Ward")</f>
        <v>Ward</v>
      </c>
      <c r="E6845" t="str">
        <f>IFERROR(__xludf.DUMMYFUNCTION("""COMPUTED_VALUE"""),"Jimmie")</f>
        <v>Jimmie</v>
      </c>
      <c r="F6845">
        <f>IFERROR(__xludf.DUMMYFUNCTION("""COMPUTED_VALUE"""),18.5)</f>
        <v>18.5</v>
      </c>
    </row>
    <row r="6846">
      <c r="D6846" t="str">
        <f>IFERROR(__xludf.DUMMYFUNCTION("""COMPUTED_VALUE"""),"Ward")</f>
        <v>Ward</v>
      </c>
      <c r="E6846" t="str">
        <f>IFERROR(__xludf.DUMMYFUNCTION("""COMPUTED_VALUE"""),"TJ")</f>
        <v>TJ</v>
      </c>
      <c r="F6846">
        <f>IFERROR(__xludf.DUMMYFUNCTION("""COMPUTED_VALUE"""),19.0)</f>
        <v>19</v>
      </c>
    </row>
    <row r="6847">
      <c r="D6847" t="str">
        <f>IFERROR(__xludf.DUMMYFUNCTION("""COMPUTED_VALUE"""),"Ware")</f>
        <v>Ware</v>
      </c>
      <c r="E6847" t="str">
        <f>IFERROR(__xludf.DUMMYFUNCTION("""COMPUTED_VALUE"""),"Jylan")</f>
        <v>Jylan</v>
      </c>
      <c r="F6847">
        <f>IFERROR(__xludf.DUMMYFUNCTION("""COMPUTED_VALUE"""),17.0)</f>
        <v>17</v>
      </c>
    </row>
    <row r="6848">
      <c r="D6848" t="str">
        <f>IFERROR(__xludf.DUMMYFUNCTION("""COMPUTED_VALUE"""),"Ware")</f>
        <v>Ware</v>
      </c>
      <c r="E6848" t="str">
        <f>IFERROR(__xludf.DUMMYFUNCTION("""COMPUTED_VALUE"""),"Spencer")</f>
        <v>Spencer</v>
      </c>
      <c r="F6848">
        <f>IFERROR(__xludf.DUMMYFUNCTION("""COMPUTED_VALUE"""),19.75)</f>
        <v>19.75</v>
      </c>
    </row>
    <row r="6849">
      <c r="D6849" t="str">
        <f>IFERROR(__xludf.DUMMYFUNCTION("""COMPUTED_VALUE"""),"Warford")</f>
        <v>Warford</v>
      </c>
      <c r="E6849" t="str">
        <f>IFERROR(__xludf.DUMMYFUNCTION("""COMPUTED_VALUE"""),"Larry")</f>
        <v>Larry</v>
      </c>
      <c r="F6849">
        <f>IFERROR(__xludf.DUMMYFUNCTION("""COMPUTED_VALUE"""),19.5)</f>
        <v>19.5</v>
      </c>
    </row>
    <row r="6850">
      <c r="D6850" t="str">
        <f>IFERROR(__xludf.DUMMYFUNCTION("""COMPUTED_VALUE"""),"Warmack")</f>
        <v>Warmack</v>
      </c>
      <c r="E6850" t="str">
        <f>IFERROR(__xludf.DUMMYFUNCTION("""COMPUTED_VALUE"""),"Chance")</f>
        <v>Chance</v>
      </c>
      <c r="F6850">
        <f>IFERROR(__xludf.DUMMYFUNCTION("""COMPUTED_VALUE"""),18.5)</f>
        <v>18.5</v>
      </c>
    </row>
    <row r="6851">
      <c r="D6851" t="str">
        <f>IFERROR(__xludf.DUMMYFUNCTION("""COMPUTED_VALUE"""),"Warmsley")</f>
        <v>Warmsley</v>
      </c>
      <c r="E6851" t="str">
        <f>IFERROR(__xludf.DUMMYFUNCTION("""COMPUTED_VALUE"""),"Julius")</f>
        <v>Julius</v>
      </c>
      <c r="F6851">
        <f>IFERROR(__xludf.DUMMYFUNCTION("""COMPUTED_VALUE"""),16.25)</f>
        <v>16.25</v>
      </c>
    </row>
    <row r="6852">
      <c r="D6852" t="str">
        <f>IFERROR(__xludf.DUMMYFUNCTION("""COMPUTED_VALUE"""),"Warner")</f>
        <v>Warner</v>
      </c>
      <c r="E6852" t="str">
        <f>IFERROR(__xludf.DUMMYFUNCTION("""COMPUTED_VALUE"""),"Fred")</f>
        <v>Fred</v>
      </c>
      <c r="F6852">
        <f>IFERROR(__xludf.DUMMYFUNCTION("""COMPUTED_VALUE"""),18.25)</f>
        <v>18.25</v>
      </c>
    </row>
    <row r="6853">
      <c r="D6853" t="str">
        <f>IFERROR(__xludf.DUMMYFUNCTION("""COMPUTED_VALUE"""),"Washington")</f>
        <v>Washington</v>
      </c>
      <c r="E6853" t="str">
        <f>IFERROR(__xludf.DUMMYFUNCTION("""COMPUTED_VALUE"""),"Adolphus")</f>
        <v>Adolphus</v>
      </c>
      <c r="F6853">
        <f>IFERROR(__xludf.DUMMYFUNCTION("""COMPUTED_VALUE"""),17.0)</f>
        <v>17</v>
      </c>
    </row>
    <row r="6854">
      <c r="D6854" t="str">
        <f>IFERROR(__xludf.DUMMYFUNCTION("""COMPUTED_VALUE"""),"Washington")</f>
        <v>Washington</v>
      </c>
      <c r="E6854" t="str">
        <f>IFERROR(__xludf.DUMMYFUNCTION("""COMPUTED_VALUE"""),"Charles")</f>
        <v>Charles</v>
      </c>
      <c r="F6854">
        <f>IFERROR(__xludf.DUMMYFUNCTION("""COMPUTED_VALUE"""),15.75)</f>
        <v>15.75</v>
      </c>
    </row>
    <row r="6855">
      <c r="D6855" t="str">
        <f>IFERROR(__xludf.DUMMYFUNCTION("""COMPUTED_VALUE"""),"Washington")</f>
        <v>Washington</v>
      </c>
      <c r="E6855" t="str">
        <f>IFERROR(__xludf.DUMMYFUNCTION("""COMPUTED_VALUE"""),"Cornelius")</f>
        <v>Cornelius</v>
      </c>
      <c r="F6855">
        <f>IFERROR(__xludf.DUMMYFUNCTION("""COMPUTED_VALUE"""),18.5)</f>
        <v>18.5</v>
      </c>
    </row>
    <row r="6856">
      <c r="D6856" t="str">
        <f>IFERROR(__xludf.DUMMYFUNCTION("""COMPUTED_VALUE"""),"Washington")</f>
        <v>Washington</v>
      </c>
      <c r="E6856" t="str">
        <f>IFERROR(__xludf.DUMMYFUNCTION("""COMPUTED_VALUE"""),"DeAndre")</f>
        <v>DeAndre</v>
      </c>
      <c r="F6856">
        <f>IFERROR(__xludf.DUMMYFUNCTION("""COMPUTED_VALUE"""),18.25)</f>
        <v>18.25</v>
      </c>
    </row>
    <row r="6857">
      <c r="D6857" t="str">
        <f>IFERROR(__xludf.DUMMYFUNCTION("""COMPUTED_VALUE"""),"Washington")</f>
        <v>Washington</v>
      </c>
      <c r="E6857" t="str">
        <f>IFERROR(__xludf.DUMMYFUNCTION("""COMPUTED_VALUE"""),"James")</f>
        <v>James</v>
      </c>
      <c r="F6857">
        <f>IFERROR(__xludf.DUMMYFUNCTION("""COMPUTED_VALUE"""),19.0)</f>
        <v>19</v>
      </c>
    </row>
    <row r="6858">
      <c r="D6858" t="str">
        <f>IFERROR(__xludf.DUMMYFUNCTION("""COMPUTED_VALUE"""),"Waters")</f>
        <v>Waters</v>
      </c>
      <c r="E6858" t="str">
        <f>IFERROR(__xludf.DUMMYFUNCTION("""COMPUTED_VALUE"""),"Herb")</f>
        <v>Herb</v>
      </c>
      <c r="F6858">
        <f>IFERROR(__xludf.DUMMYFUNCTION("""COMPUTED_VALUE"""),15.75)</f>
        <v>15.75</v>
      </c>
    </row>
    <row r="6859">
      <c r="D6859" t="str">
        <f>IFERROR(__xludf.DUMMYFUNCTION("""COMPUTED_VALUE"""),"Watkins")</f>
        <v>Watkins</v>
      </c>
      <c r="E6859" t="str">
        <f>IFERROR(__xludf.DUMMYFUNCTION("""COMPUTED_VALUE"""),"Carlos")</f>
        <v>Carlos</v>
      </c>
      <c r="F6859">
        <f>IFERROR(__xludf.DUMMYFUNCTION("""COMPUTED_VALUE"""),18.25)</f>
        <v>18.25</v>
      </c>
    </row>
    <row r="6860">
      <c r="D6860" t="str">
        <f>IFERROR(__xludf.DUMMYFUNCTION("""COMPUTED_VALUE"""),"Watkins")</f>
        <v>Watkins</v>
      </c>
      <c r="E6860" t="str">
        <f>IFERROR(__xludf.DUMMYFUNCTION("""COMPUTED_VALUE"""),"Jaylen")</f>
        <v>Jaylen</v>
      </c>
      <c r="F6860">
        <f>IFERROR(__xludf.DUMMYFUNCTION("""COMPUTED_VALUE"""),18.5)</f>
        <v>18.5</v>
      </c>
    </row>
    <row r="6861">
      <c r="D6861" t="str">
        <f>IFERROR(__xludf.DUMMYFUNCTION("""COMPUTED_VALUE"""),"Watkins")</f>
        <v>Watkins</v>
      </c>
      <c r="E6861" t="str">
        <f>IFERROR(__xludf.DUMMYFUNCTION("""COMPUTED_VALUE"""),"Sammy")</f>
        <v>Sammy</v>
      </c>
      <c r="F6861">
        <f>IFERROR(__xludf.DUMMYFUNCTION("""COMPUTED_VALUE"""),20.25)</f>
        <v>20.25</v>
      </c>
    </row>
    <row r="6862">
      <c r="D6862" t="str">
        <f>IFERROR(__xludf.DUMMYFUNCTION("""COMPUTED_VALUE"""),"Watson")</f>
        <v>Watson</v>
      </c>
      <c r="E6862" t="str">
        <f>IFERROR(__xludf.DUMMYFUNCTION("""COMPUTED_VALUE"""),"Dekoda")</f>
        <v>Dekoda</v>
      </c>
      <c r="F6862">
        <f>IFERROR(__xludf.DUMMYFUNCTION("""COMPUTED_VALUE"""),17.5)</f>
        <v>17.5</v>
      </c>
    </row>
    <row r="6863">
      <c r="D6863" t="str">
        <f>IFERROR(__xludf.DUMMYFUNCTION("""COMPUTED_VALUE"""),"Watson")</f>
        <v>Watson</v>
      </c>
      <c r="E6863" t="str">
        <f>IFERROR(__xludf.DUMMYFUNCTION("""COMPUTED_VALUE"""),"Deshaun")</f>
        <v>Deshaun</v>
      </c>
      <c r="F6863">
        <f>IFERROR(__xludf.DUMMYFUNCTION("""COMPUTED_VALUE"""),20.0)</f>
        <v>20</v>
      </c>
    </row>
    <row r="6864">
      <c r="D6864" t="str">
        <f>IFERROR(__xludf.DUMMYFUNCTION("""COMPUTED_VALUE"""),"Watson")</f>
        <v>Watson</v>
      </c>
      <c r="E6864" t="str">
        <f>IFERROR(__xludf.DUMMYFUNCTION("""COMPUTED_VALUE"""),"Justin")</f>
        <v>Justin</v>
      </c>
      <c r="F6864">
        <f>IFERROR(__xludf.DUMMYFUNCTION("""COMPUTED_VALUE"""),18.0)</f>
        <v>18</v>
      </c>
    </row>
    <row r="6865">
      <c r="D6865" t="str">
        <f>IFERROR(__xludf.DUMMYFUNCTION("""COMPUTED_VALUE"""),"Watson")</f>
        <v>Watson</v>
      </c>
      <c r="E6865" t="str">
        <f>IFERROR(__xludf.DUMMYFUNCTION("""COMPUTED_VALUE"""),"Menelik")</f>
        <v>Menelik</v>
      </c>
      <c r="F6865">
        <f>IFERROR(__xludf.DUMMYFUNCTION("""COMPUTED_VALUE"""),17.75)</f>
        <v>17.75</v>
      </c>
    </row>
    <row r="6866">
      <c r="D6866" t="str">
        <f>IFERROR(__xludf.DUMMYFUNCTION("""COMPUTED_VALUE"""),"Watt")</f>
        <v>Watt</v>
      </c>
      <c r="E6866" t="str">
        <f>IFERROR(__xludf.DUMMYFUNCTION("""COMPUTED_VALUE"""),"Derek")</f>
        <v>Derek</v>
      </c>
      <c r="F6866">
        <f>IFERROR(__xludf.DUMMYFUNCTION("""COMPUTED_VALUE"""),17.25)</f>
        <v>17.25</v>
      </c>
    </row>
    <row r="6867">
      <c r="D6867" t="str">
        <f>IFERROR(__xludf.DUMMYFUNCTION("""COMPUTED_VALUE"""),"Watt")</f>
        <v>Watt</v>
      </c>
      <c r="E6867" t="str">
        <f>IFERROR(__xludf.DUMMYFUNCTION("""COMPUTED_VALUE"""),"JJ")</f>
        <v>JJ</v>
      </c>
      <c r="F6867">
        <f>IFERROR(__xludf.DUMMYFUNCTION("""COMPUTED_VALUE"""),22.25)</f>
        <v>22.25</v>
      </c>
    </row>
    <row r="6868">
      <c r="D6868" t="str">
        <f>IFERROR(__xludf.DUMMYFUNCTION("""COMPUTED_VALUE"""),"Watt")</f>
        <v>Watt</v>
      </c>
      <c r="E6868" t="str">
        <f>IFERROR(__xludf.DUMMYFUNCTION("""COMPUTED_VALUE"""),"TJ")</f>
        <v>TJ</v>
      </c>
      <c r="F6868">
        <f>IFERROR(__xludf.DUMMYFUNCTION("""COMPUTED_VALUE"""),20.0)</f>
        <v>20</v>
      </c>
    </row>
    <row r="6869">
      <c r="D6869" t="str">
        <f>IFERROR(__xludf.DUMMYFUNCTION("""COMPUTED_VALUE"""),"Watts")</f>
        <v>Watts</v>
      </c>
      <c r="E6869" t="str">
        <f>IFERROR(__xludf.DUMMYFUNCTION("""COMPUTED_VALUE"""),"Armani")</f>
        <v>Armani</v>
      </c>
      <c r="F6869">
        <f>IFERROR(__xludf.DUMMYFUNCTION("""COMPUTED_VALUE"""),17.0)</f>
        <v>17</v>
      </c>
    </row>
    <row r="6870">
      <c r="D6870" t="str">
        <f>IFERROR(__xludf.DUMMYFUNCTION("""COMPUTED_VALUE"""),"Waynes")</f>
        <v>Waynes</v>
      </c>
      <c r="E6870" t="str">
        <f>IFERROR(__xludf.DUMMYFUNCTION("""COMPUTED_VALUE"""),"Trae")</f>
        <v>Trae</v>
      </c>
      <c r="F6870">
        <f>IFERROR(__xludf.DUMMYFUNCTION("""COMPUTED_VALUE"""),19.75)</f>
        <v>19.75</v>
      </c>
    </row>
    <row r="6871">
      <c r="D6871" t="str">
        <f>IFERROR(__xludf.DUMMYFUNCTION("""COMPUTED_VALUE"""),"Weatherly")</f>
        <v>Weatherly</v>
      </c>
      <c r="E6871" t="str">
        <f>IFERROR(__xludf.DUMMYFUNCTION("""COMPUTED_VALUE"""),"Stephen")</f>
        <v>Stephen</v>
      </c>
      <c r="F6871">
        <f>IFERROR(__xludf.DUMMYFUNCTION("""COMPUTED_VALUE"""),16.0)</f>
        <v>16</v>
      </c>
    </row>
    <row r="6872">
      <c r="D6872" t="str">
        <f>IFERROR(__xludf.DUMMYFUNCTION("""COMPUTED_VALUE"""),"Webb")</f>
        <v>Webb</v>
      </c>
      <c r="E6872" t="str">
        <f>IFERROR(__xludf.DUMMYFUNCTION("""COMPUTED_VALUE"""),"Davis")</f>
        <v>Davis</v>
      </c>
      <c r="F6872">
        <f>IFERROR(__xludf.DUMMYFUNCTION("""COMPUTED_VALUE"""),18.0)</f>
        <v>18</v>
      </c>
    </row>
    <row r="6873">
      <c r="D6873" t="str">
        <f>IFERROR(__xludf.DUMMYFUNCTION("""COMPUTED_VALUE"""),"Webb III")</f>
        <v>Webb III</v>
      </c>
      <c r="E6873" t="str">
        <f>IFERROR(__xludf.DUMMYFUNCTION("""COMPUTED_VALUE"""),"Joe")</f>
        <v>Joe</v>
      </c>
      <c r="F6873">
        <f>IFERROR(__xludf.DUMMYFUNCTION("""COMPUTED_VALUE"""),17.0)</f>
        <v>17</v>
      </c>
    </row>
    <row r="6874">
      <c r="D6874" t="str">
        <f>IFERROR(__xludf.DUMMYFUNCTION("""COMPUTED_VALUE"""),"Webster")</f>
        <v>Webster</v>
      </c>
      <c r="E6874" t="str">
        <f>IFERROR(__xludf.DUMMYFUNCTION("""COMPUTED_VALUE"""),"Kayvon")</f>
        <v>Kayvon</v>
      </c>
      <c r="F6874">
        <f>IFERROR(__xludf.DUMMYFUNCTION("""COMPUTED_VALUE"""),15.25)</f>
        <v>15.25</v>
      </c>
    </row>
    <row r="6875">
      <c r="D6875" t="str">
        <f>IFERROR(__xludf.DUMMYFUNCTION("""COMPUTED_VALUE"""),"Weddle")</f>
        <v>Weddle</v>
      </c>
      <c r="E6875" t="str">
        <f>IFERROR(__xludf.DUMMYFUNCTION("""COMPUTED_VALUE"""),"Eric")</f>
        <v>Eric</v>
      </c>
      <c r="F6875">
        <f>IFERROR(__xludf.DUMMYFUNCTION("""COMPUTED_VALUE"""),20.25)</f>
        <v>20.25</v>
      </c>
    </row>
    <row r="6876">
      <c r="D6876" t="str">
        <f>IFERROR(__xludf.DUMMYFUNCTION("""COMPUTED_VALUE"""),"Weeden")</f>
        <v>Weeden</v>
      </c>
      <c r="E6876" t="str">
        <f>IFERROR(__xludf.DUMMYFUNCTION("""COMPUTED_VALUE"""),"Brandon")</f>
        <v>Brandon</v>
      </c>
      <c r="F6876">
        <f>IFERROR(__xludf.DUMMYFUNCTION("""COMPUTED_VALUE"""),16.5)</f>
        <v>16.5</v>
      </c>
    </row>
    <row r="6877">
      <c r="D6877" t="str">
        <f>IFERROR(__xludf.DUMMYFUNCTION("""COMPUTED_VALUE"""),"Wells")</f>
        <v>Wells</v>
      </c>
      <c r="E6877" t="str">
        <f>IFERROR(__xludf.DUMMYFUNCTION("""COMPUTED_VALUE"""),"Josh")</f>
        <v>Josh</v>
      </c>
      <c r="F6877">
        <f>IFERROR(__xludf.DUMMYFUNCTION("""COMPUTED_VALUE"""),17.5)</f>
        <v>17.5</v>
      </c>
    </row>
    <row r="6878">
      <c r="D6878" t="str">
        <f>IFERROR(__xludf.DUMMYFUNCTION("""COMPUTED_VALUE"""),"Wentz")</f>
        <v>Wentz</v>
      </c>
      <c r="E6878" t="str">
        <f>IFERROR(__xludf.DUMMYFUNCTION("""COMPUTED_VALUE"""),"Carson")</f>
        <v>Carson</v>
      </c>
      <c r="F6878">
        <f>IFERROR(__xludf.DUMMYFUNCTION("""COMPUTED_VALUE"""),21.25)</f>
        <v>21.25</v>
      </c>
    </row>
    <row r="6879">
      <c r="D6879" t="str">
        <f>IFERROR(__xludf.DUMMYFUNCTION("""COMPUTED_VALUE"""),"Wesley")</f>
        <v>Wesley</v>
      </c>
      <c r="E6879" t="str">
        <f>IFERROR(__xludf.DUMMYFUNCTION("""COMPUTED_VALUE"""),"DeOndre")</f>
        <v>DeOndre</v>
      </c>
      <c r="F6879">
        <f>IFERROR(__xludf.DUMMYFUNCTION("""COMPUTED_VALUE"""),16.75)</f>
        <v>16.75</v>
      </c>
    </row>
    <row r="6880">
      <c r="D6880" t="str">
        <f>IFERROR(__xludf.DUMMYFUNCTION("""COMPUTED_VALUE"""),"West")</f>
        <v>West</v>
      </c>
      <c r="E6880" t="str">
        <f>IFERROR(__xludf.DUMMYFUNCTION("""COMPUTED_VALUE"""),"Charcandrick")</f>
        <v>Charcandrick</v>
      </c>
      <c r="F6880">
        <f>IFERROR(__xludf.DUMMYFUNCTION("""COMPUTED_VALUE"""),19.0)</f>
        <v>19</v>
      </c>
    </row>
    <row r="6881">
      <c r="D6881" t="str">
        <f>IFERROR(__xludf.DUMMYFUNCTION("""COMPUTED_VALUE"""),"West")</f>
        <v>West</v>
      </c>
      <c r="E6881" t="str">
        <f>IFERROR(__xludf.DUMMYFUNCTION("""COMPUTED_VALUE"""),"Terrance")</f>
        <v>Terrance</v>
      </c>
      <c r="F6881">
        <f>IFERROR(__xludf.DUMMYFUNCTION("""COMPUTED_VALUE"""),18.25)</f>
        <v>18.25</v>
      </c>
    </row>
    <row r="6882">
      <c r="D6882" t="str">
        <f>IFERROR(__xludf.DUMMYFUNCTION("""COMPUTED_VALUE"""),"Westbrook")</f>
        <v>Westbrook</v>
      </c>
      <c r="E6882" t="str">
        <f>IFERROR(__xludf.DUMMYFUNCTION("""COMPUTED_VALUE"""),"Dede")</f>
        <v>Dede</v>
      </c>
      <c r="F6882">
        <f>IFERROR(__xludf.DUMMYFUNCTION("""COMPUTED_VALUE"""),19.25)</f>
        <v>19.25</v>
      </c>
    </row>
    <row r="6883">
      <c r="D6883" t="str">
        <f>IFERROR(__xludf.DUMMYFUNCTION("""COMPUTED_VALUE"""),"Westbrooks")</f>
        <v>Westbrooks</v>
      </c>
      <c r="E6883" t="str">
        <f>IFERROR(__xludf.DUMMYFUNCTION("""COMPUTED_VALUE"""),"Ethan")</f>
        <v>Ethan</v>
      </c>
      <c r="F6883">
        <f>IFERROR(__xludf.DUMMYFUNCTION("""COMPUTED_VALUE"""),17.75)</f>
        <v>17.75</v>
      </c>
    </row>
    <row r="6884">
      <c r="D6884" t="str">
        <f>IFERROR(__xludf.DUMMYFUNCTION("""COMPUTED_VALUE"""),"Wester")</f>
        <v>Wester</v>
      </c>
      <c r="E6884" t="str">
        <f>IFERROR(__xludf.DUMMYFUNCTION("""COMPUTED_VALUE"""),"Leonard")</f>
        <v>Leonard</v>
      </c>
      <c r="F6884">
        <f>IFERROR(__xludf.DUMMYFUNCTION("""COMPUTED_VALUE"""),16.25)</f>
        <v>16.25</v>
      </c>
    </row>
    <row r="6885">
      <c r="D6885" t="str">
        <f>IFERROR(__xludf.DUMMYFUNCTION("""COMPUTED_VALUE"""),"Westerman")</f>
        <v>Westerman</v>
      </c>
      <c r="E6885" t="str">
        <f>IFERROR(__xludf.DUMMYFUNCTION("""COMPUTED_VALUE"""),"Christian")</f>
        <v>Christian</v>
      </c>
      <c r="F6885">
        <f>IFERROR(__xludf.DUMMYFUNCTION("""COMPUTED_VALUE"""),17.5)</f>
        <v>17.5</v>
      </c>
    </row>
    <row r="6886">
      <c r="D6886" t="str">
        <f>IFERROR(__xludf.DUMMYFUNCTION("""COMPUTED_VALUE"""),"Wetzel")</f>
        <v>Wetzel</v>
      </c>
      <c r="E6886" t="str">
        <f>IFERROR(__xludf.DUMMYFUNCTION("""COMPUTED_VALUE"""),"John")</f>
        <v>John</v>
      </c>
      <c r="F6886">
        <f>IFERROR(__xludf.DUMMYFUNCTION("""COMPUTED_VALUE"""),16.75)</f>
        <v>16.75</v>
      </c>
    </row>
    <row r="6887">
      <c r="D6887" t="str">
        <f>IFERROR(__xludf.DUMMYFUNCTION("""COMPUTED_VALUE"""),"Wheaton")</f>
        <v>Wheaton</v>
      </c>
      <c r="E6887" t="str">
        <f>IFERROR(__xludf.DUMMYFUNCTION("""COMPUTED_VALUE"""),"Markus")</f>
        <v>Markus</v>
      </c>
      <c r="F6887">
        <f>IFERROR(__xludf.DUMMYFUNCTION("""COMPUTED_VALUE"""),17.75)</f>
        <v>17.75</v>
      </c>
    </row>
    <row r="6888">
      <c r="D6888" t="str">
        <f>IFERROR(__xludf.DUMMYFUNCTION("""COMPUTED_VALUE"""),"Wheeler")</f>
        <v>Wheeler</v>
      </c>
      <c r="E6888" t="str">
        <f>IFERROR(__xludf.DUMMYFUNCTION("""COMPUTED_VALUE"""),"Chad")</f>
        <v>Chad</v>
      </c>
      <c r="F6888">
        <f>IFERROR(__xludf.DUMMYFUNCTION("""COMPUTED_VALUE"""),17.25)</f>
        <v>17.25</v>
      </c>
    </row>
    <row r="6889">
      <c r="D6889" t="str">
        <f>IFERROR(__xludf.DUMMYFUNCTION("""COMPUTED_VALUE"""),"White")</f>
        <v>White</v>
      </c>
      <c r="E6889" t="str">
        <f>IFERROR(__xludf.DUMMYFUNCTION("""COMPUTED_VALUE"""),"DeAndrew")</f>
        <v>DeAndrew</v>
      </c>
      <c r="F6889">
        <f>IFERROR(__xludf.DUMMYFUNCTION("""COMPUTED_VALUE"""),16.75)</f>
        <v>16.75</v>
      </c>
    </row>
    <row r="6890">
      <c r="D6890" t="str">
        <f>IFERROR(__xludf.DUMMYFUNCTION("""COMPUTED_VALUE"""),"White")</f>
        <v>White</v>
      </c>
      <c r="E6890" t="str">
        <f>IFERROR(__xludf.DUMMYFUNCTION("""COMPUTED_VALUE"""),"DJ")</f>
        <v>DJ</v>
      </c>
      <c r="F6890">
        <f>IFERROR(__xludf.DUMMYFUNCTION("""COMPUTED_VALUE"""),16.75)</f>
        <v>16.75</v>
      </c>
    </row>
    <row r="6891">
      <c r="D6891" t="str">
        <f>IFERROR(__xludf.DUMMYFUNCTION("""COMPUTED_VALUE"""),"White")</f>
        <v>White</v>
      </c>
      <c r="E6891" t="str">
        <f>IFERROR(__xludf.DUMMYFUNCTION("""COMPUTED_VALUE"""),"James")</f>
        <v>James</v>
      </c>
      <c r="F6891">
        <f>IFERROR(__xludf.DUMMYFUNCTION("""COMPUTED_VALUE"""),19.5)</f>
        <v>19.5</v>
      </c>
    </row>
    <row r="6892">
      <c r="D6892" t="str">
        <f>IFERROR(__xludf.DUMMYFUNCTION("""COMPUTED_VALUE"""),"White")</f>
        <v>White</v>
      </c>
      <c r="E6892" t="str">
        <f>IFERROR(__xludf.DUMMYFUNCTION("""COMPUTED_VALUE"""),"Kevin")</f>
        <v>Kevin</v>
      </c>
      <c r="F6892">
        <f>IFERROR(__xludf.DUMMYFUNCTION("""COMPUTED_VALUE"""),18.0)</f>
        <v>18</v>
      </c>
    </row>
    <row r="6893">
      <c r="D6893" t="str">
        <f>IFERROR(__xludf.DUMMYFUNCTION("""COMPUTED_VALUE"""),"White")</f>
        <v>White</v>
      </c>
      <c r="E6893" t="str">
        <f>IFERROR(__xludf.DUMMYFUNCTION("""COMPUTED_VALUE"""),"Kyzir")</f>
        <v>Kyzir</v>
      </c>
      <c r="F6893">
        <f>IFERROR(__xludf.DUMMYFUNCTION("""COMPUTED_VALUE"""),17.5)</f>
        <v>17.5</v>
      </c>
    </row>
    <row r="6894">
      <c r="D6894" t="str">
        <f>IFERROR(__xludf.DUMMYFUNCTION("""COMPUTED_VALUE"""),"White")</f>
        <v>White</v>
      </c>
      <c r="E6894" t="str">
        <f>IFERROR(__xludf.DUMMYFUNCTION("""COMPUTED_VALUE"""),"Marquez")</f>
        <v>Marquez</v>
      </c>
      <c r="F6894">
        <f>IFERROR(__xludf.DUMMYFUNCTION("""COMPUTED_VALUE"""),16.25)</f>
        <v>16.25</v>
      </c>
    </row>
    <row r="6895">
      <c r="D6895" t="str">
        <f>IFERROR(__xludf.DUMMYFUNCTION("""COMPUTED_VALUE"""),"White")</f>
        <v>White</v>
      </c>
      <c r="E6895" t="str">
        <f>IFERROR(__xludf.DUMMYFUNCTION("""COMPUTED_VALUE"""),"Mike")</f>
        <v>Mike</v>
      </c>
      <c r="F6895">
        <f>IFERROR(__xludf.DUMMYFUNCTION("""COMPUTED_VALUE"""),17.25)</f>
        <v>17.25</v>
      </c>
    </row>
    <row r="6896">
      <c r="D6896" t="str">
        <f>IFERROR(__xludf.DUMMYFUNCTION("""COMPUTED_VALUE"""),"White")</f>
        <v>White</v>
      </c>
      <c r="E6896" t="str">
        <f>IFERROR(__xludf.DUMMYFUNCTION("""COMPUTED_VALUE"""),"Tim")</f>
        <v>Tim</v>
      </c>
      <c r="F6896">
        <f>IFERROR(__xludf.DUMMYFUNCTION("""COMPUTED_VALUE"""),15.5)</f>
        <v>15.5</v>
      </c>
    </row>
    <row r="6897">
      <c r="D6897" t="str">
        <f>IFERROR(__xludf.DUMMYFUNCTION("""COMPUTED_VALUE"""),"White")</f>
        <v>White</v>
      </c>
      <c r="E6897" t="str">
        <f>IFERROR(__xludf.DUMMYFUNCTION("""COMPUTED_VALUE"""),"TreDavious")</f>
        <v>TreDavious</v>
      </c>
      <c r="F6897">
        <f>IFERROR(__xludf.DUMMYFUNCTION("""COMPUTED_VALUE"""),21.25)</f>
        <v>21.25</v>
      </c>
    </row>
    <row r="6898">
      <c r="D6898" t="str">
        <f>IFERROR(__xludf.DUMMYFUNCTION("""COMPUTED_VALUE"""),"White")</f>
        <v>White</v>
      </c>
      <c r="E6898" t="str">
        <f>IFERROR(__xludf.DUMMYFUNCTION("""COMPUTED_VALUE"""),"TreDavious")</f>
        <v>TreDavious</v>
      </c>
      <c r="F6898">
        <f>IFERROR(__xludf.DUMMYFUNCTION("""COMPUTED_VALUE"""),22.0)</f>
        <v>22</v>
      </c>
    </row>
    <row r="6899">
      <c r="D6899" t="str">
        <f>IFERROR(__xludf.DUMMYFUNCTION("""COMPUTED_VALUE"""),"Whitehair")</f>
        <v>Whitehair</v>
      </c>
      <c r="E6899" t="str">
        <f>IFERROR(__xludf.DUMMYFUNCTION("""COMPUTED_VALUE"""),"Cody")</f>
        <v>Cody</v>
      </c>
      <c r="F6899">
        <f>IFERROR(__xludf.DUMMYFUNCTION("""COMPUTED_VALUE"""),20.5)</f>
        <v>20.5</v>
      </c>
    </row>
    <row r="6900">
      <c r="D6900" t="str">
        <f>IFERROR(__xludf.DUMMYFUNCTION("""COMPUTED_VALUE"""),"Whitehead")</f>
        <v>Whitehead</v>
      </c>
      <c r="E6900" t="str">
        <f>IFERROR(__xludf.DUMMYFUNCTION("""COMPUTED_VALUE"""),"Jermaine")</f>
        <v>Jermaine</v>
      </c>
      <c r="F6900">
        <f>IFERROR(__xludf.DUMMYFUNCTION("""COMPUTED_VALUE"""),15.5)</f>
        <v>15.5</v>
      </c>
    </row>
    <row r="6901">
      <c r="D6901" t="str">
        <f>IFERROR(__xludf.DUMMYFUNCTION("""COMPUTED_VALUE"""),"Whitehead")</f>
        <v>Whitehead</v>
      </c>
      <c r="E6901" t="str">
        <f>IFERROR(__xludf.DUMMYFUNCTION("""COMPUTED_VALUE"""),"Jordan")</f>
        <v>Jordan</v>
      </c>
      <c r="F6901">
        <f>IFERROR(__xludf.DUMMYFUNCTION("""COMPUTED_VALUE"""),17.5)</f>
        <v>17.5</v>
      </c>
    </row>
    <row r="6902">
      <c r="D6902" t="str">
        <f>IFERROR(__xludf.DUMMYFUNCTION("""COMPUTED_VALUE"""),"Whitehead")</f>
        <v>Whitehead</v>
      </c>
      <c r="E6902" t="str">
        <f>IFERROR(__xludf.DUMMYFUNCTION("""COMPUTED_VALUE"""),"Lucky")</f>
        <v>Lucky</v>
      </c>
      <c r="F6902">
        <f>IFERROR(__xludf.DUMMYFUNCTION("""COMPUTED_VALUE"""),17.5)</f>
        <v>17.5</v>
      </c>
    </row>
    <row r="6903">
      <c r="D6903" t="str">
        <f>IFERROR(__xludf.DUMMYFUNCTION("""COMPUTED_VALUE"""),"Whitehead")</f>
        <v>Whitehead</v>
      </c>
      <c r="E6903" t="str">
        <f>IFERROR(__xludf.DUMMYFUNCTION("""COMPUTED_VALUE"""),"Tahir")</f>
        <v>Tahir</v>
      </c>
      <c r="F6903">
        <f>IFERROR(__xludf.DUMMYFUNCTION("""COMPUTED_VALUE"""),19.5)</f>
        <v>19.5</v>
      </c>
    </row>
    <row r="6904">
      <c r="D6904" t="str">
        <f>IFERROR(__xludf.DUMMYFUNCTION("""COMPUTED_VALUE"""),"Whitney")</f>
        <v>Whitney</v>
      </c>
      <c r="E6904" t="str">
        <f>IFERROR(__xludf.DUMMYFUNCTION("""COMPUTED_VALUE"""),"Isaac")</f>
        <v>Isaac</v>
      </c>
      <c r="F6904">
        <f>IFERROR(__xludf.DUMMYFUNCTION("""COMPUTED_VALUE"""),15.5)</f>
        <v>15.5</v>
      </c>
    </row>
    <row r="6905">
      <c r="D6905" t="str">
        <f>IFERROR(__xludf.DUMMYFUNCTION("""COMPUTED_VALUE"""),"Whittaker")</f>
        <v>Whittaker</v>
      </c>
      <c r="E6905" t="str">
        <f>IFERROR(__xludf.DUMMYFUNCTION("""COMPUTED_VALUE"""),"Fozzy")</f>
        <v>Fozzy</v>
      </c>
      <c r="F6905">
        <f>IFERROR(__xludf.DUMMYFUNCTION("""COMPUTED_VALUE"""),17.25)</f>
        <v>17.25</v>
      </c>
    </row>
    <row r="6906">
      <c r="D6906" t="str">
        <f>IFERROR(__xludf.DUMMYFUNCTION("""COMPUTED_VALUE"""),"Whitworth")</f>
        <v>Whitworth</v>
      </c>
      <c r="E6906" t="str">
        <f>IFERROR(__xludf.DUMMYFUNCTION("""COMPUTED_VALUE"""),"Andrew")</f>
        <v>Andrew</v>
      </c>
      <c r="F6906">
        <f>IFERROR(__xludf.DUMMYFUNCTION("""COMPUTED_VALUE"""),21.0)</f>
        <v>21</v>
      </c>
    </row>
    <row r="6907">
      <c r="D6907" t="str">
        <f>IFERROR(__xludf.DUMMYFUNCTION("""COMPUTED_VALUE"""),"Wichmann")</f>
        <v>Wichmann</v>
      </c>
      <c r="E6907" t="str">
        <f>IFERROR(__xludf.DUMMYFUNCTION("""COMPUTED_VALUE"""),"Cody")</f>
        <v>Cody</v>
      </c>
      <c r="F6907">
        <f>IFERROR(__xludf.DUMMYFUNCTION("""COMPUTED_VALUE"""),18.25)</f>
        <v>18.25</v>
      </c>
    </row>
    <row r="6908">
      <c r="D6908" t="str">
        <f>IFERROR(__xludf.DUMMYFUNCTION("""COMPUTED_VALUE"""),"Wick")</f>
        <v>Wick</v>
      </c>
      <c r="E6908" t="str">
        <f>IFERROR(__xludf.DUMMYFUNCTION("""COMPUTED_VALUE"""),"Cole")</f>
        <v>Cole</v>
      </c>
      <c r="F6908">
        <f>IFERROR(__xludf.DUMMYFUNCTION("""COMPUTED_VALUE"""),16.5)</f>
        <v>16.5</v>
      </c>
    </row>
    <row r="6909">
      <c r="D6909" t="str">
        <f>IFERROR(__xludf.DUMMYFUNCTION("""COMPUTED_VALUE"""),"Wiggins")</f>
        <v>Wiggins</v>
      </c>
      <c r="E6909" t="str">
        <f>IFERROR(__xludf.DUMMYFUNCTION("""COMPUTED_VALUE"""),"Kenny")</f>
        <v>Kenny</v>
      </c>
      <c r="F6909">
        <f>IFERROR(__xludf.DUMMYFUNCTION("""COMPUTED_VALUE"""),17.25)</f>
        <v>17.25</v>
      </c>
    </row>
    <row r="6910">
      <c r="D6910" t="str">
        <f>IFERROR(__xludf.DUMMYFUNCTION("""COMPUTED_VALUE"""),"Wilber")</f>
        <v>Wilber</v>
      </c>
      <c r="E6910" t="str">
        <f>IFERROR(__xludf.DUMMYFUNCTION("""COMPUTED_VALUE"""),"Kyle")</f>
        <v>Kyle</v>
      </c>
      <c r="F6910">
        <f>IFERROR(__xludf.DUMMYFUNCTION("""COMPUTED_VALUE"""),17.25)</f>
        <v>17.25</v>
      </c>
    </row>
    <row r="6911">
      <c r="D6911" t="str">
        <f>IFERROR(__xludf.DUMMYFUNCTION("""COMPUTED_VALUE"""),"Wilds")</f>
        <v>Wilds</v>
      </c>
      <c r="E6911" t="str">
        <f>IFERROR(__xludf.DUMMYFUNCTION("""COMPUTED_VALUE"""),"Brandon")</f>
        <v>Brandon</v>
      </c>
      <c r="F6911">
        <f>IFERROR(__xludf.DUMMYFUNCTION("""COMPUTED_VALUE"""),16.75)</f>
        <v>16.75</v>
      </c>
    </row>
    <row r="6912">
      <c r="D6912" t="str">
        <f>IFERROR(__xludf.DUMMYFUNCTION("""COMPUTED_VALUE"""),"Wilhoite")</f>
        <v>Wilhoite</v>
      </c>
      <c r="E6912" t="str">
        <f>IFERROR(__xludf.DUMMYFUNCTION("""COMPUTED_VALUE"""),"Michael")</f>
        <v>Michael</v>
      </c>
      <c r="F6912">
        <f>IFERROR(__xludf.DUMMYFUNCTION("""COMPUTED_VALUE"""),19.25)</f>
        <v>19.25</v>
      </c>
    </row>
    <row r="6913">
      <c r="D6913" t="str">
        <f>IFERROR(__xludf.DUMMYFUNCTION("""COMPUTED_VALUE"""),"Wilkerson")</f>
        <v>Wilkerson</v>
      </c>
      <c r="E6913" t="str">
        <f>IFERROR(__xludf.DUMMYFUNCTION("""COMPUTED_VALUE"""),"Muhammad")</f>
        <v>Muhammad</v>
      </c>
      <c r="F6913">
        <f>IFERROR(__xludf.DUMMYFUNCTION("""COMPUTED_VALUE"""),19.25)</f>
        <v>19.25</v>
      </c>
    </row>
    <row r="6914">
      <c r="D6914" t="str">
        <f>IFERROR(__xludf.DUMMYFUNCTION("""COMPUTED_VALUE"""),"Wilkins")</f>
        <v>Wilkins</v>
      </c>
      <c r="E6914" t="str">
        <f>IFERROR(__xludf.DUMMYFUNCTION("""COMPUTED_VALUE"""),"Jordan")</f>
        <v>Jordan</v>
      </c>
      <c r="F6914">
        <f>IFERROR(__xludf.DUMMYFUNCTION("""COMPUTED_VALUE"""),18.0)</f>
        <v>18</v>
      </c>
    </row>
    <row r="6915">
      <c r="D6915" t="str">
        <f>IFERROR(__xludf.DUMMYFUNCTION("""COMPUTED_VALUE"""),"Wilkinson")</f>
        <v>Wilkinson</v>
      </c>
      <c r="E6915" t="str">
        <f>IFERROR(__xludf.DUMMYFUNCTION("""COMPUTED_VALUE"""),"Elijah")</f>
        <v>Elijah</v>
      </c>
      <c r="F6915">
        <f>IFERROR(__xludf.DUMMYFUNCTION("""COMPUTED_VALUE"""),16.75)</f>
        <v>16.75</v>
      </c>
    </row>
    <row r="6916">
      <c r="D6916" t="str">
        <f>IFERROR(__xludf.DUMMYFUNCTION("""COMPUTED_VALUE"""),"Williams")</f>
        <v>Williams</v>
      </c>
      <c r="E6916" t="str">
        <f>IFERROR(__xludf.DUMMYFUNCTION("""COMPUTED_VALUE"""),"Andre")</f>
        <v>Andre</v>
      </c>
      <c r="F6916">
        <f>IFERROR(__xludf.DUMMYFUNCTION("""COMPUTED_VALUE"""),16.75)</f>
        <v>16.75</v>
      </c>
    </row>
    <row r="6917">
      <c r="D6917" t="str">
        <f>IFERROR(__xludf.DUMMYFUNCTION("""COMPUTED_VALUE"""),"Williams")</f>
        <v>Williams</v>
      </c>
      <c r="E6917" t="str">
        <f>IFERROR(__xludf.DUMMYFUNCTION("""COMPUTED_VALUE"""),"Antwione")</f>
        <v>Antwione</v>
      </c>
      <c r="F6917">
        <f>IFERROR(__xludf.DUMMYFUNCTION("""COMPUTED_VALUE"""),17.0)</f>
        <v>17</v>
      </c>
    </row>
    <row r="6918">
      <c r="D6918" t="str">
        <f>IFERROR(__xludf.DUMMYFUNCTION("""COMPUTED_VALUE"""),"Williams")</f>
        <v>Williams</v>
      </c>
      <c r="E6918" t="str">
        <f>IFERROR(__xludf.DUMMYFUNCTION("""COMPUTED_VALUE"""),"Brandon")</f>
        <v>Brandon</v>
      </c>
      <c r="F6918">
        <f>IFERROR(__xludf.DUMMYFUNCTION("""COMPUTED_VALUE"""),20.0)</f>
        <v>20</v>
      </c>
    </row>
    <row r="6919">
      <c r="D6919" t="str">
        <f>IFERROR(__xludf.DUMMYFUNCTION("""COMPUTED_VALUE"""),"Williams")</f>
        <v>Williams</v>
      </c>
      <c r="E6919" t="str">
        <f>IFERROR(__xludf.DUMMYFUNCTION("""COMPUTED_VALUE"""),"Brandon")</f>
        <v>Brandon</v>
      </c>
      <c r="F6919">
        <f>IFERROR(__xludf.DUMMYFUNCTION("""COMPUTED_VALUE"""),16.75)</f>
        <v>16.75</v>
      </c>
    </row>
    <row r="6920">
      <c r="D6920" t="str">
        <f>IFERROR(__xludf.DUMMYFUNCTION("""COMPUTED_VALUE"""),"Williams")</f>
        <v>Williams</v>
      </c>
      <c r="E6920" t="str">
        <f>IFERROR(__xludf.DUMMYFUNCTION("""COMPUTED_VALUE"""),"Chad")</f>
        <v>Chad</v>
      </c>
      <c r="F6920">
        <f>IFERROR(__xludf.DUMMYFUNCTION("""COMPUTED_VALUE"""),17.75)</f>
        <v>17.75</v>
      </c>
    </row>
    <row r="6921">
      <c r="D6921" t="str">
        <f>IFERROR(__xludf.DUMMYFUNCTION("""COMPUTED_VALUE"""),"Williams")</f>
        <v>Williams</v>
      </c>
      <c r="E6921" t="str">
        <f>IFERROR(__xludf.DUMMYFUNCTION("""COMPUTED_VALUE"""),"Connor")</f>
        <v>Connor</v>
      </c>
      <c r="F6921">
        <f>IFERROR(__xludf.DUMMYFUNCTION("""COMPUTED_VALUE"""),19.0)</f>
        <v>19</v>
      </c>
    </row>
    <row r="6922">
      <c r="D6922" t="str">
        <f>IFERROR(__xludf.DUMMYFUNCTION("""COMPUTED_VALUE"""),"Williams")</f>
        <v>Williams</v>
      </c>
      <c r="E6922" t="str">
        <f>IFERROR(__xludf.DUMMYFUNCTION("""COMPUTED_VALUE"""),"Damien")</f>
        <v>Damien</v>
      </c>
      <c r="F6922">
        <f>IFERROR(__xludf.DUMMYFUNCTION("""COMPUTED_VALUE"""),19.25)</f>
        <v>19.25</v>
      </c>
    </row>
    <row r="6923">
      <c r="D6923" t="str">
        <f>IFERROR(__xludf.DUMMYFUNCTION("""COMPUTED_VALUE"""),"Williams")</f>
        <v>Williams</v>
      </c>
      <c r="E6923" t="str">
        <f>IFERROR(__xludf.DUMMYFUNCTION("""COMPUTED_VALUE"""),"Darrell")</f>
        <v>Darrell</v>
      </c>
      <c r="F6923">
        <f>IFERROR(__xludf.DUMMYFUNCTION("""COMPUTED_VALUE"""),16.0)</f>
        <v>16</v>
      </c>
    </row>
    <row r="6924">
      <c r="D6924" t="str">
        <f>IFERROR(__xludf.DUMMYFUNCTION("""COMPUTED_VALUE"""),"Williams")</f>
        <v>Williams</v>
      </c>
      <c r="E6924" t="str">
        <f>IFERROR(__xludf.DUMMYFUNCTION("""COMPUTED_VALUE"""),"Darrell")</f>
        <v>Darrell</v>
      </c>
      <c r="F6924">
        <f>IFERROR(__xludf.DUMMYFUNCTION("""COMPUTED_VALUE"""),16.5)</f>
        <v>16.5</v>
      </c>
    </row>
    <row r="6925">
      <c r="D6925" t="str">
        <f>IFERROR(__xludf.DUMMYFUNCTION("""COMPUTED_VALUE"""),"Williams")</f>
        <v>Williams</v>
      </c>
      <c r="E6925" t="str">
        <f>IFERROR(__xludf.DUMMYFUNCTION("""COMPUTED_VALUE"""),"Daryl")</f>
        <v>Daryl</v>
      </c>
      <c r="F6925">
        <f>IFERROR(__xludf.DUMMYFUNCTION("""COMPUTED_VALUE"""),21.5)</f>
        <v>21.5</v>
      </c>
    </row>
    <row r="6926">
      <c r="D6926" t="str">
        <f>IFERROR(__xludf.DUMMYFUNCTION("""COMPUTED_VALUE"""),"Williams")</f>
        <v>Williams</v>
      </c>
      <c r="E6926" t="str">
        <f>IFERROR(__xludf.DUMMYFUNCTION("""COMPUTED_VALUE"""),"David")</f>
        <v>David</v>
      </c>
      <c r="F6926">
        <f>IFERROR(__xludf.DUMMYFUNCTION("""COMPUTED_VALUE"""),16.5)</f>
        <v>16.5</v>
      </c>
    </row>
    <row r="6927">
      <c r="D6927" t="str">
        <f>IFERROR(__xludf.DUMMYFUNCTION("""COMPUTED_VALUE"""),"Williams")</f>
        <v>Williams</v>
      </c>
      <c r="E6927" t="str">
        <f>IFERROR(__xludf.DUMMYFUNCTION("""COMPUTED_VALUE"""),"DeShawn")</f>
        <v>DeShawn</v>
      </c>
      <c r="F6927">
        <f>IFERROR(__xludf.DUMMYFUNCTION("""COMPUTED_VALUE"""),16.25)</f>
        <v>16.25</v>
      </c>
    </row>
    <row r="6928">
      <c r="D6928" t="str">
        <f>IFERROR(__xludf.DUMMYFUNCTION("""COMPUTED_VALUE"""),"Williams")</f>
        <v>Williams</v>
      </c>
      <c r="E6928" t="str">
        <f>IFERROR(__xludf.DUMMYFUNCTION("""COMPUTED_VALUE"""),"Jamaal")</f>
        <v>Jamaal</v>
      </c>
      <c r="F6928">
        <f>IFERROR(__xludf.DUMMYFUNCTION("""COMPUTED_VALUE"""),19.5)</f>
        <v>19.5</v>
      </c>
    </row>
    <row r="6929">
      <c r="D6929" t="str">
        <f>IFERROR(__xludf.DUMMYFUNCTION("""COMPUTED_VALUE"""),"Williams")</f>
        <v>Williams</v>
      </c>
      <c r="E6929" t="str">
        <f>IFERROR(__xludf.DUMMYFUNCTION("""COMPUTED_VALUE"""),"Jarveon")</f>
        <v>Jarveon</v>
      </c>
      <c r="F6929">
        <f>IFERROR(__xludf.DUMMYFUNCTION("""COMPUTED_VALUE"""),16.5)</f>
        <v>16.5</v>
      </c>
    </row>
    <row r="6930">
      <c r="D6930" t="str">
        <f>IFERROR(__xludf.DUMMYFUNCTION("""COMPUTED_VALUE"""),"Williams")</f>
        <v>Williams</v>
      </c>
      <c r="E6930" t="str">
        <f>IFERROR(__xludf.DUMMYFUNCTION("""COMPUTED_VALUE"""),"Joe")</f>
        <v>Joe</v>
      </c>
      <c r="F6930">
        <f>IFERROR(__xludf.DUMMYFUNCTION("""COMPUTED_VALUE"""),17.5)</f>
        <v>17.5</v>
      </c>
    </row>
    <row r="6931">
      <c r="D6931" t="str">
        <f>IFERROR(__xludf.DUMMYFUNCTION("""COMPUTED_VALUE"""),"Williams")</f>
        <v>Williams</v>
      </c>
      <c r="E6931" t="str">
        <f>IFERROR(__xludf.DUMMYFUNCTION("""COMPUTED_VALUE"""),"Jonathan")</f>
        <v>Jonathan</v>
      </c>
      <c r="F6931">
        <f>IFERROR(__xludf.DUMMYFUNCTION("""COMPUTED_VALUE"""),16.0)</f>
        <v>16</v>
      </c>
    </row>
    <row r="6932">
      <c r="D6932" t="str">
        <f>IFERROR(__xludf.DUMMYFUNCTION("""COMPUTED_VALUE"""),"Williams")</f>
        <v>Williams</v>
      </c>
      <c r="E6932" t="str">
        <f>IFERROR(__xludf.DUMMYFUNCTION("""COMPUTED_VALUE"""),"Jordan")</f>
        <v>Jordan</v>
      </c>
      <c r="F6932">
        <f>IFERROR(__xludf.DUMMYFUNCTION("""COMPUTED_VALUE"""),15.5)</f>
        <v>15.5</v>
      </c>
    </row>
    <row r="6933">
      <c r="D6933" t="str">
        <f>IFERROR(__xludf.DUMMYFUNCTION("""COMPUTED_VALUE"""),"Williams")</f>
        <v>Williams</v>
      </c>
      <c r="E6933" t="str">
        <f>IFERROR(__xludf.DUMMYFUNCTION("""COMPUTED_VALUE"""),"Kerwynn")</f>
        <v>Kerwynn</v>
      </c>
      <c r="F6933">
        <f>IFERROR(__xludf.DUMMYFUNCTION("""COMPUTED_VALUE"""),18.25)</f>
        <v>18.25</v>
      </c>
    </row>
    <row r="6934">
      <c r="D6934" t="str">
        <f>IFERROR(__xludf.DUMMYFUNCTION("""COMPUTED_VALUE"""),"Williams")</f>
        <v>Williams</v>
      </c>
      <c r="E6934" t="str">
        <f>IFERROR(__xludf.DUMMYFUNCTION("""COMPUTED_VALUE"""),"KWaun")</f>
        <v>KWaun</v>
      </c>
      <c r="F6934">
        <f>IFERROR(__xludf.DUMMYFUNCTION("""COMPUTED_VALUE"""),18.5)</f>
        <v>18.5</v>
      </c>
    </row>
    <row r="6935">
      <c r="D6935" t="str">
        <f>IFERROR(__xludf.DUMMYFUNCTION("""COMPUTED_VALUE"""),"Williams")</f>
        <v>Williams</v>
      </c>
      <c r="E6935" t="str">
        <f>IFERROR(__xludf.DUMMYFUNCTION("""COMPUTED_VALUE"""),"Kyle")</f>
        <v>Kyle</v>
      </c>
      <c r="F6935">
        <f>IFERROR(__xludf.DUMMYFUNCTION("""COMPUTED_VALUE"""),19.75)</f>
        <v>19.75</v>
      </c>
    </row>
    <row r="6936">
      <c r="D6936" t="str">
        <f>IFERROR(__xludf.DUMMYFUNCTION("""COMPUTED_VALUE"""),"Williams")</f>
        <v>Williams</v>
      </c>
      <c r="E6936" t="str">
        <f>IFERROR(__xludf.DUMMYFUNCTION("""COMPUTED_VALUE"""),"Leonard")</f>
        <v>Leonard</v>
      </c>
      <c r="F6936">
        <f>IFERROR(__xludf.DUMMYFUNCTION("""COMPUTED_VALUE"""),20.25)</f>
        <v>20.25</v>
      </c>
    </row>
    <row r="6937">
      <c r="D6937" t="str">
        <f>IFERROR(__xludf.DUMMYFUNCTION("""COMPUTED_VALUE"""),"Williams")</f>
        <v>Williams</v>
      </c>
      <c r="E6937" t="str">
        <f>IFERROR(__xludf.DUMMYFUNCTION("""COMPUTED_VALUE"""),"Marcus")</f>
        <v>Marcus</v>
      </c>
      <c r="F6937">
        <f>IFERROR(__xludf.DUMMYFUNCTION("""COMPUTED_VALUE"""),20.25)</f>
        <v>20.25</v>
      </c>
    </row>
    <row r="6938">
      <c r="D6938" t="str">
        <f>IFERROR(__xludf.DUMMYFUNCTION("""COMPUTED_VALUE"""),"Williams")</f>
        <v>Williams</v>
      </c>
      <c r="E6938" t="str">
        <f>IFERROR(__xludf.DUMMYFUNCTION("""COMPUTED_VALUE"""),"Marcus")</f>
        <v>Marcus</v>
      </c>
      <c r="F6938">
        <f>IFERROR(__xludf.DUMMYFUNCTION("""COMPUTED_VALUE"""),18.25)</f>
        <v>18.25</v>
      </c>
    </row>
    <row r="6939">
      <c r="D6939" t="str">
        <f>IFERROR(__xludf.DUMMYFUNCTION("""COMPUTED_VALUE"""),"Williams")</f>
        <v>Williams</v>
      </c>
      <c r="E6939" t="str">
        <f>IFERROR(__xludf.DUMMYFUNCTION("""COMPUTED_VALUE"""),"Marquez")</f>
        <v>Marquez</v>
      </c>
      <c r="F6939">
        <f>IFERROR(__xludf.DUMMYFUNCTION("""COMPUTED_VALUE"""),17.5)</f>
        <v>17.5</v>
      </c>
    </row>
    <row r="6940">
      <c r="D6940" t="str">
        <f>IFERROR(__xludf.DUMMYFUNCTION("""COMPUTED_VALUE"""),"Williams")</f>
        <v>Williams</v>
      </c>
      <c r="E6940" t="str">
        <f>IFERROR(__xludf.DUMMYFUNCTION("""COMPUTED_VALUE"""),"Maxx")</f>
        <v>Maxx</v>
      </c>
      <c r="F6940">
        <f>IFERROR(__xludf.DUMMYFUNCTION("""COMPUTED_VALUE"""),18.75)</f>
        <v>18.75</v>
      </c>
    </row>
    <row r="6941">
      <c r="D6941" t="str">
        <f>IFERROR(__xludf.DUMMYFUNCTION("""COMPUTED_VALUE"""),"Williams")</f>
        <v>Williams</v>
      </c>
      <c r="E6941" t="str">
        <f>IFERROR(__xludf.DUMMYFUNCTION("""COMPUTED_VALUE"""),"Mike")</f>
        <v>Mike</v>
      </c>
      <c r="F6941">
        <f>IFERROR(__xludf.DUMMYFUNCTION("""COMPUTED_VALUE"""),19.25)</f>
        <v>19.25</v>
      </c>
    </row>
    <row r="6942">
      <c r="D6942" t="str">
        <f>IFERROR(__xludf.DUMMYFUNCTION("""COMPUTED_VALUE"""),"Williams")</f>
        <v>Williams</v>
      </c>
      <c r="E6942" t="str">
        <f>IFERROR(__xludf.DUMMYFUNCTION("""COMPUTED_VALUE"""),"PJ")</f>
        <v>PJ</v>
      </c>
      <c r="F6942">
        <f>IFERROR(__xludf.DUMMYFUNCTION("""COMPUTED_VALUE"""),19.25)</f>
        <v>19.25</v>
      </c>
    </row>
    <row r="6943">
      <c r="D6943" t="str">
        <f>IFERROR(__xludf.DUMMYFUNCTION("""COMPUTED_VALUE"""),"Williams")</f>
        <v>Williams</v>
      </c>
      <c r="E6943" t="str">
        <f>IFERROR(__xludf.DUMMYFUNCTION("""COMPUTED_VALUE"""),"Shawn")</f>
        <v>Shawn</v>
      </c>
      <c r="F6943">
        <f>IFERROR(__xludf.DUMMYFUNCTION("""COMPUTED_VALUE"""),19.5)</f>
        <v>19.5</v>
      </c>
    </row>
    <row r="6944">
      <c r="D6944" t="str">
        <f>IFERROR(__xludf.DUMMYFUNCTION("""COMPUTED_VALUE"""),"Williams")</f>
        <v>Williams</v>
      </c>
      <c r="E6944" t="str">
        <f>IFERROR(__xludf.DUMMYFUNCTION("""COMPUTED_VALUE"""),"Sylvester")</f>
        <v>Sylvester</v>
      </c>
      <c r="F6944">
        <f>IFERROR(__xludf.DUMMYFUNCTION("""COMPUTED_VALUE"""),18.75)</f>
        <v>18.75</v>
      </c>
    </row>
    <row r="6945">
      <c r="D6945" t="str">
        <f>IFERROR(__xludf.DUMMYFUNCTION("""COMPUTED_VALUE"""),"Williams")</f>
        <v>Williams</v>
      </c>
      <c r="E6945" t="str">
        <f>IFERROR(__xludf.DUMMYFUNCTION("""COMPUTED_VALUE"""),"Teddy")</f>
        <v>Teddy</v>
      </c>
      <c r="F6945">
        <f>IFERROR(__xludf.DUMMYFUNCTION("""COMPUTED_VALUE"""),15.75)</f>
        <v>15.75</v>
      </c>
    </row>
    <row r="6946">
      <c r="D6946" t="str">
        <f>IFERROR(__xludf.DUMMYFUNCTION("""COMPUTED_VALUE"""),"Williams")</f>
        <v>Williams</v>
      </c>
      <c r="E6946" t="str">
        <f>IFERROR(__xludf.DUMMYFUNCTION("""COMPUTED_VALUE"""),"Terrance")</f>
        <v>Terrance</v>
      </c>
      <c r="F6946">
        <f>IFERROR(__xludf.DUMMYFUNCTION("""COMPUTED_VALUE"""),19.0)</f>
        <v>19</v>
      </c>
    </row>
    <row r="6947">
      <c r="D6947" t="str">
        <f>IFERROR(__xludf.DUMMYFUNCTION("""COMPUTED_VALUE"""),"Williams")</f>
        <v>Williams</v>
      </c>
      <c r="E6947" t="str">
        <f>IFERROR(__xludf.DUMMYFUNCTION("""COMPUTED_VALUE"""),"Tim")</f>
        <v>Tim</v>
      </c>
      <c r="F6947">
        <f>IFERROR(__xludf.DUMMYFUNCTION("""COMPUTED_VALUE"""),17.75)</f>
        <v>17.75</v>
      </c>
    </row>
    <row r="6948">
      <c r="D6948" t="str">
        <f>IFERROR(__xludf.DUMMYFUNCTION("""COMPUTED_VALUE"""),"Williams")</f>
        <v>Williams</v>
      </c>
      <c r="E6948" t="str">
        <f>IFERROR(__xludf.DUMMYFUNCTION("""COMPUTED_VALUE"""),"Tramon")</f>
        <v>Tramon</v>
      </c>
      <c r="F6948">
        <f>IFERROR(__xludf.DUMMYFUNCTION("""COMPUTED_VALUE"""),19.25)</f>
        <v>19.25</v>
      </c>
    </row>
    <row r="6949">
      <c r="D6949" t="str">
        <f>IFERROR(__xludf.DUMMYFUNCTION("""COMPUTED_VALUE"""),"Williams")</f>
        <v>Williams</v>
      </c>
      <c r="E6949" t="str">
        <f>IFERROR(__xludf.DUMMYFUNCTION("""COMPUTED_VALUE"""),"Trent")</f>
        <v>Trent</v>
      </c>
      <c r="F6949">
        <f>IFERROR(__xludf.DUMMYFUNCTION("""COMPUTED_VALUE"""),21.75)</f>
        <v>21.75</v>
      </c>
    </row>
    <row r="6950">
      <c r="D6950" t="str">
        <f>IFERROR(__xludf.DUMMYFUNCTION("""COMPUTED_VALUE"""),"Williams")</f>
        <v>Williams</v>
      </c>
      <c r="E6950" t="str">
        <f>IFERROR(__xludf.DUMMYFUNCTION("""COMPUTED_VALUE"""),"Trevor")</f>
        <v>Trevor</v>
      </c>
      <c r="F6950">
        <f>IFERROR(__xludf.DUMMYFUNCTION("""COMPUTED_VALUE"""),20.0)</f>
        <v>20</v>
      </c>
    </row>
    <row r="6951">
      <c r="D6951" t="str">
        <f>IFERROR(__xludf.DUMMYFUNCTION("""COMPUTED_VALUE"""),"Williams")</f>
        <v>Williams</v>
      </c>
      <c r="E6951" t="str">
        <f>IFERROR(__xludf.DUMMYFUNCTION("""COMPUTED_VALUE"""),"Trey")</f>
        <v>Trey</v>
      </c>
      <c r="F6951">
        <f>IFERROR(__xludf.DUMMYFUNCTION("""COMPUTED_VALUE"""),15.75)</f>
        <v>15.75</v>
      </c>
    </row>
    <row r="6952">
      <c r="D6952" t="str">
        <f>IFERROR(__xludf.DUMMYFUNCTION("""COMPUTED_VALUE"""),"Williams")</f>
        <v>Williams</v>
      </c>
      <c r="E6952" t="str">
        <f>IFERROR(__xludf.DUMMYFUNCTION("""COMPUTED_VALUE"""),"Tyrell")</f>
        <v>Tyrell</v>
      </c>
      <c r="F6952">
        <f>IFERROR(__xludf.DUMMYFUNCTION("""COMPUTED_VALUE"""),19.75)</f>
        <v>19.75</v>
      </c>
    </row>
    <row r="6953">
      <c r="D6953" t="str">
        <f>IFERROR(__xludf.DUMMYFUNCTION("""COMPUTED_VALUE"""),"Williams")</f>
        <v>Williams</v>
      </c>
      <c r="E6953" t="str">
        <f>IFERROR(__xludf.DUMMYFUNCTION("""COMPUTED_VALUE"""),"Vince")</f>
        <v>Vince</v>
      </c>
      <c r="F6953">
        <f>IFERROR(__xludf.DUMMYFUNCTION("""COMPUTED_VALUE"""),19.75)</f>
        <v>19.75</v>
      </c>
    </row>
    <row r="6954">
      <c r="D6954" t="str">
        <f>IFERROR(__xludf.DUMMYFUNCTION("""COMPUTED_VALUE"""),"Williams")</f>
        <v>Williams</v>
      </c>
      <c r="E6954" t="str">
        <f>IFERROR(__xludf.DUMMYFUNCTION("""COMPUTED_VALUE"""),"Xavier")</f>
        <v>Xavier</v>
      </c>
      <c r="F6954">
        <f>IFERROR(__xludf.DUMMYFUNCTION("""COMPUTED_VALUE"""),19.0)</f>
        <v>19</v>
      </c>
    </row>
    <row r="6955">
      <c r="D6955" t="str">
        <f>IFERROR(__xludf.DUMMYFUNCTION("""COMPUTED_VALUE"""),"Williamson")</f>
        <v>Williamson</v>
      </c>
      <c r="E6955" t="str">
        <f>IFERROR(__xludf.DUMMYFUNCTION("""COMPUTED_VALUE"""),"Avery")</f>
        <v>Avery</v>
      </c>
      <c r="F6955">
        <f>IFERROR(__xludf.DUMMYFUNCTION("""COMPUTED_VALUE"""),21.75)</f>
        <v>21.75</v>
      </c>
    </row>
    <row r="6956">
      <c r="D6956" t="str">
        <f>IFERROR(__xludf.DUMMYFUNCTION("""COMPUTED_VALUE"""),"Williamson")</f>
        <v>Williamson</v>
      </c>
      <c r="E6956" t="str">
        <f>IFERROR(__xludf.DUMMYFUNCTION("""COMPUTED_VALUE"""),"Avery")</f>
        <v>Avery</v>
      </c>
      <c r="F6956">
        <f>IFERROR(__xludf.DUMMYFUNCTION("""COMPUTED_VALUE"""),20.25)</f>
        <v>20.25</v>
      </c>
    </row>
    <row r="6957">
      <c r="D6957" t="str">
        <f>IFERROR(__xludf.DUMMYFUNCTION("""COMPUTED_VALUE"""),"Willis")</f>
        <v>Willis</v>
      </c>
      <c r="E6957" t="str">
        <f>IFERROR(__xludf.DUMMYFUNCTION("""COMPUTED_VALUE"""),"Jordan")</f>
        <v>Jordan</v>
      </c>
      <c r="F6957">
        <f>IFERROR(__xludf.DUMMYFUNCTION("""COMPUTED_VALUE"""),19.0)</f>
        <v>19</v>
      </c>
    </row>
    <row r="6958">
      <c r="D6958" t="str">
        <f>IFERROR(__xludf.DUMMYFUNCTION("""COMPUTED_VALUE"""),"Willson")</f>
        <v>Willson</v>
      </c>
      <c r="E6958" t="str">
        <f>IFERROR(__xludf.DUMMYFUNCTION("""COMPUTED_VALUE"""),"Luke")</f>
        <v>Luke</v>
      </c>
      <c r="F6958">
        <f>IFERROR(__xludf.DUMMYFUNCTION("""COMPUTED_VALUE"""),19.25)</f>
        <v>19.25</v>
      </c>
    </row>
    <row r="6959">
      <c r="D6959" t="str">
        <f>IFERROR(__xludf.DUMMYFUNCTION("""COMPUTED_VALUE"""),"Wilson")</f>
        <v>Wilson</v>
      </c>
      <c r="E6959" t="str">
        <f>IFERROR(__xludf.DUMMYFUNCTION("""COMPUTED_VALUE"""),"Albert")</f>
        <v>Albert</v>
      </c>
      <c r="F6959">
        <f>IFERROR(__xludf.DUMMYFUNCTION("""COMPUTED_VALUE"""),18.75)</f>
        <v>18.75</v>
      </c>
    </row>
    <row r="6960">
      <c r="D6960" t="str">
        <f>IFERROR(__xludf.DUMMYFUNCTION("""COMPUTED_VALUE"""),"Wilson")</f>
        <v>Wilson</v>
      </c>
      <c r="E6960" t="str">
        <f>IFERROR(__xludf.DUMMYFUNCTION("""COMPUTED_VALUE"""),"Brandon")</f>
        <v>Brandon</v>
      </c>
      <c r="F6960">
        <f>IFERROR(__xludf.DUMMYFUNCTION("""COMPUTED_VALUE"""),15.5)</f>
        <v>15.5</v>
      </c>
    </row>
    <row r="6961">
      <c r="D6961" t="str">
        <f>IFERROR(__xludf.DUMMYFUNCTION("""COMPUTED_VALUE"""),"Wilson")</f>
        <v>Wilson</v>
      </c>
      <c r="E6961" t="str">
        <f>IFERROR(__xludf.DUMMYFUNCTION("""COMPUTED_VALUE"""),"Cedrick")</f>
        <v>Cedrick</v>
      </c>
      <c r="F6961">
        <f>IFERROR(__xludf.DUMMYFUNCTION("""COMPUTED_VALUE"""),18.25)</f>
        <v>18.25</v>
      </c>
    </row>
    <row r="6962">
      <c r="D6962" t="str">
        <f>IFERROR(__xludf.DUMMYFUNCTION("""COMPUTED_VALUE"""),"Wilson")</f>
        <v>Wilson</v>
      </c>
      <c r="E6962" t="str">
        <f>IFERROR(__xludf.DUMMYFUNCTION("""COMPUTED_VALUE"""),"Damien")</f>
        <v>Damien</v>
      </c>
      <c r="F6962">
        <f>IFERROR(__xludf.DUMMYFUNCTION("""COMPUTED_VALUE"""),17.75)</f>
        <v>17.75</v>
      </c>
    </row>
    <row r="6963">
      <c r="D6963" t="str">
        <f>IFERROR(__xludf.DUMMYFUNCTION("""COMPUTED_VALUE"""),"Wilson")</f>
        <v>Wilson</v>
      </c>
      <c r="E6963" t="str">
        <f>IFERROR(__xludf.DUMMYFUNCTION("""COMPUTED_VALUE"""),"Eric")</f>
        <v>Eric</v>
      </c>
      <c r="F6963">
        <f>IFERROR(__xludf.DUMMYFUNCTION("""COMPUTED_VALUE"""),17.25)</f>
        <v>17.25</v>
      </c>
    </row>
    <row r="6964">
      <c r="D6964" t="str">
        <f>IFERROR(__xludf.DUMMYFUNCTION("""COMPUTED_VALUE"""),"Wilson")</f>
        <v>Wilson</v>
      </c>
      <c r="E6964" t="str">
        <f>IFERROR(__xludf.DUMMYFUNCTION("""COMPUTED_VALUE"""),"Howard")</f>
        <v>Howard</v>
      </c>
      <c r="F6964">
        <f>IFERROR(__xludf.DUMMYFUNCTION("""COMPUTED_VALUE"""),17.25)</f>
        <v>17.25</v>
      </c>
    </row>
    <row r="6965">
      <c r="D6965" t="str">
        <f>IFERROR(__xludf.DUMMYFUNCTION("""COMPUTED_VALUE"""),"Wilson")</f>
        <v>Wilson</v>
      </c>
      <c r="E6965" t="str">
        <f>IFERROR(__xludf.DUMMYFUNCTION("""COMPUTED_VALUE"""),"Jarrod")</f>
        <v>Jarrod</v>
      </c>
      <c r="F6965">
        <f>IFERROR(__xludf.DUMMYFUNCTION("""COMPUTED_VALUE"""),18.0)</f>
        <v>18</v>
      </c>
    </row>
    <row r="6966">
      <c r="D6966" t="str">
        <f>IFERROR(__xludf.DUMMYFUNCTION("""COMPUTED_VALUE"""),"Wilson")</f>
        <v>Wilson</v>
      </c>
      <c r="E6966" t="str">
        <f>IFERROR(__xludf.DUMMYFUNCTION("""COMPUTED_VALUE"""),"Marquess")</f>
        <v>Marquess</v>
      </c>
      <c r="F6966">
        <f>IFERROR(__xludf.DUMMYFUNCTION("""COMPUTED_VALUE"""),18.5)</f>
        <v>18.5</v>
      </c>
    </row>
    <row r="6967">
      <c r="D6967" t="str">
        <f>IFERROR(__xludf.DUMMYFUNCTION("""COMPUTED_VALUE"""),"Wilson")</f>
        <v>Wilson</v>
      </c>
      <c r="E6967" t="str">
        <f>IFERROR(__xludf.DUMMYFUNCTION("""COMPUTED_VALUE"""),"Quincy")</f>
        <v>Quincy</v>
      </c>
      <c r="F6967">
        <f>IFERROR(__xludf.DUMMYFUNCTION("""COMPUTED_VALUE"""),18.5)</f>
        <v>18.5</v>
      </c>
    </row>
    <row r="6968">
      <c r="D6968" t="str">
        <f>IFERROR(__xludf.DUMMYFUNCTION("""COMPUTED_VALUE"""),"Wilson")</f>
        <v>Wilson</v>
      </c>
      <c r="E6968" t="str">
        <f>IFERROR(__xludf.DUMMYFUNCTION("""COMPUTED_VALUE"""),"Ramik")</f>
        <v>Ramik</v>
      </c>
      <c r="F6968">
        <f>IFERROR(__xludf.DUMMYFUNCTION("""COMPUTED_VALUE"""),19.25)</f>
        <v>19.25</v>
      </c>
    </row>
    <row r="6969">
      <c r="D6969" t="str">
        <f>IFERROR(__xludf.DUMMYFUNCTION("""COMPUTED_VALUE"""),"Wilson")</f>
        <v>Wilson</v>
      </c>
      <c r="E6969" t="str">
        <f>IFERROR(__xludf.DUMMYFUNCTION("""COMPUTED_VALUE"""),"Russell")</f>
        <v>Russell</v>
      </c>
      <c r="F6969">
        <f>IFERROR(__xludf.DUMMYFUNCTION("""COMPUTED_VALUE"""),21.75)</f>
        <v>21.75</v>
      </c>
    </row>
    <row r="6970">
      <c r="D6970" t="str">
        <f>IFERROR(__xludf.DUMMYFUNCTION("""COMPUTED_VALUE"""),"Wilson Jr")</f>
        <v>Wilson Jr</v>
      </c>
      <c r="E6970" t="str">
        <f>IFERROR(__xludf.DUMMYFUNCTION("""COMPUTED_VALUE"""),"Bobo")</f>
        <v>Bobo</v>
      </c>
      <c r="F6970">
        <f>IFERROR(__xludf.DUMMYFUNCTION("""COMPUTED_VALUE"""),16.5)</f>
        <v>16.5</v>
      </c>
    </row>
    <row r="6971">
      <c r="D6971" t="str">
        <f>IFERROR(__xludf.DUMMYFUNCTION("""COMPUTED_VALUE"""),"Wilson Sr")</f>
        <v>Wilson Sr</v>
      </c>
      <c r="E6971" t="str">
        <f>IFERROR(__xludf.DUMMYFUNCTION("""COMPUTED_VALUE"""),"Tavon")</f>
        <v>Tavon</v>
      </c>
      <c r="F6971">
        <f>IFERROR(__xludf.DUMMYFUNCTION("""COMPUTED_VALUE"""),19.25)</f>
        <v>19.25</v>
      </c>
    </row>
    <row r="6972">
      <c r="D6972" t="str">
        <f>IFERROR(__xludf.DUMMYFUNCTION("""COMPUTED_VALUE"""),"Wims")</f>
        <v>Wims</v>
      </c>
      <c r="E6972" t="str">
        <f>IFERROR(__xludf.DUMMYFUNCTION("""COMPUTED_VALUE"""),"Javon")</f>
        <v>Javon</v>
      </c>
      <c r="F6972">
        <f>IFERROR(__xludf.DUMMYFUNCTION("""COMPUTED_VALUE"""),17.25)</f>
        <v>17.25</v>
      </c>
    </row>
    <row r="6973">
      <c r="D6973" t="str">
        <f>IFERROR(__xludf.DUMMYFUNCTION("""COMPUTED_VALUE"""),"Wing")</f>
        <v>Wing</v>
      </c>
      <c r="E6973" t="str">
        <f>IFERROR(__xludf.DUMMYFUNCTION("""COMPUTED_VALUE"""),"Brad")</f>
        <v>Brad</v>
      </c>
      <c r="F6973">
        <f>IFERROR(__xludf.DUMMYFUNCTION("""COMPUTED_VALUE"""),18.75)</f>
        <v>18.75</v>
      </c>
    </row>
    <row r="6974">
      <c r="D6974" t="str">
        <f>IFERROR(__xludf.DUMMYFUNCTION("""COMPUTED_VALUE"""),"Winston")</f>
        <v>Winston</v>
      </c>
      <c r="E6974" t="str">
        <f>IFERROR(__xludf.DUMMYFUNCTION("""COMPUTED_VALUE"""),"Jameis")</f>
        <v>Jameis</v>
      </c>
      <c r="F6974">
        <f>IFERROR(__xludf.DUMMYFUNCTION("""COMPUTED_VALUE"""),20.0)</f>
        <v>20</v>
      </c>
    </row>
    <row r="6975">
      <c r="D6975" t="str">
        <f>IFERROR(__xludf.DUMMYFUNCTION("""COMPUTED_VALUE"""),"Winters")</f>
        <v>Winters</v>
      </c>
      <c r="E6975" t="str">
        <f>IFERROR(__xludf.DUMMYFUNCTION("""COMPUTED_VALUE"""),"Brian")</f>
        <v>Brian</v>
      </c>
      <c r="F6975">
        <f>IFERROR(__xludf.DUMMYFUNCTION("""COMPUTED_VALUE"""),18.0)</f>
        <v>18</v>
      </c>
    </row>
    <row r="6976">
      <c r="D6976" t="str">
        <f>IFERROR(__xludf.DUMMYFUNCTION("""COMPUTED_VALUE"""),"Wise Jr")</f>
        <v>Wise Jr</v>
      </c>
      <c r="E6976" t="str">
        <f>IFERROR(__xludf.DUMMYFUNCTION("""COMPUTED_VALUE"""),"Deatrich")</f>
        <v>Deatrich</v>
      </c>
      <c r="F6976">
        <f>IFERROR(__xludf.DUMMYFUNCTION("""COMPUTED_VALUE"""),17.75)</f>
        <v>17.75</v>
      </c>
    </row>
    <row r="6977">
      <c r="D6977" t="str">
        <f>IFERROR(__xludf.DUMMYFUNCTION("""COMPUTED_VALUE"""),"Wisniewski")</f>
        <v>Wisniewski</v>
      </c>
      <c r="E6977" t="str">
        <f>IFERROR(__xludf.DUMMYFUNCTION("""COMPUTED_VALUE"""),"Stefen")</f>
        <v>Stefen</v>
      </c>
      <c r="F6977">
        <f>IFERROR(__xludf.DUMMYFUNCTION("""COMPUTED_VALUE"""),19.75)</f>
        <v>19.75</v>
      </c>
    </row>
    <row r="6978">
      <c r="D6978" t="str">
        <f>IFERROR(__xludf.DUMMYFUNCTION("""COMPUTED_VALUE"""),"Witherspoon")</f>
        <v>Witherspoon</v>
      </c>
      <c r="E6978" t="str">
        <f>IFERROR(__xludf.DUMMYFUNCTION("""COMPUTED_VALUE"""),"Ahkello")</f>
        <v>Ahkello</v>
      </c>
      <c r="F6978">
        <f>IFERROR(__xludf.DUMMYFUNCTION("""COMPUTED_VALUE"""),18.75)</f>
        <v>18.75</v>
      </c>
    </row>
    <row r="6979">
      <c r="D6979" t="str">
        <f>IFERROR(__xludf.DUMMYFUNCTION("""COMPUTED_VALUE"""),"Witzmann")</f>
        <v>Witzmann</v>
      </c>
      <c r="E6979" t="str">
        <f>IFERROR(__xludf.DUMMYFUNCTION("""COMPUTED_VALUE"""),"Bryan")</f>
        <v>Bryan</v>
      </c>
      <c r="F6979">
        <f>IFERROR(__xludf.DUMMYFUNCTION("""COMPUTED_VALUE"""),18.0)</f>
        <v>18</v>
      </c>
    </row>
    <row r="6980">
      <c r="D6980" t="str">
        <f>IFERROR(__xludf.DUMMYFUNCTION("""COMPUTED_VALUE"""),"Wolfe")</f>
        <v>Wolfe</v>
      </c>
      <c r="E6980" t="str">
        <f>IFERROR(__xludf.DUMMYFUNCTION("""COMPUTED_VALUE"""),"Derek")</f>
        <v>Derek</v>
      </c>
      <c r="F6980">
        <f>IFERROR(__xludf.DUMMYFUNCTION("""COMPUTED_VALUE"""),19.0)</f>
        <v>19</v>
      </c>
    </row>
    <row r="6981">
      <c r="D6981" t="str">
        <f>IFERROR(__xludf.DUMMYFUNCTION("""COMPUTED_VALUE"""),"Woodard")</f>
        <v>Woodard</v>
      </c>
      <c r="E6981" t="str">
        <f>IFERROR(__xludf.DUMMYFUNCTION("""COMPUTED_VALUE"""),"Jonathan")</f>
        <v>Jonathan</v>
      </c>
      <c r="F6981">
        <f>IFERROR(__xludf.DUMMYFUNCTION("""COMPUTED_VALUE"""),17.5)</f>
        <v>17.5</v>
      </c>
    </row>
    <row r="6982">
      <c r="D6982" t="str">
        <f>IFERROR(__xludf.DUMMYFUNCTION("""COMPUTED_VALUE"""),"Woodrum")</f>
        <v>Woodrum</v>
      </c>
      <c r="E6982" t="str">
        <f>IFERROR(__xludf.DUMMYFUNCTION("""COMPUTED_VALUE"""),"Josh")</f>
        <v>Josh</v>
      </c>
      <c r="F6982">
        <f>IFERROR(__xludf.DUMMYFUNCTION("""COMPUTED_VALUE"""),16.0)</f>
        <v>16</v>
      </c>
    </row>
    <row r="6983">
      <c r="D6983" t="str">
        <f>IFERROR(__xludf.DUMMYFUNCTION("""COMPUTED_VALUE"""),"Woods")</f>
        <v>Woods</v>
      </c>
      <c r="E6983" t="str">
        <f>IFERROR(__xludf.DUMMYFUNCTION("""COMPUTED_VALUE"""),"Al")</f>
        <v>Al</v>
      </c>
      <c r="F6983">
        <f>IFERROR(__xludf.DUMMYFUNCTION("""COMPUTED_VALUE"""),19.5)</f>
        <v>19.5</v>
      </c>
    </row>
    <row r="6984">
      <c r="D6984" t="str">
        <f>IFERROR(__xludf.DUMMYFUNCTION("""COMPUTED_VALUE"""),"Woods")</f>
        <v>Woods</v>
      </c>
      <c r="E6984" t="str">
        <f>IFERROR(__xludf.DUMMYFUNCTION("""COMPUTED_VALUE"""),"Antwaun")</f>
        <v>Antwaun</v>
      </c>
      <c r="F6984">
        <f>IFERROR(__xludf.DUMMYFUNCTION("""COMPUTED_VALUE"""),16.0)</f>
        <v>16</v>
      </c>
    </row>
    <row r="6985">
      <c r="D6985" t="str">
        <f>IFERROR(__xludf.DUMMYFUNCTION("""COMPUTED_VALUE"""),"Woods")</f>
        <v>Woods</v>
      </c>
      <c r="E6985" t="str">
        <f>IFERROR(__xludf.DUMMYFUNCTION("""COMPUTED_VALUE"""),"Robert")</f>
        <v>Robert</v>
      </c>
      <c r="F6985">
        <f>IFERROR(__xludf.DUMMYFUNCTION("""COMPUTED_VALUE"""),20.25)</f>
        <v>20.25</v>
      </c>
    </row>
    <row r="6986">
      <c r="D6986" t="str">
        <f>IFERROR(__xludf.DUMMYFUNCTION("""COMPUTED_VALUE"""),"Woods")</f>
        <v>Woods</v>
      </c>
      <c r="E6986" t="str">
        <f>IFERROR(__xludf.DUMMYFUNCTION("""COMPUTED_VALUE"""),"Xavier")</f>
        <v>Xavier</v>
      </c>
      <c r="F6986">
        <f>IFERROR(__xludf.DUMMYFUNCTION("""COMPUTED_VALUE"""),19.25)</f>
        <v>19.25</v>
      </c>
    </row>
    <row r="6987">
      <c r="D6987" t="str">
        <f>IFERROR(__xludf.DUMMYFUNCTION("""COMPUTED_VALUE"""),"Woodside")</f>
        <v>Woodside</v>
      </c>
      <c r="E6987" t="str">
        <f>IFERROR(__xludf.DUMMYFUNCTION("""COMPUTED_VALUE"""),"Logan")</f>
        <v>Logan</v>
      </c>
      <c r="F6987">
        <f>IFERROR(__xludf.DUMMYFUNCTION("""COMPUTED_VALUE"""),17.0)</f>
        <v>17</v>
      </c>
    </row>
    <row r="6988">
      <c r="D6988" t="str">
        <f>IFERROR(__xludf.DUMMYFUNCTION("""COMPUTED_VALUE"""),"Woodson-Luster")</f>
        <v>Woodson-Luster</v>
      </c>
      <c r="E6988" t="str">
        <f>IFERROR(__xludf.DUMMYFUNCTION("""COMPUTED_VALUE"""),"Xavier")</f>
        <v>Xavier</v>
      </c>
      <c r="F6988">
        <f>IFERROR(__xludf.DUMMYFUNCTION("""COMPUTED_VALUE"""),15.75)</f>
        <v>15.75</v>
      </c>
    </row>
    <row r="6989">
      <c r="D6989" t="str">
        <f>IFERROR(__xludf.DUMMYFUNCTION("""COMPUTED_VALUE"""),"Woodyard")</f>
        <v>Woodyard</v>
      </c>
      <c r="E6989" t="str">
        <f>IFERROR(__xludf.DUMMYFUNCTION("""COMPUTED_VALUE"""),"Wesley")</f>
        <v>Wesley</v>
      </c>
      <c r="F6989">
        <f>IFERROR(__xludf.DUMMYFUNCTION("""COMPUTED_VALUE"""),19.75)</f>
        <v>19.75</v>
      </c>
    </row>
    <row r="6990">
      <c r="D6990" t="str">
        <f>IFERROR(__xludf.DUMMYFUNCTION("""COMPUTED_VALUE"""),"Worley")</f>
        <v>Worley</v>
      </c>
      <c r="E6990" t="str">
        <f>IFERROR(__xludf.DUMMYFUNCTION("""COMPUTED_VALUE"""),"Daryl")</f>
        <v>Daryl</v>
      </c>
      <c r="F6990">
        <f>IFERROR(__xludf.DUMMYFUNCTION("""COMPUTED_VALUE"""),18.5)</f>
        <v>18.5</v>
      </c>
    </row>
    <row r="6991">
      <c r="D6991" t="str">
        <f>IFERROR(__xludf.DUMMYFUNCTION("""COMPUTED_VALUE"""),"Wormley")</f>
        <v>Wormley</v>
      </c>
      <c r="E6991" t="str">
        <f>IFERROR(__xludf.DUMMYFUNCTION("""COMPUTED_VALUE"""),"Chris")</f>
        <v>Chris</v>
      </c>
      <c r="F6991">
        <f>IFERROR(__xludf.DUMMYFUNCTION("""COMPUTED_VALUE"""),17.75)</f>
        <v>17.75</v>
      </c>
    </row>
    <row r="6992">
      <c r="D6992" t="str">
        <f>IFERROR(__xludf.DUMMYFUNCTION("""COMPUTED_VALUE"""),"Worrilow")</f>
        <v>Worrilow</v>
      </c>
      <c r="E6992" t="str">
        <f>IFERROR(__xludf.DUMMYFUNCTION("""COMPUTED_VALUE"""),"Paul")</f>
        <v>Paul</v>
      </c>
      <c r="F6992">
        <f>IFERROR(__xludf.DUMMYFUNCTION("""COMPUTED_VALUE"""),18.25)</f>
        <v>18.25</v>
      </c>
    </row>
    <row r="6993">
      <c r="D6993" t="str">
        <f>IFERROR(__xludf.DUMMYFUNCTION("""COMPUTED_VALUE"""),"Wreh-Wilson")</f>
        <v>Wreh-Wilson</v>
      </c>
      <c r="E6993" t="str">
        <f>IFERROR(__xludf.DUMMYFUNCTION("""COMPUTED_VALUE"""),"Blidi")</f>
        <v>Blidi</v>
      </c>
      <c r="F6993">
        <f>IFERROR(__xludf.DUMMYFUNCTION("""COMPUTED_VALUE"""),18.0)</f>
        <v>18</v>
      </c>
    </row>
    <row r="6994">
      <c r="D6994" t="str">
        <f>IFERROR(__xludf.DUMMYFUNCTION("""COMPUTED_VALUE"""),"Wright")</f>
        <v>Wright</v>
      </c>
      <c r="E6994" t="str">
        <f>IFERROR(__xludf.DUMMYFUNCTION("""COMPUTED_VALUE"""),"Gabe")</f>
        <v>Gabe</v>
      </c>
      <c r="F6994">
        <f>IFERROR(__xludf.DUMMYFUNCTION("""COMPUTED_VALUE"""),17.75)</f>
        <v>17.75</v>
      </c>
    </row>
    <row r="6995">
      <c r="D6995" t="str">
        <f>IFERROR(__xludf.DUMMYFUNCTION("""COMPUTED_VALUE"""),"Wright")</f>
        <v>Wright</v>
      </c>
      <c r="E6995" t="str">
        <f>IFERROR(__xludf.DUMMYFUNCTION("""COMPUTED_VALUE"""),"Kendall")</f>
        <v>Kendall</v>
      </c>
      <c r="F6995">
        <f>IFERROR(__xludf.DUMMYFUNCTION("""COMPUTED_VALUE"""),19.0)</f>
        <v>19</v>
      </c>
    </row>
    <row r="6996">
      <c r="D6996" t="str">
        <f>IFERROR(__xludf.DUMMYFUNCTION("""COMPUTED_VALUE"""),"Wright")</f>
        <v>Wright</v>
      </c>
      <c r="E6996" t="str">
        <f>IFERROR(__xludf.DUMMYFUNCTION("""COMPUTED_VALUE"""),"KJ")</f>
        <v>KJ</v>
      </c>
      <c r="F6996">
        <f>IFERROR(__xludf.DUMMYFUNCTION("""COMPUTED_VALUE"""),20.25)</f>
        <v>20.25</v>
      </c>
    </row>
    <row r="6997">
      <c r="D6997" t="str">
        <f>IFERROR(__xludf.DUMMYFUNCTION("""COMPUTED_VALUE"""),"Wright")</f>
        <v>Wright</v>
      </c>
      <c r="E6997" t="str">
        <f>IFERROR(__xludf.DUMMYFUNCTION("""COMPUTED_VALUE"""),"Shareece")</f>
        <v>Shareece</v>
      </c>
      <c r="F6997">
        <f>IFERROR(__xludf.DUMMYFUNCTION("""COMPUTED_VALUE"""),18.0)</f>
        <v>18</v>
      </c>
    </row>
    <row r="6998">
      <c r="D6998" t="str">
        <f>IFERROR(__xludf.DUMMYFUNCTION("""COMPUTED_VALUE"""),"Wright")</f>
        <v>Wright</v>
      </c>
      <c r="E6998" t="str">
        <f>IFERROR(__xludf.DUMMYFUNCTION("""COMPUTED_VALUE"""),"Timothy")</f>
        <v>Timothy</v>
      </c>
      <c r="F6998">
        <f>IFERROR(__xludf.DUMMYFUNCTION("""COMPUTED_VALUE"""),17.25)</f>
        <v>17.25</v>
      </c>
    </row>
    <row r="6999">
      <c r="D6999" t="str">
        <f>IFERROR(__xludf.DUMMYFUNCTION("""COMPUTED_VALUE"""),"Wright III")</f>
        <v>Wright III</v>
      </c>
      <c r="E6999" t="str">
        <f>IFERROR(__xludf.DUMMYFUNCTION("""COMPUTED_VALUE"""),"Scooby")</f>
        <v>Scooby</v>
      </c>
      <c r="F6999">
        <f>IFERROR(__xludf.DUMMYFUNCTION("""COMPUTED_VALUE"""),18.25)</f>
        <v>18.25</v>
      </c>
    </row>
    <row r="7000">
      <c r="D7000" t="str">
        <f>IFERROR(__xludf.DUMMYFUNCTION("""COMPUTED_VALUE"""),"Wynn")</f>
        <v>Wynn</v>
      </c>
      <c r="E7000" t="str">
        <f>IFERROR(__xludf.DUMMYFUNCTION("""COMPUTED_VALUE"""),"Isaiah")</f>
        <v>Isaiah</v>
      </c>
      <c r="F7000">
        <f>IFERROR(__xludf.DUMMYFUNCTION("""COMPUTED_VALUE"""),19.25)</f>
        <v>19.25</v>
      </c>
    </row>
    <row r="7001">
      <c r="D7001" t="str">
        <f>IFERROR(__xludf.DUMMYFUNCTION("""COMPUTED_VALUE"""),"Wynn")</f>
        <v>Wynn</v>
      </c>
      <c r="E7001" t="str">
        <f>IFERROR(__xludf.DUMMYFUNCTION("""COMPUTED_VALUE"""),"Kerry")</f>
        <v>Kerry</v>
      </c>
      <c r="F7001">
        <f>IFERROR(__xludf.DUMMYFUNCTION("""COMPUTED_VALUE"""),17.25)</f>
        <v>17.25</v>
      </c>
    </row>
    <row r="7002">
      <c r="D7002" t="str">
        <f>IFERROR(__xludf.DUMMYFUNCTION("""COMPUTED_VALUE"""),"Wynn")</f>
        <v>Wynn</v>
      </c>
      <c r="E7002" t="str">
        <f>IFERROR(__xludf.DUMMYFUNCTION("""COMPUTED_VALUE"""),"Shane")</f>
        <v>Shane</v>
      </c>
      <c r="F7002">
        <f>IFERROR(__xludf.DUMMYFUNCTION("""COMPUTED_VALUE"""),15.75)</f>
        <v>15.75</v>
      </c>
    </row>
    <row r="7003">
      <c r="D7003" t="str">
        <f>IFERROR(__xludf.DUMMYFUNCTION("""COMPUTED_VALUE"""),"Yancey")</f>
        <v>Yancey</v>
      </c>
      <c r="E7003" t="str">
        <f>IFERROR(__xludf.DUMMYFUNCTION("""COMPUTED_VALUE"""),"DeAngelo")</f>
        <v>DeAngelo</v>
      </c>
      <c r="F7003">
        <f>IFERROR(__xludf.DUMMYFUNCTION("""COMPUTED_VALUE"""),17.0)</f>
        <v>17</v>
      </c>
    </row>
    <row r="7004">
      <c r="D7004" t="str">
        <f>IFERROR(__xludf.DUMMYFUNCTION("""COMPUTED_VALUE"""),"Yanda")</f>
        <v>Yanda</v>
      </c>
      <c r="E7004" t="str">
        <f>IFERROR(__xludf.DUMMYFUNCTION("""COMPUTED_VALUE"""),"Marshal")</f>
        <v>Marshal</v>
      </c>
      <c r="F7004">
        <f>IFERROR(__xludf.DUMMYFUNCTION("""COMPUTED_VALUE"""),21.5)</f>
        <v>21.5</v>
      </c>
    </row>
    <row r="7005">
      <c r="D7005" t="str">
        <f>IFERROR(__xludf.DUMMYFUNCTION("""COMPUTED_VALUE"""),"Yanda")</f>
        <v>Yanda</v>
      </c>
      <c r="E7005" t="str">
        <f>IFERROR(__xludf.DUMMYFUNCTION("""COMPUTED_VALUE"""),"Marshal")</f>
        <v>Marshal</v>
      </c>
      <c r="F7005">
        <f>IFERROR(__xludf.DUMMYFUNCTION("""COMPUTED_VALUE"""),22.25)</f>
        <v>22.25</v>
      </c>
    </row>
    <row r="7006">
      <c r="D7006" t="str">
        <f>IFERROR(__xludf.DUMMYFUNCTION("""COMPUTED_VALUE"""),"Yarbrough")</f>
        <v>Yarbrough</v>
      </c>
      <c r="E7006" t="str">
        <f>IFERROR(__xludf.DUMMYFUNCTION("""COMPUTED_VALUE"""),"Eddie")</f>
        <v>Eddie</v>
      </c>
      <c r="F7006">
        <f>IFERROR(__xludf.DUMMYFUNCTION("""COMPUTED_VALUE"""),18.25)</f>
        <v>18.25</v>
      </c>
    </row>
    <row r="7007">
      <c r="D7007" t="str">
        <f>IFERROR(__xludf.DUMMYFUNCTION("""COMPUTED_VALUE"""),"Yeldon")</f>
        <v>Yeldon</v>
      </c>
      <c r="E7007" t="str">
        <f>IFERROR(__xludf.DUMMYFUNCTION("""COMPUTED_VALUE"""),"TJ")</f>
        <v>TJ</v>
      </c>
      <c r="F7007">
        <f>IFERROR(__xludf.DUMMYFUNCTION("""COMPUTED_VALUE"""),19.25)</f>
        <v>19.25</v>
      </c>
    </row>
    <row r="7008">
      <c r="D7008" t="str">
        <f>IFERROR(__xludf.DUMMYFUNCTION("""COMPUTED_VALUE"""),"Yiadom")</f>
        <v>Yiadom</v>
      </c>
      <c r="E7008" t="str">
        <f>IFERROR(__xludf.DUMMYFUNCTION("""COMPUTED_VALUE"""),"Isaac")</f>
        <v>Isaac</v>
      </c>
      <c r="F7008">
        <f>IFERROR(__xludf.DUMMYFUNCTION("""COMPUTED_VALUE"""),18.0)</f>
        <v>18</v>
      </c>
    </row>
    <row r="7009">
      <c r="D7009" t="str">
        <f>IFERROR(__xludf.DUMMYFUNCTION("""COMPUTED_VALUE"""),"Young")</f>
        <v>Young</v>
      </c>
      <c r="E7009" t="str">
        <f>IFERROR(__xludf.DUMMYFUNCTION("""COMPUTED_VALUE"""),"Avery")</f>
        <v>Avery</v>
      </c>
      <c r="F7009">
        <f>IFERROR(__xludf.DUMMYFUNCTION("""COMPUTED_VALUE"""),15.5)</f>
        <v>15.5</v>
      </c>
    </row>
    <row r="7010">
      <c r="D7010" t="str">
        <f>IFERROR(__xludf.DUMMYFUNCTION("""COMPUTED_VALUE"""),"Young")</f>
        <v>Young</v>
      </c>
      <c r="E7010" t="str">
        <f>IFERROR(__xludf.DUMMYFUNCTION("""COMPUTED_VALUE"""),"Kenny")</f>
        <v>Kenny</v>
      </c>
      <c r="F7010">
        <f>IFERROR(__xludf.DUMMYFUNCTION("""COMPUTED_VALUE"""),18.25)</f>
        <v>18.25</v>
      </c>
    </row>
    <row r="7011">
      <c r="D7011" t="str">
        <f>IFERROR(__xludf.DUMMYFUNCTION("""COMPUTED_VALUE"""),"Young")</f>
        <v>Young</v>
      </c>
      <c r="E7011" t="str">
        <f>IFERROR(__xludf.DUMMYFUNCTION("""COMPUTED_VALUE"""),"Lou")</f>
        <v>Lou</v>
      </c>
      <c r="F7011">
        <f>IFERROR(__xludf.DUMMYFUNCTION("""COMPUTED_VALUE"""),15.75)</f>
        <v>15.75</v>
      </c>
    </row>
    <row r="7012">
      <c r="D7012" t="str">
        <f>IFERROR(__xludf.DUMMYFUNCTION("""COMPUTED_VALUE"""),"Young")</f>
        <v>Young</v>
      </c>
      <c r="E7012" t="str">
        <f>IFERROR(__xludf.DUMMYFUNCTION("""COMPUTED_VALUE"""),"Sam")</f>
        <v>Sam</v>
      </c>
      <c r="F7012">
        <f>IFERROR(__xludf.DUMMYFUNCTION("""COMPUTED_VALUE"""),18.0)</f>
        <v>18</v>
      </c>
    </row>
    <row r="7013">
      <c r="D7013" t="str">
        <f>IFERROR(__xludf.DUMMYFUNCTION("""COMPUTED_VALUE"""),"Young")</f>
        <v>Young</v>
      </c>
      <c r="E7013" t="str">
        <f>IFERROR(__xludf.DUMMYFUNCTION("""COMPUTED_VALUE"""),"Steve")</f>
        <v>Steve</v>
      </c>
      <c r="F7013">
        <f>IFERROR(__xludf.DUMMYFUNCTION("""COMPUTED_VALUE"""),22.0)</f>
        <v>22</v>
      </c>
    </row>
    <row r="7014">
      <c r="D7014" t="str">
        <f>IFERROR(__xludf.DUMMYFUNCTION("""COMPUTED_VALUE"""),"Young")</f>
        <v>Young</v>
      </c>
      <c r="E7014" t="str">
        <f>IFERROR(__xludf.DUMMYFUNCTION("""COMPUTED_VALUE"""),"Steve")</f>
        <v>Steve</v>
      </c>
      <c r="F7014">
        <f>IFERROR(__xludf.DUMMYFUNCTION("""COMPUTED_VALUE"""),20.75)</f>
        <v>20.75</v>
      </c>
    </row>
    <row r="7015">
      <c r="D7015" t="str">
        <f>IFERROR(__xludf.DUMMYFUNCTION("""COMPUTED_VALUE"""),"Young")</f>
        <v>Young</v>
      </c>
      <c r="E7015" t="str">
        <f>IFERROR(__xludf.DUMMYFUNCTION("""COMPUTED_VALUE"""),"Steve")</f>
        <v>Steve</v>
      </c>
      <c r="F7015">
        <f>IFERROR(__xludf.DUMMYFUNCTION("""COMPUTED_VALUE"""),20.5)</f>
        <v>20.5</v>
      </c>
    </row>
    <row r="7016">
      <c r="D7016" t="str">
        <f>IFERROR(__xludf.DUMMYFUNCTION("""COMPUTED_VALUE"""),"Young")</f>
        <v>Young</v>
      </c>
      <c r="E7016" t="str">
        <f>IFERROR(__xludf.DUMMYFUNCTION("""COMPUTED_VALUE"""),"Steve")</f>
        <v>Steve</v>
      </c>
      <c r="F7016">
        <f>IFERROR(__xludf.DUMMYFUNCTION("""COMPUTED_VALUE"""),21.0)</f>
        <v>21</v>
      </c>
    </row>
    <row r="7017">
      <c r="D7017" t="str">
        <f>IFERROR(__xludf.DUMMYFUNCTION("""COMPUTED_VALUE"""),"Young")</f>
        <v>Young</v>
      </c>
      <c r="E7017" t="str">
        <f>IFERROR(__xludf.DUMMYFUNCTION("""COMPUTED_VALUE"""),"Steve")</f>
        <v>Steve</v>
      </c>
      <c r="F7017">
        <f>IFERROR(__xludf.DUMMYFUNCTION("""COMPUTED_VALUE"""),21.5)</f>
        <v>21.5</v>
      </c>
    </row>
    <row r="7018">
      <c r="D7018" t="str">
        <f>IFERROR(__xludf.DUMMYFUNCTION("""COMPUTED_VALUE"""),"Young")</f>
        <v>Young</v>
      </c>
      <c r="E7018" t="str">
        <f>IFERROR(__xludf.DUMMYFUNCTION("""COMPUTED_VALUE"""),"Steve")</f>
        <v>Steve</v>
      </c>
      <c r="F7018">
        <f>IFERROR(__xludf.DUMMYFUNCTION("""COMPUTED_VALUE"""),22.5)</f>
        <v>22.5</v>
      </c>
    </row>
    <row r="7019">
      <c r="D7019" t="str">
        <f>IFERROR(__xludf.DUMMYFUNCTION("""COMPUTED_VALUE"""),"Young")</f>
        <v>Young</v>
      </c>
      <c r="E7019" t="str">
        <f>IFERROR(__xludf.DUMMYFUNCTION("""COMPUTED_VALUE"""),"Tavon")</f>
        <v>Tavon</v>
      </c>
      <c r="F7019">
        <f>IFERROR(__xludf.DUMMYFUNCTION("""COMPUTED_VALUE"""),20.0)</f>
        <v>20</v>
      </c>
    </row>
    <row r="7020">
      <c r="D7020" t="str">
        <f>IFERROR(__xludf.DUMMYFUNCTION("""COMPUTED_VALUE"""),"Young")</f>
        <v>Young</v>
      </c>
      <c r="E7020" t="str">
        <f>IFERROR(__xludf.DUMMYFUNCTION("""COMPUTED_VALUE"""),"Trevon")</f>
        <v>Trevon</v>
      </c>
      <c r="F7020">
        <f>IFERROR(__xludf.DUMMYFUNCTION("""COMPUTED_VALUE"""),16.5)</f>
        <v>16.5</v>
      </c>
    </row>
    <row r="7021">
      <c r="D7021" t="str">
        <f>IFERROR(__xludf.DUMMYFUNCTION("""COMPUTED_VALUE"""),"Zeitler")</f>
        <v>Zeitler</v>
      </c>
      <c r="E7021" t="str">
        <f>IFERROR(__xludf.DUMMYFUNCTION("""COMPUTED_VALUE"""),"Kevin")</f>
        <v>Kevin</v>
      </c>
      <c r="F7021">
        <f>IFERROR(__xludf.DUMMYFUNCTION("""COMPUTED_VALUE"""),20.75)</f>
        <v>20.75</v>
      </c>
    </row>
    <row r="7022">
      <c r="D7022" t="str">
        <f>IFERROR(__xludf.DUMMYFUNCTION("""COMPUTED_VALUE"""),"Zenner")</f>
        <v>Zenner</v>
      </c>
      <c r="E7022" t="str">
        <f>IFERROR(__xludf.DUMMYFUNCTION("""COMPUTED_VALUE"""),"Zach")</f>
        <v>Zach</v>
      </c>
      <c r="F7022">
        <f>IFERROR(__xludf.DUMMYFUNCTION("""COMPUTED_VALUE"""),18.0)</f>
        <v>18</v>
      </c>
    </row>
    <row r="7023">
      <c r="D7023" t="str">
        <f>IFERROR(__xludf.DUMMYFUNCTION("""COMPUTED_VALUE"""),"Zettel")</f>
        <v>Zettel</v>
      </c>
      <c r="E7023" t="str">
        <f>IFERROR(__xludf.DUMMYFUNCTION("""COMPUTED_VALUE"""),"Anthony")</f>
        <v>Anthony</v>
      </c>
      <c r="F7023">
        <f>IFERROR(__xludf.DUMMYFUNCTION("""COMPUTED_VALUE"""),19.75)</f>
        <v>19.75</v>
      </c>
    </row>
    <row r="7024">
      <c r="D7024" t="str">
        <f>IFERROR(__xludf.DUMMYFUNCTION("""COMPUTED_VALUE"""),"Zombo")</f>
        <v>Zombo</v>
      </c>
      <c r="E7024" t="str">
        <f>IFERROR(__xludf.DUMMYFUNCTION("""COMPUTED_VALUE"""),"Frank")</f>
        <v>Frank</v>
      </c>
      <c r="F7024">
        <f>IFERROR(__xludf.DUMMYFUNCTION("""COMPUTED_VALUE"""),16.25)</f>
        <v>16.25</v>
      </c>
    </row>
    <row r="7025">
      <c r="D7025" t="str">
        <f>IFERROR(__xludf.DUMMYFUNCTION("""COMPUTED_VALUE"""),"Zuerlein")</f>
        <v>Zuerlein</v>
      </c>
      <c r="E7025" t="str">
        <f>IFERROR(__xludf.DUMMYFUNCTION("""COMPUTED_VALUE"""),"Greg")</f>
        <v>Greg</v>
      </c>
      <c r="F7025">
        <f>IFERROR(__xludf.DUMMYFUNCTION("""COMPUTED_VALUE"""),21.5)</f>
        <v>21.5</v>
      </c>
    </row>
    <row r="7026">
      <c r="D7026" t="str">
        <f>IFERROR(__xludf.DUMMYFUNCTION("""COMPUTED_VALUE"""),"Abdullah")</f>
        <v>Abdullah</v>
      </c>
      <c r="E7026" t="str">
        <f>IFERROR(__xludf.DUMMYFUNCTION("""COMPUTED_VALUE"""),"Ameer")</f>
        <v>Ameer</v>
      </c>
      <c r="F7026" t="str">
        <f>IFERROR(__xludf.DUMMYFUNCTION("""COMPUTED_VALUE"""),"")</f>
        <v/>
      </c>
    </row>
    <row r="7027">
      <c r="D7027" t="str">
        <f>IFERROR(__xludf.DUMMYFUNCTION("""COMPUTED_VALUE"""),"Aboushi")</f>
        <v>Aboushi</v>
      </c>
      <c r="E7027" t="str">
        <f>IFERROR(__xludf.DUMMYFUNCTION("""COMPUTED_VALUE"""),"Oday")</f>
        <v>Oday</v>
      </c>
      <c r="F7027" t="str">
        <f>IFERROR(__xludf.DUMMYFUNCTION("""COMPUTED_VALUE"""),"")</f>
        <v/>
      </c>
    </row>
    <row r="7028">
      <c r="D7028" t="str">
        <f>IFERROR(__xludf.DUMMYFUNCTION("""COMPUTED_VALUE"""),"Abram")</f>
        <v>Abram</v>
      </c>
      <c r="E7028" t="str">
        <f>IFERROR(__xludf.DUMMYFUNCTION("""COMPUTED_VALUE"""),"Johnathan")</f>
        <v>Johnathan</v>
      </c>
      <c r="F7028" t="str">
        <f>IFERROR(__xludf.DUMMYFUNCTION("""COMPUTED_VALUE"""),"")</f>
        <v/>
      </c>
    </row>
    <row r="7029">
      <c r="D7029" t="str">
        <f>IFERROR(__xludf.DUMMYFUNCTION("""COMPUTED_VALUE"""),"Adams")</f>
        <v>Adams</v>
      </c>
      <c r="E7029" t="str">
        <f>IFERROR(__xludf.DUMMYFUNCTION("""COMPUTED_VALUE"""),"Andrew")</f>
        <v>Andrew</v>
      </c>
      <c r="F7029" t="str">
        <f>IFERROR(__xludf.DUMMYFUNCTION("""COMPUTED_VALUE"""),"")</f>
        <v/>
      </c>
    </row>
    <row r="7030">
      <c r="D7030" t="str">
        <f>IFERROR(__xludf.DUMMYFUNCTION("""COMPUTED_VALUE"""),"Adams")</f>
        <v>Adams</v>
      </c>
      <c r="E7030" t="str">
        <f>IFERROR(__xludf.DUMMYFUNCTION("""COMPUTED_VALUE"""),"Davante")</f>
        <v>Davante</v>
      </c>
      <c r="F7030" t="str">
        <f>IFERROR(__xludf.DUMMYFUNCTION("""COMPUTED_VALUE"""),"")</f>
        <v/>
      </c>
    </row>
    <row r="7031">
      <c r="D7031" t="str">
        <f>IFERROR(__xludf.DUMMYFUNCTION("""COMPUTED_VALUE"""),"Adams")</f>
        <v>Adams</v>
      </c>
      <c r="E7031" t="str">
        <f>IFERROR(__xludf.DUMMYFUNCTION("""COMPUTED_VALUE"""),"Jamal")</f>
        <v>Jamal</v>
      </c>
      <c r="F7031" t="str">
        <f>IFERROR(__xludf.DUMMYFUNCTION("""COMPUTED_VALUE"""),"")</f>
        <v/>
      </c>
    </row>
    <row r="7032">
      <c r="D7032" t="str">
        <f>IFERROR(__xludf.DUMMYFUNCTION("""COMPUTED_VALUE"""),"Adams")</f>
        <v>Adams</v>
      </c>
      <c r="E7032" t="str">
        <f>IFERROR(__xludf.DUMMYFUNCTION("""COMPUTED_VALUE"""),"Jerell")</f>
        <v>Jerell</v>
      </c>
      <c r="F7032" t="str">
        <f>IFERROR(__xludf.DUMMYFUNCTION("""COMPUTED_VALUE"""),"")</f>
        <v/>
      </c>
    </row>
    <row r="7033">
      <c r="D7033" t="str">
        <f>IFERROR(__xludf.DUMMYFUNCTION("""COMPUTED_VALUE"""),"Adams")</f>
        <v>Adams</v>
      </c>
      <c r="E7033" t="str">
        <f>IFERROR(__xludf.DUMMYFUNCTION("""COMPUTED_VALUE"""),"Josh")</f>
        <v>Josh</v>
      </c>
      <c r="F7033" t="str">
        <f>IFERROR(__xludf.DUMMYFUNCTION("""COMPUTED_VALUE"""),"")</f>
        <v/>
      </c>
    </row>
    <row r="7034">
      <c r="D7034" t="str">
        <f>IFERROR(__xludf.DUMMYFUNCTION("""COMPUTED_VALUE"""),"Adams")</f>
        <v>Adams</v>
      </c>
      <c r="E7034" t="str">
        <f>IFERROR(__xludf.DUMMYFUNCTION("""COMPUTED_VALUE"""),"Keion")</f>
        <v>Keion</v>
      </c>
      <c r="F7034" t="str">
        <f>IFERROR(__xludf.DUMMYFUNCTION("""COMPUTED_VALUE"""),"")</f>
        <v/>
      </c>
    </row>
    <row r="7035">
      <c r="D7035" t="str">
        <f>IFERROR(__xludf.DUMMYFUNCTION("""COMPUTED_VALUE"""),"Adams")</f>
        <v>Adams</v>
      </c>
      <c r="E7035" t="str">
        <f>IFERROR(__xludf.DUMMYFUNCTION("""COMPUTED_VALUE"""),"Matthew")</f>
        <v>Matthew</v>
      </c>
      <c r="F7035" t="str">
        <f>IFERROR(__xludf.DUMMYFUNCTION("""COMPUTED_VALUE"""),"")</f>
        <v/>
      </c>
    </row>
    <row r="7036">
      <c r="D7036" t="str">
        <f>IFERROR(__xludf.DUMMYFUNCTION("""COMPUTED_VALUE"""),"Adams")</f>
        <v>Adams</v>
      </c>
      <c r="E7036" t="str">
        <f>IFERROR(__xludf.DUMMYFUNCTION("""COMPUTED_VALUE"""),"Montravius")</f>
        <v>Montravius</v>
      </c>
      <c r="F7036" t="str">
        <f>IFERROR(__xludf.DUMMYFUNCTION("""COMPUTED_VALUE"""),"")</f>
        <v/>
      </c>
    </row>
    <row r="7037">
      <c r="D7037" t="str">
        <f>IFERROR(__xludf.DUMMYFUNCTION("""COMPUTED_VALUE"""),"Adams")</f>
        <v>Adams</v>
      </c>
      <c r="E7037" t="str">
        <f>IFERROR(__xludf.DUMMYFUNCTION("""COMPUTED_VALUE"""),"Paul")</f>
        <v>Paul</v>
      </c>
      <c r="F7037" t="str">
        <f>IFERROR(__xludf.DUMMYFUNCTION("""COMPUTED_VALUE"""),"")</f>
        <v/>
      </c>
    </row>
    <row r="7038">
      <c r="D7038" t="str">
        <f>IFERROR(__xludf.DUMMYFUNCTION("""COMPUTED_VALUE"""),"Adams")</f>
        <v>Adams</v>
      </c>
      <c r="E7038" t="str">
        <f>IFERROR(__xludf.DUMMYFUNCTION("""COMPUTED_VALUE"""),"Tyrell")</f>
        <v>Tyrell</v>
      </c>
      <c r="F7038" t="str">
        <f>IFERROR(__xludf.DUMMYFUNCTION("""COMPUTED_VALUE"""),"")</f>
        <v/>
      </c>
    </row>
    <row r="7039">
      <c r="D7039" t="str">
        <f>IFERROR(__xludf.DUMMYFUNCTION("""COMPUTED_VALUE"""),"Addae")</f>
        <v>Addae</v>
      </c>
      <c r="E7039" t="str">
        <f>IFERROR(__xludf.DUMMYFUNCTION("""COMPUTED_VALUE"""),"Jahleel")</f>
        <v>Jahleel</v>
      </c>
      <c r="F7039" t="str">
        <f>IFERROR(__xludf.DUMMYFUNCTION("""COMPUTED_VALUE"""),"")</f>
        <v/>
      </c>
    </row>
    <row r="7040">
      <c r="D7040" t="str">
        <f>IFERROR(__xludf.DUMMYFUNCTION("""COMPUTED_VALUE"""),"Adderley")</f>
        <v>Adderley</v>
      </c>
      <c r="E7040" t="str">
        <f>IFERROR(__xludf.DUMMYFUNCTION("""COMPUTED_VALUE"""),"Nasir")</f>
        <v>Nasir</v>
      </c>
      <c r="F7040" t="str">
        <f>IFERROR(__xludf.DUMMYFUNCTION("""COMPUTED_VALUE"""),"")</f>
        <v/>
      </c>
    </row>
    <row r="7041">
      <c r="D7041" t="str">
        <f>IFERROR(__xludf.DUMMYFUNCTION("""COMPUTED_VALUE"""),"Addison")</f>
        <v>Addison</v>
      </c>
      <c r="E7041" t="str">
        <f>IFERROR(__xludf.DUMMYFUNCTION("""COMPUTED_VALUE"""),"Mario")</f>
        <v>Mario</v>
      </c>
      <c r="F7041" t="str">
        <f>IFERROR(__xludf.DUMMYFUNCTION("""COMPUTED_VALUE"""),"")</f>
        <v/>
      </c>
    </row>
    <row r="7042">
      <c r="D7042" t="str">
        <f>IFERROR(__xludf.DUMMYFUNCTION("""COMPUTED_VALUE"""),"Adeboyejo")</f>
        <v>Adeboyejo</v>
      </c>
      <c r="E7042" t="str">
        <f>IFERROR(__xludf.DUMMYFUNCTION("""COMPUTED_VALUE"""),"Quincy")</f>
        <v>Quincy</v>
      </c>
      <c r="F7042" t="str">
        <f>IFERROR(__xludf.DUMMYFUNCTION("""COMPUTED_VALUE"""),"")</f>
        <v/>
      </c>
    </row>
    <row r="7043">
      <c r="D7043" t="str">
        <f>IFERROR(__xludf.DUMMYFUNCTION("""COMPUTED_VALUE"""),"Adeniyi")</f>
        <v>Adeniyi</v>
      </c>
      <c r="E7043" t="str">
        <f>IFERROR(__xludf.DUMMYFUNCTION("""COMPUTED_VALUE"""),"Olasunkanmi")</f>
        <v>Olasunkanmi</v>
      </c>
      <c r="F7043" t="str">
        <f>IFERROR(__xludf.DUMMYFUNCTION("""COMPUTED_VALUE"""),"")</f>
        <v/>
      </c>
    </row>
    <row r="7044">
      <c r="D7044" t="str">
        <f>IFERROR(__xludf.DUMMYFUNCTION("""COMPUTED_VALUE"""),"Afriyie")</f>
        <v>Afriyie</v>
      </c>
      <c r="E7044" t="str">
        <f>IFERROR(__xludf.DUMMYFUNCTION("""COMPUTED_VALUE"""),"Patrick")</f>
        <v>Patrick</v>
      </c>
      <c r="F7044" t="str">
        <f>IFERROR(__xludf.DUMMYFUNCTION("""COMPUTED_VALUE"""),"")</f>
        <v/>
      </c>
    </row>
    <row r="7045">
      <c r="D7045" t="str">
        <f>IFERROR(__xludf.DUMMYFUNCTION("""COMPUTED_VALUE"""),"Agholor")</f>
        <v>Agholor</v>
      </c>
      <c r="E7045" t="str">
        <f>IFERROR(__xludf.DUMMYFUNCTION("""COMPUTED_VALUE"""),"Nelson")</f>
        <v>Nelson</v>
      </c>
      <c r="F7045" t="str">
        <f>IFERROR(__xludf.DUMMYFUNCTION("""COMPUTED_VALUE"""),"")</f>
        <v/>
      </c>
    </row>
    <row r="7046">
      <c r="D7046" t="str">
        <f>IFERROR(__xludf.DUMMYFUNCTION("""COMPUTED_VALUE"""),"Agnew")</f>
        <v>Agnew</v>
      </c>
      <c r="E7046" t="str">
        <f>IFERROR(__xludf.DUMMYFUNCTION("""COMPUTED_VALUE"""),"Jamal")</f>
        <v>Jamal</v>
      </c>
      <c r="F7046" t="str">
        <f>IFERROR(__xludf.DUMMYFUNCTION("""COMPUTED_VALUE"""),"")</f>
        <v/>
      </c>
    </row>
    <row r="7047">
      <c r="D7047" t="str">
        <f>IFERROR(__xludf.DUMMYFUNCTION("""COMPUTED_VALUE"""),"Agudosi")</f>
        <v>Agudosi</v>
      </c>
      <c r="E7047" t="str">
        <f>IFERROR(__xludf.DUMMYFUNCTION("""COMPUTED_VALUE"""),"Carlton")</f>
        <v>Carlton</v>
      </c>
      <c r="F7047" t="str">
        <f>IFERROR(__xludf.DUMMYFUNCTION("""COMPUTED_VALUE"""),"")</f>
        <v/>
      </c>
    </row>
    <row r="7048">
      <c r="D7048" t="str">
        <f>IFERROR(__xludf.DUMMYFUNCTION("""COMPUTED_VALUE"""),"Aikens")</f>
        <v>Aikens</v>
      </c>
      <c r="E7048" t="str">
        <f>IFERROR(__xludf.DUMMYFUNCTION("""COMPUTED_VALUE"""),"Walt")</f>
        <v>Walt</v>
      </c>
      <c r="F7048" t="str">
        <f>IFERROR(__xludf.DUMMYFUNCTION("""COMPUTED_VALUE"""),"")</f>
        <v/>
      </c>
    </row>
    <row r="7049">
      <c r="D7049" t="str">
        <f>IFERROR(__xludf.DUMMYFUNCTION("""COMPUTED_VALUE"""),"Akins")</f>
        <v>Akins</v>
      </c>
      <c r="E7049" t="str">
        <f>IFERROR(__xludf.DUMMYFUNCTION("""COMPUTED_VALUE"""),"Jordan")</f>
        <v>Jordan</v>
      </c>
      <c r="F7049" t="str">
        <f>IFERROR(__xludf.DUMMYFUNCTION("""COMPUTED_VALUE"""),"")</f>
        <v/>
      </c>
    </row>
    <row r="7050">
      <c r="D7050" t="str">
        <f>IFERROR(__xludf.DUMMYFUNCTION("""COMPUTED_VALUE"""),"Alexander")</f>
        <v>Alexander</v>
      </c>
      <c r="E7050" t="str">
        <f>IFERROR(__xludf.DUMMYFUNCTION("""COMPUTED_VALUE"""),"Adonis")</f>
        <v>Adonis</v>
      </c>
      <c r="F7050" t="str">
        <f>IFERROR(__xludf.DUMMYFUNCTION("""COMPUTED_VALUE"""),"")</f>
        <v/>
      </c>
    </row>
    <row r="7051">
      <c r="D7051" t="str">
        <f>IFERROR(__xludf.DUMMYFUNCTION("""COMPUTED_VALUE"""),"Alexander")</f>
        <v>Alexander</v>
      </c>
      <c r="E7051" t="str">
        <f>IFERROR(__xludf.DUMMYFUNCTION("""COMPUTED_VALUE"""),"DJ")</f>
        <v>DJ</v>
      </c>
      <c r="F7051" t="str">
        <f>IFERROR(__xludf.DUMMYFUNCTION("""COMPUTED_VALUE"""),"")</f>
        <v/>
      </c>
    </row>
    <row r="7052">
      <c r="D7052" t="str">
        <f>IFERROR(__xludf.DUMMYFUNCTION("""COMPUTED_VALUE"""),"Alexander")</f>
        <v>Alexander</v>
      </c>
      <c r="E7052" t="str">
        <f>IFERROR(__xludf.DUMMYFUNCTION("""COMPUTED_VALUE"""),"Jaire")</f>
        <v>Jaire</v>
      </c>
      <c r="F7052" t="str">
        <f>IFERROR(__xludf.DUMMYFUNCTION("""COMPUTED_VALUE"""),"")</f>
        <v/>
      </c>
    </row>
    <row r="7053">
      <c r="D7053" t="str">
        <f>IFERROR(__xludf.DUMMYFUNCTION("""COMPUTED_VALUE"""),"Alexander")</f>
        <v>Alexander</v>
      </c>
      <c r="E7053" t="str">
        <f>IFERROR(__xludf.DUMMYFUNCTION("""COMPUTED_VALUE"""),"Kwon")</f>
        <v>Kwon</v>
      </c>
      <c r="F7053" t="str">
        <f>IFERROR(__xludf.DUMMYFUNCTION("""COMPUTED_VALUE"""),"")</f>
        <v/>
      </c>
    </row>
    <row r="7054">
      <c r="D7054" t="str">
        <f>IFERROR(__xludf.DUMMYFUNCTION("""COMPUTED_VALUE"""),"Alexander")</f>
        <v>Alexander</v>
      </c>
      <c r="E7054" t="str">
        <f>IFERROR(__xludf.DUMMYFUNCTION("""COMPUTED_VALUE"""),"Lorenzo")</f>
        <v>Lorenzo</v>
      </c>
      <c r="F7054" t="str">
        <f>IFERROR(__xludf.DUMMYFUNCTION("""COMPUTED_VALUE"""),"")</f>
        <v/>
      </c>
    </row>
    <row r="7055">
      <c r="D7055" t="str">
        <f>IFERROR(__xludf.DUMMYFUNCTION("""COMPUTED_VALUE"""),"Alexander")</f>
        <v>Alexander</v>
      </c>
      <c r="E7055" t="str">
        <f>IFERROR(__xludf.DUMMYFUNCTION("""COMPUTED_VALUE"""),"Mackensie")</f>
        <v>Mackensie</v>
      </c>
      <c r="F7055" t="str">
        <f>IFERROR(__xludf.DUMMYFUNCTION("""COMPUTED_VALUE"""),"")</f>
        <v/>
      </c>
    </row>
    <row r="7056">
      <c r="D7056" t="str">
        <f>IFERROR(__xludf.DUMMYFUNCTION("""COMPUTED_VALUE"""),"Alexander")</f>
        <v>Alexander</v>
      </c>
      <c r="E7056" t="str">
        <f>IFERROR(__xludf.DUMMYFUNCTION("""COMPUTED_VALUE"""),"Maurice")</f>
        <v>Maurice</v>
      </c>
      <c r="F7056" t="str">
        <f>IFERROR(__xludf.DUMMYFUNCTION("""COMPUTED_VALUE"""),"")</f>
        <v/>
      </c>
    </row>
    <row r="7057">
      <c r="D7057" t="str">
        <f>IFERROR(__xludf.DUMMYFUNCTION("""COMPUTED_VALUE"""),"Alford")</f>
        <v>Alford</v>
      </c>
      <c r="E7057" t="str">
        <f>IFERROR(__xludf.DUMMYFUNCTION("""COMPUTED_VALUE"""),"Robert")</f>
        <v>Robert</v>
      </c>
      <c r="F7057" t="str">
        <f>IFERROR(__xludf.DUMMYFUNCTION("""COMPUTED_VALUE"""),"")</f>
        <v/>
      </c>
    </row>
    <row r="7058">
      <c r="D7058" t="str">
        <f>IFERROR(__xludf.DUMMYFUNCTION("""COMPUTED_VALUE"""),"Alie-Cox")</f>
        <v>Alie-Cox</v>
      </c>
      <c r="E7058" t="str">
        <f>IFERROR(__xludf.DUMMYFUNCTION("""COMPUTED_VALUE"""),"Mo")</f>
        <v>Mo</v>
      </c>
      <c r="F7058" t="str">
        <f>IFERROR(__xludf.DUMMYFUNCTION("""COMPUTED_VALUE"""),"")</f>
        <v/>
      </c>
    </row>
    <row r="7059">
      <c r="D7059" t="str">
        <f>IFERROR(__xludf.DUMMYFUNCTION("""COMPUTED_VALUE"""),"Allegretti")</f>
        <v>Allegretti</v>
      </c>
      <c r="E7059" t="str">
        <f>IFERROR(__xludf.DUMMYFUNCTION("""COMPUTED_VALUE"""),"Nick")</f>
        <v>Nick</v>
      </c>
      <c r="F7059" t="str">
        <f>IFERROR(__xludf.DUMMYFUNCTION("""COMPUTED_VALUE"""),"")</f>
        <v/>
      </c>
    </row>
    <row r="7060">
      <c r="D7060" t="str">
        <f>IFERROR(__xludf.DUMMYFUNCTION("""COMPUTED_VALUE"""),"Allen")</f>
        <v>Allen</v>
      </c>
      <c r="E7060" t="str">
        <f>IFERROR(__xludf.DUMMYFUNCTION("""COMPUTED_VALUE"""),"Beau")</f>
        <v>Beau</v>
      </c>
      <c r="F7060" t="str">
        <f>IFERROR(__xludf.DUMMYFUNCTION("""COMPUTED_VALUE"""),"")</f>
        <v/>
      </c>
    </row>
    <row r="7061">
      <c r="D7061" t="str">
        <f>IFERROR(__xludf.DUMMYFUNCTION("""COMPUTED_VALUE"""),"Allen")</f>
        <v>Allen</v>
      </c>
      <c r="E7061" t="str">
        <f>IFERROR(__xludf.DUMMYFUNCTION("""COMPUTED_VALUE"""),"Brandon")</f>
        <v>Brandon</v>
      </c>
      <c r="F7061" t="str">
        <f>IFERROR(__xludf.DUMMYFUNCTION("""COMPUTED_VALUE"""),"")</f>
        <v/>
      </c>
    </row>
    <row r="7062">
      <c r="D7062" t="str">
        <f>IFERROR(__xludf.DUMMYFUNCTION("""COMPUTED_VALUE"""),"Allen")</f>
        <v>Allen</v>
      </c>
      <c r="E7062" t="str">
        <f>IFERROR(__xludf.DUMMYFUNCTION("""COMPUTED_VALUE"""),"Brian")</f>
        <v>Brian</v>
      </c>
      <c r="F7062" t="str">
        <f>IFERROR(__xludf.DUMMYFUNCTION("""COMPUTED_VALUE"""),"")</f>
        <v/>
      </c>
    </row>
    <row r="7063">
      <c r="D7063" t="str">
        <f>IFERROR(__xludf.DUMMYFUNCTION("""COMPUTED_VALUE"""),"Allen")</f>
        <v>Allen</v>
      </c>
      <c r="E7063" t="str">
        <f>IFERROR(__xludf.DUMMYFUNCTION("""COMPUTED_VALUE"""),"Brian")</f>
        <v>Brian</v>
      </c>
      <c r="F7063" t="str">
        <f>IFERROR(__xludf.DUMMYFUNCTION("""COMPUTED_VALUE"""),"")</f>
        <v/>
      </c>
    </row>
    <row r="7064">
      <c r="D7064" t="str">
        <f>IFERROR(__xludf.DUMMYFUNCTION("""COMPUTED_VALUE"""),"Allen")</f>
        <v>Allen</v>
      </c>
      <c r="E7064" t="str">
        <f>IFERROR(__xludf.DUMMYFUNCTION("""COMPUTED_VALUE"""),"Chase")</f>
        <v>Chase</v>
      </c>
      <c r="F7064" t="str">
        <f>IFERROR(__xludf.DUMMYFUNCTION("""COMPUTED_VALUE"""),"")</f>
        <v/>
      </c>
    </row>
    <row r="7065">
      <c r="D7065" t="str">
        <f>IFERROR(__xludf.DUMMYFUNCTION("""COMPUTED_VALUE"""),"Allen")</f>
        <v>Allen</v>
      </c>
      <c r="E7065" t="str">
        <f>IFERROR(__xludf.DUMMYFUNCTION("""COMPUTED_VALUE"""),"Dakota")</f>
        <v>Dakota</v>
      </c>
      <c r="F7065" t="str">
        <f>IFERROR(__xludf.DUMMYFUNCTION("""COMPUTED_VALUE"""),"")</f>
        <v/>
      </c>
    </row>
    <row r="7066">
      <c r="D7066" t="str">
        <f>IFERROR(__xludf.DUMMYFUNCTION("""COMPUTED_VALUE"""),"Allen")</f>
        <v>Allen</v>
      </c>
      <c r="E7066" t="str">
        <f>IFERROR(__xludf.DUMMYFUNCTION("""COMPUTED_VALUE"""),"Dwayne")</f>
        <v>Dwayne</v>
      </c>
      <c r="F7066" t="str">
        <f>IFERROR(__xludf.DUMMYFUNCTION("""COMPUTED_VALUE"""),"")</f>
        <v/>
      </c>
    </row>
    <row r="7067">
      <c r="D7067" t="str">
        <f>IFERROR(__xludf.DUMMYFUNCTION("""COMPUTED_VALUE"""),"Allen")</f>
        <v>Allen</v>
      </c>
      <c r="E7067" t="str">
        <f>IFERROR(__xludf.DUMMYFUNCTION("""COMPUTED_VALUE"""),"Javorius")</f>
        <v>Javorius</v>
      </c>
      <c r="F7067" t="str">
        <f>IFERROR(__xludf.DUMMYFUNCTION("""COMPUTED_VALUE"""),"")</f>
        <v/>
      </c>
    </row>
    <row r="7068">
      <c r="D7068" t="str">
        <f>IFERROR(__xludf.DUMMYFUNCTION("""COMPUTED_VALUE"""),"Allen")</f>
        <v>Allen</v>
      </c>
      <c r="E7068" t="str">
        <f>IFERROR(__xludf.DUMMYFUNCTION("""COMPUTED_VALUE"""),"Jonathan")</f>
        <v>Jonathan</v>
      </c>
      <c r="F7068" t="str">
        <f>IFERROR(__xludf.DUMMYFUNCTION("""COMPUTED_VALUE"""),"")</f>
        <v/>
      </c>
    </row>
    <row r="7069">
      <c r="D7069" t="str">
        <f>IFERROR(__xludf.DUMMYFUNCTION("""COMPUTED_VALUE"""),"Allen")</f>
        <v>Allen</v>
      </c>
      <c r="E7069" t="str">
        <f>IFERROR(__xludf.DUMMYFUNCTION("""COMPUTED_VALUE"""),"Josh")</f>
        <v>Josh</v>
      </c>
      <c r="F7069" t="str">
        <f>IFERROR(__xludf.DUMMYFUNCTION("""COMPUTED_VALUE"""),"")</f>
        <v/>
      </c>
    </row>
    <row r="7070">
      <c r="D7070" t="str">
        <f>IFERROR(__xludf.DUMMYFUNCTION("""COMPUTED_VALUE"""),"Allen")</f>
        <v>Allen</v>
      </c>
      <c r="E7070" t="str">
        <f>IFERROR(__xludf.DUMMYFUNCTION("""COMPUTED_VALUE"""),"Josh")</f>
        <v>Josh</v>
      </c>
      <c r="F7070" t="str">
        <f>IFERROR(__xludf.DUMMYFUNCTION("""COMPUTED_VALUE"""),"")</f>
        <v/>
      </c>
    </row>
    <row r="7071">
      <c r="D7071" t="str">
        <f>IFERROR(__xludf.DUMMYFUNCTION("""COMPUTED_VALUE"""),"Allen")</f>
        <v>Allen</v>
      </c>
      <c r="E7071" t="str">
        <f>IFERROR(__xludf.DUMMYFUNCTION("""COMPUTED_VALUE"""),"Keenan")</f>
        <v>Keenan</v>
      </c>
      <c r="F7071" t="str">
        <f>IFERROR(__xludf.DUMMYFUNCTION("""COMPUTED_VALUE"""),"")</f>
        <v/>
      </c>
    </row>
    <row r="7072">
      <c r="D7072" t="str">
        <f>IFERROR(__xludf.DUMMYFUNCTION("""COMPUTED_VALUE"""),"Allen")</f>
        <v>Allen</v>
      </c>
      <c r="E7072" t="str">
        <f>IFERROR(__xludf.DUMMYFUNCTION("""COMPUTED_VALUE"""),"Kyle")</f>
        <v>Kyle</v>
      </c>
      <c r="F7072" t="str">
        <f>IFERROR(__xludf.DUMMYFUNCTION("""COMPUTED_VALUE"""),"")</f>
        <v/>
      </c>
    </row>
    <row r="7073">
      <c r="D7073" t="str">
        <f>IFERROR(__xludf.DUMMYFUNCTION("""COMPUTED_VALUE"""),"Allen")</f>
        <v>Allen</v>
      </c>
      <c r="E7073" t="str">
        <f>IFERROR(__xludf.DUMMYFUNCTION("""COMPUTED_VALUE"""),"Marcus")</f>
        <v>Marcus</v>
      </c>
      <c r="F7073" t="str">
        <f>IFERROR(__xludf.DUMMYFUNCTION("""COMPUTED_VALUE"""),"")</f>
        <v/>
      </c>
    </row>
    <row r="7074">
      <c r="D7074" t="str">
        <f>IFERROR(__xludf.DUMMYFUNCTION("""COMPUTED_VALUE"""),"Allen")</f>
        <v>Allen</v>
      </c>
      <c r="E7074" t="str">
        <f>IFERROR(__xludf.DUMMYFUNCTION("""COMPUTED_VALUE"""),"Ricardo")</f>
        <v>Ricardo</v>
      </c>
      <c r="F7074" t="str">
        <f>IFERROR(__xludf.DUMMYFUNCTION("""COMPUTED_VALUE"""),"")</f>
        <v/>
      </c>
    </row>
    <row r="7075">
      <c r="D7075" t="str">
        <f>IFERROR(__xludf.DUMMYFUNCTION("""COMPUTED_VALUE"""),"Allen")</f>
        <v>Allen</v>
      </c>
      <c r="E7075" t="str">
        <f>IFERROR(__xludf.DUMMYFUNCTION("""COMPUTED_VALUE"""),"Ryan")</f>
        <v>Ryan</v>
      </c>
      <c r="F7075" t="str">
        <f>IFERROR(__xludf.DUMMYFUNCTION("""COMPUTED_VALUE"""),"")</f>
        <v/>
      </c>
    </row>
    <row r="7076">
      <c r="D7076" t="str">
        <f>IFERROR(__xludf.DUMMYFUNCTION("""COMPUTED_VALUE"""),"Allen")</f>
        <v>Allen</v>
      </c>
      <c r="E7076" t="str">
        <f>IFERROR(__xludf.DUMMYFUNCTION("""COMPUTED_VALUE"""),"Zach")</f>
        <v>Zach</v>
      </c>
      <c r="F7076" t="str">
        <f>IFERROR(__xludf.DUMMYFUNCTION("""COMPUTED_VALUE"""),"")</f>
        <v/>
      </c>
    </row>
    <row r="7077">
      <c r="D7077" t="str">
        <f>IFERROR(__xludf.DUMMYFUNCTION("""COMPUTED_VALUE"""),"Allison")</f>
        <v>Allison</v>
      </c>
      <c r="E7077" t="str">
        <f>IFERROR(__xludf.DUMMYFUNCTION("""COMPUTED_VALUE"""),"Geronimo")</f>
        <v>Geronimo</v>
      </c>
      <c r="F7077" t="str">
        <f>IFERROR(__xludf.DUMMYFUNCTION("""COMPUTED_VALUE"""),"")</f>
        <v/>
      </c>
    </row>
    <row r="7078">
      <c r="D7078" t="str">
        <f>IFERROR(__xludf.DUMMYFUNCTION("""COMPUTED_VALUE"""),"Alonso")</f>
        <v>Alonso</v>
      </c>
      <c r="E7078" t="str">
        <f>IFERROR(__xludf.DUMMYFUNCTION("""COMPUTED_VALUE"""),"Kiko")</f>
        <v>Kiko</v>
      </c>
      <c r="F7078" t="str">
        <f>IFERROR(__xludf.DUMMYFUNCTION("""COMPUTED_VALUE"""),"")</f>
        <v/>
      </c>
    </row>
    <row r="7079">
      <c r="D7079" t="str">
        <f>IFERROR(__xludf.DUMMYFUNCTION("""COMPUTED_VALUE"""),"Alualu")</f>
        <v>Alualu</v>
      </c>
      <c r="E7079" t="str">
        <f>IFERROR(__xludf.DUMMYFUNCTION("""COMPUTED_VALUE"""),"Tyson")</f>
        <v>Tyson</v>
      </c>
      <c r="F7079" t="str">
        <f>IFERROR(__xludf.DUMMYFUNCTION("""COMPUTED_VALUE"""),"")</f>
        <v/>
      </c>
    </row>
    <row r="7080">
      <c r="D7080" t="str">
        <f>IFERROR(__xludf.DUMMYFUNCTION("""COMPUTED_VALUE"""),"Amadi")</f>
        <v>Amadi</v>
      </c>
      <c r="E7080" t="str">
        <f>IFERROR(__xludf.DUMMYFUNCTION("""COMPUTED_VALUE"""),"Ugochukwu")</f>
        <v>Ugochukwu</v>
      </c>
      <c r="F7080" t="str">
        <f>IFERROR(__xludf.DUMMYFUNCTION("""COMPUTED_VALUE"""),"")</f>
        <v/>
      </c>
    </row>
    <row r="7081">
      <c r="D7081" t="str">
        <f>IFERROR(__xludf.DUMMYFUNCTION("""COMPUTED_VALUE"""),"Amendola")</f>
        <v>Amendola</v>
      </c>
      <c r="E7081" t="str">
        <f>IFERROR(__xludf.DUMMYFUNCTION("""COMPUTED_VALUE"""),"Danny")</f>
        <v>Danny</v>
      </c>
      <c r="F7081" t="str">
        <f>IFERROR(__xludf.DUMMYFUNCTION("""COMPUTED_VALUE"""),"")</f>
        <v/>
      </c>
    </row>
    <row r="7082">
      <c r="D7082" t="str">
        <f>IFERROR(__xludf.DUMMYFUNCTION("""COMPUTED_VALUE"""),"Amerson")</f>
        <v>Amerson</v>
      </c>
      <c r="E7082" t="str">
        <f>IFERROR(__xludf.DUMMYFUNCTION("""COMPUTED_VALUE"""),"David")</f>
        <v>David</v>
      </c>
      <c r="F7082" t="str">
        <f>IFERROR(__xludf.DUMMYFUNCTION("""COMPUTED_VALUE"""),"")</f>
        <v/>
      </c>
    </row>
    <row r="7083">
      <c r="D7083" t="str">
        <f>IFERROR(__xludf.DUMMYFUNCTION("""COMPUTED_VALUE"""),"Amichia")</f>
        <v>Amichia</v>
      </c>
      <c r="E7083" t="str">
        <f>IFERROR(__xludf.DUMMYFUNCTION("""COMPUTED_VALUE"""),"Kofi")</f>
        <v>Kofi</v>
      </c>
      <c r="F7083" t="str">
        <f>IFERROR(__xludf.DUMMYFUNCTION("""COMPUTED_VALUE"""),"")</f>
        <v/>
      </c>
    </row>
    <row r="7084">
      <c r="D7084" t="str">
        <f>IFERROR(__xludf.DUMMYFUNCTION("""COMPUTED_VALUE"""),"Amos")</f>
        <v>Amos</v>
      </c>
      <c r="E7084" t="str">
        <f>IFERROR(__xludf.DUMMYFUNCTION("""COMPUTED_VALUE"""),"Adrian")</f>
        <v>Adrian</v>
      </c>
      <c r="F7084" t="str">
        <f>IFERROR(__xludf.DUMMYFUNCTION("""COMPUTED_VALUE"""),"")</f>
        <v/>
      </c>
    </row>
    <row r="7085">
      <c r="D7085" t="str">
        <f>IFERROR(__xludf.DUMMYFUNCTION("""COMPUTED_VALUE"""),"Amukamara")</f>
        <v>Amukamara</v>
      </c>
      <c r="E7085" t="str">
        <f>IFERROR(__xludf.DUMMYFUNCTION("""COMPUTED_VALUE"""),"Prince")</f>
        <v>Prince</v>
      </c>
      <c r="F7085" t="str">
        <f>IFERROR(__xludf.DUMMYFUNCTION("""COMPUTED_VALUE"""),"")</f>
        <v/>
      </c>
    </row>
    <row r="7086">
      <c r="D7086" t="str">
        <f>IFERROR(__xludf.DUMMYFUNCTION("""COMPUTED_VALUE"""),"Anderson")</f>
        <v>Anderson</v>
      </c>
      <c r="E7086" t="str">
        <f>IFERROR(__xludf.DUMMYFUNCTION("""COMPUTED_VALUE"""),"Abdullah")</f>
        <v>Abdullah</v>
      </c>
      <c r="F7086" t="str">
        <f>IFERROR(__xludf.DUMMYFUNCTION("""COMPUTED_VALUE"""),"")</f>
        <v/>
      </c>
    </row>
    <row r="7087">
      <c r="D7087" t="str">
        <f>IFERROR(__xludf.DUMMYFUNCTION("""COMPUTED_VALUE"""),"Anderson")</f>
        <v>Anderson</v>
      </c>
      <c r="E7087" t="str">
        <f>IFERROR(__xludf.DUMMYFUNCTION("""COMPUTED_VALUE"""),"Bruce")</f>
        <v>Bruce</v>
      </c>
      <c r="F7087" t="str">
        <f>IFERROR(__xludf.DUMMYFUNCTION("""COMPUTED_VALUE"""),"")</f>
        <v/>
      </c>
    </row>
    <row r="7088">
      <c r="D7088" t="str">
        <f>IFERROR(__xludf.DUMMYFUNCTION("""COMPUTED_VALUE"""),"Anderson")</f>
        <v>Anderson</v>
      </c>
      <c r="E7088" t="str">
        <f>IFERROR(__xludf.DUMMYFUNCTION("""COMPUTED_VALUE"""),"Calvin")</f>
        <v>Calvin</v>
      </c>
      <c r="F7088" t="str">
        <f>IFERROR(__xludf.DUMMYFUNCTION("""COMPUTED_VALUE"""),"")</f>
        <v/>
      </c>
    </row>
    <row r="7089">
      <c r="D7089" t="str">
        <f>IFERROR(__xludf.DUMMYFUNCTION("""COMPUTED_VALUE"""),"Anderson")</f>
        <v>Anderson</v>
      </c>
      <c r="E7089" t="str">
        <f>IFERROR(__xludf.DUMMYFUNCTION("""COMPUTED_VALUE"""),"CJ")</f>
        <v>CJ</v>
      </c>
      <c r="F7089" t="str">
        <f>IFERROR(__xludf.DUMMYFUNCTION("""COMPUTED_VALUE"""),"")</f>
        <v/>
      </c>
    </row>
    <row r="7090">
      <c r="D7090" t="str">
        <f>IFERROR(__xludf.DUMMYFUNCTION("""COMPUTED_VALUE"""),"Anderson")</f>
        <v>Anderson</v>
      </c>
      <c r="E7090" t="str">
        <f>IFERROR(__xludf.DUMMYFUNCTION("""COMPUTED_VALUE"""),"Henry")</f>
        <v>Henry</v>
      </c>
      <c r="F7090" t="str">
        <f>IFERROR(__xludf.DUMMYFUNCTION("""COMPUTED_VALUE"""),"")</f>
        <v/>
      </c>
    </row>
    <row r="7091">
      <c r="D7091" t="str">
        <f>IFERROR(__xludf.DUMMYFUNCTION("""COMPUTED_VALUE"""),"Anderson")</f>
        <v>Anderson</v>
      </c>
      <c r="E7091" t="str">
        <f>IFERROR(__xludf.DUMMYFUNCTION("""COMPUTED_VALUE"""),"Jonathan")</f>
        <v>Jonathan</v>
      </c>
      <c r="F7091" t="str">
        <f>IFERROR(__xludf.DUMMYFUNCTION("""COMPUTED_VALUE"""),"")</f>
        <v/>
      </c>
    </row>
    <row r="7092">
      <c r="D7092" t="str">
        <f>IFERROR(__xludf.DUMMYFUNCTION("""COMPUTED_VALUE"""),"Anderson")</f>
        <v>Anderson</v>
      </c>
      <c r="E7092" t="str">
        <f>IFERROR(__xludf.DUMMYFUNCTION("""COMPUTED_VALUE"""),"Robby")</f>
        <v>Robby</v>
      </c>
      <c r="F7092" t="str">
        <f>IFERROR(__xludf.DUMMYFUNCTION("""COMPUTED_VALUE"""),"")</f>
        <v/>
      </c>
    </row>
    <row r="7093">
      <c r="D7093" t="str">
        <f>IFERROR(__xludf.DUMMYFUNCTION("""COMPUTED_VALUE"""),"Anderson")</f>
        <v>Anderson</v>
      </c>
      <c r="E7093" t="str">
        <f>IFERROR(__xludf.DUMMYFUNCTION("""COMPUTED_VALUE"""),"Rodney")</f>
        <v>Rodney</v>
      </c>
      <c r="F7093" t="str">
        <f>IFERROR(__xludf.DUMMYFUNCTION("""COMPUTED_VALUE"""),"")</f>
        <v/>
      </c>
    </row>
    <row r="7094">
      <c r="D7094" t="str">
        <f>IFERROR(__xludf.DUMMYFUNCTION("""COMPUTED_VALUE"""),"Anderson")</f>
        <v>Anderson</v>
      </c>
      <c r="E7094" t="str">
        <f>IFERROR(__xludf.DUMMYFUNCTION("""COMPUTED_VALUE"""),"Ryan")</f>
        <v>Ryan</v>
      </c>
      <c r="F7094" t="str">
        <f>IFERROR(__xludf.DUMMYFUNCTION("""COMPUTED_VALUE"""),"")</f>
        <v/>
      </c>
    </row>
    <row r="7095">
      <c r="D7095" t="str">
        <f>IFERROR(__xludf.DUMMYFUNCTION("""COMPUTED_VALUE"""),"Anderson")</f>
        <v>Anderson</v>
      </c>
      <c r="E7095" t="str">
        <f>IFERROR(__xludf.DUMMYFUNCTION("""COMPUTED_VALUE"""),"Stephen")</f>
        <v>Stephen</v>
      </c>
      <c r="F7095" t="str">
        <f>IFERROR(__xludf.DUMMYFUNCTION("""COMPUTED_VALUE"""),"")</f>
        <v/>
      </c>
    </row>
    <row r="7096">
      <c r="D7096" t="str">
        <f>IFERROR(__xludf.DUMMYFUNCTION("""COMPUTED_VALUE"""),"Andrews")</f>
        <v>Andrews</v>
      </c>
      <c r="E7096" t="str">
        <f>IFERROR(__xludf.DUMMYFUNCTION("""COMPUTED_VALUE"""),"David")</f>
        <v>David</v>
      </c>
      <c r="F7096" t="str">
        <f>IFERROR(__xludf.DUMMYFUNCTION("""COMPUTED_VALUE"""),"")</f>
        <v/>
      </c>
    </row>
    <row r="7097">
      <c r="D7097" t="str">
        <f>IFERROR(__xludf.DUMMYFUNCTION("""COMPUTED_VALUE"""),"Andrews")</f>
        <v>Andrews</v>
      </c>
      <c r="E7097" t="str">
        <f>IFERROR(__xludf.DUMMYFUNCTION("""COMPUTED_VALUE"""),"Josh")</f>
        <v>Josh</v>
      </c>
      <c r="F7097" t="str">
        <f>IFERROR(__xludf.DUMMYFUNCTION("""COMPUTED_VALUE"""),"")</f>
        <v/>
      </c>
    </row>
    <row r="7098">
      <c r="D7098" t="str">
        <f>IFERROR(__xludf.DUMMYFUNCTION("""COMPUTED_VALUE"""),"Andrews")</f>
        <v>Andrews</v>
      </c>
      <c r="E7098" t="str">
        <f>IFERROR(__xludf.DUMMYFUNCTION("""COMPUTED_VALUE"""),"Mark")</f>
        <v>Mark</v>
      </c>
      <c r="F7098" t="str">
        <f>IFERROR(__xludf.DUMMYFUNCTION("""COMPUTED_VALUE"""),"")</f>
        <v/>
      </c>
    </row>
    <row r="7099">
      <c r="D7099" t="str">
        <f>IFERROR(__xludf.DUMMYFUNCTION("""COMPUTED_VALUE"""),"Ankou")</f>
        <v>Ankou</v>
      </c>
      <c r="E7099" t="str">
        <f>IFERROR(__xludf.DUMMYFUNCTION("""COMPUTED_VALUE"""),"Eli")</f>
        <v>Eli</v>
      </c>
      <c r="F7099" t="str">
        <f>IFERROR(__xludf.DUMMYFUNCTION("""COMPUTED_VALUE"""),"")</f>
        <v/>
      </c>
    </row>
    <row r="7100">
      <c r="D7100" t="str">
        <f>IFERROR(__xludf.DUMMYFUNCTION("""COMPUTED_VALUE"""),"Ansah")</f>
        <v>Ansah</v>
      </c>
      <c r="E7100" t="str">
        <f>IFERROR(__xludf.DUMMYFUNCTION("""COMPUTED_VALUE"""),"Ezekiel")</f>
        <v>Ezekiel</v>
      </c>
      <c r="F7100" t="str">
        <f>IFERROR(__xludf.DUMMYFUNCTION("""COMPUTED_VALUE"""),"")</f>
        <v/>
      </c>
    </row>
    <row r="7101">
      <c r="D7101" t="str">
        <f>IFERROR(__xludf.DUMMYFUNCTION("""COMPUTED_VALUE"""),"Anzalone")</f>
        <v>Anzalone</v>
      </c>
      <c r="E7101" t="str">
        <f>IFERROR(__xludf.DUMMYFUNCTION("""COMPUTED_VALUE"""),"Alex")</f>
        <v>Alex</v>
      </c>
      <c r="F7101" t="str">
        <f>IFERROR(__xludf.DUMMYFUNCTION("""COMPUTED_VALUE"""),"")</f>
        <v/>
      </c>
    </row>
    <row r="7102">
      <c r="D7102" t="str">
        <f>IFERROR(__xludf.DUMMYFUNCTION("""COMPUTED_VALUE"""),"Apke")</f>
        <v>Apke</v>
      </c>
      <c r="E7102" t="str">
        <f>IFERROR(__xludf.DUMMYFUNCTION("""COMPUTED_VALUE"""),"Troy")</f>
        <v>Troy</v>
      </c>
      <c r="F7102" t="str">
        <f>IFERROR(__xludf.DUMMYFUNCTION("""COMPUTED_VALUE"""),"")</f>
        <v/>
      </c>
    </row>
    <row r="7103">
      <c r="D7103" t="str">
        <f>IFERROR(__xludf.DUMMYFUNCTION("""COMPUTED_VALUE"""),"Apple")</f>
        <v>Apple</v>
      </c>
      <c r="E7103" t="str">
        <f>IFERROR(__xludf.DUMMYFUNCTION("""COMPUTED_VALUE"""),"Eli")</f>
        <v>Eli</v>
      </c>
      <c r="F7103" t="str">
        <f>IFERROR(__xludf.DUMMYFUNCTION("""COMPUTED_VALUE"""),"")</f>
        <v/>
      </c>
    </row>
    <row r="7104">
      <c r="D7104" t="str">
        <f>IFERROR(__xludf.DUMMYFUNCTION("""COMPUTED_VALUE"""),"Arcega-Whiteside")</f>
        <v>Arcega-Whiteside</v>
      </c>
      <c r="E7104" t="str">
        <f>IFERROR(__xludf.DUMMYFUNCTION("""COMPUTED_VALUE"""),"JJ")</f>
        <v>JJ</v>
      </c>
      <c r="F7104" t="str">
        <f>IFERROR(__xludf.DUMMYFUNCTION("""COMPUTED_VALUE"""),"")</f>
        <v/>
      </c>
    </row>
    <row r="7105">
      <c r="D7105" t="str">
        <f>IFERROR(__xludf.DUMMYFUNCTION("""COMPUTED_VALUE"""),"Armah")</f>
        <v>Armah</v>
      </c>
      <c r="E7105" t="str">
        <f>IFERROR(__xludf.DUMMYFUNCTION("""COMPUTED_VALUE"""),"Alex")</f>
        <v>Alex</v>
      </c>
      <c r="F7105" t="str">
        <f>IFERROR(__xludf.DUMMYFUNCTION("""COMPUTED_VALUE"""),"")</f>
        <v/>
      </c>
    </row>
    <row r="7106">
      <c r="D7106" t="str">
        <f>IFERROR(__xludf.DUMMYFUNCTION("""COMPUTED_VALUE"""),"Armstead")</f>
        <v>Armstead</v>
      </c>
      <c r="E7106" t="str">
        <f>IFERROR(__xludf.DUMMYFUNCTION("""COMPUTED_VALUE"""),"Arik")</f>
        <v>Arik</v>
      </c>
      <c r="F7106" t="str">
        <f>IFERROR(__xludf.DUMMYFUNCTION("""COMPUTED_VALUE"""),"")</f>
        <v/>
      </c>
    </row>
    <row r="7107">
      <c r="D7107" t="str">
        <f>IFERROR(__xludf.DUMMYFUNCTION("""COMPUTED_VALUE"""),"Armstead")</f>
        <v>Armstead</v>
      </c>
      <c r="E7107" t="str">
        <f>IFERROR(__xludf.DUMMYFUNCTION("""COMPUTED_VALUE"""),"Ryquell")</f>
        <v>Ryquell</v>
      </c>
      <c r="F7107" t="str">
        <f>IFERROR(__xludf.DUMMYFUNCTION("""COMPUTED_VALUE"""),"")</f>
        <v/>
      </c>
    </row>
    <row r="7108">
      <c r="D7108" t="str">
        <f>IFERROR(__xludf.DUMMYFUNCTION("""COMPUTED_VALUE"""),"Armstead")</f>
        <v>Armstead</v>
      </c>
      <c r="E7108" t="str">
        <f>IFERROR(__xludf.DUMMYFUNCTION("""COMPUTED_VALUE"""),"Terron")</f>
        <v>Terron</v>
      </c>
      <c r="F7108" t="str">
        <f>IFERROR(__xludf.DUMMYFUNCTION("""COMPUTED_VALUE"""),"")</f>
        <v/>
      </c>
    </row>
    <row r="7109">
      <c r="D7109" t="str">
        <f>IFERROR(__xludf.DUMMYFUNCTION("""COMPUTED_VALUE"""),"Armstrong")</f>
        <v>Armstrong</v>
      </c>
      <c r="E7109" t="str">
        <f>IFERROR(__xludf.DUMMYFUNCTION("""COMPUTED_VALUE"""),"Cornell")</f>
        <v>Cornell</v>
      </c>
      <c r="F7109" t="str">
        <f>IFERROR(__xludf.DUMMYFUNCTION("""COMPUTED_VALUE"""),"")</f>
        <v/>
      </c>
    </row>
    <row r="7110">
      <c r="D7110" t="str">
        <f>IFERROR(__xludf.DUMMYFUNCTION("""COMPUTED_VALUE"""),"Armstrong")</f>
        <v>Armstrong</v>
      </c>
      <c r="E7110" t="str">
        <f>IFERROR(__xludf.DUMMYFUNCTION("""COMPUTED_VALUE"""),"Dorance")</f>
        <v>Dorance</v>
      </c>
      <c r="F7110" t="str">
        <f>IFERROR(__xludf.DUMMYFUNCTION("""COMPUTED_VALUE"""),"")</f>
        <v/>
      </c>
    </row>
    <row r="7111">
      <c r="D7111" t="str">
        <f>IFERROR(__xludf.DUMMYFUNCTION("""COMPUTED_VALUE"""),"Armstrong")</f>
        <v>Armstrong</v>
      </c>
      <c r="E7111" t="str">
        <f>IFERROR(__xludf.DUMMYFUNCTION("""COMPUTED_VALUE"""),"Ray-Ray")</f>
        <v>Ray-Ray</v>
      </c>
      <c r="F7111" t="str">
        <f>IFERROR(__xludf.DUMMYFUNCTION("""COMPUTED_VALUE"""),"")</f>
        <v/>
      </c>
    </row>
    <row r="7112">
      <c r="D7112" t="str">
        <f>IFERROR(__xludf.DUMMYFUNCTION("""COMPUTED_VALUE"""),"Arnold")</f>
        <v>Arnold</v>
      </c>
      <c r="E7112" t="str">
        <f>IFERROR(__xludf.DUMMYFUNCTION("""COMPUTED_VALUE"""),"Dan")</f>
        <v>Dan</v>
      </c>
      <c r="F7112" t="str">
        <f>IFERROR(__xludf.DUMMYFUNCTION("""COMPUTED_VALUE"""),"")</f>
        <v/>
      </c>
    </row>
    <row r="7113">
      <c r="D7113" t="str">
        <f>IFERROR(__xludf.DUMMYFUNCTION("""COMPUTED_VALUE"""),"Artis-Payne")</f>
        <v>Artis-Payne</v>
      </c>
      <c r="E7113" t="str">
        <f>IFERROR(__xludf.DUMMYFUNCTION("""COMPUTED_VALUE"""),"Cameron")</f>
        <v>Cameron</v>
      </c>
      <c r="F7113" t="str">
        <f>IFERROR(__xludf.DUMMYFUNCTION("""COMPUTED_VALUE"""),"")</f>
        <v/>
      </c>
    </row>
    <row r="7114">
      <c r="D7114" t="str">
        <f>IFERROR(__xludf.DUMMYFUNCTION("""COMPUTED_VALUE"""),"Aruna")</f>
        <v>Aruna</v>
      </c>
      <c r="E7114" t="str">
        <f>IFERROR(__xludf.DUMMYFUNCTION("""COMPUTED_VALUE"""),"Ade")</f>
        <v>Ade</v>
      </c>
      <c r="F7114" t="str">
        <f>IFERROR(__xludf.DUMMYFUNCTION("""COMPUTED_VALUE"""),"")</f>
        <v/>
      </c>
    </row>
    <row r="7115">
      <c r="D7115" t="str">
        <f>IFERROR(__xludf.DUMMYFUNCTION("""COMPUTED_VALUE"""),"Asafo-Adjei")</f>
        <v>Asafo-Adjei</v>
      </c>
      <c r="E7115" t="str">
        <f>IFERROR(__xludf.DUMMYFUNCTION("""COMPUTED_VALUE"""),"George")</f>
        <v>George</v>
      </c>
      <c r="F7115" t="str">
        <f>IFERROR(__xludf.DUMMYFUNCTION("""COMPUTED_VALUE"""),"")</f>
        <v/>
      </c>
    </row>
    <row r="7116">
      <c r="D7116" t="str">
        <f>IFERROR(__xludf.DUMMYFUNCTION("""COMPUTED_VALUE"""),"Ateman")</f>
        <v>Ateman</v>
      </c>
      <c r="E7116" t="str">
        <f>IFERROR(__xludf.DUMMYFUNCTION("""COMPUTED_VALUE"""),"Marcell")</f>
        <v>Marcell</v>
      </c>
      <c r="F7116" t="str">
        <f>IFERROR(__xludf.DUMMYFUNCTION("""COMPUTED_VALUE"""),"")</f>
        <v/>
      </c>
    </row>
    <row r="7117">
      <c r="D7117" t="str">
        <f>IFERROR(__xludf.DUMMYFUNCTION("""COMPUTED_VALUE"""),"Atkins")</f>
        <v>Atkins</v>
      </c>
      <c r="E7117" t="str">
        <f>IFERROR(__xludf.DUMMYFUNCTION("""COMPUTED_VALUE"""),"Geno")</f>
        <v>Geno</v>
      </c>
      <c r="F7117" t="str">
        <f>IFERROR(__xludf.DUMMYFUNCTION("""COMPUTED_VALUE"""),"")</f>
        <v/>
      </c>
    </row>
    <row r="7118">
      <c r="D7118" t="str">
        <f>IFERROR(__xludf.DUMMYFUNCTION("""COMPUTED_VALUE"""),"Atkins")</f>
        <v>Atkins</v>
      </c>
      <c r="E7118" t="str">
        <f>IFERROR(__xludf.DUMMYFUNCTION("""COMPUTED_VALUE"""),"John")</f>
        <v>John</v>
      </c>
      <c r="F7118" t="str">
        <f>IFERROR(__xludf.DUMMYFUNCTION("""COMPUTED_VALUE"""),"")</f>
        <v/>
      </c>
    </row>
    <row r="7119">
      <c r="D7119" t="str">
        <f>IFERROR(__xludf.DUMMYFUNCTION("""COMPUTED_VALUE"""),"Attaochu")</f>
        <v>Attaochu</v>
      </c>
      <c r="E7119" t="str">
        <f>IFERROR(__xludf.DUMMYFUNCTION("""COMPUTED_VALUE"""),"Jeremiah")</f>
        <v>Jeremiah</v>
      </c>
      <c r="F7119" t="str">
        <f>IFERROR(__xludf.DUMMYFUNCTION("""COMPUTED_VALUE"""),"")</f>
        <v/>
      </c>
    </row>
    <row r="7120">
      <c r="D7120" t="str">
        <f>IFERROR(__xludf.DUMMYFUNCTION("""COMPUTED_VALUE"""),"Auclair")</f>
        <v>Auclair</v>
      </c>
      <c r="E7120" t="str">
        <f>IFERROR(__xludf.DUMMYFUNCTION("""COMPUTED_VALUE"""),"Antony")</f>
        <v>Antony</v>
      </c>
      <c r="F7120" t="str">
        <f>IFERROR(__xludf.DUMMYFUNCTION("""COMPUTED_VALUE"""),"")</f>
        <v/>
      </c>
    </row>
    <row r="7121">
      <c r="D7121" t="str">
        <f>IFERROR(__xludf.DUMMYFUNCTION("""COMPUTED_VALUE"""),"Austin")</f>
        <v>Austin</v>
      </c>
      <c r="E7121" t="str">
        <f>IFERROR(__xludf.DUMMYFUNCTION("""COMPUTED_VALUE"""),"Blessuan")</f>
        <v>Blessuan</v>
      </c>
      <c r="F7121" t="str">
        <f>IFERROR(__xludf.DUMMYFUNCTION("""COMPUTED_VALUE"""),"")</f>
        <v/>
      </c>
    </row>
    <row r="7122">
      <c r="D7122" t="str">
        <f>IFERROR(__xludf.DUMMYFUNCTION("""COMPUTED_VALUE"""),"Austin")</f>
        <v>Austin</v>
      </c>
      <c r="E7122" t="str">
        <f>IFERROR(__xludf.DUMMYFUNCTION("""COMPUTED_VALUE"""),"Tavon")</f>
        <v>Tavon</v>
      </c>
      <c r="F7122" t="str">
        <f>IFERROR(__xludf.DUMMYFUNCTION("""COMPUTED_VALUE"""),"")</f>
        <v/>
      </c>
    </row>
    <row r="7123">
      <c r="D7123" t="str">
        <f>IFERROR(__xludf.DUMMYFUNCTION("""COMPUTED_VALUE"""),"Autry")</f>
        <v>Autry</v>
      </c>
      <c r="E7123" t="str">
        <f>IFERROR(__xludf.DUMMYFUNCTION("""COMPUTED_VALUE"""),"Denico")</f>
        <v>Denico</v>
      </c>
      <c r="F7123" t="str">
        <f>IFERROR(__xludf.DUMMYFUNCTION("""COMPUTED_VALUE"""),"")</f>
        <v/>
      </c>
    </row>
    <row r="7124">
      <c r="D7124" t="str">
        <f>IFERROR(__xludf.DUMMYFUNCTION("""COMPUTED_VALUE"""),"Averett")</f>
        <v>Averett</v>
      </c>
      <c r="E7124" t="str">
        <f>IFERROR(__xludf.DUMMYFUNCTION("""COMPUTED_VALUE"""),"Anthony")</f>
        <v>Anthony</v>
      </c>
      <c r="F7124" t="str">
        <f>IFERROR(__xludf.DUMMYFUNCTION("""COMPUTED_VALUE"""),"")</f>
        <v/>
      </c>
    </row>
    <row r="7125">
      <c r="D7125" t="str">
        <f>IFERROR(__xludf.DUMMYFUNCTION("""COMPUTED_VALUE"""),"Avery")</f>
        <v>Avery</v>
      </c>
      <c r="E7125" t="str">
        <f>IFERROR(__xludf.DUMMYFUNCTION("""COMPUTED_VALUE"""),"Genard")</f>
        <v>Genard</v>
      </c>
      <c r="F7125" t="str">
        <f>IFERROR(__xludf.DUMMYFUNCTION("""COMPUTED_VALUE"""),"")</f>
        <v/>
      </c>
    </row>
    <row r="7126">
      <c r="D7126" t="str">
        <f>IFERROR(__xludf.DUMMYFUNCTION("""COMPUTED_VALUE"""),"Awuzie")</f>
        <v>Awuzie</v>
      </c>
      <c r="E7126" t="str">
        <f>IFERROR(__xludf.DUMMYFUNCTION("""COMPUTED_VALUE"""),"Chidobe")</f>
        <v>Chidobe</v>
      </c>
      <c r="F7126" t="str">
        <f>IFERROR(__xludf.DUMMYFUNCTION("""COMPUTED_VALUE"""),"")</f>
        <v/>
      </c>
    </row>
    <row r="7127">
      <c r="D7127" t="str">
        <f>IFERROR(__xludf.DUMMYFUNCTION("""COMPUTED_VALUE"""),"Bademosi")</f>
        <v>Bademosi</v>
      </c>
      <c r="E7127" t="str">
        <f>IFERROR(__xludf.DUMMYFUNCTION("""COMPUTED_VALUE"""),"Johnson")</f>
        <v>Johnson</v>
      </c>
      <c r="F7127" t="str">
        <f>IFERROR(__xludf.DUMMYFUNCTION("""COMPUTED_VALUE"""),"")</f>
        <v/>
      </c>
    </row>
    <row r="7128">
      <c r="D7128" t="str">
        <f>IFERROR(__xludf.DUMMYFUNCTION("""COMPUTED_VALUE"""),"Badgley")</f>
        <v>Badgley</v>
      </c>
      <c r="E7128" t="str">
        <f>IFERROR(__xludf.DUMMYFUNCTION("""COMPUTED_VALUE"""),"Michael")</f>
        <v>Michael</v>
      </c>
      <c r="F7128" t="str">
        <f>IFERROR(__xludf.DUMMYFUNCTION("""COMPUTED_VALUE"""),"")</f>
        <v/>
      </c>
    </row>
    <row r="7129">
      <c r="D7129" t="str">
        <f>IFERROR(__xludf.DUMMYFUNCTION("""COMPUTED_VALUE"""),"Bailey")</f>
        <v>Bailey</v>
      </c>
      <c r="E7129" t="str">
        <f>IFERROR(__xludf.DUMMYFUNCTION("""COMPUTED_VALUE"""),"Dan")</f>
        <v>Dan</v>
      </c>
      <c r="F7129" t="str">
        <f>IFERROR(__xludf.DUMMYFUNCTION("""COMPUTED_VALUE"""),"")</f>
        <v/>
      </c>
    </row>
    <row r="7130">
      <c r="D7130" t="str">
        <f>IFERROR(__xludf.DUMMYFUNCTION("""COMPUTED_VALUE"""),"Bailey")</f>
        <v>Bailey</v>
      </c>
      <c r="E7130" t="str">
        <f>IFERROR(__xludf.DUMMYFUNCTION("""COMPUTED_VALUE"""),"Jake")</f>
        <v>Jake</v>
      </c>
      <c r="F7130" t="str">
        <f>IFERROR(__xludf.DUMMYFUNCTION("""COMPUTED_VALUE"""),"")</f>
        <v/>
      </c>
    </row>
    <row r="7131">
      <c r="D7131" t="str">
        <f>IFERROR(__xludf.DUMMYFUNCTION("""COMPUTED_VALUE"""),"Bailey")</f>
        <v>Bailey</v>
      </c>
      <c r="E7131" t="str">
        <f>IFERROR(__xludf.DUMMYFUNCTION("""COMPUTED_VALUE"""),"Zack")</f>
        <v>Zack</v>
      </c>
      <c r="F7131" t="str">
        <f>IFERROR(__xludf.DUMMYFUNCTION("""COMPUTED_VALUE"""),"")</f>
        <v/>
      </c>
    </row>
    <row r="7132">
      <c r="D7132" t="str">
        <f>IFERROR(__xludf.DUMMYFUNCTION("""COMPUTED_VALUE"""),"Baity")</f>
        <v>Baity</v>
      </c>
      <c r="E7132" t="str">
        <f>IFERROR(__xludf.DUMMYFUNCTION("""COMPUTED_VALUE"""),"Derrick")</f>
        <v>Derrick</v>
      </c>
      <c r="F7132" t="str">
        <f>IFERROR(__xludf.DUMMYFUNCTION("""COMPUTED_VALUE"""),"")</f>
        <v/>
      </c>
    </row>
    <row r="7133">
      <c r="D7133" t="str">
        <f>IFERROR(__xludf.DUMMYFUNCTION("""COMPUTED_VALUE"""),"Baker")</f>
        <v>Baker</v>
      </c>
      <c r="E7133" t="str">
        <f>IFERROR(__xludf.DUMMYFUNCTION("""COMPUTED_VALUE"""),"Budda")</f>
        <v>Budda</v>
      </c>
      <c r="F7133" t="str">
        <f>IFERROR(__xludf.DUMMYFUNCTION("""COMPUTED_VALUE"""),"")</f>
        <v/>
      </c>
    </row>
    <row r="7134">
      <c r="D7134" t="str">
        <f>IFERROR(__xludf.DUMMYFUNCTION("""COMPUTED_VALUE"""),"Baker")</f>
        <v>Baker</v>
      </c>
      <c r="E7134" t="str">
        <f>IFERROR(__xludf.DUMMYFUNCTION("""COMPUTED_VALUE"""),"DeAndre")</f>
        <v>DeAndre</v>
      </c>
      <c r="F7134" t="str">
        <f>IFERROR(__xludf.DUMMYFUNCTION("""COMPUTED_VALUE"""),"")</f>
        <v/>
      </c>
    </row>
    <row r="7135">
      <c r="D7135" t="str">
        <f>IFERROR(__xludf.DUMMYFUNCTION("""COMPUTED_VALUE"""),"Baker")</f>
        <v>Baker</v>
      </c>
      <c r="E7135" t="str">
        <f>IFERROR(__xludf.DUMMYFUNCTION("""COMPUTED_VALUE"""),"Jerome")</f>
        <v>Jerome</v>
      </c>
      <c r="F7135" t="str">
        <f>IFERROR(__xludf.DUMMYFUNCTION("""COMPUTED_VALUE"""),"")</f>
        <v/>
      </c>
    </row>
    <row r="7136">
      <c r="D7136" t="str">
        <f>IFERROR(__xludf.DUMMYFUNCTION("""COMPUTED_VALUE"""),"Bakhtiari")</f>
        <v>Bakhtiari</v>
      </c>
      <c r="E7136" t="str">
        <f>IFERROR(__xludf.DUMMYFUNCTION("""COMPUTED_VALUE"""),"David")</f>
        <v>David</v>
      </c>
      <c r="F7136" t="str">
        <f>IFERROR(__xludf.DUMMYFUNCTION("""COMPUTED_VALUE"""),"")</f>
        <v/>
      </c>
    </row>
    <row r="7137">
      <c r="D7137" t="str">
        <f>IFERROR(__xludf.DUMMYFUNCTION("""COMPUTED_VALUE"""),"Ballage")</f>
        <v>Ballage</v>
      </c>
      <c r="E7137" t="str">
        <f>IFERROR(__xludf.DUMMYFUNCTION("""COMPUTED_VALUE"""),"Kalen")</f>
        <v>Kalen</v>
      </c>
      <c r="F7137" t="str">
        <f>IFERROR(__xludf.DUMMYFUNCTION("""COMPUTED_VALUE"""),"")</f>
        <v/>
      </c>
    </row>
    <row r="7138">
      <c r="D7138" t="str">
        <f>IFERROR(__xludf.DUMMYFUNCTION("""COMPUTED_VALUE"""),"Ballentine")</f>
        <v>Ballentine</v>
      </c>
      <c r="E7138" t="str">
        <f>IFERROR(__xludf.DUMMYFUNCTION("""COMPUTED_VALUE"""),"Corey")</f>
        <v>Corey</v>
      </c>
      <c r="F7138" t="str">
        <f>IFERROR(__xludf.DUMMYFUNCTION("""COMPUTED_VALUE"""),"")</f>
        <v/>
      </c>
    </row>
    <row r="7139">
      <c r="D7139" t="str">
        <f>IFERROR(__xludf.DUMMYFUNCTION("""COMPUTED_VALUE"""),"Banjo")</f>
        <v>Banjo</v>
      </c>
      <c r="E7139" t="str">
        <f>IFERROR(__xludf.DUMMYFUNCTION("""COMPUTED_VALUE"""),"Chris")</f>
        <v>Chris</v>
      </c>
      <c r="F7139" t="str">
        <f>IFERROR(__xludf.DUMMYFUNCTION("""COMPUTED_VALUE"""),"")</f>
        <v/>
      </c>
    </row>
    <row r="7140">
      <c r="D7140" t="str">
        <f>IFERROR(__xludf.DUMMYFUNCTION("""COMPUTED_VALUE"""),"Banner")</f>
        <v>Banner</v>
      </c>
      <c r="E7140" t="str">
        <f>IFERROR(__xludf.DUMMYFUNCTION("""COMPUTED_VALUE"""),"Zach")</f>
        <v>Zach</v>
      </c>
      <c r="F7140" t="str">
        <f>IFERROR(__xludf.DUMMYFUNCTION("""COMPUTED_VALUE"""),"")</f>
        <v/>
      </c>
    </row>
    <row r="7141">
      <c r="D7141" t="str">
        <f>IFERROR(__xludf.DUMMYFUNCTION("""COMPUTED_VALUE"""),"Banogu")</f>
        <v>Banogu</v>
      </c>
      <c r="E7141" t="str">
        <f>IFERROR(__xludf.DUMMYFUNCTION("""COMPUTED_VALUE"""),"Ben")</f>
        <v>Ben</v>
      </c>
      <c r="F7141" t="str">
        <f>IFERROR(__xludf.DUMMYFUNCTION("""COMPUTED_VALUE"""),"")</f>
        <v/>
      </c>
    </row>
    <row r="7142">
      <c r="D7142" t="str">
        <f>IFERROR(__xludf.DUMMYFUNCTION("""COMPUTED_VALUE"""),"Barber")</f>
        <v>Barber</v>
      </c>
      <c r="E7142" t="str">
        <f>IFERROR(__xludf.DUMMYFUNCTION("""COMPUTED_VALUE"""),"Peyton")</f>
        <v>Peyton</v>
      </c>
      <c r="F7142" t="str">
        <f>IFERROR(__xludf.DUMMYFUNCTION("""COMPUTED_VALUE"""),"")</f>
        <v/>
      </c>
    </row>
    <row r="7143">
      <c r="D7143" t="str">
        <f>IFERROR(__xludf.DUMMYFUNCTION("""COMPUTED_VALUE"""),"Barclay")</f>
        <v>Barclay</v>
      </c>
      <c r="E7143" t="str">
        <f>IFERROR(__xludf.DUMMYFUNCTION("""COMPUTED_VALUE"""),"Don")</f>
        <v>Don</v>
      </c>
      <c r="F7143" t="str">
        <f>IFERROR(__xludf.DUMMYFUNCTION("""COMPUTED_VALUE"""),"")</f>
        <v/>
      </c>
    </row>
    <row r="7144">
      <c r="D7144" t="str">
        <f>IFERROR(__xludf.DUMMYFUNCTION("""COMPUTED_VALUE"""),"Barkley")</f>
        <v>Barkley</v>
      </c>
      <c r="E7144" t="str">
        <f>IFERROR(__xludf.DUMMYFUNCTION("""COMPUTED_VALUE"""),"Matt")</f>
        <v>Matt</v>
      </c>
      <c r="F7144" t="str">
        <f>IFERROR(__xludf.DUMMYFUNCTION("""COMPUTED_VALUE"""),"")</f>
        <v/>
      </c>
    </row>
    <row r="7145">
      <c r="D7145" t="str">
        <f>IFERROR(__xludf.DUMMYFUNCTION("""COMPUTED_VALUE"""),"Barkley")</f>
        <v>Barkley</v>
      </c>
      <c r="E7145" t="str">
        <f>IFERROR(__xludf.DUMMYFUNCTION("""COMPUTED_VALUE"""),"Saquon")</f>
        <v>Saquon</v>
      </c>
      <c r="F7145" t="str">
        <f>IFERROR(__xludf.DUMMYFUNCTION("""COMPUTED_VALUE"""),"")</f>
        <v/>
      </c>
    </row>
    <row r="7146">
      <c r="D7146" t="str">
        <f>IFERROR(__xludf.DUMMYFUNCTION("""COMPUTED_VALUE"""),"Barner")</f>
        <v>Barner</v>
      </c>
      <c r="E7146" t="str">
        <f>IFERROR(__xludf.DUMMYFUNCTION("""COMPUTED_VALUE"""),"Kenjon")</f>
        <v>Kenjon</v>
      </c>
      <c r="F7146" t="str">
        <f>IFERROR(__xludf.DUMMYFUNCTION("""COMPUTED_VALUE"""),"")</f>
        <v/>
      </c>
    </row>
    <row r="7147">
      <c r="D7147" t="str">
        <f>IFERROR(__xludf.DUMMYFUNCTION("""COMPUTED_VALUE"""),"Barnes")</f>
        <v>Barnes</v>
      </c>
      <c r="E7147" t="str">
        <f>IFERROR(__xludf.DUMMYFUNCTION("""COMPUTED_VALUE"""),"Alex")</f>
        <v>Alex</v>
      </c>
      <c r="F7147" t="str">
        <f>IFERROR(__xludf.DUMMYFUNCTION("""COMPUTED_VALUE"""),"")</f>
        <v/>
      </c>
    </row>
    <row r="7148">
      <c r="D7148" t="str">
        <f>IFERROR(__xludf.DUMMYFUNCTION("""COMPUTED_VALUE"""),"Barnett")</f>
        <v>Barnett</v>
      </c>
      <c r="E7148" t="str">
        <f>IFERROR(__xludf.DUMMYFUNCTION("""COMPUTED_VALUE"""),"Derek")</f>
        <v>Derek</v>
      </c>
      <c r="F7148" t="str">
        <f>IFERROR(__xludf.DUMMYFUNCTION("""COMPUTED_VALUE"""),"")</f>
        <v/>
      </c>
    </row>
    <row r="7149">
      <c r="D7149" t="str">
        <f>IFERROR(__xludf.DUMMYFUNCTION("""COMPUTED_VALUE"""),"Barr")</f>
        <v>Barr</v>
      </c>
      <c r="E7149" t="str">
        <f>IFERROR(__xludf.DUMMYFUNCTION("""COMPUTED_VALUE"""),"Anthony")</f>
        <v>Anthony</v>
      </c>
      <c r="F7149" t="str">
        <f>IFERROR(__xludf.DUMMYFUNCTION("""COMPUTED_VALUE"""),"")</f>
        <v/>
      </c>
    </row>
    <row r="7150">
      <c r="D7150" t="str">
        <f>IFERROR(__xludf.DUMMYFUNCTION("""COMPUTED_VALUE"""),"Barrett")</f>
        <v>Barrett</v>
      </c>
      <c r="E7150" t="str">
        <f>IFERROR(__xludf.DUMMYFUNCTION("""COMPUTED_VALUE"""),"Alex")</f>
        <v>Alex</v>
      </c>
      <c r="F7150" t="str">
        <f>IFERROR(__xludf.DUMMYFUNCTION("""COMPUTED_VALUE"""),"")</f>
        <v/>
      </c>
    </row>
    <row r="7151">
      <c r="D7151" t="str">
        <f>IFERROR(__xludf.DUMMYFUNCTION("""COMPUTED_VALUE"""),"Barrett")</f>
        <v>Barrett</v>
      </c>
      <c r="E7151" t="str">
        <f>IFERROR(__xludf.DUMMYFUNCTION("""COMPUTED_VALUE"""),"JT")</f>
        <v>JT</v>
      </c>
      <c r="F7151" t="str">
        <f>IFERROR(__xludf.DUMMYFUNCTION("""COMPUTED_VALUE"""),"")</f>
        <v/>
      </c>
    </row>
    <row r="7152">
      <c r="D7152" t="str">
        <f>IFERROR(__xludf.DUMMYFUNCTION("""COMPUTED_VALUE"""),"Barrett")</f>
        <v>Barrett</v>
      </c>
      <c r="E7152" t="str">
        <f>IFERROR(__xludf.DUMMYFUNCTION("""COMPUTED_VALUE"""),"Shaquil")</f>
        <v>Shaquil</v>
      </c>
      <c r="F7152" t="str">
        <f>IFERROR(__xludf.DUMMYFUNCTION("""COMPUTED_VALUE"""),"")</f>
        <v/>
      </c>
    </row>
    <row r="7153">
      <c r="D7153" t="str">
        <f>IFERROR(__xludf.DUMMYFUNCTION("""COMPUTED_VALUE"""),"Barron")</f>
        <v>Barron</v>
      </c>
      <c r="E7153" t="str">
        <f>IFERROR(__xludf.DUMMYFUNCTION("""COMPUTED_VALUE"""),"Mark")</f>
        <v>Mark</v>
      </c>
      <c r="F7153" t="str">
        <f>IFERROR(__xludf.DUMMYFUNCTION("""COMPUTED_VALUE"""),"")</f>
        <v/>
      </c>
    </row>
    <row r="7154">
      <c r="D7154" t="str">
        <f>IFERROR(__xludf.DUMMYFUNCTION("""COMPUTED_VALUE"""),"Bars")</f>
        <v>Bars</v>
      </c>
      <c r="E7154" t="str">
        <f>IFERROR(__xludf.DUMMYFUNCTION("""COMPUTED_VALUE"""),"Alex")</f>
        <v>Alex</v>
      </c>
      <c r="F7154" t="str">
        <f>IFERROR(__xludf.DUMMYFUNCTION("""COMPUTED_VALUE"""),"")</f>
        <v/>
      </c>
    </row>
    <row r="7155">
      <c r="D7155" t="str">
        <f>IFERROR(__xludf.DUMMYFUNCTION("""COMPUTED_VALUE"""),"Barton")</f>
        <v>Barton</v>
      </c>
      <c r="E7155" t="str">
        <f>IFERROR(__xludf.DUMMYFUNCTION("""COMPUTED_VALUE"""),"Cody")</f>
        <v>Cody</v>
      </c>
      <c r="F7155" t="str">
        <f>IFERROR(__xludf.DUMMYFUNCTION("""COMPUTED_VALUE"""),"")</f>
        <v/>
      </c>
    </row>
    <row r="7156">
      <c r="D7156" t="str">
        <f>IFERROR(__xludf.DUMMYFUNCTION("""COMPUTED_VALUE"""),"Barton")</f>
        <v>Barton</v>
      </c>
      <c r="E7156" t="str">
        <f>IFERROR(__xludf.DUMMYFUNCTION("""COMPUTED_VALUE"""),"Jackson")</f>
        <v>Jackson</v>
      </c>
      <c r="F7156" t="str">
        <f>IFERROR(__xludf.DUMMYFUNCTION("""COMPUTED_VALUE"""),"")</f>
        <v/>
      </c>
    </row>
    <row r="7157">
      <c r="D7157" t="str">
        <f>IFERROR(__xludf.DUMMYFUNCTION("""COMPUTED_VALUE"""),"Basham")</f>
        <v>Basham</v>
      </c>
      <c r="E7157" t="str">
        <f>IFERROR(__xludf.DUMMYFUNCTION("""COMPUTED_VALUE"""),"Tarell")</f>
        <v>Tarell</v>
      </c>
      <c r="F7157" t="str">
        <f>IFERROR(__xludf.DUMMYFUNCTION("""COMPUTED_VALUE"""),"")</f>
        <v/>
      </c>
    </row>
    <row r="7158">
      <c r="D7158" t="str">
        <f>IFERROR(__xludf.DUMMYFUNCTION("""COMPUTED_VALUE"""),"Bates")</f>
        <v>Bates</v>
      </c>
      <c r="E7158" t="str">
        <f>IFERROR(__xludf.DUMMYFUNCTION("""COMPUTED_VALUE"""),"Daren")</f>
        <v>Daren</v>
      </c>
      <c r="F7158" t="str">
        <f>IFERROR(__xludf.DUMMYFUNCTION("""COMPUTED_VALUE"""),"")</f>
        <v/>
      </c>
    </row>
    <row r="7159">
      <c r="D7159" t="str">
        <f>IFERROR(__xludf.DUMMYFUNCTION("""COMPUTED_VALUE"""),"Bates")</f>
        <v>Bates</v>
      </c>
      <c r="E7159" t="str">
        <f>IFERROR(__xludf.DUMMYFUNCTION("""COMPUTED_VALUE"""),"Jessie")</f>
        <v>Jessie</v>
      </c>
      <c r="F7159" t="str">
        <f>IFERROR(__xludf.DUMMYFUNCTION("""COMPUTED_VALUE"""),"")</f>
        <v/>
      </c>
    </row>
    <row r="7160">
      <c r="D7160" t="str">
        <f>IFERROR(__xludf.DUMMYFUNCTION("""COMPUTED_VALUE"""),"Batson")</f>
        <v>Batson</v>
      </c>
      <c r="E7160" t="str">
        <f>IFERROR(__xludf.DUMMYFUNCTION("""COMPUTED_VALUE"""),"Cameron")</f>
        <v>Cameron</v>
      </c>
      <c r="F7160" t="str">
        <f>IFERROR(__xludf.DUMMYFUNCTION("""COMPUTED_VALUE"""),"")</f>
        <v/>
      </c>
    </row>
    <row r="7161">
      <c r="D7161" t="str">
        <f>IFERROR(__xludf.DUMMYFUNCTION("""COMPUTED_VALUE"""),"Bausby")</f>
        <v>Bausby</v>
      </c>
      <c r="E7161" t="str">
        <f>IFERROR(__xludf.DUMMYFUNCTION("""COMPUTED_VALUE"""),"DeVante")</f>
        <v>DeVante</v>
      </c>
      <c r="F7161" t="str">
        <f>IFERROR(__xludf.DUMMYFUNCTION("""COMPUTED_VALUE"""),"")</f>
        <v/>
      </c>
    </row>
    <row r="7162">
      <c r="D7162" t="str">
        <f>IFERROR(__xludf.DUMMYFUNCTION("""COMPUTED_VALUE"""),"Bawden")</f>
        <v>Bawden</v>
      </c>
      <c r="E7162" t="str">
        <f>IFERROR(__xludf.DUMMYFUNCTION("""COMPUTED_VALUE"""),"Nick")</f>
        <v>Nick</v>
      </c>
      <c r="F7162" t="str">
        <f>IFERROR(__xludf.DUMMYFUNCTION("""COMPUTED_VALUE"""),"")</f>
        <v/>
      </c>
    </row>
    <row r="7163">
      <c r="D7163" t="str">
        <f>IFERROR(__xludf.DUMMYFUNCTION("""COMPUTED_VALUE"""),"Baylis")</f>
        <v>Baylis</v>
      </c>
      <c r="E7163" t="str">
        <f>IFERROR(__xludf.DUMMYFUNCTION("""COMPUTED_VALUE"""),"Evan")</f>
        <v>Evan</v>
      </c>
      <c r="F7163" t="str">
        <f>IFERROR(__xludf.DUMMYFUNCTION("""COMPUTED_VALUE"""),"")</f>
        <v/>
      </c>
    </row>
    <row r="7164">
      <c r="D7164" t="str">
        <f>IFERROR(__xludf.DUMMYFUNCTION("""COMPUTED_VALUE"""),"Beachum")</f>
        <v>Beachum</v>
      </c>
      <c r="E7164" t="str">
        <f>IFERROR(__xludf.DUMMYFUNCTION("""COMPUTED_VALUE"""),"Kelvin")</f>
        <v>Kelvin</v>
      </c>
      <c r="F7164" t="str">
        <f>IFERROR(__xludf.DUMMYFUNCTION("""COMPUTED_VALUE"""),"")</f>
        <v/>
      </c>
    </row>
    <row r="7165">
      <c r="D7165" t="str">
        <f>IFERROR(__xludf.DUMMYFUNCTION("""COMPUTED_VALUE"""),"Beal")</f>
        <v>Beal</v>
      </c>
      <c r="E7165" t="str">
        <f>IFERROR(__xludf.DUMMYFUNCTION("""COMPUTED_VALUE"""),"Sam")</f>
        <v>Sam</v>
      </c>
      <c r="F7165" t="str">
        <f>IFERROR(__xludf.DUMMYFUNCTION("""COMPUTED_VALUE"""),"")</f>
        <v/>
      </c>
    </row>
    <row r="7166">
      <c r="D7166" t="str">
        <f>IFERROR(__xludf.DUMMYFUNCTION("""COMPUTED_VALUE"""),"Beasley")</f>
        <v>Beasley</v>
      </c>
      <c r="E7166" t="str">
        <f>IFERROR(__xludf.DUMMYFUNCTION("""COMPUTED_VALUE"""),"Cole")</f>
        <v>Cole</v>
      </c>
      <c r="F7166" t="str">
        <f>IFERROR(__xludf.DUMMYFUNCTION("""COMPUTED_VALUE"""),"")</f>
        <v/>
      </c>
    </row>
    <row r="7167">
      <c r="D7167" t="str">
        <f>IFERROR(__xludf.DUMMYFUNCTION("""COMPUTED_VALUE"""),"Beasley")</f>
        <v>Beasley</v>
      </c>
      <c r="E7167" t="str">
        <f>IFERROR(__xludf.DUMMYFUNCTION("""COMPUTED_VALUE"""),"Vic")</f>
        <v>Vic</v>
      </c>
      <c r="F7167" t="str">
        <f>IFERROR(__xludf.DUMMYFUNCTION("""COMPUTED_VALUE"""),"")</f>
        <v/>
      </c>
    </row>
    <row r="7168">
      <c r="D7168" t="str">
        <f>IFERROR(__xludf.DUMMYFUNCTION("""COMPUTED_VALUE"""),"Beathard")</f>
        <v>Beathard</v>
      </c>
      <c r="E7168" t="str">
        <f>IFERROR(__xludf.DUMMYFUNCTION("""COMPUTED_VALUE"""),"CJ")</f>
        <v>CJ</v>
      </c>
      <c r="F7168" t="str">
        <f>IFERROR(__xludf.DUMMYFUNCTION("""COMPUTED_VALUE"""),"")</f>
        <v/>
      </c>
    </row>
    <row r="7169">
      <c r="D7169" t="str">
        <f>IFERROR(__xludf.DUMMYFUNCTION("""COMPUTED_VALUE"""),"Beavers")</f>
        <v>Beavers</v>
      </c>
      <c r="E7169" t="str">
        <f>IFERROR(__xludf.DUMMYFUNCTION("""COMPUTED_VALUE"""),"Willie")</f>
        <v>Willie</v>
      </c>
      <c r="F7169" t="str">
        <f>IFERROR(__xludf.DUMMYFUNCTION("""COMPUTED_VALUE"""),"")</f>
        <v/>
      </c>
    </row>
    <row r="7170">
      <c r="D7170" t="str">
        <f>IFERROR(__xludf.DUMMYFUNCTION("""COMPUTED_VALUE"""),"Beckham")</f>
        <v>Beckham</v>
      </c>
      <c r="E7170" t="str">
        <f>IFERROR(__xludf.DUMMYFUNCTION("""COMPUTED_VALUE"""),"Odell")</f>
        <v>Odell</v>
      </c>
      <c r="F7170" t="str">
        <f>IFERROR(__xludf.DUMMYFUNCTION("""COMPUTED_VALUE"""),"")</f>
        <v/>
      </c>
    </row>
    <row r="7171">
      <c r="D7171" t="str">
        <f>IFERROR(__xludf.DUMMYFUNCTION("""COMPUTED_VALUE"""),"Beckner")</f>
        <v>Beckner</v>
      </c>
      <c r="E7171" t="str">
        <f>IFERROR(__xludf.DUMMYFUNCTION("""COMPUTED_VALUE"""),"Terry")</f>
        <v>Terry</v>
      </c>
      <c r="F7171" t="str">
        <f>IFERROR(__xludf.DUMMYFUNCTION("""COMPUTED_VALUE"""),"")</f>
        <v/>
      </c>
    </row>
    <row r="7172">
      <c r="D7172" t="str">
        <f>IFERROR(__xludf.DUMMYFUNCTION("""COMPUTED_VALUE"""),"Beckwith")</f>
        <v>Beckwith</v>
      </c>
      <c r="E7172" t="str">
        <f>IFERROR(__xludf.DUMMYFUNCTION("""COMPUTED_VALUE"""),"Kendell")</f>
        <v>Kendell</v>
      </c>
      <c r="F7172" t="str">
        <f>IFERROR(__xludf.DUMMYFUNCTION("""COMPUTED_VALUE"""),"")</f>
        <v/>
      </c>
    </row>
    <row r="7173">
      <c r="D7173" t="str">
        <f>IFERROR(__xludf.DUMMYFUNCTION("""COMPUTED_VALUE"""),"Beebe")</f>
        <v>Beebe</v>
      </c>
      <c r="E7173" t="str">
        <f>IFERROR(__xludf.DUMMYFUNCTION("""COMPUTED_VALUE"""),"Chad")</f>
        <v>Chad</v>
      </c>
      <c r="F7173" t="str">
        <f>IFERROR(__xludf.DUMMYFUNCTION("""COMPUTED_VALUE"""),"")</f>
        <v/>
      </c>
    </row>
    <row r="7174">
      <c r="D7174" t="str">
        <f>IFERROR(__xludf.DUMMYFUNCTION("""COMPUTED_VALUE"""),"Bell")</f>
        <v>Bell</v>
      </c>
      <c r="E7174" t="str">
        <f>IFERROR(__xludf.DUMMYFUNCTION("""COMPUTED_VALUE"""),"Blake")</f>
        <v>Blake</v>
      </c>
      <c r="F7174" t="str">
        <f>IFERROR(__xludf.DUMMYFUNCTION("""COMPUTED_VALUE"""),"")</f>
        <v/>
      </c>
    </row>
    <row r="7175">
      <c r="D7175" t="str">
        <f>IFERROR(__xludf.DUMMYFUNCTION("""COMPUTED_VALUE"""),"Bell")</f>
        <v>Bell</v>
      </c>
      <c r="E7175" t="str">
        <f>IFERROR(__xludf.DUMMYFUNCTION("""COMPUTED_VALUE"""),"LeVeon")</f>
        <v>LeVeon</v>
      </c>
      <c r="F7175" t="str">
        <f>IFERROR(__xludf.DUMMYFUNCTION("""COMPUTED_VALUE"""),"")</f>
        <v/>
      </c>
    </row>
    <row r="7176">
      <c r="D7176" t="str">
        <f>IFERROR(__xludf.DUMMYFUNCTION("""COMPUTED_VALUE"""),"Bell")</f>
        <v>Bell</v>
      </c>
      <c r="E7176" t="str">
        <f>IFERROR(__xludf.DUMMYFUNCTION("""COMPUTED_VALUE"""),"Quinton")</f>
        <v>Quinton</v>
      </c>
      <c r="F7176" t="str">
        <f>IFERROR(__xludf.DUMMYFUNCTION("""COMPUTED_VALUE"""),"")</f>
        <v/>
      </c>
    </row>
    <row r="7177">
      <c r="D7177" t="str">
        <f>IFERROR(__xludf.DUMMYFUNCTION("""COMPUTED_VALUE"""),"Bell")</f>
        <v>Bell</v>
      </c>
      <c r="E7177" t="str">
        <f>IFERROR(__xludf.DUMMYFUNCTION("""COMPUTED_VALUE"""),"Vonn")</f>
        <v>Vonn</v>
      </c>
      <c r="F7177" t="str">
        <f>IFERROR(__xludf.DUMMYFUNCTION("""COMPUTED_VALUE"""),"")</f>
        <v/>
      </c>
    </row>
    <row r="7178">
      <c r="D7178" t="str">
        <f>IFERROR(__xludf.DUMMYFUNCTION("""COMPUTED_VALUE"""),"Bellamy")</f>
        <v>Bellamy</v>
      </c>
      <c r="E7178" t="str">
        <f>IFERROR(__xludf.DUMMYFUNCTION("""COMPUTED_VALUE"""),"Davin")</f>
        <v>Davin</v>
      </c>
      <c r="F7178" t="str">
        <f>IFERROR(__xludf.DUMMYFUNCTION("""COMPUTED_VALUE"""),"")</f>
        <v/>
      </c>
    </row>
    <row r="7179">
      <c r="D7179" t="str">
        <f>IFERROR(__xludf.DUMMYFUNCTION("""COMPUTED_VALUE"""),"Bellamy")</f>
        <v>Bellamy</v>
      </c>
      <c r="E7179" t="str">
        <f>IFERROR(__xludf.DUMMYFUNCTION("""COMPUTED_VALUE"""),"Josh")</f>
        <v>Josh</v>
      </c>
      <c r="F7179" t="str">
        <f>IFERROR(__xludf.DUMMYFUNCTION("""COMPUTED_VALUE"""),"")</f>
        <v/>
      </c>
    </row>
    <row r="7180">
      <c r="D7180" t="str">
        <f>IFERROR(__xludf.DUMMYFUNCTION("""COMPUTED_VALUE"""),"Benenoch")</f>
        <v>Benenoch</v>
      </c>
      <c r="E7180" t="str">
        <f>IFERROR(__xludf.DUMMYFUNCTION("""COMPUTED_VALUE"""),"Caleb")</f>
        <v>Caleb</v>
      </c>
      <c r="F7180" t="str">
        <f>IFERROR(__xludf.DUMMYFUNCTION("""COMPUTED_VALUE"""),"")</f>
        <v/>
      </c>
    </row>
    <row r="7181">
      <c r="D7181" t="str">
        <f>IFERROR(__xludf.DUMMYFUNCTION("""COMPUTED_VALUE"""),"Benjamin")</f>
        <v>Benjamin</v>
      </c>
      <c r="E7181" t="str">
        <f>IFERROR(__xludf.DUMMYFUNCTION("""COMPUTED_VALUE"""),"Travis")</f>
        <v>Travis</v>
      </c>
      <c r="F7181" t="str">
        <f>IFERROR(__xludf.DUMMYFUNCTION("""COMPUTED_VALUE"""),"")</f>
        <v/>
      </c>
    </row>
    <row r="7182">
      <c r="D7182" t="str">
        <f>IFERROR(__xludf.DUMMYFUNCTION("""COMPUTED_VALUE"""),"Benkert")</f>
        <v>Benkert</v>
      </c>
      <c r="E7182" t="str">
        <f>IFERROR(__xludf.DUMMYFUNCTION("""COMPUTED_VALUE"""),"Kurt")</f>
        <v>Kurt</v>
      </c>
      <c r="F7182" t="str">
        <f>IFERROR(__xludf.DUMMYFUNCTION("""COMPUTED_VALUE"""),"")</f>
        <v/>
      </c>
    </row>
    <row r="7183">
      <c r="D7183" t="str">
        <f>IFERROR(__xludf.DUMMYFUNCTION("""COMPUTED_VALUE"""),"Bennett")</f>
        <v>Bennett</v>
      </c>
      <c r="E7183" t="str">
        <f>IFERROR(__xludf.DUMMYFUNCTION("""COMPUTED_VALUE"""),"Michael")</f>
        <v>Michael</v>
      </c>
      <c r="F7183" t="str">
        <f>IFERROR(__xludf.DUMMYFUNCTION("""COMPUTED_VALUE"""),"")</f>
        <v/>
      </c>
    </row>
    <row r="7184">
      <c r="D7184" t="str">
        <f>IFERROR(__xludf.DUMMYFUNCTION("""COMPUTED_VALUE"""),"Bennett")</f>
        <v>Bennett</v>
      </c>
      <c r="E7184" t="str">
        <f>IFERROR(__xludf.DUMMYFUNCTION("""COMPUTED_VALUE"""),"Michael")</f>
        <v>Michael</v>
      </c>
      <c r="F7184" t="str">
        <f>IFERROR(__xludf.DUMMYFUNCTION("""COMPUTED_VALUE"""),"")</f>
        <v/>
      </c>
    </row>
    <row r="7185">
      <c r="D7185" t="str">
        <f>IFERROR(__xludf.DUMMYFUNCTION("""COMPUTED_VALUE"""),"Bentley")</f>
        <v>Bentley</v>
      </c>
      <c r="E7185" t="str">
        <f>IFERROR(__xludf.DUMMYFUNCTION("""COMPUTED_VALUE"""),"JaWhaun")</f>
        <v>JaWhaun</v>
      </c>
      <c r="F7185" t="str">
        <f>IFERROR(__xludf.DUMMYFUNCTION("""COMPUTED_VALUE"""),"")</f>
        <v/>
      </c>
    </row>
    <row r="7186">
      <c r="D7186" t="str">
        <f>IFERROR(__xludf.DUMMYFUNCTION("""COMPUTED_VALUE"""),"Benzschawel")</f>
        <v>Benzschawel</v>
      </c>
      <c r="E7186" t="str">
        <f>IFERROR(__xludf.DUMMYFUNCTION("""COMPUTED_VALUE"""),"Beau")</f>
        <v>Beau</v>
      </c>
      <c r="F7186" t="str">
        <f>IFERROR(__xludf.DUMMYFUNCTION("""COMPUTED_VALUE"""),"")</f>
        <v/>
      </c>
    </row>
    <row r="7187">
      <c r="D7187" t="str">
        <f>IFERROR(__xludf.DUMMYFUNCTION("""COMPUTED_VALUE"""),"Bergstrom")</f>
        <v>Bergstrom</v>
      </c>
      <c r="E7187" t="str">
        <f>IFERROR(__xludf.DUMMYFUNCTION("""COMPUTED_VALUE"""),"Tony")</f>
        <v>Tony</v>
      </c>
      <c r="F7187" t="str">
        <f>IFERROR(__xludf.DUMMYFUNCTION("""COMPUTED_VALUE"""),"")</f>
        <v/>
      </c>
    </row>
    <row r="7188">
      <c r="D7188" t="str">
        <f>IFERROR(__xludf.DUMMYFUNCTION("""COMPUTED_VALUE"""),"Bernard")</f>
        <v>Bernard</v>
      </c>
      <c r="E7188" t="str">
        <f>IFERROR(__xludf.DUMMYFUNCTION("""COMPUTED_VALUE"""),"Giovani")</f>
        <v>Giovani</v>
      </c>
      <c r="F7188" t="str">
        <f>IFERROR(__xludf.DUMMYFUNCTION("""COMPUTED_VALUE"""),"")</f>
        <v/>
      </c>
    </row>
    <row r="7189">
      <c r="D7189" t="str">
        <f>IFERROR(__xludf.DUMMYFUNCTION("""COMPUTED_VALUE"""),"Berrios")</f>
        <v>Berrios</v>
      </c>
      <c r="E7189" t="str">
        <f>IFERROR(__xludf.DUMMYFUNCTION("""COMPUTED_VALUE"""),"Braxton")</f>
        <v>Braxton</v>
      </c>
      <c r="F7189" t="str">
        <f>IFERROR(__xludf.DUMMYFUNCTION("""COMPUTED_VALUE"""),"")</f>
        <v/>
      </c>
    </row>
    <row r="7190">
      <c r="D7190" t="str">
        <f>IFERROR(__xludf.DUMMYFUNCTION("""COMPUTED_VALUE"""),"Berry")</f>
        <v>Berry</v>
      </c>
      <c r="E7190" t="str">
        <f>IFERROR(__xludf.DUMMYFUNCTION("""COMPUTED_VALUE"""),"Jordan")</f>
        <v>Jordan</v>
      </c>
      <c r="F7190" t="str">
        <f>IFERROR(__xludf.DUMMYFUNCTION("""COMPUTED_VALUE"""),"")</f>
        <v/>
      </c>
    </row>
    <row r="7191">
      <c r="D7191" t="str">
        <f>IFERROR(__xludf.DUMMYFUNCTION("""COMPUTED_VALUE"""),"Bethea")</f>
        <v>Bethea</v>
      </c>
      <c r="E7191" t="str">
        <f>IFERROR(__xludf.DUMMYFUNCTION("""COMPUTED_VALUE"""),"Antoine")</f>
        <v>Antoine</v>
      </c>
      <c r="F7191" t="str">
        <f>IFERROR(__xludf.DUMMYFUNCTION("""COMPUTED_VALUE"""),"")</f>
        <v/>
      </c>
    </row>
    <row r="7192">
      <c r="D7192" t="str">
        <f>IFERROR(__xludf.DUMMYFUNCTION("""COMPUTED_VALUE"""),"Bethel")</f>
        <v>Bethel</v>
      </c>
      <c r="E7192" t="str">
        <f>IFERROR(__xludf.DUMMYFUNCTION("""COMPUTED_VALUE"""),"Justin")</f>
        <v>Justin</v>
      </c>
      <c r="F7192" t="str">
        <f>IFERROR(__xludf.DUMMYFUNCTION("""COMPUTED_VALUE"""),"")</f>
        <v/>
      </c>
    </row>
    <row r="7193">
      <c r="D7193" t="str">
        <f>IFERROR(__xludf.DUMMYFUNCTION("""COMPUTED_VALUE"""),"Bibbs")</f>
        <v>Bibbs</v>
      </c>
      <c r="E7193" t="str">
        <f>IFERROR(__xludf.DUMMYFUNCTION("""COMPUTED_VALUE"""),"Kapri")</f>
        <v>Kapri</v>
      </c>
      <c r="F7193" t="str">
        <f>IFERROR(__xludf.DUMMYFUNCTION("""COMPUTED_VALUE"""),"")</f>
        <v/>
      </c>
    </row>
    <row r="7194">
      <c r="D7194" t="str">
        <f>IFERROR(__xludf.DUMMYFUNCTION("""COMPUTED_VALUE"""),"Biegel")</f>
        <v>Biegel</v>
      </c>
      <c r="E7194" t="str">
        <f>IFERROR(__xludf.DUMMYFUNCTION("""COMPUTED_VALUE"""),"Vince")</f>
        <v>Vince</v>
      </c>
      <c r="F7194" t="str">
        <f>IFERROR(__xludf.DUMMYFUNCTION("""COMPUTED_VALUE"""),"")</f>
        <v/>
      </c>
    </row>
    <row r="7195">
      <c r="D7195" t="str">
        <f>IFERROR(__xludf.DUMMYFUNCTION("""COMPUTED_VALUE"""),"Bierria")</f>
        <v>Bierria</v>
      </c>
      <c r="E7195" t="str">
        <f>IFERROR(__xludf.DUMMYFUNCTION("""COMPUTED_VALUE"""),"Keishawn")</f>
        <v>Keishawn</v>
      </c>
      <c r="F7195" t="str">
        <f>IFERROR(__xludf.DUMMYFUNCTION("""COMPUTED_VALUE"""),"")</f>
        <v/>
      </c>
    </row>
    <row r="7196">
      <c r="D7196" t="str">
        <f>IFERROR(__xludf.DUMMYFUNCTION("""COMPUTED_VALUE"""),"Billings")</f>
        <v>Billings</v>
      </c>
      <c r="E7196" t="str">
        <f>IFERROR(__xludf.DUMMYFUNCTION("""COMPUTED_VALUE"""),"Andrew")</f>
        <v>Andrew</v>
      </c>
      <c r="F7196" t="str">
        <f>IFERROR(__xludf.DUMMYFUNCTION("""COMPUTED_VALUE"""),"")</f>
        <v/>
      </c>
    </row>
    <row r="7197">
      <c r="D7197" t="str">
        <f>IFERROR(__xludf.DUMMYFUNCTION("""COMPUTED_VALUE"""),"Bitonio")</f>
        <v>Bitonio</v>
      </c>
      <c r="E7197" t="str">
        <f>IFERROR(__xludf.DUMMYFUNCTION("""COMPUTED_VALUE"""),"Joel")</f>
        <v>Joel</v>
      </c>
      <c r="F7197" t="str">
        <f>IFERROR(__xludf.DUMMYFUNCTION("""COMPUTED_VALUE"""),"")</f>
        <v/>
      </c>
    </row>
    <row r="7198">
      <c r="D7198" t="str">
        <f>IFERROR(__xludf.DUMMYFUNCTION("""COMPUTED_VALUE"""),"Blacknall")</f>
        <v>Blacknall</v>
      </c>
      <c r="E7198" t="str">
        <f>IFERROR(__xludf.DUMMYFUNCTION("""COMPUTED_VALUE"""),"Saeed")</f>
        <v>Saeed</v>
      </c>
      <c r="F7198" t="str">
        <f>IFERROR(__xludf.DUMMYFUNCTION("""COMPUTED_VALUE"""),"")</f>
        <v/>
      </c>
    </row>
    <row r="7199">
      <c r="D7199" t="str">
        <f>IFERROR(__xludf.DUMMYFUNCTION("""COMPUTED_VALUE"""),"Blackson")</f>
        <v>Blackson</v>
      </c>
      <c r="E7199" t="str">
        <f>IFERROR(__xludf.DUMMYFUNCTION("""COMPUTED_VALUE"""),"Angelo")</f>
        <v>Angelo</v>
      </c>
      <c r="F7199" t="str">
        <f>IFERROR(__xludf.DUMMYFUNCTION("""COMPUTED_VALUE"""),"")</f>
        <v/>
      </c>
    </row>
    <row r="7200">
      <c r="D7200" t="str">
        <f>IFERROR(__xludf.DUMMYFUNCTION("""COMPUTED_VALUE"""),"Blair")</f>
        <v>Blair</v>
      </c>
      <c r="E7200" t="str">
        <f>IFERROR(__xludf.DUMMYFUNCTION("""COMPUTED_VALUE"""),"Marquise")</f>
        <v>Marquise</v>
      </c>
      <c r="F7200" t="str">
        <f>IFERROR(__xludf.DUMMYFUNCTION("""COMPUTED_VALUE"""),"")</f>
        <v/>
      </c>
    </row>
    <row r="7201">
      <c r="D7201" t="str">
        <f>IFERROR(__xludf.DUMMYFUNCTION("""COMPUTED_VALUE"""),"Blair")</f>
        <v>Blair</v>
      </c>
      <c r="E7201" t="str">
        <f>IFERROR(__xludf.DUMMYFUNCTION("""COMPUTED_VALUE"""),"Ronald")</f>
        <v>Ronald</v>
      </c>
      <c r="F7201" t="str">
        <f>IFERROR(__xludf.DUMMYFUNCTION("""COMPUTED_VALUE"""),"")</f>
        <v/>
      </c>
    </row>
    <row r="7202">
      <c r="D7202" t="str">
        <f>IFERROR(__xludf.DUMMYFUNCTION("""COMPUTED_VALUE"""),"Blanding")</f>
        <v>Blanding</v>
      </c>
      <c r="E7202" t="str">
        <f>IFERROR(__xludf.DUMMYFUNCTION("""COMPUTED_VALUE"""),"Quin")</f>
        <v>Quin</v>
      </c>
      <c r="F7202" t="str">
        <f>IFERROR(__xludf.DUMMYFUNCTION("""COMPUTED_VALUE"""),"")</f>
        <v/>
      </c>
    </row>
    <row r="7203">
      <c r="D7203" t="str">
        <f>IFERROR(__xludf.DUMMYFUNCTION("""COMPUTED_VALUE"""),"Blanton")</f>
        <v>Blanton</v>
      </c>
      <c r="E7203" t="str">
        <f>IFERROR(__xludf.DUMMYFUNCTION("""COMPUTED_VALUE"""),"Kendall")</f>
        <v>Kendall</v>
      </c>
      <c r="F7203" t="str">
        <f>IFERROR(__xludf.DUMMYFUNCTION("""COMPUTED_VALUE"""),"")</f>
        <v/>
      </c>
    </row>
    <row r="7204">
      <c r="D7204" t="str">
        <f>IFERROR(__xludf.DUMMYFUNCTION("""COMPUTED_VALUE"""),"Blough")</f>
        <v>Blough</v>
      </c>
      <c r="E7204" t="str">
        <f>IFERROR(__xludf.DUMMYFUNCTION("""COMPUTED_VALUE"""),"David")</f>
        <v>David</v>
      </c>
      <c r="F7204" t="str">
        <f>IFERROR(__xludf.DUMMYFUNCTION("""COMPUTED_VALUE"""),"")</f>
        <v/>
      </c>
    </row>
    <row r="7205">
      <c r="D7205" t="str">
        <f>IFERROR(__xludf.DUMMYFUNCTION("""COMPUTED_VALUE"""),"Blue")</f>
        <v>Blue</v>
      </c>
      <c r="E7205" t="str">
        <f>IFERROR(__xludf.DUMMYFUNCTION("""COMPUTED_VALUE"""),"Alfred")</f>
        <v>Alfred</v>
      </c>
      <c r="F7205" t="str">
        <f>IFERROR(__xludf.DUMMYFUNCTION("""COMPUTED_VALUE"""),"")</f>
        <v/>
      </c>
    </row>
    <row r="7206">
      <c r="D7206" t="str">
        <f>IFERROR(__xludf.DUMMYFUNCTION("""COMPUTED_VALUE"""),"Blythe")</f>
        <v>Blythe</v>
      </c>
      <c r="E7206" t="str">
        <f>IFERROR(__xludf.DUMMYFUNCTION("""COMPUTED_VALUE"""),"Austin")</f>
        <v>Austin</v>
      </c>
      <c r="F7206" t="str">
        <f>IFERROR(__xludf.DUMMYFUNCTION("""COMPUTED_VALUE"""),"")</f>
        <v/>
      </c>
    </row>
    <row r="7207">
      <c r="D7207" t="str">
        <f>IFERROR(__xludf.DUMMYFUNCTION("""COMPUTED_VALUE"""),"Board")</f>
        <v>Board</v>
      </c>
      <c r="E7207" t="str">
        <f>IFERROR(__xludf.DUMMYFUNCTION("""COMPUTED_VALUE"""),"Chris")</f>
        <v>Chris</v>
      </c>
      <c r="F7207" t="str">
        <f>IFERROR(__xludf.DUMMYFUNCTION("""COMPUTED_VALUE"""),"")</f>
        <v/>
      </c>
    </row>
    <row r="7208">
      <c r="D7208" t="str">
        <f>IFERROR(__xludf.DUMMYFUNCTION("""COMPUTED_VALUE"""),"Boddy-Calhoun")</f>
        <v>Boddy-Calhoun</v>
      </c>
      <c r="E7208" t="str">
        <f>IFERROR(__xludf.DUMMYFUNCTION("""COMPUTED_VALUE"""),"Briean")</f>
        <v>Briean</v>
      </c>
      <c r="F7208" t="str">
        <f>IFERROR(__xludf.DUMMYFUNCTION("""COMPUTED_VALUE"""),"")</f>
        <v/>
      </c>
    </row>
    <row r="7209">
      <c r="D7209" t="str">
        <f>IFERROR(__xludf.DUMMYFUNCTION("""COMPUTED_VALUE"""),"Bodine")</f>
        <v>Bodine</v>
      </c>
      <c r="E7209" t="str">
        <f>IFERROR(__xludf.DUMMYFUNCTION("""COMPUTED_VALUE"""),"Russell")</f>
        <v>Russell</v>
      </c>
      <c r="F7209" t="str">
        <f>IFERROR(__xludf.DUMMYFUNCTION("""COMPUTED_VALUE"""),"")</f>
        <v/>
      </c>
    </row>
    <row r="7210">
      <c r="D7210" t="str">
        <f>IFERROR(__xludf.DUMMYFUNCTION("""COMPUTED_VALUE"""),"Boehm")</f>
        <v>Boehm</v>
      </c>
      <c r="E7210" t="str">
        <f>IFERROR(__xludf.DUMMYFUNCTION("""COMPUTED_VALUE"""),"Evan")</f>
        <v>Evan</v>
      </c>
      <c r="F7210" t="str">
        <f>IFERROR(__xludf.DUMMYFUNCTION("""COMPUTED_VALUE"""),"")</f>
        <v/>
      </c>
    </row>
    <row r="7211">
      <c r="D7211" t="str">
        <f>IFERROR(__xludf.DUMMYFUNCTION("""COMPUTED_VALUE"""),"Boehringer")</f>
        <v>Boehringer</v>
      </c>
      <c r="E7211" t="str">
        <f>IFERROR(__xludf.DUMMYFUNCTION("""COMPUTED_VALUE"""),"Moritz")</f>
        <v>Moritz</v>
      </c>
      <c r="F7211" t="str">
        <f>IFERROR(__xludf.DUMMYFUNCTION("""COMPUTED_VALUE"""),"")</f>
        <v/>
      </c>
    </row>
    <row r="7212">
      <c r="D7212" t="str">
        <f>IFERROR(__xludf.DUMMYFUNCTION("""COMPUTED_VALUE"""),"Boettger")</f>
        <v>Boettger</v>
      </c>
      <c r="E7212" t="str">
        <f>IFERROR(__xludf.DUMMYFUNCTION("""COMPUTED_VALUE"""),"Ike")</f>
        <v>Ike</v>
      </c>
      <c r="F7212" t="str">
        <f>IFERROR(__xludf.DUMMYFUNCTION("""COMPUTED_VALUE"""),"")</f>
        <v/>
      </c>
    </row>
    <row r="7213">
      <c r="D7213" t="str">
        <f>IFERROR(__xludf.DUMMYFUNCTION("""COMPUTED_VALUE"""),"Bojorquez")</f>
        <v>Bojorquez</v>
      </c>
      <c r="E7213" t="str">
        <f>IFERROR(__xludf.DUMMYFUNCTION("""COMPUTED_VALUE"""),"Corey")</f>
        <v>Corey</v>
      </c>
      <c r="F7213" t="str">
        <f>IFERROR(__xludf.DUMMYFUNCTION("""COMPUTED_VALUE"""),"")</f>
        <v/>
      </c>
    </row>
    <row r="7214">
      <c r="D7214" t="str">
        <f>IFERROR(__xludf.DUMMYFUNCTION("""COMPUTED_VALUE"""),"Bolden")</f>
        <v>Bolden</v>
      </c>
      <c r="E7214" t="str">
        <f>IFERROR(__xludf.DUMMYFUNCTION("""COMPUTED_VALUE"""),"Brandon")</f>
        <v>Brandon</v>
      </c>
      <c r="F7214" t="str">
        <f>IFERROR(__xludf.DUMMYFUNCTION("""COMPUTED_VALUE"""),"")</f>
        <v/>
      </c>
    </row>
    <row r="7215">
      <c r="D7215" t="str">
        <f>IFERROR(__xludf.DUMMYFUNCTION("""COMPUTED_VALUE"""),"Bolden")</f>
        <v>Bolden</v>
      </c>
      <c r="E7215" t="str">
        <f>IFERROR(__xludf.DUMMYFUNCTION("""COMPUTED_VALUE"""),"Victor")</f>
        <v>Victor</v>
      </c>
      <c r="F7215" t="str">
        <f>IFERROR(__xludf.DUMMYFUNCTION("""COMPUTED_VALUE"""),"")</f>
        <v/>
      </c>
    </row>
    <row r="7216">
      <c r="D7216" t="str">
        <f>IFERROR(__xludf.DUMMYFUNCTION("""COMPUTED_VALUE"""),"Boling")</f>
        <v>Boling</v>
      </c>
      <c r="E7216" t="str">
        <f>IFERROR(__xludf.DUMMYFUNCTION("""COMPUTED_VALUE"""),"Clint")</f>
        <v>Clint</v>
      </c>
      <c r="F7216" t="str">
        <f>IFERROR(__xludf.DUMMYFUNCTION("""COMPUTED_VALUE"""),"")</f>
        <v/>
      </c>
    </row>
    <row r="7217">
      <c r="D7217" t="str">
        <f>IFERROR(__xludf.DUMMYFUNCTION("""COMPUTED_VALUE"""),"Bolles")</f>
        <v>Bolles</v>
      </c>
      <c r="E7217" t="str">
        <f>IFERROR(__xludf.DUMMYFUNCTION("""COMPUTED_VALUE"""),"Garett")</f>
        <v>Garett</v>
      </c>
      <c r="F7217" t="str">
        <f>IFERROR(__xludf.DUMMYFUNCTION("""COMPUTED_VALUE"""),"")</f>
        <v/>
      </c>
    </row>
    <row r="7218">
      <c r="D7218" t="str">
        <f>IFERROR(__xludf.DUMMYFUNCTION("""COMPUTED_VALUE"""),"Bond")</f>
        <v>Bond</v>
      </c>
      <c r="E7218" t="str">
        <f>IFERROR(__xludf.DUMMYFUNCTION("""COMPUTED_VALUE"""),"Devante")</f>
        <v>Devante</v>
      </c>
      <c r="F7218" t="str">
        <f>IFERROR(__xludf.DUMMYFUNCTION("""COMPUTED_VALUE"""),"")</f>
        <v/>
      </c>
    </row>
    <row r="7219">
      <c r="D7219" t="str">
        <f>IFERROR(__xludf.DUMMYFUNCTION("""COMPUTED_VALUE"""),"Booker")</f>
        <v>Booker</v>
      </c>
      <c r="E7219" t="str">
        <f>IFERROR(__xludf.DUMMYFUNCTION("""COMPUTED_VALUE"""),"Devontae")</f>
        <v>Devontae</v>
      </c>
      <c r="F7219" t="str">
        <f>IFERROR(__xludf.DUMMYFUNCTION("""COMPUTED_VALUE"""),"")</f>
        <v/>
      </c>
    </row>
    <row r="7220">
      <c r="D7220" t="str">
        <f>IFERROR(__xludf.DUMMYFUNCTION("""COMPUTED_VALUE"""),"Boone")</f>
        <v>Boone</v>
      </c>
      <c r="E7220" t="str">
        <f>IFERROR(__xludf.DUMMYFUNCTION("""COMPUTED_VALUE"""),"Mike")</f>
        <v>Mike</v>
      </c>
      <c r="F7220" t="str">
        <f>IFERROR(__xludf.DUMMYFUNCTION("""COMPUTED_VALUE"""),"")</f>
        <v/>
      </c>
    </row>
    <row r="7221">
      <c r="D7221" t="str">
        <f>IFERROR(__xludf.DUMMYFUNCTION("""COMPUTED_VALUE"""),"Boozer")</f>
        <v>Boozer</v>
      </c>
      <c r="E7221" t="str">
        <f>IFERROR(__xludf.DUMMYFUNCTION("""COMPUTED_VALUE"""),"Cole")</f>
        <v>Cole</v>
      </c>
      <c r="F7221" t="str">
        <f>IFERROR(__xludf.DUMMYFUNCTION("""COMPUTED_VALUE"""),"")</f>
        <v/>
      </c>
    </row>
    <row r="7222">
      <c r="D7222" t="str">
        <f>IFERROR(__xludf.DUMMYFUNCTION("""COMPUTED_VALUE"""),"Borders")</f>
        <v>Borders</v>
      </c>
      <c r="E7222" t="str">
        <f>IFERROR(__xludf.DUMMYFUNCTION("""COMPUTED_VALUE"""),"Breon")</f>
        <v>Breon</v>
      </c>
      <c r="F7222" t="str">
        <f>IFERROR(__xludf.DUMMYFUNCTION("""COMPUTED_VALUE"""),"")</f>
        <v/>
      </c>
    </row>
    <row r="7223">
      <c r="D7223" t="str">
        <f>IFERROR(__xludf.DUMMYFUNCTION("""COMPUTED_VALUE"""),"Bortles")</f>
        <v>Bortles</v>
      </c>
      <c r="E7223" t="str">
        <f>IFERROR(__xludf.DUMMYFUNCTION("""COMPUTED_VALUE"""),"Blake")</f>
        <v>Blake</v>
      </c>
      <c r="F7223" t="str">
        <f>IFERROR(__xludf.DUMMYFUNCTION("""COMPUTED_VALUE"""),"")</f>
        <v/>
      </c>
    </row>
    <row r="7224">
      <c r="D7224" t="str">
        <f>IFERROR(__xludf.DUMMYFUNCTION("""COMPUTED_VALUE"""),"Bosa")</f>
        <v>Bosa</v>
      </c>
      <c r="E7224" t="str">
        <f>IFERROR(__xludf.DUMMYFUNCTION("""COMPUTED_VALUE"""),"Joey")</f>
        <v>Joey</v>
      </c>
      <c r="F7224" t="str">
        <f>IFERROR(__xludf.DUMMYFUNCTION("""COMPUTED_VALUE"""),"")</f>
        <v/>
      </c>
    </row>
    <row r="7225">
      <c r="D7225" t="str">
        <f>IFERROR(__xludf.DUMMYFUNCTION("""COMPUTED_VALUE"""),"Bosa")</f>
        <v>Bosa</v>
      </c>
      <c r="E7225" t="str">
        <f>IFERROR(__xludf.DUMMYFUNCTION("""COMPUTED_VALUE"""),"Nick")</f>
        <v>Nick</v>
      </c>
      <c r="F7225" t="str">
        <f>IFERROR(__xludf.DUMMYFUNCTION("""COMPUTED_VALUE"""),"")</f>
        <v/>
      </c>
    </row>
    <row r="7226">
      <c r="D7226" t="str">
        <f>IFERROR(__xludf.DUMMYFUNCTION("""COMPUTED_VALUE"""),"Bosher")</f>
        <v>Bosher</v>
      </c>
      <c r="E7226" t="str">
        <f>IFERROR(__xludf.DUMMYFUNCTION("""COMPUTED_VALUE"""),"Matt")</f>
        <v>Matt</v>
      </c>
      <c r="F7226" t="str">
        <f>IFERROR(__xludf.DUMMYFUNCTION("""COMPUTED_VALUE"""),"")</f>
        <v/>
      </c>
    </row>
    <row r="7227">
      <c r="D7227" t="str">
        <f>IFERROR(__xludf.DUMMYFUNCTION("""COMPUTED_VALUE"""),"Bostic")</f>
        <v>Bostic</v>
      </c>
      <c r="E7227" t="str">
        <f>IFERROR(__xludf.DUMMYFUNCTION("""COMPUTED_VALUE"""),"Jon")</f>
        <v>Jon</v>
      </c>
      <c r="F7227" t="str">
        <f>IFERROR(__xludf.DUMMYFUNCTION("""COMPUTED_VALUE"""),"")</f>
        <v/>
      </c>
    </row>
    <row r="7228">
      <c r="D7228" t="str">
        <f>IFERROR(__xludf.DUMMYFUNCTION("""COMPUTED_VALUE"""),"Boswell")</f>
        <v>Boswell</v>
      </c>
      <c r="E7228" t="str">
        <f>IFERROR(__xludf.DUMMYFUNCTION("""COMPUTED_VALUE"""),"Chris")</f>
        <v>Chris</v>
      </c>
      <c r="F7228" t="str">
        <f>IFERROR(__xludf.DUMMYFUNCTION("""COMPUTED_VALUE"""),"")</f>
        <v/>
      </c>
    </row>
    <row r="7229">
      <c r="D7229" t="str">
        <f>IFERROR(__xludf.DUMMYFUNCTION("""COMPUTED_VALUE"""),"Bourne")</f>
        <v>Bourne</v>
      </c>
      <c r="E7229" t="str">
        <f>IFERROR(__xludf.DUMMYFUNCTION("""COMPUTED_VALUE"""),"Kendrick")</f>
        <v>Kendrick</v>
      </c>
      <c r="F7229" t="str">
        <f>IFERROR(__xludf.DUMMYFUNCTION("""COMPUTED_VALUE"""),"")</f>
        <v/>
      </c>
    </row>
    <row r="7230">
      <c r="D7230" t="str">
        <f>IFERROR(__xludf.DUMMYFUNCTION("""COMPUTED_VALUE"""),"Bouye")</f>
        <v>Bouye</v>
      </c>
      <c r="E7230" t="str">
        <f>IFERROR(__xludf.DUMMYFUNCTION("""COMPUTED_VALUE"""),"AJ")</f>
        <v>AJ</v>
      </c>
      <c r="F7230" t="str">
        <f>IFERROR(__xludf.DUMMYFUNCTION("""COMPUTED_VALUE"""),"")</f>
        <v/>
      </c>
    </row>
    <row r="7231">
      <c r="D7231" t="str">
        <f>IFERROR(__xludf.DUMMYFUNCTION("""COMPUTED_VALUE"""),"Bower")</f>
        <v>Bower</v>
      </c>
      <c r="E7231" t="str">
        <f>IFERROR(__xludf.DUMMYFUNCTION("""COMPUTED_VALUE"""),"Tashawn")</f>
        <v>Tashawn</v>
      </c>
      <c r="F7231" t="str">
        <f>IFERROR(__xludf.DUMMYFUNCTION("""COMPUTED_VALUE"""),"")</f>
        <v/>
      </c>
    </row>
    <row r="7232">
      <c r="D7232" t="str">
        <f>IFERROR(__xludf.DUMMYFUNCTION("""COMPUTED_VALUE"""),"Bowser")</f>
        <v>Bowser</v>
      </c>
      <c r="E7232" t="str">
        <f>IFERROR(__xludf.DUMMYFUNCTION("""COMPUTED_VALUE"""),"Tyus")</f>
        <v>Tyus</v>
      </c>
      <c r="F7232" t="str">
        <f>IFERROR(__xludf.DUMMYFUNCTION("""COMPUTED_VALUE"""),"")</f>
        <v/>
      </c>
    </row>
    <row r="7233">
      <c r="D7233" t="str">
        <f>IFERROR(__xludf.DUMMYFUNCTION("""COMPUTED_VALUE"""),"Boyd")</f>
        <v>Boyd</v>
      </c>
      <c r="E7233" t="str">
        <f>IFERROR(__xludf.DUMMYFUNCTION("""COMPUTED_VALUE"""),"Kris")</f>
        <v>Kris</v>
      </c>
      <c r="F7233" t="str">
        <f>IFERROR(__xludf.DUMMYFUNCTION("""COMPUTED_VALUE"""),"")</f>
        <v/>
      </c>
    </row>
    <row r="7234">
      <c r="D7234" t="str">
        <f>IFERROR(__xludf.DUMMYFUNCTION("""COMPUTED_VALUE"""),"Boyd")</f>
        <v>Boyd</v>
      </c>
      <c r="E7234" t="str">
        <f>IFERROR(__xludf.DUMMYFUNCTION("""COMPUTED_VALUE"""),"Tyler")</f>
        <v>Tyler</v>
      </c>
      <c r="F7234" t="str">
        <f>IFERROR(__xludf.DUMMYFUNCTION("""COMPUTED_VALUE"""),"")</f>
        <v/>
      </c>
    </row>
    <row r="7235">
      <c r="D7235" t="str">
        <f>IFERROR(__xludf.DUMMYFUNCTION("""COMPUTED_VALUE"""),"Boykin")</f>
        <v>Boykin</v>
      </c>
      <c r="E7235" t="str">
        <f>IFERROR(__xludf.DUMMYFUNCTION("""COMPUTED_VALUE"""),"Miles")</f>
        <v>Miles</v>
      </c>
      <c r="F7235" t="str">
        <f>IFERROR(__xludf.DUMMYFUNCTION("""COMPUTED_VALUE"""),"")</f>
        <v/>
      </c>
    </row>
    <row r="7236">
      <c r="D7236" t="str">
        <f>IFERROR(__xludf.DUMMYFUNCTION("""COMPUTED_VALUE"""),"Boyle")</f>
        <v>Boyle</v>
      </c>
      <c r="E7236" t="str">
        <f>IFERROR(__xludf.DUMMYFUNCTION("""COMPUTED_VALUE"""),"Nick")</f>
        <v>Nick</v>
      </c>
      <c r="F7236" t="str">
        <f>IFERROR(__xludf.DUMMYFUNCTION("""COMPUTED_VALUE"""),"")</f>
        <v/>
      </c>
    </row>
    <row r="7237">
      <c r="D7237" t="str">
        <f>IFERROR(__xludf.DUMMYFUNCTION("""COMPUTED_VALUE"""),"Boyle")</f>
        <v>Boyle</v>
      </c>
      <c r="E7237" t="str">
        <f>IFERROR(__xludf.DUMMYFUNCTION("""COMPUTED_VALUE"""),"Tim")</f>
        <v>Tim</v>
      </c>
      <c r="F7237" t="str">
        <f>IFERROR(__xludf.DUMMYFUNCTION("""COMPUTED_VALUE"""),"")</f>
        <v/>
      </c>
    </row>
    <row r="7238">
      <c r="D7238" t="str">
        <f>IFERROR(__xludf.DUMMYFUNCTION("""COMPUTED_VALUE"""),"Bozeman")</f>
        <v>Bozeman</v>
      </c>
      <c r="E7238" t="str">
        <f>IFERROR(__xludf.DUMMYFUNCTION("""COMPUTED_VALUE"""),"Bradley")</f>
        <v>Bradley</v>
      </c>
      <c r="F7238" t="str">
        <f>IFERROR(__xludf.DUMMYFUNCTION("""COMPUTED_VALUE"""),"")</f>
        <v/>
      </c>
    </row>
    <row r="7239">
      <c r="D7239" t="str">
        <f>IFERROR(__xludf.DUMMYFUNCTION("""COMPUTED_VALUE"""),"Bradberry")</f>
        <v>Bradberry</v>
      </c>
      <c r="E7239" t="str">
        <f>IFERROR(__xludf.DUMMYFUNCTION("""COMPUTED_VALUE"""),"James")</f>
        <v>James</v>
      </c>
      <c r="F7239" t="str">
        <f>IFERROR(__xludf.DUMMYFUNCTION("""COMPUTED_VALUE"""),"")</f>
        <v/>
      </c>
    </row>
    <row r="7240">
      <c r="D7240" t="str">
        <f>IFERROR(__xludf.DUMMYFUNCTION("""COMPUTED_VALUE"""),"Bradbury")</f>
        <v>Bradbury</v>
      </c>
      <c r="E7240" t="str">
        <f>IFERROR(__xludf.DUMMYFUNCTION("""COMPUTED_VALUE"""),"Garrett")</f>
        <v>Garrett</v>
      </c>
      <c r="F7240" t="str">
        <f>IFERROR(__xludf.DUMMYFUNCTION("""COMPUTED_VALUE"""),"")</f>
        <v/>
      </c>
    </row>
    <row r="7241">
      <c r="D7241" t="str">
        <f>IFERROR(__xludf.DUMMYFUNCTION("""COMPUTED_VALUE"""),"Braden")</f>
        <v>Braden</v>
      </c>
      <c r="E7241" t="str">
        <f>IFERROR(__xludf.DUMMYFUNCTION("""COMPUTED_VALUE"""),"Ben")</f>
        <v>Ben</v>
      </c>
      <c r="F7241" t="str">
        <f>IFERROR(__xludf.DUMMYFUNCTION("""COMPUTED_VALUE"""),"")</f>
        <v/>
      </c>
    </row>
    <row r="7242">
      <c r="D7242" t="str">
        <f>IFERROR(__xludf.DUMMYFUNCTION("""COMPUTED_VALUE"""),"Bradham")</f>
        <v>Bradham</v>
      </c>
      <c r="E7242" t="str">
        <f>IFERROR(__xludf.DUMMYFUNCTION("""COMPUTED_VALUE"""),"Nigel")</f>
        <v>Nigel</v>
      </c>
      <c r="F7242" t="str">
        <f>IFERROR(__xludf.DUMMYFUNCTION("""COMPUTED_VALUE"""),"")</f>
        <v/>
      </c>
    </row>
    <row r="7243">
      <c r="D7243" t="str">
        <f>IFERROR(__xludf.DUMMYFUNCTION("""COMPUTED_VALUE"""),"Bradley")</f>
        <v>Bradley</v>
      </c>
      <c r="E7243" t="str">
        <f>IFERROR(__xludf.DUMMYFUNCTION("""COMPUTED_VALUE"""),"Hunter")</f>
        <v>Hunter</v>
      </c>
      <c r="F7243" t="str">
        <f>IFERROR(__xludf.DUMMYFUNCTION("""COMPUTED_VALUE"""),"")</f>
        <v/>
      </c>
    </row>
    <row r="7244">
      <c r="D7244" t="str">
        <f>IFERROR(__xludf.DUMMYFUNCTION("""COMPUTED_VALUE"""),"Brady")</f>
        <v>Brady</v>
      </c>
      <c r="E7244" t="str">
        <f>IFERROR(__xludf.DUMMYFUNCTION("""COMPUTED_VALUE"""),"Tom")</f>
        <v>Tom</v>
      </c>
      <c r="F7244" t="str">
        <f>IFERROR(__xludf.DUMMYFUNCTION("""COMPUTED_VALUE"""),"")</f>
        <v/>
      </c>
    </row>
    <row r="7245">
      <c r="D7245" t="str">
        <f>IFERROR(__xludf.DUMMYFUNCTION("""COMPUTED_VALUE"""),"Brady")</f>
        <v>Brady</v>
      </c>
      <c r="E7245" t="str">
        <f>IFERROR(__xludf.DUMMYFUNCTION("""COMPUTED_VALUE"""),"Tyre")</f>
        <v>Tyre</v>
      </c>
      <c r="F7245" t="str">
        <f>IFERROR(__xludf.DUMMYFUNCTION("""COMPUTED_VALUE"""),"")</f>
        <v/>
      </c>
    </row>
    <row r="7246">
      <c r="D7246" t="str">
        <f>IFERROR(__xludf.DUMMYFUNCTION("""COMPUTED_VALUE"""),"Brailford")</f>
        <v>Brailford</v>
      </c>
      <c r="E7246" t="str">
        <f>IFERROR(__xludf.DUMMYFUNCTION("""COMPUTED_VALUE"""),"Jordan")</f>
        <v>Jordan</v>
      </c>
      <c r="F7246" t="str">
        <f>IFERROR(__xludf.DUMMYFUNCTION("""COMPUTED_VALUE"""),"")</f>
        <v/>
      </c>
    </row>
    <row r="7247">
      <c r="D7247" t="str">
        <f>IFERROR(__xludf.DUMMYFUNCTION("""COMPUTED_VALUE"""),"Branch")</f>
        <v>Branch</v>
      </c>
      <c r="E7247" t="str">
        <f>IFERROR(__xludf.DUMMYFUNCTION("""COMPUTED_VALUE"""),"Marcelis")</f>
        <v>Marcelis</v>
      </c>
      <c r="F7247" t="str">
        <f>IFERROR(__xludf.DUMMYFUNCTION("""COMPUTED_VALUE"""),"")</f>
        <v/>
      </c>
    </row>
    <row r="7248">
      <c r="D7248" t="str">
        <f>IFERROR(__xludf.DUMMYFUNCTION("""COMPUTED_VALUE"""),"Brantley")</f>
        <v>Brantley</v>
      </c>
      <c r="E7248" t="str">
        <f>IFERROR(__xludf.DUMMYFUNCTION("""COMPUTED_VALUE"""),"Caleb")</f>
        <v>Caleb</v>
      </c>
      <c r="F7248" t="str">
        <f>IFERROR(__xludf.DUMMYFUNCTION("""COMPUTED_VALUE"""),"")</f>
        <v/>
      </c>
    </row>
    <row r="7249">
      <c r="D7249" t="str">
        <f>IFERROR(__xludf.DUMMYFUNCTION("""COMPUTED_VALUE"""),"Brate")</f>
        <v>Brate</v>
      </c>
      <c r="E7249" t="str">
        <f>IFERROR(__xludf.DUMMYFUNCTION("""COMPUTED_VALUE"""),"Cameron")</f>
        <v>Cameron</v>
      </c>
      <c r="F7249" t="str">
        <f>IFERROR(__xludf.DUMMYFUNCTION("""COMPUTED_VALUE"""),"")</f>
        <v/>
      </c>
    </row>
    <row r="7250">
      <c r="D7250" t="str">
        <f>IFERROR(__xludf.DUMMYFUNCTION("""COMPUTED_VALUE"""),"Braunecker")</f>
        <v>Braunecker</v>
      </c>
      <c r="E7250" t="str">
        <f>IFERROR(__xludf.DUMMYFUNCTION("""COMPUTED_VALUE"""),"Ben")</f>
        <v>Ben</v>
      </c>
      <c r="F7250" t="str">
        <f>IFERROR(__xludf.DUMMYFUNCTION("""COMPUTED_VALUE"""),"")</f>
        <v/>
      </c>
    </row>
    <row r="7251">
      <c r="D7251" t="str">
        <f>IFERROR(__xludf.DUMMYFUNCTION("""COMPUTED_VALUE"""),"Bray")</f>
        <v>Bray</v>
      </c>
      <c r="E7251" t="str">
        <f>IFERROR(__xludf.DUMMYFUNCTION("""COMPUTED_VALUE"""),"Tyler")</f>
        <v>Tyler</v>
      </c>
      <c r="F7251" t="str">
        <f>IFERROR(__xludf.DUMMYFUNCTION("""COMPUTED_VALUE"""),"")</f>
        <v/>
      </c>
    </row>
    <row r="7252">
      <c r="D7252" t="str">
        <f>IFERROR(__xludf.DUMMYFUNCTION("""COMPUTED_VALUE"""),"Breeland")</f>
        <v>Breeland</v>
      </c>
      <c r="E7252" t="str">
        <f>IFERROR(__xludf.DUMMYFUNCTION("""COMPUTED_VALUE"""),"Bashaud")</f>
        <v>Bashaud</v>
      </c>
      <c r="F7252" t="str">
        <f>IFERROR(__xludf.DUMMYFUNCTION("""COMPUTED_VALUE"""),"")</f>
        <v/>
      </c>
    </row>
    <row r="7253">
      <c r="D7253" t="str">
        <f>IFERROR(__xludf.DUMMYFUNCTION("""COMPUTED_VALUE"""),"Brees")</f>
        <v>Brees</v>
      </c>
      <c r="E7253" t="str">
        <f>IFERROR(__xludf.DUMMYFUNCTION("""COMPUTED_VALUE"""),"Drew")</f>
        <v>Drew</v>
      </c>
      <c r="F7253" t="str">
        <f>IFERROR(__xludf.DUMMYFUNCTION("""COMPUTED_VALUE"""),"")</f>
        <v/>
      </c>
    </row>
    <row r="7254">
      <c r="D7254" t="str">
        <f>IFERROR(__xludf.DUMMYFUNCTION("""COMPUTED_VALUE"""),"Breida")</f>
        <v>Breida</v>
      </c>
      <c r="E7254" t="str">
        <f>IFERROR(__xludf.DUMMYFUNCTION("""COMPUTED_VALUE"""),"Matt")</f>
        <v>Matt</v>
      </c>
      <c r="F7254" t="str">
        <f>IFERROR(__xludf.DUMMYFUNCTION("""COMPUTED_VALUE"""),"")</f>
        <v/>
      </c>
    </row>
    <row r="7255">
      <c r="D7255" t="str">
        <f>IFERROR(__xludf.DUMMYFUNCTION("""COMPUTED_VALUE"""),"Brendel")</f>
        <v>Brendel</v>
      </c>
      <c r="E7255" t="str">
        <f>IFERROR(__xludf.DUMMYFUNCTION("""COMPUTED_VALUE"""),"Jake")</f>
        <v>Jake</v>
      </c>
      <c r="F7255" t="str">
        <f>IFERROR(__xludf.DUMMYFUNCTION("""COMPUTED_VALUE"""),"")</f>
        <v/>
      </c>
    </row>
    <row r="7256">
      <c r="D7256" t="str">
        <f>IFERROR(__xludf.DUMMYFUNCTION("""COMPUTED_VALUE"""),"Brent")</f>
        <v>Brent</v>
      </c>
      <c r="E7256" t="str">
        <f>IFERROR(__xludf.DUMMYFUNCTION("""COMPUTED_VALUE"""),"KJ")</f>
        <v>KJ</v>
      </c>
      <c r="F7256" t="str">
        <f>IFERROR(__xludf.DUMMYFUNCTION("""COMPUTED_VALUE"""),"")</f>
        <v/>
      </c>
    </row>
    <row r="7257">
      <c r="D7257" t="str">
        <f>IFERROR(__xludf.DUMMYFUNCTION("""COMPUTED_VALUE"""),"Brewer")</f>
        <v>Brewer</v>
      </c>
      <c r="E7257" t="str">
        <f>IFERROR(__xludf.DUMMYFUNCTION("""COMPUTED_VALUE"""),"Aaron")</f>
        <v>Aaron</v>
      </c>
      <c r="F7257" t="str">
        <f>IFERROR(__xludf.DUMMYFUNCTION("""COMPUTED_VALUE"""),"")</f>
        <v/>
      </c>
    </row>
    <row r="7258">
      <c r="D7258" t="str">
        <f>IFERROR(__xludf.DUMMYFUNCTION("""COMPUTED_VALUE"""),"Brice")</f>
        <v>Brice</v>
      </c>
      <c r="E7258" t="str">
        <f>IFERROR(__xludf.DUMMYFUNCTION("""COMPUTED_VALUE"""),"Kentrell")</f>
        <v>Kentrell</v>
      </c>
      <c r="F7258" t="str">
        <f>IFERROR(__xludf.DUMMYFUNCTION("""COMPUTED_VALUE"""),"")</f>
        <v/>
      </c>
    </row>
    <row r="7259">
      <c r="D7259" t="str">
        <f>IFERROR(__xludf.DUMMYFUNCTION("""COMPUTED_VALUE"""),"Bridgewater")</f>
        <v>Bridgewater</v>
      </c>
      <c r="E7259" t="str">
        <f>IFERROR(__xludf.DUMMYFUNCTION("""COMPUTED_VALUE"""),"Teddy")</f>
        <v>Teddy</v>
      </c>
      <c r="F7259" t="str">
        <f>IFERROR(__xludf.DUMMYFUNCTION("""COMPUTED_VALUE"""),"")</f>
        <v/>
      </c>
    </row>
    <row r="7260">
      <c r="D7260" t="str">
        <f>IFERROR(__xludf.DUMMYFUNCTION("""COMPUTED_VALUE"""),"Brinkley")</f>
        <v>Brinkley</v>
      </c>
      <c r="E7260" t="str">
        <f>IFERROR(__xludf.DUMMYFUNCTION("""COMPUTED_VALUE"""),"Beau")</f>
        <v>Beau</v>
      </c>
      <c r="F7260" t="str">
        <f>IFERROR(__xludf.DUMMYFUNCTION("""COMPUTED_VALUE"""),"")</f>
        <v/>
      </c>
    </row>
    <row r="7261">
      <c r="D7261" t="str">
        <f>IFERROR(__xludf.DUMMYFUNCTION("""COMPUTED_VALUE"""),"Brissett")</f>
        <v>Brissett</v>
      </c>
      <c r="E7261" t="str">
        <f>IFERROR(__xludf.DUMMYFUNCTION("""COMPUTED_VALUE"""),"Jacoby")</f>
        <v>Jacoby</v>
      </c>
      <c r="F7261" t="str">
        <f>IFERROR(__xludf.DUMMYFUNCTION("""COMPUTED_VALUE"""),"")</f>
        <v/>
      </c>
    </row>
    <row r="7262">
      <c r="D7262" t="str">
        <f>IFERROR(__xludf.DUMMYFUNCTION("""COMPUTED_VALUE"""),"Britt")</f>
        <v>Britt</v>
      </c>
      <c r="E7262" t="str">
        <f>IFERROR(__xludf.DUMMYFUNCTION("""COMPUTED_VALUE"""),"Justin")</f>
        <v>Justin</v>
      </c>
      <c r="F7262" t="str">
        <f>IFERROR(__xludf.DUMMYFUNCTION("""COMPUTED_VALUE"""),"")</f>
        <v/>
      </c>
    </row>
    <row r="7263">
      <c r="D7263" t="str">
        <f>IFERROR(__xludf.DUMMYFUNCTION("""COMPUTED_VALUE"""),"Brock")</f>
        <v>Brock</v>
      </c>
      <c r="E7263" t="str">
        <f>IFERROR(__xludf.DUMMYFUNCTION("""COMPUTED_VALUE"""),"Tramaine")</f>
        <v>Tramaine</v>
      </c>
      <c r="F7263" t="str">
        <f>IFERROR(__xludf.DUMMYFUNCTION("""COMPUTED_VALUE"""),"")</f>
        <v/>
      </c>
    </row>
    <row r="7264">
      <c r="D7264" t="str">
        <f>IFERROR(__xludf.DUMMYFUNCTION("""COMPUTED_VALUE"""),"Brockers")</f>
        <v>Brockers</v>
      </c>
      <c r="E7264" t="str">
        <f>IFERROR(__xludf.DUMMYFUNCTION("""COMPUTED_VALUE"""),"Michael")</f>
        <v>Michael</v>
      </c>
      <c r="F7264" t="str">
        <f>IFERROR(__xludf.DUMMYFUNCTION("""COMPUTED_VALUE"""),"")</f>
        <v/>
      </c>
    </row>
    <row r="7265">
      <c r="D7265" t="str">
        <f>IFERROR(__xludf.DUMMYFUNCTION("""COMPUTED_VALUE"""),"Brooks")</f>
        <v>Brooks</v>
      </c>
      <c r="E7265" t="str">
        <f>IFERROR(__xludf.DUMMYFUNCTION("""COMPUTED_VALUE"""),"Brandon")</f>
        <v>Brandon</v>
      </c>
      <c r="F7265" t="str">
        <f>IFERROR(__xludf.DUMMYFUNCTION("""COMPUTED_VALUE"""),"")</f>
        <v/>
      </c>
    </row>
    <row r="7266">
      <c r="D7266" t="str">
        <f>IFERROR(__xludf.DUMMYFUNCTION("""COMPUTED_VALUE"""),"Brooks")</f>
        <v>Brooks</v>
      </c>
      <c r="E7266" t="str">
        <f>IFERROR(__xludf.DUMMYFUNCTION("""COMPUTED_VALUE"""),"Terrence")</f>
        <v>Terrence</v>
      </c>
      <c r="F7266" t="str">
        <f>IFERROR(__xludf.DUMMYFUNCTION("""COMPUTED_VALUE"""),"")</f>
        <v/>
      </c>
    </row>
    <row r="7267">
      <c r="D7267" t="str">
        <f>IFERROR(__xludf.DUMMYFUNCTION("""COMPUTED_VALUE"""),"Brothers")</f>
        <v>Brothers</v>
      </c>
      <c r="E7267" t="str">
        <f>IFERROR(__xludf.DUMMYFUNCTION("""COMPUTED_VALUE"""),"Kentrell")</f>
        <v>Kentrell</v>
      </c>
      <c r="F7267" t="str">
        <f>IFERROR(__xludf.DUMMYFUNCTION("""COMPUTED_VALUE"""),"")</f>
        <v/>
      </c>
    </row>
    <row r="7268">
      <c r="D7268" t="str">
        <f>IFERROR(__xludf.DUMMYFUNCTION("""COMPUTED_VALUE"""),"Broughton")</f>
        <v>Broughton</v>
      </c>
      <c r="E7268" t="str">
        <f>IFERROR(__xludf.DUMMYFUNCTION("""COMPUTED_VALUE"""),"Cortez")</f>
        <v>Cortez</v>
      </c>
      <c r="F7268" t="str">
        <f>IFERROR(__xludf.DUMMYFUNCTION("""COMPUTED_VALUE"""),"")</f>
        <v/>
      </c>
    </row>
    <row r="7269">
      <c r="D7269" t="str">
        <f>IFERROR(__xludf.DUMMYFUNCTION("""COMPUTED_VALUE"""),"Brown")</f>
        <v>Brown</v>
      </c>
      <c r="E7269" t="str">
        <f>IFERROR(__xludf.DUMMYFUNCTION("""COMPUTED_VALUE"""),"AJ")</f>
        <v>AJ</v>
      </c>
      <c r="F7269" t="str">
        <f>IFERROR(__xludf.DUMMYFUNCTION("""COMPUTED_VALUE"""),"")</f>
        <v/>
      </c>
    </row>
    <row r="7270">
      <c r="D7270" t="str">
        <f>IFERROR(__xludf.DUMMYFUNCTION("""COMPUTED_VALUE"""),"Brown")</f>
        <v>Brown</v>
      </c>
      <c r="E7270" t="str">
        <f>IFERROR(__xludf.DUMMYFUNCTION("""COMPUTED_VALUE"""),"Andrew")</f>
        <v>Andrew</v>
      </c>
      <c r="F7270" t="str">
        <f>IFERROR(__xludf.DUMMYFUNCTION("""COMPUTED_VALUE"""),"")</f>
        <v/>
      </c>
    </row>
    <row r="7271">
      <c r="D7271" t="str">
        <f>IFERROR(__xludf.DUMMYFUNCTION("""COMPUTED_VALUE"""),"Brown")</f>
        <v>Brown</v>
      </c>
      <c r="E7271" t="str">
        <f>IFERROR(__xludf.DUMMYFUNCTION("""COMPUTED_VALUE"""),"Anthony")</f>
        <v>Anthony</v>
      </c>
      <c r="F7271" t="str">
        <f>IFERROR(__xludf.DUMMYFUNCTION("""COMPUTED_VALUE"""),"")</f>
        <v/>
      </c>
    </row>
    <row r="7272">
      <c r="D7272" t="str">
        <f>IFERROR(__xludf.DUMMYFUNCTION("""COMPUTED_VALUE"""),"Brown")</f>
        <v>Brown</v>
      </c>
      <c r="E7272" t="str">
        <f>IFERROR(__xludf.DUMMYFUNCTION("""COMPUTED_VALUE"""),"Antonio")</f>
        <v>Antonio</v>
      </c>
      <c r="F7272" t="str">
        <f>IFERROR(__xludf.DUMMYFUNCTION("""COMPUTED_VALUE"""),"")</f>
        <v/>
      </c>
    </row>
    <row r="7273">
      <c r="D7273" t="str">
        <f>IFERROR(__xludf.DUMMYFUNCTION("""COMPUTED_VALUE"""),"Brown")</f>
        <v>Brown</v>
      </c>
      <c r="E7273" t="str">
        <f>IFERROR(__xludf.DUMMYFUNCTION("""COMPUTED_VALUE"""),"Billy")</f>
        <v>Billy</v>
      </c>
      <c r="F7273" t="str">
        <f>IFERROR(__xludf.DUMMYFUNCTION("""COMPUTED_VALUE"""),"")</f>
        <v/>
      </c>
    </row>
    <row r="7274">
      <c r="D7274" t="str">
        <f>IFERROR(__xludf.DUMMYFUNCTION("""COMPUTED_VALUE"""),"Brown")</f>
        <v>Brown</v>
      </c>
      <c r="E7274" t="str">
        <f>IFERROR(__xludf.DUMMYFUNCTION("""COMPUTED_VALUE"""),"Daniel")</f>
        <v>Daniel</v>
      </c>
      <c r="F7274" t="str">
        <f>IFERROR(__xludf.DUMMYFUNCTION("""COMPUTED_VALUE"""),"")</f>
        <v/>
      </c>
    </row>
    <row r="7275">
      <c r="D7275" t="str">
        <f>IFERROR(__xludf.DUMMYFUNCTION("""COMPUTED_VALUE"""),"Brown")</f>
        <v>Brown</v>
      </c>
      <c r="E7275" t="str">
        <f>IFERROR(__xludf.DUMMYFUNCTION("""COMPUTED_VALUE"""),"Duane")</f>
        <v>Duane</v>
      </c>
      <c r="F7275" t="str">
        <f>IFERROR(__xludf.DUMMYFUNCTION("""COMPUTED_VALUE"""),"")</f>
        <v/>
      </c>
    </row>
    <row r="7276">
      <c r="D7276" t="str">
        <f>IFERROR(__xludf.DUMMYFUNCTION("""COMPUTED_VALUE"""),"Brown")</f>
        <v>Brown</v>
      </c>
      <c r="E7276" t="str">
        <f>IFERROR(__xludf.DUMMYFUNCTION("""COMPUTED_VALUE"""),"Evan")</f>
        <v>Evan</v>
      </c>
      <c r="F7276" t="str">
        <f>IFERROR(__xludf.DUMMYFUNCTION("""COMPUTED_VALUE"""),"")</f>
        <v/>
      </c>
    </row>
    <row r="7277">
      <c r="D7277" t="str">
        <f>IFERROR(__xludf.DUMMYFUNCTION("""COMPUTED_VALUE"""),"Brown")</f>
        <v>Brown</v>
      </c>
      <c r="E7277" t="str">
        <f>IFERROR(__xludf.DUMMYFUNCTION("""COMPUTED_VALUE"""),"Fadol")</f>
        <v>Fadol</v>
      </c>
      <c r="F7277" t="str">
        <f>IFERROR(__xludf.DUMMYFUNCTION("""COMPUTED_VALUE"""),"")</f>
        <v/>
      </c>
    </row>
    <row r="7278">
      <c r="D7278" t="str">
        <f>IFERROR(__xludf.DUMMYFUNCTION("""COMPUTED_VALUE"""),"Brown")</f>
        <v>Brown</v>
      </c>
      <c r="E7278" t="str">
        <f>IFERROR(__xludf.DUMMYFUNCTION("""COMPUTED_VALUE"""),"Jamon")</f>
        <v>Jamon</v>
      </c>
      <c r="F7278" t="str">
        <f>IFERROR(__xludf.DUMMYFUNCTION("""COMPUTED_VALUE"""),"")</f>
        <v/>
      </c>
    </row>
    <row r="7279">
      <c r="D7279" t="str">
        <f>IFERROR(__xludf.DUMMYFUNCTION("""COMPUTED_VALUE"""),"Brown")</f>
        <v>Brown</v>
      </c>
      <c r="E7279" t="str">
        <f>IFERROR(__xludf.DUMMYFUNCTION("""COMPUTED_VALUE"""),"Jaron")</f>
        <v>Jaron</v>
      </c>
      <c r="F7279" t="str">
        <f>IFERROR(__xludf.DUMMYFUNCTION("""COMPUTED_VALUE"""),"")</f>
        <v/>
      </c>
    </row>
    <row r="7280">
      <c r="D7280" t="str">
        <f>IFERROR(__xludf.DUMMYFUNCTION("""COMPUTED_VALUE"""),"Brown")</f>
        <v>Brown</v>
      </c>
      <c r="E7280" t="str">
        <f>IFERROR(__xludf.DUMMYFUNCTION("""COMPUTED_VALUE"""),"Jatavis")</f>
        <v>Jatavis</v>
      </c>
      <c r="F7280" t="str">
        <f>IFERROR(__xludf.DUMMYFUNCTION("""COMPUTED_VALUE"""),"")</f>
        <v/>
      </c>
    </row>
    <row r="7281">
      <c r="D7281" t="str">
        <f>IFERROR(__xludf.DUMMYFUNCTION("""COMPUTED_VALUE"""),"Brown")</f>
        <v>Brown</v>
      </c>
      <c r="E7281" t="str">
        <f>IFERROR(__xludf.DUMMYFUNCTION("""COMPUTED_VALUE"""),"Jayon")</f>
        <v>Jayon</v>
      </c>
      <c r="F7281" t="str">
        <f>IFERROR(__xludf.DUMMYFUNCTION("""COMPUTED_VALUE"""),"")</f>
        <v/>
      </c>
    </row>
    <row r="7282">
      <c r="D7282" t="str">
        <f>IFERROR(__xludf.DUMMYFUNCTION("""COMPUTED_VALUE"""),"Brown")</f>
        <v>Brown</v>
      </c>
      <c r="E7282" t="str">
        <f>IFERROR(__xludf.DUMMYFUNCTION("""COMPUTED_VALUE"""),"John")</f>
        <v>John</v>
      </c>
      <c r="F7282" t="str">
        <f>IFERROR(__xludf.DUMMYFUNCTION("""COMPUTED_VALUE"""),"")</f>
        <v/>
      </c>
    </row>
    <row r="7283">
      <c r="D7283" t="str">
        <f>IFERROR(__xludf.DUMMYFUNCTION("""COMPUTED_VALUE"""),"Brown")</f>
        <v>Brown</v>
      </c>
      <c r="E7283" t="str">
        <f>IFERROR(__xludf.DUMMYFUNCTION("""COMPUTED_VALUE"""),"Jonathan")</f>
        <v>Jonathan</v>
      </c>
      <c r="F7283" t="str">
        <f>IFERROR(__xludf.DUMMYFUNCTION("""COMPUTED_VALUE"""),"")</f>
        <v/>
      </c>
    </row>
    <row r="7284">
      <c r="D7284" t="str">
        <f>IFERROR(__xludf.DUMMYFUNCTION("""COMPUTED_VALUE"""),"Brown")</f>
        <v>Brown</v>
      </c>
      <c r="E7284" t="str">
        <f>IFERROR(__xludf.DUMMYFUNCTION("""COMPUTED_VALUE"""),"Jordan")</f>
        <v>Jordan</v>
      </c>
      <c r="F7284" t="str">
        <f>IFERROR(__xludf.DUMMYFUNCTION("""COMPUTED_VALUE"""),"")</f>
        <v/>
      </c>
    </row>
    <row r="7285">
      <c r="D7285" t="str">
        <f>IFERROR(__xludf.DUMMYFUNCTION("""COMPUTED_VALUE"""),"Brown")</f>
        <v>Brown</v>
      </c>
      <c r="E7285" t="str">
        <f>IFERROR(__xludf.DUMMYFUNCTION("""COMPUTED_VALUE"""),"Malcolm")</f>
        <v>Malcolm</v>
      </c>
      <c r="F7285" t="str">
        <f>IFERROR(__xludf.DUMMYFUNCTION("""COMPUTED_VALUE"""),"")</f>
        <v/>
      </c>
    </row>
    <row r="7286">
      <c r="D7286" t="str">
        <f>IFERROR(__xludf.DUMMYFUNCTION("""COMPUTED_VALUE"""),"Brown")</f>
        <v>Brown</v>
      </c>
      <c r="E7286" t="str">
        <f>IFERROR(__xludf.DUMMYFUNCTION("""COMPUTED_VALUE"""),"Malcom")</f>
        <v>Malcom</v>
      </c>
      <c r="F7286" t="str">
        <f>IFERROR(__xludf.DUMMYFUNCTION("""COMPUTED_VALUE"""),"")</f>
        <v/>
      </c>
    </row>
    <row r="7287">
      <c r="D7287" t="str">
        <f>IFERROR(__xludf.DUMMYFUNCTION("""COMPUTED_VALUE"""),"Brown")</f>
        <v>Brown</v>
      </c>
      <c r="E7287" t="str">
        <f>IFERROR(__xludf.DUMMYFUNCTION("""COMPUTED_VALUE"""),"Marquise")</f>
        <v>Marquise</v>
      </c>
      <c r="F7287" t="str">
        <f>IFERROR(__xludf.DUMMYFUNCTION("""COMPUTED_VALUE"""),"")</f>
        <v/>
      </c>
    </row>
    <row r="7288">
      <c r="D7288" t="str">
        <f>IFERROR(__xludf.DUMMYFUNCTION("""COMPUTED_VALUE"""),"Brown")</f>
        <v>Brown</v>
      </c>
      <c r="E7288" t="str">
        <f>IFERROR(__xludf.DUMMYFUNCTION("""COMPUTED_VALUE"""),"Noah")</f>
        <v>Noah</v>
      </c>
      <c r="F7288" t="str">
        <f>IFERROR(__xludf.DUMMYFUNCTION("""COMPUTED_VALUE"""),"")</f>
        <v/>
      </c>
    </row>
    <row r="7289">
      <c r="D7289" t="str">
        <f>IFERROR(__xludf.DUMMYFUNCTION("""COMPUTED_VALUE"""),"Brown")</f>
        <v>Brown</v>
      </c>
      <c r="E7289" t="str">
        <f>IFERROR(__xludf.DUMMYFUNCTION("""COMPUTED_VALUE"""),"Orlando")</f>
        <v>Orlando</v>
      </c>
      <c r="F7289" t="str">
        <f>IFERROR(__xludf.DUMMYFUNCTION("""COMPUTED_VALUE"""),"")</f>
        <v/>
      </c>
    </row>
    <row r="7290">
      <c r="D7290" t="str">
        <f>IFERROR(__xludf.DUMMYFUNCTION("""COMPUTED_VALUE"""),"Brown")</f>
        <v>Brown</v>
      </c>
      <c r="E7290" t="str">
        <f>IFERROR(__xludf.DUMMYFUNCTION("""COMPUTED_VALUE"""),"Pharaoh")</f>
        <v>Pharaoh</v>
      </c>
      <c r="F7290" t="str">
        <f>IFERROR(__xludf.DUMMYFUNCTION("""COMPUTED_VALUE"""),"")</f>
        <v/>
      </c>
    </row>
    <row r="7291">
      <c r="D7291" t="str">
        <f>IFERROR(__xludf.DUMMYFUNCTION("""COMPUTED_VALUE"""),"Brown")</f>
        <v>Brown</v>
      </c>
      <c r="E7291" t="str">
        <f>IFERROR(__xludf.DUMMYFUNCTION("""COMPUTED_VALUE"""),"Preston")</f>
        <v>Preston</v>
      </c>
      <c r="F7291" t="str">
        <f>IFERROR(__xludf.DUMMYFUNCTION("""COMPUTED_VALUE"""),"")</f>
        <v/>
      </c>
    </row>
    <row r="7292">
      <c r="D7292" t="str">
        <f>IFERROR(__xludf.DUMMYFUNCTION("""COMPUTED_VALUE"""),"Brown")</f>
        <v>Brown</v>
      </c>
      <c r="E7292" t="str">
        <f>IFERROR(__xludf.DUMMYFUNCTION("""COMPUTED_VALUE"""),"Tony")</f>
        <v>Tony</v>
      </c>
      <c r="F7292" t="str">
        <f>IFERROR(__xludf.DUMMYFUNCTION("""COMPUTED_VALUE"""),"")</f>
        <v/>
      </c>
    </row>
    <row r="7293">
      <c r="D7293" t="str">
        <f>IFERROR(__xludf.DUMMYFUNCTION("""COMPUTED_VALUE"""),"Brown")</f>
        <v>Brown</v>
      </c>
      <c r="E7293" t="str">
        <f>IFERROR(__xludf.DUMMYFUNCTION("""COMPUTED_VALUE"""),"Trent")</f>
        <v>Trent</v>
      </c>
      <c r="F7293" t="str">
        <f>IFERROR(__xludf.DUMMYFUNCTION("""COMPUTED_VALUE"""),"")</f>
        <v/>
      </c>
    </row>
    <row r="7294">
      <c r="D7294" t="str">
        <f>IFERROR(__xludf.DUMMYFUNCTION("""COMPUTED_VALUE"""),"Brown")</f>
        <v>Brown</v>
      </c>
      <c r="E7294" t="str">
        <f>IFERROR(__xludf.DUMMYFUNCTION("""COMPUTED_VALUE"""),"Zach")</f>
        <v>Zach</v>
      </c>
      <c r="F7294" t="str">
        <f>IFERROR(__xludf.DUMMYFUNCTION("""COMPUTED_VALUE"""),"")</f>
        <v/>
      </c>
    </row>
    <row r="7295">
      <c r="D7295" t="str">
        <f>IFERROR(__xludf.DUMMYFUNCTION("""COMPUTED_VALUE"""),"Brunskill")</f>
        <v>Brunskill</v>
      </c>
      <c r="E7295" t="str">
        <f>IFERROR(__xludf.DUMMYFUNCTION("""COMPUTED_VALUE"""),"Daniel")</f>
        <v>Daniel</v>
      </c>
      <c r="F7295" t="str">
        <f>IFERROR(__xludf.DUMMYFUNCTION("""COMPUTED_VALUE"""),"")</f>
        <v/>
      </c>
    </row>
    <row r="7296">
      <c r="D7296" t="str">
        <f>IFERROR(__xludf.DUMMYFUNCTION("""COMPUTED_VALUE"""),"Bryan")</f>
        <v>Bryan</v>
      </c>
      <c r="E7296" t="str">
        <f>IFERROR(__xludf.DUMMYFUNCTION("""COMPUTED_VALUE"""),"Taven")</f>
        <v>Taven</v>
      </c>
      <c r="F7296" t="str">
        <f>IFERROR(__xludf.DUMMYFUNCTION("""COMPUTED_VALUE"""),"")</f>
        <v/>
      </c>
    </row>
    <row r="7297">
      <c r="D7297" t="str">
        <f>IFERROR(__xludf.DUMMYFUNCTION("""COMPUTED_VALUE"""),"Bryant")</f>
        <v>Bryant</v>
      </c>
      <c r="E7297" t="str">
        <f>IFERROR(__xludf.DUMMYFUNCTION("""COMPUTED_VALUE"""),"Austin")</f>
        <v>Austin</v>
      </c>
      <c r="F7297" t="str">
        <f>IFERROR(__xludf.DUMMYFUNCTION("""COMPUTED_VALUE"""),"")</f>
        <v/>
      </c>
    </row>
    <row r="7298">
      <c r="D7298" t="str">
        <f>IFERROR(__xludf.DUMMYFUNCTION("""COMPUTED_VALUE"""),"Bryant")</f>
        <v>Bryant</v>
      </c>
      <c r="E7298" t="str">
        <f>IFERROR(__xludf.DUMMYFUNCTION("""COMPUTED_VALUE"""),"Brandon")</f>
        <v>Brandon</v>
      </c>
      <c r="F7298" t="str">
        <f>IFERROR(__xludf.DUMMYFUNCTION("""COMPUTED_VALUE"""),"")</f>
        <v/>
      </c>
    </row>
    <row r="7299">
      <c r="D7299" t="str">
        <f>IFERROR(__xludf.DUMMYFUNCTION("""COMPUTED_VALUE"""),"Bucannon")</f>
        <v>Bucannon</v>
      </c>
      <c r="E7299" t="str">
        <f>IFERROR(__xludf.DUMMYFUNCTION("""COMPUTED_VALUE"""),"Deone")</f>
        <v>Deone</v>
      </c>
      <c r="F7299" t="str">
        <f>IFERROR(__xludf.DUMMYFUNCTION("""COMPUTED_VALUE"""),"")</f>
        <v/>
      </c>
    </row>
    <row r="7300">
      <c r="D7300" t="str">
        <f>IFERROR(__xludf.DUMMYFUNCTION("""COMPUTED_VALUE"""),"Buckner")</f>
        <v>Buckner</v>
      </c>
      <c r="E7300" t="str">
        <f>IFERROR(__xludf.DUMMYFUNCTION("""COMPUTED_VALUE"""),"DeForest")</f>
        <v>DeForest</v>
      </c>
      <c r="F7300" t="str">
        <f>IFERROR(__xludf.DUMMYFUNCTION("""COMPUTED_VALUE"""),"")</f>
        <v/>
      </c>
    </row>
    <row r="7301">
      <c r="D7301" t="str">
        <f>IFERROR(__xludf.DUMMYFUNCTION("""COMPUTED_VALUE"""),"Buggs")</f>
        <v>Buggs</v>
      </c>
      <c r="E7301" t="str">
        <f>IFERROR(__xludf.DUMMYFUNCTION("""COMPUTED_VALUE"""),"Isaiah")</f>
        <v>Isaiah</v>
      </c>
      <c r="F7301" t="str">
        <f>IFERROR(__xludf.DUMMYFUNCTION("""COMPUTED_VALUE"""),"")</f>
        <v/>
      </c>
    </row>
    <row r="7302">
      <c r="D7302" t="str">
        <f>IFERROR(__xludf.DUMMYFUNCTION("""COMPUTED_VALUE"""),"Bulaga")</f>
        <v>Bulaga</v>
      </c>
      <c r="E7302" t="str">
        <f>IFERROR(__xludf.DUMMYFUNCTION("""COMPUTED_VALUE"""),"Bryan")</f>
        <v>Bryan</v>
      </c>
      <c r="F7302" t="str">
        <f>IFERROR(__xludf.DUMMYFUNCTION("""COMPUTED_VALUE"""),"")</f>
        <v/>
      </c>
    </row>
    <row r="7303">
      <c r="D7303" t="str">
        <f>IFERROR(__xludf.DUMMYFUNCTION("""COMPUTED_VALUE"""),"Bullard")</f>
        <v>Bullard</v>
      </c>
      <c r="E7303" t="str">
        <f>IFERROR(__xludf.DUMMYFUNCTION("""COMPUTED_VALUE"""),"Jonathan")</f>
        <v>Jonathan</v>
      </c>
      <c r="F7303" t="str">
        <f>IFERROR(__xludf.DUMMYFUNCTION("""COMPUTED_VALUE"""),"")</f>
        <v/>
      </c>
    </row>
    <row r="7304">
      <c r="D7304" t="str">
        <f>IFERROR(__xludf.DUMMYFUNCTION("""COMPUTED_VALUE"""),"Bullock")</f>
        <v>Bullock</v>
      </c>
      <c r="E7304" t="str">
        <f>IFERROR(__xludf.DUMMYFUNCTION("""COMPUTED_VALUE"""),"Randy")</f>
        <v>Randy</v>
      </c>
      <c r="F7304" t="str">
        <f>IFERROR(__xludf.DUMMYFUNCTION("""COMPUTED_VALUE"""),"")</f>
        <v/>
      </c>
    </row>
    <row r="7305">
      <c r="D7305" t="str">
        <f>IFERROR(__xludf.DUMMYFUNCTION("""COMPUTED_VALUE"""),"Bullough")</f>
        <v>Bullough</v>
      </c>
      <c r="E7305" t="str">
        <f>IFERROR(__xludf.DUMMYFUNCTION("""COMPUTED_VALUE"""),"Riley")</f>
        <v>Riley</v>
      </c>
      <c r="F7305" t="str">
        <f>IFERROR(__xludf.DUMMYFUNCTION("""COMPUTED_VALUE"""),"")</f>
        <v/>
      </c>
    </row>
    <row r="7306">
      <c r="D7306" t="str">
        <f>IFERROR(__xludf.DUMMYFUNCTION("""COMPUTED_VALUE"""),"Burbridge")</f>
        <v>Burbridge</v>
      </c>
      <c r="E7306" t="str">
        <f>IFERROR(__xludf.DUMMYFUNCTION("""COMPUTED_VALUE"""),"Aaron")</f>
        <v>Aaron</v>
      </c>
      <c r="F7306" t="str">
        <f>IFERROR(__xludf.DUMMYFUNCTION("""COMPUTED_VALUE"""),"")</f>
        <v/>
      </c>
    </row>
    <row r="7307">
      <c r="D7307" t="str">
        <f>IFERROR(__xludf.DUMMYFUNCTION("""COMPUTED_VALUE"""),"Burfict")</f>
        <v>Burfict</v>
      </c>
      <c r="E7307" t="str">
        <f>IFERROR(__xludf.DUMMYFUNCTION("""COMPUTED_VALUE"""),"Vontaze")</f>
        <v>Vontaze</v>
      </c>
      <c r="F7307" t="str">
        <f>IFERROR(__xludf.DUMMYFUNCTION("""COMPUTED_VALUE"""),"")</f>
        <v/>
      </c>
    </row>
    <row r="7308">
      <c r="D7308" t="str">
        <f>IFERROR(__xludf.DUMMYFUNCTION("""COMPUTED_VALUE"""),"Burgess")</f>
        <v>Burgess</v>
      </c>
      <c r="E7308" t="str">
        <f>IFERROR(__xludf.DUMMYFUNCTION("""COMPUTED_VALUE"""),"James")</f>
        <v>James</v>
      </c>
      <c r="F7308" t="str">
        <f>IFERROR(__xludf.DUMMYFUNCTION("""COMPUTED_VALUE"""),"")</f>
        <v/>
      </c>
    </row>
    <row r="7309">
      <c r="D7309" t="str">
        <f>IFERROR(__xludf.DUMMYFUNCTION("""COMPUTED_VALUE"""),"Burkhead")</f>
        <v>Burkhead</v>
      </c>
      <c r="E7309" t="str">
        <f>IFERROR(__xludf.DUMMYFUNCTION("""COMPUTED_VALUE"""),"Rex")</f>
        <v>Rex</v>
      </c>
      <c r="F7309" t="str">
        <f>IFERROR(__xludf.DUMMYFUNCTION("""COMPUTED_VALUE"""),"")</f>
        <v/>
      </c>
    </row>
    <row r="7310">
      <c r="D7310" t="str">
        <f>IFERROR(__xludf.DUMMYFUNCTION("""COMPUTED_VALUE"""),"Burks")</f>
        <v>Burks</v>
      </c>
      <c r="E7310" t="str">
        <f>IFERROR(__xludf.DUMMYFUNCTION("""COMPUTED_VALUE"""),"Oren")</f>
        <v>Oren</v>
      </c>
      <c r="F7310" t="str">
        <f>IFERROR(__xludf.DUMMYFUNCTION("""COMPUTED_VALUE"""),"")</f>
        <v/>
      </c>
    </row>
    <row r="7311">
      <c r="D7311" t="str">
        <f>IFERROR(__xludf.DUMMYFUNCTION("""COMPUTED_VALUE"""),"Burnett")</f>
        <v>Burnett</v>
      </c>
      <c r="E7311" t="str">
        <f>IFERROR(__xludf.DUMMYFUNCTION("""COMPUTED_VALUE"""),"Deontay")</f>
        <v>Deontay</v>
      </c>
      <c r="F7311" t="str">
        <f>IFERROR(__xludf.DUMMYFUNCTION("""COMPUTED_VALUE"""),"")</f>
        <v/>
      </c>
    </row>
    <row r="7312">
      <c r="D7312" t="str">
        <f>IFERROR(__xludf.DUMMYFUNCTION("""COMPUTED_VALUE"""),"Burnett")</f>
        <v>Burnett</v>
      </c>
      <c r="E7312" t="str">
        <f>IFERROR(__xludf.DUMMYFUNCTION("""COMPUTED_VALUE"""),"Morgan")</f>
        <v>Morgan</v>
      </c>
      <c r="F7312" t="str">
        <f>IFERROR(__xludf.DUMMYFUNCTION("""COMPUTED_VALUE"""),"")</f>
        <v/>
      </c>
    </row>
    <row r="7313">
      <c r="D7313" t="str">
        <f>IFERROR(__xludf.DUMMYFUNCTION("""COMPUTED_VALUE"""),"Burns")</f>
        <v>Burns</v>
      </c>
      <c r="E7313" t="str">
        <f>IFERROR(__xludf.DUMMYFUNCTION("""COMPUTED_VALUE"""),"Artie")</f>
        <v>Artie</v>
      </c>
      <c r="F7313" t="str">
        <f>IFERROR(__xludf.DUMMYFUNCTION("""COMPUTED_VALUE"""),"")</f>
        <v/>
      </c>
    </row>
    <row r="7314">
      <c r="D7314" t="str">
        <f>IFERROR(__xludf.DUMMYFUNCTION("""COMPUTED_VALUE"""),"Burns")</f>
        <v>Burns</v>
      </c>
      <c r="E7314" t="str">
        <f>IFERROR(__xludf.DUMMYFUNCTION("""COMPUTED_VALUE"""),"Brian")</f>
        <v>Brian</v>
      </c>
      <c r="F7314" t="str">
        <f>IFERROR(__xludf.DUMMYFUNCTION("""COMPUTED_VALUE"""),"")</f>
        <v/>
      </c>
    </row>
    <row r="7315">
      <c r="D7315" t="str">
        <f>IFERROR(__xludf.DUMMYFUNCTION("""COMPUTED_VALUE"""),"Burr-Kirven")</f>
        <v>Burr-Kirven</v>
      </c>
      <c r="E7315" t="str">
        <f>IFERROR(__xludf.DUMMYFUNCTION("""COMPUTED_VALUE"""),"Ben")</f>
        <v>Ben</v>
      </c>
      <c r="F7315" t="str">
        <f>IFERROR(__xludf.DUMMYFUNCTION("""COMPUTED_VALUE"""),"")</f>
        <v/>
      </c>
    </row>
    <row r="7316">
      <c r="D7316" t="str">
        <f>IFERROR(__xludf.DUMMYFUNCTION("""COMPUTED_VALUE"""),"Burris")</f>
        <v>Burris</v>
      </c>
      <c r="E7316" t="str">
        <f>IFERROR(__xludf.DUMMYFUNCTION("""COMPUTED_VALUE"""),"Juston")</f>
        <v>Juston</v>
      </c>
      <c r="F7316" t="str">
        <f>IFERROR(__xludf.DUMMYFUNCTION("""COMPUTED_VALUE"""),"")</f>
        <v/>
      </c>
    </row>
    <row r="7317">
      <c r="D7317" t="str">
        <f>IFERROR(__xludf.DUMMYFUNCTION("""COMPUTED_VALUE"""),"Burton")</f>
        <v>Burton</v>
      </c>
      <c r="E7317" t="str">
        <f>IFERROR(__xludf.DUMMYFUNCTION("""COMPUTED_VALUE"""),"Deante")</f>
        <v>Deante</v>
      </c>
      <c r="F7317" t="str">
        <f>IFERROR(__xludf.DUMMYFUNCTION("""COMPUTED_VALUE"""),"")</f>
        <v/>
      </c>
    </row>
    <row r="7318">
      <c r="D7318" t="str">
        <f>IFERROR(__xludf.DUMMYFUNCTION("""COMPUTED_VALUE"""),"Burton")</f>
        <v>Burton</v>
      </c>
      <c r="E7318" t="str">
        <f>IFERROR(__xludf.DUMMYFUNCTION("""COMPUTED_VALUE"""),"Michael")</f>
        <v>Michael</v>
      </c>
      <c r="F7318" t="str">
        <f>IFERROR(__xludf.DUMMYFUNCTION("""COMPUTED_VALUE"""),"")</f>
        <v/>
      </c>
    </row>
    <row r="7319">
      <c r="D7319" t="str">
        <f>IFERROR(__xludf.DUMMYFUNCTION("""COMPUTED_VALUE"""),"Burton")</f>
        <v>Burton</v>
      </c>
      <c r="E7319" t="str">
        <f>IFERROR(__xludf.DUMMYFUNCTION("""COMPUTED_VALUE"""),"Trey")</f>
        <v>Trey</v>
      </c>
      <c r="F7319" t="str">
        <f>IFERROR(__xludf.DUMMYFUNCTION("""COMPUTED_VALUE"""),"")</f>
        <v/>
      </c>
    </row>
    <row r="7320">
      <c r="D7320" t="str">
        <f>IFERROR(__xludf.DUMMYFUNCTION("""COMPUTED_VALUE"""),"Burwell")</f>
        <v>Burwell</v>
      </c>
      <c r="E7320" t="str">
        <f>IFERROR(__xludf.DUMMYFUNCTION("""COMPUTED_VALUE"""),"Tyreek")</f>
        <v>Tyreek</v>
      </c>
      <c r="F7320" t="str">
        <f>IFERROR(__xludf.DUMMYFUNCTION("""COMPUTED_VALUE"""),"")</f>
        <v/>
      </c>
    </row>
    <row r="7321">
      <c r="D7321" t="str">
        <f>IFERROR(__xludf.DUMMYFUNCTION("""COMPUTED_VALUE"""),"Bush")</f>
        <v>Bush</v>
      </c>
      <c r="E7321" t="str">
        <f>IFERROR(__xludf.DUMMYFUNCTION("""COMPUTED_VALUE"""),"Deon")</f>
        <v>Deon</v>
      </c>
      <c r="F7321" t="str">
        <f>IFERROR(__xludf.DUMMYFUNCTION("""COMPUTED_VALUE"""),"")</f>
        <v/>
      </c>
    </row>
    <row r="7322">
      <c r="D7322" t="str">
        <f>IFERROR(__xludf.DUMMYFUNCTION("""COMPUTED_VALUE"""),"Bush")</f>
        <v>Bush</v>
      </c>
      <c r="E7322" t="str">
        <f>IFERROR(__xludf.DUMMYFUNCTION("""COMPUTED_VALUE"""),"Devin")</f>
        <v>Devin</v>
      </c>
      <c r="F7322" t="str">
        <f>IFERROR(__xludf.DUMMYFUNCTION("""COMPUTED_VALUE"""),"")</f>
        <v/>
      </c>
    </row>
    <row r="7323">
      <c r="D7323" t="str">
        <f>IFERROR(__xludf.DUMMYFUNCTION("""COMPUTED_VALUE"""),"Bush")</f>
        <v>Bush</v>
      </c>
      <c r="E7323" t="str">
        <f>IFERROR(__xludf.DUMMYFUNCTION("""COMPUTED_VALUE"""),"Rafael")</f>
        <v>Rafael</v>
      </c>
      <c r="F7323" t="str">
        <f>IFERROR(__xludf.DUMMYFUNCTION("""COMPUTED_VALUE"""),"")</f>
        <v/>
      </c>
    </row>
    <row r="7324">
      <c r="D7324" t="str">
        <f>IFERROR(__xludf.DUMMYFUNCTION("""COMPUTED_VALUE"""),"Butker")</f>
        <v>Butker</v>
      </c>
      <c r="E7324" t="str">
        <f>IFERROR(__xludf.DUMMYFUNCTION("""COMPUTED_VALUE"""),"Harrison")</f>
        <v>Harrison</v>
      </c>
      <c r="F7324" t="str">
        <f>IFERROR(__xludf.DUMMYFUNCTION("""COMPUTED_VALUE"""),"")</f>
        <v/>
      </c>
    </row>
    <row r="7325">
      <c r="D7325" t="str">
        <f>IFERROR(__xludf.DUMMYFUNCTION("""COMPUTED_VALUE"""),"Butler")</f>
        <v>Butler</v>
      </c>
      <c r="E7325" t="str">
        <f>IFERROR(__xludf.DUMMYFUNCTION("""COMPUTED_VALUE"""),"Adam")</f>
        <v>Adam</v>
      </c>
      <c r="F7325" t="str">
        <f>IFERROR(__xludf.DUMMYFUNCTION("""COMPUTED_VALUE"""),"")</f>
        <v/>
      </c>
    </row>
    <row r="7326">
      <c r="D7326" t="str">
        <f>IFERROR(__xludf.DUMMYFUNCTION("""COMPUTED_VALUE"""),"Butler")</f>
        <v>Butler</v>
      </c>
      <c r="E7326" t="str">
        <f>IFERROR(__xludf.DUMMYFUNCTION("""COMPUTED_VALUE"""),"Brice")</f>
        <v>Brice</v>
      </c>
      <c r="F7326" t="str">
        <f>IFERROR(__xludf.DUMMYFUNCTION("""COMPUTED_VALUE"""),"")</f>
        <v/>
      </c>
    </row>
    <row r="7327">
      <c r="D7327" t="str">
        <f>IFERROR(__xludf.DUMMYFUNCTION("""COMPUTED_VALUE"""),"Butler")</f>
        <v>Butler</v>
      </c>
      <c r="E7327" t="str">
        <f>IFERROR(__xludf.DUMMYFUNCTION("""COMPUTED_VALUE"""),"Hakeem")</f>
        <v>Hakeem</v>
      </c>
      <c r="F7327" t="str">
        <f>IFERROR(__xludf.DUMMYFUNCTION("""COMPUTED_VALUE"""),"")</f>
        <v/>
      </c>
    </row>
    <row r="7328">
      <c r="D7328" t="str">
        <f>IFERROR(__xludf.DUMMYFUNCTION("""COMPUTED_VALUE"""),"Butler")</f>
        <v>Butler</v>
      </c>
      <c r="E7328" t="str">
        <f>IFERROR(__xludf.DUMMYFUNCTION("""COMPUTED_VALUE"""),"Malcolm")</f>
        <v>Malcolm</v>
      </c>
      <c r="F7328" t="str">
        <f>IFERROR(__xludf.DUMMYFUNCTION("""COMPUTED_VALUE"""),"")</f>
        <v/>
      </c>
    </row>
    <row r="7329">
      <c r="D7329" t="str">
        <f>IFERROR(__xludf.DUMMYFUNCTION("""COMPUTED_VALUE"""),"Butler")</f>
        <v>Butler</v>
      </c>
      <c r="E7329" t="str">
        <f>IFERROR(__xludf.DUMMYFUNCTION("""COMPUTED_VALUE"""),"Paul")</f>
        <v>Paul</v>
      </c>
      <c r="F7329" t="str">
        <f>IFERROR(__xludf.DUMMYFUNCTION("""COMPUTED_VALUE"""),"")</f>
        <v/>
      </c>
    </row>
    <row r="7330">
      <c r="D7330" t="str">
        <f>IFERROR(__xludf.DUMMYFUNCTION("""COMPUTED_VALUE"""),"Butler")</f>
        <v>Butler</v>
      </c>
      <c r="E7330" t="str">
        <f>IFERROR(__xludf.DUMMYFUNCTION("""COMPUTED_VALUE"""),"Vernon")</f>
        <v>Vernon</v>
      </c>
      <c r="F7330" t="str">
        <f>IFERROR(__xludf.DUMMYFUNCTION("""COMPUTED_VALUE"""),"")</f>
        <v/>
      </c>
    </row>
    <row r="7331">
      <c r="D7331" t="str">
        <f>IFERROR(__xludf.DUMMYFUNCTION("""COMPUTED_VALUE"""),"Butt")</f>
        <v>Butt</v>
      </c>
      <c r="E7331" t="str">
        <f>IFERROR(__xludf.DUMMYFUNCTION("""COMPUTED_VALUE"""),"Jake")</f>
        <v>Jake</v>
      </c>
      <c r="F7331" t="str">
        <f>IFERROR(__xludf.DUMMYFUNCTION("""COMPUTED_VALUE"""),"")</f>
        <v/>
      </c>
    </row>
    <row r="7332">
      <c r="D7332" t="str">
        <f>IFERROR(__xludf.DUMMYFUNCTION("""COMPUTED_VALUE"""),"Byard")</f>
        <v>Byard</v>
      </c>
      <c r="E7332" t="str">
        <f>IFERROR(__xludf.DUMMYFUNCTION("""COMPUTED_VALUE"""),"Kevin")</f>
        <v>Kevin</v>
      </c>
      <c r="F7332" t="str">
        <f>IFERROR(__xludf.DUMMYFUNCTION("""COMPUTED_VALUE"""),"")</f>
        <v/>
      </c>
    </row>
    <row r="7333">
      <c r="D7333" t="str">
        <f>IFERROR(__xludf.DUMMYFUNCTION("""COMPUTED_VALUE"""),"Byrd")</f>
        <v>Byrd</v>
      </c>
      <c r="E7333" t="str">
        <f>IFERROR(__xludf.DUMMYFUNCTION("""COMPUTED_VALUE"""),"Damiere")</f>
        <v>Damiere</v>
      </c>
      <c r="F7333" t="str">
        <f>IFERROR(__xludf.DUMMYFUNCTION("""COMPUTED_VALUE"""),"")</f>
        <v/>
      </c>
    </row>
    <row r="7334">
      <c r="D7334" t="str">
        <f>IFERROR(__xludf.DUMMYFUNCTION("""COMPUTED_VALUE"""),"Cabinda")</f>
        <v>Cabinda</v>
      </c>
      <c r="E7334" t="str">
        <f>IFERROR(__xludf.DUMMYFUNCTION("""COMPUTED_VALUE"""),"Jason")</f>
        <v>Jason</v>
      </c>
      <c r="F7334" t="str">
        <f>IFERROR(__xludf.DUMMYFUNCTION("""COMPUTED_VALUE"""),"")</f>
        <v/>
      </c>
    </row>
    <row r="7335">
      <c r="D7335" t="str">
        <f>IFERROR(__xludf.DUMMYFUNCTION("""COMPUTED_VALUE"""),"Cain")</f>
        <v>Cain</v>
      </c>
      <c r="E7335" t="str">
        <f>IFERROR(__xludf.DUMMYFUNCTION("""COMPUTED_VALUE"""),"Deon")</f>
        <v>Deon</v>
      </c>
      <c r="F7335" t="str">
        <f>IFERROR(__xludf.DUMMYFUNCTION("""COMPUTED_VALUE"""),"")</f>
        <v/>
      </c>
    </row>
    <row r="7336">
      <c r="D7336" t="str">
        <f>IFERROR(__xludf.DUMMYFUNCTION("""COMPUTED_VALUE"""),"Cajuste")</f>
        <v>Cajuste</v>
      </c>
      <c r="E7336" t="str">
        <f>IFERROR(__xludf.DUMMYFUNCTION("""COMPUTED_VALUE"""),"Yodny")</f>
        <v>Yodny</v>
      </c>
      <c r="F7336" t="str">
        <f>IFERROR(__xludf.DUMMYFUNCTION("""COMPUTED_VALUE"""),"")</f>
        <v/>
      </c>
    </row>
    <row r="7337">
      <c r="D7337" t="str">
        <f>IFERROR(__xludf.DUMMYFUNCTION("""COMPUTED_VALUE"""),"Calhoun")</f>
        <v>Calhoun</v>
      </c>
      <c r="E7337" t="str">
        <f>IFERROR(__xludf.DUMMYFUNCTION("""COMPUTED_VALUE"""),"Shaq")</f>
        <v>Shaq</v>
      </c>
      <c r="F7337" t="str">
        <f>IFERROR(__xludf.DUMMYFUNCTION("""COMPUTED_VALUE"""),"")</f>
        <v/>
      </c>
    </row>
    <row r="7338">
      <c r="D7338" t="str">
        <f>IFERROR(__xludf.DUMMYFUNCTION("""COMPUTED_VALUE"""),"Calhoun")</f>
        <v>Calhoun</v>
      </c>
      <c r="E7338" t="str">
        <f>IFERROR(__xludf.DUMMYFUNCTION("""COMPUTED_VALUE"""),"Shilique")</f>
        <v>Shilique</v>
      </c>
      <c r="F7338" t="str">
        <f>IFERROR(__xludf.DUMMYFUNCTION("""COMPUTED_VALUE"""),"")</f>
        <v/>
      </c>
    </row>
    <row r="7339">
      <c r="D7339" t="str">
        <f>IFERROR(__xludf.DUMMYFUNCTION("""COMPUTED_VALUE"""),"Calhoun")</f>
        <v>Calhoun</v>
      </c>
      <c r="E7339" t="str">
        <f>IFERROR(__xludf.DUMMYFUNCTION("""COMPUTED_VALUE"""),"Taveze")</f>
        <v>Taveze</v>
      </c>
      <c r="F7339" t="str">
        <f>IFERROR(__xludf.DUMMYFUNCTION("""COMPUTED_VALUE"""),"")</f>
        <v/>
      </c>
    </row>
    <row r="7340">
      <c r="D7340" t="str">
        <f>IFERROR(__xludf.DUMMYFUNCTION("""COMPUTED_VALUE"""),"Calitro")</f>
        <v>Calitro</v>
      </c>
      <c r="E7340" t="str">
        <f>IFERROR(__xludf.DUMMYFUNCTION("""COMPUTED_VALUE"""),"Austin")</f>
        <v>Austin</v>
      </c>
      <c r="F7340" t="str">
        <f>IFERROR(__xludf.DUMMYFUNCTION("""COMPUTED_VALUE"""),"")</f>
        <v/>
      </c>
    </row>
    <row r="7341">
      <c r="D7341" t="str">
        <f>IFERROR(__xludf.DUMMYFUNCTION("""COMPUTED_VALUE"""),"Callahan")</f>
        <v>Callahan</v>
      </c>
      <c r="E7341" t="str">
        <f>IFERROR(__xludf.DUMMYFUNCTION("""COMPUTED_VALUE"""),"Bryce")</f>
        <v>Bryce</v>
      </c>
      <c r="F7341" t="str">
        <f>IFERROR(__xludf.DUMMYFUNCTION("""COMPUTED_VALUE"""),"")</f>
        <v/>
      </c>
    </row>
    <row r="7342">
      <c r="D7342" t="str">
        <f>IFERROR(__xludf.DUMMYFUNCTION("""COMPUTED_VALUE"""),"Callaway")</f>
        <v>Callaway</v>
      </c>
      <c r="E7342" t="str">
        <f>IFERROR(__xludf.DUMMYFUNCTION("""COMPUTED_VALUE"""),"Antonio")</f>
        <v>Antonio</v>
      </c>
      <c r="F7342" t="str">
        <f>IFERROR(__xludf.DUMMYFUNCTION("""COMPUTED_VALUE"""),"")</f>
        <v/>
      </c>
    </row>
    <row r="7343">
      <c r="D7343" t="str">
        <f>IFERROR(__xludf.DUMMYFUNCTION("""COMPUTED_VALUE"""),"Campbell")</f>
        <v>Campbell</v>
      </c>
      <c r="E7343" t="str">
        <f>IFERROR(__xludf.DUMMYFUNCTION("""COMPUTED_VALUE"""),"Calais")</f>
        <v>Calais</v>
      </c>
      <c r="F7343" t="str">
        <f>IFERROR(__xludf.DUMMYFUNCTION("""COMPUTED_VALUE"""),"")</f>
        <v/>
      </c>
    </row>
    <row r="7344">
      <c r="D7344" t="str">
        <f>IFERROR(__xludf.DUMMYFUNCTION("""COMPUTED_VALUE"""),"Campbell")</f>
        <v>Campbell</v>
      </c>
      <c r="E7344" t="str">
        <f>IFERROR(__xludf.DUMMYFUNCTION("""COMPUTED_VALUE"""),"Christian")</f>
        <v>Christian</v>
      </c>
      <c r="F7344" t="str">
        <f>IFERROR(__xludf.DUMMYFUNCTION("""COMPUTED_VALUE"""),"")</f>
        <v/>
      </c>
    </row>
    <row r="7345">
      <c r="D7345" t="str">
        <f>IFERROR(__xludf.DUMMYFUNCTION("""COMPUTED_VALUE"""),"Campbell")</f>
        <v>Campbell</v>
      </c>
      <c r="E7345" t="str">
        <f>IFERROR(__xludf.DUMMYFUNCTION("""COMPUTED_VALUE"""),"DeVondre")</f>
        <v>DeVondre</v>
      </c>
      <c r="F7345" t="str">
        <f>IFERROR(__xludf.DUMMYFUNCTION("""COMPUTED_VALUE"""),"")</f>
        <v/>
      </c>
    </row>
    <row r="7346">
      <c r="D7346" t="str">
        <f>IFERROR(__xludf.DUMMYFUNCTION("""COMPUTED_VALUE"""),"Campbell")</f>
        <v>Campbell</v>
      </c>
      <c r="E7346" t="str">
        <f>IFERROR(__xludf.DUMMYFUNCTION("""COMPUTED_VALUE"""),"Parris")</f>
        <v>Parris</v>
      </c>
      <c r="F7346" t="str">
        <f>IFERROR(__xludf.DUMMYFUNCTION("""COMPUTED_VALUE"""),"")</f>
        <v/>
      </c>
    </row>
    <row r="7347">
      <c r="D7347" t="str">
        <f>IFERROR(__xludf.DUMMYFUNCTION("""COMPUTED_VALUE"""),"Canaday")</f>
        <v>Canaday</v>
      </c>
      <c r="E7347" t="str">
        <f>IFERROR(__xludf.DUMMYFUNCTION("""COMPUTED_VALUE"""),"Kameron")</f>
        <v>Kameron</v>
      </c>
      <c r="F7347" t="str">
        <f>IFERROR(__xludf.DUMMYFUNCTION("""COMPUTED_VALUE"""),"")</f>
        <v/>
      </c>
    </row>
    <row r="7348">
      <c r="D7348" t="str">
        <f>IFERROR(__xludf.DUMMYFUNCTION("""COMPUTED_VALUE"""),"Canady")</f>
        <v>Canady</v>
      </c>
      <c r="E7348" t="str">
        <f>IFERROR(__xludf.DUMMYFUNCTION("""COMPUTED_VALUE"""),"Maurice")</f>
        <v>Maurice</v>
      </c>
      <c r="F7348" t="str">
        <f>IFERROR(__xludf.DUMMYFUNCTION("""COMPUTED_VALUE"""),"")</f>
        <v/>
      </c>
    </row>
    <row r="7349">
      <c r="D7349" t="str">
        <f>IFERROR(__xludf.DUMMYFUNCTION("""COMPUTED_VALUE"""),"Cann")</f>
        <v>Cann</v>
      </c>
      <c r="E7349" t="str">
        <f>IFERROR(__xludf.DUMMYFUNCTION("""COMPUTED_VALUE"""),"AJ")</f>
        <v>AJ</v>
      </c>
      <c r="F7349" t="str">
        <f>IFERROR(__xludf.DUMMYFUNCTION("""COMPUTED_VALUE"""),"")</f>
        <v/>
      </c>
    </row>
    <row r="7350">
      <c r="D7350" t="str">
        <f>IFERROR(__xludf.DUMMYFUNCTION("""COMPUTED_VALUE"""),"Cannon")</f>
        <v>Cannon</v>
      </c>
      <c r="E7350" t="str">
        <f>IFERROR(__xludf.DUMMYFUNCTION("""COMPUTED_VALUE"""),"Marcus")</f>
        <v>Marcus</v>
      </c>
      <c r="F7350" t="str">
        <f>IFERROR(__xludf.DUMMYFUNCTION("""COMPUTED_VALUE"""),"")</f>
        <v/>
      </c>
    </row>
    <row r="7351">
      <c r="D7351" t="str">
        <f>IFERROR(__xludf.DUMMYFUNCTION("""COMPUTED_VALUE"""),"Cannon")</f>
        <v>Cannon</v>
      </c>
      <c r="E7351" t="str">
        <f>IFERROR(__xludf.DUMMYFUNCTION("""COMPUTED_VALUE"""),"Trenton")</f>
        <v>Trenton</v>
      </c>
      <c r="F7351" t="str">
        <f>IFERROR(__xludf.DUMMYFUNCTION("""COMPUTED_VALUE"""),"")</f>
        <v/>
      </c>
    </row>
    <row r="7352">
      <c r="D7352" t="str">
        <f>IFERROR(__xludf.DUMMYFUNCTION("""COMPUTED_VALUE"""),"Cantrell")</f>
        <v>Cantrell</v>
      </c>
      <c r="E7352" t="str">
        <f>IFERROR(__xludf.DUMMYFUNCTION("""COMPUTED_VALUE"""),"Dylan")</f>
        <v>Dylan</v>
      </c>
      <c r="F7352" t="str">
        <f>IFERROR(__xludf.DUMMYFUNCTION("""COMPUTED_VALUE"""),"")</f>
        <v/>
      </c>
    </row>
    <row r="7353">
      <c r="D7353" t="str">
        <f>IFERROR(__xludf.DUMMYFUNCTION("""COMPUTED_VALUE"""),"Cappa")</f>
        <v>Cappa</v>
      </c>
      <c r="E7353" t="str">
        <f>IFERROR(__xludf.DUMMYFUNCTION("""COMPUTED_VALUE"""),"Alex")</f>
        <v>Alex</v>
      </c>
      <c r="F7353" t="str">
        <f>IFERROR(__xludf.DUMMYFUNCTION("""COMPUTED_VALUE"""),"")</f>
        <v/>
      </c>
    </row>
    <row r="7354">
      <c r="D7354" t="str">
        <f>IFERROR(__xludf.DUMMYFUNCTION("""COMPUTED_VALUE"""),"Cardona")</f>
        <v>Cardona</v>
      </c>
      <c r="E7354" t="str">
        <f>IFERROR(__xludf.DUMMYFUNCTION("""COMPUTED_VALUE"""),"Joe")</f>
        <v>Joe</v>
      </c>
      <c r="F7354" t="str">
        <f>IFERROR(__xludf.DUMMYFUNCTION("""COMPUTED_VALUE"""),"")</f>
        <v/>
      </c>
    </row>
    <row r="7355">
      <c r="D7355" t="str">
        <f>IFERROR(__xludf.DUMMYFUNCTION("""COMPUTED_VALUE"""),"Carlson")</f>
        <v>Carlson</v>
      </c>
      <c r="E7355" t="str">
        <f>IFERROR(__xludf.DUMMYFUNCTION("""COMPUTED_VALUE"""),"Daniel")</f>
        <v>Daniel</v>
      </c>
      <c r="F7355" t="str">
        <f>IFERROR(__xludf.DUMMYFUNCTION("""COMPUTED_VALUE"""),"")</f>
        <v/>
      </c>
    </row>
    <row r="7356">
      <c r="D7356" t="str">
        <f>IFERROR(__xludf.DUMMYFUNCTION("""COMPUTED_VALUE"""),"Carney")</f>
        <v>Carney</v>
      </c>
      <c r="E7356" t="str">
        <f>IFERROR(__xludf.DUMMYFUNCTION("""COMPUTED_VALUE"""),"Malik")</f>
        <v>Malik</v>
      </c>
      <c r="F7356" t="str">
        <f>IFERROR(__xludf.DUMMYFUNCTION("""COMPUTED_VALUE"""),"")</f>
        <v/>
      </c>
    </row>
    <row r="7357">
      <c r="D7357" t="str">
        <f>IFERROR(__xludf.DUMMYFUNCTION("""COMPUTED_VALUE"""),"Carpenter")</f>
        <v>Carpenter</v>
      </c>
      <c r="E7357" t="str">
        <f>IFERROR(__xludf.DUMMYFUNCTION("""COMPUTED_VALUE"""),"James")</f>
        <v>James</v>
      </c>
      <c r="F7357" t="str">
        <f>IFERROR(__xludf.DUMMYFUNCTION("""COMPUTED_VALUE"""),"")</f>
        <v/>
      </c>
    </row>
    <row r="7358">
      <c r="D7358" t="str">
        <f>IFERROR(__xludf.DUMMYFUNCTION("""COMPUTED_VALUE"""),"Carr")</f>
        <v>Carr</v>
      </c>
      <c r="E7358" t="str">
        <f>IFERROR(__xludf.DUMMYFUNCTION("""COMPUTED_VALUE"""),"Austin")</f>
        <v>Austin</v>
      </c>
      <c r="F7358" t="str">
        <f>IFERROR(__xludf.DUMMYFUNCTION("""COMPUTED_VALUE"""),"")</f>
        <v/>
      </c>
    </row>
    <row r="7359">
      <c r="D7359" t="str">
        <f>IFERROR(__xludf.DUMMYFUNCTION("""COMPUTED_VALUE"""),"Carr")</f>
        <v>Carr</v>
      </c>
      <c r="E7359" t="str">
        <f>IFERROR(__xludf.DUMMYFUNCTION("""COMPUTED_VALUE"""),"Brandon")</f>
        <v>Brandon</v>
      </c>
      <c r="F7359" t="str">
        <f>IFERROR(__xludf.DUMMYFUNCTION("""COMPUTED_VALUE"""),"")</f>
        <v/>
      </c>
    </row>
    <row r="7360">
      <c r="D7360" t="str">
        <f>IFERROR(__xludf.DUMMYFUNCTION("""COMPUTED_VALUE"""),"Carr")</f>
        <v>Carr</v>
      </c>
      <c r="E7360" t="str">
        <f>IFERROR(__xludf.DUMMYFUNCTION("""COMPUTED_VALUE"""),"Derek")</f>
        <v>Derek</v>
      </c>
      <c r="F7360" t="str">
        <f>IFERROR(__xludf.DUMMYFUNCTION("""COMPUTED_VALUE"""),"")</f>
        <v/>
      </c>
    </row>
    <row r="7361">
      <c r="D7361" t="str">
        <f>IFERROR(__xludf.DUMMYFUNCTION("""COMPUTED_VALUE"""),"Carradine")</f>
        <v>Carradine</v>
      </c>
      <c r="E7361" t="str">
        <f>IFERROR(__xludf.DUMMYFUNCTION("""COMPUTED_VALUE"""),"Tank")</f>
        <v>Tank</v>
      </c>
      <c r="F7361" t="str">
        <f>IFERROR(__xludf.DUMMYFUNCTION("""COMPUTED_VALUE"""),"")</f>
        <v/>
      </c>
    </row>
    <row r="7362">
      <c r="D7362" t="str">
        <f>IFERROR(__xludf.DUMMYFUNCTION("""COMPUTED_VALUE"""),"Carraway")</f>
        <v>Carraway</v>
      </c>
      <c r="E7362" t="str">
        <f>IFERROR(__xludf.DUMMYFUNCTION("""COMPUTED_VALUE"""),"Josh")</f>
        <v>Josh</v>
      </c>
      <c r="F7362" t="str">
        <f>IFERROR(__xludf.DUMMYFUNCTION("""COMPUTED_VALUE"""),"")</f>
        <v/>
      </c>
    </row>
    <row r="7363">
      <c r="D7363" t="str">
        <f>IFERROR(__xludf.DUMMYFUNCTION("""COMPUTED_VALUE"""),"Carrie")</f>
        <v>Carrie</v>
      </c>
      <c r="E7363" t="str">
        <f>IFERROR(__xludf.DUMMYFUNCTION("""COMPUTED_VALUE"""),"TJ")</f>
        <v>TJ</v>
      </c>
      <c r="F7363" t="str">
        <f>IFERROR(__xludf.DUMMYFUNCTION("""COMPUTED_VALUE"""),"")</f>
        <v/>
      </c>
    </row>
    <row r="7364">
      <c r="D7364" t="str">
        <f>IFERROR(__xludf.DUMMYFUNCTION("""COMPUTED_VALUE"""),"Carrier")</f>
        <v>Carrier</v>
      </c>
      <c r="E7364" t="str">
        <f>IFERROR(__xludf.DUMMYFUNCTION("""COMPUTED_VALUE"""),"Derek")</f>
        <v>Derek</v>
      </c>
      <c r="F7364" t="str">
        <f>IFERROR(__xludf.DUMMYFUNCTION("""COMPUTED_VALUE"""),"")</f>
        <v/>
      </c>
    </row>
    <row r="7365">
      <c r="D7365" t="str">
        <f>IFERROR(__xludf.DUMMYFUNCTION("""COMPUTED_VALUE"""),"Carson")</f>
        <v>Carson</v>
      </c>
      <c r="E7365" t="str">
        <f>IFERROR(__xludf.DUMMYFUNCTION("""COMPUTED_VALUE"""),"Chris")</f>
        <v>Chris</v>
      </c>
      <c r="F7365" t="str">
        <f>IFERROR(__xludf.DUMMYFUNCTION("""COMPUTED_VALUE"""),"")</f>
        <v/>
      </c>
    </row>
    <row r="7366">
      <c r="D7366" t="str">
        <f>IFERROR(__xludf.DUMMYFUNCTION("""COMPUTED_VALUE"""),"Carson")</f>
        <v>Carson</v>
      </c>
      <c r="E7366" t="str">
        <f>IFERROR(__xludf.DUMMYFUNCTION("""COMPUTED_VALUE"""),"Tra")</f>
        <v>Tra</v>
      </c>
      <c r="F7366" t="str">
        <f>IFERROR(__xludf.DUMMYFUNCTION("""COMPUTED_VALUE"""),"")</f>
        <v/>
      </c>
    </row>
    <row r="7367">
      <c r="D7367" t="str">
        <f>IFERROR(__xludf.DUMMYFUNCTION("""COMPUTED_VALUE"""),"Carter")</f>
        <v>Carter</v>
      </c>
      <c r="E7367" t="str">
        <f>IFERROR(__xludf.DUMMYFUNCTION("""COMPUTED_VALUE"""),"Bruce")</f>
        <v>Bruce</v>
      </c>
      <c r="F7367" t="str">
        <f>IFERROR(__xludf.DUMMYFUNCTION("""COMPUTED_VALUE"""),"")</f>
        <v/>
      </c>
    </row>
    <row r="7368">
      <c r="D7368" t="str">
        <f>IFERROR(__xludf.DUMMYFUNCTION("""COMPUTED_VALUE"""),"Carter")</f>
        <v>Carter</v>
      </c>
      <c r="E7368" t="str">
        <f>IFERROR(__xludf.DUMMYFUNCTION("""COMPUTED_VALUE"""),"Cethan")</f>
        <v>Cethan</v>
      </c>
      <c r="F7368" t="str">
        <f>IFERROR(__xludf.DUMMYFUNCTION("""COMPUTED_VALUE"""),"")</f>
        <v/>
      </c>
    </row>
    <row r="7369">
      <c r="D7369" t="str">
        <f>IFERROR(__xludf.DUMMYFUNCTION("""COMPUTED_VALUE"""),"Carter")</f>
        <v>Carter</v>
      </c>
      <c r="E7369" t="str">
        <f>IFERROR(__xludf.DUMMYFUNCTION("""COMPUTED_VALUE"""),"DeAndre")</f>
        <v>DeAndre</v>
      </c>
      <c r="F7369" t="str">
        <f>IFERROR(__xludf.DUMMYFUNCTION("""COMPUTED_VALUE"""),"")</f>
        <v/>
      </c>
    </row>
    <row r="7370">
      <c r="D7370" t="str">
        <f>IFERROR(__xludf.DUMMYFUNCTION("""COMPUTED_VALUE"""),"Carter")</f>
        <v>Carter</v>
      </c>
      <c r="E7370" t="str">
        <f>IFERROR(__xludf.DUMMYFUNCTION("""COMPUTED_VALUE"""),"Jamal")</f>
        <v>Jamal</v>
      </c>
      <c r="F7370" t="str">
        <f>IFERROR(__xludf.DUMMYFUNCTION("""COMPUTED_VALUE"""),"")</f>
        <v/>
      </c>
    </row>
    <row r="7371">
      <c r="D7371" t="str">
        <f>IFERROR(__xludf.DUMMYFUNCTION("""COMPUTED_VALUE"""),"Carter")</f>
        <v>Carter</v>
      </c>
      <c r="E7371" t="str">
        <f>IFERROR(__xludf.DUMMYFUNCTION("""COMPUTED_VALUE"""),"Jermaine")</f>
        <v>Jermaine</v>
      </c>
      <c r="F7371" t="str">
        <f>IFERROR(__xludf.DUMMYFUNCTION("""COMPUTED_VALUE"""),"")</f>
        <v/>
      </c>
    </row>
    <row r="7372">
      <c r="D7372" t="str">
        <f>IFERROR(__xludf.DUMMYFUNCTION("""COMPUTED_VALUE"""),"Carter")</f>
        <v>Carter</v>
      </c>
      <c r="E7372" t="str">
        <f>IFERROR(__xludf.DUMMYFUNCTION("""COMPUTED_VALUE"""),"Lorenzo")</f>
        <v>Lorenzo</v>
      </c>
      <c r="F7372" t="str">
        <f>IFERROR(__xludf.DUMMYFUNCTION("""COMPUTED_VALUE"""),"")</f>
        <v/>
      </c>
    </row>
    <row r="7373">
      <c r="D7373" t="str">
        <f>IFERROR(__xludf.DUMMYFUNCTION("""COMPUTED_VALUE"""),"Casey")</f>
        <v>Casey</v>
      </c>
      <c r="E7373" t="str">
        <f>IFERROR(__xludf.DUMMYFUNCTION("""COMPUTED_VALUE"""),"Jurrell")</f>
        <v>Jurrell</v>
      </c>
      <c r="F7373" t="str">
        <f>IFERROR(__xludf.DUMMYFUNCTION("""COMPUTED_VALUE"""),"")</f>
        <v/>
      </c>
    </row>
    <row r="7374">
      <c r="D7374" t="str">
        <f>IFERROR(__xludf.DUMMYFUNCTION("""COMPUTED_VALUE"""),"Cashman")</f>
        <v>Cashman</v>
      </c>
      <c r="E7374" t="str">
        <f>IFERROR(__xludf.DUMMYFUNCTION("""COMPUTED_VALUE"""),"Blake")</f>
        <v>Blake</v>
      </c>
      <c r="F7374" t="str">
        <f>IFERROR(__xludf.DUMMYFUNCTION("""COMPUTED_VALUE"""),"")</f>
        <v/>
      </c>
    </row>
    <row r="7375">
      <c r="D7375" t="str">
        <f>IFERROR(__xludf.DUMMYFUNCTION("""COMPUTED_VALUE"""),"Castonzo")</f>
        <v>Castonzo</v>
      </c>
      <c r="E7375" t="str">
        <f>IFERROR(__xludf.DUMMYFUNCTION("""COMPUTED_VALUE"""),"Anthony")</f>
        <v>Anthony</v>
      </c>
      <c r="F7375" t="str">
        <f>IFERROR(__xludf.DUMMYFUNCTION("""COMPUTED_VALUE"""),"")</f>
        <v/>
      </c>
    </row>
    <row r="7376">
      <c r="D7376" t="str">
        <f>IFERROR(__xludf.DUMMYFUNCTION("""COMPUTED_VALUE"""),"Catalina")</f>
        <v>Catalina</v>
      </c>
      <c r="E7376" t="str">
        <f>IFERROR(__xludf.DUMMYFUNCTION("""COMPUTED_VALUE"""),"Tyler")</f>
        <v>Tyler</v>
      </c>
      <c r="F7376" t="str">
        <f>IFERROR(__xludf.DUMMYFUNCTION("""COMPUTED_VALUE"""),"")</f>
        <v/>
      </c>
    </row>
    <row r="7377">
      <c r="D7377" t="str">
        <f>IFERROR(__xludf.DUMMYFUNCTION("""COMPUTED_VALUE"""),"Catanzaro")</f>
        <v>Catanzaro</v>
      </c>
      <c r="E7377" t="str">
        <f>IFERROR(__xludf.DUMMYFUNCTION("""COMPUTED_VALUE"""),"Chandler")</f>
        <v>Chandler</v>
      </c>
      <c r="F7377" t="str">
        <f>IFERROR(__xludf.DUMMYFUNCTION("""COMPUTED_VALUE"""),"")</f>
        <v/>
      </c>
    </row>
    <row r="7378">
      <c r="D7378" t="str">
        <f>IFERROR(__xludf.DUMMYFUNCTION("""COMPUTED_VALUE"""),"Celek")</f>
        <v>Celek</v>
      </c>
      <c r="E7378" t="str">
        <f>IFERROR(__xludf.DUMMYFUNCTION("""COMPUTED_VALUE"""),"Garrett")</f>
        <v>Garrett</v>
      </c>
      <c r="F7378" t="str">
        <f>IFERROR(__xludf.DUMMYFUNCTION("""COMPUTED_VALUE"""),"")</f>
        <v/>
      </c>
    </row>
    <row r="7379">
      <c r="D7379" t="str">
        <f>IFERROR(__xludf.DUMMYFUNCTION("""COMPUTED_VALUE"""),"Chachere")</f>
        <v>Chachere</v>
      </c>
      <c r="E7379" t="str">
        <f>IFERROR(__xludf.DUMMYFUNCTION("""COMPUTED_VALUE"""),"Andre")</f>
        <v>Andre</v>
      </c>
      <c r="F7379" t="str">
        <f>IFERROR(__xludf.DUMMYFUNCTION("""COMPUTED_VALUE"""),"")</f>
        <v/>
      </c>
    </row>
    <row r="7380">
      <c r="D7380" t="str">
        <f>IFERROR(__xludf.DUMMYFUNCTION("""COMPUTED_VALUE"""),"Chandler")</f>
        <v>Chandler</v>
      </c>
      <c r="E7380" t="str">
        <f>IFERROR(__xludf.DUMMYFUNCTION("""COMPUTED_VALUE"""),"Sean")</f>
        <v>Sean</v>
      </c>
      <c r="F7380" t="str">
        <f>IFERROR(__xludf.DUMMYFUNCTION("""COMPUTED_VALUE"""),"")</f>
        <v/>
      </c>
    </row>
    <row r="7381">
      <c r="D7381" t="str">
        <f>IFERROR(__xludf.DUMMYFUNCTION("""COMPUTED_VALUE"""),"Chark")</f>
        <v>Chark</v>
      </c>
      <c r="E7381" t="str">
        <f>IFERROR(__xludf.DUMMYFUNCTION("""COMPUTED_VALUE"""),"DJ")</f>
        <v>DJ</v>
      </c>
      <c r="F7381" t="str">
        <f>IFERROR(__xludf.DUMMYFUNCTION("""COMPUTED_VALUE"""),"")</f>
        <v/>
      </c>
    </row>
    <row r="7382">
      <c r="D7382" t="str">
        <f>IFERROR(__xludf.DUMMYFUNCTION("""COMPUTED_VALUE"""),"Charles")</f>
        <v>Charles</v>
      </c>
      <c r="E7382" t="str">
        <f>IFERROR(__xludf.DUMMYFUNCTION("""COMPUTED_VALUE"""),"Orson")</f>
        <v>Orson</v>
      </c>
      <c r="F7382" t="str">
        <f>IFERROR(__xludf.DUMMYFUNCTION("""COMPUTED_VALUE"""),"")</f>
        <v/>
      </c>
    </row>
    <row r="7383">
      <c r="D7383" t="str">
        <f>IFERROR(__xludf.DUMMYFUNCTION("""COMPUTED_VALUE"""),"Charlton")</f>
        <v>Charlton</v>
      </c>
      <c r="E7383" t="str">
        <f>IFERROR(__xludf.DUMMYFUNCTION("""COMPUTED_VALUE"""),"Taco")</f>
        <v>Taco</v>
      </c>
      <c r="F7383" t="str">
        <f>IFERROR(__xludf.DUMMYFUNCTION("""COMPUTED_VALUE"""),"")</f>
        <v/>
      </c>
    </row>
    <row r="7384">
      <c r="D7384" t="str">
        <f>IFERROR(__xludf.DUMMYFUNCTION("""COMPUTED_VALUE"""),"Chesson")</f>
        <v>Chesson</v>
      </c>
      <c r="E7384" t="str">
        <f>IFERROR(__xludf.DUMMYFUNCTION("""COMPUTED_VALUE"""),"Jehu")</f>
        <v>Jehu</v>
      </c>
      <c r="F7384" t="str">
        <f>IFERROR(__xludf.DUMMYFUNCTION("""COMPUTED_VALUE"""),"")</f>
        <v/>
      </c>
    </row>
    <row r="7385">
      <c r="D7385" t="str">
        <f>IFERROR(__xludf.DUMMYFUNCTION("""COMPUTED_VALUE"""),"Chickillo")</f>
        <v>Chickillo</v>
      </c>
      <c r="E7385" t="str">
        <f>IFERROR(__xludf.DUMMYFUNCTION("""COMPUTED_VALUE"""),"Anthony")</f>
        <v>Anthony</v>
      </c>
      <c r="F7385" t="str">
        <f>IFERROR(__xludf.DUMMYFUNCTION("""COMPUTED_VALUE"""),"")</f>
        <v/>
      </c>
    </row>
    <row r="7386">
      <c r="D7386" t="str">
        <f>IFERROR(__xludf.DUMMYFUNCTION("""COMPUTED_VALUE"""),"Christian")</f>
        <v>Christian</v>
      </c>
      <c r="E7386" t="str">
        <f>IFERROR(__xludf.DUMMYFUNCTION("""COMPUTED_VALUE"""),"Geron")</f>
        <v>Geron</v>
      </c>
      <c r="F7386" t="str">
        <f>IFERROR(__xludf.DUMMYFUNCTION("""COMPUTED_VALUE"""),"")</f>
        <v/>
      </c>
    </row>
    <row r="7387">
      <c r="D7387" t="str">
        <f>IFERROR(__xludf.DUMMYFUNCTION("""COMPUTED_VALUE"""),"Christian")</f>
        <v>Christian</v>
      </c>
      <c r="E7387" t="str">
        <f>IFERROR(__xludf.DUMMYFUNCTION("""COMPUTED_VALUE"""),"Marqui")</f>
        <v>Marqui</v>
      </c>
      <c r="F7387" t="str">
        <f>IFERROR(__xludf.DUMMYFUNCTION("""COMPUTED_VALUE"""),"")</f>
        <v/>
      </c>
    </row>
    <row r="7388">
      <c r="D7388" t="str">
        <f>IFERROR(__xludf.DUMMYFUNCTION("""COMPUTED_VALUE"""),"Christmas")</f>
        <v>Christmas</v>
      </c>
      <c r="E7388" t="str">
        <f>IFERROR(__xludf.DUMMYFUNCTION("""COMPUTED_VALUE"""),"Demarcus")</f>
        <v>Demarcus</v>
      </c>
      <c r="F7388" t="str">
        <f>IFERROR(__xludf.DUMMYFUNCTION("""COMPUTED_VALUE"""),"")</f>
        <v/>
      </c>
    </row>
    <row r="7389">
      <c r="D7389" t="str">
        <f>IFERROR(__xludf.DUMMYFUNCTION("""COMPUTED_VALUE"""),"Chubb")</f>
        <v>Chubb</v>
      </c>
      <c r="E7389" t="str">
        <f>IFERROR(__xludf.DUMMYFUNCTION("""COMPUTED_VALUE"""),"Bradley")</f>
        <v>Bradley</v>
      </c>
      <c r="F7389" t="str">
        <f>IFERROR(__xludf.DUMMYFUNCTION("""COMPUTED_VALUE"""),"")</f>
        <v/>
      </c>
    </row>
    <row r="7390">
      <c r="D7390" t="str">
        <f>IFERROR(__xludf.DUMMYFUNCTION("""COMPUTED_VALUE"""),"Chubb")</f>
        <v>Chubb</v>
      </c>
      <c r="E7390" t="str">
        <f>IFERROR(__xludf.DUMMYFUNCTION("""COMPUTED_VALUE"""),"Brandon")</f>
        <v>Brandon</v>
      </c>
      <c r="F7390" t="str">
        <f>IFERROR(__xludf.DUMMYFUNCTION("""COMPUTED_VALUE"""),"")</f>
        <v/>
      </c>
    </row>
    <row r="7391">
      <c r="D7391" t="str">
        <f>IFERROR(__xludf.DUMMYFUNCTION("""COMPUTED_VALUE"""),"Chubb")</f>
        <v>Chubb</v>
      </c>
      <c r="E7391" t="str">
        <f>IFERROR(__xludf.DUMMYFUNCTION("""COMPUTED_VALUE"""),"Nick")</f>
        <v>Nick</v>
      </c>
      <c r="F7391" t="str">
        <f>IFERROR(__xludf.DUMMYFUNCTION("""COMPUTED_VALUE"""),"")</f>
        <v/>
      </c>
    </row>
    <row r="7392">
      <c r="D7392" t="str">
        <f>IFERROR(__xludf.DUMMYFUNCTION("""COMPUTED_VALUE"""),"Chung")</f>
        <v>Chung</v>
      </c>
      <c r="E7392" t="str">
        <f>IFERROR(__xludf.DUMMYFUNCTION("""COMPUTED_VALUE"""),"Patrick")</f>
        <v>Patrick</v>
      </c>
      <c r="F7392" t="str">
        <f>IFERROR(__xludf.DUMMYFUNCTION("""COMPUTED_VALUE"""),"")</f>
        <v/>
      </c>
    </row>
    <row r="7393">
      <c r="D7393" t="str">
        <f>IFERROR(__xludf.DUMMYFUNCTION("""COMPUTED_VALUE"""),"Cichy")</f>
        <v>Cichy</v>
      </c>
      <c r="E7393" t="str">
        <f>IFERROR(__xludf.DUMMYFUNCTION("""COMPUTED_VALUE"""),"Jack")</f>
        <v>Jack</v>
      </c>
      <c r="F7393" t="str">
        <f>IFERROR(__xludf.DUMMYFUNCTION("""COMPUTED_VALUE"""),"")</f>
        <v/>
      </c>
    </row>
    <row r="7394">
      <c r="D7394" t="str">
        <f>IFERROR(__xludf.DUMMYFUNCTION("""COMPUTED_VALUE"""),"Clapp")</f>
        <v>Clapp</v>
      </c>
      <c r="E7394" t="str">
        <f>IFERROR(__xludf.DUMMYFUNCTION("""COMPUTED_VALUE"""),"Will")</f>
        <v>Will</v>
      </c>
      <c r="F7394" t="str">
        <f>IFERROR(__xludf.DUMMYFUNCTION("""COMPUTED_VALUE"""),"")</f>
        <v/>
      </c>
    </row>
    <row r="7395">
      <c r="D7395" t="str">
        <f>IFERROR(__xludf.DUMMYFUNCTION("""COMPUTED_VALUE"""),"Clark")</f>
        <v>Clark</v>
      </c>
      <c r="E7395" t="str">
        <f>IFERROR(__xludf.DUMMYFUNCTION("""COMPUTED_VALUE"""),"Chuck")</f>
        <v>Chuck</v>
      </c>
      <c r="F7395" t="str">
        <f>IFERROR(__xludf.DUMMYFUNCTION("""COMPUTED_VALUE"""),"")</f>
        <v/>
      </c>
    </row>
    <row r="7396">
      <c r="D7396" t="str">
        <f>IFERROR(__xludf.DUMMYFUNCTION("""COMPUTED_VALUE"""),"Clark")</f>
        <v>Clark</v>
      </c>
      <c r="E7396" t="str">
        <f>IFERROR(__xludf.DUMMYFUNCTION("""COMPUTED_VALUE"""),"Frank")</f>
        <v>Frank</v>
      </c>
      <c r="F7396" t="str">
        <f>IFERROR(__xludf.DUMMYFUNCTION("""COMPUTED_VALUE"""),"")</f>
        <v/>
      </c>
    </row>
    <row r="7397">
      <c r="D7397" t="str">
        <f>IFERROR(__xludf.DUMMYFUNCTION("""COMPUTED_VALUE"""),"Clark")</f>
        <v>Clark</v>
      </c>
      <c r="E7397" t="str">
        <f>IFERROR(__xludf.DUMMYFUNCTION("""COMPUTED_VALUE"""),"Jeremy")</f>
        <v>Jeremy</v>
      </c>
      <c r="F7397" t="str">
        <f>IFERROR(__xludf.DUMMYFUNCTION("""COMPUTED_VALUE"""),"")</f>
        <v/>
      </c>
    </row>
    <row r="7398">
      <c r="D7398" t="str">
        <f>IFERROR(__xludf.DUMMYFUNCTION("""COMPUTED_VALUE"""),"Clark")</f>
        <v>Clark</v>
      </c>
      <c r="E7398" t="str">
        <f>IFERROR(__xludf.DUMMYFUNCTION("""COMPUTED_VALUE"""),"Kenny")</f>
        <v>Kenny</v>
      </c>
      <c r="F7398" t="str">
        <f>IFERROR(__xludf.DUMMYFUNCTION("""COMPUTED_VALUE"""),"")</f>
        <v/>
      </c>
    </row>
    <row r="7399">
      <c r="D7399" t="str">
        <f>IFERROR(__xludf.DUMMYFUNCTION("""COMPUTED_VALUE"""),"Clark")</f>
        <v>Clark</v>
      </c>
      <c r="E7399" t="str">
        <f>IFERROR(__xludf.DUMMYFUNCTION("""COMPUTED_VALUE"""),"LeRaven")</f>
        <v>LeRaven</v>
      </c>
      <c r="F7399" t="str">
        <f>IFERROR(__xludf.DUMMYFUNCTION("""COMPUTED_VALUE"""),"")</f>
        <v/>
      </c>
    </row>
    <row r="7400">
      <c r="D7400" t="str">
        <f>IFERROR(__xludf.DUMMYFUNCTION("""COMPUTED_VALUE"""),"Clay")</f>
        <v>Clay</v>
      </c>
      <c r="E7400" t="str">
        <f>IFERROR(__xludf.DUMMYFUNCTION("""COMPUTED_VALUE"""),"Charles")</f>
        <v>Charles</v>
      </c>
      <c r="F7400" t="str">
        <f>IFERROR(__xludf.DUMMYFUNCTION("""COMPUTED_VALUE"""),"")</f>
        <v/>
      </c>
    </row>
    <row r="7401">
      <c r="D7401" t="str">
        <f>IFERROR(__xludf.DUMMYFUNCTION("""COMPUTED_VALUE"""),"Clayborn")</f>
        <v>Clayborn</v>
      </c>
      <c r="E7401" t="str">
        <f>IFERROR(__xludf.DUMMYFUNCTION("""COMPUTED_VALUE"""),"Adrian")</f>
        <v>Adrian</v>
      </c>
      <c r="F7401" t="str">
        <f>IFERROR(__xludf.DUMMYFUNCTION("""COMPUTED_VALUE"""),"")</f>
        <v/>
      </c>
    </row>
    <row r="7402">
      <c r="D7402" t="str">
        <f>IFERROR(__xludf.DUMMYFUNCTION("""COMPUTED_VALUE"""),"Clement")</f>
        <v>Clement</v>
      </c>
      <c r="E7402" t="str">
        <f>IFERROR(__xludf.DUMMYFUNCTION("""COMPUTED_VALUE"""),"Corey")</f>
        <v>Corey</v>
      </c>
      <c r="F7402" t="str">
        <f>IFERROR(__xludf.DUMMYFUNCTION("""COMPUTED_VALUE"""),"")</f>
        <v/>
      </c>
    </row>
    <row r="7403">
      <c r="D7403" t="str">
        <f>IFERROR(__xludf.DUMMYFUNCTION("""COMPUTED_VALUE"""),"Clemmings")</f>
        <v>Clemmings</v>
      </c>
      <c r="E7403" t="str">
        <f>IFERROR(__xludf.DUMMYFUNCTION("""COMPUTED_VALUE"""),"TJ")</f>
        <v>TJ</v>
      </c>
      <c r="F7403" t="str">
        <f>IFERROR(__xludf.DUMMYFUNCTION("""COMPUTED_VALUE"""),"")</f>
        <v/>
      </c>
    </row>
    <row r="7404">
      <c r="D7404" t="str">
        <f>IFERROR(__xludf.DUMMYFUNCTION("""COMPUTED_VALUE"""),"Cliett")</f>
        <v>Cliett</v>
      </c>
      <c r="E7404" t="str">
        <f>IFERROR(__xludf.DUMMYFUNCTION("""COMPUTED_VALUE"""),"Reshard")</f>
        <v>Reshard</v>
      </c>
      <c r="F7404" t="str">
        <f>IFERROR(__xludf.DUMMYFUNCTION("""COMPUTED_VALUE"""),"")</f>
        <v/>
      </c>
    </row>
    <row r="7405">
      <c r="D7405" t="str">
        <f>IFERROR(__xludf.DUMMYFUNCTION("""COMPUTED_VALUE"""),"Clowney")</f>
        <v>Clowney</v>
      </c>
      <c r="E7405" t="str">
        <f>IFERROR(__xludf.DUMMYFUNCTION("""COMPUTED_VALUE"""),"Jadeveon")</f>
        <v>Jadeveon</v>
      </c>
      <c r="F7405" t="str">
        <f>IFERROR(__xludf.DUMMYFUNCTION("""COMPUTED_VALUE"""),"")</f>
        <v/>
      </c>
    </row>
    <row r="7406">
      <c r="D7406" t="str">
        <f>IFERROR(__xludf.DUMMYFUNCTION("""COMPUTED_VALUE"""),"Cobb")</f>
        <v>Cobb</v>
      </c>
      <c r="E7406" t="str">
        <f>IFERROR(__xludf.DUMMYFUNCTION("""COMPUTED_VALUE"""),"Randall")</f>
        <v>Randall</v>
      </c>
      <c r="F7406" t="str">
        <f>IFERROR(__xludf.DUMMYFUNCTION("""COMPUTED_VALUE"""),"")</f>
        <v/>
      </c>
    </row>
    <row r="7407">
      <c r="D7407" t="str">
        <f>IFERROR(__xludf.DUMMYFUNCTION("""COMPUTED_VALUE"""),"Cobbs")</f>
        <v>Cobbs</v>
      </c>
      <c r="E7407" t="str">
        <f>IFERROR(__xludf.DUMMYFUNCTION("""COMPUTED_VALUE"""),"Simmie")</f>
        <v>Simmie</v>
      </c>
      <c r="F7407" t="str">
        <f>IFERROR(__xludf.DUMMYFUNCTION("""COMPUTED_VALUE"""),"")</f>
        <v/>
      </c>
    </row>
    <row r="7408">
      <c r="D7408" t="str">
        <f>IFERROR(__xludf.DUMMYFUNCTION("""COMPUTED_VALUE"""),"Cockrell")</f>
        <v>Cockrell</v>
      </c>
      <c r="E7408" t="str">
        <f>IFERROR(__xludf.DUMMYFUNCTION("""COMPUTED_VALUE"""),"Ross")</f>
        <v>Ross</v>
      </c>
      <c r="F7408" t="str">
        <f>IFERROR(__xludf.DUMMYFUNCTION("""COMPUTED_VALUE"""),"")</f>
        <v/>
      </c>
    </row>
    <row r="7409">
      <c r="D7409" t="str">
        <f>IFERROR(__xludf.DUMMYFUNCTION("""COMPUTED_VALUE"""),"Cohen")</f>
        <v>Cohen</v>
      </c>
      <c r="E7409" t="str">
        <f>IFERROR(__xludf.DUMMYFUNCTION("""COMPUTED_VALUE"""),"Tarik")</f>
        <v>Tarik</v>
      </c>
      <c r="F7409" t="str">
        <f>IFERROR(__xludf.DUMMYFUNCTION("""COMPUTED_VALUE"""),"")</f>
        <v/>
      </c>
    </row>
    <row r="7410">
      <c r="D7410" t="str">
        <f>IFERROR(__xludf.DUMMYFUNCTION("""COMPUTED_VALUE"""),"Colbert")</f>
        <v>Colbert</v>
      </c>
      <c r="E7410" t="str">
        <f>IFERROR(__xludf.DUMMYFUNCTION("""COMPUTED_VALUE"""),"Adrian")</f>
        <v>Adrian</v>
      </c>
      <c r="F7410" t="str">
        <f>IFERROR(__xludf.DUMMYFUNCTION("""COMPUTED_VALUE"""),"")</f>
        <v/>
      </c>
    </row>
    <row r="7411">
      <c r="D7411" t="str">
        <f>IFERROR(__xludf.DUMMYFUNCTION("""COMPUTED_VALUE"""),"Colburn")</f>
        <v>Colburn</v>
      </c>
      <c r="E7411" t="str">
        <f>IFERROR(__xludf.DUMMYFUNCTION("""COMPUTED_VALUE"""),"Matt")</f>
        <v>Matt</v>
      </c>
      <c r="F7411" t="str">
        <f>IFERROR(__xludf.DUMMYFUNCTION("""COMPUTED_VALUE"""),"")</f>
        <v/>
      </c>
    </row>
    <row r="7412">
      <c r="D7412" t="str">
        <f>IFERROR(__xludf.DUMMYFUNCTION("""COMPUTED_VALUE"""),"Cole")</f>
        <v>Cole</v>
      </c>
      <c r="E7412" t="str">
        <f>IFERROR(__xludf.DUMMYFUNCTION("""COMPUTED_VALUE"""),"Dylan")</f>
        <v>Dylan</v>
      </c>
      <c r="F7412" t="str">
        <f>IFERROR(__xludf.DUMMYFUNCTION("""COMPUTED_VALUE"""),"")</f>
        <v/>
      </c>
    </row>
    <row r="7413">
      <c r="D7413" t="str">
        <f>IFERROR(__xludf.DUMMYFUNCTION("""COMPUTED_VALUE"""),"Cole")</f>
        <v>Cole</v>
      </c>
      <c r="E7413" t="str">
        <f>IFERROR(__xludf.DUMMYFUNCTION("""COMPUTED_VALUE"""),"Keelan")</f>
        <v>Keelan</v>
      </c>
      <c r="F7413" t="str">
        <f>IFERROR(__xludf.DUMMYFUNCTION("""COMPUTED_VALUE"""),"")</f>
        <v/>
      </c>
    </row>
    <row r="7414">
      <c r="D7414" t="str">
        <f>IFERROR(__xludf.DUMMYFUNCTION("""COMPUTED_VALUE"""),"Cole")</f>
        <v>Cole</v>
      </c>
      <c r="E7414" t="str">
        <f>IFERROR(__xludf.DUMMYFUNCTION("""COMPUTED_VALUE"""),"Mason")</f>
        <v>Mason</v>
      </c>
      <c r="F7414" t="str">
        <f>IFERROR(__xludf.DUMMYFUNCTION("""COMPUTED_VALUE"""),"")</f>
        <v/>
      </c>
    </row>
    <row r="7415">
      <c r="D7415" t="str">
        <f>IFERROR(__xludf.DUMMYFUNCTION("""COMPUTED_VALUE"""),"Coleman")</f>
        <v>Coleman</v>
      </c>
      <c r="E7415" t="str">
        <f>IFERROR(__xludf.DUMMYFUNCTION("""COMPUTED_VALUE"""),"Corey")</f>
        <v>Corey</v>
      </c>
      <c r="F7415" t="str">
        <f>IFERROR(__xludf.DUMMYFUNCTION("""COMPUTED_VALUE"""),"")</f>
        <v/>
      </c>
    </row>
    <row r="7416">
      <c r="D7416" t="str">
        <f>IFERROR(__xludf.DUMMYFUNCTION("""COMPUTED_VALUE"""),"Coleman")</f>
        <v>Coleman</v>
      </c>
      <c r="E7416" t="str">
        <f>IFERROR(__xludf.DUMMYFUNCTION("""COMPUTED_VALUE"""),"Justin")</f>
        <v>Justin</v>
      </c>
      <c r="F7416" t="str">
        <f>IFERROR(__xludf.DUMMYFUNCTION("""COMPUTED_VALUE"""),"")</f>
        <v/>
      </c>
    </row>
    <row r="7417">
      <c r="D7417" t="str">
        <f>IFERROR(__xludf.DUMMYFUNCTION("""COMPUTED_VALUE"""),"Coleman")</f>
        <v>Coleman</v>
      </c>
      <c r="E7417" t="str">
        <f>IFERROR(__xludf.DUMMYFUNCTION("""COMPUTED_VALUE"""),"Shon")</f>
        <v>Shon</v>
      </c>
      <c r="F7417" t="str">
        <f>IFERROR(__xludf.DUMMYFUNCTION("""COMPUTED_VALUE"""),"")</f>
        <v/>
      </c>
    </row>
    <row r="7418">
      <c r="D7418" t="str">
        <f>IFERROR(__xludf.DUMMYFUNCTION("""COMPUTED_VALUE"""),"Coleman")</f>
        <v>Coleman</v>
      </c>
      <c r="E7418" t="str">
        <f>IFERROR(__xludf.DUMMYFUNCTION("""COMPUTED_VALUE"""),"Tevin")</f>
        <v>Tevin</v>
      </c>
      <c r="F7418" t="str">
        <f>IFERROR(__xludf.DUMMYFUNCTION("""COMPUTED_VALUE"""),"")</f>
        <v/>
      </c>
    </row>
    <row r="7419">
      <c r="D7419" t="str">
        <f>IFERROR(__xludf.DUMMYFUNCTION("""COMPUTED_VALUE"""),"Coley")</f>
        <v>Coley</v>
      </c>
      <c r="E7419" t="str">
        <f>IFERROR(__xludf.DUMMYFUNCTION("""COMPUTED_VALUE"""),"Trevon")</f>
        <v>Trevon</v>
      </c>
      <c r="F7419" t="str">
        <f>IFERROR(__xludf.DUMMYFUNCTION("""COMPUTED_VALUE"""),"")</f>
        <v/>
      </c>
    </row>
    <row r="7420">
      <c r="D7420" t="str">
        <f>IFERROR(__xludf.DUMMYFUNCTION("""COMPUTED_VALUE"""),"Collier")</f>
        <v>Collier</v>
      </c>
      <c r="E7420" t="str">
        <f>IFERROR(__xludf.DUMMYFUNCTION("""COMPUTED_VALUE"""),"LJ")</f>
        <v>LJ</v>
      </c>
      <c r="F7420" t="str">
        <f>IFERROR(__xludf.DUMMYFUNCTION("""COMPUTED_VALUE"""),"")</f>
        <v/>
      </c>
    </row>
    <row r="7421">
      <c r="D7421" t="str">
        <f>IFERROR(__xludf.DUMMYFUNCTION("""COMPUTED_VALUE"""),"Collins")</f>
        <v>Collins</v>
      </c>
      <c r="E7421" t="str">
        <f>IFERROR(__xludf.DUMMYFUNCTION("""COMPUTED_VALUE"""),"Aviante")</f>
        <v>Aviante</v>
      </c>
      <c r="F7421" t="str">
        <f>IFERROR(__xludf.DUMMYFUNCTION("""COMPUTED_VALUE"""),"")</f>
        <v/>
      </c>
    </row>
    <row r="7422">
      <c r="D7422" t="str">
        <f>IFERROR(__xludf.DUMMYFUNCTION("""COMPUTED_VALUE"""),"Collins")</f>
        <v>Collins</v>
      </c>
      <c r="E7422" t="str">
        <f>IFERROR(__xludf.DUMMYFUNCTION("""COMPUTED_VALUE"""),"Jalen")</f>
        <v>Jalen</v>
      </c>
      <c r="F7422" t="str">
        <f>IFERROR(__xludf.DUMMYFUNCTION("""COMPUTED_VALUE"""),"")</f>
        <v/>
      </c>
    </row>
    <row r="7423">
      <c r="D7423" t="str">
        <f>IFERROR(__xludf.DUMMYFUNCTION("""COMPUTED_VALUE"""),"Collins")</f>
        <v>Collins</v>
      </c>
      <c r="E7423" t="str">
        <f>IFERROR(__xludf.DUMMYFUNCTION("""COMPUTED_VALUE"""),"Jamie")</f>
        <v>Jamie</v>
      </c>
      <c r="F7423" t="str">
        <f>IFERROR(__xludf.DUMMYFUNCTION("""COMPUTED_VALUE"""),"")</f>
        <v/>
      </c>
    </row>
    <row r="7424">
      <c r="D7424" t="str">
        <f>IFERROR(__xludf.DUMMYFUNCTION("""COMPUTED_VALUE"""),"Collins")</f>
        <v>Collins</v>
      </c>
      <c r="E7424" t="str">
        <f>IFERROR(__xludf.DUMMYFUNCTION("""COMPUTED_VALUE"""),"Lael")</f>
        <v>Lael</v>
      </c>
      <c r="F7424" t="str">
        <f>IFERROR(__xludf.DUMMYFUNCTION("""COMPUTED_VALUE"""),"")</f>
        <v/>
      </c>
    </row>
    <row r="7425">
      <c r="D7425" t="str">
        <f>IFERROR(__xludf.DUMMYFUNCTION("""COMPUTED_VALUE"""),"Collins")</f>
        <v>Collins</v>
      </c>
      <c r="E7425" t="str">
        <f>IFERROR(__xludf.DUMMYFUNCTION("""COMPUTED_VALUE"""),"Landon")</f>
        <v>Landon</v>
      </c>
      <c r="F7425" t="str">
        <f>IFERROR(__xludf.DUMMYFUNCTION("""COMPUTED_VALUE"""),"")</f>
        <v/>
      </c>
    </row>
    <row r="7426">
      <c r="D7426" t="str">
        <f>IFERROR(__xludf.DUMMYFUNCTION("""COMPUTED_VALUE"""),"Collins")</f>
        <v>Collins</v>
      </c>
      <c r="E7426" t="str">
        <f>IFERROR(__xludf.DUMMYFUNCTION("""COMPUTED_VALUE"""),"Maliek")</f>
        <v>Maliek</v>
      </c>
      <c r="F7426" t="str">
        <f>IFERROR(__xludf.DUMMYFUNCTION("""COMPUTED_VALUE"""),"")</f>
        <v/>
      </c>
    </row>
    <row r="7427">
      <c r="D7427" t="str">
        <f>IFERROR(__xludf.DUMMYFUNCTION("""COMPUTED_VALUE"""),"Colquitt")</f>
        <v>Colquitt</v>
      </c>
      <c r="E7427" t="str">
        <f>IFERROR(__xludf.DUMMYFUNCTION("""COMPUTED_VALUE"""),"Britton")</f>
        <v>Britton</v>
      </c>
      <c r="F7427" t="str">
        <f>IFERROR(__xludf.DUMMYFUNCTION("""COMPUTED_VALUE"""),"")</f>
        <v/>
      </c>
    </row>
    <row r="7428">
      <c r="D7428" t="str">
        <f>IFERROR(__xludf.DUMMYFUNCTION("""COMPUTED_VALUE"""),"Colquitt")</f>
        <v>Colquitt</v>
      </c>
      <c r="E7428" t="str">
        <f>IFERROR(__xludf.DUMMYFUNCTION("""COMPUTED_VALUE"""),"Dustin")</f>
        <v>Dustin</v>
      </c>
      <c r="F7428" t="str">
        <f>IFERROR(__xludf.DUMMYFUNCTION("""COMPUTED_VALUE"""),"")</f>
        <v/>
      </c>
    </row>
    <row r="7429">
      <c r="D7429" t="str">
        <f>IFERROR(__xludf.DUMMYFUNCTION("""COMPUTED_VALUE"""),"Colvin")</f>
        <v>Colvin</v>
      </c>
      <c r="E7429" t="str">
        <f>IFERROR(__xludf.DUMMYFUNCTION("""COMPUTED_VALUE"""),"Aaron")</f>
        <v>Aaron</v>
      </c>
      <c r="F7429" t="str">
        <f>IFERROR(__xludf.DUMMYFUNCTION("""COMPUTED_VALUE"""),"")</f>
        <v/>
      </c>
    </row>
    <row r="7430">
      <c r="D7430" t="str">
        <f>IFERROR(__xludf.DUMMYFUNCTION("""COMPUTED_VALUE"""),"Cominsky")</f>
        <v>Cominsky</v>
      </c>
      <c r="E7430" t="str">
        <f>IFERROR(__xludf.DUMMYFUNCTION("""COMPUTED_VALUE"""),"John")</f>
        <v>John</v>
      </c>
      <c r="F7430" t="str">
        <f>IFERROR(__xludf.DUMMYFUNCTION("""COMPUTED_VALUE"""),"")</f>
        <v/>
      </c>
    </row>
    <row r="7431">
      <c r="D7431" t="str">
        <f>IFERROR(__xludf.DUMMYFUNCTION("""COMPUTED_VALUE"""),"Compton")</f>
        <v>Compton</v>
      </c>
      <c r="E7431" t="str">
        <f>IFERROR(__xludf.DUMMYFUNCTION("""COMPUTED_VALUE"""),"Tom")</f>
        <v>Tom</v>
      </c>
      <c r="F7431" t="str">
        <f>IFERROR(__xludf.DUMMYFUNCTION("""COMPUTED_VALUE"""),"")</f>
        <v/>
      </c>
    </row>
    <row r="7432">
      <c r="D7432" t="str">
        <f>IFERROR(__xludf.DUMMYFUNCTION("""COMPUTED_VALUE"""),"Conklin")</f>
        <v>Conklin</v>
      </c>
      <c r="E7432" t="str">
        <f>IFERROR(__xludf.DUMMYFUNCTION("""COMPUTED_VALUE"""),"Jack")</f>
        <v>Jack</v>
      </c>
      <c r="F7432" t="str">
        <f>IFERROR(__xludf.DUMMYFUNCTION("""COMPUTED_VALUE"""),"")</f>
        <v/>
      </c>
    </row>
    <row r="7433">
      <c r="D7433" t="str">
        <f>IFERROR(__xludf.DUMMYFUNCTION("""COMPUTED_VALUE"""),"Conklin")</f>
        <v>Conklin</v>
      </c>
      <c r="E7433" t="str">
        <f>IFERROR(__xludf.DUMMYFUNCTION("""COMPUTED_VALUE"""),"Tyler")</f>
        <v>Tyler</v>
      </c>
      <c r="F7433" t="str">
        <f>IFERROR(__xludf.DUMMYFUNCTION("""COMPUTED_VALUE"""),"")</f>
        <v/>
      </c>
    </row>
    <row r="7434">
      <c r="D7434" t="str">
        <f>IFERROR(__xludf.DUMMYFUNCTION("""COMPUTED_VALUE"""),"Conley")</f>
        <v>Conley</v>
      </c>
      <c r="E7434" t="str">
        <f>IFERROR(__xludf.DUMMYFUNCTION("""COMPUTED_VALUE"""),"Chris")</f>
        <v>Chris</v>
      </c>
      <c r="F7434" t="str">
        <f>IFERROR(__xludf.DUMMYFUNCTION("""COMPUTED_VALUE"""),"")</f>
        <v/>
      </c>
    </row>
    <row r="7435">
      <c r="D7435" t="str">
        <f>IFERROR(__xludf.DUMMYFUNCTION("""COMPUTED_VALUE"""),"Conley")</f>
        <v>Conley</v>
      </c>
      <c r="E7435" t="str">
        <f>IFERROR(__xludf.DUMMYFUNCTION("""COMPUTED_VALUE"""),"Gareon")</f>
        <v>Gareon</v>
      </c>
      <c r="F7435" t="str">
        <f>IFERROR(__xludf.DUMMYFUNCTION("""COMPUTED_VALUE"""),"")</f>
        <v/>
      </c>
    </row>
    <row r="7436">
      <c r="D7436" t="str">
        <f>IFERROR(__xludf.DUMMYFUNCTION("""COMPUTED_VALUE"""),"Connelly")</f>
        <v>Connelly</v>
      </c>
      <c r="E7436" t="str">
        <f>IFERROR(__xludf.DUMMYFUNCTION("""COMPUTED_VALUE"""),"Ryan")</f>
        <v>Ryan</v>
      </c>
      <c r="F7436" t="str">
        <f>IFERROR(__xludf.DUMMYFUNCTION("""COMPUTED_VALUE"""),"")</f>
        <v/>
      </c>
    </row>
    <row r="7437">
      <c r="D7437" t="str">
        <f>IFERROR(__xludf.DUMMYFUNCTION("""COMPUTED_VALUE"""),"Conner")</f>
        <v>Conner</v>
      </c>
      <c r="E7437" t="str">
        <f>IFERROR(__xludf.DUMMYFUNCTION("""COMPUTED_VALUE"""),"James")</f>
        <v>James</v>
      </c>
      <c r="F7437" t="str">
        <f>IFERROR(__xludf.DUMMYFUNCTION("""COMPUTED_VALUE"""),"")</f>
        <v/>
      </c>
    </row>
    <row r="7438">
      <c r="D7438" t="str">
        <f>IFERROR(__xludf.DUMMYFUNCTION("""COMPUTED_VALUE"""),"Cook")</f>
        <v>Cook</v>
      </c>
      <c r="E7438" t="str">
        <f>IFERROR(__xludf.DUMMYFUNCTION("""COMPUTED_VALUE"""),"Connor")</f>
        <v>Connor</v>
      </c>
      <c r="F7438" t="str">
        <f>IFERROR(__xludf.DUMMYFUNCTION("""COMPUTED_VALUE"""),"")</f>
        <v/>
      </c>
    </row>
    <row r="7439">
      <c r="D7439" t="str">
        <f>IFERROR(__xludf.DUMMYFUNCTION("""COMPUTED_VALUE"""),"Cook")</f>
        <v>Cook</v>
      </c>
      <c r="E7439" t="str">
        <f>IFERROR(__xludf.DUMMYFUNCTION("""COMPUTED_VALUE"""),"Dalvin")</f>
        <v>Dalvin</v>
      </c>
      <c r="F7439" t="str">
        <f>IFERROR(__xludf.DUMMYFUNCTION("""COMPUTED_VALUE"""),"")</f>
        <v/>
      </c>
    </row>
    <row r="7440">
      <c r="D7440" t="str">
        <f>IFERROR(__xludf.DUMMYFUNCTION("""COMPUTED_VALUE"""),"Cook")</f>
        <v>Cook</v>
      </c>
      <c r="E7440" t="str">
        <f>IFERROR(__xludf.DUMMYFUNCTION("""COMPUTED_VALUE"""),"Jared")</f>
        <v>Jared</v>
      </c>
      <c r="F7440" t="str">
        <f>IFERROR(__xludf.DUMMYFUNCTION("""COMPUTED_VALUE"""),"")</f>
        <v/>
      </c>
    </row>
    <row r="7441">
      <c r="D7441" t="str">
        <f>IFERROR(__xludf.DUMMYFUNCTION("""COMPUTED_VALUE"""),"Cooke")</f>
        <v>Cooke</v>
      </c>
      <c r="E7441" t="str">
        <f>IFERROR(__xludf.DUMMYFUNCTION("""COMPUTED_VALUE"""),"Logan")</f>
        <v>Logan</v>
      </c>
      <c r="F7441" t="str">
        <f>IFERROR(__xludf.DUMMYFUNCTION("""COMPUTED_VALUE"""),"")</f>
        <v/>
      </c>
    </row>
    <row r="7442">
      <c r="D7442" t="str">
        <f>IFERROR(__xludf.DUMMYFUNCTION("""COMPUTED_VALUE"""),"Cooks")</f>
        <v>Cooks</v>
      </c>
      <c r="E7442" t="str">
        <f>IFERROR(__xludf.DUMMYFUNCTION("""COMPUTED_VALUE"""),"Brandin")</f>
        <v>Brandin</v>
      </c>
      <c r="F7442" t="str">
        <f>IFERROR(__xludf.DUMMYFUNCTION("""COMPUTED_VALUE"""),"")</f>
        <v/>
      </c>
    </row>
    <row r="7443">
      <c r="D7443" t="str">
        <f>IFERROR(__xludf.DUMMYFUNCTION("""COMPUTED_VALUE"""),"Cooper")</f>
        <v>Cooper</v>
      </c>
      <c r="E7443" t="str">
        <f>IFERROR(__xludf.DUMMYFUNCTION("""COMPUTED_VALUE"""),"Amari")</f>
        <v>Amari</v>
      </c>
      <c r="F7443" t="str">
        <f>IFERROR(__xludf.DUMMYFUNCTION("""COMPUTED_VALUE"""),"")</f>
        <v/>
      </c>
    </row>
    <row r="7444">
      <c r="D7444" t="str">
        <f>IFERROR(__xludf.DUMMYFUNCTION("""COMPUTED_VALUE"""),"Cooper")</f>
        <v>Cooper</v>
      </c>
      <c r="E7444" t="str">
        <f>IFERROR(__xludf.DUMMYFUNCTION("""COMPUTED_VALUE"""),"Chris")</f>
        <v>Chris</v>
      </c>
      <c r="F7444" t="str">
        <f>IFERROR(__xludf.DUMMYFUNCTION("""COMPUTED_VALUE"""),"")</f>
        <v/>
      </c>
    </row>
    <row r="7445">
      <c r="D7445" t="str">
        <f>IFERROR(__xludf.DUMMYFUNCTION("""COMPUTED_VALUE"""),"Cooper")</f>
        <v>Cooper</v>
      </c>
      <c r="E7445" t="str">
        <f>IFERROR(__xludf.DUMMYFUNCTION("""COMPUTED_VALUE"""),"Marcus")</f>
        <v>Marcus</v>
      </c>
      <c r="F7445" t="str">
        <f>IFERROR(__xludf.DUMMYFUNCTION("""COMPUTED_VALUE"""),"")</f>
        <v/>
      </c>
    </row>
    <row r="7446">
      <c r="D7446" t="str">
        <f>IFERROR(__xludf.DUMMYFUNCTION("""COMPUTED_VALUE"""),"Cooper")</f>
        <v>Cooper</v>
      </c>
      <c r="E7446" t="str">
        <f>IFERROR(__xludf.DUMMYFUNCTION("""COMPUTED_VALUE"""),"Pharoh")</f>
        <v>Pharoh</v>
      </c>
      <c r="F7446" t="str">
        <f>IFERROR(__xludf.DUMMYFUNCTION("""COMPUTED_VALUE"""),"")</f>
        <v/>
      </c>
    </row>
    <row r="7447">
      <c r="D7447" t="str">
        <f>IFERROR(__xludf.DUMMYFUNCTION("""COMPUTED_VALUE"""),"Copeland")</f>
        <v>Copeland</v>
      </c>
      <c r="E7447" t="str">
        <f>IFERROR(__xludf.DUMMYFUNCTION("""COMPUTED_VALUE"""),"Brandon")</f>
        <v>Brandon</v>
      </c>
      <c r="F7447" t="str">
        <f>IFERROR(__xludf.DUMMYFUNCTION("""COMPUTED_VALUE"""),"")</f>
        <v/>
      </c>
    </row>
    <row r="7448">
      <c r="D7448" t="str">
        <f>IFERROR(__xludf.DUMMYFUNCTION("""COMPUTED_VALUE"""),"Corbett")</f>
        <v>Corbett</v>
      </c>
      <c r="E7448" t="str">
        <f>IFERROR(__xludf.DUMMYFUNCTION("""COMPUTED_VALUE"""),"Austin")</f>
        <v>Austin</v>
      </c>
      <c r="F7448" t="str">
        <f>IFERROR(__xludf.DUMMYFUNCTION("""COMPUTED_VALUE"""),"")</f>
        <v/>
      </c>
    </row>
    <row r="7449">
      <c r="D7449" t="str">
        <f>IFERROR(__xludf.DUMMYFUNCTION("""COMPUTED_VALUE"""),"Core")</f>
        <v>Core</v>
      </c>
      <c r="E7449" t="str">
        <f>IFERROR(__xludf.DUMMYFUNCTION("""COMPUTED_VALUE"""),"Cody")</f>
        <v>Cody</v>
      </c>
      <c r="F7449" t="str">
        <f>IFERROR(__xludf.DUMMYFUNCTION("""COMPUTED_VALUE"""),"")</f>
        <v/>
      </c>
    </row>
    <row r="7450">
      <c r="D7450" t="str">
        <f>IFERROR(__xludf.DUMMYFUNCTION("""COMPUTED_VALUE"""),"Correa")</f>
        <v>Correa</v>
      </c>
      <c r="E7450" t="str">
        <f>IFERROR(__xludf.DUMMYFUNCTION("""COMPUTED_VALUE"""),"Kamalei")</f>
        <v>Kamalei</v>
      </c>
      <c r="F7450" t="str">
        <f>IFERROR(__xludf.DUMMYFUNCTION("""COMPUTED_VALUE"""),"")</f>
        <v/>
      </c>
    </row>
    <row r="7451">
      <c r="D7451" t="str">
        <f>IFERROR(__xludf.DUMMYFUNCTION("""COMPUTED_VALUE"""),"Cothran")</f>
        <v>Cothran</v>
      </c>
      <c r="E7451" t="str">
        <f>IFERROR(__xludf.DUMMYFUNCTION("""COMPUTED_VALUE"""),"Curtis")</f>
        <v>Curtis</v>
      </c>
      <c r="F7451" t="str">
        <f>IFERROR(__xludf.DUMMYFUNCTION("""COMPUTED_VALUE"""),"")</f>
        <v/>
      </c>
    </row>
    <row r="7452">
      <c r="D7452" t="str">
        <f>IFERROR(__xludf.DUMMYFUNCTION("""COMPUTED_VALUE"""),"Countess")</f>
        <v>Countess</v>
      </c>
      <c r="E7452" t="str">
        <f>IFERROR(__xludf.DUMMYFUNCTION("""COMPUTED_VALUE"""),"Blake")</f>
        <v>Blake</v>
      </c>
      <c r="F7452" t="str">
        <f>IFERROR(__xludf.DUMMYFUNCTION("""COMPUTED_VALUE"""),"")</f>
        <v/>
      </c>
    </row>
    <row r="7453">
      <c r="D7453" t="str">
        <f>IFERROR(__xludf.DUMMYFUNCTION("""COMPUTED_VALUE"""),"Cousins")</f>
        <v>Cousins</v>
      </c>
      <c r="E7453" t="str">
        <f>IFERROR(__xludf.DUMMYFUNCTION("""COMPUTED_VALUE"""),"Kirk")</f>
        <v>Kirk</v>
      </c>
      <c r="F7453" t="str">
        <f>IFERROR(__xludf.DUMMYFUNCTION("""COMPUTED_VALUE"""),"")</f>
        <v/>
      </c>
    </row>
    <row r="7454">
      <c r="D7454" t="str">
        <f>IFERROR(__xludf.DUMMYFUNCTION("""COMPUTED_VALUE"""),"Coutee")</f>
        <v>Coutee</v>
      </c>
      <c r="E7454" t="str">
        <f>IFERROR(__xludf.DUMMYFUNCTION("""COMPUTED_VALUE"""),"Keke")</f>
        <v>Keke</v>
      </c>
      <c r="F7454" t="str">
        <f>IFERROR(__xludf.DUMMYFUNCTION("""COMPUTED_VALUE"""),"")</f>
        <v/>
      </c>
    </row>
    <row r="7455">
      <c r="D7455" t="str">
        <f>IFERROR(__xludf.DUMMYFUNCTION("""COMPUTED_VALUE"""),"Covington")</f>
        <v>Covington</v>
      </c>
      <c r="E7455" t="str">
        <f>IFERROR(__xludf.DUMMYFUNCTION("""COMPUTED_VALUE"""),"Chris")</f>
        <v>Chris</v>
      </c>
      <c r="F7455" t="str">
        <f>IFERROR(__xludf.DUMMYFUNCTION("""COMPUTED_VALUE"""),"")</f>
        <v/>
      </c>
    </row>
    <row r="7456">
      <c r="D7456" t="str">
        <f>IFERROR(__xludf.DUMMYFUNCTION("""COMPUTED_VALUE"""),"Covington")</f>
        <v>Covington</v>
      </c>
      <c r="E7456" t="str">
        <f>IFERROR(__xludf.DUMMYFUNCTION("""COMPUTED_VALUE"""),"Christian")</f>
        <v>Christian</v>
      </c>
      <c r="F7456" t="str">
        <f>IFERROR(__xludf.DUMMYFUNCTION("""COMPUTED_VALUE"""),"")</f>
        <v/>
      </c>
    </row>
    <row r="7457">
      <c r="D7457" t="str">
        <f>IFERROR(__xludf.DUMMYFUNCTION("""COMPUTED_VALUE"""),"Coward")</f>
        <v>Coward</v>
      </c>
      <c r="E7457" t="str">
        <f>IFERROR(__xludf.DUMMYFUNCTION("""COMPUTED_VALUE"""),"Rashaad")</f>
        <v>Rashaad</v>
      </c>
      <c r="F7457" t="str">
        <f>IFERROR(__xludf.DUMMYFUNCTION("""COMPUTED_VALUE"""),"")</f>
        <v/>
      </c>
    </row>
    <row r="7458">
      <c r="D7458" t="str">
        <f>IFERROR(__xludf.DUMMYFUNCTION("""COMPUTED_VALUE"""),"Cowart")</f>
        <v>Cowart</v>
      </c>
      <c r="E7458" t="str">
        <f>IFERROR(__xludf.DUMMYFUNCTION("""COMPUTED_VALUE"""),"Byron")</f>
        <v>Byron</v>
      </c>
      <c r="F7458" t="str">
        <f>IFERROR(__xludf.DUMMYFUNCTION("""COMPUTED_VALUE"""),"")</f>
        <v/>
      </c>
    </row>
    <row r="7459">
      <c r="D7459" t="str">
        <f>IFERROR(__xludf.DUMMYFUNCTION("""COMPUTED_VALUE"""),"Cowser")</f>
        <v>Cowser</v>
      </c>
      <c r="E7459" t="str">
        <f>IFERROR(__xludf.DUMMYFUNCTION("""COMPUTED_VALUE"""),"James")</f>
        <v>James</v>
      </c>
      <c r="F7459" t="str">
        <f>IFERROR(__xludf.DUMMYFUNCTION("""COMPUTED_VALUE"""),"")</f>
        <v/>
      </c>
    </row>
    <row r="7460">
      <c r="D7460" t="str">
        <f>IFERROR(__xludf.DUMMYFUNCTION("""COMPUTED_VALUE"""),"Cox")</f>
        <v>Cox</v>
      </c>
      <c r="E7460" t="str">
        <f>IFERROR(__xludf.DUMMYFUNCTION("""COMPUTED_VALUE"""),"Bryan")</f>
        <v>Bryan</v>
      </c>
      <c r="F7460" t="str">
        <f>IFERROR(__xludf.DUMMYFUNCTION("""COMPUTED_VALUE"""),"")</f>
        <v/>
      </c>
    </row>
    <row r="7461">
      <c r="D7461" t="str">
        <f>IFERROR(__xludf.DUMMYFUNCTION("""COMPUTED_VALUE"""),"Cox")</f>
        <v>Cox</v>
      </c>
      <c r="E7461" t="str">
        <f>IFERROR(__xludf.DUMMYFUNCTION("""COMPUTED_VALUE"""),"Chandler")</f>
        <v>Chandler</v>
      </c>
      <c r="F7461" t="str">
        <f>IFERROR(__xludf.DUMMYFUNCTION("""COMPUTED_VALUE"""),"")</f>
        <v/>
      </c>
    </row>
    <row r="7462">
      <c r="D7462" t="str">
        <f>IFERROR(__xludf.DUMMYFUNCTION("""COMPUTED_VALUE"""),"Cox")</f>
        <v>Cox</v>
      </c>
      <c r="E7462" t="str">
        <f>IFERROR(__xludf.DUMMYFUNCTION("""COMPUTED_VALUE"""),"Demetrious")</f>
        <v>Demetrious</v>
      </c>
      <c r="F7462" t="str">
        <f>IFERROR(__xludf.DUMMYFUNCTION("""COMPUTED_VALUE"""),"")</f>
        <v/>
      </c>
    </row>
    <row r="7463">
      <c r="D7463" t="str">
        <f>IFERROR(__xludf.DUMMYFUNCTION("""COMPUTED_VALUE"""),"Cox")</f>
        <v>Cox</v>
      </c>
      <c r="E7463" t="str">
        <f>IFERROR(__xludf.DUMMYFUNCTION("""COMPUTED_VALUE"""),"Fletcher")</f>
        <v>Fletcher</v>
      </c>
      <c r="F7463" t="str">
        <f>IFERROR(__xludf.DUMMYFUNCTION("""COMPUTED_VALUE"""),"")</f>
        <v/>
      </c>
    </row>
    <row r="7464">
      <c r="D7464" t="str">
        <f>IFERROR(__xludf.DUMMYFUNCTION("""COMPUTED_VALUE"""),"Cox")</f>
        <v>Cox</v>
      </c>
      <c r="E7464" t="str">
        <f>IFERROR(__xludf.DUMMYFUNCTION("""COMPUTED_VALUE"""),"Morgan")</f>
        <v>Morgan</v>
      </c>
      <c r="F7464" t="str">
        <f>IFERROR(__xludf.DUMMYFUNCTION("""COMPUTED_VALUE"""),"")</f>
        <v/>
      </c>
    </row>
    <row r="7465">
      <c r="D7465" t="str">
        <f>IFERROR(__xludf.DUMMYFUNCTION("""COMPUTED_VALUE"""),"Cracraft")</f>
        <v>Cracraft</v>
      </c>
      <c r="E7465" t="str">
        <f>IFERROR(__xludf.DUMMYFUNCTION("""COMPUTED_VALUE"""),"River")</f>
        <v>River</v>
      </c>
      <c r="F7465" t="str">
        <f>IFERROR(__xludf.DUMMYFUNCTION("""COMPUTED_VALUE"""),"")</f>
        <v/>
      </c>
    </row>
    <row r="7466">
      <c r="D7466" t="str">
        <f>IFERROR(__xludf.DUMMYFUNCTION("""COMPUTED_VALUE"""),"Cravens")</f>
        <v>Cravens</v>
      </c>
      <c r="E7466" t="str">
        <f>IFERROR(__xludf.DUMMYFUNCTION("""COMPUTED_VALUE"""),"Sua")</f>
        <v>Sua</v>
      </c>
      <c r="F7466" t="str">
        <f>IFERROR(__xludf.DUMMYFUNCTION("""COMPUTED_VALUE"""),"")</f>
        <v/>
      </c>
    </row>
    <row r="7467">
      <c r="D7467" t="str">
        <f>IFERROR(__xludf.DUMMYFUNCTION("""COMPUTED_VALUE"""),"Crawford")</f>
        <v>Crawford</v>
      </c>
      <c r="E7467" t="str">
        <f>IFERROR(__xludf.DUMMYFUNCTION("""COMPUTED_VALUE"""),"Jack")</f>
        <v>Jack</v>
      </c>
      <c r="F7467" t="str">
        <f>IFERROR(__xludf.DUMMYFUNCTION("""COMPUTED_VALUE"""),"")</f>
        <v/>
      </c>
    </row>
    <row r="7468">
      <c r="D7468" t="str">
        <f>IFERROR(__xludf.DUMMYFUNCTION("""COMPUTED_VALUE"""),"Crawford")</f>
        <v>Crawford</v>
      </c>
      <c r="E7468" t="str">
        <f>IFERROR(__xludf.DUMMYFUNCTION("""COMPUTED_VALUE"""),"James")</f>
        <v>James</v>
      </c>
      <c r="F7468" t="str">
        <f>IFERROR(__xludf.DUMMYFUNCTION("""COMPUTED_VALUE"""),"")</f>
        <v/>
      </c>
    </row>
    <row r="7469">
      <c r="D7469" t="str">
        <f>IFERROR(__xludf.DUMMYFUNCTION("""COMPUTED_VALUE"""),"Crawford")</f>
        <v>Crawford</v>
      </c>
      <c r="E7469" t="str">
        <f>IFERROR(__xludf.DUMMYFUNCTION("""COMPUTED_VALUE"""),"Tyrone")</f>
        <v>Tyrone</v>
      </c>
      <c r="F7469" t="str">
        <f>IFERROR(__xludf.DUMMYFUNCTION("""COMPUTED_VALUE"""),"")</f>
        <v/>
      </c>
    </row>
    <row r="7470">
      <c r="D7470" t="str">
        <f>IFERROR(__xludf.DUMMYFUNCTION("""COMPUTED_VALUE"""),"Crawford")</f>
        <v>Crawford</v>
      </c>
      <c r="E7470" t="str">
        <f>IFERROR(__xludf.DUMMYFUNCTION("""COMPUTED_VALUE"""),"Xavier")</f>
        <v>Xavier</v>
      </c>
      <c r="F7470" t="str">
        <f>IFERROR(__xludf.DUMMYFUNCTION("""COMPUTED_VALUE"""),"")</f>
        <v/>
      </c>
    </row>
    <row r="7471">
      <c r="D7471" t="str">
        <f>IFERROR(__xludf.DUMMYFUNCTION("""COMPUTED_VALUE"""),"Crawley")</f>
        <v>Crawley</v>
      </c>
      <c r="E7471" t="str">
        <f>IFERROR(__xludf.DUMMYFUNCTION("""COMPUTED_VALUE"""),"Ken")</f>
        <v>Ken</v>
      </c>
      <c r="F7471" t="str">
        <f>IFERROR(__xludf.DUMMYFUNCTION("""COMPUTED_VALUE"""),"")</f>
        <v/>
      </c>
    </row>
    <row r="7472">
      <c r="D7472" t="str">
        <f>IFERROR(__xludf.DUMMYFUNCTION("""COMPUTED_VALUE"""),"Croom")</f>
        <v>Croom</v>
      </c>
      <c r="E7472" t="str">
        <f>IFERROR(__xludf.DUMMYFUNCTION("""COMPUTED_VALUE"""),"Jason")</f>
        <v>Jason</v>
      </c>
      <c r="F7472" t="str">
        <f>IFERROR(__xludf.DUMMYFUNCTION("""COMPUTED_VALUE"""),"")</f>
        <v/>
      </c>
    </row>
    <row r="7473">
      <c r="D7473" t="str">
        <f>IFERROR(__xludf.DUMMYFUNCTION("""COMPUTED_VALUE"""),"Crosby")</f>
        <v>Crosby</v>
      </c>
      <c r="E7473" t="str">
        <f>IFERROR(__xludf.DUMMYFUNCTION("""COMPUTED_VALUE"""),"Mason")</f>
        <v>Mason</v>
      </c>
      <c r="F7473" t="str">
        <f>IFERROR(__xludf.DUMMYFUNCTION("""COMPUTED_VALUE"""),"")</f>
        <v/>
      </c>
    </row>
    <row r="7474">
      <c r="D7474" t="str">
        <f>IFERROR(__xludf.DUMMYFUNCTION("""COMPUTED_VALUE"""),"Crosby")</f>
        <v>Crosby</v>
      </c>
      <c r="E7474" t="str">
        <f>IFERROR(__xludf.DUMMYFUNCTION("""COMPUTED_VALUE"""),"Maxx")</f>
        <v>Maxx</v>
      </c>
      <c r="F7474" t="str">
        <f>IFERROR(__xludf.DUMMYFUNCTION("""COMPUTED_VALUE"""),"")</f>
        <v/>
      </c>
    </row>
    <row r="7475">
      <c r="D7475" t="str">
        <f>IFERROR(__xludf.DUMMYFUNCTION("""COMPUTED_VALUE"""),"Crosby")</f>
        <v>Crosby</v>
      </c>
      <c r="E7475" t="str">
        <f>IFERROR(__xludf.DUMMYFUNCTION("""COMPUTED_VALUE"""),"Tyrell")</f>
        <v>Tyrell</v>
      </c>
      <c r="F7475" t="str">
        <f>IFERROR(__xludf.DUMMYFUNCTION("""COMPUTED_VALUE"""),"")</f>
        <v/>
      </c>
    </row>
    <row r="7476">
      <c r="D7476" t="str">
        <f>IFERROR(__xludf.DUMMYFUNCTION("""COMPUTED_VALUE"""),"Crossen")</f>
        <v>Crossen</v>
      </c>
      <c r="E7476" t="str">
        <f>IFERROR(__xludf.DUMMYFUNCTION("""COMPUTED_VALUE"""),"Keion")</f>
        <v>Keion</v>
      </c>
      <c r="F7476" t="str">
        <f>IFERROR(__xludf.DUMMYFUNCTION("""COMPUTED_VALUE"""),"")</f>
        <v/>
      </c>
    </row>
    <row r="7477">
      <c r="D7477" t="str">
        <f>IFERROR(__xludf.DUMMYFUNCTION("""COMPUTED_VALUE"""),"Crowder")</f>
        <v>Crowder</v>
      </c>
      <c r="E7477" t="str">
        <f>IFERROR(__xludf.DUMMYFUNCTION("""COMPUTED_VALUE"""),"Jamison")</f>
        <v>Jamison</v>
      </c>
      <c r="F7477" t="str">
        <f>IFERROR(__xludf.DUMMYFUNCTION("""COMPUTED_VALUE"""),"")</f>
        <v/>
      </c>
    </row>
    <row r="7478">
      <c r="D7478" t="str">
        <f>IFERROR(__xludf.DUMMYFUNCTION("""COMPUTED_VALUE"""),"Crowell")</f>
        <v>Crowell</v>
      </c>
      <c r="E7478" t="str">
        <f>IFERROR(__xludf.DUMMYFUNCTION("""COMPUTED_VALUE"""),"Isaiah")</f>
        <v>Isaiah</v>
      </c>
      <c r="F7478" t="str">
        <f>IFERROR(__xludf.DUMMYFUNCTION("""COMPUTED_VALUE"""),"")</f>
        <v/>
      </c>
    </row>
    <row r="7479">
      <c r="D7479" t="str">
        <f>IFERROR(__xludf.DUMMYFUNCTION("""COMPUTED_VALUE"""),"Cruikshank")</f>
        <v>Cruikshank</v>
      </c>
      <c r="E7479" t="str">
        <f>IFERROR(__xludf.DUMMYFUNCTION("""COMPUTED_VALUE"""),"Dane")</f>
        <v>Dane</v>
      </c>
      <c r="F7479" t="str">
        <f>IFERROR(__xludf.DUMMYFUNCTION("""COMPUTED_VALUE"""),"")</f>
        <v/>
      </c>
    </row>
    <row r="7480">
      <c r="D7480" t="str">
        <f>IFERROR(__xludf.DUMMYFUNCTION("""COMPUTED_VALUE"""),"Culkin")</f>
        <v>Culkin</v>
      </c>
      <c r="E7480" t="str">
        <f>IFERROR(__xludf.DUMMYFUNCTION("""COMPUTED_VALUE"""),"Sean")</f>
        <v>Sean</v>
      </c>
      <c r="F7480" t="str">
        <f>IFERROR(__xludf.DUMMYFUNCTION("""COMPUTED_VALUE"""),"")</f>
        <v/>
      </c>
    </row>
    <row r="7481">
      <c r="D7481" t="str">
        <f>IFERROR(__xludf.DUMMYFUNCTION("""COMPUTED_VALUE"""),"Cunningham")</f>
        <v>Cunningham</v>
      </c>
      <c r="E7481" t="str">
        <f>IFERROR(__xludf.DUMMYFUNCTION("""COMPUTED_VALUE"""),"Benny")</f>
        <v>Benny</v>
      </c>
      <c r="F7481" t="str">
        <f>IFERROR(__xludf.DUMMYFUNCTION("""COMPUTED_VALUE"""),"")</f>
        <v/>
      </c>
    </row>
    <row r="7482">
      <c r="D7482" t="str">
        <f>IFERROR(__xludf.DUMMYFUNCTION("""COMPUTED_VALUE"""),"Cunningham")</f>
        <v>Cunningham</v>
      </c>
      <c r="E7482" t="str">
        <f>IFERROR(__xludf.DUMMYFUNCTION("""COMPUTED_VALUE"""),"Jerome")</f>
        <v>Jerome</v>
      </c>
      <c r="F7482" t="str">
        <f>IFERROR(__xludf.DUMMYFUNCTION("""COMPUTED_VALUE"""),"")</f>
        <v/>
      </c>
    </row>
    <row r="7483">
      <c r="D7483" t="str">
        <f>IFERROR(__xludf.DUMMYFUNCTION("""COMPUTED_VALUE"""),"Cunningham")</f>
        <v>Cunningham</v>
      </c>
      <c r="E7483" t="str">
        <f>IFERROR(__xludf.DUMMYFUNCTION("""COMPUTED_VALUE"""),"Korey")</f>
        <v>Korey</v>
      </c>
      <c r="F7483" t="str">
        <f>IFERROR(__xludf.DUMMYFUNCTION("""COMPUTED_VALUE"""),"")</f>
        <v/>
      </c>
    </row>
    <row r="7484">
      <c r="D7484" t="str">
        <f>IFERROR(__xludf.DUMMYFUNCTION("""COMPUTED_VALUE"""),"Cunningham")</f>
        <v>Cunningham</v>
      </c>
      <c r="E7484" t="str">
        <f>IFERROR(__xludf.DUMMYFUNCTION("""COMPUTED_VALUE"""),"Zach")</f>
        <v>Zach</v>
      </c>
      <c r="F7484" t="str">
        <f>IFERROR(__xludf.DUMMYFUNCTION("""COMPUTED_VALUE"""),"")</f>
        <v/>
      </c>
    </row>
    <row r="7485">
      <c r="D7485" t="str">
        <f>IFERROR(__xludf.DUMMYFUNCTION("""COMPUTED_VALUE"""),"Currie")</f>
        <v>Currie</v>
      </c>
      <c r="E7485" t="str">
        <f>IFERROR(__xludf.DUMMYFUNCTION("""COMPUTED_VALUE"""),"Justin")</f>
        <v>Justin</v>
      </c>
      <c r="F7485" t="str">
        <f>IFERROR(__xludf.DUMMYFUNCTION("""COMPUTED_VALUE"""),"")</f>
        <v/>
      </c>
    </row>
    <row r="7486">
      <c r="D7486" t="str">
        <f>IFERROR(__xludf.DUMMYFUNCTION("""COMPUTED_VALUE"""),"Curry")</f>
        <v>Curry</v>
      </c>
      <c r="E7486" t="str">
        <f>IFERROR(__xludf.DUMMYFUNCTION("""COMPUTED_VALUE"""),"Vinny")</f>
        <v>Vinny</v>
      </c>
      <c r="F7486" t="str">
        <f>IFERROR(__xludf.DUMMYFUNCTION("""COMPUTED_VALUE"""),"")</f>
        <v/>
      </c>
    </row>
    <row r="7487">
      <c r="D7487" t="str">
        <f>IFERROR(__xludf.DUMMYFUNCTION("""COMPUTED_VALUE"""),"Custis")</f>
        <v>Custis</v>
      </c>
      <c r="E7487" t="str">
        <f>IFERROR(__xludf.DUMMYFUNCTION("""COMPUTED_VALUE"""),"Jamal")</f>
        <v>Jamal</v>
      </c>
      <c r="F7487" t="str">
        <f>IFERROR(__xludf.DUMMYFUNCTION("""COMPUTED_VALUE"""),"")</f>
        <v/>
      </c>
    </row>
    <row r="7488">
      <c r="D7488" t="str">
        <f>IFERROR(__xludf.DUMMYFUNCTION("""COMPUTED_VALUE"""),"Cutting")</f>
        <v>Cutting</v>
      </c>
      <c r="E7488" t="str">
        <f>IFERROR(__xludf.DUMMYFUNCTION("""COMPUTED_VALUE"""),"Austin")</f>
        <v>Austin</v>
      </c>
      <c r="F7488" t="str">
        <f>IFERROR(__xludf.DUMMYFUNCTION("""COMPUTED_VALUE"""),"")</f>
        <v/>
      </c>
    </row>
    <row r="7489">
      <c r="D7489" t="str">
        <f>IFERROR(__xludf.DUMMYFUNCTION("""COMPUTED_VALUE"""),"Dahl")</f>
        <v>Dahl</v>
      </c>
      <c r="E7489" t="str">
        <f>IFERROR(__xludf.DUMMYFUNCTION("""COMPUTED_VALUE"""),"Joe")</f>
        <v>Joe</v>
      </c>
      <c r="F7489" t="str">
        <f>IFERROR(__xludf.DUMMYFUNCTION("""COMPUTED_VALUE"""),"")</f>
        <v/>
      </c>
    </row>
    <row r="7490">
      <c r="D7490" t="str">
        <f>IFERROR(__xludf.DUMMYFUNCTION("""COMPUTED_VALUE"""),"Daley")</f>
        <v>Daley</v>
      </c>
      <c r="E7490" t="str">
        <f>IFERROR(__xludf.DUMMYFUNCTION("""COMPUTED_VALUE"""),"Dennis")</f>
        <v>Dennis</v>
      </c>
      <c r="F7490" t="str">
        <f>IFERROR(__xludf.DUMMYFUNCTION("""COMPUTED_VALUE"""),"")</f>
        <v/>
      </c>
    </row>
    <row r="7491">
      <c r="D7491" t="str">
        <f>IFERROR(__xludf.DUMMYFUNCTION("""COMPUTED_VALUE"""),"Dalton")</f>
        <v>Dalton</v>
      </c>
      <c r="E7491" t="str">
        <f>IFERROR(__xludf.DUMMYFUNCTION("""COMPUTED_VALUE"""),"Andy")</f>
        <v>Andy</v>
      </c>
      <c r="F7491" t="str">
        <f>IFERROR(__xludf.DUMMYFUNCTION("""COMPUTED_VALUE"""),"")</f>
        <v/>
      </c>
    </row>
    <row r="7492">
      <c r="D7492" t="str">
        <f>IFERROR(__xludf.DUMMYFUNCTION("""COMPUTED_VALUE"""),"Dangerfield")</f>
        <v>Dangerfield</v>
      </c>
      <c r="E7492" t="str">
        <f>IFERROR(__xludf.DUMMYFUNCTION("""COMPUTED_VALUE"""),"Jordan")</f>
        <v>Jordan</v>
      </c>
      <c r="F7492" t="str">
        <f>IFERROR(__xludf.DUMMYFUNCTION("""COMPUTED_VALUE"""),"")</f>
        <v/>
      </c>
    </row>
    <row r="7493">
      <c r="D7493" t="str">
        <f>IFERROR(__xludf.DUMMYFUNCTION("""COMPUTED_VALUE"""),"Daniel")</f>
        <v>Daniel</v>
      </c>
      <c r="E7493" t="str">
        <f>IFERROR(__xludf.DUMMYFUNCTION("""COMPUTED_VALUE"""),"Chase")</f>
        <v>Chase</v>
      </c>
      <c r="F7493" t="str">
        <f>IFERROR(__xludf.DUMMYFUNCTION("""COMPUTED_VALUE"""),"")</f>
        <v/>
      </c>
    </row>
    <row r="7494">
      <c r="D7494" t="str">
        <f>IFERROR(__xludf.DUMMYFUNCTION("""COMPUTED_VALUE"""),"Daniel")</f>
        <v>Daniel</v>
      </c>
      <c r="E7494" t="str">
        <f>IFERROR(__xludf.DUMMYFUNCTION("""COMPUTED_VALUE"""),"Trevor")</f>
        <v>Trevor</v>
      </c>
      <c r="F7494" t="str">
        <f>IFERROR(__xludf.DUMMYFUNCTION("""COMPUTED_VALUE"""),"")</f>
        <v/>
      </c>
    </row>
    <row r="7495">
      <c r="D7495" t="str">
        <f>IFERROR(__xludf.DUMMYFUNCTION("""COMPUTED_VALUE"""),"Daniels")</f>
        <v>Daniels</v>
      </c>
      <c r="E7495" t="str">
        <f>IFERROR(__xludf.DUMMYFUNCTION("""COMPUTED_VALUE"""),"Darrell")</f>
        <v>Darrell</v>
      </c>
      <c r="F7495" t="str">
        <f>IFERROR(__xludf.DUMMYFUNCTION("""COMPUTED_VALUE"""),"")</f>
        <v/>
      </c>
    </row>
    <row r="7496">
      <c r="D7496" t="str">
        <f>IFERROR(__xludf.DUMMYFUNCTION("""COMPUTED_VALUE"""),"Daniels")</f>
        <v>Daniels</v>
      </c>
      <c r="E7496" t="str">
        <f>IFERROR(__xludf.DUMMYFUNCTION("""COMPUTED_VALUE"""),"James")</f>
        <v>James</v>
      </c>
      <c r="F7496" t="str">
        <f>IFERROR(__xludf.DUMMYFUNCTION("""COMPUTED_VALUE"""),"")</f>
        <v/>
      </c>
    </row>
    <row r="7497">
      <c r="D7497" t="str">
        <f>IFERROR(__xludf.DUMMYFUNCTION("""COMPUTED_VALUE"""),"Daniels")</f>
        <v>Daniels</v>
      </c>
      <c r="E7497" t="str">
        <f>IFERROR(__xludf.DUMMYFUNCTION("""COMPUTED_VALUE"""),"Mike")</f>
        <v>Mike</v>
      </c>
      <c r="F7497" t="str">
        <f>IFERROR(__xludf.DUMMYFUNCTION("""COMPUTED_VALUE"""),"")</f>
        <v/>
      </c>
    </row>
    <row r="7498">
      <c r="D7498" t="str">
        <f>IFERROR(__xludf.DUMMYFUNCTION("""COMPUTED_VALUE"""),"Darby")</f>
        <v>Darby</v>
      </c>
      <c r="E7498" t="str">
        <f>IFERROR(__xludf.DUMMYFUNCTION("""COMPUTED_VALUE"""),"Ronald")</f>
        <v>Ronald</v>
      </c>
      <c r="F7498" t="str">
        <f>IFERROR(__xludf.DUMMYFUNCTION("""COMPUTED_VALUE"""),"")</f>
        <v/>
      </c>
    </row>
    <row r="7499">
      <c r="D7499" t="str">
        <f>IFERROR(__xludf.DUMMYFUNCTION("""COMPUTED_VALUE"""),"Dareus")</f>
        <v>Dareus</v>
      </c>
      <c r="E7499" t="str">
        <f>IFERROR(__xludf.DUMMYFUNCTION("""COMPUTED_VALUE"""),"Marcell")</f>
        <v>Marcell</v>
      </c>
      <c r="F7499" t="str">
        <f>IFERROR(__xludf.DUMMYFUNCTION("""COMPUTED_VALUE"""),"")</f>
        <v/>
      </c>
    </row>
    <row r="7500">
      <c r="D7500" t="str">
        <f>IFERROR(__xludf.DUMMYFUNCTION("""COMPUTED_VALUE"""),"Darnold")</f>
        <v>Darnold</v>
      </c>
      <c r="E7500" t="str">
        <f>IFERROR(__xludf.DUMMYFUNCTION("""COMPUTED_VALUE"""),"Sam")</f>
        <v>Sam</v>
      </c>
      <c r="F7500" t="str">
        <f>IFERROR(__xludf.DUMMYFUNCTION("""COMPUTED_VALUE"""),"")</f>
        <v/>
      </c>
    </row>
    <row r="7501">
      <c r="D7501" t="str">
        <f>IFERROR(__xludf.DUMMYFUNCTION("""COMPUTED_VALUE"""),"Darr")</f>
        <v>Darr</v>
      </c>
      <c r="E7501" t="str">
        <f>IFERROR(__xludf.DUMMYFUNCTION("""COMPUTED_VALUE"""),"Matt")</f>
        <v>Matt</v>
      </c>
      <c r="F7501" t="str">
        <f>IFERROR(__xludf.DUMMYFUNCTION("""COMPUTED_VALUE"""),"")</f>
        <v/>
      </c>
    </row>
    <row r="7502">
      <c r="D7502" t="str">
        <f>IFERROR(__xludf.DUMMYFUNCTION("""COMPUTED_VALUE"""),"Davenport")</f>
        <v>Davenport</v>
      </c>
      <c r="E7502" t="str">
        <f>IFERROR(__xludf.DUMMYFUNCTION("""COMPUTED_VALUE"""),"Julien")</f>
        <v>Julien</v>
      </c>
      <c r="F7502" t="str">
        <f>IFERROR(__xludf.DUMMYFUNCTION("""COMPUTED_VALUE"""),"")</f>
        <v/>
      </c>
    </row>
    <row r="7503">
      <c r="D7503" t="str">
        <f>IFERROR(__xludf.DUMMYFUNCTION("""COMPUTED_VALUE"""),"Davenport")</f>
        <v>Davenport</v>
      </c>
      <c r="E7503" t="str">
        <f>IFERROR(__xludf.DUMMYFUNCTION("""COMPUTED_VALUE"""),"Marcus")</f>
        <v>Marcus</v>
      </c>
      <c r="F7503" t="str">
        <f>IFERROR(__xludf.DUMMYFUNCTION("""COMPUTED_VALUE"""),"")</f>
        <v/>
      </c>
    </row>
    <row r="7504">
      <c r="D7504" t="str">
        <f>IFERROR(__xludf.DUMMYFUNCTION("""COMPUTED_VALUE"""),"David")</f>
        <v>David</v>
      </c>
      <c r="E7504" t="str">
        <f>IFERROR(__xludf.DUMMYFUNCTION("""COMPUTED_VALUE"""),"Lavonte")</f>
        <v>Lavonte</v>
      </c>
      <c r="F7504" t="str">
        <f>IFERROR(__xludf.DUMMYFUNCTION("""COMPUTED_VALUE"""),"")</f>
        <v/>
      </c>
    </row>
    <row r="7505">
      <c r="D7505" t="str">
        <f>IFERROR(__xludf.DUMMYFUNCTION("""COMPUTED_VALUE"""),"Davis")</f>
        <v>Davis</v>
      </c>
      <c r="E7505" t="str">
        <f>IFERROR(__xludf.DUMMYFUNCTION("""COMPUTED_VALUE"""),"Carl")</f>
        <v>Carl</v>
      </c>
      <c r="F7505" t="str">
        <f>IFERROR(__xludf.DUMMYFUNCTION("""COMPUTED_VALUE"""),"")</f>
        <v/>
      </c>
    </row>
    <row r="7506">
      <c r="D7506" t="str">
        <f>IFERROR(__xludf.DUMMYFUNCTION("""COMPUTED_VALUE"""),"Davis")</f>
        <v>Davis</v>
      </c>
      <c r="E7506" t="str">
        <f>IFERROR(__xludf.DUMMYFUNCTION("""COMPUTED_VALUE"""),"Carlton")</f>
        <v>Carlton</v>
      </c>
      <c r="F7506" t="str">
        <f>IFERROR(__xludf.DUMMYFUNCTION("""COMPUTED_VALUE"""),"")</f>
        <v/>
      </c>
    </row>
    <row r="7507">
      <c r="D7507" t="str">
        <f>IFERROR(__xludf.DUMMYFUNCTION("""COMPUTED_VALUE"""),"Davis")</f>
        <v>Davis</v>
      </c>
      <c r="E7507" t="str">
        <f>IFERROR(__xludf.DUMMYFUNCTION("""COMPUTED_VALUE"""),"Cody")</f>
        <v>Cody</v>
      </c>
      <c r="F7507" t="str">
        <f>IFERROR(__xludf.DUMMYFUNCTION("""COMPUTED_VALUE"""),"")</f>
        <v/>
      </c>
    </row>
    <row r="7508">
      <c r="D7508" t="str">
        <f>IFERROR(__xludf.DUMMYFUNCTION("""COMPUTED_VALUE"""),"Davis")</f>
        <v>Davis</v>
      </c>
      <c r="E7508" t="str">
        <f>IFERROR(__xludf.DUMMYFUNCTION("""COMPUTED_VALUE"""),"Corey")</f>
        <v>Corey</v>
      </c>
      <c r="F7508" t="str">
        <f>IFERROR(__xludf.DUMMYFUNCTION("""COMPUTED_VALUE"""),"")</f>
        <v/>
      </c>
    </row>
    <row r="7509">
      <c r="D7509" t="str">
        <f>IFERROR(__xludf.DUMMYFUNCTION("""COMPUTED_VALUE"""),"Davis")</f>
        <v>Davis</v>
      </c>
      <c r="E7509" t="str">
        <f>IFERROR(__xludf.DUMMYFUNCTION("""COMPUTED_VALUE"""),"Demario")</f>
        <v>Demario</v>
      </c>
      <c r="F7509" t="str">
        <f>IFERROR(__xludf.DUMMYFUNCTION("""COMPUTED_VALUE"""),"")</f>
        <v/>
      </c>
    </row>
    <row r="7510">
      <c r="D7510" t="str">
        <f>IFERROR(__xludf.DUMMYFUNCTION("""COMPUTED_VALUE"""),"Davis")</f>
        <v>Davis</v>
      </c>
      <c r="E7510" t="str">
        <f>IFERROR(__xludf.DUMMYFUNCTION("""COMPUTED_VALUE"""),"Deshaun")</f>
        <v>Deshaun</v>
      </c>
      <c r="F7510" t="str">
        <f>IFERROR(__xludf.DUMMYFUNCTION("""COMPUTED_VALUE"""),"")</f>
        <v/>
      </c>
    </row>
    <row r="7511">
      <c r="D7511" t="str">
        <f>IFERROR(__xludf.DUMMYFUNCTION("""COMPUTED_VALUE"""),"Davis")</f>
        <v>Davis</v>
      </c>
      <c r="E7511" t="str">
        <f>IFERROR(__xludf.DUMMYFUNCTION("""COMPUTED_VALUE"""),"Geremy")</f>
        <v>Geremy</v>
      </c>
      <c r="F7511" t="str">
        <f>IFERROR(__xludf.DUMMYFUNCTION("""COMPUTED_VALUE"""),"")</f>
        <v/>
      </c>
    </row>
    <row r="7512">
      <c r="D7512" t="str">
        <f>IFERROR(__xludf.DUMMYFUNCTION("""COMPUTED_VALUE"""),"Davis")</f>
        <v>Davis</v>
      </c>
      <c r="E7512" t="str">
        <f>IFERROR(__xludf.DUMMYFUNCTION("""COMPUTED_VALUE"""),"Jalen")</f>
        <v>Jalen</v>
      </c>
      <c r="F7512" t="str">
        <f>IFERROR(__xludf.DUMMYFUNCTION("""COMPUTED_VALUE"""),"")</f>
        <v/>
      </c>
    </row>
    <row r="7513">
      <c r="D7513" t="str">
        <f>IFERROR(__xludf.DUMMYFUNCTION("""COMPUTED_VALUE"""),"Davis")</f>
        <v>Davis</v>
      </c>
      <c r="E7513" t="str">
        <f>IFERROR(__xludf.DUMMYFUNCTION("""COMPUTED_VALUE"""),"Jarrad")</f>
        <v>Jarrad</v>
      </c>
      <c r="F7513" t="str">
        <f>IFERROR(__xludf.DUMMYFUNCTION("""COMPUTED_VALUE"""),"")</f>
        <v/>
      </c>
    </row>
    <row r="7514">
      <c r="D7514" t="str">
        <f>IFERROR(__xludf.DUMMYFUNCTION("""COMPUTED_VALUE"""),"Davis")</f>
        <v>Davis</v>
      </c>
      <c r="E7514" t="str">
        <f>IFERROR(__xludf.DUMMYFUNCTION("""COMPUTED_VALUE"""),"Jawill")</f>
        <v>Jawill</v>
      </c>
      <c r="F7514" t="str">
        <f>IFERROR(__xludf.DUMMYFUNCTION("""COMPUTED_VALUE"""),"")</f>
        <v/>
      </c>
    </row>
    <row r="7515">
      <c r="D7515" t="str">
        <f>IFERROR(__xludf.DUMMYFUNCTION("""COMPUTED_VALUE"""),"Davis")</f>
        <v>Davis</v>
      </c>
      <c r="E7515" t="str">
        <f>IFERROR(__xludf.DUMMYFUNCTION("""COMPUTED_VALUE"""),"Jesse")</f>
        <v>Jesse</v>
      </c>
      <c r="F7515" t="str">
        <f>IFERROR(__xludf.DUMMYFUNCTION("""COMPUTED_VALUE"""),"")</f>
        <v/>
      </c>
    </row>
    <row r="7516">
      <c r="D7516" t="str">
        <f>IFERROR(__xludf.DUMMYFUNCTION("""COMPUTED_VALUE"""),"Davis")</f>
        <v>Davis</v>
      </c>
      <c r="E7516" t="str">
        <f>IFERROR(__xludf.DUMMYFUNCTION("""COMPUTED_VALUE"""),"Justin")</f>
        <v>Justin</v>
      </c>
      <c r="F7516" t="str">
        <f>IFERROR(__xludf.DUMMYFUNCTION("""COMPUTED_VALUE"""),"")</f>
        <v/>
      </c>
    </row>
    <row r="7517">
      <c r="D7517" t="str">
        <f>IFERROR(__xludf.DUMMYFUNCTION("""COMPUTED_VALUE"""),"Davis")</f>
        <v>Davis</v>
      </c>
      <c r="E7517" t="str">
        <f>IFERROR(__xludf.DUMMYFUNCTION("""COMPUTED_VALUE"""),"Keionta")</f>
        <v>Keionta</v>
      </c>
      <c r="F7517" t="str">
        <f>IFERROR(__xludf.DUMMYFUNCTION("""COMPUTED_VALUE"""),"")</f>
        <v/>
      </c>
    </row>
    <row r="7518">
      <c r="D7518" t="str">
        <f>IFERROR(__xludf.DUMMYFUNCTION("""COMPUTED_VALUE"""),"Davis")</f>
        <v>Davis</v>
      </c>
      <c r="E7518" t="str">
        <f>IFERROR(__xludf.DUMMYFUNCTION("""COMPUTED_VALUE"""),"Michael")</f>
        <v>Michael</v>
      </c>
      <c r="F7518" t="str">
        <f>IFERROR(__xludf.DUMMYFUNCTION("""COMPUTED_VALUE"""),"")</f>
        <v/>
      </c>
    </row>
    <row r="7519">
      <c r="D7519" t="str">
        <f>IFERROR(__xludf.DUMMYFUNCTION("""COMPUTED_VALUE"""),"Davis")</f>
        <v>Davis</v>
      </c>
      <c r="E7519" t="str">
        <f>IFERROR(__xludf.DUMMYFUNCTION("""COMPUTED_VALUE"""),"Mike")</f>
        <v>Mike</v>
      </c>
      <c r="F7519" t="str">
        <f>IFERROR(__xludf.DUMMYFUNCTION("""COMPUTED_VALUE"""),"")</f>
        <v/>
      </c>
    </row>
    <row r="7520">
      <c r="D7520" t="str">
        <f>IFERROR(__xludf.DUMMYFUNCTION("""COMPUTED_VALUE"""),"Davis")</f>
        <v>Davis</v>
      </c>
      <c r="E7520" t="str">
        <f>IFERROR(__xludf.DUMMYFUNCTION("""COMPUTED_VALUE"""),"Nate")</f>
        <v>Nate</v>
      </c>
      <c r="F7520" t="str">
        <f>IFERROR(__xludf.DUMMYFUNCTION("""COMPUTED_VALUE"""),"")</f>
        <v/>
      </c>
    </row>
    <row r="7521">
      <c r="D7521" t="str">
        <f>IFERROR(__xludf.DUMMYFUNCTION("""COMPUTED_VALUE"""),"Davis")</f>
        <v>Davis</v>
      </c>
      <c r="E7521" t="str">
        <f>IFERROR(__xludf.DUMMYFUNCTION("""COMPUTED_VALUE"""),"Reggie")</f>
        <v>Reggie</v>
      </c>
      <c r="F7521" t="str">
        <f>IFERROR(__xludf.DUMMYFUNCTION("""COMPUTED_VALUE"""),"")</f>
        <v/>
      </c>
    </row>
    <row r="7522">
      <c r="D7522" t="str">
        <f>IFERROR(__xludf.DUMMYFUNCTION("""COMPUTED_VALUE"""),"Davis")</f>
        <v>Davis</v>
      </c>
      <c r="E7522" t="str">
        <f>IFERROR(__xludf.DUMMYFUNCTION("""COMPUTED_VALUE"""),"Robert")</f>
        <v>Robert</v>
      </c>
      <c r="F7522" t="str">
        <f>IFERROR(__xludf.DUMMYFUNCTION("""COMPUTED_VALUE"""),"")</f>
        <v/>
      </c>
    </row>
    <row r="7523">
      <c r="D7523" t="str">
        <f>IFERROR(__xludf.DUMMYFUNCTION("""COMPUTED_VALUE"""),"Davis")</f>
        <v>Davis</v>
      </c>
      <c r="E7523" t="str">
        <f>IFERROR(__xludf.DUMMYFUNCTION("""COMPUTED_VALUE"""),"Sean")</f>
        <v>Sean</v>
      </c>
      <c r="F7523" t="str">
        <f>IFERROR(__xludf.DUMMYFUNCTION("""COMPUTED_VALUE"""),"")</f>
        <v/>
      </c>
    </row>
    <row r="7524">
      <c r="D7524" t="str">
        <f>IFERROR(__xludf.DUMMYFUNCTION("""COMPUTED_VALUE"""),"Davis")</f>
        <v>Davis</v>
      </c>
      <c r="E7524" t="str">
        <f>IFERROR(__xludf.DUMMYFUNCTION("""COMPUTED_VALUE"""),"Tae")</f>
        <v>Tae</v>
      </c>
      <c r="F7524" t="str">
        <f>IFERROR(__xludf.DUMMYFUNCTION("""COMPUTED_VALUE"""),"")</f>
        <v/>
      </c>
    </row>
    <row r="7525">
      <c r="D7525" t="str">
        <f>IFERROR(__xludf.DUMMYFUNCTION("""COMPUTED_VALUE"""),"Davis")</f>
        <v>Davis</v>
      </c>
      <c r="E7525" t="str">
        <f>IFERROR(__xludf.DUMMYFUNCTION("""COMPUTED_VALUE"""),"Thomas")</f>
        <v>Thomas</v>
      </c>
      <c r="F7525" t="str">
        <f>IFERROR(__xludf.DUMMYFUNCTION("""COMPUTED_VALUE"""),"")</f>
        <v/>
      </c>
    </row>
    <row r="7526">
      <c r="D7526" t="str">
        <f>IFERROR(__xludf.DUMMYFUNCTION("""COMPUTED_VALUE"""),"Davis")</f>
        <v>Davis</v>
      </c>
      <c r="E7526" t="str">
        <f>IFERROR(__xludf.DUMMYFUNCTION("""COMPUTED_VALUE"""),"Todd")</f>
        <v>Todd</v>
      </c>
      <c r="F7526" t="str">
        <f>IFERROR(__xludf.DUMMYFUNCTION("""COMPUTED_VALUE"""),"")</f>
        <v/>
      </c>
    </row>
    <row r="7527">
      <c r="D7527" t="str">
        <f>IFERROR(__xludf.DUMMYFUNCTION("""COMPUTED_VALUE"""),"Davis")</f>
        <v>Davis</v>
      </c>
      <c r="E7527" t="str">
        <f>IFERROR(__xludf.DUMMYFUNCTION("""COMPUTED_VALUE"""),"Trevor")</f>
        <v>Trevor</v>
      </c>
      <c r="F7527" t="str">
        <f>IFERROR(__xludf.DUMMYFUNCTION("""COMPUTED_VALUE"""),"")</f>
        <v/>
      </c>
    </row>
    <row r="7528">
      <c r="D7528" t="str">
        <f>IFERROR(__xludf.DUMMYFUNCTION("""COMPUTED_VALUE"""),"Davis")</f>
        <v>Davis</v>
      </c>
      <c r="E7528" t="str">
        <f>IFERROR(__xludf.DUMMYFUNCTION("""COMPUTED_VALUE"""),"Vernon")</f>
        <v>Vernon</v>
      </c>
      <c r="F7528" t="str">
        <f>IFERROR(__xludf.DUMMYFUNCTION("""COMPUTED_VALUE"""),"")</f>
        <v/>
      </c>
    </row>
    <row r="7529">
      <c r="D7529" t="str">
        <f>IFERROR(__xludf.DUMMYFUNCTION("""COMPUTED_VALUE"""),"Davison")</f>
        <v>Davison</v>
      </c>
      <c r="E7529" t="str">
        <f>IFERROR(__xludf.DUMMYFUNCTION("""COMPUTED_VALUE"""),"Tyeler")</f>
        <v>Tyeler</v>
      </c>
      <c r="F7529" t="str">
        <f>IFERROR(__xludf.DUMMYFUNCTION("""COMPUTED_VALUE"""),"")</f>
        <v/>
      </c>
    </row>
    <row r="7530">
      <c r="D7530" t="str">
        <f>IFERROR(__xludf.DUMMYFUNCTION("""COMPUTED_VALUE"""),"Dawkins")</f>
        <v>Dawkins</v>
      </c>
      <c r="E7530" t="str">
        <f>IFERROR(__xludf.DUMMYFUNCTION("""COMPUTED_VALUE"""),"Dalyn")</f>
        <v>Dalyn</v>
      </c>
      <c r="F7530" t="str">
        <f>IFERROR(__xludf.DUMMYFUNCTION("""COMPUTED_VALUE"""),"")</f>
        <v/>
      </c>
    </row>
    <row r="7531">
      <c r="D7531" t="str">
        <f>IFERROR(__xludf.DUMMYFUNCTION("""COMPUTED_VALUE"""),"Dawkins")</f>
        <v>Dawkins</v>
      </c>
      <c r="E7531" t="str">
        <f>IFERROR(__xludf.DUMMYFUNCTION("""COMPUTED_VALUE"""),"Dion")</f>
        <v>Dion</v>
      </c>
      <c r="F7531" t="str">
        <f>IFERROR(__xludf.DUMMYFUNCTION("""COMPUTED_VALUE"""),"")</f>
        <v/>
      </c>
    </row>
    <row r="7532">
      <c r="D7532" t="str">
        <f>IFERROR(__xludf.DUMMYFUNCTION("""COMPUTED_VALUE"""),"Dawson")</f>
        <v>Dawson</v>
      </c>
      <c r="E7532" t="str">
        <f>IFERROR(__xludf.DUMMYFUNCTION("""COMPUTED_VALUE"""),"Duke")</f>
        <v>Duke</v>
      </c>
      <c r="F7532" t="str">
        <f>IFERROR(__xludf.DUMMYFUNCTION("""COMPUTED_VALUE"""),"")</f>
        <v/>
      </c>
    </row>
    <row r="7533">
      <c r="D7533" t="str">
        <f>IFERROR(__xludf.DUMMYFUNCTION("""COMPUTED_VALUE"""),"Day")</f>
        <v>Day</v>
      </c>
      <c r="E7533" t="str">
        <f>IFERROR(__xludf.DUMMYFUNCTION("""COMPUTED_VALUE"""),"Sheldon")</f>
        <v>Sheldon</v>
      </c>
      <c r="F7533" t="str">
        <f>IFERROR(__xludf.DUMMYFUNCTION("""COMPUTED_VALUE"""),"")</f>
        <v/>
      </c>
    </row>
    <row r="7534">
      <c r="D7534" t="str">
        <f>IFERROR(__xludf.DUMMYFUNCTION("""COMPUTED_VALUE"""),"Dayes")</f>
        <v>Dayes</v>
      </c>
      <c r="E7534" t="str">
        <f>IFERROR(__xludf.DUMMYFUNCTION("""COMPUTED_VALUE"""),"Matthew")</f>
        <v>Matthew</v>
      </c>
      <c r="F7534" t="str">
        <f>IFERROR(__xludf.DUMMYFUNCTION("""COMPUTED_VALUE"""),"")</f>
        <v/>
      </c>
    </row>
    <row r="7535">
      <c r="D7535" t="str">
        <f>IFERROR(__xludf.DUMMYFUNCTION("""COMPUTED_VALUE"""),"de")</f>
        <v>de</v>
      </c>
      <c r="E7535" t="str">
        <f>IFERROR(__xludf.DUMMYFUNCTION("""COMPUTED_VALUE"""),"Gerhard")</f>
        <v>Gerhard</v>
      </c>
      <c r="F7535" t="str">
        <f>IFERROR(__xludf.DUMMYFUNCTION("""COMPUTED_VALUE"""),"")</f>
        <v/>
      </c>
    </row>
    <row r="7536">
      <c r="D7536" t="str">
        <f>IFERROR(__xludf.DUMMYFUNCTION("""COMPUTED_VALUE"""),"Dean")</f>
        <v>Dean</v>
      </c>
      <c r="E7536" t="str">
        <f>IFERROR(__xludf.DUMMYFUNCTION("""COMPUTED_VALUE"""),"Jamel")</f>
        <v>Jamel</v>
      </c>
      <c r="F7536" t="str">
        <f>IFERROR(__xludf.DUMMYFUNCTION("""COMPUTED_VALUE"""),"")</f>
        <v/>
      </c>
    </row>
    <row r="7537">
      <c r="D7537" t="str">
        <f>IFERROR(__xludf.DUMMYFUNCTION("""COMPUTED_VALUE"""),"Deayon")</f>
        <v>Deayon</v>
      </c>
      <c r="E7537" t="str">
        <f>IFERROR(__xludf.DUMMYFUNCTION("""COMPUTED_VALUE"""),"Donte")</f>
        <v>Donte</v>
      </c>
      <c r="F7537" t="str">
        <f>IFERROR(__xludf.DUMMYFUNCTION("""COMPUTED_VALUE"""),"")</f>
        <v/>
      </c>
    </row>
    <row r="7538">
      <c r="D7538" t="str">
        <f>IFERROR(__xludf.DUMMYFUNCTION("""COMPUTED_VALUE"""),"DeCastro")</f>
        <v>DeCastro</v>
      </c>
      <c r="E7538" t="str">
        <f>IFERROR(__xludf.DUMMYFUNCTION("""COMPUTED_VALUE"""),"David")</f>
        <v>David</v>
      </c>
      <c r="F7538" t="str">
        <f>IFERROR(__xludf.DUMMYFUNCTION("""COMPUTED_VALUE"""),"")</f>
        <v/>
      </c>
    </row>
    <row r="7539">
      <c r="D7539" t="str">
        <f>IFERROR(__xludf.DUMMYFUNCTION("""COMPUTED_VALUE"""),"Decker")</f>
        <v>Decker</v>
      </c>
      <c r="E7539" t="str">
        <f>IFERROR(__xludf.DUMMYFUNCTION("""COMPUTED_VALUE"""),"Taylor")</f>
        <v>Taylor</v>
      </c>
      <c r="F7539" t="str">
        <f>IFERROR(__xludf.DUMMYFUNCTION("""COMPUTED_VALUE"""),"")</f>
        <v/>
      </c>
    </row>
    <row r="7540">
      <c r="D7540" t="str">
        <f>IFERROR(__xludf.DUMMYFUNCTION("""COMPUTED_VALUE"""),"DeCoud")</f>
        <v>DeCoud</v>
      </c>
      <c r="E7540" t="str">
        <f>IFERROR(__xludf.DUMMYFUNCTION("""COMPUTED_VALUE"""),"Treston")</f>
        <v>Treston</v>
      </c>
      <c r="F7540" t="str">
        <f>IFERROR(__xludf.DUMMYFUNCTION("""COMPUTED_VALUE"""),"")</f>
        <v/>
      </c>
    </row>
    <row r="7541">
      <c r="D7541" t="str">
        <f>IFERROR(__xludf.DUMMYFUNCTION("""COMPUTED_VALUE"""),"Deiter")</f>
        <v>Deiter</v>
      </c>
      <c r="E7541" t="str">
        <f>IFERROR(__xludf.DUMMYFUNCTION("""COMPUTED_VALUE"""),"Michael")</f>
        <v>Michael</v>
      </c>
      <c r="F7541" t="str">
        <f>IFERROR(__xludf.DUMMYFUNCTION("""COMPUTED_VALUE"""),"")</f>
        <v/>
      </c>
    </row>
    <row r="7542">
      <c r="D7542" t="str">
        <f>IFERROR(__xludf.DUMMYFUNCTION("""COMPUTED_VALUE"""),"DeLuca")</f>
        <v>DeLuca</v>
      </c>
      <c r="E7542" t="str">
        <f>IFERROR(__xludf.DUMMYFUNCTION("""COMPUTED_VALUE"""),"Nick")</f>
        <v>Nick</v>
      </c>
      <c r="F7542" t="str">
        <f>IFERROR(__xludf.DUMMYFUNCTION("""COMPUTED_VALUE"""),"")</f>
        <v/>
      </c>
    </row>
    <row r="7543">
      <c r="D7543" t="str">
        <f>IFERROR(__xludf.DUMMYFUNCTION("""COMPUTED_VALUE"""),"Demby")</f>
        <v>Demby</v>
      </c>
      <c r="E7543" t="str">
        <f>IFERROR(__xludf.DUMMYFUNCTION("""COMPUTED_VALUE"""),"Jamil")</f>
        <v>Jamil</v>
      </c>
      <c r="F7543" t="str">
        <f>IFERROR(__xludf.DUMMYFUNCTION("""COMPUTED_VALUE"""),"")</f>
        <v/>
      </c>
    </row>
    <row r="7544">
      <c r="D7544" t="str">
        <f>IFERROR(__xludf.DUMMYFUNCTION("""COMPUTED_VALUE"""),"Denis")</f>
        <v>Denis</v>
      </c>
      <c r="E7544" t="str">
        <f>IFERROR(__xludf.DUMMYFUNCTION("""COMPUTED_VALUE"""),"Lukas")</f>
        <v>Lukas</v>
      </c>
      <c r="F7544" t="str">
        <f>IFERROR(__xludf.DUMMYFUNCTION("""COMPUTED_VALUE"""),"")</f>
        <v/>
      </c>
    </row>
    <row r="7545">
      <c r="D7545" t="str">
        <f>IFERROR(__xludf.DUMMYFUNCTION("""COMPUTED_VALUE"""),"Denmark")</f>
        <v>Denmark</v>
      </c>
      <c r="E7545" t="str">
        <f>IFERROR(__xludf.DUMMYFUNCTION("""COMPUTED_VALUE"""),"Stephen")</f>
        <v>Stephen</v>
      </c>
      <c r="F7545" t="str">
        <f>IFERROR(__xludf.DUMMYFUNCTION("""COMPUTED_VALUE"""),"")</f>
        <v/>
      </c>
    </row>
    <row r="7546">
      <c r="D7546" t="str">
        <f>IFERROR(__xludf.DUMMYFUNCTION("""COMPUTED_VALUE"""),"Dennard")</f>
        <v>Dennard</v>
      </c>
      <c r="E7546" t="str">
        <f>IFERROR(__xludf.DUMMYFUNCTION("""COMPUTED_VALUE"""),"Darqueze")</f>
        <v>Darqueze</v>
      </c>
      <c r="F7546" t="str">
        <f>IFERROR(__xludf.DUMMYFUNCTION("""COMPUTED_VALUE"""),"")</f>
        <v/>
      </c>
    </row>
    <row r="7547">
      <c r="D7547" t="str">
        <f>IFERROR(__xludf.DUMMYFUNCTION("""COMPUTED_VALUE"""),"Denney")</f>
        <v>Denney</v>
      </c>
      <c r="E7547" t="str">
        <f>IFERROR(__xludf.DUMMYFUNCTION("""COMPUTED_VALUE"""),"John")</f>
        <v>John</v>
      </c>
      <c r="F7547" t="str">
        <f>IFERROR(__xludf.DUMMYFUNCTION("""COMPUTED_VALUE"""),"")</f>
        <v/>
      </c>
    </row>
    <row r="7548">
      <c r="D7548" t="str">
        <f>IFERROR(__xludf.DUMMYFUNCTION("""COMPUTED_VALUE"""),"DeOssie")</f>
        <v>DeOssie</v>
      </c>
      <c r="E7548" t="str">
        <f>IFERROR(__xludf.DUMMYFUNCTION("""COMPUTED_VALUE"""),"Zak")</f>
        <v>Zak</v>
      </c>
      <c r="F7548" t="str">
        <f>IFERROR(__xludf.DUMMYFUNCTION("""COMPUTED_VALUE"""),"")</f>
        <v/>
      </c>
    </row>
    <row r="7549">
      <c r="D7549" t="str">
        <f>IFERROR(__xludf.DUMMYFUNCTION("""COMPUTED_VALUE"""),"DePaola")</f>
        <v>DePaola</v>
      </c>
      <c r="E7549" t="str">
        <f>IFERROR(__xludf.DUMMYFUNCTION("""COMPUTED_VALUE"""),"Andrew")</f>
        <v>Andrew</v>
      </c>
      <c r="F7549" t="str">
        <f>IFERROR(__xludf.DUMMYFUNCTION("""COMPUTED_VALUE"""),"")</f>
        <v/>
      </c>
    </row>
    <row r="7550">
      <c r="D7550" t="str">
        <f>IFERROR(__xludf.DUMMYFUNCTION("""COMPUTED_VALUE"""),"Desir")</f>
        <v>Desir</v>
      </c>
      <c r="E7550" t="str">
        <f>IFERROR(__xludf.DUMMYFUNCTION("""COMPUTED_VALUE"""),"Pierre")</f>
        <v>Pierre</v>
      </c>
      <c r="F7550" t="str">
        <f>IFERROR(__xludf.DUMMYFUNCTION("""COMPUTED_VALUE"""),"")</f>
        <v/>
      </c>
    </row>
    <row r="7551">
      <c r="D7551" t="str">
        <f>IFERROR(__xludf.DUMMYFUNCTION("""COMPUTED_VALUE"""),"DeValve")</f>
        <v>DeValve</v>
      </c>
      <c r="E7551" t="str">
        <f>IFERROR(__xludf.DUMMYFUNCTION("""COMPUTED_VALUE"""),"Seth")</f>
        <v>Seth</v>
      </c>
      <c r="F7551" t="str">
        <f>IFERROR(__xludf.DUMMYFUNCTION("""COMPUTED_VALUE"""),"")</f>
        <v/>
      </c>
    </row>
    <row r="7552">
      <c r="D7552" t="str">
        <f>IFERROR(__xludf.DUMMYFUNCTION("""COMPUTED_VALUE"""),"Develin")</f>
        <v>Develin</v>
      </c>
      <c r="E7552" t="str">
        <f>IFERROR(__xludf.DUMMYFUNCTION("""COMPUTED_VALUE"""),"James")</f>
        <v>James</v>
      </c>
      <c r="F7552" t="str">
        <f>IFERROR(__xludf.DUMMYFUNCTION("""COMPUTED_VALUE"""),"")</f>
        <v/>
      </c>
    </row>
    <row r="7553">
      <c r="D7553" t="str">
        <f>IFERROR(__xludf.DUMMYFUNCTION("""COMPUTED_VALUE"""),"Devey")</f>
        <v>Devey</v>
      </c>
      <c r="E7553" t="str">
        <f>IFERROR(__xludf.DUMMYFUNCTION("""COMPUTED_VALUE"""),"Jordan")</f>
        <v>Jordan</v>
      </c>
      <c r="F7553" t="str">
        <f>IFERROR(__xludf.DUMMYFUNCTION("""COMPUTED_VALUE"""),"")</f>
        <v/>
      </c>
    </row>
    <row r="7554">
      <c r="D7554" t="str">
        <f>IFERROR(__xludf.DUMMYFUNCTION("""COMPUTED_VALUE"""),"Dickerson")</f>
        <v>Dickerson</v>
      </c>
      <c r="E7554" t="str">
        <f>IFERROR(__xludf.DUMMYFUNCTION("""COMPUTED_VALUE"""),"Garrett")</f>
        <v>Garrett</v>
      </c>
      <c r="F7554" t="str">
        <f>IFERROR(__xludf.DUMMYFUNCTION("""COMPUTED_VALUE"""),"")</f>
        <v/>
      </c>
    </row>
    <row r="7555">
      <c r="D7555" t="str">
        <f>IFERROR(__xludf.DUMMYFUNCTION("""COMPUTED_VALUE"""),"Dickerson")</f>
        <v>Dickerson</v>
      </c>
      <c r="E7555" t="str">
        <f>IFERROR(__xludf.DUMMYFUNCTION("""COMPUTED_VALUE"""),"Matt")</f>
        <v>Matt</v>
      </c>
      <c r="F7555" t="str">
        <f>IFERROR(__xludf.DUMMYFUNCTION("""COMPUTED_VALUE"""),"")</f>
        <v/>
      </c>
    </row>
    <row r="7556">
      <c r="D7556" t="str">
        <f>IFERROR(__xludf.DUMMYFUNCTION("""COMPUTED_VALUE"""),"Dickson")</f>
        <v>Dickson</v>
      </c>
      <c r="E7556" t="str">
        <f>IFERROR(__xludf.DUMMYFUNCTION("""COMPUTED_VALUE"""),"Ed")</f>
        <v>Ed</v>
      </c>
      <c r="F7556" t="str">
        <f>IFERROR(__xludf.DUMMYFUNCTION("""COMPUTED_VALUE"""),"")</f>
        <v/>
      </c>
    </row>
    <row r="7557">
      <c r="D7557" t="str">
        <f>IFERROR(__xludf.DUMMYFUNCTION("""COMPUTED_VALUE"""),"Dickson")</f>
        <v>Dickson</v>
      </c>
      <c r="E7557" t="str">
        <f>IFERROR(__xludf.DUMMYFUNCTION("""COMPUTED_VALUE"""),"Michael")</f>
        <v>Michael</v>
      </c>
      <c r="F7557" t="str">
        <f>IFERROR(__xludf.DUMMYFUNCTION("""COMPUTED_VALUE"""),"")</f>
        <v/>
      </c>
    </row>
    <row r="7558">
      <c r="D7558" t="str">
        <f>IFERROR(__xludf.DUMMYFUNCTION("""COMPUTED_VALUE"""),"Dieter")</f>
        <v>Dieter</v>
      </c>
      <c r="E7558" t="str">
        <f>IFERROR(__xludf.DUMMYFUNCTION("""COMPUTED_VALUE"""),"Gehrig")</f>
        <v>Gehrig</v>
      </c>
      <c r="F7558" t="str">
        <f>IFERROR(__xludf.DUMMYFUNCTION("""COMPUTED_VALUE"""),"")</f>
        <v/>
      </c>
    </row>
    <row r="7559">
      <c r="D7559" t="str">
        <f>IFERROR(__xludf.DUMMYFUNCTION("""COMPUTED_VALUE"""),"Diggs")</f>
        <v>Diggs</v>
      </c>
      <c r="E7559" t="str">
        <f>IFERROR(__xludf.DUMMYFUNCTION("""COMPUTED_VALUE"""),"Quandre")</f>
        <v>Quandre</v>
      </c>
      <c r="F7559" t="str">
        <f>IFERROR(__xludf.DUMMYFUNCTION("""COMPUTED_VALUE"""),"")</f>
        <v/>
      </c>
    </row>
    <row r="7560">
      <c r="D7560" t="str">
        <f>IFERROR(__xludf.DUMMYFUNCTION("""COMPUTED_VALUE"""),"Diggs")</f>
        <v>Diggs</v>
      </c>
      <c r="E7560" t="str">
        <f>IFERROR(__xludf.DUMMYFUNCTION("""COMPUTED_VALUE"""),"Stefon")</f>
        <v>Stefon</v>
      </c>
      <c r="F7560" t="str">
        <f>IFERROR(__xludf.DUMMYFUNCTION("""COMPUTED_VALUE"""),"")</f>
        <v/>
      </c>
    </row>
    <row r="7561">
      <c r="D7561" t="str">
        <f>IFERROR(__xludf.DUMMYFUNCTION("""COMPUTED_VALUE"""),"DiLauro")</f>
        <v>DiLauro</v>
      </c>
      <c r="E7561" t="str">
        <f>IFERROR(__xludf.DUMMYFUNCTION("""COMPUTED_VALUE"""),"Christian")</f>
        <v>Christian</v>
      </c>
      <c r="F7561" t="str">
        <f>IFERROR(__xludf.DUMMYFUNCTION("""COMPUTED_VALUE"""),"")</f>
        <v/>
      </c>
    </row>
    <row r="7562">
      <c r="D7562" t="str">
        <f>IFERROR(__xludf.DUMMYFUNCTION("""COMPUTED_VALUE"""),"Dillard")</f>
        <v>Dillard</v>
      </c>
      <c r="E7562" t="str">
        <f>IFERROR(__xludf.DUMMYFUNCTION("""COMPUTED_VALUE"""),"Andre")</f>
        <v>Andre</v>
      </c>
      <c r="F7562" t="str">
        <f>IFERROR(__xludf.DUMMYFUNCTION("""COMPUTED_VALUE"""),"")</f>
        <v/>
      </c>
    </row>
    <row r="7563">
      <c r="D7563" t="str">
        <f>IFERROR(__xludf.DUMMYFUNCTION("""COMPUTED_VALUE"""),"DiMarco")</f>
        <v>DiMarco</v>
      </c>
      <c r="E7563" t="str">
        <f>IFERROR(__xludf.DUMMYFUNCTION("""COMPUTED_VALUE"""),"Patrick")</f>
        <v>Patrick</v>
      </c>
      <c r="F7563" t="str">
        <f>IFERROR(__xludf.DUMMYFUNCTION("""COMPUTED_VALUE"""),"")</f>
        <v/>
      </c>
    </row>
    <row r="7564">
      <c r="D7564" t="str">
        <f>IFERROR(__xludf.DUMMYFUNCTION("""COMPUTED_VALUE"""),"Dion")</f>
        <v>Dion</v>
      </c>
      <c r="E7564" t="str">
        <f>IFERROR(__xludf.DUMMYFUNCTION("""COMPUTED_VALUE"""),"Shaun")</f>
        <v>Shaun</v>
      </c>
      <c r="F7564" t="str">
        <f>IFERROR(__xludf.DUMMYFUNCTION("""COMPUTED_VALUE"""),"")</f>
        <v/>
      </c>
    </row>
    <row r="7565">
      <c r="D7565" t="str">
        <f>IFERROR(__xludf.DUMMYFUNCTION("""COMPUTED_VALUE"""),"Dissly")</f>
        <v>Dissly</v>
      </c>
      <c r="E7565" t="str">
        <f>IFERROR(__xludf.DUMMYFUNCTION("""COMPUTED_VALUE"""),"Will")</f>
        <v>Will</v>
      </c>
      <c r="F7565" t="str">
        <f>IFERROR(__xludf.DUMMYFUNCTION("""COMPUTED_VALUE"""),"")</f>
        <v/>
      </c>
    </row>
    <row r="7566">
      <c r="D7566" t="str">
        <f>IFERROR(__xludf.DUMMYFUNCTION("""COMPUTED_VALUE"""),"Dixon")</f>
        <v>Dixon</v>
      </c>
      <c r="E7566" t="str">
        <f>IFERROR(__xludf.DUMMYFUNCTION("""COMPUTED_VALUE"""),"Johnnie")</f>
        <v>Johnnie</v>
      </c>
      <c r="F7566" t="str">
        <f>IFERROR(__xludf.DUMMYFUNCTION("""COMPUTED_VALUE"""),"")</f>
        <v/>
      </c>
    </row>
    <row r="7567">
      <c r="D7567" t="str">
        <f>IFERROR(__xludf.DUMMYFUNCTION("""COMPUTED_VALUE"""),"Dixon")</f>
        <v>Dixon</v>
      </c>
      <c r="E7567" t="str">
        <f>IFERROR(__xludf.DUMMYFUNCTION("""COMPUTED_VALUE"""),"Kenneth")</f>
        <v>Kenneth</v>
      </c>
      <c r="F7567" t="str">
        <f>IFERROR(__xludf.DUMMYFUNCTION("""COMPUTED_VALUE"""),"")</f>
        <v/>
      </c>
    </row>
    <row r="7568">
      <c r="D7568" t="str">
        <f>IFERROR(__xludf.DUMMYFUNCTION("""COMPUTED_VALUE"""),"Dixon")</f>
        <v>Dixon</v>
      </c>
      <c r="E7568" t="str">
        <f>IFERROR(__xludf.DUMMYFUNCTION("""COMPUTED_VALUE"""),"Riley")</f>
        <v>Riley</v>
      </c>
      <c r="F7568" t="str">
        <f>IFERROR(__xludf.DUMMYFUNCTION("""COMPUTED_VALUE"""),"")</f>
        <v/>
      </c>
    </row>
    <row r="7569">
      <c r="D7569" t="str">
        <f>IFERROR(__xludf.DUMMYFUNCTION("""COMPUTED_VALUE"""),"Dobbs")</f>
        <v>Dobbs</v>
      </c>
      <c r="E7569" t="str">
        <f>IFERROR(__xludf.DUMMYFUNCTION("""COMPUTED_VALUE"""),"Joshua")</f>
        <v>Joshua</v>
      </c>
      <c r="F7569" t="str">
        <f>IFERROR(__xludf.DUMMYFUNCTION("""COMPUTED_VALUE"""),"")</f>
        <v/>
      </c>
    </row>
    <row r="7570">
      <c r="D7570" t="str">
        <f>IFERROR(__xludf.DUMMYFUNCTION("""COMPUTED_VALUE"""),"Doctson")</f>
        <v>Doctson</v>
      </c>
      <c r="E7570" t="str">
        <f>IFERROR(__xludf.DUMMYFUNCTION("""COMPUTED_VALUE"""),"Josh")</f>
        <v>Josh</v>
      </c>
      <c r="F7570" t="str">
        <f>IFERROR(__xludf.DUMMYFUNCTION("""COMPUTED_VALUE"""),"")</f>
        <v/>
      </c>
    </row>
    <row r="7571">
      <c r="D7571" t="str">
        <f>IFERROR(__xludf.DUMMYFUNCTION("""COMPUTED_VALUE"""),"Dogbe")</f>
        <v>Dogbe</v>
      </c>
      <c r="E7571" t="str">
        <f>IFERROR(__xludf.DUMMYFUNCTION("""COMPUTED_VALUE"""),"Michael")</f>
        <v>Michael</v>
      </c>
      <c r="F7571" t="str">
        <f>IFERROR(__xludf.DUMMYFUNCTION("""COMPUTED_VALUE"""),"")</f>
        <v/>
      </c>
    </row>
    <row r="7572">
      <c r="D7572" t="str">
        <f>IFERROR(__xludf.DUMMYFUNCTION("""COMPUTED_VALUE"""),"Donald")</f>
        <v>Donald</v>
      </c>
      <c r="E7572" t="str">
        <f>IFERROR(__xludf.DUMMYFUNCTION("""COMPUTED_VALUE"""),"Aaron")</f>
        <v>Aaron</v>
      </c>
      <c r="F7572" t="str">
        <f>IFERROR(__xludf.DUMMYFUNCTION("""COMPUTED_VALUE"""),"")</f>
        <v/>
      </c>
    </row>
    <row r="7573">
      <c r="D7573" t="str">
        <f>IFERROR(__xludf.DUMMYFUNCTION("""COMPUTED_VALUE"""),"Donnal")</f>
        <v>Donnal</v>
      </c>
      <c r="E7573" t="str">
        <f>IFERROR(__xludf.DUMMYFUNCTION("""COMPUTED_VALUE"""),"Andrew")</f>
        <v>Andrew</v>
      </c>
      <c r="F7573" t="str">
        <f>IFERROR(__xludf.DUMMYFUNCTION("""COMPUTED_VALUE"""),"")</f>
        <v/>
      </c>
    </row>
    <row r="7574">
      <c r="D7574" t="str">
        <f>IFERROR(__xludf.DUMMYFUNCTION("""COMPUTED_VALUE"""),"Donnerson")</f>
        <v>Donnerson</v>
      </c>
      <c r="E7574" t="str">
        <f>IFERROR(__xludf.DUMMYFUNCTION("""COMPUTED_VALUE"""),"Kendall")</f>
        <v>Kendall</v>
      </c>
      <c r="F7574" t="str">
        <f>IFERROR(__xludf.DUMMYFUNCTION("""COMPUTED_VALUE"""),"")</f>
        <v/>
      </c>
    </row>
    <row r="7575">
      <c r="D7575" t="str">
        <f>IFERROR(__xludf.DUMMYFUNCTION("""COMPUTED_VALUE"""),"Dooley")</f>
        <v>Dooley</v>
      </c>
      <c r="E7575" t="str">
        <f>IFERROR(__xludf.DUMMYFUNCTION("""COMPUTED_VALUE"""),"Garret")</f>
        <v>Garret</v>
      </c>
      <c r="F7575" t="str">
        <f>IFERROR(__xludf.DUMMYFUNCTION("""COMPUTED_VALUE"""),"")</f>
        <v/>
      </c>
    </row>
    <row r="7576">
      <c r="D7576" t="str">
        <f>IFERROR(__xludf.DUMMYFUNCTION("""COMPUTED_VALUE"""),"Dora")</f>
        <v>Dora</v>
      </c>
      <c r="E7576" t="str">
        <f>IFERROR(__xludf.DUMMYFUNCTION("""COMPUTED_VALUE"""),"Vontarrius")</f>
        <v>Vontarrius</v>
      </c>
      <c r="F7576" t="str">
        <f>IFERROR(__xludf.DUMMYFUNCTION("""COMPUTED_VALUE"""),"")</f>
        <v/>
      </c>
    </row>
    <row r="7577">
      <c r="D7577" t="str">
        <f>IFERROR(__xludf.DUMMYFUNCTION("""COMPUTED_VALUE"""),"Dorleant")</f>
        <v>Dorleant</v>
      </c>
      <c r="E7577" t="str">
        <f>IFERROR(__xludf.DUMMYFUNCTION("""COMPUTED_VALUE"""),"Makinton")</f>
        <v>Makinton</v>
      </c>
      <c r="F7577" t="str">
        <f>IFERROR(__xludf.DUMMYFUNCTION("""COMPUTED_VALUE"""),"")</f>
        <v/>
      </c>
    </row>
    <row r="7578">
      <c r="D7578" t="str">
        <f>IFERROR(__xludf.DUMMYFUNCTION("""COMPUTED_VALUE"""),"Dorsett")</f>
        <v>Dorsett</v>
      </c>
      <c r="E7578" t="str">
        <f>IFERROR(__xludf.DUMMYFUNCTION("""COMPUTED_VALUE"""),"Phillip")</f>
        <v>Phillip</v>
      </c>
      <c r="F7578" t="str">
        <f>IFERROR(__xludf.DUMMYFUNCTION("""COMPUTED_VALUE"""),"")</f>
        <v/>
      </c>
    </row>
    <row r="7579">
      <c r="D7579" t="str">
        <f>IFERROR(__xludf.DUMMYFUNCTION("""COMPUTED_VALUE"""),"Dortch")</f>
        <v>Dortch</v>
      </c>
      <c r="E7579" t="str">
        <f>IFERROR(__xludf.DUMMYFUNCTION("""COMPUTED_VALUE"""),"Greg")</f>
        <v>Greg</v>
      </c>
      <c r="F7579" t="str">
        <f>IFERROR(__xludf.DUMMYFUNCTION("""COMPUTED_VALUE"""),"")</f>
        <v/>
      </c>
    </row>
    <row r="7580">
      <c r="D7580" t="str">
        <f>IFERROR(__xludf.DUMMYFUNCTION("""COMPUTED_VALUE"""),"Doss")</f>
        <v>Doss</v>
      </c>
      <c r="E7580" t="str">
        <f>IFERROR(__xludf.DUMMYFUNCTION("""COMPUTED_VALUE"""),"Lorenzo")</f>
        <v>Lorenzo</v>
      </c>
      <c r="F7580" t="str">
        <f>IFERROR(__xludf.DUMMYFUNCTION("""COMPUTED_VALUE"""),"")</f>
        <v/>
      </c>
    </row>
    <row r="7581">
      <c r="D7581" t="str">
        <f>IFERROR(__xludf.DUMMYFUNCTION("""COMPUTED_VALUE"""),"Dotson")</f>
        <v>Dotson</v>
      </c>
      <c r="E7581" t="str">
        <f>IFERROR(__xludf.DUMMYFUNCTION("""COMPUTED_VALUE"""),"Demar")</f>
        <v>Demar</v>
      </c>
      <c r="F7581" t="str">
        <f>IFERROR(__xludf.DUMMYFUNCTION("""COMPUTED_VALUE"""),"")</f>
        <v/>
      </c>
    </row>
    <row r="7582">
      <c r="D7582" t="str">
        <f>IFERROR(__xludf.DUMMYFUNCTION("""COMPUTED_VALUE"""),"Douglas")</f>
        <v>Douglas</v>
      </c>
      <c r="E7582" t="str">
        <f>IFERROR(__xludf.DUMMYFUNCTION("""COMPUTED_VALUE"""),"Jamil")</f>
        <v>Jamil</v>
      </c>
      <c r="F7582" t="str">
        <f>IFERROR(__xludf.DUMMYFUNCTION("""COMPUTED_VALUE"""),"")</f>
        <v/>
      </c>
    </row>
    <row r="7583">
      <c r="D7583" t="str">
        <f>IFERROR(__xludf.DUMMYFUNCTION("""COMPUTED_VALUE"""),"Douglas")</f>
        <v>Douglas</v>
      </c>
      <c r="E7583" t="str">
        <f>IFERROR(__xludf.DUMMYFUNCTION("""COMPUTED_VALUE"""),"Rasul")</f>
        <v>Rasul</v>
      </c>
      <c r="F7583" t="str">
        <f>IFERROR(__xludf.DUMMYFUNCTION("""COMPUTED_VALUE"""),"")</f>
        <v/>
      </c>
    </row>
    <row r="7584">
      <c r="D7584" t="str">
        <f>IFERROR(__xludf.DUMMYFUNCTION("""COMPUTED_VALUE"""),"Downs")</f>
        <v>Downs</v>
      </c>
      <c r="E7584" t="str">
        <f>IFERROR(__xludf.DUMMYFUNCTION("""COMPUTED_VALUE"""),"Devante")</f>
        <v>Devante</v>
      </c>
      <c r="F7584" t="str">
        <f>IFERROR(__xludf.DUMMYFUNCTION("""COMPUTED_VALUE"""),"")</f>
        <v/>
      </c>
    </row>
    <row r="7585">
      <c r="D7585" t="str">
        <f>IFERROR(__xludf.DUMMYFUNCTION("""COMPUTED_VALUE"""),"Doyle")</f>
        <v>Doyle</v>
      </c>
      <c r="E7585" t="str">
        <f>IFERROR(__xludf.DUMMYFUNCTION("""COMPUTED_VALUE"""),"Jack")</f>
        <v>Jack</v>
      </c>
      <c r="F7585" t="str">
        <f>IFERROR(__xludf.DUMMYFUNCTION("""COMPUTED_VALUE"""),"")</f>
        <v/>
      </c>
    </row>
    <row r="7586">
      <c r="D7586" t="str">
        <f>IFERROR(__xludf.DUMMYFUNCTION("""COMPUTED_VALUE"""),"Dozier")</f>
        <v>Dozier</v>
      </c>
      <c r="E7586" t="str">
        <f>IFERROR(__xludf.DUMMYFUNCTION("""COMPUTED_VALUE"""),"Dakota")</f>
        <v>Dakota</v>
      </c>
      <c r="F7586" t="str">
        <f>IFERROR(__xludf.DUMMYFUNCTION("""COMPUTED_VALUE"""),"")</f>
        <v/>
      </c>
    </row>
    <row r="7587">
      <c r="D7587" t="str">
        <f>IFERROR(__xludf.DUMMYFUNCTION("""COMPUTED_VALUE"""),"Drake")</f>
        <v>Drake</v>
      </c>
      <c r="E7587" t="str">
        <f>IFERROR(__xludf.DUMMYFUNCTION("""COMPUTED_VALUE"""),"Kenyan")</f>
        <v>Kenyan</v>
      </c>
      <c r="F7587" t="str">
        <f>IFERROR(__xludf.DUMMYFUNCTION("""COMPUTED_VALUE"""),"")</f>
        <v/>
      </c>
    </row>
    <row r="7588">
      <c r="D7588" t="str">
        <f>IFERROR(__xludf.DUMMYFUNCTION("""COMPUTED_VALUE"""),"Drango")</f>
        <v>Drango</v>
      </c>
      <c r="E7588" t="str">
        <f>IFERROR(__xludf.DUMMYFUNCTION("""COMPUTED_VALUE"""),"Spencer")</f>
        <v>Spencer</v>
      </c>
      <c r="F7588" t="str">
        <f>IFERROR(__xludf.DUMMYFUNCTION("""COMPUTED_VALUE"""),"")</f>
        <v/>
      </c>
    </row>
    <row r="7589">
      <c r="D7589" t="str">
        <f>IFERROR(__xludf.DUMMYFUNCTION("""COMPUTED_VALUE"""),"Driskel")</f>
        <v>Driskel</v>
      </c>
      <c r="E7589" t="str">
        <f>IFERROR(__xludf.DUMMYFUNCTION("""COMPUTED_VALUE"""),"Jeff")</f>
        <v>Jeff</v>
      </c>
      <c r="F7589" t="str">
        <f>IFERROR(__xludf.DUMMYFUNCTION("""COMPUTED_VALUE"""),"")</f>
        <v/>
      </c>
    </row>
    <row r="7590">
      <c r="D7590" t="str">
        <f>IFERROR(__xludf.DUMMYFUNCTION("""COMPUTED_VALUE"""),"Ducasse")</f>
        <v>Ducasse</v>
      </c>
      <c r="E7590" t="str">
        <f>IFERROR(__xludf.DUMMYFUNCTION("""COMPUTED_VALUE"""),"Vladimir")</f>
        <v>Vladimir</v>
      </c>
      <c r="F7590" t="str">
        <f>IFERROR(__xludf.DUMMYFUNCTION("""COMPUTED_VALUE"""),"")</f>
        <v/>
      </c>
    </row>
    <row r="7591">
      <c r="D7591" t="str">
        <f>IFERROR(__xludf.DUMMYFUNCTION("""COMPUTED_VALUE"""),"Dunbar")</f>
        <v>Dunbar</v>
      </c>
      <c r="E7591" t="str">
        <f>IFERROR(__xludf.DUMMYFUNCTION("""COMPUTED_VALUE"""),"Quinton")</f>
        <v>Quinton</v>
      </c>
      <c r="F7591" t="str">
        <f>IFERROR(__xludf.DUMMYFUNCTION("""COMPUTED_VALUE"""),"")</f>
        <v/>
      </c>
    </row>
    <row r="7592">
      <c r="D7592" t="str">
        <f>IFERROR(__xludf.DUMMYFUNCTION("""COMPUTED_VALUE"""),"Dunlap")</f>
        <v>Dunlap</v>
      </c>
      <c r="E7592" t="str">
        <f>IFERROR(__xludf.DUMMYFUNCTION("""COMPUTED_VALUE"""),"Carlos")</f>
        <v>Carlos</v>
      </c>
      <c r="F7592" t="str">
        <f>IFERROR(__xludf.DUMMYFUNCTION("""COMPUTED_VALUE"""),"")</f>
        <v/>
      </c>
    </row>
    <row r="7593">
      <c r="D7593" t="str">
        <f>IFERROR(__xludf.DUMMYFUNCTION("""COMPUTED_VALUE"""),"Dunn")</f>
        <v>Dunn</v>
      </c>
      <c r="E7593" t="str">
        <f>IFERROR(__xludf.DUMMYFUNCTION("""COMPUTED_VALUE"""),"Brandon")</f>
        <v>Brandon</v>
      </c>
      <c r="F7593" t="str">
        <f>IFERROR(__xludf.DUMMYFUNCTION("""COMPUTED_VALUE"""),"")</f>
        <v/>
      </c>
    </row>
    <row r="7594">
      <c r="D7594" t="str">
        <f>IFERROR(__xludf.DUMMYFUNCTION("""COMPUTED_VALUE"""),"Dunn")</f>
        <v>Dunn</v>
      </c>
      <c r="E7594" t="str">
        <f>IFERROR(__xludf.DUMMYFUNCTION("""COMPUTED_VALUE"""),"Casey")</f>
        <v>Casey</v>
      </c>
      <c r="F7594" t="str">
        <f>IFERROR(__xludf.DUMMYFUNCTION("""COMPUTED_VALUE"""),"")</f>
        <v/>
      </c>
    </row>
    <row r="7595">
      <c r="D7595" t="str">
        <f>IFERROR(__xludf.DUMMYFUNCTION("""COMPUTED_VALUE"""),"Dunn")</f>
        <v>Dunn</v>
      </c>
      <c r="E7595" t="str">
        <f>IFERROR(__xludf.DUMMYFUNCTION("""COMPUTED_VALUE"""),"Michael")</f>
        <v>Michael</v>
      </c>
      <c r="F7595" t="str">
        <f>IFERROR(__xludf.DUMMYFUNCTION("""COMPUTED_VALUE"""),"")</f>
        <v/>
      </c>
    </row>
    <row r="7596">
      <c r="D7596" t="str">
        <f>IFERROR(__xludf.DUMMYFUNCTION("""COMPUTED_VALUE"""),"Dupree")</f>
        <v>Dupree</v>
      </c>
      <c r="E7596" t="str">
        <f>IFERROR(__xludf.DUMMYFUNCTION("""COMPUTED_VALUE"""),"Bud")</f>
        <v>Bud</v>
      </c>
      <c r="F7596" t="str">
        <f>IFERROR(__xludf.DUMMYFUNCTION("""COMPUTED_VALUE"""),"")</f>
        <v/>
      </c>
    </row>
    <row r="7597">
      <c r="D7597" t="str">
        <f>IFERROR(__xludf.DUMMYFUNCTION("""COMPUTED_VALUE"""),"Dural")</f>
        <v>Dural</v>
      </c>
      <c r="E7597" t="str">
        <f>IFERROR(__xludf.DUMMYFUNCTION("""COMPUTED_VALUE"""),"Travin")</f>
        <v>Travin</v>
      </c>
      <c r="F7597" t="str">
        <f>IFERROR(__xludf.DUMMYFUNCTION("""COMPUTED_VALUE"""),"")</f>
        <v/>
      </c>
    </row>
    <row r="7598">
      <c r="D7598" t="str">
        <f>IFERROR(__xludf.DUMMYFUNCTION("""COMPUTED_VALUE"""),"Durden")</f>
        <v>Durden</v>
      </c>
      <c r="E7598" t="str">
        <f>IFERROR(__xludf.DUMMYFUNCTION("""COMPUTED_VALUE"""),"Kenneth")</f>
        <v>Kenneth</v>
      </c>
      <c r="F7598" t="str">
        <f>IFERROR(__xludf.DUMMYFUNCTION("""COMPUTED_VALUE"""),"")</f>
        <v/>
      </c>
    </row>
    <row r="7599">
      <c r="D7599" t="str">
        <f>IFERROR(__xludf.DUMMYFUNCTION("""COMPUTED_VALUE"""),"Duvernay-Tardif")</f>
        <v>Duvernay-Tardif</v>
      </c>
      <c r="E7599" t="str">
        <f>IFERROR(__xludf.DUMMYFUNCTION("""COMPUTED_VALUE"""),"Laurent")</f>
        <v>Laurent</v>
      </c>
      <c r="F7599" t="str">
        <f>IFERROR(__xludf.DUMMYFUNCTION("""COMPUTED_VALUE"""),"")</f>
        <v/>
      </c>
    </row>
    <row r="7600">
      <c r="D7600" t="str">
        <f>IFERROR(__xludf.DUMMYFUNCTION("""COMPUTED_VALUE"""),"Dzubnar")</f>
        <v>Dzubnar</v>
      </c>
      <c r="E7600" t="str">
        <f>IFERROR(__xludf.DUMMYFUNCTION("""COMPUTED_VALUE"""),"Nick")</f>
        <v>Nick</v>
      </c>
      <c r="F7600" t="str">
        <f>IFERROR(__xludf.DUMMYFUNCTION("""COMPUTED_VALUE"""),"")</f>
        <v/>
      </c>
    </row>
    <row r="7601">
      <c r="D7601" t="str">
        <f>IFERROR(__xludf.DUMMYFUNCTION("""COMPUTED_VALUE"""),"East")</f>
        <v>East</v>
      </c>
      <c r="E7601" t="str">
        <f>IFERROR(__xludf.DUMMYFUNCTION("""COMPUTED_VALUE"""),"Andrew")</f>
        <v>Andrew</v>
      </c>
      <c r="F7601" t="str">
        <f>IFERROR(__xludf.DUMMYFUNCTION("""COMPUTED_VALUE"""),"")</f>
        <v/>
      </c>
    </row>
    <row r="7602">
      <c r="D7602" t="str">
        <f>IFERROR(__xludf.DUMMYFUNCTION("""COMPUTED_VALUE"""),"Easton")</f>
        <v>Easton</v>
      </c>
      <c r="E7602" t="str">
        <f>IFERROR(__xludf.DUMMYFUNCTION("""COMPUTED_VALUE"""),"Nick")</f>
        <v>Nick</v>
      </c>
      <c r="F7602" t="str">
        <f>IFERROR(__xludf.DUMMYFUNCTION("""COMPUTED_VALUE"""),"")</f>
        <v/>
      </c>
    </row>
    <row r="7603">
      <c r="D7603" t="str">
        <f>IFERROR(__xludf.DUMMYFUNCTION("""COMPUTED_VALUE"""),"Ebner")</f>
        <v>Ebner</v>
      </c>
      <c r="E7603" t="str">
        <f>IFERROR(__xludf.DUMMYFUNCTION("""COMPUTED_VALUE"""),"Nate")</f>
        <v>Nate</v>
      </c>
      <c r="F7603" t="str">
        <f>IFERROR(__xludf.DUMMYFUNCTION("""COMPUTED_VALUE"""),"")</f>
        <v/>
      </c>
    </row>
    <row r="7604">
      <c r="D7604" t="str">
        <f>IFERROR(__xludf.DUMMYFUNCTION("""COMPUTED_VALUE"""),"Ebron")</f>
        <v>Ebron</v>
      </c>
      <c r="E7604" t="str">
        <f>IFERROR(__xludf.DUMMYFUNCTION("""COMPUTED_VALUE"""),"Eric")</f>
        <v>Eric</v>
      </c>
      <c r="F7604" t="str">
        <f>IFERROR(__xludf.DUMMYFUNCTION("""COMPUTED_VALUE"""),"")</f>
        <v/>
      </c>
    </row>
    <row r="7605">
      <c r="D7605" t="str">
        <f>IFERROR(__xludf.DUMMYFUNCTION("""COMPUTED_VALUE"""),"Ebukam")</f>
        <v>Ebukam</v>
      </c>
      <c r="E7605" t="str">
        <f>IFERROR(__xludf.DUMMYFUNCTION("""COMPUTED_VALUE"""),"Samson")</f>
        <v>Samson</v>
      </c>
      <c r="F7605" t="str">
        <f>IFERROR(__xludf.DUMMYFUNCTION("""COMPUTED_VALUE"""),"")</f>
        <v/>
      </c>
    </row>
    <row r="7606">
      <c r="D7606" t="str">
        <f>IFERROR(__xludf.DUMMYFUNCTION("""COMPUTED_VALUE"""),"Edelman")</f>
        <v>Edelman</v>
      </c>
      <c r="E7606" t="str">
        <f>IFERROR(__xludf.DUMMYFUNCTION("""COMPUTED_VALUE"""),"Julian")</f>
        <v>Julian</v>
      </c>
      <c r="F7606" t="str">
        <f>IFERROR(__xludf.DUMMYFUNCTION("""COMPUTED_VALUE"""),"")</f>
        <v/>
      </c>
    </row>
    <row r="7607">
      <c r="D7607" t="str">
        <f>IFERROR(__xludf.DUMMYFUNCTION("""COMPUTED_VALUE"""),"Edmonds")</f>
        <v>Edmonds</v>
      </c>
      <c r="E7607" t="str">
        <f>IFERROR(__xludf.DUMMYFUNCTION("""COMPUTED_VALUE"""),"Chase")</f>
        <v>Chase</v>
      </c>
      <c r="F7607" t="str">
        <f>IFERROR(__xludf.DUMMYFUNCTION("""COMPUTED_VALUE"""),"")</f>
        <v/>
      </c>
    </row>
    <row r="7608">
      <c r="D7608" t="str">
        <f>IFERROR(__xludf.DUMMYFUNCTION("""COMPUTED_VALUE"""),"Edmunds")</f>
        <v>Edmunds</v>
      </c>
      <c r="E7608" t="str">
        <f>IFERROR(__xludf.DUMMYFUNCTION("""COMPUTED_VALUE"""),"Terrell")</f>
        <v>Terrell</v>
      </c>
      <c r="F7608" t="str">
        <f>IFERROR(__xludf.DUMMYFUNCTION("""COMPUTED_VALUE"""),"")</f>
        <v/>
      </c>
    </row>
    <row r="7609">
      <c r="D7609" t="str">
        <f>IFERROR(__xludf.DUMMYFUNCTION("""COMPUTED_VALUE"""),"Edmunds")</f>
        <v>Edmunds</v>
      </c>
      <c r="E7609" t="str">
        <f>IFERROR(__xludf.DUMMYFUNCTION("""COMPUTED_VALUE"""),"Tremaine")</f>
        <v>Tremaine</v>
      </c>
      <c r="F7609" t="str">
        <f>IFERROR(__xludf.DUMMYFUNCTION("""COMPUTED_VALUE"""),"")</f>
        <v/>
      </c>
    </row>
    <row r="7610">
      <c r="D7610" t="str">
        <f>IFERROR(__xludf.DUMMYFUNCTION("""COMPUTED_VALUE"""),"Edmunds")</f>
        <v>Edmunds</v>
      </c>
      <c r="E7610" t="str">
        <f>IFERROR(__xludf.DUMMYFUNCTION("""COMPUTED_VALUE"""),"Trey")</f>
        <v>Trey</v>
      </c>
      <c r="F7610" t="str">
        <f>IFERROR(__xludf.DUMMYFUNCTION("""COMPUTED_VALUE"""),"")</f>
        <v/>
      </c>
    </row>
    <row r="7611">
      <c r="D7611" t="str">
        <f>IFERROR(__xludf.DUMMYFUNCTION("""COMPUTED_VALUE"""),"Edoga")</f>
        <v>Edoga</v>
      </c>
      <c r="E7611" t="str">
        <f>IFERROR(__xludf.DUMMYFUNCTION("""COMPUTED_VALUE"""),"Chuma")</f>
        <v>Chuma</v>
      </c>
      <c r="F7611" t="str">
        <f>IFERROR(__xludf.DUMMYFUNCTION("""COMPUTED_VALUE"""),"")</f>
        <v/>
      </c>
    </row>
    <row r="7612">
      <c r="D7612" t="str">
        <f>IFERROR(__xludf.DUMMYFUNCTION("""COMPUTED_VALUE"""),"Edwards")</f>
        <v>Edwards</v>
      </c>
      <c r="E7612" t="str">
        <f>IFERROR(__xludf.DUMMYFUNCTION("""COMPUTED_VALUE"""),"David")</f>
        <v>David</v>
      </c>
      <c r="F7612" t="str">
        <f>IFERROR(__xludf.DUMMYFUNCTION("""COMPUTED_VALUE"""),"")</f>
        <v/>
      </c>
    </row>
    <row r="7613">
      <c r="D7613" t="str">
        <f>IFERROR(__xludf.DUMMYFUNCTION("""COMPUTED_VALUE"""),"Edwards")</f>
        <v>Edwards</v>
      </c>
      <c r="E7613" t="str">
        <f>IFERROR(__xludf.DUMMYFUNCTION("""COMPUTED_VALUE"""),"Gus")</f>
        <v>Gus</v>
      </c>
      <c r="F7613" t="str">
        <f>IFERROR(__xludf.DUMMYFUNCTION("""COMPUTED_VALUE"""),"")</f>
        <v/>
      </c>
    </row>
    <row r="7614">
      <c r="D7614" t="str">
        <f>IFERROR(__xludf.DUMMYFUNCTION("""COMPUTED_VALUE"""),"Edwards")</f>
        <v>Edwards</v>
      </c>
      <c r="E7614" t="str">
        <f>IFERROR(__xludf.DUMMYFUNCTION("""COMPUTED_VALUE"""),"Lac")</f>
        <v>Lac</v>
      </c>
      <c r="F7614" t="str">
        <f>IFERROR(__xludf.DUMMYFUNCTION("""COMPUTED_VALUE"""),"")</f>
        <v/>
      </c>
    </row>
    <row r="7615">
      <c r="D7615" t="str">
        <f>IFERROR(__xludf.DUMMYFUNCTION("""COMPUTED_VALUE"""),"Edwards")</f>
        <v>Edwards</v>
      </c>
      <c r="E7615" t="str">
        <f>IFERROR(__xludf.DUMMYFUNCTION("""COMPUTED_VALUE"""),"Mario")</f>
        <v>Mario</v>
      </c>
      <c r="F7615" t="str">
        <f>IFERROR(__xludf.DUMMYFUNCTION("""COMPUTED_VALUE"""),"")</f>
        <v/>
      </c>
    </row>
    <row r="7616">
      <c r="D7616" t="str">
        <f>IFERROR(__xludf.DUMMYFUNCTION("""COMPUTED_VALUE"""),"Edwards")</f>
        <v>Edwards</v>
      </c>
      <c r="E7616" t="str">
        <f>IFERROR(__xludf.DUMMYFUNCTION("""COMPUTED_VALUE"""),"Mike")</f>
        <v>Mike</v>
      </c>
      <c r="F7616" t="str">
        <f>IFERROR(__xludf.DUMMYFUNCTION("""COMPUTED_VALUE"""),"")</f>
        <v/>
      </c>
    </row>
    <row r="7617">
      <c r="D7617" t="str">
        <f>IFERROR(__xludf.DUMMYFUNCTION("""COMPUTED_VALUE"""),"Egbule")</f>
        <v>Egbule</v>
      </c>
      <c r="E7617" t="str">
        <f>IFERROR(__xludf.DUMMYFUNCTION("""COMPUTED_VALUE"""),"Emeke")</f>
        <v>Emeke</v>
      </c>
      <c r="F7617" t="str">
        <f>IFERROR(__xludf.DUMMYFUNCTION("""COMPUTED_VALUE"""),"")</f>
        <v/>
      </c>
    </row>
    <row r="7618">
      <c r="D7618" t="str">
        <f>IFERROR(__xludf.DUMMYFUNCTION("""COMPUTED_VALUE"""),"Eifert")</f>
        <v>Eifert</v>
      </c>
      <c r="E7618" t="str">
        <f>IFERROR(__xludf.DUMMYFUNCTION("""COMPUTED_VALUE"""),"Tyler")</f>
        <v>Tyler</v>
      </c>
      <c r="F7618" t="str">
        <f>IFERROR(__xludf.DUMMYFUNCTION("""COMPUTED_VALUE"""),"")</f>
        <v/>
      </c>
    </row>
    <row r="7619">
      <c r="D7619" t="str">
        <f>IFERROR(__xludf.DUMMYFUNCTION("""COMPUTED_VALUE"""),"Ejiofor")</f>
        <v>Ejiofor</v>
      </c>
      <c r="E7619" t="str">
        <f>IFERROR(__xludf.DUMMYFUNCTION("""COMPUTED_VALUE"""),"Duke")</f>
        <v>Duke</v>
      </c>
      <c r="F7619" t="str">
        <f>IFERROR(__xludf.DUMMYFUNCTION("""COMPUTED_VALUE"""),"")</f>
        <v/>
      </c>
    </row>
    <row r="7620">
      <c r="D7620" t="str">
        <f>IFERROR(__xludf.DUMMYFUNCTION("""COMPUTED_VALUE"""),"Ekeler")</f>
        <v>Ekeler</v>
      </c>
      <c r="E7620" t="str">
        <f>IFERROR(__xludf.DUMMYFUNCTION("""COMPUTED_VALUE"""),"Austin")</f>
        <v>Austin</v>
      </c>
      <c r="F7620" t="str">
        <f>IFERROR(__xludf.DUMMYFUNCTION("""COMPUTED_VALUE"""),"")</f>
        <v/>
      </c>
    </row>
    <row r="7621">
      <c r="D7621" t="str">
        <f>IFERROR(__xludf.DUMMYFUNCTION("""COMPUTED_VALUE"""),"Ekuale")</f>
        <v>Ekuale</v>
      </c>
      <c r="E7621" t="str">
        <f>IFERROR(__xludf.DUMMYFUNCTION("""COMPUTED_VALUE"""),"Daniel")</f>
        <v>Daniel</v>
      </c>
      <c r="F7621" t="str">
        <f>IFERROR(__xludf.DUMMYFUNCTION("""COMPUTED_VALUE"""),"")</f>
        <v/>
      </c>
    </row>
    <row r="7622">
      <c r="D7622" t="str">
        <f>IFERROR(__xludf.DUMMYFUNCTION("""COMPUTED_VALUE"""),"Elder")</f>
        <v>Elder</v>
      </c>
      <c r="E7622" t="str">
        <f>IFERROR(__xludf.DUMMYFUNCTION("""COMPUTED_VALUE"""),"Corn")</f>
        <v>Corn</v>
      </c>
      <c r="F7622" t="str">
        <f>IFERROR(__xludf.DUMMYFUNCTION("""COMPUTED_VALUE"""),"")</f>
        <v/>
      </c>
    </row>
    <row r="7623">
      <c r="D7623" t="str">
        <f>IFERROR(__xludf.DUMMYFUNCTION("""COMPUTED_VALUE"""),"Eldrenkamp")</f>
        <v>Eldrenkamp</v>
      </c>
      <c r="E7623" t="str">
        <f>IFERROR(__xludf.DUMMYFUNCTION("""COMPUTED_VALUE"""),"Jake")</f>
        <v>Jake</v>
      </c>
      <c r="F7623" t="str">
        <f>IFERROR(__xludf.DUMMYFUNCTION("""COMPUTED_VALUE"""),"")</f>
        <v/>
      </c>
    </row>
    <row r="7624">
      <c r="D7624" t="str">
        <f>IFERROR(__xludf.DUMMYFUNCTION("""COMPUTED_VALUE"""),"Elflein")</f>
        <v>Elflein</v>
      </c>
      <c r="E7624" t="str">
        <f>IFERROR(__xludf.DUMMYFUNCTION("""COMPUTED_VALUE"""),"Pat")</f>
        <v>Pat</v>
      </c>
      <c r="F7624" t="str">
        <f>IFERROR(__xludf.DUMMYFUNCTION("""COMPUTED_VALUE"""),"")</f>
        <v/>
      </c>
    </row>
    <row r="7625">
      <c r="D7625" t="str">
        <f>IFERROR(__xludf.DUMMYFUNCTION("""COMPUTED_VALUE"""),"Ellerbee")</f>
        <v>Ellerbee</v>
      </c>
      <c r="E7625" t="str">
        <f>IFERROR(__xludf.DUMMYFUNCTION("""COMPUTED_VALUE"""),"Emmanuel")</f>
        <v>Emmanuel</v>
      </c>
      <c r="F7625" t="str">
        <f>IFERROR(__xludf.DUMMYFUNCTION("""COMPUTED_VALUE"""),"")</f>
        <v/>
      </c>
    </row>
    <row r="7626">
      <c r="D7626" t="str">
        <f>IFERROR(__xludf.DUMMYFUNCTION("""COMPUTED_VALUE"""),"Ellington")</f>
        <v>Ellington</v>
      </c>
      <c r="E7626" t="str">
        <f>IFERROR(__xludf.DUMMYFUNCTION("""COMPUTED_VALUE"""),"Andre")</f>
        <v>Andre</v>
      </c>
      <c r="F7626" t="str">
        <f>IFERROR(__xludf.DUMMYFUNCTION("""COMPUTED_VALUE"""),"")</f>
        <v/>
      </c>
    </row>
    <row r="7627">
      <c r="D7627" t="str">
        <f>IFERROR(__xludf.DUMMYFUNCTION("""COMPUTED_VALUE"""),"Elliott")</f>
        <v>Elliott</v>
      </c>
      <c r="E7627" t="str">
        <f>IFERROR(__xludf.DUMMYFUNCTION("""COMPUTED_VALUE"""),"DeShon")</f>
        <v>DeShon</v>
      </c>
      <c r="F7627" t="str">
        <f>IFERROR(__xludf.DUMMYFUNCTION("""COMPUTED_VALUE"""),"")</f>
        <v/>
      </c>
    </row>
    <row r="7628">
      <c r="D7628" t="str">
        <f>IFERROR(__xludf.DUMMYFUNCTION("""COMPUTED_VALUE"""),"Elliott")</f>
        <v>Elliott</v>
      </c>
      <c r="E7628" t="str">
        <f>IFERROR(__xludf.DUMMYFUNCTION("""COMPUTED_VALUE"""),"Ezekiel")</f>
        <v>Ezekiel</v>
      </c>
      <c r="F7628" t="str">
        <f>IFERROR(__xludf.DUMMYFUNCTION("""COMPUTED_VALUE"""),"")</f>
        <v/>
      </c>
    </row>
    <row r="7629">
      <c r="D7629" t="str">
        <f>IFERROR(__xludf.DUMMYFUNCTION("""COMPUTED_VALUE"""),"Elliott")</f>
        <v>Elliott</v>
      </c>
      <c r="E7629" t="str">
        <f>IFERROR(__xludf.DUMMYFUNCTION("""COMPUTED_VALUE"""),"Jake")</f>
        <v>Jake</v>
      </c>
      <c r="F7629" t="str">
        <f>IFERROR(__xludf.DUMMYFUNCTION("""COMPUTED_VALUE"""),"")</f>
        <v/>
      </c>
    </row>
    <row r="7630">
      <c r="D7630" t="str">
        <f>IFERROR(__xludf.DUMMYFUNCTION("""COMPUTED_VALUE"""),"Elliott")</f>
        <v>Elliott</v>
      </c>
      <c r="E7630" t="str">
        <f>IFERROR(__xludf.DUMMYFUNCTION("""COMPUTED_VALUE"""),"Javien")</f>
        <v>Javien</v>
      </c>
      <c r="F7630" t="str">
        <f>IFERROR(__xludf.DUMMYFUNCTION("""COMPUTED_VALUE"""),"")</f>
        <v/>
      </c>
    </row>
    <row r="7631">
      <c r="D7631" t="str">
        <f>IFERROR(__xludf.DUMMYFUNCTION("""COMPUTED_VALUE"""),"Elliott")</f>
        <v>Elliott</v>
      </c>
      <c r="E7631" t="str">
        <f>IFERROR(__xludf.DUMMYFUNCTION("""COMPUTED_VALUE"""),"Jayrone")</f>
        <v>Jayrone</v>
      </c>
      <c r="F7631" t="str">
        <f>IFERROR(__xludf.DUMMYFUNCTION("""COMPUTED_VALUE"""),"")</f>
        <v/>
      </c>
    </row>
    <row r="7632">
      <c r="D7632" t="str">
        <f>IFERROR(__xludf.DUMMYFUNCTION("""COMPUTED_VALUE"""),"Ellis")</f>
        <v>Ellis</v>
      </c>
      <c r="E7632" t="str">
        <f>IFERROR(__xludf.DUMMYFUNCTION("""COMPUTED_VALUE"""),"Justin")</f>
        <v>Justin</v>
      </c>
      <c r="F7632" t="str">
        <f>IFERROR(__xludf.DUMMYFUNCTION("""COMPUTED_VALUE"""),"")</f>
        <v/>
      </c>
    </row>
    <row r="7633">
      <c r="D7633" t="str">
        <f>IFERROR(__xludf.DUMMYFUNCTION("""COMPUTED_VALUE"""),"Ellison")</f>
        <v>Ellison</v>
      </c>
      <c r="E7633" t="str">
        <f>IFERROR(__xludf.DUMMYFUNCTION("""COMPUTED_VALUE"""),"Rhett")</f>
        <v>Rhett</v>
      </c>
      <c r="F7633" t="str">
        <f>IFERROR(__xludf.DUMMYFUNCTION("""COMPUTED_VALUE"""),"")</f>
        <v/>
      </c>
    </row>
    <row r="7634">
      <c r="D7634" t="str">
        <f>IFERROR(__xludf.DUMMYFUNCTION("""COMPUTED_VALUE"""),"Elliss")</f>
        <v>Elliss</v>
      </c>
      <c r="E7634" t="str">
        <f>IFERROR(__xludf.DUMMYFUNCTION("""COMPUTED_VALUE"""),"Kaden")</f>
        <v>Kaden</v>
      </c>
      <c r="F7634" t="str">
        <f>IFERROR(__xludf.DUMMYFUNCTION("""COMPUTED_VALUE"""),"")</f>
        <v/>
      </c>
    </row>
    <row r="7635">
      <c r="D7635" t="str">
        <f>IFERROR(__xludf.DUMMYFUNCTION("""COMPUTED_VALUE"""),"Eluemunor")</f>
        <v>Eluemunor</v>
      </c>
      <c r="E7635" t="str">
        <f>IFERROR(__xludf.DUMMYFUNCTION("""COMPUTED_VALUE"""),"Jermaine")</f>
        <v>Jermaine</v>
      </c>
      <c r="F7635" t="str">
        <f>IFERROR(__xludf.DUMMYFUNCTION("""COMPUTED_VALUE"""),"")</f>
        <v/>
      </c>
    </row>
    <row r="7636">
      <c r="D7636" t="str">
        <f>IFERROR(__xludf.DUMMYFUNCTION("""COMPUTED_VALUE"""),"Engram")</f>
        <v>Engram</v>
      </c>
      <c r="E7636" t="str">
        <f>IFERROR(__xludf.DUMMYFUNCTION("""COMPUTED_VALUE"""),"Evan")</f>
        <v>Evan</v>
      </c>
      <c r="F7636" t="str">
        <f>IFERROR(__xludf.DUMMYFUNCTION("""COMPUTED_VALUE"""),"")</f>
        <v/>
      </c>
    </row>
    <row r="7637">
      <c r="D7637" t="str">
        <f>IFERROR(__xludf.DUMMYFUNCTION("""COMPUTED_VALUE"""),"Enunwa")</f>
        <v>Enunwa</v>
      </c>
      <c r="E7637" t="str">
        <f>IFERROR(__xludf.DUMMYFUNCTION("""COMPUTED_VALUE"""),"Quincy")</f>
        <v>Quincy</v>
      </c>
      <c r="F7637" t="str">
        <f>IFERROR(__xludf.DUMMYFUNCTION("""COMPUTED_VALUE"""),"")</f>
        <v/>
      </c>
    </row>
    <row r="7638">
      <c r="D7638" t="str">
        <f>IFERROR(__xludf.DUMMYFUNCTION("""COMPUTED_VALUE"""),"Epps")</f>
        <v>Epps</v>
      </c>
      <c r="E7638" t="str">
        <f>IFERROR(__xludf.DUMMYFUNCTION("""COMPUTED_VALUE"""),"Marcus")</f>
        <v>Marcus</v>
      </c>
      <c r="F7638" t="str">
        <f>IFERROR(__xludf.DUMMYFUNCTION("""COMPUTED_VALUE"""),"")</f>
        <v/>
      </c>
    </row>
    <row r="7639">
      <c r="D7639" t="str">
        <f>IFERROR(__xludf.DUMMYFUNCTION("""COMPUTED_VALUE"""),"Erickson")</f>
        <v>Erickson</v>
      </c>
      <c r="E7639" t="str">
        <f>IFERROR(__xludf.DUMMYFUNCTION("""COMPUTED_VALUE"""),"Alex")</f>
        <v>Alex</v>
      </c>
      <c r="F7639" t="str">
        <f>IFERROR(__xludf.DUMMYFUNCTION("""COMPUTED_VALUE"""),"")</f>
        <v/>
      </c>
    </row>
    <row r="7640">
      <c r="D7640" t="str">
        <f>IFERROR(__xludf.DUMMYFUNCTION("""COMPUTED_VALUE"""),"Ernsberger")</f>
        <v>Ernsberger</v>
      </c>
      <c r="E7640" t="str">
        <f>IFERROR(__xludf.DUMMYFUNCTION("""COMPUTED_VALUE"""),"Donnie")</f>
        <v>Donnie</v>
      </c>
      <c r="F7640" t="str">
        <f>IFERROR(__xludf.DUMMYFUNCTION("""COMPUTED_VALUE"""),"")</f>
        <v/>
      </c>
    </row>
    <row r="7641">
      <c r="D7641" t="str">
        <f>IFERROR(__xludf.DUMMYFUNCTION("""COMPUTED_VALUE"""),"Ertz")</f>
        <v>Ertz</v>
      </c>
      <c r="E7641" t="str">
        <f>IFERROR(__xludf.DUMMYFUNCTION("""COMPUTED_VALUE"""),"Zach")</f>
        <v>Zach</v>
      </c>
      <c r="F7641" t="str">
        <f>IFERROR(__xludf.DUMMYFUNCTION("""COMPUTED_VALUE"""),"")</f>
        <v/>
      </c>
    </row>
    <row r="7642">
      <c r="D7642" t="str">
        <f>IFERROR(__xludf.DUMMYFUNCTION("""COMPUTED_VALUE"""),"Ervin")</f>
        <v>Ervin</v>
      </c>
      <c r="E7642" t="str">
        <f>IFERROR(__xludf.DUMMYFUNCTION("""COMPUTED_VALUE"""),"Tyler")</f>
        <v>Tyler</v>
      </c>
      <c r="F7642" t="str">
        <f>IFERROR(__xludf.DUMMYFUNCTION("""COMPUTED_VALUE"""),"")</f>
        <v/>
      </c>
    </row>
    <row r="7643">
      <c r="D7643" t="str">
        <f>IFERROR(__xludf.DUMMYFUNCTION("""COMPUTED_VALUE"""),"Erving")</f>
        <v>Erving</v>
      </c>
      <c r="E7643" t="str">
        <f>IFERROR(__xludf.DUMMYFUNCTION("""COMPUTED_VALUE"""),"Cameron")</f>
        <v>Cameron</v>
      </c>
      <c r="F7643" t="str">
        <f>IFERROR(__xludf.DUMMYFUNCTION("""COMPUTED_VALUE"""),"")</f>
        <v/>
      </c>
    </row>
    <row r="7644">
      <c r="D7644" t="str">
        <f>IFERROR(__xludf.DUMMYFUNCTION("""COMPUTED_VALUE"""),"Etling")</f>
        <v>Etling</v>
      </c>
      <c r="E7644" t="str">
        <f>IFERROR(__xludf.DUMMYFUNCTION("""COMPUTED_VALUE"""),"Danny")</f>
        <v>Danny</v>
      </c>
      <c r="F7644" t="str">
        <f>IFERROR(__xludf.DUMMYFUNCTION("""COMPUTED_VALUE"""),"")</f>
        <v/>
      </c>
    </row>
    <row r="7645">
      <c r="D7645" t="str">
        <f>IFERROR(__xludf.DUMMYFUNCTION("""COMPUTED_VALUE"""),"Evans")</f>
        <v>Evans</v>
      </c>
      <c r="E7645" t="str">
        <f>IFERROR(__xludf.DUMMYFUNCTION("""COMPUTED_VALUE"""),"Bobby")</f>
        <v>Bobby</v>
      </c>
      <c r="F7645" t="str">
        <f>IFERROR(__xludf.DUMMYFUNCTION("""COMPUTED_VALUE"""),"")</f>
        <v/>
      </c>
    </row>
    <row r="7646">
      <c r="D7646" t="str">
        <f>IFERROR(__xludf.DUMMYFUNCTION("""COMPUTED_VALUE"""),"Evans")</f>
        <v>Evans</v>
      </c>
      <c r="E7646" t="str">
        <f>IFERROR(__xludf.DUMMYFUNCTION("""COMPUTED_VALUE"""),"Jordan")</f>
        <v>Jordan</v>
      </c>
      <c r="F7646" t="str">
        <f>IFERROR(__xludf.DUMMYFUNCTION("""COMPUTED_VALUE"""),"")</f>
        <v/>
      </c>
    </row>
    <row r="7647">
      <c r="D7647" t="str">
        <f>IFERROR(__xludf.DUMMYFUNCTION("""COMPUTED_VALUE"""),"Evans")</f>
        <v>Evans</v>
      </c>
      <c r="E7647" t="str">
        <f>IFERROR(__xludf.DUMMYFUNCTION("""COMPUTED_VALUE"""),"Justin")</f>
        <v>Justin</v>
      </c>
      <c r="F7647" t="str">
        <f>IFERROR(__xludf.DUMMYFUNCTION("""COMPUTED_VALUE"""),"")</f>
        <v/>
      </c>
    </row>
    <row r="7648">
      <c r="D7648" t="str">
        <f>IFERROR(__xludf.DUMMYFUNCTION("""COMPUTED_VALUE"""),"Evans")</f>
        <v>Evans</v>
      </c>
      <c r="E7648" t="str">
        <f>IFERROR(__xludf.DUMMYFUNCTION("""COMPUTED_VALUE"""),"Marwin")</f>
        <v>Marwin</v>
      </c>
      <c r="F7648" t="str">
        <f>IFERROR(__xludf.DUMMYFUNCTION("""COMPUTED_VALUE"""),"")</f>
        <v/>
      </c>
    </row>
    <row r="7649">
      <c r="D7649" t="str">
        <f>IFERROR(__xludf.DUMMYFUNCTION("""COMPUTED_VALUE"""),"Evans")</f>
        <v>Evans</v>
      </c>
      <c r="E7649" t="str">
        <f>IFERROR(__xludf.DUMMYFUNCTION("""COMPUTED_VALUE"""),"Mike")</f>
        <v>Mike</v>
      </c>
      <c r="F7649" t="str">
        <f>IFERROR(__xludf.DUMMYFUNCTION("""COMPUTED_VALUE"""),"")</f>
        <v/>
      </c>
    </row>
    <row r="7650">
      <c r="D7650" t="str">
        <f>IFERROR(__xludf.DUMMYFUNCTION("""COMPUTED_VALUE"""),"Evans")</f>
        <v>Evans</v>
      </c>
      <c r="E7650" t="str">
        <f>IFERROR(__xludf.DUMMYFUNCTION("""COMPUTED_VALUE"""),"Rashaan")</f>
        <v>Rashaan</v>
      </c>
      <c r="F7650" t="str">
        <f>IFERROR(__xludf.DUMMYFUNCTION("""COMPUTED_VALUE"""),"")</f>
        <v/>
      </c>
    </row>
    <row r="7651">
      <c r="D7651" t="str">
        <f>IFERROR(__xludf.DUMMYFUNCTION("""COMPUTED_VALUE"""),"Everett")</f>
        <v>Everett</v>
      </c>
      <c r="E7651" t="str">
        <f>IFERROR(__xludf.DUMMYFUNCTION("""COMPUTED_VALUE"""),"Deshazor")</f>
        <v>Deshazor</v>
      </c>
      <c r="F7651" t="str">
        <f>IFERROR(__xludf.DUMMYFUNCTION("""COMPUTED_VALUE"""),"")</f>
        <v/>
      </c>
    </row>
    <row r="7652">
      <c r="D7652" t="str">
        <f>IFERROR(__xludf.DUMMYFUNCTION("""COMPUTED_VALUE"""),"Everett")</f>
        <v>Everett</v>
      </c>
      <c r="E7652" t="str">
        <f>IFERROR(__xludf.DUMMYFUNCTION("""COMPUTED_VALUE"""),"Gerald")</f>
        <v>Gerald</v>
      </c>
      <c r="F7652" t="str">
        <f>IFERROR(__xludf.DUMMYFUNCTION("""COMPUTED_VALUE"""),"")</f>
        <v/>
      </c>
    </row>
    <row r="7653">
      <c r="D7653" t="str">
        <f>IFERROR(__xludf.DUMMYFUNCTION("""COMPUTED_VALUE"""),"Exum")</f>
        <v>Exum</v>
      </c>
      <c r="E7653" t="str">
        <f>IFERROR(__xludf.DUMMYFUNCTION("""COMPUTED_VALUE"""),"Antone")</f>
        <v>Antone</v>
      </c>
      <c r="F7653" t="str">
        <f>IFERROR(__xludf.DUMMYFUNCTION("""COMPUTED_VALUE"""),"")</f>
        <v/>
      </c>
    </row>
    <row r="7654">
      <c r="D7654" t="str">
        <f>IFERROR(__xludf.DUMMYFUNCTION("""COMPUTED_VALUE"""),"Fabiano")</f>
        <v>Fabiano</v>
      </c>
      <c r="E7654" t="str">
        <f>IFERROR(__xludf.DUMMYFUNCTION("""COMPUTED_VALUE"""),"Anthony")</f>
        <v>Anthony</v>
      </c>
      <c r="F7654" t="str">
        <f>IFERROR(__xludf.DUMMYFUNCTION("""COMPUTED_VALUE"""),"")</f>
        <v/>
      </c>
    </row>
    <row r="7655">
      <c r="D7655" t="str">
        <f>IFERROR(__xludf.DUMMYFUNCTION("""COMPUTED_VALUE"""),"Fackrell")</f>
        <v>Fackrell</v>
      </c>
      <c r="E7655" t="str">
        <f>IFERROR(__xludf.DUMMYFUNCTION("""COMPUTED_VALUE"""),"Kyler")</f>
        <v>Kyler</v>
      </c>
      <c r="F7655" t="str">
        <f>IFERROR(__xludf.DUMMYFUNCTION("""COMPUTED_VALUE"""),"")</f>
        <v/>
      </c>
    </row>
    <row r="7656">
      <c r="D7656" t="str">
        <f>IFERROR(__xludf.DUMMYFUNCTION("""COMPUTED_VALUE"""),"Facyson")</f>
        <v>Facyson</v>
      </c>
      <c r="E7656" t="str">
        <f>IFERROR(__xludf.DUMMYFUNCTION("""COMPUTED_VALUE"""),"Brandon")</f>
        <v>Brandon</v>
      </c>
      <c r="F7656" t="str">
        <f>IFERROR(__xludf.DUMMYFUNCTION("""COMPUTED_VALUE"""),"")</f>
        <v/>
      </c>
    </row>
    <row r="7657">
      <c r="D7657" t="str">
        <f>IFERROR(__xludf.DUMMYFUNCTION("""COMPUTED_VALUE"""),"Fairbairn")</f>
        <v>Fairbairn</v>
      </c>
      <c r="E7657" t="str">
        <f>IFERROR(__xludf.DUMMYFUNCTION("""COMPUTED_VALUE"""),"Kaimi")</f>
        <v>Kaimi</v>
      </c>
      <c r="F7657" t="str">
        <f>IFERROR(__xludf.DUMMYFUNCTION("""COMPUTED_VALUE"""),"")</f>
        <v/>
      </c>
    </row>
    <row r="7658">
      <c r="D7658" t="str">
        <f>IFERROR(__xludf.DUMMYFUNCTION("""COMPUTED_VALUE"""),"Falah")</f>
        <v>Falah</v>
      </c>
      <c r="E7658" t="str">
        <f>IFERROR(__xludf.DUMMYFUNCTION("""COMPUTED_VALUE"""),"Nico")</f>
        <v>Nico</v>
      </c>
      <c r="F7658" t="str">
        <f>IFERROR(__xludf.DUMMYFUNCTION("""COMPUTED_VALUE"""),"")</f>
        <v/>
      </c>
    </row>
    <row r="7659">
      <c r="D7659" t="str">
        <f>IFERROR(__xludf.DUMMYFUNCTION("""COMPUTED_VALUE"""),"Falk")</f>
        <v>Falk</v>
      </c>
      <c r="E7659" t="str">
        <f>IFERROR(__xludf.DUMMYFUNCTION("""COMPUTED_VALUE"""),"Luke")</f>
        <v>Luke</v>
      </c>
      <c r="F7659" t="str">
        <f>IFERROR(__xludf.DUMMYFUNCTION("""COMPUTED_VALUE"""),"")</f>
        <v/>
      </c>
    </row>
    <row r="7660">
      <c r="D7660" t="str">
        <f>IFERROR(__xludf.DUMMYFUNCTION("""COMPUTED_VALUE"""),"Fant")</f>
        <v>Fant</v>
      </c>
      <c r="E7660" t="str">
        <f>IFERROR(__xludf.DUMMYFUNCTION("""COMPUTED_VALUE"""),"George")</f>
        <v>George</v>
      </c>
      <c r="F7660" t="str">
        <f>IFERROR(__xludf.DUMMYFUNCTION("""COMPUTED_VALUE"""),"")</f>
        <v/>
      </c>
    </row>
    <row r="7661">
      <c r="D7661" t="str">
        <f>IFERROR(__xludf.DUMMYFUNCTION("""COMPUTED_VALUE"""),"Fant")</f>
        <v>Fant</v>
      </c>
      <c r="E7661" t="str">
        <f>IFERROR(__xludf.DUMMYFUNCTION("""COMPUTED_VALUE"""),"Noah")</f>
        <v>Noah</v>
      </c>
      <c r="F7661" t="str">
        <f>IFERROR(__xludf.DUMMYFUNCTION("""COMPUTED_VALUE"""),"")</f>
        <v/>
      </c>
    </row>
    <row r="7662">
      <c r="D7662" t="str">
        <f>IFERROR(__xludf.DUMMYFUNCTION("""COMPUTED_VALUE"""),"Fant")</f>
        <v>Fant</v>
      </c>
      <c r="E7662" t="str">
        <f>IFERROR(__xludf.DUMMYFUNCTION("""COMPUTED_VALUE"""),"Rashard")</f>
        <v>Rashard</v>
      </c>
      <c r="F7662" t="str">
        <f>IFERROR(__xludf.DUMMYFUNCTION("""COMPUTED_VALUE"""),"")</f>
        <v/>
      </c>
    </row>
    <row r="7663">
      <c r="D7663" t="str">
        <f>IFERROR(__xludf.DUMMYFUNCTION("""COMPUTED_VALUE"""),"Farley")</f>
        <v>Farley</v>
      </c>
      <c r="E7663" t="str">
        <f>IFERROR(__xludf.DUMMYFUNCTION("""COMPUTED_VALUE"""),"Matthias")</f>
        <v>Matthias</v>
      </c>
      <c r="F7663" t="str">
        <f>IFERROR(__xludf.DUMMYFUNCTION("""COMPUTED_VALUE"""),"")</f>
        <v/>
      </c>
    </row>
    <row r="7664">
      <c r="D7664" t="str">
        <f>IFERROR(__xludf.DUMMYFUNCTION("""COMPUTED_VALUE"""),"Farrow")</f>
        <v>Farrow</v>
      </c>
      <c r="E7664" t="str">
        <f>IFERROR(__xludf.DUMMYFUNCTION("""COMPUTED_VALUE"""),"Kenneth")</f>
        <v>Kenneth</v>
      </c>
      <c r="F7664" t="str">
        <f>IFERROR(__xludf.DUMMYFUNCTION("""COMPUTED_VALUE"""),"")</f>
        <v/>
      </c>
    </row>
    <row r="7665">
      <c r="D7665" t="str">
        <f>IFERROR(__xludf.DUMMYFUNCTION("""COMPUTED_VALUE"""),"Fatukasi")</f>
        <v>Fatukasi</v>
      </c>
      <c r="E7665" t="str">
        <f>IFERROR(__xludf.DUMMYFUNCTION("""COMPUTED_VALUE"""),"Folorunso")</f>
        <v>Folorunso</v>
      </c>
      <c r="F7665" t="str">
        <f>IFERROR(__xludf.DUMMYFUNCTION("""COMPUTED_VALUE"""),"")</f>
        <v/>
      </c>
    </row>
    <row r="7666">
      <c r="D7666" t="str">
        <f>IFERROR(__xludf.DUMMYFUNCTION("""COMPUTED_VALUE"""),"Feeney")</f>
        <v>Feeney</v>
      </c>
      <c r="E7666" t="str">
        <f>IFERROR(__xludf.DUMMYFUNCTION("""COMPUTED_VALUE"""),"Dan")</f>
        <v>Dan</v>
      </c>
      <c r="F7666" t="str">
        <f>IFERROR(__xludf.DUMMYFUNCTION("""COMPUTED_VALUE"""),"")</f>
        <v/>
      </c>
    </row>
    <row r="7667">
      <c r="D7667" t="str">
        <f>IFERROR(__xludf.DUMMYFUNCTION("""COMPUTED_VALUE"""),"Feiler")</f>
        <v>Feiler</v>
      </c>
      <c r="E7667" t="str">
        <f>IFERROR(__xludf.DUMMYFUNCTION("""COMPUTED_VALUE"""),"Matt")</f>
        <v>Matt</v>
      </c>
      <c r="F7667" t="str">
        <f>IFERROR(__xludf.DUMMYFUNCTION("""COMPUTED_VALUE"""),"")</f>
        <v/>
      </c>
    </row>
    <row r="7668">
      <c r="D7668" t="str">
        <f>IFERROR(__xludf.DUMMYFUNCTION("""COMPUTED_VALUE"""),"Fejedelem")</f>
        <v>Fejedelem</v>
      </c>
      <c r="E7668" t="str">
        <f>IFERROR(__xludf.DUMMYFUNCTION("""COMPUTED_VALUE"""),"Clayton")</f>
        <v>Clayton</v>
      </c>
      <c r="F7668" t="str">
        <f>IFERROR(__xludf.DUMMYFUNCTION("""COMPUTED_VALUE"""),"")</f>
        <v/>
      </c>
    </row>
    <row r="7669">
      <c r="D7669" t="str">
        <f>IFERROR(__xludf.DUMMYFUNCTION("""COMPUTED_VALUE"""),"Feliciano")</f>
        <v>Feliciano</v>
      </c>
      <c r="E7669" t="str">
        <f>IFERROR(__xludf.DUMMYFUNCTION("""COMPUTED_VALUE"""),"Jon")</f>
        <v>Jon</v>
      </c>
      <c r="F7669" t="str">
        <f>IFERROR(__xludf.DUMMYFUNCTION("""COMPUTED_VALUE"""),"")</f>
        <v/>
      </c>
    </row>
    <row r="7670">
      <c r="D7670" t="str">
        <f>IFERROR(__xludf.DUMMYFUNCTION("""COMPUTED_VALUE"""),"Fells")</f>
        <v>Fells</v>
      </c>
      <c r="E7670" t="str">
        <f>IFERROR(__xludf.DUMMYFUNCTION("""COMPUTED_VALUE"""),"Darren")</f>
        <v>Darren</v>
      </c>
      <c r="F7670" t="str">
        <f>IFERROR(__xludf.DUMMYFUNCTION("""COMPUTED_VALUE"""),"")</f>
        <v/>
      </c>
    </row>
    <row r="7671">
      <c r="D7671" t="str">
        <f>IFERROR(__xludf.DUMMYFUNCTION("""COMPUTED_VALUE"""),"Fenton")</f>
        <v>Fenton</v>
      </c>
      <c r="E7671" t="str">
        <f>IFERROR(__xludf.DUMMYFUNCTION("""COMPUTED_VALUE"""),"Rashad")</f>
        <v>Rashad</v>
      </c>
      <c r="F7671" t="str">
        <f>IFERROR(__xludf.DUMMYFUNCTION("""COMPUTED_VALUE"""),"")</f>
        <v/>
      </c>
    </row>
    <row r="7672">
      <c r="D7672" t="str">
        <f>IFERROR(__xludf.DUMMYFUNCTION("""COMPUTED_VALUE"""),"Ferentz")</f>
        <v>Ferentz</v>
      </c>
      <c r="E7672" t="str">
        <f>IFERROR(__xludf.DUMMYFUNCTION("""COMPUTED_VALUE"""),"James")</f>
        <v>James</v>
      </c>
      <c r="F7672" t="str">
        <f>IFERROR(__xludf.DUMMYFUNCTION("""COMPUTED_VALUE"""),"")</f>
        <v/>
      </c>
    </row>
    <row r="7673">
      <c r="D7673" t="str">
        <f>IFERROR(__xludf.DUMMYFUNCTION("""COMPUTED_VALUE"""),"Ferguson")</f>
        <v>Ferguson</v>
      </c>
      <c r="E7673" t="str">
        <f>IFERROR(__xludf.DUMMYFUNCTION("""COMPUTED_VALUE"""),"Jaylon")</f>
        <v>Jaylon</v>
      </c>
      <c r="F7673" t="str">
        <f>IFERROR(__xludf.DUMMYFUNCTION("""COMPUTED_VALUE"""),"")</f>
        <v/>
      </c>
    </row>
    <row r="7674">
      <c r="D7674" t="str">
        <f>IFERROR(__xludf.DUMMYFUNCTION("""COMPUTED_VALUE"""),"Ferguson")</f>
        <v>Ferguson</v>
      </c>
      <c r="E7674" t="str">
        <f>IFERROR(__xludf.DUMMYFUNCTION("""COMPUTED_VALUE"""),"Josh")</f>
        <v>Josh</v>
      </c>
      <c r="F7674" t="str">
        <f>IFERROR(__xludf.DUMMYFUNCTION("""COMPUTED_VALUE"""),"")</f>
        <v/>
      </c>
    </row>
    <row r="7675">
      <c r="D7675" t="str">
        <f>IFERROR(__xludf.DUMMYFUNCTION("""COMPUTED_VALUE"""),"Ferguson")</f>
        <v>Ferguson</v>
      </c>
      <c r="E7675" t="str">
        <f>IFERROR(__xludf.DUMMYFUNCTION("""COMPUTED_VALUE"""),"Reid")</f>
        <v>Reid</v>
      </c>
      <c r="F7675" t="str">
        <f>IFERROR(__xludf.DUMMYFUNCTION("""COMPUTED_VALUE"""),"")</f>
        <v/>
      </c>
    </row>
    <row r="7676">
      <c r="D7676" t="str">
        <f>IFERROR(__xludf.DUMMYFUNCTION("""COMPUTED_VALUE"""),"Ferrell")</f>
        <v>Ferrell</v>
      </c>
      <c r="E7676" t="str">
        <f>IFERROR(__xludf.DUMMYFUNCTION("""COMPUTED_VALUE"""),"Clelin")</f>
        <v>Clelin</v>
      </c>
      <c r="F7676" t="str">
        <f>IFERROR(__xludf.DUMMYFUNCTION("""COMPUTED_VALUE"""),"")</f>
        <v/>
      </c>
    </row>
    <row r="7677">
      <c r="D7677" t="str">
        <f>IFERROR(__xludf.DUMMYFUNCTION("""COMPUTED_VALUE"""),"Ficken")</f>
        <v>Ficken</v>
      </c>
      <c r="E7677" t="str">
        <f>IFERROR(__xludf.DUMMYFUNCTION("""COMPUTED_VALUE"""),"Sam")</f>
        <v>Sam</v>
      </c>
      <c r="F7677" t="str">
        <f>IFERROR(__xludf.DUMMYFUNCTION("""COMPUTED_VALUE"""),"")</f>
        <v/>
      </c>
    </row>
    <row r="7678">
      <c r="D7678" t="str">
        <f>IFERROR(__xludf.DUMMYFUNCTION("""COMPUTED_VALUE"""),"Fields")</f>
        <v>Fields</v>
      </c>
      <c r="E7678" t="str">
        <f>IFERROR(__xludf.DUMMYFUNCTION("""COMPUTED_VALUE"""),"Mark")</f>
        <v>Mark</v>
      </c>
      <c r="F7678" t="str">
        <f>IFERROR(__xludf.DUMMYFUNCTION("""COMPUTED_VALUE"""),"")</f>
        <v/>
      </c>
    </row>
    <row r="7679">
      <c r="D7679" t="str">
        <f>IFERROR(__xludf.DUMMYFUNCTION("""COMPUTED_VALUE"""),"Finch")</f>
        <v>Finch</v>
      </c>
      <c r="E7679" t="str">
        <f>IFERROR(__xludf.DUMMYFUNCTION("""COMPUTED_VALUE"""),"Sharif")</f>
        <v>Sharif</v>
      </c>
      <c r="F7679" t="str">
        <f>IFERROR(__xludf.DUMMYFUNCTION("""COMPUTED_VALUE"""),"")</f>
        <v/>
      </c>
    </row>
    <row r="7680">
      <c r="D7680" t="str">
        <f>IFERROR(__xludf.DUMMYFUNCTION("""COMPUTED_VALUE"""),"Finley")</f>
        <v>Finley</v>
      </c>
      <c r="E7680" t="str">
        <f>IFERROR(__xludf.DUMMYFUNCTION("""COMPUTED_VALUE"""),"Ryan")</f>
        <v>Ryan</v>
      </c>
      <c r="F7680" t="str">
        <f>IFERROR(__xludf.DUMMYFUNCTION("""COMPUTED_VALUE"""),"")</f>
        <v/>
      </c>
    </row>
    <row r="7681">
      <c r="D7681" t="str">
        <f>IFERROR(__xludf.DUMMYFUNCTION("""COMPUTED_VALUE"""),"Finney")</f>
        <v>Finney</v>
      </c>
      <c r="E7681" t="str">
        <f>IFERROR(__xludf.DUMMYFUNCTION("""COMPUTED_VALUE"""),"BJ")</f>
        <v>BJ</v>
      </c>
      <c r="F7681" t="str">
        <f>IFERROR(__xludf.DUMMYFUNCTION("""COMPUTED_VALUE"""),"")</f>
        <v/>
      </c>
    </row>
    <row r="7682">
      <c r="D7682" t="str">
        <f>IFERROR(__xludf.DUMMYFUNCTION("""COMPUTED_VALUE"""),"Firkser")</f>
        <v>Firkser</v>
      </c>
      <c r="E7682" t="str">
        <f>IFERROR(__xludf.DUMMYFUNCTION("""COMPUTED_VALUE"""),"Anthony")</f>
        <v>Anthony</v>
      </c>
      <c r="F7682" t="str">
        <f>IFERROR(__xludf.DUMMYFUNCTION("""COMPUTED_VALUE"""),"")</f>
        <v/>
      </c>
    </row>
    <row r="7683">
      <c r="D7683" t="str">
        <f>IFERROR(__xludf.DUMMYFUNCTION("""COMPUTED_VALUE"""),"Fisher")</f>
        <v>Fisher</v>
      </c>
      <c r="E7683" t="str">
        <f>IFERROR(__xludf.DUMMYFUNCTION("""COMPUTED_VALUE"""),"Eric")</f>
        <v>Eric</v>
      </c>
      <c r="F7683" t="str">
        <f>IFERROR(__xludf.DUMMYFUNCTION("""COMPUTED_VALUE"""),"")</f>
        <v/>
      </c>
    </row>
    <row r="7684">
      <c r="D7684" t="str">
        <f>IFERROR(__xludf.DUMMYFUNCTION("""COMPUTED_VALUE"""),"Fitts")</f>
        <v>Fitts</v>
      </c>
      <c r="E7684" t="str">
        <f>IFERROR(__xludf.DUMMYFUNCTION("""COMPUTED_VALUE"""),"Kylie")</f>
        <v>Kylie</v>
      </c>
      <c r="F7684" t="str">
        <f>IFERROR(__xludf.DUMMYFUNCTION("""COMPUTED_VALUE"""),"")</f>
        <v/>
      </c>
    </row>
    <row r="7685">
      <c r="D7685" t="str">
        <f>IFERROR(__xludf.DUMMYFUNCTION("""COMPUTED_VALUE"""),"Fitzgerald")</f>
        <v>Fitzgerald</v>
      </c>
      <c r="E7685" t="str">
        <f>IFERROR(__xludf.DUMMYFUNCTION("""COMPUTED_VALUE"""),"Larry")</f>
        <v>Larry</v>
      </c>
      <c r="F7685" t="str">
        <f>IFERROR(__xludf.DUMMYFUNCTION("""COMPUTED_VALUE"""),"")</f>
        <v/>
      </c>
    </row>
    <row r="7686">
      <c r="D7686" t="str">
        <f>IFERROR(__xludf.DUMMYFUNCTION("""COMPUTED_VALUE"""),"Fitzgerald")</f>
        <v>Fitzgerald</v>
      </c>
      <c r="E7686" t="str">
        <f>IFERROR(__xludf.DUMMYFUNCTION("""COMPUTED_VALUE"""),"Nick")</f>
        <v>Nick</v>
      </c>
      <c r="F7686" t="str">
        <f>IFERROR(__xludf.DUMMYFUNCTION("""COMPUTED_VALUE"""),"")</f>
        <v/>
      </c>
    </row>
    <row r="7687">
      <c r="D7687" t="str">
        <f>IFERROR(__xludf.DUMMYFUNCTION("""COMPUTED_VALUE"""),"Fitzpatrick")</f>
        <v>Fitzpatrick</v>
      </c>
      <c r="E7687" t="str">
        <f>IFERROR(__xludf.DUMMYFUNCTION("""COMPUTED_VALUE"""),"Minkah")</f>
        <v>Minkah</v>
      </c>
      <c r="F7687" t="str">
        <f>IFERROR(__xludf.DUMMYFUNCTION("""COMPUTED_VALUE"""),"")</f>
        <v/>
      </c>
    </row>
    <row r="7688">
      <c r="D7688" t="str">
        <f>IFERROR(__xludf.DUMMYFUNCTION("""COMPUTED_VALUE"""),"Fitzpatrick")</f>
        <v>Fitzpatrick</v>
      </c>
      <c r="E7688" t="str">
        <f>IFERROR(__xludf.DUMMYFUNCTION("""COMPUTED_VALUE"""),"Ryan")</f>
        <v>Ryan</v>
      </c>
      <c r="F7688" t="str">
        <f>IFERROR(__xludf.DUMMYFUNCTION("""COMPUTED_VALUE"""),"")</f>
        <v/>
      </c>
    </row>
    <row r="7689">
      <c r="D7689" t="str">
        <f>IFERROR(__xludf.DUMMYFUNCTION("""COMPUTED_VALUE"""),"Flacco")</f>
        <v>Flacco</v>
      </c>
      <c r="E7689" t="str">
        <f>IFERROR(__xludf.DUMMYFUNCTION("""COMPUTED_VALUE"""),"Joe")</f>
        <v>Joe</v>
      </c>
      <c r="F7689" t="str">
        <f>IFERROR(__xludf.DUMMYFUNCTION("""COMPUTED_VALUE"""),"")</f>
        <v/>
      </c>
    </row>
    <row r="7690">
      <c r="D7690" t="str">
        <f>IFERROR(__xludf.DUMMYFUNCTION("""COMPUTED_VALUE"""),"Flanagan")</f>
        <v>Flanagan</v>
      </c>
      <c r="E7690" t="str">
        <f>IFERROR(__xludf.DUMMYFUNCTION("""COMPUTED_VALUE"""),"Matt")</f>
        <v>Matt</v>
      </c>
      <c r="F7690" t="str">
        <f>IFERROR(__xludf.DUMMYFUNCTION("""COMPUTED_VALUE"""),"")</f>
        <v/>
      </c>
    </row>
    <row r="7691">
      <c r="D7691" t="str">
        <f>IFERROR(__xludf.DUMMYFUNCTION("""COMPUTED_VALUE"""),"Fleming")</f>
        <v>Fleming</v>
      </c>
      <c r="E7691" t="str">
        <f>IFERROR(__xludf.DUMMYFUNCTION("""COMPUTED_VALUE"""),"Cameron")</f>
        <v>Cameron</v>
      </c>
      <c r="F7691" t="str">
        <f>IFERROR(__xludf.DUMMYFUNCTION("""COMPUTED_VALUE"""),"")</f>
        <v/>
      </c>
    </row>
    <row r="7692">
      <c r="D7692" t="str">
        <f>IFERROR(__xludf.DUMMYFUNCTION("""COMPUTED_VALUE"""),"Flowers")</f>
        <v>Flowers</v>
      </c>
      <c r="E7692" t="str">
        <f>IFERROR(__xludf.DUMMYFUNCTION("""COMPUTED_VALUE"""),"Ereck")</f>
        <v>Ereck</v>
      </c>
      <c r="F7692" t="str">
        <f>IFERROR(__xludf.DUMMYFUNCTION("""COMPUTED_VALUE"""),"")</f>
        <v/>
      </c>
    </row>
    <row r="7693">
      <c r="D7693" t="str">
        <f>IFERROR(__xludf.DUMMYFUNCTION("""COMPUTED_VALUE"""),"Flowers")</f>
        <v>Flowers</v>
      </c>
      <c r="E7693" t="str">
        <f>IFERROR(__xludf.DUMMYFUNCTION("""COMPUTED_VALUE"""),"Marquis")</f>
        <v>Marquis</v>
      </c>
      <c r="F7693" t="str">
        <f>IFERROR(__xludf.DUMMYFUNCTION("""COMPUTED_VALUE"""),"")</f>
        <v/>
      </c>
    </row>
    <row r="7694">
      <c r="D7694" t="str">
        <f>IFERROR(__xludf.DUMMYFUNCTION("""COMPUTED_VALUE"""),"Flowers")</f>
        <v>Flowers</v>
      </c>
      <c r="E7694" t="str">
        <f>IFERROR(__xludf.DUMMYFUNCTION("""COMPUTED_VALUE"""),"Quinton")</f>
        <v>Quinton</v>
      </c>
      <c r="F7694" t="str">
        <f>IFERROR(__xludf.DUMMYFUNCTION("""COMPUTED_VALUE"""),"")</f>
        <v/>
      </c>
    </row>
    <row r="7695">
      <c r="D7695" t="str">
        <f>IFERROR(__xludf.DUMMYFUNCTION("""COMPUTED_VALUE"""),"Flowers")</f>
        <v>Flowers</v>
      </c>
      <c r="E7695" t="str">
        <f>IFERROR(__xludf.DUMMYFUNCTION("""COMPUTED_VALUE"""),"Tre")</f>
        <v>Tre</v>
      </c>
      <c r="F7695" t="str">
        <f>IFERROR(__xludf.DUMMYFUNCTION("""COMPUTED_VALUE"""),"")</f>
        <v/>
      </c>
    </row>
    <row r="7696">
      <c r="D7696" t="str">
        <f>IFERROR(__xludf.DUMMYFUNCTION("""COMPUTED_VALUE"""),"Flowers")</f>
        <v>Flowers</v>
      </c>
      <c r="E7696" t="str">
        <f>IFERROR(__xludf.DUMMYFUNCTION("""COMPUTED_VALUE"""),"Trey")</f>
        <v>Trey</v>
      </c>
      <c r="F7696" t="str">
        <f>IFERROR(__xludf.DUMMYFUNCTION("""COMPUTED_VALUE"""),"")</f>
        <v/>
      </c>
    </row>
    <row r="7697">
      <c r="D7697" t="str">
        <f>IFERROR(__xludf.DUMMYFUNCTION("""COMPUTED_VALUE"""),"Floyd")</f>
        <v>Floyd</v>
      </c>
      <c r="E7697" t="str">
        <f>IFERROR(__xludf.DUMMYFUNCTION("""COMPUTED_VALUE"""),"Leonard")</f>
        <v>Leonard</v>
      </c>
      <c r="F7697" t="str">
        <f>IFERROR(__xludf.DUMMYFUNCTION("""COMPUTED_VALUE"""),"")</f>
        <v/>
      </c>
    </row>
    <row r="7698">
      <c r="D7698" t="str">
        <f>IFERROR(__xludf.DUMMYFUNCTION("""COMPUTED_VALUE"""),"Floyd")</f>
        <v>Floyd</v>
      </c>
      <c r="E7698" t="str">
        <f>IFERROR(__xludf.DUMMYFUNCTION("""COMPUTED_VALUE"""),"Michael")</f>
        <v>Michael</v>
      </c>
      <c r="F7698" t="str">
        <f>IFERROR(__xludf.DUMMYFUNCTION("""COMPUTED_VALUE"""),"")</f>
        <v/>
      </c>
    </row>
    <row r="7699">
      <c r="D7699" t="str">
        <f>IFERROR(__xludf.DUMMYFUNCTION("""COMPUTED_VALUE"""),"Fluellen")</f>
        <v>Fluellen</v>
      </c>
      <c r="E7699" t="str">
        <f>IFERROR(__xludf.DUMMYFUNCTION("""COMPUTED_VALUE"""),"David")</f>
        <v>David</v>
      </c>
      <c r="F7699" t="str">
        <f>IFERROR(__xludf.DUMMYFUNCTION("""COMPUTED_VALUE"""),"")</f>
        <v/>
      </c>
    </row>
    <row r="7700">
      <c r="D7700" t="str">
        <f>IFERROR(__xludf.DUMMYFUNCTION("""COMPUTED_VALUE"""),"Fluker")</f>
        <v>Fluker</v>
      </c>
      <c r="E7700" t="str">
        <f>IFERROR(__xludf.DUMMYFUNCTION("""COMPUTED_VALUE"""),"DJ")</f>
        <v>DJ</v>
      </c>
      <c r="F7700" t="str">
        <f>IFERROR(__xludf.DUMMYFUNCTION("""COMPUTED_VALUE"""),"")</f>
        <v/>
      </c>
    </row>
    <row r="7701">
      <c r="D7701" t="str">
        <f>IFERROR(__xludf.DUMMYFUNCTION("""COMPUTED_VALUE"""),"Foles")</f>
        <v>Foles</v>
      </c>
      <c r="E7701" t="str">
        <f>IFERROR(__xludf.DUMMYFUNCTION("""COMPUTED_VALUE"""),"Nick")</f>
        <v>Nick</v>
      </c>
      <c r="F7701" t="str">
        <f>IFERROR(__xludf.DUMMYFUNCTION("""COMPUTED_VALUE"""),"")</f>
        <v/>
      </c>
    </row>
    <row r="7702">
      <c r="D7702" t="str">
        <f>IFERROR(__xludf.DUMMYFUNCTION("""COMPUTED_VALUE"""),"Forbes")</f>
        <v>Forbes</v>
      </c>
      <c r="E7702" t="str">
        <f>IFERROR(__xludf.DUMMYFUNCTION("""COMPUTED_VALUE"""),"Drew")</f>
        <v>Drew</v>
      </c>
      <c r="F7702" t="str">
        <f>IFERROR(__xludf.DUMMYFUNCTION("""COMPUTED_VALUE"""),"")</f>
        <v/>
      </c>
    </row>
    <row r="7703">
      <c r="D7703" t="str">
        <f>IFERROR(__xludf.DUMMYFUNCTION("""COMPUTED_VALUE"""),"Ford")</f>
        <v>Ford</v>
      </c>
      <c r="E7703" t="str">
        <f>IFERROR(__xludf.DUMMYFUNCTION("""COMPUTED_VALUE"""),"Cody")</f>
        <v>Cody</v>
      </c>
      <c r="F7703" t="str">
        <f>IFERROR(__xludf.DUMMYFUNCTION("""COMPUTED_VALUE"""),"")</f>
        <v/>
      </c>
    </row>
    <row r="7704">
      <c r="D7704" t="str">
        <f>IFERROR(__xludf.DUMMYFUNCTION("""COMPUTED_VALUE"""),"Ford")</f>
        <v>Ford</v>
      </c>
      <c r="E7704" t="str">
        <f>IFERROR(__xludf.DUMMYFUNCTION("""COMPUTED_VALUE"""),"Dee")</f>
        <v>Dee</v>
      </c>
      <c r="F7704" t="str">
        <f>IFERROR(__xludf.DUMMYFUNCTION("""COMPUTED_VALUE"""),"")</f>
        <v/>
      </c>
    </row>
    <row r="7705">
      <c r="D7705" t="str">
        <f>IFERROR(__xludf.DUMMYFUNCTION("""COMPUTED_VALUE"""),"Ford")</f>
        <v>Ford</v>
      </c>
      <c r="E7705" t="str">
        <f>IFERROR(__xludf.DUMMYFUNCTION("""COMPUTED_VALUE"""),"Isaiah")</f>
        <v>Isaiah</v>
      </c>
      <c r="F7705" t="str">
        <f>IFERROR(__xludf.DUMMYFUNCTION("""COMPUTED_VALUE"""),"")</f>
        <v/>
      </c>
    </row>
    <row r="7706">
      <c r="D7706" t="str">
        <f>IFERROR(__xludf.DUMMYFUNCTION("""COMPUTED_VALUE"""),"Ford")</f>
        <v>Ford</v>
      </c>
      <c r="E7706" t="str">
        <f>IFERROR(__xludf.DUMMYFUNCTION("""COMPUTED_VALUE"""),"Mike")</f>
        <v>Mike</v>
      </c>
      <c r="F7706" t="str">
        <f>IFERROR(__xludf.DUMMYFUNCTION("""COMPUTED_VALUE"""),"")</f>
        <v/>
      </c>
    </row>
    <row r="7707">
      <c r="D7707" t="str">
        <f>IFERROR(__xludf.DUMMYFUNCTION("""COMPUTED_VALUE"""),"Ford")</f>
        <v>Ford</v>
      </c>
      <c r="E7707" t="str">
        <f>IFERROR(__xludf.DUMMYFUNCTION("""COMPUTED_VALUE"""),"Poona")</f>
        <v>Poona</v>
      </c>
      <c r="F7707" t="str">
        <f>IFERROR(__xludf.DUMMYFUNCTION("""COMPUTED_VALUE"""),"")</f>
        <v/>
      </c>
    </row>
    <row r="7708">
      <c r="D7708" t="str">
        <f>IFERROR(__xludf.DUMMYFUNCTION("""COMPUTED_VALUE"""),"Ford")</f>
        <v>Ford</v>
      </c>
      <c r="E7708" t="str">
        <f>IFERROR(__xludf.DUMMYFUNCTION("""COMPUTED_VALUE"""),"Rudy")</f>
        <v>Rudy</v>
      </c>
      <c r="F7708" t="str">
        <f>IFERROR(__xludf.DUMMYFUNCTION("""COMPUTED_VALUE"""),"")</f>
        <v/>
      </c>
    </row>
    <row r="7709">
      <c r="D7709" t="str">
        <f>IFERROR(__xludf.DUMMYFUNCTION("""COMPUTED_VALUE"""),"Foreman")</f>
        <v>Foreman</v>
      </c>
      <c r="E7709" t="str">
        <f>IFERROR(__xludf.DUMMYFUNCTION("""COMPUTED_VALUE"""),"DOnta")</f>
        <v>DOnta</v>
      </c>
      <c r="F7709" t="str">
        <f>IFERROR(__xludf.DUMMYFUNCTION("""COMPUTED_VALUE"""),"")</f>
        <v/>
      </c>
    </row>
    <row r="7710">
      <c r="D7710" t="str">
        <f>IFERROR(__xludf.DUMMYFUNCTION("""COMPUTED_VALUE"""),"Fort")</f>
        <v>Fort</v>
      </c>
      <c r="E7710" t="str">
        <f>IFERROR(__xludf.DUMMYFUNCTION("""COMPUTED_VALUE"""),"LJ")</f>
        <v>LJ</v>
      </c>
      <c r="F7710" t="str">
        <f>IFERROR(__xludf.DUMMYFUNCTION("""COMPUTED_VALUE"""),"")</f>
        <v/>
      </c>
    </row>
    <row r="7711">
      <c r="D7711" t="str">
        <f>IFERROR(__xludf.DUMMYFUNCTION("""COMPUTED_VALUE"""),"Foster")</f>
        <v>Foster</v>
      </c>
      <c r="E7711" t="str">
        <f>IFERROR(__xludf.DUMMYFUNCTION("""COMPUTED_VALUE"""),"DJ")</f>
        <v>DJ</v>
      </c>
      <c r="F7711" t="str">
        <f>IFERROR(__xludf.DUMMYFUNCTION("""COMPUTED_VALUE"""),"")</f>
        <v/>
      </c>
    </row>
    <row r="7712">
      <c r="D7712" t="str">
        <f>IFERROR(__xludf.DUMMYFUNCTION("""COMPUTED_VALUE"""),"Foster")</f>
        <v>Foster</v>
      </c>
      <c r="E7712" t="str">
        <f>IFERROR(__xludf.DUMMYFUNCTION("""COMPUTED_VALUE"""),"Mason")</f>
        <v>Mason</v>
      </c>
      <c r="F7712" t="str">
        <f>IFERROR(__xludf.DUMMYFUNCTION("""COMPUTED_VALUE"""),"")</f>
        <v/>
      </c>
    </row>
    <row r="7713">
      <c r="D7713" t="str">
        <f>IFERROR(__xludf.DUMMYFUNCTION("""COMPUTED_VALUE"""),"Foster")</f>
        <v>Foster</v>
      </c>
      <c r="E7713" t="str">
        <f>IFERROR(__xludf.DUMMYFUNCTION("""COMPUTED_VALUE"""),"Ramon")</f>
        <v>Ramon</v>
      </c>
      <c r="F7713" t="str">
        <f>IFERROR(__xludf.DUMMYFUNCTION("""COMPUTED_VALUE"""),"")</f>
        <v/>
      </c>
    </row>
    <row r="7714">
      <c r="D7714" t="str">
        <f>IFERROR(__xludf.DUMMYFUNCTION("""COMPUTED_VALUE"""),"Foster")</f>
        <v>Foster</v>
      </c>
      <c r="E7714" t="str">
        <f>IFERROR(__xludf.DUMMYFUNCTION("""COMPUTED_VALUE"""),"Reuben")</f>
        <v>Reuben</v>
      </c>
      <c r="F7714" t="str">
        <f>IFERROR(__xludf.DUMMYFUNCTION("""COMPUTED_VALUE"""),"")</f>
        <v/>
      </c>
    </row>
    <row r="7715">
      <c r="D7715" t="str">
        <f>IFERROR(__xludf.DUMMYFUNCTION("""COMPUTED_VALUE"""),"Foster")</f>
        <v>Foster</v>
      </c>
      <c r="E7715" t="str">
        <f>IFERROR(__xludf.DUMMYFUNCTION("""COMPUTED_VALUE"""),"Robert")</f>
        <v>Robert</v>
      </c>
      <c r="F7715" t="str">
        <f>IFERROR(__xludf.DUMMYFUNCTION("""COMPUTED_VALUE"""),"")</f>
        <v/>
      </c>
    </row>
    <row r="7716">
      <c r="D7716" t="str">
        <f>IFERROR(__xludf.DUMMYFUNCTION("""COMPUTED_VALUE"""),"Fountain")</f>
        <v>Fountain</v>
      </c>
      <c r="E7716" t="str">
        <f>IFERROR(__xludf.DUMMYFUNCTION("""COMPUTED_VALUE"""),"Reece")</f>
        <v>Reece</v>
      </c>
      <c r="F7716" t="str">
        <f>IFERROR(__xludf.DUMMYFUNCTION("""COMPUTED_VALUE"""),"")</f>
        <v/>
      </c>
    </row>
    <row r="7717">
      <c r="D7717" t="str">
        <f>IFERROR(__xludf.DUMMYFUNCTION("""COMPUTED_VALUE"""),"Fournette")</f>
        <v>Fournette</v>
      </c>
      <c r="E7717" t="str">
        <f>IFERROR(__xludf.DUMMYFUNCTION("""COMPUTED_VALUE"""),"Leonard")</f>
        <v>Leonard</v>
      </c>
      <c r="F7717" t="str">
        <f>IFERROR(__xludf.DUMMYFUNCTION("""COMPUTED_VALUE"""),"")</f>
        <v/>
      </c>
    </row>
    <row r="7718">
      <c r="D7718" t="str">
        <f>IFERROR(__xludf.DUMMYFUNCTION("""COMPUTED_VALUE"""),"Fowler")</f>
        <v>Fowler</v>
      </c>
      <c r="E7718" t="str">
        <f>IFERROR(__xludf.DUMMYFUNCTION("""COMPUTED_VALUE"""),"Bennie")</f>
        <v>Bennie</v>
      </c>
      <c r="F7718" t="str">
        <f>IFERROR(__xludf.DUMMYFUNCTION("""COMPUTED_VALUE"""),"")</f>
        <v/>
      </c>
    </row>
    <row r="7719">
      <c r="D7719" t="str">
        <f>IFERROR(__xludf.DUMMYFUNCTION("""COMPUTED_VALUE"""),"Fowler")</f>
        <v>Fowler</v>
      </c>
      <c r="E7719" t="str">
        <f>IFERROR(__xludf.DUMMYFUNCTION("""COMPUTED_VALUE"""),"Dante")</f>
        <v>Dante</v>
      </c>
      <c r="F7719" t="str">
        <f>IFERROR(__xludf.DUMMYFUNCTION("""COMPUTED_VALUE"""),"")</f>
        <v/>
      </c>
    </row>
    <row r="7720">
      <c r="D7720" t="str">
        <f>IFERROR(__xludf.DUMMYFUNCTION("""COMPUTED_VALUE"""),"Fox")</f>
        <v>Fox</v>
      </c>
      <c r="E7720" t="str">
        <f>IFERROR(__xludf.DUMMYFUNCTION("""COMPUTED_VALUE"""),"Jack")</f>
        <v>Jack</v>
      </c>
      <c r="F7720" t="str">
        <f>IFERROR(__xludf.DUMMYFUNCTION("""COMPUTED_VALUE"""),"")</f>
        <v/>
      </c>
    </row>
    <row r="7721">
      <c r="D7721" t="str">
        <f>IFERROR(__xludf.DUMMYFUNCTION("""COMPUTED_VALUE"""),"Fox")</f>
        <v>Fox</v>
      </c>
      <c r="E7721" t="str">
        <f>IFERROR(__xludf.DUMMYFUNCTION("""COMPUTED_VALUE"""),"Morgan")</f>
        <v>Morgan</v>
      </c>
      <c r="F7721" t="str">
        <f>IFERROR(__xludf.DUMMYFUNCTION("""COMPUTED_VALUE"""),"")</f>
        <v/>
      </c>
    </row>
    <row r="7722">
      <c r="D7722" t="str">
        <f>IFERROR(__xludf.DUMMYFUNCTION("""COMPUTED_VALUE"""),"Franklin")</f>
        <v>Franklin</v>
      </c>
      <c r="E7722" t="str">
        <f>IFERROR(__xludf.DUMMYFUNCTION("""COMPUTED_VALUE"""),"John")</f>
        <v>John</v>
      </c>
      <c r="F7722" t="str">
        <f>IFERROR(__xludf.DUMMYFUNCTION("""COMPUTED_VALUE"""),"")</f>
        <v/>
      </c>
    </row>
    <row r="7723">
      <c r="D7723" t="str">
        <f>IFERROR(__xludf.DUMMYFUNCTION("""COMPUTED_VALUE"""),"Franklin")</f>
        <v>Franklin</v>
      </c>
      <c r="E7723" t="str">
        <f>IFERROR(__xludf.DUMMYFUNCTION("""COMPUTED_VALUE"""),"Zaire")</f>
        <v>Zaire</v>
      </c>
      <c r="F7723" t="str">
        <f>IFERROR(__xludf.DUMMYFUNCTION("""COMPUTED_VALUE"""),"")</f>
        <v/>
      </c>
    </row>
    <row r="7724">
      <c r="D7724" t="str">
        <f>IFERROR(__xludf.DUMMYFUNCTION("""COMPUTED_VALUE"""),"Franklin-Myers")</f>
        <v>Franklin-Myers</v>
      </c>
      <c r="E7724" t="str">
        <f>IFERROR(__xludf.DUMMYFUNCTION("""COMPUTED_VALUE"""),"John")</f>
        <v>John</v>
      </c>
      <c r="F7724" t="str">
        <f>IFERROR(__xludf.DUMMYFUNCTION("""COMPUTED_VALUE"""),"")</f>
        <v/>
      </c>
    </row>
    <row r="7725">
      <c r="D7725" t="str">
        <f>IFERROR(__xludf.DUMMYFUNCTION("""COMPUTED_VALUE"""),"Franks")</f>
        <v>Franks</v>
      </c>
      <c r="E7725" t="str">
        <f>IFERROR(__xludf.DUMMYFUNCTION("""COMPUTED_VALUE"""),"Jordan")</f>
        <v>Jordan</v>
      </c>
      <c r="F7725" t="str">
        <f>IFERROR(__xludf.DUMMYFUNCTION("""COMPUTED_VALUE"""),"")</f>
        <v/>
      </c>
    </row>
    <row r="7726">
      <c r="D7726" t="str">
        <f>IFERROR(__xludf.DUMMYFUNCTION("""COMPUTED_VALUE"""),"Frazier")</f>
        <v>Frazier</v>
      </c>
      <c r="E7726" t="str">
        <f>IFERROR(__xludf.DUMMYFUNCTION("""COMPUTED_VALUE"""),"Kavon")</f>
        <v>Kavon</v>
      </c>
      <c r="F7726" t="str">
        <f>IFERROR(__xludf.DUMMYFUNCTION("""COMPUTED_VALUE"""),"")</f>
        <v/>
      </c>
    </row>
    <row r="7727">
      <c r="D7727" t="str">
        <f>IFERROR(__xludf.DUMMYFUNCTION("""COMPUTED_VALUE"""),"Frederick")</f>
        <v>Frederick</v>
      </c>
      <c r="E7727" t="str">
        <f>IFERROR(__xludf.DUMMYFUNCTION("""COMPUTED_VALUE"""),"Travis")</f>
        <v>Travis</v>
      </c>
      <c r="F7727" t="str">
        <f>IFERROR(__xludf.DUMMYFUNCTION("""COMPUTED_VALUE"""),"")</f>
        <v/>
      </c>
    </row>
    <row r="7728">
      <c r="D7728" t="str">
        <f>IFERROR(__xludf.DUMMYFUNCTION("""COMPUTED_VALUE"""),"Freeman")</f>
        <v>Freeman</v>
      </c>
      <c r="E7728" t="str">
        <f>IFERROR(__xludf.DUMMYFUNCTION("""COMPUTED_VALUE"""),"Devonta")</f>
        <v>Devonta</v>
      </c>
      <c r="F7728" t="str">
        <f>IFERROR(__xludf.DUMMYFUNCTION("""COMPUTED_VALUE"""),"")</f>
        <v/>
      </c>
    </row>
    <row r="7729">
      <c r="D7729" t="str">
        <f>IFERROR(__xludf.DUMMYFUNCTION("""COMPUTED_VALUE"""),"Freeman")</f>
        <v>Freeman</v>
      </c>
      <c r="E7729" t="str">
        <f>IFERROR(__xludf.DUMMYFUNCTION("""COMPUTED_VALUE"""),"Royce")</f>
        <v>Royce</v>
      </c>
      <c r="F7729" t="str">
        <f>IFERROR(__xludf.DUMMYFUNCTION("""COMPUTED_VALUE"""),"")</f>
        <v/>
      </c>
    </row>
    <row r="7730">
      <c r="D7730" t="str">
        <f>IFERROR(__xludf.DUMMYFUNCTION("""COMPUTED_VALUE"""),"Froholdt")</f>
        <v>Froholdt</v>
      </c>
      <c r="E7730" t="str">
        <f>IFERROR(__xludf.DUMMYFUNCTION("""COMPUTED_VALUE"""),"Hjalte")</f>
        <v>Hjalte</v>
      </c>
      <c r="F7730" t="str">
        <f>IFERROR(__xludf.DUMMYFUNCTION("""COMPUTED_VALUE"""),"")</f>
        <v/>
      </c>
    </row>
    <row r="7731">
      <c r="D7731" t="str">
        <f>IFERROR(__xludf.DUMMYFUNCTION("""COMPUTED_VALUE"""),"Fulgham")</f>
        <v>Fulgham</v>
      </c>
      <c r="E7731" t="str">
        <f>IFERROR(__xludf.DUMMYFUNCTION("""COMPUTED_VALUE"""),"Travis")</f>
        <v>Travis</v>
      </c>
      <c r="F7731" t="str">
        <f>IFERROR(__xludf.DUMMYFUNCTION("""COMPUTED_VALUE"""),"")</f>
        <v/>
      </c>
    </row>
    <row r="7732">
      <c r="D7732" t="str">
        <f>IFERROR(__xludf.DUMMYFUNCTION("""COMPUTED_VALUE"""),"Fuller")</f>
        <v>Fuller</v>
      </c>
      <c r="E7732" t="str">
        <f>IFERROR(__xludf.DUMMYFUNCTION("""COMPUTED_VALUE"""),"Kendall")</f>
        <v>Kendall</v>
      </c>
      <c r="F7732" t="str">
        <f>IFERROR(__xludf.DUMMYFUNCTION("""COMPUTED_VALUE"""),"")</f>
        <v/>
      </c>
    </row>
    <row r="7733">
      <c r="D7733" t="str">
        <f>IFERROR(__xludf.DUMMYFUNCTION("""COMPUTED_VALUE"""),"Fuller")</f>
        <v>Fuller</v>
      </c>
      <c r="E7733" t="str">
        <f>IFERROR(__xludf.DUMMYFUNCTION("""COMPUTED_VALUE"""),"Kyle")</f>
        <v>Kyle</v>
      </c>
      <c r="F7733" t="str">
        <f>IFERROR(__xludf.DUMMYFUNCTION("""COMPUTED_VALUE"""),"")</f>
        <v/>
      </c>
    </row>
    <row r="7734">
      <c r="D7734" t="str">
        <f>IFERROR(__xludf.DUMMYFUNCTION("""COMPUTED_VALUE"""),"Fuller")</f>
        <v>Fuller</v>
      </c>
      <c r="E7734" t="str">
        <f>IFERROR(__xludf.DUMMYFUNCTION("""COMPUTED_VALUE"""),"Kyle")</f>
        <v>Kyle</v>
      </c>
      <c r="F7734" t="str">
        <f>IFERROR(__xludf.DUMMYFUNCTION("""COMPUTED_VALUE"""),"")</f>
        <v/>
      </c>
    </row>
    <row r="7735">
      <c r="D7735" t="str">
        <f>IFERROR(__xludf.DUMMYFUNCTION("""COMPUTED_VALUE"""),"Fuller")</f>
        <v>Fuller</v>
      </c>
      <c r="E7735" t="str">
        <f>IFERROR(__xludf.DUMMYFUNCTION("""COMPUTED_VALUE"""),"Will")</f>
        <v>Will</v>
      </c>
      <c r="F7735" t="str">
        <f>IFERROR(__xludf.DUMMYFUNCTION("""COMPUTED_VALUE"""),"")</f>
        <v/>
      </c>
    </row>
    <row r="7736">
      <c r="D7736" t="str">
        <f>IFERROR(__xludf.DUMMYFUNCTION("""COMPUTED_VALUE"""),"Fulton")</f>
        <v>Fulton</v>
      </c>
      <c r="E7736" t="str">
        <f>IFERROR(__xludf.DUMMYFUNCTION("""COMPUTED_VALUE"""),"Zach")</f>
        <v>Zach</v>
      </c>
      <c r="F7736" t="str">
        <f>IFERROR(__xludf.DUMMYFUNCTION("""COMPUTED_VALUE"""),"")</f>
        <v/>
      </c>
    </row>
    <row r="7737">
      <c r="D7737" t="str">
        <f>IFERROR(__xludf.DUMMYFUNCTION("""COMPUTED_VALUE"""),"Fumagalli")</f>
        <v>Fumagalli</v>
      </c>
      <c r="E7737" t="str">
        <f>IFERROR(__xludf.DUMMYFUNCTION("""COMPUTED_VALUE"""),"Troy")</f>
        <v>Troy</v>
      </c>
      <c r="F7737" t="str">
        <f>IFERROR(__xludf.DUMMYFUNCTION("""COMPUTED_VALUE"""),"")</f>
        <v/>
      </c>
    </row>
    <row r="7738">
      <c r="D7738" t="str">
        <f>IFERROR(__xludf.DUMMYFUNCTION("""COMPUTED_VALUE"""),"Funchess")</f>
        <v>Funchess</v>
      </c>
      <c r="E7738" t="str">
        <f>IFERROR(__xludf.DUMMYFUNCTION("""COMPUTED_VALUE"""),"Devin")</f>
        <v>Devin</v>
      </c>
      <c r="F7738" t="str">
        <f>IFERROR(__xludf.DUMMYFUNCTION("""COMPUTED_VALUE"""),"")</f>
        <v/>
      </c>
    </row>
    <row r="7739">
      <c r="D7739" t="str">
        <f>IFERROR(__xludf.DUMMYFUNCTION("""COMPUTED_VALUE"""),"Gabbert")</f>
        <v>Gabbert</v>
      </c>
      <c r="E7739" t="str">
        <f>IFERROR(__xludf.DUMMYFUNCTION("""COMPUTED_VALUE"""),"Blaine")</f>
        <v>Blaine</v>
      </c>
      <c r="F7739" t="str">
        <f>IFERROR(__xludf.DUMMYFUNCTION("""COMPUTED_VALUE"""),"")</f>
        <v/>
      </c>
    </row>
    <row r="7740">
      <c r="D7740" t="str">
        <f>IFERROR(__xludf.DUMMYFUNCTION("""COMPUTED_VALUE"""),"Gabriel")</f>
        <v>Gabriel</v>
      </c>
      <c r="E7740" t="str">
        <f>IFERROR(__xludf.DUMMYFUNCTION("""COMPUTED_VALUE"""),"Taylor")</f>
        <v>Taylor</v>
      </c>
      <c r="F7740" t="str">
        <f>IFERROR(__xludf.DUMMYFUNCTION("""COMPUTED_VALUE"""),"")</f>
        <v/>
      </c>
    </row>
    <row r="7741">
      <c r="D7741" t="str">
        <f>IFERROR(__xludf.DUMMYFUNCTION("""COMPUTED_VALUE"""),"Gafford")</f>
        <v>Gafford</v>
      </c>
      <c r="E7741" t="str">
        <f>IFERROR(__xludf.DUMMYFUNCTION("""COMPUTED_VALUE"""),"Rico")</f>
        <v>Rico</v>
      </c>
      <c r="F7741" t="str">
        <f>IFERROR(__xludf.DUMMYFUNCTION("""COMPUTED_VALUE"""),"")</f>
        <v/>
      </c>
    </row>
    <row r="7742">
      <c r="D7742" t="str">
        <f>IFERROR(__xludf.DUMMYFUNCTION("""COMPUTED_VALUE"""),"Gage")</f>
        <v>Gage</v>
      </c>
      <c r="E7742" t="str">
        <f>IFERROR(__xludf.DUMMYFUNCTION("""COMPUTED_VALUE"""),"Russell")</f>
        <v>Russell</v>
      </c>
      <c r="F7742" t="str">
        <f>IFERROR(__xludf.DUMMYFUNCTION("""COMPUTED_VALUE"""),"")</f>
        <v/>
      </c>
    </row>
    <row r="7743">
      <c r="D7743" t="str">
        <f>IFERROR(__xludf.DUMMYFUNCTION("""COMPUTED_VALUE"""),"Gaillard")</f>
        <v>Gaillard</v>
      </c>
      <c r="E7743" t="str">
        <f>IFERROR(__xludf.DUMMYFUNCTION("""COMPUTED_VALUE"""),"Lamont")</f>
        <v>Lamont</v>
      </c>
      <c r="F7743" t="str">
        <f>IFERROR(__xludf.DUMMYFUNCTION("""COMPUTED_VALUE"""),"")</f>
        <v/>
      </c>
    </row>
    <row r="7744">
      <c r="D7744" t="str">
        <f>IFERROR(__xludf.DUMMYFUNCTION("""COMPUTED_VALUE"""),"Gaines")</f>
        <v>Gaines</v>
      </c>
      <c r="E7744" t="str">
        <f>IFERROR(__xludf.DUMMYFUNCTION("""COMPUTED_VALUE"""),"EJ")</f>
        <v>EJ</v>
      </c>
      <c r="F7744" t="str">
        <f>IFERROR(__xludf.DUMMYFUNCTION("""COMPUTED_VALUE"""),"")</f>
        <v/>
      </c>
    </row>
    <row r="7745">
      <c r="D7745" t="str">
        <f>IFERROR(__xludf.DUMMYFUNCTION("""COMPUTED_VALUE"""),"Gaines")</f>
        <v>Gaines</v>
      </c>
      <c r="E7745" t="str">
        <f>IFERROR(__xludf.DUMMYFUNCTION("""COMPUTED_VALUE"""),"Greg")</f>
        <v>Greg</v>
      </c>
      <c r="F7745" t="str">
        <f>IFERROR(__xludf.DUMMYFUNCTION("""COMPUTED_VALUE"""),"")</f>
        <v/>
      </c>
    </row>
    <row r="7746">
      <c r="D7746" t="str">
        <f>IFERROR(__xludf.DUMMYFUNCTION("""COMPUTED_VALUE"""),"Gaines")</f>
        <v>Gaines</v>
      </c>
      <c r="E7746" t="str">
        <f>IFERROR(__xludf.DUMMYFUNCTION("""COMPUTED_VALUE"""),"Phillip")</f>
        <v>Phillip</v>
      </c>
      <c r="F7746" t="str">
        <f>IFERROR(__xludf.DUMMYFUNCTION("""COMPUTED_VALUE"""),"")</f>
        <v/>
      </c>
    </row>
    <row r="7747">
      <c r="D7747" t="str">
        <f>IFERROR(__xludf.DUMMYFUNCTION("""COMPUTED_VALUE"""),"Gallman")</f>
        <v>Gallman</v>
      </c>
      <c r="E7747" t="str">
        <f>IFERROR(__xludf.DUMMYFUNCTION("""COMPUTED_VALUE"""),"Wayne")</f>
        <v>Wayne</v>
      </c>
      <c r="F7747" t="str">
        <f>IFERROR(__xludf.DUMMYFUNCTION("""COMPUTED_VALUE"""),"")</f>
        <v/>
      </c>
    </row>
    <row r="7748">
      <c r="D7748" t="str">
        <f>IFERROR(__xludf.DUMMYFUNCTION("""COMPUTED_VALUE"""),"Gallup")</f>
        <v>Gallup</v>
      </c>
      <c r="E7748" t="str">
        <f>IFERROR(__xludf.DUMMYFUNCTION("""COMPUTED_VALUE"""),"Michael")</f>
        <v>Michael</v>
      </c>
      <c r="F7748" t="str">
        <f>IFERROR(__xludf.DUMMYFUNCTION("""COMPUTED_VALUE"""),"")</f>
        <v/>
      </c>
    </row>
    <row r="7749">
      <c r="D7749" t="str">
        <f>IFERROR(__xludf.DUMMYFUNCTION("""COMPUTED_VALUE"""),"Gano")</f>
        <v>Gano</v>
      </c>
      <c r="E7749" t="str">
        <f>IFERROR(__xludf.DUMMYFUNCTION("""COMPUTED_VALUE"""),"Graham")</f>
        <v>Graham</v>
      </c>
      <c r="F7749" t="str">
        <f>IFERROR(__xludf.DUMMYFUNCTION("""COMPUTED_VALUE"""),"")</f>
        <v/>
      </c>
    </row>
    <row r="7750">
      <c r="D7750" t="str">
        <f>IFERROR(__xludf.DUMMYFUNCTION("""COMPUTED_VALUE"""),"Garcia")</f>
        <v>Garcia</v>
      </c>
      <c r="E7750" t="str">
        <f>IFERROR(__xludf.DUMMYFUNCTION("""COMPUTED_VALUE"""),"Antonio")</f>
        <v>Antonio</v>
      </c>
      <c r="F7750" t="str">
        <f>IFERROR(__xludf.DUMMYFUNCTION("""COMPUTED_VALUE"""),"")</f>
        <v/>
      </c>
    </row>
    <row r="7751">
      <c r="D7751" t="str">
        <f>IFERROR(__xludf.DUMMYFUNCTION("""COMPUTED_VALUE"""),"Garcia")</f>
        <v>Garcia</v>
      </c>
      <c r="E7751" t="str">
        <f>IFERROR(__xludf.DUMMYFUNCTION("""COMPUTED_VALUE"""),"Max")</f>
        <v>Max</v>
      </c>
      <c r="F7751" t="str">
        <f>IFERROR(__xludf.DUMMYFUNCTION("""COMPUTED_VALUE"""),"")</f>
        <v/>
      </c>
    </row>
    <row r="7752">
      <c r="D7752" t="str">
        <f>IFERROR(__xludf.DUMMYFUNCTION("""COMPUTED_VALUE"""),"Gardeck")</f>
        <v>Gardeck</v>
      </c>
      <c r="E7752" t="str">
        <f>IFERROR(__xludf.DUMMYFUNCTION("""COMPUTED_VALUE"""),"Dennis")</f>
        <v>Dennis</v>
      </c>
      <c r="F7752" t="str">
        <f>IFERROR(__xludf.DUMMYFUNCTION("""COMPUTED_VALUE"""),"")</f>
        <v/>
      </c>
    </row>
    <row r="7753">
      <c r="D7753" t="str">
        <f>IFERROR(__xludf.DUMMYFUNCTION("""COMPUTED_VALUE"""),"Gardner-Johnson")</f>
        <v>Gardner-Johnson</v>
      </c>
      <c r="E7753" t="str">
        <f>IFERROR(__xludf.DUMMYFUNCTION("""COMPUTED_VALUE"""),"Chauncey")</f>
        <v>Chauncey</v>
      </c>
      <c r="F7753" t="str">
        <f>IFERROR(__xludf.DUMMYFUNCTION("""COMPUTED_VALUE"""),"")</f>
        <v/>
      </c>
    </row>
    <row r="7754">
      <c r="D7754" t="str">
        <f>IFERROR(__xludf.DUMMYFUNCTION("""COMPUTED_VALUE"""),"Garland")</f>
        <v>Garland</v>
      </c>
      <c r="E7754" t="str">
        <f>IFERROR(__xludf.DUMMYFUNCTION("""COMPUTED_VALUE"""),"Ben")</f>
        <v>Ben</v>
      </c>
      <c r="F7754" t="str">
        <f>IFERROR(__xludf.DUMMYFUNCTION("""COMPUTED_VALUE"""),"")</f>
        <v/>
      </c>
    </row>
    <row r="7755">
      <c r="D7755" t="str">
        <f>IFERROR(__xludf.DUMMYFUNCTION("""COMPUTED_VALUE"""),"Garnett")</f>
        <v>Garnett</v>
      </c>
      <c r="E7755" t="str">
        <f>IFERROR(__xludf.DUMMYFUNCTION("""COMPUTED_VALUE"""),"Joshua")</f>
        <v>Joshua</v>
      </c>
      <c r="F7755" t="str">
        <f>IFERROR(__xludf.DUMMYFUNCTION("""COMPUTED_VALUE"""),"")</f>
        <v/>
      </c>
    </row>
    <row r="7756">
      <c r="D7756" t="str">
        <f>IFERROR(__xludf.DUMMYFUNCTION("""COMPUTED_VALUE"""),"Garoppolo")</f>
        <v>Garoppolo</v>
      </c>
      <c r="E7756" t="str">
        <f>IFERROR(__xludf.DUMMYFUNCTION("""COMPUTED_VALUE"""),"Jimmy")</f>
        <v>Jimmy</v>
      </c>
      <c r="F7756" t="str">
        <f>IFERROR(__xludf.DUMMYFUNCTION("""COMPUTED_VALUE"""),"")</f>
        <v/>
      </c>
    </row>
    <row r="7757">
      <c r="D7757" t="str">
        <f>IFERROR(__xludf.DUMMYFUNCTION("""COMPUTED_VALUE"""),"Garrett")</f>
        <v>Garrett</v>
      </c>
      <c r="E7757" t="str">
        <f>IFERROR(__xludf.DUMMYFUNCTION("""COMPUTED_VALUE"""),"Myles")</f>
        <v>Myles</v>
      </c>
      <c r="F7757" t="str">
        <f>IFERROR(__xludf.DUMMYFUNCTION("""COMPUTED_VALUE"""),"")</f>
        <v/>
      </c>
    </row>
    <row r="7758">
      <c r="D7758" t="str">
        <f>IFERROR(__xludf.DUMMYFUNCTION("""COMPUTED_VALUE"""),"Gary")</f>
        <v>Gary</v>
      </c>
      <c r="E7758" t="str">
        <f>IFERROR(__xludf.DUMMYFUNCTION("""COMPUTED_VALUE"""),"Rashan")</f>
        <v>Rashan</v>
      </c>
      <c r="F7758" t="str">
        <f>IFERROR(__xludf.DUMMYFUNCTION("""COMPUTED_VALUE"""),"")</f>
        <v/>
      </c>
    </row>
    <row r="7759">
      <c r="D7759" t="str">
        <f>IFERROR(__xludf.DUMMYFUNCTION("""COMPUTED_VALUE"""),"Gaskin")</f>
        <v>Gaskin</v>
      </c>
      <c r="E7759" t="str">
        <f>IFERROR(__xludf.DUMMYFUNCTION("""COMPUTED_VALUE"""),"Myles")</f>
        <v>Myles</v>
      </c>
      <c r="F7759" t="str">
        <f>IFERROR(__xludf.DUMMYFUNCTION("""COMPUTED_VALUE"""),"")</f>
        <v/>
      </c>
    </row>
    <row r="7760">
      <c r="D7760" t="str">
        <f>IFERROR(__xludf.DUMMYFUNCTION("""COMPUTED_VALUE"""),"Gates")</f>
        <v>Gates</v>
      </c>
      <c r="E7760" t="str">
        <f>IFERROR(__xludf.DUMMYFUNCTION("""COMPUTED_VALUE"""),"Nick")</f>
        <v>Nick</v>
      </c>
      <c r="F7760" t="str">
        <f>IFERROR(__xludf.DUMMYFUNCTION("""COMPUTED_VALUE"""),"")</f>
        <v/>
      </c>
    </row>
    <row r="7761">
      <c r="D7761" t="str">
        <f>IFERROR(__xludf.DUMMYFUNCTION("""COMPUTED_VALUE"""),"Gathers")</f>
        <v>Gathers</v>
      </c>
      <c r="E7761" t="str">
        <f>IFERROR(__xludf.DUMMYFUNCTION("""COMPUTED_VALUE"""),"Rico")</f>
        <v>Rico</v>
      </c>
      <c r="F7761" t="str">
        <f>IFERROR(__xludf.DUMMYFUNCTION("""COMPUTED_VALUE"""),"")</f>
        <v/>
      </c>
    </row>
    <row r="7762">
      <c r="D7762" t="str">
        <f>IFERROR(__xludf.DUMMYFUNCTION("""COMPUTED_VALUE"""),"Gaulden")</f>
        <v>Gaulden</v>
      </c>
      <c r="E7762" t="str">
        <f>IFERROR(__xludf.DUMMYFUNCTION("""COMPUTED_VALUE"""),"Rashaan")</f>
        <v>Rashaan</v>
      </c>
      <c r="F7762" t="str">
        <f>IFERROR(__xludf.DUMMYFUNCTION("""COMPUTED_VALUE"""),"")</f>
        <v/>
      </c>
    </row>
    <row r="7763">
      <c r="D7763" t="str">
        <f>IFERROR(__xludf.DUMMYFUNCTION("""COMPUTED_VALUE"""),"Gay")</f>
        <v>Gay</v>
      </c>
      <c r="E7763" t="str">
        <f>IFERROR(__xludf.DUMMYFUNCTION("""COMPUTED_VALUE"""),"Matt")</f>
        <v>Matt</v>
      </c>
      <c r="F7763" t="str">
        <f>IFERROR(__xludf.DUMMYFUNCTION("""COMPUTED_VALUE"""),"")</f>
        <v/>
      </c>
    </row>
    <row r="7764">
      <c r="D7764" t="str">
        <f>IFERROR(__xludf.DUMMYFUNCTION("""COMPUTED_VALUE"""),"Geathers")</f>
        <v>Geathers</v>
      </c>
      <c r="E7764" t="str">
        <f>IFERROR(__xludf.DUMMYFUNCTION("""COMPUTED_VALUE"""),"Clayton")</f>
        <v>Clayton</v>
      </c>
      <c r="F7764" t="str">
        <f>IFERROR(__xludf.DUMMYFUNCTION("""COMPUTED_VALUE"""),"")</f>
        <v/>
      </c>
    </row>
    <row r="7765">
      <c r="D7765" t="str">
        <f>IFERROR(__xludf.DUMMYFUNCTION("""COMPUTED_VALUE"""),"Gedeon")</f>
        <v>Gedeon</v>
      </c>
      <c r="E7765" t="str">
        <f>IFERROR(__xludf.DUMMYFUNCTION("""COMPUTED_VALUE"""),"Ben")</f>
        <v>Ben</v>
      </c>
      <c r="F7765" t="str">
        <f>IFERROR(__xludf.DUMMYFUNCTION("""COMPUTED_VALUE"""),"")</f>
        <v/>
      </c>
    </row>
    <row r="7766">
      <c r="D7766" t="str">
        <f>IFERROR(__xludf.DUMMYFUNCTION("""COMPUTED_VALUE"""),"Gentry")</f>
        <v>Gentry</v>
      </c>
      <c r="E7766" t="str">
        <f>IFERROR(__xludf.DUMMYFUNCTION("""COMPUTED_VALUE"""),"Tanner")</f>
        <v>Tanner</v>
      </c>
      <c r="F7766" t="str">
        <f>IFERROR(__xludf.DUMMYFUNCTION("""COMPUTED_VALUE"""),"")</f>
        <v/>
      </c>
    </row>
    <row r="7767">
      <c r="D7767" t="str">
        <f>IFERROR(__xludf.DUMMYFUNCTION("""COMPUTED_VALUE"""),"Gentry")</f>
        <v>Gentry</v>
      </c>
      <c r="E7767" t="str">
        <f>IFERROR(__xludf.DUMMYFUNCTION("""COMPUTED_VALUE"""),"Zach")</f>
        <v>Zach</v>
      </c>
      <c r="F7767" t="str">
        <f>IFERROR(__xludf.DUMMYFUNCTION("""COMPUTED_VALUE"""),"")</f>
        <v/>
      </c>
    </row>
    <row r="7768">
      <c r="D7768" t="str">
        <f>IFERROR(__xludf.DUMMYFUNCTION("""COMPUTED_VALUE"""),"Gerry")</f>
        <v>Gerry</v>
      </c>
      <c r="E7768" t="str">
        <f>IFERROR(__xludf.DUMMYFUNCTION("""COMPUTED_VALUE"""),"Nathan")</f>
        <v>Nathan</v>
      </c>
      <c r="F7768" t="str">
        <f>IFERROR(__xludf.DUMMYFUNCTION("""COMPUTED_VALUE"""),"")</f>
        <v/>
      </c>
    </row>
    <row r="7769">
      <c r="D7769" t="str">
        <f>IFERROR(__xludf.DUMMYFUNCTION("""COMPUTED_VALUE"""),"Gesicki")</f>
        <v>Gesicki</v>
      </c>
      <c r="E7769" t="str">
        <f>IFERROR(__xludf.DUMMYFUNCTION("""COMPUTED_VALUE"""),"Mike")</f>
        <v>Mike</v>
      </c>
      <c r="F7769" t="str">
        <f>IFERROR(__xludf.DUMMYFUNCTION("""COMPUTED_VALUE"""),"")</f>
        <v/>
      </c>
    </row>
    <row r="7770">
      <c r="D7770" t="str">
        <f>IFERROR(__xludf.DUMMYFUNCTION("""COMPUTED_VALUE"""),"Gettis")</f>
        <v>Gettis</v>
      </c>
      <c r="E7770" t="str">
        <f>IFERROR(__xludf.DUMMYFUNCTION("""COMPUTED_VALUE"""),"Adam")</f>
        <v>Adam</v>
      </c>
      <c r="F7770" t="str">
        <f>IFERROR(__xludf.DUMMYFUNCTION("""COMPUTED_VALUE"""),"")</f>
        <v/>
      </c>
    </row>
    <row r="7771">
      <c r="D7771" t="str">
        <f>IFERROR(__xludf.DUMMYFUNCTION("""COMPUTED_VALUE"""),"Gholston")</f>
        <v>Gholston</v>
      </c>
      <c r="E7771" t="str">
        <f>IFERROR(__xludf.DUMMYFUNCTION("""COMPUTED_VALUE"""),"William")</f>
        <v>William</v>
      </c>
      <c r="F7771" t="str">
        <f>IFERROR(__xludf.DUMMYFUNCTION("""COMPUTED_VALUE"""),"")</f>
        <v/>
      </c>
    </row>
    <row r="7772">
      <c r="D7772" t="str">
        <f>IFERROR(__xludf.DUMMYFUNCTION("""COMPUTED_VALUE"""),"Gibson")</f>
        <v>Gibson</v>
      </c>
      <c r="E7772" t="str">
        <f>IFERROR(__xludf.DUMMYFUNCTION("""COMPUTED_VALUE"""),"Shelton")</f>
        <v>Shelton</v>
      </c>
      <c r="F7772" t="str">
        <f>IFERROR(__xludf.DUMMYFUNCTION("""COMPUTED_VALUE"""),"")</f>
        <v/>
      </c>
    </row>
    <row r="7773">
      <c r="D7773" t="str">
        <f>IFERROR(__xludf.DUMMYFUNCTION("""COMPUTED_VALUE"""),"Gilbert")</f>
        <v>Gilbert</v>
      </c>
      <c r="E7773" t="str">
        <f>IFERROR(__xludf.DUMMYFUNCTION("""COMPUTED_VALUE"""),"Garrett")</f>
        <v>Garrett</v>
      </c>
      <c r="F7773" t="str">
        <f>IFERROR(__xludf.DUMMYFUNCTION("""COMPUTED_VALUE"""),"")</f>
        <v/>
      </c>
    </row>
    <row r="7774">
      <c r="D7774" t="str">
        <f>IFERROR(__xludf.DUMMYFUNCTION("""COMPUTED_VALUE"""),"Gilbert")</f>
        <v>Gilbert</v>
      </c>
      <c r="E7774" t="str">
        <f>IFERROR(__xludf.DUMMYFUNCTION("""COMPUTED_VALUE"""),"Marcus")</f>
        <v>Marcus</v>
      </c>
      <c r="F7774" t="str">
        <f>IFERROR(__xludf.DUMMYFUNCTION("""COMPUTED_VALUE"""),"")</f>
        <v/>
      </c>
    </row>
    <row r="7775">
      <c r="D7775" t="str">
        <f>IFERROR(__xludf.DUMMYFUNCTION("""COMPUTED_VALUE"""),"Gilbert")</f>
        <v>Gilbert</v>
      </c>
      <c r="E7775" t="str">
        <f>IFERROR(__xludf.DUMMYFUNCTION("""COMPUTED_VALUE"""),"Reggie")</f>
        <v>Reggie</v>
      </c>
      <c r="F7775" t="str">
        <f>IFERROR(__xludf.DUMMYFUNCTION("""COMPUTED_VALUE"""),"")</f>
        <v/>
      </c>
    </row>
    <row r="7776">
      <c r="D7776" t="str">
        <f>IFERROR(__xludf.DUMMYFUNCTION("""COMPUTED_VALUE"""),"Gilbert")</f>
        <v>Gilbert</v>
      </c>
      <c r="E7776" t="str">
        <f>IFERROR(__xludf.DUMMYFUNCTION("""COMPUTED_VALUE"""),"Ulysees")</f>
        <v>Ulysees</v>
      </c>
      <c r="F7776" t="str">
        <f>IFERROR(__xludf.DUMMYFUNCTION("""COMPUTED_VALUE"""),"")</f>
        <v/>
      </c>
    </row>
    <row r="7777">
      <c r="D7777" t="str">
        <f>IFERROR(__xludf.DUMMYFUNCTION("""COMPUTED_VALUE"""),"Giles-Harris")</f>
        <v>Giles-Harris</v>
      </c>
      <c r="E7777" t="str">
        <f>IFERROR(__xludf.DUMMYFUNCTION("""COMPUTED_VALUE"""),"Joe")</f>
        <v>Joe</v>
      </c>
      <c r="F7777" t="str">
        <f>IFERROR(__xludf.DUMMYFUNCTION("""COMPUTED_VALUE"""),"")</f>
        <v/>
      </c>
    </row>
    <row r="7778">
      <c r="D7778" t="str">
        <f>IFERROR(__xludf.DUMMYFUNCTION("""COMPUTED_VALUE"""),"Gillaspia")</f>
        <v>Gillaspia</v>
      </c>
      <c r="E7778" t="str">
        <f>IFERROR(__xludf.DUMMYFUNCTION("""COMPUTED_VALUE"""),"Cullen")</f>
        <v>Cullen</v>
      </c>
      <c r="F7778" t="str">
        <f>IFERROR(__xludf.DUMMYFUNCTION("""COMPUTED_VALUE"""),"")</f>
        <v/>
      </c>
    </row>
    <row r="7779">
      <c r="D7779" t="str">
        <f>IFERROR(__xludf.DUMMYFUNCTION("""COMPUTED_VALUE"""),"Gilmore")</f>
        <v>Gilmore</v>
      </c>
      <c r="E7779" t="str">
        <f>IFERROR(__xludf.DUMMYFUNCTION("""COMPUTED_VALUE"""),"Stephon")</f>
        <v>Stephon</v>
      </c>
      <c r="F7779" t="str">
        <f>IFERROR(__xludf.DUMMYFUNCTION("""COMPUTED_VALUE"""),"")</f>
        <v/>
      </c>
    </row>
    <row r="7780">
      <c r="D7780" t="str">
        <f>IFERROR(__xludf.DUMMYFUNCTION("""COMPUTED_VALUE"""),"Ginn")</f>
        <v>Ginn</v>
      </c>
      <c r="E7780" t="str">
        <f>IFERROR(__xludf.DUMMYFUNCTION("""COMPUTED_VALUE"""),"Ted")</f>
        <v>Ted</v>
      </c>
      <c r="F7780" t="str">
        <f>IFERROR(__xludf.DUMMYFUNCTION("""COMPUTED_VALUE"""),"")</f>
        <v/>
      </c>
    </row>
    <row r="7781">
      <c r="D7781" t="str">
        <f>IFERROR(__xludf.DUMMYFUNCTION("""COMPUTED_VALUE"""),"Gipson")</f>
        <v>Gipson</v>
      </c>
      <c r="E7781" t="str">
        <f>IFERROR(__xludf.DUMMYFUNCTION("""COMPUTED_VALUE"""),"Tashaun")</f>
        <v>Tashaun</v>
      </c>
      <c r="F7781" t="str">
        <f>IFERROR(__xludf.DUMMYFUNCTION("""COMPUTED_VALUE"""),"")</f>
        <v/>
      </c>
    </row>
    <row r="7782">
      <c r="D7782" t="str">
        <f>IFERROR(__xludf.DUMMYFUNCTION("""COMPUTED_VALUE"""),"Glasgow")</f>
        <v>Glasgow</v>
      </c>
      <c r="E7782" t="str">
        <f>IFERROR(__xludf.DUMMYFUNCTION("""COMPUTED_VALUE"""),"Graham")</f>
        <v>Graham</v>
      </c>
      <c r="F7782" t="str">
        <f>IFERROR(__xludf.DUMMYFUNCTION("""COMPUTED_VALUE"""),"")</f>
        <v/>
      </c>
    </row>
    <row r="7783">
      <c r="D7783" t="str">
        <f>IFERROR(__xludf.DUMMYFUNCTION("""COMPUTED_VALUE"""),"Glasgow")</f>
        <v>Glasgow</v>
      </c>
      <c r="E7783" t="str">
        <f>IFERROR(__xludf.DUMMYFUNCTION("""COMPUTED_VALUE"""),"Ryan")</f>
        <v>Ryan</v>
      </c>
      <c r="F7783" t="str">
        <f>IFERROR(__xludf.DUMMYFUNCTION("""COMPUTED_VALUE"""),"")</f>
        <v/>
      </c>
    </row>
    <row r="7784">
      <c r="D7784" t="str">
        <f>IFERROR(__xludf.DUMMYFUNCTION("""COMPUTED_VALUE"""),"Glenn")</f>
        <v>Glenn</v>
      </c>
      <c r="E7784" t="str">
        <f>IFERROR(__xludf.DUMMYFUNCTION("""COMPUTED_VALUE"""),"Cordy")</f>
        <v>Cordy</v>
      </c>
      <c r="F7784" t="str">
        <f>IFERROR(__xludf.DUMMYFUNCTION("""COMPUTED_VALUE"""),"")</f>
        <v/>
      </c>
    </row>
    <row r="7785">
      <c r="D7785" t="str">
        <f>IFERROR(__xludf.DUMMYFUNCTION("""COMPUTED_VALUE"""),"Glennon")</f>
        <v>Glennon</v>
      </c>
      <c r="E7785" t="str">
        <f>IFERROR(__xludf.DUMMYFUNCTION("""COMPUTED_VALUE"""),"Mike")</f>
        <v>Mike</v>
      </c>
      <c r="F7785" t="str">
        <f>IFERROR(__xludf.DUMMYFUNCTION("""COMPUTED_VALUE"""),"")</f>
        <v/>
      </c>
    </row>
    <row r="7786">
      <c r="D7786" t="str">
        <f>IFERROR(__xludf.DUMMYFUNCTION("""COMPUTED_VALUE"""),"Glowinski")</f>
        <v>Glowinski</v>
      </c>
      <c r="E7786" t="str">
        <f>IFERROR(__xludf.DUMMYFUNCTION("""COMPUTED_VALUE"""),"Mark")</f>
        <v>Mark</v>
      </c>
      <c r="F7786" t="str">
        <f>IFERROR(__xludf.DUMMYFUNCTION("""COMPUTED_VALUE"""),"")</f>
        <v/>
      </c>
    </row>
    <row r="7787">
      <c r="D7787" t="str">
        <f>IFERROR(__xludf.DUMMYFUNCTION("""COMPUTED_VALUE"""),"Godchaux")</f>
        <v>Godchaux</v>
      </c>
      <c r="E7787" t="str">
        <f>IFERROR(__xludf.DUMMYFUNCTION("""COMPUTED_VALUE"""),"Davon")</f>
        <v>Davon</v>
      </c>
      <c r="F7787" t="str">
        <f>IFERROR(__xludf.DUMMYFUNCTION("""COMPUTED_VALUE"""),"")</f>
        <v/>
      </c>
    </row>
    <row r="7788">
      <c r="D7788" t="str">
        <f>IFERROR(__xludf.DUMMYFUNCTION("""COMPUTED_VALUE"""),"Godwin")</f>
        <v>Godwin</v>
      </c>
      <c r="E7788" t="str">
        <f>IFERROR(__xludf.DUMMYFUNCTION("""COMPUTED_VALUE"""),"Chris")</f>
        <v>Chris</v>
      </c>
      <c r="F7788" t="str">
        <f>IFERROR(__xludf.DUMMYFUNCTION("""COMPUTED_VALUE"""),"")</f>
        <v/>
      </c>
    </row>
    <row r="7789">
      <c r="D7789" t="str">
        <f>IFERROR(__xludf.DUMMYFUNCTION("""COMPUTED_VALUE"""),"Godwin")</f>
        <v>Godwin</v>
      </c>
      <c r="E7789" t="str">
        <f>IFERROR(__xludf.DUMMYFUNCTION("""COMPUTED_VALUE"""),"Terry")</f>
        <v>Terry</v>
      </c>
      <c r="F7789" t="str">
        <f>IFERROR(__xludf.DUMMYFUNCTION("""COMPUTED_VALUE"""),"")</f>
        <v/>
      </c>
    </row>
    <row r="7790">
      <c r="D7790" t="str">
        <f>IFERROR(__xludf.DUMMYFUNCTION("""COMPUTED_VALUE"""),"Goedert")</f>
        <v>Goedert</v>
      </c>
      <c r="E7790" t="str">
        <f>IFERROR(__xludf.DUMMYFUNCTION("""COMPUTED_VALUE"""),"Dallas")</f>
        <v>Dallas</v>
      </c>
      <c r="F7790" t="str">
        <f>IFERROR(__xludf.DUMMYFUNCTION("""COMPUTED_VALUE"""),"")</f>
        <v/>
      </c>
    </row>
    <row r="7791">
      <c r="D7791" t="str">
        <f>IFERROR(__xludf.DUMMYFUNCTION("""COMPUTED_VALUE"""),"Goff")</f>
        <v>Goff</v>
      </c>
      <c r="E7791" t="str">
        <f>IFERROR(__xludf.DUMMYFUNCTION("""COMPUTED_VALUE"""),"Jared")</f>
        <v>Jared</v>
      </c>
      <c r="F7791" t="str">
        <f>IFERROR(__xludf.DUMMYFUNCTION("""COMPUTED_VALUE"""),"")</f>
        <v/>
      </c>
    </row>
    <row r="7792">
      <c r="D7792" t="str">
        <f>IFERROR(__xludf.DUMMYFUNCTION("""COMPUTED_VALUE"""),"Golden")</f>
        <v>Golden</v>
      </c>
      <c r="E7792" t="str">
        <f>IFERROR(__xludf.DUMMYFUNCTION("""COMPUTED_VALUE"""),"Markus")</f>
        <v>Markus</v>
      </c>
      <c r="F7792" t="str">
        <f>IFERROR(__xludf.DUMMYFUNCTION("""COMPUTED_VALUE"""),"")</f>
        <v/>
      </c>
    </row>
    <row r="7793">
      <c r="D7793" t="str">
        <f>IFERROR(__xludf.DUMMYFUNCTION("""COMPUTED_VALUE"""),"Golditch")</f>
        <v>Golditch</v>
      </c>
      <c r="E7793" t="str">
        <f>IFERROR(__xludf.DUMMYFUNCTION("""COMPUTED_VALUE"""),"Zack")</f>
        <v>Zack</v>
      </c>
      <c r="F7793" t="str">
        <f>IFERROR(__xludf.DUMMYFUNCTION("""COMPUTED_VALUE"""),"")</f>
        <v/>
      </c>
    </row>
    <row r="7794">
      <c r="D7794" t="str">
        <f>IFERROR(__xludf.DUMMYFUNCTION("""COMPUTED_VALUE"""),"Goldman")</f>
        <v>Goldman</v>
      </c>
      <c r="E7794" t="str">
        <f>IFERROR(__xludf.DUMMYFUNCTION("""COMPUTED_VALUE"""),"Eddie")</f>
        <v>Eddie</v>
      </c>
      <c r="F7794" t="str">
        <f>IFERROR(__xludf.DUMMYFUNCTION("""COMPUTED_VALUE"""),"")</f>
        <v/>
      </c>
    </row>
    <row r="7795">
      <c r="D7795" t="str">
        <f>IFERROR(__xludf.DUMMYFUNCTION("""COMPUTED_VALUE"""),"Golladay")</f>
        <v>Golladay</v>
      </c>
      <c r="E7795" t="str">
        <f>IFERROR(__xludf.DUMMYFUNCTION("""COMPUTED_VALUE"""),"Kenny")</f>
        <v>Kenny</v>
      </c>
      <c r="F7795" t="str">
        <f>IFERROR(__xludf.DUMMYFUNCTION("""COMPUTED_VALUE"""),"")</f>
        <v/>
      </c>
    </row>
    <row r="7796">
      <c r="D7796" t="str">
        <f>IFERROR(__xludf.DUMMYFUNCTION("""COMPUTED_VALUE"""),"Gono")</f>
        <v>Gono</v>
      </c>
      <c r="E7796" t="str">
        <f>IFERROR(__xludf.DUMMYFUNCTION("""COMPUTED_VALUE"""),"Matt")</f>
        <v>Matt</v>
      </c>
      <c r="F7796" t="str">
        <f>IFERROR(__xludf.DUMMYFUNCTION("""COMPUTED_VALUE"""),"")</f>
        <v/>
      </c>
    </row>
    <row r="7797">
      <c r="D7797" t="str">
        <f>IFERROR(__xludf.DUMMYFUNCTION("""COMPUTED_VALUE"""),"Gonzalez")</f>
        <v>Gonzalez</v>
      </c>
      <c r="E7797" t="str">
        <f>IFERROR(__xludf.DUMMYFUNCTION("""COMPUTED_VALUE"""),"Zane")</f>
        <v>Zane</v>
      </c>
      <c r="F7797" t="str">
        <f>IFERROR(__xludf.DUMMYFUNCTION("""COMPUTED_VALUE"""),"")</f>
        <v/>
      </c>
    </row>
    <row r="7798">
      <c r="D7798" t="str">
        <f>IFERROR(__xludf.DUMMYFUNCTION("""COMPUTED_VALUE"""),"Good")</f>
        <v>Good</v>
      </c>
      <c r="E7798" t="str">
        <f>IFERROR(__xludf.DUMMYFUNCTION("""COMPUTED_VALUE"""),"Denzelle")</f>
        <v>Denzelle</v>
      </c>
      <c r="F7798" t="str">
        <f>IFERROR(__xludf.DUMMYFUNCTION("""COMPUTED_VALUE"""),"")</f>
        <v/>
      </c>
    </row>
    <row r="7799">
      <c r="D7799" t="str">
        <f>IFERROR(__xludf.DUMMYFUNCTION("""COMPUTED_VALUE"""),"Goode")</f>
        <v>Goode</v>
      </c>
      <c r="E7799" t="str">
        <f>IFERROR(__xludf.DUMMYFUNCTION("""COMPUTED_VALUE"""),"Najee")</f>
        <v>Najee</v>
      </c>
      <c r="F7799" t="str">
        <f>IFERROR(__xludf.DUMMYFUNCTION("""COMPUTED_VALUE"""),"")</f>
        <v/>
      </c>
    </row>
    <row r="7800">
      <c r="D7800" t="str">
        <f>IFERROR(__xludf.DUMMYFUNCTION("""COMPUTED_VALUE"""),"Goodson")</f>
        <v>Goodson</v>
      </c>
      <c r="E7800" t="str">
        <f>IFERROR(__xludf.DUMMYFUNCTION("""COMPUTED_VALUE"""),"BJ")</f>
        <v>BJ</v>
      </c>
      <c r="F7800" t="str">
        <f>IFERROR(__xludf.DUMMYFUNCTION("""COMPUTED_VALUE"""),"")</f>
        <v/>
      </c>
    </row>
    <row r="7801">
      <c r="D7801" t="str">
        <f>IFERROR(__xludf.DUMMYFUNCTION("""COMPUTED_VALUE"""),"Goodwin")</f>
        <v>Goodwin</v>
      </c>
      <c r="E7801" t="str">
        <f>IFERROR(__xludf.DUMMYFUNCTION("""COMPUTED_VALUE"""),"CJ")</f>
        <v>CJ</v>
      </c>
      <c r="F7801" t="str">
        <f>IFERROR(__xludf.DUMMYFUNCTION("""COMPUTED_VALUE"""),"")</f>
        <v/>
      </c>
    </row>
    <row r="7802">
      <c r="D7802" t="str">
        <f>IFERROR(__xludf.DUMMYFUNCTION("""COMPUTED_VALUE"""),"Goodwin")</f>
        <v>Goodwin</v>
      </c>
      <c r="E7802" t="str">
        <f>IFERROR(__xludf.DUMMYFUNCTION("""COMPUTED_VALUE"""),"Marquise")</f>
        <v>Marquise</v>
      </c>
      <c r="F7802" t="str">
        <f>IFERROR(__xludf.DUMMYFUNCTION("""COMPUTED_VALUE"""),"")</f>
        <v/>
      </c>
    </row>
    <row r="7803">
      <c r="D7803" t="str">
        <f>IFERROR(__xludf.DUMMYFUNCTION("""COMPUTED_VALUE"""),"Gordon")</f>
        <v>Gordon</v>
      </c>
      <c r="E7803" t="str">
        <f>IFERROR(__xludf.DUMMYFUNCTION("""COMPUTED_VALUE"""),"Dillon")</f>
        <v>Dillon</v>
      </c>
      <c r="F7803" t="str">
        <f>IFERROR(__xludf.DUMMYFUNCTION("""COMPUTED_VALUE"""),"")</f>
        <v/>
      </c>
    </row>
    <row r="7804">
      <c r="D7804" t="str">
        <f>IFERROR(__xludf.DUMMYFUNCTION("""COMPUTED_VALUE"""),"Gordon")</f>
        <v>Gordon</v>
      </c>
      <c r="E7804" t="str">
        <f>IFERROR(__xludf.DUMMYFUNCTION("""COMPUTED_VALUE"""),"Josh")</f>
        <v>Josh</v>
      </c>
      <c r="F7804" t="str">
        <f>IFERROR(__xludf.DUMMYFUNCTION("""COMPUTED_VALUE"""),"")</f>
        <v/>
      </c>
    </row>
    <row r="7805">
      <c r="D7805" t="str">
        <f>IFERROR(__xludf.DUMMYFUNCTION("""COMPUTED_VALUE"""),"Gordon")</f>
        <v>Gordon</v>
      </c>
      <c r="E7805" t="str">
        <f>IFERROR(__xludf.DUMMYFUNCTION("""COMPUTED_VALUE"""),"Melvin")</f>
        <v>Melvin</v>
      </c>
      <c r="F7805" t="str">
        <f>IFERROR(__xludf.DUMMYFUNCTION("""COMPUTED_VALUE"""),"")</f>
        <v/>
      </c>
    </row>
    <row r="7806">
      <c r="D7806" t="str">
        <f>IFERROR(__xludf.DUMMYFUNCTION("""COMPUTED_VALUE"""),"Gore")</f>
        <v>Gore</v>
      </c>
      <c r="E7806" t="str">
        <f>IFERROR(__xludf.DUMMYFUNCTION("""COMPUTED_VALUE"""),"Frank")</f>
        <v>Frank</v>
      </c>
      <c r="F7806" t="str">
        <f>IFERROR(__xludf.DUMMYFUNCTION("""COMPUTED_VALUE"""),"")</f>
        <v/>
      </c>
    </row>
    <row r="7807">
      <c r="D7807" t="str">
        <f>IFERROR(__xludf.DUMMYFUNCTION("""COMPUTED_VALUE"""),"Gossett")</f>
        <v>Gossett</v>
      </c>
      <c r="E7807" t="str">
        <f>IFERROR(__xludf.DUMMYFUNCTION("""COMPUTED_VALUE"""),"Colby")</f>
        <v>Colby</v>
      </c>
      <c r="F7807" t="str">
        <f>IFERROR(__xludf.DUMMYFUNCTION("""COMPUTED_VALUE"""),"")</f>
        <v/>
      </c>
    </row>
    <row r="7808">
      <c r="D7808" t="str">
        <f>IFERROR(__xludf.DUMMYFUNCTION("""COMPUTED_VALUE"""),"Gostkowski")</f>
        <v>Gostkowski</v>
      </c>
      <c r="E7808" t="str">
        <f>IFERROR(__xludf.DUMMYFUNCTION("""COMPUTED_VALUE"""),"Stephen")</f>
        <v>Stephen</v>
      </c>
      <c r="F7808" t="str">
        <f>IFERROR(__xludf.DUMMYFUNCTION("""COMPUTED_VALUE"""),"")</f>
        <v/>
      </c>
    </row>
    <row r="7809">
      <c r="D7809" t="str">
        <f>IFERROR(__xludf.DUMMYFUNCTION("""COMPUTED_VALUE"""),"Gotsis")</f>
        <v>Gotsis</v>
      </c>
      <c r="E7809" t="str">
        <f>IFERROR(__xludf.DUMMYFUNCTION("""COMPUTED_VALUE"""),"Adam")</f>
        <v>Adam</v>
      </c>
      <c r="F7809" t="str">
        <f>IFERROR(__xludf.DUMMYFUNCTION("""COMPUTED_VALUE"""),"")</f>
        <v/>
      </c>
    </row>
    <row r="7810">
      <c r="D7810" t="str">
        <f>IFERROR(__xludf.DUMMYFUNCTION("""COMPUTED_VALUE"""),"Gould")</f>
        <v>Gould</v>
      </c>
      <c r="E7810" t="str">
        <f>IFERROR(__xludf.DUMMYFUNCTION("""COMPUTED_VALUE"""),"Robbie")</f>
        <v>Robbie</v>
      </c>
      <c r="F7810" t="str">
        <f>IFERROR(__xludf.DUMMYFUNCTION("""COMPUTED_VALUE"""),"")</f>
        <v/>
      </c>
    </row>
    <row r="7811">
      <c r="D7811" t="str">
        <f>IFERROR(__xludf.DUMMYFUNCTION("""COMPUTED_VALUE"""),"Grace")</f>
        <v>Grace</v>
      </c>
      <c r="E7811" t="str">
        <f>IFERROR(__xludf.DUMMYFUNCTION("""COMPUTED_VALUE"""),"Jermaine")</f>
        <v>Jermaine</v>
      </c>
      <c r="F7811" t="str">
        <f>IFERROR(__xludf.DUMMYFUNCTION("""COMPUTED_VALUE"""),"")</f>
        <v/>
      </c>
    </row>
    <row r="7812">
      <c r="D7812" t="str">
        <f>IFERROR(__xludf.DUMMYFUNCTION("""COMPUTED_VALUE"""),"Graham")</f>
        <v>Graham</v>
      </c>
      <c r="E7812" t="str">
        <f>IFERROR(__xludf.DUMMYFUNCTION("""COMPUTED_VALUE"""),"Brandon")</f>
        <v>Brandon</v>
      </c>
      <c r="F7812" t="str">
        <f>IFERROR(__xludf.DUMMYFUNCTION("""COMPUTED_VALUE"""),"")</f>
        <v/>
      </c>
    </row>
    <row r="7813">
      <c r="D7813" t="str">
        <f>IFERROR(__xludf.DUMMYFUNCTION("""COMPUTED_VALUE"""),"Graham")</f>
        <v>Graham</v>
      </c>
      <c r="E7813" t="str">
        <f>IFERROR(__xludf.DUMMYFUNCTION("""COMPUTED_VALUE"""),"Jimmy")</f>
        <v>Jimmy</v>
      </c>
      <c r="F7813" t="str">
        <f>IFERROR(__xludf.DUMMYFUNCTION("""COMPUTED_VALUE"""),"")</f>
        <v/>
      </c>
    </row>
    <row r="7814">
      <c r="D7814" t="str">
        <f>IFERROR(__xludf.DUMMYFUNCTION("""COMPUTED_VALUE"""),"Granderson")</f>
        <v>Granderson</v>
      </c>
      <c r="E7814" t="str">
        <f>IFERROR(__xludf.DUMMYFUNCTION("""COMPUTED_VALUE"""),"Carl")</f>
        <v>Carl</v>
      </c>
      <c r="F7814" t="str">
        <f>IFERROR(__xludf.DUMMYFUNCTION("""COMPUTED_VALUE"""),"")</f>
        <v/>
      </c>
    </row>
    <row r="7815">
      <c r="D7815" t="str">
        <f>IFERROR(__xludf.DUMMYFUNCTION("""COMPUTED_VALUE"""),"Grant")</f>
        <v>Grant</v>
      </c>
      <c r="E7815" t="str">
        <f>IFERROR(__xludf.DUMMYFUNCTION("""COMPUTED_VALUE"""),"Jakeem")</f>
        <v>Jakeem</v>
      </c>
      <c r="F7815" t="str">
        <f>IFERROR(__xludf.DUMMYFUNCTION("""COMPUTED_VALUE"""),"")</f>
        <v/>
      </c>
    </row>
    <row r="7816">
      <c r="D7816" t="str">
        <f>IFERROR(__xludf.DUMMYFUNCTION("""COMPUTED_VALUE"""),"Grant")</f>
        <v>Grant</v>
      </c>
      <c r="E7816" t="str">
        <f>IFERROR(__xludf.DUMMYFUNCTION("""COMPUTED_VALUE"""),"Ryan")</f>
        <v>Ryan</v>
      </c>
      <c r="F7816" t="str">
        <f>IFERROR(__xludf.DUMMYFUNCTION("""COMPUTED_VALUE"""),"")</f>
        <v/>
      </c>
    </row>
    <row r="7817">
      <c r="D7817" t="str">
        <f>IFERROR(__xludf.DUMMYFUNCTION("""COMPUTED_VALUE"""),"Grasu")</f>
        <v>Grasu</v>
      </c>
      <c r="E7817" t="str">
        <f>IFERROR(__xludf.DUMMYFUNCTION("""COMPUTED_VALUE"""),"Hroniss")</f>
        <v>Hroniss</v>
      </c>
      <c r="F7817" t="str">
        <f>IFERROR(__xludf.DUMMYFUNCTION("""COMPUTED_VALUE"""),"")</f>
        <v/>
      </c>
    </row>
    <row r="7818">
      <c r="D7818" t="str">
        <f>IFERROR(__xludf.DUMMYFUNCTION("""COMPUTED_VALUE"""),"Gray")</f>
        <v>Gray</v>
      </c>
      <c r="E7818" t="str">
        <f>IFERROR(__xludf.DUMMYFUNCTION("""COMPUTED_VALUE"""),"Alex")</f>
        <v>Alex</v>
      </c>
      <c r="F7818" t="str">
        <f>IFERROR(__xludf.DUMMYFUNCTION("""COMPUTED_VALUE"""),"")</f>
        <v/>
      </c>
    </row>
    <row r="7819">
      <c r="D7819" t="str">
        <f>IFERROR(__xludf.DUMMYFUNCTION("""COMPUTED_VALUE"""),"Gray")</f>
        <v>Gray</v>
      </c>
      <c r="E7819" t="str">
        <f>IFERROR(__xludf.DUMMYFUNCTION("""COMPUTED_VALUE"""),"Derwin")</f>
        <v>Derwin</v>
      </c>
      <c r="F7819" t="str">
        <f>IFERROR(__xludf.DUMMYFUNCTION("""COMPUTED_VALUE"""),"")</f>
        <v/>
      </c>
    </row>
    <row r="7820">
      <c r="D7820" t="str">
        <f>IFERROR(__xludf.DUMMYFUNCTION("""COMPUTED_VALUE"""),"Gray")</f>
        <v>Gray</v>
      </c>
      <c r="E7820" t="str">
        <f>IFERROR(__xludf.DUMMYFUNCTION("""COMPUTED_VALUE"""),"Devin")</f>
        <v>Devin</v>
      </c>
      <c r="F7820" t="str">
        <f>IFERROR(__xludf.DUMMYFUNCTION("""COMPUTED_VALUE"""),"")</f>
        <v/>
      </c>
    </row>
    <row r="7821">
      <c r="D7821" t="str">
        <f>IFERROR(__xludf.DUMMYFUNCTION("""COMPUTED_VALUE"""),"Gray")</f>
        <v>Gray</v>
      </c>
      <c r="E7821" t="str">
        <f>IFERROR(__xludf.DUMMYFUNCTION("""COMPUTED_VALUE"""),"JT")</f>
        <v>JT</v>
      </c>
      <c r="F7821" t="str">
        <f>IFERROR(__xludf.DUMMYFUNCTION("""COMPUTED_VALUE"""),"")</f>
        <v/>
      </c>
    </row>
    <row r="7822">
      <c r="D7822" t="str">
        <f>IFERROR(__xludf.DUMMYFUNCTION("""COMPUTED_VALUE"""),"Green")</f>
        <v>Green</v>
      </c>
      <c r="E7822" t="str">
        <f>IFERROR(__xludf.DUMMYFUNCTION("""COMPUTED_VALUE"""),"AJ")</f>
        <v>AJ</v>
      </c>
      <c r="F7822" t="str">
        <f>IFERROR(__xludf.DUMMYFUNCTION("""COMPUTED_VALUE"""),"")</f>
        <v/>
      </c>
    </row>
    <row r="7823">
      <c r="D7823" t="str">
        <f>IFERROR(__xludf.DUMMYFUNCTION("""COMPUTED_VALUE"""),"Green")</f>
        <v>Green</v>
      </c>
      <c r="E7823" t="str">
        <f>IFERROR(__xludf.DUMMYFUNCTION("""COMPUTED_VALUE"""),"Chaz")</f>
        <v>Chaz</v>
      </c>
      <c r="F7823" t="str">
        <f>IFERROR(__xludf.DUMMYFUNCTION("""COMPUTED_VALUE"""),"")</f>
        <v/>
      </c>
    </row>
    <row r="7824">
      <c r="D7824" t="str">
        <f>IFERROR(__xludf.DUMMYFUNCTION("""COMPUTED_VALUE"""),"Green")</f>
        <v>Green</v>
      </c>
      <c r="E7824" t="str">
        <f>IFERROR(__xludf.DUMMYFUNCTION("""COMPUTED_VALUE"""),"Gerri")</f>
        <v>Gerri</v>
      </c>
      <c r="F7824" t="str">
        <f>IFERROR(__xludf.DUMMYFUNCTION("""COMPUTED_VALUE"""),"")</f>
        <v/>
      </c>
    </row>
    <row r="7825">
      <c r="D7825" t="str">
        <f>IFERROR(__xludf.DUMMYFUNCTION("""COMPUTED_VALUE"""),"Green")</f>
        <v>Green</v>
      </c>
      <c r="E7825" t="str">
        <f>IFERROR(__xludf.DUMMYFUNCTION("""COMPUTED_VALUE"""),"Marcus")</f>
        <v>Marcus</v>
      </c>
      <c r="F7825" t="str">
        <f>IFERROR(__xludf.DUMMYFUNCTION("""COMPUTED_VALUE"""),"")</f>
        <v/>
      </c>
    </row>
    <row r="7826">
      <c r="D7826" t="str">
        <f>IFERROR(__xludf.DUMMYFUNCTION("""COMPUTED_VALUE"""),"Green")</f>
        <v>Green</v>
      </c>
      <c r="E7826" t="str">
        <f>IFERROR(__xludf.DUMMYFUNCTION("""COMPUTED_VALUE"""),"Rasheem")</f>
        <v>Rasheem</v>
      </c>
      <c r="F7826" t="str">
        <f>IFERROR(__xludf.DUMMYFUNCTION("""COMPUTED_VALUE"""),"")</f>
        <v/>
      </c>
    </row>
    <row r="7827">
      <c r="D7827" t="str">
        <f>IFERROR(__xludf.DUMMYFUNCTION("""COMPUTED_VALUE"""),"Green")</f>
        <v>Green</v>
      </c>
      <c r="E7827" t="str">
        <f>IFERROR(__xludf.DUMMYFUNCTION("""COMPUTED_VALUE"""),"Virgil")</f>
        <v>Virgil</v>
      </c>
      <c r="F7827" t="str">
        <f>IFERROR(__xludf.DUMMYFUNCTION("""COMPUTED_VALUE"""),"")</f>
        <v/>
      </c>
    </row>
    <row r="7828">
      <c r="D7828" t="str">
        <f>IFERROR(__xludf.DUMMYFUNCTION("""COMPUTED_VALUE"""),"Greene")</f>
        <v>Greene</v>
      </c>
      <c r="E7828" t="str">
        <f>IFERROR(__xludf.DUMMYFUNCTION("""COMPUTED_VALUE"""),"Donnell")</f>
        <v>Donnell</v>
      </c>
      <c r="F7828" t="str">
        <f>IFERROR(__xludf.DUMMYFUNCTION("""COMPUTED_VALUE"""),"")</f>
        <v/>
      </c>
    </row>
    <row r="7829">
      <c r="D7829" t="str">
        <f>IFERROR(__xludf.DUMMYFUNCTION("""COMPUTED_VALUE"""),"Greene")</f>
        <v>Greene</v>
      </c>
      <c r="E7829" t="str">
        <f>IFERROR(__xludf.DUMMYFUNCTION("""COMPUTED_VALUE"""),"Raven")</f>
        <v>Raven</v>
      </c>
      <c r="F7829" t="str">
        <f>IFERROR(__xludf.DUMMYFUNCTION("""COMPUTED_VALUE"""),"")</f>
        <v/>
      </c>
    </row>
    <row r="7830">
      <c r="D7830" t="str">
        <f>IFERROR(__xludf.DUMMYFUNCTION("""COMPUTED_VALUE"""),"Greenidge")</f>
        <v>Greenidge</v>
      </c>
      <c r="E7830" t="str">
        <f>IFERROR(__xludf.DUMMYFUNCTION("""COMPUTED_VALUE"""),"Ethan")</f>
        <v>Ethan</v>
      </c>
      <c r="F7830" t="str">
        <f>IFERROR(__xludf.DUMMYFUNCTION("""COMPUTED_VALUE"""),"")</f>
        <v/>
      </c>
    </row>
    <row r="7831">
      <c r="D7831" t="str">
        <f>IFERROR(__xludf.DUMMYFUNCTION("""COMPUTED_VALUE"""),"Greenlaw")</f>
        <v>Greenlaw</v>
      </c>
      <c r="E7831" t="str">
        <f>IFERROR(__xludf.DUMMYFUNCTION("""COMPUTED_VALUE"""),"Dre")</f>
        <v>Dre</v>
      </c>
      <c r="F7831" t="str">
        <f>IFERROR(__xludf.DUMMYFUNCTION("""COMPUTED_VALUE"""),"")</f>
        <v/>
      </c>
    </row>
    <row r="7832">
      <c r="D7832" t="str">
        <f>IFERROR(__xludf.DUMMYFUNCTION("""COMPUTED_VALUE"""),"Gregory")</f>
        <v>Gregory</v>
      </c>
      <c r="E7832" t="str">
        <f>IFERROR(__xludf.DUMMYFUNCTION("""COMPUTED_VALUE"""),"Randy")</f>
        <v>Randy</v>
      </c>
      <c r="F7832" t="str">
        <f>IFERROR(__xludf.DUMMYFUNCTION("""COMPUTED_VALUE"""),"")</f>
        <v/>
      </c>
    </row>
    <row r="7833">
      <c r="D7833" t="str">
        <f>IFERROR(__xludf.DUMMYFUNCTION("""COMPUTED_VALUE"""),"Grier")</f>
        <v>Grier</v>
      </c>
      <c r="E7833" t="str">
        <f>IFERROR(__xludf.DUMMYFUNCTION("""COMPUTED_VALUE"""),"Will")</f>
        <v>Will</v>
      </c>
      <c r="F7833" t="str">
        <f>IFERROR(__xludf.DUMMYFUNCTION("""COMPUTED_VALUE"""),"")</f>
        <v/>
      </c>
    </row>
    <row r="7834">
      <c r="D7834" t="str">
        <f>IFERROR(__xludf.DUMMYFUNCTION("""COMPUTED_VALUE"""),"Griffen")</f>
        <v>Griffen</v>
      </c>
      <c r="E7834" t="str">
        <f>IFERROR(__xludf.DUMMYFUNCTION("""COMPUTED_VALUE"""),"Everson")</f>
        <v>Everson</v>
      </c>
      <c r="F7834" t="str">
        <f>IFERROR(__xludf.DUMMYFUNCTION("""COMPUTED_VALUE"""),"")</f>
        <v/>
      </c>
    </row>
    <row r="7835">
      <c r="D7835" t="str">
        <f>IFERROR(__xludf.DUMMYFUNCTION("""COMPUTED_VALUE"""),"Griffey")</f>
        <v>Griffey</v>
      </c>
      <c r="E7835" t="str">
        <f>IFERROR(__xludf.DUMMYFUNCTION("""COMPUTED_VALUE"""),"Trey")</f>
        <v>Trey</v>
      </c>
      <c r="F7835" t="str">
        <f>IFERROR(__xludf.DUMMYFUNCTION("""COMPUTED_VALUE"""),"")</f>
        <v/>
      </c>
    </row>
    <row r="7836">
      <c r="D7836" t="str">
        <f>IFERROR(__xludf.DUMMYFUNCTION("""COMPUTED_VALUE"""),"Griffin")</f>
        <v>Griffin</v>
      </c>
      <c r="E7836" t="str">
        <f>IFERROR(__xludf.DUMMYFUNCTION("""COMPUTED_VALUE"""),"Garrett")</f>
        <v>Garrett</v>
      </c>
      <c r="F7836" t="str">
        <f>IFERROR(__xludf.DUMMYFUNCTION("""COMPUTED_VALUE"""),"")</f>
        <v/>
      </c>
    </row>
    <row r="7837">
      <c r="D7837" t="str">
        <f>IFERROR(__xludf.DUMMYFUNCTION("""COMPUTED_VALUE"""),"Griffin")</f>
        <v>Griffin</v>
      </c>
      <c r="E7837" t="str">
        <f>IFERROR(__xludf.DUMMYFUNCTION("""COMPUTED_VALUE"""),"Robert")</f>
        <v>Robert</v>
      </c>
      <c r="F7837" t="str">
        <f>IFERROR(__xludf.DUMMYFUNCTION("""COMPUTED_VALUE"""),"")</f>
        <v/>
      </c>
    </row>
    <row r="7838">
      <c r="D7838" t="str">
        <f>IFERROR(__xludf.DUMMYFUNCTION("""COMPUTED_VALUE"""),"Griffin")</f>
        <v>Griffin</v>
      </c>
      <c r="E7838" t="str">
        <f>IFERROR(__xludf.DUMMYFUNCTION("""COMPUTED_VALUE"""),"Ryan")</f>
        <v>Ryan</v>
      </c>
      <c r="F7838" t="str">
        <f>IFERROR(__xludf.DUMMYFUNCTION("""COMPUTED_VALUE"""),"")</f>
        <v/>
      </c>
    </row>
    <row r="7839">
      <c r="D7839" t="str">
        <f>IFERROR(__xludf.DUMMYFUNCTION("""COMPUTED_VALUE"""),"Griffin")</f>
        <v>Griffin</v>
      </c>
      <c r="E7839" t="str">
        <f>IFERROR(__xludf.DUMMYFUNCTION("""COMPUTED_VALUE"""),"Shaquem")</f>
        <v>Shaquem</v>
      </c>
      <c r="F7839" t="str">
        <f>IFERROR(__xludf.DUMMYFUNCTION("""COMPUTED_VALUE"""),"")</f>
        <v/>
      </c>
    </row>
    <row r="7840">
      <c r="D7840" t="str">
        <f>IFERROR(__xludf.DUMMYFUNCTION("""COMPUTED_VALUE"""),"Griffin")</f>
        <v>Griffin</v>
      </c>
      <c r="E7840" t="str">
        <f>IFERROR(__xludf.DUMMYFUNCTION("""COMPUTED_VALUE"""),"Shaquill")</f>
        <v>Shaquill</v>
      </c>
      <c r="F7840" t="str">
        <f>IFERROR(__xludf.DUMMYFUNCTION("""COMPUTED_VALUE"""),"")</f>
        <v/>
      </c>
    </row>
    <row r="7841">
      <c r="D7841" t="str">
        <f>IFERROR(__xludf.DUMMYFUNCTION("""COMPUTED_VALUE"""),"Grimble")</f>
        <v>Grimble</v>
      </c>
      <c r="E7841" t="str">
        <f>IFERROR(__xludf.DUMMYFUNCTION("""COMPUTED_VALUE"""),"Xavier")</f>
        <v>Xavier</v>
      </c>
      <c r="F7841" t="str">
        <f>IFERROR(__xludf.DUMMYFUNCTION("""COMPUTED_VALUE"""),"")</f>
        <v/>
      </c>
    </row>
    <row r="7842">
      <c r="D7842" t="str">
        <f>IFERROR(__xludf.DUMMYFUNCTION("""COMPUTED_VALUE"""),"Grissom")</f>
        <v>Grissom</v>
      </c>
      <c r="E7842" t="str">
        <f>IFERROR(__xludf.DUMMYFUNCTION("""COMPUTED_VALUE"""),"Geneo")</f>
        <v>Geneo</v>
      </c>
      <c r="F7842" t="str">
        <f>IFERROR(__xludf.DUMMYFUNCTION("""COMPUTED_VALUE"""),"")</f>
        <v/>
      </c>
    </row>
    <row r="7843">
      <c r="D7843" t="str">
        <f>IFERROR(__xludf.DUMMYFUNCTION("""COMPUTED_VALUE"""),"Groy")</f>
        <v>Groy</v>
      </c>
      <c r="E7843" t="str">
        <f>IFERROR(__xludf.DUMMYFUNCTION("""COMPUTED_VALUE"""),"Ryan")</f>
        <v>Ryan</v>
      </c>
      <c r="F7843" t="str">
        <f>IFERROR(__xludf.DUMMYFUNCTION("""COMPUTED_VALUE"""),"")</f>
        <v/>
      </c>
    </row>
    <row r="7844">
      <c r="D7844" t="str">
        <f>IFERROR(__xludf.DUMMYFUNCTION("""COMPUTED_VALUE"""),"Grugier-Hill")</f>
        <v>Grugier-Hill</v>
      </c>
      <c r="E7844" t="str">
        <f>IFERROR(__xludf.DUMMYFUNCTION("""COMPUTED_VALUE"""),"Kamu")</f>
        <v>Kamu</v>
      </c>
      <c r="F7844" t="str">
        <f>IFERROR(__xludf.DUMMYFUNCTION("""COMPUTED_VALUE"""),"")</f>
        <v/>
      </c>
    </row>
    <row r="7845">
      <c r="D7845" t="str">
        <f>IFERROR(__xludf.DUMMYFUNCTION("""COMPUTED_VALUE"""),"Guice")</f>
        <v>Guice</v>
      </c>
      <c r="E7845" t="str">
        <f>IFERROR(__xludf.DUMMYFUNCTION("""COMPUTED_VALUE"""),"Derrius")</f>
        <v>Derrius</v>
      </c>
      <c r="F7845" t="str">
        <f>IFERROR(__xludf.DUMMYFUNCTION("""COMPUTED_VALUE"""),"")</f>
        <v/>
      </c>
    </row>
    <row r="7846">
      <c r="D7846" t="str">
        <f>IFERROR(__xludf.DUMMYFUNCTION("""COMPUTED_VALUE"""),"Gunter")</f>
        <v>Gunter</v>
      </c>
      <c r="E7846" t="str">
        <f>IFERROR(__xludf.DUMMYFUNCTION("""COMPUTED_VALUE"""),"Rodney")</f>
        <v>Rodney</v>
      </c>
      <c r="F7846" t="str">
        <f>IFERROR(__xludf.DUMMYFUNCTION("""COMPUTED_VALUE"""),"")</f>
        <v/>
      </c>
    </row>
    <row r="7847">
      <c r="D7847" t="str">
        <f>IFERROR(__xludf.DUMMYFUNCTION("""COMPUTED_VALUE"""),"Gurley")</f>
        <v>Gurley</v>
      </c>
      <c r="E7847" t="str">
        <f>IFERROR(__xludf.DUMMYFUNCTION("""COMPUTED_VALUE"""),"Todd")</f>
        <v>Todd</v>
      </c>
      <c r="F7847" t="str">
        <f>IFERROR(__xludf.DUMMYFUNCTION("""COMPUTED_VALUE"""),"")</f>
        <v/>
      </c>
    </row>
    <row r="7848">
      <c r="D7848" t="str">
        <f>IFERROR(__xludf.DUMMYFUNCTION("""COMPUTED_VALUE"""),"Guy")</f>
        <v>Guy</v>
      </c>
      <c r="E7848" t="str">
        <f>IFERROR(__xludf.DUMMYFUNCTION("""COMPUTED_VALUE"""),"Lawrence")</f>
        <v>Lawrence</v>
      </c>
      <c r="F7848" t="str">
        <f>IFERROR(__xludf.DUMMYFUNCTION("""COMPUTED_VALUE"""),"")</f>
        <v/>
      </c>
    </row>
    <row r="7849">
      <c r="D7849" t="str">
        <f>IFERROR(__xludf.DUMMYFUNCTION("""COMPUTED_VALUE"""),"Ha")</f>
        <v>Ha</v>
      </c>
      <c r="E7849" t="str">
        <f>IFERROR(__xludf.DUMMYFUNCTION("""COMPUTED_VALUE"""),"Ha")</f>
        <v>Ha</v>
      </c>
      <c r="F7849" t="str">
        <f>IFERROR(__xludf.DUMMYFUNCTION("""COMPUTED_VALUE"""),"")</f>
        <v/>
      </c>
    </row>
    <row r="7850">
      <c r="D7850" t="str">
        <f>IFERROR(__xludf.DUMMYFUNCTION("""COMPUTED_VALUE"""),"Haack")</f>
        <v>Haack</v>
      </c>
      <c r="E7850" t="str">
        <f>IFERROR(__xludf.DUMMYFUNCTION("""COMPUTED_VALUE"""),"Matt")</f>
        <v>Matt</v>
      </c>
      <c r="F7850" t="str">
        <f>IFERROR(__xludf.DUMMYFUNCTION("""COMPUTED_VALUE"""),"")</f>
        <v/>
      </c>
    </row>
    <row r="7851">
      <c r="D7851" t="str">
        <f>IFERROR(__xludf.DUMMYFUNCTION("""COMPUTED_VALUE"""),"Haden")</f>
        <v>Haden</v>
      </c>
      <c r="E7851" t="str">
        <f>IFERROR(__xludf.DUMMYFUNCTION("""COMPUTED_VALUE"""),"Joe")</f>
        <v>Joe</v>
      </c>
      <c r="F7851" t="str">
        <f>IFERROR(__xludf.DUMMYFUNCTION("""COMPUTED_VALUE"""),"")</f>
        <v/>
      </c>
    </row>
    <row r="7852">
      <c r="D7852" t="str">
        <f>IFERROR(__xludf.DUMMYFUNCTION("""COMPUTED_VALUE"""),"Haeg")</f>
        <v>Haeg</v>
      </c>
      <c r="E7852" t="str">
        <f>IFERROR(__xludf.DUMMYFUNCTION("""COMPUTED_VALUE"""),"Joe")</f>
        <v>Joe</v>
      </c>
      <c r="F7852" t="str">
        <f>IFERROR(__xludf.DUMMYFUNCTION("""COMPUTED_VALUE"""),"")</f>
        <v/>
      </c>
    </row>
    <row r="7853">
      <c r="D7853" t="str">
        <f>IFERROR(__xludf.DUMMYFUNCTION("""COMPUTED_VALUE"""),"Hageman")</f>
        <v>Hageman</v>
      </c>
      <c r="E7853" t="str">
        <f>IFERROR(__xludf.DUMMYFUNCTION("""COMPUTED_VALUE"""),"RaShede")</f>
        <v>RaShede</v>
      </c>
      <c r="F7853" t="str">
        <f>IFERROR(__xludf.DUMMYFUNCTION("""COMPUTED_VALUE"""),"")</f>
        <v/>
      </c>
    </row>
    <row r="7854">
      <c r="D7854" t="str">
        <f>IFERROR(__xludf.DUMMYFUNCTION("""COMPUTED_VALUE"""),"Hager")</f>
        <v>Hager</v>
      </c>
      <c r="E7854" t="str">
        <f>IFERROR(__xludf.DUMMYFUNCTION("""COMPUTED_VALUE"""),"Bryce")</f>
        <v>Bryce</v>
      </c>
      <c r="F7854" t="str">
        <f>IFERROR(__xludf.DUMMYFUNCTION("""COMPUTED_VALUE"""),"")</f>
        <v/>
      </c>
    </row>
    <row r="7855">
      <c r="D7855" t="str">
        <f>IFERROR(__xludf.DUMMYFUNCTION("""COMPUTED_VALUE"""),"Hairston")</f>
        <v>Hairston</v>
      </c>
      <c r="E7855" t="str">
        <f>IFERROR(__xludf.DUMMYFUNCTION("""COMPUTED_VALUE"""),"Nate")</f>
        <v>Nate</v>
      </c>
      <c r="F7855" t="str">
        <f>IFERROR(__xludf.DUMMYFUNCTION("""COMPUTED_VALUE"""),"")</f>
        <v/>
      </c>
    </row>
    <row r="7856">
      <c r="D7856" t="str">
        <f>IFERROR(__xludf.DUMMYFUNCTION("""COMPUTED_VALUE"""),"Halapio")</f>
        <v>Halapio</v>
      </c>
      <c r="E7856" t="str">
        <f>IFERROR(__xludf.DUMMYFUNCTION("""COMPUTED_VALUE"""),"Jon")</f>
        <v>Jon</v>
      </c>
      <c r="F7856" t="str">
        <f>IFERROR(__xludf.DUMMYFUNCTION("""COMPUTED_VALUE"""),"")</f>
        <v/>
      </c>
    </row>
    <row r="7857">
      <c r="D7857" t="str">
        <f>IFERROR(__xludf.DUMMYFUNCTION("""COMPUTED_VALUE"""),"Haley")</f>
        <v>Haley</v>
      </c>
      <c r="E7857" t="str">
        <f>IFERROR(__xludf.DUMMYFUNCTION("""COMPUTED_VALUE"""),"Grant")</f>
        <v>Grant</v>
      </c>
      <c r="F7857" t="str">
        <f>IFERROR(__xludf.DUMMYFUNCTION("""COMPUTED_VALUE"""),"")</f>
        <v/>
      </c>
    </row>
    <row r="7858">
      <c r="D7858" t="str">
        <f>IFERROR(__xludf.DUMMYFUNCTION("""COMPUTED_VALUE"""),"Hall")</f>
        <v>Hall</v>
      </c>
      <c r="E7858" t="str">
        <f>IFERROR(__xludf.DUMMYFUNCTION("""COMPUTED_VALUE"""),"Daeshon")</f>
        <v>Daeshon</v>
      </c>
      <c r="F7858" t="str">
        <f>IFERROR(__xludf.DUMMYFUNCTION("""COMPUTED_VALUE"""),"")</f>
        <v/>
      </c>
    </row>
    <row r="7859">
      <c r="D7859" t="str">
        <f>IFERROR(__xludf.DUMMYFUNCTION("""COMPUTED_VALUE"""),"Hall")</f>
        <v>Hall</v>
      </c>
      <c r="E7859" t="str">
        <f>IFERROR(__xludf.DUMMYFUNCTION("""COMPUTED_VALUE"""),"Deiondre")</f>
        <v>Deiondre</v>
      </c>
      <c r="F7859" t="str">
        <f>IFERROR(__xludf.DUMMYFUNCTION("""COMPUTED_VALUE"""),"")</f>
        <v/>
      </c>
    </row>
    <row r="7860">
      <c r="D7860" t="str">
        <f>IFERROR(__xludf.DUMMYFUNCTION("""COMPUTED_VALUE"""),"Hall")</f>
        <v>Hall</v>
      </c>
      <c r="E7860" t="str">
        <f>IFERROR(__xludf.DUMMYFUNCTION("""COMPUTED_VALUE"""),"Emanuel")</f>
        <v>Emanuel</v>
      </c>
      <c r="F7860" t="str">
        <f>IFERROR(__xludf.DUMMYFUNCTION("""COMPUTED_VALUE"""),"")</f>
        <v/>
      </c>
    </row>
    <row r="7861">
      <c r="D7861" t="str">
        <f>IFERROR(__xludf.DUMMYFUNCTION("""COMPUTED_VALUE"""),"Hall")</f>
        <v>Hall</v>
      </c>
      <c r="E7861" t="str">
        <f>IFERROR(__xludf.DUMMYFUNCTION("""COMPUTED_VALUE"""),"Marvin")</f>
        <v>Marvin</v>
      </c>
      <c r="F7861" t="str">
        <f>IFERROR(__xludf.DUMMYFUNCTION("""COMPUTED_VALUE"""),"")</f>
        <v/>
      </c>
    </row>
    <row r="7862">
      <c r="D7862" t="str">
        <f>IFERROR(__xludf.DUMMYFUNCTION("""COMPUTED_VALUE"""),"Hall")</f>
        <v>Hall</v>
      </c>
      <c r="E7862" t="str">
        <f>IFERROR(__xludf.DUMMYFUNCTION("""COMPUTED_VALUE"""),"PJ")</f>
        <v>PJ</v>
      </c>
      <c r="F7862" t="str">
        <f>IFERROR(__xludf.DUMMYFUNCTION("""COMPUTED_VALUE"""),"")</f>
        <v/>
      </c>
    </row>
    <row r="7863">
      <c r="D7863" t="str">
        <f>IFERROR(__xludf.DUMMYFUNCTION("""COMPUTED_VALUE"""),"Ham")</f>
        <v>Ham</v>
      </c>
      <c r="E7863" t="str">
        <f>IFERROR(__xludf.DUMMYFUNCTION("""COMPUTED_VALUE"""),"CJ")</f>
        <v>CJ</v>
      </c>
      <c r="F7863" t="str">
        <f>IFERROR(__xludf.DUMMYFUNCTION("""COMPUTED_VALUE"""),"")</f>
        <v/>
      </c>
    </row>
    <row r="7864">
      <c r="D7864" t="str">
        <f>IFERROR(__xludf.DUMMYFUNCTION("""COMPUTED_VALUE"""),"Hamilton")</f>
        <v>Hamilton</v>
      </c>
      <c r="E7864" t="str">
        <f>IFERROR(__xludf.DUMMYFUNCTION("""COMPUTED_VALUE"""),"Antonio")</f>
        <v>Antonio</v>
      </c>
      <c r="F7864" t="str">
        <f>IFERROR(__xludf.DUMMYFUNCTION("""COMPUTED_VALUE"""),"")</f>
        <v/>
      </c>
    </row>
    <row r="7865">
      <c r="D7865" t="str">
        <f>IFERROR(__xludf.DUMMYFUNCTION("""COMPUTED_VALUE"""),"Hamilton")</f>
        <v>Hamilton</v>
      </c>
      <c r="E7865" t="str">
        <f>IFERROR(__xludf.DUMMYFUNCTION("""COMPUTED_VALUE"""),"DaeSean")</f>
        <v>DaeSean</v>
      </c>
      <c r="F7865" t="str">
        <f>IFERROR(__xludf.DUMMYFUNCTION("""COMPUTED_VALUE"""),"")</f>
        <v/>
      </c>
    </row>
    <row r="7866">
      <c r="D7866" t="str">
        <f>IFERROR(__xludf.DUMMYFUNCTION("""COMPUTED_VALUE"""),"Hamilton")</f>
        <v>Hamilton</v>
      </c>
      <c r="E7866" t="str">
        <f>IFERROR(__xludf.DUMMYFUNCTION("""COMPUTED_VALUE"""),"Justin")</f>
        <v>Justin</v>
      </c>
      <c r="F7866" t="str">
        <f>IFERROR(__xludf.DUMMYFUNCTION("""COMPUTED_VALUE"""),"")</f>
        <v/>
      </c>
    </row>
    <row r="7867">
      <c r="D7867" t="str">
        <f>IFERROR(__xludf.DUMMYFUNCTION("""COMPUTED_VALUE"""),"Hamilton")</f>
        <v>Hamilton</v>
      </c>
      <c r="E7867" t="str">
        <f>IFERROR(__xludf.DUMMYFUNCTION("""COMPUTED_VALUE"""),"Woodrow")</f>
        <v>Woodrow</v>
      </c>
      <c r="F7867" t="str">
        <f>IFERROR(__xludf.DUMMYFUNCTION("""COMPUTED_VALUE"""),"")</f>
        <v/>
      </c>
    </row>
    <row r="7868">
      <c r="D7868" t="str">
        <f>IFERROR(__xludf.DUMMYFUNCTION("""COMPUTED_VALUE"""),"Hampton")</f>
        <v>Hampton</v>
      </c>
      <c r="E7868" t="str">
        <f>IFERROR(__xludf.DUMMYFUNCTION("""COMPUTED_VALUE"""),"Saquan")</f>
        <v>Saquan</v>
      </c>
      <c r="F7868" t="str">
        <f>IFERROR(__xludf.DUMMYFUNCTION("""COMPUTED_VALUE"""),"")</f>
        <v/>
      </c>
    </row>
    <row r="7869">
      <c r="D7869" t="str">
        <f>IFERROR(__xludf.DUMMYFUNCTION("""COMPUTED_VALUE"""),"Hand")</f>
        <v>Hand</v>
      </c>
      <c r="E7869" t="str">
        <f>IFERROR(__xludf.DUMMYFUNCTION("""COMPUTED_VALUE"""),"DaShawn")</f>
        <v>DaShawn</v>
      </c>
      <c r="F7869" t="str">
        <f>IFERROR(__xludf.DUMMYFUNCTION("""COMPUTED_VALUE"""),"")</f>
        <v/>
      </c>
    </row>
    <row r="7870">
      <c r="D7870" t="str">
        <f>IFERROR(__xludf.DUMMYFUNCTION("""COMPUTED_VALUE"""),"Hankins")</f>
        <v>Hankins</v>
      </c>
      <c r="E7870" t="str">
        <f>IFERROR(__xludf.DUMMYFUNCTION("""COMPUTED_VALUE"""),"Johnathan")</f>
        <v>Johnathan</v>
      </c>
      <c r="F7870" t="str">
        <f>IFERROR(__xludf.DUMMYFUNCTION("""COMPUTED_VALUE"""),"")</f>
        <v/>
      </c>
    </row>
    <row r="7871">
      <c r="D7871" t="str">
        <f>IFERROR(__xludf.DUMMYFUNCTION("""COMPUTED_VALUE"""),"Hardee")</f>
        <v>Hardee</v>
      </c>
      <c r="E7871" t="str">
        <f>IFERROR(__xludf.DUMMYFUNCTION("""COMPUTED_VALUE"""),"Justin")</f>
        <v>Justin</v>
      </c>
      <c r="F7871" t="str">
        <f>IFERROR(__xludf.DUMMYFUNCTION("""COMPUTED_VALUE"""),"")</f>
        <v/>
      </c>
    </row>
    <row r="7872">
      <c r="D7872" t="str">
        <f>IFERROR(__xludf.DUMMYFUNCTION("""COMPUTED_VALUE"""),"Hardman")</f>
        <v>Hardman</v>
      </c>
      <c r="E7872" t="str">
        <f>IFERROR(__xludf.DUMMYFUNCTION("""COMPUTED_VALUE"""),"Mecole")</f>
        <v>Mecole</v>
      </c>
      <c r="F7872" t="str">
        <f>IFERROR(__xludf.DUMMYFUNCTION("""COMPUTED_VALUE"""),"")</f>
        <v/>
      </c>
    </row>
    <row r="7873">
      <c r="D7873" t="str">
        <f>IFERROR(__xludf.DUMMYFUNCTION("""COMPUTED_VALUE"""),"Hardy")</f>
        <v>Hardy</v>
      </c>
      <c r="E7873" t="str">
        <f>IFERROR(__xludf.DUMMYFUNCTION("""COMPUTED_VALUE"""),"Justin")</f>
        <v>Justin</v>
      </c>
      <c r="F7873" t="str">
        <f>IFERROR(__xludf.DUMMYFUNCTION("""COMPUTED_VALUE"""),"")</f>
        <v/>
      </c>
    </row>
    <row r="7874">
      <c r="D7874" t="str">
        <f>IFERROR(__xludf.DUMMYFUNCTION("""COMPUTED_VALUE"""),"Hargrave")</f>
        <v>Hargrave</v>
      </c>
      <c r="E7874" t="str">
        <f>IFERROR(__xludf.DUMMYFUNCTION("""COMPUTED_VALUE"""),"Javon")</f>
        <v>Javon</v>
      </c>
      <c r="F7874" t="str">
        <f>IFERROR(__xludf.DUMMYFUNCTION("""COMPUTED_VALUE"""),"")</f>
        <v/>
      </c>
    </row>
    <row r="7875">
      <c r="D7875" t="str">
        <f>IFERROR(__xludf.DUMMYFUNCTION("""COMPUTED_VALUE"""),"Hargreaves")</f>
        <v>Hargreaves</v>
      </c>
      <c r="E7875" t="str">
        <f>IFERROR(__xludf.DUMMYFUNCTION("""COMPUTED_VALUE"""),"Vernon")</f>
        <v>Vernon</v>
      </c>
      <c r="F7875" t="str">
        <f>IFERROR(__xludf.DUMMYFUNCTION("""COMPUTED_VALUE"""),"")</f>
        <v/>
      </c>
    </row>
    <row r="7876">
      <c r="D7876" t="str">
        <f>IFERROR(__xludf.DUMMYFUNCTION("""COMPUTED_VALUE"""),"Harlow")</f>
        <v>Harlow</v>
      </c>
      <c r="E7876" t="str">
        <f>IFERROR(__xludf.DUMMYFUNCTION("""COMPUTED_VALUE"""),"Sean")</f>
        <v>Sean</v>
      </c>
      <c r="F7876" t="str">
        <f>IFERROR(__xludf.DUMMYFUNCTION("""COMPUTED_VALUE"""),"")</f>
        <v/>
      </c>
    </row>
    <row r="7877">
      <c r="D7877" t="str">
        <f>IFERROR(__xludf.DUMMYFUNCTION("""COMPUTED_VALUE"""),"Harmon")</f>
        <v>Harmon</v>
      </c>
      <c r="E7877" t="str">
        <f>IFERROR(__xludf.DUMMYFUNCTION("""COMPUTED_VALUE"""),"Duron")</f>
        <v>Duron</v>
      </c>
      <c r="F7877" t="str">
        <f>IFERROR(__xludf.DUMMYFUNCTION("""COMPUTED_VALUE"""),"")</f>
        <v/>
      </c>
    </row>
    <row r="7878">
      <c r="D7878" t="str">
        <f>IFERROR(__xludf.DUMMYFUNCTION("""COMPUTED_VALUE"""),"Harmon")</f>
        <v>Harmon</v>
      </c>
      <c r="E7878" t="str">
        <f>IFERROR(__xludf.DUMMYFUNCTION("""COMPUTED_VALUE"""),"Kelvin")</f>
        <v>Kelvin</v>
      </c>
      <c r="F7878" t="str">
        <f>IFERROR(__xludf.DUMMYFUNCTION("""COMPUTED_VALUE"""),"")</f>
        <v/>
      </c>
    </row>
    <row r="7879">
      <c r="D7879" t="str">
        <f>IFERROR(__xludf.DUMMYFUNCTION("""COMPUTED_VALUE"""),"Harold")</f>
        <v>Harold</v>
      </c>
      <c r="E7879" t="str">
        <f>IFERROR(__xludf.DUMMYFUNCTION("""COMPUTED_VALUE"""),"Eli")</f>
        <v>Eli</v>
      </c>
      <c r="F7879" t="str">
        <f>IFERROR(__xludf.DUMMYFUNCTION("""COMPUTED_VALUE"""),"")</f>
        <v/>
      </c>
    </row>
    <row r="7880">
      <c r="D7880" t="str">
        <f>IFERROR(__xludf.DUMMYFUNCTION("""COMPUTED_VALUE"""),"Harris")</f>
        <v>Harris</v>
      </c>
      <c r="E7880" t="str">
        <f>IFERROR(__xludf.DUMMYFUNCTION("""COMPUTED_VALUE"""),"Anthony")</f>
        <v>Anthony</v>
      </c>
      <c r="F7880" t="str">
        <f>IFERROR(__xludf.DUMMYFUNCTION("""COMPUTED_VALUE"""),"")</f>
        <v/>
      </c>
    </row>
    <row r="7881">
      <c r="D7881" t="str">
        <f>IFERROR(__xludf.DUMMYFUNCTION("""COMPUTED_VALUE"""),"Harris")</f>
        <v>Harris</v>
      </c>
      <c r="E7881" t="str">
        <f>IFERROR(__xludf.DUMMYFUNCTION("""COMPUTED_VALUE"""),"Charles")</f>
        <v>Charles</v>
      </c>
      <c r="F7881" t="str">
        <f>IFERROR(__xludf.DUMMYFUNCTION("""COMPUTED_VALUE"""),"")</f>
        <v/>
      </c>
    </row>
    <row r="7882">
      <c r="D7882" t="str">
        <f>IFERROR(__xludf.DUMMYFUNCTION("""COMPUTED_VALUE"""),"Harris")</f>
        <v>Harris</v>
      </c>
      <c r="E7882" t="str">
        <f>IFERROR(__xludf.DUMMYFUNCTION("""COMPUTED_VALUE"""),"Chris")</f>
        <v>Chris</v>
      </c>
      <c r="F7882" t="str">
        <f>IFERROR(__xludf.DUMMYFUNCTION("""COMPUTED_VALUE"""),"")</f>
        <v/>
      </c>
    </row>
    <row r="7883">
      <c r="D7883" t="str">
        <f>IFERROR(__xludf.DUMMYFUNCTION("""COMPUTED_VALUE"""),"Harris")</f>
        <v>Harris</v>
      </c>
      <c r="E7883" t="str">
        <f>IFERROR(__xludf.DUMMYFUNCTION("""COMPUTED_VALUE"""),"Clark")</f>
        <v>Clark</v>
      </c>
      <c r="F7883" t="str">
        <f>IFERROR(__xludf.DUMMYFUNCTION("""COMPUTED_VALUE"""),"")</f>
        <v/>
      </c>
    </row>
    <row r="7884">
      <c r="D7884" t="str">
        <f>IFERROR(__xludf.DUMMYFUNCTION("""COMPUTED_VALUE"""),"Harris")</f>
        <v>Harris</v>
      </c>
      <c r="E7884" t="str">
        <f>IFERROR(__xludf.DUMMYFUNCTION("""COMPUTED_VALUE"""),"Damien")</f>
        <v>Damien</v>
      </c>
      <c r="F7884" t="str">
        <f>IFERROR(__xludf.DUMMYFUNCTION("""COMPUTED_VALUE"""),"")</f>
        <v/>
      </c>
    </row>
    <row r="7885">
      <c r="D7885" t="str">
        <f>IFERROR(__xludf.DUMMYFUNCTION("""COMPUTED_VALUE"""),"Harris")</f>
        <v>Harris</v>
      </c>
      <c r="E7885" t="str">
        <f>IFERROR(__xludf.DUMMYFUNCTION("""COMPUTED_VALUE"""),"Davontae")</f>
        <v>Davontae</v>
      </c>
      <c r="F7885" t="str">
        <f>IFERROR(__xludf.DUMMYFUNCTION("""COMPUTED_VALUE"""),"")</f>
        <v/>
      </c>
    </row>
    <row r="7886">
      <c r="D7886" t="str">
        <f>IFERROR(__xludf.DUMMYFUNCTION("""COMPUTED_VALUE"""),"Harris")</f>
        <v>Harris</v>
      </c>
      <c r="E7886" t="str">
        <f>IFERROR(__xludf.DUMMYFUNCTION("""COMPUTED_VALUE"""),"Demetrius")</f>
        <v>Demetrius</v>
      </c>
      <c r="F7886" t="str">
        <f>IFERROR(__xludf.DUMMYFUNCTION("""COMPUTED_VALUE"""),"")</f>
        <v/>
      </c>
    </row>
    <row r="7887">
      <c r="D7887" t="str">
        <f>IFERROR(__xludf.DUMMYFUNCTION("""COMPUTED_VALUE"""),"Harris")</f>
        <v>Harris</v>
      </c>
      <c r="E7887" t="str">
        <f>IFERROR(__xludf.DUMMYFUNCTION("""COMPUTED_VALUE"""),"Demone")</f>
        <v>Demone</v>
      </c>
      <c r="F7887" t="str">
        <f>IFERROR(__xludf.DUMMYFUNCTION("""COMPUTED_VALUE"""),"")</f>
        <v/>
      </c>
    </row>
    <row r="7888">
      <c r="D7888" t="str">
        <f>IFERROR(__xludf.DUMMYFUNCTION("""COMPUTED_VALUE"""),"Harris")</f>
        <v>Harris</v>
      </c>
      <c r="E7888" t="str">
        <f>IFERROR(__xludf.DUMMYFUNCTION("""COMPUTED_VALUE"""),"Dwayne")</f>
        <v>Dwayne</v>
      </c>
      <c r="F7888" t="str">
        <f>IFERROR(__xludf.DUMMYFUNCTION("""COMPUTED_VALUE"""),"")</f>
        <v/>
      </c>
    </row>
    <row r="7889">
      <c r="D7889" t="str">
        <f>IFERROR(__xludf.DUMMYFUNCTION("""COMPUTED_VALUE"""),"Harris")</f>
        <v>Harris</v>
      </c>
      <c r="E7889" t="str">
        <f>IFERROR(__xludf.DUMMYFUNCTION("""COMPUTED_VALUE"""),"Erik")</f>
        <v>Erik</v>
      </c>
      <c r="F7889" t="str">
        <f>IFERROR(__xludf.DUMMYFUNCTION("""COMPUTED_VALUE"""),"")</f>
        <v/>
      </c>
    </row>
    <row r="7890">
      <c r="D7890" t="str">
        <f>IFERROR(__xludf.DUMMYFUNCTION("""COMPUTED_VALUE"""),"Harris")</f>
        <v>Harris</v>
      </c>
      <c r="E7890" t="str">
        <f>IFERROR(__xludf.DUMMYFUNCTION("""COMPUTED_VALUE"""),"Josh")</f>
        <v>Josh</v>
      </c>
      <c r="F7890" t="str">
        <f>IFERROR(__xludf.DUMMYFUNCTION("""COMPUTED_VALUE"""),"")</f>
        <v/>
      </c>
    </row>
    <row r="7891">
      <c r="D7891" t="str">
        <f>IFERROR(__xludf.DUMMYFUNCTION("""COMPUTED_VALUE"""),"Harris")</f>
        <v>Harris</v>
      </c>
      <c r="E7891" t="str">
        <f>IFERROR(__xludf.DUMMYFUNCTION("""COMPUTED_VALUE"""),"Marcell")</f>
        <v>Marcell</v>
      </c>
      <c r="F7891" t="str">
        <f>IFERROR(__xludf.DUMMYFUNCTION("""COMPUTED_VALUE"""),"")</f>
        <v/>
      </c>
    </row>
    <row r="7892">
      <c r="D7892" t="str">
        <f>IFERROR(__xludf.DUMMYFUNCTION("""COMPUTED_VALUE"""),"Harris")</f>
        <v>Harris</v>
      </c>
      <c r="E7892" t="str">
        <f>IFERROR(__xludf.DUMMYFUNCTION("""COMPUTED_VALUE"""),"Maurice")</f>
        <v>Maurice</v>
      </c>
      <c r="F7892" t="str">
        <f>IFERROR(__xludf.DUMMYFUNCTION("""COMPUTED_VALUE"""),"")</f>
        <v/>
      </c>
    </row>
    <row r="7893">
      <c r="D7893" t="str">
        <f>IFERROR(__xludf.DUMMYFUNCTION("""COMPUTED_VALUE"""),"Harris")</f>
        <v>Harris</v>
      </c>
      <c r="E7893" t="str">
        <f>IFERROR(__xludf.DUMMYFUNCTION("""COMPUTED_VALUE"""),"Nigel")</f>
        <v>Nigel</v>
      </c>
      <c r="F7893" t="str">
        <f>IFERROR(__xludf.DUMMYFUNCTION("""COMPUTED_VALUE"""),"")</f>
        <v/>
      </c>
    </row>
    <row r="7894">
      <c r="D7894" t="str">
        <f>IFERROR(__xludf.DUMMYFUNCTION("""COMPUTED_VALUE"""),"Harris")</f>
        <v>Harris</v>
      </c>
      <c r="E7894" t="str">
        <f>IFERROR(__xludf.DUMMYFUNCTION("""COMPUTED_VALUE"""),"Shelby")</f>
        <v>Shelby</v>
      </c>
      <c r="F7894" t="str">
        <f>IFERROR(__xludf.DUMMYFUNCTION("""COMPUTED_VALUE"""),"")</f>
        <v/>
      </c>
    </row>
    <row r="7895">
      <c r="D7895" t="str">
        <f>IFERROR(__xludf.DUMMYFUNCTION("""COMPUTED_VALUE"""),"Harris")</f>
        <v>Harris</v>
      </c>
      <c r="E7895" t="str">
        <f>IFERROR(__xludf.DUMMYFUNCTION("""COMPUTED_VALUE"""),"Tim")</f>
        <v>Tim</v>
      </c>
      <c r="F7895" t="str">
        <f>IFERROR(__xludf.DUMMYFUNCTION("""COMPUTED_VALUE"""),"")</f>
        <v/>
      </c>
    </row>
    <row r="7896">
      <c r="D7896" t="str">
        <f>IFERROR(__xludf.DUMMYFUNCTION("""COMPUTED_VALUE"""),"Harris")</f>
        <v>Harris</v>
      </c>
      <c r="E7896" t="str">
        <f>IFERROR(__xludf.DUMMYFUNCTION("""COMPUTED_VALUE"""),"Will")</f>
        <v>Will</v>
      </c>
      <c r="F7896" t="str">
        <f>IFERROR(__xludf.DUMMYFUNCTION("""COMPUTED_VALUE"""),"")</f>
        <v/>
      </c>
    </row>
    <row r="7897">
      <c r="D7897" t="str">
        <f>IFERROR(__xludf.DUMMYFUNCTION("""COMPUTED_VALUE"""),"Harrison")</f>
        <v>Harrison</v>
      </c>
      <c r="E7897" t="str">
        <f>IFERROR(__xludf.DUMMYFUNCTION("""COMPUTED_VALUE"""),"Damon")</f>
        <v>Damon</v>
      </c>
      <c r="F7897" t="str">
        <f>IFERROR(__xludf.DUMMYFUNCTION("""COMPUTED_VALUE"""),"")</f>
        <v/>
      </c>
    </row>
    <row r="7898">
      <c r="D7898" t="str">
        <f>IFERROR(__xludf.DUMMYFUNCTION("""COMPUTED_VALUE"""),"Harrison")</f>
        <v>Harrison</v>
      </c>
      <c r="E7898" t="str">
        <f>IFERROR(__xludf.DUMMYFUNCTION("""COMPUTED_VALUE"""),"Jonotthan")</f>
        <v>Jonotthan</v>
      </c>
      <c r="F7898" t="str">
        <f>IFERROR(__xludf.DUMMYFUNCTION("""COMPUTED_VALUE"""),"")</f>
        <v/>
      </c>
    </row>
    <row r="7899">
      <c r="D7899" t="str">
        <f>IFERROR(__xludf.DUMMYFUNCTION("""COMPUTED_VALUE"""),"Harrison")</f>
        <v>Harrison</v>
      </c>
      <c r="E7899" t="str">
        <f>IFERROR(__xludf.DUMMYFUNCTION("""COMPUTED_VALUE"""),"Ronnie")</f>
        <v>Ronnie</v>
      </c>
      <c r="F7899" t="str">
        <f>IFERROR(__xludf.DUMMYFUNCTION("""COMPUTED_VALUE"""),"")</f>
        <v/>
      </c>
    </row>
    <row r="7900">
      <c r="D7900" t="str">
        <f>IFERROR(__xludf.DUMMYFUNCTION("""COMPUTED_VALUE"""),"Harry")</f>
        <v>Harry</v>
      </c>
      <c r="E7900" t="str">
        <f>IFERROR(__xludf.DUMMYFUNCTION("""COMPUTED_VALUE"""),"NKeal")</f>
        <v>NKeal</v>
      </c>
      <c r="F7900" t="str">
        <f>IFERROR(__xludf.DUMMYFUNCTION("""COMPUTED_VALUE"""),"")</f>
        <v/>
      </c>
    </row>
    <row r="7901">
      <c r="D7901" t="str">
        <f>IFERROR(__xludf.DUMMYFUNCTION("""COMPUTED_VALUE"""),"Hart")</f>
        <v>Hart</v>
      </c>
      <c r="E7901" t="str">
        <f>IFERROR(__xludf.DUMMYFUNCTION("""COMPUTED_VALUE"""),"Bobby")</f>
        <v>Bobby</v>
      </c>
      <c r="F7901" t="str">
        <f>IFERROR(__xludf.DUMMYFUNCTION("""COMPUTED_VALUE"""),"")</f>
        <v/>
      </c>
    </row>
    <row r="7902">
      <c r="D7902" t="str">
        <f>IFERROR(__xludf.DUMMYFUNCTION("""COMPUTED_VALUE"""),"Harvey-Clemons")</f>
        <v>Harvey-Clemons</v>
      </c>
      <c r="E7902" t="str">
        <f>IFERROR(__xludf.DUMMYFUNCTION("""COMPUTED_VALUE"""),"Josh")</f>
        <v>Josh</v>
      </c>
      <c r="F7902" t="str">
        <f>IFERROR(__xludf.DUMMYFUNCTION("""COMPUTED_VALUE"""),"")</f>
        <v/>
      </c>
    </row>
    <row r="7903">
      <c r="D7903" t="str">
        <f>IFERROR(__xludf.DUMMYFUNCTION("""COMPUTED_VALUE"""),"Haskins")</f>
        <v>Haskins</v>
      </c>
      <c r="E7903" t="str">
        <f>IFERROR(__xludf.DUMMYFUNCTION("""COMPUTED_VALUE"""),"Dwayne")</f>
        <v>Dwayne</v>
      </c>
      <c r="F7903" t="str">
        <f>IFERROR(__xludf.DUMMYFUNCTION("""COMPUTED_VALUE"""),"")</f>
        <v/>
      </c>
    </row>
    <row r="7904">
      <c r="D7904" t="str">
        <f>IFERROR(__xludf.DUMMYFUNCTION("""COMPUTED_VALUE"""),"Hassenauer")</f>
        <v>Hassenauer</v>
      </c>
      <c r="E7904" t="str">
        <f>IFERROR(__xludf.DUMMYFUNCTION("""COMPUTED_VALUE"""),"JC")</f>
        <v>JC</v>
      </c>
      <c r="F7904" t="str">
        <f>IFERROR(__xludf.DUMMYFUNCTION("""COMPUTED_VALUE"""),"")</f>
        <v/>
      </c>
    </row>
    <row r="7905">
      <c r="D7905" t="str">
        <f>IFERROR(__xludf.DUMMYFUNCTION("""COMPUTED_VALUE"""),"Hatcher")</f>
        <v>Hatcher</v>
      </c>
      <c r="E7905" t="str">
        <f>IFERROR(__xludf.DUMMYFUNCTION("""COMPUTED_VALUE"""),"Keon")</f>
        <v>Keon</v>
      </c>
      <c r="F7905" t="str">
        <f>IFERROR(__xludf.DUMMYFUNCTION("""COMPUTED_VALUE"""),"")</f>
        <v/>
      </c>
    </row>
    <row r="7906">
      <c r="D7906" t="str">
        <f>IFERROR(__xludf.DUMMYFUNCTION("""COMPUTED_VALUE"""),"Hatfield")</f>
        <v>Hatfield</v>
      </c>
      <c r="E7906" t="str">
        <f>IFERROR(__xludf.DUMMYFUNCTION("""COMPUTED_VALUE"""),"Dominique")</f>
        <v>Dominique</v>
      </c>
      <c r="F7906" t="str">
        <f>IFERROR(__xludf.DUMMYFUNCTION("""COMPUTED_VALUE"""),"")</f>
        <v/>
      </c>
    </row>
    <row r="7907">
      <c r="D7907" t="str">
        <f>IFERROR(__xludf.DUMMYFUNCTION("""COMPUTED_VALUE"""),"Hauschka")</f>
        <v>Hauschka</v>
      </c>
      <c r="E7907" t="str">
        <f>IFERROR(__xludf.DUMMYFUNCTION("""COMPUTED_VALUE"""),"Stephen")</f>
        <v>Stephen</v>
      </c>
      <c r="F7907" t="str">
        <f>IFERROR(__xludf.DUMMYFUNCTION("""COMPUTED_VALUE"""),"")</f>
        <v/>
      </c>
    </row>
    <row r="7908">
      <c r="D7908" t="str">
        <f>IFERROR(__xludf.DUMMYFUNCTION("""COMPUTED_VALUE"""),"Havenstein")</f>
        <v>Havenstein</v>
      </c>
      <c r="E7908" t="str">
        <f>IFERROR(__xludf.DUMMYFUNCTION("""COMPUTED_VALUE"""),"Rob")</f>
        <v>Rob</v>
      </c>
      <c r="F7908" t="str">
        <f>IFERROR(__xludf.DUMMYFUNCTION("""COMPUTED_VALUE"""),"")</f>
        <v/>
      </c>
    </row>
    <row r="7909">
      <c r="D7909" t="str">
        <f>IFERROR(__xludf.DUMMYFUNCTION("""COMPUTED_VALUE"""),"Hawkins")</f>
        <v>Hawkins</v>
      </c>
      <c r="E7909" t="str">
        <f>IFERROR(__xludf.DUMMYFUNCTION("""COMPUTED_VALUE"""),"Jerald")</f>
        <v>Jerald</v>
      </c>
      <c r="F7909" t="str">
        <f>IFERROR(__xludf.DUMMYFUNCTION("""COMPUTED_VALUE"""),"")</f>
        <v/>
      </c>
    </row>
    <row r="7910">
      <c r="D7910" t="str">
        <f>IFERROR(__xludf.DUMMYFUNCTION("""COMPUTED_VALUE"""),"Hawkins")</f>
        <v>Hawkins</v>
      </c>
      <c r="E7910" t="str">
        <f>IFERROR(__xludf.DUMMYFUNCTION("""COMPUTED_VALUE"""),"Josh")</f>
        <v>Josh</v>
      </c>
      <c r="F7910" t="str">
        <f>IFERROR(__xludf.DUMMYFUNCTION("""COMPUTED_VALUE"""),"")</f>
        <v/>
      </c>
    </row>
    <row r="7911">
      <c r="D7911" t="str">
        <f>IFERROR(__xludf.DUMMYFUNCTION("""COMPUTED_VALUE"""),"Hayden")</f>
        <v>Hayden</v>
      </c>
      <c r="E7911" t="str">
        <f>IFERROR(__xludf.DUMMYFUNCTION("""COMPUTED_VALUE"""),"DJ")</f>
        <v>DJ</v>
      </c>
      <c r="F7911" t="str">
        <f>IFERROR(__xludf.DUMMYFUNCTION("""COMPUTED_VALUE"""),"")</f>
        <v/>
      </c>
    </row>
    <row r="7912">
      <c r="D7912" t="str">
        <f>IFERROR(__xludf.DUMMYFUNCTION("""COMPUTED_VALUE"""),"Haynes")</f>
        <v>Haynes</v>
      </c>
      <c r="E7912" t="str">
        <f>IFERROR(__xludf.DUMMYFUNCTION("""COMPUTED_VALUE"""),"Marquis")</f>
        <v>Marquis</v>
      </c>
      <c r="F7912" t="str">
        <f>IFERROR(__xludf.DUMMYFUNCTION("""COMPUTED_VALUE"""),"")</f>
        <v/>
      </c>
    </row>
    <row r="7913">
      <c r="D7913" t="str">
        <f>IFERROR(__xludf.DUMMYFUNCTION("""COMPUTED_VALUE"""),"Haynes")</f>
        <v>Haynes</v>
      </c>
      <c r="E7913" t="str">
        <f>IFERROR(__xludf.DUMMYFUNCTION("""COMPUTED_VALUE"""),"Phil")</f>
        <v>Phil</v>
      </c>
      <c r="F7913" t="str">
        <f>IFERROR(__xludf.DUMMYFUNCTION("""COMPUTED_VALUE"""),"")</f>
        <v/>
      </c>
    </row>
    <row r="7914">
      <c r="D7914" t="str">
        <f>IFERROR(__xludf.DUMMYFUNCTION("""COMPUTED_VALUE"""),"Hayward")</f>
        <v>Hayward</v>
      </c>
      <c r="E7914" t="str">
        <f>IFERROR(__xludf.DUMMYFUNCTION("""COMPUTED_VALUE"""),"Casey")</f>
        <v>Casey</v>
      </c>
      <c r="F7914" t="str">
        <f>IFERROR(__xludf.DUMMYFUNCTION("""COMPUTED_VALUE"""),"")</f>
        <v/>
      </c>
    </row>
    <row r="7915">
      <c r="D7915" t="str">
        <f>IFERROR(__xludf.DUMMYFUNCTION("""COMPUTED_VALUE"""),"Hearn")</f>
        <v>Hearn</v>
      </c>
      <c r="E7915" t="str">
        <f>IFERROR(__xludf.DUMMYFUNCTION("""COMPUTED_VALUE"""),"Taylor")</f>
        <v>Taylor</v>
      </c>
      <c r="F7915" t="str">
        <f>IFERROR(__xludf.DUMMYFUNCTION("""COMPUTED_VALUE"""),"")</f>
        <v/>
      </c>
    </row>
    <row r="7916">
      <c r="D7916" t="str">
        <f>IFERROR(__xludf.DUMMYFUNCTION("""COMPUTED_VALUE"""),"Heath")</f>
        <v>Heath</v>
      </c>
      <c r="E7916" t="str">
        <f>IFERROR(__xludf.DUMMYFUNCTION("""COMPUTED_VALUE"""),"Jeff")</f>
        <v>Jeff</v>
      </c>
      <c r="F7916" t="str">
        <f>IFERROR(__xludf.DUMMYFUNCTION("""COMPUTED_VALUE"""),"")</f>
        <v/>
      </c>
    </row>
    <row r="7917">
      <c r="D7917" t="str">
        <f>IFERROR(__xludf.DUMMYFUNCTION("""COMPUTED_VALUE"""),"Heath")</f>
        <v>Heath</v>
      </c>
      <c r="E7917" t="str">
        <f>IFERROR(__xludf.DUMMYFUNCTION("""COMPUTED_VALUE"""),"Joel")</f>
        <v>Joel</v>
      </c>
      <c r="F7917" t="str">
        <f>IFERROR(__xludf.DUMMYFUNCTION("""COMPUTED_VALUE"""),"")</f>
        <v/>
      </c>
    </row>
    <row r="7918">
      <c r="D7918" t="str">
        <f>IFERROR(__xludf.DUMMYFUNCTION("""COMPUTED_VALUE"""),"Hector")</f>
        <v>Hector</v>
      </c>
      <c r="E7918" t="str">
        <f>IFERROR(__xludf.DUMMYFUNCTION("""COMPUTED_VALUE"""),"Bruce")</f>
        <v>Bruce</v>
      </c>
      <c r="F7918" t="str">
        <f>IFERROR(__xludf.DUMMYFUNCTION("""COMPUTED_VALUE"""),"")</f>
        <v/>
      </c>
    </row>
    <row r="7919">
      <c r="D7919" t="str">
        <f>IFERROR(__xludf.DUMMYFUNCTION("""COMPUTED_VALUE"""),"Heinicke")</f>
        <v>Heinicke</v>
      </c>
      <c r="E7919" t="str">
        <f>IFERROR(__xludf.DUMMYFUNCTION("""COMPUTED_VALUE"""),"Taylor")</f>
        <v>Taylor</v>
      </c>
      <c r="F7919" t="str">
        <f>IFERROR(__xludf.DUMMYFUNCTION("""COMPUTED_VALUE"""),"")</f>
        <v/>
      </c>
    </row>
    <row r="7920">
      <c r="D7920" t="str">
        <f>IFERROR(__xludf.DUMMYFUNCTION("""COMPUTED_VALUE"""),"Hekker")</f>
        <v>Hekker</v>
      </c>
      <c r="E7920" t="str">
        <f>IFERROR(__xludf.DUMMYFUNCTION("""COMPUTED_VALUE"""),"Johnny")</f>
        <v>Johnny</v>
      </c>
      <c r="F7920" t="str">
        <f>IFERROR(__xludf.DUMMYFUNCTION("""COMPUTED_VALUE"""),"")</f>
        <v/>
      </c>
    </row>
    <row r="7921">
      <c r="D7921" t="str">
        <f>IFERROR(__xludf.DUMMYFUNCTION("""COMPUTED_VALUE"""),"Helm")</f>
        <v>Helm</v>
      </c>
      <c r="E7921" t="str">
        <f>IFERROR(__xludf.DUMMYFUNCTION("""COMPUTED_VALUE"""),"Daniel")</f>
        <v>Daniel</v>
      </c>
      <c r="F7921" t="str">
        <f>IFERROR(__xludf.DUMMYFUNCTION("""COMPUTED_VALUE"""),"")</f>
        <v/>
      </c>
    </row>
    <row r="7922">
      <c r="D7922" t="str">
        <f>IFERROR(__xludf.DUMMYFUNCTION("""COMPUTED_VALUE"""),"Hemingway")</f>
        <v>Hemingway</v>
      </c>
      <c r="E7922" t="str">
        <f>IFERROR(__xludf.DUMMYFUNCTION("""COMPUTED_VALUE"""),"Temarrick")</f>
        <v>Temarrick</v>
      </c>
      <c r="F7922" t="str">
        <f>IFERROR(__xludf.DUMMYFUNCTION("""COMPUTED_VALUE"""),"")</f>
        <v/>
      </c>
    </row>
    <row r="7923">
      <c r="D7923" t="str">
        <f>IFERROR(__xludf.DUMMYFUNCTION("""COMPUTED_VALUE"""),"Henderson")</f>
        <v>Henderson</v>
      </c>
      <c r="E7923" t="str">
        <f>IFERROR(__xludf.DUMMYFUNCTION("""COMPUTED_VALUE"""),"Darrell")</f>
        <v>Darrell</v>
      </c>
      <c r="F7923" t="str">
        <f>IFERROR(__xludf.DUMMYFUNCTION("""COMPUTED_VALUE"""),"")</f>
        <v/>
      </c>
    </row>
    <row r="7924">
      <c r="D7924" t="str">
        <f>IFERROR(__xludf.DUMMYFUNCTION("""COMPUTED_VALUE"""),"Henderson")</f>
        <v>Henderson</v>
      </c>
      <c r="E7924" t="str">
        <f>IFERROR(__xludf.DUMMYFUNCTION("""COMPUTED_VALUE"""),"DeAngelo")</f>
        <v>DeAngelo</v>
      </c>
      <c r="F7924" t="str">
        <f>IFERROR(__xludf.DUMMYFUNCTION("""COMPUTED_VALUE"""),"")</f>
        <v/>
      </c>
    </row>
    <row r="7925">
      <c r="D7925" t="str">
        <f>IFERROR(__xludf.DUMMYFUNCTION("""COMPUTED_VALUE"""),"Henderson")</f>
        <v>Henderson</v>
      </c>
      <c r="E7925" t="str">
        <f>IFERROR(__xludf.DUMMYFUNCTION("""COMPUTED_VALUE"""),"Quadree")</f>
        <v>Quadree</v>
      </c>
      <c r="F7925" t="str">
        <f>IFERROR(__xludf.DUMMYFUNCTION("""COMPUTED_VALUE"""),"")</f>
        <v/>
      </c>
    </row>
    <row r="7926">
      <c r="D7926" t="str">
        <f>IFERROR(__xludf.DUMMYFUNCTION("""COMPUTED_VALUE"""),"Henderson")</f>
        <v>Henderson</v>
      </c>
      <c r="E7926" t="str">
        <f>IFERROR(__xludf.DUMMYFUNCTION("""COMPUTED_VALUE"""),"Seantrel")</f>
        <v>Seantrel</v>
      </c>
      <c r="F7926" t="str">
        <f>IFERROR(__xludf.DUMMYFUNCTION("""COMPUTED_VALUE"""),"")</f>
        <v/>
      </c>
    </row>
    <row r="7927">
      <c r="D7927" t="str">
        <f>IFERROR(__xludf.DUMMYFUNCTION("""COMPUTED_VALUE"""),"Henderson")</f>
        <v>Henderson</v>
      </c>
      <c r="E7927" t="str">
        <f>IFERROR(__xludf.DUMMYFUNCTION("""COMPUTED_VALUE"""),"Trayvon")</f>
        <v>Trayvon</v>
      </c>
      <c r="F7927" t="str">
        <f>IFERROR(__xludf.DUMMYFUNCTION("""COMPUTED_VALUE"""),"")</f>
        <v/>
      </c>
    </row>
    <row r="7928">
      <c r="D7928" t="str">
        <f>IFERROR(__xludf.DUMMYFUNCTION("""COMPUTED_VALUE"""),"Hendrickson")</f>
        <v>Hendrickson</v>
      </c>
      <c r="E7928" t="str">
        <f>IFERROR(__xludf.DUMMYFUNCTION("""COMPUTED_VALUE"""),"Trey")</f>
        <v>Trey</v>
      </c>
      <c r="F7928" t="str">
        <f>IFERROR(__xludf.DUMMYFUNCTION("""COMPUTED_VALUE"""),"")</f>
        <v/>
      </c>
    </row>
    <row r="7929">
      <c r="D7929" t="str">
        <f>IFERROR(__xludf.DUMMYFUNCTION("""COMPUTED_VALUE"""),"Hendy")</f>
        <v>Hendy</v>
      </c>
      <c r="E7929" t="str">
        <f>IFERROR(__xludf.DUMMYFUNCTION("""COMPUTED_VALUE"""),"AJ")</f>
        <v>AJ</v>
      </c>
      <c r="F7929" t="str">
        <f>IFERROR(__xludf.DUMMYFUNCTION("""COMPUTED_VALUE"""),"")</f>
        <v/>
      </c>
    </row>
    <row r="7930">
      <c r="D7930" t="str">
        <f>IFERROR(__xludf.DUMMYFUNCTION("""COMPUTED_VALUE"""),"Henne")</f>
        <v>Henne</v>
      </c>
      <c r="E7930" t="str">
        <f>IFERROR(__xludf.DUMMYFUNCTION("""COMPUTED_VALUE"""),"Chad")</f>
        <v>Chad</v>
      </c>
      <c r="F7930" t="str">
        <f>IFERROR(__xludf.DUMMYFUNCTION("""COMPUTED_VALUE"""),"")</f>
        <v/>
      </c>
    </row>
    <row r="7931">
      <c r="D7931" t="str">
        <f>IFERROR(__xludf.DUMMYFUNCTION("""COMPUTED_VALUE"""),"Hennessy")</f>
        <v>Hennessy</v>
      </c>
      <c r="E7931" t="str">
        <f>IFERROR(__xludf.DUMMYFUNCTION("""COMPUTED_VALUE"""),"Thomas")</f>
        <v>Thomas</v>
      </c>
      <c r="F7931" t="str">
        <f>IFERROR(__xludf.DUMMYFUNCTION("""COMPUTED_VALUE"""),"")</f>
        <v/>
      </c>
    </row>
    <row r="7932">
      <c r="D7932" t="str">
        <f>IFERROR(__xludf.DUMMYFUNCTION("""COMPUTED_VALUE"""),"Henry")</f>
        <v>Henry</v>
      </c>
      <c r="E7932" t="str">
        <f>IFERROR(__xludf.DUMMYFUNCTION("""COMPUTED_VALUE"""),"Derrick")</f>
        <v>Derrick</v>
      </c>
      <c r="F7932" t="str">
        <f>IFERROR(__xludf.DUMMYFUNCTION("""COMPUTED_VALUE"""),"")</f>
        <v/>
      </c>
    </row>
    <row r="7933">
      <c r="D7933" t="str">
        <f>IFERROR(__xludf.DUMMYFUNCTION("""COMPUTED_VALUE"""),"Henry")</f>
        <v>Henry</v>
      </c>
      <c r="E7933" t="str">
        <f>IFERROR(__xludf.DUMMYFUNCTION("""COMPUTED_VALUE"""),"Hunter")</f>
        <v>Hunter</v>
      </c>
      <c r="F7933" t="str">
        <f>IFERROR(__xludf.DUMMYFUNCTION("""COMPUTED_VALUE"""),"")</f>
        <v/>
      </c>
    </row>
    <row r="7934">
      <c r="D7934" t="str">
        <f>IFERROR(__xludf.DUMMYFUNCTION("""COMPUTED_VALUE"""),"Henry")</f>
        <v>Henry</v>
      </c>
      <c r="E7934" t="str">
        <f>IFERROR(__xludf.DUMMYFUNCTION("""COMPUTED_VALUE"""),"Willie")</f>
        <v>Willie</v>
      </c>
      <c r="F7934" t="str">
        <f>IFERROR(__xludf.DUMMYFUNCTION("""COMPUTED_VALUE"""),"")</f>
        <v/>
      </c>
    </row>
    <row r="7935">
      <c r="D7935" t="str">
        <f>IFERROR(__xludf.DUMMYFUNCTION("""COMPUTED_VALUE"""),"Hernandez")</f>
        <v>Hernandez</v>
      </c>
      <c r="E7935" t="str">
        <f>IFERROR(__xludf.DUMMYFUNCTION("""COMPUTED_VALUE"""),"Will")</f>
        <v>Will</v>
      </c>
      <c r="F7935" t="str">
        <f>IFERROR(__xludf.DUMMYFUNCTION("""COMPUTED_VALUE"""),"")</f>
        <v/>
      </c>
    </row>
    <row r="7936">
      <c r="D7936" t="str">
        <f>IFERROR(__xludf.DUMMYFUNCTION("""COMPUTED_VALUE"""),"Herndon")</f>
        <v>Herndon</v>
      </c>
      <c r="E7936" t="str">
        <f>IFERROR(__xludf.DUMMYFUNCTION("""COMPUTED_VALUE"""),"Christopher")</f>
        <v>Christopher</v>
      </c>
      <c r="F7936" t="str">
        <f>IFERROR(__xludf.DUMMYFUNCTION("""COMPUTED_VALUE"""),"")</f>
        <v/>
      </c>
    </row>
    <row r="7937">
      <c r="D7937" t="str">
        <f>IFERROR(__xludf.DUMMYFUNCTION("""COMPUTED_VALUE"""),"Herndon")</f>
        <v>Herndon</v>
      </c>
      <c r="E7937" t="str">
        <f>IFERROR(__xludf.DUMMYFUNCTION("""COMPUTED_VALUE"""),"Tre")</f>
        <v>Tre</v>
      </c>
      <c r="F7937" t="str">
        <f>IFERROR(__xludf.DUMMYFUNCTION("""COMPUTED_VALUE"""),"")</f>
        <v/>
      </c>
    </row>
    <row r="7938">
      <c r="D7938" t="str">
        <f>IFERROR(__xludf.DUMMYFUNCTION("""COMPUTED_VALUE"""),"Hester")</f>
        <v>Hester</v>
      </c>
      <c r="E7938" t="str">
        <f>IFERROR(__xludf.DUMMYFUNCTION("""COMPUTED_VALUE"""),"Treyvon")</f>
        <v>Treyvon</v>
      </c>
      <c r="F7938" t="str">
        <f>IFERROR(__xludf.DUMMYFUNCTION("""COMPUTED_VALUE"""),"")</f>
        <v/>
      </c>
    </row>
    <row r="7939">
      <c r="D7939" t="str">
        <f>IFERROR(__xludf.DUMMYFUNCTION("""COMPUTED_VALUE"""),"Heuerman")</f>
        <v>Heuerman</v>
      </c>
      <c r="E7939" t="str">
        <f>IFERROR(__xludf.DUMMYFUNCTION("""COMPUTED_VALUE"""),"Jeff")</f>
        <v>Jeff</v>
      </c>
      <c r="F7939" t="str">
        <f>IFERROR(__xludf.DUMMYFUNCTION("""COMPUTED_VALUE"""),"")</f>
        <v/>
      </c>
    </row>
    <row r="7940">
      <c r="D7940" t="str">
        <f>IFERROR(__xludf.DUMMYFUNCTION("""COMPUTED_VALUE"""),"Hewitt")</f>
        <v>Hewitt</v>
      </c>
      <c r="E7940" t="str">
        <f>IFERROR(__xludf.DUMMYFUNCTION("""COMPUTED_VALUE"""),"Neville")</f>
        <v>Neville</v>
      </c>
      <c r="F7940" t="str">
        <f>IFERROR(__xludf.DUMMYFUNCTION("""COMPUTED_VALUE"""),"")</f>
        <v/>
      </c>
    </row>
    <row r="7941">
      <c r="D7941" t="str">
        <f>IFERROR(__xludf.DUMMYFUNCTION("""COMPUTED_VALUE"""),"Heyward")</f>
        <v>Heyward</v>
      </c>
      <c r="E7941" t="str">
        <f>IFERROR(__xludf.DUMMYFUNCTION("""COMPUTED_VALUE"""),"Cameron")</f>
        <v>Cameron</v>
      </c>
      <c r="F7941" t="str">
        <f>IFERROR(__xludf.DUMMYFUNCTION("""COMPUTED_VALUE"""),"")</f>
        <v/>
      </c>
    </row>
    <row r="7942">
      <c r="D7942" t="str">
        <f>IFERROR(__xludf.DUMMYFUNCTION("""COMPUTED_VALUE"""),"Hicks")</f>
        <v>Hicks</v>
      </c>
      <c r="E7942" t="str">
        <f>IFERROR(__xludf.DUMMYFUNCTION("""COMPUTED_VALUE"""),"Akiem")</f>
        <v>Akiem</v>
      </c>
      <c r="F7942" t="str">
        <f>IFERROR(__xludf.DUMMYFUNCTION("""COMPUTED_VALUE"""),"")</f>
        <v/>
      </c>
    </row>
    <row r="7943">
      <c r="D7943" t="str">
        <f>IFERROR(__xludf.DUMMYFUNCTION("""COMPUTED_VALUE"""),"Hicks")</f>
        <v>Hicks</v>
      </c>
      <c r="E7943" t="str">
        <f>IFERROR(__xludf.DUMMYFUNCTION("""COMPUTED_VALUE"""),"Jordan")</f>
        <v>Jordan</v>
      </c>
      <c r="F7943" t="str">
        <f>IFERROR(__xludf.DUMMYFUNCTION("""COMPUTED_VALUE"""),"")</f>
        <v/>
      </c>
    </row>
    <row r="7944">
      <c r="D7944" t="str">
        <f>IFERROR(__xludf.DUMMYFUNCTION("""COMPUTED_VALUE"""),"Higbee")</f>
        <v>Higbee</v>
      </c>
      <c r="E7944" t="str">
        <f>IFERROR(__xludf.DUMMYFUNCTION("""COMPUTED_VALUE"""),"Tyler")</f>
        <v>Tyler</v>
      </c>
      <c r="F7944" t="str">
        <f>IFERROR(__xludf.DUMMYFUNCTION("""COMPUTED_VALUE"""),"")</f>
        <v/>
      </c>
    </row>
    <row r="7945">
      <c r="D7945" t="str">
        <f>IFERROR(__xludf.DUMMYFUNCTION("""COMPUTED_VALUE"""),"Higgins")</f>
        <v>Higgins</v>
      </c>
      <c r="E7945" t="str">
        <f>IFERROR(__xludf.DUMMYFUNCTION("""COMPUTED_VALUE"""),"Rashard")</f>
        <v>Rashard</v>
      </c>
      <c r="F7945" t="str">
        <f>IFERROR(__xludf.DUMMYFUNCTION("""COMPUTED_VALUE"""),"")</f>
        <v/>
      </c>
    </row>
    <row r="7946">
      <c r="D7946" t="str">
        <f>IFERROR(__xludf.DUMMYFUNCTION("""COMPUTED_VALUE"""),"Hightower")</f>
        <v>Hightower</v>
      </c>
      <c r="E7946" t="str">
        <f>IFERROR(__xludf.DUMMYFUNCTION("""COMPUTED_VALUE"""),"Donta")</f>
        <v>Donta</v>
      </c>
      <c r="F7946" t="str">
        <f>IFERROR(__xludf.DUMMYFUNCTION("""COMPUTED_VALUE"""),"")</f>
        <v/>
      </c>
    </row>
    <row r="7947">
      <c r="D7947" t="str">
        <f>IFERROR(__xludf.DUMMYFUNCTION("""COMPUTED_VALUE"""),"Hikutini")</f>
        <v>Hikutini</v>
      </c>
      <c r="E7947" t="str">
        <f>IFERROR(__xludf.DUMMYFUNCTION("""COMPUTED_VALUE"""),"Cole")</f>
        <v>Cole</v>
      </c>
      <c r="F7947" t="str">
        <f>IFERROR(__xludf.DUMMYFUNCTION("""COMPUTED_VALUE"""),"")</f>
        <v/>
      </c>
    </row>
    <row r="7948">
      <c r="D7948" t="str">
        <f>IFERROR(__xludf.DUMMYFUNCTION("""COMPUTED_VALUE"""),"Hill")</f>
        <v>Hill</v>
      </c>
      <c r="E7948" t="str">
        <f>IFERROR(__xludf.DUMMYFUNCTION("""COMPUTED_VALUE"""),"BJ")</f>
        <v>BJ</v>
      </c>
      <c r="F7948" t="str">
        <f>IFERROR(__xludf.DUMMYFUNCTION("""COMPUTED_VALUE"""),"")</f>
        <v/>
      </c>
    </row>
    <row r="7949">
      <c r="D7949" t="str">
        <f>IFERROR(__xludf.DUMMYFUNCTION("""COMPUTED_VALUE"""),"Hill")</f>
        <v>Hill</v>
      </c>
      <c r="E7949" t="str">
        <f>IFERROR(__xludf.DUMMYFUNCTION("""COMPUTED_VALUE"""),"Brian")</f>
        <v>Brian</v>
      </c>
      <c r="F7949" t="str">
        <f>IFERROR(__xludf.DUMMYFUNCTION("""COMPUTED_VALUE"""),"")</f>
        <v/>
      </c>
    </row>
    <row r="7950">
      <c r="D7950" t="str">
        <f>IFERROR(__xludf.DUMMYFUNCTION("""COMPUTED_VALUE"""),"Hill")</f>
        <v>Hill</v>
      </c>
      <c r="E7950" t="str">
        <f>IFERROR(__xludf.DUMMYFUNCTION("""COMPUTED_VALUE"""),"Delano")</f>
        <v>Delano</v>
      </c>
      <c r="F7950" t="str">
        <f>IFERROR(__xludf.DUMMYFUNCTION("""COMPUTED_VALUE"""),"")</f>
        <v/>
      </c>
    </row>
    <row r="7951">
      <c r="D7951" t="str">
        <f>IFERROR(__xludf.DUMMYFUNCTION("""COMPUTED_VALUE"""),"Hill")</f>
        <v>Hill</v>
      </c>
      <c r="E7951" t="str">
        <f>IFERROR(__xludf.DUMMYFUNCTION("""COMPUTED_VALUE"""),"Holton")</f>
        <v>Holton</v>
      </c>
      <c r="F7951" t="str">
        <f>IFERROR(__xludf.DUMMYFUNCTION("""COMPUTED_VALUE"""),"")</f>
        <v/>
      </c>
    </row>
    <row r="7952">
      <c r="D7952" t="str">
        <f>IFERROR(__xludf.DUMMYFUNCTION("""COMPUTED_VALUE"""),"Hill")</f>
        <v>Hill</v>
      </c>
      <c r="E7952" t="str">
        <f>IFERROR(__xludf.DUMMYFUNCTION("""COMPUTED_VALUE"""),"Josh")</f>
        <v>Josh</v>
      </c>
      <c r="F7952" t="str">
        <f>IFERROR(__xludf.DUMMYFUNCTION("""COMPUTED_VALUE"""),"")</f>
        <v/>
      </c>
    </row>
    <row r="7953">
      <c r="D7953" t="str">
        <f>IFERROR(__xludf.DUMMYFUNCTION("""COMPUTED_VALUE"""),"Hill")</f>
        <v>Hill</v>
      </c>
      <c r="E7953" t="str">
        <f>IFERROR(__xludf.DUMMYFUNCTION("""COMPUTED_VALUE"""),"Justice")</f>
        <v>Justice</v>
      </c>
      <c r="F7953" t="str">
        <f>IFERROR(__xludf.DUMMYFUNCTION("""COMPUTED_VALUE"""),"")</f>
        <v/>
      </c>
    </row>
    <row r="7954">
      <c r="D7954" t="str">
        <f>IFERROR(__xludf.DUMMYFUNCTION("""COMPUTED_VALUE"""),"Hill")</f>
        <v>Hill</v>
      </c>
      <c r="E7954" t="str">
        <f>IFERROR(__xludf.DUMMYFUNCTION("""COMPUTED_VALUE"""),"Rashod")</f>
        <v>Rashod</v>
      </c>
      <c r="F7954" t="str">
        <f>IFERROR(__xludf.DUMMYFUNCTION("""COMPUTED_VALUE"""),"")</f>
        <v/>
      </c>
    </row>
    <row r="7955">
      <c r="D7955" t="str">
        <f>IFERROR(__xludf.DUMMYFUNCTION("""COMPUTED_VALUE"""),"Hill")</f>
        <v>Hill</v>
      </c>
      <c r="E7955" t="str">
        <f>IFERROR(__xludf.DUMMYFUNCTION("""COMPUTED_VALUE"""),"Taysom")</f>
        <v>Taysom</v>
      </c>
      <c r="F7955" t="str">
        <f>IFERROR(__xludf.DUMMYFUNCTION("""COMPUTED_VALUE"""),"")</f>
        <v/>
      </c>
    </row>
    <row r="7956">
      <c r="D7956" t="str">
        <f>IFERROR(__xludf.DUMMYFUNCTION("""COMPUTED_VALUE"""),"Hill")</f>
        <v>Hill</v>
      </c>
      <c r="E7956" t="str">
        <f>IFERROR(__xludf.DUMMYFUNCTION("""COMPUTED_VALUE"""),"Troy")</f>
        <v>Troy</v>
      </c>
      <c r="F7956" t="str">
        <f>IFERROR(__xludf.DUMMYFUNCTION("""COMPUTED_VALUE"""),"")</f>
        <v/>
      </c>
    </row>
    <row r="7957">
      <c r="D7957" t="str">
        <f>IFERROR(__xludf.DUMMYFUNCTION("""COMPUTED_VALUE"""),"Hill")</f>
        <v>Hill</v>
      </c>
      <c r="E7957" t="str">
        <f>IFERROR(__xludf.DUMMYFUNCTION("""COMPUTED_VALUE"""),"Trysten")</f>
        <v>Trysten</v>
      </c>
      <c r="F7957" t="str">
        <f>IFERROR(__xludf.DUMMYFUNCTION("""COMPUTED_VALUE"""),"")</f>
        <v/>
      </c>
    </row>
    <row r="7958">
      <c r="D7958" t="str">
        <f>IFERROR(__xludf.DUMMYFUNCTION("""COMPUTED_VALUE"""),"Hill")</f>
        <v>Hill</v>
      </c>
      <c r="E7958" t="str">
        <f>IFERROR(__xludf.DUMMYFUNCTION("""COMPUTED_VALUE"""),"Tyreek")</f>
        <v>Tyreek</v>
      </c>
      <c r="F7958" t="str">
        <f>IFERROR(__xludf.DUMMYFUNCTION("""COMPUTED_VALUE"""),"")</f>
        <v/>
      </c>
    </row>
    <row r="7959">
      <c r="D7959" t="str">
        <f>IFERROR(__xludf.DUMMYFUNCTION("""COMPUTED_VALUE"""),"Hilland")</f>
        <v>Hilland</v>
      </c>
      <c r="E7959" t="str">
        <f>IFERROR(__xludf.DUMMYFUNCTION("""COMPUTED_VALUE"""),"Connor")</f>
        <v>Connor</v>
      </c>
      <c r="F7959" t="str">
        <f>IFERROR(__xludf.DUMMYFUNCTION("""COMPUTED_VALUE"""),"")</f>
        <v/>
      </c>
    </row>
    <row r="7960">
      <c r="D7960" t="str">
        <f>IFERROR(__xludf.DUMMYFUNCTION("""COMPUTED_VALUE"""),"Hilliard")</f>
        <v>Hilliard</v>
      </c>
      <c r="E7960" t="str">
        <f>IFERROR(__xludf.DUMMYFUNCTION("""COMPUTED_VALUE"""),"Dontrell")</f>
        <v>Dontrell</v>
      </c>
      <c r="F7960" t="str">
        <f>IFERROR(__xludf.DUMMYFUNCTION("""COMPUTED_VALUE"""),"")</f>
        <v/>
      </c>
    </row>
    <row r="7961">
      <c r="D7961" t="str">
        <f>IFERROR(__xludf.DUMMYFUNCTION("""COMPUTED_VALUE"""),"Hilton")</f>
        <v>Hilton</v>
      </c>
      <c r="E7961" t="str">
        <f>IFERROR(__xludf.DUMMYFUNCTION("""COMPUTED_VALUE"""),"Mike")</f>
        <v>Mike</v>
      </c>
      <c r="F7961" t="str">
        <f>IFERROR(__xludf.DUMMYFUNCTION("""COMPUTED_VALUE"""),"")</f>
        <v/>
      </c>
    </row>
    <row r="7962">
      <c r="D7962" t="str">
        <f>IFERROR(__xludf.DUMMYFUNCTION("""COMPUTED_VALUE"""),"Hilton")</f>
        <v>Hilton</v>
      </c>
      <c r="E7962" t="str">
        <f>IFERROR(__xludf.DUMMYFUNCTION("""COMPUTED_VALUE"""),"TY")</f>
        <v>TY</v>
      </c>
      <c r="F7962" t="str">
        <f>IFERROR(__xludf.DUMMYFUNCTION("""COMPUTED_VALUE"""),"")</f>
        <v/>
      </c>
    </row>
    <row r="7963">
      <c r="D7963" t="str">
        <f>IFERROR(__xludf.DUMMYFUNCTION("""COMPUTED_VALUE"""),"Hines")</f>
        <v>Hines</v>
      </c>
      <c r="E7963" t="str">
        <f>IFERROR(__xludf.DUMMYFUNCTION("""COMPUTED_VALUE"""),"Nyheim")</f>
        <v>Nyheim</v>
      </c>
      <c r="F7963" t="str">
        <f>IFERROR(__xludf.DUMMYFUNCTION("""COMPUTED_VALUE"""),"")</f>
        <v/>
      </c>
    </row>
    <row r="7964">
      <c r="D7964" t="str">
        <f>IFERROR(__xludf.DUMMYFUNCTION("""COMPUTED_VALUE"""),"Hitchens")</f>
        <v>Hitchens</v>
      </c>
      <c r="E7964" t="str">
        <f>IFERROR(__xludf.DUMMYFUNCTION("""COMPUTED_VALUE"""),"Anthony")</f>
        <v>Anthony</v>
      </c>
      <c r="F7964" t="str">
        <f>IFERROR(__xludf.DUMMYFUNCTION("""COMPUTED_VALUE"""),"")</f>
        <v/>
      </c>
    </row>
    <row r="7965">
      <c r="D7965" t="str">
        <f>IFERROR(__xludf.DUMMYFUNCTION("""COMPUTED_VALUE"""),"Hockenson")</f>
        <v>Hockenson</v>
      </c>
      <c r="E7965" t="str">
        <f>IFERROR(__xludf.DUMMYFUNCTION("""COMPUTED_VALUE"""),"TJ")</f>
        <v>TJ</v>
      </c>
      <c r="F7965" t="str">
        <f>IFERROR(__xludf.DUMMYFUNCTION("""COMPUTED_VALUE"""),"")</f>
        <v/>
      </c>
    </row>
    <row r="7966">
      <c r="D7966" t="str">
        <f>IFERROR(__xludf.DUMMYFUNCTION("""COMPUTED_VALUE"""),"Hodge")</f>
        <v>Hodge</v>
      </c>
      <c r="E7966" t="str">
        <f>IFERROR(__xludf.DUMMYFUNCTION("""COMPUTED_VALUE"""),"KhaDarel")</f>
        <v>KhaDarel</v>
      </c>
      <c r="F7966" t="str">
        <f>IFERROR(__xludf.DUMMYFUNCTION("""COMPUTED_VALUE"""),"")</f>
        <v/>
      </c>
    </row>
    <row r="7967">
      <c r="D7967" t="str">
        <f>IFERROR(__xludf.DUMMYFUNCTION("""COMPUTED_VALUE"""),"Hogan")</f>
        <v>Hogan</v>
      </c>
      <c r="E7967" t="str">
        <f>IFERROR(__xludf.DUMMYFUNCTION("""COMPUTED_VALUE"""),"Chris")</f>
        <v>Chris</v>
      </c>
      <c r="F7967" t="str">
        <f>IFERROR(__xludf.DUMMYFUNCTION("""COMPUTED_VALUE"""),"")</f>
        <v/>
      </c>
    </row>
    <row r="7968">
      <c r="D7968" t="str">
        <f>IFERROR(__xludf.DUMMYFUNCTION("""COMPUTED_VALUE"""),"Hogan")</f>
        <v>Hogan</v>
      </c>
      <c r="E7968" t="str">
        <f>IFERROR(__xludf.DUMMYFUNCTION("""COMPUTED_VALUE"""),"Kevin")</f>
        <v>Kevin</v>
      </c>
      <c r="F7968" t="str">
        <f>IFERROR(__xludf.DUMMYFUNCTION("""COMPUTED_VALUE"""),"")</f>
        <v/>
      </c>
    </row>
    <row r="7969">
      <c r="D7969" t="str">
        <f>IFERROR(__xludf.DUMMYFUNCTION("""COMPUTED_VALUE"""),"Holba")</f>
        <v>Holba</v>
      </c>
      <c r="E7969" t="str">
        <f>IFERROR(__xludf.DUMMYFUNCTION("""COMPUTED_VALUE"""),"Colin")</f>
        <v>Colin</v>
      </c>
      <c r="F7969" t="str">
        <f>IFERROR(__xludf.DUMMYFUNCTION("""COMPUTED_VALUE"""),"")</f>
        <v/>
      </c>
    </row>
    <row r="7970">
      <c r="D7970" t="str">
        <f>IFERROR(__xludf.DUMMYFUNCTION("""COMPUTED_VALUE"""),"Holcomb")</f>
        <v>Holcomb</v>
      </c>
      <c r="E7970" t="str">
        <f>IFERROR(__xludf.DUMMYFUNCTION("""COMPUTED_VALUE"""),"Cole")</f>
        <v>Cole</v>
      </c>
      <c r="F7970" t="str">
        <f>IFERROR(__xludf.DUMMYFUNCTION("""COMPUTED_VALUE"""),"")</f>
        <v/>
      </c>
    </row>
    <row r="7971">
      <c r="D7971" t="str">
        <f>IFERROR(__xludf.DUMMYFUNCTION("""COMPUTED_VALUE"""),"Holden")</f>
        <v>Holden</v>
      </c>
      <c r="E7971" t="str">
        <f>IFERROR(__xludf.DUMMYFUNCTION("""COMPUTED_VALUE"""),"Will")</f>
        <v>Will</v>
      </c>
      <c r="F7971" t="str">
        <f>IFERROR(__xludf.DUMMYFUNCTION("""COMPUTED_VALUE"""),"")</f>
        <v/>
      </c>
    </row>
    <row r="7972">
      <c r="D7972" t="str">
        <f>IFERROR(__xludf.DUMMYFUNCTION("""COMPUTED_VALUE"""),"Holder")</f>
        <v>Holder</v>
      </c>
      <c r="E7972" t="str">
        <f>IFERROR(__xludf.DUMMYFUNCTION("""COMPUTED_VALUE"""),"Alijah")</f>
        <v>Alijah</v>
      </c>
      <c r="F7972" t="str">
        <f>IFERROR(__xludf.DUMMYFUNCTION("""COMPUTED_VALUE"""),"")</f>
        <v/>
      </c>
    </row>
    <row r="7973">
      <c r="D7973" t="str">
        <f>IFERROR(__xludf.DUMMYFUNCTION("""COMPUTED_VALUE"""),"Holland")</f>
        <v>Holland</v>
      </c>
      <c r="E7973" t="str">
        <f>IFERROR(__xludf.DUMMYFUNCTION("""COMPUTED_VALUE"""),"Jeff")</f>
        <v>Jeff</v>
      </c>
      <c r="F7973" t="str">
        <f>IFERROR(__xludf.DUMMYFUNCTION("""COMPUTED_VALUE"""),"")</f>
        <v/>
      </c>
    </row>
    <row r="7974">
      <c r="D7974" t="str">
        <f>IFERROR(__xludf.DUMMYFUNCTION("""COMPUTED_VALUE"""),"Hollins")</f>
        <v>Hollins</v>
      </c>
      <c r="E7974" t="str">
        <f>IFERROR(__xludf.DUMMYFUNCTION("""COMPUTED_VALUE"""),"Justin")</f>
        <v>Justin</v>
      </c>
      <c r="F7974" t="str">
        <f>IFERROR(__xludf.DUMMYFUNCTION("""COMPUTED_VALUE"""),"")</f>
        <v/>
      </c>
    </row>
    <row r="7975">
      <c r="D7975" t="str">
        <f>IFERROR(__xludf.DUMMYFUNCTION("""COMPUTED_VALUE"""),"Hollins")</f>
        <v>Hollins</v>
      </c>
      <c r="E7975" t="str">
        <f>IFERROR(__xludf.DUMMYFUNCTION("""COMPUTED_VALUE"""),"Mack")</f>
        <v>Mack</v>
      </c>
      <c r="F7975" t="str">
        <f>IFERROR(__xludf.DUMMYFUNCTION("""COMPUTED_VALUE"""),"")</f>
        <v/>
      </c>
    </row>
    <row r="7976">
      <c r="D7976" t="str">
        <f>IFERROR(__xludf.DUMMYFUNCTION("""COMPUTED_VALUE"""),"Hollister")</f>
        <v>Hollister</v>
      </c>
      <c r="E7976" t="str">
        <f>IFERROR(__xludf.DUMMYFUNCTION("""COMPUTED_VALUE"""),"Jacob")</f>
        <v>Jacob</v>
      </c>
      <c r="F7976" t="str">
        <f>IFERROR(__xludf.DUMMYFUNCTION("""COMPUTED_VALUE"""),"")</f>
        <v/>
      </c>
    </row>
    <row r="7977">
      <c r="D7977" t="str">
        <f>IFERROR(__xludf.DUMMYFUNCTION("""COMPUTED_VALUE"""),"Hollman")</f>
        <v>Hollman</v>
      </c>
      <c r="E7977" t="str">
        <f>IFERROR(__xludf.DUMMYFUNCTION("""COMPUTED_VALUE"""),"KaDar")</f>
        <v>KaDar</v>
      </c>
      <c r="F7977" t="str">
        <f>IFERROR(__xludf.DUMMYFUNCTION("""COMPUTED_VALUE"""),"")</f>
        <v/>
      </c>
    </row>
    <row r="7978">
      <c r="D7978" t="str">
        <f>IFERROR(__xludf.DUMMYFUNCTION("""COMPUTED_VALUE"""),"Holmes")</f>
        <v>Holmes</v>
      </c>
      <c r="E7978" t="str">
        <f>IFERROR(__xludf.DUMMYFUNCTION("""COMPUTED_VALUE"""),"Andre")</f>
        <v>Andre</v>
      </c>
      <c r="F7978" t="str">
        <f>IFERROR(__xludf.DUMMYFUNCTION("""COMPUTED_VALUE"""),"")</f>
        <v/>
      </c>
    </row>
    <row r="7979">
      <c r="D7979" t="str">
        <f>IFERROR(__xludf.DUMMYFUNCTION("""COMPUTED_VALUE"""),"Holmes")</f>
        <v>Holmes</v>
      </c>
      <c r="E7979" t="str">
        <f>IFERROR(__xludf.DUMMYFUNCTION("""COMPUTED_VALUE"""),"Jalyn")</f>
        <v>Jalyn</v>
      </c>
      <c r="F7979" t="str">
        <f>IFERROR(__xludf.DUMMYFUNCTION("""COMPUTED_VALUE"""),"")</f>
        <v/>
      </c>
    </row>
    <row r="7980">
      <c r="D7980" t="str">
        <f>IFERROR(__xludf.DUMMYFUNCTION("""COMPUTED_VALUE"""),"Holmes")</f>
        <v>Holmes</v>
      </c>
      <c r="E7980" t="str">
        <f>IFERROR(__xludf.DUMMYFUNCTION("""COMPUTED_VALUE"""),"Tyrone")</f>
        <v>Tyrone</v>
      </c>
      <c r="F7980" t="str">
        <f>IFERROR(__xludf.DUMMYFUNCTION("""COMPUTED_VALUE"""),"")</f>
        <v/>
      </c>
    </row>
    <row r="7981">
      <c r="D7981" t="str">
        <f>IFERROR(__xludf.DUMMYFUNCTION("""COMPUTED_VALUE"""),"Holton")</f>
        <v>Holton</v>
      </c>
      <c r="E7981" t="str">
        <f>IFERROR(__xludf.DUMMYFUNCTION("""COMPUTED_VALUE"""),"Johnny")</f>
        <v>Johnny</v>
      </c>
      <c r="F7981" t="str">
        <f>IFERROR(__xludf.DUMMYFUNCTION("""COMPUTED_VALUE"""),"")</f>
        <v/>
      </c>
    </row>
    <row r="7982">
      <c r="D7982" t="str">
        <f>IFERROR(__xludf.DUMMYFUNCTION("""COMPUTED_VALUE"""),"Holyfield")</f>
        <v>Holyfield</v>
      </c>
      <c r="E7982" t="str">
        <f>IFERROR(__xludf.DUMMYFUNCTION("""COMPUTED_VALUE"""),"Elijah")</f>
        <v>Elijah</v>
      </c>
      <c r="F7982" t="str">
        <f>IFERROR(__xludf.DUMMYFUNCTION("""COMPUTED_VALUE"""),"")</f>
        <v/>
      </c>
    </row>
    <row r="7983">
      <c r="D7983" t="str">
        <f>IFERROR(__xludf.DUMMYFUNCTION("""COMPUTED_VALUE"""),"Homer")</f>
        <v>Homer</v>
      </c>
      <c r="E7983" t="str">
        <f>IFERROR(__xludf.DUMMYFUNCTION("""COMPUTED_VALUE"""),"Travis")</f>
        <v>Travis</v>
      </c>
      <c r="F7983" t="str">
        <f>IFERROR(__xludf.DUMMYFUNCTION("""COMPUTED_VALUE"""),"")</f>
        <v/>
      </c>
    </row>
    <row r="7984">
      <c r="D7984" t="str">
        <f>IFERROR(__xludf.DUMMYFUNCTION("""COMPUTED_VALUE"""),"Hood")</f>
        <v>Hood</v>
      </c>
      <c r="E7984" t="str">
        <f>IFERROR(__xludf.DUMMYFUNCTION("""COMPUTED_VALUE"""),"Elijah")</f>
        <v>Elijah</v>
      </c>
      <c r="F7984" t="str">
        <f>IFERROR(__xludf.DUMMYFUNCTION("""COMPUTED_VALUE"""),"")</f>
        <v/>
      </c>
    </row>
    <row r="7985">
      <c r="D7985" t="str">
        <f>IFERROR(__xludf.DUMMYFUNCTION("""COMPUTED_VALUE"""),"Hooker")</f>
        <v>Hooker</v>
      </c>
      <c r="E7985" t="str">
        <f>IFERROR(__xludf.DUMMYFUNCTION("""COMPUTED_VALUE"""),"Amani")</f>
        <v>Amani</v>
      </c>
      <c r="F7985" t="str">
        <f>IFERROR(__xludf.DUMMYFUNCTION("""COMPUTED_VALUE"""),"")</f>
        <v/>
      </c>
    </row>
    <row r="7986">
      <c r="D7986" t="str">
        <f>IFERROR(__xludf.DUMMYFUNCTION("""COMPUTED_VALUE"""),"Hooker")</f>
        <v>Hooker</v>
      </c>
      <c r="E7986" t="str">
        <f>IFERROR(__xludf.DUMMYFUNCTION("""COMPUTED_VALUE"""),"Malik")</f>
        <v>Malik</v>
      </c>
      <c r="F7986" t="str">
        <f>IFERROR(__xludf.DUMMYFUNCTION("""COMPUTED_VALUE"""),"")</f>
        <v/>
      </c>
    </row>
    <row r="7987">
      <c r="D7987" t="str">
        <f>IFERROR(__xludf.DUMMYFUNCTION("""COMPUTED_VALUE"""),"Hooks")</f>
        <v>Hooks</v>
      </c>
      <c r="E7987" t="str">
        <f>IFERROR(__xludf.DUMMYFUNCTION("""COMPUTED_VALUE"""),"Lavon")</f>
        <v>Lavon</v>
      </c>
      <c r="F7987" t="str">
        <f>IFERROR(__xludf.DUMMYFUNCTION("""COMPUTED_VALUE"""),"")</f>
        <v/>
      </c>
    </row>
    <row r="7988">
      <c r="D7988" t="str">
        <f>IFERROR(__xludf.DUMMYFUNCTION("""COMPUTED_VALUE"""),"Hooper")</f>
        <v>Hooper</v>
      </c>
      <c r="E7988" t="str">
        <f>IFERROR(__xludf.DUMMYFUNCTION("""COMPUTED_VALUE"""),"Austin")</f>
        <v>Austin</v>
      </c>
      <c r="F7988" t="str">
        <f>IFERROR(__xludf.DUMMYFUNCTION("""COMPUTED_VALUE"""),"")</f>
        <v/>
      </c>
    </row>
    <row r="7989">
      <c r="D7989" t="str">
        <f>IFERROR(__xludf.DUMMYFUNCTION("""COMPUTED_VALUE"""),"Hopkins")</f>
        <v>Hopkins</v>
      </c>
      <c r="E7989" t="str">
        <f>IFERROR(__xludf.DUMMYFUNCTION("""COMPUTED_VALUE"""),"DeAndre")</f>
        <v>DeAndre</v>
      </c>
      <c r="F7989" t="str">
        <f>IFERROR(__xludf.DUMMYFUNCTION("""COMPUTED_VALUE"""),"")</f>
        <v/>
      </c>
    </row>
    <row r="7990">
      <c r="D7990" t="str">
        <f>IFERROR(__xludf.DUMMYFUNCTION("""COMPUTED_VALUE"""),"Hopkins")</f>
        <v>Hopkins</v>
      </c>
      <c r="E7990" t="str">
        <f>IFERROR(__xludf.DUMMYFUNCTION("""COMPUTED_VALUE"""),"Dustin")</f>
        <v>Dustin</v>
      </c>
      <c r="F7990" t="str">
        <f>IFERROR(__xludf.DUMMYFUNCTION("""COMPUTED_VALUE"""),"")</f>
        <v/>
      </c>
    </row>
    <row r="7991">
      <c r="D7991" t="str">
        <f>IFERROR(__xludf.DUMMYFUNCTION("""COMPUTED_VALUE"""),"Hopkins")</f>
        <v>Hopkins</v>
      </c>
      <c r="E7991" t="str">
        <f>IFERROR(__xludf.DUMMYFUNCTION("""COMPUTED_VALUE"""),"Trey")</f>
        <v>Trey</v>
      </c>
      <c r="F7991" t="str">
        <f>IFERROR(__xludf.DUMMYFUNCTION("""COMPUTED_VALUE"""),"")</f>
        <v/>
      </c>
    </row>
    <row r="7992">
      <c r="D7992" t="str">
        <f>IFERROR(__xludf.DUMMYFUNCTION("""COMPUTED_VALUE"""),"Horton")</f>
        <v>Horton</v>
      </c>
      <c r="E7992" t="str">
        <f>IFERROR(__xludf.DUMMYFUNCTION("""COMPUTED_VALUE"""),"Wes")</f>
        <v>Wes</v>
      </c>
      <c r="F7992" t="str">
        <f>IFERROR(__xludf.DUMMYFUNCTION("""COMPUTED_VALUE"""),"")</f>
        <v/>
      </c>
    </row>
    <row r="7993">
      <c r="D7993" t="str">
        <f>IFERROR(__xludf.DUMMYFUNCTION("""COMPUTED_VALUE"""),"Houston")</f>
        <v>Houston</v>
      </c>
      <c r="E7993" t="str">
        <f>IFERROR(__xludf.DUMMYFUNCTION("""COMPUTED_VALUE"""),"Justin")</f>
        <v>Justin</v>
      </c>
      <c r="F7993" t="str">
        <f>IFERROR(__xludf.DUMMYFUNCTION("""COMPUTED_VALUE"""),"")</f>
        <v/>
      </c>
    </row>
    <row r="7994">
      <c r="D7994" t="str">
        <f>IFERROR(__xludf.DUMMYFUNCTION("""COMPUTED_VALUE"""),"Houston-Carson")</f>
        <v>Houston-Carson</v>
      </c>
      <c r="E7994" t="str">
        <f>IFERROR(__xludf.DUMMYFUNCTION("""COMPUTED_VALUE"""),"DeAndre")</f>
        <v>DeAndre</v>
      </c>
      <c r="F7994" t="str">
        <f>IFERROR(__xludf.DUMMYFUNCTION("""COMPUTED_VALUE"""),"")</f>
        <v/>
      </c>
    </row>
    <row r="7995">
      <c r="D7995" t="str">
        <f>IFERROR(__xludf.DUMMYFUNCTION("""COMPUTED_VALUE"""),"Howard")</f>
        <v>Howard</v>
      </c>
      <c r="E7995" t="str">
        <f>IFERROR(__xludf.DUMMYFUNCTION("""COMPUTED_VALUE"""),"AJ")</f>
        <v>AJ</v>
      </c>
      <c r="F7995" t="str">
        <f>IFERROR(__xludf.DUMMYFUNCTION("""COMPUTED_VALUE"""),"")</f>
        <v/>
      </c>
    </row>
    <row r="7996">
      <c r="D7996" t="str">
        <f>IFERROR(__xludf.DUMMYFUNCTION("""COMPUTED_VALUE"""),"Howard")</f>
        <v>Howard</v>
      </c>
      <c r="E7996" t="str">
        <f>IFERROR(__xludf.DUMMYFUNCTION("""COMPUTED_VALUE"""),"Bug")</f>
        <v>Bug</v>
      </c>
      <c r="F7996" t="str">
        <f>IFERROR(__xludf.DUMMYFUNCTION("""COMPUTED_VALUE"""),"")</f>
        <v/>
      </c>
    </row>
    <row r="7997">
      <c r="D7997" t="str">
        <f>IFERROR(__xludf.DUMMYFUNCTION("""COMPUTED_VALUE"""),"Howard")</f>
        <v>Howard</v>
      </c>
      <c r="E7997" t="str">
        <f>IFERROR(__xludf.DUMMYFUNCTION("""COMPUTED_VALUE"""),"Jordan")</f>
        <v>Jordan</v>
      </c>
      <c r="F7997" t="str">
        <f>IFERROR(__xludf.DUMMYFUNCTION("""COMPUTED_VALUE"""),"")</f>
        <v/>
      </c>
    </row>
    <row r="7998">
      <c r="D7998" t="str">
        <f>IFERROR(__xludf.DUMMYFUNCTION("""COMPUTED_VALUE"""),"Howard")</f>
        <v>Howard</v>
      </c>
      <c r="E7998" t="str">
        <f>IFERROR(__xludf.DUMMYFUNCTION("""COMPUTED_VALUE"""),"OJ")</f>
        <v>OJ</v>
      </c>
      <c r="F7998" t="str">
        <f>IFERROR(__xludf.DUMMYFUNCTION("""COMPUTED_VALUE"""),"")</f>
        <v/>
      </c>
    </row>
    <row r="7999">
      <c r="D7999" t="str">
        <f>IFERROR(__xludf.DUMMYFUNCTION("""COMPUTED_VALUE"""),"Howard")</f>
        <v>Howard</v>
      </c>
      <c r="E7999" t="str">
        <f>IFERROR(__xludf.DUMMYFUNCTION("""COMPUTED_VALUE"""),"Travin")</f>
        <v>Travin</v>
      </c>
      <c r="F7999" t="str">
        <f>IFERROR(__xludf.DUMMYFUNCTION("""COMPUTED_VALUE"""),"")</f>
        <v/>
      </c>
    </row>
    <row r="8000">
      <c r="D8000" t="str">
        <f>IFERROR(__xludf.DUMMYFUNCTION("""COMPUTED_VALUE"""),"Howard")</f>
        <v>Howard</v>
      </c>
      <c r="E8000" t="str">
        <f>IFERROR(__xludf.DUMMYFUNCTION("""COMPUTED_VALUE"""),"Tytus")</f>
        <v>Tytus</v>
      </c>
      <c r="F8000" t="str">
        <f>IFERROR(__xludf.DUMMYFUNCTION("""COMPUTED_VALUE"""),"")</f>
        <v/>
      </c>
    </row>
    <row r="8001">
      <c r="D8001" t="str">
        <f>IFERROR(__xludf.DUMMYFUNCTION("""COMPUTED_VALUE"""),"Howard")</f>
        <v>Howard</v>
      </c>
      <c r="E8001" t="str">
        <f>IFERROR(__xludf.DUMMYFUNCTION("""COMPUTED_VALUE"""),"Xavien")</f>
        <v>Xavien</v>
      </c>
      <c r="F8001" t="str">
        <f>IFERROR(__xludf.DUMMYFUNCTION("""COMPUTED_VALUE"""),"")</f>
        <v/>
      </c>
    </row>
    <row r="8002">
      <c r="D8002" t="str">
        <f>IFERROR(__xludf.DUMMYFUNCTION("""COMPUTED_VALUE"""),"Howell")</f>
        <v>Howell</v>
      </c>
      <c r="E8002" t="str">
        <f>IFERROR(__xludf.DUMMYFUNCTION("""COMPUTED_VALUE"""),"Buddy")</f>
        <v>Buddy</v>
      </c>
      <c r="F8002" t="str">
        <f>IFERROR(__xludf.DUMMYFUNCTION("""COMPUTED_VALUE"""),"")</f>
        <v/>
      </c>
    </row>
    <row r="8003">
      <c r="D8003" t="str">
        <f>IFERROR(__xludf.DUMMYFUNCTION("""COMPUTED_VALUE"""),"Hoyer")</f>
        <v>Hoyer</v>
      </c>
      <c r="E8003" t="str">
        <f>IFERROR(__xludf.DUMMYFUNCTION("""COMPUTED_VALUE"""),"Brian")</f>
        <v>Brian</v>
      </c>
      <c r="F8003" t="str">
        <f>IFERROR(__xludf.DUMMYFUNCTION("""COMPUTED_VALUE"""),"")</f>
        <v/>
      </c>
    </row>
    <row r="8004">
      <c r="D8004" t="str">
        <f>IFERROR(__xludf.DUMMYFUNCTION("""COMPUTED_VALUE"""),"Hrynkiewicz")</f>
        <v>Hrynkiewicz</v>
      </c>
      <c r="E8004" t="str">
        <f>IFERROR(__xludf.DUMMYFUNCTION("""COMPUTED_VALUE"""),"Vitas")</f>
        <v>Vitas</v>
      </c>
      <c r="F8004" t="str">
        <f>IFERROR(__xludf.DUMMYFUNCTION("""COMPUTED_VALUE"""),"")</f>
        <v/>
      </c>
    </row>
    <row r="8005">
      <c r="D8005" t="str">
        <f>IFERROR(__xludf.DUMMYFUNCTION("""COMPUTED_VALUE"""),"Hubbard")</f>
        <v>Hubbard</v>
      </c>
      <c r="E8005" t="str">
        <f>IFERROR(__xludf.DUMMYFUNCTION("""COMPUTED_VALUE"""),"Chris")</f>
        <v>Chris</v>
      </c>
      <c r="F8005" t="str">
        <f>IFERROR(__xludf.DUMMYFUNCTION("""COMPUTED_VALUE"""),"")</f>
        <v/>
      </c>
    </row>
    <row r="8006">
      <c r="D8006" t="str">
        <f>IFERROR(__xludf.DUMMYFUNCTION("""COMPUTED_VALUE"""),"Hubbard")</f>
        <v>Hubbard</v>
      </c>
      <c r="E8006" t="str">
        <f>IFERROR(__xludf.DUMMYFUNCTION("""COMPUTED_VALUE"""),"Sam")</f>
        <v>Sam</v>
      </c>
      <c r="F8006" t="str">
        <f>IFERROR(__xludf.DUMMYFUNCTION("""COMPUTED_VALUE"""),"")</f>
        <v/>
      </c>
    </row>
    <row r="8007">
      <c r="D8007" t="str">
        <f>IFERROR(__xludf.DUMMYFUNCTION("""COMPUTED_VALUE"""),"Huber")</f>
        <v>Huber</v>
      </c>
      <c r="E8007" t="str">
        <f>IFERROR(__xludf.DUMMYFUNCTION("""COMPUTED_VALUE"""),"Kevin")</f>
        <v>Kevin</v>
      </c>
      <c r="F8007" t="str">
        <f>IFERROR(__xludf.DUMMYFUNCTION("""COMPUTED_VALUE"""),"")</f>
        <v/>
      </c>
    </row>
    <row r="8008">
      <c r="D8008" t="str">
        <f>IFERROR(__xludf.DUMMYFUNCTION("""COMPUTED_VALUE"""),"Hudson")</f>
        <v>Hudson</v>
      </c>
      <c r="E8008" t="str">
        <f>IFERROR(__xludf.DUMMYFUNCTION("""COMPUTED_VALUE"""),"Rodney")</f>
        <v>Rodney</v>
      </c>
      <c r="F8008" t="str">
        <f>IFERROR(__xludf.DUMMYFUNCTION("""COMPUTED_VALUE"""),"")</f>
        <v/>
      </c>
    </row>
    <row r="8009">
      <c r="D8009" t="str">
        <f>IFERROR(__xludf.DUMMYFUNCTION("""COMPUTED_VALUE"""),"Hudson")</f>
        <v>Hudson</v>
      </c>
      <c r="E8009" t="str">
        <f>IFERROR(__xludf.DUMMYFUNCTION("""COMPUTED_VALUE"""),"Tanner")</f>
        <v>Tanner</v>
      </c>
      <c r="F8009" t="str">
        <f>IFERROR(__xludf.DUMMYFUNCTION("""COMPUTED_VALUE"""),"")</f>
        <v/>
      </c>
    </row>
    <row r="8010">
      <c r="D8010" t="str">
        <f>IFERROR(__xludf.DUMMYFUNCTION("""COMPUTED_VALUE"""),"Huggins")</f>
        <v>Huggins</v>
      </c>
      <c r="E8010" t="str">
        <f>IFERROR(__xludf.DUMMYFUNCTION("""COMPUTED_VALUE"""),"Albert")</f>
        <v>Albert</v>
      </c>
      <c r="F8010" t="str">
        <f>IFERROR(__xludf.DUMMYFUNCTION("""COMPUTED_VALUE"""),"")</f>
        <v/>
      </c>
    </row>
    <row r="8011">
      <c r="D8011" t="str">
        <f>IFERROR(__xludf.DUMMYFUNCTION("""COMPUTED_VALUE"""),"Hughes")</f>
        <v>Hughes</v>
      </c>
      <c r="E8011" t="str">
        <f>IFERROR(__xludf.DUMMYFUNCTION("""COMPUTED_VALUE"""),"Jerry")</f>
        <v>Jerry</v>
      </c>
      <c r="F8011" t="str">
        <f>IFERROR(__xludf.DUMMYFUNCTION("""COMPUTED_VALUE"""),"")</f>
        <v/>
      </c>
    </row>
    <row r="8012">
      <c r="D8012" t="str">
        <f>IFERROR(__xludf.DUMMYFUNCTION("""COMPUTED_VALUE"""),"Hughes")</f>
        <v>Hughes</v>
      </c>
      <c r="E8012" t="str">
        <f>IFERROR(__xludf.DUMMYFUNCTION("""COMPUTED_VALUE"""),"Michael")</f>
        <v>Michael</v>
      </c>
      <c r="F8012" t="str">
        <f>IFERROR(__xludf.DUMMYFUNCTION("""COMPUTED_VALUE"""),"")</f>
        <v/>
      </c>
    </row>
    <row r="8013">
      <c r="D8013" t="str">
        <f>IFERROR(__xludf.DUMMYFUNCTION("""COMPUTED_VALUE"""),"Hughes")</f>
        <v>Hughes</v>
      </c>
      <c r="E8013" t="str">
        <f>IFERROR(__xludf.DUMMYFUNCTION("""COMPUTED_VALUE"""),"Mike")</f>
        <v>Mike</v>
      </c>
      <c r="F8013" t="str">
        <f>IFERROR(__xludf.DUMMYFUNCTION("""COMPUTED_VALUE"""),"")</f>
        <v/>
      </c>
    </row>
    <row r="8014">
      <c r="D8014" t="str">
        <f>IFERROR(__xludf.DUMMYFUNCTION("""COMPUTED_VALUE"""),"Hughlett")</f>
        <v>Hughlett</v>
      </c>
      <c r="E8014" t="str">
        <f>IFERROR(__xludf.DUMMYFUNCTION("""COMPUTED_VALUE"""),"Charley")</f>
        <v>Charley</v>
      </c>
      <c r="F8014" t="str">
        <f>IFERROR(__xludf.DUMMYFUNCTION("""COMPUTED_VALUE"""),"")</f>
        <v/>
      </c>
    </row>
    <row r="8015">
      <c r="D8015" t="str">
        <f>IFERROR(__xludf.DUMMYFUNCTION("""COMPUTED_VALUE"""),"Hull")</f>
        <v>Hull</v>
      </c>
      <c r="E8015" t="str">
        <f>IFERROR(__xludf.DUMMYFUNCTION("""COMPUTED_VALUE"""),"Mike")</f>
        <v>Mike</v>
      </c>
      <c r="F8015" t="str">
        <f>IFERROR(__xludf.DUMMYFUNCTION("""COMPUTED_VALUE"""),"")</f>
        <v/>
      </c>
    </row>
    <row r="8016">
      <c r="D8016" t="str">
        <f>IFERROR(__xludf.DUMMYFUNCTION("""COMPUTED_VALUE"""),"Humphrey")</f>
        <v>Humphrey</v>
      </c>
      <c r="E8016" t="str">
        <f>IFERROR(__xludf.DUMMYFUNCTION("""COMPUTED_VALUE"""),"LilJordan")</f>
        <v>LilJordan</v>
      </c>
      <c r="F8016" t="str">
        <f>IFERROR(__xludf.DUMMYFUNCTION("""COMPUTED_VALUE"""),"")</f>
        <v/>
      </c>
    </row>
    <row r="8017">
      <c r="D8017" t="str">
        <f>IFERROR(__xludf.DUMMYFUNCTION("""COMPUTED_VALUE"""),"Humphrey")</f>
        <v>Humphrey</v>
      </c>
      <c r="E8017" t="str">
        <f>IFERROR(__xludf.DUMMYFUNCTION("""COMPUTED_VALUE"""),"Marlon")</f>
        <v>Marlon</v>
      </c>
      <c r="F8017" t="str">
        <f>IFERROR(__xludf.DUMMYFUNCTION("""COMPUTED_VALUE"""),"")</f>
        <v/>
      </c>
    </row>
    <row r="8018">
      <c r="D8018" t="str">
        <f>IFERROR(__xludf.DUMMYFUNCTION("""COMPUTED_VALUE"""),"Humphries")</f>
        <v>Humphries</v>
      </c>
      <c r="E8018" t="str">
        <f>IFERROR(__xludf.DUMMYFUNCTION("""COMPUTED_VALUE"""),"Adam")</f>
        <v>Adam</v>
      </c>
      <c r="F8018" t="str">
        <f>IFERROR(__xludf.DUMMYFUNCTION("""COMPUTED_VALUE"""),"")</f>
        <v/>
      </c>
    </row>
    <row r="8019">
      <c r="D8019" t="str">
        <f>IFERROR(__xludf.DUMMYFUNCTION("""COMPUTED_VALUE"""),"Humphries")</f>
        <v>Humphries</v>
      </c>
      <c r="E8019" t="str">
        <f>IFERROR(__xludf.DUMMYFUNCTION("""COMPUTED_VALUE"""),"DJ")</f>
        <v>DJ</v>
      </c>
      <c r="F8019" t="str">
        <f>IFERROR(__xludf.DUMMYFUNCTION("""COMPUTED_VALUE"""),"")</f>
        <v/>
      </c>
    </row>
    <row r="8020">
      <c r="D8020" t="str">
        <f>IFERROR(__xludf.DUMMYFUNCTION("""COMPUTED_VALUE"""),"Hundley")</f>
        <v>Hundley</v>
      </c>
      <c r="E8020" t="str">
        <f>IFERROR(__xludf.DUMMYFUNCTION("""COMPUTED_VALUE"""),"Brett")</f>
        <v>Brett</v>
      </c>
      <c r="F8020" t="str">
        <f>IFERROR(__xludf.DUMMYFUNCTION("""COMPUTED_VALUE"""),"")</f>
        <v/>
      </c>
    </row>
    <row r="8021">
      <c r="D8021" t="str">
        <f>IFERROR(__xludf.DUMMYFUNCTION("""COMPUTED_VALUE"""),"Hunt")</f>
        <v>Hunt</v>
      </c>
      <c r="E8021" t="str">
        <f>IFERROR(__xludf.DUMMYFUNCTION("""COMPUTED_VALUE"""),"Joey")</f>
        <v>Joey</v>
      </c>
      <c r="F8021" t="str">
        <f>IFERROR(__xludf.DUMMYFUNCTION("""COMPUTED_VALUE"""),"")</f>
        <v/>
      </c>
    </row>
    <row r="8022">
      <c r="D8022" t="str">
        <f>IFERROR(__xludf.DUMMYFUNCTION("""COMPUTED_VALUE"""),"Hunt")</f>
        <v>Hunt</v>
      </c>
      <c r="E8022" t="str">
        <f>IFERROR(__xludf.DUMMYFUNCTION("""COMPUTED_VALUE"""),"Kareem")</f>
        <v>Kareem</v>
      </c>
      <c r="F8022" t="str">
        <f>IFERROR(__xludf.DUMMYFUNCTION("""COMPUTED_VALUE"""),"")</f>
        <v/>
      </c>
    </row>
    <row r="8023">
      <c r="D8023" t="str">
        <f>IFERROR(__xludf.DUMMYFUNCTION("""COMPUTED_VALUE"""),"Hunt")</f>
        <v>Hunt</v>
      </c>
      <c r="E8023" t="str">
        <f>IFERROR(__xludf.DUMMYFUNCTION("""COMPUTED_VALUE"""),"Margus")</f>
        <v>Margus</v>
      </c>
      <c r="F8023" t="str">
        <f>IFERROR(__xludf.DUMMYFUNCTION("""COMPUTED_VALUE"""),"")</f>
        <v/>
      </c>
    </row>
    <row r="8024">
      <c r="D8024" t="str">
        <f>IFERROR(__xludf.DUMMYFUNCTION("""COMPUTED_VALUE"""),"Hunter")</f>
        <v>Hunter</v>
      </c>
      <c r="E8024" t="str">
        <f>IFERROR(__xludf.DUMMYFUNCTION("""COMPUTED_VALUE"""),"Danielle")</f>
        <v>Danielle</v>
      </c>
      <c r="F8024" t="str">
        <f>IFERROR(__xludf.DUMMYFUNCTION("""COMPUTED_VALUE"""),"")</f>
        <v/>
      </c>
    </row>
    <row r="8025">
      <c r="D8025" t="str">
        <f>IFERROR(__xludf.DUMMYFUNCTION("""COMPUTED_VALUE"""),"Hunter")</f>
        <v>Hunter</v>
      </c>
      <c r="E8025" t="str">
        <f>IFERROR(__xludf.DUMMYFUNCTION("""COMPUTED_VALUE"""),"Ryan")</f>
        <v>Ryan</v>
      </c>
      <c r="F8025" t="str">
        <f>IFERROR(__xludf.DUMMYFUNCTION("""COMPUTED_VALUE"""),"")</f>
        <v/>
      </c>
    </row>
    <row r="8026">
      <c r="D8026" t="str">
        <f>IFERROR(__xludf.DUMMYFUNCTION("""COMPUTED_VALUE"""),"Hurd")</f>
        <v>Hurd</v>
      </c>
      <c r="E8026" t="str">
        <f>IFERROR(__xludf.DUMMYFUNCTION("""COMPUTED_VALUE"""),"Jalen")</f>
        <v>Jalen</v>
      </c>
      <c r="F8026" t="str">
        <f>IFERROR(__xludf.DUMMYFUNCTION("""COMPUTED_VALUE"""),"")</f>
        <v/>
      </c>
    </row>
    <row r="8027">
      <c r="D8027" t="str">
        <f>IFERROR(__xludf.DUMMYFUNCTION("""COMPUTED_VALUE"""),"Hurns")</f>
        <v>Hurns</v>
      </c>
      <c r="E8027" t="str">
        <f>IFERROR(__xludf.DUMMYFUNCTION("""COMPUTED_VALUE"""),"Allen")</f>
        <v>Allen</v>
      </c>
      <c r="F8027" t="str">
        <f>IFERROR(__xludf.DUMMYFUNCTION("""COMPUTED_VALUE"""),"")</f>
        <v/>
      </c>
    </row>
    <row r="8028">
      <c r="D8028" t="str">
        <f>IFERROR(__xludf.DUMMYFUNCTION("""COMPUTED_VALUE"""),"Hurst")</f>
        <v>Hurst</v>
      </c>
      <c r="E8028" t="str">
        <f>IFERROR(__xludf.DUMMYFUNCTION("""COMPUTED_VALUE"""),"Hayden")</f>
        <v>Hayden</v>
      </c>
      <c r="F8028" t="str">
        <f>IFERROR(__xludf.DUMMYFUNCTION("""COMPUTED_VALUE"""),"")</f>
        <v/>
      </c>
    </row>
    <row r="8029">
      <c r="D8029" t="str">
        <f>IFERROR(__xludf.DUMMYFUNCTION("""COMPUTED_VALUE"""),"Hurst")</f>
        <v>Hurst</v>
      </c>
      <c r="E8029" t="str">
        <f>IFERROR(__xludf.DUMMYFUNCTION("""COMPUTED_VALUE"""),"James")</f>
        <v>James</v>
      </c>
      <c r="F8029" t="str">
        <f>IFERROR(__xludf.DUMMYFUNCTION("""COMPUTED_VALUE"""),"")</f>
        <v/>
      </c>
    </row>
    <row r="8030">
      <c r="D8030" t="str">
        <f>IFERROR(__xludf.DUMMYFUNCTION("""COMPUTED_VALUE"""),"Hurst")</f>
        <v>Hurst</v>
      </c>
      <c r="E8030" t="str">
        <f>IFERROR(__xludf.DUMMYFUNCTION("""COMPUTED_VALUE"""),"Maurice")</f>
        <v>Maurice</v>
      </c>
      <c r="F8030" t="str">
        <f>IFERROR(__xludf.DUMMYFUNCTION("""COMPUTED_VALUE"""),"")</f>
        <v/>
      </c>
    </row>
    <row r="8031">
      <c r="D8031" t="str">
        <f>IFERROR(__xludf.DUMMYFUNCTION("""COMPUTED_VALUE"""),"Hyde")</f>
        <v>Hyde</v>
      </c>
      <c r="E8031" t="str">
        <f>IFERROR(__xludf.DUMMYFUNCTION("""COMPUTED_VALUE"""),"Carlos")</f>
        <v>Carlos</v>
      </c>
      <c r="F8031" t="str">
        <f>IFERROR(__xludf.DUMMYFUNCTION("""COMPUTED_VALUE"""),"")</f>
        <v/>
      </c>
    </row>
    <row r="8032">
      <c r="D8032" t="str">
        <f>IFERROR(__xludf.DUMMYFUNCTION("""COMPUTED_VALUE"""),"Hyde")</f>
        <v>Hyde</v>
      </c>
      <c r="E8032" t="str">
        <f>IFERROR(__xludf.DUMMYFUNCTION("""COMPUTED_VALUE"""),"Micah")</f>
        <v>Micah</v>
      </c>
      <c r="F8032" t="str">
        <f>IFERROR(__xludf.DUMMYFUNCTION("""COMPUTED_VALUE"""),"")</f>
        <v/>
      </c>
    </row>
    <row r="8033">
      <c r="D8033" t="str">
        <f>IFERROR(__xludf.DUMMYFUNCTION("""COMPUTED_VALUE"""),"Hyder")</f>
        <v>Hyder</v>
      </c>
      <c r="E8033" t="str">
        <f>IFERROR(__xludf.DUMMYFUNCTION("""COMPUTED_VALUE"""),"Kerry")</f>
        <v>Kerry</v>
      </c>
      <c r="F8033" t="str">
        <f>IFERROR(__xludf.DUMMYFUNCTION("""COMPUTED_VALUE"""),"")</f>
        <v/>
      </c>
    </row>
    <row r="8034">
      <c r="D8034" t="str">
        <f>IFERROR(__xludf.DUMMYFUNCTION("""COMPUTED_VALUE"""),"Ifedi")</f>
        <v>Ifedi</v>
      </c>
      <c r="E8034" t="str">
        <f>IFERROR(__xludf.DUMMYFUNCTION("""COMPUTED_VALUE"""),"Germain")</f>
        <v>Germain</v>
      </c>
      <c r="F8034" t="str">
        <f>IFERROR(__xludf.DUMMYFUNCTION("""COMPUTED_VALUE"""),"")</f>
        <v/>
      </c>
    </row>
    <row r="8035">
      <c r="D8035" t="str">
        <f>IFERROR(__xludf.DUMMYFUNCTION("""COMPUTED_VALUE"""),"Igwebuike")</f>
        <v>Igwebuike</v>
      </c>
      <c r="E8035" t="str">
        <f>IFERROR(__xludf.DUMMYFUNCTION("""COMPUTED_VALUE"""),"Godwin")</f>
        <v>Godwin</v>
      </c>
      <c r="F8035" t="str">
        <f>IFERROR(__xludf.DUMMYFUNCTION("""COMPUTED_VALUE"""),"")</f>
        <v/>
      </c>
    </row>
    <row r="8036">
      <c r="D8036" t="str">
        <f>IFERROR(__xludf.DUMMYFUNCTION("""COMPUTED_VALUE"""),"Iloka")</f>
        <v>Iloka</v>
      </c>
      <c r="E8036" t="str">
        <f>IFERROR(__xludf.DUMMYFUNCTION("""COMPUTED_VALUE"""),"George")</f>
        <v>George</v>
      </c>
      <c r="F8036" t="str">
        <f>IFERROR(__xludf.DUMMYFUNCTION("""COMPUTED_VALUE"""),"")</f>
        <v/>
      </c>
    </row>
    <row r="8037">
      <c r="D8037" t="str">
        <f>IFERROR(__xludf.DUMMYFUNCTION("""COMPUTED_VALUE"""),"Incognito")</f>
        <v>Incognito</v>
      </c>
      <c r="E8037" t="str">
        <f>IFERROR(__xludf.DUMMYFUNCTION("""COMPUTED_VALUE"""),"Richie")</f>
        <v>Richie</v>
      </c>
      <c r="F8037" t="str">
        <f>IFERROR(__xludf.DUMMYFUNCTION("""COMPUTED_VALUE"""),"")</f>
        <v/>
      </c>
    </row>
    <row r="8038">
      <c r="D8038" t="str">
        <f>IFERROR(__xludf.DUMMYFUNCTION("""COMPUTED_VALUE"""),"Ingram")</f>
        <v>Ingram</v>
      </c>
      <c r="E8038" t="str">
        <f>IFERROR(__xludf.DUMMYFUNCTION("""COMPUTED_VALUE"""),"Mark")</f>
        <v>Mark</v>
      </c>
      <c r="F8038" t="str">
        <f>IFERROR(__xludf.DUMMYFUNCTION("""COMPUTED_VALUE"""),"")</f>
        <v/>
      </c>
    </row>
    <row r="8039">
      <c r="D8039" t="str">
        <f>IFERROR(__xludf.DUMMYFUNCTION("""COMPUTED_VALUE"""),"Ingram")</f>
        <v>Ingram</v>
      </c>
      <c r="E8039" t="str">
        <f>IFERROR(__xludf.DUMMYFUNCTION("""COMPUTED_VALUE"""),"Melvin")</f>
        <v>Melvin</v>
      </c>
      <c r="F8039" t="str">
        <f>IFERROR(__xludf.DUMMYFUNCTION("""COMPUTED_VALUE"""),"")</f>
        <v/>
      </c>
    </row>
    <row r="8040">
      <c r="D8040" t="str">
        <f>IFERROR(__xludf.DUMMYFUNCTION("""COMPUTED_VALUE"""),"Inman")</f>
        <v>Inman</v>
      </c>
      <c r="E8040" t="str">
        <f>IFERROR(__xludf.DUMMYFUNCTION("""COMPUTED_VALUE"""),"Dontrelle")</f>
        <v>Dontrelle</v>
      </c>
      <c r="F8040" t="str">
        <f>IFERROR(__xludf.DUMMYFUNCTION("""COMPUTED_VALUE"""),"")</f>
        <v/>
      </c>
    </row>
    <row r="8041">
      <c r="D8041" t="str">
        <f>IFERROR(__xludf.DUMMYFUNCTION("""COMPUTED_VALUE"""),"Ioannidis")</f>
        <v>Ioannidis</v>
      </c>
      <c r="E8041" t="str">
        <f>IFERROR(__xludf.DUMMYFUNCTION("""COMPUTED_VALUE"""),"Matthew")</f>
        <v>Matthew</v>
      </c>
      <c r="F8041" t="str">
        <f>IFERROR(__xludf.DUMMYFUNCTION("""COMPUTED_VALUE"""),"")</f>
        <v/>
      </c>
    </row>
    <row r="8042">
      <c r="D8042" t="str">
        <f>IFERROR(__xludf.DUMMYFUNCTION("""COMPUTED_VALUE"""),"Irvin")</f>
        <v>Irvin</v>
      </c>
      <c r="E8042" t="str">
        <f>IFERROR(__xludf.DUMMYFUNCTION("""COMPUTED_VALUE"""),"Bruce")</f>
        <v>Bruce</v>
      </c>
      <c r="F8042" t="str">
        <f>IFERROR(__xludf.DUMMYFUNCTION("""COMPUTED_VALUE"""),"")</f>
        <v/>
      </c>
    </row>
    <row r="8043">
      <c r="D8043" t="str">
        <f>IFERROR(__xludf.DUMMYFUNCTION("""COMPUTED_VALUE"""),"Irving")</f>
        <v>Irving</v>
      </c>
      <c r="E8043" t="str">
        <f>IFERROR(__xludf.DUMMYFUNCTION("""COMPUTED_VALUE"""),"Isaiah")</f>
        <v>Isaiah</v>
      </c>
      <c r="F8043" t="str">
        <f>IFERROR(__xludf.DUMMYFUNCTION("""COMPUTED_VALUE"""),"")</f>
        <v/>
      </c>
    </row>
    <row r="8044">
      <c r="D8044" t="str">
        <f>IFERROR(__xludf.DUMMYFUNCTION("""COMPUTED_VALUE"""),"Isabella")</f>
        <v>Isabella</v>
      </c>
      <c r="E8044" t="str">
        <f>IFERROR(__xludf.DUMMYFUNCTION("""COMPUTED_VALUE"""),"Andy")</f>
        <v>Andy</v>
      </c>
      <c r="F8044" t="str">
        <f>IFERROR(__xludf.DUMMYFUNCTION("""COMPUTED_VALUE"""),"")</f>
        <v/>
      </c>
    </row>
    <row r="8045">
      <c r="D8045" t="str">
        <f>IFERROR(__xludf.DUMMYFUNCTION("""COMPUTED_VALUE"""),"Ishmael")</f>
        <v>Ishmael</v>
      </c>
      <c r="E8045" t="str">
        <f>IFERROR(__xludf.DUMMYFUNCTION("""COMPUTED_VALUE"""),"Kemal")</f>
        <v>Kemal</v>
      </c>
      <c r="F8045" t="str">
        <f>IFERROR(__xludf.DUMMYFUNCTION("""COMPUTED_VALUE"""),"")</f>
        <v/>
      </c>
    </row>
    <row r="8046">
      <c r="D8046" t="str">
        <f>IFERROR(__xludf.DUMMYFUNCTION("""COMPUTED_VALUE"""),"Ishmael")</f>
        <v>Ishmael</v>
      </c>
      <c r="E8046" t="str">
        <f>IFERROR(__xludf.DUMMYFUNCTION("""COMPUTED_VALUE"""),"Steve")</f>
        <v>Steve</v>
      </c>
      <c r="F8046" t="str">
        <f>IFERROR(__xludf.DUMMYFUNCTION("""COMPUTED_VALUE"""),"")</f>
        <v/>
      </c>
    </row>
    <row r="8047">
      <c r="D8047" t="str">
        <f>IFERROR(__xludf.DUMMYFUNCTION("""COMPUTED_VALUE"""),"Isidora")</f>
        <v>Isidora</v>
      </c>
      <c r="E8047" t="str">
        <f>IFERROR(__xludf.DUMMYFUNCTION("""COMPUTED_VALUE"""),"Danny")</f>
        <v>Danny</v>
      </c>
      <c r="F8047" t="str">
        <f>IFERROR(__xludf.DUMMYFUNCTION("""COMPUTED_VALUE"""),"")</f>
        <v/>
      </c>
    </row>
    <row r="8048">
      <c r="D8048" t="str">
        <f>IFERROR(__xludf.DUMMYFUNCTION("""COMPUTED_VALUE"""),"Iupati")</f>
        <v>Iupati</v>
      </c>
      <c r="E8048" t="str">
        <f>IFERROR(__xludf.DUMMYFUNCTION("""COMPUTED_VALUE"""),"Mike")</f>
        <v>Mike</v>
      </c>
      <c r="F8048" t="str">
        <f>IFERROR(__xludf.DUMMYFUNCTION("""COMPUTED_VALUE"""),"")</f>
        <v/>
      </c>
    </row>
    <row r="8049">
      <c r="D8049" t="str">
        <f>IFERROR(__xludf.DUMMYFUNCTION("""COMPUTED_VALUE"""),"Ivie")</f>
        <v>Ivie</v>
      </c>
      <c r="E8049" t="str">
        <f>IFERROR(__xludf.DUMMYFUNCTION("""COMPUTED_VALUE"""),"Joey")</f>
        <v>Joey</v>
      </c>
      <c r="F8049" t="str">
        <f>IFERROR(__xludf.DUMMYFUNCTION("""COMPUTED_VALUE"""),"")</f>
        <v/>
      </c>
    </row>
    <row r="8050">
      <c r="D8050" t="str">
        <f>IFERROR(__xludf.DUMMYFUNCTION("""COMPUTED_VALUE"""),"Iyiegbuniwe")</f>
        <v>Iyiegbuniwe</v>
      </c>
      <c r="E8050" t="str">
        <f>IFERROR(__xludf.DUMMYFUNCTION("""COMPUTED_VALUE"""),"Joel")</f>
        <v>Joel</v>
      </c>
      <c r="F8050" t="str">
        <f>IFERROR(__xludf.DUMMYFUNCTION("""COMPUTED_VALUE"""),"")</f>
        <v/>
      </c>
    </row>
    <row r="8051">
      <c r="D8051" t="str">
        <f>IFERROR(__xludf.DUMMYFUNCTION("""COMPUTED_VALUE"""),"Izzo")</f>
        <v>Izzo</v>
      </c>
      <c r="E8051" t="str">
        <f>IFERROR(__xludf.DUMMYFUNCTION("""COMPUTED_VALUE"""),"Ryan")</f>
        <v>Ryan</v>
      </c>
      <c r="F8051" t="str">
        <f>IFERROR(__xludf.DUMMYFUNCTION("""COMPUTED_VALUE"""),"")</f>
        <v/>
      </c>
    </row>
    <row r="8052">
      <c r="D8052" t="str">
        <f>IFERROR(__xludf.DUMMYFUNCTION("""COMPUTED_VALUE"""),"Jack")</f>
        <v>Jack</v>
      </c>
      <c r="E8052" t="str">
        <f>IFERROR(__xludf.DUMMYFUNCTION("""COMPUTED_VALUE"""),"Myles")</f>
        <v>Myles</v>
      </c>
      <c r="F8052" t="str">
        <f>IFERROR(__xludf.DUMMYFUNCTION("""COMPUTED_VALUE"""),"")</f>
        <v/>
      </c>
    </row>
    <row r="8053">
      <c r="D8053" t="str">
        <f>IFERROR(__xludf.DUMMYFUNCTION("""COMPUTED_VALUE"""),"Jackson")</f>
        <v>Jackson</v>
      </c>
      <c r="E8053" t="str">
        <f>IFERROR(__xludf.DUMMYFUNCTION("""COMPUTED_VALUE"""),"Adoree")</f>
        <v>Adoree</v>
      </c>
      <c r="F8053" t="str">
        <f>IFERROR(__xludf.DUMMYFUNCTION("""COMPUTED_VALUE"""),"")</f>
        <v/>
      </c>
    </row>
    <row r="8054">
      <c r="D8054" t="str">
        <f>IFERROR(__xludf.DUMMYFUNCTION("""COMPUTED_VALUE"""),"Jackson")</f>
        <v>Jackson</v>
      </c>
      <c r="E8054" t="str">
        <f>IFERROR(__xludf.DUMMYFUNCTION("""COMPUTED_VALUE"""),"Bennett")</f>
        <v>Bennett</v>
      </c>
      <c r="F8054" t="str">
        <f>IFERROR(__xludf.DUMMYFUNCTION("""COMPUTED_VALUE"""),"")</f>
        <v/>
      </c>
    </row>
    <row r="8055">
      <c r="D8055" t="str">
        <f>IFERROR(__xludf.DUMMYFUNCTION("""COMPUTED_VALUE"""),"Jackson")</f>
        <v>Jackson</v>
      </c>
      <c r="E8055" t="str">
        <f>IFERROR(__xludf.DUMMYFUNCTION("""COMPUTED_VALUE"""),"Blake")</f>
        <v>Blake</v>
      </c>
      <c r="F8055" t="str">
        <f>IFERROR(__xludf.DUMMYFUNCTION("""COMPUTED_VALUE"""),"")</f>
        <v/>
      </c>
    </row>
    <row r="8056">
      <c r="D8056" t="str">
        <f>IFERROR(__xludf.DUMMYFUNCTION("""COMPUTED_VALUE"""),"Jackson")</f>
        <v>Jackson</v>
      </c>
      <c r="E8056" t="str">
        <f>IFERROR(__xludf.DUMMYFUNCTION("""COMPUTED_VALUE"""),"Branden")</f>
        <v>Branden</v>
      </c>
      <c r="F8056" t="str">
        <f>IFERROR(__xludf.DUMMYFUNCTION("""COMPUTED_VALUE"""),"")</f>
        <v/>
      </c>
    </row>
    <row r="8057">
      <c r="D8057" t="str">
        <f>IFERROR(__xludf.DUMMYFUNCTION("""COMPUTED_VALUE"""),"Jackson")</f>
        <v>Jackson</v>
      </c>
      <c r="E8057" t="str">
        <f>IFERROR(__xludf.DUMMYFUNCTION("""COMPUTED_VALUE"""),"Darius")</f>
        <v>Darius</v>
      </c>
      <c r="F8057" t="str">
        <f>IFERROR(__xludf.DUMMYFUNCTION("""COMPUTED_VALUE"""),"")</f>
        <v/>
      </c>
    </row>
    <row r="8058">
      <c r="D8058" t="str">
        <f>IFERROR(__xludf.DUMMYFUNCTION("""COMPUTED_VALUE"""),"Jackson")</f>
        <v>Jackson</v>
      </c>
      <c r="E8058" t="str">
        <f>IFERROR(__xludf.DUMMYFUNCTION("""COMPUTED_VALUE"""),"DeSean")</f>
        <v>DeSean</v>
      </c>
      <c r="F8058" t="str">
        <f>IFERROR(__xludf.DUMMYFUNCTION("""COMPUTED_VALUE"""),"")</f>
        <v/>
      </c>
    </row>
    <row r="8059">
      <c r="D8059" t="str">
        <f>IFERROR(__xludf.DUMMYFUNCTION("""COMPUTED_VALUE"""),"Jackson")</f>
        <v>Jackson</v>
      </c>
      <c r="E8059" t="str">
        <f>IFERROR(__xludf.DUMMYFUNCTION("""COMPUTED_VALUE"""),"Donte")</f>
        <v>Donte</v>
      </c>
      <c r="F8059" t="str">
        <f>IFERROR(__xludf.DUMMYFUNCTION("""COMPUTED_VALUE"""),"")</f>
        <v/>
      </c>
    </row>
    <row r="8060">
      <c r="D8060" t="str">
        <f>IFERROR(__xludf.DUMMYFUNCTION("""COMPUTED_VALUE"""),"Jackson")</f>
        <v>Jackson</v>
      </c>
      <c r="E8060" t="str">
        <f>IFERROR(__xludf.DUMMYFUNCTION("""COMPUTED_VALUE"""),"Eddie")</f>
        <v>Eddie</v>
      </c>
      <c r="F8060" t="str">
        <f>IFERROR(__xludf.DUMMYFUNCTION("""COMPUTED_VALUE"""),"")</f>
        <v/>
      </c>
    </row>
    <row r="8061">
      <c r="D8061" t="str">
        <f>IFERROR(__xludf.DUMMYFUNCTION("""COMPUTED_VALUE"""),"Jackson")</f>
        <v>Jackson</v>
      </c>
      <c r="E8061" t="str">
        <f>IFERROR(__xludf.DUMMYFUNCTION("""COMPUTED_VALUE"""),"Gabe")</f>
        <v>Gabe</v>
      </c>
      <c r="F8061" t="str">
        <f>IFERROR(__xludf.DUMMYFUNCTION("""COMPUTED_VALUE"""),"")</f>
        <v/>
      </c>
    </row>
    <row r="8062">
      <c r="D8062" t="str">
        <f>IFERROR(__xludf.DUMMYFUNCTION("""COMPUTED_VALUE"""),"Jackson")</f>
        <v>Jackson</v>
      </c>
      <c r="E8062" t="str">
        <f>IFERROR(__xludf.DUMMYFUNCTION("""COMPUTED_VALUE"""),"JC")</f>
        <v>JC</v>
      </c>
      <c r="F8062" t="str">
        <f>IFERROR(__xludf.DUMMYFUNCTION("""COMPUTED_VALUE"""),"")</f>
        <v/>
      </c>
    </row>
    <row r="8063">
      <c r="D8063" t="str">
        <f>IFERROR(__xludf.DUMMYFUNCTION("""COMPUTED_VALUE"""),"Jackson")</f>
        <v>Jackson</v>
      </c>
      <c r="E8063" t="str">
        <f>IFERROR(__xludf.DUMMYFUNCTION("""COMPUTED_VALUE"""),"Joe")</f>
        <v>Joe</v>
      </c>
      <c r="F8063" t="str">
        <f>IFERROR(__xludf.DUMMYFUNCTION("""COMPUTED_VALUE"""),"")</f>
        <v/>
      </c>
    </row>
    <row r="8064">
      <c r="D8064" t="str">
        <f>IFERROR(__xludf.DUMMYFUNCTION("""COMPUTED_VALUE"""),"Jackson")</f>
        <v>Jackson</v>
      </c>
      <c r="E8064" t="str">
        <f>IFERROR(__xludf.DUMMYFUNCTION("""COMPUTED_VALUE"""),"Josh")</f>
        <v>Josh</v>
      </c>
      <c r="F8064" t="str">
        <f>IFERROR(__xludf.DUMMYFUNCTION("""COMPUTED_VALUE"""),"")</f>
        <v/>
      </c>
    </row>
    <row r="8065">
      <c r="D8065" t="str">
        <f>IFERROR(__xludf.DUMMYFUNCTION("""COMPUTED_VALUE"""),"Jackson")</f>
        <v>Jackson</v>
      </c>
      <c r="E8065" t="str">
        <f>IFERROR(__xludf.DUMMYFUNCTION("""COMPUTED_VALUE"""),"Justin")</f>
        <v>Justin</v>
      </c>
      <c r="F8065" t="str">
        <f>IFERROR(__xludf.DUMMYFUNCTION("""COMPUTED_VALUE"""),"")</f>
        <v/>
      </c>
    </row>
    <row r="8066">
      <c r="D8066" t="str">
        <f>IFERROR(__xludf.DUMMYFUNCTION("""COMPUTED_VALUE"""),"Jackson")</f>
        <v>Jackson</v>
      </c>
      <c r="E8066" t="str">
        <f>IFERROR(__xludf.DUMMYFUNCTION("""COMPUTED_VALUE"""),"Kareem")</f>
        <v>Kareem</v>
      </c>
      <c r="F8066" t="str">
        <f>IFERROR(__xludf.DUMMYFUNCTION("""COMPUTED_VALUE"""),"")</f>
        <v/>
      </c>
    </row>
    <row r="8067">
      <c r="D8067" t="str">
        <f>IFERROR(__xludf.DUMMYFUNCTION("""COMPUTED_VALUE"""),"Jackson")</f>
        <v>Jackson</v>
      </c>
      <c r="E8067" t="str">
        <f>IFERROR(__xludf.DUMMYFUNCTION("""COMPUTED_VALUE"""),"Lamar")</f>
        <v>Lamar</v>
      </c>
      <c r="F8067" t="str">
        <f>IFERROR(__xludf.DUMMYFUNCTION("""COMPUTED_VALUE"""),"")</f>
        <v/>
      </c>
    </row>
    <row r="8068">
      <c r="D8068" t="str">
        <f>IFERROR(__xludf.DUMMYFUNCTION("""COMPUTED_VALUE"""),"Jackson")</f>
        <v>Jackson</v>
      </c>
      <c r="E8068" t="str">
        <f>IFERROR(__xludf.DUMMYFUNCTION("""COMPUTED_VALUE"""),"Malik")</f>
        <v>Malik</v>
      </c>
      <c r="F8068" t="str">
        <f>IFERROR(__xludf.DUMMYFUNCTION("""COMPUTED_VALUE"""),"")</f>
        <v/>
      </c>
    </row>
    <row r="8069">
      <c r="D8069" t="str">
        <f>IFERROR(__xludf.DUMMYFUNCTION("""COMPUTED_VALUE"""),"Jackson")</f>
        <v>Jackson</v>
      </c>
      <c r="E8069" t="str">
        <f>IFERROR(__xludf.DUMMYFUNCTION("""COMPUTED_VALUE"""),"Michael")</f>
        <v>Michael</v>
      </c>
      <c r="F8069" t="str">
        <f>IFERROR(__xludf.DUMMYFUNCTION("""COMPUTED_VALUE"""),"")</f>
        <v/>
      </c>
    </row>
    <row r="8070">
      <c r="D8070" t="str">
        <f>IFERROR(__xludf.DUMMYFUNCTION("""COMPUTED_VALUE"""),"Jackson")</f>
        <v>Jackson</v>
      </c>
      <c r="E8070" t="str">
        <f>IFERROR(__xludf.DUMMYFUNCTION("""COMPUTED_VALUE"""),"Robert")</f>
        <v>Robert</v>
      </c>
      <c r="F8070" t="str">
        <f>IFERROR(__xludf.DUMMYFUNCTION("""COMPUTED_VALUE"""),"")</f>
        <v/>
      </c>
    </row>
    <row r="8071">
      <c r="D8071" t="str">
        <f>IFERROR(__xludf.DUMMYFUNCTION("""COMPUTED_VALUE"""),"Jackson")</f>
        <v>Jackson</v>
      </c>
      <c r="E8071" t="str">
        <f>IFERROR(__xludf.DUMMYFUNCTION("""COMPUTED_VALUE"""),"Tyree")</f>
        <v>Tyree</v>
      </c>
      <c r="F8071" t="str">
        <f>IFERROR(__xludf.DUMMYFUNCTION("""COMPUTED_VALUE"""),"")</f>
        <v/>
      </c>
    </row>
    <row r="8072">
      <c r="D8072" t="str">
        <f>IFERROR(__xludf.DUMMYFUNCTION("""COMPUTED_VALUE"""),"Jackson")</f>
        <v>Jackson</v>
      </c>
      <c r="E8072" t="str">
        <f>IFERROR(__xludf.DUMMYFUNCTION("""COMPUTED_VALUE"""),"William")</f>
        <v>William</v>
      </c>
      <c r="F8072" t="str">
        <f>IFERROR(__xludf.DUMMYFUNCTION("""COMPUTED_VALUE"""),"")</f>
        <v/>
      </c>
    </row>
    <row r="8073">
      <c r="D8073" t="str">
        <f>IFERROR(__xludf.DUMMYFUNCTION("""COMPUTED_VALUE"""),"Jacobs")</f>
        <v>Jacobs</v>
      </c>
      <c r="E8073" t="str">
        <f>IFERROR(__xludf.DUMMYFUNCTION("""COMPUTED_VALUE"""),"Josh")</f>
        <v>Josh</v>
      </c>
      <c r="F8073" t="str">
        <f>IFERROR(__xludf.DUMMYFUNCTION("""COMPUTED_VALUE"""),"")</f>
        <v/>
      </c>
    </row>
    <row r="8074">
      <c r="D8074" t="str">
        <f>IFERROR(__xludf.DUMMYFUNCTION("""COMPUTED_VALUE"""),"Jacobs")</f>
        <v>Jacobs</v>
      </c>
      <c r="E8074" t="str">
        <f>IFERROR(__xludf.DUMMYFUNCTION("""COMPUTED_VALUE"""),"Leon")</f>
        <v>Leon</v>
      </c>
      <c r="F8074" t="str">
        <f>IFERROR(__xludf.DUMMYFUNCTION("""COMPUTED_VALUE"""),"")</f>
        <v/>
      </c>
    </row>
    <row r="8075">
      <c r="D8075" t="str">
        <f>IFERROR(__xludf.DUMMYFUNCTION("""COMPUTED_VALUE"""),"Jamerson")</f>
        <v>Jamerson</v>
      </c>
      <c r="E8075" t="str">
        <f>IFERROR(__xludf.DUMMYFUNCTION("""COMPUTED_VALUE"""),"Natrell")</f>
        <v>Natrell</v>
      </c>
      <c r="F8075" t="str">
        <f>IFERROR(__xludf.DUMMYFUNCTION("""COMPUTED_VALUE"""),"")</f>
        <v/>
      </c>
    </row>
    <row r="8076">
      <c r="D8076" t="str">
        <f>IFERROR(__xludf.DUMMYFUNCTION("""COMPUTED_VALUE"""),"James")</f>
        <v>James</v>
      </c>
      <c r="E8076" t="str">
        <f>IFERROR(__xludf.DUMMYFUNCTION("""COMPUTED_VALUE"""),"Craig")</f>
        <v>Craig</v>
      </c>
      <c r="F8076" t="str">
        <f>IFERROR(__xludf.DUMMYFUNCTION("""COMPUTED_VALUE"""),"")</f>
        <v/>
      </c>
    </row>
    <row r="8077">
      <c r="D8077" t="str">
        <f>IFERROR(__xludf.DUMMYFUNCTION("""COMPUTED_VALUE"""),"James")</f>
        <v>James</v>
      </c>
      <c r="E8077" t="str">
        <f>IFERROR(__xludf.DUMMYFUNCTION("""COMPUTED_VALUE"""),"Derwin")</f>
        <v>Derwin</v>
      </c>
      <c r="F8077" t="str">
        <f>IFERROR(__xludf.DUMMYFUNCTION("""COMPUTED_VALUE"""),"")</f>
        <v/>
      </c>
    </row>
    <row r="8078">
      <c r="D8078" t="str">
        <f>IFERROR(__xludf.DUMMYFUNCTION("""COMPUTED_VALUE"""),"James")</f>
        <v>James</v>
      </c>
      <c r="E8078" t="str">
        <f>IFERROR(__xludf.DUMMYFUNCTION("""COMPUTED_VALUE"""),"JaWuan")</f>
        <v>JaWuan</v>
      </c>
      <c r="F8078" t="str">
        <f>IFERROR(__xludf.DUMMYFUNCTION("""COMPUTED_VALUE"""),"")</f>
        <v/>
      </c>
    </row>
    <row r="8079">
      <c r="D8079" t="str">
        <f>IFERROR(__xludf.DUMMYFUNCTION("""COMPUTED_VALUE"""),"James")</f>
        <v>James</v>
      </c>
      <c r="E8079" t="str">
        <f>IFERROR(__xludf.DUMMYFUNCTION("""COMPUTED_VALUE"""),"Jesse")</f>
        <v>Jesse</v>
      </c>
      <c r="F8079" t="str">
        <f>IFERROR(__xludf.DUMMYFUNCTION("""COMPUTED_VALUE"""),"")</f>
        <v/>
      </c>
    </row>
    <row r="8080">
      <c r="D8080" t="str">
        <f>IFERROR(__xludf.DUMMYFUNCTION("""COMPUTED_VALUE"""),"James")</f>
        <v>James</v>
      </c>
      <c r="E8080" t="str">
        <f>IFERROR(__xludf.DUMMYFUNCTION("""COMPUTED_VALUE"""),"Richie")</f>
        <v>Richie</v>
      </c>
      <c r="F8080" t="str">
        <f>IFERROR(__xludf.DUMMYFUNCTION("""COMPUTED_VALUE"""),"")</f>
        <v/>
      </c>
    </row>
    <row r="8081">
      <c r="D8081" t="str">
        <f>IFERROR(__xludf.DUMMYFUNCTION("""COMPUTED_VALUE"""),"Janovich")</f>
        <v>Janovich</v>
      </c>
      <c r="E8081" t="str">
        <f>IFERROR(__xludf.DUMMYFUNCTION("""COMPUTED_VALUE"""),"Andy")</f>
        <v>Andy</v>
      </c>
      <c r="F8081" t="str">
        <f>IFERROR(__xludf.DUMMYFUNCTION("""COMPUTED_VALUE"""),"")</f>
        <v/>
      </c>
    </row>
    <row r="8082">
      <c r="D8082" t="str">
        <f>IFERROR(__xludf.DUMMYFUNCTION("""COMPUTED_VALUE"""),"Jansen")</f>
        <v>Jansen</v>
      </c>
      <c r="E8082" t="str">
        <f>IFERROR(__xludf.DUMMYFUNCTION("""COMPUTED_VALUE"""),"JJ")</f>
        <v>JJ</v>
      </c>
      <c r="F8082" t="str">
        <f>IFERROR(__xludf.DUMMYFUNCTION("""COMPUTED_VALUE"""),"")</f>
        <v/>
      </c>
    </row>
    <row r="8083">
      <c r="D8083" t="str">
        <f>IFERROR(__xludf.DUMMYFUNCTION("""COMPUTED_VALUE"""),"Jarrett")</f>
        <v>Jarrett</v>
      </c>
      <c r="E8083" t="str">
        <f>IFERROR(__xludf.DUMMYFUNCTION("""COMPUTED_VALUE"""),"Grady")</f>
        <v>Grady</v>
      </c>
      <c r="F8083" t="str">
        <f>IFERROR(__xludf.DUMMYFUNCTION("""COMPUTED_VALUE"""),"")</f>
        <v/>
      </c>
    </row>
    <row r="8084">
      <c r="D8084" t="str">
        <f>IFERROR(__xludf.DUMMYFUNCTION("""COMPUTED_VALUE"""),"Jarwin")</f>
        <v>Jarwin</v>
      </c>
      <c r="E8084" t="str">
        <f>IFERROR(__xludf.DUMMYFUNCTION("""COMPUTED_VALUE"""),"Blake")</f>
        <v>Blake</v>
      </c>
      <c r="F8084" t="str">
        <f>IFERROR(__xludf.DUMMYFUNCTION("""COMPUTED_VALUE"""),"")</f>
        <v/>
      </c>
    </row>
    <row r="8085">
      <c r="D8085" t="str">
        <f>IFERROR(__xludf.DUMMYFUNCTION("""COMPUTED_VALUE"""),"Jean-Baptiste")</f>
        <v>Jean-Baptiste</v>
      </c>
      <c r="E8085" t="str">
        <f>IFERROR(__xludf.DUMMYFUNCTION("""COMPUTED_VALUE"""),"Stanley")</f>
        <v>Stanley</v>
      </c>
      <c r="F8085" t="str">
        <f>IFERROR(__xludf.DUMMYFUNCTION("""COMPUTED_VALUE"""),"")</f>
        <v/>
      </c>
    </row>
    <row r="8086">
      <c r="D8086" t="str">
        <f>IFERROR(__xludf.DUMMYFUNCTION("""COMPUTED_VALUE"""),"Jefferson")</f>
        <v>Jefferson</v>
      </c>
      <c r="E8086" t="str">
        <f>IFERROR(__xludf.DUMMYFUNCTION("""COMPUTED_VALUE"""),"Malik")</f>
        <v>Malik</v>
      </c>
      <c r="F8086" t="str">
        <f>IFERROR(__xludf.DUMMYFUNCTION("""COMPUTED_VALUE"""),"")</f>
        <v/>
      </c>
    </row>
    <row r="8087">
      <c r="D8087" t="str">
        <f>IFERROR(__xludf.DUMMYFUNCTION("""COMPUTED_VALUE"""),"Jefferson")</f>
        <v>Jefferson</v>
      </c>
      <c r="E8087" t="str">
        <f>IFERROR(__xludf.DUMMYFUNCTION("""COMPUTED_VALUE"""),"Quinton")</f>
        <v>Quinton</v>
      </c>
      <c r="F8087" t="str">
        <f>IFERROR(__xludf.DUMMYFUNCTION("""COMPUTED_VALUE"""),"")</f>
        <v/>
      </c>
    </row>
    <row r="8088">
      <c r="D8088" t="str">
        <f>IFERROR(__xludf.DUMMYFUNCTION("""COMPUTED_VALUE"""),"Jefferson")</f>
        <v>Jefferson</v>
      </c>
      <c r="E8088" t="str">
        <f>IFERROR(__xludf.DUMMYFUNCTION("""COMPUTED_VALUE"""),"Tony")</f>
        <v>Tony</v>
      </c>
      <c r="F8088" t="str">
        <f>IFERROR(__xludf.DUMMYFUNCTION("""COMPUTED_VALUE"""),"")</f>
        <v/>
      </c>
    </row>
    <row r="8089">
      <c r="D8089" t="str">
        <f>IFERROR(__xludf.DUMMYFUNCTION("""COMPUTED_VALUE"""),"Jeffery")</f>
        <v>Jeffery</v>
      </c>
      <c r="E8089" t="str">
        <f>IFERROR(__xludf.DUMMYFUNCTION("""COMPUTED_VALUE"""),"Alshon")</f>
        <v>Alshon</v>
      </c>
      <c r="F8089" t="str">
        <f>IFERROR(__xludf.DUMMYFUNCTION("""COMPUTED_VALUE"""),"")</f>
        <v/>
      </c>
    </row>
    <row r="8090">
      <c r="D8090" t="str">
        <f>IFERROR(__xludf.DUMMYFUNCTION("""COMPUTED_VALUE"""),"Jelks")</f>
        <v>Jelks</v>
      </c>
      <c r="E8090" t="str">
        <f>IFERROR(__xludf.DUMMYFUNCTION("""COMPUTED_VALUE"""),"Jalen")</f>
        <v>Jalen</v>
      </c>
      <c r="F8090" t="str">
        <f>IFERROR(__xludf.DUMMYFUNCTION("""COMPUTED_VALUE"""),"")</f>
        <v/>
      </c>
    </row>
    <row r="8091">
      <c r="D8091" t="str">
        <f>IFERROR(__xludf.DUMMYFUNCTION("""COMPUTED_VALUE"""),"Jenkins")</f>
        <v>Jenkins</v>
      </c>
      <c r="E8091" t="str">
        <f>IFERROR(__xludf.DUMMYFUNCTION("""COMPUTED_VALUE"""),"Elgton")</f>
        <v>Elgton</v>
      </c>
      <c r="F8091" t="str">
        <f>IFERROR(__xludf.DUMMYFUNCTION("""COMPUTED_VALUE"""),"")</f>
        <v/>
      </c>
    </row>
    <row r="8092">
      <c r="D8092" t="str">
        <f>IFERROR(__xludf.DUMMYFUNCTION("""COMPUTED_VALUE"""),"Jenkins")</f>
        <v>Jenkins</v>
      </c>
      <c r="E8092" t="str">
        <f>IFERROR(__xludf.DUMMYFUNCTION("""COMPUTED_VALUE"""),"Janoris")</f>
        <v>Janoris</v>
      </c>
      <c r="F8092" t="str">
        <f>IFERROR(__xludf.DUMMYFUNCTION("""COMPUTED_VALUE"""),"")</f>
        <v/>
      </c>
    </row>
    <row r="8093">
      <c r="D8093" t="str">
        <f>IFERROR(__xludf.DUMMYFUNCTION("""COMPUTED_VALUE"""),"Jenkins")</f>
        <v>Jenkins</v>
      </c>
      <c r="E8093" t="str">
        <f>IFERROR(__xludf.DUMMYFUNCTION("""COMPUTED_VALUE"""),"John")</f>
        <v>John</v>
      </c>
      <c r="F8093" t="str">
        <f>IFERROR(__xludf.DUMMYFUNCTION("""COMPUTED_VALUE"""),"")</f>
        <v/>
      </c>
    </row>
    <row r="8094">
      <c r="D8094" t="str">
        <f>IFERROR(__xludf.DUMMYFUNCTION("""COMPUTED_VALUE"""),"Jenkins")</f>
        <v>Jenkins</v>
      </c>
      <c r="E8094" t="str">
        <f>IFERROR(__xludf.DUMMYFUNCTION("""COMPUTED_VALUE"""),"Jordan")</f>
        <v>Jordan</v>
      </c>
      <c r="F8094" t="str">
        <f>IFERROR(__xludf.DUMMYFUNCTION("""COMPUTED_VALUE"""),"")</f>
        <v/>
      </c>
    </row>
    <row r="8095">
      <c r="D8095" t="str">
        <f>IFERROR(__xludf.DUMMYFUNCTION("""COMPUTED_VALUE"""),"Jenkins")</f>
        <v>Jenkins</v>
      </c>
      <c r="E8095" t="str">
        <f>IFERROR(__xludf.DUMMYFUNCTION("""COMPUTED_VALUE"""),"Malcolm")</f>
        <v>Malcolm</v>
      </c>
      <c r="F8095" t="str">
        <f>IFERROR(__xludf.DUMMYFUNCTION("""COMPUTED_VALUE"""),"")</f>
        <v/>
      </c>
    </row>
    <row r="8096">
      <c r="D8096" t="str">
        <f>IFERROR(__xludf.DUMMYFUNCTION("""COMPUTED_VALUE"""),"Jenkins")</f>
        <v>Jenkins</v>
      </c>
      <c r="E8096" t="str">
        <f>IFERROR(__xludf.DUMMYFUNCTION("""COMPUTED_VALUE"""),"Rayshawn")</f>
        <v>Rayshawn</v>
      </c>
      <c r="F8096" t="str">
        <f>IFERROR(__xludf.DUMMYFUNCTION("""COMPUTED_VALUE"""),"")</f>
        <v/>
      </c>
    </row>
    <row r="8097">
      <c r="D8097" t="str">
        <f>IFERROR(__xludf.DUMMYFUNCTION("""COMPUTED_VALUE"""),"Jennings")</f>
        <v>Jennings</v>
      </c>
      <c r="E8097" t="str">
        <f>IFERROR(__xludf.DUMMYFUNCTION("""COMPUTED_VALUE"""),"Darius")</f>
        <v>Darius</v>
      </c>
      <c r="F8097" t="str">
        <f>IFERROR(__xludf.DUMMYFUNCTION("""COMPUTED_VALUE"""),"")</f>
        <v/>
      </c>
    </row>
    <row r="8098">
      <c r="D8098" t="str">
        <f>IFERROR(__xludf.DUMMYFUNCTION("""COMPUTED_VALUE"""),"Jennings")</f>
        <v>Jennings</v>
      </c>
      <c r="E8098" t="str">
        <f>IFERROR(__xludf.DUMMYFUNCTION("""COMPUTED_VALUE"""),"Gary")</f>
        <v>Gary</v>
      </c>
      <c r="F8098" t="str">
        <f>IFERROR(__xludf.DUMMYFUNCTION("""COMPUTED_VALUE"""),"")</f>
        <v/>
      </c>
    </row>
    <row r="8099">
      <c r="D8099" t="str">
        <f>IFERROR(__xludf.DUMMYFUNCTION("""COMPUTED_VALUE"""),"Jensen")</f>
        <v>Jensen</v>
      </c>
      <c r="E8099" t="str">
        <f>IFERROR(__xludf.DUMMYFUNCTION("""COMPUTED_VALUE"""),"Ryan")</f>
        <v>Ryan</v>
      </c>
      <c r="F8099" t="str">
        <f>IFERROR(__xludf.DUMMYFUNCTION("""COMPUTED_VALUE"""),"")</f>
        <v/>
      </c>
    </row>
    <row r="8100">
      <c r="D8100" t="str">
        <f>IFERROR(__xludf.DUMMYFUNCTION("""COMPUTED_VALUE"""),"Jernigan")</f>
        <v>Jernigan</v>
      </c>
      <c r="E8100" t="str">
        <f>IFERROR(__xludf.DUMMYFUNCTION("""COMPUTED_VALUE"""),"Tim")</f>
        <v>Tim</v>
      </c>
      <c r="F8100" t="str">
        <f>IFERROR(__xludf.DUMMYFUNCTION("""COMPUTED_VALUE"""),"")</f>
        <v/>
      </c>
    </row>
    <row r="8101">
      <c r="D8101" t="str">
        <f>IFERROR(__xludf.DUMMYFUNCTION("""COMPUTED_VALUE"""),"Jewell")</f>
        <v>Jewell</v>
      </c>
      <c r="E8101" t="str">
        <f>IFERROR(__xludf.DUMMYFUNCTION("""COMPUTED_VALUE"""),"Josey")</f>
        <v>Josey</v>
      </c>
      <c r="F8101" t="str">
        <f>IFERROR(__xludf.DUMMYFUNCTION("""COMPUTED_VALUE"""),"")</f>
        <v/>
      </c>
    </row>
    <row r="8102">
      <c r="D8102" t="str">
        <f>IFERROR(__xludf.DUMMYFUNCTION("""COMPUTED_VALUE"""),"John")</f>
        <v>John</v>
      </c>
      <c r="E8102" t="str">
        <f>IFERROR(__xludf.DUMMYFUNCTION("""COMPUTED_VALUE"""),"Ulrick")</f>
        <v>Ulrick</v>
      </c>
      <c r="F8102" t="str">
        <f>IFERROR(__xludf.DUMMYFUNCTION("""COMPUTED_VALUE"""),"")</f>
        <v/>
      </c>
    </row>
    <row r="8103">
      <c r="D8103" t="str">
        <f>IFERROR(__xludf.DUMMYFUNCTION("""COMPUTED_VALUE"""),"Johnson")</f>
        <v>Johnson</v>
      </c>
      <c r="E8103" t="str">
        <f>IFERROR(__xludf.DUMMYFUNCTION("""COMPUTED_VALUE"""),"AJ")</f>
        <v>AJ</v>
      </c>
      <c r="F8103" t="str">
        <f>IFERROR(__xludf.DUMMYFUNCTION("""COMPUTED_VALUE"""),"")</f>
        <v/>
      </c>
    </row>
    <row r="8104">
      <c r="D8104" t="str">
        <f>IFERROR(__xludf.DUMMYFUNCTION("""COMPUTED_VALUE"""),"Johnson")</f>
        <v>Johnson</v>
      </c>
      <c r="E8104" t="str">
        <f>IFERROR(__xludf.DUMMYFUNCTION("""COMPUTED_VALUE"""),"Anthony")</f>
        <v>Anthony</v>
      </c>
      <c r="F8104" t="str">
        <f>IFERROR(__xludf.DUMMYFUNCTION("""COMPUTED_VALUE"""),"")</f>
        <v/>
      </c>
    </row>
    <row r="8105">
      <c r="D8105" t="str">
        <f>IFERROR(__xludf.DUMMYFUNCTION("""COMPUTED_VALUE"""),"Johnson")</f>
        <v>Johnson</v>
      </c>
      <c r="E8105" t="str">
        <f>IFERROR(__xludf.DUMMYFUNCTION("""COMPUTED_VALUE"""),"Austin")</f>
        <v>Austin</v>
      </c>
      <c r="F8105" t="str">
        <f>IFERROR(__xludf.DUMMYFUNCTION("""COMPUTED_VALUE"""),"")</f>
        <v/>
      </c>
    </row>
    <row r="8106">
      <c r="D8106" t="str">
        <f>IFERROR(__xludf.DUMMYFUNCTION("""COMPUTED_VALUE"""),"Johnson")</f>
        <v>Johnson</v>
      </c>
      <c r="E8106" t="str">
        <f>IFERROR(__xludf.DUMMYFUNCTION("""COMPUTED_VALUE"""),"Charles")</f>
        <v>Charles</v>
      </c>
      <c r="F8106" t="str">
        <f>IFERROR(__xludf.DUMMYFUNCTION("""COMPUTED_VALUE"""),"")</f>
        <v/>
      </c>
    </row>
    <row r="8107">
      <c r="D8107" t="str">
        <f>IFERROR(__xludf.DUMMYFUNCTION("""COMPUTED_VALUE"""),"Johnson")</f>
        <v>Johnson</v>
      </c>
      <c r="E8107" t="str">
        <f>IFERROR(__xludf.DUMMYFUNCTION("""COMPUTED_VALUE"""),"Danny")</f>
        <v>Danny</v>
      </c>
      <c r="F8107" t="str">
        <f>IFERROR(__xludf.DUMMYFUNCTION("""COMPUTED_VALUE"""),"")</f>
        <v/>
      </c>
    </row>
    <row r="8108">
      <c r="D8108" t="str">
        <f>IFERROR(__xludf.DUMMYFUNCTION("""COMPUTED_VALUE"""),"Johnson")</f>
        <v>Johnson</v>
      </c>
      <c r="E8108" t="str">
        <f>IFERROR(__xludf.DUMMYFUNCTION("""COMPUTED_VALUE"""),"Darryl")</f>
        <v>Darryl</v>
      </c>
      <c r="F8108" t="str">
        <f>IFERROR(__xludf.DUMMYFUNCTION("""COMPUTED_VALUE"""),"")</f>
        <v/>
      </c>
    </row>
    <row r="8109">
      <c r="D8109" t="str">
        <f>IFERROR(__xludf.DUMMYFUNCTION("""COMPUTED_VALUE"""),"Johnson")</f>
        <v>Johnson</v>
      </c>
      <c r="E8109" t="str">
        <f>IFERROR(__xludf.DUMMYFUNCTION("""COMPUTED_VALUE"""),"David")</f>
        <v>David</v>
      </c>
      <c r="F8109" t="str">
        <f>IFERROR(__xludf.DUMMYFUNCTION("""COMPUTED_VALUE"""),"")</f>
        <v/>
      </c>
    </row>
    <row r="8110">
      <c r="D8110" t="str">
        <f>IFERROR(__xludf.DUMMYFUNCTION("""COMPUTED_VALUE"""),"Johnson")</f>
        <v>Johnson</v>
      </c>
      <c r="E8110" t="str">
        <f>IFERROR(__xludf.DUMMYFUNCTION("""COMPUTED_VALUE"""),"Diontae")</f>
        <v>Diontae</v>
      </c>
      <c r="F8110" t="str">
        <f>IFERROR(__xludf.DUMMYFUNCTION("""COMPUTED_VALUE"""),"")</f>
        <v/>
      </c>
    </row>
    <row r="8111">
      <c r="D8111" t="str">
        <f>IFERROR(__xludf.DUMMYFUNCTION("""COMPUTED_VALUE"""),"Johnson")</f>
        <v>Johnson</v>
      </c>
      <c r="E8111" t="str">
        <f>IFERROR(__xludf.DUMMYFUNCTION("""COMPUTED_VALUE"""),"Dorian")</f>
        <v>Dorian</v>
      </c>
      <c r="F8111" t="str">
        <f>IFERROR(__xludf.DUMMYFUNCTION("""COMPUTED_VALUE"""),"")</f>
        <v/>
      </c>
    </row>
    <row r="8112">
      <c r="D8112" t="str">
        <f>IFERROR(__xludf.DUMMYFUNCTION("""COMPUTED_VALUE"""),"Johnson")</f>
        <v>Johnson</v>
      </c>
      <c r="E8112" t="str">
        <f>IFERROR(__xludf.DUMMYFUNCTION("""COMPUTED_VALUE"""),"Duke")</f>
        <v>Duke</v>
      </c>
      <c r="F8112" t="str">
        <f>IFERROR(__xludf.DUMMYFUNCTION("""COMPUTED_VALUE"""),"")</f>
        <v/>
      </c>
    </row>
    <row r="8113">
      <c r="D8113" t="str">
        <f>IFERROR(__xludf.DUMMYFUNCTION("""COMPUTED_VALUE"""),"Johnson")</f>
        <v>Johnson</v>
      </c>
      <c r="E8113" t="str">
        <f>IFERROR(__xludf.DUMMYFUNCTION("""COMPUTED_VALUE"""),"Fred")</f>
        <v>Fred</v>
      </c>
      <c r="F8113" t="str">
        <f>IFERROR(__xludf.DUMMYFUNCTION("""COMPUTED_VALUE"""),"")</f>
        <v/>
      </c>
    </row>
    <row r="8114">
      <c r="D8114" t="str">
        <f>IFERROR(__xludf.DUMMYFUNCTION("""COMPUTED_VALUE"""),"Johnson")</f>
        <v>Johnson</v>
      </c>
      <c r="E8114" t="str">
        <f>IFERROR(__xludf.DUMMYFUNCTION("""COMPUTED_VALUE"""),"Gary")</f>
        <v>Gary</v>
      </c>
      <c r="F8114" t="str">
        <f>IFERROR(__xludf.DUMMYFUNCTION("""COMPUTED_VALUE"""),"")</f>
        <v/>
      </c>
    </row>
    <row r="8115">
      <c r="D8115" t="str">
        <f>IFERROR(__xludf.DUMMYFUNCTION("""COMPUTED_VALUE"""),"Johnson")</f>
        <v>Johnson</v>
      </c>
      <c r="E8115" t="str">
        <f>IFERROR(__xludf.DUMMYFUNCTION("""COMPUTED_VALUE"""),"Isaiah")</f>
        <v>Isaiah</v>
      </c>
      <c r="F8115" t="str">
        <f>IFERROR(__xludf.DUMMYFUNCTION("""COMPUTED_VALUE"""),"")</f>
        <v/>
      </c>
    </row>
    <row r="8116">
      <c r="D8116" t="str">
        <f>IFERROR(__xludf.DUMMYFUNCTION("""COMPUTED_VALUE"""),"Johnson")</f>
        <v>Johnson</v>
      </c>
      <c r="E8116" t="str">
        <f>IFERROR(__xludf.DUMMYFUNCTION("""COMPUTED_VALUE"""),"Isaiah")</f>
        <v>Isaiah</v>
      </c>
      <c r="F8116" t="str">
        <f>IFERROR(__xludf.DUMMYFUNCTION("""COMPUTED_VALUE"""),"")</f>
        <v/>
      </c>
    </row>
    <row r="8117">
      <c r="D8117" t="str">
        <f>IFERROR(__xludf.DUMMYFUNCTION("""COMPUTED_VALUE"""),"Johnson")</f>
        <v>Johnson</v>
      </c>
      <c r="E8117" t="str">
        <f>IFERROR(__xludf.DUMMYFUNCTION("""COMPUTED_VALUE"""),"Isaiah")</f>
        <v>Isaiah</v>
      </c>
      <c r="F8117" t="str">
        <f>IFERROR(__xludf.DUMMYFUNCTION("""COMPUTED_VALUE"""),"")</f>
        <v/>
      </c>
    </row>
    <row r="8118">
      <c r="D8118" t="str">
        <f>IFERROR(__xludf.DUMMYFUNCTION("""COMPUTED_VALUE"""),"Johnson")</f>
        <v>Johnson</v>
      </c>
      <c r="E8118" t="str">
        <f>IFERROR(__xludf.DUMMYFUNCTION("""COMPUTED_VALUE"""),"Jaleel")</f>
        <v>Jaleel</v>
      </c>
      <c r="F8118" t="str">
        <f>IFERROR(__xludf.DUMMYFUNCTION("""COMPUTED_VALUE"""),"")</f>
        <v/>
      </c>
    </row>
    <row r="8119">
      <c r="D8119" t="str">
        <f>IFERROR(__xludf.DUMMYFUNCTION("""COMPUTED_VALUE"""),"Johnson")</f>
        <v>Johnson</v>
      </c>
      <c r="E8119" t="str">
        <f>IFERROR(__xludf.DUMMYFUNCTION("""COMPUTED_VALUE"""),"Jaquan")</f>
        <v>Jaquan</v>
      </c>
      <c r="F8119" t="str">
        <f>IFERROR(__xludf.DUMMYFUNCTION("""COMPUTED_VALUE"""),"")</f>
        <v/>
      </c>
    </row>
    <row r="8120">
      <c r="D8120" t="str">
        <f>IFERROR(__xludf.DUMMYFUNCTION("""COMPUTED_VALUE"""),"Johnson")</f>
        <v>Johnson</v>
      </c>
      <c r="E8120" t="str">
        <f>IFERROR(__xludf.DUMMYFUNCTION("""COMPUTED_VALUE"""),"John")</f>
        <v>John</v>
      </c>
      <c r="F8120" t="str">
        <f>IFERROR(__xludf.DUMMYFUNCTION("""COMPUTED_VALUE"""),"")</f>
        <v/>
      </c>
    </row>
    <row r="8121">
      <c r="D8121" t="str">
        <f>IFERROR(__xludf.DUMMYFUNCTION("""COMPUTED_VALUE"""),"Johnson")</f>
        <v>Johnson</v>
      </c>
      <c r="E8121" t="str">
        <f>IFERROR(__xludf.DUMMYFUNCTION("""COMPUTED_VALUE"""),"KeeSean")</f>
        <v>KeeSean</v>
      </c>
      <c r="F8121" t="str">
        <f>IFERROR(__xludf.DUMMYFUNCTION("""COMPUTED_VALUE"""),"")</f>
        <v/>
      </c>
    </row>
    <row r="8122">
      <c r="D8122" t="str">
        <f>IFERROR(__xludf.DUMMYFUNCTION("""COMPUTED_VALUE"""),"Johnson")</f>
        <v>Johnson</v>
      </c>
      <c r="E8122" t="str">
        <f>IFERROR(__xludf.DUMMYFUNCTION("""COMPUTED_VALUE"""),"Kerryon")</f>
        <v>Kerryon</v>
      </c>
      <c r="F8122" t="str">
        <f>IFERROR(__xludf.DUMMYFUNCTION("""COMPUTED_VALUE"""),"")</f>
        <v/>
      </c>
    </row>
    <row r="8123">
      <c r="D8123" t="str">
        <f>IFERROR(__xludf.DUMMYFUNCTION("""COMPUTED_VALUE"""),"Johnson")</f>
        <v>Johnson</v>
      </c>
      <c r="E8123" t="str">
        <f>IFERROR(__xludf.DUMMYFUNCTION("""COMPUTED_VALUE"""),"Kevin")</f>
        <v>Kevin</v>
      </c>
      <c r="F8123" t="str">
        <f>IFERROR(__xludf.DUMMYFUNCTION("""COMPUTED_VALUE"""),"")</f>
        <v/>
      </c>
    </row>
    <row r="8124">
      <c r="D8124" t="str">
        <f>IFERROR(__xludf.DUMMYFUNCTION("""COMPUTED_VALUE"""),"Johnson")</f>
        <v>Johnson</v>
      </c>
      <c r="E8124" t="str">
        <f>IFERROR(__xludf.DUMMYFUNCTION("""COMPUTED_VALUE"""),"Lane")</f>
        <v>Lane</v>
      </c>
      <c r="F8124" t="str">
        <f>IFERROR(__xludf.DUMMYFUNCTION("""COMPUTED_VALUE"""),"")</f>
        <v/>
      </c>
    </row>
    <row r="8125">
      <c r="D8125" t="str">
        <f>IFERROR(__xludf.DUMMYFUNCTION("""COMPUTED_VALUE"""),"Johnson")</f>
        <v>Johnson</v>
      </c>
      <c r="E8125" t="str">
        <f>IFERROR(__xludf.DUMMYFUNCTION("""COMPUTED_VALUE"""),"Lonnie")</f>
        <v>Lonnie</v>
      </c>
      <c r="F8125" t="str">
        <f>IFERROR(__xludf.DUMMYFUNCTION("""COMPUTED_VALUE"""),"")</f>
        <v/>
      </c>
    </row>
    <row r="8126">
      <c r="D8126" t="str">
        <f>IFERROR(__xludf.DUMMYFUNCTION("""COMPUTED_VALUE"""),"Johnson")</f>
        <v>Johnson</v>
      </c>
      <c r="E8126" t="str">
        <f>IFERROR(__xludf.DUMMYFUNCTION("""COMPUTED_VALUE"""),"Marcus")</f>
        <v>Marcus</v>
      </c>
      <c r="F8126" t="str">
        <f>IFERROR(__xludf.DUMMYFUNCTION("""COMPUTED_VALUE"""),"")</f>
        <v/>
      </c>
    </row>
    <row r="8127">
      <c r="D8127" t="str">
        <f>IFERROR(__xludf.DUMMYFUNCTION("""COMPUTED_VALUE"""),"Johnson")</f>
        <v>Johnson</v>
      </c>
      <c r="E8127" t="str">
        <f>IFERROR(__xludf.DUMMYFUNCTION("""COMPUTED_VALUE"""),"Olabisi")</f>
        <v>Olabisi</v>
      </c>
      <c r="F8127" t="str">
        <f>IFERROR(__xludf.DUMMYFUNCTION("""COMPUTED_VALUE"""),"")</f>
        <v/>
      </c>
    </row>
    <row r="8128">
      <c r="D8128" t="str">
        <f>IFERROR(__xludf.DUMMYFUNCTION("""COMPUTED_VALUE"""),"Johnson")</f>
        <v>Johnson</v>
      </c>
      <c r="E8128" t="str">
        <f>IFERROR(__xludf.DUMMYFUNCTION("""COMPUTED_VALUE"""),"PJ")</f>
        <v>PJ</v>
      </c>
      <c r="F8128" t="str">
        <f>IFERROR(__xludf.DUMMYFUNCTION("""COMPUTED_VALUE"""),"")</f>
        <v/>
      </c>
    </row>
    <row r="8129">
      <c r="D8129" t="str">
        <f>IFERROR(__xludf.DUMMYFUNCTION("""COMPUTED_VALUE"""),"Johnson")</f>
        <v>Johnson</v>
      </c>
      <c r="E8129" t="str">
        <f>IFERROR(__xludf.DUMMYFUNCTION("""COMPUTED_VALUE"""),"Roderick")</f>
        <v>Roderick</v>
      </c>
      <c r="F8129" t="str">
        <f>IFERROR(__xludf.DUMMYFUNCTION("""COMPUTED_VALUE"""),"")</f>
        <v/>
      </c>
    </row>
    <row r="8130">
      <c r="D8130" t="str">
        <f>IFERROR(__xludf.DUMMYFUNCTION("""COMPUTED_VALUE"""),"Johnson")</f>
        <v>Johnson</v>
      </c>
      <c r="E8130" t="str">
        <f>IFERROR(__xludf.DUMMYFUNCTION("""COMPUTED_VALUE"""),"Taron")</f>
        <v>Taron</v>
      </c>
      <c r="F8130" t="str">
        <f>IFERROR(__xludf.DUMMYFUNCTION("""COMPUTED_VALUE"""),"")</f>
        <v/>
      </c>
    </row>
    <row r="8131">
      <c r="D8131" t="str">
        <f>IFERROR(__xludf.DUMMYFUNCTION("""COMPUTED_VALUE"""),"Johnson")</f>
        <v>Johnson</v>
      </c>
      <c r="E8131" t="str">
        <f>IFERROR(__xludf.DUMMYFUNCTION("""COMPUTED_VALUE"""),"Trevon")</f>
        <v>Trevon</v>
      </c>
      <c r="F8131" t="str">
        <f>IFERROR(__xludf.DUMMYFUNCTION("""COMPUTED_VALUE"""),"")</f>
        <v/>
      </c>
    </row>
    <row r="8132">
      <c r="D8132" t="str">
        <f>IFERROR(__xludf.DUMMYFUNCTION("""COMPUTED_VALUE"""),"Johnson")</f>
        <v>Johnson</v>
      </c>
      <c r="E8132" t="str">
        <f>IFERROR(__xludf.DUMMYFUNCTION("""COMPUTED_VALUE"""),"Trumaine")</f>
        <v>Trumaine</v>
      </c>
      <c r="F8132" t="str">
        <f>IFERROR(__xludf.DUMMYFUNCTION("""COMPUTED_VALUE"""),"")</f>
        <v/>
      </c>
    </row>
    <row r="8133">
      <c r="D8133" t="str">
        <f>IFERROR(__xludf.DUMMYFUNCTION("""COMPUTED_VALUE"""),"Johnson")</f>
        <v>Johnson</v>
      </c>
      <c r="E8133" t="str">
        <f>IFERROR(__xludf.DUMMYFUNCTION("""COMPUTED_VALUE"""),"Ty")</f>
        <v>Ty</v>
      </c>
      <c r="F8133" t="str">
        <f>IFERROR(__xludf.DUMMYFUNCTION("""COMPUTED_VALUE"""),"")</f>
        <v/>
      </c>
    </row>
    <row r="8134">
      <c r="D8134" t="str">
        <f>IFERROR(__xludf.DUMMYFUNCTION("""COMPUTED_VALUE"""),"Johnston")</f>
        <v>Johnston</v>
      </c>
      <c r="E8134" t="str">
        <f>IFERROR(__xludf.DUMMYFUNCTION("""COMPUTED_VALUE"""),"Cameron")</f>
        <v>Cameron</v>
      </c>
      <c r="F8134" t="str">
        <f>IFERROR(__xludf.DUMMYFUNCTION("""COMPUTED_VALUE"""),"")</f>
        <v/>
      </c>
    </row>
    <row r="8135">
      <c r="D8135" t="str">
        <f>IFERROR(__xludf.DUMMYFUNCTION("""COMPUTED_VALUE"""),"Jones")</f>
        <v>Jones</v>
      </c>
      <c r="E8135" t="str">
        <f>IFERROR(__xludf.DUMMYFUNCTION("""COMPUTED_VALUE"""),"Aaron")</f>
        <v>Aaron</v>
      </c>
      <c r="F8135" t="str">
        <f>IFERROR(__xludf.DUMMYFUNCTION("""COMPUTED_VALUE"""),"")</f>
        <v/>
      </c>
    </row>
    <row r="8136">
      <c r="D8136" t="str">
        <f>IFERROR(__xludf.DUMMYFUNCTION("""COMPUTED_VALUE"""),"Jones")</f>
        <v>Jones</v>
      </c>
      <c r="E8136" t="str">
        <f>IFERROR(__xludf.DUMMYFUNCTION("""COMPUTED_VALUE"""),"Abry")</f>
        <v>Abry</v>
      </c>
      <c r="F8136" t="str">
        <f>IFERROR(__xludf.DUMMYFUNCTION("""COMPUTED_VALUE"""),"")</f>
        <v/>
      </c>
    </row>
    <row r="8137">
      <c r="D8137" t="str">
        <f>IFERROR(__xludf.DUMMYFUNCTION("""COMPUTED_VALUE"""),"Jones")</f>
        <v>Jones</v>
      </c>
      <c r="E8137" t="str">
        <f>IFERROR(__xludf.DUMMYFUNCTION("""COMPUTED_VALUE"""),"Alvin")</f>
        <v>Alvin</v>
      </c>
      <c r="F8137" t="str">
        <f>IFERROR(__xludf.DUMMYFUNCTION("""COMPUTED_VALUE"""),"")</f>
        <v/>
      </c>
    </row>
    <row r="8138">
      <c r="D8138" t="str">
        <f>IFERROR(__xludf.DUMMYFUNCTION("""COMPUTED_VALUE"""),"Jones")</f>
        <v>Jones</v>
      </c>
      <c r="E8138" t="str">
        <f>IFERROR(__xludf.DUMMYFUNCTION("""COMPUTED_VALUE"""),"Andy")</f>
        <v>Andy</v>
      </c>
      <c r="F8138" t="str">
        <f>IFERROR(__xludf.DUMMYFUNCTION("""COMPUTED_VALUE"""),"")</f>
        <v/>
      </c>
    </row>
    <row r="8139">
      <c r="D8139" t="str">
        <f>IFERROR(__xludf.DUMMYFUNCTION("""COMPUTED_VALUE"""),"Jones")</f>
        <v>Jones</v>
      </c>
      <c r="E8139" t="str">
        <f>IFERROR(__xludf.DUMMYFUNCTION("""COMPUTED_VALUE"""),"Ben")</f>
        <v>Ben</v>
      </c>
      <c r="F8139" t="str">
        <f>IFERROR(__xludf.DUMMYFUNCTION("""COMPUTED_VALUE"""),"")</f>
        <v/>
      </c>
    </row>
    <row r="8140">
      <c r="D8140" t="str">
        <f>IFERROR(__xludf.DUMMYFUNCTION("""COMPUTED_VALUE"""),"Jones")</f>
        <v>Jones</v>
      </c>
      <c r="E8140" t="str">
        <f>IFERROR(__xludf.DUMMYFUNCTION("""COMPUTED_VALUE"""),"Brett")</f>
        <v>Brett</v>
      </c>
      <c r="F8140" t="str">
        <f>IFERROR(__xludf.DUMMYFUNCTION("""COMPUTED_VALUE"""),"")</f>
        <v/>
      </c>
    </row>
    <row r="8141">
      <c r="D8141" t="str">
        <f>IFERROR(__xludf.DUMMYFUNCTION("""COMPUTED_VALUE"""),"Jones")</f>
        <v>Jones</v>
      </c>
      <c r="E8141" t="str">
        <f>IFERROR(__xludf.DUMMYFUNCTION("""COMPUTED_VALUE"""),"Byron")</f>
        <v>Byron</v>
      </c>
      <c r="F8141" t="str">
        <f>IFERROR(__xludf.DUMMYFUNCTION("""COMPUTED_VALUE"""),"")</f>
        <v/>
      </c>
    </row>
    <row r="8142">
      <c r="D8142" t="str">
        <f>IFERROR(__xludf.DUMMYFUNCTION("""COMPUTED_VALUE"""),"Jones")</f>
        <v>Jones</v>
      </c>
      <c r="E8142" t="str">
        <f>IFERROR(__xludf.DUMMYFUNCTION("""COMPUTED_VALUE"""),"Cardale")</f>
        <v>Cardale</v>
      </c>
      <c r="F8142" t="str">
        <f>IFERROR(__xludf.DUMMYFUNCTION("""COMPUTED_VALUE"""),"")</f>
        <v/>
      </c>
    </row>
    <row r="8143">
      <c r="D8143" t="str">
        <f>IFERROR(__xludf.DUMMYFUNCTION("""COMPUTED_VALUE"""),"Jones")</f>
        <v>Jones</v>
      </c>
      <c r="E8143" t="str">
        <f>IFERROR(__xludf.DUMMYFUNCTION("""COMPUTED_VALUE"""),"Chandler")</f>
        <v>Chandler</v>
      </c>
      <c r="F8143" t="str">
        <f>IFERROR(__xludf.DUMMYFUNCTION("""COMPUTED_VALUE"""),"")</f>
        <v/>
      </c>
    </row>
    <row r="8144">
      <c r="D8144" t="str">
        <f>IFERROR(__xludf.DUMMYFUNCTION("""COMPUTED_VALUE"""),"Jones")</f>
        <v>Jones</v>
      </c>
      <c r="E8144" t="str">
        <f>IFERROR(__xludf.DUMMYFUNCTION("""COMPUTED_VALUE"""),"Chris")</f>
        <v>Chris</v>
      </c>
      <c r="F8144" t="str">
        <f>IFERROR(__xludf.DUMMYFUNCTION("""COMPUTED_VALUE"""),"")</f>
        <v/>
      </c>
    </row>
    <row r="8145">
      <c r="D8145" t="str">
        <f>IFERROR(__xludf.DUMMYFUNCTION("""COMPUTED_VALUE"""),"Jones")</f>
        <v>Jones</v>
      </c>
      <c r="E8145" t="str">
        <f>IFERROR(__xludf.DUMMYFUNCTION("""COMPUTED_VALUE"""),"Chris")</f>
        <v>Chris</v>
      </c>
      <c r="F8145" t="str">
        <f>IFERROR(__xludf.DUMMYFUNCTION("""COMPUTED_VALUE"""),"")</f>
        <v/>
      </c>
    </row>
    <row r="8146">
      <c r="D8146" t="str">
        <f>IFERROR(__xludf.DUMMYFUNCTION("""COMPUTED_VALUE"""),"Jones")</f>
        <v>Jones</v>
      </c>
      <c r="E8146" t="str">
        <f>IFERROR(__xludf.DUMMYFUNCTION("""COMPUTED_VALUE"""),"Chris")</f>
        <v>Chris</v>
      </c>
      <c r="F8146" t="str">
        <f>IFERROR(__xludf.DUMMYFUNCTION("""COMPUTED_VALUE"""),"")</f>
        <v/>
      </c>
    </row>
    <row r="8147">
      <c r="D8147" t="str">
        <f>IFERROR(__xludf.DUMMYFUNCTION("""COMPUTED_VALUE"""),"Jones")</f>
        <v>Jones</v>
      </c>
      <c r="E8147" t="str">
        <f>IFERROR(__xludf.DUMMYFUNCTION("""COMPUTED_VALUE"""),"Christian")</f>
        <v>Christian</v>
      </c>
      <c r="F8147" t="str">
        <f>IFERROR(__xludf.DUMMYFUNCTION("""COMPUTED_VALUE"""),"")</f>
        <v/>
      </c>
    </row>
    <row r="8148">
      <c r="D8148" t="str">
        <f>IFERROR(__xludf.DUMMYFUNCTION("""COMPUTED_VALUE"""),"Jones")</f>
        <v>Jones</v>
      </c>
      <c r="E8148" t="str">
        <f>IFERROR(__xludf.DUMMYFUNCTION("""COMPUTED_VALUE"""),"Colin")</f>
        <v>Colin</v>
      </c>
      <c r="F8148" t="str">
        <f>IFERROR(__xludf.DUMMYFUNCTION("""COMPUTED_VALUE"""),"")</f>
        <v/>
      </c>
    </row>
    <row r="8149">
      <c r="D8149" t="str">
        <f>IFERROR(__xludf.DUMMYFUNCTION("""COMPUTED_VALUE"""),"Jones")</f>
        <v>Jones</v>
      </c>
      <c r="E8149" t="str">
        <f>IFERROR(__xludf.DUMMYFUNCTION("""COMPUTED_VALUE"""),"Cyrus")</f>
        <v>Cyrus</v>
      </c>
      <c r="F8149" t="str">
        <f>IFERROR(__xludf.DUMMYFUNCTION("""COMPUTED_VALUE"""),"")</f>
        <v/>
      </c>
    </row>
    <row r="8150">
      <c r="D8150" t="str">
        <f>IFERROR(__xludf.DUMMYFUNCTION("""COMPUTED_VALUE"""),"Jones")</f>
        <v>Jones</v>
      </c>
      <c r="E8150" t="str">
        <f>IFERROR(__xludf.DUMMYFUNCTION("""COMPUTED_VALUE"""),"Daniel")</f>
        <v>Daniel</v>
      </c>
      <c r="F8150" t="str">
        <f>IFERROR(__xludf.DUMMYFUNCTION("""COMPUTED_VALUE"""),"")</f>
        <v/>
      </c>
    </row>
    <row r="8151">
      <c r="D8151" t="str">
        <f>IFERROR(__xludf.DUMMYFUNCTION("""COMPUTED_VALUE"""),"Jones")</f>
        <v>Jones</v>
      </c>
      <c r="E8151" t="str">
        <f>IFERROR(__xludf.DUMMYFUNCTION("""COMPUTED_VALUE"""),"DaQuan")</f>
        <v>DaQuan</v>
      </c>
      <c r="F8151" t="str">
        <f>IFERROR(__xludf.DUMMYFUNCTION("""COMPUTED_VALUE"""),"")</f>
        <v/>
      </c>
    </row>
    <row r="8152">
      <c r="D8152" t="str">
        <f>IFERROR(__xludf.DUMMYFUNCTION("""COMPUTED_VALUE"""),"Jones")</f>
        <v>Jones</v>
      </c>
      <c r="E8152" t="str">
        <f>IFERROR(__xludf.DUMMYFUNCTION("""COMPUTED_VALUE"""),"Datone")</f>
        <v>Datone</v>
      </c>
      <c r="F8152" t="str">
        <f>IFERROR(__xludf.DUMMYFUNCTION("""COMPUTED_VALUE"""),"")</f>
        <v/>
      </c>
    </row>
    <row r="8153">
      <c r="D8153" t="str">
        <f>IFERROR(__xludf.DUMMYFUNCTION("""COMPUTED_VALUE"""),"Jones")</f>
        <v>Jones</v>
      </c>
      <c r="E8153" t="str">
        <f>IFERROR(__xludf.DUMMYFUNCTION("""COMPUTED_VALUE"""),"Deion")</f>
        <v>Deion</v>
      </c>
      <c r="F8153" t="str">
        <f>IFERROR(__xludf.DUMMYFUNCTION("""COMPUTED_VALUE"""),"")</f>
        <v/>
      </c>
    </row>
    <row r="8154">
      <c r="D8154" t="str">
        <f>IFERROR(__xludf.DUMMYFUNCTION("""COMPUTED_VALUE"""),"Jones")</f>
        <v>Jones</v>
      </c>
      <c r="E8154" t="str">
        <f>IFERROR(__xludf.DUMMYFUNCTION("""COMPUTED_VALUE"""),"Derrick")</f>
        <v>Derrick</v>
      </c>
      <c r="F8154" t="str">
        <f>IFERROR(__xludf.DUMMYFUNCTION("""COMPUTED_VALUE"""),"")</f>
        <v/>
      </c>
    </row>
    <row r="8155">
      <c r="D8155" t="str">
        <f>IFERROR(__xludf.DUMMYFUNCTION("""COMPUTED_VALUE"""),"Jones")</f>
        <v>Jones</v>
      </c>
      <c r="E8155" t="str">
        <f>IFERROR(__xludf.DUMMYFUNCTION("""COMPUTED_VALUE"""),"DJ")</f>
        <v>DJ</v>
      </c>
      <c r="F8155" t="str">
        <f>IFERROR(__xludf.DUMMYFUNCTION("""COMPUTED_VALUE"""),"")</f>
        <v/>
      </c>
    </row>
    <row r="8156">
      <c r="D8156" t="str">
        <f>IFERROR(__xludf.DUMMYFUNCTION("""COMPUTED_VALUE"""),"Jones")</f>
        <v>Jones</v>
      </c>
      <c r="E8156" t="str">
        <f>IFERROR(__xludf.DUMMYFUNCTION("""COMPUTED_VALUE"""),"DreMont")</f>
        <v>DreMont</v>
      </c>
      <c r="F8156" t="str">
        <f>IFERROR(__xludf.DUMMYFUNCTION("""COMPUTED_VALUE"""),"")</f>
        <v/>
      </c>
    </row>
    <row r="8157">
      <c r="D8157" t="str">
        <f>IFERROR(__xludf.DUMMYFUNCTION("""COMPUTED_VALUE"""),"Jones")</f>
        <v>Jones</v>
      </c>
      <c r="E8157" t="str">
        <f>IFERROR(__xludf.DUMMYFUNCTION("""COMPUTED_VALUE"""),"Jamarco")</f>
        <v>Jamarco</v>
      </c>
      <c r="F8157" t="str">
        <f>IFERROR(__xludf.DUMMYFUNCTION("""COMPUTED_VALUE"""),"")</f>
        <v/>
      </c>
    </row>
    <row r="8158">
      <c r="D8158" t="str">
        <f>IFERROR(__xludf.DUMMYFUNCTION("""COMPUTED_VALUE"""),"Jones")</f>
        <v>Jones</v>
      </c>
      <c r="E8158" t="str">
        <f>IFERROR(__xludf.DUMMYFUNCTION("""COMPUTED_VALUE"""),"JJ")</f>
        <v>JJ</v>
      </c>
      <c r="F8158" t="str">
        <f>IFERROR(__xludf.DUMMYFUNCTION("""COMPUTED_VALUE"""),"")</f>
        <v/>
      </c>
    </row>
    <row r="8159">
      <c r="D8159" t="str">
        <f>IFERROR(__xludf.DUMMYFUNCTION("""COMPUTED_VALUE"""),"Jones")</f>
        <v>Jones</v>
      </c>
      <c r="E8159" t="str">
        <f>IFERROR(__xludf.DUMMYFUNCTION("""COMPUTED_VALUE"""),"Jonathan")</f>
        <v>Jonathan</v>
      </c>
      <c r="F8159" t="str">
        <f>IFERROR(__xludf.DUMMYFUNCTION("""COMPUTED_VALUE"""),"")</f>
        <v/>
      </c>
    </row>
    <row r="8160">
      <c r="D8160" t="str">
        <f>IFERROR(__xludf.DUMMYFUNCTION("""COMPUTED_VALUE"""),"Jones")</f>
        <v>Jones</v>
      </c>
      <c r="E8160" t="str">
        <f>IFERROR(__xludf.DUMMYFUNCTION("""COMPUTED_VALUE"""),"Joseph")</f>
        <v>Joseph</v>
      </c>
      <c r="F8160" t="str">
        <f>IFERROR(__xludf.DUMMYFUNCTION("""COMPUTED_VALUE"""),"")</f>
        <v/>
      </c>
    </row>
    <row r="8161">
      <c r="D8161" t="str">
        <f>IFERROR(__xludf.DUMMYFUNCTION("""COMPUTED_VALUE"""),"Jones")</f>
        <v>Jones</v>
      </c>
      <c r="E8161" t="str">
        <f>IFERROR(__xludf.DUMMYFUNCTION("""COMPUTED_VALUE"""),"Josh")</f>
        <v>Josh</v>
      </c>
      <c r="F8161" t="str">
        <f>IFERROR(__xludf.DUMMYFUNCTION("""COMPUTED_VALUE"""),"")</f>
        <v/>
      </c>
    </row>
    <row r="8162">
      <c r="D8162" t="str">
        <f>IFERROR(__xludf.DUMMYFUNCTION("""COMPUTED_VALUE"""),"Jones")</f>
        <v>Jones</v>
      </c>
      <c r="E8162" t="str">
        <f>IFERROR(__xludf.DUMMYFUNCTION("""COMPUTED_VALUE"""),"JT")</f>
        <v>JT</v>
      </c>
      <c r="F8162" t="str">
        <f>IFERROR(__xludf.DUMMYFUNCTION("""COMPUTED_VALUE"""),"")</f>
        <v/>
      </c>
    </row>
    <row r="8163">
      <c r="D8163" t="str">
        <f>IFERROR(__xludf.DUMMYFUNCTION("""COMPUTED_VALUE"""),"Jones")</f>
        <v>Jones</v>
      </c>
      <c r="E8163" t="str">
        <f>IFERROR(__xludf.DUMMYFUNCTION("""COMPUTED_VALUE"""),"Julio")</f>
        <v>Julio</v>
      </c>
      <c r="F8163" t="str">
        <f>IFERROR(__xludf.DUMMYFUNCTION("""COMPUTED_VALUE"""),"")</f>
        <v/>
      </c>
    </row>
    <row r="8164">
      <c r="D8164" t="str">
        <f>IFERROR(__xludf.DUMMYFUNCTION("""COMPUTED_VALUE"""),"Jones")</f>
        <v>Jones</v>
      </c>
      <c r="E8164" t="str">
        <f>IFERROR(__xludf.DUMMYFUNCTION("""COMPUTED_VALUE"""),"Justin")</f>
        <v>Justin</v>
      </c>
      <c r="F8164" t="str">
        <f>IFERROR(__xludf.DUMMYFUNCTION("""COMPUTED_VALUE"""),"")</f>
        <v/>
      </c>
    </row>
    <row r="8165">
      <c r="D8165" t="str">
        <f>IFERROR(__xludf.DUMMYFUNCTION("""COMPUTED_VALUE"""),"Jones")</f>
        <v>Jones</v>
      </c>
      <c r="E8165" t="str">
        <f>IFERROR(__xludf.DUMMYFUNCTION("""COMPUTED_VALUE"""),"Marvin")</f>
        <v>Marvin</v>
      </c>
      <c r="F8165" t="str">
        <f>IFERROR(__xludf.DUMMYFUNCTION("""COMPUTED_VALUE"""),"")</f>
        <v/>
      </c>
    </row>
    <row r="8166">
      <c r="D8166" t="str">
        <f>IFERROR(__xludf.DUMMYFUNCTION("""COMPUTED_VALUE"""),"Jones")</f>
        <v>Jones</v>
      </c>
      <c r="E8166" t="str">
        <f>IFERROR(__xludf.DUMMYFUNCTION("""COMPUTED_VALUE"""),"Nazair")</f>
        <v>Nazair</v>
      </c>
      <c r="F8166" t="str">
        <f>IFERROR(__xludf.DUMMYFUNCTION("""COMPUTED_VALUE"""),"")</f>
        <v/>
      </c>
    </row>
    <row r="8167">
      <c r="D8167" t="str">
        <f>IFERROR(__xludf.DUMMYFUNCTION("""COMPUTED_VALUE"""),"Jones")</f>
        <v>Jones</v>
      </c>
      <c r="E8167" t="str">
        <f>IFERROR(__xludf.DUMMYFUNCTION("""COMPUTED_VALUE"""),"Reshad")</f>
        <v>Reshad</v>
      </c>
      <c r="F8167" t="str">
        <f>IFERROR(__xludf.DUMMYFUNCTION("""COMPUTED_VALUE"""),"")</f>
        <v/>
      </c>
    </row>
    <row r="8168">
      <c r="D8168" t="str">
        <f>IFERROR(__xludf.DUMMYFUNCTION("""COMPUTED_VALUE"""),"Jones")</f>
        <v>Jones</v>
      </c>
      <c r="E8168" t="str">
        <f>IFERROR(__xludf.DUMMYFUNCTION("""COMPUTED_VALUE"""),"Ronald")</f>
        <v>Ronald</v>
      </c>
      <c r="F8168" t="str">
        <f>IFERROR(__xludf.DUMMYFUNCTION("""COMPUTED_VALUE"""),"")</f>
        <v/>
      </c>
    </row>
    <row r="8169">
      <c r="D8169" t="str">
        <f>IFERROR(__xludf.DUMMYFUNCTION("""COMPUTED_VALUE"""),"Jones")</f>
        <v>Jones</v>
      </c>
      <c r="E8169" t="str">
        <f>IFERROR(__xludf.DUMMYFUNCTION("""COMPUTED_VALUE"""),"Sam")</f>
        <v>Sam</v>
      </c>
      <c r="F8169" t="str">
        <f>IFERROR(__xludf.DUMMYFUNCTION("""COMPUTED_VALUE"""),"")</f>
        <v/>
      </c>
    </row>
    <row r="8170">
      <c r="D8170" t="str">
        <f>IFERROR(__xludf.DUMMYFUNCTION("""COMPUTED_VALUE"""),"Jones")</f>
        <v>Jones</v>
      </c>
      <c r="E8170" t="str">
        <f>IFERROR(__xludf.DUMMYFUNCTION("""COMPUTED_VALUE"""),"Sidney")</f>
        <v>Sidney</v>
      </c>
      <c r="F8170" t="str">
        <f>IFERROR(__xludf.DUMMYFUNCTION("""COMPUTED_VALUE"""),"")</f>
        <v/>
      </c>
    </row>
    <row r="8171">
      <c r="D8171" t="str">
        <f>IFERROR(__xludf.DUMMYFUNCTION("""COMPUTED_VALUE"""),"Jones")</f>
        <v>Jones</v>
      </c>
      <c r="E8171" t="str">
        <f>IFERROR(__xludf.DUMMYFUNCTION("""COMPUTED_VALUE"""),"Taiwan")</f>
        <v>Taiwan</v>
      </c>
      <c r="F8171" t="str">
        <f>IFERROR(__xludf.DUMMYFUNCTION("""COMPUTED_VALUE"""),"")</f>
        <v/>
      </c>
    </row>
    <row r="8172">
      <c r="D8172" t="str">
        <f>IFERROR(__xludf.DUMMYFUNCTION("""COMPUTED_VALUE"""),"Jones")</f>
        <v>Jones</v>
      </c>
      <c r="E8172" t="str">
        <f>IFERROR(__xludf.DUMMYFUNCTION("""COMPUTED_VALUE"""),"Zay")</f>
        <v>Zay</v>
      </c>
      <c r="F8172" t="str">
        <f>IFERROR(__xludf.DUMMYFUNCTION("""COMPUTED_VALUE"""),"")</f>
        <v/>
      </c>
    </row>
    <row r="8173">
      <c r="D8173" t="str">
        <f>IFERROR(__xludf.DUMMYFUNCTION("""COMPUTED_VALUE"""),"Jones-Quartey")</f>
        <v>Jones-Quartey</v>
      </c>
      <c r="E8173" t="str">
        <f>IFERROR(__xludf.DUMMYFUNCTION("""COMPUTED_VALUE"""),"Harold")</f>
        <v>Harold</v>
      </c>
      <c r="F8173" t="str">
        <f>IFERROR(__xludf.DUMMYFUNCTION("""COMPUTED_VALUE"""),"")</f>
        <v/>
      </c>
    </row>
    <row r="8174">
      <c r="D8174" t="str">
        <f>IFERROR(__xludf.DUMMYFUNCTION("""COMPUTED_VALUE"""),"Jones-Smith")</f>
        <v>Jones-Smith</v>
      </c>
      <c r="E8174" t="str">
        <f>IFERROR(__xludf.DUMMYFUNCTION("""COMPUTED_VALUE"""),"Jaryd")</f>
        <v>Jaryd</v>
      </c>
      <c r="F8174" t="str">
        <f>IFERROR(__xludf.DUMMYFUNCTION("""COMPUTED_VALUE"""),"")</f>
        <v/>
      </c>
    </row>
    <row r="8175">
      <c r="D8175" t="str">
        <f>IFERROR(__xludf.DUMMYFUNCTION("""COMPUTED_VALUE"""),"Jordan")</f>
        <v>Jordan</v>
      </c>
      <c r="E8175" t="str">
        <f>IFERROR(__xludf.DUMMYFUNCTION("""COMPUTED_VALUE"""),"Cameron")</f>
        <v>Cameron</v>
      </c>
      <c r="F8175" t="str">
        <f>IFERROR(__xludf.DUMMYFUNCTION("""COMPUTED_VALUE"""),"")</f>
        <v/>
      </c>
    </row>
    <row r="8176">
      <c r="D8176" t="str">
        <f>IFERROR(__xludf.DUMMYFUNCTION("""COMPUTED_VALUE"""),"Jordan")</f>
        <v>Jordan</v>
      </c>
      <c r="E8176" t="str">
        <f>IFERROR(__xludf.DUMMYFUNCTION("""COMPUTED_VALUE"""),"Michael")</f>
        <v>Michael</v>
      </c>
      <c r="F8176" t="str">
        <f>IFERROR(__xludf.DUMMYFUNCTION("""COMPUTED_VALUE"""),"")</f>
        <v/>
      </c>
    </row>
    <row r="8177">
      <c r="D8177" t="str">
        <f>IFERROR(__xludf.DUMMYFUNCTION("""COMPUTED_VALUE"""),"Jordan")</f>
        <v>Jordan</v>
      </c>
      <c r="E8177" t="str">
        <f>IFERROR(__xludf.DUMMYFUNCTION("""COMPUTED_VALUE"""),"Michael")</f>
        <v>Michael</v>
      </c>
      <c r="F8177" t="str">
        <f>IFERROR(__xludf.DUMMYFUNCTION("""COMPUTED_VALUE"""),"")</f>
        <v/>
      </c>
    </row>
    <row r="8178">
      <c r="D8178" t="str">
        <f>IFERROR(__xludf.DUMMYFUNCTION("""COMPUTED_VALUE"""),"Joseph")</f>
        <v>Joseph</v>
      </c>
      <c r="E8178" t="str">
        <f>IFERROR(__xludf.DUMMYFUNCTION("""COMPUTED_VALUE"""),"Dieugot")</f>
        <v>Dieugot</v>
      </c>
      <c r="F8178" t="str">
        <f>IFERROR(__xludf.DUMMYFUNCTION("""COMPUTED_VALUE"""),"")</f>
        <v/>
      </c>
    </row>
    <row r="8179">
      <c r="D8179" t="str">
        <f>IFERROR(__xludf.DUMMYFUNCTION("""COMPUTED_VALUE"""),"Joseph")</f>
        <v>Joseph</v>
      </c>
      <c r="E8179" t="str">
        <f>IFERROR(__xludf.DUMMYFUNCTION("""COMPUTED_VALUE"""),"Greg")</f>
        <v>Greg</v>
      </c>
      <c r="F8179" t="str">
        <f>IFERROR(__xludf.DUMMYFUNCTION("""COMPUTED_VALUE"""),"")</f>
        <v/>
      </c>
    </row>
    <row r="8180">
      <c r="D8180" t="str">
        <f>IFERROR(__xludf.DUMMYFUNCTION("""COMPUTED_VALUE"""),"Joseph")</f>
        <v>Joseph</v>
      </c>
      <c r="E8180" t="str">
        <f>IFERROR(__xludf.DUMMYFUNCTION("""COMPUTED_VALUE"""),"Johnathan")</f>
        <v>Johnathan</v>
      </c>
      <c r="F8180" t="str">
        <f>IFERROR(__xludf.DUMMYFUNCTION("""COMPUTED_VALUE"""),"")</f>
        <v/>
      </c>
    </row>
    <row r="8181">
      <c r="D8181" t="str">
        <f>IFERROR(__xludf.DUMMYFUNCTION("""COMPUTED_VALUE"""),"Joseph")</f>
        <v>Joseph</v>
      </c>
      <c r="E8181" t="str">
        <f>IFERROR(__xludf.DUMMYFUNCTION("""COMPUTED_VALUE"""),"Karl")</f>
        <v>Karl</v>
      </c>
      <c r="F8181" t="str">
        <f>IFERROR(__xludf.DUMMYFUNCTION("""COMPUTED_VALUE"""),"")</f>
        <v/>
      </c>
    </row>
    <row r="8182">
      <c r="D8182" t="str">
        <f>IFERROR(__xludf.DUMMYFUNCTION("""COMPUTED_VALUE"""),"Joseph")</f>
        <v>Joseph</v>
      </c>
      <c r="E8182" t="str">
        <f>IFERROR(__xludf.DUMMYFUNCTION("""COMPUTED_VALUE"""),"Linval")</f>
        <v>Linval</v>
      </c>
      <c r="F8182" t="str">
        <f>IFERROR(__xludf.DUMMYFUNCTION("""COMPUTED_VALUE"""),"")</f>
        <v/>
      </c>
    </row>
    <row r="8183">
      <c r="D8183" t="str">
        <f>IFERROR(__xludf.DUMMYFUNCTION("""COMPUTED_VALUE"""),"Joseph")</f>
        <v>Joseph</v>
      </c>
      <c r="E8183" t="str">
        <f>IFERROR(__xludf.DUMMYFUNCTION("""COMPUTED_VALUE"""),"Michael")</f>
        <v>Michael</v>
      </c>
      <c r="F8183" t="str">
        <f>IFERROR(__xludf.DUMMYFUNCTION("""COMPUTED_VALUE"""),"")</f>
        <v/>
      </c>
    </row>
    <row r="8184">
      <c r="D8184" t="str">
        <f>IFERROR(__xludf.DUMMYFUNCTION("""COMPUTED_VALUE"""),"Joseph")</f>
        <v>Joseph</v>
      </c>
      <c r="E8184" t="str">
        <f>IFERROR(__xludf.DUMMYFUNCTION("""COMPUTED_VALUE"""),"Vosean")</f>
        <v>Vosean</v>
      </c>
      <c r="F8184" t="str">
        <f>IFERROR(__xludf.DUMMYFUNCTION("""COMPUTED_VALUE"""),"")</f>
        <v/>
      </c>
    </row>
    <row r="8185">
      <c r="D8185" t="str">
        <f>IFERROR(__xludf.DUMMYFUNCTION("""COMPUTED_VALUE"""),"Joseph-Day")</f>
        <v>Joseph-Day</v>
      </c>
      <c r="E8185" t="str">
        <f>IFERROR(__xludf.DUMMYFUNCTION("""COMPUTED_VALUE"""),"Sebastian")</f>
        <v>Sebastian</v>
      </c>
      <c r="F8185" t="str">
        <f>IFERROR(__xludf.DUMMYFUNCTION("""COMPUTED_VALUE"""),"")</f>
        <v/>
      </c>
    </row>
    <row r="8186">
      <c r="D8186" t="str">
        <f>IFERROR(__xludf.DUMMYFUNCTION("""COMPUTED_VALUE"""),"Joyner")</f>
        <v>Joyner</v>
      </c>
      <c r="E8186" t="str">
        <f>IFERROR(__xludf.DUMMYFUNCTION("""COMPUTED_VALUE"""),"Lamarcus")</f>
        <v>Lamarcus</v>
      </c>
      <c r="F8186" t="str">
        <f>IFERROR(__xludf.DUMMYFUNCTION("""COMPUTED_VALUE"""),"")</f>
        <v/>
      </c>
    </row>
    <row r="8187">
      <c r="D8187" t="str">
        <f>IFERROR(__xludf.DUMMYFUNCTION("""COMPUTED_VALUE"""),"Judon")</f>
        <v>Judon</v>
      </c>
      <c r="E8187" t="str">
        <f>IFERROR(__xludf.DUMMYFUNCTION("""COMPUTED_VALUE"""),"Matthew")</f>
        <v>Matthew</v>
      </c>
      <c r="F8187" t="str">
        <f>IFERROR(__xludf.DUMMYFUNCTION("""COMPUTED_VALUE"""),"")</f>
        <v/>
      </c>
    </row>
    <row r="8188">
      <c r="D8188" t="str">
        <f>IFERROR(__xludf.DUMMYFUNCTION("""COMPUTED_VALUE"""),"Juszczyk")</f>
        <v>Juszczyk</v>
      </c>
      <c r="E8188" t="str">
        <f>IFERROR(__xludf.DUMMYFUNCTION("""COMPUTED_VALUE"""),"Kyle")</f>
        <v>Kyle</v>
      </c>
      <c r="F8188" t="str">
        <f>IFERROR(__xludf.DUMMYFUNCTION("""COMPUTED_VALUE"""),"")</f>
        <v/>
      </c>
    </row>
    <row r="8189">
      <c r="D8189" t="str">
        <f>IFERROR(__xludf.DUMMYFUNCTION("""COMPUTED_VALUE"""),"Kalambayi")</f>
        <v>Kalambayi</v>
      </c>
      <c r="E8189" t="str">
        <f>IFERROR(__xludf.DUMMYFUNCTION("""COMPUTED_VALUE"""),"Peter")</f>
        <v>Peter</v>
      </c>
      <c r="F8189" t="str">
        <f>IFERROR(__xludf.DUMMYFUNCTION("""COMPUTED_VALUE"""),"")</f>
        <v/>
      </c>
    </row>
    <row r="8190">
      <c r="D8190" t="str">
        <f>IFERROR(__xludf.DUMMYFUNCTION("""COMPUTED_VALUE"""),"Kalil")</f>
        <v>Kalil</v>
      </c>
      <c r="E8190" t="str">
        <f>IFERROR(__xludf.DUMMYFUNCTION("""COMPUTED_VALUE"""),"Matt")</f>
        <v>Matt</v>
      </c>
      <c r="F8190" t="str">
        <f>IFERROR(__xludf.DUMMYFUNCTION("""COMPUTED_VALUE"""),"")</f>
        <v/>
      </c>
    </row>
    <row r="8191">
      <c r="D8191" t="str">
        <f>IFERROR(__xludf.DUMMYFUNCTION("""COMPUTED_VALUE"""),"Kalis")</f>
        <v>Kalis</v>
      </c>
      <c r="E8191" t="str">
        <f>IFERROR(__xludf.DUMMYFUNCTION("""COMPUTED_VALUE"""),"Kyle")</f>
        <v>Kyle</v>
      </c>
      <c r="F8191" t="str">
        <f>IFERROR(__xludf.DUMMYFUNCTION("""COMPUTED_VALUE"""),"")</f>
        <v/>
      </c>
    </row>
    <row r="8192">
      <c r="D8192" t="str">
        <f>IFERROR(__xludf.DUMMYFUNCTION("""COMPUTED_VALUE"""),"Kalu")</f>
        <v>Kalu</v>
      </c>
      <c r="E8192" t="str">
        <f>IFERROR(__xludf.DUMMYFUNCTION("""COMPUTED_VALUE"""),"Joshua")</f>
        <v>Joshua</v>
      </c>
      <c r="F8192" t="str">
        <f>IFERROR(__xludf.DUMMYFUNCTION("""COMPUTED_VALUE"""),"")</f>
        <v/>
      </c>
    </row>
    <row r="8193">
      <c r="D8193" t="str">
        <f>IFERROR(__xludf.DUMMYFUNCTION("""COMPUTED_VALUE"""),"Kamalu")</f>
        <v>Kamalu</v>
      </c>
      <c r="E8193" t="str">
        <f>IFERROR(__xludf.DUMMYFUNCTION("""COMPUTED_VALUE"""),"Ufomba")</f>
        <v>Ufomba</v>
      </c>
      <c r="F8193" t="str">
        <f>IFERROR(__xludf.DUMMYFUNCTION("""COMPUTED_VALUE"""),"")</f>
        <v/>
      </c>
    </row>
    <row r="8194">
      <c r="D8194" t="str">
        <f>IFERROR(__xludf.DUMMYFUNCTION("""COMPUTED_VALUE"""),"Kamara")</f>
        <v>Kamara</v>
      </c>
      <c r="E8194" t="str">
        <f>IFERROR(__xludf.DUMMYFUNCTION("""COMPUTED_VALUE"""),"Alvin")</f>
        <v>Alvin</v>
      </c>
      <c r="F8194" t="str">
        <f>IFERROR(__xludf.DUMMYFUNCTION("""COMPUTED_VALUE"""),"")</f>
        <v/>
      </c>
    </row>
    <row r="8195">
      <c r="D8195" t="str">
        <f>IFERROR(__xludf.DUMMYFUNCTION("""COMPUTED_VALUE"""),"Kanoff")</f>
        <v>Kanoff</v>
      </c>
      <c r="E8195" t="str">
        <f>IFERROR(__xludf.DUMMYFUNCTION("""COMPUTED_VALUE"""),"Chad")</f>
        <v>Chad</v>
      </c>
      <c r="F8195" t="str">
        <f>IFERROR(__xludf.DUMMYFUNCTION("""COMPUTED_VALUE"""),"")</f>
        <v/>
      </c>
    </row>
    <row r="8196">
      <c r="D8196" t="str">
        <f>IFERROR(__xludf.DUMMYFUNCTION("""COMPUTED_VALUE"""),"Karras")</f>
        <v>Karras</v>
      </c>
      <c r="E8196" t="str">
        <f>IFERROR(__xludf.DUMMYFUNCTION("""COMPUTED_VALUE"""),"Ted")</f>
        <v>Ted</v>
      </c>
      <c r="F8196" t="str">
        <f>IFERROR(__xludf.DUMMYFUNCTION("""COMPUTED_VALUE"""),"")</f>
        <v/>
      </c>
    </row>
    <row r="8197">
      <c r="D8197" t="str">
        <f>IFERROR(__xludf.DUMMYFUNCTION("""COMPUTED_VALUE"""),"Kaufusi")</f>
        <v>Kaufusi</v>
      </c>
      <c r="E8197" t="str">
        <f>IFERROR(__xludf.DUMMYFUNCTION("""COMPUTED_VALUE"""),"Bronson")</f>
        <v>Bronson</v>
      </c>
      <c r="F8197" t="str">
        <f>IFERROR(__xludf.DUMMYFUNCTION("""COMPUTED_VALUE"""),"")</f>
        <v/>
      </c>
    </row>
    <row r="8198">
      <c r="D8198" t="str">
        <f>IFERROR(__xludf.DUMMYFUNCTION("""COMPUTED_VALUE"""),"Kazee")</f>
        <v>Kazee</v>
      </c>
      <c r="E8198" t="str">
        <f>IFERROR(__xludf.DUMMYFUNCTION("""COMPUTED_VALUE"""),"Damontae")</f>
        <v>Damontae</v>
      </c>
      <c r="F8198" t="str">
        <f>IFERROR(__xludf.DUMMYFUNCTION("""COMPUTED_VALUE"""),"")</f>
        <v/>
      </c>
    </row>
    <row r="8199">
      <c r="D8199" t="str">
        <f>IFERROR(__xludf.DUMMYFUNCTION("""COMPUTED_VALUE"""),"Kearse")</f>
        <v>Kearse</v>
      </c>
      <c r="E8199" t="str">
        <f>IFERROR(__xludf.DUMMYFUNCTION("""COMPUTED_VALUE"""),"Jayron")</f>
        <v>Jayron</v>
      </c>
      <c r="F8199" t="str">
        <f>IFERROR(__xludf.DUMMYFUNCTION("""COMPUTED_VALUE"""),"")</f>
        <v/>
      </c>
    </row>
    <row r="8200">
      <c r="D8200" t="str">
        <f>IFERROR(__xludf.DUMMYFUNCTION("""COMPUTED_VALUE"""),"Kearse")</f>
        <v>Kearse</v>
      </c>
      <c r="E8200" t="str">
        <f>IFERROR(__xludf.DUMMYFUNCTION("""COMPUTED_VALUE"""),"Jermaine")</f>
        <v>Jermaine</v>
      </c>
      <c r="F8200" t="str">
        <f>IFERROR(__xludf.DUMMYFUNCTION("""COMPUTED_VALUE"""),"")</f>
        <v/>
      </c>
    </row>
    <row r="8201">
      <c r="D8201" t="str">
        <f>IFERROR(__xludf.DUMMYFUNCTION("""COMPUTED_VALUE"""),"Keenum")</f>
        <v>Keenum</v>
      </c>
      <c r="E8201" t="str">
        <f>IFERROR(__xludf.DUMMYFUNCTION("""COMPUTED_VALUE"""),"Case")</f>
        <v>Case</v>
      </c>
      <c r="F8201" t="str">
        <f>IFERROR(__xludf.DUMMYFUNCTION("""COMPUTED_VALUE"""),"")</f>
        <v/>
      </c>
    </row>
    <row r="8202">
      <c r="D8202" t="str">
        <f>IFERROR(__xludf.DUMMYFUNCTION("""COMPUTED_VALUE"""),"Keke")</f>
        <v>Keke</v>
      </c>
      <c r="E8202" t="str">
        <f>IFERROR(__xludf.DUMMYFUNCTION("""COMPUTED_VALUE"""),"Kingsley")</f>
        <v>Kingsley</v>
      </c>
      <c r="F8202" t="str">
        <f>IFERROR(__xludf.DUMMYFUNCTION("""COMPUTED_VALUE"""),"")</f>
        <v/>
      </c>
    </row>
    <row r="8203">
      <c r="D8203" t="str">
        <f>IFERROR(__xludf.DUMMYFUNCTION("""COMPUTED_VALUE"""),"Kelce")</f>
        <v>Kelce</v>
      </c>
      <c r="E8203" t="str">
        <f>IFERROR(__xludf.DUMMYFUNCTION("""COMPUTED_VALUE"""),"Jason")</f>
        <v>Jason</v>
      </c>
      <c r="F8203" t="str">
        <f>IFERROR(__xludf.DUMMYFUNCTION("""COMPUTED_VALUE"""),"")</f>
        <v/>
      </c>
    </row>
    <row r="8204">
      <c r="D8204" t="str">
        <f>IFERROR(__xludf.DUMMYFUNCTION("""COMPUTED_VALUE"""),"Kelce")</f>
        <v>Kelce</v>
      </c>
      <c r="E8204" t="str">
        <f>IFERROR(__xludf.DUMMYFUNCTION("""COMPUTED_VALUE"""),"Travis")</f>
        <v>Travis</v>
      </c>
      <c r="F8204" t="str">
        <f>IFERROR(__xludf.DUMMYFUNCTION("""COMPUTED_VALUE"""),"")</f>
        <v/>
      </c>
    </row>
    <row r="8205">
      <c r="D8205" t="str">
        <f>IFERROR(__xludf.DUMMYFUNCTION("""COMPUTED_VALUE"""),"Kelemete")</f>
        <v>Kelemete</v>
      </c>
      <c r="E8205" t="str">
        <f>IFERROR(__xludf.DUMMYFUNCTION("""COMPUTED_VALUE"""),"Senio")</f>
        <v>Senio</v>
      </c>
      <c r="F8205" t="str">
        <f>IFERROR(__xludf.DUMMYFUNCTION("""COMPUTED_VALUE"""),"")</f>
        <v/>
      </c>
    </row>
    <row r="8206">
      <c r="D8206" t="str">
        <f>IFERROR(__xludf.DUMMYFUNCTION("""COMPUTED_VALUE"""),"Kelly")</f>
        <v>Kelly</v>
      </c>
      <c r="E8206" t="str">
        <f>IFERROR(__xludf.DUMMYFUNCTION("""COMPUTED_VALUE"""),"Dennis")</f>
        <v>Dennis</v>
      </c>
      <c r="F8206" t="str">
        <f>IFERROR(__xludf.DUMMYFUNCTION("""COMPUTED_VALUE"""),"")</f>
        <v/>
      </c>
    </row>
    <row r="8207">
      <c r="D8207" t="str">
        <f>IFERROR(__xludf.DUMMYFUNCTION("""COMPUTED_VALUE"""),"Kelly")</f>
        <v>Kelly</v>
      </c>
      <c r="E8207" t="str">
        <f>IFERROR(__xludf.DUMMYFUNCTION("""COMPUTED_VALUE"""),"Jermaine")</f>
        <v>Jermaine</v>
      </c>
      <c r="F8207" t="str">
        <f>IFERROR(__xludf.DUMMYFUNCTION("""COMPUTED_VALUE"""),"")</f>
        <v/>
      </c>
    </row>
    <row r="8208">
      <c r="D8208" t="str">
        <f>IFERROR(__xludf.DUMMYFUNCTION("""COMPUTED_VALUE"""),"Kelly")</f>
        <v>Kelly</v>
      </c>
      <c r="E8208" t="str">
        <f>IFERROR(__xludf.DUMMYFUNCTION("""COMPUTED_VALUE"""),"John")</f>
        <v>John</v>
      </c>
      <c r="F8208" t="str">
        <f>IFERROR(__xludf.DUMMYFUNCTION("""COMPUTED_VALUE"""),"")</f>
        <v/>
      </c>
    </row>
    <row r="8209">
      <c r="D8209" t="str">
        <f>IFERROR(__xludf.DUMMYFUNCTION("""COMPUTED_VALUE"""),"Kelly")</f>
        <v>Kelly</v>
      </c>
      <c r="E8209" t="str">
        <f>IFERROR(__xludf.DUMMYFUNCTION("""COMPUTED_VALUE"""),"Kameron")</f>
        <v>Kameron</v>
      </c>
      <c r="F8209" t="str">
        <f>IFERROR(__xludf.DUMMYFUNCTION("""COMPUTED_VALUE"""),"")</f>
        <v/>
      </c>
    </row>
    <row r="8210">
      <c r="D8210" t="str">
        <f>IFERROR(__xludf.DUMMYFUNCTION("""COMPUTED_VALUE"""),"Kelly")</f>
        <v>Kelly</v>
      </c>
      <c r="E8210" t="str">
        <f>IFERROR(__xludf.DUMMYFUNCTION("""COMPUTED_VALUE"""),"Ryan")</f>
        <v>Ryan</v>
      </c>
      <c r="F8210" t="str">
        <f>IFERROR(__xludf.DUMMYFUNCTION("""COMPUTED_VALUE"""),"")</f>
        <v/>
      </c>
    </row>
    <row r="8211">
      <c r="D8211" t="str">
        <f>IFERROR(__xludf.DUMMYFUNCTION("""COMPUTED_VALUE"""),"Kemp")</f>
        <v>Kemp</v>
      </c>
      <c r="E8211" t="str">
        <f>IFERROR(__xludf.DUMMYFUNCTION("""COMPUTED_VALUE"""),"Marcus")</f>
        <v>Marcus</v>
      </c>
      <c r="F8211" t="str">
        <f>IFERROR(__xludf.DUMMYFUNCTION("""COMPUTED_VALUE"""),"")</f>
        <v/>
      </c>
    </row>
    <row r="8212">
      <c r="D8212" t="str">
        <f>IFERROR(__xludf.DUMMYFUNCTION("""COMPUTED_VALUE"""),"Kendricks")</f>
        <v>Kendricks</v>
      </c>
      <c r="E8212" t="str">
        <f>IFERROR(__xludf.DUMMYFUNCTION("""COMPUTED_VALUE"""),"Eric")</f>
        <v>Eric</v>
      </c>
      <c r="F8212" t="str">
        <f>IFERROR(__xludf.DUMMYFUNCTION("""COMPUTED_VALUE"""),"")</f>
        <v/>
      </c>
    </row>
    <row r="8213">
      <c r="D8213" t="str">
        <f>IFERROR(__xludf.DUMMYFUNCTION("""COMPUTED_VALUE"""),"Kendricks")</f>
        <v>Kendricks</v>
      </c>
      <c r="E8213" t="str">
        <f>IFERROR(__xludf.DUMMYFUNCTION("""COMPUTED_VALUE"""),"Mychal")</f>
        <v>Mychal</v>
      </c>
      <c r="F8213" t="str">
        <f>IFERROR(__xludf.DUMMYFUNCTION("""COMPUTED_VALUE"""),"")</f>
        <v/>
      </c>
    </row>
    <row r="8214">
      <c r="D8214" t="str">
        <f>IFERROR(__xludf.DUMMYFUNCTION("""COMPUTED_VALUE"""),"Kennard")</f>
        <v>Kennard</v>
      </c>
      <c r="E8214" t="str">
        <f>IFERROR(__xludf.DUMMYFUNCTION("""COMPUTED_VALUE"""),"Devon")</f>
        <v>Devon</v>
      </c>
      <c r="F8214" t="str">
        <f>IFERROR(__xludf.DUMMYFUNCTION("""COMPUTED_VALUE"""),"")</f>
        <v/>
      </c>
    </row>
    <row r="8215">
      <c r="D8215" t="str">
        <f>IFERROR(__xludf.DUMMYFUNCTION("""COMPUTED_VALUE"""),"Kerin")</f>
        <v>Kerin</v>
      </c>
      <c r="E8215" t="str">
        <f>IFERROR(__xludf.DUMMYFUNCTION("""COMPUTED_VALUE"""),"Zac")</f>
        <v>Zac</v>
      </c>
      <c r="F8215" t="str">
        <f>IFERROR(__xludf.DUMMYFUNCTION("""COMPUTED_VALUE"""),"")</f>
        <v/>
      </c>
    </row>
    <row r="8216">
      <c r="D8216" t="str">
        <f>IFERROR(__xludf.DUMMYFUNCTION("""COMPUTED_VALUE"""),"Kern")</f>
        <v>Kern</v>
      </c>
      <c r="E8216" t="str">
        <f>IFERROR(__xludf.DUMMYFUNCTION("""COMPUTED_VALUE"""),"Brett")</f>
        <v>Brett</v>
      </c>
      <c r="F8216" t="str">
        <f>IFERROR(__xludf.DUMMYFUNCTION("""COMPUTED_VALUE"""),"")</f>
        <v/>
      </c>
    </row>
    <row r="8217">
      <c r="D8217" t="str">
        <f>IFERROR(__xludf.DUMMYFUNCTION("""COMPUTED_VALUE"""),"Kerr")</f>
        <v>Kerr</v>
      </c>
      <c r="E8217" t="str">
        <f>IFERROR(__xludf.DUMMYFUNCTION("""COMPUTED_VALUE"""),"Zach")</f>
        <v>Zach</v>
      </c>
      <c r="F8217" t="str">
        <f>IFERROR(__xludf.DUMMYFUNCTION("""COMPUTED_VALUE"""),"")</f>
        <v/>
      </c>
    </row>
    <row r="8218">
      <c r="D8218" t="str">
        <f>IFERROR(__xludf.DUMMYFUNCTION("""COMPUTED_VALUE"""),"Kerrigan")</f>
        <v>Kerrigan</v>
      </c>
      <c r="E8218" t="str">
        <f>IFERROR(__xludf.DUMMYFUNCTION("""COMPUTED_VALUE"""),"Ryan")</f>
        <v>Ryan</v>
      </c>
      <c r="F8218" t="str">
        <f>IFERROR(__xludf.DUMMYFUNCTION("""COMPUTED_VALUE"""),"")</f>
        <v/>
      </c>
    </row>
    <row r="8219">
      <c r="D8219" t="str">
        <f>IFERROR(__xludf.DUMMYFUNCTION("""COMPUTED_VALUE"""),"Kessler")</f>
        <v>Kessler</v>
      </c>
      <c r="E8219" t="str">
        <f>IFERROR(__xludf.DUMMYFUNCTION("""COMPUTED_VALUE"""),"Cody")</f>
        <v>Cody</v>
      </c>
      <c r="F8219" t="str">
        <f>IFERROR(__xludf.DUMMYFUNCTION("""COMPUTED_VALUE"""),"")</f>
        <v/>
      </c>
    </row>
    <row r="8220">
      <c r="D8220" t="str">
        <f>IFERROR(__xludf.DUMMYFUNCTION("""COMPUTED_VALUE"""),"Key")</f>
        <v>Key</v>
      </c>
      <c r="E8220" t="str">
        <f>IFERROR(__xludf.DUMMYFUNCTION("""COMPUTED_VALUE"""),"Arden")</f>
        <v>Arden</v>
      </c>
      <c r="F8220" t="str">
        <f>IFERROR(__xludf.DUMMYFUNCTION("""COMPUTED_VALUE"""),"")</f>
        <v/>
      </c>
    </row>
    <row r="8221">
      <c r="D8221" t="str">
        <f>IFERROR(__xludf.DUMMYFUNCTION("""COMPUTED_VALUE"""),"Kidsy")</f>
        <v>Kidsy</v>
      </c>
      <c r="E8221" t="str">
        <f>IFERROR(__xludf.DUMMYFUNCTION("""COMPUTED_VALUE"""),"Darvin")</f>
        <v>Darvin</v>
      </c>
      <c r="F8221" t="str">
        <f>IFERROR(__xludf.DUMMYFUNCTION("""COMPUTED_VALUE"""),"")</f>
        <v/>
      </c>
    </row>
    <row r="8222">
      <c r="D8222" t="str">
        <f>IFERROR(__xludf.DUMMYFUNCTION("""COMPUTED_VALUE"""),"Kilgo")</f>
        <v>Kilgo</v>
      </c>
      <c r="E8222" t="str">
        <f>IFERROR(__xludf.DUMMYFUNCTION("""COMPUTED_VALUE"""),"Darius")</f>
        <v>Darius</v>
      </c>
      <c r="F8222" t="str">
        <f>IFERROR(__xludf.DUMMYFUNCTION("""COMPUTED_VALUE"""),"")</f>
        <v/>
      </c>
    </row>
    <row r="8223">
      <c r="D8223" t="str">
        <f>IFERROR(__xludf.DUMMYFUNCTION("""COMPUTED_VALUE"""),"Kilgore")</f>
        <v>Kilgore</v>
      </c>
      <c r="E8223" t="str">
        <f>IFERROR(__xludf.DUMMYFUNCTION("""COMPUTED_VALUE"""),"Daniel")</f>
        <v>Daniel</v>
      </c>
      <c r="F8223" t="str">
        <f>IFERROR(__xludf.DUMMYFUNCTION("""COMPUTED_VALUE"""),"")</f>
        <v/>
      </c>
    </row>
    <row r="8224">
      <c r="D8224" t="str">
        <f>IFERROR(__xludf.DUMMYFUNCTION("""COMPUTED_VALUE"""),"Killebrew")</f>
        <v>Killebrew</v>
      </c>
      <c r="E8224" t="str">
        <f>IFERROR(__xludf.DUMMYFUNCTION("""COMPUTED_VALUE"""),"Miles")</f>
        <v>Miles</v>
      </c>
      <c r="F8224" t="str">
        <f>IFERROR(__xludf.DUMMYFUNCTION("""COMPUTED_VALUE"""),"")</f>
        <v/>
      </c>
    </row>
    <row r="8225">
      <c r="D8225" t="str">
        <f>IFERROR(__xludf.DUMMYFUNCTION("""COMPUTED_VALUE"""),"Kindred")</f>
        <v>Kindred</v>
      </c>
      <c r="E8225" t="str">
        <f>IFERROR(__xludf.DUMMYFUNCTION("""COMPUTED_VALUE"""),"Derrick")</f>
        <v>Derrick</v>
      </c>
      <c r="F8225" t="str">
        <f>IFERROR(__xludf.DUMMYFUNCTION("""COMPUTED_VALUE"""),"")</f>
        <v/>
      </c>
    </row>
    <row r="8226">
      <c r="D8226" t="str">
        <f>IFERROR(__xludf.DUMMYFUNCTION("""COMPUTED_VALUE"""),"King")</f>
        <v>King</v>
      </c>
      <c r="E8226" t="str">
        <f>IFERROR(__xludf.DUMMYFUNCTION("""COMPUTED_VALUE"""),"Akeem")</f>
        <v>Akeem</v>
      </c>
      <c r="F8226" t="str">
        <f>IFERROR(__xludf.DUMMYFUNCTION("""COMPUTED_VALUE"""),"")</f>
        <v/>
      </c>
    </row>
    <row r="8227">
      <c r="D8227" t="str">
        <f>IFERROR(__xludf.DUMMYFUNCTION("""COMPUTED_VALUE"""),"King")</f>
        <v>King</v>
      </c>
      <c r="E8227" t="str">
        <f>IFERROR(__xludf.DUMMYFUNCTION("""COMPUTED_VALUE"""),"Brandon")</f>
        <v>Brandon</v>
      </c>
      <c r="F8227" t="str">
        <f>IFERROR(__xludf.DUMMYFUNCTION("""COMPUTED_VALUE"""),"")</f>
        <v/>
      </c>
    </row>
    <row r="8228">
      <c r="D8228" t="str">
        <f>IFERROR(__xludf.DUMMYFUNCTION("""COMPUTED_VALUE"""),"King")</f>
        <v>King</v>
      </c>
      <c r="E8228" t="str">
        <f>IFERROR(__xludf.DUMMYFUNCTION("""COMPUTED_VALUE"""),"Desmond")</f>
        <v>Desmond</v>
      </c>
      <c r="F8228" t="str">
        <f>IFERROR(__xludf.DUMMYFUNCTION("""COMPUTED_VALUE"""),"")</f>
        <v/>
      </c>
    </row>
    <row r="8229">
      <c r="D8229" t="str">
        <f>IFERROR(__xludf.DUMMYFUNCTION("""COMPUTED_VALUE"""),"King")</f>
        <v>King</v>
      </c>
      <c r="E8229" t="str">
        <f>IFERROR(__xludf.DUMMYFUNCTION("""COMPUTED_VALUE"""),"Kevin")</f>
        <v>Kevin</v>
      </c>
      <c r="F8229" t="str">
        <f>IFERROR(__xludf.DUMMYFUNCTION("""COMPUTED_VALUE"""),"")</f>
        <v/>
      </c>
    </row>
    <row r="8230">
      <c r="D8230" t="str">
        <f>IFERROR(__xludf.DUMMYFUNCTION("""COMPUTED_VALUE"""),"Kirk")</f>
        <v>Kirk</v>
      </c>
      <c r="E8230" t="str">
        <f>IFERROR(__xludf.DUMMYFUNCTION("""COMPUTED_VALUE"""),"Christian")</f>
        <v>Christian</v>
      </c>
      <c r="F8230" t="str">
        <f>IFERROR(__xludf.DUMMYFUNCTION("""COMPUTED_VALUE"""),"")</f>
        <v/>
      </c>
    </row>
    <row r="8231">
      <c r="D8231" t="str">
        <f>IFERROR(__xludf.DUMMYFUNCTION("""COMPUTED_VALUE"""),"Kirkland")</f>
        <v>Kirkland</v>
      </c>
      <c r="E8231" t="str">
        <f>IFERROR(__xludf.DUMMYFUNCTION("""COMPUTED_VALUE"""),"Denver")</f>
        <v>Denver</v>
      </c>
      <c r="F8231" t="str">
        <f>IFERROR(__xludf.DUMMYFUNCTION("""COMPUTED_VALUE"""),"")</f>
        <v/>
      </c>
    </row>
    <row r="8232">
      <c r="D8232" t="str">
        <f>IFERROR(__xludf.DUMMYFUNCTION("""COMPUTED_VALUE"""),"Kirkpatrick")</f>
        <v>Kirkpatrick</v>
      </c>
      <c r="E8232" t="str">
        <f>IFERROR(__xludf.DUMMYFUNCTION("""COMPUTED_VALUE"""),"Dre")</f>
        <v>Dre</v>
      </c>
      <c r="F8232" t="str">
        <f>IFERROR(__xludf.DUMMYFUNCTION("""COMPUTED_VALUE"""),"")</f>
        <v/>
      </c>
    </row>
    <row r="8233">
      <c r="D8233" t="str">
        <f>IFERROR(__xludf.DUMMYFUNCTION("""COMPUTED_VALUE"""),"Kirksey")</f>
        <v>Kirksey</v>
      </c>
      <c r="E8233" t="str">
        <f>IFERROR(__xludf.DUMMYFUNCTION("""COMPUTED_VALUE"""),"Christian")</f>
        <v>Christian</v>
      </c>
      <c r="F8233" t="str">
        <f>IFERROR(__xludf.DUMMYFUNCTION("""COMPUTED_VALUE"""),"")</f>
        <v/>
      </c>
    </row>
    <row r="8234">
      <c r="D8234" t="str">
        <f>IFERROR(__xludf.DUMMYFUNCTION("""COMPUTED_VALUE"""),"Kirkwood")</f>
        <v>Kirkwood</v>
      </c>
      <c r="E8234" t="str">
        <f>IFERROR(__xludf.DUMMYFUNCTION("""COMPUTED_VALUE"""),"Keith")</f>
        <v>Keith</v>
      </c>
      <c r="F8234" t="str">
        <f>IFERROR(__xludf.DUMMYFUNCTION("""COMPUTED_VALUE"""),"")</f>
        <v/>
      </c>
    </row>
    <row r="8235">
      <c r="D8235" t="str">
        <f>IFERROR(__xludf.DUMMYFUNCTION("""COMPUTED_VALUE"""),"Kiser")</f>
        <v>Kiser</v>
      </c>
      <c r="E8235" t="str">
        <f>IFERROR(__xludf.DUMMYFUNCTION("""COMPUTED_VALUE"""),"Micah")</f>
        <v>Micah</v>
      </c>
      <c r="F8235" t="str">
        <f>IFERROR(__xludf.DUMMYFUNCTION("""COMPUTED_VALUE"""),"")</f>
        <v/>
      </c>
    </row>
    <row r="8236">
      <c r="D8236" t="str">
        <f>IFERROR(__xludf.DUMMYFUNCTION("""COMPUTED_VALUE"""),"Kittle")</f>
        <v>Kittle</v>
      </c>
      <c r="E8236" t="str">
        <f>IFERROR(__xludf.DUMMYFUNCTION("""COMPUTED_VALUE"""),"George")</f>
        <v>George</v>
      </c>
      <c r="F8236" t="str">
        <f>IFERROR(__xludf.DUMMYFUNCTION("""COMPUTED_VALUE"""),"")</f>
        <v/>
      </c>
    </row>
    <row r="8237">
      <c r="D8237" t="str">
        <f>IFERROR(__xludf.DUMMYFUNCTION("""COMPUTED_VALUE"""),"Kizer")</f>
        <v>Kizer</v>
      </c>
      <c r="E8237" t="str">
        <f>IFERROR(__xludf.DUMMYFUNCTION("""COMPUTED_VALUE"""),"DeShone")</f>
        <v>DeShone</v>
      </c>
      <c r="F8237" t="str">
        <f>IFERROR(__xludf.DUMMYFUNCTION("""COMPUTED_VALUE"""),"")</f>
        <v/>
      </c>
    </row>
    <row r="8238">
      <c r="D8238" t="str">
        <f>IFERROR(__xludf.DUMMYFUNCTION("""COMPUTED_VALUE"""),"Klein")</f>
        <v>Klein</v>
      </c>
      <c r="E8238" t="str">
        <f>IFERROR(__xludf.DUMMYFUNCTION("""COMPUTED_VALUE"""),"AJ")</f>
        <v>AJ</v>
      </c>
      <c r="F8238" t="str">
        <f>IFERROR(__xludf.DUMMYFUNCTION("""COMPUTED_VALUE"""),"")</f>
        <v/>
      </c>
    </row>
    <row r="8239">
      <c r="D8239" t="str">
        <f>IFERROR(__xludf.DUMMYFUNCTION("""COMPUTED_VALUE"""),"Kline")</f>
        <v>Kline</v>
      </c>
      <c r="E8239" t="str">
        <f>IFERROR(__xludf.DUMMYFUNCTION("""COMPUTED_VALUE"""),"Josh")</f>
        <v>Josh</v>
      </c>
      <c r="F8239" t="str">
        <f>IFERROR(__xludf.DUMMYFUNCTION("""COMPUTED_VALUE"""),"")</f>
        <v/>
      </c>
    </row>
    <row r="8240">
      <c r="D8240" t="str">
        <f>IFERROR(__xludf.DUMMYFUNCTION("""COMPUTED_VALUE"""),"Knight")</f>
        <v>Knight</v>
      </c>
      <c r="E8240" t="str">
        <f>IFERROR(__xludf.DUMMYFUNCTION("""COMPUTED_VALUE"""),"Brandon")</f>
        <v>Brandon</v>
      </c>
      <c r="F8240" t="str">
        <f>IFERROR(__xludf.DUMMYFUNCTION("""COMPUTED_VALUE"""),"")</f>
        <v/>
      </c>
    </row>
    <row r="8241">
      <c r="D8241" t="str">
        <f>IFERROR(__xludf.DUMMYFUNCTION("""COMPUTED_VALUE"""),"Knox")</f>
        <v>Knox</v>
      </c>
      <c r="E8241" t="str">
        <f>IFERROR(__xludf.DUMMYFUNCTION("""COMPUTED_VALUE"""),"Dawson")</f>
        <v>Dawson</v>
      </c>
      <c r="F8241" t="str">
        <f>IFERROR(__xludf.DUMMYFUNCTION("""COMPUTED_VALUE"""),"")</f>
        <v/>
      </c>
    </row>
    <row r="8242">
      <c r="D8242" t="str">
        <f>IFERROR(__xludf.DUMMYFUNCTION("""COMPUTED_VALUE"""),"Koch")</f>
        <v>Koch</v>
      </c>
      <c r="E8242" t="str">
        <f>IFERROR(__xludf.DUMMYFUNCTION("""COMPUTED_VALUE"""),"Sam")</f>
        <v>Sam</v>
      </c>
      <c r="F8242" t="str">
        <f>IFERROR(__xludf.DUMMYFUNCTION("""COMPUTED_VALUE"""),"")</f>
        <v/>
      </c>
    </row>
    <row r="8243">
      <c r="D8243" t="str">
        <f>IFERROR(__xludf.DUMMYFUNCTION("""COMPUTED_VALUE"""),"Koloamatangi")</f>
        <v>Koloamatangi</v>
      </c>
      <c r="E8243" t="str">
        <f>IFERROR(__xludf.DUMMYFUNCTION("""COMPUTED_VALUE"""),"Leo")</f>
        <v>Leo</v>
      </c>
      <c r="F8243" t="str">
        <f>IFERROR(__xludf.DUMMYFUNCTION("""COMPUTED_VALUE"""),"")</f>
        <v/>
      </c>
    </row>
    <row r="8244">
      <c r="D8244" t="str">
        <f>IFERROR(__xludf.DUMMYFUNCTION("""COMPUTED_VALUE"""),"Kolone")</f>
        <v>Kolone</v>
      </c>
      <c r="E8244" t="str">
        <f>IFERROR(__xludf.DUMMYFUNCTION("""COMPUTED_VALUE"""),"Jeremiah")</f>
        <v>Jeremiah</v>
      </c>
      <c r="F8244" t="str">
        <f>IFERROR(__xludf.DUMMYFUNCTION("""COMPUTED_VALUE"""),"")</f>
        <v/>
      </c>
    </row>
    <row r="8245">
      <c r="D8245" t="str">
        <f>IFERROR(__xludf.DUMMYFUNCTION("""COMPUTED_VALUE"""),"Koyack")</f>
        <v>Koyack</v>
      </c>
      <c r="E8245" t="str">
        <f>IFERROR(__xludf.DUMMYFUNCTION("""COMPUTED_VALUE"""),"Ben")</f>
        <v>Ben</v>
      </c>
      <c r="F8245" t="str">
        <f>IFERROR(__xludf.DUMMYFUNCTION("""COMPUTED_VALUE"""),"")</f>
        <v/>
      </c>
    </row>
    <row r="8246">
      <c r="D8246" t="str">
        <f>IFERROR(__xludf.DUMMYFUNCTION("""COMPUTED_VALUE"""),"Kpassagnon")</f>
        <v>Kpassagnon</v>
      </c>
      <c r="E8246" t="str">
        <f>IFERROR(__xludf.DUMMYFUNCTION("""COMPUTED_VALUE"""),"Tanoh")</f>
        <v>Tanoh</v>
      </c>
      <c r="F8246" t="str">
        <f>IFERROR(__xludf.DUMMYFUNCTION("""COMPUTED_VALUE"""),"")</f>
        <v/>
      </c>
    </row>
    <row r="8247">
      <c r="D8247" t="str">
        <f>IFERROR(__xludf.DUMMYFUNCTION("""COMPUTED_VALUE"""),"Kreiter")</f>
        <v>Kreiter</v>
      </c>
      <c r="E8247" t="str">
        <f>IFERROR(__xludf.DUMMYFUNCTION("""COMPUTED_VALUE"""),"Casey")</f>
        <v>Casey</v>
      </c>
      <c r="F8247" t="str">
        <f>IFERROR(__xludf.DUMMYFUNCTION("""COMPUTED_VALUE"""),"")</f>
        <v/>
      </c>
    </row>
    <row r="8248">
      <c r="D8248" t="str">
        <f>IFERROR(__xludf.DUMMYFUNCTION("""COMPUTED_VALUE"""),"Kroft")</f>
        <v>Kroft</v>
      </c>
      <c r="E8248" t="str">
        <f>IFERROR(__xludf.DUMMYFUNCTION("""COMPUTED_VALUE"""),"Tyler")</f>
        <v>Tyler</v>
      </c>
      <c r="F8248" t="str">
        <f>IFERROR(__xludf.DUMMYFUNCTION("""COMPUTED_VALUE"""),"")</f>
        <v/>
      </c>
    </row>
    <row r="8249">
      <c r="D8249" t="str">
        <f>IFERROR(__xludf.DUMMYFUNCTION("""COMPUTED_VALUE"""),"Kuechly")</f>
        <v>Kuechly</v>
      </c>
      <c r="E8249" t="str">
        <f>IFERROR(__xludf.DUMMYFUNCTION("""COMPUTED_VALUE"""),"Luke")</f>
        <v>Luke</v>
      </c>
      <c r="F8249" t="str">
        <f>IFERROR(__xludf.DUMMYFUNCTION("""COMPUTED_VALUE"""),"")</f>
        <v/>
      </c>
    </row>
    <row r="8250">
      <c r="D8250" t="str">
        <f>IFERROR(__xludf.DUMMYFUNCTION("""COMPUTED_VALUE"""),"Kumerow")</f>
        <v>Kumerow</v>
      </c>
      <c r="E8250" t="str">
        <f>IFERROR(__xludf.DUMMYFUNCTION("""COMPUTED_VALUE"""),"Jake")</f>
        <v>Jake</v>
      </c>
      <c r="F8250" t="str">
        <f>IFERROR(__xludf.DUMMYFUNCTION("""COMPUTED_VALUE"""),"")</f>
        <v/>
      </c>
    </row>
    <row r="8251">
      <c r="D8251" t="str">
        <f>IFERROR(__xludf.DUMMYFUNCTION("""COMPUTED_VALUE"""),"Kupp")</f>
        <v>Kupp</v>
      </c>
      <c r="E8251" t="str">
        <f>IFERROR(__xludf.DUMMYFUNCTION("""COMPUTED_VALUE"""),"Cooper")</f>
        <v>Cooper</v>
      </c>
      <c r="F8251" t="str">
        <f>IFERROR(__xludf.DUMMYFUNCTION("""COMPUTED_VALUE"""),"")</f>
        <v/>
      </c>
    </row>
    <row r="8252">
      <c r="D8252" t="str">
        <f>IFERROR(__xludf.DUMMYFUNCTION("""COMPUTED_VALUE"""),"Kupp")</f>
        <v>Kupp</v>
      </c>
      <c r="E8252" t="str">
        <f>IFERROR(__xludf.DUMMYFUNCTION("""COMPUTED_VALUE"""),"Ketner")</f>
        <v>Ketner</v>
      </c>
      <c r="F8252" t="str">
        <f>IFERROR(__xludf.DUMMYFUNCTION("""COMPUTED_VALUE"""),"")</f>
        <v/>
      </c>
    </row>
    <row r="8253">
      <c r="D8253" t="str">
        <f>IFERROR(__xludf.DUMMYFUNCTION("""COMPUTED_VALUE"""),"Kush")</f>
        <v>Kush</v>
      </c>
      <c r="E8253" t="str">
        <f>IFERROR(__xludf.DUMMYFUNCTION("""COMPUTED_VALUE"""),"Eric")</f>
        <v>Eric</v>
      </c>
      <c r="F8253" t="str">
        <f>IFERROR(__xludf.DUMMYFUNCTION("""COMPUTED_VALUE"""),"")</f>
        <v/>
      </c>
    </row>
    <row r="8254">
      <c r="D8254" t="str">
        <f>IFERROR(__xludf.DUMMYFUNCTION("""COMPUTED_VALUE"""),"Kwiatkoski")</f>
        <v>Kwiatkoski</v>
      </c>
      <c r="E8254" t="str">
        <f>IFERROR(__xludf.DUMMYFUNCTION("""COMPUTED_VALUE"""),"Nick")</f>
        <v>Nick</v>
      </c>
      <c r="F8254" t="str">
        <f>IFERROR(__xludf.DUMMYFUNCTION("""COMPUTED_VALUE"""),"")</f>
        <v/>
      </c>
    </row>
    <row r="8255">
      <c r="D8255" t="str">
        <f>IFERROR(__xludf.DUMMYFUNCTION("""COMPUTED_VALUE"""),"Lacey")</f>
        <v>Lacey</v>
      </c>
      <c r="E8255" t="str">
        <f>IFERROR(__xludf.DUMMYFUNCTION("""COMPUTED_VALUE"""),"Deon")</f>
        <v>Deon</v>
      </c>
      <c r="F8255" t="str">
        <f>IFERROR(__xludf.DUMMYFUNCTION("""COMPUTED_VALUE"""),"")</f>
        <v/>
      </c>
    </row>
    <row r="8256">
      <c r="D8256" t="str">
        <f>IFERROR(__xludf.DUMMYFUNCTION("""COMPUTED_VALUE"""),"LaCosse")</f>
        <v>LaCosse</v>
      </c>
      <c r="E8256" t="str">
        <f>IFERROR(__xludf.DUMMYFUNCTION("""COMPUTED_VALUE"""),"Matt")</f>
        <v>Matt</v>
      </c>
      <c r="F8256" t="str">
        <f>IFERROR(__xludf.DUMMYFUNCTION("""COMPUTED_VALUE"""),"")</f>
        <v/>
      </c>
    </row>
    <row r="8257">
      <c r="D8257" t="str">
        <f>IFERROR(__xludf.DUMMYFUNCTION("""COMPUTED_VALUE"""),"Ladler")</f>
        <v>Ladler</v>
      </c>
      <c r="E8257" t="str">
        <f>IFERROR(__xludf.DUMMYFUNCTION("""COMPUTED_VALUE"""),"Kenny")</f>
        <v>Kenny</v>
      </c>
      <c r="F8257" t="str">
        <f>IFERROR(__xludf.DUMMYFUNCTION("""COMPUTED_VALUE"""),"")</f>
        <v/>
      </c>
    </row>
    <row r="8258">
      <c r="D8258" t="str">
        <f>IFERROR(__xludf.DUMMYFUNCTION("""COMPUTED_VALUE"""),"LaDouceur")</f>
        <v>LaDouceur</v>
      </c>
      <c r="E8258" t="str">
        <f>IFERROR(__xludf.DUMMYFUNCTION("""COMPUTED_VALUE"""),"LP")</f>
        <v>LP</v>
      </c>
      <c r="F8258" t="str">
        <f>IFERROR(__xludf.DUMMYFUNCTION("""COMPUTED_VALUE"""),"")</f>
        <v/>
      </c>
    </row>
    <row r="8259">
      <c r="D8259" t="str">
        <f>IFERROR(__xludf.DUMMYFUNCTION("""COMPUTED_VALUE"""),"Lamar")</f>
        <v>Lamar</v>
      </c>
      <c r="E8259" t="str">
        <f>IFERROR(__xludf.DUMMYFUNCTION("""COMPUTED_VALUE"""),"Tre")</f>
        <v>Tre</v>
      </c>
      <c r="F8259" t="str">
        <f>IFERROR(__xludf.DUMMYFUNCTION("""COMPUTED_VALUE"""),"")</f>
        <v/>
      </c>
    </row>
    <row r="8260">
      <c r="D8260" t="str">
        <f>IFERROR(__xludf.DUMMYFUNCTION("""COMPUTED_VALUE"""),"Lambo")</f>
        <v>Lambo</v>
      </c>
      <c r="E8260" t="str">
        <f>IFERROR(__xludf.DUMMYFUNCTION("""COMPUTED_VALUE"""),"Josh")</f>
        <v>Josh</v>
      </c>
      <c r="F8260" t="str">
        <f>IFERROR(__xludf.DUMMYFUNCTION("""COMPUTED_VALUE"""),"")</f>
        <v/>
      </c>
    </row>
    <row r="8261">
      <c r="D8261" t="str">
        <f>IFERROR(__xludf.DUMMYFUNCTION("""COMPUTED_VALUE"""),"Lamm")</f>
        <v>Lamm</v>
      </c>
      <c r="E8261" t="str">
        <f>IFERROR(__xludf.DUMMYFUNCTION("""COMPUTED_VALUE"""),"Kendall")</f>
        <v>Kendall</v>
      </c>
      <c r="F8261" t="str">
        <f>IFERROR(__xludf.DUMMYFUNCTION("""COMPUTED_VALUE"""),"")</f>
        <v/>
      </c>
    </row>
    <row r="8262">
      <c r="D8262" t="str">
        <f>IFERROR(__xludf.DUMMYFUNCTION("""COMPUTED_VALUE"""),"Lammons")</f>
        <v>Lammons</v>
      </c>
      <c r="E8262" t="str">
        <f>IFERROR(__xludf.DUMMYFUNCTION("""COMPUTED_VALUE"""),"Chris")</f>
        <v>Chris</v>
      </c>
      <c r="F8262" t="str">
        <f>IFERROR(__xludf.DUMMYFUNCTION("""COMPUTED_VALUE"""),"")</f>
        <v/>
      </c>
    </row>
    <row r="8263">
      <c r="D8263" t="str">
        <f>IFERROR(__xludf.DUMMYFUNCTION("""COMPUTED_VALUE"""),"Lamp")</f>
        <v>Lamp</v>
      </c>
      <c r="E8263" t="str">
        <f>IFERROR(__xludf.DUMMYFUNCTION("""COMPUTED_VALUE"""),"Forrest")</f>
        <v>Forrest</v>
      </c>
      <c r="F8263" t="str">
        <f>IFERROR(__xludf.DUMMYFUNCTION("""COMPUTED_VALUE"""),"")</f>
        <v/>
      </c>
    </row>
    <row r="8264">
      <c r="D8264" t="str">
        <f>IFERROR(__xludf.DUMMYFUNCTION("""COMPUTED_VALUE"""),"Lancaster")</f>
        <v>Lancaster</v>
      </c>
      <c r="E8264" t="str">
        <f>IFERROR(__xludf.DUMMYFUNCTION("""COMPUTED_VALUE"""),"Tyler")</f>
        <v>Tyler</v>
      </c>
      <c r="F8264" t="str">
        <f>IFERROR(__xludf.DUMMYFUNCTION("""COMPUTED_VALUE"""),"")</f>
        <v/>
      </c>
    </row>
    <row r="8265">
      <c r="D8265" t="str">
        <f>IFERROR(__xludf.DUMMYFUNCTION("""COMPUTED_VALUE"""),"Landrum")</f>
        <v>Landrum</v>
      </c>
      <c r="E8265" t="str">
        <f>IFERROR(__xludf.DUMMYFUNCTION("""COMPUTED_VALUE"""),"Chris")</f>
        <v>Chris</v>
      </c>
      <c r="F8265" t="str">
        <f>IFERROR(__xludf.DUMMYFUNCTION("""COMPUTED_VALUE"""),"")</f>
        <v/>
      </c>
    </row>
    <row r="8266">
      <c r="D8266" t="str">
        <f>IFERROR(__xludf.DUMMYFUNCTION("""COMPUTED_VALUE"""),"Landry")</f>
        <v>Landry</v>
      </c>
      <c r="E8266" t="str">
        <f>IFERROR(__xludf.DUMMYFUNCTION("""COMPUTED_VALUE"""),"Harold")</f>
        <v>Harold</v>
      </c>
      <c r="F8266" t="str">
        <f>IFERROR(__xludf.DUMMYFUNCTION("""COMPUTED_VALUE"""),"")</f>
        <v/>
      </c>
    </row>
    <row r="8267">
      <c r="D8267" t="str">
        <f>IFERROR(__xludf.DUMMYFUNCTION("""COMPUTED_VALUE"""),"Landry")</f>
        <v>Landry</v>
      </c>
      <c r="E8267" t="str">
        <f>IFERROR(__xludf.DUMMYFUNCTION("""COMPUTED_VALUE"""),"Jarvis")</f>
        <v>Jarvis</v>
      </c>
      <c r="F8267" t="str">
        <f>IFERROR(__xludf.DUMMYFUNCTION("""COMPUTED_VALUE"""),"")</f>
        <v/>
      </c>
    </row>
    <row r="8268">
      <c r="D8268" t="str">
        <f>IFERROR(__xludf.DUMMYFUNCTION("""COMPUTED_VALUE"""),"Langford")</f>
        <v>Langford</v>
      </c>
      <c r="E8268" t="str">
        <f>IFERROR(__xludf.DUMMYFUNCTION("""COMPUTED_VALUE"""),"Jeremy")</f>
        <v>Jeremy</v>
      </c>
      <c r="F8268" t="str">
        <f>IFERROR(__xludf.DUMMYFUNCTION("""COMPUTED_VALUE"""),"")</f>
        <v/>
      </c>
    </row>
    <row r="8269">
      <c r="D8269" t="str">
        <f>IFERROR(__xludf.DUMMYFUNCTION("""COMPUTED_VALUE"""),"Langi")</f>
        <v>Langi</v>
      </c>
      <c r="E8269" t="str">
        <f>IFERROR(__xludf.DUMMYFUNCTION("""COMPUTED_VALUE"""),"Harvey")</f>
        <v>Harvey</v>
      </c>
      <c r="F8269" t="str">
        <f>IFERROR(__xludf.DUMMYFUNCTION("""COMPUTED_VALUE"""),"")</f>
        <v/>
      </c>
    </row>
    <row r="8270">
      <c r="D8270" t="str">
        <f>IFERROR(__xludf.DUMMYFUNCTION("""COMPUTED_VALUE"""),"Langley")</f>
        <v>Langley</v>
      </c>
      <c r="E8270" t="str">
        <f>IFERROR(__xludf.DUMMYFUNCTION("""COMPUTED_VALUE"""),"Brendan")</f>
        <v>Brendan</v>
      </c>
      <c r="F8270" t="str">
        <f>IFERROR(__xludf.DUMMYFUNCTION("""COMPUTED_VALUE"""),"")</f>
        <v/>
      </c>
    </row>
    <row r="8271">
      <c r="D8271" t="str">
        <f>IFERROR(__xludf.DUMMYFUNCTION("""COMPUTED_VALUE"""),"Lanier")</f>
        <v>Lanier</v>
      </c>
      <c r="E8271" t="str">
        <f>IFERROR(__xludf.DUMMYFUNCTION("""COMPUTED_VALUE"""),"Anthony")</f>
        <v>Anthony</v>
      </c>
      <c r="F8271" t="str">
        <f>IFERROR(__xludf.DUMMYFUNCTION("""COMPUTED_VALUE"""),"")</f>
        <v/>
      </c>
    </row>
    <row r="8272">
      <c r="D8272" t="str">
        <f>IFERROR(__xludf.DUMMYFUNCTION("""COMPUTED_VALUE"""),"LARey")</f>
        <v>LARey</v>
      </c>
      <c r="E8272" t="str">
        <f>IFERROR(__xludf.DUMMYFUNCTION("""COMPUTED_VALUE"""),"Jalen")</f>
        <v>Jalen</v>
      </c>
      <c r="F8272" t="str">
        <f>IFERROR(__xludf.DUMMYFUNCTION("""COMPUTED_VALUE"""),"")</f>
        <v/>
      </c>
    </row>
    <row r="8273">
      <c r="D8273" t="str">
        <f>IFERROR(__xludf.DUMMYFUNCTION("""COMPUTED_VALUE"""),"Larsen")</f>
        <v>Larsen</v>
      </c>
      <c r="E8273" t="str">
        <f>IFERROR(__xludf.DUMMYFUNCTION("""COMPUTED_VALUE"""),"Ted")</f>
        <v>Ted</v>
      </c>
      <c r="F8273" t="str">
        <f>IFERROR(__xludf.DUMMYFUNCTION("""COMPUTED_VALUE"""),"")</f>
        <v/>
      </c>
    </row>
    <row r="8274">
      <c r="D8274" t="str">
        <f>IFERROR(__xludf.DUMMYFUNCTION("""COMPUTED_VALUE"""),"Larsen")</f>
        <v>Larsen</v>
      </c>
      <c r="E8274" t="str">
        <f>IFERROR(__xludf.DUMMYFUNCTION("""COMPUTED_VALUE"""),"Tyler")</f>
        <v>Tyler</v>
      </c>
      <c r="F8274" t="str">
        <f>IFERROR(__xludf.DUMMYFUNCTION("""COMPUTED_VALUE"""),"")</f>
        <v/>
      </c>
    </row>
    <row r="8275">
      <c r="D8275" t="str">
        <f>IFERROR(__xludf.DUMMYFUNCTION("""COMPUTED_VALUE"""),"Lasley")</f>
        <v>Lasley</v>
      </c>
      <c r="E8275" t="str">
        <f>IFERROR(__xludf.DUMMYFUNCTION("""COMPUTED_VALUE"""),"Jordan")</f>
        <v>Jordan</v>
      </c>
      <c r="F8275" t="str">
        <f>IFERROR(__xludf.DUMMYFUNCTION("""COMPUTED_VALUE"""),"")</f>
        <v/>
      </c>
    </row>
    <row r="8276">
      <c r="D8276" t="str">
        <f>IFERROR(__xludf.DUMMYFUNCTION("""COMPUTED_VALUE"""),"Latimer")</f>
        <v>Latimer</v>
      </c>
      <c r="E8276" t="str">
        <f>IFERROR(__xludf.DUMMYFUNCTION("""COMPUTED_VALUE"""),"Cody")</f>
        <v>Cody</v>
      </c>
      <c r="F8276" t="str">
        <f>IFERROR(__xludf.DUMMYFUNCTION("""COMPUTED_VALUE"""),"")</f>
        <v/>
      </c>
    </row>
    <row r="8277">
      <c r="D8277" t="str">
        <f>IFERROR(__xludf.DUMMYFUNCTION("""COMPUTED_VALUE"""),"Lattimore")</f>
        <v>Lattimore</v>
      </c>
      <c r="E8277" t="str">
        <f>IFERROR(__xludf.DUMMYFUNCTION("""COMPUTED_VALUE"""),"Marshon")</f>
        <v>Marshon</v>
      </c>
      <c r="F8277" t="str">
        <f>IFERROR(__xludf.DUMMYFUNCTION("""COMPUTED_VALUE"""),"")</f>
        <v/>
      </c>
    </row>
    <row r="8278">
      <c r="D8278" t="str">
        <f>IFERROR(__xludf.DUMMYFUNCTION("""COMPUTED_VALUE"""),"Lauletta")</f>
        <v>Lauletta</v>
      </c>
      <c r="E8278" t="str">
        <f>IFERROR(__xludf.DUMMYFUNCTION("""COMPUTED_VALUE"""),"Kyle")</f>
        <v>Kyle</v>
      </c>
      <c r="F8278" t="str">
        <f>IFERROR(__xludf.DUMMYFUNCTION("""COMPUTED_VALUE"""),"")</f>
        <v/>
      </c>
    </row>
    <row r="8279">
      <c r="D8279" t="str">
        <f>IFERROR(__xludf.DUMMYFUNCTION("""COMPUTED_VALUE"""),"Lawler")</f>
        <v>Lawler</v>
      </c>
      <c r="E8279" t="str">
        <f>IFERROR(__xludf.DUMMYFUNCTION("""COMPUTED_VALUE"""),"Justin")</f>
        <v>Justin</v>
      </c>
      <c r="F8279" t="str">
        <f>IFERROR(__xludf.DUMMYFUNCTION("""COMPUTED_VALUE"""),"")</f>
        <v/>
      </c>
    </row>
    <row r="8280">
      <c r="D8280" t="str">
        <f>IFERROR(__xludf.DUMMYFUNCTION("""COMPUTED_VALUE"""),"Lawrence")</f>
        <v>Lawrence</v>
      </c>
      <c r="E8280" t="str">
        <f>IFERROR(__xludf.DUMMYFUNCTION("""COMPUTED_VALUE"""),"DeMarcus")</f>
        <v>DeMarcus</v>
      </c>
      <c r="F8280" t="str">
        <f>IFERROR(__xludf.DUMMYFUNCTION("""COMPUTED_VALUE"""),"")</f>
        <v/>
      </c>
    </row>
    <row r="8281">
      <c r="D8281" t="str">
        <f>IFERROR(__xludf.DUMMYFUNCTION("""COMPUTED_VALUE"""),"Lawrence")</f>
        <v>Lawrence</v>
      </c>
      <c r="E8281" t="str">
        <f>IFERROR(__xludf.DUMMYFUNCTION("""COMPUTED_VALUE"""),"Devaroe")</f>
        <v>Devaroe</v>
      </c>
      <c r="F8281" t="str">
        <f>IFERROR(__xludf.DUMMYFUNCTION("""COMPUTED_VALUE"""),"")</f>
        <v/>
      </c>
    </row>
    <row r="8282">
      <c r="D8282" t="str">
        <f>IFERROR(__xludf.DUMMYFUNCTION("""COMPUTED_VALUE"""),"Lawrence")</f>
        <v>Lawrence</v>
      </c>
      <c r="E8282" t="str">
        <f>IFERROR(__xludf.DUMMYFUNCTION("""COMPUTED_VALUE"""),"Dexter")</f>
        <v>Dexter</v>
      </c>
      <c r="F8282" t="str">
        <f>IFERROR(__xludf.DUMMYFUNCTION("""COMPUTED_VALUE"""),"")</f>
        <v/>
      </c>
    </row>
    <row r="8283">
      <c r="D8283" t="str">
        <f>IFERROR(__xludf.DUMMYFUNCTION("""COMPUTED_VALUE"""),"Lawson")</f>
        <v>Lawson</v>
      </c>
      <c r="E8283" t="str">
        <f>IFERROR(__xludf.DUMMYFUNCTION("""COMPUTED_VALUE"""),"Carl")</f>
        <v>Carl</v>
      </c>
      <c r="F8283" t="str">
        <f>IFERROR(__xludf.DUMMYFUNCTION("""COMPUTED_VALUE"""),"")</f>
        <v/>
      </c>
    </row>
    <row r="8284">
      <c r="D8284" t="str">
        <f>IFERROR(__xludf.DUMMYFUNCTION("""COMPUTED_VALUE"""),"Lawson")</f>
        <v>Lawson</v>
      </c>
      <c r="E8284" t="str">
        <f>IFERROR(__xludf.DUMMYFUNCTION("""COMPUTED_VALUE"""),"Nevin")</f>
        <v>Nevin</v>
      </c>
      <c r="F8284" t="str">
        <f>IFERROR(__xludf.DUMMYFUNCTION("""COMPUTED_VALUE"""),"")</f>
        <v/>
      </c>
    </row>
    <row r="8285">
      <c r="D8285" t="str">
        <f>IFERROR(__xludf.DUMMYFUNCTION("""COMPUTED_VALUE"""),"Lawson")</f>
        <v>Lawson</v>
      </c>
      <c r="E8285" t="str">
        <f>IFERROR(__xludf.DUMMYFUNCTION("""COMPUTED_VALUE"""),"Shaq")</f>
        <v>Shaq</v>
      </c>
      <c r="F8285" t="str">
        <f>IFERROR(__xludf.DUMMYFUNCTION("""COMPUTED_VALUE"""),"")</f>
        <v/>
      </c>
    </row>
    <row r="8286">
      <c r="D8286" t="str">
        <f>IFERROR(__xludf.DUMMYFUNCTION("""COMPUTED_VALUE"""),"Layne")</f>
        <v>Layne</v>
      </c>
      <c r="E8286" t="str">
        <f>IFERROR(__xludf.DUMMYFUNCTION("""COMPUTED_VALUE"""),"Justin")</f>
        <v>Justin</v>
      </c>
      <c r="F8286" t="str">
        <f>IFERROR(__xludf.DUMMYFUNCTION("""COMPUTED_VALUE"""),"")</f>
        <v/>
      </c>
    </row>
    <row r="8287">
      <c r="D8287" t="str">
        <f>IFERROR(__xludf.DUMMYFUNCTION("""COMPUTED_VALUE"""),"Lazard")</f>
        <v>Lazard</v>
      </c>
      <c r="E8287" t="str">
        <f>IFERROR(__xludf.DUMMYFUNCTION("""COMPUTED_VALUE"""),"Allen")</f>
        <v>Allen</v>
      </c>
      <c r="F8287" t="str">
        <f>IFERROR(__xludf.DUMMYFUNCTION("""COMPUTED_VALUE"""),"")</f>
        <v/>
      </c>
    </row>
    <row r="8288">
      <c r="D8288" t="str">
        <f>IFERROR(__xludf.DUMMYFUNCTION("""COMPUTED_VALUE"""),"Leary")</f>
        <v>Leary</v>
      </c>
      <c r="E8288" t="str">
        <f>IFERROR(__xludf.DUMMYFUNCTION("""COMPUTED_VALUE"""),"Ron")</f>
        <v>Ron</v>
      </c>
      <c r="F8288" t="str">
        <f>IFERROR(__xludf.DUMMYFUNCTION("""COMPUTED_VALUE"""),"")</f>
        <v/>
      </c>
    </row>
    <row r="8289">
      <c r="D8289" t="str">
        <f>IFERROR(__xludf.DUMMYFUNCTION("""COMPUTED_VALUE"""),"Leavitt")</f>
        <v>Leavitt</v>
      </c>
      <c r="E8289" t="str">
        <f>IFERROR(__xludf.DUMMYFUNCTION("""COMPUTED_VALUE"""),"Dallin")</f>
        <v>Dallin</v>
      </c>
      <c r="F8289" t="str">
        <f>IFERROR(__xludf.DUMMYFUNCTION("""COMPUTED_VALUE"""),"")</f>
        <v/>
      </c>
    </row>
    <row r="8290">
      <c r="D8290" t="str">
        <f>IFERROR(__xludf.DUMMYFUNCTION("""COMPUTED_VALUE"""),"LeBlanc")</f>
        <v>LeBlanc</v>
      </c>
      <c r="E8290" t="str">
        <f>IFERROR(__xludf.DUMMYFUNCTION("""COMPUTED_VALUE"""),"CreVon")</f>
        <v>CreVon</v>
      </c>
      <c r="F8290" t="str">
        <f>IFERROR(__xludf.DUMMYFUNCTION("""COMPUTED_VALUE"""),"")</f>
        <v/>
      </c>
    </row>
    <row r="8291">
      <c r="D8291" t="str">
        <f>IFERROR(__xludf.DUMMYFUNCTION("""COMPUTED_VALUE"""),"Ledbetter")</f>
        <v>Ledbetter</v>
      </c>
      <c r="E8291" t="str">
        <f>IFERROR(__xludf.DUMMYFUNCTION("""COMPUTED_VALUE"""),"Jeremiah")</f>
        <v>Jeremiah</v>
      </c>
      <c r="F8291" t="str">
        <f>IFERROR(__xludf.DUMMYFUNCTION("""COMPUTED_VALUE"""),"")</f>
        <v/>
      </c>
    </row>
    <row r="8292">
      <c r="D8292" t="str">
        <f>IFERROR(__xludf.DUMMYFUNCTION("""COMPUTED_VALUE"""),"Ledbetter")</f>
        <v>Ledbetter</v>
      </c>
      <c r="E8292" t="str">
        <f>IFERROR(__xludf.DUMMYFUNCTION("""COMPUTED_VALUE"""),"Jonathan")</f>
        <v>Jonathan</v>
      </c>
      <c r="F8292" t="str">
        <f>IFERROR(__xludf.DUMMYFUNCTION("""COMPUTED_VALUE"""),"")</f>
        <v/>
      </c>
    </row>
    <row r="8293">
      <c r="D8293" t="str">
        <f>IFERROR(__xludf.DUMMYFUNCTION("""COMPUTED_VALUE"""),"Lee")</f>
        <v>Lee</v>
      </c>
      <c r="E8293" t="str">
        <f>IFERROR(__xludf.DUMMYFUNCTION("""COMPUTED_VALUE"""),"Andy")</f>
        <v>Andy</v>
      </c>
      <c r="F8293" t="str">
        <f>IFERROR(__xludf.DUMMYFUNCTION("""COMPUTED_VALUE"""),"")</f>
        <v/>
      </c>
    </row>
    <row r="8294">
      <c r="D8294" t="str">
        <f>IFERROR(__xludf.DUMMYFUNCTION("""COMPUTED_VALUE"""),"Lee")</f>
        <v>Lee</v>
      </c>
      <c r="E8294" t="str">
        <f>IFERROR(__xludf.DUMMYFUNCTION("""COMPUTED_VALUE"""),"Darron")</f>
        <v>Darron</v>
      </c>
      <c r="F8294" t="str">
        <f>IFERROR(__xludf.DUMMYFUNCTION("""COMPUTED_VALUE"""),"")</f>
        <v/>
      </c>
    </row>
    <row r="8295">
      <c r="D8295" t="str">
        <f>IFERROR(__xludf.DUMMYFUNCTION("""COMPUTED_VALUE"""),"Lee")</f>
        <v>Lee</v>
      </c>
      <c r="E8295" t="str">
        <f>IFERROR(__xludf.DUMMYFUNCTION("""COMPUTED_VALUE"""),"Elijah")</f>
        <v>Elijah</v>
      </c>
      <c r="F8295" t="str">
        <f>IFERROR(__xludf.DUMMYFUNCTION("""COMPUTED_VALUE"""),"")</f>
        <v/>
      </c>
    </row>
    <row r="8296">
      <c r="D8296" t="str">
        <f>IFERROR(__xludf.DUMMYFUNCTION("""COMPUTED_VALUE"""),"Lee")</f>
        <v>Lee</v>
      </c>
      <c r="E8296" t="str">
        <f>IFERROR(__xludf.DUMMYFUNCTION("""COMPUTED_VALUE"""),"Eric")</f>
        <v>Eric</v>
      </c>
      <c r="F8296" t="str">
        <f>IFERROR(__xludf.DUMMYFUNCTION("""COMPUTED_VALUE"""),"")</f>
        <v/>
      </c>
    </row>
    <row r="8297">
      <c r="D8297" t="str">
        <f>IFERROR(__xludf.DUMMYFUNCTION("""COMPUTED_VALUE"""),"Lee")</f>
        <v>Lee</v>
      </c>
      <c r="E8297" t="str">
        <f>IFERROR(__xludf.DUMMYFUNCTION("""COMPUTED_VALUE"""),"Marqise")</f>
        <v>Marqise</v>
      </c>
      <c r="F8297" t="str">
        <f>IFERROR(__xludf.DUMMYFUNCTION("""COMPUTED_VALUE"""),"")</f>
        <v/>
      </c>
    </row>
    <row r="8298">
      <c r="D8298" t="str">
        <f>IFERROR(__xludf.DUMMYFUNCTION("""COMPUTED_VALUE"""),"Lee")</f>
        <v>Lee</v>
      </c>
      <c r="E8298" t="str">
        <f>IFERROR(__xludf.DUMMYFUNCTION("""COMPUTED_VALUE"""),"Marquel")</f>
        <v>Marquel</v>
      </c>
      <c r="F8298" t="str">
        <f>IFERROR(__xludf.DUMMYFUNCTION("""COMPUTED_VALUE"""),"")</f>
        <v/>
      </c>
    </row>
    <row r="8299">
      <c r="D8299" t="str">
        <f>IFERROR(__xludf.DUMMYFUNCTION("""COMPUTED_VALUE"""),"Lee")</f>
        <v>Lee</v>
      </c>
      <c r="E8299" t="str">
        <f>IFERROR(__xludf.DUMMYFUNCTION("""COMPUTED_VALUE"""),"Sean")</f>
        <v>Sean</v>
      </c>
      <c r="F8299" t="str">
        <f>IFERROR(__xludf.DUMMYFUNCTION("""COMPUTED_VALUE"""),"")</f>
        <v/>
      </c>
    </row>
    <row r="8300">
      <c r="D8300" t="str">
        <f>IFERROR(__xludf.DUMMYFUNCTION("""COMPUTED_VALUE"""),"Lee")</f>
        <v>Lee</v>
      </c>
      <c r="E8300" t="str">
        <f>IFERROR(__xludf.DUMMYFUNCTION("""COMPUTED_VALUE"""),"Tanner")</f>
        <v>Tanner</v>
      </c>
      <c r="F8300" t="str">
        <f>IFERROR(__xludf.DUMMYFUNCTION("""COMPUTED_VALUE"""),"")</f>
        <v/>
      </c>
    </row>
    <row r="8301">
      <c r="D8301" t="str">
        <f>IFERROR(__xludf.DUMMYFUNCTION("""COMPUTED_VALUE"""),"Leggett")</f>
        <v>Leggett</v>
      </c>
      <c r="E8301" t="str">
        <f>IFERROR(__xludf.DUMMYFUNCTION("""COMPUTED_VALUE"""),"Jordan")</f>
        <v>Jordan</v>
      </c>
      <c r="F8301" t="str">
        <f>IFERROR(__xludf.DUMMYFUNCTION("""COMPUTED_VALUE"""),"")</f>
        <v/>
      </c>
    </row>
    <row r="8302">
      <c r="D8302" t="str">
        <f>IFERROR(__xludf.DUMMYFUNCTION("""COMPUTED_VALUE"""),"Leno")</f>
        <v>Leno</v>
      </c>
      <c r="E8302" t="str">
        <f>IFERROR(__xludf.DUMMYFUNCTION("""COMPUTED_VALUE"""),"Charles")</f>
        <v>Charles</v>
      </c>
      <c r="F8302" t="str">
        <f>IFERROR(__xludf.DUMMYFUNCTION("""COMPUTED_VALUE"""),"")</f>
        <v/>
      </c>
    </row>
    <row r="8303">
      <c r="D8303" t="str">
        <f>IFERROR(__xludf.DUMMYFUNCTION("""COMPUTED_VALUE"""),"Lenoir")</f>
        <v>Lenoir</v>
      </c>
      <c r="E8303" t="str">
        <f>IFERROR(__xludf.DUMMYFUNCTION("""COMPUTED_VALUE"""),"Lance")</f>
        <v>Lance</v>
      </c>
      <c r="F8303" t="str">
        <f>IFERROR(__xludf.DUMMYFUNCTION("""COMPUTED_VALUE"""),"")</f>
        <v/>
      </c>
    </row>
    <row r="8304">
      <c r="D8304" t="str">
        <f>IFERROR(__xludf.DUMMYFUNCTION("""COMPUTED_VALUE"""),"Leonard")</f>
        <v>Leonard</v>
      </c>
      <c r="E8304" t="str">
        <f>IFERROR(__xludf.DUMMYFUNCTION("""COMPUTED_VALUE"""),"Darius")</f>
        <v>Darius</v>
      </c>
      <c r="F8304" t="str">
        <f>IFERROR(__xludf.DUMMYFUNCTION("""COMPUTED_VALUE"""),"")</f>
        <v/>
      </c>
    </row>
    <row r="8305">
      <c r="D8305" t="str">
        <f>IFERROR(__xludf.DUMMYFUNCTION("""COMPUTED_VALUE"""),"Leonard")</f>
        <v>Leonard</v>
      </c>
      <c r="E8305" t="str">
        <f>IFERROR(__xludf.DUMMYFUNCTION("""COMPUTED_VALUE"""),"Rick")</f>
        <v>Rick</v>
      </c>
      <c r="F8305" t="str">
        <f>IFERROR(__xludf.DUMMYFUNCTION("""COMPUTED_VALUE"""),"")</f>
        <v/>
      </c>
    </row>
    <row r="8306">
      <c r="D8306" t="str">
        <f>IFERROR(__xludf.DUMMYFUNCTION("""COMPUTED_VALUE"""),"Levin")</f>
        <v>Levin</v>
      </c>
      <c r="E8306" t="str">
        <f>IFERROR(__xludf.DUMMYFUNCTION("""COMPUTED_VALUE"""),"Corey")</f>
        <v>Corey</v>
      </c>
      <c r="F8306" t="str">
        <f>IFERROR(__xludf.DUMMYFUNCTION("""COMPUTED_VALUE"""),"")</f>
        <v/>
      </c>
    </row>
    <row r="8307">
      <c r="D8307" t="str">
        <f>IFERROR(__xludf.DUMMYFUNCTION("""COMPUTED_VALUE"""),"Levine")</f>
        <v>Levine</v>
      </c>
      <c r="E8307" t="str">
        <f>IFERROR(__xludf.DUMMYFUNCTION("""COMPUTED_VALUE"""),"Anthony")</f>
        <v>Anthony</v>
      </c>
      <c r="F8307" t="str">
        <f>IFERROR(__xludf.DUMMYFUNCTION("""COMPUTED_VALUE"""),"")</f>
        <v/>
      </c>
    </row>
    <row r="8308">
      <c r="D8308" t="str">
        <f>IFERROR(__xludf.DUMMYFUNCTION("""COMPUTED_VALUE"""),"Lewan")</f>
        <v>Lewan</v>
      </c>
      <c r="E8308" t="str">
        <f>IFERROR(__xludf.DUMMYFUNCTION("""COMPUTED_VALUE"""),"Taylor")</f>
        <v>Taylor</v>
      </c>
      <c r="F8308" t="str">
        <f>IFERROR(__xludf.DUMMYFUNCTION("""COMPUTED_VALUE"""),"")</f>
        <v/>
      </c>
    </row>
    <row r="8309">
      <c r="D8309" t="str">
        <f>IFERROR(__xludf.DUMMYFUNCTION("""COMPUTED_VALUE"""),"Lewis")</f>
        <v>Lewis</v>
      </c>
      <c r="E8309" t="str">
        <f>IFERROR(__xludf.DUMMYFUNCTION("""COMPUTED_VALUE"""),"Alex")</f>
        <v>Alex</v>
      </c>
      <c r="F8309" t="str">
        <f>IFERROR(__xludf.DUMMYFUNCTION("""COMPUTED_VALUE"""),"")</f>
        <v/>
      </c>
    </row>
    <row r="8310">
      <c r="D8310" t="str">
        <f>IFERROR(__xludf.DUMMYFUNCTION("""COMPUTED_VALUE"""),"Lewis")</f>
        <v>Lewis</v>
      </c>
      <c r="E8310" t="str">
        <f>IFERROR(__xludf.DUMMYFUNCTION("""COMPUTED_VALUE"""),"Dion")</f>
        <v>Dion</v>
      </c>
      <c r="F8310" t="str">
        <f>IFERROR(__xludf.DUMMYFUNCTION("""COMPUTED_VALUE"""),"")</f>
        <v/>
      </c>
    </row>
    <row r="8311">
      <c r="D8311" t="str">
        <f>IFERROR(__xludf.DUMMYFUNCTION("""COMPUTED_VALUE"""),"Lewis")</f>
        <v>Lewis</v>
      </c>
      <c r="E8311" t="str">
        <f>IFERROR(__xludf.DUMMYFUNCTION("""COMPUTED_VALUE"""),"Donnie")</f>
        <v>Donnie</v>
      </c>
      <c r="F8311" t="str">
        <f>IFERROR(__xludf.DUMMYFUNCTION("""COMPUTED_VALUE"""),"")</f>
        <v/>
      </c>
    </row>
    <row r="8312">
      <c r="D8312" t="str">
        <f>IFERROR(__xludf.DUMMYFUNCTION("""COMPUTED_VALUE"""),"Lewis")</f>
        <v>Lewis</v>
      </c>
      <c r="E8312" t="str">
        <f>IFERROR(__xludf.DUMMYFUNCTION("""COMPUTED_VALUE"""),"Jourdan")</f>
        <v>Jourdan</v>
      </c>
      <c r="F8312" t="str">
        <f>IFERROR(__xludf.DUMMYFUNCTION("""COMPUTED_VALUE"""),"")</f>
        <v/>
      </c>
    </row>
    <row r="8313">
      <c r="D8313" t="str">
        <f>IFERROR(__xludf.DUMMYFUNCTION("""COMPUTED_VALUE"""),"Lewis")</f>
        <v>Lewis</v>
      </c>
      <c r="E8313" t="str">
        <f>IFERROR(__xludf.DUMMYFUNCTION("""COMPUTED_VALUE"""),"LaTroy")</f>
        <v>LaTroy</v>
      </c>
      <c r="F8313" t="str">
        <f>IFERROR(__xludf.DUMMYFUNCTION("""COMPUTED_VALUE"""),"")</f>
        <v/>
      </c>
    </row>
    <row r="8314">
      <c r="D8314" t="str">
        <f>IFERROR(__xludf.DUMMYFUNCTION("""COMPUTED_VALUE"""),"Lewis")</f>
        <v>Lewis</v>
      </c>
      <c r="E8314" t="str">
        <f>IFERROR(__xludf.DUMMYFUNCTION("""COMPUTED_VALUE"""),"Marcedes")</f>
        <v>Marcedes</v>
      </c>
      <c r="F8314" t="str">
        <f>IFERROR(__xludf.DUMMYFUNCTION("""COMPUTED_VALUE"""),"")</f>
        <v/>
      </c>
    </row>
    <row r="8315">
      <c r="D8315" t="str">
        <f>IFERROR(__xludf.DUMMYFUNCTION("""COMPUTED_VALUE"""),"Lewis")</f>
        <v>Lewis</v>
      </c>
      <c r="E8315" t="str">
        <f>IFERROR(__xludf.DUMMYFUNCTION("""COMPUTED_VALUE"""),"Ryan")</f>
        <v>Ryan</v>
      </c>
      <c r="F8315" t="str">
        <f>IFERROR(__xludf.DUMMYFUNCTION("""COMPUTED_VALUE"""),"")</f>
        <v/>
      </c>
    </row>
    <row r="8316">
      <c r="D8316" t="str">
        <f>IFERROR(__xludf.DUMMYFUNCTION("""COMPUTED_VALUE"""),"Lewis")</f>
        <v>Lewis</v>
      </c>
      <c r="E8316" t="str">
        <f>IFERROR(__xludf.DUMMYFUNCTION("""COMPUTED_VALUE"""),"Tommylee")</f>
        <v>Tommylee</v>
      </c>
      <c r="F8316" t="str">
        <f>IFERROR(__xludf.DUMMYFUNCTION("""COMPUTED_VALUE"""),"")</f>
        <v/>
      </c>
    </row>
    <row r="8317">
      <c r="D8317" t="str">
        <f>IFERROR(__xludf.DUMMYFUNCTION("""COMPUTED_VALUE"""),"Lewis")</f>
        <v>Lewis</v>
      </c>
      <c r="E8317" t="str">
        <f>IFERROR(__xludf.DUMMYFUNCTION("""COMPUTED_VALUE"""),"Tyquan")</f>
        <v>Tyquan</v>
      </c>
      <c r="F8317" t="str">
        <f>IFERROR(__xludf.DUMMYFUNCTION("""COMPUTED_VALUE"""),"")</f>
        <v/>
      </c>
    </row>
    <row r="8318">
      <c r="D8318" t="str">
        <f>IFERROR(__xludf.DUMMYFUNCTION("""COMPUTED_VALUE"""),"Lewis-Marshall")</f>
        <v>Lewis-Marshall</v>
      </c>
      <c r="E8318" t="str">
        <f>IFERROR(__xludf.DUMMYFUNCTION("""COMPUTED_VALUE"""),"Iman")</f>
        <v>Iman</v>
      </c>
      <c r="F8318" t="str">
        <f>IFERROR(__xludf.DUMMYFUNCTION("""COMPUTED_VALUE"""),"")</f>
        <v/>
      </c>
    </row>
    <row r="8319">
      <c r="D8319" t="str">
        <f>IFERROR(__xludf.DUMMYFUNCTION("""COMPUTED_VALUE"""),"Lewis-Moore")</f>
        <v>Lewis-Moore</v>
      </c>
      <c r="E8319" t="str">
        <f>IFERROR(__xludf.DUMMYFUNCTION("""COMPUTED_VALUE"""),"Kapron")</f>
        <v>Kapron</v>
      </c>
      <c r="F8319" t="str">
        <f>IFERROR(__xludf.DUMMYFUNCTION("""COMPUTED_VALUE"""),"")</f>
        <v/>
      </c>
    </row>
    <row r="8320">
      <c r="D8320" t="str">
        <f>IFERROR(__xludf.DUMMYFUNCTION("""COMPUTED_VALUE"""),"Liedtke")</f>
        <v>Liedtke</v>
      </c>
      <c r="E8320" t="str">
        <f>IFERROR(__xludf.DUMMYFUNCTION("""COMPUTED_VALUE"""),"Mike")</f>
        <v>Mike</v>
      </c>
      <c r="F8320" t="str">
        <f>IFERROR(__xludf.DUMMYFUNCTION("""COMPUTED_VALUE"""),"")</f>
        <v/>
      </c>
    </row>
    <row r="8321">
      <c r="D8321" t="str">
        <f>IFERROR(__xludf.DUMMYFUNCTION("""COMPUTED_VALUE"""),"Liggins")</f>
        <v>Liggins</v>
      </c>
      <c r="E8321" t="str">
        <f>IFERROR(__xludf.DUMMYFUNCTION("""COMPUTED_VALUE"""),"Justice")</f>
        <v>Justice</v>
      </c>
      <c r="F8321" t="str">
        <f>IFERROR(__xludf.DUMMYFUNCTION("""COMPUTED_VALUE"""),"")</f>
        <v/>
      </c>
    </row>
    <row r="8322">
      <c r="D8322" t="str">
        <f>IFERROR(__xludf.DUMMYFUNCTION("""COMPUTED_VALUE"""),"Light")</f>
        <v>Light</v>
      </c>
      <c r="E8322" t="str">
        <f>IFERROR(__xludf.DUMMYFUNCTION("""COMPUTED_VALUE"""),"Alex")</f>
        <v>Alex</v>
      </c>
      <c r="F8322" t="str">
        <f>IFERROR(__xludf.DUMMYFUNCTION("""COMPUTED_VALUE"""),"")</f>
        <v/>
      </c>
    </row>
    <row r="8323">
      <c r="D8323" t="str">
        <f>IFERROR(__xludf.DUMMYFUNCTION("""COMPUTED_VALUE"""),"Linder")</f>
        <v>Linder</v>
      </c>
      <c r="E8323" t="str">
        <f>IFERROR(__xludf.DUMMYFUNCTION("""COMPUTED_VALUE"""),"Brandon")</f>
        <v>Brandon</v>
      </c>
      <c r="F8323" t="str">
        <f>IFERROR(__xludf.DUMMYFUNCTION("""COMPUTED_VALUE"""),"")</f>
        <v/>
      </c>
    </row>
    <row r="8324">
      <c r="D8324" t="str">
        <f>IFERROR(__xludf.DUMMYFUNCTION("""COMPUTED_VALUE"""),"Lindsay")</f>
        <v>Lindsay</v>
      </c>
      <c r="E8324" t="str">
        <f>IFERROR(__xludf.DUMMYFUNCTION("""COMPUTED_VALUE"""),"Phillip")</f>
        <v>Phillip</v>
      </c>
      <c r="F8324" t="str">
        <f>IFERROR(__xludf.DUMMYFUNCTION("""COMPUTED_VALUE"""),"")</f>
        <v/>
      </c>
    </row>
    <row r="8325">
      <c r="D8325" t="str">
        <f>IFERROR(__xludf.DUMMYFUNCTION("""COMPUTED_VALUE"""),"Lindstrom")</f>
        <v>Lindstrom</v>
      </c>
      <c r="E8325" t="str">
        <f>IFERROR(__xludf.DUMMYFUNCTION("""COMPUTED_VALUE"""),"Chris")</f>
        <v>Chris</v>
      </c>
      <c r="F8325" t="str">
        <f>IFERROR(__xludf.DUMMYFUNCTION("""COMPUTED_VALUE"""),"")</f>
        <v/>
      </c>
    </row>
    <row r="8326">
      <c r="D8326" t="str">
        <f>IFERROR(__xludf.DUMMYFUNCTION("""COMPUTED_VALUE"""),"Line")</f>
        <v>Line</v>
      </c>
      <c r="E8326" t="str">
        <f>IFERROR(__xludf.DUMMYFUNCTION("""COMPUTED_VALUE"""),"Zach")</f>
        <v>Zach</v>
      </c>
      <c r="F8326" t="str">
        <f>IFERROR(__xludf.DUMMYFUNCTION("""COMPUTED_VALUE"""),"")</f>
        <v/>
      </c>
    </row>
    <row r="8327">
      <c r="D8327" t="str">
        <f>IFERROR(__xludf.DUMMYFUNCTION("""COMPUTED_VALUE"""),"Linsley")</f>
        <v>Linsley</v>
      </c>
      <c r="E8327" t="str">
        <f>IFERROR(__xludf.DUMMYFUNCTION("""COMPUTED_VALUE"""),"Corey")</f>
        <v>Corey</v>
      </c>
      <c r="F8327" t="str">
        <f>IFERROR(__xludf.DUMMYFUNCTION("""COMPUTED_VALUE"""),"")</f>
        <v/>
      </c>
    </row>
    <row r="8328">
      <c r="D8328" t="str">
        <f>IFERROR(__xludf.DUMMYFUNCTION("""COMPUTED_VALUE"""),"Lippett")</f>
        <v>Lippett</v>
      </c>
      <c r="E8328" t="str">
        <f>IFERROR(__xludf.DUMMYFUNCTION("""COMPUTED_VALUE"""),"Tony")</f>
        <v>Tony</v>
      </c>
      <c r="F8328" t="str">
        <f>IFERROR(__xludf.DUMMYFUNCTION("""COMPUTED_VALUE"""),"")</f>
        <v/>
      </c>
    </row>
    <row r="8329">
      <c r="D8329" t="str">
        <f>IFERROR(__xludf.DUMMYFUNCTION("""COMPUTED_VALUE"""),"Little")</f>
        <v>Little</v>
      </c>
      <c r="E8329" t="str">
        <f>IFERROR(__xludf.DUMMYFUNCTION("""COMPUTED_VALUE"""),"Greg")</f>
        <v>Greg</v>
      </c>
      <c r="F8329" t="str">
        <f>IFERROR(__xludf.DUMMYFUNCTION("""COMPUTED_VALUE"""),"")</f>
        <v/>
      </c>
    </row>
    <row r="8330">
      <c r="D8330" t="str">
        <f>IFERROR(__xludf.DUMMYFUNCTION("""COMPUTED_VALUE"""),"Littleton")</f>
        <v>Littleton</v>
      </c>
      <c r="E8330" t="str">
        <f>IFERROR(__xludf.DUMMYFUNCTION("""COMPUTED_VALUE"""),"Cory")</f>
        <v>Cory</v>
      </c>
      <c r="F8330" t="str">
        <f>IFERROR(__xludf.DUMMYFUNCTION("""COMPUTED_VALUE"""),"")</f>
        <v/>
      </c>
    </row>
    <row r="8331">
      <c r="D8331" t="str">
        <f>IFERROR(__xludf.DUMMYFUNCTION("""COMPUTED_VALUE"""),"Litton")</f>
        <v>Litton</v>
      </c>
      <c r="E8331" t="str">
        <f>IFERROR(__xludf.DUMMYFUNCTION("""COMPUTED_VALUE"""),"Chase")</f>
        <v>Chase</v>
      </c>
      <c r="F8331" t="str">
        <f>IFERROR(__xludf.DUMMYFUNCTION("""COMPUTED_VALUE"""),"")</f>
        <v/>
      </c>
    </row>
    <row r="8332">
      <c r="D8332" t="str">
        <f>IFERROR(__xludf.DUMMYFUNCTION("""COMPUTED_VALUE"""),"Lock")</f>
        <v>Lock</v>
      </c>
      <c r="E8332" t="str">
        <f>IFERROR(__xludf.DUMMYFUNCTION("""COMPUTED_VALUE"""),"Drew")</f>
        <v>Drew</v>
      </c>
      <c r="F8332" t="str">
        <f>IFERROR(__xludf.DUMMYFUNCTION("""COMPUTED_VALUE"""),"")</f>
        <v/>
      </c>
    </row>
    <row r="8333">
      <c r="D8333" t="str">
        <f>IFERROR(__xludf.DUMMYFUNCTION("""COMPUTED_VALUE"""),"Lockett")</f>
        <v>Lockett</v>
      </c>
      <c r="E8333" t="str">
        <f>IFERROR(__xludf.DUMMYFUNCTION("""COMPUTED_VALUE"""),"Tyler")</f>
        <v>Tyler</v>
      </c>
      <c r="F8333" t="str">
        <f>IFERROR(__xludf.DUMMYFUNCTION("""COMPUTED_VALUE"""),"")</f>
        <v/>
      </c>
    </row>
    <row r="8334">
      <c r="D8334" t="str">
        <f>IFERROR(__xludf.DUMMYFUNCTION("""COMPUTED_VALUE"""),"Lodge")</f>
        <v>Lodge</v>
      </c>
      <c r="E8334" t="str">
        <f>IFERROR(__xludf.DUMMYFUNCTION("""COMPUTED_VALUE"""),"DaMarkus")</f>
        <v>DaMarkus</v>
      </c>
      <c r="F8334" t="str">
        <f>IFERROR(__xludf.DUMMYFUNCTION("""COMPUTED_VALUE"""),"")</f>
        <v/>
      </c>
    </row>
    <row r="8335">
      <c r="D8335" t="str">
        <f>IFERROR(__xludf.DUMMYFUNCTION("""COMPUTED_VALUE"""),"Loewen")</f>
        <v>Loewen</v>
      </c>
      <c r="E8335" t="str">
        <f>IFERROR(__xludf.DUMMYFUNCTION("""COMPUTED_VALUE"""),"Mitchell")</f>
        <v>Mitchell</v>
      </c>
      <c r="F8335" t="str">
        <f>IFERROR(__xludf.DUMMYFUNCTION("""COMPUTED_VALUE"""),"")</f>
        <v/>
      </c>
    </row>
    <row r="8336">
      <c r="D8336" t="str">
        <f>IFERROR(__xludf.DUMMYFUNCTION("""COMPUTED_VALUE"""),"Logan")</f>
        <v>Logan</v>
      </c>
      <c r="E8336" t="str">
        <f>IFERROR(__xludf.DUMMYFUNCTION("""COMPUTED_VALUE"""),"TJ")</f>
        <v>TJ</v>
      </c>
      <c r="F8336" t="str">
        <f>IFERROR(__xludf.DUMMYFUNCTION("""COMPUTED_VALUE"""),"")</f>
        <v/>
      </c>
    </row>
    <row r="8337">
      <c r="D8337" t="str">
        <f>IFERROR(__xludf.DUMMYFUNCTION("""COMPUTED_VALUE"""),"Long")</f>
        <v>Long</v>
      </c>
      <c r="E8337" t="str">
        <f>IFERROR(__xludf.DUMMYFUNCTION("""COMPUTED_VALUE"""),"David")</f>
        <v>David</v>
      </c>
      <c r="F8337" t="str">
        <f>IFERROR(__xludf.DUMMYFUNCTION("""COMPUTED_VALUE"""),"")</f>
        <v/>
      </c>
    </row>
    <row r="8338">
      <c r="D8338" t="str">
        <f>IFERROR(__xludf.DUMMYFUNCTION("""COMPUTED_VALUE"""),"Long")</f>
        <v>Long</v>
      </c>
      <c r="E8338" t="str">
        <f>IFERROR(__xludf.DUMMYFUNCTION("""COMPUTED_VALUE"""),"David")</f>
        <v>David</v>
      </c>
      <c r="F8338" t="str">
        <f>IFERROR(__xludf.DUMMYFUNCTION("""COMPUTED_VALUE"""),"")</f>
        <v/>
      </c>
    </row>
    <row r="8339">
      <c r="D8339" t="str">
        <f>IFERROR(__xludf.DUMMYFUNCTION("""COMPUTED_VALUE"""),"Long")</f>
        <v>Long</v>
      </c>
      <c r="E8339" t="str">
        <f>IFERROR(__xludf.DUMMYFUNCTION("""COMPUTED_VALUE"""),"Kyle")</f>
        <v>Kyle</v>
      </c>
      <c r="F8339" t="str">
        <f>IFERROR(__xludf.DUMMYFUNCTION("""COMPUTED_VALUE"""),"")</f>
        <v/>
      </c>
    </row>
    <row r="8340">
      <c r="D8340" t="str">
        <f>IFERROR(__xludf.DUMMYFUNCTION("""COMPUTED_VALUE"""),"Long")</f>
        <v>Long</v>
      </c>
      <c r="E8340" t="str">
        <f>IFERROR(__xludf.DUMMYFUNCTION("""COMPUTED_VALUE"""),"Spencer")</f>
        <v>Spencer</v>
      </c>
      <c r="F8340" t="str">
        <f>IFERROR(__xludf.DUMMYFUNCTION("""COMPUTED_VALUE"""),"")</f>
        <v/>
      </c>
    </row>
    <row r="8341">
      <c r="D8341" t="str">
        <f>IFERROR(__xludf.DUMMYFUNCTION("""COMPUTED_VALUE"""),"Long")</f>
        <v>Long</v>
      </c>
      <c r="E8341" t="str">
        <f>IFERROR(__xludf.DUMMYFUNCTION("""COMPUTED_VALUE"""),"Ty")</f>
        <v>Ty</v>
      </c>
      <c r="F8341" t="str">
        <f>IFERROR(__xludf.DUMMYFUNCTION("""COMPUTED_VALUE"""),"")</f>
        <v/>
      </c>
    </row>
    <row r="8342">
      <c r="D8342" t="str">
        <f>IFERROR(__xludf.DUMMYFUNCTION("""COMPUTED_VALUE"""),"Longa")</f>
        <v>Longa</v>
      </c>
      <c r="E8342" t="str">
        <f>IFERROR(__xludf.DUMMYFUNCTION("""COMPUTED_VALUE"""),"Steve")</f>
        <v>Steve</v>
      </c>
      <c r="F8342" t="str">
        <f>IFERROR(__xludf.DUMMYFUNCTION("""COMPUTED_VALUE"""),"")</f>
        <v/>
      </c>
    </row>
    <row r="8343">
      <c r="D8343" t="str">
        <f>IFERROR(__xludf.DUMMYFUNCTION("""COMPUTED_VALUE"""),"Looney")</f>
        <v>Looney</v>
      </c>
      <c r="E8343" t="str">
        <f>IFERROR(__xludf.DUMMYFUNCTION("""COMPUTED_VALUE"""),"James")</f>
        <v>James</v>
      </c>
      <c r="F8343" t="str">
        <f>IFERROR(__xludf.DUMMYFUNCTION("""COMPUTED_VALUE"""),"")</f>
        <v/>
      </c>
    </row>
    <row r="8344">
      <c r="D8344" t="str">
        <f>IFERROR(__xludf.DUMMYFUNCTION("""COMPUTED_VALUE"""),"Looney")</f>
        <v>Looney</v>
      </c>
      <c r="E8344" t="str">
        <f>IFERROR(__xludf.DUMMYFUNCTION("""COMPUTED_VALUE"""),"Joe")</f>
        <v>Joe</v>
      </c>
      <c r="F8344" t="str">
        <f>IFERROR(__xludf.DUMMYFUNCTION("""COMPUTED_VALUE"""),"")</f>
        <v/>
      </c>
    </row>
    <row r="8345">
      <c r="D8345" t="str">
        <f>IFERROR(__xludf.DUMMYFUNCTION("""COMPUTED_VALUE"""),"Lotulelei")</f>
        <v>Lotulelei</v>
      </c>
      <c r="E8345" t="str">
        <f>IFERROR(__xludf.DUMMYFUNCTION("""COMPUTED_VALUE"""),"Star")</f>
        <v>Star</v>
      </c>
      <c r="F8345" t="str">
        <f>IFERROR(__xludf.DUMMYFUNCTION("""COMPUTED_VALUE"""),"")</f>
        <v/>
      </c>
    </row>
    <row r="8346">
      <c r="D8346" t="str">
        <f>IFERROR(__xludf.DUMMYFUNCTION("""COMPUTED_VALUE"""),"Louis")</f>
        <v>Louis</v>
      </c>
      <c r="E8346" t="str">
        <f>IFERROR(__xludf.DUMMYFUNCTION("""COMPUTED_VALUE"""),"Ricardo")</f>
        <v>Ricardo</v>
      </c>
      <c r="F8346" t="str">
        <f>IFERROR(__xludf.DUMMYFUNCTION("""COMPUTED_VALUE"""),"")</f>
        <v/>
      </c>
    </row>
    <row r="8347">
      <c r="D8347" t="str">
        <f>IFERROR(__xludf.DUMMYFUNCTION("""COMPUTED_VALUE"""),"Lovato")</f>
        <v>Lovato</v>
      </c>
      <c r="E8347" t="str">
        <f>IFERROR(__xludf.DUMMYFUNCTION("""COMPUTED_VALUE"""),"Rick")</f>
        <v>Rick</v>
      </c>
      <c r="F8347" t="str">
        <f>IFERROR(__xludf.DUMMYFUNCTION("""COMPUTED_VALUE"""),"")</f>
        <v/>
      </c>
    </row>
    <row r="8348">
      <c r="D8348" t="str">
        <f>IFERROR(__xludf.DUMMYFUNCTION("""COMPUTED_VALUE"""),"Love")</f>
        <v>Love</v>
      </c>
      <c r="E8348" t="str">
        <f>IFERROR(__xludf.DUMMYFUNCTION("""COMPUTED_VALUE"""),"Bryce")</f>
        <v>Bryce</v>
      </c>
      <c r="F8348" t="str">
        <f>IFERROR(__xludf.DUMMYFUNCTION("""COMPUTED_VALUE"""),"")</f>
        <v/>
      </c>
    </row>
    <row r="8349">
      <c r="D8349" t="str">
        <f>IFERROR(__xludf.DUMMYFUNCTION("""COMPUTED_VALUE"""),"Love")</f>
        <v>Love</v>
      </c>
      <c r="E8349" t="str">
        <f>IFERROR(__xludf.DUMMYFUNCTION("""COMPUTED_VALUE"""),"Julian")</f>
        <v>Julian</v>
      </c>
      <c r="F8349" t="str">
        <f>IFERROR(__xludf.DUMMYFUNCTION("""COMPUTED_VALUE"""),"")</f>
        <v/>
      </c>
    </row>
    <row r="8350">
      <c r="D8350" t="str">
        <f>IFERROR(__xludf.DUMMYFUNCTION("""COMPUTED_VALUE"""),"Love")</f>
        <v>Love</v>
      </c>
      <c r="E8350" t="str">
        <f>IFERROR(__xludf.DUMMYFUNCTION("""COMPUTED_VALUE"""),"Kyle")</f>
        <v>Kyle</v>
      </c>
      <c r="F8350" t="str">
        <f>IFERROR(__xludf.DUMMYFUNCTION("""COMPUTED_VALUE"""),"")</f>
        <v/>
      </c>
    </row>
    <row r="8351">
      <c r="D8351" t="str">
        <f>IFERROR(__xludf.DUMMYFUNCTION("""COMPUTED_VALUE"""),"Love")</f>
        <v>Love</v>
      </c>
      <c r="E8351" t="str">
        <f>IFERROR(__xludf.DUMMYFUNCTION("""COMPUTED_VALUE"""),"Mike")</f>
        <v>Mike</v>
      </c>
      <c r="F8351" t="str">
        <f>IFERROR(__xludf.DUMMYFUNCTION("""COMPUTED_VALUE"""),"")</f>
        <v/>
      </c>
    </row>
    <row r="8352">
      <c r="D8352" t="str">
        <f>IFERROR(__xludf.DUMMYFUNCTION("""COMPUTED_VALUE"""),"Lowry")</f>
        <v>Lowry</v>
      </c>
      <c r="E8352" t="str">
        <f>IFERROR(__xludf.DUMMYFUNCTION("""COMPUTED_VALUE"""),"Dean")</f>
        <v>Dean</v>
      </c>
      <c r="F8352" t="str">
        <f>IFERROR(__xludf.DUMMYFUNCTION("""COMPUTED_VALUE"""),"")</f>
        <v/>
      </c>
    </row>
    <row r="8353">
      <c r="D8353" t="str">
        <f>IFERROR(__xludf.DUMMYFUNCTION("""COMPUTED_VALUE"""),"Luani")</f>
        <v>Luani</v>
      </c>
      <c r="E8353" t="str">
        <f>IFERROR(__xludf.DUMMYFUNCTION("""COMPUTED_VALUE"""),"Shalom")</f>
        <v>Shalom</v>
      </c>
      <c r="F8353" t="str">
        <f>IFERROR(__xludf.DUMMYFUNCTION("""COMPUTED_VALUE"""),"")</f>
        <v/>
      </c>
    </row>
    <row r="8354">
      <c r="D8354" t="str">
        <f>IFERROR(__xludf.DUMMYFUNCTION("""COMPUTED_VALUE"""),"Lucas")</f>
        <v>Lucas</v>
      </c>
      <c r="E8354" t="str">
        <f>IFERROR(__xludf.DUMMYFUNCTION("""COMPUTED_VALUE"""),"Cornelius")</f>
        <v>Cornelius</v>
      </c>
      <c r="F8354" t="str">
        <f>IFERROR(__xludf.DUMMYFUNCTION("""COMPUTED_VALUE"""),"")</f>
        <v/>
      </c>
    </row>
    <row r="8355">
      <c r="D8355" t="str">
        <f>IFERROR(__xludf.DUMMYFUNCTION("""COMPUTED_VALUE"""),"Lucas")</f>
        <v>Lucas</v>
      </c>
      <c r="E8355" t="str">
        <f>IFERROR(__xludf.DUMMYFUNCTION("""COMPUTED_VALUE"""),"Jordan")</f>
        <v>Jordan</v>
      </c>
      <c r="F8355" t="str">
        <f>IFERROR(__xludf.DUMMYFUNCTION("""COMPUTED_VALUE"""),"")</f>
        <v/>
      </c>
    </row>
    <row r="8356">
      <c r="D8356" t="str">
        <f>IFERROR(__xludf.DUMMYFUNCTION("""COMPUTED_VALUE"""),"Luck")</f>
        <v>Luck</v>
      </c>
      <c r="E8356" t="str">
        <f>IFERROR(__xludf.DUMMYFUNCTION("""COMPUTED_VALUE"""),"Andrew")</f>
        <v>Andrew</v>
      </c>
      <c r="F8356" t="str">
        <f>IFERROR(__xludf.DUMMYFUNCTION("""COMPUTED_VALUE"""),"")</f>
        <v/>
      </c>
    </row>
    <row r="8357">
      <c r="D8357" t="str">
        <f>IFERROR(__xludf.DUMMYFUNCTION("""COMPUTED_VALUE"""),"Luke")</f>
        <v>Luke</v>
      </c>
      <c r="E8357" t="str">
        <f>IFERROR(__xludf.DUMMYFUNCTION("""COMPUTED_VALUE"""),"Cole")</f>
        <v>Cole</v>
      </c>
      <c r="F8357" t="str">
        <f>IFERROR(__xludf.DUMMYFUNCTION("""COMPUTED_VALUE"""),"")</f>
        <v/>
      </c>
    </row>
    <row r="8358">
      <c r="D8358" t="str">
        <f>IFERROR(__xludf.DUMMYFUNCTION("""COMPUTED_VALUE"""),"Lutz")</f>
        <v>Lutz</v>
      </c>
      <c r="E8358" t="str">
        <f>IFERROR(__xludf.DUMMYFUNCTION("""COMPUTED_VALUE"""),"Wil")</f>
        <v>Wil</v>
      </c>
      <c r="F8358" t="str">
        <f>IFERROR(__xludf.DUMMYFUNCTION("""COMPUTED_VALUE"""),"")</f>
        <v/>
      </c>
    </row>
    <row r="8359">
      <c r="D8359" t="str">
        <f>IFERROR(__xludf.DUMMYFUNCTION("""COMPUTED_VALUE"""),"Luvu")</f>
        <v>Luvu</v>
      </c>
      <c r="E8359" t="str">
        <f>IFERROR(__xludf.DUMMYFUNCTION("""COMPUTED_VALUE"""),"Frankie")</f>
        <v>Frankie</v>
      </c>
      <c r="F8359" t="str">
        <f>IFERROR(__xludf.DUMMYFUNCTION("""COMPUTED_VALUE"""),"")</f>
        <v/>
      </c>
    </row>
    <row r="8360">
      <c r="D8360" t="str">
        <f>IFERROR(__xludf.DUMMYFUNCTION("""COMPUTED_VALUE"""),"Lynch")</f>
        <v>Lynch</v>
      </c>
      <c r="E8360" t="str">
        <f>IFERROR(__xludf.DUMMYFUNCTION("""COMPUTED_VALUE"""),"Aaron")</f>
        <v>Aaron</v>
      </c>
      <c r="F8360" t="str">
        <f>IFERROR(__xludf.DUMMYFUNCTION("""COMPUTED_VALUE"""),"")</f>
        <v/>
      </c>
    </row>
    <row r="8361">
      <c r="D8361" t="str">
        <f>IFERROR(__xludf.DUMMYFUNCTION("""COMPUTED_VALUE"""),"Lynch")</f>
        <v>Lynch</v>
      </c>
      <c r="E8361" t="str">
        <f>IFERROR(__xludf.DUMMYFUNCTION("""COMPUTED_VALUE"""),"Paxton")</f>
        <v>Paxton</v>
      </c>
      <c r="F8361" t="str">
        <f>IFERROR(__xludf.DUMMYFUNCTION("""COMPUTED_VALUE"""),"")</f>
        <v/>
      </c>
    </row>
    <row r="8362">
      <c r="D8362" t="str">
        <f>IFERROR(__xludf.DUMMYFUNCTION("""COMPUTED_VALUE"""),"Mabin")</f>
        <v>Mabin</v>
      </c>
      <c r="E8362" t="str">
        <f>IFERROR(__xludf.DUMMYFUNCTION("""COMPUTED_VALUE"""),"Greg")</f>
        <v>Greg</v>
      </c>
      <c r="F8362" t="str">
        <f>IFERROR(__xludf.DUMMYFUNCTION("""COMPUTED_VALUE"""),"")</f>
        <v/>
      </c>
    </row>
    <row r="8363">
      <c r="D8363" t="str">
        <f>IFERROR(__xludf.DUMMYFUNCTION("""COMPUTED_VALUE"""),"Mack")</f>
        <v>Mack</v>
      </c>
      <c r="E8363" t="str">
        <f>IFERROR(__xludf.DUMMYFUNCTION("""COMPUTED_VALUE"""),"Alex")</f>
        <v>Alex</v>
      </c>
      <c r="F8363" t="str">
        <f>IFERROR(__xludf.DUMMYFUNCTION("""COMPUTED_VALUE"""),"")</f>
        <v/>
      </c>
    </row>
    <row r="8364">
      <c r="D8364" t="str">
        <f>IFERROR(__xludf.DUMMYFUNCTION("""COMPUTED_VALUE"""),"Mack")</f>
        <v>Mack</v>
      </c>
      <c r="E8364" t="str">
        <f>IFERROR(__xludf.DUMMYFUNCTION("""COMPUTED_VALUE"""),"Alize")</f>
        <v>Alize</v>
      </c>
      <c r="F8364" t="str">
        <f>IFERROR(__xludf.DUMMYFUNCTION("""COMPUTED_VALUE"""),"")</f>
        <v/>
      </c>
    </row>
    <row r="8365">
      <c r="D8365" t="str">
        <f>IFERROR(__xludf.DUMMYFUNCTION("""COMPUTED_VALUE"""),"Mack")</f>
        <v>Mack</v>
      </c>
      <c r="E8365" t="str">
        <f>IFERROR(__xludf.DUMMYFUNCTION("""COMPUTED_VALUE"""),"Daylon")</f>
        <v>Daylon</v>
      </c>
      <c r="F8365" t="str">
        <f>IFERROR(__xludf.DUMMYFUNCTION("""COMPUTED_VALUE"""),"")</f>
        <v/>
      </c>
    </row>
    <row r="8366">
      <c r="D8366" t="str">
        <f>IFERROR(__xludf.DUMMYFUNCTION("""COMPUTED_VALUE"""),"Mack")</f>
        <v>Mack</v>
      </c>
      <c r="E8366" t="str">
        <f>IFERROR(__xludf.DUMMYFUNCTION("""COMPUTED_VALUE"""),"Khalil")</f>
        <v>Khalil</v>
      </c>
      <c r="F8366" t="str">
        <f>IFERROR(__xludf.DUMMYFUNCTION("""COMPUTED_VALUE"""),"")</f>
        <v/>
      </c>
    </row>
    <row r="8367">
      <c r="D8367" t="str">
        <f>IFERROR(__xludf.DUMMYFUNCTION("""COMPUTED_VALUE"""),"Mack")</f>
        <v>Mack</v>
      </c>
      <c r="E8367" t="str">
        <f>IFERROR(__xludf.DUMMYFUNCTION("""COMPUTED_VALUE"""),"Marlon")</f>
        <v>Marlon</v>
      </c>
      <c r="F8367" t="str">
        <f>IFERROR(__xludf.DUMMYFUNCTION("""COMPUTED_VALUE"""),"")</f>
        <v/>
      </c>
    </row>
    <row r="8368">
      <c r="D8368" t="str">
        <f>IFERROR(__xludf.DUMMYFUNCTION("""COMPUTED_VALUE"""),"Maddox")</f>
        <v>Maddox</v>
      </c>
      <c r="E8368" t="str">
        <f>IFERROR(__xludf.DUMMYFUNCTION("""COMPUTED_VALUE"""),"Avonte")</f>
        <v>Avonte</v>
      </c>
      <c r="F8368" t="str">
        <f>IFERROR(__xludf.DUMMYFUNCTION("""COMPUTED_VALUE"""),"")</f>
        <v/>
      </c>
    </row>
    <row r="8369">
      <c r="D8369" t="str">
        <f>IFERROR(__xludf.DUMMYFUNCTION("""COMPUTED_VALUE"""),"Madison")</f>
        <v>Madison</v>
      </c>
      <c r="E8369" t="str">
        <f>IFERROR(__xludf.DUMMYFUNCTION("""COMPUTED_VALUE"""),"Cole")</f>
        <v>Cole</v>
      </c>
      <c r="F8369" t="str">
        <f>IFERROR(__xludf.DUMMYFUNCTION("""COMPUTED_VALUE"""),"")</f>
        <v/>
      </c>
    </row>
    <row r="8370">
      <c r="D8370" t="str">
        <f>IFERROR(__xludf.DUMMYFUNCTION("""COMPUTED_VALUE"""),"Magnuson")</f>
        <v>Magnuson</v>
      </c>
      <c r="E8370" t="str">
        <f>IFERROR(__xludf.DUMMYFUNCTION("""COMPUTED_VALUE"""),"Erik")</f>
        <v>Erik</v>
      </c>
      <c r="F8370" t="str">
        <f>IFERROR(__xludf.DUMMYFUNCTION("""COMPUTED_VALUE"""),"")</f>
        <v/>
      </c>
    </row>
    <row r="8371">
      <c r="D8371" t="str">
        <f>IFERROR(__xludf.DUMMYFUNCTION("""COMPUTED_VALUE"""),"Maher")</f>
        <v>Maher</v>
      </c>
      <c r="E8371" t="str">
        <f>IFERROR(__xludf.DUMMYFUNCTION("""COMPUTED_VALUE"""),"Brett")</f>
        <v>Brett</v>
      </c>
      <c r="F8371" t="str">
        <f>IFERROR(__xludf.DUMMYFUNCTION("""COMPUTED_VALUE"""),"")</f>
        <v/>
      </c>
    </row>
    <row r="8372">
      <c r="D8372" t="str">
        <f>IFERROR(__xludf.DUMMYFUNCTION("""COMPUTED_VALUE"""),"Mahomes")</f>
        <v>Mahomes</v>
      </c>
      <c r="E8372" t="str">
        <f>IFERROR(__xludf.DUMMYFUNCTION("""COMPUTED_VALUE"""),"Patrick")</f>
        <v>Patrick</v>
      </c>
      <c r="F8372" t="str">
        <f>IFERROR(__xludf.DUMMYFUNCTION("""COMPUTED_VALUE"""),"")</f>
        <v/>
      </c>
    </row>
    <row r="8373">
      <c r="D8373" t="str">
        <f>IFERROR(__xludf.DUMMYFUNCTION("""COMPUTED_VALUE"""),"Mailata")</f>
        <v>Mailata</v>
      </c>
      <c r="E8373" t="str">
        <f>IFERROR(__xludf.DUMMYFUNCTION("""COMPUTED_VALUE"""),"Jordan")</f>
        <v>Jordan</v>
      </c>
      <c r="F8373" t="str">
        <f>IFERROR(__xludf.DUMMYFUNCTION("""COMPUTED_VALUE"""),"")</f>
        <v/>
      </c>
    </row>
    <row r="8374">
      <c r="D8374" t="str">
        <f>IFERROR(__xludf.DUMMYFUNCTION("""COMPUTED_VALUE"""),"Malone")</f>
        <v>Malone</v>
      </c>
      <c r="E8374" t="str">
        <f>IFERROR(__xludf.DUMMYFUNCTION("""COMPUTED_VALUE"""),"Josh")</f>
        <v>Josh</v>
      </c>
      <c r="F8374" t="str">
        <f>IFERROR(__xludf.DUMMYFUNCTION("""COMPUTED_VALUE"""),"")</f>
        <v/>
      </c>
    </row>
    <row r="8375">
      <c r="D8375" t="str">
        <f>IFERROR(__xludf.DUMMYFUNCTION("""COMPUTED_VALUE"""),"Malveaux")</f>
        <v>Malveaux</v>
      </c>
      <c r="E8375" t="str">
        <f>IFERROR(__xludf.DUMMYFUNCTION("""COMPUTED_VALUE"""),"Cameron")</f>
        <v>Cameron</v>
      </c>
      <c r="F8375" t="str">
        <f>IFERROR(__xludf.DUMMYFUNCTION("""COMPUTED_VALUE"""),"")</f>
        <v/>
      </c>
    </row>
    <row r="8376">
      <c r="D8376" t="str">
        <f>IFERROR(__xludf.DUMMYFUNCTION("""COMPUTED_VALUE"""),"Mancz")</f>
        <v>Mancz</v>
      </c>
      <c r="E8376" t="str">
        <f>IFERROR(__xludf.DUMMYFUNCTION("""COMPUTED_VALUE"""),"Greg")</f>
        <v>Greg</v>
      </c>
      <c r="F8376" t="str">
        <f>IFERROR(__xludf.DUMMYFUNCTION("""COMPUTED_VALUE"""),"")</f>
        <v/>
      </c>
    </row>
    <row r="8377">
      <c r="D8377" t="str">
        <f>IFERROR(__xludf.DUMMYFUNCTION("""COMPUTED_VALUE"""),"Manhertz")</f>
        <v>Manhertz</v>
      </c>
      <c r="E8377" t="str">
        <f>IFERROR(__xludf.DUMMYFUNCTION("""COMPUTED_VALUE"""),"Chris")</f>
        <v>Chris</v>
      </c>
      <c r="F8377" t="str">
        <f>IFERROR(__xludf.DUMMYFUNCTION("""COMPUTED_VALUE"""),"")</f>
        <v/>
      </c>
    </row>
    <row r="8378">
      <c r="D8378" t="str">
        <f>IFERROR(__xludf.DUMMYFUNCTION("""COMPUTED_VALUE"""),"Manning")</f>
        <v>Manning</v>
      </c>
      <c r="E8378" t="str">
        <f>IFERROR(__xludf.DUMMYFUNCTION("""COMPUTED_VALUE"""),"Eli")</f>
        <v>Eli</v>
      </c>
      <c r="F8378" t="str">
        <f>IFERROR(__xludf.DUMMYFUNCTION("""COMPUTED_VALUE"""),"")</f>
        <v/>
      </c>
    </row>
    <row r="8379">
      <c r="D8379" t="str">
        <f>IFERROR(__xludf.DUMMYFUNCTION("""COMPUTED_VALUE"""),"Mannion")</f>
        <v>Mannion</v>
      </c>
      <c r="E8379" t="str">
        <f>IFERROR(__xludf.DUMMYFUNCTION("""COMPUTED_VALUE"""),"Sean")</f>
        <v>Sean</v>
      </c>
      <c r="F8379" t="str">
        <f>IFERROR(__xludf.DUMMYFUNCTION("""COMPUTED_VALUE"""),"")</f>
        <v/>
      </c>
    </row>
    <row r="8380">
      <c r="D8380" t="str">
        <f>IFERROR(__xludf.DUMMYFUNCTION("""COMPUTED_VALUE"""),"March-Lillard")</f>
        <v>March-Lillard</v>
      </c>
      <c r="E8380" t="str">
        <f>IFERROR(__xludf.DUMMYFUNCTION("""COMPUTED_VALUE"""),"Justin")</f>
        <v>Justin</v>
      </c>
      <c r="F8380" t="str">
        <f>IFERROR(__xludf.DUMMYFUNCTION("""COMPUTED_VALUE"""),"")</f>
        <v/>
      </c>
    </row>
    <row r="8381">
      <c r="D8381" t="str">
        <f>IFERROR(__xludf.DUMMYFUNCTION("""COMPUTED_VALUE"""),"Mariota")</f>
        <v>Mariota</v>
      </c>
      <c r="E8381" t="str">
        <f>IFERROR(__xludf.DUMMYFUNCTION("""COMPUTED_VALUE"""),"Marcus")</f>
        <v>Marcus</v>
      </c>
      <c r="F8381" t="str">
        <f>IFERROR(__xludf.DUMMYFUNCTION("""COMPUTED_VALUE"""),"")</f>
        <v/>
      </c>
    </row>
    <row r="8382">
      <c r="D8382" t="str">
        <f>IFERROR(__xludf.DUMMYFUNCTION("""COMPUTED_VALUE"""),"Marlowe")</f>
        <v>Marlowe</v>
      </c>
      <c r="E8382" t="str">
        <f>IFERROR(__xludf.DUMMYFUNCTION("""COMPUTED_VALUE"""),"Dean")</f>
        <v>Dean</v>
      </c>
      <c r="F8382" t="str">
        <f>IFERROR(__xludf.DUMMYFUNCTION("""COMPUTED_VALUE"""),"")</f>
        <v/>
      </c>
    </row>
    <row r="8383">
      <c r="D8383" t="str">
        <f>IFERROR(__xludf.DUMMYFUNCTION("""COMPUTED_VALUE"""),"Marpet")</f>
        <v>Marpet</v>
      </c>
      <c r="E8383" t="str">
        <f>IFERROR(__xludf.DUMMYFUNCTION("""COMPUTED_VALUE"""),"Ali")</f>
        <v>Ali</v>
      </c>
      <c r="F8383" t="str">
        <f>IFERROR(__xludf.DUMMYFUNCTION("""COMPUTED_VALUE"""),"")</f>
        <v/>
      </c>
    </row>
    <row r="8384">
      <c r="D8384" t="str">
        <f>IFERROR(__xludf.DUMMYFUNCTION("""COMPUTED_VALUE"""),"Marsh")</f>
        <v>Marsh</v>
      </c>
      <c r="E8384" t="str">
        <f>IFERROR(__xludf.DUMMYFUNCTION("""COMPUTED_VALUE"""),"Cassius")</f>
        <v>Cassius</v>
      </c>
      <c r="F8384" t="str">
        <f>IFERROR(__xludf.DUMMYFUNCTION("""COMPUTED_VALUE"""),"")</f>
        <v/>
      </c>
    </row>
    <row r="8385">
      <c r="D8385" t="str">
        <f>IFERROR(__xludf.DUMMYFUNCTION("""COMPUTED_VALUE"""),"Marshall")</f>
        <v>Marshall</v>
      </c>
      <c r="E8385" t="str">
        <f>IFERROR(__xludf.DUMMYFUNCTION("""COMPUTED_VALUE"""),"Brandon")</f>
        <v>Brandon</v>
      </c>
      <c r="F8385" t="str">
        <f>IFERROR(__xludf.DUMMYFUNCTION("""COMPUTED_VALUE"""),"")</f>
        <v/>
      </c>
    </row>
    <row r="8386">
      <c r="D8386" t="str">
        <f>IFERROR(__xludf.DUMMYFUNCTION("""COMPUTED_VALUE"""),"Marshall")</f>
        <v>Marshall</v>
      </c>
      <c r="E8386" t="str">
        <f>IFERROR(__xludf.DUMMYFUNCTION("""COMPUTED_VALUE"""),"Trey")</f>
        <v>Trey</v>
      </c>
      <c r="F8386" t="str">
        <f>IFERROR(__xludf.DUMMYFUNCTION("""COMPUTED_VALUE"""),"")</f>
        <v/>
      </c>
    </row>
    <row r="8387">
      <c r="D8387" t="str">
        <f>IFERROR(__xludf.DUMMYFUNCTION("""COMPUTED_VALUE"""),"Martin")</f>
        <v>Martin</v>
      </c>
      <c r="E8387" t="str">
        <f>IFERROR(__xludf.DUMMYFUNCTION("""COMPUTED_VALUE"""),"Doug")</f>
        <v>Doug</v>
      </c>
      <c r="F8387" t="str">
        <f>IFERROR(__xludf.DUMMYFUNCTION("""COMPUTED_VALUE"""),"")</f>
        <v/>
      </c>
    </row>
    <row r="8388">
      <c r="D8388" t="str">
        <f>IFERROR(__xludf.DUMMYFUNCTION("""COMPUTED_VALUE"""),"Martin")</f>
        <v>Martin</v>
      </c>
      <c r="E8388" t="str">
        <f>IFERROR(__xludf.DUMMYFUNCTION("""COMPUTED_VALUE"""),"Jacob")</f>
        <v>Jacob</v>
      </c>
      <c r="F8388" t="str">
        <f>IFERROR(__xludf.DUMMYFUNCTION("""COMPUTED_VALUE"""),"")</f>
        <v/>
      </c>
    </row>
    <row r="8389">
      <c r="D8389" t="str">
        <f>IFERROR(__xludf.DUMMYFUNCTION("""COMPUTED_VALUE"""),"Martin")</f>
        <v>Martin</v>
      </c>
      <c r="E8389" t="str">
        <f>IFERROR(__xludf.DUMMYFUNCTION("""COMPUTED_VALUE"""),"Kareem")</f>
        <v>Kareem</v>
      </c>
      <c r="F8389" t="str">
        <f>IFERROR(__xludf.DUMMYFUNCTION("""COMPUTED_VALUE"""),"")</f>
        <v/>
      </c>
    </row>
    <row r="8390">
      <c r="D8390" t="str">
        <f>IFERROR(__xludf.DUMMYFUNCTION("""COMPUTED_VALUE"""),"Martin")</f>
        <v>Martin</v>
      </c>
      <c r="E8390" t="str">
        <f>IFERROR(__xludf.DUMMYFUNCTION("""COMPUTED_VALUE"""),"Nick")</f>
        <v>Nick</v>
      </c>
      <c r="F8390" t="str">
        <f>IFERROR(__xludf.DUMMYFUNCTION("""COMPUTED_VALUE"""),"")</f>
        <v/>
      </c>
    </row>
    <row r="8391">
      <c r="D8391" t="str">
        <f>IFERROR(__xludf.DUMMYFUNCTION("""COMPUTED_VALUE"""),"Martin")</f>
        <v>Martin</v>
      </c>
      <c r="E8391" t="str">
        <f>IFERROR(__xludf.DUMMYFUNCTION("""COMPUTED_VALUE"""),"Sam")</f>
        <v>Sam</v>
      </c>
      <c r="F8391" t="str">
        <f>IFERROR(__xludf.DUMMYFUNCTION("""COMPUTED_VALUE"""),"")</f>
        <v/>
      </c>
    </row>
    <row r="8392">
      <c r="D8392" t="str">
        <f>IFERROR(__xludf.DUMMYFUNCTION("""COMPUTED_VALUE"""),"Martin")</f>
        <v>Martin</v>
      </c>
      <c r="E8392" t="str">
        <f>IFERROR(__xludf.DUMMYFUNCTION("""COMPUTED_VALUE"""),"Wes")</f>
        <v>Wes</v>
      </c>
      <c r="F8392" t="str">
        <f>IFERROR(__xludf.DUMMYFUNCTION("""COMPUTED_VALUE"""),"")</f>
        <v/>
      </c>
    </row>
    <row r="8393">
      <c r="D8393" t="str">
        <f>IFERROR(__xludf.DUMMYFUNCTION("""COMPUTED_VALUE"""),"Martin")</f>
        <v>Martin</v>
      </c>
      <c r="E8393" t="str">
        <f>IFERROR(__xludf.DUMMYFUNCTION("""COMPUTED_VALUE"""),"Zack")</f>
        <v>Zack</v>
      </c>
      <c r="F8393" t="str">
        <f>IFERROR(__xludf.DUMMYFUNCTION("""COMPUTED_VALUE"""),"")</f>
        <v/>
      </c>
    </row>
    <row r="8394">
      <c r="D8394" t="str">
        <f>IFERROR(__xludf.DUMMYFUNCTION("""COMPUTED_VALUE"""),"Martinez")</f>
        <v>Martinez</v>
      </c>
      <c r="E8394" t="str">
        <f>IFERROR(__xludf.DUMMYFUNCTION("""COMPUTED_VALUE"""),"Blake")</f>
        <v>Blake</v>
      </c>
      <c r="F8394" t="str">
        <f>IFERROR(__xludf.DUMMYFUNCTION("""COMPUTED_VALUE"""),"")</f>
        <v/>
      </c>
    </row>
    <row r="8395">
      <c r="D8395" t="str">
        <f>IFERROR(__xludf.DUMMYFUNCTION("""COMPUTED_VALUE"""),"Martini")</f>
        <v>Martini</v>
      </c>
      <c r="E8395" t="str">
        <f>IFERROR(__xludf.DUMMYFUNCTION("""COMPUTED_VALUE"""),"Greer")</f>
        <v>Greer</v>
      </c>
      <c r="F8395" t="str">
        <f>IFERROR(__xludf.DUMMYFUNCTION("""COMPUTED_VALUE"""),"")</f>
        <v/>
      </c>
    </row>
    <row r="8396">
      <c r="D8396" t="str">
        <f>IFERROR(__xludf.DUMMYFUNCTION("""COMPUTED_VALUE"""),"Marz")</f>
        <v>Marz</v>
      </c>
      <c r="E8396" t="str">
        <f>IFERROR(__xludf.DUMMYFUNCTION("""COMPUTED_VALUE"""),"Tyler")</f>
        <v>Tyler</v>
      </c>
      <c r="F8396" t="str">
        <f>IFERROR(__xludf.DUMMYFUNCTION("""COMPUTED_VALUE"""),"")</f>
        <v/>
      </c>
    </row>
    <row r="8397">
      <c r="D8397" t="str">
        <f>IFERROR(__xludf.DUMMYFUNCTION("""COMPUTED_VALUE"""),"Mason")</f>
        <v>Mason</v>
      </c>
      <c r="E8397" t="str">
        <f>IFERROR(__xludf.DUMMYFUNCTION("""COMPUTED_VALUE"""),"Shaq")</f>
        <v>Shaq</v>
      </c>
      <c r="F8397" t="str">
        <f>IFERROR(__xludf.DUMMYFUNCTION("""COMPUTED_VALUE"""),"")</f>
        <v/>
      </c>
    </row>
    <row r="8398">
      <c r="D8398" t="str">
        <f>IFERROR(__xludf.DUMMYFUNCTION("""COMPUTED_VALUE"""),"Massie")</f>
        <v>Massie</v>
      </c>
      <c r="E8398" t="str">
        <f>IFERROR(__xludf.DUMMYFUNCTION("""COMPUTED_VALUE"""),"Bobby")</f>
        <v>Bobby</v>
      </c>
      <c r="F8398" t="str">
        <f>IFERROR(__xludf.DUMMYFUNCTION("""COMPUTED_VALUE"""),"")</f>
        <v/>
      </c>
    </row>
    <row r="8399">
      <c r="D8399" t="str">
        <f>IFERROR(__xludf.DUMMYFUNCTION("""COMPUTED_VALUE"""),"Mataafa")</f>
        <v>Mataafa</v>
      </c>
      <c r="E8399" t="str">
        <f>IFERROR(__xludf.DUMMYFUNCTION("""COMPUTED_VALUE"""),"Hercules")</f>
        <v>Hercules</v>
      </c>
      <c r="F8399" t="str">
        <f>IFERROR(__xludf.DUMMYFUNCTION("""COMPUTED_VALUE"""),"")</f>
        <v/>
      </c>
    </row>
    <row r="8400">
      <c r="D8400" t="str">
        <f>IFERROR(__xludf.DUMMYFUNCTION("""COMPUTED_VALUE"""),"Matakevich")</f>
        <v>Matakevich</v>
      </c>
      <c r="E8400" t="str">
        <f>IFERROR(__xludf.DUMMYFUNCTION("""COMPUTED_VALUE"""),"Tyler")</f>
        <v>Tyler</v>
      </c>
      <c r="F8400" t="str">
        <f>IFERROR(__xludf.DUMMYFUNCTION("""COMPUTED_VALUE"""),"")</f>
        <v/>
      </c>
    </row>
    <row r="8401">
      <c r="D8401" t="str">
        <f>IFERROR(__xludf.DUMMYFUNCTION("""COMPUTED_VALUE"""),"Mathieu")</f>
        <v>Mathieu</v>
      </c>
      <c r="E8401" t="str">
        <f>IFERROR(__xludf.DUMMYFUNCTION("""COMPUTED_VALUE"""),"Tyrann")</f>
        <v>Tyrann</v>
      </c>
      <c r="F8401" t="str">
        <f>IFERROR(__xludf.DUMMYFUNCTION("""COMPUTED_VALUE"""),"")</f>
        <v/>
      </c>
    </row>
    <row r="8402">
      <c r="D8402" t="str">
        <f>IFERROR(__xludf.DUMMYFUNCTION("""COMPUTED_VALUE"""),"Matthews")</f>
        <v>Matthews</v>
      </c>
      <c r="E8402" t="str">
        <f>IFERROR(__xludf.DUMMYFUNCTION("""COMPUTED_VALUE"""),"Clay")</f>
        <v>Clay</v>
      </c>
      <c r="F8402" t="str">
        <f>IFERROR(__xludf.DUMMYFUNCTION("""COMPUTED_VALUE"""),"")</f>
        <v/>
      </c>
    </row>
    <row r="8403">
      <c r="D8403" t="str">
        <f>IFERROR(__xludf.DUMMYFUNCTION("""COMPUTED_VALUE"""),"Matthews")</f>
        <v>Matthews</v>
      </c>
      <c r="E8403" t="str">
        <f>IFERROR(__xludf.DUMMYFUNCTION("""COMPUTED_VALUE"""),"Jake")</f>
        <v>Jake</v>
      </c>
      <c r="F8403" t="str">
        <f>IFERROR(__xludf.DUMMYFUNCTION("""COMPUTED_VALUE"""),"")</f>
        <v/>
      </c>
    </row>
    <row r="8404">
      <c r="D8404" t="str">
        <f>IFERROR(__xludf.DUMMYFUNCTION("""COMPUTED_VALUE"""),"Matthews")</f>
        <v>Matthews</v>
      </c>
      <c r="E8404" t="str">
        <f>IFERROR(__xludf.DUMMYFUNCTION("""COMPUTED_VALUE"""),"Jordan")</f>
        <v>Jordan</v>
      </c>
      <c r="F8404" t="str">
        <f>IFERROR(__xludf.DUMMYFUNCTION("""COMPUTED_VALUE"""),"")</f>
        <v/>
      </c>
    </row>
    <row r="8405">
      <c r="D8405" t="str">
        <f>IFERROR(__xludf.DUMMYFUNCTION("""COMPUTED_VALUE"""),"Matthews")</f>
        <v>Matthews</v>
      </c>
      <c r="E8405" t="str">
        <f>IFERROR(__xludf.DUMMYFUNCTION("""COMPUTED_VALUE"""),"Tray")</f>
        <v>Tray</v>
      </c>
      <c r="F8405" t="str">
        <f>IFERROR(__xludf.DUMMYFUNCTION("""COMPUTED_VALUE"""),"")</f>
        <v/>
      </c>
    </row>
    <row r="8406">
      <c r="D8406" t="str">
        <f>IFERROR(__xludf.DUMMYFUNCTION("""COMPUTED_VALUE"""),"Mattison")</f>
        <v>Mattison</v>
      </c>
      <c r="E8406" t="str">
        <f>IFERROR(__xludf.DUMMYFUNCTION("""COMPUTED_VALUE"""),"Alexander")</f>
        <v>Alexander</v>
      </c>
      <c r="F8406" t="str">
        <f>IFERROR(__xludf.DUMMYFUNCTION("""COMPUTED_VALUE"""),"")</f>
        <v/>
      </c>
    </row>
    <row r="8407">
      <c r="D8407" t="str">
        <f>IFERROR(__xludf.DUMMYFUNCTION("""COMPUTED_VALUE"""),"Maulet")</f>
        <v>Maulet</v>
      </c>
      <c r="E8407" t="str">
        <f>IFERROR(__xludf.DUMMYFUNCTION("""COMPUTED_VALUE"""),"Arthur")</f>
        <v>Arthur</v>
      </c>
      <c r="F8407" t="str">
        <f>IFERROR(__xludf.DUMMYFUNCTION("""COMPUTED_VALUE"""),"")</f>
        <v/>
      </c>
    </row>
    <row r="8408">
      <c r="D8408" t="str">
        <f>IFERROR(__xludf.DUMMYFUNCTION("""COMPUTED_VALUE"""),"Mauro")</f>
        <v>Mauro</v>
      </c>
      <c r="E8408" t="str">
        <f>IFERROR(__xludf.DUMMYFUNCTION("""COMPUTED_VALUE"""),"Josh")</f>
        <v>Josh</v>
      </c>
      <c r="F8408" t="str">
        <f>IFERROR(__xludf.DUMMYFUNCTION("""COMPUTED_VALUE"""),"")</f>
        <v/>
      </c>
    </row>
    <row r="8409">
      <c r="D8409" t="str">
        <f>IFERROR(__xludf.DUMMYFUNCTION("""COMPUTED_VALUE"""),"Maye")</f>
        <v>Maye</v>
      </c>
      <c r="E8409" t="str">
        <f>IFERROR(__xludf.DUMMYFUNCTION("""COMPUTED_VALUE"""),"Marcus")</f>
        <v>Marcus</v>
      </c>
      <c r="F8409" t="str">
        <f>IFERROR(__xludf.DUMMYFUNCTION("""COMPUTED_VALUE"""),"")</f>
        <v/>
      </c>
    </row>
    <row r="8410">
      <c r="D8410" t="str">
        <f>IFERROR(__xludf.DUMMYFUNCTION("""COMPUTED_VALUE"""),"Mayfield")</f>
        <v>Mayfield</v>
      </c>
      <c r="E8410" t="str">
        <f>IFERROR(__xludf.DUMMYFUNCTION("""COMPUTED_VALUE"""),"Baker")</f>
        <v>Baker</v>
      </c>
      <c r="F8410" t="str">
        <f>IFERROR(__xludf.DUMMYFUNCTION("""COMPUTED_VALUE"""),"")</f>
        <v/>
      </c>
    </row>
    <row r="8411">
      <c r="D8411" t="str">
        <f>IFERROR(__xludf.DUMMYFUNCTION("""COMPUTED_VALUE"""),"Mayle")</f>
        <v>Mayle</v>
      </c>
      <c r="E8411" t="str">
        <f>IFERROR(__xludf.DUMMYFUNCTION("""COMPUTED_VALUE"""),"Vince")</f>
        <v>Vince</v>
      </c>
      <c r="F8411" t="str">
        <f>IFERROR(__xludf.DUMMYFUNCTION("""COMPUTED_VALUE"""),"")</f>
        <v/>
      </c>
    </row>
    <row r="8412">
      <c r="D8412" t="str">
        <f>IFERROR(__xludf.DUMMYFUNCTION("""COMPUTED_VALUE"""),"Mayo")</f>
        <v>Mayo</v>
      </c>
      <c r="E8412" t="str">
        <f>IFERROR(__xludf.DUMMYFUNCTION("""COMPUTED_VALUE"""),"David")</f>
        <v>David</v>
      </c>
      <c r="F8412" t="str">
        <f>IFERROR(__xludf.DUMMYFUNCTION("""COMPUTED_VALUE"""),"")</f>
        <v/>
      </c>
    </row>
    <row r="8413">
      <c r="D8413" t="str">
        <f>IFERROR(__xludf.DUMMYFUNCTION("""COMPUTED_VALUE"""),"Mayowa")</f>
        <v>Mayowa</v>
      </c>
      <c r="E8413" t="str">
        <f>IFERROR(__xludf.DUMMYFUNCTION("""COMPUTED_VALUE"""),"Benson")</f>
        <v>Benson</v>
      </c>
      <c r="F8413" t="str">
        <f>IFERROR(__xludf.DUMMYFUNCTION("""COMPUTED_VALUE"""),"")</f>
        <v/>
      </c>
    </row>
    <row r="8414">
      <c r="D8414" t="str">
        <f>IFERROR(__xludf.DUMMYFUNCTION("""COMPUTED_VALUE"""),"Mbu")</f>
        <v>Mbu</v>
      </c>
      <c r="E8414" t="str">
        <f>IFERROR(__xludf.DUMMYFUNCTION("""COMPUTED_VALUE"""),"Joey")</f>
        <v>Joey</v>
      </c>
      <c r="F8414" t="str">
        <f>IFERROR(__xludf.DUMMYFUNCTION("""COMPUTED_VALUE"""),"")</f>
        <v/>
      </c>
    </row>
    <row r="8415">
      <c r="D8415" t="str">
        <f>IFERROR(__xludf.DUMMYFUNCTION("""COMPUTED_VALUE"""),"McCaffrey")</f>
        <v>McCaffrey</v>
      </c>
      <c r="E8415" t="str">
        <f>IFERROR(__xludf.DUMMYFUNCTION("""COMPUTED_VALUE"""),"Christian")</f>
        <v>Christian</v>
      </c>
      <c r="F8415" t="str">
        <f>IFERROR(__xludf.DUMMYFUNCTION("""COMPUTED_VALUE"""),"")</f>
        <v/>
      </c>
    </row>
    <row r="8416">
      <c r="D8416" t="str">
        <f>IFERROR(__xludf.DUMMYFUNCTION("""COMPUTED_VALUE"""),"McCain")</f>
        <v>McCain</v>
      </c>
      <c r="E8416" t="str">
        <f>IFERROR(__xludf.DUMMYFUNCTION("""COMPUTED_VALUE"""),"Bobby")</f>
        <v>Bobby</v>
      </c>
      <c r="F8416" t="str">
        <f>IFERROR(__xludf.DUMMYFUNCTION("""COMPUTED_VALUE"""),"")</f>
        <v/>
      </c>
    </row>
    <row r="8417">
      <c r="D8417" t="str">
        <f>IFERROR(__xludf.DUMMYFUNCTION("""COMPUTED_VALUE"""),"McCarron")</f>
        <v>McCarron</v>
      </c>
      <c r="E8417" t="str">
        <f>IFERROR(__xludf.DUMMYFUNCTION("""COMPUTED_VALUE"""),"AJ")</f>
        <v>AJ</v>
      </c>
      <c r="F8417" t="str">
        <f>IFERROR(__xludf.DUMMYFUNCTION("""COMPUTED_VALUE"""),"")</f>
        <v/>
      </c>
    </row>
    <row r="8418">
      <c r="D8418" t="str">
        <f>IFERROR(__xludf.DUMMYFUNCTION("""COMPUTED_VALUE"""),"McClain")</f>
        <v>McClain</v>
      </c>
      <c r="E8418" t="str">
        <f>IFERROR(__xludf.DUMMYFUNCTION("""COMPUTED_VALUE"""),"Terrell")</f>
        <v>Terrell</v>
      </c>
      <c r="F8418" t="str">
        <f>IFERROR(__xludf.DUMMYFUNCTION("""COMPUTED_VALUE"""),"")</f>
        <v/>
      </c>
    </row>
    <row r="8419">
      <c r="D8419" t="str">
        <f>IFERROR(__xludf.DUMMYFUNCTION("""COMPUTED_VALUE"""),"McCloud")</f>
        <v>McCloud</v>
      </c>
      <c r="E8419" t="str">
        <f>IFERROR(__xludf.DUMMYFUNCTION("""COMPUTED_VALUE"""),"Ray-Ray")</f>
        <v>Ray-Ray</v>
      </c>
      <c r="F8419" t="str">
        <f>IFERROR(__xludf.DUMMYFUNCTION("""COMPUTED_VALUE"""),"")</f>
        <v/>
      </c>
    </row>
    <row r="8420">
      <c r="D8420" t="str">
        <f>IFERROR(__xludf.DUMMYFUNCTION("""COMPUTED_VALUE"""),"McCourty")</f>
        <v>McCourty</v>
      </c>
      <c r="E8420" t="str">
        <f>IFERROR(__xludf.DUMMYFUNCTION("""COMPUTED_VALUE"""),"Devin")</f>
        <v>Devin</v>
      </c>
      <c r="F8420" t="str">
        <f>IFERROR(__xludf.DUMMYFUNCTION("""COMPUTED_VALUE"""),"")</f>
        <v/>
      </c>
    </row>
    <row r="8421">
      <c r="D8421" t="str">
        <f>IFERROR(__xludf.DUMMYFUNCTION("""COMPUTED_VALUE"""),"McCourty")</f>
        <v>McCourty</v>
      </c>
      <c r="E8421" t="str">
        <f>IFERROR(__xludf.DUMMYFUNCTION("""COMPUTED_VALUE"""),"Jason")</f>
        <v>Jason</v>
      </c>
      <c r="F8421" t="str">
        <f>IFERROR(__xludf.DUMMYFUNCTION("""COMPUTED_VALUE"""),"")</f>
        <v/>
      </c>
    </row>
    <row r="8422">
      <c r="D8422" t="str">
        <f>IFERROR(__xludf.DUMMYFUNCTION("""COMPUTED_VALUE"""),"McCoy")</f>
        <v>McCoy</v>
      </c>
      <c r="E8422" t="str">
        <f>IFERROR(__xludf.DUMMYFUNCTION("""COMPUTED_VALUE"""),"Colt")</f>
        <v>Colt</v>
      </c>
      <c r="F8422" t="str">
        <f>IFERROR(__xludf.DUMMYFUNCTION("""COMPUTED_VALUE"""),"")</f>
        <v/>
      </c>
    </row>
    <row r="8423">
      <c r="D8423" t="str">
        <f>IFERROR(__xludf.DUMMYFUNCTION("""COMPUTED_VALUE"""),"McCoy")</f>
        <v>McCoy</v>
      </c>
      <c r="E8423" t="str">
        <f>IFERROR(__xludf.DUMMYFUNCTION("""COMPUTED_VALUE"""),"Erik")</f>
        <v>Erik</v>
      </c>
      <c r="F8423" t="str">
        <f>IFERROR(__xludf.DUMMYFUNCTION("""COMPUTED_VALUE"""),"")</f>
        <v/>
      </c>
    </row>
    <row r="8424">
      <c r="D8424" t="str">
        <f>IFERROR(__xludf.DUMMYFUNCTION("""COMPUTED_VALUE"""),"McCoy")</f>
        <v>McCoy</v>
      </c>
      <c r="E8424" t="str">
        <f>IFERROR(__xludf.DUMMYFUNCTION("""COMPUTED_VALUE"""),"Gerald")</f>
        <v>Gerald</v>
      </c>
      <c r="F8424" t="str">
        <f>IFERROR(__xludf.DUMMYFUNCTION("""COMPUTED_VALUE"""),"")</f>
        <v/>
      </c>
    </row>
    <row r="8425">
      <c r="D8425" t="str">
        <f>IFERROR(__xludf.DUMMYFUNCTION("""COMPUTED_VALUE"""),"McCoy")</f>
        <v>McCoy</v>
      </c>
      <c r="E8425" t="str">
        <f>IFERROR(__xludf.DUMMYFUNCTION("""COMPUTED_VALUE"""),"LeSean")</f>
        <v>LeSean</v>
      </c>
      <c r="F8425" t="str">
        <f>IFERROR(__xludf.DUMMYFUNCTION("""COMPUTED_VALUE"""),"")</f>
        <v/>
      </c>
    </row>
    <row r="8426">
      <c r="D8426" t="str">
        <f>IFERROR(__xludf.DUMMYFUNCTION("""COMPUTED_VALUE"""),"McCray")</f>
        <v>McCray</v>
      </c>
      <c r="E8426" t="str">
        <f>IFERROR(__xludf.DUMMYFUNCTION("""COMPUTED_VALUE"""),"Justin")</f>
        <v>Justin</v>
      </c>
      <c r="F8426" t="str">
        <f>IFERROR(__xludf.DUMMYFUNCTION("""COMPUTED_VALUE"""),"")</f>
        <v/>
      </c>
    </row>
    <row r="8427">
      <c r="D8427" t="str">
        <f>IFERROR(__xludf.DUMMYFUNCTION("""COMPUTED_VALUE"""),"McCray")</f>
        <v>McCray</v>
      </c>
      <c r="E8427" t="str">
        <f>IFERROR(__xludf.DUMMYFUNCTION("""COMPUTED_VALUE"""),"Lerentee")</f>
        <v>Lerentee</v>
      </c>
      <c r="F8427" t="str">
        <f>IFERROR(__xludf.DUMMYFUNCTION("""COMPUTED_VALUE"""),"")</f>
        <v/>
      </c>
    </row>
    <row r="8428">
      <c r="D8428" t="str">
        <f>IFERROR(__xludf.DUMMYFUNCTION("""COMPUTED_VALUE"""),"McCullers")</f>
        <v>McCullers</v>
      </c>
      <c r="E8428" t="str">
        <f>IFERROR(__xludf.DUMMYFUNCTION("""COMPUTED_VALUE"""),"Dan")</f>
        <v>Dan</v>
      </c>
      <c r="F8428" t="str">
        <f>IFERROR(__xludf.DUMMYFUNCTION("""COMPUTED_VALUE"""),"")</f>
        <v/>
      </c>
    </row>
    <row r="8429">
      <c r="D8429" t="str">
        <f>IFERROR(__xludf.DUMMYFUNCTION("""COMPUTED_VALUE"""),"McDermott")</f>
        <v>McDermott</v>
      </c>
      <c r="E8429" t="str">
        <f>IFERROR(__xludf.DUMMYFUNCTION("""COMPUTED_VALUE"""),"Conor")</f>
        <v>Conor</v>
      </c>
      <c r="F8429" t="str">
        <f>IFERROR(__xludf.DUMMYFUNCTION("""COMPUTED_VALUE"""),"")</f>
        <v/>
      </c>
    </row>
    <row r="8430">
      <c r="D8430" t="str">
        <f>IFERROR(__xludf.DUMMYFUNCTION("""COMPUTED_VALUE"""),"McDermott")</f>
        <v>McDermott</v>
      </c>
      <c r="E8430" t="str">
        <f>IFERROR(__xludf.DUMMYFUNCTION("""COMPUTED_VALUE"""),"KC")</f>
        <v>KC</v>
      </c>
      <c r="F8430" t="str">
        <f>IFERROR(__xludf.DUMMYFUNCTION("""COMPUTED_VALUE"""),"")</f>
        <v/>
      </c>
    </row>
    <row r="8431">
      <c r="D8431" t="str">
        <f>IFERROR(__xludf.DUMMYFUNCTION("""COMPUTED_VALUE"""),"McDermott")</f>
        <v>McDermott</v>
      </c>
      <c r="E8431" t="str">
        <f>IFERROR(__xludf.DUMMYFUNCTION("""COMPUTED_VALUE"""),"Kevin")</f>
        <v>Kevin</v>
      </c>
      <c r="F8431" t="str">
        <f>IFERROR(__xludf.DUMMYFUNCTION("""COMPUTED_VALUE"""),"")</f>
        <v/>
      </c>
    </row>
    <row r="8432">
      <c r="D8432" t="str">
        <f>IFERROR(__xludf.DUMMYFUNCTION("""COMPUTED_VALUE"""),"McDonald")</f>
        <v>McDonald</v>
      </c>
      <c r="E8432" t="str">
        <f>IFERROR(__xludf.DUMMYFUNCTION("""COMPUTED_VALUE"""),"TJ")</f>
        <v>TJ</v>
      </c>
      <c r="F8432" t="str">
        <f>IFERROR(__xludf.DUMMYFUNCTION("""COMPUTED_VALUE"""),"")</f>
        <v/>
      </c>
    </row>
    <row r="8433">
      <c r="D8433" t="str">
        <f>IFERROR(__xludf.DUMMYFUNCTION("""COMPUTED_VALUE"""),"McDonald")</f>
        <v>McDonald</v>
      </c>
      <c r="E8433" t="str">
        <f>IFERROR(__xludf.DUMMYFUNCTION("""COMPUTED_VALUE"""),"Vance")</f>
        <v>Vance</v>
      </c>
      <c r="F8433" t="str">
        <f>IFERROR(__xludf.DUMMYFUNCTION("""COMPUTED_VALUE"""),"")</f>
        <v/>
      </c>
    </row>
    <row r="8434">
      <c r="D8434" t="str">
        <f>IFERROR(__xludf.DUMMYFUNCTION("""COMPUTED_VALUE"""),"McDougald")</f>
        <v>McDougald</v>
      </c>
      <c r="E8434" t="str">
        <f>IFERROR(__xludf.DUMMYFUNCTION("""COMPUTED_VALUE"""),"Bradley")</f>
        <v>Bradley</v>
      </c>
      <c r="F8434" t="str">
        <f>IFERROR(__xludf.DUMMYFUNCTION("""COMPUTED_VALUE"""),"")</f>
        <v/>
      </c>
    </row>
    <row r="8435">
      <c r="D8435" t="str">
        <f>IFERROR(__xludf.DUMMYFUNCTION("""COMPUTED_VALUE"""),"McGary")</f>
        <v>McGary</v>
      </c>
      <c r="E8435" t="str">
        <f>IFERROR(__xludf.DUMMYFUNCTION("""COMPUTED_VALUE"""),"Kaleb")</f>
        <v>Kaleb</v>
      </c>
      <c r="F8435" t="str">
        <f>IFERROR(__xludf.DUMMYFUNCTION("""COMPUTED_VALUE"""),"")</f>
        <v/>
      </c>
    </row>
    <row r="8436">
      <c r="D8436" t="str">
        <f>IFERROR(__xludf.DUMMYFUNCTION("""COMPUTED_VALUE"""),"McGill")</f>
        <v>McGill</v>
      </c>
      <c r="E8436" t="str">
        <f>IFERROR(__xludf.DUMMYFUNCTION("""COMPUTED_VALUE"""),"TY")</f>
        <v>TY</v>
      </c>
      <c r="F8436" t="str">
        <f>IFERROR(__xludf.DUMMYFUNCTION("""COMPUTED_VALUE"""),"")</f>
        <v/>
      </c>
    </row>
    <row r="8437">
      <c r="D8437" t="str">
        <f>IFERROR(__xludf.DUMMYFUNCTION("""COMPUTED_VALUE"""),"McGlinchey")</f>
        <v>McGlinchey</v>
      </c>
      <c r="E8437" t="str">
        <f>IFERROR(__xludf.DUMMYFUNCTION("""COMPUTED_VALUE"""),"Mike")</f>
        <v>Mike</v>
      </c>
      <c r="F8437" t="str">
        <f>IFERROR(__xludf.DUMMYFUNCTION("""COMPUTED_VALUE"""),"")</f>
        <v/>
      </c>
    </row>
    <row r="8438">
      <c r="D8438" t="str">
        <f>IFERROR(__xludf.DUMMYFUNCTION("""COMPUTED_VALUE"""),"McGough")</f>
        <v>McGough</v>
      </c>
      <c r="E8438" t="str">
        <f>IFERROR(__xludf.DUMMYFUNCTION("""COMPUTED_VALUE"""),"Alex")</f>
        <v>Alex</v>
      </c>
      <c r="F8438" t="str">
        <f>IFERROR(__xludf.DUMMYFUNCTION("""COMPUTED_VALUE"""),"")</f>
        <v/>
      </c>
    </row>
    <row r="8439">
      <c r="D8439" t="str">
        <f>IFERROR(__xludf.DUMMYFUNCTION("""COMPUTED_VALUE"""),"McGovern")</f>
        <v>McGovern</v>
      </c>
      <c r="E8439" t="str">
        <f>IFERROR(__xludf.DUMMYFUNCTION("""COMPUTED_VALUE"""),"Connor")</f>
        <v>Connor</v>
      </c>
      <c r="F8439" t="str">
        <f>IFERROR(__xludf.DUMMYFUNCTION("""COMPUTED_VALUE"""),"")</f>
        <v/>
      </c>
    </row>
    <row r="8440">
      <c r="D8440" t="str">
        <f>IFERROR(__xludf.DUMMYFUNCTION("""COMPUTED_VALUE"""),"McGovern")</f>
        <v>McGovern</v>
      </c>
      <c r="E8440" t="str">
        <f>IFERROR(__xludf.DUMMYFUNCTION("""COMPUTED_VALUE"""),"Connor")</f>
        <v>Connor</v>
      </c>
      <c r="F8440" t="str">
        <f>IFERROR(__xludf.DUMMYFUNCTION("""COMPUTED_VALUE"""),"")</f>
        <v/>
      </c>
    </row>
    <row r="8441">
      <c r="D8441" t="str">
        <f>IFERROR(__xludf.DUMMYFUNCTION("""COMPUTED_VALUE"""),"McGuire")</f>
        <v>McGuire</v>
      </c>
      <c r="E8441" t="str">
        <f>IFERROR(__xludf.DUMMYFUNCTION("""COMPUTED_VALUE"""),"Elijah")</f>
        <v>Elijah</v>
      </c>
      <c r="F8441" t="str">
        <f>IFERROR(__xludf.DUMMYFUNCTION("""COMPUTED_VALUE"""),"")</f>
        <v/>
      </c>
    </row>
    <row r="8442">
      <c r="D8442" t="str">
        <f>IFERROR(__xludf.DUMMYFUNCTION("""COMPUTED_VALUE"""),"McIntosh")</f>
        <v>McIntosh</v>
      </c>
      <c r="E8442" t="str">
        <f>IFERROR(__xludf.DUMMYFUNCTION("""COMPUTED_VALUE"""),"RJ")</f>
        <v>RJ</v>
      </c>
      <c r="F8442" t="str">
        <f>IFERROR(__xludf.DUMMYFUNCTION("""COMPUTED_VALUE"""),"")</f>
        <v/>
      </c>
    </row>
    <row r="8443">
      <c r="D8443" t="str">
        <f>IFERROR(__xludf.DUMMYFUNCTION("""COMPUTED_VALUE"""),"McKenzie")</f>
        <v>McKenzie</v>
      </c>
      <c r="E8443" t="str">
        <f>IFERROR(__xludf.DUMMYFUNCTION("""COMPUTED_VALUE"""),"Isaiah")</f>
        <v>Isaiah</v>
      </c>
      <c r="F8443" t="str">
        <f>IFERROR(__xludf.DUMMYFUNCTION("""COMPUTED_VALUE"""),"")</f>
        <v/>
      </c>
    </row>
    <row r="8444">
      <c r="D8444" t="str">
        <f>IFERROR(__xludf.DUMMYFUNCTION("""COMPUTED_VALUE"""),"McKenzie")</f>
        <v>McKenzie</v>
      </c>
      <c r="E8444" t="str">
        <f>IFERROR(__xludf.DUMMYFUNCTION("""COMPUTED_VALUE"""),"Kahlil")</f>
        <v>Kahlil</v>
      </c>
      <c r="F8444" t="str">
        <f>IFERROR(__xludf.DUMMYFUNCTION("""COMPUTED_VALUE"""),"")</f>
        <v/>
      </c>
    </row>
    <row r="8445">
      <c r="D8445" t="str">
        <f>IFERROR(__xludf.DUMMYFUNCTION("""COMPUTED_VALUE"""),"McKinley")</f>
        <v>McKinley</v>
      </c>
      <c r="E8445" t="str">
        <f>IFERROR(__xludf.DUMMYFUNCTION("""COMPUTED_VALUE"""),"Takkarist")</f>
        <v>Takkarist</v>
      </c>
      <c r="F8445" t="str">
        <f>IFERROR(__xludf.DUMMYFUNCTION("""COMPUTED_VALUE"""),"")</f>
        <v/>
      </c>
    </row>
    <row r="8446">
      <c r="D8446" t="str">
        <f>IFERROR(__xludf.DUMMYFUNCTION("""COMPUTED_VALUE"""),"McKinney")</f>
        <v>McKinney</v>
      </c>
      <c r="E8446" t="str">
        <f>IFERROR(__xludf.DUMMYFUNCTION("""COMPUTED_VALUE"""),"Benardrick")</f>
        <v>Benardrick</v>
      </c>
      <c r="F8446" t="str">
        <f>IFERROR(__xludf.DUMMYFUNCTION("""COMPUTED_VALUE"""),"")</f>
        <v/>
      </c>
    </row>
    <row r="8447">
      <c r="D8447" t="str">
        <f>IFERROR(__xludf.DUMMYFUNCTION("""COMPUTED_VALUE"""),"McKinnon")</f>
        <v>McKinnon</v>
      </c>
      <c r="E8447" t="str">
        <f>IFERROR(__xludf.DUMMYFUNCTION("""COMPUTED_VALUE"""),"Jeremiah")</f>
        <v>Jeremiah</v>
      </c>
      <c r="F8447" t="str">
        <f>IFERROR(__xludf.DUMMYFUNCTION("""COMPUTED_VALUE"""),"")</f>
        <v/>
      </c>
    </row>
    <row r="8448">
      <c r="D8448" t="str">
        <f>IFERROR(__xludf.DUMMYFUNCTION("""COMPUTED_VALUE"""),"McKinnon")</f>
        <v>McKinnon</v>
      </c>
      <c r="E8448" t="str">
        <f>IFERROR(__xludf.DUMMYFUNCTION("""COMPUTED_VALUE"""),"Jerick")</f>
        <v>Jerick</v>
      </c>
      <c r="F8448" t="str">
        <f>IFERROR(__xludf.DUMMYFUNCTION("""COMPUTED_VALUE"""),"")</f>
        <v/>
      </c>
    </row>
    <row r="8449">
      <c r="D8449" t="str">
        <f>IFERROR(__xludf.DUMMYFUNCTION("""COMPUTED_VALUE"""),"McKinzy")</f>
        <v>McKinzy</v>
      </c>
      <c r="E8449" t="str">
        <f>IFERROR(__xludf.DUMMYFUNCTION("""COMPUTED_VALUE"""),"Cassanova")</f>
        <v>Cassanova</v>
      </c>
      <c r="F8449" t="str">
        <f>IFERROR(__xludf.DUMMYFUNCTION("""COMPUTED_VALUE"""),"")</f>
        <v/>
      </c>
    </row>
    <row r="8450">
      <c r="D8450" t="str">
        <f>IFERROR(__xludf.DUMMYFUNCTION("""COMPUTED_VALUE"""),"McKissic")</f>
        <v>McKissic</v>
      </c>
      <c r="E8450" t="str">
        <f>IFERROR(__xludf.DUMMYFUNCTION("""COMPUTED_VALUE"""),"JD")</f>
        <v>JD</v>
      </c>
      <c r="F8450" t="str">
        <f>IFERROR(__xludf.DUMMYFUNCTION("""COMPUTED_VALUE"""),"")</f>
        <v/>
      </c>
    </row>
    <row r="8451">
      <c r="D8451" t="str">
        <f>IFERROR(__xludf.DUMMYFUNCTION("""COMPUTED_VALUE"""),"McLaurin")</f>
        <v>McLaurin</v>
      </c>
      <c r="E8451" t="str">
        <f>IFERROR(__xludf.DUMMYFUNCTION("""COMPUTED_VALUE"""),"Mark")</f>
        <v>Mark</v>
      </c>
      <c r="F8451" t="str">
        <f>IFERROR(__xludf.DUMMYFUNCTION("""COMPUTED_VALUE"""),"")</f>
        <v/>
      </c>
    </row>
    <row r="8452">
      <c r="D8452" t="str">
        <f>IFERROR(__xludf.DUMMYFUNCTION("""COMPUTED_VALUE"""),"McLaurin")</f>
        <v>McLaurin</v>
      </c>
      <c r="E8452" t="str">
        <f>IFERROR(__xludf.DUMMYFUNCTION("""COMPUTED_VALUE"""),"Terry")</f>
        <v>Terry</v>
      </c>
      <c r="F8452" t="str">
        <f>IFERROR(__xludf.DUMMYFUNCTION("""COMPUTED_VALUE"""),"")</f>
        <v/>
      </c>
    </row>
    <row r="8453">
      <c r="D8453" t="str">
        <f>IFERROR(__xludf.DUMMYFUNCTION("""COMPUTED_VALUE"""),"McLendon")</f>
        <v>McLendon</v>
      </c>
      <c r="E8453" t="str">
        <f>IFERROR(__xludf.DUMMYFUNCTION("""COMPUTED_VALUE"""),"Steve")</f>
        <v>Steve</v>
      </c>
      <c r="F8453" t="str">
        <f>IFERROR(__xludf.DUMMYFUNCTION("""COMPUTED_VALUE"""),"")</f>
        <v/>
      </c>
    </row>
    <row r="8454">
      <c r="D8454" t="str">
        <f>IFERROR(__xludf.DUMMYFUNCTION("""COMPUTED_VALUE"""),"McLeod")</f>
        <v>McLeod</v>
      </c>
      <c r="E8454" t="str">
        <f>IFERROR(__xludf.DUMMYFUNCTION("""COMPUTED_VALUE"""),"Rodney")</f>
        <v>Rodney</v>
      </c>
      <c r="F8454" t="str">
        <f>IFERROR(__xludf.DUMMYFUNCTION("""COMPUTED_VALUE"""),"")</f>
        <v/>
      </c>
    </row>
    <row r="8455">
      <c r="D8455" t="str">
        <f>IFERROR(__xludf.DUMMYFUNCTION("""COMPUTED_VALUE"""),"McManis")</f>
        <v>McManis</v>
      </c>
      <c r="E8455" t="str">
        <f>IFERROR(__xludf.DUMMYFUNCTION("""COMPUTED_VALUE"""),"Sherrick")</f>
        <v>Sherrick</v>
      </c>
      <c r="F8455" t="str">
        <f>IFERROR(__xludf.DUMMYFUNCTION("""COMPUTED_VALUE"""),"")</f>
        <v/>
      </c>
    </row>
    <row r="8456">
      <c r="D8456" t="str">
        <f>IFERROR(__xludf.DUMMYFUNCTION("""COMPUTED_VALUE"""),"McManus")</f>
        <v>McManus</v>
      </c>
      <c r="E8456" t="str">
        <f>IFERROR(__xludf.DUMMYFUNCTION("""COMPUTED_VALUE"""),"Brandon")</f>
        <v>Brandon</v>
      </c>
      <c r="F8456" t="str">
        <f>IFERROR(__xludf.DUMMYFUNCTION("""COMPUTED_VALUE"""),"")</f>
        <v/>
      </c>
    </row>
    <row r="8457">
      <c r="D8457" t="str">
        <f>IFERROR(__xludf.DUMMYFUNCTION("""COMPUTED_VALUE"""),"McMillan")</f>
        <v>McMillan</v>
      </c>
      <c r="E8457" t="str">
        <f>IFERROR(__xludf.DUMMYFUNCTION("""COMPUTED_VALUE"""),"Raekwon")</f>
        <v>Raekwon</v>
      </c>
      <c r="F8457" t="str">
        <f>IFERROR(__xludf.DUMMYFUNCTION("""COMPUTED_VALUE"""),"")</f>
        <v/>
      </c>
    </row>
    <row r="8458">
      <c r="D8458" t="str">
        <f>IFERROR(__xludf.DUMMYFUNCTION("""COMPUTED_VALUE"""),"McNichols")</f>
        <v>McNichols</v>
      </c>
      <c r="E8458" t="str">
        <f>IFERROR(__xludf.DUMMYFUNCTION("""COMPUTED_VALUE"""),"Jeremy")</f>
        <v>Jeremy</v>
      </c>
      <c r="F8458" t="str">
        <f>IFERROR(__xludf.DUMMYFUNCTION("""COMPUTED_VALUE"""),"")</f>
        <v/>
      </c>
    </row>
    <row r="8459">
      <c r="D8459" t="str">
        <f>IFERROR(__xludf.DUMMYFUNCTION("""COMPUTED_VALUE"""),"McPhee")</f>
        <v>McPhee</v>
      </c>
      <c r="E8459" t="str">
        <f>IFERROR(__xludf.DUMMYFUNCTION("""COMPUTED_VALUE"""),"Pernell")</f>
        <v>Pernell</v>
      </c>
      <c r="F8459" t="str">
        <f>IFERROR(__xludf.DUMMYFUNCTION("""COMPUTED_VALUE"""),"")</f>
        <v/>
      </c>
    </row>
    <row r="8460">
      <c r="D8460" t="str">
        <f>IFERROR(__xludf.DUMMYFUNCTION("""COMPUTED_VALUE"""),"McQuaide")</f>
        <v>McQuaide</v>
      </c>
      <c r="E8460" t="str">
        <f>IFERROR(__xludf.DUMMYFUNCTION("""COMPUTED_VALUE"""),"Jake")</f>
        <v>Jake</v>
      </c>
      <c r="F8460" t="str">
        <f>IFERROR(__xludf.DUMMYFUNCTION("""COMPUTED_VALUE"""),"")</f>
        <v/>
      </c>
    </row>
    <row r="8461">
      <c r="D8461" t="str">
        <f>IFERROR(__xludf.DUMMYFUNCTION("""COMPUTED_VALUE"""),"McRae")</f>
        <v>McRae</v>
      </c>
      <c r="E8461" t="str">
        <f>IFERROR(__xludf.DUMMYFUNCTION("""COMPUTED_VALUE"""),"Tony")</f>
        <v>Tony</v>
      </c>
      <c r="F8461" t="str">
        <f>IFERROR(__xludf.DUMMYFUNCTION("""COMPUTED_VALUE"""),"")</f>
        <v/>
      </c>
    </row>
    <row r="8462">
      <c r="D8462" t="str">
        <f>IFERROR(__xludf.DUMMYFUNCTION("""COMPUTED_VALUE"""),"McSorley")</f>
        <v>McSorley</v>
      </c>
      <c r="E8462" t="str">
        <f>IFERROR(__xludf.DUMMYFUNCTION("""COMPUTED_VALUE"""),"Trace")</f>
        <v>Trace</v>
      </c>
      <c r="F8462" t="str">
        <f>IFERROR(__xludf.DUMMYFUNCTION("""COMPUTED_VALUE"""),"")</f>
        <v/>
      </c>
    </row>
    <row r="8463">
      <c r="D8463" t="str">
        <f>IFERROR(__xludf.DUMMYFUNCTION("""COMPUTED_VALUE"""),"McTyer")</f>
        <v>McTyer</v>
      </c>
      <c r="E8463" t="str">
        <f>IFERROR(__xludf.DUMMYFUNCTION("""COMPUTED_VALUE"""),"Torry")</f>
        <v>Torry</v>
      </c>
      <c r="F8463" t="str">
        <f>IFERROR(__xludf.DUMMYFUNCTION("""COMPUTED_VALUE"""),"")</f>
        <v/>
      </c>
    </row>
    <row r="8464">
      <c r="D8464" t="str">
        <f>IFERROR(__xludf.DUMMYFUNCTION("""COMPUTED_VALUE"""),"Meander")</f>
        <v>Meander</v>
      </c>
      <c r="E8464" t="str">
        <f>IFERROR(__xludf.DUMMYFUNCTION("""COMPUTED_VALUE"""),"Montrel")</f>
        <v>Montrel</v>
      </c>
      <c r="F8464" t="str">
        <f>IFERROR(__xludf.DUMMYFUNCTION("""COMPUTED_VALUE"""),"")</f>
        <v/>
      </c>
    </row>
    <row r="8465">
      <c r="D8465" t="str">
        <f>IFERROR(__xludf.DUMMYFUNCTION("""COMPUTED_VALUE"""),"Means")</f>
        <v>Means</v>
      </c>
      <c r="E8465" t="str">
        <f>IFERROR(__xludf.DUMMYFUNCTION("""COMPUTED_VALUE"""),"Steven")</f>
        <v>Steven</v>
      </c>
      <c r="F8465" t="str">
        <f>IFERROR(__xludf.DUMMYFUNCTION("""COMPUTED_VALUE"""),"")</f>
        <v/>
      </c>
    </row>
    <row r="8466">
      <c r="D8466" t="str">
        <f>IFERROR(__xludf.DUMMYFUNCTION("""COMPUTED_VALUE"""),"Mebane")</f>
        <v>Mebane</v>
      </c>
      <c r="E8466" t="str">
        <f>IFERROR(__xludf.DUMMYFUNCTION("""COMPUTED_VALUE"""),"Brandon")</f>
        <v>Brandon</v>
      </c>
      <c r="F8466" t="str">
        <f>IFERROR(__xludf.DUMMYFUNCTION("""COMPUTED_VALUE"""),"")</f>
        <v/>
      </c>
    </row>
    <row r="8467">
      <c r="D8467" t="str">
        <f>IFERROR(__xludf.DUMMYFUNCTION("""COMPUTED_VALUE"""),"Meder")</f>
        <v>Meder</v>
      </c>
      <c r="E8467" t="str">
        <f>IFERROR(__xludf.DUMMYFUNCTION("""COMPUTED_VALUE"""),"Jamie")</f>
        <v>Jamie</v>
      </c>
      <c r="F8467" t="str">
        <f>IFERROR(__xludf.DUMMYFUNCTION("""COMPUTED_VALUE"""),"")</f>
        <v/>
      </c>
    </row>
    <row r="8468">
      <c r="D8468" t="str">
        <f>IFERROR(__xludf.DUMMYFUNCTION("""COMPUTED_VALUE"""),"Meeks")</f>
        <v>Meeks</v>
      </c>
      <c r="E8468" t="str">
        <f>IFERROR(__xludf.DUMMYFUNCTION("""COMPUTED_VALUE"""),"Quenton")</f>
        <v>Quenton</v>
      </c>
      <c r="F8468" t="str">
        <f>IFERROR(__xludf.DUMMYFUNCTION("""COMPUTED_VALUE"""),"")</f>
        <v/>
      </c>
    </row>
    <row r="8469">
      <c r="D8469" t="str">
        <f>IFERROR(__xludf.DUMMYFUNCTION("""COMPUTED_VALUE"""),"Melifonwu")</f>
        <v>Melifonwu</v>
      </c>
      <c r="E8469" t="str">
        <f>IFERROR(__xludf.DUMMYFUNCTION("""COMPUTED_VALUE"""),"Obi")</f>
        <v>Obi</v>
      </c>
      <c r="F8469" t="str">
        <f>IFERROR(__xludf.DUMMYFUNCTION("""COMPUTED_VALUE"""),"")</f>
        <v/>
      </c>
    </row>
    <row r="8470">
      <c r="D8470" t="str">
        <f>IFERROR(__xludf.DUMMYFUNCTION("""COMPUTED_VALUE"""),"Melvin")</f>
        <v>Melvin</v>
      </c>
      <c r="E8470" t="str">
        <f>IFERROR(__xludf.DUMMYFUNCTION("""COMPUTED_VALUE"""),"Rashaan")</f>
        <v>Rashaan</v>
      </c>
      <c r="F8470" t="str">
        <f>IFERROR(__xludf.DUMMYFUNCTION("""COMPUTED_VALUE"""),"")</f>
        <v/>
      </c>
    </row>
    <row r="8471">
      <c r="D8471" t="str">
        <f>IFERROR(__xludf.DUMMYFUNCTION("""COMPUTED_VALUE"""),"Mercilus")</f>
        <v>Mercilus</v>
      </c>
      <c r="E8471" t="str">
        <f>IFERROR(__xludf.DUMMYFUNCTION("""COMPUTED_VALUE"""),"Whitney")</f>
        <v>Whitney</v>
      </c>
      <c r="F8471" t="str">
        <f>IFERROR(__xludf.DUMMYFUNCTION("""COMPUTED_VALUE"""),"")</f>
        <v/>
      </c>
    </row>
    <row r="8472">
      <c r="D8472" t="str">
        <f>IFERROR(__xludf.DUMMYFUNCTION("""COMPUTED_VALUE"""),"Meredith")</f>
        <v>Meredith</v>
      </c>
      <c r="E8472" t="str">
        <f>IFERROR(__xludf.DUMMYFUNCTION("""COMPUTED_VALUE"""),"Cameron")</f>
        <v>Cameron</v>
      </c>
      <c r="F8472" t="str">
        <f>IFERROR(__xludf.DUMMYFUNCTION("""COMPUTED_VALUE"""),"")</f>
        <v/>
      </c>
    </row>
    <row r="8473">
      <c r="D8473" t="str">
        <f>IFERROR(__xludf.DUMMYFUNCTION("""COMPUTED_VALUE"""),"Metcalf")</f>
        <v>Metcalf</v>
      </c>
      <c r="E8473" t="str">
        <f>IFERROR(__xludf.DUMMYFUNCTION("""COMPUTED_VALUE"""),"D.K.")</f>
        <v>D.K.</v>
      </c>
      <c r="F8473" t="str">
        <f>IFERROR(__xludf.DUMMYFUNCTION("""COMPUTED_VALUE"""),"")</f>
        <v/>
      </c>
    </row>
    <row r="8474">
      <c r="D8474" t="str">
        <f>IFERROR(__xludf.DUMMYFUNCTION("""COMPUTED_VALUE"""),"Michel")</f>
        <v>Michel</v>
      </c>
      <c r="E8474" t="str">
        <f>IFERROR(__xludf.DUMMYFUNCTION("""COMPUTED_VALUE"""),"Sony")</f>
        <v>Sony</v>
      </c>
      <c r="F8474" t="str">
        <f>IFERROR(__xludf.DUMMYFUNCTION("""COMPUTED_VALUE"""),"")</f>
        <v/>
      </c>
    </row>
    <row r="8475">
      <c r="D8475" t="str">
        <f>IFERROR(__xludf.DUMMYFUNCTION("""COMPUTED_VALUE"""),"Middleton")</f>
        <v>Middleton</v>
      </c>
      <c r="E8475" t="str">
        <f>IFERROR(__xludf.DUMMYFUNCTION("""COMPUTED_VALUE"""),"Doug")</f>
        <v>Doug</v>
      </c>
      <c r="F8475" t="str">
        <f>IFERROR(__xludf.DUMMYFUNCTION("""COMPUTED_VALUE"""),"")</f>
        <v/>
      </c>
    </row>
    <row r="8476">
      <c r="D8476" t="str">
        <f>IFERROR(__xludf.DUMMYFUNCTION("""COMPUTED_VALUE"""),"Mihalik")</f>
        <v>Mihalik</v>
      </c>
      <c r="E8476" t="str">
        <f>IFERROR(__xludf.DUMMYFUNCTION("""COMPUTED_VALUE"""),"Brian")</f>
        <v>Brian</v>
      </c>
      <c r="F8476" t="str">
        <f>IFERROR(__xludf.DUMMYFUNCTION("""COMPUTED_VALUE"""),"")</f>
        <v/>
      </c>
    </row>
    <row r="8477">
      <c r="D8477" t="str">
        <f>IFERROR(__xludf.DUMMYFUNCTION("""COMPUTED_VALUE"""),"Milano")</f>
        <v>Milano</v>
      </c>
      <c r="E8477" t="str">
        <f>IFERROR(__xludf.DUMMYFUNCTION("""COMPUTED_VALUE"""),"Matt")</f>
        <v>Matt</v>
      </c>
      <c r="F8477" t="str">
        <f>IFERROR(__xludf.DUMMYFUNCTION("""COMPUTED_VALUE"""),"")</f>
        <v/>
      </c>
    </row>
    <row r="8478">
      <c r="D8478" t="str">
        <f>IFERROR(__xludf.DUMMYFUNCTION("""COMPUTED_VALUE"""),"Miles")</f>
        <v>Miles</v>
      </c>
      <c r="E8478" t="str">
        <f>IFERROR(__xludf.DUMMYFUNCTION("""COMPUTED_VALUE"""),"Joshua")</f>
        <v>Joshua</v>
      </c>
      <c r="F8478" t="str">
        <f>IFERROR(__xludf.DUMMYFUNCTION("""COMPUTED_VALUE"""),"")</f>
        <v/>
      </c>
    </row>
    <row r="8479">
      <c r="D8479" t="str">
        <f>IFERROR(__xludf.DUMMYFUNCTION("""COMPUTED_VALUE"""),"Miller")</f>
        <v>Miller</v>
      </c>
      <c r="E8479" t="str">
        <f>IFERROR(__xludf.DUMMYFUNCTION("""COMPUTED_VALUE"""),"Anthony")</f>
        <v>Anthony</v>
      </c>
      <c r="F8479" t="str">
        <f>IFERROR(__xludf.DUMMYFUNCTION("""COMPUTED_VALUE"""),"")</f>
        <v/>
      </c>
    </row>
    <row r="8480">
      <c r="D8480" t="str">
        <f>IFERROR(__xludf.DUMMYFUNCTION("""COMPUTED_VALUE"""),"Miller")</f>
        <v>Miller</v>
      </c>
      <c r="E8480" t="str">
        <f>IFERROR(__xludf.DUMMYFUNCTION("""COMPUTED_VALUE"""),"Braxton")</f>
        <v>Braxton</v>
      </c>
      <c r="F8480" t="str">
        <f>IFERROR(__xludf.DUMMYFUNCTION("""COMPUTED_VALUE"""),"")</f>
        <v/>
      </c>
    </row>
    <row r="8481">
      <c r="D8481" t="str">
        <f>IFERROR(__xludf.DUMMYFUNCTION("""COMPUTED_VALUE"""),"Miller")</f>
        <v>Miller</v>
      </c>
      <c r="E8481" t="str">
        <f>IFERROR(__xludf.DUMMYFUNCTION("""COMPUTED_VALUE"""),"Christian")</f>
        <v>Christian</v>
      </c>
      <c r="F8481" t="str">
        <f>IFERROR(__xludf.DUMMYFUNCTION("""COMPUTED_VALUE"""),"")</f>
        <v/>
      </c>
    </row>
    <row r="8482">
      <c r="D8482" t="str">
        <f>IFERROR(__xludf.DUMMYFUNCTION("""COMPUTED_VALUE"""),"Miller")</f>
        <v>Miller</v>
      </c>
      <c r="E8482" t="str">
        <f>IFERROR(__xludf.DUMMYFUNCTION("""COMPUTED_VALUE"""),"John")</f>
        <v>John</v>
      </c>
      <c r="F8482" t="str">
        <f>IFERROR(__xludf.DUMMYFUNCTION("""COMPUTED_VALUE"""),"")</f>
        <v/>
      </c>
    </row>
    <row r="8483">
      <c r="D8483" t="str">
        <f>IFERROR(__xludf.DUMMYFUNCTION("""COMPUTED_VALUE"""),"Miller")</f>
        <v>Miller</v>
      </c>
      <c r="E8483" t="str">
        <f>IFERROR(__xludf.DUMMYFUNCTION("""COMPUTED_VALUE"""),"Jordan")</f>
        <v>Jordan</v>
      </c>
      <c r="F8483" t="str">
        <f>IFERROR(__xludf.DUMMYFUNCTION("""COMPUTED_VALUE"""),"")</f>
        <v/>
      </c>
    </row>
    <row r="8484">
      <c r="D8484" t="str">
        <f>IFERROR(__xludf.DUMMYFUNCTION("""COMPUTED_VALUE"""),"Miller")</f>
        <v>Miller</v>
      </c>
      <c r="E8484" t="str">
        <f>IFERROR(__xludf.DUMMYFUNCTION("""COMPUTED_VALUE"""),"Kolton")</f>
        <v>Kolton</v>
      </c>
      <c r="F8484" t="str">
        <f>IFERROR(__xludf.DUMMYFUNCTION("""COMPUTED_VALUE"""),"")</f>
        <v/>
      </c>
    </row>
    <row r="8485">
      <c r="D8485" t="str">
        <f>IFERROR(__xludf.DUMMYFUNCTION("""COMPUTED_VALUE"""),"Miller")</f>
        <v>Miller</v>
      </c>
      <c r="E8485" t="str">
        <f>IFERROR(__xludf.DUMMYFUNCTION("""COMPUTED_VALUE"""),"Lamar")</f>
        <v>Lamar</v>
      </c>
      <c r="F8485" t="str">
        <f>IFERROR(__xludf.DUMMYFUNCTION("""COMPUTED_VALUE"""),"")</f>
        <v/>
      </c>
    </row>
    <row r="8486">
      <c r="D8486" t="str">
        <f>IFERROR(__xludf.DUMMYFUNCTION("""COMPUTED_VALUE"""),"Miller")</f>
        <v>Miller</v>
      </c>
      <c r="E8486" t="str">
        <f>IFERROR(__xludf.DUMMYFUNCTION("""COMPUTED_VALUE"""),"Scott")</f>
        <v>Scott</v>
      </c>
      <c r="F8486" t="str">
        <f>IFERROR(__xludf.DUMMYFUNCTION("""COMPUTED_VALUE"""),"")</f>
        <v/>
      </c>
    </row>
    <row r="8487">
      <c r="D8487" t="str">
        <f>IFERROR(__xludf.DUMMYFUNCTION("""COMPUTED_VALUE"""),"Miller")</f>
        <v>Miller</v>
      </c>
      <c r="E8487" t="str">
        <f>IFERROR(__xludf.DUMMYFUNCTION("""COMPUTED_VALUE"""),"Shareef")</f>
        <v>Shareef</v>
      </c>
      <c r="F8487" t="str">
        <f>IFERROR(__xludf.DUMMYFUNCTION("""COMPUTED_VALUE"""),"")</f>
        <v/>
      </c>
    </row>
    <row r="8488">
      <c r="D8488" t="str">
        <f>IFERROR(__xludf.DUMMYFUNCTION("""COMPUTED_VALUE"""),"Miller")</f>
        <v>Miller</v>
      </c>
      <c r="E8488" t="str">
        <f>IFERROR(__xludf.DUMMYFUNCTION("""COMPUTED_VALUE"""),"Von")</f>
        <v>Von</v>
      </c>
      <c r="F8488" t="str">
        <f>IFERROR(__xludf.DUMMYFUNCTION("""COMPUTED_VALUE"""),"")</f>
        <v/>
      </c>
    </row>
    <row r="8489">
      <c r="D8489" t="str">
        <f>IFERROR(__xludf.DUMMYFUNCTION("""COMPUTED_VALUE"""),"Milligan")</f>
        <v>Milligan</v>
      </c>
      <c r="E8489" t="str">
        <f>IFERROR(__xludf.DUMMYFUNCTION("""COMPUTED_VALUE"""),"Rolan")</f>
        <v>Rolan</v>
      </c>
      <c r="F8489" t="str">
        <f>IFERROR(__xludf.DUMMYFUNCTION("""COMPUTED_VALUE"""),"")</f>
        <v/>
      </c>
    </row>
    <row r="8490">
      <c r="D8490" t="str">
        <f>IFERROR(__xludf.DUMMYFUNCTION("""COMPUTED_VALUE"""),"Mills")</f>
        <v>Mills</v>
      </c>
      <c r="E8490" t="str">
        <f>IFERROR(__xludf.DUMMYFUNCTION("""COMPUTED_VALUE"""),"Jalen")</f>
        <v>Jalen</v>
      </c>
      <c r="F8490" t="str">
        <f>IFERROR(__xludf.DUMMYFUNCTION("""COMPUTED_VALUE"""),"")</f>
        <v/>
      </c>
    </row>
    <row r="8491">
      <c r="D8491" t="str">
        <f>IFERROR(__xludf.DUMMYFUNCTION("""COMPUTED_VALUE"""),"Mills")</f>
        <v>Mills</v>
      </c>
      <c r="E8491" t="str">
        <f>IFERROR(__xludf.DUMMYFUNCTION("""COMPUTED_VALUE"""),"Jordan")</f>
        <v>Jordan</v>
      </c>
      <c r="F8491" t="str">
        <f>IFERROR(__xludf.DUMMYFUNCTION("""COMPUTED_VALUE"""),"")</f>
        <v/>
      </c>
    </row>
    <row r="8492">
      <c r="D8492" t="str">
        <f>IFERROR(__xludf.DUMMYFUNCTION("""COMPUTED_VALUE"""),"Milton")</f>
        <v>Milton</v>
      </c>
      <c r="E8492" t="str">
        <f>IFERROR(__xludf.DUMMYFUNCTION("""COMPUTED_VALUE"""),"Chris")</f>
        <v>Chris</v>
      </c>
      <c r="F8492" t="str">
        <f>IFERROR(__xludf.DUMMYFUNCTION("""COMPUTED_VALUE"""),"")</f>
        <v/>
      </c>
    </row>
    <row r="8493">
      <c r="D8493" t="str">
        <f>IFERROR(__xludf.DUMMYFUNCTION("""COMPUTED_VALUE"""),"Mincy")</f>
        <v>Mincy</v>
      </c>
      <c r="E8493" t="str">
        <f>IFERROR(__xludf.DUMMYFUNCTION("""COMPUTED_VALUE"""),"Jonathon")</f>
        <v>Jonathon</v>
      </c>
      <c r="F8493" t="str">
        <f>IFERROR(__xludf.DUMMYFUNCTION("""COMPUTED_VALUE"""),"")</f>
        <v/>
      </c>
    </row>
    <row r="8494">
      <c r="D8494" t="str">
        <f>IFERROR(__xludf.DUMMYFUNCTION("""COMPUTED_VALUE"""),"Mingo")</f>
        <v>Mingo</v>
      </c>
      <c r="E8494" t="str">
        <f>IFERROR(__xludf.DUMMYFUNCTION("""COMPUTED_VALUE"""),"Barkevious")</f>
        <v>Barkevious</v>
      </c>
      <c r="F8494" t="str">
        <f>IFERROR(__xludf.DUMMYFUNCTION("""COMPUTED_VALUE"""),"")</f>
        <v/>
      </c>
    </row>
    <row r="8495">
      <c r="D8495" t="str">
        <f>IFERROR(__xludf.DUMMYFUNCTION("""COMPUTED_VALUE"""),"Minshew")</f>
        <v>Minshew</v>
      </c>
      <c r="E8495" t="str">
        <f>IFERROR(__xludf.DUMMYFUNCTION("""COMPUTED_VALUE"""),"Gardner")</f>
        <v>Gardner</v>
      </c>
      <c r="F8495" t="str">
        <f>IFERROR(__xludf.DUMMYFUNCTION("""COMPUTED_VALUE"""),"")</f>
        <v/>
      </c>
    </row>
    <row r="8496">
      <c r="D8496" t="str">
        <f>IFERROR(__xludf.DUMMYFUNCTION("""COMPUTED_VALUE"""),"Mitchell")</f>
        <v>Mitchell</v>
      </c>
      <c r="E8496" t="str">
        <f>IFERROR(__xludf.DUMMYFUNCTION("""COMPUTED_VALUE"""),"Dillon")</f>
        <v>Dillon</v>
      </c>
      <c r="F8496" t="str">
        <f>IFERROR(__xludf.DUMMYFUNCTION("""COMPUTED_VALUE"""),"")</f>
        <v/>
      </c>
    </row>
    <row r="8497">
      <c r="D8497" t="str">
        <f>IFERROR(__xludf.DUMMYFUNCTION("""COMPUTED_VALUE"""),"Mitchell")</f>
        <v>Mitchell</v>
      </c>
      <c r="E8497" t="str">
        <f>IFERROR(__xludf.DUMMYFUNCTION("""COMPUTED_VALUE"""),"Steven")</f>
        <v>Steven</v>
      </c>
      <c r="F8497" t="str">
        <f>IFERROR(__xludf.DUMMYFUNCTION("""COMPUTED_VALUE"""),"")</f>
        <v/>
      </c>
    </row>
    <row r="8498">
      <c r="D8498" t="str">
        <f>IFERROR(__xludf.DUMMYFUNCTION("""COMPUTED_VALUE"""),"Mitchell")</f>
        <v>Mitchell</v>
      </c>
      <c r="E8498" t="str">
        <f>IFERROR(__xludf.DUMMYFUNCTION("""COMPUTED_VALUE"""),"Terrance")</f>
        <v>Terrance</v>
      </c>
      <c r="F8498" t="str">
        <f>IFERROR(__xludf.DUMMYFUNCTION("""COMPUTED_VALUE"""),"")</f>
        <v/>
      </c>
    </row>
    <row r="8499">
      <c r="D8499" t="str">
        <f>IFERROR(__xludf.DUMMYFUNCTION("""COMPUTED_VALUE"""),"Mixon")</f>
        <v>Mixon</v>
      </c>
      <c r="E8499" t="str">
        <f>IFERROR(__xludf.DUMMYFUNCTION("""COMPUTED_VALUE"""),"Joe")</f>
        <v>Joe</v>
      </c>
      <c r="F8499" t="str">
        <f>IFERROR(__xludf.DUMMYFUNCTION("""COMPUTED_VALUE"""),"")</f>
        <v/>
      </c>
    </row>
    <row r="8500">
      <c r="D8500" t="str">
        <f>IFERROR(__xludf.DUMMYFUNCTION("""COMPUTED_VALUE"""),"Mizzell")</f>
        <v>Mizzell</v>
      </c>
      <c r="E8500" t="str">
        <f>IFERROR(__xludf.DUMMYFUNCTION("""COMPUTED_VALUE"""),"Taquan")</f>
        <v>Taquan</v>
      </c>
      <c r="F8500" t="str">
        <f>IFERROR(__xludf.DUMMYFUNCTION("""COMPUTED_VALUE"""),"")</f>
        <v/>
      </c>
    </row>
    <row r="8501">
      <c r="D8501" t="str">
        <f>IFERROR(__xludf.DUMMYFUNCTION("""COMPUTED_VALUE"""),"Moncrief")</f>
        <v>Moncrief</v>
      </c>
      <c r="E8501" t="str">
        <f>IFERROR(__xludf.DUMMYFUNCTION("""COMPUTED_VALUE"""),"Donte")</f>
        <v>Donte</v>
      </c>
      <c r="F8501" t="str">
        <f>IFERROR(__xludf.DUMMYFUNCTION("""COMPUTED_VALUE"""),"")</f>
        <v/>
      </c>
    </row>
    <row r="8502">
      <c r="D8502" t="str">
        <f>IFERROR(__xludf.DUMMYFUNCTION("""COMPUTED_VALUE"""),"Montgomery")</f>
        <v>Montgomery</v>
      </c>
      <c r="E8502" t="str">
        <f>IFERROR(__xludf.DUMMYFUNCTION("""COMPUTED_VALUE"""),"David")</f>
        <v>David</v>
      </c>
      <c r="F8502" t="str">
        <f>IFERROR(__xludf.DUMMYFUNCTION("""COMPUTED_VALUE"""),"")</f>
        <v/>
      </c>
    </row>
    <row r="8503">
      <c r="D8503" t="str">
        <f>IFERROR(__xludf.DUMMYFUNCTION("""COMPUTED_VALUE"""),"Montgomery")</f>
        <v>Montgomery</v>
      </c>
      <c r="E8503" t="str">
        <f>IFERROR(__xludf.DUMMYFUNCTION("""COMPUTED_VALUE"""),"Ty")</f>
        <v>Ty</v>
      </c>
      <c r="F8503" t="str">
        <f>IFERROR(__xludf.DUMMYFUNCTION("""COMPUTED_VALUE"""),"")</f>
        <v/>
      </c>
    </row>
    <row r="8504">
      <c r="D8504" t="str">
        <f>IFERROR(__xludf.DUMMYFUNCTION("""COMPUTED_VALUE"""),"Moore")</f>
        <v>Moore</v>
      </c>
      <c r="E8504" t="str">
        <f>IFERROR(__xludf.DUMMYFUNCTION("""COMPUTED_VALUE"""),"AJ")</f>
        <v>AJ</v>
      </c>
      <c r="F8504" t="str">
        <f>IFERROR(__xludf.DUMMYFUNCTION("""COMPUTED_VALUE"""),"")</f>
        <v/>
      </c>
    </row>
    <row r="8505">
      <c r="D8505" t="str">
        <f>IFERROR(__xludf.DUMMYFUNCTION("""COMPUTED_VALUE"""),"Moore")</f>
        <v>Moore</v>
      </c>
      <c r="E8505" t="str">
        <f>IFERROR(__xludf.DUMMYFUNCTION("""COMPUTED_VALUE"""),"Chris")</f>
        <v>Chris</v>
      </c>
      <c r="F8505" t="str">
        <f>IFERROR(__xludf.DUMMYFUNCTION("""COMPUTED_VALUE"""),"")</f>
        <v/>
      </c>
    </row>
    <row r="8506">
      <c r="D8506" t="str">
        <f>IFERROR(__xludf.DUMMYFUNCTION("""COMPUTED_VALUE"""),"Moore")</f>
        <v>Moore</v>
      </c>
      <c r="E8506" t="str">
        <f>IFERROR(__xludf.DUMMYFUNCTION("""COMPUTED_VALUE"""),"David")</f>
        <v>David</v>
      </c>
      <c r="F8506" t="str">
        <f>IFERROR(__xludf.DUMMYFUNCTION("""COMPUTED_VALUE"""),"")</f>
        <v/>
      </c>
    </row>
    <row r="8507">
      <c r="D8507" t="str">
        <f>IFERROR(__xludf.DUMMYFUNCTION("""COMPUTED_VALUE"""),"Moore")</f>
        <v>Moore</v>
      </c>
      <c r="E8507" t="str">
        <f>IFERROR(__xludf.DUMMYFUNCTION("""COMPUTED_VALUE"""),"DJ")</f>
        <v>DJ</v>
      </c>
      <c r="F8507" t="str">
        <f>IFERROR(__xludf.DUMMYFUNCTION("""COMPUTED_VALUE"""),"")</f>
        <v/>
      </c>
    </row>
    <row r="8508">
      <c r="D8508" t="str">
        <f>IFERROR(__xludf.DUMMYFUNCTION("""COMPUTED_VALUE"""),"Moore")</f>
        <v>Moore</v>
      </c>
      <c r="E8508" t="str">
        <f>IFERROR(__xludf.DUMMYFUNCTION("""COMPUTED_VALUE"""),"Jalin")</f>
        <v>Jalin</v>
      </c>
      <c r="F8508" t="str">
        <f>IFERROR(__xludf.DUMMYFUNCTION("""COMPUTED_VALUE"""),"")</f>
        <v/>
      </c>
    </row>
    <row r="8509">
      <c r="D8509" t="str">
        <f>IFERROR(__xludf.DUMMYFUNCTION("""COMPUTED_VALUE"""),"Moore")</f>
        <v>Moore</v>
      </c>
      <c r="E8509" t="str">
        <f>IFERROR(__xludf.DUMMYFUNCTION("""COMPUTED_VALUE"""),"JMon")</f>
        <v>JMon</v>
      </c>
      <c r="F8509" t="str">
        <f>IFERROR(__xludf.DUMMYFUNCTION("""COMPUTED_VALUE"""),"")</f>
        <v/>
      </c>
    </row>
    <row r="8510">
      <c r="D8510" t="str">
        <f>IFERROR(__xludf.DUMMYFUNCTION("""COMPUTED_VALUE"""),"Moore")</f>
        <v>Moore</v>
      </c>
      <c r="E8510" t="str">
        <f>IFERROR(__xludf.DUMMYFUNCTION("""COMPUTED_VALUE"""),"Kamrin")</f>
        <v>Kamrin</v>
      </c>
      <c r="F8510" t="str">
        <f>IFERROR(__xludf.DUMMYFUNCTION("""COMPUTED_VALUE"""),"")</f>
        <v/>
      </c>
    </row>
    <row r="8511">
      <c r="D8511" t="str">
        <f>IFERROR(__xludf.DUMMYFUNCTION("""COMPUTED_VALUE"""),"Moore")</f>
        <v>Moore</v>
      </c>
      <c r="E8511" t="str">
        <f>IFERROR(__xludf.DUMMYFUNCTION("""COMPUTED_VALUE"""),"Kenny")</f>
        <v>Kenny</v>
      </c>
      <c r="F8511" t="str">
        <f>IFERROR(__xludf.DUMMYFUNCTION("""COMPUTED_VALUE"""),"")</f>
        <v/>
      </c>
    </row>
    <row r="8512">
      <c r="D8512" t="str">
        <f>IFERROR(__xludf.DUMMYFUNCTION("""COMPUTED_VALUE"""),"Moore")</f>
        <v>Moore</v>
      </c>
      <c r="E8512" t="str">
        <f>IFERROR(__xludf.DUMMYFUNCTION("""COMPUTED_VALUE"""),"Skai")</f>
        <v>Skai</v>
      </c>
      <c r="F8512" t="str">
        <f>IFERROR(__xludf.DUMMYFUNCTION("""COMPUTED_VALUE"""),"")</f>
        <v/>
      </c>
    </row>
    <row r="8513">
      <c r="D8513" t="str">
        <f>IFERROR(__xludf.DUMMYFUNCTION("""COMPUTED_VALUE"""),"Moore")</f>
        <v>Moore</v>
      </c>
      <c r="E8513" t="str">
        <f>IFERROR(__xludf.DUMMYFUNCTION("""COMPUTED_VALUE"""),"Steven")</f>
        <v>Steven</v>
      </c>
      <c r="F8513" t="str">
        <f>IFERROR(__xludf.DUMMYFUNCTION("""COMPUTED_VALUE"""),"")</f>
        <v/>
      </c>
    </row>
    <row r="8514">
      <c r="D8514" t="str">
        <f>IFERROR(__xludf.DUMMYFUNCTION("""COMPUTED_VALUE"""),"Moore")</f>
        <v>Moore</v>
      </c>
      <c r="E8514" t="str">
        <f>IFERROR(__xludf.DUMMYFUNCTION("""COMPUTED_VALUE"""),"Tarvarius")</f>
        <v>Tarvarius</v>
      </c>
      <c r="F8514" t="str">
        <f>IFERROR(__xludf.DUMMYFUNCTION("""COMPUTED_VALUE"""),"")</f>
        <v/>
      </c>
    </row>
    <row r="8515">
      <c r="D8515" t="str">
        <f>IFERROR(__xludf.DUMMYFUNCTION("""COMPUTED_VALUE"""),"Moreau")</f>
        <v>Moreau</v>
      </c>
      <c r="E8515" t="str">
        <f>IFERROR(__xludf.DUMMYFUNCTION("""COMPUTED_VALUE"""),"Fabian")</f>
        <v>Fabian</v>
      </c>
      <c r="F8515" t="str">
        <f>IFERROR(__xludf.DUMMYFUNCTION("""COMPUTED_VALUE"""),"")</f>
        <v/>
      </c>
    </row>
    <row r="8516">
      <c r="D8516" t="str">
        <f>IFERROR(__xludf.DUMMYFUNCTION("""COMPUTED_VALUE"""),"Moreau")</f>
        <v>Moreau</v>
      </c>
      <c r="E8516" t="str">
        <f>IFERROR(__xludf.DUMMYFUNCTION("""COMPUTED_VALUE"""),"Foster")</f>
        <v>Foster</v>
      </c>
      <c r="F8516" t="str">
        <f>IFERROR(__xludf.DUMMYFUNCTION("""COMPUTED_VALUE"""),"")</f>
        <v/>
      </c>
    </row>
    <row r="8517">
      <c r="D8517" t="str">
        <f>IFERROR(__xludf.DUMMYFUNCTION("""COMPUTED_VALUE"""),"Moreland")</f>
        <v>Moreland</v>
      </c>
      <c r="E8517" t="str">
        <f>IFERROR(__xludf.DUMMYFUNCTION("""COMPUTED_VALUE"""),"Jimmy")</f>
        <v>Jimmy</v>
      </c>
      <c r="F8517" t="str">
        <f>IFERROR(__xludf.DUMMYFUNCTION("""COMPUTED_VALUE"""),"")</f>
        <v/>
      </c>
    </row>
    <row r="8518">
      <c r="D8518" t="str">
        <f>IFERROR(__xludf.DUMMYFUNCTION("""COMPUTED_VALUE"""),"Morgan")</f>
        <v>Morgan</v>
      </c>
      <c r="E8518" t="str">
        <f>IFERROR(__xludf.DUMMYFUNCTION("""COMPUTED_VALUE"""),"David")</f>
        <v>David</v>
      </c>
      <c r="F8518" t="str">
        <f>IFERROR(__xludf.DUMMYFUNCTION("""COMPUTED_VALUE"""),"")</f>
        <v/>
      </c>
    </row>
    <row r="8519">
      <c r="D8519" t="str">
        <f>IFERROR(__xludf.DUMMYFUNCTION("""COMPUTED_VALUE"""),"Morgan")</f>
        <v>Morgan</v>
      </c>
      <c r="E8519" t="str">
        <f>IFERROR(__xludf.DUMMYFUNCTION("""COMPUTED_VALUE"""),"Jordan")</f>
        <v>Jordan</v>
      </c>
      <c r="F8519" t="str">
        <f>IFERROR(__xludf.DUMMYFUNCTION("""COMPUTED_VALUE"""),"")</f>
        <v/>
      </c>
    </row>
    <row r="8520">
      <c r="D8520" t="str">
        <f>IFERROR(__xludf.DUMMYFUNCTION("""COMPUTED_VALUE"""),"Morgan")</f>
        <v>Morgan</v>
      </c>
      <c r="E8520" t="str">
        <f>IFERROR(__xludf.DUMMYFUNCTION("""COMPUTED_VALUE"""),"Stanley")</f>
        <v>Stanley</v>
      </c>
      <c r="F8520" t="str">
        <f>IFERROR(__xludf.DUMMYFUNCTION("""COMPUTED_VALUE"""),"")</f>
        <v/>
      </c>
    </row>
    <row r="8521">
      <c r="D8521" t="str">
        <f>IFERROR(__xludf.DUMMYFUNCTION("""COMPUTED_VALUE"""),"Morris")</f>
        <v>Morris</v>
      </c>
      <c r="E8521" t="str">
        <f>IFERROR(__xludf.DUMMYFUNCTION("""COMPUTED_VALUE"""),"Patrick")</f>
        <v>Patrick</v>
      </c>
      <c r="F8521" t="str">
        <f>IFERROR(__xludf.DUMMYFUNCTION("""COMPUTED_VALUE"""),"")</f>
        <v/>
      </c>
    </row>
    <row r="8522">
      <c r="D8522" t="str">
        <f>IFERROR(__xludf.DUMMYFUNCTION("""COMPUTED_VALUE"""),"Morrow")</f>
        <v>Morrow</v>
      </c>
      <c r="E8522" t="str">
        <f>IFERROR(__xludf.DUMMYFUNCTION("""COMPUTED_VALUE"""),"Nicholas")</f>
        <v>Nicholas</v>
      </c>
      <c r="F8522" t="str">
        <f>IFERROR(__xludf.DUMMYFUNCTION("""COMPUTED_VALUE"""),"")</f>
        <v/>
      </c>
    </row>
    <row r="8523">
      <c r="D8523" t="str">
        <f>IFERROR(__xludf.DUMMYFUNCTION("""COMPUTED_VALUE"""),"Morse")</f>
        <v>Morse</v>
      </c>
      <c r="E8523" t="str">
        <f>IFERROR(__xludf.DUMMYFUNCTION("""COMPUTED_VALUE"""),"Mitch")</f>
        <v>Mitch</v>
      </c>
      <c r="F8523" t="str">
        <f>IFERROR(__xludf.DUMMYFUNCTION("""COMPUTED_VALUE"""),"")</f>
        <v/>
      </c>
    </row>
    <row r="8524">
      <c r="D8524" t="str">
        <f>IFERROR(__xludf.DUMMYFUNCTION("""COMPUTED_VALUE"""),"Morstead")</f>
        <v>Morstead</v>
      </c>
      <c r="E8524" t="str">
        <f>IFERROR(__xludf.DUMMYFUNCTION("""COMPUTED_VALUE"""),"Thomas")</f>
        <v>Thomas</v>
      </c>
      <c r="F8524" t="str">
        <f>IFERROR(__xludf.DUMMYFUNCTION("""COMPUTED_VALUE"""),"")</f>
        <v/>
      </c>
    </row>
    <row r="8525">
      <c r="D8525" t="str">
        <f>IFERROR(__xludf.DUMMYFUNCTION("""COMPUTED_VALUE"""),"Moses")</f>
        <v>Moses</v>
      </c>
      <c r="E8525" t="str">
        <f>IFERROR(__xludf.DUMMYFUNCTION("""COMPUTED_VALUE"""),"Morgan")</f>
        <v>Morgan</v>
      </c>
      <c r="F8525" t="str">
        <f>IFERROR(__xludf.DUMMYFUNCTION("""COMPUTED_VALUE"""),"")</f>
        <v/>
      </c>
    </row>
    <row r="8526">
      <c r="D8526" t="str">
        <f>IFERROR(__xludf.DUMMYFUNCTION("""COMPUTED_VALUE"""),"Mosley")</f>
        <v>Mosley</v>
      </c>
      <c r="E8526" t="str">
        <f>IFERROR(__xludf.DUMMYFUNCTION("""COMPUTED_VALUE"""),"CJ")</f>
        <v>CJ</v>
      </c>
      <c r="F8526" t="str">
        <f>IFERROR(__xludf.DUMMYFUNCTION("""COMPUTED_VALUE"""),"")</f>
        <v/>
      </c>
    </row>
    <row r="8527">
      <c r="D8527" t="str">
        <f>IFERROR(__xludf.DUMMYFUNCTION("""COMPUTED_VALUE"""),"Moss")</f>
        <v>Moss</v>
      </c>
      <c r="E8527" t="str">
        <f>IFERROR(__xludf.DUMMYFUNCTION("""COMPUTED_VALUE"""),"Avery")</f>
        <v>Avery</v>
      </c>
      <c r="F8527" t="str">
        <f>IFERROR(__xludf.DUMMYFUNCTION("""COMPUTED_VALUE"""),"")</f>
        <v/>
      </c>
    </row>
    <row r="8528">
      <c r="D8528" t="str">
        <f>IFERROR(__xludf.DUMMYFUNCTION("""COMPUTED_VALUE"""),"Mostert")</f>
        <v>Mostert</v>
      </c>
      <c r="E8528" t="str">
        <f>IFERROR(__xludf.DUMMYFUNCTION("""COMPUTED_VALUE"""),"Raheem")</f>
        <v>Raheem</v>
      </c>
      <c r="F8528" t="str">
        <f>IFERROR(__xludf.DUMMYFUNCTION("""COMPUTED_VALUE"""),"")</f>
        <v/>
      </c>
    </row>
    <row r="8529">
      <c r="D8529" t="str">
        <f>IFERROR(__xludf.DUMMYFUNCTION("""COMPUTED_VALUE"""),"Moton")</f>
        <v>Moton</v>
      </c>
      <c r="E8529" t="str">
        <f>IFERROR(__xludf.DUMMYFUNCTION("""COMPUTED_VALUE"""),"Taylor")</f>
        <v>Taylor</v>
      </c>
      <c r="F8529" t="str">
        <f>IFERROR(__xludf.DUMMYFUNCTION("""COMPUTED_VALUE"""),"")</f>
        <v/>
      </c>
    </row>
    <row r="8530">
      <c r="D8530" t="str">
        <f>IFERROR(__xludf.DUMMYFUNCTION("""COMPUTED_VALUE"""),"Muhammad")</f>
        <v>Muhammad</v>
      </c>
      <c r="E8530" t="str">
        <f>IFERROR(__xludf.DUMMYFUNCTION("""COMPUTED_VALUE"""),"Al-Quadin")</f>
        <v>Al-Quadin</v>
      </c>
      <c r="F8530" t="str">
        <f>IFERROR(__xludf.DUMMYFUNCTION("""COMPUTED_VALUE"""),"")</f>
        <v/>
      </c>
    </row>
    <row r="8531">
      <c r="D8531" t="str">
        <f>IFERROR(__xludf.DUMMYFUNCTION("""COMPUTED_VALUE"""),"Muhammad")</f>
        <v>Muhammad</v>
      </c>
      <c r="E8531" t="str">
        <f>IFERROR(__xludf.DUMMYFUNCTION("""COMPUTED_VALUE"""),"Khalfani")</f>
        <v>Khalfani</v>
      </c>
      <c r="F8531" t="str">
        <f>IFERROR(__xludf.DUMMYFUNCTION("""COMPUTED_VALUE"""),"")</f>
        <v/>
      </c>
    </row>
    <row r="8532">
      <c r="D8532" t="str">
        <f>IFERROR(__xludf.DUMMYFUNCTION("""COMPUTED_VALUE"""),"Muhlbach")</f>
        <v>Muhlbach</v>
      </c>
      <c r="E8532" t="str">
        <f>IFERROR(__xludf.DUMMYFUNCTION("""COMPUTED_VALUE"""),"Don")</f>
        <v>Don</v>
      </c>
      <c r="F8532" t="str">
        <f>IFERROR(__xludf.DUMMYFUNCTION("""COMPUTED_VALUE"""),"")</f>
        <v/>
      </c>
    </row>
    <row r="8533">
      <c r="D8533" t="str">
        <f>IFERROR(__xludf.DUMMYFUNCTION("""COMPUTED_VALUE"""),"Mullen")</f>
        <v>Mullen</v>
      </c>
      <c r="E8533" t="str">
        <f>IFERROR(__xludf.DUMMYFUNCTION("""COMPUTED_VALUE"""),"Trayvon")</f>
        <v>Trayvon</v>
      </c>
      <c r="F8533" t="str">
        <f>IFERROR(__xludf.DUMMYFUNCTION("""COMPUTED_VALUE"""),"")</f>
        <v/>
      </c>
    </row>
    <row r="8534">
      <c r="D8534" t="str">
        <f>IFERROR(__xludf.DUMMYFUNCTION("""COMPUTED_VALUE"""),"Mullens")</f>
        <v>Mullens</v>
      </c>
      <c r="E8534" t="str">
        <f>IFERROR(__xludf.DUMMYFUNCTION("""COMPUTED_VALUE"""),"Nick")</f>
        <v>Nick</v>
      </c>
      <c r="F8534" t="str">
        <f>IFERROR(__xludf.DUMMYFUNCTION("""COMPUTED_VALUE"""),"")</f>
        <v/>
      </c>
    </row>
    <row r="8535">
      <c r="D8535" t="str">
        <f>IFERROR(__xludf.DUMMYFUNCTION("""COMPUTED_VALUE"""),"Mundt")</f>
        <v>Mundt</v>
      </c>
      <c r="E8535" t="str">
        <f>IFERROR(__xludf.DUMMYFUNCTION("""COMPUTED_VALUE"""),"Johnny")</f>
        <v>Johnny</v>
      </c>
      <c r="F8535" t="str">
        <f>IFERROR(__xludf.DUMMYFUNCTION("""COMPUTED_VALUE"""),"")</f>
        <v/>
      </c>
    </row>
    <row r="8536">
      <c r="D8536" t="str">
        <f>IFERROR(__xludf.DUMMYFUNCTION("""COMPUTED_VALUE"""),"Munson")</f>
        <v>Munson</v>
      </c>
      <c r="E8536" t="str">
        <f>IFERROR(__xludf.DUMMYFUNCTION("""COMPUTED_VALUE"""),"Calvin")</f>
        <v>Calvin</v>
      </c>
      <c r="F8536" t="str">
        <f>IFERROR(__xludf.DUMMYFUNCTION("""COMPUTED_VALUE"""),"")</f>
        <v/>
      </c>
    </row>
    <row r="8537">
      <c r="D8537" t="str">
        <f>IFERROR(__xludf.DUMMYFUNCTION("""COMPUTED_VALUE"""),"Murphy")</f>
        <v>Murphy</v>
      </c>
      <c r="E8537" t="str">
        <f>IFERROR(__xludf.DUMMYFUNCTION("""COMPUTED_VALUE"""),"Byron")</f>
        <v>Byron</v>
      </c>
      <c r="F8537" t="str">
        <f>IFERROR(__xludf.DUMMYFUNCTION("""COMPUTED_VALUE"""),"")</f>
        <v/>
      </c>
    </row>
    <row r="8538">
      <c r="D8538" t="str">
        <f>IFERROR(__xludf.DUMMYFUNCTION("""COMPUTED_VALUE"""),"Murphy")</f>
        <v>Murphy</v>
      </c>
      <c r="E8538" t="str">
        <f>IFERROR(__xludf.DUMMYFUNCTION("""COMPUTED_VALUE"""),"Pace")</f>
        <v>Pace</v>
      </c>
      <c r="F8538" t="str">
        <f>IFERROR(__xludf.DUMMYFUNCTION("""COMPUTED_VALUE"""),"")</f>
        <v/>
      </c>
    </row>
    <row r="8539">
      <c r="D8539" t="str">
        <f>IFERROR(__xludf.DUMMYFUNCTION("""COMPUTED_VALUE"""),"Murphy")</f>
        <v>Murphy</v>
      </c>
      <c r="E8539" t="str">
        <f>IFERROR(__xludf.DUMMYFUNCTION("""COMPUTED_VALUE"""),"Trent")</f>
        <v>Trent</v>
      </c>
      <c r="F8539" t="str">
        <f>IFERROR(__xludf.DUMMYFUNCTION("""COMPUTED_VALUE"""),"")</f>
        <v/>
      </c>
    </row>
    <row r="8540">
      <c r="D8540" t="str">
        <f>IFERROR(__xludf.DUMMYFUNCTION("""COMPUTED_VALUE"""),"Murphy-Bunting")</f>
        <v>Murphy-Bunting</v>
      </c>
      <c r="E8540" t="str">
        <f>IFERROR(__xludf.DUMMYFUNCTION("""COMPUTED_VALUE"""),"Sean")</f>
        <v>Sean</v>
      </c>
      <c r="F8540" t="str">
        <f>IFERROR(__xludf.DUMMYFUNCTION("""COMPUTED_VALUE"""),"")</f>
        <v/>
      </c>
    </row>
    <row r="8541">
      <c r="D8541" t="str">
        <f>IFERROR(__xludf.DUMMYFUNCTION("""COMPUTED_VALUE"""),"Murray")</f>
        <v>Murray</v>
      </c>
      <c r="E8541" t="str">
        <f>IFERROR(__xludf.DUMMYFUNCTION("""COMPUTED_VALUE"""),"Eric")</f>
        <v>Eric</v>
      </c>
      <c r="F8541" t="str">
        <f>IFERROR(__xludf.DUMMYFUNCTION("""COMPUTED_VALUE"""),"")</f>
        <v/>
      </c>
    </row>
    <row r="8542">
      <c r="D8542" t="str">
        <f>IFERROR(__xludf.DUMMYFUNCTION("""COMPUTED_VALUE"""),"Murray")</f>
        <v>Murray</v>
      </c>
      <c r="E8542" t="str">
        <f>IFERROR(__xludf.DUMMYFUNCTION("""COMPUTED_VALUE"""),"Jimmy")</f>
        <v>Jimmy</v>
      </c>
      <c r="F8542" t="str">
        <f>IFERROR(__xludf.DUMMYFUNCTION("""COMPUTED_VALUE"""),"")</f>
        <v/>
      </c>
    </row>
    <row r="8543">
      <c r="D8543" t="str">
        <f>IFERROR(__xludf.DUMMYFUNCTION("""COMPUTED_VALUE"""),"Murray")</f>
        <v>Murray</v>
      </c>
      <c r="E8543" t="str">
        <f>IFERROR(__xludf.DUMMYFUNCTION("""COMPUTED_VALUE"""),"Kyler")</f>
        <v>Kyler</v>
      </c>
      <c r="F8543" t="str">
        <f>IFERROR(__xludf.DUMMYFUNCTION("""COMPUTED_VALUE"""),"")</f>
        <v/>
      </c>
    </row>
    <row r="8544">
      <c r="D8544" t="str">
        <f>IFERROR(__xludf.DUMMYFUNCTION("""COMPUTED_VALUE"""),"Murray")</f>
        <v>Murray</v>
      </c>
      <c r="E8544" t="str">
        <f>IFERROR(__xludf.DUMMYFUNCTION("""COMPUTED_VALUE"""),"Latavius")</f>
        <v>Latavius</v>
      </c>
      <c r="F8544" t="str">
        <f>IFERROR(__xludf.DUMMYFUNCTION("""COMPUTED_VALUE"""),"")</f>
        <v/>
      </c>
    </row>
    <row r="8545">
      <c r="D8545" t="str">
        <f>IFERROR(__xludf.DUMMYFUNCTION("""COMPUTED_VALUE"""),"Myers")</f>
        <v>Myers</v>
      </c>
      <c r="E8545" t="str">
        <f>IFERROR(__xludf.DUMMYFUNCTION("""COMPUTED_VALUE"""),"Jason")</f>
        <v>Jason</v>
      </c>
      <c r="F8545" t="str">
        <f>IFERROR(__xludf.DUMMYFUNCTION("""COMPUTED_VALUE"""),"")</f>
        <v/>
      </c>
    </row>
    <row r="8546">
      <c r="D8546" t="str">
        <f>IFERROR(__xludf.DUMMYFUNCTION("""COMPUTED_VALUE"""),"Nacua")</f>
        <v>Nacua</v>
      </c>
      <c r="E8546" t="str">
        <f>IFERROR(__xludf.DUMMYFUNCTION("""COMPUTED_VALUE"""),"Kai")</f>
        <v>Kai</v>
      </c>
      <c r="F8546" t="str">
        <f>IFERROR(__xludf.DUMMYFUNCTION("""COMPUTED_VALUE"""),"")</f>
        <v/>
      </c>
    </row>
    <row r="8547">
      <c r="D8547" t="str">
        <f>IFERROR(__xludf.DUMMYFUNCTION("""COMPUTED_VALUE"""),"Nall")</f>
        <v>Nall</v>
      </c>
      <c r="E8547" t="str">
        <f>IFERROR(__xludf.DUMMYFUNCTION("""COMPUTED_VALUE"""),"Ryan")</f>
        <v>Ryan</v>
      </c>
      <c r="F8547" t="str">
        <f>IFERROR(__xludf.DUMMYFUNCTION("""COMPUTED_VALUE"""),"")</f>
        <v/>
      </c>
    </row>
    <row r="8548">
      <c r="D8548" t="str">
        <f>IFERROR(__xludf.DUMMYFUNCTION("""COMPUTED_VALUE"""),"Nassib")</f>
        <v>Nassib</v>
      </c>
      <c r="E8548" t="str">
        <f>IFERROR(__xludf.DUMMYFUNCTION("""COMPUTED_VALUE"""),"Carl")</f>
        <v>Carl</v>
      </c>
      <c r="F8548" t="str">
        <f>IFERROR(__xludf.DUMMYFUNCTION("""COMPUTED_VALUE"""),"")</f>
        <v/>
      </c>
    </row>
    <row r="8549">
      <c r="D8549" t="str">
        <f>IFERROR(__xludf.DUMMYFUNCTION("""COMPUTED_VALUE"""),"Natson")</f>
        <v>Natson</v>
      </c>
      <c r="E8549" t="str">
        <f>IFERROR(__xludf.DUMMYFUNCTION("""COMPUTED_VALUE"""),"JoJo")</f>
        <v>JoJo</v>
      </c>
      <c r="F8549" t="str">
        <f>IFERROR(__xludf.DUMMYFUNCTION("""COMPUTED_VALUE"""),"")</f>
        <v/>
      </c>
    </row>
    <row r="8550">
      <c r="D8550" t="str">
        <f>IFERROR(__xludf.DUMMYFUNCTION("""COMPUTED_VALUE"""),"Nauta")</f>
        <v>Nauta</v>
      </c>
      <c r="E8550" t="str">
        <f>IFERROR(__xludf.DUMMYFUNCTION("""COMPUTED_VALUE"""),"Isaac")</f>
        <v>Isaac</v>
      </c>
      <c r="F8550" t="str">
        <f>IFERROR(__xludf.DUMMYFUNCTION("""COMPUTED_VALUE"""),"")</f>
        <v/>
      </c>
    </row>
    <row r="8551">
      <c r="D8551" t="str">
        <f>IFERROR(__xludf.DUMMYFUNCTION("""COMPUTED_VALUE"""),"Neal")</f>
        <v>Neal</v>
      </c>
      <c r="E8551" t="str">
        <f>IFERROR(__xludf.DUMMYFUNCTION("""COMPUTED_VALUE"""),"Keanu")</f>
        <v>Keanu</v>
      </c>
      <c r="F8551" t="str">
        <f>IFERROR(__xludf.DUMMYFUNCTION("""COMPUTED_VALUE"""),"")</f>
        <v/>
      </c>
    </row>
    <row r="8552">
      <c r="D8552" t="str">
        <f>IFERROR(__xludf.DUMMYFUNCTION("""COMPUTED_VALUE"""),"Neal")</f>
        <v>Neal</v>
      </c>
      <c r="E8552" t="str">
        <f>IFERROR(__xludf.DUMMYFUNCTION("""COMPUTED_VALUE"""),"Ryan")</f>
        <v>Ryan</v>
      </c>
      <c r="F8552" t="str">
        <f>IFERROR(__xludf.DUMMYFUNCTION("""COMPUTED_VALUE"""),"")</f>
        <v/>
      </c>
    </row>
    <row r="8553">
      <c r="D8553" t="str">
        <f>IFERROR(__xludf.DUMMYFUNCTION("""COMPUTED_VALUE"""),"Neal")</f>
        <v>Neal</v>
      </c>
      <c r="E8553" t="str">
        <f>IFERROR(__xludf.DUMMYFUNCTION("""COMPUTED_VALUE"""),"Siran")</f>
        <v>Siran</v>
      </c>
      <c r="F8553" t="str">
        <f>IFERROR(__xludf.DUMMYFUNCTION("""COMPUTED_VALUE"""),"")</f>
        <v/>
      </c>
    </row>
    <row r="8554">
      <c r="D8554" t="str">
        <f>IFERROR(__xludf.DUMMYFUNCTION("""COMPUTED_VALUE"""),"Neary")</f>
        <v>Neary</v>
      </c>
      <c r="E8554" t="str">
        <f>IFERROR(__xludf.DUMMYFUNCTION("""COMPUTED_VALUE"""),"Aaron")</f>
        <v>Aaron</v>
      </c>
      <c r="F8554" t="str">
        <f>IFERROR(__xludf.DUMMYFUNCTION("""COMPUTED_VALUE"""),"")</f>
        <v/>
      </c>
    </row>
    <row r="8555">
      <c r="D8555" t="str">
        <f>IFERROR(__xludf.DUMMYFUNCTION("""COMPUTED_VALUE"""),"Neasman")</f>
        <v>Neasman</v>
      </c>
      <c r="E8555" t="str">
        <f>IFERROR(__xludf.DUMMYFUNCTION("""COMPUTED_VALUE"""),"Sharrod")</f>
        <v>Sharrod</v>
      </c>
      <c r="F8555" t="str">
        <f>IFERROR(__xludf.DUMMYFUNCTION("""COMPUTED_VALUE"""),"")</f>
        <v/>
      </c>
    </row>
    <row r="8556">
      <c r="D8556" t="str">
        <f>IFERROR(__xludf.DUMMYFUNCTION("""COMPUTED_VALUE"""),"Nelson")</f>
        <v>Nelson</v>
      </c>
      <c r="E8556" t="str">
        <f>IFERROR(__xludf.DUMMYFUNCTION("""COMPUTED_VALUE"""),"Anthony")</f>
        <v>Anthony</v>
      </c>
      <c r="F8556" t="str">
        <f>IFERROR(__xludf.DUMMYFUNCTION("""COMPUTED_VALUE"""),"")</f>
        <v/>
      </c>
    </row>
    <row r="8557">
      <c r="D8557" t="str">
        <f>IFERROR(__xludf.DUMMYFUNCTION("""COMPUTED_VALUE"""),"Nelson")</f>
        <v>Nelson</v>
      </c>
      <c r="E8557" t="str">
        <f>IFERROR(__xludf.DUMMYFUNCTION("""COMPUTED_VALUE"""),"Corey")</f>
        <v>Corey</v>
      </c>
      <c r="F8557" t="str">
        <f>IFERROR(__xludf.DUMMYFUNCTION("""COMPUTED_VALUE"""),"")</f>
        <v/>
      </c>
    </row>
    <row r="8558">
      <c r="D8558" t="str">
        <f>IFERROR(__xludf.DUMMYFUNCTION("""COMPUTED_VALUE"""),"Nelson")</f>
        <v>Nelson</v>
      </c>
      <c r="E8558" t="str">
        <f>IFERROR(__xludf.DUMMYFUNCTION("""COMPUTED_VALUE"""),"JJ")</f>
        <v>JJ</v>
      </c>
      <c r="F8558" t="str">
        <f>IFERROR(__xludf.DUMMYFUNCTION("""COMPUTED_VALUE"""),"")</f>
        <v/>
      </c>
    </row>
    <row r="8559">
      <c r="D8559" t="str">
        <f>IFERROR(__xludf.DUMMYFUNCTION("""COMPUTED_VALUE"""),"Nelson")</f>
        <v>Nelson</v>
      </c>
      <c r="E8559" t="str">
        <f>IFERROR(__xludf.DUMMYFUNCTION("""COMPUTED_VALUE"""),"Kyle")</f>
        <v>Kyle</v>
      </c>
      <c r="F8559" t="str">
        <f>IFERROR(__xludf.DUMMYFUNCTION("""COMPUTED_VALUE"""),"")</f>
        <v/>
      </c>
    </row>
    <row r="8560">
      <c r="D8560" t="str">
        <f>IFERROR(__xludf.DUMMYFUNCTION("""COMPUTED_VALUE"""),"Nelson")</f>
        <v>Nelson</v>
      </c>
      <c r="E8560" t="str">
        <f>IFERROR(__xludf.DUMMYFUNCTION("""COMPUTED_VALUE"""),"Nick")</f>
        <v>Nick</v>
      </c>
      <c r="F8560" t="str">
        <f>IFERROR(__xludf.DUMMYFUNCTION("""COMPUTED_VALUE"""),"")</f>
        <v/>
      </c>
    </row>
    <row r="8561">
      <c r="D8561" t="str">
        <f>IFERROR(__xludf.DUMMYFUNCTION("""COMPUTED_VALUE"""),"Nelson")</f>
        <v>Nelson</v>
      </c>
      <c r="E8561" t="str">
        <f>IFERROR(__xludf.DUMMYFUNCTION("""COMPUTED_VALUE"""),"Quenton")</f>
        <v>Quenton</v>
      </c>
      <c r="F8561" t="str">
        <f>IFERROR(__xludf.DUMMYFUNCTION("""COMPUTED_VALUE"""),"")</f>
        <v/>
      </c>
    </row>
    <row r="8562">
      <c r="D8562" t="str">
        <f>IFERROR(__xludf.DUMMYFUNCTION("""COMPUTED_VALUE"""),"Nelson")</f>
        <v>Nelson</v>
      </c>
      <c r="E8562" t="str">
        <f>IFERROR(__xludf.DUMMYFUNCTION("""COMPUTED_VALUE"""),"Steven")</f>
        <v>Steven</v>
      </c>
      <c r="F8562" t="str">
        <f>IFERROR(__xludf.DUMMYFUNCTION("""COMPUTED_VALUE"""),"")</f>
        <v/>
      </c>
    </row>
    <row r="8563">
      <c r="D8563" t="str">
        <f>IFERROR(__xludf.DUMMYFUNCTION("""COMPUTED_VALUE"""),"Newhouse")</f>
        <v>Newhouse</v>
      </c>
      <c r="E8563" t="str">
        <f>IFERROR(__xludf.DUMMYFUNCTION("""COMPUTED_VALUE"""),"Marshall")</f>
        <v>Marshall</v>
      </c>
      <c r="F8563" t="str">
        <f>IFERROR(__xludf.DUMMYFUNCTION("""COMPUTED_VALUE"""),"")</f>
        <v/>
      </c>
    </row>
    <row r="8564">
      <c r="D8564" t="str">
        <f>IFERROR(__xludf.DUMMYFUNCTION("""COMPUTED_VALUE"""),"Newsome")</f>
        <v>Newsome</v>
      </c>
      <c r="E8564" t="str">
        <f>IFERROR(__xludf.DUMMYFUNCTION("""COMPUTED_VALUE"""),"Detrez")</f>
        <v>Detrez</v>
      </c>
      <c r="F8564" t="str">
        <f>IFERROR(__xludf.DUMMYFUNCTION("""COMPUTED_VALUE"""),"")</f>
        <v/>
      </c>
    </row>
    <row r="8565">
      <c r="D8565" t="str">
        <f>IFERROR(__xludf.DUMMYFUNCTION("""COMPUTED_VALUE"""),"Newton")</f>
        <v>Newton</v>
      </c>
      <c r="E8565" t="str">
        <f>IFERROR(__xludf.DUMMYFUNCTION("""COMPUTED_VALUE"""),"Cam")</f>
        <v>Cam</v>
      </c>
      <c r="F8565" t="str">
        <f>IFERROR(__xludf.DUMMYFUNCTION("""COMPUTED_VALUE"""),"")</f>
        <v/>
      </c>
    </row>
    <row r="8566">
      <c r="D8566" t="str">
        <f>IFERROR(__xludf.DUMMYFUNCTION("""COMPUTED_VALUE"""),"Ngakoue")</f>
        <v>Ngakoue</v>
      </c>
      <c r="E8566" t="str">
        <f>IFERROR(__xludf.DUMMYFUNCTION("""COMPUTED_VALUE"""),"Yannick")</f>
        <v>Yannick</v>
      </c>
      <c r="F8566" t="str">
        <f>IFERROR(__xludf.DUMMYFUNCTION("""COMPUTED_VALUE"""),"")</f>
        <v/>
      </c>
    </row>
    <row r="8567">
      <c r="D8567" t="str">
        <f>IFERROR(__xludf.DUMMYFUNCTION("""COMPUTED_VALUE"""),"Nichols")</f>
        <v>Nichols</v>
      </c>
      <c r="E8567" t="str">
        <f>IFERROR(__xludf.DUMMYFUNCTION("""COMPUTED_VALUE"""),"Bilal")</f>
        <v>Bilal</v>
      </c>
      <c r="F8567" t="str">
        <f>IFERROR(__xludf.DUMMYFUNCTION("""COMPUTED_VALUE"""),"")</f>
        <v/>
      </c>
    </row>
    <row r="8568">
      <c r="D8568" t="str">
        <f>IFERROR(__xludf.DUMMYFUNCTION("""COMPUTED_VALUE"""),"Nichols")</f>
        <v>Nichols</v>
      </c>
      <c r="E8568" t="str">
        <f>IFERROR(__xludf.DUMMYFUNCTION("""COMPUTED_VALUE"""),"Deatrick")</f>
        <v>Deatrick</v>
      </c>
      <c r="F8568" t="str">
        <f>IFERROR(__xludf.DUMMYFUNCTION("""COMPUTED_VALUE"""),"")</f>
        <v/>
      </c>
    </row>
    <row r="8569">
      <c r="D8569" t="str">
        <f>IFERROR(__xludf.DUMMYFUNCTION("""COMPUTED_VALUE"""),"Nicholson")</f>
        <v>Nicholson</v>
      </c>
      <c r="E8569" t="str">
        <f>IFERROR(__xludf.DUMMYFUNCTION("""COMPUTED_VALUE"""),"Montae")</f>
        <v>Montae</v>
      </c>
      <c r="F8569" t="str">
        <f>IFERROR(__xludf.DUMMYFUNCTION("""COMPUTED_VALUE"""),"")</f>
        <v/>
      </c>
    </row>
    <row r="8570">
      <c r="D8570" t="str">
        <f>IFERROR(__xludf.DUMMYFUNCTION("""COMPUTED_VALUE"""),"Nickerson")</f>
        <v>Nickerson</v>
      </c>
      <c r="E8570" t="str">
        <f>IFERROR(__xludf.DUMMYFUNCTION("""COMPUTED_VALUE"""),"Hardy")</f>
        <v>Hardy</v>
      </c>
      <c r="F8570" t="str">
        <f>IFERROR(__xludf.DUMMYFUNCTION("""COMPUTED_VALUE"""),"")</f>
        <v/>
      </c>
    </row>
    <row r="8571">
      <c r="D8571" t="str">
        <f>IFERROR(__xludf.DUMMYFUNCTION("""COMPUTED_VALUE"""),"Nickerson")</f>
        <v>Nickerson</v>
      </c>
      <c r="E8571" t="str">
        <f>IFERROR(__xludf.DUMMYFUNCTION("""COMPUTED_VALUE"""),"Parry")</f>
        <v>Parry</v>
      </c>
      <c r="F8571" t="str">
        <f>IFERROR(__xludf.DUMMYFUNCTION("""COMPUTED_VALUE"""),"")</f>
        <v/>
      </c>
    </row>
    <row r="8572">
      <c r="D8572" t="str">
        <f>IFERROR(__xludf.DUMMYFUNCTION("""COMPUTED_VALUE"""),"Niemann")</f>
        <v>Niemann</v>
      </c>
      <c r="E8572" t="str">
        <f>IFERROR(__xludf.DUMMYFUNCTION("""COMPUTED_VALUE"""),"Ben")</f>
        <v>Ben</v>
      </c>
      <c r="F8572" t="str">
        <f>IFERROR(__xludf.DUMMYFUNCTION("""COMPUTED_VALUE"""),"")</f>
        <v/>
      </c>
    </row>
    <row r="8573">
      <c r="D8573" t="str">
        <f>IFERROR(__xludf.DUMMYFUNCTION("""COMPUTED_VALUE"""),"Nijman")</f>
        <v>Nijman</v>
      </c>
      <c r="E8573" t="str">
        <f>IFERROR(__xludf.DUMMYFUNCTION("""COMPUTED_VALUE"""),"Yosuah")</f>
        <v>Yosuah</v>
      </c>
      <c r="F8573" t="str">
        <f>IFERROR(__xludf.DUMMYFUNCTION("""COMPUTED_VALUE"""),"")</f>
        <v/>
      </c>
    </row>
    <row r="8574">
      <c r="D8574" t="str">
        <f>IFERROR(__xludf.DUMMYFUNCTION("""COMPUTED_VALUE"""),"Nix")</f>
        <v>Nix</v>
      </c>
      <c r="E8574" t="str">
        <f>IFERROR(__xludf.DUMMYFUNCTION("""COMPUTED_VALUE"""),"Roosevelt")</f>
        <v>Roosevelt</v>
      </c>
      <c r="F8574" t="str">
        <f>IFERROR(__xludf.DUMMYFUNCTION("""COMPUTED_VALUE"""),"")</f>
        <v/>
      </c>
    </row>
    <row r="8575">
      <c r="D8575" t="str">
        <f>IFERROR(__xludf.DUMMYFUNCTION("""COMPUTED_VALUE"""),"Njoku")</f>
        <v>Njoku</v>
      </c>
      <c r="E8575" t="str">
        <f>IFERROR(__xludf.DUMMYFUNCTION("""COMPUTED_VALUE"""),"David")</f>
        <v>David</v>
      </c>
      <c r="F8575" t="str">
        <f>IFERROR(__xludf.DUMMYFUNCTION("""COMPUTED_VALUE"""),"")</f>
        <v/>
      </c>
    </row>
    <row r="8576">
      <c r="D8576" t="str">
        <f>IFERROR(__xludf.DUMMYFUNCTION("""COMPUTED_VALUE"""),"Nkansah")</f>
        <v>Nkansah</v>
      </c>
      <c r="E8576" t="str">
        <f>IFERROR(__xludf.DUMMYFUNCTION("""COMPUTED_VALUE"""),"Elijah")</f>
        <v>Elijah</v>
      </c>
      <c r="F8576" t="str">
        <f>IFERROR(__xludf.DUMMYFUNCTION("""COMPUTED_VALUE"""),"")</f>
        <v/>
      </c>
    </row>
    <row r="8577">
      <c r="D8577" t="str">
        <f>IFERROR(__xludf.DUMMYFUNCTION("""COMPUTED_VALUE"""),"Nkemdiche")</f>
        <v>Nkemdiche</v>
      </c>
      <c r="E8577" t="str">
        <f>IFERROR(__xludf.DUMMYFUNCTION("""COMPUTED_VALUE"""),"Robert")</f>
        <v>Robert</v>
      </c>
      <c r="F8577" t="str">
        <f>IFERROR(__xludf.DUMMYFUNCTION("""COMPUTED_VALUE"""),"")</f>
        <v/>
      </c>
    </row>
    <row r="8578">
      <c r="D8578" t="str">
        <f>IFERROR(__xludf.DUMMYFUNCTION("""COMPUTED_VALUE"""),"Nnadi")</f>
        <v>Nnadi</v>
      </c>
      <c r="E8578" t="str">
        <f>IFERROR(__xludf.DUMMYFUNCTION("""COMPUTED_VALUE"""),"Derrick")</f>
        <v>Derrick</v>
      </c>
      <c r="F8578" t="str">
        <f>IFERROR(__xludf.DUMMYFUNCTION("""COMPUTED_VALUE"""),"")</f>
        <v/>
      </c>
    </row>
    <row r="8579">
      <c r="D8579" t="str">
        <f>IFERROR(__xludf.DUMMYFUNCTION("""COMPUTED_VALUE"""),"Norman")</f>
        <v>Norman</v>
      </c>
      <c r="E8579" t="str">
        <f>IFERROR(__xludf.DUMMYFUNCTION("""COMPUTED_VALUE"""),"Josh")</f>
        <v>Josh</v>
      </c>
      <c r="F8579" t="str">
        <f>IFERROR(__xludf.DUMMYFUNCTION("""COMPUTED_VALUE"""),"")</f>
        <v/>
      </c>
    </row>
    <row r="8580">
      <c r="D8580" t="str">
        <f>IFERROR(__xludf.DUMMYFUNCTION("""COMPUTED_VALUE"""),"Norris")</f>
        <v>Norris</v>
      </c>
      <c r="E8580" t="str">
        <f>IFERROR(__xludf.DUMMYFUNCTION("""COMPUTED_VALUE"""),"Jared")</f>
        <v>Jared</v>
      </c>
      <c r="F8580" t="str">
        <f>IFERROR(__xludf.DUMMYFUNCTION("""COMPUTED_VALUE"""),"")</f>
        <v/>
      </c>
    </row>
    <row r="8581">
      <c r="D8581" t="str">
        <f>IFERROR(__xludf.DUMMYFUNCTION("""COMPUTED_VALUE"""),"Norton")</f>
        <v>Norton</v>
      </c>
      <c r="E8581" t="str">
        <f>IFERROR(__xludf.DUMMYFUNCTION("""COMPUTED_VALUE"""),"Kendrick")</f>
        <v>Kendrick</v>
      </c>
      <c r="F8581" t="str">
        <f>IFERROR(__xludf.DUMMYFUNCTION("""COMPUTED_VALUE"""),"")</f>
        <v/>
      </c>
    </row>
    <row r="8582">
      <c r="D8582" t="str">
        <f>IFERROR(__xludf.DUMMYFUNCTION("""COMPUTED_VALUE"""),"Norton")</f>
        <v>Norton</v>
      </c>
      <c r="E8582" t="str">
        <f>IFERROR(__xludf.DUMMYFUNCTION("""COMPUTED_VALUE"""),"Storm")</f>
        <v>Storm</v>
      </c>
      <c r="F8582" t="str">
        <f>IFERROR(__xludf.DUMMYFUNCTION("""COMPUTED_VALUE"""),"")</f>
        <v/>
      </c>
    </row>
    <row r="8583">
      <c r="D8583" t="str">
        <f>IFERROR(__xludf.DUMMYFUNCTION("""COMPUTED_VALUE"""),"Norwell")</f>
        <v>Norwell</v>
      </c>
      <c r="E8583" t="str">
        <f>IFERROR(__xludf.DUMMYFUNCTION("""COMPUTED_VALUE"""),"Andrew")</f>
        <v>Andrew</v>
      </c>
      <c r="F8583" t="str">
        <f>IFERROR(__xludf.DUMMYFUNCTION("""COMPUTED_VALUE"""),"")</f>
        <v/>
      </c>
    </row>
    <row r="8584">
      <c r="D8584" t="str">
        <f>IFERROR(__xludf.DUMMYFUNCTION("""COMPUTED_VALUE"""),"Noteboom")</f>
        <v>Noteboom</v>
      </c>
      <c r="E8584" t="str">
        <f>IFERROR(__xludf.DUMMYFUNCTION("""COMPUTED_VALUE"""),"Joseph")</f>
        <v>Joseph</v>
      </c>
      <c r="F8584" t="str">
        <f>IFERROR(__xludf.DUMMYFUNCTION("""COMPUTED_VALUE"""),"")</f>
        <v/>
      </c>
    </row>
    <row r="8585">
      <c r="D8585" t="str">
        <f>IFERROR(__xludf.DUMMYFUNCTION("""COMPUTED_VALUE"""),"Nsekhe")</f>
        <v>Nsekhe</v>
      </c>
      <c r="E8585" t="str">
        <f>IFERROR(__xludf.DUMMYFUNCTION("""COMPUTED_VALUE"""),"Ty")</f>
        <v>Ty</v>
      </c>
      <c r="F8585" t="str">
        <f>IFERROR(__xludf.DUMMYFUNCTION("""COMPUTED_VALUE"""),"")</f>
        <v/>
      </c>
    </row>
    <row r="8586">
      <c r="D8586" t="str">
        <f>IFERROR(__xludf.DUMMYFUNCTION("""COMPUTED_VALUE"""),"Nunez-Roches")</f>
        <v>Nunez-Roches</v>
      </c>
      <c r="E8586" t="str">
        <f>IFERROR(__xludf.DUMMYFUNCTION("""COMPUTED_VALUE"""),"Rakeem")</f>
        <v>Rakeem</v>
      </c>
      <c r="F8586" t="str">
        <f>IFERROR(__xludf.DUMMYFUNCTION("""COMPUTED_VALUE"""),"")</f>
        <v/>
      </c>
    </row>
    <row r="8587">
      <c r="D8587" t="str">
        <f>IFERROR(__xludf.DUMMYFUNCTION("""COMPUTED_VALUE"""),"Nwosu")</f>
        <v>Nwosu</v>
      </c>
      <c r="E8587" t="str">
        <f>IFERROR(__xludf.DUMMYFUNCTION("""COMPUTED_VALUE"""),"Uchenna")</f>
        <v>Uchenna</v>
      </c>
      <c r="F8587" t="str">
        <f>IFERROR(__xludf.DUMMYFUNCTION("""COMPUTED_VALUE"""),"")</f>
        <v/>
      </c>
    </row>
    <row r="8588">
      <c r="D8588" t="str">
        <f>IFERROR(__xludf.DUMMYFUNCTION("""COMPUTED_VALUE"""),"Nzeocha")</f>
        <v>Nzeocha</v>
      </c>
      <c r="E8588" t="str">
        <f>IFERROR(__xludf.DUMMYFUNCTION("""COMPUTED_VALUE"""),"Mark")</f>
        <v>Mark</v>
      </c>
      <c r="F8588" t="str">
        <f>IFERROR(__xludf.DUMMYFUNCTION("""COMPUTED_VALUE"""),"")</f>
        <v/>
      </c>
    </row>
    <row r="8589">
      <c r="D8589" t="str">
        <f>IFERROR(__xludf.DUMMYFUNCTION("""COMPUTED_VALUE"""),"Obada")</f>
        <v>Obada</v>
      </c>
      <c r="E8589" t="str">
        <f>IFERROR(__xludf.DUMMYFUNCTION("""COMPUTED_VALUE"""),"Efe")</f>
        <v>Efe</v>
      </c>
      <c r="F8589" t="str">
        <f>IFERROR(__xludf.DUMMYFUNCTION("""COMPUTED_VALUE"""),"")</f>
        <v/>
      </c>
    </row>
    <row r="8590">
      <c r="D8590" t="str">
        <f>IFERROR(__xludf.DUMMYFUNCTION("""COMPUTED_VALUE"""),"OConnor")</f>
        <v>OConnor</v>
      </c>
      <c r="E8590" t="str">
        <f>IFERROR(__xludf.DUMMYFUNCTION("""COMPUTED_VALUE"""),"Pat")</f>
        <v>Pat</v>
      </c>
      <c r="F8590" t="str">
        <f>IFERROR(__xludf.DUMMYFUNCTION("""COMPUTED_VALUE"""),"")</f>
        <v/>
      </c>
    </row>
    <row r="8591">
      <c r="D8591" t="str">
        <f>IFERROR(__xludf.DUMMYFUNCTION("""COMPUTED_VALUE"""),"ODaniel")</f>
        <v>ODaniel</v>
      </c>
      <c r="E8591" t="str">
        <f>IFERROR(__xludf.DUMMYFUNCTION("""COMPUTED_VALUE"""),"Dorian")</f>
        <v>Dorian</v>
      </c>
      <c r="F8591" t="str">
        <f>IFERROR(__xludf.DUMMYFUNCTION("""COMPUTED_VALUE"""),"")</f>
        <v/>
      </c>
    </row>
    <row r="8592">
      <c r="D8592" t="str">
        <f>IFERROR(__xludf.DUMMYFUNCTION("""COMPUTED_VALUE"""),"Odenigbo")</f>
        <v>Odenigbo</v>
      </c>
      <c r="E8592" t="str">
        <f>IFERROR(__xludf.DUMMYFUNCTION("""COMPUTED_VALUE"""),"Ifeadi")</f>
        <v>Ifeadi</v>
      </c>
      <c r="F8592" t="str">
        <f>IFERROR(__xludf.DUMMYFUNCTION("""COMPUTED_VALUE"""),"")</f>
        <v/>
      </c>
    </row>
    <row r="8593">
      <c r="D8593" t="str">
        <f>IFERROR(__xludf.DUMMYFUNCTION("""COMPUTED_VALUE"""),"Odhiambo")</f>
        <v>Odhiambo</v>
      </c>
      <c r="E8593" t="str">
        <f>IFERROR(__xludf.DUMMYFUNCTION("""COMPUTED_VALUE"""),"Rees")</f>
        <v>Rees</v>
      </c>
      <c r="F8593" t="str">
        <f>IFERROR(__xludf.DUMMYFUNCTION("""COMPUTED_VALUE"""),"")</f>
        <v/>
      </c>
    </row>
    <row r="8594">
      <c r="D8594" t="str">
        <f>IFERROR(__xludf.DUMMYFUNCTION("""COMPUTED_VALUE"""),"Odom")</f>
        <v>Odom</v>
      </c>
      <c r="E8594" t="str">
        <f>IFERROR(__xludf.DUMMYFUNCTION("""COMPUTED_VALUE"""),"Chris")</f>
        <v>Chris</v>
      </c>
      <c r="F8594" t="str">
        <f>IFERROR(__xludf.DUMMYFUNCTION("""COMPUTED_VALUE"""),"")</f>
        <v/>
      </c>
    </row>
    <row r="8595">
      <c r="D8595" t="str">
        <f>IFERROR(__xludf.DUMMYFUNCTION("""COMPUTED_VALUE"""),"ODonnell")</f>
        <v>ODonnell</v>
      </c>
      <c r="E8595" t="str">
        <f>IFERROR(__xludf.DUMMYFUNCTION("""COMPUTED_VALUE"""),"Pat")</f>
        <v>Pat</v>
      </c>
      <c r="F8595" t="str">
        <f>IFERROR(__xludf.DUMMYFUNCTION("""COMPUTED_VALUE"""),"")</f>
        <v/>
      </c>
    </row>
    <row r="8596">
      <c r="D8596" t="str">
        <f>IFERROR(__xludf.DUMMYFUNCTION("""COMPUTED_VALUE"""),"Odum")</f>
        <v>Odum</v>
      </c>
      <c r="E8596" t="str">
        <f>IFERROR(__xludf.DUMMYFUNCTION("""COMPUTED_VALUE"""),"George")</f>
        <v>George</v>
      </c>
      <c r="F8596" t="str">
        <f>IFERROR(__xludf.DUMMYFUNCTION("""COMPUTED_VALUE"""),"")</f>
        <v/>
      </c>
    </row>
    <row r="8597">
      <c r="D8597" t="str">
        <f>IFERROR(__xludf.DUMMYFUNCTION("""COMPUTED_VALUE"""),"Ogbah")</f>
        <v>Ogbah</v>
      </c>
      <c r="E8597" t="str">
        <f>IFERROR(__xludf.DUMMYFUNCTION("""COMPUTED_VALUE"""),"Emmanuel")</f>
        <v>Emmanuel</v>
      </c>
      <c r="F8597" t="str">
        <f>IFERROR(__xludf.DUMMYFUNCTION("""COMPUTED_VALUE"""),"")</f>
        <v/>
      </c>
    </row>
    <row r="8598">
      <c r="D8598" t="str">
        <f>IFERROR(__xludf.DUMMYFUNCTION("""COMPUTED_VALUE"""),"Ogbuehi")</f>
        <v>Ogbuehi</v>
      </c>
      <c r="E8598" t="str">
        <f>IFERROR(__xludf.DUMMYFUNCTION("""COMPUTED_VALUE"""),"Cedric")</f>
        <v>Cedric</v>
      </c>
      <c r="F8598" t="str">
        <f>IFERROR(__xludf.DUMMYFUNCTION("""COMPUTED_VALUE"""),"")</f>
        <v/>
      </c>
    </row>
    <row r="8599">
      <c r="D8599" t="str">
        <f>IFERROR(__xludf.DUMMYFUNCTION("""COMPUTED_VALUE"""),"Ogletree")</f>
        <v>Ogletree</v>
      </c>
      <c r="E8599" t="str">
        <f>IFERROR(__xludf.DUMMYFUNCTION("""COMPUTED_VALUE"""),"Alec")</f>
        <v>Alec</v>
      </c>
      <c r="F8599" t="str">
        <f>IFERROR(__xludf.DUMMYFUNCTION("""COMPUTED_VALUE"""),"")</f>
        <v/>
      </c>
    </row>
    <row r="8600">
      <c r="D8600" t="str">
        <f>IFERROR(__xludf.DUMMYFUNCTION("""COMPUTED_VALUE"""),"Ogunbowale")</f>
        <v>Ogunbowale</v>
      </c>
      <c r="E8600" t="str">
        <f>IFERROR(__xludf.DUMMYFUNCTION("""COMPUTED_VALUE"""),"Dare")</f>
        <v>Dare</v>
      </c>
      <c r="F8600" t="str">
        <f>IFERROR(__xludf.DUMMYFUNCTION("""COMPUTED_VALUE"""),"")</f>
        <v/>
      </c>
    </row>
    <row r="8601">
      <c r="D8601" t="str">
        <f>IFERROR(__xludf.DUMMYFUNCTION("""COMPUTED_VALUE"""),"Ogunjobi")</f>
        <v>Ogunjobi</v>
      </c>
      <c r="E8601" t="str">
        <f>IFERROR(__xludf.DUMMYFUNCTION("""COMPUTED_VALUE"""),"Larry")</f>
        <v>Larry</v>
      </c>
      <c r="F8601" t="str">
        <f>IFERROR(__xludf.DUMMYFUNCTION("""COMPUTED_VALUE"""),"")</f>
        <v/>
      </c>
    </row>
    <row r="8602">
      <c r="D8602" t="str">
        <f>IFERROR(__xludf.DUMMYFUNCTION("""COMPUTED_VALUE"""),"Okafor")</f>
        <v>Okafor</v>
      </c>
      <c r="E8602" t="str">
        <f>IFERROR(__xludf.DUMMYFUNCTION("""COMPUTED_VALUE"""),"Alex")</f>
        <v>Alex</v>
      </c>
      <c r="F8602" t="str">
        <f>IFERROR(__xludf.DUMMYFUNCTION("""COMPUTED_VALUE"""),"")</f>
        <v/>
      </c>
    </row>
    <row r="8603">
      <c r="D8603" t="str">
        <f>IFERROR(__xludf.DUMMYFUNCTION("""COMPUTED_VALUE"""),"Okereke")</f>
        <v>Okereke</v>
      </c>
      <c r="E8603" t="str">
        <f>IFERROR(__xludf.DUMMYFUNCTION("""COMPUTED_VALUE"""),"Bobby")</f>
        <v>Bobby</v>
      </c>
      <c r="F8603" t="str">
        <f>IFERROR(__xludf.DUMMYFUNCTION("""COMPUTED_VALUE"""),"")</f>
        <v/>
      </c>
    </row>
    <row r="8604">
      <c r="D8604" t="str">
        <f>IFERROR(__xludf.DUMMYFUNCTION("""COMPUTED_VALUE"""),"Okorafor")</f>
        <v>Okorafor</v>
      </c>
      <c r="E8604" t="str">
        <f>IFERROR(__xludf.DUMMYFUNCTION("""COMPUTED_VALUE"""),"Chukwuma")</f>
        <v>Chukwuma</v>
      </c>
      <c r="F8604" t="str">
        <f>IFERROR(__xludf.DUMMYFUNCTION("""COMPUTED_VALUE"""),"")</f>
        <v/>
      </c>
    </row>
    <row r="8605">
      <c r="D8605" t="str">
        <f>IFERROR(__xludf.DUMMYFUNCTION("""COMPUTED_VALUE"""),"Okoronkwo")</f>
        <v>Okoronkwo</v>
      </c>
      <c r="E8605" t="str">
        <f>IFERROR(__xludf.DUMMYFUNCTION("""COMPUTED_VALUE"""),"Ogbonnia")</f>
        <v>Ogbonnia</v>
      </c>
      <c r="F8605" t="str">
        <f>IFERROR(__xludf.DUMMYFUNCTION("""COMPUTED_VALUE"""),"")</f>
        <v/>
      </c>
    </row>
    <row r="8606">
      <c r="D8606" t="str">
        <f>IFERROR(__xludf.DUMMYFUNCTION("""COMPUTED_VALUE"""),"Okung")</f>
        <v>Okung</v>
      </c>
      <c r="E8606" t="str">
        <f>IFERROR(__xludf.DUMMYFUNCTION("""COMPUTED_VALUE"""),"Russell")</f>
        <v>Russell</v>
      </c>
      <c r="F8606" t="str">
        <f>IFERROR(__xludf.DUMMYFUNCTION("""COMPUTED_VALUE"""),"")</f>
        <v/>
      </c>
    </row>
    <row r="8607">
      <c r="D8607" t="str">
        <f>IFERROR(__xludf.DUMMYFUNCTION("""COMPUTED_VALUE"""),"Okwara")</f>
        <v>Okwara</v>
      </c>
      <c r="E8607" t="str">
        <f>IFERROR(__xludf.DUMMYFUNCTION("""COMPUTED_VALUE"""),"Romeo")</f>
        <v>Romeo</v>
      </c>
      <c r="F8607" t="str">
        <f>IFERROR(__xludf.DUMMYFUNCTION("""COMPUTED_VALUE"""),"")</f>
        <v/>
      </c>
    </row>
    <row r="8608">
      <c r="D8608" t="str">
        <f>IFERROR(__xludf.DUMMYFUNCTION("""COMPUTED_VALUE"""),"Ola")</f>
        <v>Ola</v>
      </c>
      <c r="E8608" t="str">
        <f>IFERROR(__xludf.DUMMYFUNCTION("""COMPUTED_VALUE"""),"Michael")</f>
        <v>Michael</v>
      </c>
      <c r="F8608" t="str">
        <f>IFERROR(__xludf.DUMMYFUNCTION("""COMPUTED_VALUE"""),"")</f>
        <v/>
      </c>
    </row>
    <row r="8609">
      <c r="D8609" t="str">
        <f>IFERROR(__xludf.DUMMYFUNCTION("""COMPUTED_VALUE"""),"Olawale")</f>
        <v>Olawale</v>
      </c>
      <c r="E8609" t="str">
        <f>IFERROR(__xludf.DUMMYFUNCTION("""COMPUTED_VALUE"""),"Jamize")</f>
        <v>Jamize</v>
      </c>
      <c r="F8609" t="str">
        <f>IFERROR(__xludf.DUMMYFUNCTION("""COMPUTED_VALUE"""),"")</f>
        <v/>
      </c>
    </row>
    <row r="8610">
      <c r="D8610" t="str">
        <f>IFERROR(__xludf.DUMMYFUNCTION("""COMPUTED_VALUE"""),"OLeary")</f>
        <v>OLeary</v>
      </c>
      <c r="E8610" t="str">
        <f>IFERROR(__xludf.DUMMYFUNCTION("""COMPUTED_VALUE"""),"Nick")</f>
        <v>Nick</v>
      </c>
      <c r="F8610" t="str">
        <f>IFERROR(__xludf.DUMMYFUNCTION("""COMPUTED_VALUE"""),"")</f>
        <v/>
      </c>
    </row>
    <row r="8611">
      <c r="D8611" t="str">
        <f>IFERROR(__xludf.DUMMYFUNCTION("""COMPUTED_VALUE"""),"Oliver")</f>
        <v>Oliver</v>
      </c>
      <c r="E8611" t="str">
        <f>IFERROR(__xludf.DUMMYFUNCTION("""COMPUTED_VALUE"""),"Ed")</f>
        <v>Ed</v>
      </c>
      <c r="F8611" t="str">
        <f>IFERROR(__xludf.DUMMYFUNCTION("""COMPUTED_VALUE"""),"")</f>
        <v/>
      </c>
    </row>
    <row r="8612">
      <c r="D8612" t="str">
        <f>IFERROR(__xludf.DUMMYFUNCTION("""COMPUTED_VALUE"""),"Oliver")</f>
        <v>Oliver</v>
      </c>
      <c r="E8612" t="str">
        <f>IFERROR(__xludf.DUMMYFUNCTION("""COMPUTED_VALUE"""),"Isaiah")</f>
        <v>Isaiah</v>
      </c>
      <c r="F8612" t="str">
        <f>IFERROR(__xludf.DUMMYFUNCTION("""COMPUTED_VALUE"""),"")</f>
        <v/>
      </c>
    </row>
    <row r="8613">
      <c r="D8613" t="str">
        <f>IFERROR(__xludf.DUMMYFUNCTION("""COMPUTED_VALUE"""),"Oliver")</f>
        <v>Oliver</v>
      </c>
      <c r="E8613" t="str">
        <f>IFERROR(__xludf.DUMMYFUNCTION("""COMPUTED_VALUE"""),"Josh")</f>
        <v>Josh</v>
      </c>
      <c r="F8613" t="str">
        <f>IFERROR(__xludf.DUMMYFUNCTION("""COMPUTED_VALUE"""),"")</f>
        <v/>
      </c>
    </row>
    <row r="8614">
      <c r="D8614" t="str">
        <f>IFERROR(__xludf.DUMMYFUNCTION("""COMPUTED_VALUE"""),"Ollison")</f>
        <v>Ollison</v>
      </c>
      <c r="E8614" t="str">
        <f>IFERROR(__xludf.DUMMYFUNCTION("""COMPUTED_VALUE"""),"Qadree")</f>
        <v>Qadree</v>
      </c>
      <c r="F8614" t="str">
        <f>IFERROR(__xludf.DUMMYFUNCTION("""COMPUTED_VALUE"""),"")</f>
        <v/>
      </c>
    </row>
    <row r="8615">
      <c r="D8615" t="str">
        <f>IFERROR(__xludf.DUMMYFUNCTION("""COMPUTED_VALUE"""),"Olsen")</f>
        <v>Olsen</v>
      </c>
      <c r="E8615" t="str">
        <f>IFERROR(__xludf.DUMMYFUNCTION("""COMPUTED_VALUE"""),"Greg")</f>
        <v>Greg</v>
      </c>
      <c r="F8615" t="str">
        <f>IFERROR(__xludf.DUMMYFUNCTION("""COMPUTED_VALUE"""),"")</f>
        <v/>
      </c>
    </row>
    <row r="8616">
      <c r="D8616" t="str">
        <f>IFERROR(__xludf.DUMMYFUNCTION("""COMPUTED_VALUE"""),"Oluokun")</f>
        <v>Oluokun</v>
      </c>
      <c r="E8616" t="str">
        <f>IFERROR(__xludf.DUMMYFUNCTION("""COMPUTED_VALUE"""),"Foyesade")</f>
        <v>Foyesade</v>
      </c>
      <c r="F8616" t="str">
        <f>IFERROR(__xludf.DUMMYFUNCTION("""COMPUTED_VALUE"""),"")</f>
        <v/>
      </c>
    </row>
    <row r="8617">
      <c r="D8617" t="str">
        <f>IFERROR(__xludf.DUMMYFUNCTION("""COMPUTED_VALUE"""),"Omenihu")</f>
        <v>Omenihu</v>
      </c>
      <c r="E8617" t="str">
        <f>IFERROR(__xludf.DUMMYFUNCTION("""COMPUTED_VALUE"""),"Charles")</f>
        <v>Charles</v>
      </c>
      <c r="F8617" t="str">
        <f>IFERROR(__xludf.DUMMYFUNCTION("""COMPUTED_VALUE"""),"")</f>
        <v/>
      </c>
    </row>
    <row r="8618">
      <c r="D8618" t="str">
        <f>IFERROR(__xludf.DUMMYFUNCTION("""COMPUTED_VALUE"""),"ONeill")</f>
        <v>ONeill</v>
      </c>
      <c r="E8618" t="str">
        <f>IFERROR(__xludf.DUMMYFUNCTION("""COMPUTED_VALUE"""),"Brian")</f>
        <v>Brian</v>
      </c>
      <c r="F8618" t="str">
        <f>IFERROR(__xludf.DUMMYFUNCTION("""COMPUTED_VALUE"""),"")</f>
        <v/>
      </c>
    </row>
    <row r="8619">
      <c r="D8619" t="str">
        <f>IFERROR(__xludf.DUMMYFUNCTION("""COMPUTED_VALUE"""),"Onwualu")</f>
        <v>Onwualu</v>
      </c>
      <c r="E8619" t="str">
        <f>IFERROR(__xludf.DUMMYFUNCTION("""COMPUTED_VALUE"""),"James")</f>
        <v>James</v>
      </c>
      <c r="F8619" t="str">
        <f>IFERROR(__xludf.DUMMYFUNCTION("""COMPUTED_VALUE"""),"")</f>
        <v/>
      </c>
    </row>
    <row r="8620">
      <c r="D8620" t="str">
        <f>IFERROR(__xludf.DUMMYFUNCTION("""COMPUTED_VALUE"""),"Onwuasor")</f>
        <v>Onwuasor</v>
      </c>
      <c r="E8620" t="str">
        <f>IFERROR(__xludf.DUMMYFUNCTION("""COMPUTED_VALUE"""),"Patrick")</f>
        <v>Patrick</v>
      </c>
      <c r="F8620" t="str">
        <f>IFERROR(__xludf.DUMMYFUNCTION("""COMPUTED_VALUE"""),"")</f>
        <v/>
      </c>
    </row>
    <row r="8621">
      <c r="D8621" t="str">
        <f>IFERROR(__xludf.DUMMYFUNCTION("""COMPUTED_VALUE"""),"Onyemata")</f>
        <v>Onyemata</v>
      </c>
      <c r="E8621" t="str">
        <f>IFERROR(__xludf.DUMMYFUNCTION("""COMPUTED_VALUE"""),"David")</f>
        <v>David</v>
      </c>
      <c r="F8621" t="str">
        <f>IFERROR(__xludf.DUMMYFUNCTION("""COMPUTED_VALUE"""),"")</f>
        <v/>
      </c>
    </row>
    <row r="8622">
      <c r="D8622" t="str">
        <f>IFERROR(__xludf.DUMMYFUNCTION("""COMPUTED_VALUE"""),"Orchard")</f>
        <v>Orchard</v>
      </c>
      <c r="E8622" t="str">
        <f>IFERROR(__xludf.DUMMYFUNCTION("""COMPUTED_VALUE"""),"Nate")</f>
        <v>Nate</v>
      </c>
      <c r="F8622" t="str">
        <f>IFERROR(__xludf.DUMMYFUNCTION("""COMPUTED_VALUE"""),"")</f>
        <v/>
      </c>
    </row>
    <row r="8623">
      <c r="D8623" t="str">
        <f>IFERROR(__xludf.DUMMYFUNCTION("""COMPUTED_VALUE"""),"Ortiz")</f>
        <v>Ortiz</v>
      </c>
      <c r="E8623" t="str">
        <f>IFERROR(__xludf.DUMMYFUNCTION("""COMPUTED_VALUE"""),"Ricky")</f>
        <v>Ricky</v>
      </c>
      <c r="F8623" t="str">
        <f>IFERROR(__xludf.DUMMYFUNCTION("""COMPUTED_VALUE"""),"")</f>
        <v/>
      </c>
    </row>
    <row r="8624">
      <c r="D8624" t="str">
        <f>IFERROR(__xludf.DUMMYFUNCTION("""COMPUTED_VALUE"""),"Oruwariye")</f>
        <v>Oruwariye</v>
      </c>
      <c r="E8624" t="str">
        <f>IFERROR(__xludf.DUMMYFUNCTION("""COMPUTED_VALUE"""),"Amani")</f>
        <v>Amani</v>
      </c>
      <c r="F8624" t="str">
        <f>IFERROR(__xludf.DUMMYFUNCTION("""COMPUTED_VALUE"""),"")</f>
        <v/>
      </c>
    </row>
    <row r="8625">
      <c r="D8625" t="str">
        <f>IFERROR(__xludf.DUMMYFUNCTION("""COMPUTED_VALUE"""),"Osemele")</f>
        <v>Osemele</v>
      </c>
      <c r="E8625" t="str">
        <f>IFERROR(__xludf.DUMMYFUNCTION("""COMPUTED_VALUE"""),"Kelechi")</f>
        <v>Kelechi</v>
      </c>
      <c r="F8625" t="str">
        <f>IFERROR(__xludf.DUMMYFUNCTION("""COMPUTED_VALUE"""),"")</f>
        <v/>
      </c>
    </row>
    <row r="8626">
      <c r="D8626" t="str">
        <f>IFERROR(__xludf.DUMMYFUNCTION("""COMPUTED_VALUE"""),"OShaughnessy")</f>
        <v>OShaughnessy</v>
      </c>
      <c r="E8626" t="str">
        <f>IFERROR(__xludf.DUMMYFUNCTION("""COMPUTED_VALUE"""),"James")</f>
        <v>James</v>
      </c>
      <c r="F8626" t="str">
        <f>IFERROR(__xludf.DUMMYFUNCTION("""COMPUTED_VALUE"""),"")</f>
        <v/>
      </c>
    </row>
    <row r="8627">
      <c r="D8627" t="str">
        <f>IFERROR(__xludf.DUMMYFUNCTION("""COMPUTED_VALUE"""),"Ostman")</f>
        <v>Ostman</v>
      </c>
      <c r="E8627" t="str">
        <f>IFERROR(__xludf.DUMMYFUNCTION("""COMPUTED_VALUE"""),"Joe")</f>
        <v>Joe</v>
      </c>
      <c r="F8627" t="str">
        <f>IFERROR(__xludf.DUMMYFUNCTION("""COMPUTED_VALUE"""),"")</f>
        <v/>
      </c>
    </row>
    <row r="8628">
      <c r="D8628" t="str">
        <f>IFERROR(__xludf.DUMMYFUNCTION("""COMPUTED_VALUE"""),"Ott")</f>
        <v>Ott</v>
      </c>
      <c r="E8628" t="str">
        <f>IFERROR(__xludf.DUMMYFUNCTION("""COMPUTED_VALUE"""),"Tyler")</f>
        <v>Tyler</v>
      </c>
      <c r="F8628" t="str">
        <f>IFERROR(__xludf.DUMMYFUNCTION("""COMPUTED_VALUE"""),"")</f>
        <v/>
      </c>
    </row>
    <row r="8629">
      <c r="D8629" t="str">
        <f>IFERROR(__xludf.DUMMYFUNCTION("""COMPUTED_VALUE"""),"Overton")</f>
        <v>Overton</v>
      </c>
      <c r="E8629" t="str">
        <f>IFERROR(__xludf.DUMMYFUNCTION("""COMPUTED_VALUE"""),"Matt")</f>
        <v>Matt</v>
      </c>
      <c r="F8629" t="str">
        <f>IFERROR(__xludf.DUMMYFUNCTION("""COMPUTED_VALUE"""),"")</f>
        <v/>
      </c>
    </row>
    <row r="8630">
      <c r="D8630" t="str">
        <f>IFERROR(__xludf.DUMMYFUNCTION("""COMPUTED_VALUE"""),"Palardy")</f>
        <v>Palardy</v>
      </c>
      <c r="E8630" t="str">
        <f>IFERROR(__xludf.DUMMYFUNCTION("""COMPUTED_VALUE"""),"Michael")</f>
        <v>Michael</v>
      </c>
      <c r="F8630" t="str">
        <f>IFERROR(__xludf.DUMMYFUNCTION("""COMPUTED_VALUE"""),"")</f>
        <v/>
      </c>
    </row>
    <row r="8631">
      <c r="D8631" t="str">
        <f>IFERROR(__xludf.DUMMYFUNCTION("""COMPUTED_VALUE"""),"Pamphile")</f>
        <v>Pamphile</v>
      </c>
      <c r="E8631" t="str">
        <f>IFERROR(__xludf.DUMMYFUNCTION("""COMPUTED_VALUE"""),"Kevin")</f>
        <v>Kevin</v>
      </c>
      <c r="F8631" t="str">
        <f>IFERROR(__xludf.DUMMYFUNCTION("""COMPUTED_VALUE"""),"")</f>
        <v/>
      </c>
    </row>
    <row r="8632">
      <c r="D8632" t="str">
        <f>IFERROR(__xludf.DUMMYFUNCTION("""COMPUTED_VALUE"""),"Paradis")</f>
        <v>Paradis</v>
      </c>
      <c r="E8632" t="str">
        <f>IFERROR(__xludf.DUMMYFUNCTION("""COMPUTED_VALUE"""),"Matt")</f>
        <v>Matt</v>
      </c>
      <c r="F8632" t="str">
        <f>IFERROR(__xludf.DUMMYFUNCTION("""COMPUTED_VALUE"""),"")</f>
        <v/>
      </c>
    </row>
    <row r="8633">
      <c r="D8633" t="str">
        <f>IFERROR(__xludf.DUMMYFUNCTION("""COMPUTED_VALUE"""),"Parker")</f>
        <v>Parker</v>
      </c>
      <c r="E8633" t="str">
        <f>IFERROR(__xludf.DUMMYFUNCTION("""COMPUTED_VALUE"""),"Brandon")</f>
        <v>Brandon</v>
      </c>
      <c r="F8633" t="str">
        <f>IFERROR(__xludf.DUMMYFUNCTION("""COMPUTED_VALUE"""),"")</f>
        <v/>
      </c>
    </row>
    <row r="8634">
      <c r="D8634" t="str">
        <f>IFERROR(__xludf.DUMMYFUNCTION("""COMPUTED_VALUE"""),"Parker")</f>
        <v>Parker</v>
      </c>
      <c r="E8634" t="str">
        <f>IFERROR(__xludf.DUMMYFUNCTION("""COMPUTED_VALUE"""),"DeVante")</f>
        <v>DeVante</v>
      </c>
      <c r="F8634" t="str">
        <f>IFERROR(__xludf.DUMMYFUNCTION("""COMPUTED_VALUE"""),"")</f>
        <v/>
      </c>
    </row>
    <row r="8635">
      <c r="D8635" t="str">
        <f>IFERROR(__xludf.DUMMYFUNCTION("""COMPUTED_VALUE"""),"Parker")</f>
        <v>Parker</v>
      </c>
      <c r="E8635" t="str">
        <f>IFERROR(__xludf.DUMMYFUNCTION("""COMPUTED_VALUE"""),"Steven")</f>
        <v>Steven</v>
      </c>
      <c r="F8635" t="str">
        <f>IFERROR(__xludf.DUMMYFUNCTION("""COMPUTED_VALUE"""),"")</f>
        <v/>
      </c>
    </row>
    <row r="8636">
      <c r="D8636" t="str">
        <f>IFERROR(__xludf.DUMMYFUNCTION("""COMPUTED_VALUE"""),"Parks")</f>
        <v>Parks</v>
      </c>
      <c r="E8636" t="str">
        <f>IFERROR(__xludf.DUMMYFUNCTION("""COMPUTED_VALUE"""),"Will")</f>
        <v>Will</v>
      </c>
      <c r="F8636" t="str">
        <f>IFERROR(__xludf.DUMMYFUNCTION("""COMPUTED_VALUE"""),"")</f>
        <v/>
      </c>
    </row>
    <row r="8637">
      <c r="D8637" t="str">
        <f>IFERROR(__xludf.DUMMYFUNCTION("""COMPUTED_VALUE"""),"Parris")</f>
        <v>Parris</v>
      </c>
      <c r="E8637" t="str">
        <f>IFERROR(__xludf.DUMMYFUNCTION("""COMPUTED_VALUE"""),"Timon")</f>
        <v>Timon</v>
      </c>
      <c r="F8637" t="str">
        <f>IFERROR(__xludf.DUMMYFUNCTION("""COMPUTED_VALUE"""),"")</f>
        <v/>
      </c>
    </row>
    <row r="8638">
      <c r="D8638" t="str">
        <f>IFERROR(__xludf.DUMMYFUNCTION("""COMPUTED_VALUE"""),"Parry")</f>
        <v>Parry</v>
      </c>
      <c r="E8638" t="str">
        <f>IFERROR(__xludf.DUMMYFUNCTION("""COMPUTED_VALUE"""),"David")</f>
        <v>David</v>
      </c>
      <c r="F8638" t="str">
        <f>IFERROR(__xludf.DUMMYFUNCTION("""COMPUTED_VALUE"""),"")</f>
        <v/>
      </c>
    </row>
    <row r="8639">
      <c r="D8639" t="str">
        <f>IFERROR(__xludf.DUMMYFUNCTION("""COMPUTED_VALUE"""),"Pascal")</f>
        <v>Pascal</v>
      </c>
      <c r="E8639" t="str">
        <f>IFERROR(__xludf.DUMMYFUNCTION("""COMPUTED_VALUE"""),"Zach")</f>
        <v>Zach</v>
      </c>
      <c r="F8639" t="str">
        <f>IFERROR(__xludf.DUMMYFUNCTION("""COMPUTED_VALUE"""),"")</f>
        <v/>
      </c>
    </row>
    <row r="8640">
      <c r="D8640" t="str">
        <f>IFERROR(__xludf.DUMMYFUNCTION("""COMPUTED_VALUE"""),"Pasztor")</f>
        <v>Pasztor</v>
      </c>
      <c r="E8640" t="str">
        <f>IFERROR(__xludf.DUMMYFUNCTION("""COMPUTED_VALUE"""),"Austin")</f>
        <v>Austin</v>
      </c>
      <c r="F8640" t="str">
        <f>IFERROR(__xludf.DUMMYFUNCTION("""COMPUTED_VALUE"""),"")</f>
        <v/>
      </c>
    </row>
    <row r="8641">
      <c r="D8641" t="str">
        <f>IFERROR(__xludf.DUMMYFUNCTION("""COMPUTED_VALUE"""),"Patrick")</f>
        <v>Patrick</v>
      </c>
      <c r="E8641" t="str">
        <f>IFERROR(__xludf.DUMMYFUNCTION("""COMPUTED_VALUE"""),"Lucas")</f>
        <v>Lucas</v>
      </c>
      <c r="F8641" t="str">
        <f>IFERROR(__xludf.DUMMYFUNCTION("""COMPUTED_VALUE"""),"")</f>
        <v/>
      </c>
    </row>
    <row r="8642">
      <c r="D8642" t="str">
        <f>IFERROR(__xludf.DUMMYFUNCTION("""COMPUTED_VALUE"""),"Patrick")</f>
        <v>Patrick</v>
      </c>
      <c r="E8642" t="str">
        <f>IFERROR(__xludf.DUMMYFUNCTION("""COMPUTED_VALUE"""),"Tim")</f>
        <v>Tim</v>
      </c>
      <c r="F8642" t="str">
        <f>IFERROR(__xludf.DUMMYFUNCTION("""COMPUTED_VALUE"""),"")</f>
        <v/>
      </c>
    </row>
    <row r="8643">
      <c r="D8643" t="str">
        <f>IFERROR(__xludf.DUMMYFUNCTION("""COMPUTED_VALUE"""),"Patterson")</f>
        <v>Patterson</v>
      </c>
      <c r="E8643" t="str">
        <f>IFERROR(__xludf.DUMMYFUNCTION("""COMPUTED_VALUE"""),"Cordarrelle")</f>
        <v>Cordarrelle</v>
      </c>
      <c r="F8643" t="str">
        <f>IFERROR(__xludf.DUMMYFUNCTION("""COMPUTED_VALUE"""),"")</f>
        <v/>
      </c>
    </row>
    <row r="8644">
      <c r="D8644" t="str">
        <f>IFERROR(__xludf.DUMMYFUNCTION("""COMPUTED_VALUE"""),"Patterson")</f>
        <v>Patterson</v>
      </c>
      <c r="E8644" t="str">
        <f>IFERROR(__xludf.DUMMYFUNCTION("""COMPUTED_VALUE"""),"Javon")</f>
        <v>Javon</v>
      </c>
      <c r="F8644" t="str">
        <f>IFERROR(__xludf.DUMMYFUNCTION("""COMPUTED_VALUE"""),"")</f>
        <v/>
      </c>
    </row>
    <row r="8645">
      <c r="D8645" t="str">
        <f>IFERROR(__xludf.DUMMYFUNCTION("""COMPUTED_VALUE"""),"Patton")</f>
        <v>Patton</v>
      </c>
      <c r="E8645" t="str">
        <f>IFERROR(__xludf.DUMMYFUNCTION("""COMPUTED_VALUE"""),"Andre")</f>
        <v>Andre</v>
      </c>
      <c r="F8645" t="str">
        <f>IFERROR(__xludf.DUMMYFUNCTION("""COMPUTED_VALUE"""),"")</f>
        <v/>
      </c>
    </row>
    <row r="8646">
      <c r="D8646" t="str">
        <f>IFERROR(__xludf.DUMMYFUNCTION("""COMPUTED_VALUE"""),"Paulsen")</f>
        <v>Paulsen</v>
      </c>
      <c r="E8646" t="str">
        <f>IFERROR(__xludf.DUMMYFUNCTION("""COMPUTED_VALUE"""),"Logan")</f>
        <v>Logan</v>
      </c>
      <c r="F8646" t="str">
        <f>IFERROR(__xludf.DUMMYFUNCTION("""COMPUTED_VALUE"""),"")</f>
        <v/>
      </c>
    </row>
    <row r="8647">
      <c r="D8647" t="str">
        <f>IFERROR(__xludf.DUMMYFUNCTION("""COMPUTED_VALUE"""),"Payne")</f>
        <v>Payne</v>
      </c>
      <c r="E8647" t="str">
        <f>IFERROR(__xludf.DUMMYFUNCTION("""COMPUTED_VALUE"""),"DaRon")</f>
        <v>DaRon</v>
      </c>
      <c r="F8647" t="str">
        <f>IFERROR(__xludf.DUMMYFUNCTION("""COMPUTED_VALUE"""),"")</f>
        <v/>
      </c>
    </row>
    <row r="8648">
      <c r="D8648" t="str">
        <f>IFERROR(__xludf.DUMMYFUNCTION("""COMPUTED_VALUE"""),"Peake")</f>
        <v>Peake</v>
      </c>
      <c r="E8648" t="str">
        <f>IFERROR(__xludf.DUMMYFUNCTION("""COMPUTED_VALUE"""),"Charone")</f>
        <v>Charone</v>
      </c>
      <c r="F8648" t="str">
        <f>IFERROR(__xludf.DUMMYFUNCTION("""COMPUTED_VALUE"""),"")</f>
        <v/>
      </c>
    </row>
    <row r="8649">
      <c r="D8649" t="str">
        <f>IFERROR(__xludf.DUMMYFUNCTION("""COMPUTED_VALUE"""),"Peat")</f>
        <v>Peat</v>
      </c>
      <c r="E8649" t="str">
        <f>IFERROR(__xludf.DUMMYFUNCTION("""COMPUTED_VALUE"""),"Andrus")</f>
        <v>Andrus</v>
      </c>
      <c r="F8649" t="str">
        <f>IFERROR(__xludf.DUMMYFUNCTION("""COMPUTED_VALUE"""),"")</f>
        <v/>
      </c>
    </row>
    <row r="8650">
      <c r="D8650" t="str">
        <f>IFERROR(__xludf.DUMMYFUNCTION("""COMPUTED_VALUE"""),"Peko")</f>
        <v>Peko</v>
      </c>
      <c r="E8650" t="str">
        <f>IFERROR(__xludf.DUMMYFUNCTION("""COMPUTED_VALUE"""),"Kyle")</f>
        <v>Kyle</v>
      </c>
      <c r="F8650" t="str">
        <f>IFERROR(__xludf.DUMMYFUNCTION("""COMPUTED_VALUE"""),"")</f>
        <v/>
      </c>
    </row>
    <row r="8651">
      <c r="D8651" t="str">
        <f>IFERROR(__xludf.DUMMYFUNCTION("""COMPUTED_VALUE"""),"Pennel")</f>
        <v>Pennel</v>
      </c>
      <c r="E8651" t="str">
        <f>IFERROR(__xludf.DUMMYFUNCTION("""COMPUTED_VALUE"""),"Mike")</f>
        <v>Mike</v>
      </c>
      <c r="F8651" t="str">
        <f>IFERROR(__xludf.DUMMYFUNCTION("""COMPUTED_VALUE"""),"")</f>
        <v/>
      </c>
    </row>
    <row r="8652">
      <c r="D8652" t="str">
        <f>IFERROR(__xludf.DUMMYFUNCTION("""COMPUTED_VALUE"""),"Penny")</f>
        <v>Penny</v>
      </c>
      <c r="E8652" t="str">
        <f>IFERROR(__xludf.DUMMYFUNCTION("""COMPUTED_VALUE"""),"Elijhaa")</f>
        <v>Elijhaa</v>
      </c>
      <c r="F8652" t="str">
        <f>IFERROR(__xludf.DUMMYFUNCTION("""COMPUTED_VALUE"""),"")</f>
        <v/>
      </c>
    </row>
    <row r="8653">
      <c r="D8653" t="str">
        <f>IFERROR(__xludf.DUMMYFUNCTION("""COMPUTED_VALUE"""),"Penny")</f>
        <v>Penny</v>
      </c>
      <c r="E8653" t="str">
        <f>IFERROR(__xludf.DUMMYFUNCTION("""COMPUTED_VALUE"""),"Rashaad")</f>
        <v>Rashaad</v>
      </c>
      <c r="F8653" t="str">
        <f>IFERROR(__xludf.DUMMYFUNCTION("""COMPUTED_VALUE"""),"")</f>
        <v/>
      </c>
    </row>
    <row r="8654">
      <c r="D8654" t="str">
        <f>IFERROR(__xludf.DUMMYFUNCTION("""COMPUTED_VALUE"""),"Peppers")</f>
        <v>Peppers</v>
      </c>
      <c r="E8654" t="str">
        <f>IFERROR(__xludf.DUMMYFUNCTION("""COMPUTED_VALUE"""),"Jabrill")</f>
        <v>Jabrill</v>
      </c>
      <c r="F8654" t="str">
        <f>IFERROR(__xludf.DUMMYFUNCTION("""COMPUTED_VALUE"""),"")</f>
        <v/>
      </c>
    </row>
    <row r="8655">
      <c r="D8655" t="str">
        <f>IFERROR(__xludf.DUMMYFUNCTION("""COMPUTED_VALUE"""),"Perine")</f>
        <v>Perine</v>
      </c>
      <c r="E8655" t="str">
        <f>IFERROR(__xludf.DUMMYFUNCTION("""COMPUTED_VALUE"""),"Samaje")</f>
        <v>Samaje</v>
      </c>
      <c r="F8655" t="str">
        <f>IFERROR(__xludf.DUMMYFUNCTION("""COMPUTED_VALUE"""),"")</f>
        <v/>
      </c>
    </row>
    <row r="8656">
      <c r="D8656" t="str">
        <f>IFERROR(__xludf.DUMMYFUNCTION("""COMPUTED_VALUE"""),"Perkins")</f>
        <v>Perkins</v>
      </c>
      <c r="E8656" t="str">
        <f>IFERROR(__xludf.DUMMYFUNCTION("""COMPUTED_VALUE"""),"Joshua")</f>
        <v>Joshua</v>
      </c>
      <c r="F8656" t="str">
        <f>IFERROR(__xludf.DUMMYFUNCTION("""COMPUTED_VALUE"""),"")</f>
        <v/>
      </c>
    </row>
    <row r="8657">
      <c r="D8657" t="str">
        <f>IFERROR(__xludf.DUMMYFUNCTION("""COMPUTED_VALUE"""),"Perkins")</f>
        <v>Perkins</v>
      </c>
      <c r="E8657" t="str">
        <f>IFERROR(__xludf.DUMMYFUNCTION("""COMPUTED_VALUE"""),"Kent")</f>
        <v>Kent</v>
      </c>
      <c r="F8657" t="str">
        <f>IFERROR(__xludf.DUMMYFUNCTION("""COMPUTED_VALUE"""),"")</f>
        <v/>
      </c>
    </row>
    <row r="8658">
      <c r="D8658" t="str">
        <f>IFERROR(__xludf.DUMMYFUNCTION("""COMPUTED_VALUE"""),"Perkins")</f>
        <v>Perkins</v>
      </c>
      <c r="E8658" t="str">
        <f>IFERROR(__xludf.DUMMYFUNCTION("""COMPUTED_VALUE"""),"Paul")</f>
        <v>Paul</v>
      </c>
      <c r="F8658" t="str">
        <f>IFERROR(__xludf.DUMMYFUNCTION("""COMPUTED_VALUE"""),"")</f>
        <v/>
      </c>
    </row>
    <row r="8659">
      <c r="D8659" t="str">
        <f>IFERROR(__xludf.DUMMYFUNCTION("""COMPUTED_VALUE"""),"Perriman")</f>
        <v>Perriman</v>
      </c>
      <c r="E8659" t="str">
        <f>IFERROR(__xludf.DUMMYFUNCTION("""COMPUTED_VALUE"""),"Breshad")</f>
        <v>Breshad</v>
      </c>
      <c r="F8659" t="str">
        <f>IFERROR(__xludf.DUMMYFUNCTION("""COMPUTED_VALUE"""),"")</f>
        <v/>
      </c>
    </row>
    <row r="8660">
      <c r="D8660" t="str">
        <f>IFERROR(__xludf.DUMMYFUNCTION("""COMPUTED_VALUE"""),"Perryman")</f>
        <v>Perryman</v>
      </c>
      <c r="E8660" t="str">
        <f>IFERROR(__xludf.DUMMYFUNCTION("""COMPUTED_VALUE"""),"Denzel")</f>
        <v>Denzel</v>
      </c>
      <c r="F8660" t="str">
        <f>IFERROR(__xludf.DUMMYFUNCTION("""COMPUTED_VALUE"""),"")</f>
        <v/>
      </c>
    </row>
    <row r="8661">
      <c r="D8661" t="str">
        <f>IFERROR(__xludf.DUMMYFUNCTION("""COMPUTED_VALUE"""),"Person")</f>
        <v>Person</v>
      </c>
      <c r="E8661" t="str">
        <f>IFERROR(__xludf.DUMMYFUNCTION("""COMPUTED_VALUE"""),"Mike")</f>
        <v>Mike</v>
      </c>
      <c r="F8661" t="str">
        <f>IFERROR(__xludf.DUMMYFUNCTION("""COMPUTED_VALUE"""),"")</f>
        <v/>
      </c>
    </row>
    <row r="8662">
      <c r="D8662" t="str">
        <f>IFERROR(__xludf.DUMMYFUNCTION("""COMPUTED_VALUE"""),"Peterman")</f>
        <v>Peterman</v>
      </c>
      <c r="E8662" t="str">
        <f>IFERROR(__xludf.DUMMYFUNCTION("""COMPUTED_VALUE"""),"Nathan")</f>
        <v>Nathan</v>
      </c>
      <c r="F8662" t="str">
        <f>IFERROR(__xludf.DUMMYFUNCTION("""COMPUTED_VALUE"""),"")</f>
        <v/>
      </c>
    </row>
    <row r="8663">
      <c r="D8663" t="str">
        <f>IFERROR(__xludf.DUMMYFUNCTION("""COMPUTED_VALUE"""),"Peters")</f>
        <v>Peters</v>
      </c>
      <c r="E8663" t="str">
        <f>IFERROR(__xludf.DUMMYFUNCTION("""COMPUTED_VALUE"""),"Corey")</f>
        <v>Corey</v>
      </c>
      <c r="F8663" t="str">
        <f>IFERROR(__xludf.DUMMYFUNCTION("""COMPUTED_VALUE"""),"")</f>
        <v/>
      </c>
    </row>
    <row r="8664">
      <c r="D8664" t="str">
        <f>IFERROR(__xludf.DUMMYFUNCTION("""COMPUTED_VALUE"""),"Peters")</f>
        <v>Peters</v>
      </c>
      <c r="E8664" t="str">
        <f>IFERROR(__xludf.DUMMYFUNCTION("""COMPUTED_VALUE"""),"Jason")</f>
        <v>Jason</v>
      </c>
      <c r="F8664" t="str">
        <f>IFERROR(__xludf.DUMMYFUNCTION("""COMPUTED_VALUE"""),"")</f>
        <v/>
      </c>
    </row>
    <row r="8665">
      <c r="D8665" t="str">
        <f>IFERROR(__xludf.DUMMYFUNCTION("""COMPUTED_VALUE"""),"Peters")</f>
        <v>Peters</v>
      </c>
      <c r="E8665" t="str">
        <f>IFERROR(__xludf.DUMMYFUNCTION("""COMPUTED_VALUE"""),"Marcus")</f>
        <v>Marcus</v>
      </c>
      <c r="F8665" t="str">
        <f>IFERROR(__xludf.DUMMYFUNCTION("""COMPUTED_VALUE"""),"")</f>
        <v/>
      </c>
    </row>
    <row r="8666">
      <c r="D8666" t="str">
        <f>IFERROR(__xludf.DUMMYFUNCTION("""COMPUTED_VALUE"""),"Peterson")</f>
        <v>Peterson</v>
      </c>
      <c r="E8666" t="str">
        <f>IFERROR(__xludf.DUMMYFUNCTION("""COMPUTED_VALUE"""),"Adrian")</f>
        <v>Adrian</v>
      </c>
      <c r="F8666" t="str">
        <f>IFERROR(__xludf.DUMMYFUNCTION("""COMPUTED_VALUE"""),"")</f>
        <v/>
      </c>
    </row>
    <row r="8667">
      <c r="D8667" t="str">
        <f>IFERROR(__xludf.DUMMYFUNCTION("""COMPUTED_VALUE"""),"Peterson")</f>
        <v>Peterson</v>
      </c>
      <c r="E8667" t="str">
        <f>IFERROR(__xludf.DUMMYFUNCTION("""COMPUTED_VALUE"""),"Kevin")</f>
        <v>Kevin</v>
      </c>
      <c r="F8667" t="str">
        <f>IFERROR(__xludf.DUMMYFUNCTION("""COMPUTED_VALUE"""),"")</f>
        <v/>
      </c>
    </row>
    <row r="8668">
      <c r="D8668" t="str">
        <f>IFERROR(__xludf.DUMMYFUNCTION("""COMPUTED_VALUE"""),"Peterson")</f>
        <v>Peterson</v>
      </c>
      <c r="E8668" t="str">
        <f>IFERROR(__xludf.DUMMYFUNCTION("""COMPUTED_VALUE"""),"Patrick")</f>
        <v>Patrick</v>
      </c>
      <c r="F8668" t="str">
        <f>IFERROR(__xludf.DUMMYFUNCTION("""COMPUTED_VALUE"""),"")</f>
        <v/>
      </c>
    </row>
    <row r="8669">
      <c r="D8669" t="str">
        <f>IFERROR(__xludf.DUMMYFUNCTION("""COMPUTED_VALUE"""),"Pettis")</f>
        <v>Pettis</v>
      </c>
      <c r="E8669" t="str">
        <f>IFERROR(__xludf.DUMMYFUNCTION("""COMPUTED_VALUE"""),"Dante")</f>
        <v>Dante</v>
      </c>
      <c r="F8669" t="str">
        <f>IFERROR(__xludf.DUMMYFUNCTION("""COMPUTED_VALUE"""),"")</f>
        <v/>
      </c>
    </row>
    <row r="8670">
      <c r="D8670" t="str">
        <f>IFERROR(__xludf.DUMMYFUNCTION("""COMPUTED_VALUE"""),"Phillips")</f>
        <v>Phillips</v>
      </c>
      <c r="E8670" t="str">
        <f>IFERROR(__xludf.DUMMYFUNCTION("""COMPUTED_VALUE"""),"Adrian")</f>
        <v>Adrian</v>
      </c>
      <c r="F8670" t="str">
        <f>IFERROR(__xludf.DUMMYFUNCTION("""COMPUTED_VALUE"""),"")</f>
        <v/>
      </c>
    </row>
    <row r="8671">
      <c r="D8671" t="str">
        <f>IFERROR(__xludf.DUMMYFUNCTION("""COMPUTED_VALUE"""),"Phillips")</f>
        <v>Phillips</v>
      </c>
      <c r="E8671" t="str">
        <f>IFERROR(__xludf.DUMMYFUNCTION("""COMPUTED_VALUE"""),"Cam")</f>
        <v>Cam</v>
      </c>
      <c r="F8671" t="str">
        <f>IFERROR(__xludf.DUMMYFUNCTION("""COMPUTED_VALUE"""),"")</f>
        <v/>
      </c>
    </row>
    <row r="8672">
      <c r="D8672" t="str">
        <f>IFERROR(__xludf.DUMMYFUNCTION("""COMPUTED_VALUE"""),"Phillips")</f>
        <v>Phillips</v>
      </c>
      <c r="E8672" t="str">
        <f>IFERROR(__xludf.DUMMYFUNCTION("""COMPUTED_VALUE"""),"Carroll")</f>
        <v>Carroll</v>
      </c>
      <c r="F8672" t="str">
        <f>IFERROR(__xludf.DUMMYFUNCTION("""COMPUTED_VALUE"""),"")</f>
        <v/>
      </c>
    </row>
    <row r="8673">
      <c r="D8673" t="str">
        <f>IFERROR(__xludf.DUMMYFUNCTION("""COMPUTED_VALUE"""),"Phillips")</f>
        <v>Phillips</v>
      </c>
      <c r="E8673" t="str">
        <f>IFERROR(__xludf.DUMMYFUNCTION("""COMPUTED_VALUE"""),"Darius")</f>
        <v>Darius</v>
      </c>
      <c r="F8673" t="str">
        <f>IFERROR(__xludf.DUMMYFUNCTION("""COMPUTED_VALUE"""),"")</f>
        <v/>
      </c>
    </row>
    <row r="8674">
      <c r="D8674" t="str">
        <f>IFERROR(__xludf.DUMMYFUNCTION("""COMPUTED_VALUE"""),"Phillips")</f>
        <v>Phillips</v>
      </c>
      <c r="E8674" t="str">
        <f>IFERROR(__xludf.DUMMYFUNCTION("""COMPUTED_VALUE"""),"Harrison")</f>
        <v>Harrison</v>
      </c>
      <c r="F8674" t="str">
        <f>IFERROR(__xludf.DUMMYFUNCTION("""COMPUTED_VALUE"""),"")</f>
        <v/>
      </c>
    </row>
    <row r="8675">
      <c r="D8675" t="str">
        <f>IFERROR(__xludf.DUMMYFUNCTION("""COMPUTED_VALUE"""),"Phillips")</f>
        <v>Phillips</v>
      </c>
      <c r="E8675" t="str">
        <f>IFERROR(__xludf.DUMMYFUNCTION("""COMPUTED_VALUE"""),"Jordan")</f>
        <v>Jordan</v>
      </c>
      <c r="F8675" t="str">
        <f>IFERROR(__xludf.DUMMYFUNCTION("""COMPUTED_VALUE"""),"")</f>
        <v/>
      </c>
    </row>
    <row r="8676">
      <c r="D8676" t="str">
        <f>IFERROR(__xludf.DUMMYFUNCTION("""COMPUTED_VALUE"""),"Philon")</f>
        <v>Philon</v>
      </c>
      <c r="E8676" t="str">
        <f>IFERROR(__xludf.DUMMYFUNCTION("""COMPUTED_VALUE"""),"Darius")</f>
        <v>Darius</v>
      </c>
      <c r="F8676" t="str">
        <f>IFERROR(__xludf.DUMMYFUNCTION("""COMPUTED_VALUE"""),"")</f>
        <v/>
      </c>
    </row>
    <row r="8677">
      <c r="D8677" t="str">
        <f>IFERROR(__xludf.DUMMYFUNCTION("""COMPUTED_VALUE"""),"Pierce")</f>
        <v>Pierce</v>
      </c>
      <c r="E8677" t="str">
        <f>IFERROR(__xludf.DUMMYFUNCTION("""COMPUTED_VALUE"""),"Michael")</f>
        <v>Michael</v>
      </c>
      <c r="F8677" t="str">
        <f>IFERROR(__xludf.DUMMYFUNCTION("""COMPUTED_VALUE"""),"")</f>
        <v/>
      </c>
    </row>
    <row r="8678">
      <c r="D8678" t="str">
        <f>IFERROR(__xludf.DUMMYFUNCTION("""COMPUTED_VALUE"""),"Pierre")</f>
        <v>Pierre</v>
      </c>
      <c r="E8678" t="str">
        <f>IFERROR(__xludf.DUMMYFUNCTION("""COMPUTED_VALUE"""),"Olsen")</f>
        <v>Olsen</v>
      </c>
      <c r="F8678" t="str">
        <f>IFERROR(__xludf.DUMMYFUNCTION("""COMPUTED_VALUE"""),"")</f>
        <v/>
      </c>
    </row>
    <row r="8679">
      <c r="D8679" t="str">
        <f>IFERROR(__xludf.DUMMYFUNCTION("""COMPUTED_VALUE"""),"Pierre-Louis")</f>
        <v>Pierre-Louis</v>
      </c>
      <c r="E8679" t="str">
        <f>IFERROR(__xludf.DUMMYFUNCTION("""COMPUTED_VALUE"""),"Kevin")</f>
        <v>Kevin</v>
      </c>
      <c r="F8679" t="str">
        <f>IFERROR(__xludf.DUMMYFUNCTION("""COMPUTED_VALUE"""),"")</f>
        <v/>
      </c>
    </row>
    <row r="8680">
      <c r="D8680" t="str">
        <f>IFERROR(__xludf.DUMMYFUNCTION("""COMPUTED_VALUE"""),"Pierre-Paul")</f>
        <v>Pierre-Paul</v>
      </c>
      <c r="E8680" t="str">
        <f>IFERROR(__xludf.DUMMYFUNCTION("""COMPUTED_VALUE"""),"Jason")</f>
        <v>Jason</v>
      </c>
      <c r="F8680" t="str">
        <f>IFERROR(__xludf.DUMMYFUNCTION("""COMPUTED_VALUE"""),"")</f>
        <v/>
      </c>
    </row>
    <row r="8681">
      <c r="D8681" t="str">
        <f>IFERROR(__xludf.DUMMYFUNCTION("""COMPUTED_VALUE"""),"Pierschbacher")</f>
        <v>Pierschbacher</v>
      </c>
      <c r="E8681" t="str">
        <f>IFERROR(__xludf.DUMMYFUNCTION("""COMPUTED_VALUE"""),"Ross")</f>
        <v>Ross</v>
      </c>
      <c r="F8681" t="str">
        <f>IFERROR(__xludf.DUMMYFUNCTION("""COMPUTED_VALUE"""),"")</f>
        <v/>
      </c>
    </row>
    <row r="8682">
      <c r="D8682" t="str">
        <f>IFERROR(__xludf.DUMMYFUNCTION("""COMPUTED_VALUE"""),"Pineiro")</f>
        <v>Pineiro</v>
      </c>
      <c r="E8682" t="str">
        <f>IFERROR(__xludf.DUMMYFUNCTION("""COMPUTED_VALUE"""),"Eddy")</f>
        <v>Eddy</v>
      </c>
      <c r="F8682" t="str">
        <f>IFERROR(__xludf.DUMMYFUNCTION("""COMPUTED_VALUE"""),"")</f>
        <v/>
      </c>
    </row>
    <row r="8683">
      <c r="D8683" t="str">
        <f>IFERROR(__xludf.DUMMYFUNCTION("""COMPUTED_VALUE"""),"Pinion")</f>
        <v>Pinion</v>
      </c>
      <c r="E8683" t="str">
        <f>IFERROR(__xludf.DUMMYFUNCTION("""COMPUTED_VALUE"""),"Bradley")</f>
        <v>Bradley</v>
      </c>
      <c r="F8683" t="str">
        <f>IFERROR(__xludf.DUMMYFUNCTION("""COMPUTED_VALUE"""),"")</f>
        <v/>
      </c>
    </row>
    <row r="8684">
      <c r="D8684" t="str">
        <f>IFERROR(__xludf.DUMMYFUNCTION("""COMPUTED_VALUE"""),"Pipkins")</f>
        <v>Pipkins</v>
      </c>
      <c r="E8684" t="str">
        <f>IFERROR(__xludf.DUMMYFUNCTION("""COMPUTED_VALUE"""),"Lenzy")</f>
        <v>Lenzy</v>
      </c>
      <c r="F8684" t="str">
        <f>IFERROR(__xludf.DUMMYFUNCTION("""COMPUTED_VALUE"""),"")</f>
        <v/>
      </c>
    </row>
    <row r="8685">
      <c r="D8685" t="str">
        <f>IFERROR(__xludf.DUMMYFUNCTION("""COMPUTED_VALUE"""),"Pipkins")</f>
        <v>Pipkins</v>
      </c>
      <c r="E8685" t="str">
        <f>IFERROR(__xludf.DUMMYFUNCTION("""COMPUTED_VALUE"""),"Trey")</f>
        <v>Trey</v>
      </c>
      <c r="F8685" t="str">
        <f>IFERROR(__xludf.DUMMYFUNCTION("""COMPUTED_VALUE"""),"")</f>
        <v/>
      </c>
    </row>
    <row r="8686">
      <c r="D8686" t="str">
        <f>IFERROR(__xludf.DUMMYFUNCTION("""COMPUTED_VALUE"""),"Pittman")</f>
        <v>Pittman</v>
      </c>
      <c r="E8686" t="str">
        <f>IFERROR(__xludf.DUMMYFUNCTION("""COMPUTED_VALUE"""),"Jamiyus")</f>
        <v>Jamiyus</v>
      </c>
      <c r="F8686" t="str">
        <f>IFERROR(__xludf.DUMMYFUNCTION("""COMPUTED_VALUE"""),"")</f>
        <v/>
      </c>
    </row>
    <row r="8687">
      <c r="D8687" t="str">
        <f>IFERROR(__xludf.DUMMYFUNCTION("""COMPUTED_VALUE"""),"Pocic")</f>
        <v>Pocic</v>
      </c>
      <c r="E8687" t="str">
        <f>IFERROR(__xludf.DUMMYFUNCTION("""COMPUTED_VALUE"""),"Ethan")</f>
        <v>Ethan</v>
      </c>
      <c r="F8687" t="str">
        <f>IFERROR(__xludf.DUMMYFUNCTION("""COMPUTED_VALUE"""),"")</f>
        <v/>
      </c>
    </row>
    <row r="8688">
      <c r="D8688" t="str">
        <f>IFERROR(__xludf.DUMMYFUNCTION("""COMPUTED_VALUE"""),"Poe")</f>
        <v>Poe</v>
      </c>
      <c r="E8688" t="str">
        <f>IFERROR(__xludf.DUMMYFUNCTION("""COMPUTED_VALUE"""),"Dontari")</f>
        <v>Dontari</v>
      </c>
      <c r="F8688" t="str">
        <f>IFERROR(__xludf.DUMMYFUNCTION("""COMPUTED_VALUE"""),"")</f>
        <v/>
      </c>
    </row>
    <row r="8689">
      <c r="D8689" t="str">
        <f>IFERROR(__xludf.DUMMYFUNCTION("""COMPUTED_VALUE"""),"Poling")</f>
        <v>Poling</v>
      </c>
      <c r="E8689" t="str">
        <f>IFERROR(__xludf.DUMMYFUNCTION("""COMPUTED_VALUE"""),"Quentin")</f>
        <v>Quentin</v>
      </c>
      <c r="F8689" t="str">
        <f>IFERROR(__xludf.DUMMYFUNCTION("""COMPUTED_VALUE"""),"")</f>
        <v/>
      </c>
    </row>
    <row r="8690">
      <c r="D8690" t="str">
        <f>IFERROR(__xludf.DUMMYFUNCTION("""COMPUTED_VALUE"""),"Polite")</f>
        <v>Polite</v>
      </c>
      <c r="E8690" t="str">
        <f>IFERROR(__xludf.DUMMYFUNCTION("""COMPUTED_VALUE"""),"Jachai")</f>
        <v>Jachai</v>
      </c>
      <c r="F8690" t="str">
        <f>IFERROR(__xludf.DUMMYFUNCTION("""COMPUTED_VALUE"""),"")</f>
        <v/>
      </c>
    </row>
    <row r="8691">
      <c r="D8691" t="str">
        <f>IFERROR(__xludf.DUMMYFUNCTION("""COMPUTED_VALUE"""),"Pollard")</f>
        <v>Pollard</v>
      </c>
      <c r="E8691" t="str">
        <f>IFERROR(__xludf.DUMMYFUNCTION("""COMPUTED_VALUE"""),"Tony")</f>
        <v>Tony</v>
      </c>
      <c r="F8691" t="str">
        <f>IFERROR(__xludf.DUMMYFUNCTION("""COMPUTED_VALUE"""),"")</f>
        <v/>
      </c>
    </row>
    <row r="8692">
      <c r="D8692" t="str">
        <f>IFERROR(__xludf.DUMMYFUNCTION("""COMPUTED_VALUE"""),"Poole")</f>
        <v>Poole</v>
      </c>
      <c r="E8692" t="str">
        <f>IFERROR(__xludf.DUMMYFUNCTION("""COMPUTED_VALUE"""),"Brian")</f>
        <v>Brian</v>
      </c>
      <c r="F8692" t="str">
        <f>IFERROR(__xludf.DUMMYFUNCTION("""COMPUTED_VALUE"""),"")</f>
        <v/>
      </c>
    </row>
    <row r="8693">
      <c r="D8693" t="str">
        <f>IFERROR(__xludf.DUMMYFUNCTION("""COMPUTED_VALUE"""),"Pope")</f>
        <v>Pope</v>
      </c>
      <c r="E8693" t="str">
        <f>IFERROR(__xludf.DUMMYFUNCTION("""COMPUTED_VALUE"""),"Ryan")</f>
        <v>Ryan</v>
      </c>
      <c r="F8693" t="str">
        <f>IFERROR(__xludf.DUMMYFUNCTION("""COMPUTED_VALUE"""),"")</f>
        <v/>
      </c>
    </row>
    <row r="8694">
      <c r="D8694" t="str">
        <f>IFERROR(__xludf.DUMMYFUNCTION("""COMPUTED_VALUE"""),"Pope")</f>
        <v>Pope</v>
      </c>
      <c r="E8694" t="str">
        <f>IFERROR(__xludf.DUMMYFUNCTION("""COMPUTED_VALUE"""),"Troymaine")</f>
        <v>Troymaine</v>
      </c>
      <c r="F8694" t="str">
        <f>IFERROR(__xludf.DUMMYFUNCTION("""COMPUTED_VALUE"""),"")</f>
        <v/>
      </c>
    </row>
    <row r="8695">
      <c r="D8695" t="str">
        <f>IFERROR(__xludf.DUMMYFUNCTION("""COMPUTED_VALUE"""),"Pouncey")</f>
        <v>Pouncey</v>
      </c>
      <c r="E8695" t="str">
        <f>IFERROR(__xludf.DUMMYFUNCTION("""COMPUTED_VALUE"""),"Maurkice")</f>
        <v>Maurkice</v>
      </c>
      <c r="F8695" t="str">
        <f>IFERROR(__xludf.DUMMYFUNCTION("""COMPUTED_VALUE"""),"")</f>
        <v/>
      </c>
    </row>
    <row r="8696">
      <c r="D8696" t="str">
        <f>IFERROR(__xludf.DUMMYFUNCTION("""COMPUTED_VALUE"""),"Pouncey")</f>
        <v>Pouncey</v>
      </c>
      <c r="E8696" t="str">
        <f>IFERROR(__xludf.DUMMYFUNCTION("""COMPUTED_VALUE"""),"Mike")</f>
        <v>Mike</v>
      </c>
      <c r="F8696" t="str">
        <f>IFERROR(__xludf.DUMMYFUNCTION("""COMPUTED_VALUE"""),"")</f>
        <v/>
      </c>
    </row>
    <row r="8697">
      <c r="D8697" t="str">
        <f>IFERROR(__xludf.DUMMYFUNCTION("""COMPUTED_VALUE"""),"Powell")</f>
        <v>Powell</v>
      </c>
      <c r="E8697" t="str">
        <f>IFERROR(__xludf.DUMMYFUNCTION("""COMPUTED_VALUE"""),"Brandon")</f>
        <v>Brandon</v>
      </c>
      <c r="F8697" t="str">
        <f>IFERROR(__xludf.DUMMYFUNCTION("""COMPUTED_VALUE"""),"")</f>
        <v/>
      </c>
    </row>
    <row r="8698">
      <c r="D8698" t="str">
        <f>IFERROR(__xludf.DUMMYFUNCTION("""COMPUTED_VALUE"""),"Powers")</f>
        <v>Powers</v>
      </c>
      <c r="E8698" t="str">
        <f>IFERROR(__xludf.DUMMYFUNCTION("""COMPUTED_VALUE"""),"Ben")</f>
        <v>Ben</v>
      </c>
      <c r="F8698" t="str">
        <f>IFERROR(__xludf.DUMMYFUNCTION("""COMPUTED_VALUE"""),"")</f>
        <v/>
      </c>
    </row>
    <row r="8699">
      <c r="D8699" t="str">
        <f>IFERROR(__xludf.DUMMYFUNCTION("""COMPUTED_VALUE"""),"Poyer")</f>
        <v>Poyer</v>
      </c>
      <c r="E8699" t="str">
        <f>IFERROR(__xludf.DUMMYFUNCTION("""COMPUTED_VALUE"""),"Jordan")</f>
        <v>Jordan</v>
      </c>
      <c r="F8699" t="str">
        <f>IFERROR(__xludf.DUMMYFUNCTION("""COMPUTED_VALUE"""),"")</f>
        <v/>
      </c>
    </row>
    <row r="8700">
      <c r="D8700" t="str">
        <f>IFERROR(__xludf.DUMMYFUNCTION("""COMPUTED_VALUE"""),"Prater")</f>
        <v>Prater</v>
      </c>
      <c r="E8700" t="str">
        <f>IFERROR(__xludf.DUMMYFUNCTION("""COMPUTED_VALUE"""),"Matt")</f>
        <v>Matt</v>
      </c>
      <c r="F8700" t="str">
        <f>IFERROR(__xludf.DUMMYFUNCTION("""COMPUTED_VALUE"""),"")</f>
        <v/>
      </c>
    </row>
    <row r="8701">
      <c r="D8701" t="str">
        <f>IFERROR(__xludf.DUMMYFUNCTION("""COMPUTED_VALUE"""),"Pratt")</f>
        <v>Pratt</v>
      </c>
      <c r="E8701" t="str">
        <f>IFERROR(__xludf.DUMMYFUNCTION("""COMPUTED_VALUE"""),"Germaine")</f>
        <v>Germaine</v>
      </c>
      <c r="F8701" t="str">
        <f>IFERROR(__xludf.DUMMYFUNCTION("""COMPUTED_VALUE"""),"")</f>
        <v/>
      </c>
    </row>
    <row r="8702">
      <c r="D8702" t="str">
        <f>IFERROR(__xludf.DUMMYFUNCTION("""COMPUTED_VALUE"""),"Prescott")</f>
        <v>Prescott</v>
      </c>
      <c r="E8702" t="str">
        <f>IFERROR(__xludf.DUMMYFUNCTION("""COMPUTED_VALUE"""),"Dak")</f>
        <v>Dak</v>
      </c>
      <c r="F8702" t="str">
        <f>IFERROR(__xludf.DUMMYFUNCTION("""COMPUTED_VALUE"""),"")</f>
        <v/>
      </c>
    </row>
    <row r="8703">
      <c r="D8703" t="str">
        <f>IFERROR(__xludf.DUMMYFUNCTION("""COMPUTED_VALUE"""),"President")</f>
        <v>President</v>
      </c>
      <c r="E8703" t="str">
        <f>IFERROR(__xludf.DUMMYFUNCTION("""COMPUTED_VALUE"""),"Gimel")</f>
        <v>Gimel</v>
      </c>
      <c r="F8703" t="str">
        <f>IFERROR(__xludf.DUMMYFUNCTION("""COMPUTED_VALUE"""),"")</f>
        <v/>
      </c>
    </row>
    <row r="8704">
      <c r="D8704" t="str">
        <f>IFERROR(__xludf.DUMMYFUNCTION("""COMPUTED_VALUE"""),"Price")</f>
        <v>Price</v>
      </c>
      <c r="E8704" t="str">
        <f>IFERROR(__xludf.DUMMYFUNCTION("""COMPUTED_VALUE"""),"Billy")</f>
        <v>Billy</v>
      </c>
      <c r="F8704" t="str">
        <f>IFERROR(__xludf.DUMMYFUNCTION("""COMPUTED_VALUE"""),"")</f>
        <v/>
      </c>
    </row>
    <row r="8705">
      <c r="D8705" t="str">
        <f>IFERROR(__xludf.DUMMYFUNCTION("""COMPUTED_VALUE"""),"Price")</f>
        <v>Price</v>
      </c>
      <c r="E8705" t="str">
        <f>IFERROR(__xludf.DUMMYFUNCTION("""COMPUTED_VALUE"""),"Brian")</f>
        <v>Brian</v>
      </c>
      <c r="F8705" t="str">
        <f>IFERROR(__xludf.DUMMYFUNCTION("""COMPUTED_VALUE"""),"")</f>
        <v/>
      </c>
    </row>
    <row r="8706">
      <c r="D8706" t="str">
        <f>IFERROR(__xludf.DUMMYFUNCTION("""COMPUTED_VALUE"""),"Prince")</f>
        <v>Prince</v>
      </c>
      <c r="E8706" t="str">
        <f>IFERROR(__xludf.DUMMYFUNCTION("""COMPUTED_VALUE"""),"Isaiah")</f>
        <v>Isaiah</v>
      </c>
      <c r="F8706" t="str">
        <f>IFERROR(__xludf.DUMMYFUNCTION("""COMPUTED_VALUE"""),"")</f>
        <v/>
      </c>
    </row>
    <row r="8707">
      <c r="D8707" t="str">
        <f>IFERROR(__xludf.DUMMYFUNCTION("""COMPUTED_VALUE"""),"Prince")</f>
        <v>Prince</v>
      </c>
      <c r="E8707" t="str">
        <f>IFERROR(__xludf.DUMMYFUNCTION("""COMPUTED_VALUE"""),"RJ")</f>
        <v>RJ</v>
      </c>
      <c r="F8707" t="str">
        <f>IFERROR(__xludf.DUMMYFUNCTION("""COMPUTED_VALUE"""),"")</f>
        <v/>
      </c>
    </row>
    <row r="8708">
      <c r="D8708" t="str">
        <f>IFERROR(__xludf.DUMMYFUNCTION("""COMPUTED_VALUE"""),"Pringle")</f>
        <v>Pringle</v>
      </c>
      <c r="E8708" t="str">
        <f>IFERROR(__xludf.DUMMYFUNCTION("""COMPUTED_VALUE"""),"Byron")</f>
        <v>Byron</v>
      </c>
      <c r="F8708" t="str">
        <f>IFERROR(__xludf.DUMMYFUNCTION("""COMPUTED_VALUE"""),"")</f>
        <v/>
      </c>
    </row>
    <row r="8709">
      <c r="D8709" t="str">
        <f>IFERROR(__xludf.DUMMYFUNCTION("""COMPUTED_VALUE"""),"Proehl")</f>
        <v>Proehl</v>
      </c>
      <c r="E8709" t="str">
        <f>IFERROR(__xludf.DUMMYFUNCTION("""COMPUTED_VALUE"""),"Austin")</f>
        <v>Austin</v>
      </c>
      <c r="F8709" t="str">
        <f>IFERROR(__xludf.DUMMYFUNCTION("""COMPUTED_VALUE"""),"")</f>
        <v/>
      </c>
    </row>
    <row r="8710">
      <c r="D8710" t="str">
        <f>IFERROR(__xludf.DUMMYFUNCTION("""COMPUTED_VALUE"""),"Prosise")</f>
        <v>Prosise</v>
      </c>
      <c r="E8710" t="str">
        <f>IFERROR(__xludf.DUMMYFUNCTION("""COMPUTED_VALUE"""),"CJ")</f>
        <v>CJ</v>
      </c>
      <c r="F8710" t="str">
        <f>IFERROR(__xludf.DUMMYFUNCTION("""COMPUTED_VALUE"""),"")</f>
        <v/>
      </c>
    </row>
    <row r="8711">
      <c r="D8711" t="str">
        <f>IFERROR(__xludf.DUMMYFUNCTION("""COMPUTED_VALUE"""),"Pruitt")</f>
        <v>Pruitt</v>
      </c>
      <c r="E8711" t="str">
        <f>IFERROR(__xludf.DUMMYFUNCTION("""COMPUTED_VALUE"""),"MyCole")</f>
        <v>MyCole</v>
      </c>
      <c r="F8711" t="str">
        <f>IFERROR(__xludf.DUMMYFUNCTION("""COMPUTED_VALUE"""),"")</f>
        <v/>
      </c>
    </row>
    <row r="8712">
      <c r="D8712" t="str">
        <f>IFERROR(__xludf.DUMMYFUNCTION("""COMPUTED_VALUE"""),"Pryor")</f>
        <v>Pryor</v>
      </c>
      <c r="E8712" t="str">
        <f>IFERROR(__xludf.DUMMYFUNCTION("""COMPUTED_VALUE"""),"Matt")</f>
        <v>Matt</v>
      </c>
      <c r="F8712" t="str">
        <f>IFERROR(__xludf.DUMMYFUNCTION("""COMPUTED_VALUE"""),"")</f>
        <v/>
      </c>
    </row>
    <row r="8713">
      <c r="D8713" t="str">
        <f>IFERROR(__xludf.DUMMYFUNCTION("""COMPUTED_VALUE"""),"Pryor")</f>
        <v>Pryor</v>
      </c>
      <c r="E8713" t="str">
        <f>IFERROR(__xludf.DUMMYFUNCTION("""COMPUTED_VALUE"""),"Terrelle")</f>
        <v>Terrelle</v>
      </c>
      <c r="F8713" t="str">
        <f>IFERROR(__xludf.DUMMYFUNCTION("""COMPUTED_VALUE"""),"")</f>
        <v/>
      </c>
    </row>
    <row r="8714">
      <c r="D8714" t="str">
        <f>IFERROR(__xludf.DUMMYFUNCTION("""COMPUTED_VALUE"""),"Pugh")</f>
        <v>Pugh</v>
      </c>
      <c r="E8714" t="str">
        <f>IFERROR(__xludf.DUMMYFUNCTION("""COMPUTED_VALUE"""),"Justin")</f>
        <v>Justin</v>
      </c>
      <c r="F8714" t="str">
        <f>IFERROR(__xludf.DUMMYFUNCTION("""COMPUTED_VALUE"""),"")</f>
        <v/>
      </c>
    </row>
    <row r="8715">
      <c r="D8715" t="str">
        <f>IFERROR(__xludf.DUMMYFUNCTION("""COMPUTED_VALUE"""),"Pulley")</f>
        <v>Pulley</v>
      </c>
      <c r="E8715" t="str">
        <f>IFERROR(__xludf.DUMMYFUNCTION("""COMPUTED_VALUE"""),"Spencer")</f>
        <v>Spencer</v>
      </c>
      <c r="F8715" t="str">
        <f>IFERROR(__xludf.DUMMYFUNCTION("""COMPUTED_VALUE"""),"")</f>
        <v/>
      </c>
    </row>
    <row r="8716">
      <c r="D8716" t="str">
        <f>IFERROR(__xludf.DUMMYFUNCTION("""COMPUTED_VALUE"""),"Pumphrey")</f>
        <v>Pumphrey</v>
      </c>
      <c r="E8716" t="str">
        <f>IFERROR(__xludf.DUMMYFUNCTION("""COMPUTED_VALUE"""),"Donnel")</f>
        <v>Donnel</v>
      </c>
      <c r="F8716" t="str">
        <f>IFERROR(__xludf.DUMMYFUNCTION("""COMPUTED_VALUE"""),"")</f>
        <v/>
      </c>
    </row>
    <row r="8717">
      <c r="D8717" t="str">
        <f>IFERROR(__xludf.DUMMYFUNCTION("""COMPUTED_VALUE"""),"Qualls")</f>
        <v>Qualls</v>
      </c>
      <c r="E8717" t="str">
        <f>IFERROR(__xludf.DUMMYFUNCTION("""COMPUTED_VALUE"""),"Elijah")</f>
        <v>Elijah</v>
      </c>
      <c r="F8717" t="str">
        <f>IFERROR(__xludf.DUMMYFUNCTION("""COMPUTED_VALUE"""),"")</f>
        <v/>
      </c>
    </row>
    <row r="8718">
      <c r="D8718" t="str">
        <f>IFERROR(__xludf.DUMMYFUNCTION("""COMPUTED_VALUE"""),"Queiro")</f>
        <v>Queiro</v>
      </c>
      <c r="E8718" t="str">
        <f>IFERROR(__xludf.DUMMYFUNCTION("""COMPUTED_VALUE"""),"Kyle")</f>
        <v>Kyle</v>
      </c>
      <c r="F8718" t="str">
        <f>IFERROR(__xludf.DUMMYFUNCTION("""COMPUTED_VALUE"""),"")</f>
        <v/>
      </c>
    </row>
    <row r="8719">
      <c r="D8719" t="str">
        <f>IFERROR(__xludf.DUMMYFUNCTION("""COMPUTED_VALUE"""),"Quessenberry")</f>
        <v>Quessenberry</v>
      </c>
      <c r="E8719" t="str">
        <f>IFERROR(__xludf.DUMMYFUNCTION("""COMPUTED_VALUE"""),"David")</f>
        <v>David</v>
      </c>
      <c r="F8719" t="str">
        <f>IFERROR(__xludf.DUMMYFUNCTION("""COMPUTED_VALUE"""),"")</f>
        <v/>
      </c>
    </row>
    <row r="8720">
      <c r="D8720" t="str">
        <f>IFERROR(__xludf.DUMMYFUNCTION("""COMPUTED_VALUE"""),"Quessenberry")</f>
        <v>Quessenberry</v>
      </c>
      <c r="E8720" t="str">
        <f>IFERROR(__xludf.DUMMYFUNCTION("""COMPUTED_VALUE"""),"Scott")</f>
        <v>Scott</v>
      </c>
      <c r="F8720" t="str">
        <f>IFERROR(__xludf.DUMMYFUNCTION("""COMPUTED_VALUE"""),"")</f>
        <v/>
      </c>
    </row>
    <row r="8721">
      <c r="D8721" t="str">
        <f>IFERROR(__xludf.DUMMYFUNCTION("""COMPUTED_VALUE"""),"Quick")</f>
        <v>Quick</v>
      </c>
      <c r="E8721" t="str">
        <f>IFERROR(__xludf.DUMMYFUNCTION("""COMPUTED_VALUE"""),"Brian")</f>
        <v>Brian</v>
      </c>
      <c r="F8721" t="str">
        <f>IFERROR(__xludf.DUMMYFUNCTION("""COMPUTED_VALUE"""),"")</f>
        <v/>
      </c>
    </row>
    <row r="8722">
      <c r="D8722" t="str">
        <f>IFERROR(__xludf.DUMMYFUNCTION("""COMPUTED_VALUE"""),"Quinn")</f>
        <v>Quinn</v>
      </c>
      <c r="E8722" t="str">
        <f>IFERROR(__xludf.DUMMYFUNCTION("""COMPUTED_VALUE"""),"Robert")</f>
        <v>Robert</v>
      </c>
      <c r="F8722" t="str">
        <f>IFERROR(__xludf.DUMMYFUNCTION("""COMPUTED_VALUE"""),"")</f>
        <v/>
      </c>
    </row>
    <row r="8723">
      <c r="D8723" t="str">
        <f>IFERROR(__xludf.DUMMYFUNCTION("""COMPUTED_VALUE"""),"Quinn")</f>
        <v>Quinn</v>
      </c>
      <c r="E8723" t="str">
        <f>IFERROR(__xludf.DUMMYFUNCTION("""COMPUTED_VALUE"""),"Trey")</f>
        <v>Trey</v>
      </c>
      <c r="F8723" t="str">
        <f>IFERROR(__xludf.DUMMYFUNCTION("""COMPUTED_VALUE"""),"")</f>
        <v/>
      </c>
    </row>
    <row r="8724">
      <c r="D8724" t="str">
        <f>IFERROR(__xludf.DUMMYFUNCTION("""COMPUTED_VALUE"""),"Qvale")</f>
        <v>Qvale</v>
      </c>
      <c r="E8724" t="str">
        <f>IFERROR(__xludf.DUMMYFUNCTION("""COMPUTED_VALUE"""),"Brent")</f>
        <v>Brent</v>
      </c>
      <c r="F8724" t="str">
        <f>IFERROR(__xludf.DUMMYFUNCTION("""COMPUTED_VALUE"""),"")</f>
        <v/>
      </c>
    </row>
    <row r="8725">
      <c r="D8725" t="str">
        <f>IFERROR(__xludf.DUMMYFUNCTION("""COMPUTED_VALUE"""),"Ragland")</f>
        <v>Ragland</v>
      </c>
      <c r="E8725" t="str">
        <f>IFERROR(__xludf.DUMMYFUNCTION("""COMPUTED_VALUE"""),"Reggie")</f>
        <v>Reggie</v>
      </c>
      <c r="F8725" t="str">
        <f>IFERROR(__xludf.DUMMYFUNCTION("""COMPUTED_VALUE"""),"")</f>
        <v/>
      </c>
    </row>
    <row r="8726">
      <c r="D8726" t="str">
        <f>IFERROR(__xludf.DUMMYFUNCTION("""COMPUTED_VALUE"""),"Ragnow")</f>
        <v>Ragnow</v>
      </c>
      <c r="E8726" t="str">
        <f>IFERROR(__xludf.DUMMYFUNCTION("""COMPUTED_VALUE"""),"Frank")</f>
        <v>Frank</v>
      </c>
      <c r="F8726" t="str">
        <f>IFERROR(__xludf.DUMMYFUNCTION("""COMPUTED_VALUE"""),"")</f>
        <v/>
      </c>
    </row>
    <row r="8727">
      <c r="D8727" t="str">
        <f>IFERROR(__xludf.DUMMYFUNCTION("""COMPUTED_VALUE"""),"Ramczyk")</f>
        <v>Ramczyk</v>
      </c>
      <c r="E8727" t="str">
        <f>IFERROR(__xludf.DUMMYFUNCTION("""COMPUTED_VALUE"""),"Ryan")</f>
        <v>Ryan</v>
      </c>
      <c r="F8727" t="str">
        <f>IFERROR(__xludf.DUMMYFUNCTION("""COMPUTED_VALUE"""),"")</f>
        <v/>
      </c>
    </row>
    <row r="8728">
      <c r="D8728" t="str">
        <f>IFERROR(__xludf.DUMMYFUNCTION("""COMPUTED_VALUE"""),"Randall")</f>
        <v>Randall</v>
      </c>
      <c r="E8728" t="str">
        <f>IFERROR(__xludf.DUMMYFUNCTION("""COMPUTED_VALUE"""),"Damarious")</f>
        <v>Damarious</v>
      </c>
      <c r="F8728" t="str">
        <f>IFERROR(__xludf.DUMMYFUNCTION("""COMPUTED_VALUE"""),"")</f>
        <v/>
      </c>
    </row>
    <row r="8729">
      <c r="D8729" t="str">
        <f>IFERROR(__xludf.DUMMYFUNCTION("""COMPUTED_VALUE"""),"Rankin")</f>
        <v>Rankin</v>
      </c>
      <c r="E8729" t="str">
        <f>IFERROR(__xludf.DUMMYFUNCTION("""COMPUTED_VALUE"""),"Martinas")</f>
        <v>Martinas</v>
      </c>
      <c r="F8729" t="str">
        <f>IFERROR(__xludf.DUMMYFUNCTION("""COMPUTED_VALUE"""),"")</f>
        <v/>
      </c>
    </row>
    <row r="8730">
      <c r="D8730" t="str">
        <f>IFERROR(__xludf.DUMMYFUNCTION("""COMPUTED_VALUE"""),"Rankins")</f>
        <v>Rankins</v>
      </c>
      <c r="E8730" t="str">
        <f>IFERROR(__xludf.DUMMYFUNCTION("""COMPUTED_VALUE"""),"Sheldon")</f>
        <v>Sheldon</v>
      </c>
      <c r="F8730" t="str">
        <f>IFERROR(__xludf.DUMMYFUNCTION("""COMPUTED_VALUE"""),"")</f>
        <v/>
      </c>
    </row>
    <row r="8731">
      <c r="D8731" t="str">
        <f>IFERROR(__xludf.DUMMYFUNCTION("""COMPUTED_VALUE"""),"Rapp")</f>
        <v>Rapp</v>
      </c>
      <c r="E8731" t="str">
        <f>IFERROR(__xludf.DUMMYFUNCTION("""COMPUTED_VALUE"""),"Taylor")</f>
        <v>Taylor</v>
      </c>
      <c r="F8731" t="str">
        <f>IFERROR(__xludf.DUMMYFUNCTION("""COMPUTED_VALUE"""),"")</f>
        <v/>
      </c>
    </row>
    <row r="8732">
      <c r="D8732" t="str">
        <f>IFERROR(__xludf.DUMMYFUNCTION("""COMPUTED_VALUE"""),"Ratley")</f>
        <v>Ratley</v>
      </c>
      <c r="E8732" t="str">
        <f>IFERROR(__xludf.DUMMYFUNCTION("""COMPUTED_VALUE"""),"Damion")</f>
        <v>Damion</v>
      </c>
      <c r="F8732" t="str">
        <f>IFERROR(__xludf.DUMMYFUNCTION("""COMPUTED_VALUE"""),"")</f>
        <v/>
      </c>
    </row>
    <row r="8733">
      <c r="D8733" t="str">
        <f>IFERROR(__xludf.DUMMYFUNCTION("""COMPUTED_VALUE"""),"Ratliff-Williams")</f>
        <v>Ratliff-Williams</v>
      </c>
      <c r="E8733" t="str">
        <f>IFERROR(__xludf.DUMMYFUNCTION("""COMPUTED_VALUE"""),"Anthony")</f>
        <v>Anthony</v>
      </c>
      <c r="F8733" t="str">
        <f>IFERROR(__xludf.DUMMYFUNCTION("""COMPUTED_VALUE"""),"")</f>
        <v/>
      </c>
    </row>
    <row r="8734">
      <c r="D8734" t="str">
        <f>IFERROR(__xludf.DUMMYFUNCTION("""COMPUTED_VALUE"""),"Rawls")</f>
        <v>Rawls</v>
      </c>
      <c r="E8734" t="str">
        <f>IFERROR(__xludf.DUMMYFUNCTION("""COMPUTED_VALUE"""),"Thomas")</f>
        <v>Thomas</v>
      </c>
      <c r="F8734" t="str">
        <f>IFERROR(__xludf.DUMMYFUNCTION("""COMPUTED_VALUE"""),"")</f>
        <v/>
      </c>
    </row>
    <row r="8735">
      <c r="D8735" t="str">
        <f>IFERROR(__xludf.DUMMYFUNCTION("""COMPUTED_VALUE"""),"Ray")</f>
        <v>Ray</v>
      </c>
      <c r="E8735" t="str">
        <f>IFERROR(__xludf.DUMMYFUNCTION("""COMPUTED_VALUE"""),"Shane")</f>
        <v>Shane</v>
      </c>
      <c r="F8735" t="str">
        <f>IFERROR(__xludf.DUMMYFUNCTION("""COMPUTED_VALUE"""),"")</f>
        <v/>
      </c>
    </row>
    <row r="8736">
      <c r="D8736" t="str">
        <f>IFERROR(__xludf.DUMMYFUNCTION("""COMPUTED_VALUE"""),"Ray")</f>
        <v>Ray</v>
      </c>
      <c r="E8736" t="str">
        <f>IFERROR(__xludf.DUMMYFUNCTION("""COMPUTED_VALUE"""),"Wyatt")</f>
        <v>Wyatt</v>
      </c>
      <c r="F8736" t="str">
        <f>IFERROR(__xludf.DUMMYFUNCTION("""COMPUTED_VALUE"""),"")</f>
        <v/>
      </c>
    </row>
    <row r="8737">
      <c r="D8737" t="str">
        <f>IFERROR(__xludf.DUMMYFUNCTION("""COMPUTED_VALUE"""),"Raymond")</f>
        <v>Raymond</v>
      </c>
      <c r="E8737" t="str">
        <f>IFERROR(__xludf.DUMMYFUNCTION("""COMPUTED_VALUE"""),"Dax")</f>
        <v>Dax</v>
      </c>
      <c r="F8737" t="str">
        <f>IFERROR(__xludf.DUMMYFUNCTION("""COMPUTED_VALUE"""),"")</f>
        <v/>
      </c>
    </row>
    <row r="8738">
      <c r="D8738" t="str">
        <f>IFERROR(__xludf.DUMMYFUNCTION("""COMPUTED_VALUE"""),"Raymond")</f>
        <v>Raymond</v>
      </c>
      <c r="E8738" t="str">
        <f>IFERROR(__xludf.DUMMYFUNCTION("""COMPUTED_VALUE"""),"Kalif")</f>
        <v>Kalif</v>
      </c>
      <c r="F8738" t="str">
        <f>IFERROR(__xludf.DUMMYFUNCTION("""COMPUTED_VALUE"""),"")</f>
        <v/>
      </c>
    </row>
    <row r="8739">
      <c r="D8739" t="str">
        <f>IFERROR(__xludf.DUMMYFUNCTION("""COMPUTED_VALUE"""),"Reader")</f>
        <v>Reader</v>
      </c>
      <c r="E8739" t="str">
        <f>IFERROR(__xludf.DUMMYFUNCTION("""COMPUTED_VALUE"""),"DJ")</f>
        <v>DJ</v>
      </c>
      <c r="F8739" t="str">
        <f>IFERROR(__xludf.DUMMYFUNCTION("""COMPUTED_VALUE"""),"")</f>
        <v/>
      </c>
    </row>
    <row r="8740">
      <c r="D8740" t="str">
        <f>IFERROR(__xludf.DUMMYFUNCTION("""COMPUTED_VALUE"""),"Reaser")</f>
        <v>Reaser</v>
      </c>
      <c r="E8740" t="str">
        <f>IFERROR(__xludf.DUMMYFUNCTION("""COMPUTED_VALUE"""),"Keith")</f>
        <v>Keith</v>
      </c>
      <c r="F8740" t="str">
        <f>IFERROR(__xludf.DUMMYFUNCTION("""COMPUTED_VALUE"""),"")</f>
        <v/>
      </c>
    </row>
    <row r="8741">
      <c r="D8741" t="str">
        <f>IFERROR(__xludf.DUMMYFUNCTION("""COMPUTED_VALUE"""),"Reaves")</f>
        <v>Reaves</v>
      </c>
      <c r="E8741" t="str">
        <f>IFERROR(__xludf.DUMMYFUNCTION("""COMPUTED_VALUE"""),"Jeremy")</f>
        <v>Jeremy</v>
      </c>
      <c r="F8741" t="str">
        <f>IFERROR(__xludf.DUMMYFUNCTION("""COMPUTED_VALUE"""),"")</f>
        <v/>
      </c>
    </row>
    <row r="8742">
      <c r="D8742" t="str">
        <f>IFERROR(__xludf.DUMMYFUNCTION("""COMPUTED_VALUE"""),"Reavis")</f>
        <v>Reavis</v>
      </c>
      <c r="E8742" t="str">
        <f>IFERROR(__xludf.DUMMYFUNCTION("""COMPUTED_VALUE"""),"CJ")</f>
        <v>CJ</v>
      </c>
      <c r="F8742" t="str">
        <f>IFERROR(__xludf.DUMMYFUNCTION("""COMPUTED_VALUE"""),"")</f>
        <v/>
      </c>
    </row>
    <row r="8743">
      <c r="D8743" t="str">
        <f>IFERROR(__xludf.DUMMYFUNCTION("""COMPUTED_VALUE"""),"Reddick")</f>
        <v>Reddick</v>
      </c>
      <c r="E8743" t="str">
        <f>IFERROR(__xludf.DUMMYFUNCTION("""COMPUTED_VALUE"""),"Haason")</f>
        <v>Haason</v>
      </c>
      <c r="F8743" t="str">
        <f>IFERROR(__xludf.DUMMYFUNCTION("""COMPUTED_VALUE"""),"")</f>
        <v/>
      </c>
    </row>
    <row r="8744">
      <c r="D8744" t="str">
        <f>IFERROR(__xludf.DUMMYFUNCTION("""COMPUTED_VALUE"""),"Redfern")</f>
        <v>Redfern</v>
      </c>
      <c r="E8744" t="str">
        <f>IFERROR(__xludf.DUMMYFUNCTION("""COMPUTED_VALUE"""),"Kasey")</f>
        <v>Kasey</v>
      </c>
      <c r="F8744" t="str">
        <f>IFERROR(__xludf.DUMMYFUNCTION("""COMPUTED_VALUE"""),"")</f>
        <v/>
      </c>
    </row>
    <row r="8745">
      <c r="D8745" t="str">
        <f>IFERROR(__xludf.DUMMYFUNCTION("""COMPUTED_VALUE"""),"Redmond")</f>
        <v>Redmond</v>
      </c>
      <c r="E8745" t="str">
        <f>IFERROR(__xludf.DUMMYFUNCTION("""COMPUTED_VALUE"""),"Adam")</f>
        <v>Adam</v>
      </c>
      <c r="F8745" t="str">
        <f>IFERROR(__xludf.DUMMYFUNCTION("""COMPUTED_VALUE"""),"")</f>
        <v/>
      </c>
    </row>
    <row r="8746">
      <c r="D8746" t="str">
        <f>IFERROR(__xludf.DUMMYFUNCTION("""COMPUTED_VALUE"""),"Redmond")</f>
        <v>Redmond</v>
      </c>
      <c r="E8746" t="str">
        <f>IFERROR(__xludf.DUMMYFUNCTION("""COMPUTED_VALUE"""),"Alex")</f>
        <v>Alex</v>
      </c>
      <c r="F8746" t="str">
        <f>IFERROR(__xludf.DUMMYFUNCTION("""COMPUTED_VALUE"""),"")</f>
        <v/>
      </c>
    </row>
    <row r="8747">
      <c r="D8747" t="str">
        <f>IFERROR(__xludf.DUMMYFUNCTION("""COMPUTED_VALUE"""),"Redmond")</f>
        <v>Redmond</v>
      </c>
      <c r="E8747" t="str">
        <f>IFERROR(__xludf.DUMMYFUNCTION("""COMPUTED_VALUE"""),"Will")</f>
        <v>Will</v>
      </c>
      <c r="F8747" t="str">
        <f>IFERROR(__xludf.DUMMYFUNCTION("""COMPUTED_VALUE"""),"")</f>
        <v/>
      </c>
    </row>
    <row r="8748">
      <c r="D8748" t="str">
        <f>IFERROR(__xludf.DUMMYFUNCTION("""COMPUTED_VALUE"""),"Redwine")</f>
        <v>Redwine</v>
      </c>
      <c r="E8748" t="str">
        <f>IFERROR(__xludf.DUMMYFUNCTION("""COMPUTED_VALUE"""),"Sheldrick")</f>
        <v>Sheldrick</v>
      </c>
      <c r="F8748" t="str">
        <f>IFERROR(__xludf.DUMMYFUNCTION("""COMPUTED_VALUE"""),"")</f>
        <v/>
      </c>
    </row>
    <row r="8749">
      <c r="D8749" t="str">
        <f>IFERROR(__xludf.DUMMYFUNCTION("""COMPUTED_VALUE"""),"Reed")</f>
        <v>Reed</v>
      </c>
      <c r="E8749" t="str">
        <f>IFERROR(__xludf.DUMMYFUNCTION("""COMPUTED_VALUE"""),"Brooks")</f>
        <v>Brooks</v>
      </c>
      <c r="F8749" t="str">
        <f>IFERROR(__xludf.DUMMYFUNCTION("""COMPUTED_VALUE"""),"")</f>
        <v/>
      </c>
    </row>
    <row r="8750">
      <c r="D8750" t="str">
        <f>IFERROR(__xludf.DUMMYFUNCTION("""COMPUTED_VALUE"""),"Reed")</f>
        <v>Reed</v>
      </c>
      <c r="E8750" t="str">
        <f>IFERROR(__xludf.DUMMYFUNCTION("""COMPUTED_VALUE"""),"Chris")</f>
        <v>Chris</v>
      </c>
      <c r="F8750" t="str">
        <f>IFERROR(__xludf.DUMMYFUNCTION("""COMPUTED_VALUE"""),"")</f>
        <v/>
      </c>
    </row>
    <row r="8751">
      <c r="D8751" t="str">
        <f>IFERROR(__xludf.DUMMYFUNCTION("""COMPUTED_VALUE"""),"Reed")</f>
        <v>Reed</v>
      </c>
      <c r="E8751" t="str">
        <f>IFERROR(__xludf.DUMMYFUNCTION("""COMPUTED_VALUE"""),"DJ")</f>
        <v>DJ</v>
      </c>
      <c r="F8751" t="str">
        <f>IFERROR(__xludf.DUMMYFUNCTION("""COMPUTED_VALUE"""),"")</f>
        <v/>
      </c>
    </row>
    <row r="8752">
      <c r="D8752" t="str">
        <f>IFERROR(__xludf.DUMMYFUNCTION("""COMPUTED_VALUE"""),"Reed")</f>
        <v>Reed</v>
      </c>
      <c r="E8752" t="str">
        <f>IFERROR(__xludf.DUMMYFUNCTION("""COMPUTED_VALUE"""),"Jarran")</f>
        <v>Jarran</v>
      </c>
      <c r="F8752" t="str">
        <f>IFERROR(__xludf.DUMMYFUNCTION("""COMPUTED_VALUE"""),"")</f>
        <v/>
      </c>
    </row>
    <row r="8753">
      <c r="D8753" t="str">
        <f>IFERROR(__xludf.DUMMYFUNCTION("""COMPUTED_VALUE"""),"Reed")</f>
        <v>Reed</v>
      </c>
      <c r="E8753" t="str">
        <f>IFERROR(__xludf.DUMMYFUNCTION("""COMPUTED_VALUE"""),"Jordan")</f>
        <v>Jordan</v>
      </c>
      <c r="F8753" t="str">
        <f>IFERROR(__xludf.DUMMYFUNCTION("""COMPUTED_VALUE"""),"")</f>
        <v/>
      </c>
    </row>
    <row r="8754">
      <c r="D8754" t="str">
        <f>IFERROR(__xludf.DUMMYFUNCTION("""COMPUTED_VALUE"""),"Reed")</f>
        <v>Reed</v>
      </c>
      <c r="E8754" t="str">
        <f>IFERROR(__xludf.DUMMYFUNCTION("""COMPUTED_VALUE"""),"Kalan")</f>
        <v>Kalan</v>
      </c>
      <c r="F8754" t="str">
        <f>IFERROR(__xludf.DUMMYFUNCTION("""COMPUTED_VALUE"""),"")</f>
        <v/>
      </c>
    </row>
    <row r="8755">
      <c r="D8755" t="str">
        <f>IFERROR(__xludf.DUMMYFUNCTION("""COMPUTED_VALUE"""),"Reeves-Maybin")</f>
        <v>Reeves-Maybin</v>
      </c>
      <c r="E8755" t="str">
        <f>IFERROR(__xludf.DUMMYFUNCTION("""COMPUTED_VALUE"""),"Jalen")</f>
        <v>Jalen</v>
      </c>
      <c r="F8755" t="str">
        <f>IFERROR(__xludf.DUMMYFUNCTION("""COMPUTED_VALUE"""),"")</f>
        <v/>
      </c>
    </row>
    <row r="8756">
      <c r="D8756" t="str">
        <f>IFERROR(__xludf.DUMMYFUNCTION("""COMPUTED_VALUE"""),"Reid")</f>
        <v>Reid</v>
      </c>
      <c r="E8756" t="str">
        <f>IFERROR(__xludf.DUMMYFUNCTION("""COMPUTED_VALUE"""),"Eric")</f>
        <v>Eric</v>
      </c>
      <c r="F8756" t="str">
        <f>IFERROR(__xludf.DUMMYFUNCTION("""COMPUTED_VALUE"""),"")</f>
        <v/>
      </c>
    </row>
    <row r="8757">
      <c r="D8757" t="str">
        <f>IFERROR(__xludf.DUMMYFUNCTION("""COMPUTED_VALUE"""),"Reid")</f>
        <v>Reid</v>
      </c>
      <c r="E8757" t="str">
        <f>IFERROR(__xludf.DUMMYFUNCTION("""COMPUTED_VALUE"""),"Justin")</f>
        <v>Justin</v>
      </c>
      <c r="F8757" t="str">
        <f>IFERROR(__xludf.DUMMYFUNCTION("""COMPUTED_VALUE"""),"")</f>
        <v/>
      </c>
    </row>
    <row r="8758">
      <c r="D8758" t="str">
        <f>IFERROR(__xludf.DUMMYFUNCTION("""COMPUTED_VALUE"""),"Reiff")</f>
        <v>Reiff</v>
      </c>
      <c r="E8758" t="str">
        <f>IFERROR(__xludf.DUMMYFUNCTION("""COMPUTED_VALUE"""),"Riley")</f>
        <v>Riley</v>
      </c>
      <c r="F8758" t="str">
        <f>IFERROR(__xludf.DUMMYFUNCTION("""COMPUTED_VALUE"""),"")</f>
        <v/>
      </c>
    </row>
    <row r="8759">
      <c r="D8759" t="str">
        <f>IFERROR(__xludf.DUMMYFUNCTION("""COMPUTED_VALUE"""),"Reiter")</f>
        <v>Reiter</v>
      </c>
      <c r="E8759" t="str">
        <f>IFERROR(__xludf.DUMMYFUNCTION("""COMPUTED_VALUE"""),"Austin")</f>
        <v>Austin</v>
      </c>
      <c r="F8759" t="str">
        <f>IFERROR(__xludf.DUMMYFUNCTION("""COMPUTED_VALUE"""),"")</f>
        <v/>
      </c>
    </row>
    <row r="8760">
      <c r="D8760" t="str">
        <f>IFERROR(__xludf.DUMMYFUNCTION("""COMPUTED_VALUE"""),"Remmers")</f>
        <v>Remmers</v>
      </c>
      <c r="E8760" t="str">
        <f>IFERROR(__xludf.DUMMYFUNCTION("""COMPUTED_VALUE"""),"Mike")</f>
        <v>Mike</v>
      </c>
      <c r="F8760" t="str">
        <f>IFERROR(__xludf.DUMMYFUNCTION("""COMPUTED_VALUE"""),"")</f>
        <v/>
      </c>
    </row>
    <row r="8761">
      <c r="D8761" t="str">
        <f>IFERROR(__xludf.DUMMYFUNCTION("""COMPUTED_VALUE"""),"Renfrow")</f>
        <v>Renfrow</v>
      </c>
      <c r="E8761" t="str">
        <f>IFERROR(__xludf.DUMMYFUNCTION("""COMPUTED_VALUE"""),"Hunter")</f>
        <v>Hunter</v>
      </c>
      <c r="F8761" t="str">
        <f>IFERROR(__xludf.DUMMYFUNCTION("""COMPUTED_VALUE"""),"")</f>
        <v/>
      </c>
    </row>
    <row r="8762">
      <c r="D8762" t="str">
        <f>IFERROR(__xludf.DUMMYFUNCTION("""COMPUTED_VALUE"""),"Reynolds")</f>
        <v>Reynolds</v>
      </c>
      <c r="E8762" t="str">
        <f>IFERROR(__xludf.DUMMYFUNCTION("""COMPUTED_VALUE"""),"Josh")</f>
        <v>Josh</v>
      </c>
      <c r="F8762" t="str">
        <f>IFERROR(__xludf.DUMMYFUNCTION("""COMPUTED_VALUE"""),"")</f>
        <v/>
      </c>
    </row>
    <row r="8763">
      <c r="D8763" t="str">
        <f>IFERROR(__xludf.DUMMYFUNCTION("""COMPUTED_VALUE"""),"Reynolds")</f>
        <v>Reynolds</v>
      </c>
      <c r="E8763" t="str">
        <f>IFERROR(__xludf.DUMMYFUNCTION("""COMPUTED_VALUE"""),"Keenan")</f>
        <v>Keenan</v>
      </c>
      <c r="F8763" t="str">
        <f>IFERROR(__xludf.DUMMYFUNCTION("""COMPUTED_VALUE"""),"")</f>
        <v/>
      </c>
    </row>
    <row r="8764">
      <c r="D8764" t="str">
        <f>IFERROR(__xludf.DUMMYFUNCTION("""COMPUTED_VALUE"""),"Reynolds")</f>
        <v>Reynolds</v>
      </c>
      <c r="E8764" t="str">
        <f>IFERROR(__xludf.DUMMYFUNCTION("""COMPUTED_VALUE"""),"LaRoy")</f>
        <v>LaRoy</v>
      </c>
      <c r="F8764" t="str">
        <f>IFERROR(__xludf.DUMMYFUNCTION("""COMPUTED_VALUE"""),"")</f>
        <v/>
      </c>
    </row>
    <row r="8765">
      <c r="D8765" t="str">
        <f>IFERROR(__xludf.DUMMYFUNCTION("""COMPUTED_VALUE"""),"Rhodes")</f>
        <v>Rhodes</v>
      </c>
      <c r="E8765" t="str">
        <f>IFERROR(__xludf.DUMMYFUNCTION("""COMPUTED_VALUE"""),"Luke")</f>
        <v>Luke</v>
      </c>
      <c r="F8765" t="str">
        <f>IFERROR(__xludf.DUMMYFUNCTION("""COMPUTED_VALUE"""),"")</f>
        <v/>
      </c>
    </row>
    <row r="8766">
      <c r="D8766" t="str">
        <f>IFERROR(__xludf.DUMMYFUNCTION("""COMPUTED_VALUE"""),"Rhodes")</f>
        <v>Rhodes</v>
      </c>
      <c r="E8766" t="str">
        <f>IFERROR(__xludf.DUMMYFUNCTION("""COMPUTED_VALUE"""),"Xavier")</f>
        <v>Xavier</v>
      </c>
      <c r="F8766" t="str">
        <f>IFERROR(__xludf.DUMMYFUNCTION("""COMPUTED_VALUE"""),"")</f>
        <v/>
      </c>
    </row>
    <row r="8767">
      <c r="D8767" t="str">
        <f>IFERROR(__xludf.DUMMYFUNCTION("""COMPUTED_VALUE"""),"Ricard")</f>
        <v>Ricard</v>
      </c>
      <c r="E8767" t="str">
        <f>IFERROR(__xludf.DUMMYFUNCTION("""COMPUTED_VALUE"""),"Patrick")</f>
        <v>Patrick</v>
      </c>
      <c r="F8767" t="str">
        <f>IFERROR(__xludf.DUMMYFUNCTION("""COMPUTED_VALUE"""),"")</f>
        <v/>
      </c>
    </row>
    <row r="8768">
      <c r="D8768" t="str">
        <f>IFERROR(__xludf.DUMMYFUNCTION("""COMPUTED_VALUE"""),"Richard")</f>
        <v>Richard</v>
      </c>
      <c r="E8768" t="str">
        <f>IFERROR(__xludf.DUMMYFUNCTION("""COMPUTED_VALUE"""),"Jalen")</f>
        <v>Jalen</v>
      </c>
      <c r="F8768" t="str">
        <f>IFERROR(__xludf.DUMMYFUNCTION("""COMPUTED_VALUE"""),"")</f>
        <v/>
      </c>
    </row>
    <row r="8769">
      <c r="D8769" t="str">
        <f>IFERROR(__xludf.DUMMYFUNCTION("""COMPUTED_VALUE"""),"Richards")</f>
        <v>Richards</v>
      </c>
      <c r="E8769" t="str">
        <f>IFERROR(__xludf.DUMMYFUNCTION("""COMPUTED_VALUE"""),"Jeff")</f>
        <v>Jeff</v>
      </c>
      <c r="F8769" t="str">
        <f>IFERROR(__xludf.DUMMYFUNCTION("""COMPUTED_VALUE"""),"")</f>
        <v/>
      </c>
    </row>
    <row r="8770">
      <c r="D8770" t="str">
        <f>IFERROR(__xludf.DUMMYFUNCTION("""COMPUTED_VALUE"""),"Richards")</f>
        <v>Richards</v>
      </c>
      <c r="E8770" t="str">
        <f>IFERROR(__xludf.DUMMYFUNCTION("""COMPUTED_VALUE"""),"Jordan")</f>
        <v>Jordan</v>
      </c>
      <c r="F8770" t="str">
        <f>IFERROR(__xludf.DUMMYFUNCTION("""COMPUTED_VALUE"""),"")</f>
        <v/>
      </c>
    </row>
    <row r="8771">
      <c r="D8771" t="str">
        <f>IFERROR(__xludf.DUMMYFUNCTION("""COMPUTED_VALUE"""),"Richards")</f>
        <v>Richards</v>
      </c>
      <c r="E8771" t="str">
        <f>IFERROR(__xludf.DUMMYFUNCTION("""COMPUTED_VALUE"""),"Ramon")</f>
        <v>Ramon</v>
      </c>
      <c r="F8771" t="str">
        <f>IFERROR(__xludf.DUMMYFUNCTION("""COMPUTED_VALUE"""),"")</f>
        <v/>
      </c>
    </row>
    <row r="8772">
      <c r="D8772" t="str">
        <f>IFERROR(__xludf.DUMMYFUNCTION("""COMPUTED_VALUE"""),"Richardson")</f>
        <v>Richardson</v>
      </c>
      <c r="E8772" t="str">
        <f>IFERROR(__xludf.DUMMYFUNCTION("""COMPUTED_VALUE"""),"Horace")</f>
        <v>Horace</v>
      </c>
      <c r="F8772" t="str">
        <f>IFERROR(__xludf.DUMMYFUNCTION("""COMPUTED_VALUE"""),"")</f>
        <v/>
      </c>
    </row>
    <row r="8773">
      <c r="D8773" t="str">
        <f>IFERROR(__xludf.DUMMYFUNCTION("""COMPUTED_VALUE"""),"Richardson")</f>
        <v>Richardson</v>
      </c>
      <c r="E8773" t="str">
        <f>IFERROR(__xludf.DUMMYFUNCTION("""COMPUTED_VALUE"""),"Paul")</f>
        <v>Paul</v>
      </c>
      <c r="F8773" t="str">
        <f>IFERROR(__xludf.DUMMYFUNCTION("""COMPUTED_VALUE"""),"")</f>
        <v/>
      </c>
    </row>
    <row r="8774">
      <c r="D8774" t="str">
        <f>IFERROR(__xludf.DUMMYFUNCTION("""COMPUTED_VALUE"""),"Richardson")</f>
        <v>Richardson</v>
      </c>
      <c r="E8774" t="str">
        <f>IFERROR(__xludf.DUMMYFUNCTION("""COMPUTED_VALUE"""),"Sheldon")</f>
        <v>Sheldon</v>
      </c>
      <c r="F8774" t="str">
        <f>IFERROR(__xludf.DUMMYFUNCTION("""COMPUTED_VALUE"""),"")</f>
        <v/>
      </c>
    </row>
    <row r="8775">
      <c r="D8775" t="str">
        <f>IFERROR(__xludf.DUMMYFUNCTION("""COMPUTED_VALUE"""),"Richardson")</f>
        <v>Richardson</v>
      </c>
      <c r="E8775" t="str">
        <f>IFERROR(__xludf.DUMMYFUNCTION("""COMPUTED_VALUE"""),"Will")</f>
        <v>Will</v>
      </c>
      <c r="F8775" t="str">
        <f>IFERROR(__xludf.DUMMYFUNCTION("""COMPUTED_VALUE"""),"")</f>
        <v/>
      </c>
    </row>
    <row r="8776">
      <c r="D8776" t="str">
        <f>IFERROR(__xludf.DUMMYFUNCTION("""COMPUTED_VALUE"""),"Richburg")</f>
        <v>Richburg</v>
      </c>
      <c r="E8776" t="str">
        <f>IFERROR(__xludf.DUMMYFUNCTION("""COMPUTED_VALUE"""),"Weston")</f>
        <v>Weston</v>
      </c>
      <c r="F8776" t="str">
        <f>IFERROR(__xludf.DUMMYFUNCTION("""COMPUTED_VALUE"""),"")</f>
        <v/>
      </c>
    </row>
    <row r="8777">
      <c r="D8777" t="str">
        <f>IFERROR(__xludf.DUMMYFUNCTION("""COMPUTED_VALUE"""),"Riddick")</f>
        <v>Riddick</v>
      </c>
      <c r="E8777" t="str">
        <f>IFERROR(__xludf.DUMMYFUNCTION("""COMPUTED_VALUE"""),"Theo")</f>
        <v>Theo</v>
      </c>
      <c r="F8777" t="str">
        <f>IFERROR(__xludf.DUMMYFUNCTION("""COMPUTED_VALUE"""),"")</f>
        <v/>
      </c>
    </row>
    <row r="8778">
      <c r="D8778" t="str">
        <f>IFERROR(__xludf.DUMMYFUNCTION("""COMPUTED_VALUE"""),"Ridgeway")</f>
        <v>Ridgeway</v>
      </c>
      <c r="E8778" t="str">
        <f>IFERROR(__xludf.DUMMYFUNCTION("""COMPUTED_VALUE"""),"Hassan")</f>
        <v>Hassan</v>
      </c>
      <c r="F8778" t="str">
        <f>IFERROR(__xludf.DUMMYFUNCTION("""COMPUTED_VALUE"""),"")</f>
        <v/>
      </c>
    </row>
    <row r="8779">
      <c r="D8779" t="str">
        <f>IFERROR(__xludf.DUMMYFUNCTION("""COMPUTED_VALUE"""),"Ridley")</f>
        <v>Ridley</v>
      </c>
      <c r="E8779" t="str">
        <f>IFERROR(__xludf.DUMMYFUNCTION("""COMPUTED_VALUE"""),"Calvin")</f>
        <v>Calvin</v>
      </c>
      <c r="F8779" t="str">
        <f>IFERROR(__xludf.DUMMYFUNCTION("""COMPUTED_VALUE"""),"")</f>
        <v/>
      </c>
    </row>
    <row r="8780">
      <c r="D8780" t="str">
        <f>IFERROR(__xludf.DUMMYFUNCTION("""COMPUTED_VALUE"""),"Ridley")</f>
        <v>Ridley</v>
      </c>
      <c r="E8780" t="str">
        <f>IFERROR(__xludf.DUMMYFUNCTION("""COMPUTED_VALUE"""),"Riley")</f>
        <v>Riley</v>
      </c>
      <c r="F8780" t="str">
        <f>IFERROR(__xludf.DUMMYFUNCTION("""COMPUTED_VALUE"""),"")</f>
        <v/>
      </c>
    </row>
    <row r="8781">
      <c r="D8781" t="str">
        <f>IFERROR(__xludf.DUMMYFUNCTION("""COMPUTED_VALUE"""),"Riley")</f>
        <v>Riley</v>
      </c>
      <c r="E8781" t="str">
        <f>IFERROR(__xludf.DUMMYFUNCTION("""COMPUTED_VALUE"""),"Curtis")</f>
        <v>Curtis</v>
      </c>
      <c r="F8781" t="str">
        <f>IFERROR(__xludf.DUMMYFUNCTION("""COMPUTED_VALUE"""),"")</f>
        <v/>
      </c>
    </row>
    <row r="8782">
      <c r="D8782" t="str">
        <f>IFERROR(__xludf.DUMMYFUNCTION("""COMPUTED_VALUE"""),"Riley")</f>
        <v>Riley</v>
      </c>
      <c r="E8782" t="str">
        <f>IFERROR(__xludf.DUMMYFUNCTION("""COMPUTED_VALUE"""),"Duke")</f>
        <v>Duke</v>
      </c>
      <c r="F8782" t="str">
        <f>IFERROR(__xludf.DUMMYFUNCTION("""COMPUTED_VALUE"""),"")</f>
        <v/>
      </c>
    </row>
    <row r="8783">
      <c r="D8783" t="str">
        <f>IFERROR(__xludf.DUMMYFUNCTION("""COMPUTED_VALUE"""),"Ringo")</f>
        <v>Ringo</v>
      </c>
      <c r="E8783" t="str">
        <f>IFERROR(__xludf.DUMMYFUNCTION("""COMPUTED_VALUE"""),"Christian")</f>
        <v>Christian</v>
      </c>
      <c r="F8783" t="str">
        <f>IFERROR(__xludf.DUMMYFUNCTION("""COMPUTED_VALUE"""),"")</f>
        <v/>
      </c>
    </row>
    <row r="8784">
      <c r="D8784" t="str">
        <f>IFERROR(__xludf.DUMMYFUNCTION("""COMPUTED_VALUE"""),"Risner")</f>
        <v>Risner</v>
      </c>
      <c r="E8784" t="str">
        <f>IFERROR(__xludf.DUMMYFUNCTION("""COMPUTED_VALUE"""),"Dalton")</f>
        <v>Dalton</v>
      </c>
      <c r="F8784" t="str">
        <f>IFERROR(__xludf.DUMMYFUNCTION("""COMPUTED_VALUE"""),"")</f>
        <v/>
      </c>
    </row>
    <row r="8785">
      <c r="D8785" t="str">
        <f>IFERROR(__xludf.DUMMYFUNCTION("""COMPUTED_VALUE"""),"Rivers")</f>
        <v>Rivers</v>
      </c>
      <c r="E8785" t="str">
        <f>IFERROR(__xludf.DUMMYFUNCTION("""COMPUTED_VALUE"""),"Derek")</f>
        <v>Derek</v>
      </c>
      <c r="F8785" t="str">
        <f>IFERROR(__xludf.DUMMYFUNCTION("""COMPUTED_VALUE"""),"")</f>
        <v/>
      </c>
    </row>
    <row r="8786">
      <c r="D8786" t="str">
        <f>IFERROR(__xludf.DUMMYFUNCTION("""COMPUTED_VALUE"""),"Rivers")</f>
        <v>Rivers</v>
      </c>
      <c r="E8786" t="str">
        <f>IFERROR(__xludf.DUMMYFUNCTION("""COMPUTED_VALUE"""),"Philip")</f>
        <v>Philip</v>
      </c>
      <c r="F8786" t="str">
        <f>IFERROR(__xludf.DUMMYFUNCTION("""COMPUTED_VALUE"""),"")</f>
        <v/>
      </c>
    </row>
    <row r="8787">
      <c r="D8787" t="str">
        <f>IFERROR(__xludf.DUMMYFUNCTION("""COMPUTED_VALUE"""),"Roberts")</f>
        <v>Roberts</v>
      </c>
      <c r="E8787" t="str">
        <f>IFERROR(__xludf.DUMMYFUNCTION("""COMPUTED_VALUE"""),"Andre")</f>
        <v>Andre</v>
      </c>
      <c r="F8787" t="str">
        <f>IFERROR(__xludf.DUMMYFUNCTION("""COMPUTED_VALUE"""),"")</f>
        <v/>
      </c>
    </row>
    <row r="8788">
      <c r="D8788" t="str">
        <f>IFERROR(__xludf.DUMMYFUNCTION("""COMPUTED_VALUE"""),"Roberts")</f>
        <v>Roberts</v>
      </c>
      <c r="E8788" t="str">
        <f>IFERROR(__xludf.DUMMYFUNCTION("""COMPUTED_VALUE"""),"Darryl")</f>
        <v>Darryl</v>
      </c>
      <c r="F8788" t="str">
        <f>IFERROR(__xludf.DUMMYFUNCTION("""COMPUTED_VALUE"""),"")</f>
        <v/>
      </c>
    </row>
    <row r="8789">
      <c r="D8789" t="str">
        <f>IFERROR(__xludf.DUMMYFUNCTION("""COMPUTED_VALUE"""),"Roberts")</f>
        <v>Roberts</v>
      </c>
      <c r="E8789" t="str">
        <f>IFERROR(__xludf.DUMMYFUNCTION("""COMPUTED_VALUE"""),"Elandon")</f>
        <v>Elandon</v>
      </c>
      <c r="F8789" t="str">
        <f>IFERROR(__xludf.DUMMYFUNCTION("""COMPUTED_VALUE"""),"")</f>
        <v/>
      </c>
    </row>
    <row r="8790">
      <c r="D8790" t="str">
        <f>IFERROR(__xludf.DUMMYFUNCTION("""COMPUTED_VALUE"""),"Roberts")</f>
        <v>Roberts</v>
      </c>
      <c r="E8790" t="str">
        <f>IFERROR(__xludf.DUMMYFUNCTION("""COMPUTED_VALUE"""),"Michael")</f>
        <v>Michael</v>
      </c>
      <c r="F8790" t="str">
        <f>IFERROR(__xludf.DUMMYFUNCTION("""COMPUTED_VALUE"""),"")</f>
        <v/>
      </c>
    </row>
    <row r="8791">
      <c r="D8791" t="str">
        <f>IFERROR(__xludf.DUMMYFUNCTION("""COMPUTED_VALUE"""),"Roberts")</f>
        <v>Roberts</v>
      </c>
      <c r="E8791" t="str">
        <f>IFERROR(__xludf.DUMMYFUNCTION("""COMPUTED_VALUE"""),"Seth")</f>
        <v>Seth</v>
      </c>
      <c r="F8791" t="str">
        <f>IFERROR(__xludf.DUMMYFUNCTION("""COMPUTED_VALUE"""),"")</f>
        <v/>
      </c>
    </row>
    <row r="8792">
      <c r="D8792" t="str">
        <f>IFERROR(__xludf.DUMMYFUNCTION("""COMPUTED_VALUE"""),"Robertson")</f>
        <v>Robertson</v>
      </c>
      <c r="E8792" t="str">
        <f>IFERROR(__xludf.DUMMYFUNCTION("""COMPUTED_VALUE"""),"Craig")</f>
        <v>Craig</v>
      </c>
      <c r="F8792" t="str">
        <f>IFERROR(__xludf.DUMMYFUNCTION("""COMPUTED_VALUE"""),"")</f>
        <v/>
      </c>
    </row>
    <row r="8793">
      <c r="D8793" t="str">
        <f>IFERROR(__xludf.DUMMYFUNCTION("""COMPUTED_VALUE"""),"Robertson")</f>
        <v>Robertson</v>
      </c>
      <c r="E8793" t="str">
        <f>IFERROR(__xludf.DUMMYFUNCTION("""COMPUTED_VALUE"""),"Pete")</f>
        <v>Pete</v>
      </c>
      <c r="F8793" t="str">
        <f>IFERROR(__xludf.DUMMYFUNCTION("""COMPUTED_VALUE"""),"")</f>
        <v/>
      </c>
    </row>
    <row r="8794">
      <c r="D8794" t="str">
        <f>IFERROR(__xludf.DUMMYFUNCTION("""COMPUTED_VALUE"""),"Robertson-Harris")</f>
        <v>Robertson-Harris</v>
      </c>
      <c r="E8794" t="str">
        <f>IFERROR(__xludf.DUMMYFUNCTION("""COMPUTED_VALUE"""),"Roy")</f>
        <v>Roy</v>
      </c>
      <c r="F8794" t="str">
        <f>IFERROR(__xludf.DUMMYFUNCTION("""COMPUTED_VALUE"""),"")</f>
        <v/>
      </c>
    </row>
    <row r="8795">
      <c r="D8795" t="str">
        <f>IFERROR(__xludf.DUMMYFUNCTION("""COMPUTED_VALUE"""),"Robey-Coleman")</f>
        <v>Robey-Coleman</v>
      </c>
      <c r="E8795" t="str">
        <f>IFERROR(__xludf.DUMMYFUNCTION("""COMPUTED_VALUE"""),"Nickell")</f>
        <v>Nickell</v>
      </c>
      <c r="F8795" t="str">
        <f>IFERROR(__xludf.DUMMYFUNCTION("""COMPUTED_VALUE"""),"")</f>
        <v/>
      </c>
    </row>
    <row r="8796">
      <c r="D8796" t="str">
        <f>IFERROR(__xludf.DUMMYFUNCTION("""COMPUTED_VALUE"""),"Robinson")</f>
        <v>Robinson</v>
      </c>
      <c r="E8796" t="str">
        <f>IFERROR(__xludf.DUMMYFUNCTION("""COMPUTED_VALUE"""),"Aldrick")</f>
        <v>Aldrick</v>
      </c>
      <c r="F8796" t="str">
        <f>IFERROR(__xludf.DUMMYFUNCTION("""COMPUTED_VALUE"""),"")</f>
        <v/>
      </c>
    </row>
    <row r="8797">
      <c r="D8797" t="str">
        <f>IFERROR(__xludf.DUMMYFUNCTION("""COMPUTED_VALUE"""),"Robinson")</f>
        <v>Robinson</v>
      </c>
      <c r="E8797" t="str">
        <f>IFERROR(__xludf.DUMMYFUNCTION("""COMPUTED_VALUE"""),"Allen")</f>
        <v>Allen</v>
      </c>
      <c r="F8797" t="str">
        <f>IFERROR(__xludf.DUMMYFUNCTION("""COMPUTED_VALUE"""),"")</f>
        <v/>
      </c>
    </row>
    <row r="8798">
      <c r="D8798" t="str">
        <f>IFERROR(__xludf.DUMMYFUNCTION("""COMPUTED_VALUE"""),"Robinson")</f>
        <v>Robinson</v>
      </c>
      <c r="E8798" t="str">
        <f>IFERROR(__xludf.DUMMYFUNCTION("""COMPUTED_VALUE"""),"AShawn")</f>
        <v>AShawn</v>
      </c>
      <c r="F8798" t="str">
        <f>IFERROR(__xludf.DUMMYFUNCTION("""COMPUTED_VALUE"""),"")</f>
        <v/>
      </c>
    </row>
    <row r="8799">
      <c r="D8799" t="str">
        <f>IFERROR(__xludf.DUMMYFUNCTION("""COMPUTED_VALUE"""),"Robinson")</f>
        <v>Robinson</v>
      </c>
      <c r="E8799" t="str">
        <f>IFERROR(__xludf.DUMMYFUNCTION("""COMPUTED_VALUE"""),"Cam")</f>
        <v>Cam</v>
      </c>
      <c r="F8799" t="str">
        <f>IFERROR(__xludf.DUMMYFUNCTION("""COMPUTED_VALUE"""),"")</f>
        <v/>
      </c>
    </row>
    <row r="8800">
      <c r="D8800" t="str">
        <f>IFERROR(__xludf.DUMMYFUNCTION("""COMPUTED_VALUE"""),"Robinson")</f>
        <v>Robinson</v>
      </c>
      <c r="E8800" t="str">
        <f>IFERROR(__xludf.DUMMYFUNCTION("""COMPUTED_VALUE"""),"Demarcus")</f>
        <v>Demarcus</v>
      </c>
      <c r="F8800" t="str">
        <f>IFERROR(__xludf.DUMMYFUNCTION("""COMPUTED_VALUE"""),"")</f>
        <v/>
      </c>
    </row>
    <row r="8801">
      <c r="D8801" t="str">
        <f>IFERROR(__xludf.DUMMYFUNCTION("""COMPUTED_VALUE"""),"Robinson")</f>
        <v>Robinson</v>
      </c>
      <c r="E8801" t="str">
        <f>IFERROR(__xludf.DUMMYFUNCTION("""COMPUTED_VALUE"""),"Greg")</f>
        <v>Greg</v>
      </c>
      <c r="F8801" t="str">
        <f>IFERROR(__xludf.DUMMYFUNCTION("""COMPUTED_VALUE"""),"")</f>
        <v/>
      </c>
    </row>
    <row r="8802">
      <c r="D8802" t="str">
        <f>IFERROR(__xludf.DUMMYFUNCTION("""COMPUTED_VALUE"""),"Robinson")</f>
        <v>Robinson</v>
      </c>
      <c r="E8802" t="str">
        <f>IFERROR(__xludf.DUMMYFUNCTION("""COMPUTED_VALUE"""),"Patrick")</f>
        <v>Patrick</v>
      </c>
      <c r="F8802" t="str">
        <f>IFERROR(__xludf.DUMMYFUNCTION("""COMPUTED_VALUE"""),"")</f>
        <v/>
      </c>
    </row>
    <row r="8803">
      <c r="D8803" t="str">
        <f>IFERROR(__xludf.DUMMYFUNCTION("""COMPUTED_VALUE"""),"Robinson")</f>
        <v>Robinson</v>
      </c>
      <c r="E8803" t="str">
        <f>IFERROR(__xludf.DUMMYFUNCTION("""COMPUTED_VALUE"""),"Tyree")</f>
        <v>Tyree</v>
      </c>
      <c r="F8803" t="str">
        <f>IFERROR(__xludf.DUMMYFUNCTION("""COMPUTED_VALUE"""),"")</f>
        <v/>
      </c>
    </row>
    <row r="8804">
      <c r="D8804" t="str">
        <f>IFERROR(__xludf.DUMMYFUNCTION("""COMPUTED_VALUE"""),"Roby")</f>
        <v>Roby</v>
      </c>
      <c r="E8804" t="str">
        <f>IFERROR(__xludf.DUMMYFUNCTION("""COMPUTED_VALUE"""),"Bradley")</f>
        <v>Bradley</v>
      </c>
      <c r="F8804" t="str">
        <f>IFERROR(__xludf.DUMMYFUNCTION("""COMPUTED_VALUE"""),"")</f>
        <v/>
      </c>
    </row>
    <row r="8805">
      <c r="D8805" t="str">
        <f>IFERROR(__xludf.DUMMYFUNCTION("""COMPUTED_VALUE"""),"Rochell")</f>
        <v>Rochell</v>
      </c>
      <c r="E8805" t="str">
        <f>IFERROR(__xludf.DUMMYFUNCTION("""COMPUTED_VALUE"""),"Isaac")</f>
        <v>Isaac</v>
      </c>
      <c r="F8805" t="str">
        <f>IFERROR(__xludf.DUMMYFUNCTION("""COMPUTED_VALUE"""),"")</f>
        <v/>
      </c>
    </row>
    <row r="8806">
      <c r="D8806" t="str">
        <f>IFERROR(__xludf.DUMMYFUNCTION("""COMPUTED_VALUE"""),"Rodgers")</f>
        <v>Rodgers</v>
      </c>
      <c r="E8806" t="str">
        <f>IFERROR(__xludf.DUMMYFUNCTION("""COMPUTED_VALUE"""),"Aaron")</f>
        <v>Aaron</v>
      </c>
      <c r="F8806" t="str">
        <f>IFERROR(__xludf.DUMMYFUNCTION("""COMPUTED_VALUE"""),"")</f>
        <v/>
      </c>
    </row>
    <row r="8807">
      <c r="D8807" t="str">
        <f>IFERROR(__xludf.DUMMYFUNCTION("""COMPUTED_VALUE"""),"Rodgers")</f>
        <v>Rodgers</v>
      </c>
      <c r="E8807" t="str">
        <f>IFERROR(__xludf.DUMMYFUNCTION("""COMPUTED_VALUE"""),"Jake")</f>
        <v>Jake</v>
      </c>
      <c r="F8807" t="str">
        <f>IFERROR(__xludf.DUMMYFUNCTION("""COMPUTED_VALUE"""),"")</f>
        <v/>
      </c>
    </row>
    <row r="8808">
      <c r="D8808" t="str">
        <f>IFERROR(__xludf.DUMMYFUNCTION("""COMPUTED_VALUE"""),"Rodgers")</f>
        <v>Rodgers</v>
      </c>
      <c r="E8808" t="str">
        <f>IFERROR(__xludf.DUMMYFUNCTION("""COMPUTED_VALUE"""),"Richard")</f>
        <v>Richard</v>
      </c>
      <c r="F8808" t="str">
        <f>IFERROR(__xludf.DUMMYFUNCTION("""COMPUTED_VALUE"""),"")</f>
        <v/>
      </c>
    </row>
    <row r="8809">
      <c r="D8809" t="str">
        <f>IFERROR(__xludf.DUMMYFUNCTION("""COMPUTED_VALUE"""),"Rodgers-Cromartie")</f>
        <v>Rodgers-Cromartie</v>
      </c>
      <c r="E8809" t="str">
        <f>IFERROR(__xludf.DUMMYFUNCTION("""COMPUTED_VALUE"""),"Dominique")</f>
        <v>Dominique</v>
      </c>
      <c r="F8809" t="str">
        <f>IFERROR(__xludf.DUMMYFUNCTION("""COMPUTED_VALUE"""),"")</f>
        <v/>
      </c>
    </row>
    <row r="8810">
      <c r="D8810" t="str">
        <f>IFERROR(__xludf.DUMMYFUNCTION("""COMPUTED_VALUE"""),"Roethlisberger")</f>
        <v>Roethlisberger</v>
      </c>
      <c r="E8810" t="str">
        <f>IFERROR(__xludf.DUMMYFUNCTION("""COMPUTED_VALUE"""),"Ben")</f>
        <v>Ben</v>
      </c>
      <c r="F8810" t="str">
        <f>IFERROR(__xludf.DUMMYFUNCTION("""COMPUTED_VALUE"""),"")</f>
        <v/>
      </c>
    </row>
    <row r="8811">
      <c r="D8811" t="str">
        <f>IFERROR(__xludf.DUMMYFUNCTION("""COMPUTED_VALUE"""),"Rogers")</f>
        <v>Rogers</v>
      </c>
      <c r="E8811" t="str">
        <f>IFERROR(__xludf.DUMMYFUNCTION("""COMPUTED_VALUE"""),"Chester")</f>
        <v>Chester</v>
      </c>
      <c r="F8811" t="str">
        <f>IFERROR(__xludf.DUMMYFUNCTION("""COMPUTED_VALUE"""),"")</f>
        <v/>
      </c>
    </row>
    <row r="8812">
      <c r="D8812" t="str">
        <f>IFERROR(__xludf.DUMMYFUNCTION("""COMPUTED_VALUE"""),"Rogers")</f>
        <v>Rogers</v>
      </c>
      <c r="E8812" t="str">
        <f>IFERROR(__xludf.DUMMYFUNCTION("""COMPUTED_VALUE"""),"Eli")</f>
        <v>Eli</v>
      </c>
      <c r="F8812" t="str">
        <f>IFERROR(__xludf.DUMMYFUNCTION("""COMPUTED_VALUE"""),"")</f>
        <v/>
      </c>
    </row>
    <row r="8813">
      <c r="D8813" t="str">
        <f>IFERROR(__xludf.DUMMYFUNCTION("""COMPUTED_VALUE"""),"Roos")</f>
        <v>Roos</v>
      </c>
      <c r="E8813" t="str">
        <f>IFERROR(__xludf.DUMMYFUNCTION("""COMPUTED_VALUE"""),"Jordan")</f>
        <v>Jordan</v>
      </c>
      <c r="F8813" t="str">
        <f>IFERROR(__xludf.DUMMYFUNCTION("""COMPUTED_VALUE"""),"")</f>
        <v/>
      </c>
    </row>
    <row r="8814">
      <c r="D8814" t="str">
        <f>IFERROR(__xludf.DUMMYFUNCTION("""COMPUTED_VALUE"""),"Rosas")</f>
        <v>Rosas</v>
      </c>
      <c r="E8814" t="str">
        <f>IFERROR(__xludf.DUMMYFUNCTION("""COMPUTED_VALUE"""),"Aldrick")</f>
        <v>Aldrick</v>
      </c>
      <c r="F8814" t="str">
        <f>IFERROR(__xludf.DUMMYFUNCTION("""COMPUTED_VALUE"""),"")</f>
        <v/>
      </c>
    </row>
    <row r="8815">
      <c r="D8815" t="str">
        <f>IFERROR(__xludf.DUMMYFUNCTION("""COMPUTED_VALUE"""),"Rosen")</f>
        <v>Rosen</v>
      </c>
      <c r="E8815" t="str">
        <f>IFERROR(__xludf.DUMMYFUNCTION("""COMPUTED_VALUE"""),"Josh")</f>
        <v>Josh</v>
      </c>
      <c r="F8815" t="str">
        <f>IFERROR(__xludf.DUMMYFUNCTION("""COMPUTED_VALUE"""),"")</f>
        <v/>
      </c>
    </row>
    <row r="8816">
      <c r="D8816" t="str">
        <f>IFERROR(__xludf.DUMMYFUNCTION("""COMPUTED_VALUE"""),"Ross")</f>
        <v>Ross</v>
      </c>
      <c r="E8816" t="str">
        <f>IFERROR(__xludf.DUMMYFUNCTION("""COMPUTED_VALUE"""),"Daniel")</f>
        <v>Daniel</v>
      </c>
      <c r="F8816" t="str">
        <f>IFERROR(__xludf.DUMMYFUNCTION("""COMPUTED_VALUE"""),"")</f>
        <v/>
      </c>
    </row>
    <row r="8817">
      <c r="D8817" t="str">
        <f>IFERROR(__xludf.DUMMYFUNCTION("""COMPUTED_VALUE"""),"Ross")</f>
        <v>Ross</v>
      </c>
      <c r="E8817" t="str">
        <f>IFERROR(__xludf.DUMMYFUNCTION("""COMPUTED_VALUE"""),"John")</f>
        <v>John</v>
      </c>
      <c r="F8817" t="str">
        <f>IFERROR(__xludf.DUMMYFUNCTION("""COMPUTED_VALUE"""),"")</f>
        <v/>
      </c>
    </row>
    <row r="8818">
      <c r="D8818" t="str">
        <f>IFERROR(__xludf.DUMMYFUNCTION("""COMPUTED_VALUE"""),"Ross")</f>
        <v>Ross</v>
      </c>
      <c r="E8818" t="str">
        <f>IFERROR(__xludf.DUMMYFUNCTION("""COMPUTED_VALUE"""),"Rashad")</f>
        <v>Rashad</v>
      </c>
      <c r="F8818" t="str">
        <f>IFERROR(__xludf.DUMMYFUNCTION("""COMPUTED_VALUE"""),"")</f>
        <v/>
      </c>
    </row>
    <row r="8819">
      <c r="D8819" t="str">
        <f>IFERROR(__xludf.DUMMYFUNCTION("""COMPUTED_VALUE"""),"Roullier")</f>
        <v>Roullier</v>
      </c>
      <c r="E8819" t="str">
        <f>IFERROR(__xludf.DUMMYFUNCTION("""COMPUTED_VALUE"""),"Chase")</f>
        <v>Chase</v>
      </c>
      <c r="F8819" t="str">
        <f>IFERROR(__xludf.DUMMYFUNCTION("""COMPUTED_VALUE"""),"")</f>
        <v/>
      </c>
    </row>
    <row r="8820">
      <c r="D8820" t="str">
        <f>IFERROR(__xludf.DUMMYFUNCTION("""COMPUTED_VALUE"""),"Rowe")</f>
        <v>Rowe</v>
      </c>
      <c r="E8820" t="str">
        <f>IFERROR(__xludf.DUMMYFUNCTION("""COMPUTED_VALUE"""),"Eric")</f>
        <v>Eric</v>
      </c>
      <c r="F8820" t="str">
        <f>IFERROR(__xludf.DUMMYFUNCTION("""COMPUTED_VALUE"""),"")</f>
        <v/>
      </c>
    </row>
    <row r="8821">
      <c r="D8821" t="str">
        <f>IFERROR(__xludf.DUMMYFUNCTION("""COMPUTED_VALUE"""),"Rudock")</f>
        <v>Rudock</v>
      </c>
      <c r="E8821" t="str">
        <f>IFERROR(__xludf.DUMMYFUNCTION("""COMPUTED_VALUE"""),"Jake")</f>
        <v>Jake</v>
      </c>
      <c r="F8821" t="str">
        <f>IFERROR(__xludf.DUMMYFUNCTION("""COMPUTED_VALUE"""),"")</f>
        <v/>
      </c>
    </row>
    <row r="8822">
      <c r="D8822" t="str">
        <f>IFERROR(__xludf.DUMMYFUNCTION("""COMPUTED_VALUE"""),"Rudolph")</f>
        <v>Rudolph</v>
      </c>
      <c r="E8822" t="str">
        <f>IFERROR(__xludf.DUMMYFUNCTION("""COMPUTED_VALUE"""),"Kyle")</f>
        <v>Kyle</v>
      </c>
      <c r="F8822" t="str">
        <f>IFERROR(__xludf.DUMMYFUNCTION("""COMPUTED_VALUE"""),"")</f>
        <v/>
      </c>
    </row>
    <row r="8823">
      <c r="D8823" t="str">
        <f>IFERROR(__xludf.DUMMYFUNCTION("""COMPUTED_VALUE"""),"Rudolph")</f>
        <v>Rudolph</v>
      </c>
      <c r="E8823" t="str">
        <f>IFERROR(__xludf.DUMMYFUNCTION("""COMPUTED_VALUE"""),"Mason")</f>
        <v>Mason</v>
      </c>
      <c r="F8823" t="str">
        <f>IFERROR(__xludf.DUMMYFUNCTION("""COMPUTED_VALUE"""),"")</f>
        <v/>
      </c>
    </row>
    <row r="8824">
      <c r="D8824" t="str">
        <f>IFERROR(__xludf.DUMMYFUNCTION("""COMPUTED_VALUE"""),"Rush")</f>
        <v>Rush</v>
      </c>
      <c r="E8824" t="str">
        <f>IFERROR(__xludf.DUMMYFUNCTION("""COMPUTED_VALUE"""),"Cooper")</f>
        <v>Cooper</v>
      </c>
      <c r="F8824" t="str">
        <f>IFERROR(__xludf.DUMMYFUNCTION("""COMPUTED_VALUE"""),"")</f>
        <v/>
      </c>
    </row>
    <row r="8825">
      <c r="D8825" t="str">
        <f>IFERROR(__xludf.DUMMYFUNCTION("""COMPUTED_VALUE"""),"Russell")</f>
        <v>Russell</v>
      </c>
      <c r="E8825" t="str">
        <f>IFERROR(__xludf.DUMMYFUNCTION("""COMPUTED_VALUE"""),"Alonzo")</f>
        <v>Alonzo</v>
      </c>
      <c r="F8825" t="str">
        <f>IFERROR(__xludf.DUMMYFUNCTION("""COMPUTED_VALUE"""),"")</f>
        <v/>
      </c>
    </row>
    <row r="8826">
      <c r="D8826" t="str">
        <f>IFERROR(__xludf.DUMMYFUNCTION("""COMPUTED_VALUE"""),"Russell")</f>
        <v>Russell</v>
      </c>
      <c r="E8826" t="str">
        <f>IFERROR(__xludf.DUMMYFUNCTION("""COMPUTED_VALUE"""),"Dontavius")</f>
        <v>Dontavius</v>
      </c>
      <c r="F8826" t="str">
        <f>IFERROR(__xludf.DUMMYFUNCTION("""COMPUTED_VALUE"""),"")</f>
        <v/>
      </c>
    </row>
    <row r="8827">
      <c r="D8827" t="str">
        <f>IFERROR(__xludf.DUMMYFUNCTION("""COMPUTED_VALUE"""),"Russell")</f>
        <v>Russell</v>
      </c>
      <c r="E8827" t="str">
        <f>IFERROR(__xludf.DUMMYFUNCTION("""COMPUTED_VALUE"""),"KeiVarae")</f>
        <v>KeiVarae</v>
      </c>
      <c r="F8827" t="str">
        <f>IFERROR(__xludf.DUMMYFUNCTION("""COMPUTED_VALUE"""),"")</f>
        <v/>
      </c>
    </row>
    <row r="8828">
      <c r="D8828" t="str">
        <f>IFERROR(__xludf.DUMMYFUNCTION("""COMPUTED_VALUE"""),"Ryan")</f>
        <v>Ryan</v>
      </c>
      <c r="E8828" t="str">
        <f>IFERROR(__xludf.DUMMYFUNCTION("""COMPUTED_VALUE"""),"Jake")</f>
        <v>Jake</v>
      </c>
      <c r="F8828" t="str">
        <f>IFERROR(__xludf.DUMMYFUNCTION("""COMPUTED_VALUE"""),"")</f>
        <v/>
      </c>
    </row>
    <row r="8829">
      <c r="D8829" t="str">
        <f>IFERROR(__xludf.DUMMYFUNCTION("""COMPUTED_VALUE"""),"Ryan")</f>
        <v>Ryan</v>
      </c>
      <c r="E8829" t="str">
        <f>IFERROR(__xludf.DUMMYFUNCTION("""COMPUTED_VALUE"""),"Logan")</f>
        <v>Logan</v>
      </c>
      <c r="F8829" t="str">
        <f>IFERROR(__xludf.DUMMYFUNCTION("""COMPUTED_VALUE"""),"")</f>
        <v/>
      </c>
    </row>
    <row r="8830">
      <c r="D8830" t="str">
        <f>IFERROR(__xludf.DUMMYFUNCTION("""COMPUTED_VALUE"""),"Ryan")</f>
        <v>Ryan</v>
      </c>
      <c r="E8830" t="str">
        <f>IFERROR(__xludf.DUMMYFUNCTION("""COMPUTED_VALUE"""),"Matt")</f>
        <v>Matt</v>
      </c>
      <c r="F8830" t="str">
        <f>IFERROR(__xludf.DUMMYFUNCTION("""COMPUTED_VALUE"""),"")</f>
        <v/>
      </c>
    </row>
    <row r="8831">
      <c r="D8831" t="str">
        <f>IFERROR(__xludf.DUMMYFUNCTION("""COMPUTED_VALUE"""),"Rypien")</f>
        <v>Rypien</v>
      </c>
      <c r="E8831" t="str">
        <f>IFERROR(__xludf.DUMMYFUNCTION("""COMPUTED_VALUE"""),"Brett")</f>
        <v>Brett</v>
      </c>
      <c r="F8831" t="str">
        <f>IFERROR(__xludf.DUMMYFUNCTION("""COMPUTED_VALUE"""),"")</f>
        <v/>
      </c>
    </row>
    <row r="8832">
      <c r="D8832" t="str">
        <f>IFERROR(__xludf.DUMMYFUNCTION("""COMPUTED_VALUE"""),"Saffold")</f>
        <v>Saffold</v>
      </c>
      <c r="E8832" t="str">
        <f>IFERROR(__xludf.DUMMYFUNCTION("""COMPUTED_VALUE"""),"Rodger")</f>
        <v>Rodger</v>
      </c>
      <c r="F8832" t="str">
        <f>IFERROR(__xludf.DUMMYFUNCTION("""COMPUTED_VALUE"""),"")</f>
        <v/>
      </c>
    </row>
    <row r="8833">
      <c r="D8833" t="str">
        <f>IFERROR(__xludf.DUMMYFUNCTION("""COMPUTED_VALUE"""),"Salako")</f>
        <v>Salako</v>
      </c>
      <c r="E8833" t="str">
        <f>IFERROR(__xludf.DUMMYFUNCTION("""COMPUTED_VALUE"""),"Victor")</f>
        <v>Victor</v>
      </c>
      <c r="F8833" t="str">
        <f>IFERROR(__xludf.DUMMYFUNCTION("""COMPUTED_VALUE"""),"")</f>
        <v/>
      </c>
    </row>
    <row r="8834">
      <c r="D8834" t="str">
        <f>IFERROR(__xludf.DUMMYFUNCTION("""COMPUTED_VALUE"""),"Sam")</f>
        <v>Sam</v>
      </c>
      <c r="E8834" t="str">
        <f>IFERROR(__xludf.DUMMYFUNCTION("""COMPUTED_VALUE"""),"Christian")</f>
        <v>Christian</v>
      </c>
      <c r="F8834" t="str">
        <f>IFERROR(__xludf.DUMMYFUNCTION("""COMPUTED_VALUE"""),"")</f>
        <v/>
      </c>
    </row>
    <row r="8835">
      <c r="D8835" t="str">
        <f>IFERROR(__xludf.DUMMYFUNCTION("""COMPUTED_VALUE"""),"Sambrailo")</f>
        <v>Sambrailo</v>
      </c>
      <c r="E8835" t="str">
        <f>IFERROR(__xludf.DUMMYFUNCTION("""COMPUTED_VALUE"""),"Ty")</f>
        <v>Ty</v>
      </c>
      <c r="F8835" t="str">
        <f>IFERROR(__xludf.DUMMYFUNCTION("""COMPUTED_VALUE"""),"")</f>
        <v/>
      </c>
    </row>
    <row r="8836">
      <c r="D8836" t="str">
        <f>IFERROR(__xludf.DUMMYFUNCTION("""COMPUTED_VALUE"""),"Samia")</f>
        <v>Samia</v>
      </c>
      <c r="E8836" t="str">
        <f>IFERROR(__xludf.DUMMYFUNCTION("""COMPUTED_VALUE"""),"Dru")</f>
        <v>Dru</v>
      </c>
      <c r="F8836" t="str">
        <f>IFERROR(__xludf.DUMMYFUNCTION("""COMPUTED_VALUE"""),"")</f>
        <v/>
      </c>
    </row>
    <row r="8837">
      <c r="D8837" t="str">
        <f>IFERROR(__xludf.DUMMYFUNCTION("""COMPUTED_VALUE"""),"Sample")</f>
        <v>Sample</v>
      </c>
      <c r="E8837" t="str">
        <f>IFERROR(__xludf.DUMMYFUNCTION("""COMPUTED_VALUE"""),"Drew")</f>
        <v>Drew</v>
      </c>
      <c r="F8837" t="str">
        <f>IFERROR(__xludf.DUMMYFUNCTION("""COMPUTED_VALUE"""),"")</f>
        <v/>
      </c>
    </row>
    <row r="8838">
      <c r="D8838" t="str">
        <f>IFERROR(__xludf.DUMMYFUNCTION("""COMPUTED_VALUE"""),"Samuel")</f>
        <v>Samuel</v>
      </c>
      <c r="E8838" t="str">
        <f>IFERROR(__xludf.DUMMYFUNCTION("""COMPUTED_VALUE"""),"Curtis")</f>
        <v>Curtis</v>
      </c>
      <c r="F8838" t="str">
        <f>IFERROR(__xludf.DUMMYFUNCTION("""COMPUTED_VALUE"""),"")</f>
        <v/>
      </c>
    </row>
    <row r="8839">
      <c r="D8839" t="str">
        <f>IFERROR(__xludf.DUMMYFUNCTION("""COMPUTED_VALUE"""),"Samuel")</f>
        <v>Samuel</v>
      </c>
      <c r="E8839" t="str">
        <f>IFERROR(__xludf.DUMMYFUNCTION("""COMPUTED_VALUE"""),"Deebo")</f>
        <v>Deebo</v>
      </c>
      <c r="F8839" t="str">
        <f>IFERROR(__xludf.DUMMYFUNCTION("""COMPUTED_VALUE"""),"")</f>
        <v/>
      </c>
    </row>
    <row r="8840">
      <c r="D8840" t="str">
        <f>IFERROR(__xludf.DUMMYFUNCTION("""COMPUTED_VALUE"""),"Samuels")</f>
        <v>Samuels</v>
      </c>
      <c r="E8840" t="str">
        <f>IFERROR(__xludf.DUMMYFUNCTION("""COMPUTED_VALUE"""),"Jaylen")</f>
        <v>Jaylen</v>
      </c>
      <c r="F8840" t="str">
        <f>IFERROR(__xludf.DUMMYFUNCTION("""COMPUTED_VALUE"""),"")</f>
        <v/>
      </c>
    </row>
    <row r="8841">
      <c r="D8841" t="str">
        <f>IFERROR(__xludf.DUMMYFUNCTION("""COMPUTED_VALUE"""),"Sanchez")</f>
        <v>Sanchez</v>
      </c>
      <c r="E8841" t="str">
        <f>IFERROR(__xludf.DUMMYFUNCTION("""COMPUTED_VALUE"""),"Rigoberto")</f>
        <v>Rigoberto</v>
      </c>
      <c r="F8841" t="str">
        <f>IFERROR(__xludf.DUMMYFUNCTION("""COMPUTED_VALUE"""),"")</f>
        <v/>
      </c>
    </row>
    <row r="8842">
      <c r="D8842" t="str">
        <f>IFERROR(__xludf.DUMMYFUNCTION("""COMPUTED_VALUE"""),"Sanders")</f>
        <v>Sanders</v>
      </c>
      <c r="E8842" t="str">
        <f>IFERROR(__xludf.DUMMYFUNCTION("""COMPUTED_VALUE"""),"Emmanuel")</f>
        <v>Emmanuel</v>
      </c>
      <c r="F8842" t="str">
        <f>IFERROR(__xludf.DUMMYFUNCTION("""COMPUTED_VALUE"""),"")</f>
        <v/>
      </c>
    </row>
    <row r="8843">
      <c r="D8843" t="str">
        <f>IFERROR(__xludf.DUMMYFUNCTION("""COMPUTED_VALUE"""),"Sanders")</f>
        <v>Sanders</v>
      </c>
      <c r="E8843" t="str">
        <f>IFERROR(__xludf.DUMMYFUNCTION("""COMPUTED_VALUE"""),"Jason")</f>
        <v>Jason</v>
      </c>
      <c r="F8843" t="str">
        <f>IFERROR(__xludf.DUMMYFUNCTION("""COMPUTED_VALUE"""),"")</f>
        <v/>
      </c>
    </row>
    <row r="8844">
      <c r="D8844" t="str">
        <f>IFERROR(__xludf.DUMMYFUNCTION("""COMPUTED_VALUE"""),"Sanders")</f>
        <v>Sanders</v>
      </c>
      <c r="E8844" t="str">
        <f>IFERROR(__xludf.DUMMYFUNCTION("""COMPUTED_VALUE"""),"Miles")</f>
        <v>Miles</v>
      </c>
      <c r="F8844" t="str">
        <f>IFERROR(__xludf.DUMMYFUNCTION("""COMPUTED_VALUE"""),"")</f>
        <v/>
      </c>
    </row>
    <row r="8845">
      <c r="D8845" t="str">
        <f>IFERROR(__xludf.DUMMYFUNCTION("""COMPUTED_VALUE"""),"Sankey")</f>
        <v>Sankey</v>
      </c>
      <c r="E8845" t="str">
        <f>IFERROR(__xludf.DUMMYFUNCTION("""COMPUTED_VALUE"""),"Darnell")</f>
        <v>Darnell</v>
      </c>
      <c r="F8845" t="str">
        <f>IFERROR(__xludf.DUMMYFUNCTION("""COMPUTED_VALUE"""),"")</f>
        <v/>
      </c>
    </row>
    <row r="8846">
      <c r="D8846" t="str">
        <f>IFERROR(__xludf.DUMMYFUNCTION("""COMPUTED_VALUE"""),"Sankoh")</f>
        <v>Sankoh</v>
      </c>
      <c r="E8846" t="str">
        <f>IFERROR(__xludf.DUMMYFUNCTION("""COMPUTED_VALUE"""),"Tigie")</f>
        <v>Tigie</v>
      </c>
      <c r="F8846" t="str">
        <f>IFERROR(__xludf.DUMMYFUNCTION("""COMPUTED_VALUE"""),"")</f>
        <v/>
      </c>
    </row>
    <row r="8847">
      <c r="D8847" t="str">
        <f>IFERROR(__xludf.DUMMYFUNCTION("""COMPUTED_VALUE"""),"Santos")</f>
        <v>Santos</v>
      </c>
      <c r="E8847" t="str">
        <f>IFERROR(__xludf.DUMMYFUNCTION("""COMPUTED_VALUE"""),"Cairo")</f>
        <v>Cairo</v>
      </c>
      <c r="F8847" t="str">
        <f>IFERROR(__xludf.DUMMYFUNCTION("""COMPUTED_VALUE"""),"")</f>
        <v/>
      </c>
    </row>
    <row r="8848">
      <c r="D8848" t="str">
        <f>IFERROR(__xludf.DUMMYFUNCTION("""COMPUTED_VALUE"""),"Sanu")</f>
        <v>Sanu</v>
      </c>
      <c r="E8848" t="str">
        <f>IFERROR(__xludf.DUMMYFUNCTION("""COMPUTED_VALUE"""),"Mohamed")</f>
        <v>Mohamed</v>
      </c>
      <c r="F8848" t="str">
        <f>IFERROR(__xludf.DUMMYFUNCTION("""COMPUTED_VALUE"""),"")</f>
        <v/>
      </c>
    </row>
    <row r="8849">
      <c r="D8849" t="str">
        <f>IFERROR(__xludf.DUMMYFUNCTION("""COMPUTED_VALUE"""),"Saubert")</f>
        <v>Saubert</v>
      </c>
      <c r="E8849" t="str">
        <f>IFERROR(__xludf.DUMMYFUNCTION("""COMPUTED_VALUE"""),"Eric")</f>
        <v>Eric</v>
      </c>
      <c r="F8849" t="str">
        <f>IFERROR(__xludf.DUMMYFUNCTION("""COMPUTED_VALUE"""),"")</f>
        <v/>
      </c>
    </row>
    <row r="8850">
      <c r="D8850" t="str">
        <f>IFERROR(__xludf.DUMMYFUNCTION("""COMPUTED_VALUE"""),"Saunders")</f>
        <v>Saunders</v>
      </c>
      <c r="E8850" t="str">
        <f>IFERROR(__xludf.DUMMYFUNCTION("""COMPUTED_VALUE"""),"Khalen")</f>
        <v>Khalen</v>
      </c>
      <c r="F8850" t="str">
        <f>IFERROR(__xludf.DUMMYFUNCTION("""COMPUTED_VALUE"""),"")</f>
        <v/>
      </c>
    </row>
    <row r="8851">
      <c r="D8851" t="str">
        <f>IFERROR(__xludf.DUMMYFUNCTION("""COMPUTED_VALUE"""),"Savage")</f>
        <v>Savage</v>
      </c>
      <c r="E8851" t="str">
        <f>IFERROR(__xludf.DUMMYFUNCTION("""COMPUTED_VALUE"""),"Darnell")</f>
        <v>Darnell</v>
      </c>
      <c r="F8851" t="str">
        <f>IFERROR(__xludf.DUMMYFUNCTION("""COMPUTED_VALUE"""),"")</f>
        <v/>
      </c>
    </row>
    <row r="8852">
      <c r="D8852" t="str">
        <f>IFERROR(__xludf.DUMMYFUNCTION("""COMPUTED_VALUE"""),"Savage")</f>
        <v>Savage</v>
      </c>
      <c r="E8852" t="str">
        <f>IFERROR(__xludf.DUMMYFUNCTION("""COMPUTED_VALUE"""),"Tom")</f>
        <v>Tom</v>
      </c>
      <c r="F8852" t="str">
        <f>IFERROR(__xludf.DUMMYFUNCTION("""COMPUTED_VALUE"""),"")</f>
        <v/>
      </c>
    </row>
    <row r="8853">
      <c r="D8853" t="str">
        <f>IFERROR(__xludf.DUMMYFUNCTION("""COMPUTED_VALUE"""),"Sayles")</f>
        <v>Sayles</v>
      </c>
      <c r="E8853" t="str">
        <f>IFERROR(__xludf.DUMMYFUNCTION("""COMPUTED_VALUE"""),"Casey")</f>
        <v>Casey</v>
      </c>
      <c r="F8853" t="str">
        <f>IFERROR(__xludf.DUMMYFUNCTION("""COMPUTED_VALUE"""),"")</f>
        <v/>
      </c>
    </row>
    <row r="8854">
      <c r="D8854" t="str">
        <f>IFERROR(__xludf.DUMMYFUNCTION("""COMPUTED_VALUE"""),"Scales")</f>
        <v>Scales</v>
      </c>
      <c r="E8854" t="str">
        <f>IFERROR(__xludf.DUMMYFUNCTION("""COMPUTED_VALUE"""),"Patrick")</f>
        <v>Patrick</v>
      </c>
      <c r="F8854" t="str">
        <f>IFERROR(__xludf.DUMMYFUNCTION("""COMPUTED_VALUE"""),"")</f>
        <v/>
      </c>
    </row>
    <row r="8855">
      <c r="D8855" t="str">
        <f>IFERROR(__xludf.DUMMYFUNCTION("""COMPUTED_VALUE"""),"Scales")</f>
        <v>Scales</v>
      </c>
      <c r="E8855" t="str">
        <f>IFERROR(__xludf.DUMMYFUNCTION("""COMPUTED_VALUE"""),"Tegray")</f>
        <v>Tegray</v>
      </c>
      <c r="F8855" t="str">
        <f>IFERROR(__xludf.DUMMYFUNCTION("""COMPUTED_VALUE"""),"")</f>
        <v/>
      </c>
    </row>
    <row r="8856">
      <c r="D8856" t="str">
        <f>IFERROR(__xludf.DUMMYFUNCTION("""COMPUTED_VALUE"""),"Scarbrough")</f>
        <v>Scarbrough</v>
      </c>
      <c r="E8856" t="str">
        <f>IFERROR(__xludf.DUMMYFUNCTION("""COMPUTED_VALUE"""),"Bo")</f>
        <v>Bo</v>
      </c>
      <c r="F8856" t="str">
        <f>IFERROR(__xludf.DUMMYFUNCTION("""COMPUTED_VALUE"""),"")</f>
        <v/>
      </c>
    </row>
    <row r="8857">
      <c r="D8857" t="str">
        <f>IFERROR(__xludf.DUMMYFUNCTION("""COMPUTED_VALUE"""),"Scarlett")</f>
        <v>Scarlett</v>
      </c>
      <c r="E8857" t="str">
        <f>IFERROR(__xludf.DUMMYFUNCTION("""COMPUTED_VALUE"""),"Brennan")</f>
        <v>Brennan</v>
      </c>
      <c r="F8857" t="str">
        <f>IFERROR(__xludf.DUMMYFUNCTION("""COMPUTED_VALUE"""),"")</f>
        <v/>
      </c>
    </row>
    <row r="8858">
      <c r="D8858" t="str">
        <f>IFERROR(__xludf.DUMMYFUNCTION("""COMPUTED_VALUE"""),"Scarlett")</f>
        <v>Scarlett</v>
      </c>
      <c r="E8858" t="str">
        <f>IFERROR(__xludf.DUMMYFUNCTION("""COMPUTED_VALUE"""),"Jordan")</f>
        <v>Jordan</v>
      </c>
      <c r="F8858" t="str">
        <f>IFERROR(__xludf.DUMMYFUNCTION("""COMPUTED_VALUE"""),"")</f>
        <v/>
      </c>
    </row>
    <row r="8859">
      <c r="D8859" t="str">
        <f>IFERROR(__xludf.DUMMYFUNCTION("""COMPUTED_VALUE"""),"Scharping")</f>
        <v>Scharping</v>
      </c>
      <c r="E8859" t="str">
        <f>IFERROR(__xludf.DUMMYFUNCTION("""COMPUTED_VALUE"""),"Max")</f>
        <v>Max</v>
      </c>
      <c r="F8859" t="str">
        <f>IFERROR(__xludf.DUMMYFUNCTION("""COMPUTED_VALUE"""),"")</f>
        <v/>
      </c>
    </row>
    <row r="8860">
      <c r="D8860" t="str">
        <f>IFERROR(__xludf.DUMMYFUNCTION("""COMPUTED_VALUE"""),"Schaub")</f>
        <v>Schaub</v>
      </c>
      <c r="E8860" t="str">
        <f>IFERROR(__xludf.DUMMYFUNCTION("""COMPUTED_VALUE"""),"Matt")</f>
        <v>Matt</v>
      </c>
      <c r="F8860" t="str">
        <f>IFERROR(__xludf.DUMMYFUNCTION("""COMPUTED_VALUE"""),"")</f>
        <v/>
      </c>
    </row>
    <row r="8861">
      <c r="D8861" t="str">
        <f>IFERROR(__xludf.DUMMYFUNCTION("""COMPUTED_VALUE"""),"Scherff")</f>
        <v>Scherff</v>
      </c>
      <c r="E8861" t="str">
        <f>IFERROR(__xludf.DUMMYFUNCTION("""COMPUTED_VALUE"""),"Brandon")</f>
        <v>Brandon</v>
      </c>
      <c r="F8861" t="str">
        <f>IFERROR(__xludf.DUMMYFUNCTION("""COMPUTED_VALUE"""),"")</f>
        <v/>
      </c>
    </row>
    <row r="8862">
      <c r="D8862" t="str">
        <f>IFERROR(__xludf.DUMMYFUNCTION("""COMPUTED_VALUE"""),"Schlottmann")</f>
        <v>Schlottmann</v>
      </c>
      <c r="E8862" t="str">
        <f>IFERROR(__xludf.DUMMYFUNCTION("""COMPUTED_VALUE"""),"Austin")</f>
        <v>Austin</v>
      </c>
      <c r="F8862" t="str">
        <f>IFERROR(__xludf.DUMMYFUNCTION("""COMPUTED_VALUE"""),"")</f>
        <v/>
      </c>
    </row>
    <row r="8863">
      <c r="D8863" t="str">
        <f>IFERROR(__xludf.DUMMYFUNCTION("""COMPUTED_VALUE"""),"Schobert")</f>
        <v>Schobert</v>
      </c>
      <c r="E8863" t="str">
        <f>IFERROR(__xludf.DUMMYFUNCTION("""COMPUTED_VALUE"""),"Joe")</f>
        <v>Joe</v>
      </c>
      <c r="F8863" t="str">
        <f>IFERROR(__xludf.DUMMYFUNCTION("""COMPUTED_VALUE"""),"")</f>
        <v/>
      </c>
    </row>
    <row r="8864">
      <c r="D8864" t="str">
        <f>IFERROR(__xludf.DUMMYFUNCTION("""COMPUTED_VALUE"""),"Schofield")</f>
        <v>Schofield</v>
      </c>
      <c r="E8864" t="str">
        <f>IFERROR(__xludf.DUMMYFUNCTION("""COMPUTED_VALUE"""),"Michael")</f>
        <v>Michael</v>
      </c>
      <c r="F8864" t="str">
        <f>IFERROR(__xludf.DUMMYFUNCTION("""COMPUTED_VALUE"""),"")</f>
        <v/>
      </c>
    </row>
    <row r="8865">
      <c r="D8865" t="str">
        <f>IFERROR(__xludf.DUMMYFUNCTION("""COMPUTED_VALUE"""),"Schreck")</f>
        <v>Schreck</v>
      </c>
      <c r="E8865" t="str">
        <f>IFERROR(__xludf.DUMMYFUNCTION("""COMPUTED_VALUE"""),"Mason")</f>
        <v>Mason</v>
      </c>
      <c r="F8865" t="str">
        <f>IFERROR(__xludf.DUMMYFUNCTION("""COMPUTED_VALUE"""),"")</f>
        <v/>
      </c>
    </row>
    <row r="8866">
      <c r="D8866" t="str">
        <f>IFERROR(__xludf.DUMMYFUNCTION("""COMPUTED_VALUE"""),"Schultz")</f>
        <v>Schultz</v>
      </c>
      <c r="E8866" t="str">
        <f>IFERROR(__xludf.DUMMYFUNCTION("""COMPUTED_VALUE"""),"Dalton")</f>
        <v>Dalton</v>
      </c>
      <c r="F8866" t="str">
        <f>IFERROR(__xludf.DUMMYFUNCTION("""COMPUTED_VALUE"""),"")</f>
        <v/>
      </c>
    </row>
    <row r="8867">
      <c r="D8867" t="str">
        <f>IFERROR(__xludf.DUMMYFUNCTION("""COMPUTED_VALUE"""),"Schwartz")</f>
        <v>Schwartz</v>
      </c>
      <c r="E8867" t="str">
        <f>IFERROR(__xludf.DUMMYFUNCTION("""COMPUTED_VALUE"""),"Mitchell")</f>
        <v>Mitchell</v>
      </c>
      <c r="F8867" t="str">
        <f>IFERROR(__xludf.DUMMYFUNCTION("""COMPUTED_VALUE"""),"")</f>
        <v/>
      </c>
    </row>
    <row r="8868">
      <c r="D8868" t="str">
        <f>IFERROR(__xludf.DUMMYFUNCTION("""COMPUTED_VALUE"""),"Schweitzer")</f>
        <v>Schweitzer</v>
      </c>
      <c r="E8868" t="str">
        <f>IFERROR(__xludf.DUMMYFUNCTION("""COMPUTED_VALUE"""),"Wes")</f>
        <v>Wes</v>
      </c>
      <c r="F8868" t="str">
        <f>IFERROR(__xludf.DUMMYFUNCTION("""COMPUTED_VALUE"""),"")</f>
        <v/>
      </c>
    </row>
    <row r="8869">
      <c r="D8869" t="str">
        <f>IFERROR(__xludf.DUMMYFUNCTION("""COMPUTED_VALUE"""),"Scott")</f>
        <v>Scott</v>
      </c>
      <c r="E8869" t="str">
        <f>IFERROR(__xludf.DUMMYFUNCTION("""COMPUTED_VALUE"""),"Artavis")</f>
        <v>Artavis</v>
      </c>
      <c r="F8869" t="str">
        <f>IFERROR(__xludf.DUMMYFUNCTION("""COMPUTED_VALUE"""),"")</f>
        <v/>
      </c>
    </row>
    <row r="8870">
      <c r="D8870" t="str">
        <f>IFERROR(__xludf.DUMMYFUNCTION("""COMPUTED_VALUE"""),"Scott")</f>
        <v>Scott</v>
      </c>
      <c r="E8870" t="str">
        <f>IFERROR(__xludf.DUMMYFUNCTION("""COMPUTED_VALUE"""),"Boston")</f>
        <v>Boston</v>
      </c>
      <c r="F8870" t="str">
        <f>IFERROR(__xludf.DUMMYFUNCTION("""COMPUTED_VALUE"""),"")</f>
        <v/>
      </c>
    </row>
    <row r="8871">
      <c r="D8871" t="str">
        <f>IFERROR(__xludf.DUMMYFUNCTION("""COMPUTED_VALUE"""),"Scott")</f>
        <v>Scott</v>
      </c>
      <c r="E8871" t="str">
        <f>IFERROR(__xludf.DUMMYFUNCTION("""COMPUTED_VALUE"""),"DaMari")</f>
        <v>DaMari</v>
      </c>
      <c r="F8871" t="str">
        <f>IFERROR(__xludf.DUMMYFUNCTION("""COMPUTED_VALUE"""),"")</f>
        <v/>
      </c>
    </row>
    <row r="8872">
      <c r="D8872" t="str">
        <f>IFERROR(__xludf.DUMMYFUNCTION("""COMPUTED_VALUE"""),"Scott")</f>
        <v>Scott</v>
      </c>
      <c r="E8872" t="str">
        <f>IFERROR(__xludf.DUMMYFUNCTION("""COMPUTED_VALUE"""),"Jaleel")</f>
        <v>Jaleel</v>
      </c>
      <c r="F8872" t="str">
        <f>IFERROR(__xludf.DUMMYFUNCTION("""COMPUTED_VALUE"""),"")</f>
        <v/>
      </c>
    </row>
    <row r="8873">
      <c r="D8873" t="str">
        <f>IFERROR(__xludf.DUMMYFUNCTION("""COMPUTED_VALUE"""),"Scott")</f>
        <v>Scott</v>
      </c>
      <c r="E8873" t="str">
        <f>IFERROR(__xludf.DUMMYFUNCTION("""COMPUTED_VALUE"""),"JK")</f>
        <v>JK</v>
      </c>
      <c r="F8873" t="str">
        <f>IFERROR(__xludf.DUMMYFUNCTION("""COMPUTED_VALUE"""),"")</f>
        <v/>
      </c>
    </row>
    <row r="8874">
      <c r="D8874" t="str">
        <f>IFERROR(__xludf.DUMMYFUNCTION("""COMPUTED_VALUE"""),"Scott")</f>
        <v>Scott</v>
      </c>
      <c r="E8874" t="str">
        <f>IFERROR(__xludf.DUMMYFUNCTION("""COMPUTED_VALUE"""),"Nick")</f>
        <v>Nick</v>
      </c>
      <c r="F8874" t="str">
        <f>IFERROR(__xludf.DUMMYFUNCTION("""COMPUTED_VALUE"""),"")</f>
        <v/>
      </c>
    </row>
    <row r="8875">
      <c r="D8875" t="str">
        <f>IFERROR(__xludf.DUMMYFUNCTION("""COMPUTED_VALUE"""),"Scott")</f>
        <v>Scott</v>
      </c>
      <c r="E8875" t="str">
        <f>IFERROR(__xludf.DUMMYFUNCTION("""COMPUTED_VALUE"""),"Niles")</f>
        <v>Niles</v>
      </c>
      <c r="F8875" t="str">
        <f>IFERROR(__xludf.DUMMYFUNCTION("""COMPUTED_VALUE"""),"")</f>
        <v/>
      </c>
    </row>
    <row r="8876">
      <c r="D8876" t="str">
        <f>IFERROR(__xludf.DUMMYFUNCTION("""COMPUTED_VALUE"""),"Scott")</f>
        <v>Scott</v>
      </c>
      <c r="E8876" t="str">
        <f>IFERROR(__xludf.DUMMYFUNCTION("""COMPUTED_VALUE"""),"Trenton")</f>
        <v>Trenton</v>
      </c>
      <c r="F8876" t="str">
        <f>IFERROR(__xludf.DUMMYFUNCTION("""COMPUTED_VALUE"""),"")</f>
        <v/>
      </c>
    </row>
    <row r="8877">
      <c r="D8877" t="str">
        <f>IFERROR(__xludf.DUMMYFUNCTION("""COMPUTED_VALUE"""),"Seals-Jones")</f>
        <v>Seals-Jones</v>
      </c>
      <c r="E8877" t="str">
        <f>IFERROR(__xludf.DUMMYFUNCTION("""COMPUTED_VALUE"""),"Ricky")</f>
        <v>Ricky</v>
      </c>
      <c r="F8877" t="str">
        <f>IFERROR(__xludf.DUMMYFUNCTION("""COMPUTED_VALUE"""),"")</f>
        <v/>
      </c>
    </row>
    <row r="8878">
      <c r="D8878" t="str">
        <f>IFERROR(__xludf.DUMMYFUNCTION("""COMPUTED_VALUE"""),"Seaton")</f>
        <v>Seaton</v>
      </c>
      <c r="E8878" t="str">
        <f>IFERROR(__xludf.DUMMYFUNCTION("""COMPUTED_VALUE"""),"Brad")</f>
        <v>Brad</v>
      </c>
      <c r="F8878" t="str">
        <f>IFERROR(__xludf.DUMMYFUNCTION("""COMPUTED_VALUE"""),"")</f>
        <v/>
      </c>
    </row>
    <row r="8879">
      <c r="D8879" t="str">
        <f>IFERROR(__xludf.DUMMYFUNCTION("""COMPUTED_VALUE"""),"Seibert")</f>
        <v>Seibert</v>
      </c>
      <c r="E8879" t="str">
        <f>IFERROR(__xludf.DUMMYFUNCTION("""COMPUTED_VALUE"""),"Austin")</f>
        <v>Austin</v>
      </c>
      <c r="F8879" t="str">
        <f>IFERROR(__xludf.DUMMYFUNCTION("""COMPUTED_VALUE"""),"")</f>
        <v/>
      </c>
    </row>
    <row r="8880">
      <c r="D8880" t="str">
        <f>IFERROR(__xludf.DUMMYFUNCTION("""COMPUTED_VALUE"""),"Senat")</f>
        <v>Senat</v>
      </c>
      <c r="E8880" t="str">
        <f>IFERROR(__xludf.DUMMYFUNCTION("""COMPUTED_VALUE"""),"Deadrin")</f>
        <v>Deadrin</v>
      </c>
      <c r="F8880" t="str">
        <f>IFERROR(__xludf.DUMMYFUNCTION("""COMPUTED_VALUE"""),"")</f>
        <v/>
      </c>
    </row>
    <row r="8881">
      <c r="D8881" t="str">
        <f>IFERROR(__xludf.DUMMYFUNCTION("""COMPUTED_VALUE"""),"Senat")</f>
        <v>Senat</v>
      </c>
      <c r="E8881" t="str">
        <f>IFERROR(__xludf.DUMMYFUNCTION("""COMPUTED_VALUE"""),"Greg")</f>
        <v>Greg</v>
      </c>
      <c r="F8881" t="str">
        <f>IFERROR(__xludf.DUMMYFUNCTION("""COMPUTED_VALUE"""),"")</f>
        <v/>
      </c>
    </row>
    <row r="8882">
      <c r="D8882" t="str">
        <f>IFERROR(__xludf.DUMMYFUNCTION("""COMPUTED_VALUE"""),"Sendejo")</f>
        <v>Sendejo</v>
      </c>
      <c r="E8882" t="str">
        <f>IFERROR(__xludf.DUMMYFUNCTION("""COMPUTED_VALUE"""),"Andrew")</f>
        <v>Andrew</v>
      </c>
      <c r="F8882" t="str">
        <f>IFERROR(__xludf.DUMMYFUNCTION("""COMPUTED_VALUE"""),"")</f>
        <v/>
      </c>
    </row>
    <row r="8883">
      <c r="D8883" t="str">
        <f>IFERROR(__xludf.DUMMYFUNCTION("""COMPUTED_VALUE"""),"Senior")</f>
        <v>Senior</v>
      </c>
      <c r="E8883" t="str">
        <f>IFERROR(__xludf.DUMMYFUNCTION("""COMPUTED_VALUE"""),"Justin")</f>
        <v>Justin</v>
      </c>
      <c r="F8883" t="str">
        <f>IFERROR(__xludf.DUMMYFUNCTION("""COMPUTED_VALUE"""),"")</f>
        <v/>
      </c>
    </row>
    <row r="8884">
      <c r="D8884" t="str">
        <f>IFERROR(__xludf.DUMMYFUNCTION("""COMPUTED_VALUE"""),"Settle")</f>
        <v>Settle</v>
      </c>
      <c r="E8884" t="str">
        <f>IFERROR(__xludf.DUMMYFUNCTION("""COMPUTED_VALUE"""),"Tim")</f>
        <v>Tim</v>
      </c>
      <c r="F8884" t="str">
        <f>IFERROR(__xludf.DUMMYFUNCTION("""COMPUTED_VALUE"""),"")</f>
        <v/>
      </c>
    </row>
    <row r="8885">
      <c r="D8885" t="str">
        <f>IFERROR(__xludf.DUMMYFUNCTION("""COMPUTED_VALUE"""),"Seumalo")</f>
        <v>Seumalo</v>
      </c>
      <c r="E8885" t="str">
        <f>IFERROR(__xludf.DUMMYFUNCTION("""COMPUTED_VALUE"""),"Isaac")</f>
        <v>Isaac</v>
      </c>
      <c r="F8885" t="str">
        <f>IFERROR(__xludf.DUMMYFUNCTION("""COMPUTED_VALUE"""),"")</f>
        <v/>
      </c>
    </row>
    <row r="8886">
      <c r="D8886" t="str">
        <f>IFERROR(__xludf.DUMMYFUNCTION("""COMPUTED_VALUE"""),"Seymour")</f>
        <v>Seymour</v>
      </c>
      <c r="E8886" t="str">
        <f>IFERROR(__xludf.DUMMYFUNCTION("""COMPUTED_VALUE"""),"Kevon")</f>
        <v>Kevon</v>
      </c>
      <c r="F8886" t="str">
        <f>IFERROR(__xludf.DUMMYFUNCTION("""COMPUTED_VALUE"""),"")</f>
        <v/>
      </c>
    </row>
    <row r="8887">
      <c r="D8887" t="str">
        <f>IFERROR(__xludf.DUMMYFUNCTION("""COMPUTED_VALUE"""),"Shaheen")</f>
        <v>Shaheen</v>
      </c>
      <c r="E8887" t="str">
        <f>IFERROR(__xludf.DUMMYFUNCTION("""COMPUTED_VALUE"""),"Adam")</f>
        <v>Adam</v>
      </c>
      <c r="F8887" t="str">
        <f>IFERROR(__xludf.DUMMYFUNCTION("""COMPUTED_VALUE"""),"")</f>
        <v/>
      </c>
    </row>
    <row r="8888">
      <c r="D8888" t="str">
        <f>IFERROR(__xludf.DUMMYFUNCTION("""COMPUTED_VALUE"""),"Shakir")</f>
        <v>Shakir</v>
      </c>
      <c r="E8888" t="str">
        <f>IFERROR(__xludf.DUMMYFUNCTION("""COMPUTED_VALUE"""),"Maurquice")</f>
        <v>Maurquice</v>
      </c>
      <c r="F8888" t="str">
        <f>IFERROR(__xludf.DUMMYFUNCTION("""COMPUTED_VALUE"""),"")</f>
        <v/>
      </c>
    </row>
    <row r="8889">
      <c r="D8889" t="str">
        <f>IFERROR(__xludf.DUMMYFUNCTION("""COMPUTED_VALUE"""),"Sharpe")</f>
        <v>Sharpe</v>
      </c>
      <c r="E8889" t="str">
        <f>IFERROR(__xludf.DUMMYFUNCTION("""COMPUTED_VALUE"""),"David")</f>
        <v>David</v>
      </c>
      <c r="F8889" t="str">
        <f>IFERROR(__xludf.DUMMYFUNCTION("""COMPUTED_VALUE"""),"")</f>
        <v/>
      </c>
    </row>
    <row r="8890">
      <c r="D8890" t="str">
        <f>IFERROR(__xludf.DUMMYFUNCTION("""COMPUTED_VALUE"""),"Sharpe")</f>
        <v>Sharpe</v>
      </c>
      <c r="E8890" t="str">
        <f>IFERROR(__xludf.DUMMYFUNCTION("""COMPUTED_VALUE"""),"Tajae")</f>
        <v>Tajae</v>
      </c>
      <c r="F8890" t="str">
        <f>IFERROR(__xludf.DUMMYFUNCTION("""COMPUTED_VALUE"""),"")</f>
        <v/>
      </c>
    </row>
    <row r="8891">
      <c r="D8891" t="str">
        <f>IFERROR(__xludf.DUMMYFUNCTION("""COMPUTED_VALUE"""),"Shatley")</f>
        <v>Shatley</v>
      </c>
      <c r="E8891" t="str">
        <f>IFERROR(__xludf.DUMMYFUNCTION("""COMPUTED_VALUE"""),"Tyler")</f>
        <v>Tyler</v>
      </c>
      <c r="F8891" t="str">
        <f>IFERROR(__xludf.DUMMYFUNCTION("""COMPUTED_VALUE"""),"")</f>
        <v/>
      </c>
    </row>
    <row r="8892">
      <c r="D8892" t="str">
        <f>IFERROR(__xludf.DUMMYFUNCTION("""COMPUTED_VALUE"""),"Shaw")</f>
        <v>Shaw</v>
      </c>
      <c r="E8892" t="str">
        <f>IFERROR(__xludf.DUMMYFUNCTION("""COMPUTED_VALUE"""),"Josh")</f>
        <v>Josh</v>
      </c>
      <c r="F8892" t="str">
        <f>IFERROR(__xludf.DUMMYFUNCTION("""COMPUTED_VALUE"""),"")</f>
        <v/>
      </c>
    </row>
    <row r="8893">
      <c r="D8893" t="str">
        <f>IFERROR(__xludf.DUMMYFUNCTION("""COMPUTED_VALUE"""),"Shazier")</f>
        <v>Shazier</v>
      </c>
      <c r="E8893" t="str">
        <f>IFERROR(__xludf.DUMMYFUNCTION("""COMPUTED_VALUE"""),"Ryan")</f>
        <v>Ryan</v>
      </c>
      <c r="F8893" t="str">
        <f>IFERROR(__xludf.DUMMYFUNCTION("""COMPUTED_VALUE"""),"")</f>
        <v/>
      </c>
    </row>
    <row r="8894">
      <c r="D8894" t="str">
        <f>IFERROR(__xludf.DUMMYFUNCTION("""COMPUTED_VALUE"""),"Sheard")</f>
        <v>Sheard</v>
      </c>
      <c r="E8894" t="str">
        <f>IFERROR(__xludf.DUMMYFUNCTION("""COMPUTED_VALUE"""),"Jabaal")</f>
        <v>Jabaal</v>
      </c>
      <c r="F8894" t="str">
        <f>IFERROR(__xludf.DUMMYFUNCTION("""COMPUTED_VALUE"""),"")</f>
        <v/>
      </c>
    </row>
    <row r="8895">
      <c r="D8895" t="str">
        <f>IFERROR(__xludf.DUMMYFUNCTION("""COMPUTED_VALUE"""),"Sheehy")</f>
        <v>Sheehy</v>
      </c>
      <c r="E8895" t="str">
        <f>IFERROR(__xludf.DUMMYFUNCTION("""COMPUTED_VALUE"""),"Conor")</f>
        <v>Conor</v>
      </c>
      <c r="F8895" t="str">
        <f>IFERROR(__xludf.DUMMYFUNCTION("""COMPUTED_VALUE"""),"")</f>
        <v/>
      </c>
    </row>
    <row r="8896">
      <c r="D8896" t="str">
        <f>IFERROR(__xludf.DUMMYFUNCTION("""COMPUTED_VALUE"""),"Sheffield")</f>
        <v>Sheffield</v>
      </c>
      <c r="E8896" t="str">
        <f>IFERROR(__xludf.DUMMYFUNCTION("""COMPUTED_VALUE"""),"Kendall")</f>
        <v>Kendall</v>
      </c>
      <c r="F8896" t="str">
        <f>IFERROR(__xludf.DUMMYFUNCTION("""COMPUTED_VALUE"""),"")</f>
        <v/>
      </c>
    </row>
    <row r="8897">
      <c r="D8897" t="str">
        <f>IFERROR(__xludf.DUMMYFUNCTION("""COMPUTED_VALUE"""),"Shell")</f>
        <v>Shell</v>
      </c>
      <c r="E8897" t="str">
        <f>IFERROR(__xludf.DUMMYFUNCTION("""COMPUTED_VALUE"""),"Brandon")</f>
        <v>Brandon</v>
      </c>
      <c r="F8897" t="str">
        <f>IFERROR(__xludf.DUMMYFUNCTION("""COMPUTED_VALUE"""),"")</f>
        <v/>
      </c>
    </row>
    <row r="8898">
      <c r="D8898" t="str">
        <f>IFERROR(__xludf.DUMMYFUNCTION("""COMPUTED_VALUE"""),"Shelley")</f>
        <v>Shelley</v>
      </c>
      <c r="E8898" t="str">
        <f>IFERROR(__xludf.DUMMYFUNCTION("""COMPUTED_VALUE"""),"Duke")</f>
        <v>Duke</v>
      </c>
      <c r="F8898" t="str">
        <f>IFERROR(__xludf.DUMMYFUNCTION("""COMPUTED_VALUE"""),"")</f>
        <v/>
      </c>
    </row>
    <row r="8899">
      <c r="D8899" t="str">
        <f>IFERROR(__xludf.DUMMYFUNCTION("""COMPUTED_VALUE"""),"Shelton")</f>
        <v>Shelton</v>
      </c>
      <c r="E8899" t="str">
        <f>IFERROR(__xludf.DUMMYFUNCTION("""COMPUTED_VALUE"""),"Danny")</f>
        <v>Danny</v>
      </c>
      <c r="F8899" t="str">
        <f>IFERROR(__xludf.DUMMYFUNCTION("""COMPUTED_VALUE"""),"")</f>
        <v/>
      </c>
    </row>
    <row r="8900">
      <c r="D8900" t="str">
        <f>IFERROR(__xludf.DUMMYFUNCTION("""COMPUTED_VALUE"""),"Shepard")</f>
        <v>Shepard</v>
      </c>
      <c r="E8900" t="str">
        <f>IFERROR(__xludf.DUMMYFUNCTION("""COMPUTED_VALUE"""),"Russell")</f>
        <v>Russell</v>
      </c>
      <c r="F8900" t="str">
        <f>IFERROR(__xludf.DUMMYFUNCTION("""COMPUTED_VALUE"""),"")</f>
        <v/>
      </c>
    </row>
    <row r="8901">
      <c r="D8901" t="str">
        <f>IFERROR(__xludf.DUMMYFUNCTION("""COMPUTED_VALUE"""),"Shepard")</f>
        <v>Shepard</v>
      </c>
      <c r="E8901" t="str">
        <f>IFERROR(__xludf.DUMMYFUNCTION("""COMPUTED_VALUE"""),"Sterling")</f>
        <v>Sterling</v>
      </c>
      <c r="F8901" t="str">
        <f>IFERROR(__xludf.DUMMYFUNCTION("""COMPUTED_VALUE"""),"")</f>
        <v/>
      </c>
    </row>
    <row r="8902">
      <c r="D8902" t="str">
        <f>IFERROR(__xludf.DUMMYFUNCTION("""COMPUTED_VALUE"""),"Shepherd")</f>
        <v>Shepherd</v>
      </c>
      <c r="E8902" t="str">
        <f>IFERROR(__xludf.DUMMYFUNCTION("""COMPUTED_VALUE"""),"Nathan")</f>
        <v>Nathan</v>
      </c>
      <c r="F8902" t="str">
        <f>IFERROR(__xludf.DUMMYFUNCTION("""COMPUTED_VALUE"""),"")</f>
        <v/>
      </c>
    </row>
    <row r="8903">
      <c r="D8903" t="str">
        <f>IFERROR(__xludf.DUMMYFUNCTION("""COMPUTED_VALUE"""),"Sherels")</f>
        <v>Sherels</v>
      </c>
      <c r="E8903" t="str">
        <f>IFERROR(__xludf.DUMMYFUNCTION("""COMPUTED_VALUE"""),"Marcus")</f>
        <v>Marcus</v>
      </c>
      <c r="F8903" t="str">
        <f>IFERROR(__xludf.DUMMYFUNCTION("""COMPUTED_VALUE"""),"")</f>
        <v/>
      </c>
    </row>
    <row r="8904">
      <c r="D8904" t="str">
        <f>IFERROR(__xludf.DUMMYFUNCTION("""COMPUTED_VALUE"""),"Sherfield")</f>
        <v>Sherfield</v>
      </c>
      <c r="E8904" t="str">
        <f>IFERROR(__xludf.DUMMYFUNCTION("""COMPUTED_VALUE"""),"Trent")</f>
        <v>Trent</v>
      </c>
      <c r="F8904" t="str">
        <f>IFERROR(__xludf.DUMMYFUNCTION("""COMPUTED_VALUE"""),"")</f>
        <v/>
      </c>
    </row>
    <row r="8905">
      <c r="D8905" t="str">
        <f>IFERROR(__xludf.DUMMYFUNCTION("""COMPUTED_VALUE"""),"Sherman")</f>
        <v>Sherman</v>
      </c>
      <c r="E8905" t="str">
        <f>IFERROR(__xludf.DUMMYFUNCTION("""COMPUTED_VALUE"""),"Anthony")</f>
        <v>Anthony</v>
      </c>
      <c r="F8905" t="str">
        <f>IFERROR(__xludf.DUMMYFUNCTION("""COMPUTED_VALUE"""),"")</f>
        <v/>
      </c>
    </row>
    <row r="8906">
      <c r="D8906" t="str">
        <f>IFERROR(__xludf.DUMMYFUNCTION("""COMPUTED_VALUE"""),"Sherman")</f>
        <v>Sherman</v>
      </c>
      <c r="E8906" t="str">
        <f>IFERROR(__xludf.DUMMYFUNCTION("""COMPUTED_VALUE"""),"Richard")</f>
        <v>Richard</v>
      </c>
      <c r="F8906" t="str">
        <f>IFERROR(__xludf.DUMMYFUNCTION("""COMPUTED_VALUE"""),"")</f>
        <v/>
      </c>
    </row>
    <row r="8907">
      <c r="D8907" t="str">
        <f>IFERROR(__xludf.DUMMYFUNCTION("""COMPUTED_VALUE"""),"Shipley")</f>
        <v>Shipley</v>
      </c>
      <c r="E8907" t="str">
        <f>IFERROR(__xludf.DUMMYFUNCTION("""COMPUTED_VALUE"""),"AQ")</f>
        <v>AQ</v>
      </c>
      <c r="F8907" t="str">
        <f>IFERROR(__xludf.DUMMYFUNCTION("""COMPUTED_VALUE"""),"")</f>
        <v/>
      </c>
    </row>
    <row r="8908">
      <c r="D8908" t="str">
        <f>IFERROR(__xludf.DUMMYFUNCTION("""COMPUTED_VALUE"""),"Short")</f>
        <v>Short</v>
      </c>
      <c r="E8908" t="str">
        <f>IFERROR(__xludf.DUMMYFUNCTION("""COMPUTED_VALUE"""),"Kawann")</f>
        <v>Kawann</v>
      </c>
      <c r="F8908" t="str">
        <f>IFERROR(__xludf.DUMMYFUNCTION("""COMPUTED_VALUE"""),"")</f>
        <v/>
      </c>
    </row>
    <row r="8909">
      <c r="D8909" t="str">
        <f>IFERROR(__xludf.DUMMYFUNCTION("""COMPUTED_VALUE"""),"Showers")</f>
        <v>Showers</v>
      </c>
      <c r="E8909" t="str">
        <f>IFERROR(__xludf.DUMMYFUNCTION("""COMPUTED_VALUE"""),"Jameill")</f>
        <v>Jameill</v>
      </c>
      <c r="F8909" t="str">
        <f>IFERROR(__xludf.DUMMYFUNCTION("""COMPUTED_VALUE"""),"")</f>
        <v/>
      </c>
    </row>
    <row r="8910">
      <c r="D8910" t="str">
        <f>IFERROR(__xludf.DUMMYFUNCTION("""COMPUTED_VALUE"""),"Shurmur")</f>
        <v>Shurmur</v>
      </c>
      <c r="E8910" t="str">
        <f>IFERROR(__xludf.DUMMYFUNCTION("""COMPUTED_VALUE"""),"Kyle")</f>
        <v>Kyle</v>
      </c>
      <c r="F8910" t="str">
        <f>IFERROR(__xludf.DUMMYFUNCTION("""COMPUTED_VALUE"""),"")</f>
        <v/>
      </c>
    </row>
    <row r="8911">
      <c r="D8911" t="str">
        <f>IFERROR(__xludf.DUMMYFUNCTION("""COMPUTED_VALUE"""),"Sieler")</f>
        <v>Sieler</v>
      </c>
      <c r="E8911" t="str">
        <f>IFERROR(__xludf.DUMMYFUNCTION("""COMPUTED_VALUE"""),"Zach")</f>
        <v>Zach</v>
      </c>
      <c r="F8911" t="str">
        <f>IFERROR(__xludf.DUMMYFUNCTION("""COMPUTED_VALUE"""),"")</f>
        <v/>
      </c>
    </row>
    <row r="8912">
      <c r="D8912" t="str">
        <f>IFERROR(__xludf.DUMMYFUNCTION("""COMPUTED_VALUE"""),"Siemian")</f>
        <v>Siemian</v>
      </c>
      <c r="E8912" t="str">
        <f>IFERROR(__xludf.DUMMYFUNCTION("""COMPUTED_VALUE"""),"Trevor")</f>
        <v>Trevor</v>
      </c>
      <c r="F8912" t="str">
        <f>IFERROR(__xludf.DUMMYFUNCTION("""COMPUTED_VALUE"""),"")</f>
        <v/>
      </c>
    </row>
    <row r="8913">
      <c r="D8913" t="str">
        <f>IFERROR(__xludf.DUMMYFUNCTION("""COMPUTED_VALUE"""),"Silberman")</f>
        <v>Silberman</v>
      </c>
      <c r="E8913" t="str">
        <f>IFERROR(__xludf.DUMMYFUNCTION("""COMPUTED_VALUE"""),"Ian")</f>
        <v>Ian</v>
      </c>
      <c r="F8913" t="str">
        <f>IFERROR(__xludf.DUMMYFUNCTION("""COMPUTED_VALUE"""),"")</f>
        <v/>
      </c>
    </row>
    <row r="8914">
      <c r="D8914" t="str">
        <f>IFERROR(__xludf.DUMMYFUNCTION("""COMPUTED_VALUE"""),"Sills")</f>
        <v>Sills</v>
      </c>
      <c r="E8914" t="str">
        <f>IFERROR(__xludf.DUMMYFUNCTION("""COMPUTED_VALUE"""),"David")</f>
        <v>David</v>
      </c>
      <c r="F8914" t="str">
        <f>IFERROR(__xludf.DUMMYFUNCTION("""COMPUTED_VALUE"""),"")</f>
        <v/>
      </c>
    </row>
    <row r="8915">
      <c r="D8915" t="str">
        <f>IFERROR(__xludf.DUMMYFUNCTION("""COMPUTED_VALUE"""),"Simmons")</f>
        <v>Simmons</v>
      </c>
      <c r="E8915" t="str">
        <f>IFERROR(__xludf.DUMMYFUNCTION("""COMPUTED_VALUE"""),"Jeffery")</f>
        <v>Jeffery</v>
      </c>
      <c r="F8915" t="str">
        <f>IFERROR(__xludf.DUMMYFUNCTION("""COMPUTED_VALUE"""),"")</f>
        <v/>
      </c>
    </row>
    <row r="8916">
      <c r="D8916" t="str">
        <f>IFERROR(__xludf.DUMMYFUNCTION("""COMPUTED_VALUE"""),"Simmons")</f>
        <v>Simmons</v>
      </c>
      <c r="E8916" t="str">
        <f>IFERROR(__xludf.DUMMYFUNCTION("""COMPUTED_VALUE"""),"Jordan")</f>
        <v>Jordan</v>
      </c>
      <c r="F8916" t="str">
        <f>IFERROR(__xludf.DUMMYFUNCTION("""COMPUTED_VALUE"""),"")</f>
        <v/>
      </c>
    </row>
    <row r="8917">
      <c r="D8917" t="str">
        <f>IFERROR(__xludf.DUMMYFUNCTION("""COMPUTED_VALUE"""),"Simmons")</f>
        <v>Simmons</v>
      </c>
      <c r="E8917" t="str">
        <f>IFERROR(__xludf.DUMMYFUNCTION("""COMPUTED_VALUE"""),"Justin")</f>
        <v>Justin</v>
      </c>
      <c r="F8917" t="str">
        <f>IFERROR(__xludf.DUMMYFUNCTION("""COMPUTED_VALUE"""),"")</f>
        <v/>
      </c>
    </row>
    <row r="8918">
      <c r="D8918" t="str">
        <f>IFERROR(__xludf.DUMMYFUNCTION("""COMPUTED_VALUE"""),"Simon")</f>
        <v>Simon</v>
      </c>
      <c r="E8918" t="str">
        <f>IFERROR(__xludf.DUMMYFUNCTION("""COMPUTED_VALUE"""),"Deon")</f>
        <v>Deon</v>
      </c>
      <c r="F8918" t="str">
        <f>IFERROR(__xludf.DUMMYFUNCTION("""COMPUTED_VALUE"""),"")</f>
        <v/>
      </c>
    </row>
    <row r="8919">
      <c r="D8919" t="str">
        <f>IFERROR(__xludf.DUMMYFUNCTION("""COMPUTED_VALUE"""),"Simon")</f>
        <v>Simon</v>
      </c>
      <c r="E8919" t="str">
        <f>IFERROR(__xludf.DUMMYFUNCTION("""COMPUTED_VALUE"""),"John")</f>
        <v>John</v>
      </c>
      <c r="F8919" t="str">
        <f>IFERROR(__xludf.DUMMYFUNCTION("""COMPUTED_VALUE"""),"")</f>
        <v/>
      </c>
    </row>
    <row r="8920">
      <c r="D8920" t="str">
        <f>IFERROR(__xludf.DUMMYFUNCTION("""COMPUTED_VALUE"""),"Simonson")</f>
        <v>Simonson</v>
      </c>
      <c r="E8920" t="str">
        <f>IFERROR(__xludf.DUMMYFUNCTION("""COMPUTED_VALUE"""),"Scott")</f>
        <v>Scott</v>
      </c>
      <c r="F8920" t="str">
        <f>IFERROR(__xludf.DUMMYFUNCTION("""COMPUTED_VALUE"""),"")</f>
        <v/>
      </c>
    </row>
    <row r="8921">
      <c r="D8921" t="str">
        <f>IFERROR(__xludf.DUMMYFUNCTION("""COMPUTED_VALUE"""),"Sims")</f>
        <v>Sims</v>
      </c>
      <c r="E8921" t="str">
        <f>IFERROR(__xludf.DUMMYFUNCTION("""COMPUTED_VALUE"""),"Cam")</f>
        <v>Cam</v>
      </c>
      <c r="F8921" t="str">
        <f>IFERROR(__xludf.DUMMYFUNCTION("""COMPUTED_VALUE"""),"")</f>
        <v/>
      </c>
    </row>
    <row r="8922">
      <c r="D8922" t="str">
        <f>IFERROR(__xludf.DUMMYFUNCTION("""COMPUTED_VALUE"""),"Sims")</f>
        <v>Sims</v>
      </c>
      <c r="E8922" t="str">
        <f>IFERROR(__xludf.DUMMYFUNCTION("""COMPUTED_VALUE"""),"LeShaun")</f>
        <v>LeShaun</v>
      </c>
      <c r="F8922" t="str">
        <f>IFERROR(__xludf.DUMMYFUNCTION("""COMPUTED_VALUE"""),"")</f>
        <v/>
      </c>
    </row>
    <row r="8923">
      <c r="D8923" t="str">
        <f>IFERROR(__xludf.DUMMYFUNCTION("""COMPUTED_VALUE"""),"Singletary")</f>
        <v>Singletary</v>
      </c>
      <c r="E8923" t="str">
        <f>IFERROR(__xludf.DUMMYFUNCTION("""COMPUTED_VALUE"""),"Devin")</f>
        <v>Devin</v>
      </c>
      <c r="F8923" t="str">
        <f>IFERROR(__xludf.DUMMYFUNCTION("""COMPUTED_VALUE"""),"")</f>
        <v/>
      </c>
    </row>
    <row r="8924">
      <c r="D8924" t="str">
        <f>IFERROR(__xludf.DUMMYFUNCTION("""COMPUTED_VALUE"""),"Sirles")</f>
        <v>Sirles</v>
      </c>
      <c r="E8924" t="str">
        <f>IFERROR(__xludf.DUMMYFUNCTION("""COMPUTED_VALUE"""),"Jeremiah")</f>
        <v>Jeremiah</v>
      </c>
      <c r="F8924" t="str">
        <f>IFERROR(__xludf.DUMMYFUNCTION("""COMPUTED_VALUE"""),"")</f>
        <v/>
      </c>
    </row>
    <row r="8925">
      <c r="D8925" t="str">
        <f>IFERROR(__xludf.DUMMYFUNCTION("""COMPUTED_VALUE"""),"Skipper")</f>
        <v>Skipper</v>
      </c>
      <c r="E8925" t="str">
        <f>IFERROR(__xludf.DUMMYFUNCTION("""COMPUTED_VALUE"""),"Dan")</f>
        <v>Dan</v>
      </c>
      <c r="F8925" t="str">
        <f>IFERROR(__xludf.DUMMYFUNCTION("""COMPUTED_VALUE"""),"")</f>
        <v/>
      </c>
    </row>
    <row r="8926">
      <c r="D8926" t="str">
        <f>IFERROR(__xludf.DUMMYFUNCTION("""COMPUTED_VALUE"""),"Skrine")</f>
        <v>Skrine</v>
      </c>
      <c r="E8926" t="str">
        <f>IFERROR(__xludf.DUMMYFUNCTION("""COMPUTED_VALUE"""),"Buster")</f>
        <v>Buster</v>
      </c>
      <c r="F8926" t="str">
        <f>IFERROR(__xludf.DUMMYFUNCTION("""COMPUTED_VALUE"""),"")</f>
        <v/>
      </c>
    </row>
    <row r="8927">
      <c r="D8927" t="str">
        <f>IFERROR(__xludf.DUMMYFUNCTION("""COMPUTED_VALUE"""),"Skule")</f>
        <v>Skule</v>
      </c>
      <c r="E8927" t="str">
        <f>IFERROR(__xludf.DUMMYFUNCTION("""COMPUTED_VALUE"""),"Justin")</f>
        <v>Justin</v>
      </c>
      <c r="F8927" t="str">
        <f>IFERROR(__xludf.DUMMYFUNCTION("""COMPUTED_VALUE"""),"")</f>
        <v/>
      </c>
    </row>
    <row r="8928">
      <c r="D8928" t="str">
        <f>IFERROR(__xludf.DUMMYFUNCTION("""COMPUTED_VALUE"""),"Skura")</f>
        <v>Skura</v>
      </c>
      <c r="E8928" t="str">
        <f>IFERROR(__xludf.DUMMYFUNCTION("""COMPUTED_VALUE"""),"Matt")</f>
        <v>Matt</v>
      </c>
      <c r="F8928" t="str">
        <f>IFERROR(__xludf.DUMMYFUNCTION("""COMPUTED_VALUE"""),"")</f>
        <v/>
      </c>
    </row>
    <row r="8929">
      <c r="D8929" t="str">
        <f>IFERROR(__xludf.DUMMYFUNCTION("""COMPUTED_VALUE"""),"Slade")</f>
        <v>Slade</v>
      </c>
      <c r="E8929" t="str">
        <f>IFERROR(__xludf.DUMMYFUNCTION("""COMPUTED_VALUE"""),"Chad")</f>
        <v>Chad</v>
      </c>
      <c r="F8929" t="str">
        <f>IFERROR(__xludf.DUMMYFUNCTION("""COMPUTED_VALUE"""),"")</f>
        <v/>
      </c>
    </row>
    <row r="8930">
      <c r="D8930" t="str">
        <f>IFERROR(__xludf.DUMMYFUNCTION("""COMPUTED_VALUE"""),"Slater")</f>
        <v>Slater</v>
      </c>
      <c r="E8930" t="str">
        <f>IFERROR(__xludf.DUMMYFUNCTION("""COMPUTED_VALUE"""),"Matthew")</f>
        <v>Matthew</v>
      </c>
      <c r="F8930" t="str">
        <f>IFERROR(__xludf.DUMMYFUNCTION("""COMPUTED_VALUE"""),"")</f>
        <v/>
      </c>
    </row>
    <row r="8931">
      <c r="D8931" t="str">
        <f>IFERROR(__xludf.DUMMYFUNCTION("""COMPUTED_VALUE"""),"Slay")</f>
        <v>Slay</v>
      </c>
      <c r="E8931" t="str">
        <f>IFERROR(__xludf.DUMMYFUNCTION("""COMPUTED_VALUE"""),"Darius")</f>
        <v>Darius</v>
      </c>
      <c r="F8931" t="str">
        <f>IFERROR(__xludf.DUMMYFUNCTION("""COMPUTED_VALUE"""),"")</f>
        <v/>
      </c>
    </row>
    <row r="8932">
      <c r="D8932" t="str">
        <f>IFERROR(__xludf.DUMMYFUNCTION("""COMPUTED_VALUE"""),"Slayton")</f>
        <v>Slayton</v>
      </c>
      <c r="E8932" t="str">
        <f>IFERROR(__xludf.DUMMYFUNCTION("""COMPUTED_VALUE"""),"Chris")</f>
        <v>Chris</v>
      </c>
      <c r="F8932" t="str">
        <f>IFERROR(__xludf.DUMMYFUNCTION("""COMPUTED_VALUE"""),"")</f>
        <v/>
      </c>
    </row>
    <row r="8933">
      <c r="D8933" t="str">
        <f>IFERROR(__xludf.DUMMYFUNCTION("""COMPUTED_VALUE"""),"Slayton")</f>
        <v>Slayton</v>
      </c>
      <c r="E8933" t="str">
        <f>IFERROR(__xludf.DUMMYFUNCTION("""COMPUTED_VALUE"""),"Darius")</f>
        <v>Darius</v>
      </c>
      <c r="F8933" t="str">
        <f>IFERROR(__xludf.DUMMYFUNCTION("""COMPUTED_VALUE"""),"")</f>
        <v/>
      </c>
    </row>
    <row r="8934">
      <c r="D8934" t="str">
        <f>IFERROR(__xludf.DUMMYFUNCTION("""COMPUTED_VALUE"""),"Sloter")</f>
        <v>Sloter</v>
      </c>
      <c r="E8934" t="str">
        <f>IFERROR(__xludf.DUMMYFUNCTION("""COMPUTED_VALUE"""),"Kyle")</f>
        <v>Kyle</v>
      </c>
      <c r="F8934" t="str">
        <f>IFERROR(__xludf.DUMMYFUNCTION("""COMPUTED_VALUE"""),"")</f>
        <v/>
      </c>
    </row>
    <row r="8935">
      <c r="D8935" t="str">
        <f>IFERROR(__xludf.DUMMYFUNCTION("""COMPUTED_VALUE"""),"Smallwood")</f>
        <v>Smallwood</v>
      </c>
      <c r="E8935" t="str">
        <f>IFERROR(__xludf.DUMMYFUNCTION("""COMPUTED_VALUE"""),"Wendell")</f>
        <v>Wendell</v>
      </c>
      <c r="F8935" t="str">
        <f>IFERROR(__xludf.DUMMYFUNCTION("""COMPUTED_VALUE"""),"")</f>
        <v/>
      </c>
    </row>
    <row r="8936">
      <c r="D8936" t="str">
        <f>IFERROR(__xludf.DUMMYFUNCTION("""COMPUTED_VALUE"""),"Smart")</f>
        <v>Smart</v>
      </c>
      <c r="E8936" t="str">
        <f>IFERROR(__xludf.DUMMYFUNCTION("""COMPUTED_VALUE"""),"Tanzel")</f>
        <v>Tanzel</v>
      </c>
      <c r="F8936" t="str">
        <f>IFERROR(__xludf.DUMMYFUNCTION("""COMPUTED_VALUE"""),"")</f>
        <v/>
      </c>
    </row>
    <row r="8937">
      <c r="D8937" t="str">
        <f>IFERROR(__xludf.DUMMYFUNCTION("""COMPUTED_VALUE"""),"Smith")</f>
        <v>Smith</v>
      </c>
      <c r="E8937" t="str">
        <f>IFERROR(__xludf.DUMMYFUNCTION("""COMPUTED_VALUE"""),"Alex")</f>
        <v>Alex</v>
      </c>
      <c r="F8937" t="str">
        <f>IFERROR(__xludf.DUMMYFUNCTION("""COMPUTED_VALUE"""),"")</f>
        <v/>
      </c>
    </row>
    <row r="8938">
      <c r="D8938" t="str">
        <f>IFERROR(__xludf.DUMMYFUNCTION("""COMPUTED_VALUE"""),"Smith")</f>
        <v>Smith</v>
      </c>
      <c r="E8938" t="str">
        <f>IFERROR(__xludf.DUMMYFUNCTION("""COMPUTED_VALUE"""),"Andre")</f>
        <v>Andre</v>
      </c>
      <c r="F8938" t="str">
        <f>IFERROR(__xludf.DUMMYFUNCTION("""COMPUTED_VALUE"""),"")</f>
        <v/>
      </c>
    </row>
    <row r="8939">
      <c r="D8939" t="str">
        <f>IFERROR(__xludf.DUMMYFUNCTION("""COMPUTED_VALUE"""),"Smith")</f>
        <v>Smith</v>
      </c>
      <c r="E8939" t="str">
        <f>IFERROR(__xludf.DUMMYFUNCTION("""COMPUTED_VALUE"""),"Braden")</f>
        <v>Braden</v>
      </c>
      <c r="F8939" t="str">
        <f>IFERROR(__xludf.DUMMYFUNCTION("""COMPUTED_VALUE"""),"")</f>
        <v/>
      </c>
    </row>
    <row r="8940">
      <c r="D8940" t="str">
        <f>IFERROR(__xludf.DUMMYFUNCTION("""COMPUTED_VALUE"""),"Smith")</f>
        <v>Smith</v>
      </c>
      <c r="E8940" t="str">
        <f>IFERROR(__xludf.DUMMYFUNCTION("""COMPUTED_VALUE"""),"Cameron")</f>
        <v>Cameron</v>
      </c>
      <c r="F8940" t="str">
        <f>IFERROR(__xludf.DUMMYFUNCTION("""COMPUTED_VALUE"""),"")</f>
        <v/>
      </c>
    </row>
    <row r="8941">
      <c r="D8941" t="str">
        <f>IFERROR(__xludf.DUMMYFUNCTION("""COMPUTED_VALUE"""),"Smith")</f>
        <v>Smith</v>
      </c>
      <c r="E8941" t="str">
        <f>IFERROR(__xludf.DUMMYFUNCTION("""COMPUTED_VALUE"""),"Chris")</f>
        <v>Chris</v>
      </c>
      <c r="F8941" t="str">
        <f>IFERROR(__xludf.DUMMYFUNCTION("""COMPUTED_VALUE"""),"")</f>
        <v/>
      </c>
    </row>
    <row r="8942">
      <c r="D8942" t="str">
        <f>IFERROR(__xludf.DUMMYFUNCTION("""COMPUTED_VALUE"""),"Smith")</f>
        <v>Smith</v>
      </c>
      <c r="E8942" t="str">
        <f>IFERROR(__xludf.DUMMYFUNCTION("""COMPUTED_VALUE"""),"Derron")</f>
        <v>Derron</v>
      </c>
      <c r="F8942" t="str">
        <f>IFERROR(__xludf.DUMMYFUNCTION("""COMPUTED_VALUE"""),"")</f>
        <v/>
      </c>
    </row>
    <row r="8943">
      <c r="D8943" t="str">
        <f>IFERROR(__xludf.DUMMYFUNCTION("""COMPUTED_VALUE"""),"Smith")</f>
        <v>Smith</v>
      </c>
      <c r="E8943" t="str">
        <f>IFERROR(__xludf.DUMMYFUNCTION("""COMPUTED_VALUE"""),"Devin")</f>
        <v>Devin</v>
      </c>
      <c r="F8943" t="str">
        <f>IFERROR(__xludf.DUMMYFUNCTION("""COMPUTED_VALUE"""),"")</f>
        <v/>
      </c>
    </row>
    <row r="8944">
      <c r="D8944" t="str">
        <f>IFERROR(__xludf.DUMMYFUNCTION("""COMPUTED_VALUE"""),"Smith")</f>
        <v>Smith</v>
      </c>
      <c r="E8944" t="str">
        <f>IFERROR(__xludf.DUMMYFUNCTION("""COMPUTED_VALUE"""),"Donovan")</f>
        <v>Donovan</v>
      </c>
      <c r="F8944" t="str">
        <f>IFERROR(__xludf.DUMMYFUNCTION("""COMPUTED_VALUE"""),"")</f>
        <v/>
      </c>
    </row>
    <row r="8945">
      <c r="D8945" t="str">
        <f>IFERROR(__xludf.DUMMYFUNCTION("""COMPUTED_VALUE"""),"Smith")</f>
        <v>Smith</v>
      </c>
      <c r="E8945" t="str">
        <f>IFERROR(__xludf.DUMMYFUNCTION("""COMPUTED_VALUE"""),"Emmanuel")</f>
        <v>Emmanuel</v>
      </c>
      <c r="F8945" t="str">
        <f>IFERROR(__xludf.DUMMYFUNCTION("""COMPUTED_VALUE"""),"")</f>
        <v/>
      </c>
    </row>
    <row r="8946">
      <c r="D8946" t="str">
        <f>IFERROR(__xludf.DUMMYFUNCTION("""COMPUTED_VALUE"""),"Smith")</f>
        <v>Smith</v>
      </c>
      <c r="E8946" t="str">
        <f>IFERROR(__xludf.DUMMYFUNCTION("""COMPUTED_VALUE"""),"Eric")</f>
        <v>Eric</v>
      </c>
      <c r="F8946" t="str">
        <f>IFERROR(__xludf.DUMMYFUNCTION("""COMPUTED_VALUE"""),"")</f>
        <v/>
      </c>
    </row>
    <row r="8947">
      <c r="D8947" t="str">
        <f>IFERROR(__xludf.DUMMYFUNCTION("""COMPUTED_VALUE"""),"Smith")</f>
        <v>Smith</v>
      </c>
      <c r="E8947" t="str">
        <f>IFERROR(__xludf.DUMMYFUNCTION("""COMPUTED_VALUE"""),"Evan")</f>
        <v>Evan</v>
      </c>
      <c r="F8947" t="str">
        <f>IFERROR(__xludf.DUMMYFUNCTION("""COMPUTED_VALUE"""),"")</f>
        <v/>
      </c>
    </row>
    <row r="8948">
      <c r="D8948" t="str">
        <f>IFERROR(__xludf.DUMMYFUNCTION("""COMPUTED_VALUE"""),"Smith")</f>
        <v>Smith</v>
      </c>
      <c r="E8948" t="str">
        <f>IFERROR(__xludf.DUMMYFUNCTION("""COMPUTED_VALUE"""),"Geno")</f>
        <v>Geno</v>
      </c>
      <c r="F8948" t="str">
        <f>IFERROR(__xludf.DUMMYFUNCTION("""COMPUTED_VALUE"""),"")</f>
        <v/>
      </c>
    </row>
    <row r="8949">
      <c r="D8949" t="str">
        <f>IFERROR(__xludf.DUMMYFUNCTION("""COMPUTED_VALUE"""),"Smith")</f>
        <v>Smith</v>
      </c>
      <c r="E8949" t="str">
        <f>IFERROR(__xludf.DUMMYFUNCTION("""COMPUTED_VALUE"""),"Harrison")</f>
        <v>Harrison</v>
      </c>
      <c r="F8949" t="str">
        <f>IFERROR(__xludf.DUMMYFUNCTION("""COMPUTED_VALUE"""),"")</f>
        <v/>
      </c>
    </row>
    <row r="8950">
      <c r="D8950" t="str">
        <f>IFERROR(__xludf.DUMMYFUNCTION("""COMPUTED_VALUE"""),"Smith")</f>
        <v>Smith</v>
      </c>
      <c r="E8950" t="str">
        <f>IFERROR(__xludf.DUMMYFUNCTION("""COMPUTED_VALUE"""),"Irv")</f>
        <v>Irv</v>
      </c>
      <c r="F8950" t="str">
        <f>IFERROR(__xludf.DUMMYFUNCTION("""COMPUTED_VALUE"""),"")</f>
        <v/>
      </c>
    </row>
    <row r="8951">
      <c r="D8951" t="str">
        <f>IFERROR(__xludf.DUMMYFUNCTION("""COMPUTED_VALUE"""),"Smith")</f>
        <v>Smith</v>
      </c>
      <c r="E8951" t="str">
        <f>IFERROR(__xludf.DUMMYFUNCTION("""COMPUTED_VALUE"""),"Ito")</f>
        <v>Ito</v>
      </c>
      <c r="F8951" t="str">
        <f>IFERROR(__xludf.DUMMYFUNCTION("""COMPUTED_VALUE"""),"")</f>
        <v/>
      </c>
    </row>
    <row r="8952">
      <c r="D8952" t="str">
        <f>IFERROR(__xludf.DUMMYFUNCTION("""COMPUTED_VALUE"""),"Smith")</f>
        <v>Smith</v>
      </c>
      <c r="E8952" t="str">
        <f>IFERROR(__xludf.DUMMYFUNCTION("""COMPUTED_VALUE"""),"Jaylen")</f>
        <v>Jaylen</v>
      </c>
      <c r="F8952" t="str">
        <f>IFERROR(__xludf.DUMMYFUNCTION("""COMPUTED_VALUE"""),"")</f>
        <v/>
      </c>
    </row>
    <row r="8953">
      <c r="D8953" t="str">
        <f>IFERROR(__xludf.DUMMYFUNCTION("""COMPUTED_VALUE"""),"Smith")</f>
        <v>Smith</v>
      </c>
      <c r="E8953" t="str">
        <f>IFERROR(__xludf.DUMMYFUNCTION("""COMPUTED_VALUE"""),"Jaylon")</f>
        <v>Jaylon</v>
      </c>
      <c r="F8953" t="str">
        <f>IFERROR(__xludf.DUMMYFUNCTION("""COMPUTED_VALUE"""),"")</f>
        <v/>
      </c>
    </row>
    <row r="8954">
      <c r="D8954" t="str">
        <f>IFERROR(__xludf.DUMMYFUNCTION("""COMPUTED_VALUE"""),"Smith")</f>
        <v>Smith</v>
      </c>
      <c r="E8954" t="str">
        <f>IFERROR(__xludf.DUMMYFUNCTION("""COMPUTED_VALUE"""),"Jimmy")</f>
        <v>Jimmy</v>
      </c>
      <c r="F8954" t="str">
        <f>IFERROR(__xludf.DUMMYFUNCTION("""COMPUTED_VALUE"""),"")</f>
        <v/>
      </c>
    </row>
    <row r="8955">
      <c r="D8955" t="str">
        <f>IFERROR(__xludf.DUMMYFUNCTION("""COMPUTED_VALUE"""),"Smith")</f>
        <v>Smith</v>
      </c>
      <c r="E8955" t="str">
        <f>IFERROR(__xludf.DUMMYFUNCTION("""COMPUTED_VALUE"""),"Jonnu")</f>
        <v>Jonnu</v>
      </c>
      <c r="F8955" t="str">
        <f>IFERROR(__xludf.DUMMYFUNCTION("""COMPUTED_VALUE"""),"")</f>
        <v/>
      </c>
    </row>
    <row r="8956">
      <c r="D8956" t="str">
        <f>IFERROR(__xludf.DUMMYFUNCTION("""COMPUTED_VALUE"""),"Smith")</f>
        <v>Smith</v>
      </c>
      <c r="E8956" t="str">
        <f>IFERROR(__xludf.DUMMYFUNCTION("""COMPUTED_VALUE"""),"Kaden")</f>
        <v>Kaden</v>
      </c>
      <c r="F8956" t="str">
        <f>IFERROR(__xludf.DUMMYFUNCTION("""COMPUTED_VALUE"""),"")</f>
        <v/>
      </c>
    </row>
    <row r="8957">
      <c r="D8957" t="str">
        <f>IFERROR(__xludf.DUMMYFUNCTION("""COMPUTED_VALUE"""),"Smith")</f>
        <v>Smith</v>
      </c>
      <c r="E8957" t="str">
        <f>IFERROR(__xludf.DUMMYFUNCTION("""COMPUTED_VALUE"""),"Keith")</f>
        <v>Keith</v>
      </c>
      <c r="F8957" t="str">
        <f>IFERROR(__xludf.DUMMYFUNCTION("""COMPUTED_VALUE"""),"")</f>
        <v/>
      </c>
    </row>
    <row r="8958">
      <c r="D8958" t="str">
        <f>IFERROR(__xludf.DUMMYFUNCTION("""COMPUTED_VALUE"""),"Smith")</f>
        <v>Smith</v>
      </c>
      <c r="E8958" t="str">
        <f>IFERROR(__xludf.DUMMYFUNCTION("""COMPUTED_VALUE"""),"Lee")</f>
        <v>Lee</v>
      </c>
      <c r="F8958" t="str">
        <f>IFERROR(__xludf.DUMMYFUNCTION("""COMPUTED_VALUE"""),"")</f>
        <v/>
      </c>
    </row>
    <row r="8959">
      <c r="D8959" t="str">
        <f>IFERROR(__xludf.DUMMYFUNCTION("""COMPUTED_VALUE"""),"Smith")</f>
        <v>Smith</v>
      </c>
      <c r="E8959" t="str">
        <f>IFERROR(__xludf.DUMMYFUNCTION("""COMPUTED_VALUE"""),"Malcolm")</f>
        <v>Malcolm</v>
      </c>
      <c r="F8959" t="str">
        <f>IFERROR(__xludf.DUMMYFUNCTION("""COMPUTED_VALUE"""),"")</f>
        <v/>
      </c>
    </row>
    <row r="8960">
      <c r="D8960" t="str">
        <f>IFERROR(__xludf.DUMMYFUNCTION("""COMPUTED_VALUE"""),"Smith")</f>
        <v>Smith</v>
      </c>
      <c r="E8960" t="str">
        <f>IFERROR(__xludf.DUMMYFUNCTION("""COMPUTED_VALUE"""),"Maurice")</f>
        <v>Maurice</v>
      </c>
      <c r="F8960" t="str">
        <f>IFERROR(__xludf.DUMMYFUNCTION("""COMPUTED_VALUE"""),"")</f>
        <v/>
      </c>
    </row>
    <row r="8961">
      <c r="D8961" t="str">
        <f>IFERROR(__xludf.DUMMYFUNCTION("""COMPUTED_VALUE"""),"Smith")</f>
        <v>Smith</v>
      </c>
      <c r="E8961" t="str">
        <f>IFERROR(__xludf.DUMMYFUNCTION("""COMPUTED_VALUE"""),"Preston")</f>
        <v>Preston</v>
      </c>
      <c r="F8961" t="str">
        <f>IFERROR(__xludf.DUMMYFUNCTION("""COMPUTED_VALUE"""),"")</f>
        <v/>
      </c>
    </row>
    <row r="8962">
      <c r="D8962" t="str">
        <f>IFERROR(__xludf.DUMMYFUNCTION("""COMPUTED_VALUE"""),"Smith")</f>
        <v>Smith</v>
      </c>
      <c r="E8962" t="str">
        <f>IFERROR(__xludf.DUMMYFUNCTION("""COMPUTED_VALUE"""),"Rod")</f>
        <v>Rod</v>
      </c>
      <c r="F8962" t="str">
        <f>IFERROR(__xludf.DUMMYFUNCTION("""COMPUTED_VALUE"""),"")</f>
        <v/>
      </c>
    </row>
    <row r="8963">
      <c r="D8963" t="str">
        <f>IFERROR(__xludf.DUMMYFUNCTION("""COMPUTED_VALUE"""),"Smith")</f>
        <v>Smith</v>
      </c>
      <c r="E8963" t="str">
        <f>IFERROR(__xludf.DUMMYFUNCTION("""COMPUTED_VALUE"""),"Roquan")</f>
        <v>Roquan</v>
      </c>
      <c r="F8963" t="str">
        <f>IFERROR(__xludf.DUMMYFUNCTION("""COMPUTED_VALUE"""),"")</f>
        <v/>
      </c>
    </row>
    <row r="8964">
      <c r="D8964" t="str">
        <f>IFERROR(__xludf.DUMMYFUNCTION("""COMPUTED_VALUE"""),"Smith")</f>
        <v>Smith</v>
      </c>
      <c r="E8964" t="str">
        <f>IFERROR(__xludf.DUMMYFUNCTION("""COMPUTED_VALUE"""),"Ryan")</f>
        <v>Ryan</v>
      </c>
      <c r="F8964" t="str">
        <f>IFERROR(__xludf.DUMMYFUNCTION("""COMPUTED_VALUE"""),"")</f>
        <v/>
      </c>
    </row>
    <row r="8965">
      <c r="D8965" t="str">
        <f>IFERROR(__xludf.DUMMYFUNCTION("""COMPUTED_VALUE"""),"Smith")</f>
        <v>Smith</v>
      </c>
      <c r="E8965" t="str">
        <f>IFERROR(__xludf.DUMMYFUNCTION("""COMPUTED_VALUE"""),"Saivion")</f>
        <v>Saivion</v>
      </c>
      <c r="F8965" t="str">
        <f>IFERROR(__xludf.DUMMYFUNCTION("""COMPUTED_VALUE"""),"")</f>
        <v/>
      </c>
    </row>
    <row r="8966">
      <c r="D8966" t="str">
        <f>IFERROR(__xludf.DUMMYFUNCTION("""COMPUTED_VALUE"""),"Smith")</f>
        <v>Smith</v>
      </c>
      <c r="E8966" t="str">
        <f>IFERROR(__xludf.DUMMYFUNCTION("""COMPUTED_VALUE"""),"Sutton")</f>
        <v>Sutton</v>
      </c>
      <c r="F8966" t="str">
        <f>IFERROR(__xludf.DUMMYFUNCTION("""COMPUTED_VALUE"""),"")</f>
        <v/>
      </c>
    </row>
    <row r="8967">
      <c r="D8967" t="str">
        <f>IFERROR(__xludf.DUMMYFUNCTION("""COMPUTED_VALUE"""),"Smith")</f>
        <v>Smith</v>
      </c>
      <c r="E8967" t="str">
        <f>IFERROR(__xludf.DUMMYFUNCTION("""COMPUTED_VALUE"""),"Telvin")</f>
        <v>Telvin</v>
      </c>
      <c r="F8967" t="str">
        <f>IFERROR(__xludf.DUMMYFUNCTION("""COMPUTED_VALUE"""),"")</f>
        <v/>
      </c>
    </row>
    <row r="8968">
      <c r="D8968" t="str">
        <f>IFERROR(__xludf.DUMMYFUNCTION("""COMPUTED_VALUE"""),"Smith")</f>
        <v>Smith</v>
      </c>
      <c r="E8968" t="str">
        <f>IFERROR(__xludf.DUMMYFUNCTION("""COMPUTED_VALUE"""),"Torrey")</f>
        <v>Torrey</v>
      </c>
      <c r="F8968" t="str">
        <f>IFERROR(__xludf.DUMMYFUNCTION("""COMPUTED_VALUE"""),"")</f>
        <v/>
      </c>
    </row>
    <row r="8969">
      <c r="D8969" t="str">
        <f>IFERROR(__xludf.DUMMYFUNCTION("""COMPUTED_VALUE"""),"Smith")</f>
        <v>Smith</v>
      </c>
      <c r="E8969" t="str">
        <f>IFERROR(__xludf.DUMMYFUNCTION("""COMPUTED_VALUE"""),"Tremon")</f>
        <v>Tremon</v>
      </c>
      <c r="F8969" t="str">
        <f>IFERROR(__xludf.DUMMYFUNCTION("""COMPUTED_VALUE"""),"")</f>
        <v/>
      </c>
    </row>
    <row r="8970">
      <c r="D8970" t="str">
        <f>IFERROR(__xludf.DUMMYFUNCTION("""COMPUTED_VALUE"""),"Smith")</f>
        <v>Smith</v>
      </c>
      <c r="E8970" t="str">
        <f>IFERROR(__xludf.DUMMYFUNCTION("""COMPUTED_VALUE"""),"TreQuan")</f>
        <v>TreQuan</v>
      </c>
      <c r="F8970" t="str">
        <f>IFERROR(__xludf.DUMMYFUNCTION("""COMPUTED_VALUE"""),"")</f>
        <v/>
      </c>
    </row>
    <row r="8971">
      <c r="D8971" t="str">
        <f>IFERROR(__xludf.DUMMYFUNCTION("""COMPUTED_VALUE"""),"Smith")</f>
        <v>Smith</v>
      </c>
      <c r="E8971" t="str">
        <f>IFERROR(__xludf.DUMMYFUNCTION("""COMPUTED_VALUE"""),"Tyron")</f>
        <v>Tyron</v>
      </c>
      <c r="F8971" t="str">
        <f>IFERROR(__xludf.DUMMYFUNCTION("""COMPUTED_VALUE"""),"")</f>
        <v/>
      </c>
    </row>
    <row r="8972">
      <c r="D8972" t="str">
        <f>IFERROR(__xludf.DUMMYFUNCTION("""COMPUTED_VALUE"""),"Smith")</f>
        <v>Smith</v>
      </c>
      <c r="E8972" t="str">
        <f>IFERROR(__xludf.DUMMYFUNCTION("""COMPUTED_VALUE"""),"Vyncint")</f>
        <v>Vyncint</v>
      </c>
      <c r="F8972" t="str">
        <f>IFERROR(__xludf.DUMMYFUNCTION("""COMPUTED_VALUE"""),"")</f>
        <v/>
      </c>
    </row>
    <row r="8973">
      <c r="D8973" t="str">
        <f>IFERROR(__xludf.DUMMYFUNCTION("""COMPUTED_VALUE"""),"Smith")</f>
        <v>Smith</v>
      </c>
      <c r="E8973" t="str">
        <f>IFERROR(__xludf.DUMMYFUNCTION("""COMPUTED_VALUE"""),"ZaDarius")</f>
        <v>ZaDarius</v>
      </c>
      <c r="F8973" t="str">
        <f>IFERROR(__xludf.DUMMYFUNCTION("""COMPUTED_VALUE"""),"")</f>
        <v/>
      </c>
    </row>
    <row r="8974">
      <c r="D8974" t="str">
        <f>IFERROR(__xludf.DUMMYFUNCTION("""COMPUTED_VALUE"""),"Smith-Schuster")</f>
        <v>Smith-Schuster</v>
      </c>
      <c r="E8974" t="str">
        <f>IFERROR(__xludf.DUMMYFUNCTION("""COMPUTED_VALUE"""),"JuJu")</f>
        <v>JuJu</v>
      </c>
      <c r="F8974" t="str">
        <f>IFERROR(__xludf.DUMMYFUNCTION("""COMPUTED_VALUE"""),"")</f>
        <v/>
      </c>
    </row>
    <row r="8975">
      <c r="D8975" t="str">
        <f>IFERROR(__xludf.DUMMYFUNCTION("""COMPUTED_VALUE"""),"Smoot")</f>
        <v>Smoot</v>
      </c>
      <c r="E8975" t="str">
        <f>IFERROR(__xludf.DUMMYFUNCTION("""COMPUTED_VALUE"""),"Dawuane")</f>
        <v>Dawuane</v>
      </c>
      <c r="F8975" t="str">
        <f>IFERROR(__xludf.DUMMYFUNCTION("""COMPUTED_VALUE"""),"")</f>
        <v/>
      </c>
    </row>
    <row r="8976">
      <c r="D8976" t="str">
        <f>IFERROR(__xludf.DUMMYFUNCTION("""COMPUTED_VALUE"""),"Smythe")</f>
        <v>Smythe</v>
      </c>
      <c r="E8976" t="str">
        <f>IFERROR(__xludf.DUMMYFUNCTION("""COMPUTED_VALUE"""),"Durham")</f>
        <v>Durham</v>
      </c>
      <c r="F8976" t="str">
        <f>IFERROR(__xludf.DUMMYFUNCTION("""COMPUTED_VALUE"""),"")</f>
        <v/>
      </c>
    </row>
    <row r="8977">
      <c r="D8977" t="str">
        <f>IFERROR(__xludf.DUMMYFUNCTION("""COMPUTED_VALUE"""),"Snead")</f>
        <v>Snead</v>
      </c>
      <c r="E8977" t="str">
        <f>IFERROR(__xludf.DUMMYFUNCTION("""COMPUTED_VALUE"""),"Willie")</f>
        <v>Willie</v>
      </c>
      <c r="F8977" t="str">
        <f>IFERROR(__xludf.DUMMYFUNCTION("""COMPUTED_VALUE"""),"")</f>
        <v/>
      </c>
    </row>
    <row r="8978">
      <c r="D8978" t="str">
        <f>IFERROR(__xludf.DUMMYFUNCTION("""COMPUTED_VALUE"""),"Snell")</f>
        <v>Snell</v>
      </c>
      <c r="E8978" t="str">
        <f>IFERROR(__xludf.DUMMYFUNCTION("""COMPUTED_VALUE"""),"Benny")</f>
        <v>Benny</v>
      </c>
      <c r="F8978" t="str">
        <f>IFERROR(__xludf.DUMMYFUNCTION("""COMPUTED_VALUE"""),"")</f>
        <v/>
      </c>
    </row>
    <row r="8979">
      <c r="D8979" t="str">
        <f>IFERROR(__xludf.DUMMYFUNCTION("""COMPUTED_VALUE"""),"Solder")</f>
        <v>Solder</v>
      </c>
      <c r="E8979" t="str">
        <f>IFERROR(__xludf.DUMMYFUNCTION("""COMPUTED_VALUE"""),"Nate")</f>
        <v>Nate</v>
      </c>
      <c r="F8979" t="str">
        <f>IFERROR(__xludf.DUMMYFUNCTION("""COMPUTED_VALUE"""),"")</f>
        <v/>
      </c>
    </row>
    <row r="8980">
      <c r="D8980" t="str">
        <f>IFERROR(__xludf.DUMMYFUNCTION("""COMPUTED_VALUE"""),"Sorensen")</f>
        <v>Sorensen</v>
      </c>
      <c r="E8980" t="str">
        <f>IFERROR(__xludf.DUMMYFUNCTION("""COMPUTED_VALUE"""),"Daniel")</f>
        <v>Daniel</v>
      </c>
      <c r="F8980" t="str">
        <f>IFERROR(__xludf.DUMMYFUNCTION("""COMPUTED_VALUE"""),"")</f>
        <v/>
      </c>
    </row>
    <row r="8981">
      <c r="D8981" t="str">
        <f>IFERROR(__xludf.DUMMYFUNCTION("""COMPUTED_VALUE"""),"Sowell")</f>
        <v>Sowell</v>
      </c>
      <c r="E8981" t="str">
        <f>IFERROR(__xludf.DUMMYFUNCTION("""COMPUTED_VALUE"""),"Bradley")</f>
        <v>Bradley</v>
      </c>
      <c r="F8981" t="str">
        <f>IFERROR(__xludf.DUMMYFUNCTION("""COMPUTED_VALUE"""),"")</f>
        <v/>
      </c>
    </row>
    <row r="8982">
      <c r="D8982" t="str">
        <f>IFERROR(__xludf.DUMMYFUNCTION("""COMPUTED_VALUE"""),"Spain")</f>
        <v>Spain</v>
      </c>
      <c r="E8982" t="str">
        <f>IFERROR(__xludf.DUMMYFUNCTION("""COMPUTED_VALUE"""),"Quinton")</f>
        <v>Quinton</v>
      </c>
      <c r="F8982" t="str">
        <f>IFERROR(__xludf.DUMMYFUNCTION("""COMPUTED_VALUE"""),"")</f>
        <v/>
      </c>
    </row>
    <row r="8983">
      <c r="D8983" t="str">
        <f>IFERROR(__xludf.DUMMYFUNCTION("""COMPUTED_VALUE"""),"Speaks")</f>
        <v>Speaks</v>
      </c>
      <c r="E8983" t="str">
        <f>IFERROR(__xludf.DUMMYFUNCTION("""COMPUTED_VALUE"""),"Breeland")</f>
        <v>Breeland</v>
      </c>
      <c r="F8983" t="str">
        <f>IFERROR(__xludf.DUMMYFUNCTION("""COMPUTED_VALUE"""),"")</f>
        <v/>
      </c>
    </row>
    <row r="8984">
      <c r="D8984" t="str">
        <f>IFERROR(__xludf.DUMMYFUNCTION("""COMPUTED_VALUE"""),"Speed")</f>
        <v>Speed</v>
      </c>
      <c r="E8984" t="str">
        <f>IFERROR(__xludf.DUMMYFUNCTION("""COMPUTED_VALUE"""),"EJ")</f>
        <v>EJ</v>
      </c>
      <c r="F8984" t="str">
        <f>IFERROR(__xludf.DUMMYFUNCTION("""COMPUTED_VALUE"""),"")</f>
        <v/>
      </c>
    </row>
    <row r="8985">
      <c r="D8985" t="str">
        <f>IFERROR(__xludf.DUMMYFUNCTION("""COMPUTED_VALUE"""),"Spence")</f>
        <v>Spence</v>
      </c>
      <c r="E8985" t="str">
        <f>IFERROR(__xludf.DUMMYFUNCTION("""COMPUTED_VALUE"""),"Akeem")</f>
        <v>Akeem</v>
      </c>
      <c r="F8985" t="str">
        <f>IFERROR(__xludf.DUMMYFUNCTION("""COMPUTED_VALUE"""),"")</f>
        <v/>
      </c>
    </row>
    <row r="8986">
      <c r="D8986" t="str">
        <f>IFERROR(__xludf.DUMMYFUNCTION("""COMPUTED_VALUE"""),"Spence")</f>
        <v>Spence</v>
      </c>
      <c r="E8986" t="str">
        <f>IFERROR(__xludf.DUMMYFUNCTION("""COMPUTED_VALUE"""),"Noah")</f>
        <v>Noah</v>
      </c>
      <c r="F8986" t="str">
        <f>IFERROR(__xludf.DUMMYFUNCTION("""COMPUTED_VALUE"""),"")</f>
        <v/>
      </c>
    </row>
    <row r="8987">
      <c r="D8987" t="str">
        <f>IFERROR(__xludf.DUMMYFUNCTION("""COMPUTED_VALUE"""),"Spillane")</f>
        <v>Spillane</v>
      </c>
      <c r="E8987" t="str">
        <f>IFERROR(__xludf.DUMMYFUNCTION("""COMPUTED_VALUE"""),"Robert")</f>
        <v>Robert</v>
      </c>
      <c r="F8987" t="str">
        <f>IFERROR(__xludf.DUMMYFUNCTION("""COMPUTED_VALUE"""),"")</f>
        <v/>
      </c>
    </row>
    <row r="8988">
      <c r="D8988" t="str">
        <f>IFERROR(__xludf.DUMMYFUNCTION("""COMPUTED_VALUE"""),"Spriggs")</f>
        <v>Spriggs</v>
      </c>
      <c r="E8988" t="str">
        <f>IFERROR(__xludf.DUMMYFUNCTION("""COMPUTED_VALUE"""),"Jason")</f>
        <v>Jason</v>
      </c>
      <c r="F8988" t="str">
        <f>IFERROR(__xludf.DUMMYFUNCTION("""COMPUTED_VALUE"""),"")</f>
        <v/>
      </c>
    </row>
    <row r="8989">
      <c r="D8989" t="str">
        <f>IFERROR(__xludf.DUMMYFUNCTION("""COMPUTED_VALUE"""),"Springs")</f>
        <v>Springs</v>
      </c>
      <c r="E8989" t="str">
        <f>IFERROR(__xludf.DUMMYFUNCTION("""COMPUTED_VALUE"""),"Arrion")</f>
        <v>Arrion</v>
      </c>
      <c r="F8989" t="str">
        <f>IFERROR(__xludf.DUMMYFUNCTION("""COMPUTED_VALUE"""),"")</f>
        <v/>
      </c>
    </row>
    <row r="8990">
      <c r="D8990" t="str">
        <f>IFERROR(__xludf.DUMMYFUNCTION("""COMPUTED_VALUE"""),"Sprinkle")</f>
        <v>Sprinkle</v>
      </c>
      <c r="E8990" t="str">
        <f>IFERROR(__xludf.DUMMYFUNCTION("""COMPUTED_VALUE"""),"Jeremy")</f>
        <v>Jeremy</v>
      </c>
      <c r="F8990" t="str">
        <f>IFERROR(__xludf.DUMMYFUNCTION("""COMPUTED_VALUE"""),"")</f>
        <v/>
      </c>
    </row>
    <row r="8991">
      <c r="D8991" t="str">
        <f>IFERROR(__xludf.DUMMYFUNCTION("""COMPUTED_VALUE"""),"Square")</f>
        <v>Square</v>
      </c>
      <c r="E8991" t="str">
        <f>IFERROR(__xludf.DUMMYFUNCTION("""COMPUTED_VALUE"""),"Damion")</f>
        <v>Damion</v>
      </c>
      <c r="F8991" t="str">
        <f>IFERROR(__xludf.DUMMYFUNCTION("""COMPUTED_VALUE"""),"")</f>
        <v/>
      </c>
    </row>
    <row r="8992">
      <c r="D8992" t="str">
        <f>IFERROR(__xludf.DUMMYFUNCTION("""COMPUTED_VALUE"""),"St.")</f>
        <v>St.</v>
      </c>
      <c r="E8992" t="str">
        <f>IFERROR(__xludf.DUMMYFUNCTION("""COMPUTED_VALUE"""),"Equanimeous")</f>
        <v>Equanimeous</v>
      </c>
      <c r="F8992" t="str">
        <f>IFERROR(__xludf.DUMMYFUNCTION("""COMPUTED_VALUE"""),"")</f>
        <v/>
      </c>
    </row>
    <row r="8993">
      <c r="D8993" t="str">
        <f>IFERROR(__xludf.DUMMYFUNCTION("""COMPUTED_VALUE"""),"Stafford")</f>
        <v>Stafford</v>
      </c>
      <c r="E8993" t="str">
        <f>IFERROR(__xludf.DUMMYFUNCTION("""COMPUTED_VALUE"""),"Matthew")</f>
        <v>Matthew</v>
      </c>
      <c r="F8993" t="str">
        <f>IFERROR(__xludf.DUMMYFUNCTION("""COMPUTED_VALUE"""),"")</f>
        <v/>
      </c>
    </row>
    <row r="8994">
      <c r="D8994" t="str">
        <f>IFERROR(__xludf.DUMMYFUNCTION("""COMPUTED_VALUE"""),"Staley")</f>
        <v>Staley</v>
      </c>
      <c r="E8994" t="str">
        <f>IFERROR(__xludf.DUMMYFUNCTION("""COMPUTED_VALUE"""),"Joe")</f>
        <v>Joe</v>
      </c>
      <c r="F8994" t="str">
        <f>IFERROR(__xludf.DUMMYFUNCTION("""COMPUTED_VALUE"""),"")</f>
        <v/>
      </c>
    </row>
    <row r="8995">
      <c r="D8995" t="str">
        <f>IFERROR(__xludf.DUMMYFUNCTION("""COMPUTED_VALUE"""),"Stallworth")</f>
        <v>Stallworth</v>
      </c>
      <c r="E8995" t="str">
        <f>IFERROR(__xludf.DUMMYFUNCTION("""COMPUTED_VALUE"""),"Taylor")</f>
        <v>Taylor</v>
      </c>
      <c r="F8995" t="str">
        <f>IFERROR(__xludf.DUMMYFUNCTION("""COMPUTED_VALUE"""),"")</f>
        <v/>
      </c>
    </row>
    <row r="8996">
      <c r="D8996" t="str">
        <f>IFERROR(__xludf.DUMMYFUNCTION("""COMPUTED_VALUE"""),"Stanford")</f>
        <v>Stanford</v>
      </c>
      <c r="E8996" t="str">
        <f>IFERROR(__xludf.DUMMYFUNCTION("""COMPUTED_VALUE"""),"Julian")</f>
        <v>Julian</v>
      </c>
      <c r="F8996" t="str">
        <f>IFERROR(__xludf.DUMMYFUNCTION("""COMPUTED_VALUE"""),"")</f>
        <v/>
      </c>
    </row>
    <row r="8997">
      <c r="D8997" t="str">
        <f>IFERROR(__xludf.DUMMYFUNCTION("""COMPUTED_VALUE"""),"Stanley")</f>
        <v>Stanley</v>
      </c>
      <c r="E8997" t="str">
        <f>IFERROR(__xludf.DUMMYFUNCTION("""COMPUTED_VALUE"""),"Ronnie")</f>
        <v>Ronnie</v>
      </c>
      <c r="F8997" t="str">
        <f>IFERROR(__xludf.DUMMYFUNCTION("""COMPUTED_VALUE"""),"")</f>
        <v/>
      </c>
    </row>
    <row r="8998">
      <c r="D8998" t="str">
        <f>IFERROR(__xludf.DUMMYFUNCTION("""COMPUTED_VALUE"""),"Stanton")</f>
        <v>Stanton</v>
      </c>
      <c r="E8998" t="str">
        <f>IFERROR(__xludf.DUMMYFUNCTION("""COMPUTED_VALUE"""),"Drew")</f>
        <v>Drew</v>
      </c>
      <c r="F8998" t="str">
        <f>IFERROR(__xludf.DUMMYFUNCTION("""COMPUTED_VALUE"""),"")</f>
        <v/>
      </c>
    </row>
    <row r="8999">
      <c r="D8999" t="str">
        <f>IFERROR(__xludf.DUMMYFUNCTION("""COMPUTED_VALUE"""),"Steinmetz")</f>
        <v>Steinmetz</v>
      </c>
      <c r="E8999" t="str">
        <f>IFERROR(__xludf.DUMMYFUNCTION("""COMPUTED_VALUE"""),"David")</f>
        <v>David</v>
      </c>
      <c r="F8999" t="str">
        <f>IFERROR(__xludf.DUMMYFUNCTION("""COMPUTED_VALUE"""),"")</f>
        <v/>
      </c>
    </row>
    <row r="9000">
      <c r="D9000" t="str">
        <f>IFERROR(__xludf.DUMMYFUNCTION("""COMPUTED_VALUE"""),"Stephen")</f>
        <v>Stephen</v>
      </c>
      <c r="E9000" t="str">
        <f>IFERROR(__xludf.DUMMYFUNCTION("""COMPUTED_VALUE"""),"Shamar")</f>
        <v>Shamar</v>
      </c>
      <c r="F9000" t="str">
        <f>IFERROR(__xludf.DUMMYFUNCTION("""COMPUTED_VALUE"""),"")</f>
        <v/>
      </c>
    </row>
    <row r="9001">
      <c r="D9001" t="str">
        <f>IFERROR(__xludf.DUMMYFUNCTION("""COMPUTED_VALUE"""),"Stephens")</f>
        <v>Stephens</v>
      </c>
      <c r="E9001" t="str">
        <f>IFERROR(__xludf.DUMMYFUNCTION("""COMPUTED_VALUE"""),"Linden")</f>
        <v>Linden</v>
      </c>
      <c r="F9001" t="str">
        <f>IFERROR(__xludf.DUMMYFUNCTION("""COMPUTED_VALUE"""),"")</f>
        <v/>
      </c>
    </row>
    <row r="9002">
      <c r="D9002" t="str">
        <f>IFERROR(__xludf.DUMMYFUNCTION("""COMPUTED_VALUE"""),"Sterling")</f>
        <v>Sterling</v>
      </c>
      <c r="E9002" t="str">
        <f>IFERROR(__xludf.DUMMYFUNCTION("""COMPUTED_VALUE"""),"Neal")</f>
        <v>Neal</v>
      </c>
      <c r="F9002" t="str">
        <f>IFERROR(__xludf.DUMMYFUNCTION("""COMPUTED_VALUE"""),"")</f>
        <v/>
      </c>
    </row>
    <row r="9003">
      <c r="D9003" t="str">
        <f>IFERROR(__xludf.DUMMYFUNCTION("""COMPUTED_VALUE"""),"Sternberger")</f>
        <v>Sternberger</v>
      </c>
      <c r="E9003" t="str">
        <f>IFERROR(__xludf.DUMMYFUNCTION("""COMPUTED_VALUE"""),"Jace")</f>
        <v>Jace</v>
      </c>
      <c r="F9003" t="str">
        <f>IFERROR(__xludf.DUMMYFUNCTION("""COMPUTED_VALUE"""),"")</f>
        <v/>
      </c>
    </row>
    <row r="9004">
      <c r="D9004" t="str">
        <f>IFERROR(__xludf.DUMMYFUNCTION("""COMPUTED_VALUE"""),"Sterup")</f>
        <v>Sterup</v>
      </c>
      <c r="E9004" t="str">
        <f>IFERROR(__xludf.DUMMYFUNCTION("""COMPUTED_VALUE"""),"Zach")</f>
        <v>Zach</v>
      </c>
      <c r="F9004" t="str">
        <f>IFERROR(__xludf.DUMMYFUNCTION("""COMPUTED_VALUE"""),"")</f>
        <v/>
      </c>
    </row>
    <row r="9005">
      <c r="D9005" t="str">
        <f>IFERROR(__xludf.DUMMYFUNCTION("""COMPUTED_VALUE"""),"Stewart")</f>
        <v>Stewart</v>
      </c>
      <c r="E9005" t="str">
        <f>IFERROR(__xludf.DUMMYFUNCTION("""COMPUTED_VALUE"""),"Grover")</f>
        <v>Grover</v>
      </c>
      <c r="F9005" t="str">
        <f>IFERROR(__xludf.DUMMYFUNCTION("""COMPUTED_VALUE"""),"")</f>
        <v/>
      </c>
    </row>
    <row r="9006">
      <c r="D9006" t="str">
        <f>IFERROR(__xludf.DUMMYFUNCTION("""COMPUTED_VALUE"""),"Stewart")</f>
        <v>Stewart</v>
      </c>
      <c r="E9006" t="str">
        <f>IFERROR(__xludf.DUMMYFUNCTION("""COMPUTED_VALUE"""),"JM")</f>
        <v>JM</v>
      </c>
      <c r="F9006" t="str">
        <f>IFERROR(__xludf.DUMMYFUNCTION("""COMPUTED_VALUE"""),"")</f>
        <v/>
      </c>
    </row>
    <row r="9007">
      <c r="D9007" t="str">
        <f>IFERROR(__xludf.DUMMYFUNCTION("""COMPUTED_VALUE"""),"Stewart")</f>
        <v>Stewart</v>
      </c>
      <c r="E9007" t="str">
        <f>IFERROR(__xludf.DUMMYFUNCTION("""COMPUTED_VALUE"""),"Orion")</f>
        <v>Orion</v>
      </c>
      <c r="F9007" t="str">
        <f>IFERROR(__xludf.DUMMYFUNCTION("""COMPUTED_VALUE"""),"")</f>
        <v/>
      </c>
    </row>
    <row r="9008">
      <c r="D9008" t="str">
        <f>IFERROR(__xludf.DUMMYFUNCTION("""COMPUTED_VALUE"""),"Stick")</f>
        <v>Stick</v>
      </c>
      <c r="E9008" t="str">
        <f>IFERROR(__xludf.DUMMYFUNCTION("""COMPUTED_VALUE"""),"Easton")</f>
        <v>Easton</v>
      </c>
      <c r="F9008" t="str">
        <f>IFERROR(__xludf.DUMMYFUNCTION("""COMPUTED_VALUE"""),"")</f>
        <v/>
      </c>
    </row>
    <row r="9009">
      <c r="D9009" t="str">
        <f>IFERROR(__xludf.DUMMYFUNCTION("""COMPUTED_VALUE"""),"Stidham")</f>
        <v>Stidham</v>
      </c>
      <c r="E9009" t="str">
        <f>IFERROR(__xludf.DUMMYFUNCTION("""COMPUTED_VALUE"""),"Jarrett")</f>
        <v>Jarrett</v>
      </c>
      <c r="F9009" t="str">
        <f>IFERROR(__xludf.DUMMYFUNCTION("""COMPUTED_VALUE"""),"")</f>
        <v/>
      </c>
    </row>
    <row r="9010">
      <c r="D9010" t="str">
        <f>IFERROR(__xludf.DUMMYFUNCTION("""COMPUTED_VALUE"""),"Stills")</f>
        <v>Stills</v>
      </c>
      <c r="E9010" t="str">
        <f>IFERROR(__xludf.DUMMYFUNCTION("""COMPUTED_VALUE"""),"Kenny")</f>
        <v>Kenny</v>
      </c>
      <c r="F9010" t="str">
        <f>IFERROR(__xludf.DUMMYFUNCTION("""COMPUTED_VALUE"""),"")</f>
        <v/>
      </c>
    </row>
    <row r="9011">
      <c r="D9011" t="str">
        <f>IFERROR(__xludf.DUMMYFUNCTION("""COMPUTED_VALUE"""),"Stinnie")</f>
        <v>Stinnie</v>
      </c>
      <c r="E9011" t="str">
        <f>IFERROR(__xludf.DUMMYFUNCTION("""COMPUTED_VALUE"""),"Aaron")</f>
        <v>Aaron</v>
      </c>
      <c r="F9011" t="str">
        <f>IFERROR(__xludf.DUMMYFUNCTION("""COMPUTED_VALUE"""),"")</f>
        <v/>
      </c>
    </row>
    <row r="9012">
      <c r="D9012" t="str">
        <f>IFERROR(__xludf.DUMMYFUNCTION("""COMPUTED_VALUE"""),"Stocker")</f>
        <v>Stocker</v>
      </c>
      <c r="E9012" t="str">
        <f>IFERROR(__xludf.DUMMYFUNCTION("""COMPUTED_VALUE"""),"Luke")</f>
        <v>Luke</v>
      </c>
      <c r="F9012" t="str">
        <f>IFERROR(__xludf.DUMMYFUNCTION("""COMPUTED_VALUE"""),"")</f>
        <v/>
      </c>
    </row>
    <row r="9013">
      <c r="D9013" t="str">
        <f>IFERROR(__xludf.DUMMYFUNCTION("""COMPUTED_VALUE"""),"Street")</f>
        <v>Street</v>
      </c>
      <c r="E9013" t="str">
        <f>IFERROR(__xludf.DUMMYFUNCTION("""COMPUTED_VALUE"""),"Kentavius")</f>
        <v>Kentavius</v>
      </c>
      <c r="F9013" t="str">
        <f>IFERROR(__xludf.DUMMYFUNCTION("""COMPUTED_VALUE"""),"")</f>
        <v/>
      </c>
    </row>
    <row r="9014">
      <c r="D9014" t="str">
        <f>IFERROR(__xludf.DUMMYFUNCTION("""COMPUTED_VALUE"""),"Stroman")</f>
        <v>Stroman</v>
      </c>
      <c r="E9014" t="str">
        <f>IFERROR(__xludf.DUMMYFUNCTION("""COMPUTED_VALUE"""),"Greg")</f>
        <v>Greg</v>
      </c>
      <c r="F9014" t="str">
        <f>IFERROR(__xludf.DUMMYFUNCTION("""COMPUTED_VALUE"""),"")</f>
        <v/>
      </c>
    </row>
    <row r="9015">
      <c r="D9015" t="str">
        <f>IFERROR(__xludf.DUMMYFUNCTION("""COMPUTED_VALUE"""),"Strong")</f>
        <v>Strong</v>
      </c>
      <c r="E9015" t="str">
        <f>IFERROR(__xludf.DUMMYFUNCTION("""COMPUTED_VALUE"""),"Jaelen")</f>
        <v>Jaelen</v>
      </c>
      <c r="F9015" t="str">
        <f>IFERROR(__xludf.DUMMYFUNCTION("""COMPUTED_VALUE"""),"")</f>
        <v/>
      </c>
    </row>
    <row r="9016">
      <c r="D9016" t="str">
        <f>IFERROR(__xludf.DUMMYFUNCTION("""COMPUTED_VALUE"""),"Stupar")</f>
        <v>Stupar</v>
      </c>
      <c r="E9016" t="str">
        <f>IFERROR(__xludf.DUMMYFUNCTION("""COMPUTED_VALUE"""),"Nathan")</f>
        <v>Nathan</v>
      </c>
      <c r="F9016" t="str">
        <f>IFERROR(__xludf.DUMMYFUNCTION("""COMPUTED_VALUE"""),"")</f>
        <v/>
      </c>
    </row>
    <row r="9017">
      <c r="D9017" t="str">
        <f>IFERROR(__xludf.DUMMYFUNCTION("""COMPUTED_VALUE"""),"Sua-Filo")</f>
        <v>Sua-Filo</v>
      </c>
      <c r="E9017" t="str">
        <f>IFERROR(__xludf.DUMMYFUNCTION("""COMPUTED_VALUE"""),"Xavier")</f>
        <v>Xavier</v>
      </c>
      <c r="F9017" t="str">
        <f>IFERROR(__xludf.DUMMYFUNCTION("""COMPUTED_VALUE"""),"")</f>
        <v/>
      </c>
    </row>
    <row r="9018">
      <c r="D9018" t="str">
        <f>IFERROR(__xludf.DUMMYFUNCTION("""COMPUTED_VALUE"""),"Succop")</f>
        <v>Succop</v>
      </c>
      <c r="E9018" t="str">
        <f>IFERROR(__xludf.DUMMYFUNCTION("""COMPUTED_VALUE"""),"Ryan")</f>
        <v>Ryan</v>
      </c>
      <c r="F9018" t="str">
        <f>IFERROR(__xludf.DUMMYFUNCTION("""COMPUTED_VALUE"""),"")</f>
        <v/>
      </c>
    </row>
    <row r="9019">
      <c r="D9019" t="str">
        <f>IFERROR(__xludf.DUMMYFUNCTION("""COMPUTED_VALUE"""),"Sudfeld")</f>
        <v>Sudfeld</v>
      </c>
      <c r="E9019" t="str">
        <f>IFERROR(__xludf.DUMMYFUNCTION("""COMPUTED_VALUE"""),"Nate")</f>
        <v>Nate</v>
      </c>
      <c r="F9019" t="str">
        <f>IFERROR(__xludf.DUMMYFUNCTION("""COMPUTED_VALUE"""),"")</f>
        <v/>
      </c>
    </row>
    <row r="9020">
      <c r="D9020" t="str">
        <f>IFERROR(__xludf.DUMMYFUNCTION("""COMPUTED_VALUE"""),"Suggs")</f>
        <v>Suggs</v>
      </c>
      <c r="E9020" t="str">
        <f>IFERROR(__xludf.DUMMYFUNCTION("""COMPUTED_VALUE"""),"Terrell")</f>
        <v>Terrell</v>
      </c>
      <c r="F9020" t="str">
        <f>IFERROR(__xludf.DUMMYFUNCTION("""COMPUTED_VALUE"""),"")</f>
        <v/>
      </c>
    </row>
    <row r="9021">
      <c r="D9021" t="str">
        <f>IFERROR(__xludf.DUMMYFUNCTION("""COMPUTED_VALUE"""),"Suh")</f>
        <v>Suh</v>
      </c>
      <c r="E9021" t="str">
        <f>IFERROR(__xludf.DUMMYFUNCTION("""COMPUTED_VALUE"""),"Ndamukong")</f>
        <v>Ndamukong</v>
      </c>
      <c r="F9021" t="str">
        <f>IFERROR(__xludf.DUMMYFUNCTION("""COMPUTED_VALUE"""),"")</f>
        <v/>
      </c>
    </row>
    <row r="9022">
      <c r="D9022" t="str">
        <f>IFERROR(__xludf.DUMMYFUNCTION("""COMPUTED_VALUE"""),"Sullivan")</f>
        <v>Sullivan</v>
      </c>
      <c r="E9022" t="str">
        <f>IFERROR(__xludf.DUMMYFUNCTION("""COMPUTED_VALUE"""),"Chandon")</f>
        <v>Chandon</v>
      </c>
      <c r="F9022" t="str">
        <f>IFERROR(__xludf.DUMMYFUNCTION("""COMPUTED_VALUE"""),"")</f>
        <v/>
      </c>
    </row>
    <row r="9023">
      <c r="D9023" t="str">
        <f>IFERROR(__xludf.DUMMYFUNCTION("""COMPUTED_VALUE"""),"Sullivan")</f>
        <v>Sullivan</v>
      </c>
      <c r="E9023" t="str">
        <f>IFERROR(__xludf.DUMMYFUNCTION("""COMPUTED_VALUE"""),"Tre")</f>
        <v>Tre</v>
      </c>
      <c r="F9023" t="str">
        <f>IFERROR(__xludf.DUMMYFUNCTION("""COMPUTED_VALUE"""),"")</f>
        <v/>
      </c>
    </row>
    <row r="9024">
      <c r="D9024" t="str">
        <f>IFERROR(__xludf.DUMMYFUNCTION("""COMPUTED_VALUE"""),"Summers")</f>
        <v>Summers</v>
      </c>
      <c r="E9024" t="str">
        <f>IFERROR(__xludf.DUMMYFUNCTION("""COMPUTED_VALUE"""),"Jamar")</f>
        <v>Jamar</v>
      </c>
      <c r="F9024" t="str">
        <f>IFERROR(__xludf.DUMMYFUNCTION("""COMPUTED_VALUE"""),"")</f>
        <v/>
      </c>
    </row>
    <row r="9025">
      <c r="D9025" t="str">
        <f>IFERROR(__xludf.DUMMYFUNCTION("""COMPUTED_VALUE"""),"Summers")</f>
        <v>Summers</v>
      </c>
      <c r="E9025" t="str">
        <f>IFERROR(__xludf.DUMMYFUNCTION("""COMPUTED_VALUE"""),"Ty")</f>
        <v>Ty</v>
      </c>
      <c r="F9025" t="str">
        <f>IFERROR(__xludf.DUMMYFUNCTION("""COMPUTED_VALUE"""),"")</f>
        <v/>
      </c>
    </row>
    <row r="9026">
      <c r="D9026" t="str">
        <f>IFERROR(__xludf.DUMMYFUNCTION("""COMPUTED_VALUE"""),"Sundberg")</f>
        <v>Sundberg</v>
      </c>
      <c r="E9026" t="str">
        <f>IFERROR(__xludf.DUMMYFUNCTION("""COMPUTED_VALUE"""),"Nick")</f>
        <v>Nick</v>
      </c>
      <c r="F9026" t="str">
        <f>IFERROR(__xludf.DUMMYFUNCTION("""COMPUTED_VALUE"""),"")</f>
        <v/>
      </c>
    </row>
    <row r="9027">
      <c r="D9027" t="str">
        <f>IFERROR(__xludf.DUMMYFUNCTION("""COMPUTED_VALUE"""),"Sutton")</f>
        <v>Sutton</v>
      </c>
      <c r="E9027" t="str">
        <f>IFERROR(__xludf.DUMMYFUNCTION("""COMPUTED_VALUE"""),"Cameron")</f>
        <v>Cameron</v>
      </c>
      <c r="F9027" t="str">
        <f>IFERROR(__xludf.DUMMYFUNCTION("""COMPUTED_VALUE"""),"")</f>
        <v/>
      </c>
    </row>
    <row r="9028">
      <c r="D9028" t="str">
        <f>IFERROR(__xludf.DUMMYFUNCTION("""COMPUTED_VALUE"""),"Sutton")</f>
        <v>Sutton</v>
      </c>
      <c r="E9028" t="str">
        <f>IFERROR(__xludf.DUMMYFUNCTION("""COMPUTED_VALUE"""),"Courtland")</f>
        <v>Courtland</v>
      </c>
      <c r="F9028" t="str">
        <f>IFERROR(__xludf.DUMMYFUNCTION("""COMPUTED_VALUE"""),"")</f>
        <v/>
      </c>
    </row>
    <row r="9029">
      <c r="D9029" t="str">
        <f>IFERROR(__xludf.DUMMYFUNCTION("""COMPUTED_VALUE"""),"Swaim")</f>
        <v>Swaim</v>
      </c>
      <c r="E9029" t="str">
        <f>IFERROR(__xludf.DUMMYFUNCTION("""COMPUTED_VALUE"""),"Geoff")</f>
        <v>Geoff</v>
      </c>
      <c r="F9029" t="str">
        <f>IFERROR(__xludf.DUMMYFUNCTION("""COMPUTED_VALUE"""),"")</f>
        <v/>
      </c>
    </row>
    <row r="9030">
      <c r="D9030" t="str">
        <f>IFERROR(__xludf.DUMMYFUNCTION("""COMPUTED_VALUE"""),"Swearinger")</f>
        <v>Swearinger</v>
      </c>
      <c r="E9030" t="str">
        <f>IFERROR(__xludf.DUMMYFUNCTION("""COMPUTED_VALUE"""),"DJ")</f>
        <v>DJ</v>
      </c>
      <c r="F9030" t="str">
        <f>IFERROR(__xludf.DUMMYFUNCTION("""COMPUTED_VALUE"""),"")</f>
        <v/>
      </c>
    </row>
    <row r="9031">
      <c r="D9031" t="str">
        <f>IFERROR(__xludf.DUMMYFUNCTION("""COMPUTED_VALUE"""),"Sweat")</f>
        <v>Sweat</v>
      </c>
      <c r="E9031" t="str">
        <f>IFERROR(__xludf.DUMMYFUNCTION("""COMPUTED_VALUE"""),"Josh")</f>
        <v>Josh</v>
      </c>
      <c r="F9031" t="str">
        <f>IFERROR(__xludf.DUMMYFUNCTION("""COMPUTED_VALUE"""),"")</f>
        <v/>
      </c>
    </row>
    <row r="9032">
      <c r="D9032" t="str">
        <f>IFERROR(__xludf.DUMMYFUNCTION("""COMPUTED_VALUE"""),"Sweat")</f>
        <v>Sweat</v>
      </c>
      <c r="E9032" t="str">
        <f>IFERROR(__xludf.DUMMYFUNCTION("""COMPUTED_VALUE"""),"Montez")</f>
        <v>Montez</v>
      </c>
      <c r="F9032" t="str">
        <f>IFERROR(__xludf.DUMMYFUNCTION("""COMPUTED_VALUE"""),"")</f>
        <v/>
      </c>
    </row>
    <row r="9033">
      <c r="D9033" t="str">
        <f>IFERROR(__xludf.DUMMYFUNCTION("""COMPUTED_VALUE"""),"Sweeney")</f>
        <v>Sweeney</v>
      </c>
      <c r="E9033" t="str">
        <f>IFERROR(__xludf.DUMMYFUNCTION("""COMPUTED_VALUE"""),"Tommy")</f>
        <v>Tommy</v>
      </c>
      <c r="F9033" t="str">
        <f>IFERROR(__xludf.DUMMYFUNCTION("""COMPUTED_VALUE"""),"")</f>
        <v/>
      </c>
    </row>
    <row r="9034">
      <c r="D9034" t="str">
        <f>IFERROR(__xludf.DUMMYFUNCTION("""COMPUTED_VALUE"""),"Sweet")</f>
        <v>Sweet</v>
      </c>
      <c r="E9034" t="str">
        <f>IFERROR(__xludf.DUMMYFUNCTION("""COMPUTED_VALUE"""),"William")</f>
        <v>William</v>
      </c>
      <c r="F9034" t="str">
        <f>IFERROR(__xludf.DUMMYFUNCTION("""COMPUTED_VALUE"""),"")</f>
        <v/>
      </c>
    </row>
    <row r="9035">
      <c r="D9035" t="str">
        <f>IFERROR(__xludf.DUMMYFUNCTION("""COMPUTED_VALUE"""),"Sweezy")</f>
        <v>Sweezy</v>
      </c>
      <c r="E9035" t="str">
        <f>IFERROR(__xludf.DUMMYFUNCTION("""COMPUTED_VALUE"""),"JR")</f>
        <v>JR</v>
      </c>
      <c r="F9035" t="str">
        <f>IFERROR(__xludf.DUMMYFUNCTION("""COMPUTED_VALUE"""),"")</f>
        <v/>
      </c>
    </row>
    <row r="9036">
      <c r="D9036" t="str">
        <f>IFERROR(__xludf.DUMMYFUNCTION("""COMPUTED_VALUE"""),"Switzer")</f>
        <v>Switzer</v>
      </c>
      <c r="E9036" t="str">
        <f>IFERROR(__xludf.DUMMYFUNCTION("""COMPUTED_VALUE"""),"Ryan")</f>
        <v>Ryan</v>
      </c>
      <c r="F9036" t="str">
        <f>IFERROR(__xludf.DUMMYFUNCTION("""COMPUTED_VALUE"""),"")</f>
        <v/>
      </c>
    </row>
    <row r="9037">
      <c r="D9037" t="str">
        <f>IFERROR(__xludf.DUMMYFUNCTION("""COMPUTED_VALUE"""),"Swoopes")</f>
        <v>Swoopes</v>
      </c>
      <c r="E9037" t="str">
        <f>IFERROR(__xludf.DUMMYFUNCTION("""COMPUTED_VALUE"""),"Tyrone")</f>
        <v>Tyrone</v>
      </c>
      <c r="F9037" t="str">
        <f>IFERROR(__xludf.DUMMYFUNCTION("""COMPUTED_VALUE"""),"")</f>
        <v/>
      </c>
    </row>
    <row r="9038">
      <c r="D9038" t="str">
        <f>IFERROR(__xludf.DUMMYFUNCTION("""COMPUTED_VALUE"""),"Tabor")</f>
        <v>Tabor</v>
      </c>
      <c r="E9038" t="str">
        <f>IFERROR(__xludf.DUMMYFUNCTION("""COMPUTED_VALUE"""),"Teez")</f>
        <v>Teez</v>
      </c>
      <c r="F9038" t="str">
        <f>IFERROR(__xludf.DUMMYFUNCTION("""COMPUTED_VALUE"""),"")</f>
        <v/>
      </c>
    </row>
    <row r="9039">
      <c r="D9039" t="str">
        <f>IFERROR(__xludf.DUMMYFUNCTION("""COMPUTED_VALUE"""),"Takitaki")</f>
        <v>Takitaki</v>
      </c>
      <c r="E9039" t="str">
        <f>IFERROR(__xludf.DUMMYFUNCTION("""COMPUTED_VALUE"""),"Sione")</f>
        <v>Sione</v>
      </c>
      <c r="F9039" t="str">
        <f>IFERROR(__xludf.DUMMYFUNCTION("""COMPUTED_VALUE"""),"")</f>
        <v/>
      </c>
    </row>
    <row r="9040">
      <c r="D9040" t="str">
        <f>IFERROR(__xludf.DUMMYFUNCTION("""COMPUTED_VALUE"""),"Talib")</f>
        <v>Talib</v>
      </c>
      <c r="E9040" t="str">
        <f>IFERROR(__xludf.DUMMYFUNCTION("""COMPUTED_VALUE"""),"Aqib")</f>
        <v>Aqib</v>
      </c>
      <c r="F9040" t="str">
        <f>IFERROR(__xludf.DUMMYFUNCTION("""COMPUTED_VALUE"""),"")</f>
        <v/>
      </c>
    </row>
    <row r="9041">
      <c r="D9041" t="str">
        <f>IFERROR(__xludf.DUMMYFUNCTION("""COMPUTED_VALUE"""),"Tankersley")</f>
        <v>Tankersley</v>
      </c>
      <c r="E9041" t="str">
        <f>IFERROR(__xludf.DUMMYFUNCTION("""COMPUTED_VALUE"""),"Cordrea")</f>
        <v>Cordrea</v>
      </c>
      <c r="F9041" t="str">
        <f>IFERROR(__xludf.DUMMYFUNCTION("""COMPUTED_VALUE"""),"")</f>
        <v/>
      </c>
    </row>
    <row r="9042">
      <c r="D9042" t="str">
        <f>IFERROR(__xludf.DUMMYFUNCTION("""COMPUTED_VALUE"""),"Tannehill")</f>
        <v>Tannehill</v>
      </c>
      <c r="E9042" t="str">
        <f>IFERROR(__xludf.DUMMYFUNCTION("""COMPUTED_VALUE"""),"Ryan")</f>
        <v>Ryan</v>
      </c>
      <c r="F9042" t="str">
        <f>IFERROR(__xludf.DUMMYFUNCTION("""COMPUTED_VALUE"""),"")</f>
        <v/>
      </c>
    </row>
    <row r="9043">
      <c r="D9043" t="str">
        <f>IFERROR(__xludf.DUMMYFUNCTION("""COMPUTED_VALUE"""),"Tanney")</f>
        <v>Tanney</v>
      </c>
      <c r="E9043" t="str">
        <f>IFERROR(__xludf.DUMMYFUNCTION("""COMPUTED_VALUE"""),"Alex")</f>
        <v>Alex</v>
      </c>
      <c r="F9043" t="str">
        <f>IFERROR(__xludf.DUMMYFUNCTION("""COMPUTED_VALUE"""),"")</f>
        <v/>
      </c>
    </row>
    <row r="9044">
      <c r="D9044" t="str">
        <f>IFERROR(__xludf.DUMMYFUNCTION("""COMPUTED_VALUE"""),"Tartt")</f>
        <v>Tartt</v>
      </c>
      <c r="E9044" t="str">
        <f>IFERROR(__xludf.DUMMYFUNCTION("""COMPUTED_VALUE"""),"Jaquiski")</f>
        <v>Jaquiski</v>
      </c>
      <c r="F9044" t="str">
        <f>IFERROR(__xludf.DUMMYFUNCTION("""COMPUTED_VALUE"""),"")</f>
        <v/>
      </c>
    </row>
    <row r="9045">
      <c r="D9045" t="str">
        <f>IFERROR(__xludf.DUMMYFUNCTION("""COMPUTED_VALUE"""),"Tate")</f>
        <v>Tate</v>
      </c>
      <c r="E9045" t="str">
        <f>IFERROR(__xludf.DUMMYFUNCTION("""COMPUTED_VALUE"""),"Auden")</f>
        <v>Auden</v>
      </c>
      <c r="F9045" t="str">
        <f>IFERROR(__xludf.DUMMYFUNCTION("""COMPUTED_VALUE"""),"")</f>
        <v/>
      </c>
    </row>
    <row r="9046">
      <c r="D9046" t="str">
        <f>IFERROR(__xludf.DUMMYFUNCTION("""COMPUTED_VALUE"""),"Tate")</f>
        <v>Tate</v>
      </c>
      <c r="E9046" t="str">
        <f>IFERROR(__xludf.DUMMYFUNCTION("""COMPUTED_VALUE"""),"Golden")</f>
        <v>Golden</v>
      </c>
      <c r="F9046" t="str">
        <f>IFERROR(__xludf.DUMMYFUNCTION("""COMPUTED_VALUE"""),"")</f>
        <v/>
      </c>
    </row>
    <row r="9047">
      <c r="D9047" t="str">
        <f>IFERROR(__xludf.DUMMYFUNCTION("""COMPUTED_VALUE"""),"Taumoepenu")</f>
        <v>Taumoepenu</v>
      </c>
      <c r="E9047" t="str">
        <f>IFERROR(__xludf.DUMMYFUNCTION("""COMPUTED_VALUE"""),"Pita")</f>
        <v>Pita</v>
      </c>
      <c r="F9047" t="str">
        <f>IFERROR(__xludf.DUMMYFUNCTION("""COMPUTED_VALUE"""),"")</f>
        <v/>
      </c>
    </row>
    <row r="9048">
      <c r="D9048" t="str">
        <f>IFERROR(__xludf.DUMMYFUNCTION("""COMPUTED_VALUE"""),"Tavai")</f>
        <v>Tavai</v>
      </c>
      <c r="E9048" t="str">
        <f>IFERROR(__xludf.DUMMYFUNCTION("""COMPUTED_VALUE"""),"Jahlani")</f>
        <v>Jahlani</v>
      </c>
      <c r="F9048" t="str">
        <f>IFERROR(__xludf.DUMMYFUNCTION("""COMPUTED_VALUE"""),"")</f>
        <v/>
      </c>
    </row>
    <row r="9049">
      <c r="D9049" t="str">
        <f>IFERROR(__xludf.DUMMYFUNCTION("""COMPUTED_VALUE"""),"Tavecchio")</f>
        <v>Tavecchio</v>
      </c>
      <c r="E9049" t="str">
        <f>IFERROR(__xludf.DUMMYFUNCTION("""COMPUTED_VALUE"""),"Giorgio")</f>
        <v>Giorgio</v>
      </c>
      <c r="F9049" t="str">
        <f>IFERROR(__xludf.DUMMYFUNCTION("""COMPUTED_VALUE"""),"")</f>
        <v/>
      </c>
    </row>
    <row r="9050">
      <c r="D9050" t="str">
        <f>IFERROR(__xludf.DUMMYFUNCTION("""COMPUTED_VALUE"""),"Taylor")</f>
        <v>Taylor</v>
      </c>
      <c r="E9050" t="str">
        <f>IFERROR(__xludf.DUMMYFUNCTION("""COMPUTED_VALUE"""),"Adarius")</f>
        <v>Adarius</v>
      </c>
      <c r="F9050" t="str">
        <f>IFERROR(__xludf.DUMMYFUNCTION("""COMPUTED_VALUE"""),"")</f>
        <v/>
      </c>
    </row>
    <row r="9051">
      <c r="D9051" t="str">
        <f>IFERROR(__xludf.DUMMYFUNCTION("""COMPUTED_VALUE"""),"Taylor")</f>
        <v>Taylor</v>
      </c>
      <c r="E9051" t="str">
        <f>IFERROR(__xludf.DUMMYFUNCTION("""COMPUTED_VALUE"""),"Jamar")</f>
        <v>Jamar</v>
      </c>
      <c r="F9051" t="str">
        <f>IFERROR(__xludf.DUMMYFUNCTION("""COMPUTED_VALUE"""),"")</f>
        <v/>
      </c>
    </row>
    <row r="9052">
      <c r="D9052" t="str">
        <f>IFERROR(__xludf.DUMMYFUNCTION("""COMPUTED_VALUE"""),"Taylor")</f>
        <v>Taylor</v>
      </c>
      <c r="E9052" t="str">
        <f>IFERROR(__xludf.DUMMYFUNCTION("""COMPUTED_VALUE"""),"Jawaan")</f>
        <v>Jawaan</v>
      </c>
      <c r="F9052" t="str">
        <f>IFERROR(__xludf.DUMMYFUNCTION("""COMPUTED_VALUE"""),"")</f>
        <v/>
      </c>
    </row>
    <row r="9053">
      <c r="D9053" t="str">
        <f>IFERROR(__xludf.DUMMYFUNCTION("""COMPUTED_VALUE"""),"Taylor")</f>
        <v>Taylor</v>
      </c>
      <c r="E9053" t="str">
        <f>IFERROR(__xludf.DUMMYFUNCTION("""COMPUTED_VALUE"""),"Jordan")</f>
        <v>Jordan</v>
      </c>
      <c r="F9053" t="str">
        <f>IFERROR(__xludf.DUMMYFUNCTION("""COMPUTED_VALUE"""),"")</f>
        <v/>
      </c>
    </row>
    <row r="9054">
      <c r="D9054" t="str">
        <f>IFERROR(__xludf.DUMMYFUNCTION("""COMPUTED_VALUE"""),"Taylor")</f>
        <v>Taylor</v>
      </c>
      <c r="E9054" t="str">
        <f>IFERROR(__xludf.DUMMYFUNCTION("""COMPUTED_VALUE"""),"Jullian")</f>
        <v>Jullian</v>
      </c>
      <c r="F9054" t="str">
        <f>IFERROR(__xludf.DUMMYFUNCTION("""COMPUTED_VALUE"""),"")</f>
        <v/>
      </c>
    </row>
    <row r="9055">
      <c r="D9055" t="str">
        <f>IFERROR(__xludf.DUMMYFUNCTION("""COMPUTED_VALUE"""),"Taylor")</f>
        <v>Taylor</v>
      </c>
      <c r="E9055" t="str">
        <f>IFERROR(__xludf.DUMMYFUNCTION("""COMPUTED_VALUE"""),"Lane")</f>
        <v>Lane</v>
      </c>
      <c r="F9055" t="str">
        <f>IFERROR(__xludf.DUMMYFUNCTION("""COMPUTED_VALUE"""),"")</f>
        <v/>
      </c>
    </row>
    <row r="9056">
      <c r="D9056" t="str">
        <f>IFERROR(__xludf.DUMMYFUNCTION("""COMPUTED_VALUE"""),"Taylor")</f>
        <v>Taylor</v>
      </c>
      <c r="E9056" t="str">
        <f>IFERROR(__xludf.DUMMYFUNCTION("""COMPUTED_VALUE"""),"Rod")</f>
        <v>Rod</v>
      </c>
      <c r="F9056" t="str">
        <f>IFERROR(__xludf.DUMMYFUNCTION("""COMPUTED_VALUE"""),"")</f>
        <v/>
      </c>
    </row>
    <row r="9057">
      <c r="D9057" t="str">
        <f>IFERROR(__xludf.DUMMYFUNCTION("""COMPUTED_VALUE"""),"Taylor")</f>
        <v>Taylor</v>
      </c>
      <c r="E9057" t="str">
        <f>IFERROR(__xludf.DUMMYFUNCTION("""COMPUTED_VALUE"""),"Taywan")</f>
        <v>Taywan</v>
      </c>
      <c r="F9057" t="str">
        <f>IFERROR(__xludf.DUMMYFUNCTION("""COMPUTED_VALUE"""),"")</f>
        <v/>
      </c>
    </row>
    <row r="9058">
      <c r="D9058" t="str">
        <f>IFERROR(__xludf.DUMMYFUNCTION("""COMPUTED_VALUE"""),"Taylor")</f>
        <v>Taylor</v>
      </c>
      <c r="E9058" t="str">
        <f>IFERROR(__xludf.DUMMYFUNCTION("""COMPUTED_VALUE"""),"Trent")</f>
        <v>Trent</v>
      </c>
      <c r="F9058" t="str">
        <f>IFERROR(__xludf.DUMMYFUNCTION("""COMPUTED_VALUE"""),"")</f>
        <v/>
      </c>
    </row>
    <row r="9059">
      <c r="D9059" t="str">
        <f>IFERROR(__xludf.DUMMYFUNCTION("""COMPUTED_VALUE"""),"Taylor")</f>
        <v>Taylor</v>
      </c>
      <c r="E9059" t="str">
        <f>IFERROR(__xludf.DUMMYFUNCTION("""COMPUTED_VALUE"""),"Tyrod")</f>
        <v>Tyrod</v>
      </c>
      <c r="F9059" t="str">
        <f>IFERROR(__xludf.DUMMYFUNCTION("""COMPUTED_VALUE"""),"")</f>
        <v/>
      </c>
    </row>
    <row r="9060">
      <c r="D9060" t="str">
        <f>IFERROR(__xludf.DUMMYFUNCTION("""COMPUTED_VALUE"""),"Taylor")</f>
        <v>Taylor</v>
      </c>
      <c r="E9060" t="str">
        <f>IFERROR(__xludf.DUMMYFUNCTION("""COMPUTED_VALUE"""),"Vincent")</f>
        <v>Vincent</v>
      </c>
      <c r="F9060" t="str">
        <f>IFERROR(__xludf.DUMMYFUNCTION("""COMPUTED_VALUE"""),"")</f>
        <v/>
      </c>
    </row>
    <row r="9061">
      <c r="D9061" t="str">
        <f>IFERROR(__xludf.DUMMYFUNCTION("""COMPUTED_VALUE"""),"Tell")</f>
        <v>Tell</v>
      </c>
      <c r="E9061" t="str">
        <f>IFERROR(__xludf.DUMMYFUNCTION("""COMPUTED_VALUE"""),"Marvell")</f>
        <v>Marvell</v>
      </c>
      <c r="F9061" t="str">
        <f>IFERROR(__xludf.DUMMYFUNCTION("""COMPUTED_VALUE"""),"")</f>
        <v/>
      </c>
    </row>
    <row r="9062">
      <c r="D9062" t="str">
        <f>IFERROR(__xludf.DUMMYFUNCTION("""COMPUTED_VALUE"""),"Teller")</f>
        <v>Teller</v>
      </c>
      <c r="E9062" t="str">
        <f>IFERROR(__xludf.DUMMYFUNCTION("""COMPUTED_VALUE"""),"Wyatt")</f>
        <v>Wyatt</v>
      </c>
      <c r="F9062" t="str">
        <f>IFERROR(__xludf.DUMMYFUNCTION("""COMPUTED_VALUE"""),"")</f>
        <v/>
      </c>
    </row>
    <row r="9063">
      <c r="D9063" t="str">
        <f>IFERROR(__xludf.DUMMYFUNCTION("""COMPUTED_VALUE"""),"Tevi")</f>
        <v>Tevi</v>
      </c>
      <c r="E9063" t="str">
        <f>IFERROR(__xludf.DUMMYFUNCTION("""COMPUTED_VALUE"""),"Sam")</f>
        <v>Sam</v>
      </c>
      <c r="F9063" t="str">
        <f>IFERROR(__xludf.DUMMYFUNCTION("""COMPUTED_VALUE"""),"")</f>
        <v/>
      </c>
    </row>
    <row r="9064">
      <c r="D9064" t="str">
        <f>IFERROR(__xludf.DUMMYFUNCTION("""COMPUTED_VALUE"""),"Thielen")</f>
        <v>Thielen</v>
      </c>
      <c r="E9064" t="str">
        <f>IFERROR(__xludf.DUMMYFUNCTION("""COMPUTED_VALUE"""),"Adam")</f>
        <v>Adam</v>
      </c>
      <c r="F9064" t="str">
        <f>IFERROR(__xludf.DUMMYFUNCTION("""COMPUTED_VALUE"""),"")</f>
        <v/>
      </c>
    </row>
    <row r="9065">
      <c r="D9065" t="str">
        <f>IFERROR(__xludf.DUMMYFUNCTION("""COMPUTED_VALUE"""),"Thomas")</f>
        <v>Thomas</v>
      </c>
      <c r="E9065" t="str">
        <f>IFERROR(__xludf.DUMMYFUNCTION("""COMPUTED_VALUE"""),"Ahmad")</f>
        <v>Ahmad</v>
      </c>
      <c r="F9065" t="str">
        <f>IFERROR(__xludf.DUMMYFUNCTION("""COMPUTED_VALUE"""),"")</f>
        <v/>
      </c>
    </row>
    <row r="9066">
      <c r="D9066" t="str">
        <f>IFERROR(__xludf.DUMMYFUNCTION("""COMPUTED_VALUE"""),"Thomas")</f>
        <v>Thomas</v>
      </c>
      <c r="E9066" t="str">
        <f>IFERROR(__xludf.DUMMYFUNCTION("""COMPUTED_VALUE"""),"Brandon")</f>
        <v>Brandon</v>
      </c>
      <c r="F9066" t="str">
        <f>IFERROR(__xludf.DUMMYFUNCTION("""COMPUTED_VALUE"""),"")</f>
        <v/>
      </c>
    </row>
    <row r="9067">
      <c r="D9067" t="str">
        <f>IFERROR(__xludf.DUMMYFUNCTION("""COMPUTED_VALUE"""),"Thomas")</f>
        <v>Thomas</v>
      </c>
      <c r="E9067" t="str">
        <f>IFERROR(__xludf.DUMMYFUNCTION("""COMPUTED_VALUE"""),"Chad")</f>
        <v>Chad</v>
      </c>
      <c r="F9067" t="str">
        <f>IFERROR(__xludf.DUMMYFUNCTION("""COMPUTED_VALUE"""),"")</f>
        <v/>
      </c>
    </row>
    <row r="9068">
      <c r="D9068" t="str">
        <f>IFERROR(__xludf.DUMMYFUNCTION("""COMPUTED_VALUE"""),"Thomas")</f>
        <v>Thomas</v>
      </c>
      <c r="E9068" t="str">
        <f>IFERROR(__xludf.DUMMYFUNCTION("""COMPUTED_VALUE"""),"Demaryius")</f>
        <v>Demaryius</v>
      </c>
      <c r="F9068" t="str">
        <f>IFERROR(__xludf.DUMMYFUNCTION("""COMPUTED_VALUE"""),"")</f>
        <v/>
      </c>
    </row>
    <row r="9069">
      <c r="D9069" t="str">
        <f>IFERROR(__xludf.DUMMYFUNCTION("""COMPUTED_VALUE"""),"Thomas")</f>
        <v>Thomas</v>
      </c>
      <c r="E9069" t="str">
        <f>IFERROR(__xludf.DUMMYFUNCTION("""COMPUTED_VALUE"""),"Duke")</f>
        <v>Duke</v>
      </c>
      <c r="F9069" t="str">
        <f>IFERROR(__xludf.DUMMYFUNCTION("""COMPUTED_VALUE"""),"")</f>
        <v/>
      </c>
    </row>
    <row r="9070">
      <c r="D9070" t="str">
        <f>IFERROR(__xludf.DUMMYFUNCTION("""COMPUTED_VALUE"""),"Thomas")</f>
        <v>Thomas</v>
      </c>
      <c r="E9070" t="str">
        <f>IFERROR(__xludf.DUMMYFUNCTION("""COMPUTED_VALUE"""),"Dymonte")</f>
        <v>Dymonte</v>
      </c>
      <c r="F9070" t="str">
        <f>IFERROR(__xludf.DUMMYFUNCTION("""COMPUTED_VALUE"""),"")</f>
        <v/>
      </c>
    </row>
    <row r="9071">
      <c r="D9071" t="str">
        <f>IFERROR(__xludf.DUMMYFUNCTION("""COMPUTED_VALUE"""),"Thomas")</f>
        <v>Thomas</v>
      </c>
      <c r="E9071" t="str">
        <f>IFERROR(__xludf.DUMMYFUNCTION("""COMPUTED_VALUE"""),"Earl")</f>
        <v>Earl</v>
      </c>
      <c r="F9071" t="str">
        <f>IFERROR(__xludf.DUMMYFUNCTION("""COMPUTED_VALUE"""),"")</f>
        <v/>
      </c>
    </row>
    <row r="9072">
      <c r="D9072" t="str">
        <f>IFERROR(__xludf.DUMMYFUNCTION("""COMPUTED_VALUE"""),"Thomas")</f>
        <v>Thomas</v>
      </c>
      <c r="E9072" t="str">
        <f>IFERROR(__xludf.DUMMYFUNCTION("""COMPUTED_VALUE"""),"Ian")</f>
        <v>Ian</v>
      </c>
      <c r="F9072" t="str">
        <f>IFERROR(__xludf.DUMMYFUNCTION("""COMPUTED_VALUE"""),"")</f>
        <v/>
      </c>
    </row>
    <row r="9073">
      <c r="D9073" t="str">
        <f>IFERROR(__xludf.DUMMYFUNCTION("""COMPUTED_VALUE"""),"Thomas")</f>
        <v>Thomas</v>
      </c>
      <c r="E9073" t="str">
        <f>IFERROR(__xludf.DUMMYFUNCTION("""COMPUTED_VALUE"""),"Joe")</f>
        <v>Joe</v>
      </c>
      <c r="F9073" t="str">
        <f>IFERROR(__xludf.DUMMYFUNCTION("""COMPUTED_VALUE"""),"")</f>
        <v/>
      </c>
    </row>
    <row r="9074">
      <c r="D9074" t="str">
        <f>IFERROR(__xludf.DUMMYFUNCTION("""COMPUTED_VALUE"""),"Thomas")</f>
        <v>Thomas</v>
      </c>
      <c r="E9074" t="str">
        <f>IFERROR(__xludf.DUMMYFUNCTION("""COMPUTED_VALUE"""),"Jordan")</f>
        <v>Jordan</v>
      </c>
      <c r="F9074" t="str">
        <f>IFERROR(__xludf.DUMMYFUNCTION("""COMPUTED_VALUE"""),"")</f>
        <v/>
      </c>
    </row>
    <row r="9075">
      <c r="D9075" t="str">
        <f>IFERROR(__xludf.DUMMYFUNCTION("""COMPUTED_VALUE"""),"Thomas")</f>
        <v>Thomas</v>
      </c>
      <c r="E9075" t="str">
        <f>IFERROR(__xludf.DUMMYFUNCTION("""COMPUTED_VALUE"""),"Logan")</f>
        <v>Logan</v>
      </c>
      <c r="F9075" t="str">
        <f>IFERROR(__xludf.DUMMYFUNCTION("""COMPUTED_VALUE"""),"")</f>
        <v/>
      </c>
    </row>
    <row r="9076">
      <c r="D9076" t="str">
        <f>IFERROR(__xludf.DUMMYFUNCTION("""COMPUTED_VALUE"""),"Thomas")</f>
        <v>Thomas</v>
      </c>
      <c r="E9076" t="str">
        <f>IFERROR(__xludf.DUMMYFUNCTION("""COMPUTED_VALUE"""),"Matthew")</f>
        <v>Matthew</v>
      </c>
      <c r="F9076" t="str">
        <f>IFERROR(__xludf.DUMMYFUNCTION("""COMPUTED_VALUE"""),"")</f>
        <v/>
      </c>
    </row>
    <row r="9077">
      <c r="D9077" t="str">
        <f>IFERROR(__xludf.DUMMYFUNCTION("""COMPUTED_VALUE"""),"Thomas")</f>
        <v>Thomas</v>
      </c>
      <c r="E9077" t="str">
        <f>IFERROR(__xludf.DUMMYFUNCTION("""COMPUTED_VALUE"""),"Michael")</f>
        <v>Michael</v>
      </c>
      <c r="F9077" t="str">
        <f>IFERROR(__xludf.DUMMYFUNCTION("""COMPUTED_VALUE"""),"")</f>
        <v/>
      </c>
    </row>
    <row r="9078">
      <c r="D9078" t="str">
        <f>IFERROR(__xludf.DUMMYFUNCTION("""COMPUTED_VALUE"""),"Thomas")</f>
        <v>Thomas</v>
      </c>
      <c r="E9078" t="str">
        <f>IFERROR(__xludf.DUMMYFUNCTION("""COMPUTED_VALUE"""),"Michael")</f>
        <v>Michael</v>
      </c>
      <c r="F9078" t="str">
        <f>IFERROR(__xludf.DUMMYFUNCTION("""COMPUTED_VALUE"""),"")</f>
        <v/>
      </c>
    </row>
    <row r="9079">
      <c r="D9079" t="str">
        <f>IFERROR(__xludf.DUMMYFUNCTION("""COMPUTED_VALUE"""),"Thomas")</f>
        <v>Thomas</v>
      </c>
      <c r="E9079" t="str">
        <f>IFERROR(__xludf.DUMMYFUNCTION("""COMPUTED_VALUE"""),"Mike")</f>
        <v>Mike</v>
      </c>
      <c r="F9079" t="str">
        <f>IFERROR(__xludf.DUMMYFUNCTION("""COMPUTED_VALUE"""),"")</f>
        <v/>
      </c>
    </row>
    <row r="9080">
      <c r="D9080" t="str">
        <f>IFERROR(__xludf.DUMMYFUNCTION("""COMPUTED_VALUE"""),"Thomas")</f>
        <v>Thomas</v>
      </c>
      <c r="E9080" t="str">
        <f>IFERROR(__xludf.DUMMYFUNCTION("""COMPUTED_VALUE"""),"Roc")</f>
        <v>Roc</v>
      </c>
      <c r="F9080" t="str">
        <f>IFERROR(__xludf.DUMMYFUNCTION("""COMPUTED_VALUE"""),"")</f>
        <v/>
      </c>
    </row>
    <row r="9081">
      <c r="D9081" t="str">
        <f>IFERROR(__xludf.DUMMYFUNCTION("""COMPUTED_VALUE"""),"Thomas")</f>
        <v>Thomas</v>
      </c>
      <c r="E9081" t="str">
        <f>IFERROR(__xludf.DUMMYFUNCTION("""COMPUTED_VALUE"""),"Shamarko")</f>
        <v>Shamarko</v>
      </c>
      <c r="F9081" t="str">
        <f>IFERROR(__xludf.DUMMYFUNCTION("""COMPUTED_VALUE"""),"")</f>
        <v/>
      </c>
    </row>
    <row r="9082">
      <c r="D9082" t="str">
        <f>IFERROR(__xludf.DUMMYFUNCTION("""COMPUTED_VALUE"""),"Thomas")</f>
        <v>Thomas</v>
      </c>
      <c r="E9082" t="str">
        <f>IFERROR(__xludf.DUMMYFUNCTION("""COMPUTED_VALUE"""),"Simeon")</f>
        <v>Simeon</v>
      </c>
      <c r="F9082" t="str">
        <f>IFERROR(__xludf.DUMMYFUNCTION("""COMPUTED_VALUE"""),"")</f>
        <v/>
      </c>
    </row>
    <row r="9083">
      <c r="D9083" t="str">
        <f>IFERROR(__xludf.DUMMYFUNCTION("""COMPUTED_VALUE"""),"Thomas")</f>
        <v>Thomas</v>
      </c>
      <c r="E9083" t="str">
        <f>IFERROR(__xludf.DUMMYFUNCTION("""COMPUTED_VALUE"""),"Solomon")</f>
        <v>Solomon</v>
      </c>
      <c r="F9083" t="str">
        <f>IFERROR(__xludf.DUMMYFUNCTION("""COMPUTED_VALUE"""),"")</f>
        <v/>
      </c>
    </row>
    <row r="9084">
      <c r="D9084" t="str">
        <f>IFERROR(__xludf.DUMMYFUNCTION("""COMPUTED_VALUE"""),"Thomas")</f>
        <v>Thomas</v>
      </c>
      <c r="E9084" t="str">
        <f>IFERROR(__xludf.DUMMYFUNCTION("""COMPUTED_VALUE"""),"Tavierre")</f>
        <v>Tavierre</v>
      </c>
      <c r="F9084" t="str">
        <f>IFERROR(__xludf.DUMMYFUNCTION("""COMPUTED_VALUE"""),"")</f>
        <v/>
      </c>
    </row>
    <row r="9085">
      <c r="D9085" t="str">
        <f>IFERROR(__xludf.DUMMYFUNCTION("""COMPUTED_VALUE"""),"Thompson")</f>
        <v>Thompson</v>
      </c>
      <c r="E9085" t="str">
        <f>IFERROR(__xludf.DUMMYFUNCTION("""COMPUTED_VALUE"""),"Chris")</f>
        <v>Chris</v>
      </c>
      <c r="F9085" t="str">
        <f>IFERROR(__xludf.DUMMYFUNCTION("""COMPUTED_VALUE"""),"")</f>
        <v/>
      </c>
    </row>
    <row r="9086">
      <c r="D9086" t="str">
        <f>IFERROR(__xludf.DUMMYFUNCTION("""COMPUTED_VALUE"""),"Thompson")</f>
        <v>Thompson</v>
      </c>
      <c r="E9086" t="str">
        <f>IFERROR(__xludf.DUMMYFUNCTION("""COMPUTED_VALUE"""),"Corey")</f>
        <v>Corey</v>
      </c>
      <c r="F9086" t="str">
        <f>IFERROR(__xludf.DUMMYFUNCTION("""COMPUTED_VALUE"""),"")</f>
        <v/>
      </c>
    </row>
    <row r="9087">
      <c r="D9087" t="str">
        <f>IFERROR(__xludf.DUMMYFUNCTION("""COMPUTED_VALUE"""),"Thompson")</f>
        <v>Thompson</v>
      </c>
      <c r="E9087" t="str">
        <f>IFERROR(__xludf.DUMMYFUNCTION("""COMPUTED_VALUE"""),"Darian")</f>
        <v>Darian</v>
      </c>
      <c r="F9087" t="str">
        <f>IFERROR(__xludf.DUMMYFUNCTION("""COMPUTED_VALUE"""),"")</f>
        <v/>
      </c>
    </row>
    <row r="9088">
      <c r="D9088" t="str">
        <f>IFERROR(__xludf.DUMMYFUNCTION("""COMPUTED_VALUE"""),"Thompson")</f>
        <v>Thompson</v>
      </c>
      <c r="E9088" t="str">
        <f>IFERROR(__xludf.DUMMYFUNCTION("""COMPUTED_VALUE"""),"Darwin")</f>
        <v>Darwin</v>
      </c>
      <c r="F9088" t="str">
        <f>IFERROR(__xludf.DUMMYFUNCTION("""COMPUTED_VALUE"""),"")</f>
        <v/>
      </c>
    </row>
    <row r="9089">
      <c r="D9089" t="str">
        <f>IFERROR(__xludf.DUMMYFUNCTION("""COMPUTED_VALUE"""),"Thompson")</f>
        <v>Thompson</v>
      </c>
      <c r="E9089" t="str">
        <f>IFERROR(__xludf.DUMMYFUNCTION("""COMPUTED_VALUE"""),"Deionte")</f>
        <v>Deionte</v>
      </c>
      <c r="F9089" t="str">
        <f>IFERROR(__xludf.DUMMYFUNCTION("""COMPUTED_VALUE"""),"")</f>
        <v/>
      </c>
    </row>
    <row r="9090">
      <c r="D9090" t="str">
        <f>IFERROR(__xludf.DUMMYFUNCTION("""COMPUTED_VALUE"""),"Thompson")</f>
        <v>Thompson</v>
      </c>
      <c r="E9090" t="str">
        <f>IFERROR(__xludf.DUMMYFUNCTION("""COMPUTED_VALUE"""),"Deonte")</f>
        <v>Deonte</v>
      </c>
      <c r="F9090" t="str">
        <f>IFERROR(__xludf.DUMMYFUNCTION("""COMPUTED_VALUE"""),"")</f>
        <v/>
      </c>
    </row>
    <row r="9091">
      <c r="D9091" t="str">
        <f>IFERROR(__xludf.DUMMYFUNCTION("""COMPUTED_VALUE"""),"Thompson")</f>
        <v>Thompson</v>
      </c>
      <c r="E9091" t="str">
        <f>IFERROR(__xludf.DUMMYFUNCTION("""COMPUTED_VALUE"""),"Shaq")</f>
        <v>Shaq</v>
      </c>
      <c r="F9091" t="str">
        <f>IFERROR(__xludf.DUMMYFUNCTION("""COMPUTED_VALUE"""),"")</f>
        <v/>
      </c>
    </row>
    <row r="9092">
      <c r="D9092" t="str">
        <f>IFERROR(__xludf.DUMMYFUNCTION("""COMPUTED_VALUE"""),"Thompson")</f>
        <v>Thompson</v>
      </c>
      <c r="E9092" t="str">
        <f>IFERROR(__xludf.DUMMYFUNCTION("""COMPUTED_VALUE"""),"Tedric")</f>
        <v>Tedric</v>
      </c>
      <c r="F9092" t="str">
        <f>IFERROR(__xludf.DUMMYFUNCTION("""COMPUTED_VALUE"""),"")</f>
        <v/>
      </c>
    </row>
    <row r="9093">
      <c r="D9093" t="str">
        <f>IFERROR(__xludf.DUMMYFUNCTION("""COMPUTED_VALUE"""),"Thornhill")</f>
        <v>Thornhill</v>
      </c>
      <c r="E9093" t="str">
        <f>IFERROR(__xludf.DUMMYFUNCTION("""COMPUTED_VALUE"""),"Juan")</f>
        <v>Juan</v>
      </c>
      <c r="F9093" t="str">
        <f>IFERROR(__xludf.DUMMYFUNCTION("""COMPUTED_VALUE"""),"")</f>
        <v/>
      </c>
    </row>
    <row r="9094">
      <c r="D9094" t="str">
        <f>IFERROR(__xludf.DUMMYFUNCTION("""COMPUTED_VALUE"""),"Thornton")</f>
        <v>Thornton</v>
      </c>
      <c r="E9094" t="str">
        <f>IFERROR(__xludf.DUMMYFUNCTION("""COMPUTED_VALUE"""),"Cedric")</f>
        <v>Cedric</v>
      </c>
      <c r="F9094" t="str">
        <f>IFERROR(__xludf.DUMMYFUNCTION("""COMPUTED_VALUE"""),"")</f>
        <v/>
      </c>
    </row>
    <row r="9095">
      <c r="D9095" t="str">
        <f>IFERROR(__xludf.DUMMYFUNCTION("""COMPUTED_VALUE"""),"Thorpe")</f>
        <v>Thorpe</v>
      </c>
      <c r="E9095" t="str">
        <f>IFERROR(__xludf.DUMMYFUNCTION("""COMPUTED_VALUE"""),"Neiko")</f>
        <v>Neiko</v>
      </c>
      <c r="F9095" t="str">
        <f>IFERROR(__xludf.DUMMYFUNCTION("""COMPUTED_VALUE"""),"")</f>
        <v/>
      </c>
    </row>
    <row r="9096">
      <c r="D9096" t="str">
        <f>IFERROR(__xludf.DUMMYFUNCTION("""COMPUTED_VALUE"""),"Thorson")</f>
        <v>Thorson</v>
      </c>
      <c r="E9096" t="str">
        <f>IFERROR(__xludf.DUMMYFUNCTION("""COMPUTED_VALUE"""),"Clayton")</f>
        <v>Clayton</v>
      </c>
      <c r="F9096" t="str">
        <f>IFERROR(__xludf.DUMMYFUNCTION("""COMPUTED_VALUE"""),"")</f>
        <v/>
      </c>
    </row>
    <row r="9097">
      <c r="D9097" t="str">
        <f>IFERROR(__xludf.DUMMYFUNCTION("""COMPUTED_VALUE"""),"Thuney")</f>
        <v>Thuney</v>
      </c>
      <c r="E9097" t="str">
        <f>IFERROR(__xludf.DUMMYFUNCTION("""COMPUTED_VALUE"""),"Joe")</f>
        <v>Joe</v>
      </c>
      <c r="F9097" t="str">
        <f>IFERROR(__xludf.DUMMYFUNCTION("""COMPUTED_VALUE"""),"")</f>
        <v/>
      </c>
    </row>
    <row r="9098">
      <c r="D9098" t="str">
        <f>IFERROR(__xludf.DUMMYFUNCTION("""COMPUTED_VALUE"""),"Tillery")</f>
        <v>Tillery</v>
      </c>
      <c r="E9098" t="str">
        <f>IFERROR(__xludf.DUMMYFUNCTION("""COMPUTED_VALUE"""),"Jerry")</f>
        <v>Jerry</v>
      </c>
      <c r="F9098" t="str">
        <f>IFERROR(__xludf.DUMMYFUNCTION("""COMPUTED_VALUE"""),"")</f>
        <v/>
      </c>
    </row>
    <row r="9099">
      <c r="D9099" t="str">
        <f>IFERROR(__xludf.DUMMYFUNCTION("""COMPUTED_VALUE"""),"Toilolo")</f>
        <v>Toilolo</v>
      </c>
      <c r="E9099" t="str">
        <f>IFERROR(__xludf.DUMMYFUNCTION("""COMPUTED_VALUE"""),"Levine")</f>
        <v>Levine</v>
      </c>
      <c r="F9099" t="str">
        <f>IFERROR(__xludf.DUMMYFUNCTION("""COMPUTED_VALUE"""),"")</f>
        <v/>
      </c>
    </row>
    <row r="9100">
      <c r="D9100" t="str">
        <f>IFERROR(__xludf.DUMMYFUNCTION("""COMPUTED_VALUE"""),"Toliver")</f>
        <v>Toliver</v>
      </c>
      <c r="E9100" t="str">
        <f>IFERROR(__xludf.DUMMYFUNCTION("""COMPUTED_VALUE"""),"Henre")</f>
        <v>Henre</v>
      </c>
      <c r="F9100" t="str">
        <f>IFERROR(__xludf.DUMMYFUNCTION("""COMPUTED_VALUE"""),"")</f>
        <v/>
      </c>
    </row>
    <row r="9101">
      <c r="D9101" t="str">
        <f>IFERROR(__xludf.DUMMYFUNCTION("""COMPUTED_VALUE"""),"Toliver")</f>
        <v>Toliver</v>
      </c>
      <c r="E9101" t="str">
        <f>IFERROR(__xludf.DUMMYFUNCTION("""COMPUTED_VALUE"""),"Kevin")</f>
        <v>Kevin</v>
      </c>
      <c r="F9101" t="str">
        <f>IFERROR(__xludf.DUMMYFUNCTION("""COMPUTED_VALUE"""),"")</f>
        <v/>
      </c>
    </row>
    <row r="9102">
      <c r="D9102" t="str">
        <f>IFERROR(__xludf.DUMMYFUNCTION("""COMPUTED_VALUE"""),"Tolliver")</f>
        <v>Tolliver</v>
      </c>
      <c r="E9102" t="str">
        <f>IFERROR(__xludf.DUMMYFUNCTION("""COMPUTED_VALUE"""),"Jalen")</f>
        <v>Jalen</v>
      </c>
      <c r="F9102" t="str">
        <f>IFERROR(__xludf.DUMMYFUNCTION("""COMPUTED_VALUE"""),"")</f>
        <v/>
      </c>
    </row>
    <row r="9103">
      <c r="D9103" t="str">
        <f>IFERROR(__xludf.DUMMYFUNCTION("""COMPUTED_VALUE"""),"Tom")</f>
        <v>Tom</v>
      </c>
      <c r="E9103" t="str">
        <f>IFERROR(__xludf.DUMMYFUNCTION("""COMPUTED_VALUE"""),"Cameron")</f>
        <v>Cameron</v>
      </c>
      <c r="F9103" t="str">
        <f>IFERROR(__xludf.DUMMYFUNCTION("""COMPUTED_VALUE"""),"")</f>
        <v/>
      </c>
    </row>
    <row r="9104">
      <c r="D9104" t="str">
        <f>IFERROR(__xludf.DUMMYFUNCTION("""COMPUTED_VALUE"""),"Tomlinson")</f>
        <v>Tomlinson</v>
      </c>
      <c r="E9104" t="str">
        <f>IFERROR(__xludf.DUMMYFUNCTION("""COMPUTED_VALUE"""),"Dalvin")</f>
        <v>Dalvin</v>
      </c>
      <c r="F9104" t="str">
        <f>IFERROR(__xludf.DUMMYFUNCTION("""COMPUTED_VALUE"""),"")</f>
        <v/>
      </c>
    </row>
    <row r="9105">
      <c r="D9105" t="str">
        <f>IFERROR(__xludf.DUMMYFUNCTION("""COMPUTED_VALUE"""),"Tomlinson")</f>
        <v>Tomlinson</v>
      </c>
      <c r="E9105" t="str">
        <f>IFERROR(__xludf.DUMMYFUNCTION("""COMPUTED_VALUE"""),"Eric")</f>
        <v>Eric</v>
      </c>
      <c r="F9105" t="str">
        <f>IFERROR(__xludf.DUMMYFUNCTION("""COMPUTED_VALUE"""),"")</f>
        <v/>
      </c>
    </row>
    <row r="9106">
      <c r="D9106" t="str">
        <f>IFERROR(__xludf.DUMMYFUNCTION("""COMPUTED_VALUE"""),"Tomlinson")</f>
        <v>Tomlinson</v>
      </c>
      <c r="E9106" t="str">
        <f>IFERROR(__xludf.DUMMYFUNCTION("""COMPUTED_VALUE"""),"Laken")</f>
        <v>Laken</v>
      </c>
      <c r="F9106" t="str">
        <f>IFERROR(__xludf.DUMMYFUNCTION("""COMPUTED_VALUE"""),"")</f>
        <v/>
      </c>
    </row>
    <row r="9107">
      <c r="D9107" t="str">
        <f>IFERROR(__xludf.DUMMYFUNCTION("""COMPUTED_VALUE"""),"Toner")</f>
        <v>Toner</v>
      </c>
      <c r="E9107" t="str">
        <f>IFERROR(__xludf.DUMMYFUNCTION("""COMPUTED_VALUE"""),"Cole")</f>
        <v>Cole</v>
      </c>
      <c r="F9107" t="str">
        <f>IFERROR(__xludf.DUMMYFUNCTION("""COMPUTED_VALUE"""),"")</f>
        <v/>
      </c>
    </row>
    <row r="9108">
      <c r="D9108" t="str">
        <f>IFERROR(__xludf.DUMMYFUNCTION("""COMPUTED_VALUE"""),"Tonyan")</f>
        <v>Tonyan</v>
      </c>
      <c r="E9108" t="str">
        <f>IFERROR(__xludf.DUMMYFUNCTION("""COMPUTED_VALUE"""),"Robert")</f>
        <v>Robert</v>
      </c>
      <c r="F9108" t="str">
        <f>IFERROR(__xludf.DUMMYFUNCTION("""COMPUTED_VALUE"""),"")</f>
        <v/>
      </c>
    </row>
    <row r="9109">
      <c r="D9109" t="str">
        <f>IFERROR(__xludf.DUMMYFUNCTION("""COMPUTED_VALUE"""),"Toran")</f>
        <v>Toran</v>
      </c>
      <c r="E9109" t="str">
        <f>IFERROR(__xludf.DUMMYFUNCTION("""COMPUTED_VALUE"""),"Najee")</f>
        <v>Najee</v>
      </c>
      <c r="F9109" t="str">
        <f>IFERROR(__xludf.DUMMYFUNCTION("""COMPUTED_VALUE"""),"")</f>
        <v/>
      </c>
    </row>
    <row r="9110">
      <c r="D9110" t="str">
        <f>IFERROR(__xludf.DUMMYFUNCTION("""COMPUTED_VALUE"""),"Toth")</f>
        <v>Toth</v>
      </c>
      <c r="E9110" t="str">
        <f>IFERROR(__xludf.DUMMYFUNCTION("""COMPUTED_VALUE"""),"Jon")</f>
        <v>Jon</v>
      </c>
      <c r="F9110" t="str">
        <f>IFERROR(__xludf.DUMMYFUNCTION("""COMPUTED_VALUE"""),"")</f>
        <v/>
      </c>
    </row>
    <row r="9111">
      <c r="D9111" t="str">
        <f>IFERROR(__xludf.DUMMYFUNCTION("""COMPUTED_VALUE"""),"Towbridge")</f>
        <v>Towbridge</v>
      </c>
      <c r="E9111" t="str">
        <f>IFERROR(__xludf.DUMMYFUNCTION("""COMPUTED_VALUE"""),"Keith")</f>
        <v>Keith</v>
      </c>
      <c r="F9111" t="str">
        <f>IFERROR(__xludf.DUMMYFUNCTION("""COMPUTED_VALUE"""),"")</f>
        <v/>
      </c>
    </row>
    <row r="9112">
      <c r="D9112" t="str">
        <f>IFERROR(__xludf.DUMMYFUNCTION("""COMPUTED_VALUE"""),"Townsend")</f>
        <v>Townsend</v>
      </c>
      <c r="E9112" t="str">
        <f>IFERROR(__xludf.DUMMYFUNCTION("""COMPUTED_VALUE"""),"Johnny")</f>
        <v>Johnny</v>
      </c>
      <c r="F9112" t="str">
        <f>IFERROR(__xludf.DUMMYFUNCTION("""COMPUTED_VALUE"""),"")</f>
        <v/>
      </c>
    </row>
    <row r="9113">
      <c r="D9113" t="str">
        <f>IFERROR(__xludf.DUMMYFUNCTION("""COMPUTED_VALUE"""),"Tranquill")</f>
        <v>Tranquill</v>
      </c>
      <c r="E9113" t="str">
        <f>IFERROR(__xludf.DUMMYFUNCTION("""COMPUTED_VALUE"""),"Drue")</f>
        <v>Drue</v>
      </c>
      <c r="F9113" t="str">
        <f>IFERROR(__xludf.DUMMYFUNCTION("""COMPUTED_VALUE"""),"")</f>
        <v/>
      </c>
    </row>
    <row r="9114">
      <c r="D9114" t="str">
        <f>IFERROR(__xludf.DUMMYFUNCTION("""COMPUTED_VALUE"""),"Treadwell")</f>
        <v>Treadwell</v>
      </c>
      <c r="E9114" t="str">
        <f>IFERROR(__xludf.DUMMYFUNCTION("""COMPUTED_VALUE"""),"Laquon")</f>
        <v>Laquon</v>
      </c>
      <c r="F9114" t="str">
        <f>IFERROR(__xludf.DUMMYFUNCTION("""COMPUTED_VALUE"""),"")</f>
        <v/>
      </c>
    </row>
    <row r="9115">
      <c r="D9115" t="str">
        <f>IFERROR(__xludf.DUMMYFUNCTION("""COMPUTED_VALUE"""),"Tretter")</f>
        <v>Tretter</v>
      </c>
      <c r="E9115" t="str">
        <f>IFERROR(__xludf.DUMMYFUNCTION("""COMPUTED_VALUE"""),"JC")</f>
        <v>JC</v>
      </c>
      <c r="F9115" t="str">
        <f>IFERROR(__xludf.DUMMYFUNCTION("""COMPUTED_VALUE"""),"")</f>
        <v/>
      </c>
    </row>
    <row r="9116">
      <c r="D9116" t="str">
        <f>IFERROR(__xludf.DUMMYFUNCTION("""COMPUTED_VALUE"""),"Trevathan")</f>
        <v>Trevathan</v>
      </c>
      <c r="E9116" t="str">
        <f>IFERROR(__xludf.DUMMYFUNCTION("""COMPUTED_VALUE"""),"Danny")</f>
        <v>Danny</v>
      </c>
      <c r="F9116" t="str">
        <f>IFERROR(__xludf.DUMMYFUNCTION("""COMPUTED_VALUE"""),"")</f>
        <v/>
      </c>
    </row>
    <row r="9117">
      <c r="D9117" t="str">
        <f>IFERROR(__xludf.DUMMYFUNCTION("""COMPUTED_VALUE"""),"Trubisky")</f>
        <v>Trubisky</v>
      </c>
      <c r="E9117" t="str">
        <f>IFERROR(__xludf.DUMMYFUNCTION("""COMPUTED_VALUE"""),"Mitchell")</f>
        <v>Mitchell</v>
      </c>
      <c r="F9117" t="str">
        <f>IFERROR(__xludf.DUMMYFUNCTION("""COMPUTED_VALUE"""),"")</f>
        <v/>
      </c>
    </row>
    <row r="9118">
      <c r="D9118" t="str">
        <f>IFERROR(__xludf.DUMMYFUNCTION("""COMPUTED_VALUE"""),"Trufant")</f>
        <v>Trufant</v>
      </c>
      <c r="E9118" t="str">
        <f>IFERROR(__xludf.DUMMYFUNCTION("""COMPUTED_VALUE"""),"Desmond")</f>
        <v>Desmond</v>
      </c>
      <c r="F9118" t="str">
        <f>IFERROR(__xludf.DUMMYFUNCTION("""COMPUTED_VALUE"""),"")</f>
        <v/>
      </c>
    </row>
    <row r="9119">
      <c r="D9119" t="str">
        <f>IFERROR(__xludf.DUMMYFUNCTION("""COMPUTED_VALUE"""),"Tucker")</f>
        <v>Tucker</v>
      </c>
      <c r="E9119" t="str">
        <f>IFERROR(__xludf.DUMMYFUNCTION("""COMPUTED_VALUE"""),"Justin")</f>
        <v>Justin</v>
      </c>
      <c r="F9119" t="str">
        <f>IFERROR(__xludf.DUMMYFUNCTION("""COMPUTED_VALUE"""),"")</f>
        <v/>
      </c>
    </row>
    <row r="9120">
      <c r="D9120" t="str">
        <f>IFERROR(__xludf.DUMMYFUNCTION("""COMPUTED_VALUE"""),"Tuioti-Mariner")</f>
        <v>Tuioti-Mariner</v>
      </c>
      <c r="E9120" t="str">
        <f>IFERROR(__xludf.DUMMYFUNCTION("""COMPUTED_VALUE"""),"Jacob")</f>
        <v>Jacob</v>
      </c>
      <c r="F9120" t="str">
        <f>IFERROR(__xludf.DUMMYFUNCTION("""COMPUTED_VALUE"""),"")</f>
        <v/>
      </c>
    </row>
    <row r="9121">
      <c r="D9121" t="str">
        <f>IFERROR(__xludf.DUMMYFUNCTION("""COMPUTED_VALUE"""),"Tuitt")</f>
        <v>Tuitt</v>
      </c>
      <c r="E9121" t="str">
        <f>IFERROR(__xludf.DUMMYFUNCTION("""COMPUTED_VALUE"""),"Stephon")</f>
        <v>Stephon</v>
      </c>
      <c r="F9121" t="str">
        <f>IFERROR(__xludf.DUMMYFUNCTION("""COMPUTED_VALUE"""),"")</f>
        <v/>
      </c>
    </row>
    <row r="9122">
      <c r="D9122" t="str">
        <f>IFERROR(__xludf.DUMMYFUNCTION("""COMPUTED_VALUE"""),"Tunsil")</f>
        <v>Tunsil</v>
      </c>
      <c r="E9122" t="str">
        <f>IFERROR(__xludf.DUMMYFUNCTION("""COMPUTED_VALUE"""),"Laremy")</f>
        <v>Laremy</v>
      </c>
      <c r="F9122" t="str">
        <f>IFERROR(__xludf.DUMMYFUNCTION("""COMPUTED_VALUE"""),"")</f>
        <v/>
      </c>
    </row>
    <row r="9123">
      <c r="D9123" t="str">
        <f>IFERROR(__xludf.DUMMYFUNCTION("""COMPUTED_VALUE"""),"Tupou")</f>
        <v>Tupou</v>
      </c>
      <c r="E9123" t="str">
        <f>IFERROR(__xludf.DUMMYFUNCTION("""COMPUTED_VALUE"""),"Josh")</f>
        <v>Josh</v>
      </c>
      <c r="F9123" t="str">
        <f>IFERROR(__xludf.DUMMYFUNCTION("""COMPUTED_VALUE"""),"")</f>
        <v/>
      </c>
    </row>
    <row r="9124">
      <c r="D9124" t="str">
        <f>IFERROR(__xludf.DUMMYFUNCTION("""COMPUTED_VALUE"""),"Turay")</f>
        <v>Turay</v>
      </c>
      <c r="E9124" t="str">
        <f>IFERROR(__xludf.DUMMYFUNCTION("""COMPUTED_VALUE"""),"Kemoko")</f>
        <v>Kemoko</v>
      </c>
      <c r="F9124" t="str">
        <f>IFERROR(__xludf.DUMMYFUNCTION("""COMPUTED_VALUE"""),"")</f>
        <v/>
      </c>
    </row>
    <row r="9125">
      <c r="D9125" t="str">
        <f>IFERROR(__xludf.DUMMYFUNCTION("""COMPUTED_VALUE"""),"Turner")</f>
        <v>Turner</v>
      </c>
      <c r="E9125" t="str">
        <f>IFERROR(__xludf.DUMMYFUNCTION("""COMPUTED_VALUE"""),"Billy")</f>
        <v>Billy</v>
      </c>
      <c r="F9125" t="str">
        <f>IFERROR(__xludf.DUMMYFUNCTION("""COMPUTED_VALUE"""),"")</f>
        <v/>
      </c>
    </row>
    <row r="9126">
      <c r="D9126" t="str">
        <f>IFERROR(__xludf.DUMMYFUNCTION("""COMPUTED_VALUE"""),"Turner")</f>
        <v>Turner</v>
      </c>
      <c r="E9126" t="str">
        <f>IFERROR(__xludf.DUMMYFUNCTION("""COMPUTED_VALUE"""),"DeLance")</f>
        <v>DeLance</v>
      </c>
      <c r="F9126" t="str">
        <f>IFERROR(__xludf.DUMMYFUNCTION("""COMPUTED_VALUE"""),"")</f>
        <v/>
      </c>
    </row>
    <row r="9127">
      <c r="D9127" t="str">
        <f>IFERROR(__xludf.DUMMYFUNCTION("""COMPUTED_VALUE"""),"Turner")</f>
        <v>Turner</v>
      </c>
      <c r="E9127" t="str">
        <f>IFERROR(__xludf.DUMMYFUNCTION("""COMPUTED_VALUE"""),"Ezekiel")</f>
        <v>Ezekiel</v>
      </c>
      <c r="F9127" t="str">
        <f>IFERROR(__xludf.DUMMYFUNCTION("""COMPUTED_VALUE"""),"")</f>
        <v/>
      </c>
    </row>
    <row r="9128">
      <c r="D9128" t="str">
        <f>IFERROR(__xludf.DUMMYFUNCTION("""COMPUTED_VALUE"""),"Turner")</f>
        <v>Turner</v>
      </c>
      <c r="E9128" t="str">
        <f>IFERROR(__xludf.DUMMYFUNCTION("""COMPUTED_VALUE"""),"Trai")</f>
        <v>Trai</v>
      </c>
      <c r="F9128" t="str">
        <f>IFERROR(__xludf.DUMMYFUNCTION("""COMPUTED_VALUE"""),"")</f>
        <v/>
      </c>
    </row>
    <row r="9129">
      <c r="D9129" t="str">
        <f>IFERROR(__xludf.DUMMYFUNCTION("""COMPUTED_VALUE"""),"Tye")</f>
        <v>Tye</v>
      </c>
      <c r="E9129" t="str">
        <f>IFERROR(__xludf.DUMMYFUNCTION("""COMPUTED_VALUE"""),"Will")</f>
        <v>Will</v>
      </c>
      <c r="F9129" t="str">
        <f>IFERROR(__xludf.DUMMYFUNCTION("""COMPUTED_VALUE"""),"")</f>
        <v/>
      </c>
    </row>
    <row r="9130">
      <c r="D9130" t="str">
        <f>IFERROR(__xludf.DUMMYFUNCTION("""COMPUTED_VALUE"""),"Tyson")</f>
        <v>Tyson</v>
      </c>
      <c r="E9130" t="str">
        <f>IFERROR(__xludf.DUMMYFUNCTION("""COMPUTED_VALUE"""),"Mike")</f>
        <v>Mike</v>
      </c>
      <c r="F9130" t="str">
        <f>IFERROR(__xludf.DUMMYFUNCTION("""COMPUTED_VALUE"""),"")</f>
        <v/>
      </c>
    </row>
    <row r="9131">
      <c r="D9131" t="str">
        <f>IFERROR(__xludf.DUMMYFUNCTION("""COMPUTED_VALUE"""),"Udoh")</f>
        <v>Udoh</v>
      </c>
      <c r="E9131" t="str">
        <f>IFERROR(__xludf.DUMMYFUNCTION("""COMPUTED_VALUE"""),"Olisaemeka")</f>
        <v>Olisaemeka</v>
      </c>
      <c r="F9131" t="str">
        <f>IFERROR(__xludf.DUMMYFUNCTION("""COMPUTED_VALUE"""),"")</f>
        <v/>
      </c>
    </row>
    <row r="9132">
      <c r="D9132" t="str">
        <f>IFERROR(__xludf.DUMMYFUNCTION("""COMPUTED_VALUE"""),"Urban")</f>
        <v>Urban</v>
      </c>
      <c r="E9132" t="str">
        <f>IFERROR(__xludf.DUMMYFUNCTION("""COMPUTED_VALUE"""),"Brent")</f>
        <v>Brent</v>
      </c>
      <c r="F9132" t="str">
        <f>IFERROR(__xludf.DUMMYFUNCTION("""COMPUTED_VALUE"""),"")</f>
        <v/>
      </c>
    </row>
    <row r="9133">
      <c r="D9133" t="str">
        <f>IFERROR(__xludf.DUMMYFUNCTION("""COMPUTED_VALUE"""),"Ursua")</f>
        <v>Ursua</v>
      </c>
      <c r="E9133" t="str">
        <f>IFERROR(__xludf.DUMMYFUNCTION("""COMPUTED_VALUE"""),"John")</f>
        <v>John</v>
      </c>
      <c r="F9133" t="str">
        <f>IFERROR(__xludf.DUMMYFUNCTION("""COMPUTED_VALUE"""),"")</f>
        <v/>
      </c>
    </row>
    <row r="9134">
      <c r="D9134" t="str">
        <f>IFERROR(__xludf.DUMMYFUNCTION("""COMPUTED_VALUE"""),"Uzomah")</f>
        <v>Uzomah</v>
      </c>
      <c r="E9134" t="str">
        <f>IFERROR(__xludf.DUMMYFUNCTION("""COMPUTED_VALUE"""),"CJ")</f>
        <v>CJ</v>
      </c>
      <c r="F9134" t="str">
        <f>IFERROR(__xludf.DUMMYFUNCTION("""COMPUTED_VALUE"""),"")</f>
        <v/>
      </c>
    </row>
    <row r="9135">
      <c r="D9135" t="str">
        <f>IFERROR(__xludf.DUMMYFUNCTION("""COMPUTED_VALUE"""),"Vaccaro")</f>
        <v>Vaccaro</v>
      </c>
      <c r="E9135" t="str">
        <f>IFERROR(__xludf.DUMMYFUNCTION("""COMPUTED_VALUE"""),"Kenny")</f>
        <v>Kenny</v>
      </c>
      <c r="F9135" t="str">
        <f>IFERROR(__xludf.DUMMYFUNCTION("""COMPUTED_VALUE"""),"")</f>
        <v/>
      </c>
    </row>
    <row r="9136">
      <c r="D9136" t="str">
        <f>IFERROR(__xludf.DUMMYFUNCTION("""COMPUTED_VALUE"""),"Vaeao")</f>
        <v>Vaeao</v>
      </c>
      <c r="E9136" t="str">
        <f>IFERROR(__xludf.DUMMYFUNCTION("""COMPUTED_VALUE"""),"Destiny")</f>
        <v>Destiny</v>
      </c>
      <c r="F9136" t="str">
        <f>IFERROR(__xludf.DUMMYFUNCTION("""COMPUTED_VALUE"""),"")</f>
        <v/>
      </c>
    </row>
    <row r="9137">
      <c r="D9137" t="str">
        <f>IFERROR(__xludf.DUMMYFUNCTION("""COMPUTED_VALUE"""),"Vaitai")</f>
        <v>Vaitai</v>
      </c>
      <c r="E9137" t="str">
        <f>IFERROR(__xludf.DUMMYFUNCTION("""COMPUTED_VALUE"""),"Halapoulivaati")</f>
        <v>Halapoulivaati</v>
      </c>
      <c r="F9137" t="str">
        <f>IFERROR(__xludf.DUMMYFUNCTION("""COMPUTED_VALUE"""),"")</f>
        <v/>
      </c>
    </row>
    <row r="9138">
      <c r="D9138" t="str">
        <f>IFERROR(__xludf.DUMMYFUNCTION("""COMPUTED_VALUE"""),"Valdes-Scantling")</f>
        <v>Valdes-Scantling</v>
      </c>
      <c r="E9138" t="str">
        <f>IFERROR(__xludf.DUMMYFUNCTION("""COMPUTED_VALUE"""),"Marquez")</f>
        <v>Marquez</v>
      </c>
      <c r="F9138" t="str">
        <f>IFERROR(__xludf.DUMMYFUNCTION("""COMPUTED_VALUE"""),"")</f>
        <v/>
      </c>
    </row>
    <row r="9139">
      <c r="D9139" t="str">
        <f>IFERROR(__xludf.DUMMYFUNCTION("""COMPUTED_VALUE"""),"Valentine")</f>
        <v>Valentine</v>
      </c>
      <c r="E9139" t="str">
        <f>IFERROR(__xludf.DUMMYFUNCTION("""COMPUTED_VALUE"""),"Vincent")</f>
        <v>Vincent</v>
      </c>
      <c r="F9139" t="str">
        <f>IFERROR(__xludf.DUMMYFUNCTION("""COMPUTED_VALUE"""),"")</f>
        <v/>
      </c>
    </row>
    <row r="9140">
      <c r="D9140" t="str">
        <f>IFERROR(__xludf.DUMMYFUNCTION("""COMPUTED_VALUE"""),"Vallejo")</f>
        <v>Vallejo</v>
      </c>
      <c r="E9140" t="str">
        <f>IFERROR(__xludf.DUMMYFUNCTION("""COMPUTED_VALUE"""),"Tanner")</f>
        <v>Tanner</v>
      </c>
      <c r="F9140" t="str">
        <f>IFERROR(__xludf.DUMMYFUNCTION("""COMPUTED_VALUE"""),"")</f>
        <v/>
      </c>
    </row>
    <row r="9141">
      <c r="D9141" t="str">
        <f>IFERROR(__xludf.DUMMYFUNCTION("""COMPUTED_VALUE"""),"Van")</f>
        <v>Van</v>
      </c>
      <c r="E9141" t="str">
        <f>IFERROR(__xludf.DUMMYFUNCTION("""COMPUTED_VALUE"""),"Andrew")</f>
        <v>Andrew</v>
      </c>
      <c r="F9141" t="str">
        <f>IFERROR(__xludf.DUMMYFUNCTION("""COMPUTED_VALUE"""),"")</f>
        <v/>
      </c>
    </row>
    <row r="9142">
      <c r="D9142" t="str">
        <f>IFERROR(__xludf.DUMMYFUNCTION("""COMPUTED_VALUE"""),"Van")</f>
        <v>Van</v>
      </c>
      <c r="E9142" t="str">
        <f>IFERROR(__xludf.DUMMYFUNCTION("""COMPUTED_VALUE"""),"Greg")</f>
        <v>Greg</v>
      </c>
      <c r="F9142" t="str">
        <f>IFERROR(__xludf.DUMMYFUNCTION("""COMPUTED_VALUE"""),"")</f>
        <v/>
      </c>
    </row>
    <row r="9143">
      <c r="D9143" t="str">
        <f>IFERROR(__xludf.DUMMYFUNCTION("""COMPUTED_VALUE"""),"Van")</f>
        <v>Van</v>
      </c>
      <c r="E9143" t="str">
        <f>IFERROR(__xludf.DUMMYFUNCTION("""COMPUTED_VALUE"""),"Kyle")</f>
        <v>Kyle</v>
      </c>
      <c r="F9143" t="str">
        <f>IFERROR(__xludf.DUMMYFUNCTION("""COMPUTED_VALUE"""),"")</f>
        <v/>
      </c>
    </row>
    <row r="9144">
      <c r="D9144" t="str">
        <f>IFERROR(__xludf.DUMMYFUNCTION("""COMPUTED_VALUE"""),"Vander")</f>
        <v>Vander</v>
      </c>
      <c r="E9144" t="str">
        <f>IFERROR(__xludf.DUMMYFUNCTION("""COMPUTED_VALUE"""),"Jason")</f>
        <v>Jason</v>
      </c>
      <c r="F9144" t="str">
        <f>IFERROR(__xludf.DUMMYFUNCTION("""COMPUTED_VALUE"""),"")</f>
        <v/>
      </c>
    </row>
    <row r="9145">
      <c r="D9145" t="str">
        <f>IFERROR(__xludf.DUMMYFUNCTION("""COMPUTED_VALUE"""),"Vander")</f>
        <v>Vander</v>
      </c>
      <c r="E9145" t="str">
        <f>IFERROR(__xludf.DUMMYFUNCTION("""COMPUTED_VALUE"""),"Leighton")</f>
        <v>Leighton</v>
      </c>
      <c r="F9145" t="str">
        <f>IFERROR(__xludf.DUMMYFUNCTION("""COMPUTED_VALUE"""),"")</f>
        <v/>
      </c>
    </row>
    <row r="9146">
      <c r="D9146" t="str">
        <f>IFERROR(__xludf.DUMMYFUNCTION("""COMPUTED_VALUE"""),"Vanderdoes")</f>
        <v>Vanderdoes</v>
      </c>
      <c r="E9146" t="str">
        <f>IFERROR(__xludf.DUMMYFUNCTION("""COMPUTED_VALUE"""),"Eddie")</f>
        <v>Eddie</v>
      </c>
      <c r="F9146" t="str">
        <f>IFERROR(__xludf.DUMMYFUNCTION("""COMPUTED_VALUE"""),"")</f>
        <v/>
      </c>
    </row>
    <row r="9147">
      <c r="D9147" t="str">
        <f>IFERROR(__xludf.DUMMYFUNCTION("""COMPUTED_VALUE"""),"Vannett")</f>
        <v>Vannett</v>
      </c>
      <c r="E9147" t="str">
        <f>IFERROR(__xludf.DUMMYFUNCTION("""COMPUTED_VALUE"""),"Nick")</f>
        <v>Nick</v>
      </c>
      <c r="F9147" t="str">
        <f>IFERROR(__xludf.DUMMYFUNCTION("""COMPUTED_VALUE"""),"")</f>
        <v/>
      </c>
    </row>
    <row r="9148">
      <c r="D9148" t="str">
        <f>IFERROR(__xludf.DUMMYFUNCTION("""COMPUTED_VALUE"""),"Vaughters")</f>
        <v>Vaughters</v>
      </c>
      <c r="E9148" t="str">
        <f>IFERROR(__xludf.DUMMYFUNCTION("""COMPUTED_VALUE"""),"James")</f>
        <v>James</v>
      </c>
      <c r="F9148" t="str">
        <f>IFERROR(__xludf.DUMMYFUNCTION("""COMPUTED_VALUE"""),"")</f>
        <v/>
      </c>
    </row>
    <row r="9149">
      <c r="D9149" t="str">
        <f>IFERROR(__xludf.DUMMYFUNCTION("""COMPUTED_VALUE"""),"Vea")</f>
        <v>Vea</v>
      </c>
      <c r="E9149" t="str">
        <f>IFERROR(__xludf.DUMMYFUNCTION("""COMPUTED_VALUE"""),"Vita")</f>
        <v>Vita</v>
      </c>
      <c r="F9149" t="str">
        <f>IFERROR(__xludf.DUMMYFUNCTION("""COMPUTED_VALUE"""),"")</f>
        <v/>
      </c>
    </row>
    <row r="9150">
      <c r="D9150" t="str">
        <f>IFERROR(__xludf.DUMMYFUNCTION("""COMPUTED_VALUE"""),"Vedvik")</f>
        <v>Vedvik</v>
      </c>
      <c r="E9150" t="str">
        <f>IFERROR(__xludf.DUMMYFUNCTION("""COMPUTED_VALUE"""),"Kaare")</f>
        <v>Kaare</v>
      </c>
      <c r="F9150" t="str">
        <f>IFERROR(__xludf.DUMMYFUNCTION("""COMPUTED_VALUE"""),"")</f>
        <v/>
      </c>
    </row>
    <row r="9151">
      <c r="D9151" t="str">
        <f>IFERROR(__xludf.DUMMYFUNCTION("""COMPUTED_VALUE"""),"Vernon")</f>
        <v>Vernon</v>
      </c>
      <c r="E9151" t="str">
        <f>IFERROR(__xludf.DUMMYFUNCTION("""COMPUTED_VALUE"""),"Olivier")</f>
        <v>Olivier</v>
      </c>
      <c r="F9151" t="str">
        <f>IFERROR(__xludf.DUMMYFUNCTION("""COMPUTED_VALUE"""),"")</f>
        <v/>
      </c>
    </row>
    <row r="9152">
      <c r="D9152" t="str">
        <f>IFERROR(__xludf.DUMMYFUNCTION("""COMPUTED_VALUE"""),"Verrett")</f>
        <v>Verrett</v>
      </c>
      <c r="E9152" t="str">
        <f>IFERROR(__xludf.DUMMYFUNCTION("""COMPUTED_VALUE"""),"Jason")</f>
        <v>Jason</v>
      </c>
      <c r="F9152" t="str">
        <f>IFERROR(__xludf.DUMMYFUNCTION("""COMPUTED_VALUE"""),"")</f>
        <v/>
      </c>
    </row>
    <row r="9153">
      <c r="D9153" t="str">
        <f>IFERROR(__xludf.DUMMYFUNCTION("""COMPUTED_VALUE"""),"Vigil")</f>
        <v>Vigil</v>
      </c>
      <c r="E9153" t="str">
        <f>IFERROR(__xludf.DUMMYFUNCTION("""COMPUTED_VALUE"""),"Nick")</f>
        <v>Nick</v>
      </c>
      <c r="F9153" t="str">
        <f>IFERROR(__xludf.DUMMYFUNCTION("""COMPUTED_VALUE"""),"")</f>
        <v/>
      </c>
    </row>
    <row r="9154">
      <c r="D9154" t="str">
        <f>IFERROR(__xludf.DUMMYFUNCTION("""COMPUTED_VALUE"""),"Villanueva")</f>
        <v>Villanueva</v>
      </c>
      <c r="E9154" t="str">
        <f>IFERROR(__xludf.DUMMYFUNCTION("""COMPUTED_VALUE"""),"Alejandro")</f>
        <v>Alejandro</v>
      </c>
      <c r="F9154" t="str">
        <f>IFERROR(__xludf.DUMMYFUNCTION("""COMPUTED_VALUE"""),"")</f>
        <v/>
      </c>
    </row>
    <row r="9155">
      <c r="D9155" t="str">
        <f>IFERROR(__xludf.DUMMYFUNCTION("""COMPUTED_VALUE"""),"Vinatieri")</f>
        <v>Vinatieri</v>
      </c>
      <c r="E9155" t="str">
        <f>IFERROR(__xludf.DUMMYFUNCTION("""COMPUTED_VALUE"""),"Adam")</f>
        <v>Adam</v>
      </c>
      <c r="F9155" t="str">
        <f>IFERROR(__xludf.DUMMYFUNCTION("""COMPUTED_VALUE"""),"")</f>
        <v/>
      </c>
    </row>
    <row r="9156">
      <c r="D9156" t="str">
        <f>IFERROR(__xludf.DUMMYFUNCTION("""COMPUTED_VALUE"""),"Vitale")</f>
        <v>Vitale</v>
      </c>
      <c r="E9156" t="str">
        <f>IFERROR(__xludf.DUMMYFUNCTION("""COMPUTED_VALUE"""),"Danny")</f>
        <v>Danny</v>
      </c>
      <c r="F9156" t="str">
        <f>IFERROR(__xludf.DUMMYFUNCTION("""COMPUTED_VALUE"""),"")</f>
        <v/>
      </c>
    </row>
    <row r="9157">
      <c r="D9157" t="str">
        <f>IFERROR(__xludf.DUMMYFUNCTION("""COMPUTED_VALUE"""),"Vollert")</f>
        <v>Vollert</v>
      </c>
      <c r="E9157" t="str">
        <f>IFERROR(__xludf.DUMMYFUNCTION("""COMPUTED_VALUE"""),"Andrew")</f>
        <v>Andrew</v>
      </c>
      <c r="F9157" t="str">
        <f>IFERROR(__xludf.DUMMYFUNCTION("""COMPUTED_VALUE"""),"")</f>
        <v/>
      </c>
    </row>
    <row r="9158">
      <c r="D9158" t="str">
        <f>IFERROR(__xludf.DUMMYFUNCTION("""COMPUTED_VALUE"""),"Vujnovich")</f>
        <v>Vujnovich</v>
      </c>
      <c r="E9158" t="str">
        <f>IFERROR(__xludf.DUMMYFUNCTION("""COMPUTED_VALUE"""),"Jeremy")</f>
        <v>Jeremy</v>
      </c>
      <c r="F9158" t="str">
        <f>IFERROR(__xludf.DUMMYFUNCTION("""COMPUTED_VALUE"""),"")</f>
        <v/>
      </c>
    </row>
    <row r="9159">
      <c r="D9159" t="str">
        <f>IFERROR(__xludf.DUMMYFUNCTION("""COMPUTED_VALUE"""),"Waddle")</f>
        <v>Waddle</v>
      </c>
      <c r="E9159" t="str">
        <f>IFERROR(__xludf.DUMMYFUNCTION("""COMPUTED_VALUE"""),"LaAdrian")</f>
        <v>LaAdrian</v>
      </c>
      <c r="F9159" t="str">
        <f>IFERROR(__xludf.DUMMYFUNCTION("""COMPUTED_VALUE"""),"")</f>
        <v/>
      </c>
    </row>
    <row r="9160">
      <c r="D9160" t="str">
        <f>IFERROR(__xludf.DUMMYFUNCTION("""COMPUTED_VALUE"""),"Wade")</f>
        <v>Wade</v>
      </c>
      <c r="E9160" t="str">
        <f>IFERROR(__xludf.DUMMYFUNCTION("""COMPUTED_VALUE"""),"DMontre")</f>
        <v>DMontre</v>
      </c>
      <c r="F9160" t="str">
        <f>IFERROR(__xludf.DUMMYFUNCTION("""COMPUTED_VALUE"""),"")</f>
        <v/>
      </c>
    </row>
    <row r="9161">
      <c r="D9161" t="str">
        <f>IFERROR(__xludf.DUMMYFUNCTION("""COMPUTED_VALUE"""),"Wadman")</f>
        <v>Wadman</v>
      </c>
      <c r="E9161" t="str">
        <f>IFERROR(__xludf.DUMMYFUNCTION("""COMPUTED_VALUE"""),"Colby")</f>
        <v>Colby</v>
      </c>
      <c r="F9161" t="str">
        <f>IFERROR(__xludf.DUMMYFUNCTION("""COMPUTED_VALUE"""),"")</f>
        <v/>
      </c>
    </row>
    <row r="9162">
      <c r="D9162" t="str">
        <f>IFERROR(__xludf.DUMMYFUNCTION("""COMPUTED_VALUE"""),"Wagner")</f>
        <v>Wagner</v>
      </c>
      <c r="E9162" t="str">
        <f>IFERROR(__xludf.DUMMYFUNCTION("""COMPUTED_VALUE"""),"Bobby")</f>
        <v>Bobby</v>
      </c>
      <c r="F9162" t="str">
        <f>IFERROR(__xludf.DUMMYFUNCTION("""COMPUTED_VALUE"""),"")</f>
        <v/>
      </c>
    </row>
    <row r="9163">
      <c r="D9163" t="str">
        <f>IFERROR(__xludf.DUMMYFUNCTION("""COMPUTED_VALUE"""),"Wagner")</f>
        <v>Wagner</v>
      </c>
      <c r="E9163" t="str">
        <f>IFERROR(__xludf.DUMMYFUNCTION("""COMPUTED_VALUE"""),"Rick")</f>
        <v>Rick</v>
      </c>
      <c r="F9163" t="str">
        <f>IFERROR(__xludf.DUMMYFUNCTION("""COMPUTED_VALUE"""),"")</f>
        <v/>
      </c>
    </row>
    <row r="9164">
      <c r="D9164" t="str">
        <f>IFERROR(__xludf.DUMMYFUNCTION("""COMPUTED_VALUE"""),"Wake")</f>
        <v>Wake</v>
      </c>
      <c r="E9164" t="str">
        <f>IFERROR(__xludf.DUMMYFUNCTION("""COMPUTED_VALUE"""),"Cameron")</f>
        <v>Cameron</v>
      </c>
      <c r="F9164" t="str">
        <f>IFERROR(__xludf.DUMMYFUNCTION("""COMPUTED_VALUE"""),"")</f>
        <v/>
      </c>
    </row>
    <row r="9165">
      <c r="D9165" t="str">
        <f>IFERROR(__xludf.DUMMYFUNCTION("""COMPUTED_VALUE"""),"Walford")</f>
        <v>Walford</v>
      </c>
      <c r="E9165" t="str">
        <f>IFERROR(__xludf.DUMMYFUNCTION("""COMPUTED_VALUE"""),"Clive")</f>
        <v>Clive</v>
      </c>
      <c r="F9165" t="str">
        <f>IFERROR(__xludf.DUMMYFUNCTION("""COMPUTED_VALUE"""),"")</f>
        <v/>
      </c>
    </row>
    <row r="9166">
      <c r="D9166" t="str">
        <f>IFERROR(__xludf.DUMMYFUNCTION("""COMPUTED_VALUE"""),"Walker")</f>
        <v>Walker</v>
      </c>
      <c r="E9166" t="str">
        <f>IFERROR(__xludf.DUMMYFUNCTION("""COMPUTED_VALUE"""),"Anthony")</f>
        <v>Anthony</v>
      </c>
      <c r="F9166" t="str">
        <f>IFERROR(__xludf.DUMMYFUNCTION("""COMPUTED_VALUE"""),"")</f>
        <v/>
      </c>
    </row>
    <row r="9167">
      <c r="D9167" t="str">
        <f>IFERROR(__xludf.DUMMYFUNCTION("""COMPUTED_VALUE"""),"Walker")</f>
        <v>Walker</v>
      </c>
      <c r="E9167" t="str">
        <f>IFERROR(__xludf.DUMMYFUNCTION("""COMPUTED_VALUE"""),"DAndre")</f>
        <v>DAndre</v>
      </c>
      <c r="F9167" t="str">
        <f>IFERROR(__xludf.DUMMYFUNCTION("""COMPUTED_VALUE"""),"")</f>
        <v/>
      </c>
    </row>
    <row r="9168">
      <c r="D9168" t="str">
        <f>IFERROR(__xludf.DUMMYFUNCTION("""COMPUTED_VALUE"""),"Walker")</f>
        <v>Walker</v>
      </c>
      <c r="E9168" t="str">
        <f>IFERROR(__xludf.DUMMYFUNCTION("""COMPUTED_VALUE"""),"Delanie")</f>
        <v>Delanie</v>
      </c>
      <c r="F9168" t="str">
        <f>IFERROR(__xludf.DUMMYFUNCTION("""COMPUTED_VALUE"""),"")</f>
        <v/>
      </c>
    </row>
    <row r="9169">
      <c r="D9169" t="str">
        <f>IFERROR(__xludf.DUMMYFUNCTION("""COMPUTED_VALUE"""),"Walker")</f>
        <v>Walker</v>
      </c>
      <c r="E9169" t="str">
        <f>IFERROR(__xludf.DUMMYFUNCTION("""COMPUTED_VALUE"""),"DeMarcus")</f>
        <v>DeMarcus</v>
      </c>
      <c r="F9169" t="str">
        <f>IFERROR(__xludf.DUMMYFUNCTION("""COMPUTED_VALUE"""),"")</f>
        <v/>
      </c>
    </row>
    <row r="9170">
      <c r="D9170" t="str">
        <f>IFERROR(__xludf.DUMMYFUNCTION("""COMPUTED_VALUE"""),"Walker")</f>
        <v>Walker</v>
      </c>
      <c r="E9170" t="str">
        <f>IFERROR(__xludf.DUMMYFUNCTION("""COMPUTED_VALUE"""),"Joe")</f>
        <v>Joe</v>
      </c>
      <c r="F9170" t="str">
        <f>IFERROR(__xludf.DUMMYFUNCTION("""COMPUTED_VALUE"""),"")</f>
        <v/>
      </c>
    </row>
    <row r="9171">
      <c r="D9171" t="str">
        <f>IFERROR(__xludf.DUMMYFUNCTION("""COMPUTED_VALUE"""),"Walker")</f>
        <v>Walker</v>
      </c>
      <c r="E9171" t="str">
        <f>IFERROR(__xludf.DUMMYFUNCTION("""COMPUTED_VALUE"""),"Phillip")</f>
        <v>Phillip</v>
      </c>
      <c r="F9171" t="str">
        <f>IFERROR(__xludf.DUMMYFUNCTION("""COMPUTED_VALUE"""),"")</f>
        <v/>
      </c>
    </row>
    <row r="9172">
      <c r="D9172" t="str">
        <f>IFERROR(__xludf.DUMMYFUNCTION("""COMPUTED_VALUE"""),"Walker")</f>
        <v>Walker</v>
      </c>
      <c r="E9172" t="str">
        <f>IFERROR(__xludf.DUMMYFUNCTION("""COMPUTED_VALUE"""),"Tracy")</f>
        <v>Tracy</v>
      </c>
      <c r="F9172" t="str">
        <f>IFERROR(__xludf.DUMMYFUNCTION("""COMPUTED_VALUE"""),"")</f>
        <v/>
      </c>
    </row>
    <row r="9173">
      <c r="D9173" t="str">
        <f>IFERROR(__xludf.DUMMYFUNCTION("""COMPUTED_VALUE"""),"Wallace")</f>
        <v>Wallace</v>
      </c>
      <c r="E9173" t="str">
        <f>IFERROR(__xludf.DUMMYFUNCTION("""COMPUTED_VALUE"""),"Aaron")</f>
        <v>Aaron</v>
      </c>
      <c r="F9173" t="str">
        <f>IFERROR(__xludf.DUMMYFUNCTION("""COMPUTED_VALUE"""),"")</f>
        <v/>
      </c>
    </row>
    <row r="9174">
      <c r="D9174" t="str">
        <f>IFERROR(__xludf.DUMMYFUNCTION("""COMPUTED_VALUE"""),"Wallace")</f>
        <v>Wallace</v>
      </c>
      <c r="E9174" t="str">
        <f>IFERROR(__xludf.DUMMYFUNCTION("""COMPUTED_VALUE"""),"Levi")</f>
        <v>Levi</v>
      </c>
      <c r="F9174" t="str">
        <f>IFERROR(__xludf.DUMMYFUNCTION("""COMPUTED_VALUE"""),"")</f>
        <v/>
      </c>
    </row>
    <row r="9175">
      <c r="D9175" t="str">
        <f>IFERROR(__xludf.DUMMYFUNCTION("""COMPUTED_VALUE"""),"Waller")</f>
        <v>Waller</v>
      </c>
      <c r="E9175" t="str">
        <f>IFERROR(__xludf.DUMMYFUNCTION("""COMPUTED_VALUE"""),"Darren")</f>
        <v>Darren</v>
      </c>
      <c r="F9175" t="str">
        <f>IFERROR(__xludf.DUMMYFUNCTION("""COMPUTED_VALUE"""),"")</f>
        <v/>
      </c>
    </row>
    <row r="9176">
      <c r="D9176" t="str">
        <f>IFERROR(__xludf.DUMMYFUNCTION("""COMPUTED_VALUE"""),"Walton")</f>
        <v>Walton</v>
      </c>
      <c r="E9176" t="str">
        <f>IFERROR(__xludf.DUMMYFUNCTION("""COMPUTED_VALUE"""),"Mark")</f>
        <v>Mark</v>
      </c>
      <c r="F9176" t="str">
        <f>IFERROR(__xludf.DUMMYFUNCTION("""COMPUTED_VALUE"""),"")</f>
        <v/>
      </c>
    </row>
    <row r="9177">
      <c r="D9177" t="str">
        <f>IFERROR(__xludf.DUMMYFUNCTION("""COMPUTED_VALUE"""),"Ward")</f>
        <v>Ward</v>
      </c>
      <c r="E9177" t="str">
        <f>IFERROR(__xludf.DUMMYFUNCTION("""COMPUTED_VALUE"""),"Charvarius")</f>
        <v>Charvarius</v>
      </c>
      <c r="F9177" t="str">
        <f>IFERROR(__xludf.DUMMYFUNCTION("""COMPUTED_VALUE"""),"")</f>
        <v/>
      </c>
    </row>
    <row r="9178">
      <c r="D9178" t="str">
        <f>IFERROR(__xludf.DUMMYFUNCTION("""COMPUTED_VALUE"""),"Ward")</f>
        <v>Ward</v>
      </c>
      <c r="E9178" t="str">
        <f>IFERROR(__xludf.DUMMYFUNCTION("""COMPUTED_VALUE"""),"Denzel")</f>
        <v>Denzel</v>
      </c>
      <c r="F9178" t="str">
        <f>IFERROR(__xludf.DUMMYFUNCTION("""COMPUTED_VALUE"""),"")</f>
        <v/>
      </c>
    </row>
    <row r="9179">
      <c r="D9179" t="str">
        <f>IFERROR(__xludf.DUMMYFUNCTION("""COMPUTED_VALUE"""),"Ward")</f>
        <v>Ward</v>
      </c>
      <c r="E9179" t="str">
        <f>IFERROR(__xludf.DUMMYFUNCTION("""COMPUTED_VALUE"""),"Jihad")</f>
        <v>Jihad</v>
      </c>
      <c r="F9179" t="str">
        <f>IFERROR(__xludf.DUMMYFUNCTION("""COMPUTED_VALUE"""),"")</f>
        <v/>
      </c>
    </row>
    <row r="9180">
      <c r="D9180" t="str">
        <f>IFERROR(__xludf.DUMMYFUNCTION("""COMPUTED_VALUE"""),"Ward")</f>
        <v>Ward</v>
      </c>
      <c r="E9180" t="str">
        <f>IFERROR(__xludf.DUMMYFUNCTION("""COMPUTED_VALUE"""),"Jimmie")</f>
        <v>Jimmie</v>
      </c>
      <c r="F9180" t="str">
        <f>IFERROR(__xludf.DUMMYFUNCTION("""COMPUTED_VALUE"""),"")</f>
        <v/>
      </c>
    </row>
    <row r="9181">
      <c r="D9181" t="str">
        <f>IFERROR(__xludf.DUMMYFUNCTION("""COMPUTED_VALUE"""),"Ware")</f>
        <v>Ware</v>
      </c>
      <c r="E9181" t="str">
        <f>IFERROR(__xludf.DUMMYFUNCTION("""COMPUTED_VALUE"""),"Spencer")</f>
        <v>Spencer</v>
      </c>
      <c r="F9181" t="str">
        <f>IFERROR(__xludf.DUMMYFUNCTION("""COMPUTED_VALUE"""),"")</f>
        <v/>
      </c>
    </row>
    <row r="9182">
      <c r="D9182" t="str">
        <f>IFERROR(__xludf.DUMMYFUNCTION("""COMPUTED_VALUE"""),"Warford")</f>
        <v>Warford</v>
      </c>
      <c r="E9182" t="str">
        <f>IFERROR(__xludf.DUMMYFUNCTION("""COMPUTED_VALUE"""),"Larry")</f>
        <v>Larry</v>
      </c>
      <c r="F9182" t="str">
        <f>IFERROR(__xludf.DUMMYFUNCTION("""COMPUTED_VALUE"""),"")</f>
        <v/>
      </c>
    </row>
    <row r="9183">
      <c r="D9183" t="str">
        <f>IFERROR(__xludf.DUMMYFUNCTION("""COMPUTED_VALUE"""),"Warner")</f>
        <v>Warner</v>
      </c>
      <c r="E9183" t="str">
        <f>IFERROR(__xludf.DUMMYFUNCTION("""COMPUTED_VALUE"""),"Fred")</f>
        <v>Fred</v>
      </c>
      <c r="F9183" t="str">
        <f>IFERROR(__xludf.DUMMYFUNCTION("""COMPUTED_VALUE"""),"")</f>
        <v/>
      </c>
    </row>
    <row r="9184">
      <c r="D9184" t="str">
        <f>IFERROR(__xludf.DUMMYFUNCTION("""COMPUTED_VALUE"""),"Warren")</f>
        <v>Warren</v>
      </c>
      <c r="E9184" t="str">
        <f>IFERROR(__xludf.DUMMYFUNCTION("""COMPUTED_VALUE"""),"Chris")</f>
        <v>Chris</v>
      </c>
      <c r="F9184" t="str">
        <f>IFERROR(__xludf.DUMMYFUNCTION("""COMPUTED_VALUE"""),"")</f>
        <v/>
      </c>
    </row>
    <row r="9185">
      <c r="D9185" t="str">
        <f>IFERROR(__xludf.DUMMYFUNCTION("""COMPUTED_VALUE"""),"Warring")</f>
        <v>Warring</v>
      </c>
      <c r="E9185" t="str">
        <f>IFERROR(__xludf.DUMMYFUNCTION("""COMPUTED_VALUE"""),"Kahale")</f>
        <v>Kahale</v>
      </c>
      <c r="F9185" t="str">
        <f>IFERROR(__xludf.DUMMYFUNCTION("""COMPUTED_VALUE"""),"")</f>
        <v/>
      </c>
    </row>
    <row r="9186">
      <c r="D9186" t="str">
        <f>IFERROR(__xludf.DUMMYFUNCTION("""COMPUTED_VALUE"""),"Washington")</f>
        <v>Washington</v>
      </c>
      <c r="E9186" t="str">
        <f>IFERROR(__xludf.DUMMYFUNCTION("""COMPUTED_VALUE"""),"Adolphus")</f>
        <v>Adolphus</v>
      </c>
      <c r="F9186" t="str">
        <f>IFERROR(__xludf.DUMMYFUNCTION("""COMPUTED_VALUE"""),"")</f>
        <v/>
      </c>
    </row>
    <row r="9187">
      <c r="D9187" t="str">
        <f>IFERROR(__xludf.DUMMYFUNCTION("""COMPUTED_VALUE"""),"Washington")</f>
        <v>Washington</v>
      </c>
      <c r="E9187" t="str">
        <f>IFERROR(__xludf.DUMMYFUNCTION("""COMPUTED_VALUE"""),"Charles")</f>
        <v>Charles</v>
      </c>
      <c r="F9187" t="str">
        <f>IFERROR(__xludf.DUMMYFUNCTION("""COMPUTED_VALUE"""),"")</f>
        <v/>
      </c>
    </row>
    <row r="9188">
      <c r="D9188" t="str">
        <f>IFERROR(__xludf.DUMMYFUNCTION("""COMPUTED_VALUE"""),"Washington")</f>
        <v>Washington</v>
      </c>
      <c r="E9188" t="str">
        <f>IFERROR(__xludf.DUMMYFUNCTION("""COMPUTED_VALUE"""),"DeAndre")</f>
        <v>DeAndre</v>
      </c>
      <c r="F9188" t="str">
        <f>IFERROR(__xludf.DUMMYFUNCTION("""COMPUTED_VALUE"""),"")</f>
        <v/>
      </c>
    </row>
    <row r="9189">
      <c r="D9189" t="str">
        <f>IFERROR(__xludf.DUMMYFUNCTION("""COMPUTED_VALUE"""),"Washington")</f>
        <v>Washington</v>
      </c>
      <c r="E9189" t="str">
        <f>IFERROR(__xludf.DUMMYFUNCTION("""COMPUTED_VALUE"""),"Dwayne")</f>
        <v>Dwayne</v>
      </c>
      <c r="F9189" t="str">
        <f>IFERROR(__xludf.DUMMYFUNCTION("""COMPUTED_VALUE"""),"")</f>
        <v/>
      </c>
    </row>
    <row r="9190">
      <c r="D9190" t="str">
        <f>IFERROR(__xludf.DUMMYFUNCTION("""COMPUTED_VALUE"""),"Washington")</f>
        <v>Washington</v>
      </c>
      <c r="E9190" t="str">
        <f>IFERROR(__xludf.DUMMYFUNCTION("""COMPUTED_VALUE"""),"James")</f>
        <v>James</v>
      </c>
      <c r="F9190" t="str">
        <f>IFERROR(__xludf.DUMMYFUNCTION("""COMPUTED_VALUE"""),"")</f>
        <v/>
      </c>
    </row>
    <row r="9191">
      <c r="D9191" t="str">
        <f>IFERROR(__xludf.DUMMYFUNCTION("""COMPUTED_VALUE"""),"Waters")</f>
        <v>Waters</v>
      </c>
      <c r="E9191" t="str">
        <f>IFERROR(__xludf.DUMMYFUNCTION("""COMPUTED_VALUE"""),"Herb")</f>
        <v>Herb</v>
      </c>
      <c r="F9191" t="str">
        <f>IFERROR(__xludf.DUMMYFUNCTION("""COMPUTED_VALUE"""),"")</f>
        <v/>
      </c>
    </row>
    <row r="9192">
      <c r="D9192" t="str">
        <f>IFERROR(__xludf.DUMMYFUNCTION("""COMPUTED_VALUE"""),"Watford")</f>
        <v>Watford</v>
      </c>
      <c r="E9192" t="str">
        <f>IFERROR(__xludf.DUMMYFUNCTION("""COMPUTED_VALUE"""),"Earl")</f>
        <v>Earl</v>
      </c>
      <c r="F9192" t="str">
        <f>IFERROR(__xludf.DUMMYFUNCTION("""COMPUTED_VALUE"""),"")</f>
        <v/>
      </c>
    </row>
    <row r="9193">
      <c r="D9193" t="str">
        <f>IFERROR(__xludf.DUMMYFUNCTION("""COMPUTED_VALUE"""),"Watkins")</f>
        <v>Watkins</v>
      </c>
      <c r="E9193" t="str">
        <f>IFERROR(__xludf.DUMMYFUNCTION("""COMPUTED_VALUE"""),"Carlos")</f>
        <v>Carlos</v>
      </c>
      <c r="F9193" t="str">
        <f>IFERROR(__xludf.DUMMYFUNCTION("""COMPUTED_VALUE"""),"")</f>
        <v/>
      </c>
    </row>
    <row r="9194">
      <c r="D9194" t="str">
        <f>IFERROR(__xludf.DUMMYFUNCTION("""COMPUTED_VALUE"""),"Watkins")</f>
        <v>Watkins</v>
      </c>
      <c r="E9194" t="str">
        <f>IFERROR(__xludf.DUMMYFUNCTION("""COMPUTED_VALUE"""),"Jaylen")</f>
        <v>Jaylen</v>
      </c>
      <c r="F9194" t="str">
        <f>IFERROR(__xludf.DUMMYFUNCTION("""COMPUTED_VALUE"""),"")</f>
        <v/>
      </c>
    </row>
    <row r="9195">
      <c r="D9195" t="str">
        <f>IFERROR(__xludf.DUMMYFUNCTION("""COMPUTED_VALUE"""),"Watkins")</f>
        <v>Watkins</v>
      </c>
      <c r="E9195" t="str">
        <f>IFERROR(__xludf.DUMMYFUNCTION("""COMPUTED_VALUE"""),"Sammy")</f>
        <v>Sammy</v>
      </c>
      <c r="F9195" t="str">
        <f>IFERROR(__xludf.DUMMYFUNCTION("""COMPUTED_VALUE"""),"")</f>
        <v/>
      </c>
    </row>
    <row r="9196">
      <c r="D9196" t="str">
        <f>IFERROR(__xludf.DUMMYFUNCTION("""COMPUTED_VALUE"""),"Watson")</f>
        <v>Watson</v>
      </c>
      <c r="E9196" t="str">
        <f>IFERROR(__xludf.DUMMYFUNCTION("""COMPUTED_VALUE"""),"Benjamin")</f>
        <v>Benjamin</v>
      </c>
      <c r="F9196" t="str">
        <f>IFERROR(__xludf.DUMMYFUNCTION("""COMPUTED_VALUE"""),"")</f>
        <v/>
      </c>
    </row>
    <row r="9197">
      <c r="D9197" t="str">
        <f>IFERROR(__xludf.DUMMYFUNCTION("""COMPUTED_VALUE"""),"Watson")</f>
        <v>Watson</v>
      </c>
      <c r="E9197" t="str">
        <f>IFERROR(__xludf.DUMMYFUNCTION("""COMPUTED_VALUE"""),"Dekoda")</f>
        <v>Dekoda</v>
      </c>
      <c r="F9197" t="str">
        <f>IFERROR(__xludf.DUMMYFUNCTION("""COMPUTED_VALUE"""),"")</f>
        <v/>
      </c>
    </row>
    <row r="9198">
      <c r="D9198" t="str">
        <f>IFERROR(__xludf.DUMMYFUNCTION("""COMPUTED_VALUE"""),"Watson")</f>
        <v>Watson</v>
      </c>
      <c r="E9198" t="str">
        <f>IFERROR(__xludf.DUMMYFUNCTION("""COMPUTED_VALUE"""),"Deshaun")</f>
        <v>Deshaun</v>
      </c>
      <c r="F9198" t="str">
        <f>IFERROR(__xludf.DUMMYFUNCTION("""COMPUTED_VALUE"""),"")</f>
        <v/>
      </c>
    </row>
    <row r="9199">
      <c r="D9199" t="str">
        <f>IFERROR(__xludf.DUMMYFUNCTION("""COMPUTED_VALUE"""),"Watson")</f>
        <v>Watson</v>
      </c>
      <c r="E9199" t="str">
        <f>IFERROR(__xludf.DUMMYFUNCTION("""COMPUTED_VALUE"""),"Justin")</f>
        <v>Justin</v>
      </c>
      <c r="F9199" t="str">
        <f>IFERROR(__xludf.DUMMYFUNCTION("""COMPUTED_VALUE"""),"")</f>
        <v/>
      </c>
    </row>
    <row r="9200">
      <c r="D9200" t="str">
        <f>IFERROR(__xludf.DUMMYFUNCTION("""COMPUTED_VALUE"""),"Watt")</f>
        <v>Watt</v>
      </c>
      <c r="E9200" t="str">
        <f>IFERROR(__xludf.DUMMYFUNCTION("""COMPUTED_VALUE"""),"Derek")</f>
        <v>Derek</v>
      </c>
      <c r="F9200" t="str">
        <f>IFERROR(__xludf.DUMMYFUNCTION("""COMPUTED_VALUE"""),"")</f>
        <v/>
      </c>
    </row>
    <row r="9201">
      <c r="D9201" t="str">
        <f>IFERROR(__xludf.DUMMYFUNCTION("""COMPUTED_VALUE"""),"Watt")</f>
        <v>Watt</v>
      </c>
      <c r="E9201" t="str">
        <f>IFERROR(__xludf.DUMMYFUNCTION("""COMPUTED_VALUE"""),"JJ")</f>
        <v>JJ</v>
      </c>
      <c r="F9201" t="str">
        <f>IFERROR(__xludf.DUMMYFUNCTION("""COMPUTED_VALUE"""),"")</f>
        <v/>
      </c>
    </row>
    <row r="9202">
      <c r="D9202" t="str">
        <f>IFERROR(__xludf.DUMMYFUNCTION("""COMPUTED_VALUE"""),"Watt")</f>
        <v>Watt</v>
      </c>
      <c r="E9202" t="str">
        <f>IFERROR(__xludf.DUMMYFUNCTION("""COMPUTED_VALUE"""),"TJ")</f>
        <v>TJ</v>
      </c>
      <c r="F9202" t="str">
        <f>IFERROR(__xludf.DUMMYFUNCTION("""COMPUTED_VALUE"""),"")</f>
        <v/>
      </c>
    </row>
    <row r="9203">
      <c r="D9203" t="str">
        <f>IFERROR(__xludf.DUMMYFUNCTION("""COMPUTED_VALUE"""),"Watts")</f>
        <v>Watts</v>
      </c>
      <c r="E9203" t="str">
        <f>IFERROR(__xludf.DUMMYFUNCTION("""COMPUTED_VALUE"""),"Armani")</f>
        <v>Armani</v>
      </c>
      <c r="F9203" t="str">
        <f>IFERROR(__xludf.DUMMYFUNCTION("""COMPUTED_VALUE"""),"")</f>
        <v/>
      </c>
    </row>
    <row r="9204">
      <c r="D9204" t="str">
        <f>IFERROR(__xludf.DUMMYFUNCTION("""COMPUTED_VALUE"""),"Watts")</f>
        <v>Watts</v>
      </c>
      <c r="E9204" t="str">
        <f>IFERROR(__xludf.DUMMYFUNCTION("""COMPUTED_VALUE"""),"Armon")</f>
        <v>Armon</v>
      </c>
      <c r="F9204" t="str">
        <f>IFERROR(__xludf.DUMMYFUNCTION("""COMPUTED_VALUE"""),"")</f>
        <v/>
      </c>
    </row>
    <row r="9205">
      <c r="D9205" t="str">
        <f>IFERROR(__xludf.DUMMYFUNCTION("""COMPUTED_VALUE"""),"Way")</f>
        <v>Way</v>
      </c>
      <c r="E9205" t="str">
        <f>IFERROR(__xludf.DUMMYFUNCTION("""COMPUTED_VALUE"""),"Tress")</f>
        <v>Tress</v>
      </c>
      <c r="F9205" t="str">
        <f>IFERROR(__xludf.DUMMYFUNCTION("""COMPUTED_VALUE"""),"")</f>
        <v/>
      </c>
    </row>
    <row r="9206">
      <c r="D9206" t="str">
        <f>IFERROR(__xludf.DUMMYFUNCTION("""COMPUTED_VALUE"""),"Waynes")</f>
        <v>Waynes</v>
      </c>
      <c r="E9206" t="str">
        <f>IFERROR(__xludf.DUMMYFUNCTION("""COMPUTED_VALUE"""),"Trae")</f>
        <v>Trae</v>
      </c>
      <c r="F9206" t="str">
        <f>IFERROR(__xludf.DUMMYFUNCTION("""COMPUTED_VALUE"""),"")</f>
        <v/>
      </c>
    </row>
    <row r="9207">
      <c r="D9207" t="str">
        <f>IFERROR(__xludf.DUMMYFUNCTION("""COMPUTED_VALUE"""),"Weatherly")</f>
        <v>Weatherly</v>
      </c>
      <c r="E9207" t="str">
        <f>IFERROR(__xludf.DUMMYFUNCTION("""COMPUTED_VALUE"""),"Stephen")</f>
        <v>Stephen</v>
      </c>
      <c r="F9207" t="str">
        <f>IFERROR(__xludf.DUMMYFUNCTION("""COMPUTED_VALUE"""),"")</f>
        <v/>
      </c>
    </row>
    <row r="9208">
      <c r="D9208" t="str">
        <f>IFERROR(__xludf.DUMMYFUNCTION("""COMPUTED_VALUE"""),"Webb")</f>
        <v>Webb</v>
      </c>
      <c r="E9208" t="str">
        <f>IFERROR(__xludf.DUMMYFUNCTION("""COMPUTED_VALUE"""),"BW")</f>
        <v>BW</v>
      </c>
      <c r="F9208" t="str">
        <f>IFERROR(__xludf.DUMMYFUNCTION("""COMPUTED_VALUE"""),"")</f>
        <v/>
      </c>
    </row>
    <row r="9209">
      <c r="D9209" t="str">
        <f>IFERROR(__xludf.DUMMYFUNCTION("""COMPUTED_VALUE"""),"Webb")</f>
        <v>Webb</v>
      </c>
      <c r="E9209" t="str">
        <f>IFERROR(__xludf.DUMMYFUNCTION("""COMPUTED_VALUE"""),"Damon")</f>
        <v>Damon</v>
      </c>
      <c r="F9209" t="str">
        <f>IFERROR(__xludf.DUMMYFUNCTION("""COMPUTED_VALUE"""),"")</f>
        <v/>
      </c>
    </row>
    <row r="9210">
      <c r="D9210" t="str">
        <f>IFERROR(__xludf.DUMMYFUNCTION("""COMPUTED_VALUE"""),"Webb")</f>
        <v>Webb</v>
      </c>
      <c r="E9210" t="str">
        <f>IFERROR(__xludf.DUMMYFUNCTION("""COMPUTED_VALUE"""),"Davis")</f>
        <v>Davis</v>
      </c>
      <c r="F9210" t="str">
        <f>IFERROR(__xludf.DUMMYFUNCTION("""COMPUTED_VALUE"""),"")</f>
        <v/>
      </c>
    </row>
    <row r="9211">
      <c r="D9211" t="str">
        <f>IFERROR(__xludf.DUMMYFUNCTION("""COMPUTED_VALUE"""),"Webb")</f>
        <v>Webb</v>
      </c>
      <c r="E9211" t="str">
        <f>IFERROR(__xludf.DUMMYFUNCTION("""COMPUTED_VALUE"""),"JMarcus")</f>
        <v>JMarcus</v>
      </c>
      <c r="F9211" t="str">
        <f>IFERROR(__xludf.DUMMYFUNCTION("""COMPUTED_VALUE"""),"")</f>
        <v/>
      </c>
    </row>
    <row r="9212">
      <c r="D9212" t="str">
        <f>IFERROR(__xludf.DUMMYFUNCTION("""COMPUTED_VALUE"""),"Webb")</f>
        <v>Webb</v>
      </c>
      <c r="E9212" t="str">
        <f>IFERROR(__xludf.DUMMYFUNCTION("""COMPUTED_VALUE"""),"Joe")</f>
        <v>Joe</v>
      </c>
      <c r="F9212" t="str">
        <f>IFERROR(__xludf.DUMMYFUNCTION("""COMPUTED_VALUE"""),"")</f>
        <v/>
      </c>
    </row>
    <row r="9213">
      <c r="D9213" t="str">
        <f>IFERROR(__xludf.DUMMYFUNCTION("""COMPUTED_VALUE"""),"Weber")</f>
        <v>Weber</v>
      </c>
      <c r="E9213" t="str">
        <f>IFERROR(__xludf.DUMMYFUNCTION("""COMPUTED_VALUE"""),"Mike")</f>
        <v>Mike</v>
      </c>
      <c r="F9213" t="str">
        <f>IFERROR(__xludf.DUMMYFUNCTION("""COMPUTED_VALUE"""),"")</f>
        <v/>
      </c>
    </row>
    <row r="9214">
      <c r="D9214" t="str">
        <f>IFERROR(__xludf.DUMMYFUNCTION("""COMPUTED_VALUE"""),"Webster")</f>
        <v>Webster</v>
      </c>
      <c r="E9214" t="str">
        <f>IFERROR(__xludf.DUMMYFUNCTION("""COMPUTED_VALUE"""),"Ken")</f>
        <v>Ken</v>
      </c>
      <c r="F9214" t="str">
        <f>IFERROR(__xludf.DUMMYFUNCTION("""COMPUTED_VALUE"""),"")</f>
        <v/>
      </c>
    </row>
    <row r="9215">
      <c r="D9215" t="str">
        <f>IFERROR(__xludf.DUMMYFUNCTION("""COMPUTED_VALUE"""),"Weddle")</f>
        <v>Weddle</v>
      </c>
      <c r="E9215" t="str">
        <f>IFERROR(__xludf.DUMMYFUNCTION("""COMPUTED_VALUE"""),"Eric")</f>
        <v>Eric</v>
      </c>
      <c r="F9215" t="str">
        <f>IFERROR(__xludf.DUMMYFUNCTION("""COMPUTED_VALUE"""),"")</f>
        <v/>
      </c>
    </row>
    <row r="9216">
      <c r="D9216" t="str">
        <f>IFERROR(__xludf.DUMMYFUNCTION("""COMPUTED_VALUE"""),"Weeks")</f>
        <v>Weeks</v>
      </c>
      <c r="E9216" t="str">
        <f>IFERROR(__xludf.DUMMYFUNCTION("""COMPUTED_VALUE"""),"Jon")</f>
        <v>Jon</v>
      </c>
      <c r="F9216" t="str">
        <f>IFERROR(__xludf.DUMMYFUNCTION("""COMPUTED_VALUE"""),"")</f>
        <v/>
      </c>
    </row>
    <row r="9217">
      <c r="D9217" t="str">
        <f>IFERROR(__xludf.DUMMYFUNCTION("""COMPUTED_VALUE"""),"Wellman")</f>
        <v>Wellman</v>
      </c>
      <c r="E9217" t="str">
        <f>IFERROR(__xludf.DUMMYFUNCTION("""COMPUTED_VALUE"""),"Elijah")</f>
        <v>Elijah</v>
      </c>
      <c r="F9217" t="str">
        <f>IFERROR(__xludf.DUMMYFUNCTION("""COMPUTED_VALUE"""),"")</f>
        <v/>
      </c>
    </row>
    <row r="9218">
      <c r="D9218" t="str">
        <f>IFERROR(__xludf.DUMMYFUNCTION("""COMPUTED_VALUE"""),"Wells")</f>
        <v>Wells</v>
      </c>
      <c r="E9218" t="str">
        <f>IFERROR(__xludf.DUMMYFUNCTION("""COMPUTED_VALUE"""),"David")</f>
        <v>David</v>
      </c>
      <c r="F9218" t="str">
        <f>IFERROR(__xludf.DUMMYFUNCTION("""COMPUTED_VALUE"""),"")</f>
        <v/>
      </c>
    </row>
    <row r="9219">
      <c r="D9219" t="str">
        <f>IFERROR(__xludf.DUMMYFUNCTION("""COMPUTED_VALUE"""),"Wells")</f>
        <v>Wells</v>
      </c>
      <c r="E9219" t="str">
        <f>IFERROR(__xludf.DUMMYFUNCTION("""COMPUTED_VALUE"""),"Josh")</f>
        <v>Josh</v>
      </c>
      <c r="F9219" t="str">
        <f>IFERROR(__xludf.DUMMYFUNCTION("""COMPUTED_VALUE"""),"")</f>
        <v/>
      </c>
    </row>
    <row r="9220">
      <c r="D9220" t="str">
        <f>IFERROR(__xludf.DUMMYFUNCTION("""COMPUTED_VALUE"""),"Wentz")</f>
        <v>Wentz</v>
      </c>
      <c r="E9220" t="str">
        <f>IFERROR(__xludf.DUMMYFUNCTION("""COMPUTED_VALUE"""),"Carson")</f>
        <v>Carson</v>
      </c>
      <c r="F9220" t="str">
        <f>IFERROR(__xludf.DUMMYFUNCTION("""COMPUTED_VALUE"""),"")</f>
        <v/>
      </c>
    </row>
    <row r="9221">
      <c r="D9221" t="str">
        <f>IFERROR(__xludf.DUMMYFUNCTION("""COMPUTED_VALUE"""),"Wesco")</f>
        <v>Wesco</v>
      </c>
      <c r="E9221" t="str">
        <f>IFERROR(__xludf.DUMMYFUNCTION("""COMPUTED_VALUE"""),"Trevon")</f>
        <v>Trevon</v>
      </c>
      <c r="F9221" t="str">
        <f>IFERROR(__xludf.DUMMYFUNCTION("""COMPUTED_VALUE"""),"")</f>
        <v/>
      </c>
    </row>
    <row r="9222">
      <c r="D9222" t="str">
        <f>IFERROR(__xludf.DUMMYFUNCTION("""COMPUTED_VALUE"""),"Wesley")</f>
        <v>Wesley</v>
      </c>
      <c r="E9222" t="str">
        <f>IFERROR(__xludf.DUMMYFUNCTION("""COMPUTED_VALUE"""),"Alex")</f>
        <v>Alex</v>
      </c>
      <c r="F9222" t="str">
        <f>IFERROR(__xludf.DUMMYFUNCTION("""COMPUTED_VALUE"""),"")</f>
        <v/>
      </c>
    </row>
    <row r="9223">
      <c r="D9223" t="str">
        <f>IFERROR(__xludf.DUMMYFUNCTION("""COMPUTED_VALUE"""),"Wesley")</f>
        <v>Wesley</v>
      </c>
      <c r="E9223" t="str">
        <f>IFERROR(__xludf.DUMMYFUNCTION("""COMPUTED_VALUE"""),"DeOndre")</f>
        <v>DeOndre</v>
      </c>
      <c r="F9223" t="str">
        <f>IFERROR(__xludf.DUMMYFUNCTION("""COMPUTED_VALUE"""),"")</f>
        <v/>
      </c>
    </row>
    <row r="9224">
      <c r="D9224" t="str">
        <f>IFERROR(__xludf.DUMMYFUNCTION("""COMPUTED_VALUE"""),"Westbrook")</f>
        <v>Westbrook</v>
      </c>
      <c r="E9224" t="str">
        <f>IFERROR(__xludf.DUMMYFUNCTION("""COMPUTED_VALUE"""),"Dede")</f>
        <v>Dede</v>
      </c>
      <c r="F9224" t="str">
        <f>IFERROR(__xludf.DUMMYFUNCTION("""COMPUTED_VALUE"""),"")</f>
        <v/>
      </c>
    </row>
    <row r="9225">
      <c r="D9225" t="str">
        <f>IFERROR(__xludf.DUMMYFUNCTION("""COMPUTED_VALUE"""),"Wester")</f>
        <v>Wester</v>
      </c>
      <c r="E9225" t="str">
        <f>IFERROR(__xludf.DUMMYFUNCTION("""COMPUTED_VALUE"""),"Leonard")</f>
        <v>Leonard</v>
      </c>
      <c r="F9225" t="str">
        <f>IFERROR(__xludf.DUMMYFUNCTION("""COMPUTED_VALUE"""),"")</f>
        <v/>
      </c>
    </row>
    <row r="9226">
      <c r="D9226" t="str">
        <f>IFERROR(__xludf.DUMMYFUNCTION("""COMPUTED_VALUE"""),"Westerman")</f>
        <v>Westerman</v>
      </c>
      <c r="E9226" t="str">
        <f>IFERROR(__xludf.DUMMYFUNCTION("""COMPUTED_VALUE"""),"Christian")</f>
        <v>Christian</v>
      </c>
      <c r="F9226" t="str">
        <f>IFERROR(__xludf.DUMMYFUNCTION("""COMPUTED_VALUE"""),"")</f>
        <v/>
      </c>
    </row>
    <row r="9227">
      <c r="D9227" t="str">
        <f>IFERROR(__xludf.DUMMYFUNCTION("""COMPUTED_VALUE"""),"Wetzel")</f>
        <v>Wetzel</v>
      </c>
      <c r="E9227" t="str">
        <f>IFERROR(__xludf.DUMMYFUNCTION("""COMPUTED_VALUE"""),"John")</f>
        <v>John</v>
      </c>
      <c r="F9227" t="str">
        <f>IFERROR(__xludf.DUMMYFUNCTION("""COMPUTED_VALUE"""),"")</f>
        <v/>
      </c>
    </row>
    <row r="9228">
      <c r="D9228" t="str">
        <f>IFERROR(__xludf.DUMMYFUNCTION("""COMPUTED_VALUE"""),"Wheeler")</f>
        <v>Wheeler</v>
      </c>
      <c r="E9228" t="str">
        <f>IFERROR(__xludf.DUMMYFUNCTION("""COMPUTED_VALUE"""),"Chad")</f>
        <v>Chad</v>
      </c>
      <c r="F9228" t="str">
        <f>IFERROR(__xludf.DUMMYFUNCTION("""COMPUTED_VALUE"""),"")</f>
        <v/>
      </c>
    </row>
    <row r="9229">
      <c r="D9229" t="str">
        <f>IFERROR(__xludf.DUMMYFUNCTION("""COMPUTED_VALUE"""),"White")</f>
        <v>White</v>
      </c>
      <c r="E9229" t="str">
        <f>IFERROR(__xludf.DUMMYFUNCTION("""COMPUTED_VALUE"""),"DeAndrew")</f>
        <v>DeAndrew</v>
      </c>
      <c r="F9229" t="str">
        <f>IFERROR(__xludf.DUMMYFUNCTION("""COMPUTED_VALUE"""),"")</f>
        <v/>
      </c>
    </row>
    <row r="9230">
      <c r="D9230" t="str">
        <f>IFERROR(__xludf.DUMMYFUNCTION("""COMPUTED_VALUE"""),"White")</f>
        <v>White</v>
      </c>
      <c r="E9230" t="str">
        <f>IFERROR(__xludf.DUMMYFUNCTION("""COMPUTED_VALUE"""),"Devin")</f>
        <v>Devin</v>
      </c>
      <c r="F9230" t="str">
        <f>IFERROR(__xludf.DUMMYFUNCTION("""COMPUTED_VALUE"""),"")</f>
        <v/>
      </c>
    </row>
    <row r="9231">
      <c r="D9231" t="str">
        <f>IFERROR(__xludf.DUMMYFUNCTION("""COMPUTED_VALUE"""),"White")</f>
        <v>White</v>
      </c>
      <c r="E9231" t="str">
        <f>IFERROR(__xludf.DUMMYFUNCTION("""COMPUTED_VALUE"""),"James")</f>
        <v>James</v>
      </c>
      <c r="F9231" t="str">
        <f>IFERROR(__xludf.DUMMYFUNCTION("""COMPUTED_VALUE"""),"")</f>
        <v/>
      </c>
    </row>
    <row r="9232">
      <c r="D9232" t="str">
        <f>IFERROR(__xludf.DUMMYFUNCTION("""COMPUTED_VALUE"""),"White")</f>
        <v>White</v>
      </c>
      <c r="E9232" t="str">
        <f>IFERROR(__xludf.DUMMYFUNCTION("""COMPUTED_VALUE"""),"Kevin")</f>
        <v>Kevin</v>
      </c>
      <c r="F9232" t="str">
        <f>IFERROR(__xludf.DUMMYFUNCTION("""COMPUTED_VALUE"""),"")</f>
        <v/>
      </c>
    </row>
    <row r="9233">
      <c r="D9233" t="str">
        <f>IFERROR(__xludf.DUMMYFUNCTION("""COMPUTED_VALUE"""),"White")</f>
        <v>White</v>
      </c>
      <c r="E9233" t="str">
        <f>IFERROR(__xludf.DUMMYFUNCTION("""COMPUTED_VALUE"""),"Kyzir")</f>
        <v>Kyzir</v>
      </c>
      <c r="F9233" t="str">
        <f>IFERROR(__xludf.DUMMYFUNCTION("""COMPUTED_VALUE"""),"")</f>
        <v/>
      </c>
    </row>
    <row r="9234">
      <c r="D9234" t="str">
        <f>IFERROR(__xludf.DUMMYFUNCTION("""COMPUTED_VALUE"""),"White")</f>
        <v>White</v>
      </c>
      <c r="E9234" t="str">
        <f>IFERROR(__xludf.DUMMYFUNCTION("""COMPUTED_VALUE"""),"Mike")</f>
        <v>Mike</v>
      </c>
      <c r="F9234" t="str">
        <f>IFERROR(__xludf.DUMMYFUNCTION("""COMPUTED_VALUE"""),"")</f>
        <v/>
      </c>
    </row>
    <row r="9235">
      <c r="D9235" t="str">
        <f>IFERROR(__xludf.DUMMYFUNCTION("""COMPUTED_VALUE"""),"White")</f>
        <v>White</v>
      </c>
      <c r="E9235" t="str">
        <f>IFERROR(__xludf.DUMMYFUNCTION("""COMPUTED_VALUE"""),"Tim")</f>
        <v>Tim</v>
      </c>
      <c r="F9235" t="str">
        <f>IFERROR(__xludf.DUMMYFUNCTION("""COMPUTED_VALUE"""),"")</f>
        <v/>
      </c>
    </row>
    <row r="9236">
      <c r="D9236" t="str">
        <f>IFERROR(__xludf.DUMMYFUNCTION("""COMPUTED_VALUE"""),"White")</f>
        <v>White</v>
      </c>
      <c r="E9236" t="str">
        <f>IFERROR(__xludf.DUMMYFUNCTION("""COMPUTED_VALUE"""),"TreDavious")</f>
        <v>TreDavious</v>
      </c>
      <c r="F9236" t="str">
        <f>IFERROR(__xludf.DUMMYFUNCTION("""COMPUTED_VALUE"""),"")</f>
        <v/>
      </c>
    </row>
    <row r="9237">
      <c r="D9237" t="str">
        <f>IFERROR(__xludf.DUMMYFUNCTION("""COMPUTED_VALUE"""),"Whitehair")</f>
        <v>Whitehair</v>
      </c>
      <c r="E9237" t="str">
        <f>IFERROR(__xludf.DUMMYFUNCTION("""COMPUTED_VALUE"""),"Cody")</f>
        <v>Cody</v>
      </c>
      <c r="F9237" t="str">
        <f>IFERROR(__xludf.DUMMYFUNCTION("""COMPUTED_VALUE"""),"")</f>
        <v/>
      </c>
    </row>
    <row r="9238">
      <c r="D9238" t="str">
        <f>IFERROR(__xludf.DUMMYFUNCTION("""COMPUTED_VALUE"""),"Whitehead")</f>
        <v>Whitehead</v>
      </c>
      <c r="E9238" t="str">
        <f>IFERROR(__xludf.DUMMYFUNCTION("""COMPUTED_VALUE"""),"Jermaine")</f>
        <v>Jermaine</v>
      </c>
      <c r="F9238" t="str">
        <f>IFERROR(__xludf.DUMMYFUNCTION("""COMPUTED_VALUE"""),"")</f>
        <v/>
      </c>
    </row>
    <row r="9239">
      <c r="D9239" t="str">
        <f>IFERROR(__xludf.DUMMYFUNCTION("""COMPUTED_VALUE"""),"Whitehead")</f>
        <v>Whitehead</v>
      </c>
      <c r="E9239" t="str">
        <f>IFERROR(__xludf.DUMMYFUNCTION("""COMPUTED_VALUE"""),"Jordan")</f>
        <v>Jordan</v>
      </c>
      <c r="F9239" t="str">
        <f>IFERROR(__xludf.DUMMYFUNCTION("""COMPUTED_VALUE"""),"")</f>
        <v/>
      </c>
    </row>
    <row r="9240">
      <c r="D9240" t="str">
        <f>IFERROR(__xludf.DUMMYFUNCTION("""COMPUTED_VALUE"""),"Whitehead")</f>
        <v>Whitehead</v>
      </c>
      <c r="E9240" t="str">
        <f>IFERROR(__xludf.DUMMYFUNCTION("""COMPUTED_VALUE"""),"Tahir")</f>
        <v>Tahir</v>
      </c>
      <c r="F9240" t="str">
        <f>IFERROR(__xludf.DUMMYFUNCTION("""COMPUTED_VALUE"""),"")</f>
        <v/>
      </c>
    </row>
    <row r="9241">
      <c r="D9241" t="str">
        <f>IFERROR(__xludf.DUMMYFUNCTION("""COMPUTED_VALUE"""),"Whitney")</f>
        <v>Whitney</v>
      </c>
      <c r="E9241" t="str">
        <f>IFERROR(__xludf.DUMMYFUNCTION("""COMPUTED_VALUE"""),"Isaac")</f>
        <v>Isaac</v>
      </c>
      <c r="F9241" t="str">
        <f>IFERROR(__xludf.DUMMYFUNCTION("""COMPUTED_VALUE"""),"")</f>
        <v/>
      </c>
    </row>
    <row r="9242">
      <c r="D9242" t="str">
        <f>IFERROR(__xludf.DUMMYFUNCTION("""COMPUTED_VALUE"""),"Whitworth")</f>
        <v>Whitworth</v>
      </c>
      <c r="E9242" t="str">
        <f>IFERROR(__xludf.DUMMYFUNCTION("""COMPUTED_VALUE"""),"Andrew")</f>
        <v>Andrew</v>
      </c>
      <c r="F9242" t="str">
        <f>IFERROR(__xludf.DUMMYFUNCTION("""COMPUTED_VALUE"""),"")</f>
        <v/>
      </c>
    </row>
    <row r="9243">
      <c r="D9243" t="str">
        <f>IFERROR(__xludf.DUMMYFUNCTION("""COMPUTED_VALUE"""),"Whyte")</f>
        <v>Whyte</v>
      </c>
      <c r="E9243" t="str">
        <f>IFERROR(__xludf.DUMMYFUNCTION("""COMPUTED_VALUE"""),"Kerrith")</f>
        <v>Kerrith</v>
      </c>
      <c r="F9243" t="str">
        <f>IFERROR(__xludf.DUMMYFUNCTION("""COMPUTED_VALUE"""),"")</f>
        <v/>
      </c>
    </row>
    <row r="9244">
      <c r="D9244" t="str">
        <f>IFERROR(__xludf.DUMMYFUNCTION("""COMPUTED_VALUE"""),"Wichmann")</f>
        <v>Wichmann</v>
      </c>
      <c r="E9244" t="str">
        <f>IFERROR(__xludf.DUMMYFUNCTION("""COMPUTED_VALUE"""),"Cody")</f>
        <v>Cody</v>
      </c>
      <c r="F9244" t="str">
        <f>IFERROR(__xludf.DUMMYFUNCTION("""COMPUTED_VALUE"""),"")</f>
        <v/>
      </c>
    </row>
    <row r="9245">
      <c r="D9245" t="str">
        <f>IFERROR(__xludf.DUMMYFUNCTION("""COMPUTED_VALUE"""),"Wick")</f>
        <v>Wick</v>
      </c>
      <c r="E9245" t="str">
        <f>IFERROR(__xludf.DUMMYFUNCTION("""COMPUTED_VALUE"""),"Cole")</f>
        <v>Cole</v>
      </c>
      <c r="F9245" t="str">
        <f>IFERROR(__xludf.DUMMYFUNCTION("""COMPUTED_VALUE"""),"")</f>
        <v/>
      </c>
    </row>
    <row r="9246">
      <c r="D9246" t="str">
        <f>IFERROR(__xludf.DUMMYFUNCTION("""COMPUTED_VALUE"""),"Wicker")</f>
        <v>Wicker</v>
      </c>
      <c r="E9246" t="str">
        <f>IFERROR(__xludf.DUMMYFUNCTION("""COMPUTED_VALUE"""),"Jojo")</f>
        <v>Jojo</v>
      </c>
      <c r="F9246" t="str">
        <f>IFERROR(__xludf.DUMMYFUNCTION("""COMPUTED_VALUE"""),"")</f>
        <v/>
      </c>
    </row>
    <row r="9247">
      <c r="D9247" t="str">
        <f>IFERROR(__xludf.DUMMYFUNCTION("""COMPUTED_VALUE"""),"Wiggins")</f>
        <v>Wiggins</v>
      </c>
      <c r="E9247" t="str">
        <f>IFERROR(__xludf.DUMMYFUNCTION("""COMPUTED_VALUE"""),"Kenny")</f>
        <v>Kenny</v>
      </c>
      <c r="F9247" t="str">
        <f>IFERROR(__xludf.DUMMYFUNCTION("""COMPUTED_VALUE"""),"")</f>
        <v/>
      </c>
    </row>
    <row r="9248">
      <c r="D9248" t="str">
        <f>IFERROR(__xludf.DUMMYFUNCTION("""COMPUTED_VALUE"""),"Wilber")</f>
        <v>Wilber</v>
      </c>
      <c r="E9248" t="str">
        <f>IFERROR(__xludf.DUMMYFUNCTION("""COMPUTED_VALUE"""),"Kyle")</f>
        <v>Kyle</v>
      </c>
      <c r="F9248" t="str">
        <f>IFERROR(__xludf.DUMMYFUNCTION("""COMPUTED_VALUE"""),"")</f>
        <v/>
      </c>
    </row>
    <row r="9249">
      <c r="D9249" t="str">
        <f>IFERROR(__xludf.DUMMYFUNCTION("""COMPUTED_VALUE"""),"Wilcox")</f>
        <v>Wilcox</v>
      </c>
      <c r="E9249" t="str">
        <f>IFERROR(__xludf.DUMMYFUNCTION("""COMPUTED_VALUE"""),"JJ")</f>
        <v>JJ</v>
      </c>
      <c r="F9249" t="str">
        <f>IFERROR(__xludf.DUMMYFUNCTION("""COMPUTED_VALUE"""),"")</f>
        <v/>
      </c>
    </row>
    <row r="9250">
      <c r="D9250" t="str">
        <f>IFERROR(__xludf.DUMMYFUNCTION("""COMPUTED_VALUE"""),"Wile")</f>
        <v>Wile</v>
      </c>
      <c r="E9250" t="str">
        <f>IFERROR(__xludf.DUMMYFUNCTION("""COMPUTED_VALUE"""),"Matt")</f>
        <v>Matt</v>
      </c>
      <c r="F9250" t="str">
        <f>IFERROR(__xludf.DUMMYFUNCTION("""COMPUTED_VALUE"""),"")</f>
        <v/>
      </c>
    </row>
    <row r="9251">
      <c r="D9251" t="str">
        <f>IFERROR(__xludf.DUMMYFUNCTION("""COMPUTED_VALUE"""),"Wilkins")</f>
        <v>Wilkins</v>
      </c>
      <c r="E9251" t="str">
        <f>IFERROR(__xludf.DUMMYFUNCTION("""COMPUTED_VALUE"""),"Christian")</f>
        <v>Christian</v>
      </c>
      <c r="F9251" t="str">
        <f>IFERROR(__xludf.DUMMYFUNCTION("""COMPUTED_VALUE"""),"")</f>
        <v/>
      </c>
    </row>
    <row r="9252">
      <c r="D9252" t="str">
        <f>IFERROR(__xludf.DUMMYFUNCTION("""COMPUTED_VALUE"""),"Wilkins")</f>
        <v>Wilkins</v>
      </c>
      <c r="E9252" t="str">
        <f>IFERROR(__xludf.DUMMYFUNCTION("""COMPUTED_VALUE"""),"Jordan")</f>
        <v>Jordan</v>
      </c>
      <c r="F9252" t="str">
        <f>IFERROR(__xludf.DUMMYFUNCTION("""COMPUTED_VALUE"""),"")</f>
        <v/>
      </c>
    </row>
    <row r="9253">
      <c r="D9253" t="str">
        <f>IFERROR(__xludf.DUMMYFUNCTION("""COMPUTED_VALUE"""),"Wilkinson")</f>
        <v>Wilkinson</v>
      </c>
      <c r="E9253" t="str">
        <f>IFERROR(__xludf.DUMMYFUNCTION("""COMPUTED_VALUE"""),"Elijah")</f>
        <v>Elijah</v>
      </c>
      <c r="F9253" t="str">
        <f>IFERROR(__xludf.DUMMYFUNCTION("""COMPUTED_VALUE"""),"")</f>
        <v/>
      </c>
    </row>
    <row r="9254">
      <c r="D9254" t="str">
        <f>IFERROR(__xludf.DUMMYFUNCTION("""COMPUTED_VALUE"""),"Williams")</f>
        <v>Williams</v>
      </c>
      <c r="E9254" t="str">
        <f>IFERROR(__xludf.DUMMYFUNCTION("""COMPUTED_VALUE"""),"Boobie")</f>
        <v>Boobie</v>
      </c>
      <c r="F9254" t="str">
        <f>IFERROR(__xludf.DUMMYFUNCTION("""COMPUTED_VALUE"""),"")</f>
        <v/>
      </c>
    </row>
    <row r="9255">
      <c r="D9255" t="str">
        <f>IFERROR(__xludf.DUMMYFUNCTION("""COMPUTED_VALUE"""),"Williams")</f>
        <v>Williams</v>
      </c>
      <c r="E9255" t="str">
        <f>IFERROR(__xludf.DUMMYFUNCTION("""COMPUTED_VALUE"""),"Brandon")</f>
        <v>Brandon</v>
      </c>
      <c r="F9255" t="str">
        <f>IFERROR(__xludf.DUMMYFUNCTION("""COMPUTED_VALUE"""),"")</f>
        <v/>
      </c>
    </row>
    <row r="9256">
      <c r="D9256" t="str">
        <f>IFERROR(__xludf.DUMMYFUNCTION("""COMPUTED_VALUE"""),"Williams")</f>
        <v>Williams</v>
      </c>
      <c r="E9256" t="str">
        <f>IFERROR(__xludf.DUMMYFUNCTION("""COMPUTED_VALUE"""),"Brandon")</f>
        <v>Brandon</v>
      </c>
      <c r="F9256" t="str">
        <f>IFERROR(__xludf.DUMMYFUNCTION("""COMPUTED_VALUE"""),"")</f>
        <v/>
      </c>
    </row>
    <row r="9257">
      <c r="D9257" t="str">
        <f>IFERROR(__xludf.DUMMYFUNCTION("""COMPUTED_VALUE"""),"Williams")</f>
        <v>Williams</v>
      </c>
      <c r="E9257" t="str">
        <f>IFERROR(__xludf.DUMMYFUNCTION("""COMPUTED_VALUE"""),"Chad")</f>
        <v>Chad</v>
      </c>
      <c r="F9257" t="str">
        <f>IFERROR(__xludf.DUMMYFUNCTION("""COMPUTED_VALUE"""),"")</f>
        <v/>
      </c>
    </row>
    <row r="9258">
      <c r="D9258" t="str">
        <f>IFERROR(__xludf.DUMMYFUNCTION("""COMPUTED_VALUE"""),"Williams")</f>
        <v>Williams</v>
      </c>
      <c r="E9258" t="str">
        <f>IFERROR(__xludf.DUMMYFUNCTION("""COMPUTED_VALUE"""),"Connor")</f>
        <v>Connor</v>
      </c>
      <c r="F9258" t="str">
        <f>IFERROR(__xludf.DUMMYFUNCTION("""COMPUTED_VALUE"""),"")</f>
        <v/>
      </c>
    </row>
    <row r="9259">
      <c r="D9259" t="str">
        <f>IFERROR(__xludf.DUMMYFUNCTION("""COMPUTED_VALUE"""),"Williams")</f>
        <v>Williams</v>
      </c>
      <c r="E9259" t="str">
        <f>IFERROR(__xludf.DUMMYFUNCTION("""COMPUTED_VALUE"""),"Damien")</f>
        <v>Damien</v>
      </c>
      <c r="F9259" t="str">
        <f>IFERROR(__xludf.DUMMYFUNCTION("""COMPUTED_VALUE"""),"")</f>
        <v/>
      </c>
    </row>
    <row r="9260">
      <c r="D9260" t="str">
        <f>IFERROR(__xludf.DUMMYFUNCTION("""COMPUTED_VALUE"""),"Williams")</f>
        <v>Williams</v>
      </c>
      <c r="E9260" t="str">
        <f>IFERROR(__xludf.DUMMYFUNCTION("""COMPUTED_VALUE"""),"Darious")</f>
        <v>Darious</v>
      </c>
      <c r="F9260" t="str">
        <f>IFERROR(__xludf.DUMMYFUNCTION("""COMPUTED_VALUE"""),"")</f>
        <v/>
      </c>
    </row>
    <row r="9261">
      <c r="D9261" t="str">
        <f>IFERROR(__xludf.DUMMYFUNCTION("""COMPUTED_VALUE"""),"Williams")</f>
        <v>Williams</v>
      </c>
      <c r="E9261" t="str">
        <f>IFERROR(__xludf.DUMMYFUNCTION("""COMPUTED_VALUE"""),"Darrel")</f>
        <v>Darrel</v>
      </c>
      <c r="F9261" t="str">
        <f>IFERROR(__xludf.DUMMYFUNCTION("""COMPUTED_VALUE"""),"")</f>
        <v/>
      </c>
    </row>
    <row r="9262">
      <c r="D9262" t="str">
        <f>IFERROR(__xludf.DUMMYFUNCTION("""COMPUTED_VALUE"""),"Williams")</f>
        <v>Williams</v>
      </c>
      <c r="E9262" t="str">
        <f>IFERROR(__xludf.DUMMYFUNCTION("""COMPUTED_VALUE"""),"Darrell")</f>
        <v>Darrell</v>
      </c>
      <c r="F9262" t="str">
        <f>IFERROR(__xludf.DUMMYFUNCTION("""COMPUTED_VALUE"""),"")</f>
        <v/>
      </c>
    </row>
    <row r="9263">
      <c r="D9263" t="str">
        <f>IFERROR(__xludf.DUMMYFUNCTION("""COMPUTED_VALUE"""),"Williams")</f>
        <v>Williams</v>
      </c>
      <c r="E9263" t="str">
        <f>IFERROR(__xludf.DUMMYFUNCTION("""COMPUTED_VALUE"""),"Daryl")</f>
        <v>Daryl</v>
      </c>
      <c r="F9263" t="str">
        <f>IFERROR(__xludf.DUMMYFUNCTION("""COMPUTED_VALUE"""),"")</f>
        <v/>
      </c>
    </row>
    <row r="9264">
      <c r="D9264" t="str">
        <f>IFERROR(__xludf.DUMMYFUNCTION("""COMPUTED_VALUE"""),"Williams")</f>
        <v>Williams</v>
      </c>
      <c r="E9264" t="str">
        <f>IFERROR(__xludf.DUMMYFUNCTION("""COMPUTED_VALUE"""),"DeShawn")</f>
        <v>DeShawn</v>
      </c>
      <c r="F9264" t="str">
        <f>IFERROR(__xludf.DUMMYFUNCTION("""COMPUTED_VALUE"""),"")</f>
        <v/>
      </c>
    </row>
    <row r="9265">
      <c r="D9265" t="str">
        <f>IFERROR(__xludf.DUMMYFUNCTION("""COMPUTED_VALUE"""),"Williams")</f>
        <v>Williams</v>
      </c>
      <c r="E9265" t="str">
        <f>IFERROR(__xludf.DUMMYFUNCTION("""COMPUTED_VALUE"""),"Dexter")</f>
        <v>Dexter</v>
      </c>
      <c r="F9265" t="str">
        <f>IFERROR(__xludf.DUMMYFUNCTION("""COMPUTED_VALUE"""),"")</f>
        <v/>
      </c>
    </row>
    <row r="9266">
      <c r="D9266" t="str">
        <f>IFERROR(__xludf.DUMMYFUNCTION("""COMPUTED_VALUE"""),"Williams")</f>
        <v>Williams</v>
      </c>
      <c r="E9266" t="str">
        <f>IFERROR(__xludf.DUMMYFUNCTION("""COMPUTED_VALUE"""),"Greedy")</f>
        <v>Greedy</v>
      </c>
      <c r="F9266" t="str">
        <f>IFERROR(__xludf.DUMMYFUNCTION("""COMPUTED_VALUE"""),"")</f>
        <v/>
      </c>
    </row>
    <row r="9267">
      <c r="D9267" t="str">
        <f>IFERROR(__xludf.DUMMYFUNCTION("""COMPUTED_VALUE"""),"Williams")</f>
        <v>Williams</v>
      </c>
      <c r="E9267" t="str">
        <f>IFERROR(__xludf.DUMMYFUNCTION("""COMPUTED_VALUE"""),"Jamaal")</f>
        <v>Jamaal</v>
      </c>
      <c r="F9267" t="str">
        <f>IFERROR(__xludf.DUMMYFUNCTION("""COMPUTED_VALUE"""),"")</f>
        <v/>
      </c>
    </row>
    <row r="9268">
      <c r="D9268" t="str">
        <f>IFERROR(__xludf.DUMMYFUNCTION("""COMPUTED_VALUE"""),"Williams")</f>
        <v>Williams</v>
      </c>
      <c r="E9268" t="str">
        <f>IFERROR(__xludf.DUMMYFUNCTION("""COMPUTED_VALUE"""),"Joejuan")</f>
        <v>Joejuan</v>
      </c>
      <c r="F9268" t="str">
        <f>IFERROR(__xludf.DUMMYFUNCTION("""COMPUTED_VALUE"""),"")</f>
        <v/>
      </c>
    </row>
    <row r="9269">
      <c r="D9269" t="str">
        <f>IFERROR(__xludf.DUMMYFUNCTION("""COMPUTED_VALUE"""),"Williams")</f>
        <v>Williams</v>
      </c>
      <c r="E9269" t="str">
        <f>IFERROR(__xludf.DUMMYFUNCTION("""COMPUTED_VALUE"""),"Jonah")</f>
        <v>Jonah</v>
      </c>
      <c r="F9269" t="str">
        <f>IFERROR(__xludf.DUMMYFUNCTION("""COMPUTED_VALUE"""),"")</f>
        <v/>
      </c>
    </row>
    <row r="9270">
      <c r="D9270" t="str">
        <f>IFERROR(__xludf.DUMMYFUNCTION("""COMPUTED_VALUE"""),"Williams")</f>
        <v>Williams</v>
      </c>
      <c r="E9270" t="str">
        <f>IFERROR(__xludf.DUMMYFUNCTION("""COMPUTED_VALUE"""),"Jonathan")</f>
        <v>Jonathan</v>
      </c>
      <c r="F9270" t="str">
        <f>IFERROR(__xludf.DUMMYFUNCTION("""COMPUTED_VALUE"""),"")</f>
        <v/>
      </c>
    </row>
    <row r="9271">
      <c r="D9271" t="str">
        <f>IFERROR(__xludf.DUMMYFUNCTION("""COMPUTED_VALUE"""),"Williams")</f>
        <v>Williams</v>
      </c>
      <c r="E9271" t="str">
        <f>IFERROR(__xludf.DUMMYFUNCTION("""COMPUTED_VALUE"""),"KWaun")</f>
        <v>KWaun</v>
      </c>
      <c r="F9271" t="str">
        <f>IFERROR(__xludf.DUMMYFUNCTION("""COMPUTED_VALUE"""),"")</f>
        <v/>
      </c>
    </row>
    <row r="9272">
      <c r="D9272" t="str">
        <f>IFERROR(__xludf.DUMMYFUNCTION("""COMPUTED_VALUE"""),"Williams")</f>
        <v>Williams</v>
      </c>
      <c r="E9272" t="str">
        <f>IFERROR(__xludf.DUMMYFUNCTION("""COMPUTED_VALUE"""),"Leonard")</f>
        <v>Leonard</v>
      </c>
      <c r="F9272" t="str">
        <f>IFERROR(__xludf.DUMMYFUNCTION("""COMPUTED_VALUE"""),"")</f>
        <v/>
      </c>
    </row>
    <row r="9273">
      <c r="D9273" t="str">
        <f>IFERROR(__xludf.DUMMYFUNCTION("""COMPUTED_VALUE"""),"Williams")</f>
        <v>Williams</v>
      </c>
      <c r="E9273" t="str">
        <f>IFERROR(__xludf.DUMMYFUNCTION("""COMPUTED_VALUE"""),"Marcus")</f>
        <v>Marcus</v>
      </c>
      <c r="F9273" t="str">
        <f>IFERROR(__xludf.DUMMYFUNCTION("""COMPUTED_VALUE"""),"")</f>
        <v/>
      </c>
    </row>
    <row r="9274">
      <c r="D9274" t="str">
        <f>IFERROR(__xludf.DUMMYFUNCTION("""COMPUTED_VALUE"""),"Williams")</f>
        <v>Williams</v>
      </c>
      <c r="E9274" t="str">
        <f>IFERROR(__xludf.DUMMYFUNCTION("""COMPUTED_VALUE"""),"Maxx")</f>
        <v>Maxx</v>
      </c>
      <c r="F9274" t="str">
        <f>IFERROR(__xludf.DUMMYFUNCTION("""COMPUTED_VALUE"""),"")</f>
        <v/>
      </c>
    </row>
    <row r="9275">
      <c r="D9275" t="str">
        <f>IFERROR(__xludf.DUMMYFUNCTION("""COMPUTED_VALUE"""),"Williams")</f>
        <v>Williams</v>
      </c>
      <c r="E9275" t="str">
        <f>IFERROR(__xludf.DUMMYFUNCTION("""COMPUTED_VALUE"""),"Mike")</f>
        <v>Mike</v>
      </c>
      <c r="F9275" t="str">
        <f>IFERROR(__xludf.DUMMYFUNCTION("""COMPUTED_VALUE"""),"")</f>
        <v/>
      </c>
    </row>
    <row r="9276">
      <c r="D9276" t="str">
        <f>IFERROR(__xludf.DUMMYFUNCTION("""COMPUTED_VALUE"""),"Williams")</f>
        <v>Williams</v>
      </c>
      <c r="E9276" t="str">
        <f>IFERROR(__xludf.DUMMYFUNCTION("""COMPUTED_VALUE"""),"Nick")</f>
        <v>Nick</v>
      </c>
      <c r="F9276" t="str">
        <f>IFERROR(__xludf.DUMMYFUNCTION("""COMPUTED_VALUE"""),"")</f>
        <v/>
      </c>
    </row>
    <row r="9277">
      <c r="D9277" t="str">
        <f>IFERROR(__xludf.DUMMYFUNCTION("""COMPUTED_VALUE"""),"Williams")</f>
        <v>Williams</v>
      </c>
      <c r="E9277" t="str">
        <f>IFERROR(__xludf.DUMMYFUNCTION("""COMPUTED_VALUE"""),"PJ")</f>
        <v>PJ</v>
      </c>
      <c r="F9277" t="str">
        <f>IFERROR(__xludf.DUMMYFUNCTION("""COMPUTED_VALUE"""),"")</f>
        <v/>
      </c>
    </row>
    <row r="9278">
      <c r="D9278" t="str">
        <f>IFERROR(__xludf.DUMMYFUNCTION("""COMPUTED_VALUE"""),"Williams")</f>
        <v>Williams</v>
      </c>
      <c r="E9278" t="str">
        <f>IFERROR(__xludf.DUMMYFUNCTION("""COMPUTED_VALUE"""),"Quincy")</f>
        <v>Quincy</v>
      </c>
      <c r="F9278" t="str">
        <f>IFERROR(__xludf.DUMMYFUNCTION("""COMPUTED_VALUE"""),"")</f>
        <v/>
      </c>
    </row>
    <row r="9279">
      <c r="D9279" t="str">
        <f>IFERROR(__xludf.DUMMYFUNCTION("""COMPUTED_VALUE"""),"Williams")</f>
        <v>Williams</v>
      </c>
      <c r="E9279" t="str">
        <f>IFERROR(__xludf.DUMMYFUNCTION("""COMPUTED_VALUE"""),"Quinnen")</f>
        <v>Quinnen</v>
      </c>
      <c r="F9279" t="str">
        <f>IFERROR(__xludf.DUMMYFUNCTION("""COMPUTED_VALUE"""),"")</f>
        <v/>
      </c>
    </row>
    <row r="9280">
      <c r="D9280" t="str">
        <f>IFERROR(__xludf.DUMMYFUNCTION("""COMPUTED_VALUE"""),"Williams")</f>
        <v>Williams</v>
      </c>
      <c r="E9280" t="str">
        <f>IFERROR(__xludf.DUMMYFUNCTION("""COMPUTED_VALUE"""),"Shawn")</f>
        <v>Shawn</v>
      </c>
      <c r="F9280" t="str">
        <f>IFERROR(__xludf.DUMMYFUNCTION("""COMPUTED_VALUE"""),"")</f>
        <v/>
      </c>
    </row>
    <row r="9281">
      <c r="D9281" t="str">
        <f>IFERROR(__xludf.DUMMYFUNCTION("""COMPUTED_VALUE"""),"Williams")</f>
        <v>Williams</v>
      </c>
      <c r="E9281" t="str">
        <f>IFERROR(__xludf.DUMMYFUNCTION("""COMPUTED_VALUE"""),"Sylvester")</f>
        <v>Sylvester</v>
      </c>
      <c r="F9281" t="str">
        <f>IFERROR(__xludf.DUMMYFUNCTION("""COMPUTED_VALUE"""),"")</f>
        <v/>
      </c>
    </row>
    <row r="9282">
      <c r="D9282" t="str">
        <f>IFERROR(__xludf.DUMMYFUNCTION("""COMPUTED_VALUE"""),"Williams")</f>
        <v>Williams</v>
      </c>
      <c r="E9282" t="str">
        <f>IFERROR(__xludf.DUMMYFUNCTION("""COMPUTED_VALUE"""),"Tim")</f>
        <v>Tim</v>
      </c>
      <c r="F9282" t="str">
        <f>IFERROR(__xludf.DUMMYFUNCTION("""COMPUTED_VALUE"""),"")</f>
        <v/>
      </c>
    </row>
    <row r="9283">
      <c r="D9283" t="str">
        <f>IFERROR(__xludf.DUMMYFUNCTION("""COMPUTED_VALUE"""),"Williams")</f>
        <v>Williams</v>
      </c>
      <c r="E9283" t="str">
        <f>IFERROR(__xludf.DUMMYFUNCTION("""COMPUTED_VALUE"""),"Tramon")</f>
        <v>Tramon</v>
      </c>
      <c r="F9283" t="str">
        <f>IFERROR(__xludf.DUMMYFUNCTION("""COMPUTED_VALUE"""),"")</f>
        <v/>
      </c>
    </row>
    <row r="9284">
      <c r="D9284" t="str">
        <f>IFERROR(__xludf.DUMMYFUNCTION("""COMPUTED_VALUE"""),"Williams")</f>
        <v>Williams</v>
      </c>
      <c r="E9284" t="str">
        <f>IFERROR(__xludf.DUMMYFUNCTION("""COMPUTED_VALUE"""),"Trayveon")</f>
        <v>Trayveon</v>
      </c>
      <c r="F9284" t="str">
        <f>IFERROR(__xludf.DUMMYFUNCTION("""COMPUTED_VALUE"""),"")</f>
        <v/>
      </c>
    </row>
    <row r="9285">
      <c r="D9285" t="str">
        <f>IFERROR(__xludf.DUMMYFUNCTION("""COMPUTED_VALUE"""),"Williams")</f>
        <v>Williams</v>
      </c>
      <c r="E9285" t="str">
        <f>IFERROR(__xludf.DUMMYFUNCTION("""COMPUTED_VALUE"""),"Trent")</f>
        <v>Trent</v>
      </c>
      <c r="F9285" t="str">
        <f>IFERROR(__xludf.DUMMYFUNCTION("""COMPUTED_VALUE"""),"")</f>
        <v/>
      </c>
    </row>
    <row r="9286">
      <c r="D9286" t="str">
        <f>IFERROR(__xludf.DUMMYFUNCTION("""COMPUTED_VALUE"""),"Williams")</f>
        <v>Williams</v>
      </c>
      <c r="E9286" t="str">
        <f>IFERROR(__xludf.DUMMYFUNCTION("""COMPUTED_VALUE"""),"Trevor")</f>
        <v>Trevor</v>
      </c>
      <c r="F9286" t="str">
        <f>IFERROR(__xludf.DUMMYFUNCTION("""COMPUTED_VALUE"""),"")</f>
        <v/>
      </c>
    </row>
    <row r="9287">
      <c r="D9287" t="str">
        <f>IFERROR(__xludf.DUMMYFUNCTION("""COMPUTED_VALUE"""),"Williams")</f>
        <v>Williams</v>
      </c>
      <c r="E9287" t="str">
        <f>IFERROR(__xludf.DUMMYFUNCTION("""COMPUTED_VALUE"""),"Tyrell")</f>
        <v>Tyrell</v>
      </c>
      <c r="F9287" t="str">
        <f>IFERROR(__xludf.DUMMYFUNCTION("""COMPUTED_VALUE"""),"")</f>
        <v/>
      </c>
    </row>
    <row r="9288">
      <c r="D9288" t="str">
        <f>IFERROR(__xludf.DUMMYFUNCTION("""COMPUTED_VALUE"""),"Williams")</f>
        <v>Williams</v>
      </c>
      <c r="E9288" t="str">
        <f>IFERROR(__xludf.DUMMYFUNCTION("""COMPUTED_VALUE"""),"Vince")</f>
        <v>Vince</v>
      </c>
      <c r="F9288" t="str">
        <f>IFERROR(__xludf.DUMMYFUNCTION("""COMPUTED_VALUE"""),"")</f>
        <v/>
      </c>
    </row>
    <row r="9289">
      <c r="D9289" t="str">
        <f>IFERROR(__xludf.DUMMYFUNCTION("""COMPUTED_VALUE"""),"Williams")</f>
        <v>Williams</v>
      </c>
      <c r="E9289" t="str">
        <f>IFERROR(__xludf.DUMMYFUNCTION("""COMPUTED_VALUE"""),"Xavier")</f>
        <v>Xavier</v>
      </c>
      <c r="F9289" t="str">
        <f>IFERROR(__xludf.DUMMYFUNCTION("""COMPUTED_VALUE"""),"")</f>
        <v/>
      </c>
    </row>
    <row r="9290">
      <c r="D9290" t="str">
        <f>IFERROR(__xludf.DUMMYFUNCTION("""COMPUTED_VALUE"""),"Williams-Lambert")</f>
        <v>Williams-Lambert</v>
      </c>
      <c r="E9290" t="str">
        <f>IFERROR(__xludf.DUMMYFUNCTION("""COMPUTED_VALUE"""),"Jordan")</f>
        <v>Jordan</v>
      </c>
      <c r="F9290" t="str">
        <f>IFERROR(__xludf.DUMMYFUNCTION("""COMPUTED_VALUE"""),"")</f>
        <v/>
      </c>
    </row>
    <row r="9291">
      <c r="D9291" t="str">
        <f>IFERROR(__xludf.DUMMYFUNCTION("""COMPUTED_VALUE"""),"Williamson")</f>
        <v>Williamson</v>
      </c>
      <c r="E9291" t="str">
        <f>IFERROR(__xludf.DUMMYFUNCTION("""COMPUTED_VALUE"""),"Avery")</f>
        <v>Avery</v>
      </c>
      <c r="F9291" t="str">
        <f>IFERROR(__xludf.DUMMYFUNCTION("""COMPUTED_VALUE"""),"")</f>
        <v/>
      </c>
    </row>
    <row r="9292">
      <c r="D9292" t="str">
        <f>IFERROR(__xludf.DUMMYFUNCTION("""COMPUTED_VALUE"""),"Willies")</f>
        <v>Willies</v>
      </c>
      <c r="E9292" t="str">
        <f>IFERROR(__xludf.DUMMYFUNCTION("""COMPUTED_VALUE"""),"Derrick")</f>
        <v>Derrick</v>
      </c>
      <c r="F9292" t="str">
        <f>IFERROR(__xludf.DUMMYFUNCTION("""COMPUTED_VALUE"""),"")</f>
        <v/>
      </c>
    </row>
    <row r="9293">
      <c r="D9293" t="str">
        <f>IFERROR(__xludf.DUMMYFUNCTION("""COMPUTED_VALUE"""),"Willis")</f>
        <v>Willis</v>
      </c>
      <c r="E9293" t="str">
        <f>IFERROR(__xludf.DUMMYFUNCTION("""COMPUTED_VALUE"""),"Jordan")</f>
        <v>Jordan</v>
      </c>
      <c r="F9293" t="str">
        <f>IFERROR(__xludf.DUMMYFUNCTION("""COMPUTED_VALUE"""),"")</f>
        <v/>
      </c>
    </row>
    <row r="9294">
      <c r="D9294" t="str">
        <f>IFERROR(__xludf.DUMMYFUNCTION("""COMPUTED_VALUE"""),"Willis")</f>
        <v>Willis</v>
      </c>
      <c r="E9294" t="str">
        <f>IFERROR(__xludf.DUMMYFUNCTION("""COMPUTED_VALUE"""),"Khari")</f>
        <v>Khari</v>
      </c>
      <c r="F9294" t="str">
        <f>IFERROR(__xludf.DUMMYFUNCTION("""COMPUTED_VALUE"""),"")</f>
        <v/>
      </c>
    </row>
    <row r="9295">
      <c r="D9295" t="str">
        <f>IFERROR(__xludf.DUMMYFUNCTION("""COMPUTED_VALUE"""),"Willson")</f>
        <v>Willson</v>
      </c>
      <c r="E9295" t="str">
        <f>IFERROR(__xludf.DUMMYFUNCTION("""COMPUTED_VALUE"""),"Luke")</f>
        <v>Luke</v>
      </c>
      <c r="F9295" t="str">
        <f>IFERROR(__xludf.DUMMYFUNCTION("""COMPUTED_VALUE"""),"")</f>
        <v/>
      </c>
    </row>
    <row r="9296">
      <c r="D9296" t="str">
        <f>IFERROR(__xludf.DUMMYFUNCTION("""COMPUTED_VALUE"""),"Wilson")</f>
        <v>Wilson</v>
      </c>
      <c r="E9296" t="str">
        <f>IFERROR(__xludf.DUMMYFUNCTION("""COMPUTED_VALUE"""),"Albert")</f>
        <v>Albert</v>
      </c>
      <c r="F9296" t="str">
        <f>IFERROR(__xludf.DUMMYFUNCTION("""COMPUTED_VALUE"""),"")</f>
        <v/>
      </c>
    </row>
    <row r="9297">
      <c r="D9297" t="str">
        <f>IFERROR(__xludf.DUMMYFUNCTION("""COMPUTED_VALUE"""),"Wilson")</f>
        <v>Wilson</v>
      </c>
      <c r="E9297" t="str">
        <f>IFERROR(__xludf.DUMMYFUNCTION("""COMPUTED_VALUE"""),"Bobo")</f>
        <v>Bobo</v>
      </c>
      <c r="F9297" t="str">
        <f>IFERROR(__xludf.DUMMYFUNCTION("""COMPUTED_VALUE"""),"")</f>
        <v/>
      </c>
    </row>
    <row r="9298">
      <c r="D9298" t="str">
        <f>IFERROR(__xludf.DUMMYFUNCTION("""COMPUTED_VALUE"""),"Wilson")</f>
        <v>Wilson</v>
      </c>
      <c r="E9298" t="str">
        <f>IFERROR(__xludf.DUMMYFUNCTION("""COMPUTED_VALUE"""),"Brandon")</f>
        <v>Brandon</v>
      </c>
      <c r="F9298" t="str">
        <f>IFERROR(__xludf.DUMMYFUNCTION("""COMPUTED_VALUE"""),"")</f>
        <v/>
      </c>
    </row>
    <row r="9299">
      <c r="D9299" t="str">
        <f>IFERROR(__xludf.DUMMYFUNCTION("""COMPUTED_VALUE"""),"Wilson")</f>
        <v>Wilson</v>
      </c>
      <c r="E9299" t="str">
        <f>IFERROR(__xludf.DUMMYFUNCTION("""COMPUTED_VALUE"""),"Caleb")</f>
        <v>Caleb</v>
      </c>
      <c r="F9299" t="str">
        <f>IFERROR(__xludf.DUMMYFUNCTION("""COMPUTED_VALUE"""),"")</f>
        <v/>
      </c>
    </row>
    <row r="9300">
      <c r="D9300" t="str">
        <f>IFERROR(__xludf.DUMMYFUNCTION("""COMPUTED_VALUE"""),"Wilson")</f>
        <v>Wilson</v>
      </c>
      <c r="E9300" t="str">
        <f>IFERROR(__xludf.DUMMYFUNCTION("""COMPUTED_VALUE"""),"Cedrick")</f>
        <v>Cedrick</v>
      </c>
      <c r="F9300" t="str">
        <f>IFERROR(__xludf.DUMMYFUNCTION("""COMPUTED_VALUE"""),"")</f>
        <v/>
      </c>
    </row>
    <row r="9301">
      <c r="D9301" t="str">
        <f>IFERROR(__xludf.DUMMYFUNCTION("""COMPUTED_VALUE"""),"Wilson")</f>
        <v>Wilson</v>
      </c>
      <c r="E9301" t="str">
        <f>IFERROR(__xludf.DUMMYFUNCTION("""COMPUTED_VALUE"""),"Damien")</f>
        <v>Damien</v>
      </c>
      <c r="F9301" t="str">
        <f>IFERROR(__xludf.DUMMYFUNCTION("""COMPUTED_VALUE"""),"")</f>
        <v/>
      </c>
    </row>
    <row r="9302">
      <c r="D9302" t="str">
        <f>IFERROR(__xludf.DUMMYFUNCTION("""COMPUTED_VALUE"""),"Wilson")</f>
        <v>Wilson</v>
      </c>
      <c r="E9302" t="str">
        <f>IFERROR(__xludf.DUMMYFUNCTION("""COMPUTED_VALUE"""),"Donovan")</f>
        <v>Donovan</v>
      </c>
      <c r="F9302" t="str">
        <f>IFERROR(__xludf.DUMMYFUNCTION("""COMPUTED_VALUE"""),"")</f>
        <v/>
      </c>
    </row>
    <row r="9303">
      <c r="D9303" t="str">
        <f>IFERROR(__xludf.DUMMYFUNCTION("""COMPUTED_VALUE"""),"Wilson")</f>
        <v>Wilson</v>
      </c>
      <c r="E9303" t="str">
        <f>IFERROR(__xludf.DUMMYFUNCTION("""COMPUTED_VALUE"""),"Eric")</f>
        <v>Eric</v>
      </c>
      <c r="F9303" t="str">
        <f>IFERROR(__xludf.DUMMYFUNCTION("""COMPUTED_VALUE"""),"")</f>
        <v/>
      </c>
    </row>
    <row r="9304">
      <c r="D9304" t="str">
        <f>IFERROR(__xludf.DUMMYFUNCTION("""COMPUTED_VALUE"""),"Wilson")</f>
        <v>Wilson</v>
      </c>
      <c r="E9304" t="str">
        <f>IFERROR(__xludf.DUMMYFUNCTION("""COMPUTED_VALUE"""),"Jarrod")</f>
        <v>Jarrod</v>
      </c>
      <c r="F9304" t="str">
        <f>IFERROR(__xludf.DUMMYFUNCTION("""COMPUTED_VALUE"""),"")</f>
        <v/>
      </c>
    </row>
    <row r="9305">
      <c r="D9305" t="str">
        <f>IFERROR(__xludf.DUMMYFUNCTION("""COMPUTED_VALUE"""),"Wilson")</f>
        <v>Wilson</v>
      </c>
      <c r="E9305" t="str">
        <f>IFERROR(__xludf.DUMMYFUNCTION("""COMPUTED_VALUE"""),"Jeff")</f>
        <v>Jeff</v>
      </c>
      <c r="F9305" t="str">
        <f>IFERROR(__xludf.DUMMYFUNCTION("""COMPUTED_VALUE"""),"")</f>
        <v/>
      </c>
    </row>
    <row r="9306">
      <c r="D9306" t="str">
        <f>IFERROR(__xludf.DUMMYFUNCTION("""COMPUTED_VALUE"""),"Wilson")</f>
        <v>Wilson</v>
      </c>
      <c r="E9306" t="str">
        <f>IFERROR(__xludf.DUMMYFUNCTION("""COMPUTED_VALUE"""),"Kyle")</f>
        <v>Kyle</v>
      </c>
      <c r="F9306" t="str">
        <f>IFERROR(__xludf.DUMMYFUNCTION("""COMPUTED_VALUE"""),"")</f>
        <v/>
      </c>
    </row>
    <row r="9307">
      <c r="D9307" t="str">
        <f>IFERROR(__xludf.DUMMYFUNCTION("""COMPUTED_VALUE"""),"Wilson")</f>
        <v>Wilson</v>
      </c>
      <c r="E9307" t="str">
        <f>IFERROR(__xludf.DUMMYFUNCTION("""COMPUTED_VALUE"""),"Mack")</f>
        <v>Mack</v>
      </c>
      <c r="F9307" t="str">
        <f>IFERROR(__xludf.DUMMYFUNCTION("""COMPUTED_VALUE"""),"")</f>
        <v/>
      </c>
    </row>
    <row r="9308">
      <c r="D9308" t="str">
        <f>IFERROR(__xludf.DUMMYFUNCTION("""COMPUTED_VALUE"""),"Wilson")</f>
        <v>Wilson</v>
      </c>
      <c r="E9308" t="str">
        <f>IFERROR(__xludf.DUMMYFUNCTION("""COMPUTED_VALUE"""),"Quincy")</f>
        <v>Quincy</v>
      </c>
      <c r="F9308" t="str">
        <f>IFERROR(__xludf.DUMMYFUNCTION("""COMPUTED_VALUE"""),"")</f>
        <v/>
      </c>
    </row>
    <row r="9309">
      <c r="D9309" t="str">
        <f>IFERROR(__xludf.DUMMYFUNCTION("""COMPUTED_VALUE"""),"Wilson")</f>
        <v>Wilson</v>
      </c>
      <c r="E9309" t="str">
        <f>IFERROR(__xludf.DUMMYFUNCTION("""COMPUTED_VALUE"""),"Ramik")</f>
        <v>Ramik</v>
      </c>
      <c r="F9309" t="str">
        <f>IFERROR(__xludf.DUMMYFUNCTION("""COMPUTED_VALUE"""),"")</f>
        <v/>
      </c>
    </row>
    <row r="9310">
      <c r="D9310" t="str">
        <f>IFERROR(__xludf.DUMMYFUNCTION("""COMPUTED_VALUE"""),"Wilson")</f>
        <v>Wilson</v>
      </c>
      <c r="E9310" t="str">
        <f>IFERROR(__xludf.DUMMYFUNCTION("""COMPUTED_VALUE"""),"Russell")</f>
        <v>Russell</v>
      </c>
      <c r="F9310" t="str">
        <f>IFERROR(__xludf.DUMMYFUNCTION("""COMPUTED_VALUE"""),"")</f>
        <v/>
      </c>
    </row>
    <row r="9311">
      <c r="D9311" t="str">
        <f>IFERROR(__xludf.DUMMYFUNCTION("""COMPUTED_VALUE"""),"Wilson")</f>
        <v>Wilson</v>
      </c>
      <c r="E9311" t="str">
        <f>IFERROR(__xludf.DUMMYFUNCTION("""COMPUTED_VALUE"""),"Shaun")</f>
        <v>Shaun</v>
      </c>
      <c r="F9311" t="str">
        <f>IFERROR(__xludf.DUMMYFUNCTION("""COMPUTED_VALUE"""),"")</f>
        <v/>
      </c>
    </row>
    <row r="9312">
      <c r="D9312" t="str">
        <f>IFERROR(__xludf.DUMMYFUNCTION("""COMPUTED_VALUE"""),"Wilson")</f>
        <v>Wilson</v>
      </c>
      <c r="E9312" t="str">
        <f>IFERROR(__xludf.DUMMYFUNCTION("""COMPUTED_VALUE"""),"Tavon")</f>
        <v>Tavon</v>
      </c>
      <c r="F9312" t="str">
        <f>IFERROR(__xludf.DUMMYFUNCTION("""COMPUTED_VALUE"""),"")</f>
        <v/>
      </c>
    </row>
    <row r="9313">
      <c r="D9313" t="str">
        <f>IFERROR(__xludf.DUMMYFUNCTION("""COMPUTED_VALUE"""),"Wims")</f>
        <v>Wims</v>
      </c>
      <c r="E9313" t="str">
        <f>IFERROR(__xludf.DUMMYFUNCTION("""COMPUTED_VALUE"""),"Javon")</f>
        <v>Javon</v>
      </c>
      <c r="F9313" t="str">
        <f>IFERROR(__xludf.DUMMYFUNCTION("""COMPUTED_VALUE"""),"")</f>
        <v/>
      </c>
    </row>
    <row r="9314">
      <c r="D9314" t="str">
        <f>IFERROR(__xludf.DUMMYFUNCTION("""COMPUTED_VALUE"""),"Winchester")</f>
        <v>Winchester</v>
      </c>
      <c r="E9314" t="str">
        <f>IFERROR(__xludf.DUMMYFUNCTION("""COMPUTED_VALUE"""),"James")</f>
        <v>James</v>
      </c>
      <c r="F9314" t="str">
        <f>IFERROR(__xludf.DUMMYFUNCTION("""COMPUTED_VALUE"""),"")</f>
        <v/>
      </c>
    </row>
    <row r="9315">
      <c r="D9315" t="str">
        <f>IFERROR(__xludf.DUMMYFUNCTION("""COMPUTED_VALUE"""),"Windt")</f>
        <v>Windt</v>
      </c>
      <c r="E9315" t="str">
        <f>IFERROR(__xludf.DUMMYFUNCTION("""COMPUTED_VALUE"""),"Mike")</f>
        <v>Mike</v>
      </c>
      <c r="F9315" t="str">
        <f>IFERROR(__xludf.DUMMYFUNCTION("""COMPUTED_VALUE"""),"")</f>
        <v/>
      </c>
    </row>
    <row r="9316">
      <c r="D9316" t="str">
        <f>IFERROR(__xludf.DUMMYFUNCTION("""COMPUTED_VALUE"""),"Winfree")</f>
        <v>Winfree</v>
      </c>
      <c r="E9316" t="str">
        <f>IFERROR(__xludf.DUMMYFUNCTION("""COMPUTED_VALUE"""),"Juwann")</f>
        <v>Juwann</v>
      </c>
      <c r="F9316" t="str">
        <f>IFERROR(__xludf.DUMMYFUNCTION("""COMPUTED_VALUE"""),"")</f>
        <v/>
      </c>
    </row>
    <row r="9317">
      <c r="D9317" t="str">
        <f>IFERROR(__xludf.DUMMYFUNCTION("""COMPUTED_VALUE"""),"Wingard")</f>
        <v>Wingard</v>
      </c>
      <c r="E9317" t="str">
        <f>IFERROR(__xludf.DUMMYFUNCTION("""COMPUTED_VALUE"""),"Andrew")</f>
        <v>Andrew</v>
      </c>
      <c r="F9317" t="str">
        <f>IFERROR(__xludf.DUMMYFUNCTION("""COMPUTED_VALUE"""),"")</f>
        <v/>
      </c>
    </row>
    <row r="9318">
      <c r="D9318" t="str">
        <f>IFERROR(__xludf.DUMMYFUNCTION("""COMPUTED_VALUE"""),"Winovich")</f>
        <v>Winovich</v>
      </c>
      <c r="E9318" t="str">
        <f>IFERROR(__xludf.DUMMYFUNCTION("""COMPUTED_VALUE"""),"Chase")</f>
        <v>Chase</v>
      </c>
      <c r="F9318" t="str">
        <f>IFERROR(__xludf.DUMMYFUNCTION("""COMPUTED_VALUE"""),"")</f>
        <v/>
      </c>
    </row>
    <row r="9319">
      <c r="D9319" t="str">
        <f>IFERROR(__xludf.DUMMYFUNCTION("""COMPUTED_VALUE"""),"Winston")</f>
        <v>Winston</v>
      </c>
      <c r="E9319" t="str">
        <f>IFERROR(__xludf.DUMMYFUNCTION("""COMPUTED_VALUE"""),"Jameis")</f>
        <v>Jameis</v>
      </c>
      <c r="F9319" t="str">
        <f>IFERROR(__xludf.DUMMYFUNCTION("""COMPUTED_VALUE"""),"")</f>
        <v/>
      </c>
    </row>
    <row r="9320">
      <c r="D9320" t="str">
        <f>IFERROR(__xludf.DUMMYFUNCTION("""COMPUTED_VALUE"""),"Wint")</f>
        <v>Wint</v>
      </c>
      <c r="E9320" t="str">
        <f>IFERROR(__xludf.DUMMYFUNCTION("""COMPUTED_VALUE"""),"Anthony")</f>
        <v>Anthony</v>
      </c>
      <c r="F9320" t="str">
        <f>IFERROR(__xludf.DUMMYFUNCTION("""COMPUTED_VALUE"""),"")</f>
        <v/>
      </c>
    </row>
    <row r="9321">
      <c r="D9321" t="str">
        <f>IFERROR(__xludf.DUMMYFUNCTION("""COMPUTED_VALUE"""),"Winters")</f>
        <v>Winters</v>
      </c>
      <c r="E9321" t="str">
        <f>IFERROR(__xludf.DUMMYFUNCTION("""COMPUTED_VALUE"""),"Brian")</f>
        <v>Brian</v>
      </c>
      <c r="F9321" t="str">
        <f>IFERROR(__xludf.DUMMYFUNCTION("""COMPUTED_VALUE"""),"")</f>
        <v/>
      </c>
    </row>
    <row r="9322">
      <c r="D9322" t="str">
        <f>IFERROR(__xludf.DUMMYFUNCTION("""COMPUTED_VALUE"""),"Wise")</f>
        <v>Wise</v>
      </c>
      <c r="E9322" t="str">
        <f>IFERROR(__xludf.DUMMYFUNCTION("""COMPUTED_VALUE"""),"Daniel")</f>
        <v>Daniel</v>
      </c>
      <c r="F9322" t="str">
        <f>IFERROR(__xludf.DUMMYFUNCTION("""COMPUTED_VALUE"""),"")</f>
        <v/>
      </c>
    </row>
    <row r="9323">
      <c r="D9323" t="str">
        <f>IFERROR(__xludf.DUMMYFUNCTION("""COMPUTED_VALUE"""),"Wise")</f>
        <v>Wise</v>
      </c>
      <c r="E9323" t="str">
        <f>IFERROR(__xludf.DUMMYFUNCTION("""COMPUTED_VALUE"""),"Deatrich")</f>
        <v>Deatrich</v>
      </c>
      <c r="F9323" t="str">
        <f>IFERROR(__xludf.DUMMYFUNCTION("""COMPUTED_VALUE"""),"")</f>
        <v/>
      </c>
    </row>
    <row r="9324">
      <c r="D9324" t="str">
        <f>IFERROR(__xludf.DUMMYFUNCTION("""COMPUTED_VALUE"""),"Wishnowsky")</f>
        <v>Wishnowsky</v>
      </c>
      <c r="E9324" t="str">
        <f>IFERROR(__xludf.DUMMYFUNCTION("""COMPUTED_VALUE"""),"Mitch")</f>
        <v>Mitch</v>
      </c>
      <c r="F9324" t="str">
        <f>IFERROR(__xludf.DUMMYFUNCTION("""COMPUTED_VALUE"""),"")</f>
        <v/>
      </c>
    </row>
    <row r="9325">
      <c r="D9325" t="str">
        <f>IFERROR(__xludf.DUMMYFUNCTION("""COMPUTED_VALUE"""),"Wisniewski")</f>
        <v>Wisniewski</v>
      </c>
      <c r="E9325" t="str">
        <f>IFERROR(__xludf.DUMMYFUNCTION("""COMPUTED_VALUE"""),"Stefen")</f>
        <v>Stefen</v>
      </c>
      <c r="F9325" t="str">
        <f>IFERROR(__xludf.DUMMYFUNCTION("""COMPUTED_VALUE"""),"")</f>
        <v/>
      </c>
    </row>
    <row r="9326">
      <c r="D9326" t="str">
        <f>IFERROR(__xludf.DUMMYFUNCTION("""COMPUTED_VALUE"""),"Witherspoon")</f>
        <v>Witherspoon</v>
      </c>
      <c r="E9326" t="str">
        <f>IFERROR(__xludf.DUMMYFUNCTION("""COMPUTED_VALUE"""),"Ahkello")</f>
        <v>Ahkello</v>
      </c>
      <c r="F9326" t="str">
        <f>IFERROR(__xludf.DUMMYFUNCTION("""COMPUTED_VALUE"""),"")</f>
        <v/>
      </c>
    </row>
    <row r="9327">
      <c r="D9327" t="str">
        <f>IFERROR(__xludf.DUMMYFUNCTION("""COMPUTED_VALUE"""),"Witten")</f>
        <v>Witten</v>
      </c>
      <c r="E9327" t="str">
        <f>IFERROR(__xludf.DUMMYFUNCTION("""COMPUTED_VALUE"""),"Jason")</f>
        <v>Jason</v>
      </c>
      <c r="F9327" t="str">
        <f>IFERROR(__xludf.DUMMYFUNCTION("""COMPUTED_VALUE"""),"")</f>
        <v/>
      </c>
    </row>
    <row r="9328">
      <c r="D9328" t="str">
        <f>IFERROR(__xludf.DUMMYFUNCTION("""COMPUTED_VALUE"""),"Witzmann")</f>
        <v>Witzmann</v>
      </c>
      <c r="E9328" t="str">
        <f>IFERROR(__xludf.DUMMYFUNCTION("""COMPUTED_VALUE"""),"Bryan")</f>
        <v>Bryan</v>
      </c>
      <c r="F9328" t="str">
        <f>IFERROR(__xludf.DUMMYFUNCTION("""COMPUTED_VALUE"""),"")</f>
        <v/>
      </c>
    </row>
    <row r="9329">
      <c r="D9329" t="str">
        <f>IFERROR(__xludf.DUMMYFUNCTION("""COMPUTED_VALUE"""),"Wolfe")</f>
        <v>Wolfe</v>
      </c>
      <c r="E9329" t="str">
        <f>IFERROR(__xludf.DUMMYFUNCTION("""COMPUTED_VALUE"""),"Derek")</f>
        <v>Derek</v>
      </c>
      <c r="F9329" t="str">
        <f>IFERROR(__xludf.DUMMYFUNCTION("""COMPUTED_VALUE"""),"")</f>
        <v/>
      </c>
    </row>
    <row r="9330">
      <c r="D9330" t="str">
        <f>IFERROR(__xludf.DUMMYFUNCTION("""COMPUTED_VALUE"""),"Wood")</f>
        <v>Wood</v>
      </c>
      <c r="E9330" t="str">
        <f>IFERROR(__xludf.DUMMYFUNCTION("""COMPUTED_VALUE"""),"Zach")</f>
        <v>Zach</v>
      </c>
      <c r="F9330" t="str">
        <f>IFERROR(__xludf.DUMMYFUNCTION("""COMPUTED_VALUE"""),"")</f>
        <v/>
      </c>
    </row>
    <row r="9331">
      <c r="D9331" t="str">
        <f>IFERROR(__xludf.DUMMYFUNCTION("""COMPUTED_VALUE"""),"Woodard")</f>
        <v>Woodard</v>
      </c>
      <c r="E9331" t="str">
        <f>IFERROR(__xludf.DUMMYFUNCTION("""COMPUTED_VALUE"""),"Jonathan")</f>
        <v>Jonathan</v>
      </c>
      <c r="F9331" t="str">
        <f>IFERROR(__xludf.DUMMYFUNCTION("""COMPUTED_VALUE"""),"")</f>
        <v/>
      </c>
    </row>
    <row r="9332">
      <c r="D9332" t="str">
        <f>IFERROR(__xludf.DUMMYFUNCTION("""COMPUTED_VALUE"""),"Woodrum")</f>
        <v>Woodrum</v>
      </c>
      <c r="E9332" t="str">
        <f>IFERROR(__xludf.DUMMYFUNCTION("""COMPUTED_VALUE"""),"Josh")</f>
        <v>Josh</v>
      </c>
      <c r="F9332" t="str">
        <f>IFERROR(__xludf.DUMMYFUNCTION("""COMPUTED_VALUE"""),"")</f>
        <v/>
      </c>
    </row>
    <row r="9333">
      <c r="D9333" t="str">
        <f>IFERROR(__xludf.DUMMYFUNCTION("""COMPUTED_VALUE"""),"Woods")</f>
        <v>Woods</v>
      </c>
      <c r="E9333" t="str">
        <f>IFERROR(__xludf.DUMMYFUNCTION("""COMPUTED_VALUE"""),"Al")</f>
        <v>Al</v>
      </c>
      <c r="F9333" t="str">
        <f>IFERROR(__xludf.DUMMYFUNCTION("""COMPUTED_VALUE"""),"")</f>
        <v/>
      </c>
    </row>
    <row r="9334">
      <c r="D9334" t="str">
        <f>IFERROR(__xludf.DUMMYFUNCTION("""COMPUTED_VALUE"""),"Woods")</f>
        <v>Woods</v>
      </c>
      <c r="E9334" t="str">
        <f>IFERROR(__xludf.DUMMYFUNCTION("""COMPUTED_VALUE"""),"Antwaun")</f>
        <v>Antwaun</v>
      </c>
      <c r="F9334" t="str">
        <f>IFERROR(__xludf.DUMMYFUNCTION("""COMPUTED_VALUE"""),"")</f>
        <v/>
      </c>
    </row>
    <row r="9335">
      <c r="D9335" t="str">
        <f>IFERROR(__xludf.DUMMYFUNCTION("""COMPUTED_VALUE"""),"Woods")</f>
        <v>Woods</v>
      </c>
      <c r="E9335" t="str">
        <f>IFERROR(__xludf.DUMMYFUNCTION("""COMPUTED_VALUE"""),"Josh")</f>
        <v>Josh</v>
      </c>
      <c r="F9335" t="str">
        <f>IFERROR(__xludf.DUMMYFUNCTION("""COMPUTED_VALUE"""),"")</f>
        <v/>
      </c>
    </row>
    <row r="9336">
      <c r="D9336" t="str">
        <f>IFERROR(__xludf.DUMMYFUNCTION("""COMPUTED_VALUE"""),"Woods")</f>
        <v>Woods</v>
      </c>
      <c r="E9336" t="str">
        <f>IFERROR(__xludf.DUMMYFUNCTION("""COMPUTED_VALUE"""),"Robert")</f>
        <v>Robert</v>
      </c>
      <c r="F9336" t="str">
        <f>IFERROR(__xludf.DUMMYFUNCTION("""COMPUTED_VALUE"""),"")</f>
        <v/>
      </c>
    </row>
    <row r="9337">
      <c r="D9337" t="str">
        <f>IFERROR(__xludf.DUMMYFUNCTION("""COMPUTED_VALUE"""),"Woods")</f>
        <v>Woods</v>
      </c>
      <c r="E9337" t="str">
        <f>IFERROR(__xludf.DUMMYFUNCTION("""COMPUTED_VALUE"""),"Xavier")</f>
        <v>Xavier</v>
      </c>
      <c r="F9337" t="str">
        <f>IFERROR(__xludf.DUMMYFUNCTION("""COMPUTED_VALUE"""),"")</f>
        <v/>
      </c>
    </row>
    <row r="9338">
      <c r="D9338" t="str">
        <f>IFERROR(__xludf.DUMMYFUNCTION("""COMPUTED_VALUE"""),"Woods")</f>
        <v>Woods</v>
      </c>
      <c r="E9338" t="str">
        <f>IFERROR(__xludf.DUMMYFUNCTION("""COMPUTED_VALUE"""),"Zedrick")</f>
        <v>Zedrick</v>
      </c>
      <c r="F9338" t="str">
        <f>IFERROR(__xludf.DUMMYFUNCTION("""COMPUTED_VALUE"""),"")</f>
        <v/>
      </c>
    </row>
    <row r="9339">
      <c r="D9339" t="str">
        <f>IFERROR(__xludf.DUMMYFUNCTION("""COMPUTED_VALUE"""),"Woodside")</f>
        <v>Woodside</v>
      </c>
      <c r="E9339" t="str">
        <f>IFERROR(__xludf.DUMMYFUNCTION("""COMPUTED_VALUE"""),"Logan")</f>
        <v>Logan</v>
      </c>
      <c r="F9339" t="str">
        <f>IFERROR(__xludf.DUMMYFUNCTION("""COMPUTED_VALUE"""),"")</f>
        <v/>
      </c>
    </row>
    <row r="9340">
      <c r="D9340" t="str">
        <f>IFERROR(__xludf.DUMMYFUNCTION("""COMPUTED_VALUE"""),"Woodson-Luster")</f>
        <v>Woodson-Luster</v>
      </c>
      <c r="E9340" t="str">
        <f>IFERROR(__xludf.DUMMYFUNCTION("""COMPUTED_VALUE"""),"Xavier")</f>
        <v>Xavier</v>
      </c>
      <c r="F9340" t="str">
        <f>IFERROR(__xludf.DUMMYFUNCTION("""COMPUTED_VALUE"""),"")</f>
        <v/>
      </c>
    </row>
    <row r="9341">
      <c r="D9341" t="str">
        <f>IFERROR(__xludf.DUMMYFUNCTION("""COMPUTED_VALUE"""),"Woodyard")</f>
        <v>Woodyard</v>
      </c>
      <c r="E9341" t="str">
        <f>IFERROR(__xludf.DUMMYFUNCTION("""COMPUTED_VALUE"""),"Wesley")</f>
        <v>Wesley</v>
      </c>
      <c r="F9341" t="str">
        <f>IFERROR(__xludf.DUMMYFUNCTION("""COMPUTED_VALUE"""),"")</f>
        <v/>
      </c>
    </row>
    <row r="9342">
      <c r="D9342" t="str">
        <f>IFERROR(__xludf.DUMMYFUNCTION("""COMPUTED_VALUE"""),"Worley")</f>
        <v>Worley</v>
      </c>
      <c r="E9342" t="str">
        <f>IFERROR(__xludf.DUMMYFUNCTION("""COMPUTED_VALUE"""),"Chris")</f>
        <v>Chris</v>
      </c>
      <c r="F9342" t="str">
        <f>IFERROR(__xludf.DUMMYFUNCTION("""COMPUTED_VALUE"""),"")</f>
        <v/>
      </c>
    </row>
    <row r="9343">
      <c r="D9343" t="str">
        <f>IFERROR(__xludf.DUMMYFUNCTION("""COMPUTED_VALUE"""),"Worley")</f>
        <v>Worley</v>
      </c>
      <c r="E9343" t="str">
        <f>IFERROR(__xludf.DUMMYFUNCTION("""COMPUTED_VALUE"""),"Daryl")</f>
        <v>Daryl</v>
      </c>
      <c r="F9343" t="str">
        <f>IFERROR(__xludf.DUMMYFUNCTION("""COMPUTED_VALUE"""),"")</f>
        <v/>
      </c>
    </row>
    <row r="9344">
      <c r="D9344" t="str">
        <f>IFERROR(__xludf.DUMMYFUNCTION("""COMPUTED_VALUE"""),"Wormley")</f>
        <v>Wormley</v>
      </c>
      <c r="E9344" t="str">
        <f>IFERROR(__xludf.DUMMYFUNCTION("""COMPUTED_VALUE"""),"Chris")</f>
        <v>Chris</v>
      </c>
      <c r="F9344" t="str">
        <f>IFERROR(__xludf.DUMMYFUNCTION("""COMPUTED_VALUE"""),"")</f>
        <v/>
      </c>
    </row>
    <row r="9345">
      <c r="D9345" t="str">
        <f>IFERROR(__xludf.DUMMYFUNCTION("""COMPUTED_VALUE"""),"Worrilow")</f>
        <v>Worrilow</v>
      </c>
      <c r="E9345" t="str">
        <f>IFERROR(__xludf.DUMMYFUNCTION("""COMPUTED_VALUE"""),"Paul")</f>
        <v>Paul</v>
      </c>
      <c r="F9345" t="str">
        <f>IFERROR(__xludf.DUMMYFUNCTION("""COMPUTED_VALUE"""),"")</f>
        <v/>
      </c>
    </row>
    <row r="9346">
      <c r="D9346" t="str">
        <f>IFERROR(__xludf.DUMMYFUNCTION("""COMPUTED_VALUE"""),"Wreh-Wilson")</f>
        <v>Wreh-Wilson</v>
      </c>
      <c r="E9346" t="str">
        <f>IFERROR(__xludf.DUMMYFUNCTION("""COMPUTED_VALUE"""),"Blidi")</f>
        <v>Blidi</v>
      </c>
      <c r="F9346" t="str">
        <f>IFERROR(__xludf.DUMMYFUNCTION("""COMPUTED_VALUE"""),"")</f>
        <v/>
      </c>
    </row>
    <row r="9347">
      <c r="D9347" t="str">
        <f>IFERROR(__xludf.DUMMYFUNCTION("""COMPUTED_VALUE"""),"Wren")</f>
        <v>Wren</v>
      </c>
      <c r="E9347" t="str">
        <f>IFERROR(__xludf.DUMMYFUNCTION("""COMPUTED_VALUE"""),"Renell")</f>
        <v>Renell</v>
      </c>
      <c r="F9347" t="str">
        <f>IFERROR(__xludf.DUMMYFUNCTION("""COMPUTED_VALUE"""),"")</f>
        <v/>
      </c>
    </row>
    <row r="9348">
      <c r="D9348" t="str">
        <f>IFERROR(__xludf.DUMMYFUNCTION("""COMPUTED_VALUE"""),"Wright")</f>
        <v>Wright</v>
      </c>
      <c r="E9348" t="str">
        <f>IFERROR(__xludf.DUMMYFUNCTION("""COMPUTED_VALUE"""),"Gabe")</f>
        <v>Gabe</v>
      </c>
      <c r="F9348" t="str">
        <f>IFERROR(__xludf.DUMMYFUNCTION("""COMPUTED_VALUE"""),"")</f>
        <v/>
      </c>
    </row>
    <row r="9349">
      <c r="D9349" t="str">
        <f>IFERROR(__xludf.DUMMYFUNCTION("""COMPUTED_VALUE"""),"Wright")</f>
        <v>Wright</v>
      </c>
      <c r="E9349" t="str">
        <f>IFERROR(__xludf.DUMMYFUNCTION("""COMPUTED_VALUE"""),"Jarius")</f>
        <v>Jarius</v>
      </c>
      <c r="F9349" t="str">
        <f>IFERROR(__xludf.DUMMYFUNCTION("""COMPUTED_VALUE"""),"")</f>
        <v/>
      </c>
    </row>
    <row r="9350">
      <c r="D9350" t="str">
        <f>IFERROR(__xludf.DUMMYFUNCTION("""COMPUTED_VALUE"""),"Wright")</f>
        <v>Wright</v>
      </c>
      <c r="E9350" t="str">
        <f>IFERROR(__xludf.DUMMYFUNCTION("""COMPUTED_VALUE"""),"KJ")</f>
        <v>KJ</v>
      </c>
      <c r="F9350" t="str">
        <f>IFERROR(__xludf.DUMMYFUNCTION("""COMPUTED_VALUE"""),"")</f>
        <v/>
      </c>
    </row>
    <row r="9351">
      <c r="D9351" t="str">
        <f>IFERROR(__xludf.DUMMYFUNCTION("""COMPUTED_VALUE"""),"Wylie")</f>
        <v>Wylie</v>
      </c>
      <c r="E9351" t="str">
        <f>IFERROR(__xludf.DUMMYFUNCTION("""COMPUTED_VALUE"""),"Andrew")</f>
        <v>Andrew</v>
      </c>
      <c r="F9351" t="str">
        <f>IFERROR(__xludf.DUMMYFUNCTION("""COMPUTED_VALUE"""),"")</f>
        <v/>
      </c>
    </row>
    <row r="9352">
      <c r="D9352" t="str">
        <f>IFERROR(__xludf.DUMMYFUNCTION("""COMPUTED_VALUE"""),"Wynn")</f>
        <v>Wynn</v>
      </c>
      <c r="E9352" t="str">
        <f>IFERROR(__xludf.DUMMYFUNCTION("""COMPUTED_VALUE"""),"Isaiah")</f>
        <v>Isaiah</v>
      </c>
      <c r="F9352" t="str">
        <f>IFERROR(__xludf.DUMMYFUNCTION("""COMPUTED_VALUE"""),"")</f>
        <v/>
      </c>
    </row>
    <row r="9353">
      <c r="D9353" t="str">
        <f>IFERROR(__xludf.DUMMYFUNCTION("""COMPUTED_VALUE"""),"Wynn")</f>
        <v>Wynn</v>
      </c>
      <c r="E9353" t="str">
        <f>IFERROR(__xludf.DUMMYFUNCTION("""COMPUTED_VALUE"""),"Kerry")</f>
        <v>Kerry</v>
      </c>
      <c r="F9353" t="str">
        <f>IFERROR(__xludf.DUMMYFUNCTION("""COMPUTED_VALUE"""),"")</f>
        <v/>
      </c>
    </row>
    <row r="9354">
      <c r="D9354" t="str">
        <f>IFERROR(__xludf.DUMMYFUNCTION("""COMPUTED_VALUE"""),"Ximines")</f>
        <v>Ximines</v>
      </c>
      <c r="E9354" t="str">
        <f>IFERROR(__xludf.DUMMYFUNCTION("""COMPUTED_VALUE"""),"Oshane")</f>
        <v>Oshane</v>
      </c>
      <c r="F9354" t="str">
        <f>IFERROR(__xludf.DUMMYFUNCTION("""COMPUTED_VALUE"""),"")</f>
        <v/>
      </c>
    </row>
    <row r="9355">
      <c r="D9355" t="str">
        <f>IFERROR(__xludf.DUMMYFUNCTION("""COMPUTED_VALUE"""),"Ya-Sin")</f>
        <v>Ya-Sin</v>
      </c>
      <c r="E9355" t="str">
        <f>IFERROR(__xludf.DUMMYFUNCTION("""COMPUTED_VALUE"""),"Rock")</f>
        <v>Rock</v>
      </c>
      <c r="F9355" t="str">
        <f>IFERROR(__xludf.DUMMYFUNCTION("""COMPUTED_VALUE"""),"")</f>
        <v/>
      </c>
    </row>
    <row r="9356">
      <c r="D9356" t="str">
        <f>IFERROR(__xludf.DUMMYFUNCTION("""COMPUTED_VALUE"""),"Yanda")</f>
        <v>Yanda</v>
      </c>
      <c r="E9356" t="str">
        <f>IFERROR(__xludf.DUMMYFUNCTION("""COMPUTED_VALUE"""),"Marshal")</f>
        <v>Marshal</v>
      </c>
      <c r="F9356" t="str">
        <f>IFERROR(__xludf.DUMMYFUNCTION("""COMPUTED_VALUE"""),"")</f>
        <v/>
      </c>
    </row>
    <row r="9357">
      <c r="D9357" t="str">
        <f>IFERROR(__xludf.DUMMYFUNCTION("""COMPUTED_VALUE"""),"Yarbrough")</f>
        <v>Yarbrough</v>
      </c>
      <c r="E9357" t="str">
        <f>IFERROR(__xludf.DUMMYFUNCTION("""COMPUTED_VALUE"""),"Eddie")</f>
        <v>Eddie</v>
      </c>
      <c r="F9357" t="str">
        <f>IFERROR(__xludf.DUMMYFUNCTION("""COMPUTED_VALUE"""),"")</f>
        <v/>
      </c>
    </row>
    <row r="9358">
      <c r="D9358" t="str">
        <f>IFERROR(__xludf.DUMMYFUNCTION("""COMPUTED_VALUE"""),"Yelder")</f>
        <v>Yelder</v>
      </c>
      <c r="E9358" t="str">
        <f>IFERROR(__xludf.DUMMYFUNCTION("""COMPUTED_VALUE"""),"Deon")</f>
        <v>Deon</v>
      </c>
      <c r="F9358" t="str">
        <f>IFERROR(__xludf.DUMMYFUNCTION("""COMPUTED_VALUE"""),"")</f>
        <v/>
      </c>
    </row>
    <row r="9359">
      <c r="D9359" t="str">
        <f>IFERROR(__xludf.DUMMYFUNCTION("""COMPUTED_VALUE"""),"Yeldon")</f>
        <v>Yeldon</v>
      </c>
      <c r="E9359" t="str">
        <f>IFERROR(__xludf.DUMMYFUNCTION("""COMPUTED_VALUE"""),"TJ")</f>
        <v>TJ</v>
      </c>
      <c r="F9359" t="str">
        <f>IFERROR(__xludf.DUMMYFUNCTION("""COMPUTED_VALUE"""),"")</f>
        <v/>
      </c>
    </row>
    <row r="9360">
      <c r="D9360" t="str">
        <f>IFERROR(__xludf.DUMMYFUNCTION("""COMPUTED_VALUE"""),"Yiadom")</f>
        <v>Yiadom</v>
      </c>
      <c r="E9360" t="str">
        <f>IFERROR(__xludf.DUMMYFUNCTION("""COMPUTED_VALUE"""),"Isaac")</f>
        <v>Isaac</v>
      </c>
      <c r="F9360" t="str">
        <f>IFERROR(__xludf.DUMMYFUNCTION("""COMPUTED_VALUE"""),"")</f>
        <v/>
      </c>
    </row>
    <row r="9361">
      <c r="D9361" t="str">
        <f>IFERROR(__xludf.DUMMYFUNCTION("""COMPUTED_VALUE"""),"Young")</f>
        <v>Young</v>
      </c>
      <c r="E9361" t="str">
        <f>IFERROR(__xludf.DUMMYFUNCTION("""COMPUTED_VALUE"""),"Kenny")</f>
        <v>Kenny</v>
      </c>
      <c r="F9361" t="str">
        <f>IFERROR(__xludf.DUMMYFUNCTION("""COMPUTED_VALUE"""),"")</f>
        <v/>
      </c>
    </row>
    <row r="9362">
      <c r="D9362" t="str">
        <f>IFERROR(__xludf.DUMMYFUNCTION("""COMPUTED_VALUE"""),"Young")</f>
        <v>Young</v>
      </c>
      <c r="E9362" t="str">
        <f>IFERROR(__xludf.DUMMYFUNCTION("""COMPUTED_VALUE"""),"Tavon")</f>
        <v>Tavon</v>
      </c>
      <c r="F9362" t="str">
        <f>IFERROR(__xludf.DUMMYFUNCTION("""COMPUTED_VALUE"""),"")</f>
        <v/>
      </c>
    </row>
    <row r="9363">
      <c r="D9363" t="str">
        <f>IFERROR(__xludf.DUMMYFUNCTION("""COMPUTED_VALUE"""),"Young")</f>
        <v>Young</v>
      </c>
      <c r="E9363" t="str">
        <f>IFERROR(__xludf.DUMMYFUNCTION("""COMPUTED_VALUE"""),"Trevon")</f>
        <v>Trevon</v>
      </c>
      <c r="F9363" t="str">
        <f>IFERROR(__xludf.DUMMYFUNCTION("""COMPUTED_VALUE"""),"")</f>
        <v/>
      </c>
    </row>
    <row r="9364">
      <c r="D9364" t="str">
        <f>IFERROR(__xludf.DUMMYFUNCTION("""COMPUTED_VALUE"""),"Zeitler")</f>
        <v>Zeitler</v>
      </c>
      <c r="E9364" t="str">
        <f>IFERROR(__xludf.DUMMYFUNCTION("""COMPUTED_VALUE"""),"Kevin")</f>
        <v>Kevin</v>
      </c>
      <c r="F9364" t="str">
        <f>IFERROR(__xludf.DUMMYFUNCTION("""COMPUTED_VALUE"""),"")</f>
        <v/>
      </c>
    </row>
    <row r="9365">
      <c r="D9365" t="str">
        <f>IFERROR(__xludf.DUMMYFUNCTION("""COMPUTED_VALUE"""),"Zenner")</f>
        <v>Zenner</v>
      </c>
      <c r="E9365" t="str">
        <f>IFERROR(__xludf.DUMMYFUNCTION("""COMPUTED_VALUE"""),"Zach")</f>
        <v>Zach</v>
      </c>
      <c r="F9365" t="str">
        <f>IFERROR(__xludf.DUMMYFUNCTION("""COMPUTED_VALUE"""),"")</f>
        <v/>
      </c>
    </row>
    <row r="9366">
      <c r="D9366" t="str">
        <f>IFERROR(__xludf.DUMMYFUNCTION("""COMPUTED_VALUE"""),"Zettel")</f>
        <v>Zettel</v>
      </c>
      <c r="E9366" t="str">
        <f>IFERROR(__xludf.DUMMYFUNCTION("""COMPUTED_VALUE"""),"Anthony")</f>
        <v>Anthony</v>
      </c>
      <c r="F9366" t="str">
        <f>IFERROR(__xludf.DUMMYFUNCTION("""COMPUTED_VALUE"""),"")</f>
        <v/>
      </c>
    </row>
    <row r="9367">
      <c r="D9367" t="str">
        <f>IFERROR(__xludf.DUMMYFUNCTION("""COMPUTED_VALUE"""),"Zimmer")</f>
        <v>Zimmer</v>
      </c>
      <c r="E9367" t="str">
        <f>IFERROR(__xludf.DUMMYFUNCTION("""COMPUTED_VALUE"""),"Justin")</f>
        <v>Justin</v>
      </c>
      <c r="F9367" t="str">
        <f>IFERROR(__xludf.DUMMYFUNCTION("""COMPUTED_VALUE"""),"")</f>
        <v/>
      </c>
    </row>
    <row r="9368">
      <c r="D9368" t="str">
        <f>IFERROR(__xludf.DUMMYFUNCTION("""COMPUTED_VALUE"""),"Zuerlein")</f>
        <v>Zuerlein</v>
      </c>
      <c r="E9368" t="str">
        <f>IFERROR(__xludf.DUMMYFUNCTION("""COMPUTED_VALUE"""),"Greg")</f>
        <v>Greg</v>
      </c>
      <c r="F9368" t="str">
        <f>IFERROR(__xludf.DUMMYFUNCTION("""COMPUTED_VALUE"""),"")</f>
        <v/>
      </c>
    </row>
    <row r="9369">
      <c r="D9369" t="str">
        <f>IFERROR(__xludf.DUMMYFUNCTION("""COMPUTED_VALUE"""),"Zylstra")</f>
        <v>Zylstra</v>
      </c>
      <c r="E9369" t="str">
        <f>IFERROR(__xludf.DUMMYFUNCTION("""COMPUTED_VALUE"""),"Brandon")</f>
        <v>Brandon</v>
      </c>
      <c r="F9369" t="str">
        <f>IFERROR(__xludf.DUMMYFUNCTION("""COMPUTED_VALUE"""),"")</f>
        <v/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14"/>
    <col customWidth="1" min="2" max="2" width="6.86"/>
    <col customWidth="1" min="4" max="5" width="11.29"/>
    <col customWidth="1" min="6" max="6" width="9.86"/>
  </cols>
  <sheetData>
    <row r="1">
      <c r="A1" s="1" t="s">
        <v>0</v>
      </c>
      <c r="B1" s="1" t="s">
        <v>2</v>
      </c>
      <c r="C1" s="5"/>
      <c r="D1" s="11" t="str">
        <f>IFERROR(__xludf.DUMMYFUNCTION("QUERY({QUERY(INDIRECT(""LNAME, A-Z M""&amp;RIGHT(A2,2)&amp;""!A2:E""),""select A,B,C,E,""&amp;B2&amp;"" label ""&amp;B2&amp;""''"");QUERY(INDIRECT(""LNAME, A-Z M""&amp;RIGHT(A3,2)&amp;""!A2:E""),""select A,B,C,E,""&amp;B3&amp;"" label ""&amp;B3&amp;""''"");QUERY(INDIRECT(""LNAME, A-Z M""&amp;RIGHT(A4,2)&amp;"""&amp;"!A2:E""),""select A,B,C,D,""&amp;B4&amp;"" label ""&amp;B4&amp;""''"");QUERY(INDIRECT(""LNAME, A-Z M""&amp;RIGHT(A5,2)&amp;""!A2:F""),""select A,B,C,F,""&amp;B5&amp;"" label ""&amp;B5&amp;""''"")},""select Col1,Col2,Col3,Col4*Col5 where Col1&lt;&gt;''"",0)"),"")</f>
        <v/>
      </c>
      <c r="E1" s="11" t="str">
        <f>IFERROR(__xludf.DUMMYFUNCTION("""COMPUTED_VALUE"""),"")</f>
        <v/>
      </c>
      <c r="F1" s="11" t="str">
        <f>IFERROR(__xludf.DUMMYFUNCTION("""COMPUTED_VALUE"""),"")</f>
        <v/>
      </c>
      <c r="G1" t="str">
        <f>IFERROR(__xludf.DUMMYFUNCTION("""COMPUTED_VALUE"""),"product()")</f>
        <v>product()</v>
      </c>
      <c r="I1" s="13" t="s">
        <v>17</v>
      </c>
    </row>
    <row r="2">
      <c r="A2" s="15">
        <v>2017.0</v>
      </c>
      <c r="B2" s="17">
        <v>0.15</v>
      </c>
      <c r="D2" t="str">
        <f>IFERROR(__xludf.DUMMYFUNCTION("""COMPUTED_VALUE"""),"Abbrederis")</f>
        <v>Abbrederis</v>
      </c>
      <c r="E2" t="str">
        <f>IFERROR(__xludf.DUMMYFUNCTION("""COMPUTED_VALUE"""),"Jared")</f>
        <v>Jared</v>
      </c>
      <c r="F2" t="str">
        <f>IFERROR(__xludf.DUMMYFUNCTION("""COMPUTED_VALUE"""),"WR")</f>
        <v>WR</v>
      </c>
      <c r="G2">
        <f>IFERROR(__xludf.DUMMYFUNCTION("""COMPUTED_VALUE"""),10.2)</f>
        <v>10.2</v>
      </c>
    </row>
    <row r="3">
      <c r="A3" s="15">
        <v>2018.0</v>
      </c>
      <c r="B3" s="17">
        <v>0.2</v>
      </c>
      <c r="D3" t="str">
        <f>IFERROR(__xludf.DUMMYFUNCTION("""COMPUTED_VALUE"""),"Abdesmad")</f>
        <v>Abdesmad</v>
      </c>
      <c r="E3" t="str">
        <f>IFERROR(__xludf.DUMMYFUNCTION("""COMPUTED_VALUE"""),"Mehdi")</f>
        <v>Mehdi</v>
      </c>
      <c r="F3" t="str">
        <f>IFERROR(__xludf.DUMMYFUNCTION("""COMPUTED_VALUE"""),"LE")</f>
        <v>LE</v>
      </c>
      <c r="G3">
        <f>IFERROR(__xludf.DUMMYFUNCTION("""COMPUTED_VALUE"""),9.0)</f>
        <v>9</v>
      </c>
    </row>
    <row r="4">
      <c r="A4" s="15">
        <v>2019.0</v>
      </c>
      <c r="B4" s="17">
        <v>0.25</v>
      </c>
      <c r="D4" t="str">
        <f>IFERROR(__xludf.DUMMYFUNCTION("""COMPUTED_VALUE"""),"Abdul-Quddus")</f>
        <v>Abdul-Quddus</v>
      </c>
      <c r="E4" t="str">
        <f>IFERROR(__xludf.DUMMYFUNCTION("""COMPUTED_VALUE"""),"Isa")</f>
        <v>Isa</v>
      </c>
      <c r="F4" t="str">
        <f>IFERROR(__xludf.DUMMYFUNCTION("""COMPUTED_VALUE"""),"FS")</f>
        <v>FS</v>
      </c>
      <c r="G4">
        <f>IFERROR(__xludf.DUMMYFUNCTION("""COMPUTED_VALUE"""),11.4)</f>
        <v>11.4</v>
      </c>
    </row>
    <row r="5">
      <c r="A5" s="15">
        <v>2020.0</v>
      </c>
      <c r="B5" s="17">
        <v>0.4</v>
      </c>
      <c r="D5" t="str">
        <f>IFERROR(__xludf.DUMMYFUNCTION("""COMPUTED_VALUE"""),"Abdullah")</f>
        <v>Abdullah</v>
      </c>
      <c r="E5" t="str">
        <f>IFERROR(__xludf.DUMMYFUNCTION("""COMPUTED_VALUE"""),"Ameer")</f>
        <v>Ameer</v>
      </c>
      <c r="F5" t="str">
        <f>IFERROR(__xludf.DUMMYFUNCTION("""COMPUTED_VALUE"""),"HB")</f>
        <v>HB</v>
      </c>
      <c r="G5">
        <f>IFERROR(__xludf.DUMMYFUNCTION("""COMPUTED_VALUE"""),11.7)</f>
        <v>11.7</v>
      </c>
    </row>
    <row r="6">
      <c r="D6" t="str">
        <f>IFERROR(__xludf.DUMMYFUNCTION("""COMPUTED_VALUE"""),"Aboushi")</f>
        <v>Aboushi</v>
      </c>
      <c r="E6" t="str">
        <f>IFERROR(__xludf.DUMMYFUNCTION("""COMPUTED_VALUE"""),"Oday")</f>
        <v>Oday</v>
      </c>
      <c r="F6" t="str">
        <f>IFERROR(__xludf.DUMMYFUNCTION("""COMPUTED_VALUE"""),"RG")</f>
        <v>RG</v>
      </c>
      <c r="G6">
        <f>IFERROR(__xludf.DUMMYFUNCTION("""COMPUTED_VALUE"""),10.2)</f>
        <v>10.2</v>
      </c>
    </row>
    <row r="7">
      <c r="D7" t="str">
        <f>IFERROR(__xludf.DUMMYFUNCTION("""COMPUTED_VALUE"""),"Acho")</f>
        <v>Acho</v>
      </c>
      <c r="E7" t="str">
        <f>IFERROR(__xludf.DUMMYFUNCTION("""COMPUTED_VALUE"""),"Sam")</f>
        <v>Sam</v>
      </c>
      <c r="F7" t="str">
        <f>IFERROR(__xludf.DUMMYFUNCTION("""COMPUTED_VALUE"""),"ROLB")</f>
        <v>ROLB</v>
      </c>
      <c r="G7">
        <f>IFERROR(__xludf.DUMMYFUNCTION("""COMPUTED_VALUE"""),11.25)</f>
        <v>11.25</v>
      </c>
    </row>
    <row r="8">
      <c r="D8" t="str">
        <f>IFERROR(__xludf.DUMMYFUNCTION("""COMPUTED_VALUE"""),"Acker")</f>
        <v>Acker</v>
      </c>
      <c r="E8" t="str">
        <f>IFERROR(__xludf.DUMMYFUNCTION("""COMPUTED_VALUE"""),"Kenneth")</f>
        <v>Kenneth</v>
      </c>
      <c r="F8" t="str">
        <f>IFERROR(__xludf.DUMMYFUNCTION("""COMPUTED_VALUE"""),"CB")</f>
        <v>CB</v>
      </c>
      <c r="G8">
        <f>IFERROR(__xludf.DUMMYFUNCTION("""COMPUTED_VALUE"""),11.25)</f>
        <v>11.25</v>
      </c>
    </row>
    <row r="9">
      <c r="D9" t="str">
        <f>IFERROR(__xludf.DUMMYFUNCTION("""COMPUTED_VALUE"""),"Adams")</f>
        <v>Adams</v>
      </c>
      <c r="E9" t="str">
        <f>IFERROR(__xludf.DUMMYFUNCTION("""COMPUTED_VALUE"""),"Davante")</f>
        <v>Davante</v>
      </c>
      <c r="F9" t="str">
        <f>IFERROR(__xludf.DUMMYFUNCTION("""COMPUTED_VALUE"""),"WR")</f>
        <v>WR</v>
      </c>
      <c r="G9">
        <f>IFERROR(__xludf.DUMMYFUNCTION("""COMPUTED_VALUE"""),11.25)</f>
        <v>11.25</v>
      </c>
    </row>
    <row r="10">
      <c r="D10" t="str">
        <f>IFERROR(__xludf.DUMMYFUNCTION("""COMPUTED_VALUE"""),"Adams")</f>
        <v>Adams</v>
      </c>
      <c r="E10" t="str">
        <f>IFERROR(__xludf.DUMMYFUNCTION("""COMPUTED_VALUE"""),"Jeff")</f>
        <v>Jeff</v>
      </c>
      <c r="F10" t="str">
        <f>IFERROR(__xludf.DUMMYFUNCTION("""COMPUTED_VALUE"""),"RT")</f>
        <v>RT</v>
      </c>
      <c r="G10">
        <f>IFERROR(__xludf.DUMMYFUNCTION("""COMPUTED_VALUE"""),10.95)</f>
        <v>10.95</v>
      </c>
    </row>
    <row r="11">
      <c r="D11" t="str">
        <f>IFERROR(__xludf.DUMMYFUNCTION("""COMPUTED_VALUE"""),"Adams")</f>
        <v>Adams</v>
      </c>
      <c r="E11" t="str">
        <f>IFERROR(__xludf.DUMMYFUNCTION("""COMPUTED_VALUE"""),"Jerell")</f>
        <v>Jerell</v>
      </c>
      <c r="F11" t="str">
        <f>IFERROR(__xludf.DUMMYFUNCTION("""COMPUTED_VALUE"""),"TE")</f>
        <v>TE</v>
      </c>
      <c r="G11">
        <f>IFERROR(__xludf.DUMMYFUNCTION("""COMPUTED_VALUE"""),9.9)</f>
        <v>9.9</v>
      </c>
    </row>
    <row r="12">
      <c r="D12" t="str">
        <f>IFERROR(__xludf.DUMMYFUNCTION("""COMPUTED_VALUE"""),"Adams")</f>
        <v>Adams</v>
      </c>
      <c r="E12" t="str">
        <f>IFERROR(__xludf.DUMMYFUNCTION("""COMPUTED_VALUE"""),"Mike")</f>
        <v>Mike</v>
      </c>
      <c r="F12" t="str">
        <f>IFERROR(__xludf.DUMMYFUNCTION("""COMPUTED_VALUE"""),"SS")</f>
        <v>SS</v>
      </c>
      <c r="G12">
        <f>IFERROR(__xludf.DUMMYFUNCTION("""COMPUTED_VALUE"""),11.7)</f>
        <v>11.7</v>
      </c>
    </row>
    <row r="13">
      <c r="D13" t="str">
        <f>IFERROR(__xludf.DUMMYFUNCTION("""COMPUTED_VALUE"""),"Addae")</f>
        <v>Addae</v>
      </c>
      <c r="E13" t="str">
        <f>IFERROR(__xludf.DUMMYFUNCTION("""COMPUTED_VALUE"""),"Jahleel")</f>
        <v>Jahleel</v>
      </c>
      <c r="F13" t="str">
        <f>IFERROR(__xludf.DUMMYFUNCTION("""COMPUTED_VALUE"""),"SS")</f>
        <v>SS</v>
      </c>
      <c r="G13">
        <f>IFERROR(__xludf.DUMMYFUNCTION("""COMPUTED_VALUE"""),11.1)</f>
        <v>11.1</v>
      </c>
    </row>
    <row r="14">
      <c r="D14" t="str">
        <f>IFERROR(__xludf.DUMMYFUNCTION("""COMPUTED_VALUE"""),"Addison")</f>
        <v>Addison</v>
      </c>
      <c r="E14" t="str">
        <f>IFERROR(__xludf.DUMMYFUNCTION("""COMPUTED_VALUE"""),"Bralon")</f>
        <v>Bralon</v>
      </c>
      <c r="F14" t="str">
        <f>IFERROR(__xludf.DUMMYFUNCTION("""COMPUTED_VALUE"""),"WR")</f>
        <v>WR</v>
      </c>
      <c r="G14">
        <f>IFERROR(__xludf.DUMMYFUNCTION("""COMPUTED_VALUE"""),9.0)</f>
        <v>9</v>
      </c>
    </row>
    <row r="15">
      <c r="D15" t="str">
        <f>IFERROR(__xludf.DUMMYFUNCTION("""COMPUTED_VALUE"""),"Addison")</f>
        <v>Addison</v>
      </c>
      <c r="E15" t="str">
        <f>IFERROR(__xludf.DUMMYFUNCTION("""COMPUTED_VALUE"""),"Mario")</f>
        <v>Mario</v>
      </c>
      <c r="F15" t="str">
        <f>IFERROR(__xludf.DUMMYFUNCTION("""COMPUTED_VALUE"""),"LE")</f>
        <v>LE</v>
      </c>
      <c r="G15">
        <f>IFERROR(__xludf.DUMMYFUNCTION("""COMPUTED_VALUE"""),11.4)</f>
        <v>11.4</v>
      </c>
    </row>
    <row r="16">
      <c r="D16" t="str">
        <f>IFERROR(__xludf.DUMMYFUNCTION("""COMPUTED_VALUE"""),"Adeyemi")</f>
        <v>Adeyemi</v>
      </c>
      <c r="E16" t="str">
        <f>IFERROR(__xludf.DUMMYFUNCTION("""COMPUTED_VALUE"""),"Kenton")</f>
        <v>Kenton</v>
      </c>
      <c r="F16" t="str">
        <f>IFERROR(__xludf.DUMMYFUNCTION("""COMPUTED_VALUE"""),"DT")</f>
        <v>DT</v>
      </c>
      <c r="G16">
        <f>IFERROR(__xludf.DUMMYFUNCTION("""COMPUTED_VALUE"""),9.0)</f>
        <v>9</v>
      </c>
    </row>
    <row r="17">
      <c r="D17" t="str">
        <f>IFERROR(__xludf.DUMMYFUNCTION("""COMPUTED_VALUE"""),"Adjei-Barimah")</f>
        <v>Adjei-Barimah</v>
      </c>
      <c r="E17" t="str">
        <f>IFERROR(__xludf.DUMMYFUNCTION("""COMPUTED_VALUE"""),"Jude")</f>
        <v>Jude</v>
      </c>
      <c r="F17" t="str">
        <f>IFERROR(__xludf.DUMMYFUNCTION("""COMPUTED_VALUE"""),"CB")</f>
        <v>CB</v>
      </c>
      <c r="G17">
        <f>IFERROR(__xludf.DUMMYFUNCTION("""COMPUTED_VALUE"""),10.35)</f>
        <v>10.35</v>
      </c>
    </row>
    <row r="18">
      <c r="D18" t="str">
        <f>IFERROR(__xludf.DUMMYFUNCTION("""COMPUTED_VALUE"""),"Agholor")</f>
        <v>Agholor</v>
      </c>
      <c r="E18" t="str">
        <f>IFERROR(__xludf.DUMMYFUNCTION("""COMPUTED_VALUE"""),"Nelson")</f>
        <v>Nelson</v>
      </c>
      <c r="F18" t="str">
        <f>IFERROR(__xludf.DUMMYFUNCTION("""COMPUTED_VALUE"""),"WR")</f>
        <v>WR</v>
      </c>
      <c r="G18">
        <f>IFERROR(__xludf.DUMMYFUNCTION("""COMPUTED_VALUE"""),10.799999999999999)</f>
        <v>10.8</v>
      </c>
    </row>
    <row r="19">
      <c r="D19" t="str">
        <f>IFERROR(__xludf.DUMMYFUNCTION("""COMPUTED_VALUE"""),"Aguayo")</f>
        <v>Aguayo</v>
      </c>
      <c r="E19" t="str">
        <f>IFERROR(__xludf.DUMMYFUNCTION("""COMPUTED_VALUE"""),"Roberto")</f>
        <v>Roberto</v>
      </c>
      <c r="F19" t="str">
        <f>IFERROR(__xludf.DUMMYFUNCTION("""COMPUTED_VALUE"""),"K")</f>
        <v>K</v>
      </c>
      <c r="G19">
        <f>IFERROR(__xludf.DUMMYFUNCTION("""COMPUTED_VALUE"""),11.85)</f>
        <v>11.85</v>
      </c>
    </row>
    <row r="20">
      <c r="D20" t="str">
        <f>IFERROR(__xludf.DUMMYFUNCTION("""COMPUTED_VALUE"""),"Ahmed")</f>
        <v>Ahmed</v>
      </c>
      <c r="E20" t="str">
        <f>IFERROR(__xludf.DUMMYFUNCTION("""COMPUTED_VALUE"""),"Shahbaz")</f>
        <v>Shahbaz</v>
      </c>
      <c r="F20" t="str">
        <f>IFERROR(__xludf.DUMMYFUNCTION("""COMPUTED_VALUE"""),"RG")</f>
        <v>RG</v>
      </c>
      <c r="G20">
        <f>IFERROR(__xludf.DUMMYFUNCTION("""COMPUTED_VALUE"""),9.15)</f>
        <v>9.15</v>
      </c>
    </row>
    <row r="21">
      <c r="D21" t="str">
        <f>IFERROR(__xludf.DUMMYFUNCTION("""COMPUTED_VALUE"""),"Aiken")</f>
        <v>Aiken</v>
      </c>
      <c r="E21" t="str">
        <f>IFERROR(__xludf.DUMMYFUNCTION("""COMPUTED_VALUE"""),"Kamar")</f>
        <v>Kamar</v>
      </c>
      <c r="F21" t="str">
        <f>IFERROR(__xludf.DUMMYFUNCTION("""COMPUTED_VALUE"""),"WR")</f>
        <v>WR</v>
      </c>
      <c r="G21">
        <f>IFERROR(__xludf.DUMMYFUNCTION("""COMPUTED_VALUE"""),11.7)</f>
        <v>11.7</v>
      </c>
    </row>
    <row r="22">
      <c r="D22" t="str">
        <f>IFERROR(__xludf.DUMMYFUNCTION("""COMPUTED_VALUE"""),"Aikens")</f>
        <v>Aikens</v>
      </c>
      <c r="E22" t="str">
        <f>IFERROR(__xludf.DUMMYFUNCTION("""COMPUTED_VALUE"""),"Walt")</f>
        <v>Walt</v>
      </c>
      <c r="F22" t="str">
        <f>IFERROR(__xludf.DUMMYFUNCTION("""COMPUTED_VALUE"""),"FS")</f>
        <v>FS</v>
      </c>
      <c r="G22">
        <f>IFERROR(__xludf.DUMMYFUNCTION("""COMPUTED_VALUE"""),10.65)</f>
        <v>10.65</v>
      </c>
    </row>
    <row r="23">
      <c r="D23" t="str">
        <f>IFERROR(__xludf.DUMMYFUNCTION("""COMPUTED_VALUE"""),"Ajayi")</f>
        <v>Ajayi</v>
      </c>
      <c r="E23" t="str">
        <f>IFERROR(__xludf.DUMMYFUNCTION("""COMPUTED_VALUE"""),"Jay")</f>
        <v>Jay</v>
      </c>
      <c r="F23" t="str">
        <f>IFERROR(__xludf.DUMMYFUNCTION("""COMPUTED_VALUE"""),"HB")</f>
        <v>HB</v>
      </c>
      <c r="G23">
        <f>IFERROR(__xludf.DUMMYFUNCTION("""COMPUTED_VALUE"""),11.25)</f>
        <v>11.25</v>
      </c>
    </row>
    <row r="24">
      <c r="D24" t="str">
        <f>IFERROR(__xludf.DUMMYFUNCTION("""COMPUTED_VALUE"""),"Albert")</f>
        <v>Albert</v>
      </c>
      <c r="E24" t="str">
        <f>IFERROR(__xludf.DUMMYFUNCTION("""COMPUTED_VALUE"""),"Branden")</f>
        <v>Branden</v>
      </c>
      <c r="F24" t="str">
        <f>IFERROR(__xludf.DUMMYFUNCTION("""COMPUTED_VALUE"""),"LT")</f>
        <v>LT</v>
      </c>
      <c r="G24">
        <f>IFERROR(__xludf.DUMMYFUNCTION("""COMPUTED_VALUE"""),12.0)</f>
        <v>12</v>
      </c>
    </row>
    <row r="25">
      <c r="D25" t="str">
        <f>IFERROR(__xludf.DUMMYFUNCTION("""COMPUTED_VALUE"""),"Alecxih")</f>
        <v>Alecxih</v>
      </c>
      <c r="E25" t="str">
        <f>IFERROR(__xludf.DUMMYFUNCTION("""COMPUTED_VALUE"""),"Chas")</f>
        <v>Chas</v>
      </c>
      <c r="F25" t="str">
        <f>IFERROR(__xludf.DUMMYFUNCTION("""COMPUTED_VALUE"""),"DT")</f>
        <v>DT</v>
      </c>
      <c r="G25">
        <f>IFERROR(__xludf.DUMMYFUNCTION("""COMPUTED_VALUE"""),9.0)</f>
        <v>9</v>
      </c>
    </row>
    <row r="26">
      <c r="D26" t="str">
        <f>IFERROR(__xludf.DUMMYFUNCTION("""COMPUTED_VALUE"""),"Alexander")</f>
        <v>Alexander</v>
      </c>
      <c r="E26" t="str">
        <f>IFERROR(__xludf.DUMMYFUNCTION("""COMPUTED_VALUE"""),"DJ")</f>
        <v>DJ</v>
      </c>
      <c r="F26" t="str">
        <f>IFERROR(__xludf.DUMMYFUNCTION("""COMPUTED_VALUE"""),"MLB")</f>
        <v>MLB</v>
      </c>
      <c r="G26">
        <f>IFERROR(__xludf.DUMMYFUNCTION("""COMPUTED_VALUE"""),8.4)</f>
        <v>8.4</v>
      </c>
    </row>
    <row r="27">
      <c r="D27" t="str">
        <f>IFERROR(__xludf.DUMMYFUNCTION("""COMPUTED_VALUE"""),"Alexander")</f>
        <v>Alexander</v>
      </c>
      <c r="E27" t="str">
        <f>IFERROR(__xludf.DUMMYFUNCTION("""COMPUTED_VALUE"""),"Dominique")</f>
        <v>Dominique</v>
      </c>
      <c r="F27" t="str">
        <f>IFERROR(__xludf.DUMMYFUNCTION("""COMPUTED_VALUE"""),"MLB")</f>
        <v>MLB</v>
      </c>
      <c r="G27">
        <f>IFERROR(__xludf.DUMMYFUNCTION("""COMPUTED_VALUE"""),8.7)</f>
        <v>8.7</v>
      </c>
    </row>
    <row r="28">
      <c r="D28" t="str">
        <f>IFERROR(__xludf.DUMMYFUNCTION("""COMPUTED_VALUE"""),"Alexander")</f>
        <v>Alexander</v>
      </c>
      <c r="E28" t="str">
        <f>IFERROR(__xludf.DUMMYFUNCTION("""COMPUTED_VALUE"""),"Kwon")</f>
        <v>Kwon</v>
      </c>
      <c r="F28" t="str">
        <f>IFERROR(__xludf.DUMMYFUNCTION("""COMPUTED_VALUE"""),"MLB")</f>
        <v>MLB</v>
      </c>
      <c r="G28">
        <f>IFERROR(__xludf.DUMMYFUNCTION("""COMPUTED_VALUE"""),11.4)</f>
        <v>11.4</v>
      </c>
    </row>
    <row r="29">
      <c r="D29" t="str">
        <f>IFERROR(__xludf.DUMMYFUNCTION("""COMPUTED_VALUE"""),"Alexander")</f>
        <v>Alexander</v>
      </c>
      <c r="E29" t="str">
        <f>IFERROR(__xludf.DUMMYFUNCTION("""COMPUTED_VALUE"""),"Lorenzo")</f>
        <v>Lorenzo</v>
      </c>
      <c r="F29" t="str">
        <f>IFERROR(__xludf.DUMMYFUNCTION("""COMPUTED_VALUE"""),"LOLB")</f>
        <v>LOLB</v>
      </c>
      <c r="G29">
        <f>IFERROR(__xludf.DUMMYFUNCTION("""COMPUTED_VALUE"""),10.799999999999999)</f>
        <v>10.8</v>
      </c>
    </row>
    <row r="30">
      <c r="D30" t="str">
        <f>IFERROR(__xludf.DUMMYFUNCTION("""COMPUTED_VALUE"""),"Alexander")</f>
        <v>Alexander</v>
      </c>
      <c r="E30" t="str">
        <f>IFERROR(__xludf.DUMMYFUNCTION("""COMPUTED_VALUE"""),"Mackensie")</f>
        <v>Mackensie</v>
      </c>
      <c r="F30" t="str">
        <f>IFERROR(__xludf.DUMMYFUNCTION("""COMPUTED_VALUE"""),"CB")</f>
        <v>CB</v>
      </c>
      <c r="G30">
        <f>IFERROR(__xludf.DUMMYFUNCTION("""COMPUTED_VALUE"""),11.25)</f>
        <v>11.25</v>
      </c>
    </row>
    <row r="31">
      <c r="D31" t="str">
        <f>IFERROR(__xludf.DUMMYFUNCTION("""COMPUTED_VALUE"""),"Alexander")</f>
        <v>Alexander</v>
      </c>
      <c r="E31" t="str">
        <f>IFERROR(__xludf.DUMMYFUNCTION("""COMPUTED_VALUE"""),"Maurice")</f>
        <v>Maurice</v>
      </c>
      <c r="F31" t="str">
        <f>IFERROR(__xludf.DUMMYFUNCTION("""COMPUTED_VALUE"""),"SS")</f>
        <v>SS</v>
      </c>
      <c r="G31">
        <f>IFERROR(__xludf.DUMMYFUNCTION("""COMPUTED_VALUE"""),10.35)</f>
        <v>10.35</v>
      </c>
    </row>
    <row r="32">
      <c r="D32" t="str">
        <f>IFERROR(__xludf.DUMMYFUNCTION("""COMPUTED_VALUE"""),"Alexander")</f>
        <v>Alexander</v>
      </c>
      <c r="E32" t="str">
        <f>IFERROR(__xludf.DUMMYFUNCTION("""COMPUTED_VALUE"""),"Vadal")</f>
        <v>Vadal</v>
      </c>
      <c r="F32" t="str">
        <f>IFERROR(__xludf.DUMMYFUNCTION("""COMPUTED_VALUE"""),"RG")</f>
        <v>RG</v>
      </c>
      <c r="G32">
        <f>IFERROR(__xludf.DUMMYFUNCTION("""COMPUTED_VALUE"""),9.9)</f>
        <v>9.9</v>
      </c>
    </row>
    <row r="33">
      <c r="D33" t="str">
        <f>IFERROR(__xludf.DUMMYFUNCTION("""COMPUTED_VALUE"""),"Alford")</f>
        <v>Alford</v>
      </c>
      <c r="E33" t="str">
        <f>IFERROR(__xludf.DUMMYFUNCTION("""COMPUTED_VALUE"""),"Mario")</f>
        <v>Mario</v>
      </c>
      <c r="F33" t="str">
        <f>IFERROR(__xludf.DUMMYFUNCTION("""COMPUTED_VALUE"""),"WR")</f>
        <v>WR</v>
      </c>
      <c r="G33">
        <f>IFERROR(__xludf.DUMMYFUNCTION("""COMPUTED_VALUE"""),8.85)</f>
        <v>8.85</v>
      </c>
    </row>
    <row r="34">
      <c r="D34" t="str">
        <f>IFERROR(__xludf.DUMMYFUNCTION("""COMPUTED_VALUE"""),"Alford")</f>
        <v>Alford</v>
      </c>
      <c r="E34" t="str">
        <f>IFERROR(__xludf.DUMMYFUNCTION("""COMPUTED_VALUE"""),"Robert")</f>
        <v>Robert</v>
      </c>
      <c r="F34" t="str">
        <f>IFERROR(__xludf.DUMMYFUNCTION("""COMPUTED_VALUE"""),"CB")</f>
        <v>CB</v>
      </c>
      <c r="G34">
        <f>IFERROR(__xludf.DUMMYFUNCTION("""COMPUTED_VALUE"""),11.549999999999999)</f>
        <v>11.55</v>
      </c>
    </row>
    <row r="35">
      <c r="D35" t="str">
        <f>IFERROR(__xludf.DUMMYFUNCTION("""COMPUTED_VALUE"""),"Allen")</f>
        <v>Allen</v>
      </c>
      <c r="E35" t="str">
        <f>IFERROR(__xludf.DUMMYFUNCTION("""COMPUTED_VALUE"""),"Antonio")</f>
        <v>Antonio</v>
      </c>
      <c r="F35" t="str">
        <f>IFERROR(__xludf.DUMMYFUNCTION("""COMPUTED_VALUE"""),"FS")</f>
        <v>FS</v>
      </c>
      <c r="G35">
        <f>IFERROR(__xludf.DUMMYFUNCTION("""COMPUTED_VALUE"""),11.85)</f>
        <v>11.85</v>
      </c>
    </row>
    <row r="36">
      <c r="D36" t="str">
        <f>IFERROR(__xludf.DUMMYFUNCTION("""COMPUTED_VALUE"""),"Allen")</f>
        <v>Allen</v>
      </c>
      <c r="E36" t="str">
        <f>IFERROR(__xludf.DUMMYFUNCTION("""COMPUTED_VALUE"""),"Beau")</f>
        <v>Beau</v>
      </c>
      <c r="F36" t="str">
        <f>IFERROR(__xludf.DUMMYFUNCTION("""COMPUTED_VALUE"""),"DT")</f>
        <v>DT</v>
      </c>
      <c r="G36">
        <f>IFERROR(__xludf.DUMMYFUNCTION("""COMPUTED_VALUE"""),9.75)</f>
        <v>9.75</v>
      </c>
    </row>
    <row r="37">
      <c r="D37" t="str">
        <f>IFERROR(__xludf.DUMMYFUNCTION("""COMPUTED_VALUE"""),"Allen")</f>
        <v>Allen</v>
      </c>
      <c r="E37" t="str">
        <f>IFERROR(__xludf.DUMMYFUNCTION("""COMPUTED_VALUE"""),"Brandon")</f>
        <v>Brandon</v>
      </c>
      <c r="F37" t="str">
        <f>IFERROR(__xludf.DUMMYFUNCTION("""COMPUTED_VALUE"""),"QB")</f>
        <v>QB</v>
      </c>
      <c r="G37">
        <f>IFERROR(__xludf.DUMMYFUNCTION("""COMPUTED_VALUE"""),9.75)</f>
        <v>9.75</v>
      </c>
    </row>
    <row r="38">
      <c r="D38" t="str">
        <f>IFERROR(__xludf.DUMMYFUNCTION("""COMPUTED_VALUE"""),"Allen")</f>
        <v>Allen</v>
      </c>
      <c r="E38" t="str">
        <f>IFERROR(__xludf.DUMMYFUNCTION("""COMPUTED_VALUE"""),"Dwayne")</f>
        <v>Dwayne</v>
      </c>
      <c r="F38" t="str">
        <f>IFERROR(__xludf.DUMMYFUNCTION("""COMPUTED_VALUE"""),"TE")</f>
        <v>TE</v>
      </c>
      <c r="G38">
        <f>IFERROR(__xludf.DUMMYFUNCTION("""COMPUTED_VALUE"""),12.0)</f>
        <v>12</v>
      </c>
    </row>
    <row r="39">
      <c r="D39" t="str">
        <f>IFERROR(__xludf.DUMMYFUNCTION("""COMPUTED_VALUE"""),"Allen")</f>
        <v>Allen</v>
      </c>
      <c r="E39" t="str">
        <f>IFERROR(__xludf.DUMMYFUNCTION("""COMPUTED_VALUE"""),"Jack")</f>
        <v>Jack</v>
      </c>
      <c r="F39" t="str">
        <f>IFERROR(__xludf.DUMMYFUNCTION("""COMPUTED_VALUE"""),"C")</f>
        <v>C</v>
      </c>
      <c r="G39">
        <f>IFERROR(__xludf.DUMMYFUNCTION("""COMPUTED_VALUE"""),8.85)</f>
        <v>8.85</v>
      </c>
    </row>
    <row r="40">
      <c r="D40" t="str">
        <f>IFERROR(__xludf.DUMMYFUNCTION("""COMPUTED_VALUE"""),"Allen")</f>
        <v>Allen</v>
      </c>
      <c r="E40" t="str">
        <f>IFERROR(__xludf.DUMMYFUNCTION("""COMPUTED_VALUE"""),"Javorius")</f>
        <v>Javorius</v>
      </c>
      <c r="F40" t="str">
        <f>IFERROR(__xludf.DUMMYFUNCTION("""COMPUTED_VALUE"""),"HB")</f>
        <v>HB</v>
      </c>
      <c r="G40">
        <f>IFERROR(__xludf.DUMMYFUNCTION("""COMPUTED_VALUE"""),11.1)</f>
        <v>11.1</v>
      </c>
    </row>
    <row r="41">
      <c r="D41" t="str">
        <f>IFERROR(__xludf.DUMMYFUNCTION("""COMPUTED_VALUE"""),"Allen")</f>
        <v>Allen</v>
      </c>
      <c r="E41" t="str">
        <f>IFERROR(__xludf.DUMMYFUNCTION("""COMPUTED_VALUE"""),"Jeff")</f>
        <v>Jeff</v>
      </c>
      <c r="F41" t="str">
        <f>IFERROR(__xludf.DUMMYFUNCTION("""COMPUTED_VALUE"""),"RG")</f>
        <v>RG</v>
      </c>
      <c r="G41">
        <f>IFERROR(__xludf.DUMMYFUNCTION("""COMPUTED_VALUE"""),11.7)</f>
        <v>11.7</v>
      </c>
    </row>
    <row r="42">
      <c r="D42" t="str">
        <f>IFERROR(__xludf.DUMMYFUNCTION("""COMPUTED_VALUE"""),"Allen")</f>
        <v>Allen</v>
      </c>
      <c r="E42" t="str">
        <f>IFERROR(__xludf.DUMMYFUNCTION("""COMPUTED_VALUE"""),"Josh")</f>
        <v>Josh</v>
      </c>
      <c r="F42" t="str">
        <f>IFERROR(__xludf.DUMMYFUNCTION("""COMPUTED_VALUE"""),"C")</f>
        <v>C</v>
      </c>
      <c r="G42">
        <f>IFERROR(__xludf.DUMMYFUNCTION("""COMPUTED_VALUE"""),9.299999999999999)</f>
        <v>9.3</v>
      </c>
    </row>
    <row r="43">
      <c r="D43" t="str">
        <f>IFERROR(__xludf.DUMMYFUNCTION("""COMPUTED_VALUE"""),"Allen")</f>
        <v>Allen</v>
      </c>
      <c r="E43" t="str">
        <f>IFERROR(__xludf.DUMMYFUNCTION("""COMPUTED_VALUE"""),"Keenan")</f>
        <v>Keenan</v>
      </c>
      <c r="F43" t="str">
        <f>IFERROR(__xludf.DUMMYFUNCTION("""COMPUTED_VALUE"""),"WR")</f>
        <v>WR</v>
      </c>
      <c r="G43">
        <f>IFERROR(__xludf.DUMMYFUNCTION("""COMPUTED_VALUE"""),13.2)</f>
        <v>13.2</v>
      </c>
    </row>
    <row r="44">
      <c r="D44" t="str">
        <f>IFERROR(__xludf.DUMMYFUNCTION("""COMPUTED_VALUE"""),"Allen")</f>
        <v>Allen</v>
      </c>
      <c r="E44" t="str">
        <f>IFERROR(__xludf.DUMMYFUNCTION("""COMPUTED_VALUE"""),"Nate")</f>
        <v>Nate</v>
      </c>
      <c r="F44" t="str">
        <f>IFERROR(__xludf.DUMMYFUNCTION("""COMPUTED_VALUE"""),"SS")</f>
        <v>SS</v>
      </c>
      <c r="G44">
        <f>IFERROR(__xludf.DUMMYFUNCTION("""COMPUTED_VALUE"""),11.549999999999999)</f>
        <v>11.55</v>
      </c>
    </row>
    <row r="45">
      <c r="D45" t="str">
        <f>IFERROR(__xludf.DUMMYFUNCTION("""COMPUTED_VALUE"""),"Allen")</f>
        <v>Allen</v>
      </c>
      <c r="E45" t="str">
        <f>IFERROR(__xludf.DUMMYFUNCTION("""COMPUTED_VALUE"""),"RaShaun")</f>
        <v>RaShaun</v>
      </c>
      <c r="F45" t="str">
        <f>IFERROR(__xludf.DUMMYFUNCTION("""COMPUTED_VALUE"""),"TE")</f>
        <v>TE</v>
      </c>
      <c r="G45">
        <f>IFERROR(__xludf.DUMMYFUNCTION("""COMPUTED_VALUE"""),9.299999999999999)</f>
        <v>9.3</v>
      </c>
    </row>
    <row r="46">
      <c r="D46" t="str">
        <f>IFERROR(__xludf.DUMMYFUNCTION("""COMPUTED_VALUE"""),"Allen")</f>
        <v>Allen</v>
      </c>
      <c r="E46" t="str">
        <f>IFERROR(__xludf.DUMMYFUNCTION("""COMPUTED_VALUE"""),"Ricardo")</f>
        <v>Ricardo</v>
      </c>
      <c r="F46" t="str">
        <f>IFERROR(__xludf.DUMMYFUNCTION("""COMPUTED_VALUE"""),"FS")</f>
        <v>FS</v>
      </c>
      <c r="G46">
        <f>IFERROR(__xludf.DUMMYFUNCTION("""COMPUTED_VALUE"""),11.25)</f>
        <v>11.25</v>
      </c>
    </row>
    <row r="47">
      <c r="D47" t="str">
        <f>IFERROR(__xludf.DUMMYFUNCTION("""COMPUTED_VALUE"""),"Allen")</f>
        <v>Allen</v>
      </c>
      <c r="E47" t="str">
        <f>IFERROR(__xludf.DUMMYFUNCTION("""COMPUTED_VALUE"""),"Ryan")</f>
        <v>Ryan</v>
      </c>
      <c r="F47" t="str">
        <f>IFERROR(__xludf.DUMMYFUNCTION("""COMPUTED_VALUE"""),"P")</f>
        <v>P</v>
      </c>
      <c r="G47">
        <f>IFERROR(__xludf.DUMMYFUNCTION("""COMPUTED_VALUE"""),11.7)</f>
        <v>11.7</v>
      </c>
    </row>
    <row r="48">
      <c r="D48" t="str">
        <f>IFERROR(__xludf.DUMMYFUNCTION("""COMPUTED_VALUE"""),"Allen")</f>
        <v>Allen</v>
      </c>
      <c r="E48" t="str">
        <f>IFERROR(__xludf.DUMMYFUNCTION("""COMPUTED_VALUE"""),"Torrence")</f>
        <v>Torrence</v>
      </c>
      <c r="F48" t="str">
        <f>IFERROR(__xludf.DUMMYFUNCTION("""COMPUTED_VALUE"""),"WR")</f>
        <v>WR</v>
      </c>
      <c r="G48">
        <f>IFERROR(__xludf.DUMMYFUNCTION("""COMPUTED_VALUE"""),9.45)</f>
        <v>9.45</v>
      </c>
    </row>
    <row r="49">
      <c r="D49" t="str">
        <f>IFERROR(__xludf.DUMMYFUNCTION("""COMPUTED_VALUE"""),"Allison")</f>
        <v>Allison</v>
      </c>
      <c r="E49" t="str">
        <f>IFERROR(__xludf.DUMMYFUNCTION("""COMPUTED_VALUE"""),"Geronimo")</f>
        <v>Geronimo</v>
      </c>
      <c r="F49" t="str">
        <f>IFERROR(__xludf.DUMMYFUNCTION("""COMPUTED_VALUE"""),"WR")</f>
        <v>WR</v>
      </c>
      <c r="G49">
        <f>IFERROR(__xludf.DUMMYFUNCTION("""COMPUTED_VALUE"""),9.15)</f>
        <v>9.15</v>
      </c>
    </row>
    <row r="50">
      <c r="D50" t="str">
        <f>IFERROR(__xludf.DUMMYFUNCTION("""COMPUTED_VALUE"""),"Alonso")</f>
        <v>Alonso</v>
      </c>
      <c r="E50" t="str">
        <f>IFERROR(__xludf.DUMMYFUNCTION("""COMPUTED_VALUE"""),"Kiko")</f>
        <v>Kiko</v>
      </c>
      <c r="F50" t="str">
        <f>IFERROR(__xludf.DUMMYFUNCTION("""COMPUTED_VALUE"""),"MLB")</f>
        <v>MLB</v>
      </c>
      <c r="G50">
        <f>IFERROR(__xludf.DUMMYFUNCTION("""COMPUTED_VALUE"""),11.4)</f>
        <v>11.4</v>
      </c>
    </row>
    <row r="51">
      <c r="D51" t="str">
        <f>IFERROR(__xludf.DUMMYFUNCTION("""COMPUTED_VALUE"""),"Alualu")</f>
        <v>Alualu</v>
      </c>
      <c r="E51" t="str">
        <f>IFERROR(__xludf.DUMMYFUNCTION("""COMPUTED_VALUE"""),"Tyson")</f>
        <v>Tyson</v>
      </c>
      <c r="F51" t="str">
        <f>IFERROR(__xludf.DUMMYFUNCTION("""COMPUTED_VALUE"""),"DT")</f>
        <v>DT</v>
      </c>
      <c r="G51">
        <f>IFERROR(__xludf.DUMMYFUNCTION("""COMPUTED_VALUE"""),11.4)</f>
        <v>11.4</v>
      </c>
    </row>
    <row r="52">
      <c r="D52" t="str">
        <f>IFERROR(__xludf.DUMMYFUNCTION("""COMPUTED_VALUE"""),"Amaro")</f>
        <v>Amaro</v>
      </c>
      <c r="E52" t="str">
        <f>IFERROR(__xludf.DUMMYFUNCTION("""COMPUTED_VALUE"""),"Jace")</f>
        <v>Jace</v>
      </c>
      <c r="F52" t="str">
        <f>IFERROR(__xludf.DUMMYFUNCTION("""COMPUTED_VALUE"""),"TE")</f>
        <v>TE</v>
      </c>
      <c r="G52">
        <f>IFERROR(__xludf.DUMMYFUNCTION("""COMPUTED_VALUE"""),11.1)</f>
        <v>11.1</v>
      </c>
    </row>
    <row r="53">
      <c r="D53" t="str">
        <f>IFERROR(__xludf.DUMMYFUNCTION("""COMPUTED_VALUE"""),"Amendola")</f>
        <v>Amendola</v>
      </c>
      <c r="E53" t="str">
        <f>IFERROR(__xludf.DUMMYFUNCTION("""COMPUTED_VALUE"""),"Danny")</f>
        <v>Danny</v>
      </c>
      <c r="F53" t="str">
        <f>IFERROR(__xludf.DUMMYFUNCTION("""COMPUTED_VALUE"""),"WR")</f>
        <v>WR</v>
      </c>
      <c r="G53">
        <f>IFERROR(__xludf.DUMMYFUNCTION("""COMPUTED_VALUE"""),12.45)</f>
        <v>12.45</v>
      </c>
    </row>
    <row r="54">
      <c r="D54" t="str">
        <f>IFERROR(__xludf.DUMMYFUNCTION("""COMPUTED_VALUE"""),"Amerson")</f>
        <v>Amerson</v>
      </c>
      <c r="E54" t="str">
        <f>IFERROR(__xludf.DUMMYFUNCTION("""COMPUTED_VALUE"""),"David")</f>
        <v>David</v>
      </c>
      <c r="F54" t="str">
        <f>IFERROR(__xludf.DUMMYFUNCTION("""COMPUTED_VALUE"""),"CB")</f>
        <v>CB</v>
      </c>
      <c r="G54">
        <f>IFERROR(__xludf.DUMMYFUNCTION("""COMPUTED_VALUE"""),12.6)</f>
        <v>12.6</v>
      </c>
    </row>
    <row r="55">
      <c r="D55" t="str">
        <f>IFERROR(__xludf.DUMMYFUNCTION("""COMPUTED_VALUE"""),"Amos")</f>
        <v>Amos</v>
      </c>
      <c r="E55" t="str">
        <f>IFERROR(__xludf.DUMMYFUNCTION("""COMPUTED_VALUE"""),"Adrian")</f>
        <v>Adrian</v>
      </c>
      <c r="F55" t="str">
        <f>IFERROR(__xludf.DUMMYFUNCTION("""COMPUTED_VALUE"""),"FS")</f>
        <v>FS</v>
      </c>
      <c r="G55">
        <f>IFERROR(__xludf.DUMMYFUNCTION("""COMPUTED_VALUE"""),11.549999999999999)</f>
        <v>11.55</v>
      </c>
    </row>
    <row r="56">
      <c r="D56" t="str">
        <f>IFERROR(__xludf.DUMMYFUNCTION("""COMPUTED_VALUE"""),"Amukamara")</f>
        <v>Amukamara</v>
      </c>
      <c r="E56" t="str">
        <f>IFERROR(__xludf.DUMMYFUNCTION("""COMPUTED_VALUE"""),"Prince")</f>
        <v>Prince</v>
      </c>
      <c r="F56" t="str">
        <f>IFERROR(__xludf.DUMMYFUNCTION("""COMPUTED_VALUE"""),"CB")</f>
        <v>CB</v>
      </c>
      <c r="G56">
        <f>IFERROR(__xludf.DUMMYFUNCTION("""COMPUTED_VALUE"""),12.45)</f>
        <v>12.45</v>
      </c>
    </row>
    <row r="57">
      <c r="D57" t="str">
        <f>IFERROR(__xludf.DUMMYFUNCTION("""COMPUTED_VALUE"""),"Anderson")</f>
        <v>Anderson</v>
      </c>
      <c r="E57" t="str">
        <f>IFERROR(__xludf.DUMMYFUNCTION("""COMPUTED_VALUE"""),"Busta")</f>
        <v>Busta</v>
      </c>
      <c r="F57" t="str">
        <f>IFERROR(__xludf.DUMMYFUNCTION("""COMPUTED_VALUE"""),"TE")</f>
        <v>TE</v>
      </c>
      <c r="G57">
        <f>IFERROR(__xludf.DUMMYFUNCTION("""COMPUTED_VALUE"""),9.6)</f>
        <v>9.6</v>
      </c>
    </row>
    <row r="58">
      <c r="D58" t="str">
        <f>IFERROR(__xludf.DUMMYFUNCTION("""COMPUTED_VALUE"""),"Anderson")</f>
        <v>Anderson</v>
      </c>
      <c r="E58" t="str">
        <f>IFERROR(__xludf.DUMMYFUNCTION("""COMPUTED_VALUE"""),"CJ")</f>
        <v>CJ</v>
      </c>
      <c r="F58" t="str">
        <f>IFERROR(__xludf.DUMMYFUNCTION("""COMPUTED_VALUE"""),"HB")</f>
        <v>HB</v>
      </c>
      <c r="G58">
        <f>IFERROR(__xludf.DUMMYFUNCTION("""COMPUTED_VALUE"""),12.6)</f>
        <v>12.6</v>
      </c>
    </row>
    <row r="59">
      <c r="D59" t="str">
        <f>IFERROR(__xludf.DUMMYFUNCTION("""COMPUTED_VALUE"""),"Anderson")</f>
        <v>Anderson</v>
      </c>
      <c r="E59" t="str">
        <f>IFERROR(__xludf.DUMMYFUNCTION("""COMPUTED_VALUE"""),"Colt")</f>
        <v>Colt</v>
      </c>
      <c r="F59" t="str">
        <f>IFERROR(__xludf.DUMMYFUNCTION("""COMPUTED_VALUE"""),"SS")</f>
        <v>SS</v>
      </c>
      <c r="G59">
        <f>IFERROR(__xludf.DUMMYFUNCTION("""COMPUTED_VALUE"""),10.65)</f>
        <v>10.65</v>
      </c>
    </row>
    <row r="60">
      <c r="D60" t="str">
        <f>IFERROR(__xludf.DUMMYFUNCTION("""COMPUTED_VALUE"""),"Anderson")</f>
        <v>Anderson</v>
      </c>
      <c r="E60" t="str">
        <f>IFERROR(__xludf.DUMMYFUNCTION("""COMPUTED_VALUE"""),"Demetris")</f>
        <v>Demetris</v>
      </c>
      <c r="F60" t="str">
        <f>IFERROR(__xludf.DUMMYFUNCTION("""COMPUTED_VALUE"""),"RE")</f>
        <v>RE</v>
      </c>
      <c r="G60">
        <f>IFERROR(__xludf.DUMMYFUNCTION("""COMPUTED_VALUE"""),8.549999999999999)</f>
        <v>8.55</v>
      </c>
    </row>
    <row r="61">
      <c r="D61" t="str">
        <f>IFERROR(__xludf.DUMMYFUNCTION("""COMPUTED_VALUE"""),"Anderson")</f>
        <v>Anderson</v>
      </c>
      <c r="E61" t="str">
        <f>IFERROR(__xludf.DUMMYFUNCTION("""COMPUTED_VALUE"""),"Derek")</f>
        <v>Derek</v>
      </c>
      <c r="F61" t="str">
        <f>IFERROR(__xludf.DUMMYFUNCTION("""COMPUTED_VALUE"""),"QB")</f>
        <v>QB</v>
      </c>
      <c r="G61">
        <f>IFERROR(__xludf.DUMMYFUNCTION("""COMPUTED_VALUE"""),10.5)</f>
        <v>10.5</v>
      </c>
    </row>
    <row r="62">
      <c r="D62" t="str">
        <f>IFERROR(__xludf.DUMMYFUNCTION("""COMPUTED_VALUE"""),"Anderson")</f>
        <v>Anderson</v>
      </c>
      <c r="E62" t="str">
        <f>IFERROR(__xludf.DUMMYFUNCTION("""COMPUTED_VALUE"""),"Dres")</f>
        <v>Dres</v>
      </c>
      <c r="F62" t="str">
        <f>IFERROR(__xludf.DUMMYFUNCTION("""COMPUTED_VALUE"""),"WR")</f>
        <v>WR</v>
      </c>
      <c r="G62">
        <f>IFERROR(__xludf.DUMMYFUNCTION("""COMPUTED_VALUE"""),9.299999999999999)</f>
        <v>9.3</v>
      </c>
    </row>
    <row r="63">
      <c r="D63" t="str">
        <f>IFERROR(__xludf.DUMMYFUNCTION("""COMPUTED_VALUE"""),"Anderson")</f>
        <v>Anderson</v>
      </c>
      <c r="E63" t="str">
        <f>IFERROR(__xludf.DUMMYFUNCTION("""COMPUTED_VALUE"""),"Henry")</f>
        <v>Henry</v>
      </c>
      <c r="F63" t="str">
        <f>IFERROR(__xludf.DUMMYFUNCTION("""COMPUTED_VALUE"""),"LE")</f>
        <v>LE</v>
      </c>
      <c r="G63">
        <f>IFERROR(__xludf.DUMMYFUNCTION("""COMPUTED_VALUE"""),11.4)</f>
        <v>11.4</v>
      </c>
    </row>
    <row r="64">
      <c r="D64" t="str">
        <f>IFERROR(__xludf.DUMMYFUNCTION("""COMPUTED_VALUE"""),"Anderson")</f>
        <v>Anderson</v>
      </c>
      <c r="E64" t="str">
        <f>IFERROR(__xludf.DUMMYFUNCTION("""COMPUTED_VALUE"""),"Jonathan")</f>
        <v>Jonathan</v>
      </c>
      <c r="F64" t="str">
        <f>IFERROR(__xludf.DUMMYFUNCTION("""COMPUTED_VALUE"""),"MLB")</f>
        <v>MLB</v>
      </c>
      <c r="G64">
        <f>IFERROR(__xludf.DUMMYFUNCTION("""COMPUTED_VALUE"""),9.9)</f>
        <v>9.9</v>
      </c>
    </row>
    <row r="65">
      <c r="D65" t="str">
        <f>IFERROR(__xludf.DUMMYFUNCTION("""COMPUTED_VALUE"""),"Anderson")</f>
        <v>Anderson</v>
      </c>
      <c r="E65" t="str">
        <f>IFERROR(__xludf.DUMMYFUNCTION("""COMPUTED_VALUE"""),"Robby")</f>
        <v>Robby</v>
      </c>
      <c r="F65" t="str">
        <f>IFERROR(__xludf.DUMMYFUNCTION("""COMPUTED_VALUE"""),"WR")</f>
        <v>WR</v>
      </c>
      <c r="G65">
        <f>IFERROR(__xludf.DUMMYFUNCTION("""COMPUTED_VALUE"""),9.45)</f>
        <v>9.45</v>
      </c>
    </row>
    <row r="66">
      <c r="D66" t="str">
        <f>IFERROR(__xludf.DUMMYFUNCTION("""COMPUTED_VALUE"""),"Anderson")</f>
        <v>Anderson</v>
      </c>
      <c r="E66" t="str">
        <f>IFERROR(__xludf.DUMMYFUNCTION("""COMPUTED_VALUE"""),"Stephen")</f>
        <v>Stephen</v>
      </c>
      <c r="F66" t="str">
        <f>IFERROR(__xludf.DUMMYFUNCTION("""COMPUTED_VALUE"""),"TE")</f>
        <v>TE</v>
      </c>
      <c r="G66">
        <f>IFERROR(__xludf.DUMMYFUNCTION("""COMPUTED_VALUE"""),9.45)</f>
        <v>9.45</v>
      </c>
    </row>
    <row r="67">
      <c r="D67" t="str">
        <f>IFERROR(__xludf.DUMMYFUNCTION("""COMPUTED_VALUE"""),"Andrews")</f>
        <v>Andrews</v>
      </c>
      <c r="E67" t="str">
        <f>IFERROR(__xludf.DUMMYFUNCTION("""COMPUTED_VALUE"""),"Antonio")</f>
        <v>Antonio</v>
      </c>
      <c r="F67" t="str">
        <f>IFERROR(__xludf.DUMMYFUNCTION("""COMPUTED_VALUE"""),"HB")</f>
        <v>HB</v>
      </c>
      <c r="G67">
        <f>IFERROR(__xludf.DUMMYFUNCTION("""COMPUTED_VALUE"""),11.4)</f>
        <v>11.4</v>
      </c>
    </row>
    <row r="68">
      <c r="D68" t="str">
        <f>IFERROR(__xludf.DUMMYFUNCTION("""COMPUTED_VALUE"""),"Andrews")</f>
        <v>Andrews</v>
      </c>
      <c r="E68" t="str">
        <f>IFERROR(__xludf.DUMMYFUNCTION("""COMPUTED_VALUE"""),"David")</f>
        <v>David</v>
      </c>
      <c r="F68" t="str">
        <f>IFERROR(__xludf.DUMMYFUNCTION("""COMPUTED_VALUE"""),"C")</f>
        <v>C</v>
      </c>
      <c r="G68">
        <f>IFERROR(__xludf.DUMMYFUNCTION("""COMPUTED_VALUE"""),10.65)</f>
        <v>10.65</v>
      </c>
    </row>
    <row r="69">
      <c r="D69" t="str">
        <f>IFERROR(__xludf.DUMMYFUNCTION("""COMPUTED_VALUE"""),"Andrews")</f>
        <v>Andrews</v>
      </c>
      <c r="E69" t="str">
        <f>IFERROR(__xludf.DUMMYFUNCTION("""COMPUTED_VALUE"""),"Josh")</f>
        <v>Josh</v>
      </c>
      <c r="F69" t="str">
        <f>IFERROR(__xludf.DUMMYFUNCTION("""COMPUTED_VALUE"""),"C")</f>
        <v>C</v>
      </c>
      <c r="G69">
        <f>IFERROR(__xludf.DUMMYFUNCTION("""COMPUTED_VALUE"""),9.0)</f>
        <v>9</v>
      </c>
    </row>
    <row r="70">
      <c r="D70" t="str">
        <f>IFERROR(__xludf.DUMMYFUNCTION("""COMPUTED_VALUE"""),"Anger")</f>
        <v>Anger</v>
      </c>
      <c r="E70" t="str">
        <f>IFERROR(__xludf.DUMMYFUNCTION("""COMPUTED_VALUE"""),"Bryan")</f>
        <v>Bryan</v>
      </c>
      <c r="F70" t="str">
        <f>IFERROR(__xludf.DUMMYFUNCTION("""COMPUTED_VALUE"""),"P")</f>
        <v>P</v>
      </c>
      <c r="G70">
        <f>IFERROR(__xludf.DUMMYFUNCTION("""COMPUTED_VALUE"""),12.299999999999999)</f>
        <v>12.3</v>
      </c>
    </row>
    <row r="71">
      <c r="D71" t="str">
        <f>IFERROR(__xludf.DUMMYFUNCTION("""COMPUTED_VALUE"""),"Annen")</f>
        <v>Annen</v>
      </c>
      <c r="E71" t="str">
        <f>IFERROR(__xludf.DUMMYFUNCTION("""COMPUTED_VALUE"""),"Blake")</f>
        <v>Blake</v>
      </c>
      <c r="F71" t="str">
        <f>IFERROR(__xludf.DUMMYFUNCTION("""COMPUTED_VALUE"""),"TE")</f>
        <v>TE</v>
      </c>
      <c r="G71">
        <f>IFERROR(__xludf.DUMMYFUNCTION("""COMPUTED_VALUE"""),9.45)</f>
        <v>9.45</v>
      </c>
    </row>
    <row r="72">
      <c r="D72" t="str">
        <f>IFERROR(__xludf.DUMMYFUNCTION("""COMPUTED_VALUE"""),"Ansah")</f>
        <v>Ansah</v>
      </c>
      <c r="E72" t="str">
        <f>IFERROR(__xludf.DUMMYFUNCTION("""COMPUTED_VALUE"""),"Ezekiel")</f>
        <v>Ezekiel</v>
      </c>
      <c r="F72" t="str">
        <f>IFERROR(__xludf.DUMMYFUNCTION("""COMPUTED_VALUE"""),"RE")</f>
        <v>RE</v>
      </c>
      <c r="G72">
        <f>IFERROR(__xludf.DUMMYFUNCTION("""COMPUTED_VALUE"""),13.5)</f>
        <v>13.5</v>
      </c>
    </row>
    <row r="73">
      <c r="D73" t="str">
        <f>IFERROR(__xludf.DUMMYFUNCTION("""COMPUTED_VALUE"""),"Anthony")</f>
        <v>Anthony</v>
      </c>
      <c r="E73" t="str">
        <f>IFERROR(__xludf.DUMMYFUNCTION("""COMPUTED_VALUE"""),"Stephone")</f>
        <v>Stephone</v>
      </c>
      <c r="F73" t="str">
        <f>IFERROR(__xludf.DUMMYFUNCTION("""COMPUTED_VALUE"""),"LOLB")</f>
        <v>LOLB</v>
      </c>
      <c r="G73">
        <f>IFERROR(__xludf.DUMMYFUNCTION("""COMPUTED_VALUE"""),11.1)</f>
        <v>11.1</v>
      </c>
    </row>
    <row r="74">
      <c r="D74" t="str">
        <f>IFERROR(__xludf.DUMMYFUNCTION("""COMPUTED_VALUE"""),"Anthrop")</f>
        <v>Anthrop</v>
      </c>
      <c r="E74" t="str">
        <f>IFERROR(__xludf.DUMMYFUNCTION("""COMPUTED_VALUE"""),"Daniel")</f>
        <v>Daniel</v>
      </c>
      <c r="F74" t="str">
        <f>IFERROR(__xludf.DUMMYFUNCTION("""COMPUTED_VALUE"""),"WR")</f>
        <v>WR</v>
      </c>
      <c r="G74">
        <f>IFERROR(__xludf.DUMMYFUNCTION("""COMPUTED_VALUE"""),9.0)</f>
        <v>9</v>
      </c>
    </row>
    <row r="75">
      <c r="D75" t="str">
        <f>IFERROR(__xludf.DUMMYFUNCTION("""COMPUTED_VALUE"""),"Anunike")</f>
        <v>Anunike</v>
      </c>
      <c r="E75" t="str">
        <f>IFERROR(__xludf.DUMMYFUNCTION("""COMPUTED_VALUE"""),"Kenny")</f>
        <v>Kenny</v>
      </c>
      <c r="F75" t="str">
        <f>IFERROR(__xludf.DUMMYFUNCTION("""COMPUTED_VALUE"""),"ROLB")</f>
        <v>ROLB</v>
      </c>
      <c r="G75">
        <f>IFERROR(__xludf.DUMMYFUNCTION("""COMPUTED_VALUE"""),8.549999999999999)</f>
        <v>8.55</v>
      </c>
    </row>
    <row r="76">
      <c r="D76" t="str">
        <f>IFERROR(__xludf.DUMMYFUNCTION("""COMPUTED_VALUE"""),"Apple")</f>
        <v>Apple</v>
      </c>
      <c r="E76" t="str">
        <f>IFERROR(__xludf.DUMMYFUNCTION("""COMPUTED_VALUE"""),"Eli")</f>
        <v>Eli</v>
      </c>
      <c r="F76" t="str">
        <f>IFERROR(__xludf.DUMMYFUNCTION("""COMPUTED_VALUE"""),"CB")</f>
        <v>CB</v>
      </c>
      <c r="G76">
        <f>IFERROR(__xludf.DUMMYFUNCTION("""COMPUTED_VALUE"""),11.4)</f>
        <v>11.4</v>
      </c>
    </row>
    <row r="77">
      <c r="D77" t="str">
        <f>IFERROR(__xludf.DUMMYFUNCTION("""COMPUTED_VALUE"""),"Arenas")</f>
        <v>Arenas</v>
      </c>
      <c r="E77" t="str">
        <f>IFERROR(__xludf.DUMMYFUNCTION("""COMPUTED_VALUE"""),"Javier")</f>
        <v>Javier</v>
      </c>
      <c r="F77" t="str">
        <f>IFERROR(__xludf.DUMMYFUNCTION("""COMPUTED_VALUE"""),"CB")</f>
        <v>CB</v>
      </c>
      <c r="G77">
        <f>IFERROR(__xludf.DUMMYFUNCTION("""COMPUTED_VALUE"""),10.95)</f>
        <v>10.95</v>
      </c>
    </row>
    <row r="78">
      <c r="D78" t="str">
        <f>IFERROR(__xludf.DUMMYFUNCTION("""COMPUTED_VALUE"""),"Arkin")</f>
        <v>Arkin</v>
      </c>
      <c r="E78" t="str">
        <f>IFERROR(__xludf.DUMMYFUNCTION("""COMPUTED_VALUE"""),"David")</f>
        <v>David</v>
      </c>
      <c r="F78" t="str">
        <f>IFERROR(__xludf.DUMMYFUNCTION("""COMPUTED_VALUE"""),"LG")</f>
        <v>LG</v>
      </c>
      <c r="G78">
        <f>IFERROR(__xludf.DUMMYFUNCTION("""COMPUTED_VALUE"""),9.45)</f>
        <v>9.45</v>
      </c>
    </row>
    <row r="79">
      <c r="D79" t="str">
        <f>IFERROR(__xludf.DUMMYFUNCTION("""COMPUTED_VALUE"""),"Armbrister")</f>
        <v>Armbrister</v>
      </c>
      <c r="E79" t="str">
        <f>IFERROR(__xludf.DUMMYFUNCTION("""COMPUTED_VALUE"""),"Thurston")</f>
        <v>Thurston</v>
      </c>
      <c r="F79" t="str">
        <f>IFERROR(__xludf.DUMMYFUNCTION("""COMPUTED_VALUE"""),"MLB")</f>
        <v>MLB</v>
      </c>
      <c r="G79">
        <f>IFERROR(__xludf.DUMMYFUNCTION("""COMPUTED_VALUE"""),8.549999999999999)</f>
        <v>8.55</v>
      </c>
    </row>
    <row r="80">
      <c r="D80" t="str">
        <f>IFERROR(__xludf.DUMMYFUNCTION("""COMPUTED_VALUE"""),"Armstead")</f>
        <v>Armstead</v>
      </c>
      <c r="E80" t="str">
        <f>IFERROR(__xludf.DUMMYFUNCTION("""COMPUTED_VALUE"""),"Arik")</f>
        <v>Arik</v>
      </c>
      <c r="F80" t="str">
        <f>IFERROR(__xludf.DUMMYFUNCTION("""COMPUTED_VALUE"""),"LE")</f>
        <v>LE</v>
      </c>
      <c r="G80">
        <f>IFERROR(__xludf.DUMMYFUNCTION("""COMPUTED_VALUE"""),11.549999999999999)</f>
        <v>11.55</v>
      </c>
    </row>
    <row r="81">
      <c r="D81" t="str">
        <f>IFERROR(__xludf.DUMMYFUNCTION("""COMPUTED_VALUE"""),"Armstead")</f>
        <v>Armstead</v>
      </c>
      <c r="E81" t="str">
        <f>IFERROR(__xludf.DUMMYFUNCTION("""COMPUTED_VALUE"""),"Terron")</f>
        <v>Terron</v>
      </c>
      <c r="F81" t="str">
        <f>IFERROR(__xludf.DUMMYFUNCTION("""COMPUTED_VALUE"""),"LT")</f>
        <v>LT</v>
      </c>
      <c r="G81">
        <f>IFERROR(__xludf.DUMMYFUNCTION("""COMPUTED_VALUE"""),13.799999999999999)</f>
        <v>13.8</v>
      </c>
    </row>
    <row r="82">
      <c r="D82" t="str">
        <f>IFERROR(__xludf.DUMMYFUNCTION("""COMPUTED_VALUE"""),"Armstrong")</f>
        <v>Armstrong</v>
      </c>
      <c r="E82" t="str">
        <f>IFERROR(__xludf.DUMMYFUNCTION("""COMPUTED_VALUE"""),"Ray-Ray")</f>
        <v>Ray-Ray</v>
      </c>
      <c r="F82" t="str">
        <f>IFERROR(__xludf.DUMMYFUNCTION("""COMPUTED_VALUE"""),"ROLB")</f>
        <v>ROLB</v>
      </c>
      <c r="G82">
        <f>IFERROR(__xludf.DUMMYFUNCTION("""COMPUTED_VALUE"""),10.65)</f>
        <v>10.65</v>
      </c>
    </row>
    <row r="83">
      <c r="D83" t="str">
        <f>IFERROR(__xludf.DUMMYFUNCTION("""COMPUTED_VALUE"""),"Arrington")</f>
        <v>Arrington</v>
      </c>
      <c r="E83" t="str">
        <f>IFERROR(__xludf.DUMMYFUNCTION("""COMPUTED_VALUE"""),"Kyle")</f>
        <v>Kyle</v>
      </c>
      <c r="F83" t="str">
        <f>IFERROR(__xludf.DUMMYFUNCTION("""COMPUTED_VALUE"""),"CB")</f>
        <v>CB</v>
      </c>
      <c r="G83">
        <f>IFERROR(__xludf.DUMMYFUNCTION("""COMPUTED_VALUE"""),11.1)</f>
        <v>11.1</v>
      </c>
    </row>
    <row r="84">
      <c r="D84" t="str">
        <f>IFERROR(__xludf.DUMMYFUNCTION("""COMPUTED_VALUE"""),"Artis-Payne")</f>
        <v>Artis-Payne</v>
      </c>
      <c r="E84" t="str">
        <f>IFERROR(__xludf.DUMMYFUNCTION("""COMPUTED_VALUE"""),"Cameron")</f>
        <v>Cameron</v>
      </c>
      <c r="F84" t="str">
        <f>IFERROR(__xludf.DUMMYFUNCTION("""COMPUTED_VALUE"""),"HB")</f>
        <v>HB</v>
      </c>
      <c r="G84">
        <f>IFERROR(__xludf.DUMMYFUNCTION("""COMPUTED_VALUE"""),10.5)</f>
        <v>10.5</v>
      </c>
    </row>
    <row r="85">
      <c r="D85" t="str">
        <f>IFERROR(__xludf.DUMMYFUNCTION("""COMPUTED_VALUE"""),"Asiata")</f>
        <v>Asiata</v>
      </c>
      <c r="E85" t="str">
        <f>IFERROR(__xludf.DUMMYFUNCTION("""COMPUTED_VALUE"""),"Matt")</f>
        <v>Matt</v>
      </c>
      <c r="F85" t="str">
        <f>IFERROR(__xludf.DUMMYFUNCTION("""COMPUTED_VALUE"""),"HB")</f>
        <v>HB</v>
      </c>
      <c r="G85">
        <f>IFERROR(__xludf.DUMMYFUNCTION("""COMPUTED_VALUE"""),10.95)</f>
        <v>10.95</v>
      </c>
    </row>
    <row r="86">
      <c r="D86" t="str">
        <f>IFERROR(__xludf.DUMMYFUNCTION("""COMPUTED_VALUE"""),"Atkins")</f>
        <v>Atkins</v>
      </c>
      <c r="E86" t="str">
        <f>IFERROR(__xludf.DUMMYFUNCTION("""COMPUTED_VALUE"""),"Geno")</f>
        <v>Geno</v>
      </c>
      <c r="F86" t="str">
        <f>IFERROR(__xludf.DUMMYFUNCTION("""COMPUTED_VALUE"""),"DT")</f>
        <v>DT</v>
      </c>
      <c r="G86">
        <f>IFERROR(__xludf.DUMMYFUNCTION("""COMPUTED_VALUE"""),14.1)</f>
        <v>14.1</v>
      </c>
    </row>
    <row r="87">
      <c r="D87" t="str">
        <f>IFERROR(__xludf.DUMMYFUNCTION("""COMPUTED_VALUE"""),"Atkinson III")</f>
        <v>Atkinson III</v>
      </c>
      <c r="E87" t="str">
        <f>IFERROR(__xludf.DUMMYFUNCTION("""COMPUTED_VALUE"""),"George")</f>
        <v>George</v>
      </c>
      <c r="F87" t="str">
        <f>IFERROR(__xludf.DUMMYFUNCTION("""COMPUTED_VALUE"""),"HB")</f>
        <v>HB</v>
      </c>
      <c r="G87">
        <f>IFERROR(__xludf.DUMMYFUNCTION("""COMPUTED_VALUE"""),9.6)</f>
        <v>9.6</v>
      </c>
    </row>
    <row r="88">
      <c r="D88" t="str">
        <f>IFERROR(__xludf.DUMMYFUNCTION("""COMPUTED_VALUE"""),"Attaochu")</f>
        <v>Attaochu</v>
      </c>
      <c r="E88" t="str">
        <f>IFERROR(__xludf.DUMMYFUNCTION("""COMPUTED_VALUE"""),"Jeremiah")</f>
        <v>Jeremiah</v>
      </c>
      <c r="F88" t="str">
        <f>IFERROR(__xludf.DUMMYFUNCTION("""COMPUTED_VALUE"""),"LOLB")</f>
        <v>LOLB</v>
      </c>
      <c r="G88">
        <f>IFERROR(__xludf.DUMMYFUNCTION("""COMPUTED_VALUE"""),12.15)</f>
        <v>12.15</v>
      </c>
    </row>
    <row r="89">
      <c r="D89" t="str">
        <f>IFERROR(__xludf.DUMMYFUNCTION("""COMPUTED_VALUE"""),"Aubrey")</f>
        <v>Aubrey</v>
      </c>
      <c r="E89" t="str">
        <f>IFERROR(__xludf.DUMMYFUNCTION("""COMPUTED_VALUE"""),"Josh")</f>
        <v>Josh</v>
      </c>
      <c r="F89" t="str">
        <f>IFERROR(__xludf.DUMMYFUNCTION("""COMPUTED_VALUE"""),"SS")</f>
        <v>SS</v>
      </c>
      <c r="G89">
        <f>IFERROR(__xludf.DUMMYFUNCTION("""COMPUTED_VALUE"""),10.049999999999999)</f>
        <v>10.05</v>
      </c>
    </row>
    <row r="90">
      <c r="D90" t="str">
        <f>IFERROR(__xludf.DUMMYFUNCTION("""COMPUTED_VALUE"""),"Austin")</f>
        <v>Austin</v>
      </c>
      <c r="E90" t="str">
        <f>IFERROR(__xludf.DUMMYFUNCTION("""COMPUTED_VALUE"""),"Tavon")</f>
        <v>Tavon</v>
      </c>
      <c r="F90" t="str">
        <f>IFERROR(__xludf.DUMMYFUNCTION("""COMPUTED_VALUE"""),"WR")</f>
        <v>WR</v>
      </c>
      <c r="G90">
        <f>IFERROR(__xludf.DUMMYFUNCTION("""COMPUTED_VALUE"""),12.0)</f>
        <v>12</v>
      </c>
    </row>
    <row r="91">
      <c r="D91" t="str">
        <f>IFERROR(__xludf.DUMMYFUNCTION("""COMPUTED_VALUE"""),"Autry")</f>
        <v>Autry</v>
      </c>
      <c r="E91" t="str">
        <f>IFERROR(__xludf.DUMMYFUNCTION("""COMPUTED_VALUE"""),"Denico")</f>
        <v>Denico</v>
      </c>
      <c r="F91" t="str">
        <f>IFERROR(__xludf.DUMMYFUNCTION("""COMPUTED_VALUE"""),"RE")</f>
        <v>RE</v>
      </c>
      <c r="G91">
        <f>IFERROR(__xludf.DUMMYFUNCTION("""COMPUTED_VALUE"""),9.45)</f>
        <v>9.45</v>
      </c>
    </row>
    <row r="92">
      <c r="D92" t="str">
        <f>IFERROR(__xludf.DUMMYFUNCTION("""COMPUTED_VALUE"""),"Avril")</f>
        <v>Avril</v>
      </c>
      <c r="E92" t="str">
        <f>IFERROR(__xludf.DUMMYFUNCTION("""COMPUTED_VALUE"""),"Cliff")</f>
        <v>Cliff</v>
      </c>
      <c r="F92" t="str">
        <f>IFERROR(__xludf.DUMMYFUNCTION("""COMPUTED_VALUE"""),"RE")</f>
        <v>RE</v>
      </c>
      <c r="G92">
        <f>IFERROR(__xludf.DUMMYFUNCTION("""COMPUTED_VALUE"""),13.5)</f>
        <v>13.5</v>
      </c>
    </row>
    <row r="93">
      <c r="D93" t="str">
        <f>IFERROR(__xludf.DUMMYFUNCTION("""COMPUTED_VALUE"""),"Awe")</f>
        <v>Awe</v>
      </c>
      <c r="E93" t="str">
        <f>IFERROR(__xludf.DUMMYFUNCTION("""COMPUTED_VALUE"""),"Micah")</f>
        <v>Micah</v>
      </c>
      <c r="F93" t="str">
        <f>IFERROR(__xludf.DUMMYFUNCTION("""COMPUTED_VALUE"""),"MLB")</f>
        <v>MLB</v>
      </c>
      <c r="G93">
        <f>IFERROR(__xludf.DUMMYFUNCTION("""COMPUTED_VALUE"""),8.85)</f>
        <v>8.85</v>
      </c>
    </row>
    <row r="94">
      <c r="D94" t="str">
        <f>IFERROR(__xludf.DUMMYFUNCTION("""COMPUTED_VALUE"""),"Ayers")</f>
        <v>Ayers</v>
      </c>
      <c r="E94" t="str">
        <f>IFERROR(__xludf.DUMMYFUNCTION("""COMPUTED_VALUE"""),"Akeem")</f>
        <v>Akeem</v>
      </c>
      <c r="F94" t="str">
        <f>IFERROR(__xludf.DUMMYFUNCTION("""COMPUTED_VALUE"""),"ROLB")</f>
        <v>ROLB</v>
      </c>
      <c r="G94">
        <f>IFERROR(__xludf.DUMMYFUNCTION("""COMPUTED_VALUE"""),11.549999999999999)</f>
        <v>11.55</v>
      </c>
    </row>
    <row r="95">
      <c r="D95" t="str">
        <f>IFERROR(__xludf.DUMMYFUNCTION("""COMPUTED_VALUE"""),"Ayers")</f>
        <v>Ayers</v>
      </c>
      <c r="E95" t="str">
        <f>IFERROR(__xludf.DUMMYFUNCTION("""COMPUTED_VALUE"""),"Demarcus")</f>
        <v>Demarcus</v>
      </c>
      <c r="F95" t="str">
        <f>IFERROR(__xludf.DUMMYFUNCTION("""COMPUTED_VALUE"""),"WR")</f>
        <v>WR</v>
      </c>
      <c r="G95">
        <f>IFERROR(__xludf.DUMMYFUNCTION("""COMPUTED_VALUE"""),9.299999999999999)</f>
        <v>9.3</v>
      </c>
    </row>
    <row r="96">
      <c r="D96" t="str">
        <f>IFERROR(__xludf.DUMMYFUNCTION("""COMPUTED_VALUE"""),"Ayers Jr.")</f>
        <v>Ayers Jr.</v>
      </c>
      <c r="E96" t="str">
        <f>IFERROR(__xludf.DUMMYFUNCTION("""COMPUTED_VALUE"""),"Robert")</f>
        <v>Robert</v>
      </c>
      <c r="F96" t="str">
        <f>IFERROR(__xludf.DUMMYFUNCTION("""COMPUTED_VALUE"""),"LE")</f>
        <v>LE</v>
      </c>
      <c r="G96">
        <f>IFERROR(__xludf.DUMMYFUNCTION("""COMPUTED_VALUE"""),12.6)</f>
        <v>12.6</v>
      </c>
    </row>
    <row r="97">
      <c r="D97" t="str">
        <f>IFERROR(__xludf.DUMMYFUNCTION("""COMPUTED_VALUE"""),"Babineaux")</f>
        <v>Babineaux</v>
      </c>
      <c r="E97" t="str">
        <f>IFERROR(__xludf.DUMMYFUNCTION("""COMPUTED_VALUE"""),"Jonathan")</f>
        <v>Jonathan</v>
      </c>
      <c r="F97" t="str">
        <f>IFERROR(__xludf.DUMMYFUNCTION("""COMPUTED_VALUE"""),"DT")</f>
        <v>DT</v>
      </c>
      <c r="G97">
        <f>IFERROR(__xludf.DUMMYFUNCTION("""COMPUTED_VALUE"""),12.15)</f>
        <v>12.15</v>
      </c>
    </row>
    <row r="98">
      <c r="D98" t="str">
        <f>IFERROR(__xludf.DUMMYFUNCTION("""COMPUTED_VALUE"""),"Backman")</f>
        <v>Backman</v>
      </c>
      <c r="E98" t="str">
        <f>IFERROR(__xludf.DUMMYFUNCTION("""COMPUTED_VALUE"""),"Kennard")</f>
        <v>Kennard</v>
      </c>
      <c r="F98" t="str">
        <f>IFERROR(__xludf.DUMMYFUNCTION("""COMPUTED_VALUE"""),"TE")</f>
        <v>TE</v>
      </c>
      <c r="G98">
        <f>IFERROR(__xludf.DUMMYFUNCTION("""COMPUTED_VALUE"""),9.75)</f>
        <v>9.75</v>
      </c>
    </row>
    <row r="99">
      <c r="D99" t="str">
        <f>IFERROR(__xludf.DUMMYFUNCTION("""COMPUTED_VALUE"""),"Bademosi")</f>
        <v>Bademosi</v>
      </c>
      <c r="E99" t="str">
        <f>IFERROR(__xludf.DUMMYFUNCTION("""COMPUTED_VALUE"""),"Johnson")</f>
        <v>Johnson</v>
      </c>
      <c r="F99" t="str">
        <f>IFERROR(__xludf.DUMMYFUNCTION("""COMPUTED_VALUE"""),"FS")</f>
        <v>FS</v>
      </c>
      <c r="G99">
        <f>IFERROR(__xludf.DUMMYFUNCTION("""COMPUTED_VALUE"""),11.1)</f>
        <v>11.1</v>
      </c>
    </row>
    <row r="100">
      <c r="D100" t="str">
        <f>IFERROR(__xludf.DUMMYFUNCTION("""COMPUTED_VALUE"""),"Bailey")</f>
        <v>Bailey</v>
      </c>
      <c r="E100" t="str">
        <f>IFERROR(__xludf.DUMMYFUNCTION("""COMPUTED_VALUE"""),"Allen")</f>
        <v>Allen</v>
      </c>
      <c r="F100" t="str">
        <f>IFERROR(__xludf.DUMMYFUNCTION("""COMPUTED_VALUE"""),"RE")</f>
        <v>RE</v>
      </c>
      <c r="G100">
        <f>IFERROR(__xludf.DUMMYFUNCTION("""COMPUTED_VALUE"""),11.85)</f>
        <v>11.85</v>
      </c>
    </row>
    <row r="101">
      <c r="D101" t="str">
        <f>IFERROR(__xludf.DUMMYFUNCTION("""COMPUTED_VALUE"""),"Bailey")</f>
        <v>Bailey</v>
      </c>
      <c r="E101" t="str">
        <f>IFERROR(__xludf.DUMMYFUNCTION("""COMPUTED_VALUE"""),"Alvin")</f>
        <v>Alvin</v>
      </c>
      <c r="F101" t="str">
        <f>IFERROR(__xludf.DUMMYFUNCTION("""COMPUTED_VALUE"""),"RG")</f>
        <v>RG</v>
      </c>
      <c r="G101">
        <f>IFERROR(__xludf.DUMMYFUNCTION("""COMPUTED_VALUE"""),10.65)</f>
        <v>10.65</v>
      </c>
    </row>
    <row r="102">
      <c r="D102" t="str">
        <f>IFERROR(__xludf.DUMMYFUNCTION("""COMPUTED_VALUE"""),"Bailey")</f>
        <v>Bailey</v>
      </c>
      <c r="E102" t="str">
        <f>IFERROR(__xludf.DUMMYFUNCTION("""COMPUTED_VALUE"""),"Dan")</f>
        <v>Dan</v>
      </c>
      <c r="F102" t="str">
        <f>IFERROR(__xludf.DUMMYFUNCTION("""COMPUTED_VALUE"""),"K")</f>
        <v>K</v>
      </c>
      <c r="G102">
        <f>IFERROR(__xludf.DUMMYFUNCTION("""COMPUTED_VALUE"""),12.75)</f>
        <v>12.75</v>
      </c>
    </row>
    <row r="103">
      <c r="D103" t="str">
        <f>IFERROR(__xludf.DUMMYFUNCTION("""COMPUTED_VALUE"""),"Bailey")</f>
        <v>Bailey</v>
      </c>
      <c r="E103" t="str">
        <f>IFERROR(__xludf.DUMMYFUNCTION("""COMPUTED_VALUE"""),"Dion")</f>
        <v>Dion</v>
      </c>
      <c r="F103" t="str">
        <f>IFERROR(__xludf.DUMMYFUNCTION("""COMPUTED_VALUE"""),"SS")</f>
        <v>SS</v>
      </c>
      <c r="G103">
        <f>IFERROR(__xludf.DUMMYFUNCTION("""COMPUTED_VALUE"""),10.95)</f>
        <v>10.95</v>
      </c>
    </row>
    <row r="104">
      <c r="D104" t="str">
        <f>IFERROR(__xludf.DUMMYFUNCTION("""COMPUTED_VALUE"""),"Bailey")</f>
        <v>Bailey</v>
      </c>
      <c r="E104" t="str">
        <f>IFERROR(__xludf.DUMMYFUNCTION("""COMPUTED_VALUE"""),"Sterling")</f>
        <v>Sterling</v>
      </c>
      <c r="F104" t="str">
        <f>IFERROR(__xludf.DUMMYFUNCTION("""COMPUTED_VALUE"""),"RE")</f>
        <v>RE</v>
      </c>
      <c r="G104">
        <f>IFERROR(__xludf.DUMMYFUNCTION("""COMPUTED_VALUE"""),8.85)</f>
        <v>8.85</v>
      </c>
    </row>
    <row r="105">
      <c r="D105" t="str">
        <f>IFERROR(__xludf.DUMMYFUNCTION("""COMPUTED_VALUE"""),"Baker")</f>
        <v>Baker</v>
      </c>
      <c r="E105" t="str">
        <f>IFERROR(__xludf.DUMMYFUNCTION("""COMPUTED_VALUE"""),"Chris")</f>
        <v>Chris</v>
      </c>
      <c r="F105" t="str">
        <f>IFERROR(__xludf.DUMMYFUNCTION("""COMPUTED_VALUE"""),"LE")</f>
        <v>LE</v>
      </c>
      <c r="G105">
        <f>IFERROR(__xludf.DUMMYFUNCTION("""COMPUTED_VALUE"""),12.15)</f>
        <v>12.15</v>
      </c>
    </row>
    <row r="106">
      <c r="D106" t="str">
        <f>IFERROR(__xludf.DUMMYFUNCTION("""COMPUTED_VALUE"""),"Baker")</f>
        <v>Baker</v>
      </c>
      <c r="E106" t="str">
        <f>IFERROR(__xludf.DUMMYFUNCTION("""COMPUTED_VALUE"""),"Sean")</f>
        <v>Sean</v>
      </c>
      <c r="F106" t="str">
        <f>IFERROR(__xludf.DUMMYFUNCTION("""COMPUTED_VALUE"""),"FS")</f>
        <v>FS</v>
      </c>
      <c r="G106">
        <f>IFERROR(__xludf.DUMMYFUNCTION("""COMPUTED_VALUE"""),10.049999999999999)</f>
        <v>10.05</v>
      </c>
    </row>
    <row r="107">
      <c r="D107" t="str">
        <f>IFERROR(__xludf.DUMMYFUNCTION("""COMPUTED_VALUE"""),"Bakhtiari")</f>
        <v>Bakhtiari</v>
      </c>
      <c r="E107" t="str">
        <f>IFERROR(__xludf.DUMMYFUNCTION("""COMPUTED_VALUE"""),"David")</f>
        <v>David</v>
      </c>
      <c r="F107" t="str">
        <f>IFERROR(__xludf.DUMMYFUNCTION("""COMPUTED_VALUE"""),"LT")</f>
        <v>LT</v>
      </c>
      <c r="G107">
        <f>IFERROR(__xludf.DUMMYFUNCTION("""COMPUTED_VALUE"""),11.85)</f>
        <v>11.85</v>
      </c>
    </row>
    <row r="108">
      <c r="D108" t="str">
        <f>IFERROR(__xludf.DUMMYFUNCTION("""COMPUTED_VALUE"""),"Baldwin")</f>
        <v>Baldwin</v>
      </c>
      <c r="E108" t="str">
        <f>IFERROR(__xludf.DUMMYFUNCTION("""COMPUTED_VALUE"""),"Doug")</f>
        <v>Doug</v>
      </c>
      <c r="F108" t="str">
        <f>IFERROR(__xludf.DUMMYFUNCTION("""COMPUTED_VALUE"""),"WR")</f>
        <v>WR</v>
      </c>
      <c r="G108">
        <f>IFERROR(__xludf.DUMMYFUNCTION("""COMPUTED_VALUE"""),13.35)</f>
        <v>13.35</v>
      </c>
    </row>
    <row r="109">
      <c r="D109" t="str">
        <f>IFERROR(__xludf.DUMMYFUNCTION("""COMPUTED_VALUE"""),"Ball")</f>
        <v>Ball</v>
      </c>
      <c r="E109" t="str">
        <f>IFERROR(__xludf.DUMMYFUNCTION("""COMPUTED_VALUE"""),"Marcus")</f>
        <v>Marcus</v>
      </c>
      <c r="F109" t="str">
        <f>IFERROR(__xludf.DUMMYFUNCTION("""COMPUTED_VALUE"""),"FS")</f>
        <v>FS</v>
      </c>
      <c r="G109">
        <f>IFERROR(__xludf.DUMMYFUNCTION("""COMPUTED_VALUE"""),9.75)</f>
        <v>9.75</v>
      </c>
    </row>
    <row r="110">
      <c r="D110" t="str">
        <f>IFERROR(__xludf.DUMMYFUNCTION("""COMPUTED_VALUE"""),"Ball")</f>
        <v>Ball</v>
      </c>
      <c r="E110" t="str">
        <f>IFERROR(__xludf.DUMMYFUNCTION("""COMPUTED_VALUE"""),"Neiron")</f>
        <v>Neiron</v>
      </c>
      <c r="F110" t="str">
        <f>IFERROR(__xludf.DUMMYFUNCTION("""COMPUTED_VALUE"""),"LOLB")</f>
        <v>LOLB</v>
      </c>
      <c r="G110">
        <f>IFERROR(__xludf.DUMMYFUNCTION("""COMPUTED_VALUE"""),9.75)</f>
        <v>9.75</v>
      </c>
    </row>
    <row r="111">
      <c r="D111" t="str">
        <f>IFERROR(__xludf.DUMMYFUNCTION("""COMPUTED_VALUE"""),"Ballentine")</f>
        <v>Ballentine</v>
      </c>
      <c r="E111" t="str">
        <f>IFERROR(__xludf.DUMMYFUNCTION("""COMPUTED_VALUE"""),"Lonnie")</f>
        <v>Lonnie</v>
      </c>
      <c r="F111" t="str">
        <f>IFERROR(__xludf.DUMMYFUNCTION("""COMPUTED_VALUE"""),"FS")</f>
        <v>FS</v>
      </c>
      <c r="G111">
        <f>IFERROR(__xludf.DUMMYFUNCTION("""COMPUTED_VALUE"""),10.2)</f>
        <v>10.2</v>
      </c>
    </row>
    <row r="112">
      <c r="D112" t="str">
        <f>IFERROR(__xludf.DUMMYFUNCTION("""COMPUTED_VALUE"""),"Banjo")</f>
        <v>Banjo</v>
      </c>
      <c r="E112" t="str">
        <f>IFERROR(__xludf.DUMMYFUNCTION("""COMPUTED_VALUE"""),"Chris")</f>
        <v>Chris</v>
      </c>
      <c r="F112" t="str">
        <f>IFERROR(__xludf.DUMMYFUNCTION("""COMPUTED_VALUE"""),"SS")</f>
        <v>SS</v>
      </c>
      <c r="G112">
        <f>IFERROR(__xludf.DUMMYFUNCTION("""COMPUTED_VALUE"""),10.799999999999999)</f>
        <v>10.8</v>
      </c>
    </row>
    <row r="113">
      <c r="D113" t="str">
        <f>IFERROR(__xludf.DUMMYFUNCTION("""COMPUTED_VALUE"""),"Banks")</f>
        <v>Banks</v>
      </c>
      <c r="E113" t="str">
        <f>IFERROR(__xludf.DUMMYFUNCTION("""COMPUTED_VALUE"""),"Johnthan")</f>
        <v>Johnthan</v>
      </c>
      <c r="F113" t="str">
        <f>IFERROR(__xludf.DUMMYFUNCTION("""COMPUTED_VALUE"""),"CB")</f>
        <v>CB</v>
      </c>
      <c r="G113">
        <f>IFERROR(__xludf.DUMMYFUNCTION("""COMPUTED_VALUE"""),10.65)</f>
        <v>10.65</v>
      </c>
    </row>
    <row r="114">
      <c r="D114" t="str">
        <f>IFERROR(__xludf.DUMMYFUNCTION("""COMPUTED_VALUE"""),"Barber")</f>
        <v>Barber</v>
      </c>
      <c r="E114" t="str">
        <f>IFERROR(__xludf.DUMMYFUNCTION("""COMPUTED_VALUE"""),"Peyton")</f>
        <v>Peyton</v>
      </c>
      <c r="F114" t="str">
        <f>IFERROR(__xludf.DUMMYFUNCTION("""COMPUTED_VALUE"""),"HB")</f>
        <v>HB</v>
      </c>
      <c r="G114">
        <f>IFERROR(__xludf.DUMMYFUNCTION("""COMPUTED_VALUE"""),9.299999999999999)</f>
        <v>9.3</v>
      </c>
    </row>
    <row r="115">
      <c r="D115" t="str">
        <f>IFERROR(__xludf.DUMMYFUNCTION("""COMPUTED_VALUE"""),"Barbre")</f>
        <v>Barbre</v>
      </c>
      <c r="E115" t="str">
        <f>IFERROR(__xludf.DUMMYFUNCTION("""COMPUTED_VALUE"""),"Allen")</f>
        <v>Allen</v>
      </c>
      <c r="F115" t="str">
        <f>IFERROR(__xludf.DUMMYFUNCTION("""COMPUTED_VALUE"""),"LG")</f>
        <v>LG</v>
      </c>
      <c r="G115">
        <f>IFERROR(__xludf.DUMMYFUNCTION("""COMPUTED_VALUE"""),10.65)</f>
        <v>10.65</v>
      </c>
    </row>
    <row r="116">
      <c r="D116" t="str">
        <f>IFERROR(__xludf.DUMMYFUNCTION("""COMPUTED_VALUE"""),"Barclay")</f>
        <v>Barclay</v>
      </c>
      <c r="E116" t="str">
        <f>IFERROR(__xludf.DUMMYFUNCTION("""COMPUTED_VALUE"""),"Don")</f>
        <v>Don</v>
      </c>
      <c r="F116" t="str">
        <f>IFERROR(__xludf.DUMMYFUNCTION("""COMPUTED_VALUE"""),"LT")</f>
        <v>LT</v>
      </c>
      <c r="G116">
        <f>IFERROR(__xludf.DUMMYFUNCTION("""COMPUTED_VALUE"""),9.75)</f>
        <v>9.75</v>
      </c>
    </row>
    <row r="117">
      <c r="D117" t="str">
        <f>IFERROR(__xludf.DUMMYFUNCTION("""COMPUTED_VALUE"""),"Barker")</f>
        <v>Barker</v>
      </c>
      <c r="E117" t="str">
        <f>IFERROR(__xludf.DUMMYFUNCTION("""COMPUTED_VALUE"""),"Chris")</f>
        <v>Chris</v>
      </c>
      <c r="F117" t="str">
        <f>IFERROR(__xludf.DUMMYFUNCTION("""COMPUTED_VALUE"""),"LG")</f>
        <v>LG</v>
      </c>
      <c r="G117">
        <f>IFERROR(__xludf.DUMMYFUNCTION("""COMPUTED_VALUE"""),9.75)</f>
        <v>9.75</v>
      </c>
    </row>
    <row r="118">
      <c r="D118" t="str">
        <f>IFERROR(__xludf.DUMMYFUNCTION("""COMPUTED_VALUE"""),"Barkley")</f>
        <v>Barkley</v>
      </c>
      <c r="E118" t="str">
        <f>IFERROR(__xludf.DUMMYFUNCTION("""COMPUTED_VALUE"""),"Matt")</f>
        <v>Matt</v>
      </c>
      <c r="F118" t="str">
        <f>IFERROR(__xludf.DUMMYFUNCTION("""COMPUTED_VALUE"""),"QB")</f>
        <v>QB</v>
      </c>
      <c r="G118">
        <f>IFERROR(__xludf.DUMMYFUNCTION("""COMPUTED_VALUE"""),9.6)</f>
        <v>9.6</v>
      </c>
    </row>
    <row r="119">
      <c r="D119" t="str">
        <f>IFERROR(__xludf.DUMMYFUNCTION("""COMPUTED_VALUE"""),"Barksdale")</f>
        <v>Barksdale</v>
      </c>
      <c r="E119" t="str">
        <f>IFERROR(__xludf.DUMMYFUNCTION("""COMPUTED_VALUE"""),"Joe")</f>
        <v>Joe</v>
      </c>
      <c r="F119" t="str">
        <f>IFERROR(__xludf.DUMMYFUNCTION("""COMPUTED_VALUE"""),"RT")</f>
        <v>RT</v>
      </c>
      <c r="G119">
        <f>IFERROR(__xludf.DUMMYFUNCTION("""COMPUTED_VALUE"""),12.0)</f>
        <v>12</v>
      </c>
    </row>
    <row r="120">
      <c r="D120" t="str">
        <f>IFERROR(__xludf.DUMMYFUNCTION("""COMPUTED_VALUE"""),"Barner")</f>
        <v>Barner</v>
      </c>
      <c r="E120" t="str">
        <f>IFERROR(__xludf.DUMMYFUNCTION("""COMPUTED_VALUE"""),"Kenjon")</f>
        <v>Kenjon</v>
      </c>
      <c r="F120" t="str">
        <f>IFERROR(__xludf.DUMMYFUNCTION("""COMPUTED_VALUE"""),"HB")</f>
        <v>HB</v>
      </c>
      <c r="G120">
        <f>IFERROR(__xludf.DUMMYFUNCTION("""COMPUTED_VALUE"""),10.35)</f>
        <v>10.35</v>
      </c>
    </row>
    <row r="121">
      <c r="D121" t="str">
        <f>IFERROR(__xludf.DUMMYFUNCTION("""COMPUTED_VALUE"""),"Barnes")</f>
        <v>Barnes</v>
      </c>
      <c r="E121" t="str">
        <f>IFERROR(__xludf.DUMMYFUNCTION("""COMPUTED_VALUE"""),"Tavaris")</f>
        <v>Tavaris</v>
      </c>
      <c r="F121" t="str">
        <f>IFERROR(__xludf.DUMMYFUNCTION("""COMPUTED_VALUE"""),"ROLB")</f>
        <v>ROLB</v>
      </c>
      <c r="G121">
        <f>IFERROR(__xludf.DUMMYFUNCTION("""COMPUTED_VALUE"""),9.299999999999999)</f>
        <v>9.3</v>
      </c>
    </row>
    <row r="122">
      <c r="D122" t="str">
        <f>IFERROR(__xludf.DUMMYFUNCTION("""COMPUTED_VALUE"""),"Barnes")</f>
        <v>Barnes</v>
      </c>
      <c r="E122" t="str">
        <f>IFERROR(__xludf.DUMMYFUNCTION("""COMPUTED_VALUE"""),"Tim")</f>
        <v>Tim</v>
      </c>
      <c r="F122" t="str">
        <f>IFERROR(__xludf.DUMMYFUNCTION("""COMPUTED_VALUE"""),"C")</f>
        <v>C</v>
      </c>
      <c r="G122">
        <f>IFERROR(__xludf.DUMMYFUNCTION("""COMPUTED_VALUE"""),10.35)</f>
        <v>10.35</v>
      </c>
    </row>
    <row r="123">
      <c r="D123" t="str">
        <f>IFERROR(__xludf.DUMMYFUNCTION("""COMPUTED_VALUE"""),"Barnes")</f>
        <v>Barnes</v>
      </c>
      <c r="E123" t="str">
        <f>IFERROR(__xludf.DUMMYFUNCTION("""COMPUTED_VALUE"""),"TJ")</f>
        <v>TJ</v>
      </c>
      <c r="F123" t="str">
        <f>IFERROR(__xludf.DUMMYFUNCTION("""COMPUTED_VALUE"""),"DT")</f>
        <v>DT</v>
      </c>
      <c r="G123">
        <f>IFERROR(__xludf.DUMMYFUNCTION("""COMPUTED_VALUE"""),10.049999999999999)</f>
        <v>10.05</v>
      </c>
    </row>
    <row r="124">
      <c r="D124" t="str">
        <f>IFERROR(__xludf.DUMMYFUNCTION("""COMPUTED_VALUE"""),"Barney")</f>
        <v>Barney</v>
      </c>
      <c r="E124" t="str">
        <f>IFERROR(__xludf.DUMMYFUNCTION("""COMPUTED_VALUE"""),"Tarow")</f>
        <v>Tarow</v>
      </c>
      <c r="F124" t="str">
        <f>IFERROR(__xludf.DUMMYFUNCTION("""COMPUTED_VALUE"""),"DT")</f>
        <v>DT</v>
      </c>
      <c r="G124">
        <f>IFERROR(__xludf.DUMMYFUNCTION("""COMPUTED_VALUE"""),9.299999999999999)</f>
        <v>9.3</v>
      </c>
    </row>
    <row r="125">
      <c r="D125" t="str">
        <f>IFERROR(__xludf.DUMMYFUNCTION("""COMPUTED_VALUE"""),"Barnidge")</f>
        <v>Barnidge</v>
      </c>
      <c r="E125" t="str">
        <f>IFERROR(__xludf.DUMMYFUNCTION("""COMPUTED_VALUE"""),"Gary")</f>
        <v>Gary</v>
      </c>
      <c r="F125" t="str">
        <f>IFERROR(__xludf.DUMMYFUNCTION("""COMPUTED_VALUE"""),"TE")</f>
        <v>TE</v>
      </c>
      <c r="G125">
        <f>IFERROR(__xludf.DUMMYFUNCTION("""COMPUTED_VALUE"""),12.6)</f>
        <v>12.6</v>
      </c>
    </row>
    <row r="126">
      <c r="D126" t="str">
        <f>IFERROR(__xludf.DUMMYFUNCTION("""COMPUTED_VALUE"""),"Barr")</f>
        <v>Barr</v>
      </c>
      <c r="E126" t="str">
        <f>IFERROR(__xludf.DUMMYFUNCTION("""COMPUTED_VALUE"""),"Anthony")</f>
        <v>Anthony</v>
      </c>
      <c r="F126" t="str">
        <f>IFERROR(__xludf.DUMMYFUNCTION("""COMPUTED_VALUE"""),"LOLB")</f>
        <v>LOLB</v>
      </c>
      <c r="G126">
        <f>IFERROR(__xludf.DUMMYFUNCTION("""COMPUTED_VALUE"""),13.2)</f>
        <v>13.2</v>
      </c>
    </row>
    <row r="127">
      <c r="D127" t="str">
        <f>IFERROR(__xludf.DUMMYFUNCTION("""COMPUTED_VALUE"""),"Barrett")</f>
        <v>Barrett</v>
      </c>
      <c r="E127" t="str">
        <f>IFERROR(__xludf.DUMMYFUNCTION("""COMPUTED_VALUE"""),"Shaquil")</f>
        <v>Shaquil</v>
      </c>
      <c r="F127" t="str">
        <f>IFERROR(__xludf.DUMMYFUNCTION("""COMPUTED_VALUE"""),"LOLB")</f>
        <v>LOLB</v>
      </c>
      <c r="G127">
        <f>IFERROR(__xludf.DUMMYFUNCTION("""COMPUTED_VALUE"""),12.0)</f>
        <v>12</v>
      </c>
    </row>
    <row r="128">
      <c r="D128" t="str">
        <f>IFERROR(__xludf.DUMMYFUNCTION("""COMPUTED_VALUE"""),"Barrington")</f>
        <v>Barrington</v>
      </c>
      <c r="E128" t="str">
        <f>IFERROR(__xludf.DUMMYFUNCTION("""COMPUTED_VALUE"""),"Sam")</f>
        <v>Sam</v>
      </c>
      <c r="F128" t="str">
        <f>IFERROR(__xludf.DUMMYFUNCTION("""COMPUTED_VALUE"""),"MLB")</f>
        <v>MLB</v>
      </c>
      <c r="G128">
        <f>IFERROR(__xludf.DUMMYFUNCTION("""COMPUTED_VALUE"""),10.95)</f>
        <v>10.95</v>
      </c>
    </row>
    <row r="129">
      <c r="D129" t="str">
        <f>IFERROR(__xludf.DUMMYFUNCTION("""COMPUTED_VALUE"""),"Barron")</f>
        <v>Barron</v>
      </c>
      <c r="E129" t="str">
        <f>IFERROR(__xludf.DUMMYFUNCTION("""COMPUTED_VALUE"""),"Mark")</f>
        <v>Mark</v>
      </c>
      <c r="F129" t="str">
        <f>IFERROR(__xludf.DUMMYFUNCTION("""COMPUTED_VALUE"""),"LOLB")</f>
        <v>LOLB</v>
      </c>
      <c r="G129">
        <f>IFERROR(__xludf.DUMMYFUNCTION("""COMPUTED_VALUE"""),11.25)</f>
        <v>11.25</v>
      </c>
    </row>
    <row r="130">
      <c r="D130" t="str">
        <f>IFERROR(__xludf.DUMMYFUNCTION("""COMPUTED_VALUE"""),"Barrow")</f>
        <v>Barrow</v>
      </c>
      <c r="E130" t="str">
        <f>IFERROR(__xludf.DUMMYFUNCTION("""COMPUTED_VALUE"""),"Lamin")</f>
        <v>Lamin</v>
      </c>
      <c r="F130" t="str">
        <f>IFERROR(__xludf.DUMMYFUNCTION("""COMPUTED_VALUE"""),"MLB")</f>
        <v>MLB</v>
      </c>
      <c r="G130">
        <f>IFERROR(__xludf.DUMMYFUNCTION("""COMPUTED_VALUE"""),9.6)</f>
        <v>9.6</v>
      </c>
    </row>
    <row r="131">
      <c r="D131" t="str">
        <f>IFERROR(__xludf.DUMMYFUNCTION("""COMPUTED_VALUE"""),"Barth")</f>
        <v>Barth</v>
      </c>
      <c r="E131" t="str">
        <f>IFERROR(__xludf.DUMMYFUNCTION("""COMPUTED_VALUE"""),"Connor")</f>
        <v>Connor</v>
      </c>
      <c r="F131" t="str">
        <f>IFERROR(__xludf.DUMMYFUNCTION("""COMPUTED_VALUE"""),"K")</f>
        <v>K</v>
      </c>
      <c r="G131">
        <f>IFERROR(__xludf.DUMMYFUNCTION("""COMPUTED_VALUE"""),11.85)</f>
        <v>11.85</v>
      </c>
    </row>
    <row r="132">
      <c r="D132" t="str">
        <f>IFERROR(__xludf.DUMMYFUNCTION("""COMPUTED_VALUE"""),"Barton")</f>
        <v>Barton</v>
      </c>
      <c r="E132" t="str">
        <f>IFERROR(__xludf.DUMMYFUNCTION("""COMPUTED_VALUE"""),"Karim")</f>
        <v>Karim</v>
      </c>
      <c r="F132" t="str">
        <f>IFERROR(__xludf.DUMMYFUNCTION("""COMPUTED_VALUE"""),"RG")</f>
        <v>RG</v>
      </c>
      <c r="G132">
        <f>IFERROR(__xludf.DUMMYFUNCTION("""COMPUTED_VALUE"""),9.0)</f>
        <v>9</v>
      </c>
    </row>
    <row r="133">
      <c r="D133" t="str">
        <f>IFERROR(__xludf.DUMMYFUNCTION("""COMPUTED_VALUE"""),"Bartu")</f>
        <v>Bartu</v>
      </c>
      <c r="E133" t="str">
        <f>IFERROR(__xludf.DUMMYFUNCTION("""COMPUTED_VALUE"""),"Joplo")</f>
        <v>Joplo</v>
      </c>
      <c r="F133" t="str">
        <f>IFERROR(__xludf.DUMMYFUNCTION("""COMPUTED_VALUE"""),"MLB")</f>
        <v>MLB</v>
      </c>
      <c r="G133">
        <f>IFERROR(__xludf.DUMMYFUNCTION("""COMPUTED_VALUE"""),10.95)</f>
        <v>10.95</v>
      </c>
    </row>
    <row r="134">
      <c r="D134" t="str">
        <f>IFERROR(__xludf.DUMMYFUNCTION("""COMPUTED_VALUE"""),"Barwin")</f>
        <v>Barwin</v>
      </c>
      <c r="E134" t="str">
        <f>IFERROR(__xludf.DUMMYFUNCTION("""COMPUTED_VALUE"""),"Connor")</f>
        <v>Connor</v>
      </c>
      <c r="F134" t="str">
        <f>IFERROR(__xludf.DUMMYFUNCTION("""COMPUTED_VALUE"""),"LE")</f>
        <v>LE</v>
      </c>
      <c r="G134">
        <f>IFERROR(__xludf.DUMMYFUNCTION("""COMPUTED_VALUE"""),12.6)</f>
        <v>12.6</v>
      </c>
    </row>
    <row r="135">
      <c r="D135" t="str">
        <f>IFERROR(__xludf.DUMMYFUNCTION("""COMPUTED_VALUE"""),"Bass")</f>
        <v>Bass</v>
      </c>
      <c r="E135" t="str">
        <f>IFERROR(__xludf.DUMMYFUNCTION("""COMPUTED_VALUE"""),"David")</f>
        <v>David</v>
      </c>
      <c r="F135" t="str">
        <f>IFERROR(__xludf.DUMMYFUNCTION("""COMPUTED_VALUE"""),"ROLB")</f>
        <v>ROLB</v>
      </c>
      <c r="G135">
        <f>IFERROR(__xludf.DUMMYFUNCTION("""COMPUTED_VALUE"""),9.9)</f>
        <v>9.9</v>
      </c>
    </row>
    <row r="136">
      <c r="D136" t="str">
        <f>IFERROR(__xludf.DUMMYFUNCTION("""COMPUTED_VALUE"""),"Bates")</f>
        <v>Bates</v>
      </c>
      <c r="E136" t="str">
        <f>IFERROR(__xludf.DUMMYFUNCTION("""COMPUTED_VALUE"""),"Daren")</f>
        <v>Daren</v>
      </c>
      <c r="F136" t="str">
        <f>IFERROR(__xludf.DUMMYFUNCTION("""COMPUTED_VALUE"""),"MLB")</f>
        <v>MLB</v>
      </c>
      <c r="G136">
        <f>IFERROR(__xludf.DUMMYFUNCTION("""COMPUTED_VALUE"""),9.15)</f>
        <v>9.15</v>
      </c>
    </row>
    <row r="137">
      <c r="D137" t="str">
        <f>IFERROR(__xludf.DUMMYFUNCTION("""COMPUTED_VALUE"""),"Bates")</f>
        <v>Bates</v>
      </c>
      <c r="E137" t="str">
        <f>IFERROR(__xludf.DUMMYFUNCTION("""COMPUTED_VALUE"""),"Houston")</f>
        <v>Houston</v>
      </c>
      <c r="F137" t="str">
        <f>IFERROR(__xludf.DUMMYFUNCTION("""COMPUTED_VALUE"""),"ROLB")</f>
        <v>ROLB</v>
      </c>
      <c r="G137">
        <f>IFERROR(__xludf.DUMMYFUNCTION("""COMPUTED_VALUE"""),9.0)</f>
        <v>9</v>
      </c>
    </row>
    <row r="138">
      <c r="D138" t="str">
        <f>IFERROR(__xludf.DUMMYFUNCTION("""COMPUTED_VALUE"""),"Bates")</f>
        <v>Bates</v>
      </c>
      <c r="E138" t="str">
        <f>IFERROR(__xludf.DUMMYFUNCTION("""COMPUTED_VALUE"""),"Trevor")</f>
        <v>Trevor</v>
      </c>
      <c r="F138" t="str">
        <f>IFERROR(__xludf.DUMMYFUNCTION("""COMPUTED_VALUE"""),"LOLB")</f>
        <v>LOLB</v>
      </c>
      <c r="G138">
        <f>IFERROR(__xludf.DUMMYFUNCTION("""COMPUTED_VALUE"""),9.15)</f>
        <v>9.15</v>
      </c>
    </row>
    <row r="139">
      <c r="D139" t="str">
        <f>IFERROR(__xludf.DUMMYFUNCTION("""COMPUTED_VALUE"""),"Battle")</f>
        <v>Battle</v>
      </c>
      <c r="E139" t="str">
        <f>IFERROR(__xludf.DUMMYFUNCTION("""COMPUTED_VALUE"""),"Isaiah")</f>
        <v>Isaiah</v>
      </c>
      <c r="F139" t="str">
        <f>IFERROR(__xludf.DUMMYFUNCTION("""COMPUTED_VALUE"""),"RT")</f>
        <v>RT</v>
      </c>
      <c r="G139">
        <f>IFERROR(__xludf.DUMMYFUNCTION("""COMPUTED_VALUE"""),10.2)</f>
        <v>10.2</v>
      </c>
    </row>
    <row r="140">
      <c r="D140" t="str">
        <f>IFERROR(__xludf.DUMMYFUNCTION("""COMPUTED_VALUE"""),"Beachum")</f>
        <v>Beachum</v>
      </c>
      <c r="E140" t="str">
        <f>IFERROR(__xludf.DUMMYFUNCTION("""COMPUTED_VALUE"""),"Kelvin")</f>
        <v>Kelvin</v>
      </c>
      <c r="F140" t="str">
        <f>IFERROR(__xludf.DUMMYFUNCTION("""COMPUTED_VALUE"""),"LT")</f>
        <v>LT</v>
      </c>
      <c r="G140">
        <f>IFERROR(__xludf.DUMMYFUNCTION("""COMPUTED_VALUE"""),12.299999999999999)</f>
        <v>12.3</v>
      </c>
    </row>
    <row r="141">
      <c r="D141" t="str">
        <f>IFERROR(__xludf.DUMMYFUNCTION("""COMPUTED_VALUE"""),"Beadles")</f>
        <v>Beadles</v>
      </c>
      <c r="E141" t="str">
        <f>IFERROR(__xludf.DUMMYFUNCTION("""COMPUTED_VALUE"""),"Zane")</f>
        <v>Zane</v>
      </c>
      <c r="F141" t="str">
        <f>IFERROR(__xludf.DUMMYFUNCTION("""COMPUTED_VALUE"""),"LG")</f>
        <v>LG</v>
      </c>
      <c r="G141">
        <f>IFERROR(__xludf.DUMMYFUNCTION("""COMPUTED_VALUE"""),10.95)</f>
        <v>10.95</v>
      </c>
    </row>
    <row r="142">
      <c r="D142" t="str">
        <f>IFERROR(__xludf.DUMMYFUNCTION("""COMPUTED_VALUE"""),"Beasley")</f>
        <v>Beasley</v>
      </c>
      <c r="E142" t="str">
        <f>IFERROR(__xludf.DUMMYFUNCTION("""COMPUTED_VALUE"""),"Cole")</f>
        <v>Cole</v>
      </c>
      <c r="F142" t="str">
        <f>IFERROR(__xludf.DUMMYFUNCTION("""COMPUTED_VALUE"""),"WR")</f>
        <v>WR</v>
      </c>
      <c r="G142">
        <f>IFERROR(__xludf.DUMMYFUNCTION("""COMPUTED_VALUE"""),11.549999999999999)</f>
        <v>11.55</v>
      </c>
    </row>
    <row r="143">
      <c r="D143" t="str">
        <f>IFERROR(__xludf.DUMMYFUNCTION("""COMPUTED_VALUE"""),"Beasley Jr.")</f>
        <v>Beasley Jr.</v>
      </c>
      <c r="E143" t="str">
        <f>IFERROR(__xludf.DUMMYFUNCTION("""COMPUTED_VALUE"""),"Vic")</f>
        <v>Vic</v>
      </c>
      <c r="F143" t="str">
        <f>IFERROR(__xludf.DUMMYFUNCTION("""COMPUTED_VALUE"""),"ROLB")</f>
        <v>ROLB</v>
      </c>
      <c r="G143">
        <f>IFERROR(__xludf.DUMMYFUNCTION("""COMPUTED_VALUE"""),11.85)</f>
        <v>11.85</v>
      </c>
    </row>
    <row r="144">
      <c r="D144" t="str">
        <f>IFERROR(__xludf.DUMMYFUNCTION("""COMPUTED_VALUE"""),"Beavers")</f>
        <v>Beavers</v>
      </c>
      <c r="E144" t="str">
        <f>IFERROR(__xludf.DUMMYFUNCTION("""COMPUTED_VALUE"""),"Willie")</f>
        <v>Willie</v>
      </c>
      <c r="F144" t="str">
        <f>IFERROR(__xludf.DUMMYFUNCTION("""COMPUTED_VALUE"""),"LG")</f>
        <v>LG</v>
      </c>
      <c r="G144">
        <f>IFERROR(__xludf.DUMMYFUNCTION("""COMPUTED_VALUE"""),10.35)</f>
        <v>10.35</v>
      </c>
    </row>
    <row r="145">
      <c r="D145" t="str">
        <f>IFERROR(__xludf.DUMMYFUNCTION("""COMPUTED_VALUE"""),"Beckham Jr.")</f>
        <v>Beckham Jr.</v>
      </c>
      <c r="E145" t="str">
        <f>IFERROR(__xludf.DUMMYFUNCTION("""COMPUTED_VALUE"""),"Odell")</f>
        <v>Odell</v>
      </c>
      <c r="F145" t="str">
        <f>IFERROR(__xludf.DUMMYFUNCTION("""COMPUTED_VALUE"""),"WR")</f>
        <v>WR</v>
      </c>
      <c r="G145">
        <f>IFERROR(__xludf.DUMMYFUNCTION("""COMPUTED_VALUE"""),13.95)</f>
        <v>13.95</v>
      </c>
    </row>
    <row r="146">
      <c r="D146" t="str">
        <f>IFERROR(__xludf.DUMMYFUNCTION("""COMPUTED_VALUE"""),"Becton")</f>
        <v>Becton</v>
      </c>
      <c r="E146" t="str">
        <f>IFERROR(__xludf.DUMMYFUNCTION("""COMPUTED_VALUE"""),"Nick")</f>
        <v>Nick</v>
      </c>
      <c r="F146" t="str">
        <f>IFERROR(__xludf.DUMMYFUNCTION("""COMPUTED_VALUE"""),"RT")</f>
        <v>RT</v>
      </c>
      <c r="G146">
        <f>IFERROR(__xludf.DUMMYFUNCTION("""COMPUTED_VALUE"""),9.75)</f>
        <v>9.75</v>
      </c>
    </row>
    <row r="147">
      <c r="D147" t="str">
        <f>IFERROR(__xludf.DUMMYFUNCTION("""COMPUTED_VALUE"""),"Bell")</f>
        <v>Bell</v>
      </c>
      <c r="E147" t="str">
        <f>IFERROR(__xludf.DUMMYFUNCTION("""COMPUTED_VALUE"""),"Blake")</f>
        <v>Blake</v>
      </c>
      <c r="F147" t="str">
        <f>IFERROR(__xludf.DUMMYFUNCTION("""COMPUTED_VALUE"""),"TE")</f>
        <v>TE</v>
      </c>
      <c r="G147">
        <f>IFERROR(__xludf.DUMMYFUNCTION("""COMPUTED_VALUE"""),9.75)</f>
        <v>9.75</v>
      </c>
    </row>
    <row r="148">
      <c r="D148" t="str">
        <f>IFERROR(__xludf.DUMMYFUNCTION("""COMPUTED_VALUE"""),"Bell")</f>
        <v>Bell</v>
      </c>
      <c r="E148" t="str">
        <f>IFERROR(__xludf.DUMMYFUNCTION("""COMPUTED_VALUE"""),"Byron")</f>
        <v>Byron</v>
      </c>
      <c r="F148" t="str">
        <f>IFERROR(__xludf.DUMMYFUNCTION("""COMPUTED_VALUE"""),"LG")</f>
        <v>LG</v>
      </c>
      <c r="G148">
        <f>IFERROR(__xludf.DUMMYFUNCTION("""COMPUTED_VALUE"""),10.5)</f>
        <v>10.5</v>
      </c>
    </row>
    <row r="149">
      <c r="D149" t="str">
        <f>IFERROR(__xludf.DUMMYFUNCTION("""COMPUTED_VALUE"""),"Bell")</f>
        <v>Bell</v>
      </c>
      <c r="E149" t="str">
        <f>IFERROR(__xludf.DUMMYFUNCTION("""COMPUTED_VALUE"""),"Jered")</f>
        <v>Jered</v>
      </c>
      <c r="F149" t="str">
        <f>IFERROR(__xludf.DUMMYFUNCTION("""COMPUTED_VALUE"""),"SS")</f>
        <v>SS</v>
      </c>
      <c r="G149">
        <f>IFERROR(__xludf.DUMMYFUNCTION("""COMPUTED_VALUE"""),9.0)</f>
        <v>9</v>
      </c>
    </row>
    <row r="150">
      <c r="D150" t="str">
        <f>IFERROR(__xludf.DUMMYFUNCTION("""COMPUTED_VALUE"""),"Bell")</f>
        <v>Bell</v>
      </c>
      <c r="E150" t="str">
        <f>IFERROR(__xludf.DUMMYFUNCTION("""COMPUTED_VALUE"""),"Kenny")</f>
        <v>Kenny</v>
      </c>
      <c r="F150" t="str">
        <f>IFERROR(__xludf.DUMMYFUNCTION("""COMPUTED_VALUE"""),"WR")</f>
        <v>WR</v>
      </c>
      <c r="G150">
        <f>IFERROR(__xludf.DUMMYFUNCTION("""COMPUTED_VALUE"""),9.45)</f>
        <v>9.45</v>
      </c>
    </row>
    <row r="151">
      <c r="D151" t="str">
        <f>IFERROR(__xludf.DUMMYFUNCTION("""COMPUTED_VALUE"""),"Bell")</f>
        <v>Bell</v>
      </c>
      <c r="E151" t="str">
        <f>IFERROR(__xludf.DUMMYFUNCTION("""COMPUTED_VALUE"""),"LeVeon")</f>
        <v>LeVeon</v>
      </c>
      <c r="F151" t="str">
        <f>IFERROR(__xludf.DUMMYFUNCTION("""COMPUTED_VALUE"""),"HB")</f>
        <v>HB</v>
      </c>
      <c r="G151">
        <f>IFERROR(__xludf.DUMMYFUNCTION("""COMPUTED_VALUE"""),14.1)</f>
        <v>14.1</v>
      </c>
    </row>
    <row r="152">
      <c r="D152" t="str">
        <f>IFERROR(__xludf.DUMMYFUNCTION("""COMPUTED_VALUE"""),"Bell")</f>
        <v>Bell</v>
      </c>
      <c r="E152" t="str">
        <f>IFERROR(__xludf.DUMMYFUNCTION("""COMPUTED_VALUE"""),"Vonn")</f>
        <v>Vonn</v>
      </c>
      <c r="F152" t="str">
        <f>IFERROR(__xludf.DUMMYFUNCTION("""COMPUTED_VALUE"""),"FS")</f>
        <v>FS</v>
      </c>
      <c r="G152">
        <f>IFERROR(__xludf.DUMMYFUNCTION("""COMPUTED_VALUE"""),10.65)</f>
        <v>10.65</v>
      </c>
    </row>
    <row r="153">
      <c r="D153" t="str">
        <f>IFERROR(__xludf.DUMMYFUNCTION("""COMPUTED_VALUE"""),"Bellamy")</f>
        <v>Bellamy</v>
      </c>
      <c r="E153" t="str">
        <f>IFERROR(__xludf.DUMMYFUNCTION("""COMPUTED_VALUE"""),"Joshua")</f>
        <v>Joshua</v>
      </c>
      <c r="F153" t="str">
        <f>IFERROR(__xludf.DUMMYFUNCTION("""COMPUTED_VALUE"""),"WR")</f>
        <v>WR</v>
      </c>
      <c r="G153">
        <f>IFERROR(__xludf.DUMMYFUNCTION("""COMPUTED_VALUE"""),10.2)</f>
        <v>10.2</v>
      </c>
    </row>
    <row r="154">
      <c r="D154" t="str">
        <f>IFERROR(__xludf.DUMMYFUNCTION("""COMPUTED_VALUE"""),"Bellore")</f>
        <v>Bellore</v>
      </c>
      <c r="E154" t="str">
        <f>IFERROR(__xludf.DUMMYFUNCTION("""COMPUTED_VALUE"""),"Nick")</f>
        <v>Nick</v>
      </c>
      <c r="F154" t="str">
        <f>IFERROR(__xludf.DUMMYFUNCTION("""COMPUTED_VALUE"""),"MLB")</f>
        <v>MLB</v>
      </c>
      <c r="G154">
        <f>IFERROR(__xludf.DUMMYFUNCTION("""COMPUTED_VALUE"""),9.9)</f>
        <v>9.9</v>
      </c>
    </row>
    <row r="155">
      <c r="D155" t="str">
        <f>IFERROR(__xludf.DUMMYFUNCTION("""COMPUTED_VALUE"""),"Benenoch")</f>
        <v>Benenoch</v>
      </c>
      <c r="E155" t="str">
        <f>IFERROR(__xludf.DUMMYFUNCTION("""COMPUTED_VALUE"""),"Caleb")</f>
        <v>Caleb</v>
      </c>
      <c r="F155" t="str">
        <f>IFERROR(__xludf.DUMMYFUNCTION("""COMPUTED_VALUE"""),"RG")</f>
        <v>RG</v>
      </c>
      <c r="G155">
        <f>IFERROR(__xludf.DUMMYFUNCTION("""COMPUTED_VALUE"""),9.9)</f>
        <v>9.9</v>
      </c>
    </row>
    <row r="156">
      <c r="D156" t="str">
        <f>IFERROR(__xludf.DUMMYFUNCTION("""COMPUTED_VALUE"""),"Benjamin")</f>
        <v>Benjamin</v>
      </c>
      <c r="E156" t="str">
        <f>IFERROR(__xludf.DUMMYFUNCTION("""COMPUTED_VALUE"""),"Kelvin")</f>
        <v>Kelvin</v>
      </c>
      <c r="F156" t="str">
        <f>IFERROR(__xludf.DUMMYFUNCTION("""COMPUTED_VALUE"""),"WR")</f>
        <v>WR</v>
      </c>
      <c r="G156">
        <f>IFERROR(__xludf.DUMMYFUNCTION("""COMPUTED_VALUE"""),12.45)</f>
        <v>12.45</v>
      </c>
    </row>
    <row r="157">
      <c r="D157" t="str">
        <f>IFERROR(__xludf.DUMMYFUNCTION("""COMPUTED_VALUE"""),"Benjamin")</f>
        <v>Benjamin</v>
      </c>
      <c r="E157" t="str">
        <f>IFERROR(__xludf.DUMMYFUNCTION("""COMPUTED_VALUE"""),"Travis")</f>
        <v>Travis</v>
      </c>
      <c r="F157" t="str">
        <f>IFERROR(__xludf.DUMMYFUNCTION("""COMPUTED_VALUE"""),"WR")</f>
        <v>WR</v>
      </c>
      <c r="G157">
        <f>IFERROR(__xludf.DUMMYFUNCTION("""COMPUTED_VALUE"""),11.7)</f>
        <v>11.7</v>
      </c>
    </row>
    <row r="158">
      <c r="D158" t="str">
        <f>IFERROR(__xludf.DUMMYFUNCTION("""COMPUTED_VALUE"""),"Bennett")</f>
        <v>Bennett</v>
      </c>
      <c r="E158" t="str">
        <f>IFERROR(__xludf.DUMMYFUNCTION("""COMPUTED_VALUE"""),"Martellus")</f>
        <v>Martellus</v>
      </c>
      <c r="F158" t="str">
        <f>IFERROR(__xludf.DUMMYFUNCTION("""COMPUTED_VALUE"""),"TE")</f>
        <v>TE</v>
      </c>
      <c r="G158">
        <f>IFERROR(__xludf.DUMMYFUNCTION("""COMPUTED_VALUE"""),12.75)</f>
        <v>12.75</v>
      </c>
    </row>
    <row r="159">
      <c r="D159" t="str">
        <f>IFERROR(__xludf.DUMMYFUNCTION("""COMPUTED_VALUE"""),"Bennett")</f>
        <v>Bennett</v>
      </c>
      <c r="E159" t="str">
        <f>IFERROR(__xludf.DUMMYFUNCTION("""COMPUTED_VALUE"""),"Michael")</f>
        <v>Michael</v>
      </c>
      <c r="F159" t="str">
        <f>IFERROR(__xludf.DUMMYFUNCTION("""COMPUTED_VALUE"""),"LE")</f>
        <v>LE</v>
      </c>
      <c r="G159">
        <f>IFERROR(__xludf.DUMMYFUNCTION("""COMPUTED_VALUE"""),13.65)</f>
        <v>13.65</v>
      </c>
    </row>
    <row r="160">
      <c r="D160" t="str">
        <f>IFERROR(__xludf.DUMMYFUNCTION("""COMPUTED_VALUE"""),"Bennett")</f>
        <v>Bennett</v>
      </c>
      <c r="E160" t="str">
        <f>IFERROR(__xludf.DUMMYFUNCTION("""COMPUTED_VALUE"""),"Michael")</f>
        <v>Michael</v>
      </c>
      <c r="F160" t="str">
        <f>IFERROR(__xludf.DUMMYFUNCTION("""COMPUTED_VALUE"""),"DT")</f>
        <v>DT</v>
      </c>
      <c r="G160">
        <f>IFERROR(__xludf.DUMMYFUNCTION("""COMPUTED_VALUE"""),9.9)</f>
        <v>9.9</v>
      </c>
    </row>
    <row r="161">
      <c r="D161" t="str">
        <f>IFERROR(__xludf.DUMMYFUNCTION("""COMPUTED_VALUE"""),"Benwikere")</f>
        <v>Benwikere</v>
      </c>
      <c r="E161" t="str">
        <f>IFERROR(__xludf.DUMMYFUNCTION("""COMPUTED_VALUE"""),"Bene")</f>
        <v>Bene</v>
      </c>
      <c r="F161" t="str">
        <f>IFERROR(__xludf.DUMMYFUNCTION("""COMPUTED_VALUE"""),"CB")</f>
        <v>CB</v>
      </c>
      <c r="G161">
        <f>IFERROR(__xludf.DUMMYFUNCTION("""COMPUTED_VALUE"""),12.0)</f>
        <v>12</v>
      </c>
    </row>
    <row r="162">
      <c r="D162" t="str">
        <f>IFERROR(__xludf.DUMMYFUNCTION("""COMPUTED_VALUE"""),"Bercovici")</f>
        <v>Bercovici</v>
      </c>
      <c r="E162" t="str">
        <f>IFERROR(__xludf.DUMMYFUNCTION("""COMPUTED_VALUE"""),"Mike")</f>
        <v>Mike</v>
      </c>
      <c r="F162" t="str">
        <f>IFERROR(__xludf.DUMMYFUNCTION("""COMPUTED_VALUE"""),"QB")</f>
        <v>QB</v>
      </c>
      <c r="G162">
        <f>IFERROR(__xludf.DUMMYFUNCTION("""COMPUTED_VALUE"""),9.45)</f>
        <v>9.45</v>
      </c>
    </row>
    <row r="163">
      <c r="D163" t="str">
        <f>IFERROR(__xludf.DUMMYFUNCTION("""COMPUTED_VALUE"""),"Berger")</f>
        <v>Berger</v>
      </c>
      <c r="E163" t="str">
        <f>IFERROR(__xludf.DUMMYFUNCTION("""COMPUTED_VALUE"""),"Joe")</f>
        <v>Joe</v>
      </c>
      <c r="F163" t="str">
        <f>IFERROR(__xludf.DUMMYFUNCTION("""COMPUTED_VALUE"""),"C")</f>
        <v>C</v>
      </c>
      <c r="G163">
        <f>IFERROR(__xludf.DUMMYFUNCTION("""COMPUTED_VALUE"""),12.45)</f>
        <v>12.45</v>
      </c>
    </row>
    <row r="164">
      <c r="D164" t="str">
        <f>IFERROR(__xludf.DUMMYFUNCTION("""COMPUTED_VALUE"""),"Bergstrom")</f>
        <v>Bergstrom</v>
      </c>
      <c r="E164" t="str">
        <f>IFERROR(__xludf.DUMMYFUNCTION("""COMPUTED_VALUE"""),"Tony")</f>
        <v>Tony</v>
      </c>
      <c r="F164" t="str">
        <f>IFERROR(__xludf.DUMMYFUNCTION("""COMPUTED_VALUE"""),"C")</f>
        <v>C</v>
      </c>
      <c r="G164">
        <f>IFERROR(__xludf.DUMMYFUNCTION("""COMPUTED_VALUE"""),10.35)</f>
        <v>10.35</v>
      </c>
    </row>
    <row r="165">
      <c r="D165" t="str">
        <f>IFERROR(__xludf.DUMMYFUNCTION("""COMPUTED_VALUE"""),"Berhe")</f>
        <v>Berhe</v>
      </c>
      <c r="E165" t="str">
        <f>IFERROR(__xludf.DUMMYFUNCTION("""COMPUTED_VALUE"""),"Nat")</f>
        <v>Nat</v>
      </c>
      <c r="F165" t="str">
        <f>IFERROR(__xludf.DUMMYFUNCTION("""COMPUTED_VALUE"""),"SS")</f>
        <v>SS</v>
      </c>
      <c r="G165">
        <f>IFERROR(__xludf.DUMMYFUNCTION("""COMPUTED_VALUE"""),9.9)</f>
        <v>9.9</v>
      </c>
    </row>
    <row r="166">
      <c r="D166" t="str">
        <f>IFERROR(__xludf.DUMMYFUNCTION("""COMPUTED_VALUE"""),"Bernadeau")</f>
        <v>Bernadeau</v>
      </c>
      <c r="E166" t="str">
        <f>IFERROR(__xludf.DUMMYFUNCTION("""COMPUTED_VALUE"""),"Mackenzy")</f>
        <v>Mackenzy</v>
      </c>
      <c r="F166" t="str">
        <f>IFERROR(__xludf.DUMMYFUNCTION("""COMPUTED_VALUE"""),"LG")</f>
        <v>LG</v>
      </c>
      <c r="G166">
        <f>IFERROR(__xludf.DUMMYFUNCTION("""COMPUTED_VALUE"""),11.1)</f>
        <v>11.1</v>
      </c>
    </row>
    <row r="167">
      <c r="D167" t="str">
        <f>IFERROR(__xludf.DUMMYFUNCTION("""COMPUTED_VALUE"""),"Bernard")</f>
        <v>Bernard</v>
      </c>
      <c r="E167" t="str">
        <f>IFERROR(__xludf.DUMMYFUNCTION("""COMPUTED_VALUE"""),"Giovani")</f>
        <v>Giovani</v>
      </c>
      <c r="F167" t="str">
        <f>IFERROR(__xludf.DUMMYFUNCTION("""COMPUTED_VALUE"""),"HB")</f>
        <v>HB</v>
      </c>
      <c r="G167">
        <f>IFERROR(__xludf.DUMMYFUNCTION("""COMPUTED_VALUE"""),12.75)</f>
        <v>12.75</v>
      </c>
    </row>
    <row r="168">
      <c r="D168" t="str">
        <f>IFERROR(__xludf.DUMMYFUNCTION("""COMPUTED_VALUE"""),"Berry")</f>
        <v>Berry</v>
      </c>
      <c r="E168" t="str">
        <f>IFERROR(__xludf.DUMMYFUNCTION("""COMPUTED_VALUE"""),"Eric")</f>
        <v>Eric</v>
      </c>
      <c r="F168" t="str">
        <f>IFERROR(__xludf.DUMMYFUNCTION("""COMPUTED_VALUE"""),"FS")</f>
        <v>FS</v>
      </c>
      <c r="G168">
        <f>IFERROR(__xludf.DUMMYFUNCTION("""COMPUTED_VALUE"""),13.95)</f>
        <v>13.95</v>
      </c>
    </row>
    <row r="169">
      <c r="D169" t="str">
        <f>IFERROR(__xludf.DUMMYFUNCTION("""COMPUTED_VALUE"""),"Berry")</f>
        <v>Berry</v>
      </c>
      <c r="E169" t="str">
        <f>IFERROR(__xludf.DUMMYFUNCTION("""COMPUTED_VALUE"""),"Jordan")</f>
        <v>Jordan</v>
      </c>
      <c r="F169" t="str">
        <f>IFERROR(__xludf.DUMMYFUNCTION("""COMPUTED_VALUE"""),"P")</f>
        <v>P</v>
      </c>
      <c r="G169">
        <f>IFERROR(__xludf.DUMMYFUNCTION("""COMPUTED_VALUE"""),11.85)</f>
        <v>11.85</v>
      </c>
    </row>
    <row r="170">
      <c r="D170" t="str">
        <f>IFERROR(__xludf.DUMMYFUNCTION("""COMPUTED_VALUE"""),"Bersin")</f>
        <v>Bersin</v>
      </c>
      <c r="E170" t="str">
        <f>IFERROR(__xludf.DUMMYFUNCTION("""COMPUTED_VALUE"""),"Brenton")</f>
        <v>Brenton</v>
      </c>
      <c r="F170" t="str">
        <f>IFERROR(__xludf.DUMMYFUNCTION("""COMPUTED_VALUE"""),"WR")</f>
        <v>WR</v>
      </c>
      <c r="G170">
        <f>IFERROR(__xludf.DUMMYFUNCTION("""COMPUTED_VALUE"""),10.35)</f>
        <v>10.35</v>
      </c>
    </row>
    <row r="171">
      <c r="D171" t="str">
        <f>IFERROR(__xludf.DUMMYFUNCTION("""COMPUTED_VALUE"""),"Bertolet")</f>
        <v>Bertolet</v>
      </c>
      <c r="E171" t="str">
        <f>IFERROR(__xludf.DUMMYFUNCTION("""COMPUTED_VALUE"""),"Taylor")</f>
        <v>Taylor</v>
      </c>
      <c r="F171" t="str">
        <f>IFERROR(__xludf.DUMMYFUNCTION("""COMPUTED_VALUE"""),"K")</f>
        <v>K</v>
      </c>
      <c r="G171">
        <f>IFERROR(__xludf.DUMMYFUNCTION("""COMPUTED_VALUE"""),9.75)</f>
        <v>9.75</v>
      </c>
    </row>
    <row r="172">
      <c r="D172" t="str">
        <f>IFERROR(__xludf.DUMMYFUNCTION("""COMPUTED_VALUE"""),"Bethea")</f>
        <v>Bethea</v>
      </c>
      <c r="E172" t="str">
        <f>IFERROR(__xludf.DUMMYFUNCTION("""COMPUTED_VALUE"""),"Antoine")</f>
        <v>Antoine</v>
      </c>
      <c r="F172" t="str">
        <f>IFERROR(__xludf.DUMMYFUNCTION("""COMPUTED_VALUE"""),"SS")</f>
        <v>SS</v>
      </c>
      <c r="G172">
        <f>IFERROR(__xludf.DUMMYFUNCTION("""COMPUTED_VALUE"""),11.549999999999999)</f>
        <v>11.55</v>
      </c>
    </row>
    <row r="173">
      <c r="D173" t="str">
        <f>IFERROR(__xludf.DUMMYFUNCTION("""COMPUTED_VALUE"""),"Bethel")</f>
        <v>Bethel</v>
      </c>
      <c r="E173" t="str">
        <f>IFERROR(__xludf.DUMMYFUNCTION("""COMPUTED_VALUE"""),"Justin")</f>
        <v>Justin</v>
      </c>
      <c r="F173" t="str">
        <f>IFERROR(__xludf.DUMMYFUNCTION("""COMPUTED_VALUE"""),"CB")</f>
        <v>CB</v>
      </c>
      <c r="G173">
        <f>IFERROR(__xludf.DUMMYFUNCTION("""COMPUTED_VALUE"""),11.1)</f>
        <v>11.1</v>
      </c>
    </row>
    <row r="174">
      <c r="D174" t="str">
        <f>IFERROR(__xludf.DUMMYFUNCTION("""COMPUTED_VALUE"""),"Bethel-Thompson")</f>
        <v>Bethel-Thompson</v>
      </c>
      <c r="E174" t="str">
        <f>IFERROR(__xludf.DUMMYFUNCTION("""COMPUTED_VALUE"""),"McLeod")</f>
        <v>McLeod</v>
      </c>
      <c r="F174" t="str">
        <f>IFERROR(__xludf.DUMMYFUNCTION("""COMPUTED_VALUE"""),"QB")</f>
        <v>QB</v>
      </c>
      <c r="G174">
        <f>IFERROR(__xludf.DUMMYFUNCTION("""COMPUTED_VALUE"""),9.45)</f>
        <v>9.45</v>
      </c>
    </row>
    <row r="175">
      <c r="D175" t="str">
        <f>IFERROR(__xludf.DUMMYFUNCTION("""COMPUTED_VALUE"""),"Bibbs")</f>
        <v>Bibbs</v>
      </c>
      <c r="E175" t="str">
        <f>IFERROR(__xludf.DUMMYFUNCTION("""COMPUTED_VALUE"""),"EJ")</f>
        <v>EJ</v>
      </c>
      <c r="F175" t="str">
        <f>IFERROR(__xludf.DUMMYFUNCTION("""COMPUTED_VALUE"""),"TE")</f>
        <v>TE</v>
      </c>
      <c r="G175">
        <f>IFERROR(__xludf.DUMMYFUNCTION("""COMPUTED_VALUE"""),9.75)</f>
        <v>9.75</v>
      </c>
    </row>
    <row r="176">
      <c r="D176" t="str">
        <f>IFERROR(__xludf.DUMMYFUNCTION("""COMPUTED_VALUE"""),"Bibbs")</f>
        <v>Bibbs</v>
      </c>
      <c r="E176" t="str">
        <f>IFERROR(__xludf.DUMMYFUNCTION("""COMPUTED_VALUE"""),"Kapri")</f>
        <v>Kapri</v>
      </c>
      <c r="F176" t="str">
        <f>IFERROR(__xludf.DUMMYFUNCTION("""COMPUTED_VALUE"""),"HB")</f>
        <v>HB</v>
      </c>
      <c r="G176">
        <f>IFERROR(__xludf.DUMMYFUNCTION("""COMPUTED_VALUE"""),9.6)</f>
        <v>9.6</v>
      </c>
    </row>
    <row r="177">
      <c r="D177" t="str">
        <f>IFERROR(__xludf.DUMMYFUNCTION("""COMPUTED_VALUE"""),"Biggers")</f>
        <v>Biggers</v>
      </c>
      <c r="E177" t="str">
        <f>IFERROR(__xludf.DUMMYFUNCTION("""COMPUTED_VALUE"""),"EJ")</f>
        <v>EJ</v>
      </c>
      <c r="F177" t="str">
        <f>IFERROR(__xludf.DUMMYFUNCTION("""COMPUTED_VALUE"""),"CB")</f>
        <v>CB</v>
      </c>
      <c r="G177">
        <f>IFERROR(__xludf.DUMMYFUNCTION("""COMPUTED_VALUE"""),10.5)</f>
        <v>10.5</v>
      </c>
    </row>
    <row r="178">
      <c r="D178" t="str">
        <f>IFERROR(__xludf.DUMMYFUNCTION("""COMPUTED_VALUE"""),"Billings")</f>
        <v>Billings</v>
      </c>
      <c r="E178" t="str">
        <f>IFERROR(__xludf.DUMMYFUNCTION("""COMPUTED_VALUE"""),"Andrew")</f>
        <v>Andrew</v>
      </c>
      <c r="F178" t="str">
        <f>IFERROR(__xludf.DUMMYFUNCTION("""COMPUTED_VALUE"""),"DT")</f>
        <v>DT</v>
      </c>
      <c r="G178">
        <f>IFERROR(__xludf.DUMMYFUNCTION("""COMPUTED_VALUE"""),10.049999999999999)</f>
        <v>10.05</v>
      </c>
    </row>
    <row r="179">
      <c r="D179" t="str">
        <f>IFERROR(__xludf.DUMMYFUNCTION("""COMPUTED_VALUE"""),"Bitonio")</f>
        <v>Bitonio</v>
      </c>
      <c r="E179" t="str">
        <f>IFERROR(__xludf.DUMMYFUNCTION("""COMPUTED_VALUE"""),"Joel")</f>
        <v>Joel</v>
      </c>
      <c r="F179" t="str">
        <f>IFERROR(__xludf.DUMMYFUNCTION("""COMPUTED_VALUE"""),"LG")</f>
        <v>LG</v>
      </c>
      <c r="G179">
        <f>IFERROR(__xludf.DUMMYFUNCTION("""COMPUTED_VALUE"""),12.45)</f>
        <v>12.45</v>
      </c>
    </row>
    <row r="180">
      <c r="D180" t="str">
        <f>IFERROR(__xludf.DUMMYFUNCTION("""COMPUTED_VALUE"""),"Blackmon")</f>
        <v>Blackmon</v>
      </c>
      <c r="E180" t="str">
        <f>IFERROR(__xludf.DUMMYFUNCTION("""COMPUTED_VALUE"""),"Justin")</f>
        <v>Justin</v>
      </c>
      <c r="F180" t="str">
        <f>IFERROR(__xludf.DUMMYFUNCTION("""COMPUTED_VALUE"""),"WR")</f>
        <v>WR</v>
      </c>
      <c r="G180">
        <f>IFERROR(__xludf.DUMMYFUNCTION("""COMPUTED_VALUE"""),10.2)</f>
        <v>10.2</v>
      </c>
    </row>
    <row r="181">
      <c r="D181" t="str">
        <f>IFERROR(__xludf.DUMMYFUNCTION("""COMPUTED_VALUE"""),"Blackmon")</f>
        <v>Blackmon</v>
      </c>
      <c r="E181" t="str">
        <f>IFERROR(__xludf.DUMMYFUNCTION("""COMPUTED_VALUE"""),"Will")</f>
        <v>Will</v>
      </c>
      <c r="F181" t="str">
        <f>IFERROR(__xludf.DUMMYFUNCTION("""COMPUTED_VALUE"""),"CB")</f>
        <v>CB</v>
      </c>
      <c r="G181">
        <f>IFERROR(__xludf.DUMMYFUNCTION("""COMPUTED_VALUE"""),10.799999999999999)</f>
        <v>10.8</v>
      </c>
    </row>
    <row r="182">
      <c r="D182" t="str">
        <f>IFERROR(__xludf.DUMMYFUNCTION("""COMPUTED_VALUE"""),"Blackson")</f>
        <v>Blackson</v>
      </c>
      <c r="E182" t="str">
        <f>IFERROR(__xludf.DUMMYFUNCTION("""COMPUTED_VALUE"""),"Angelo")</f>
        <v>Angelo</v>
      </c>
      <c r="F182" t="str">
        <f>IFERROR(__xludf.DUMMYFUNCTION("""COMPUTED_VALUE"""),"RE")</f>
        <v>RE</v>
      </c>
      <c r="G182">
        <f>IFERROR(__xludf.DUMMYFUNCTION("""COMPUTED_VALUE"""),9.15)</f>
        <v>9.15</v>
      </c>
    </row>
    <row r="183">
      <c r="D183" t="str">
        <f>IFERROR(__xludf.DUMMYFUNCTION("""COMPUTED_VALUE"""),"Blair III")</f>
        <v>Blair III</v>
      </c>
      <c r="E183" t="str">
        <f>IFERROR(__xludf.DUMMYFUNCTION("""COMPUTED_VALUE"""),"Ronald")</f>
        <v>Ronald</v>
      </c>
      <c r="F183" t="str">
        <f>IFERROR(__xludf.DUMMYFUNCTION("""COMPUTED_VALUE"""),"RE")</f>
        <v>RE</v>
      </c>
      <c r="G183">
        <f>IFERROR(__xludf.DUMMYFUNCTION("""COMPUTED_VALUE"""),9.299999999999999)</f>
        <v>9.3</v>
      </c>
    </row>
    <row r="184">
      <c r="D184" t="str">
        <f>IFERROR(__xludf.DUMMYFUNCTION("""COMPUTED_VALUE"""),"Blake")</f>
        <v>Blake</v>
      </c>
      <c r="E184" t="str">
        <f>IFERROR(__xludf.DUMMYFUNCTION("""COMPUTED_VALUE"""),"Antwon")</f>
        <v>Antwon</v>
      </c>
      <c r="F184" t="str">
        <f>IFERROR(__xludf.DUMMYFUNCTION("""COMPUTED_VALUE"""),"FS")</f>
        <v>FS</v>
      </c>
      <c r="G184">
        <f>IFERROR(__xludf.DUMMYFUNCTION("""COMPUTED_VALUE"""),11.25)</f>
        <v>11.25</v>
      </c>
    </row>
    <row r="185">
      <c r="D185" t="str">
        <f>IFERROR(__xludf.DUMMYFUNCTION("""COMPUTED_VALUE"""),"Blanton")</f>
        <v>Blanton</v>
      </c>
      <c r="E185" t="str">
        <f>IFERROR(__xludf.DUMMYFUNCTION("""COMPUTED_VALUE"""),"Robert")</f>
        <v>Robert</v>
      </c>
      <c r="F185" t="str">
        <f>IFERROR(__xludf.DUMMYFUNCTION("""COMPUTED_VALUE"""),"SS")</f>
        <v>SS</v>
      </c>
      <c r="G185">
        <f>IFERROR(__xludf.DUMMYFUNCTION("""COMPUTED_VALUE"""),11.4)</f>
        <v>11.4</v>
      </c>
    </row>
    <row r="186">
      <c r="D186" t="str">
        <f>IFERROR(__xludf.DUMMYFUNCTION("""COMPUTED_VALUE"""),"Blount")</f>
        <v>Blount</v>
      </c>
      <c r="E186" t="str">
        <f>IFERROR(__xludf.DUMMYFUNCTION("""COMPUTED_VALUE"""),"LeGarrette")</f>
        <v>LeGarrette</v>
      </c>
      <c r="F186" t="str">
        <f>IFERROR(__xludf.DUMMYFUNCTION("""COMPUTED_VALUE"""),"HB")</f>
        <v>HB</v>
      </c>
      <c r="G186">
        <f>IFERROR(__xludf.DUMMYFUNCTION("""COMPUTED_VALUE"""),12.15)</f>
        <v>12.15</v>
      </c>
    </row>
    <row r="187">
      <c r="D187" t="str">
        <f>IFERROR(__xludf.DUMMYFUNCTION("""COMPUTED_VALUE"""),"Blue")</f>
        <v>Blue</v>
      </c>
      <c r="E187" t="str">
        <f>IFERROR(__xludf.DUMMYFUNCTION("""COMPUTED_VALUE"""),"Alfred")</f>
        <v>Alfred</v>
      </c>
      <c r="F187" t="str">
        <f>IFERROR(__xludf.DUMMYFUNCTION("""COMPUTED_VALUE"""),"HB")</f>
        <v>HB</v>
      </c>
      <c r="G187">
        <f>IFERROR(__xludf.DUMMYFUNCTION("""COMPUTED_VALUE"""),11.4)</f>
        <v>11.4</v>
      </c>
    </row>
    <row r="188">
      <c r="D188" t="str">
        <f>IFERROR(__xludf.DUMMYFUNCTION("""COMPUTED_VALUE"""),"Blythe")</f>
        <v>Blythe</v>
      </c>
      <c r="E188" t="str">
        <f>IFERROR(__xludf.DUMMYFUNCTION("""COMPUTED_VALUE"""),"Austin")</f>
        <v>Austin</v>
      </c>
      <c r="F188" t="str">
        <f>IFERROR(__xludf.DUMMYFUNCTION("""COMPUTED_VALUE"""),"C")</f>
        <v>C</v>
      </c>
      <c r="G188">
        <f>IFERROR(__xludf.DUMMYFUNCTION("""COMPUTED_VALUE"""),9.45)</f>
        <v>9.45</v>
      </c>
    </row>
    <row r="189">
      <c r="D189" t="str">
        <f>IFERROR(__xludf.DUMMYFUNCTION("""COMPUTED_VALUE"""),"Bodine")</f>
        <v>Bodine</v>
      </c>
      <c r="E189" t="str">
        <f>IFERROR(__xludf.DUMMYFUNCTION("""COMPUTED_VALUE"""),"Russell")</f>
        <v>Russell</v>
      </c>
      <c r="F189" t="str">
        <f>IFERROR(__xludf.DUMMYFUNCTION("""COMPUTED_VALUE"""),"C")</f>
        <v>C</v>
      </c>
      <c r="G189">
        <f>IFERROR(__xludf.DUMMYFUNCTION("""COMPUTED_VALUE"""),10.35)</f>
        <v>10.35</v>
      </c>
    </row>
    <row r="190">
      <c r="D190" t="str">
        <f>IFERROR(__xludf.DUMMYFUNCTION("""COMPUTED_VALUE"""),"Boehm")</f>
        <v>Boehm</v>
      </c>
      <c r="E190" t="str">
        <f>IFERROR(__xludf.DUMMYFUNCTION("""COMPUTED_VALUE"""),"Evan")</f>
        <v>Evan</v>
      </c>
      <c r="F190" t="str">
        <f>IFERROR(__xludf.DUMMYFUNCTION("""COMPUTED_VALUE"""),"C")</f>
        <v>C</v>
      </c>
      <c r="G190">
        <f>IFERROR(__xludf.DUMMYFUNCTION("""COMPUTED_VALUE"""),10.049999999999999)</f>
        <v>10.05</v>
      </c>
    </row>
    <row r="191">
      <c r="D191" t="str">
        <f>IFERROR(__xludf.DUMMYFUNCTION("""COMPUTED_VALUE"""),"Boehringer")</f>
        <v>Boehringer</v>
      </c>
      <c r="E191" t="str">
        <f>IFERROR(__xludf.DUMMYFUNCTION("""COMPUTED_VALUE"""),"Moritz")</f>
        <v>Moritz</v>
      </c>
      <c r="F191" t="str">
        <f>IFERROR(__xludf.DUMMYFUNCTION("""COMPUTED_VALUE"""),"WR")</f>
        <v>WR</v>
      </c>
      <c r="G191">
        <f>IFERROR(__xludf.DUMMYFUNCTION("""COMPUTED_VALUE"""),9.299999999999999)</f>
        <v>9.3</v>
      </c>
    </row>
    <row r="192">
      <c r="D192" t="str">
        <f>IFERROR(__xludf.DUMMYFUNCTION("""COMPUTED_VALUE"""),"Boggs")</f>
        <v>Boggs</v>
      </c>
      <c r="E192" t="str">
        <f>IFERROR(__xludf.DUMMYFUNCTION("""COMPUTED_VALUE"""),"Taylor")</f>
        <v>Taylor</v>
      </c>
      <c r="F192" t="str">
        <f>IFERROR(__xludf.DUMMYFUNCTION("""COMPUTED_VALUE"""),"C")</f>
        <v>C</v>
      </c>
      <c r="G192">
        <f>IFERROR(__xludf.DUMMYFUNCTION("""COMPUTED_VALUE"""),10.049999999999999)</f>
        <v>10.05</v>
      </c>
    </row>
    <row r="193">
      <c r="D193" t="str">
        <f>IFERROR(__xludf.DUMMYFUNCTION("""COMPUTED_VALUE"""),"Bohanon")</f>
        <v>Bohanon</v>
      </c>
      <c r="E193" t="str">
        <f>IFERROR(__xludf.DUMMYFUNCTION("""COMPUTED_VALUE"""),"Tommy")</f>
        <v>Tommy</v>
      </c>
      <c r="F193" t="str">
        <f>IFERROR(__xludf.DUMMYFUNCTION("""COMPUTED_VALUE"""),"FB")</f>
        <v>FB</v>
      </c>
      <c r="G193">
        <f>IFERROR(__xludf.DUMMYFUNCTION("""COMPUTED_VALUE"""),10.2)</f>
        <v>10.2</v>
      </c>
    </row>
    <row r="194">
      <c r="D194" t="str">
        <f>IFERROR(__xludf.DUMMYFUNCTION("""COMPUTED_VALUE"""),"Bolden")</f>
        <v>Bolden</v>
      </c>
      <c r="E194" t="str">
        <f>IFERROR(__xludf.DUMMYFUNCTION("""COMPUTED_VALUE"""),"Brandon")</f>
        <v>Brandon</v>
      </c>
      <c r="F194" t="str">
        <f>IFERROR(__xludf.DUMMYFUNCTION("""COMPUTED_VALUE"""),"HB")</f>
        <v>HB</v>
      </c>
      <c r="G194">
        <f>IFERROR(__xludf.DUMMYFUNCTION("""COMPUTED_VALUE"""),10.799999999999999)</f>
        <v>10.8</v>
      </c>
    </row>
    <row r="195">
      <c r="D195" t="str">
        <f>IFERROR(__xludf.DUMMYFUNCTION("""COMPUTED_VALUE"""),"Boldin")</f>
        <v>Boldin</v>
      </c>
      <c r="E195" t="str">
        <f>IFERROR(__xludf.DUMMYFUNCTION("""COMPUTED_VALUE"""),"Anquan")</f>
        <v>Anquan</v>
      </c>
      <c r="F195" t="str">
        <f>IFERROR(__xludf.DUMMYFUNCTION("""COMPUTED_VALUE"""),"WR")</f>
        <v>WR</v>
      </c>
      <c r="G195">
        <f>IFERROR(__xludf.DUMMYFUNCTION("""COMPUTED_VALUE"""),11.85)</f>
        <v>11.85</v>
      </c>
    </row>
    <row r="196">
      <c r="D196" t="str">
        <f>IFERROR(__xludf.DUMMYFUNCTION("""COMPUTED_VALUE"""),"Boling")</f>
        <v>Boling</v>
      </c>
      <c r="E196" t="str">
        <f>IFERROR(__xludf.DUMMYFUNCTION("""COMPUTED_VALUE"""),"Clint")</f>
        <v>Clint</v>
      </c>
      <c r="F196" t="str">
        <f>IFERROR(__xludf.DUMMYFUNCTION("""COMPUTED_VALUE"""),"LG")</f>
        <v>LG</v>
      </c>
      <c r="G196">
        <f>IFERROR(__xludf.DUMMYFUNCTION("""COMPUTED_VALUE"""),12.15)</f>
        <v>12.15</v>
      </c>
    </row>
    <row r="197">
      <c r="D197" t="str">
        <f>IFERROR(__xludf.DUMMYFUNCTION("""COMPUTED_VALUE"""),"Bond")</f>
        <v>Bond</v>
      </c>
      <c r="E197" t="str">
        <f>IFERROR(__xludf.DUMMYFUNCTION("""COMPUTED_VALUE"""),"Devante")</f>
        <v>Devante</v>
      </c>
      <c r="F197" t="str">
        <f>IFERROR(__xludf.DUMMYFUNCTION("""COMPUTED_VALUE"""),"ROLB")</f>
        <v>ROLB</v>
      </c>
      <c r="G197">
        <f>IFERROR(__xludf.DUMMYFUNCTION("""COMPUTED_VALUE"""),9.299999999999999)</f>
        <v>9.3</v>
      </c>
    </row>
    <row r="198">
      <c r="D198" t="str">
        <f>IFERROR(__xludf.DUMMYFUNCTION("""COMPUTED_VALUE"""),"Booker")</f>
        <v>Booker</v>
      </c>
      <c r="E198" t="str">
        <f>IFERROR(__xludf.DUMMYFUNCTION("""COMPUTED_VALUE"""),"Devontae")</f>
        <v>Devontae</v>
      </c>
      <c r="F198" t="str">
        <f>IFERROR(__xludf.DUMMYFUNCTION("""COMPUTED_VALUE"""),"HB")</f>
        <v>HB</v>
      </c>
      <c r="G198">
        <f>IFERROR(__xludf.DUMMYFUNCTION("""COMPUTED_VALUE"""),10.799999999999999)</f>
        <v>10.8</v>
      </c>
    </row>
    <row r="199">
      <c r="D199" t="str">
        <f>IFERROR(__xludf.DUMMYFUNCTION("""COMPUTED_VALUE"""),"Boone")</f>
        <v>Boone</v>
      </c>
      <c r="E199" t="str">
        <f>IFERROR(__xludf.DUMMYFUNCTION("""COMPUTED_VALUE"""),"Alex")</f>
        <v>Alex</v>
      </c>
      <c r="F199" t="str">
        <f>IFERROR(__xludf.DUMMYFUNCTION("""COMPUTED_VALUE"""),"RG")</f>
        <v>RG</v>
      </c>
      <c r="G199">
        <f>IFERROR(__xludf.DUMMYFUNCTION("""COMPUTED_VALUE"""),12.15)</f>
        <v>12.15</v>
      </c>
    </row>
    <row r="200">
      <c r="D200" t="str">
        <f>IFERROR(__xludf.DUMMYFUNCTION("""COMPUTED_VALUE"""),"Booth")</f>
        <v>Booth</v>
      </c>
      <c r="E200" t="str">
        <f>IFERROR(__xludf.DUMMYFUNCTION("""COMPUTED_VALUE"""),"Cody")</f>
        <v>Cody</v>
      </c>
      <c r="F200" t="str">
        <f>IFERROR(__xludf.DUMMYFUNCTION("""COMPUTED_VALUE"""),"LT")</f>
        <v>LT</v>
      </c>
      <c r="G200">
        <f>IFERROR(__xludf.DUMMYFUNCTION("""COMPUTED_VALUE"""),9.75)</f>
        <v>9.75</v>
      </c>
    </row>
    <row r="201">
      <c r="D201" t="str">
        <f>IFERROR(__xludf.DUMMYFUNCTION("""COMPUTED_VALUE"""),"Bortles")</f>
        <v>Bortles</v>
      </c>
      <c r="E201" t="str">
        <f>IFERROR(__xludf.DUMMYFUNCTION("""COMPUTED_VALUE"""),"Blake")</f>
        <v>Blake</v>
      </c>
      <c r="F201" t="str">
        <f>IFERROR(__xludf.DUMMYFUNCTION("""COMPUTED_VALUE"""),"QB")</f>
        <v>QB</v>
      </c>
      <c r="G201">
        <f>IFERROR(__xludf.DUMMYFUNCTION("""COMPUTED_VALUE"""),12.299999999999999)</f>
        <v>12.3</v>
      </c>
    </row>
    <row r="202">
      <c r="D202" t="str">
        <f>IFERROR(__xludf.DUMMYFUNCTION("""COMPUTED_VALUE"""),"Bosa")</f>
        <v>Bosa</v>
      </c>
      <c r="E202" t="str">
        <f>IFERROR(__xludf.DUMMYFUNCTION("""COMPUTED_VALUE"""),"Joey")</f>
        <v>Joey</v>
      </c>
      <c r="F202" t="str">
        <f>IFERROR(__xludf.DUMMYFUNCTION("""COMPUTED_VALUE"""),"LE")</f>
        <v>LE</v>
      </c>
      <c r="G202">
        <f>IFERROR(__xludf.DUMMYFUNCTION("""COMPUTED_VALUE"""),11.85)</f>
        <v>11.85</v>
      </c>
    </row>
    <row r="203">
      <c r="D203" t="str">
        <f>IFERROR(__xludf.DUMMYFUNCTION("""COMPUTED_VALUE"""),"Bosher")</f>
        <v>Bosher</v>
      </c>
      <c r="E203" t="str">
        <f>IFERROR(__xludf.DUMMYFUNCTION("""COMPUTED_VALUE"""),"Matt")</f>
        <v>Matt</v>
      </c>
      <c r="F203" t="str">
        <f>IFERROR(__xludf.DUMMYFUNCTION("""COMPUTED_VALUE"""),"P")</f>
        <v>P</v>
      </c>
      <c r="G203">
        <f>IFERROR(__xludf.DUMMYFUNCTION("""COMPUTED_VALUE"""),12.15)</f>
        <v>12.15</v>
      </c>
    </row>
    <row r="204">
      <c r="D204" t="str">
        <f>IFERROR(__xludf.DUMMYFUNCTION("""COMPUTED_VALUE"""),"Bostic")</f>
        <v>Bostic</v>
      </c>
      <c r="E204" t="str">
        <f>IFERROR(__xludf.DUMMYFUNCTION("""COMPUTED_VALUE"""),"Jon")</f>
        <v>Jon</v>
      </c>
      <c r="F204" t="str">
        <f>IFERROR(__xludf.DUMMYFUNCTION("""COMPUTED_VALUE"""),"MLB")</f>
        <v>MLB</v>
      </c>
      <c r="G204">
        <f>IFERROR(__xludf.DUMMYFUNCTION("""COMPUTED_VALUE"""),10.2)</f>
        <v>10.2</v>
      </c>
    </row>
    <row r="205">
      <c r="D205" t="str">
        <f>IFERROR(__xludf.DUMMYFUNCTION("""COMPUTED_VALUE"""),"Bostick")</f>
        <v>Bostick</v>
      </c>
      <c r="E205" t="str">
        <f>IFERROR(__xludf.DUMMYFUNCTION("""COMPUTED_VALUE"""),"Brandon")</f>
        <v>Brandon</v>
      </c>
      <c r="F205" t="str">
        <f>IFERROR(__xludf.DUMMYFUNCTION("""COMPUTED_VALUE"""),"TE")</f>
        <v>TE</v>
      </c>
      <c r="G205">
        <f>IFERROR(__xludf.DUMMYFUNCTION("""COMPUTED_VALUE"""),10.35)</f>
        <v>10.35</v>
      </c>
    </row>
    <row r="206">
      <c r="D206" t="str">
        <f>IFERROR(__xludf.DUMMYFUNCTION("""COMPUTED_VALUE"""),"Boston")</f>
        <v>Boston</v>
      </c>
      <c r="E206" t="str">
        <f>IFERROR(__xludf.DUMMYFUNCTION("""COMPUTED_VALUE"""),"Tre")</f>
        <v>Tre</v>
      </c>
      <c r="F206" t="str">
        <f>IFERROR(__xludf.DUMMYFUNCTION("""COMPUTED_VALUE"""),"SS")</f>
        <v>SS</v>
      </c>
      <c r="G206">
        <f>IFERROR(__xludf.DUMMYFUNCTION("""COMPUTED_VALUE"""),11.7)</f>
        <v>11.7</v>
      </c>
    </row>
    <row r="207">
      <c r="D207" t="str">
        <f>IFERROR(__xludf.DUMMYFUNCTION("""COMPUTED_VALUE"""),"Boswell")</f>
        <v>Boswell</v>
      </c>
      <c r="E207" t="str">
        <f>IFERROR(__xludf.DUMMYFUNCTION("""COMPUTED_VALUE"""),"Chris")</f>
        <v>Chris</v>
      </c>
      <c r="F207" t="str">
        <f>IFERROR(__xludf.DUMMYFUNCTION("""COMPUTED_VALUE"""),"K")</f>
        <v>K</v>
      </c>
      <c r="G207">
        <f>IFERROR(__xludf.DUMMYFUNCTION("""COMPUTED_VALUE"""),11.549999999999999)</f>
        <v>11.55</v>
      </c>
    </row>
    <row r="208">
      <c r="D208" t="str">
        <f>IFERROR(__xludf.DUMMYFUNCTION("""COMPUTED_VALUE"""),"Bouye")</f>
        <v>Bouye</v>
      </c>
      <c r="E208" t="str">
        <f>IFERROR(__xludf.DUMMYFUNCTION("""COMPUTED_VALUE"""),"AJ")</f>
        <v>AJ</v>
      </c>
      <c r="F208" t="str">
        <f>IFERROR(__xludf.DUMMYFUNCTION("""COMPUTED_VALUE"""),"CB")</f>
        <v>CB</v>
      </c>
      <c r="G208">
        <f>IFERROR(__xludf.DUMMYFUNCTION("""COMPUTED_VALUE"""),10.95)</f>
        <v>10.95</v>
      </c>
    </row>
    <row r="209">
      <c r="D209" t="str">
        <f>IFERROR(__xludf.DUMMYFUNCTION("""COMPUTED_VALUE"""),"Bowanko")</f>
        <v>Bowanko</v>
      </c>
      <c r="E209" t="str">
        <f>IFERROR(__xludf.DUMMYFUNCTION("""COMPUTED_VALUE"""),"Luke")</f>
        <v>Luke</v>
      </c>
      <c r="F209" t="str">
        <f>IFERROR(__xludf.DUMMYFUNCTION("""COMPUTED_VALUE"""),"C")</f>
        <v>C</v>
      </c>
      <c r="G209">
        <f>IFERROR(__xludf.DUMMYFUNCTION("""COMPUTED_VALUE"""),11.4)</f>
        <v>11.4</v>
      </c>
    </row>
    <row r="210">
      <c r="D210" t="str">
        <f>IFERROR(__xludf.DUMMYFUNCTION("""COMPUTED_VALUE"""),"Bowie")</f>
        <v>Bowie</v>
      </c>
      <c r="E210" t="str">
        <f>IFERROR(__xludf.DUMMYFUNCTION("""COMPUTED_VALUE"""),"Michael")</f>
        <v>Michael</v>
      </c>
      <c r="F210" t="str">
        <f>IFERROR(__xludf.DUMMYFUNCTION("""COMPUTED_VALUE"""),"RT")</f>
        <v>RT</v>
      </c>
      <c r="G210">
        <f>IFERROR(__xludf.DUMMYFUNCTION("""COMPUTED_VALUE"""),10.799999999999999)</f>
        <v>10.8</v>
      </c>
    </row>
    <row r="211">
      <c r="D211" t="str">
        <f>IFERROR(__xludf.DUMMYFUNCTION("""COMPUTED_VALUE"""),"Bowman")</f>
        <v>Bowman</v>
      </c>
      <c r="E211" t="str">
        <f>IFERROR(__xludf.DUMMYFUNCTION("""COMPUTED_VALUE"""),"NaVorro")</f>
        <v>NaVorro</v>
      </c>
      <c r="F211" t="str">
        <f>IFERROR(__xludf.DUMMYFUNCTION("""COMPUTED_VALUE"""),"MLB")</f>
        <v>MLB</v>
      </c>
      <c r="G211">
        <f>IFERROR(__xludf.DUMMYFUNCTION("""COMPUTED_VALUE"""),13.2)</f>
        <v>13.2</v>
      </c>
    </row>
    <row r="212">
      <c r="D212" t="str">
        <f>IFERROR(__xludf.DUMMYFUNCTION("""COMPUTED_VALUE"""),"Boyce")</f>
        <v>Boyce</v>
      </c>
      <c r="E212" t="str">
        <f>IFERROR(__xludf.DUMMYFUNCTION("""COMPUTED_VALUE"""),"Josh")</f>
        <v>Josh</v>
      </c>
      <c r="F212" t="str">
        <f>IFERROR(__xludf.DUMMYFUNCTION("""COMPUTED_VALUE"""),"WR")</f>
        <v>WR</v>
      </c>
      <c r="G212">
        <f>IFERROR(__xludf.DUMMYFUNCTION("""COMPUTED_VALUE"""),9.6)</f>
        <v>9.6</v>
      </c>
    </row>
    <row r="213">
      <c r="D213" t="str">
        <f>IFERROR(__xludf.DUMMYFUNCTION("""COMPUTED_VALUE"""),"Boyd")</f>
        <v>Boyd</v>
      </c>
      <c r="E213" t="str">
        <f>IFERROR(__xludf.DUMMYFUNCTION("""COMPUTED_VALUE"""),"Tyler")</f>
        <v>Tyler</v>
      </c>
      <c r="F213" t="str">
        <f>IFERROR(__xludf.DUMMYFUNCTION("""COMPUTED_VALUE"""),"WR")</f>
        <v>WR</v>
      </c>
      <c r="G213">
        <f>IFERROR(__xludf.DUMMYFUNCTION("""COMPUTED_VALUE"""),10.5)</f>
        <v>10.5</v>
      </c>
    </row>
    <row r="214">
      <c r="D214" t="str">
        <f>IFERROR(__xludf.DUMMYFUNCTION("""COMPUTED_VALUE"""),"Boykin")</f>
        <v>Boykin</v>
      </c>
      <c r="E214" t="str">
        <f>IFERROR(__xludf.DUMMYFUNCTION("""COMPUTED_VALUE"""),"Brandon")</f>
        <v>Brandon</v>
      </c>
      <c r="F214" t="str">
        <f>IFERROR(__xludf.DUMMYFUNCTION("""COMPUTED_VALUE"""),"CB")</f>
        <v>CB</v>
      </c>
      <c r="G214">
        <f>IFERROR(__xludf.DUMMYFUNCTION("""COMPUTED_VALUE"""),10.65)</f>
        <v>10.65</v>
      </c>
    </row>
    <row r="215">
      <c r="D215" t="str">
        <f>IFERROR(__xludf.DUMMYFUNCTION("""COMPUTED_VALUE"""),"Boykin")</f>
        <v>Boykin</v>
      </c>
      <c r="E215" t="str">
        <f>IFERROR(__xludf.DUMMYFUNCTION("""COMPUTED_VALUE"""),"Jarrett")</f>
        <v>Jarrett</v>
      </c>
      <c r="F215" t="str">
        <f>IFERROR(__xludf.DUMMYFUNCTION("""COMPUTED_VALUE"""),"WR")</f>
        <v>WR</v>
      </c>
      <c r="G215">
        <f>IFERROR(__xludf.DUMMYFUNCTION("""COMPUTED_VALUE"""),10.049999999999999)</f>
        <v>10.05</v>
      </c>
    </row>
    <row r="216">
      <c r="D216" t="str">
        <f>IFERROR(__xludf.DUMMYFUNCTION("""COMPUTED_VALUE"""),"Boykin")</f>
        <v>Boykin</v>
      </c>
      <c r="E216" t="str">
        <f>IFERROR(__xludf.DUMMYFUNCTION("""COMPUTED_VALUE"""),"Trevone")</f>
        <v>Trevone</v>
      </c>
      <c r="F216" t="str">
        <f>IFERROR(__xludf.DUMMYFUNCTION("""COMPUTED_VALUE"""),"QB")</f>
        <v>QB</v>
      </c>
      <c r="G216">
        <f>IFERROR(__xludf.DUMMYFUNCTION("""COMPUTED_VALUE"""),9.45)</f>
        <v>9.45</v>
      </c>
    </row>
    <row r="217">
      <c r="D217" t="str">
        <f>IFERROR(__xludf.DUMMYFUNCTION("""COMPUTED_VALUE"""),"Boyle")</f>
        <v>Boyle</v>
      </c>
      <c r="E217" t="str">
        <f>IFERROR(__xludf.DUMMYFUNCTION("""COMPUTED_VALUE"""),"Nick")</f>
        <v>Nick</v>
      </c>
      <c r="F217" t="str">
        <f>IFERROR(__xludf.DUMMYFUNCTION("""COMPUTED_VALUE"""),"TE")</f>
        <v>TE</v>
      </c>
      <c r="G217">
        <f>IFERROR(__xludf.DUMMYFUNCTION("""COMPUTED_VALUE"""),11.4)</f>
        <v>11.4</v>
      </c>
    </row>
    <row r="218">
      <c r="D218" t="str">
        <f>IFERROR(__xludf.DUMMYFUNCTION("""COMPUTED_VALUE"""),"Bradberry")</f>
        <v>Bradberry</v>
      </c>
      <c r="E218" t="str">
        <f>IFERROR(__xludf.DUMMYFUNCTION("""COMPUTED_VALUE"""),"James")</f>
        <v>James</v>
      </c>
      <c r="F218" t="str">
        <f>IFERROR(__xludf.DUMMYFUNCTION("""COMPUTED_VALUE"""),"CB")</f>
        <v>CB</v>
      </c>
      <c r="G218">
        <f>IFERROR(__xludf.DUMMYFUNCTION("""COMPUTED_VALUE"""),10.5)</f>
        <v>10.5</v>
      </c>
    </row>
    <row r="219">
      <c r="D219" t="str">
        <f>IFERROR(__xludf.DUMMYFUNCTION("""COMPUTED_VALUE"""),"Bradfield")</f>
        <v>Bradfield</v>
      </c>
      <c r="E219" t="str">
        <f>IFERROR(__xludf.DUMMYFUNCTION("""COMPUTED_VALUE"""),"Cameron")</f>
        <v>Cameron</v>
      </c>
      <c r="F219" t="str">
        <f>IFERROR(__xludf.DUMMYFUNCTION("""COMPUTED_VALUE"""),"RT")</f>
        <v>RT</v>
      </c>
      <c r="G219">
        <f>IFERROR(__xludf.DUMMYFUNCTION("""COMPUTED_VALUE"""),10.799999999999999)</f>
        <v>10.8</v>
      </c>
    </row>
    <row r="220">
      <c r="D220" t="str">
        <f>IFERROR(__xludf.DUMMYFUNCTION("""COMPUTED_VALUE"""),"Bradford")</f>
        <v>Bradford</v>
      </c>
      <c r="E220" t="str">
        <f>IFERROR(__xludf.DUMMYFUNCTION("""COMPUTED_VALUE"""),"Carl")</f>
        <v>Carl</v>
      </c>
      <c r="F220" t="str">
        <f>IFERROR(__xludf.DUMMYFUNCTION("""COMPUTED_VALUE"""),"MLB")</f>
        <v>MLB</v>
      </c>
      <c r="G220">
        <f>IFERROR(__xludf.DUMMYFUNCTION("""COMPUTED_VALUE"""),10.2)</f>
        <v>10.2</v>
      </c>
    </row>
    <row r="221">
      <c r="D221" t="str">
        <f>IFERROR(__xludf.DUMMYFUNCTION("""COMPUTED_VALUE"""),"Bradford")</f>
        <v>Bradford</v>
      </c>
      <c r="E221" t="str">
        <f>IFERROR(__xludf.DUMMYFUNCTION("""COMPUTED_VALUE"""),"Sam")</f>
        <v>Sam</v>
      </c>
      <c r="F221" t="str">
        <f>IFERROR(__xludf.DUMMYFUNCTION("""COMPUTED_VALUE"""),"QB")</f>
        <v>QB</v>
      </c>
      <c r="G221">
        <f>IFERROR(__xludf.DUMMYFUNCTION("""COMPUTED_VALUE"""),11.7)</f>
        <v>11.7</v>
      </c>
    </row>
    <row r="222">
      <c r="D222" t="str">
        <f>IFERROR(__xludf.DUMMYFUNCTION("""COMPUTED_VALUE"""),"Bradham")</f>
        <v>Bradham</v>
      </c>
      <c r="E222" t="str">
        <f>IFERROR(__xludf.DUMMYFUNCTION("""COMPUTED_VALUE"""),"Nigel")</f>
        <v>Nigel</v>
      </c>
      <c r="F222" t="str">
        <f>IFERROR(__xludf.DUMMYFUNCTION("""COMPUTED_VALUE"""),"ROLB")</f>
        <v>ROLB</v>
      </c>
      <c r="G222">
        <f>IFERROR(__xludf.DUMMYFUNCTION("""COMPUTED_VALUE"""),11.4)</f>
        <v>11.4</v>
      </c>
    </row>
    <row r="223">
      <c r="D223" t="str">
        <f>IFERROR(__xludf.DUMMYFUNCTION("""COMPUTED_VALUE"""),"Brady")</f>
        <v>Brady</v>
      </c>
      <c r="E223" t="str">
        <f>IFERROR(__xludf.DUMMYFUNCTION("""COMPUTED_VALUE"""),"Tom")</f>
        <v>Tom</v>
      </c>
      <c r="F223" t="str">
        <f>IFERROR(__xludf.DUMMYFUNCTION("""COMPUTED_VALUE"""),"QB")</f>
        <v>QB</v>
      </c>
      <c r="G223">
        <f>IFERROR(__xludf.DUMMYFUNCTION("""COMPUTED_VALUE"""),14.1)</f>
        <v>14.1</v>
      </c>
    </row>
    <row r="224">
      <c r="D224" t="str">
        <f>IFERROR(__xludf.DUMMYFUNCTION("""COMPUTED_VALUE"""),"Braman")</f>
        <v>Braman</v>
      </c>
      <c r="E224" t="str">
        <f>IFERROR(__xludf.DUMMYFUNCTION("""COMPUTED_VALUE"""),"Bryan")</f>
        <v>Bryan</v>
      </c>
      <c r="F224" t="str">
        <f>IFERROR(__xludf.DUMMYFUNCTION("""COMPUTED_VALUE"""),"RE")</f>
        <v>RE</v>
      </c>
      <c r="G224">
        <f>IFERROR(__xludf.DUMMYFUNCTION("""COMPUTED_VALUE"""),10.65)</f>
        <v>10.65</v>
      </c>
    </row>
    <row r="225">
      <c r="D225" t="str">
        <f>IFERROR(__xludf.DUMMYFUNCTION("""COMPUTED_VALUE"""),"Branch")</f>
        <v>Branch</v>
      </c>
      <c r="E225" t="str">
        <f>IFERROR(__xludf.DUMMYFUNCTION("""COMPUTED_VALUE"""),"Alan")</f>
        <v>Alan</v>
      </c>
      <c r="F225" t="str">
        <f>IFERROR(__xludf.DUMMYFUNCTION("""COMPUTED_VALUE"""),"DT")</f>
        <v>DT</v>
      </c>
      <c r="G225">
        <f>IFERROR(__xludf.DUMMYFUNCTION("""COMPUTED_VALUE"""),11.549999999999999)</f>
        <v>11.55</v>
      </c>
    </row>
    <row r="226">
      <c r="D226" t="str">
        <f>IFERROR(__xludf.DUMMYFUNCTION("""COMPUTED_VALUE"""),"Branch")</f>
        <v>Branch</v>
      </c>
      <c r="E226" t="str">
        <f>IFERROR(__xludf.DUMMYFUNCTION("""COMPUTED_VALUE"""),"Andre")</f>
        <v>Andre</v>
      </c>
      <c r="F226" t="str">
        <f>IFERROR(__xludf.DUMMYFUNCTION("""COMPUTED_VALUE"""),"LE")</f>
        <v>LE</v>
      </c>
      <c r="G226">
        <f>IFERROR(__xludf.DUMMYFUNCTION("""COMPUTED_VALUE"""),10.5)</f>
        <v>10.5</v>
      </c>
    </row>
    <row r="227">
      <c r="D227" t="str">
        <f>IFERROR(__xludf.DUMMYFUNCTION("""COMPUTED_VALUE"""),"Branch")</f>
        <v>Branch</v>
      </c>
      <c r="E227" t="str">
        <f>IFERROR(__xludf.DUMMYFUNCTION("""COMPUTED_VALUE"""),"Tyvon")</f>
        <v>Tyvon</v>
      </c>
      <c r="F227" t="str">
        <f>IFERROR(__xludf.DUMMYFUNCTION("""COMPUTED_VALUE"""),"SS")</f>
        <v>SS</v>
      </c>
      <c r="G227">
        <f>IFERROR(__xludf.DUMMYFUNCTION("""COMPUTED_VALUE"""),12.15)</f>
        <v>12.15</v>
      </c>
    </row>
    <row r="228">
      <c r="D228" t="str">
        <f>IFERROR(__xludf.DUMMYFUNCTION("""COMPUTED_VALUE"""),"Brate")</f>
        <v>Brate</v>
      </c>
      <c r="E228" t="str">
        <f>IFERROR(__xludf.DUMMYFUNCTION("""COMPUTED_VALUE"""),"Cameron")</f>
        <v>Cameron</v>
      </c>
      <c r="F228" t="str">
        <f>IFERROR(__xludf.DUMMYFUNCTION("""COMPUTED_VALUE"""),"TE")</f>
        <v>TE</v>
      </c>
      <c r="G228">
        <f>IFERROR(__xludf.DUMMYFUNCTION("""COMPUTED_VALUE"""),11.25)</f>
        <v>11.25</v>
      </c>
    </row>
    <row r="229">
      <c r="D229" t="str">
        <f>IFERROR(__xludf.DUMMYFUNCTION("""COMPUTED_VALUE"""),"Braverman")</f>
        <v>Braverman</v>
      </c>
      <c r="E229" t="str">
        <f>IFERROR(__xludf.DUMMYFUNCTION("""COMPUTED_VALUE"""),"Daniel")</f>
        <v>Daniel</v>
      </c>
      <c r="F229" t="str">
        <f>IFERROR(__xludf.DUMMYFUNCTION("""COMPUTED_VALUE"""),"WR")</f>
        <v>WR</v>
      </c>
      <c r="G229">
        <f>IFERROR(__xludf.DUMMYFUNCTION("""COMPUTED_VALUE"""),9.75)</f>
        <v>9.75</v>
      </c>
    </row>
    <row r="230">
      <c r="D230" t="str">
        <f>IFERROR(__xludf.DUMMYFUNCTION("""COMPUTED_VALUE"""),"Bray")</f>
        <v>Bray</v>
      </c>
      <c r="E230" t="str">
        <f>IFERROR(__xludf.DUMMYFUNCTION("""COMPUTED_VALUE"""),"Quan")</f>
        <v>Quan</v>
      </c>
      <c r="F230" t="str">
        <f>IFERROR(__xludf.DUMMYFUNCTION("""COMPUTED_VALUE"""),"WR")</f>
        <v>WR</v>
      </c>
      <c r="G230">
        <f>IFERROR(__xludf.DUMMYFUNCTION("""COMPUTED_VALUE"""),9.6)</f>
        <v>9.6</v>
      </c>
    </row>
    <row r="231">
      <c r="D231" t="str">
        <f>IFERROR(__xludf.DUMMYFUNCTION("""COMPUTED_VALUE"""),"Bray")</f>
        <v>Bray</v>
      </c>
      <c r="E231" t="str">
        <f>IFERROR(__xludf.DUMMYFUNCTION("""COMPUTED_VALUE"""),"Tyler")</f>
        <v>Tyler</v>
      </c>
      <c r="F231" t="str">
        <f>IFERROR(__xludf.DUMMYFUNCTION("""COMPUTED_VALUE"""),"QB")</f>
        <v>QB</v>
      </c>
      <c r="G231">
        <f>IFERROR(__xludf.DUMMYFUNCTION("""COMPUTED_VALUE"""),9.299999999999999)</f>
        <v>9.3</v>
      </c>
    </row>
    <row r="232">
      <c r="D232" t="str">
        <f>IFERROR(__xludf.DUMMYFUNCTION("""COMPUTED_VALUE"""),"Breaux")</f>
        <v>Breaux</v>
      </c>
      <c r="E232" t="str">
        <f>IFERROR(__xludf.DUMMYFUNCTION("""COMPUTED_VALUE"""),"Delvin")</f>
        <v>Delvin</v>
      </c>
      <c r="F232" t="str">
        <f>IFERROR(__xludf.DUMMYFUNCTION("""COMPUTED_VALUE"""),"CB")</f>
        <v>CB</v>
      </c>
      <c r="G232">
        <f>IFERROR(__xludf.DUMMYFUNCTION("""COMPUTED_VALUE"""),12.299999999999999)</f>
        <v>12.3</v>
      </c>
    </row>
    <row r="233">
      <c r="D233" t="str">
        <f>IFERROR(__xludf.DUMMYFUNCTION("""COMPUTED_VALUE"""),"Breeland")</f>
        <v>Breeland</v>
      </c>
      <c r="E233" t="str">
        <f>IFERROR(__xludf.DUMMYFUNCTION("""COMPUTED_VALUE"""),"Bashaud")</f>
        <v>Bashaud</v>
      </c>
      <c r="F233" t="str">
        <f>IFERROR(__xludf.DUMMYFUNCTION("""COMPUTED_VALUE"""),"CB")</f>
        <v>CB</v>
      </c>
      <c r="G233">
        <f>IFERROR(__xludf.DUMMYFUNCTION("""COMPUTED_VALUE"""),12.15)</f>
        <v>12.15</v>
      </c>
    </row>
    <row r="234">
      <c r="D234" t="str">
        <f>IFERROR(__xludf.DUMMYFUNCTION("""COMPUTED_VALUE"""),"Brees")</f>
        <v>Brees</v>
      </c>
      <c r="E234" t="str">
        <f>IFERROR(__xludf.DUMMYFUNCTION("""COMPUTED_VALUE"""),"Drew")</f>
        <v>Drew</v>
      </c>
      <c r="F234" t="str">
        <f>IFERROR(__xludf.DUMMYFUNCTION("""COMPUTED_VALUE"""),"QB")</f>
        <v>QB</v>
      </c>
      <c r="G234">
        <f>IFERROR(__xludf.DUMMYFUNCTION("""COMPUTED_VALUE"""),13.5)</f>
        <v>13.5</v>
      </c>
    </row>
    <row r="235">
      <c r="D235" t="str">
        <f>IFERROR(__xludf.DUMMYFUNCTION("""COMPUTED_VALUE"""),"Brendel")</f>
        <v>Brendel</v>
      </c>
      <c r="E235" t="str">
        <f>IFERROR(__xludf.DUMMYFUNCTION("""COMPUTED_VALUE"""),"Jake")</f>
        <v>Jake</v>
      </c>
      <c r="F235" t="str">
        <f>IFERROR(__xludf.DUMMYFUNCTION("""COMPUTED_VALUE"""),"C")</f>
        <v>C</v>
      </c>
      <c r="G235">
        <f>IFERROR(__xludf.DUMMYFUNCTION("""COMPUTED_VALUE"""),9.0)</f>
        <v>9</v>
      </c>
    </row>
    <row r="236">
      <c r="D236" t="str">
        <f>IFERROR(__xludf.DUMMYFUNCTION("""COMPUTED_VALUE"""),"Brenner")</f>
        <v>Brenner</v>
      </c>
      <c r="E236" t="str">
        <f>IFERROR(__xludf.DUMMYFUNCTION("""COMPUTED_VALUE"""),"Sam")</f>
        <v>Sam</v>
      </c>
      <c r="F236" t="str">
        <f>IFERROR(__xludf.DUMMYFUNCTION("""COMPUTED_VALUE"""),"C")</f>
        <v>C</v>
      </c>
      <c r="G236">
        <f>IFERROR(__xludf.DUMMYFUNCTION("""COMPUTED_VALUE"""),10.2)</f>
        <v>10.2</v>
      </c>
    </row>
    <row r="237">
      <c r="D237" t="str">
        <f>IFERROR(__xludf.DUMMYFUNCTION("""COMPUTED_VALUE"""),"Brent")</f>
        <v>Brent</v>
      </c>
      <c r="E237" t="str">
        <f>IFERROR(__xludf.DUMMYFUNCTION("""COMPUTED_VALUE"""),"KJ")</f>
        <v>KJ</v>
      </c>
      <c r="F237" t="str">
        <f>IFERROR(__xludf.DUMMYFUNCTION("""COMPUTED_VALUE"""),"WR")</f>
        <v>WR</v>
      </c>
      <c r="G237">
        <f>IFERROR(__xludf.DUMMYFUNCTION("""COMPUTED_VALUE"""),9.299999999999999)</f>
        <v>9.3</v>
      </c>
    </row>
    <row r="238">
      <c r="D238" t="str">
        <f>IFERROR(__xludf.DUMMYFUNCTION("""COMPUTED_VALUE"""),"Brewer")</f>
        <v>Brewer</v>
      </c>
      <c r="E238" t="str">
        <f>IFERROR(__xludf.DUMMYFUNCTION("""COMPUTED_VALUE"""),"Aaron")</f>
        <v>Aaron</v>
      </c>
      <c r="F238" t="str">
        <f>IFERROR(__xludf.DUMMYFUNCTION("""COMPUTED_VALUE"""),"TE")</f>
        <v>TE</v>
      </c>
      <c r="G238">
        <f>IFERROR(__xludf.DUMMYFUNCTION("""COMPUTED_VALUE"""),6.75)</f>
        <v>6.75</v>
      </c>
    </row>
    <row r="239">
      <c r="D239" t="str">
        <f>IFERROR(__xludf.DUMMYFUNCTION("""COMPUTED_VALUE"""),"Brice")</f>
        <v>Brice</v>
      </c>
      <c r="E239" t="str">
        <f>IFERROR(__xludf.DUMMYFUNCTION("""COMPUTED_VALUE"""),"Kentrell")</f>
        <v>Kentrell</v>
      </c>
      <c r="F239" t="str">
        <f>IFERROR(__xludf.DUMMYFUNCTION("""COMPUTED_VALUE"""),"SS")</f>
        <v>SS</v>
      </c>
      <c r="G239">
        <f>IFERROR(__xludf.DUMMYFUNCTION("""COMPUTED_VALUE"""),9.45)</f>
        <v>9.45</v>
      </c>
    </row>
    <row r="240">
      <c r="D240" t="str">
        <f>IFERROR(__xludf.DUMMYFUNCTION("""COMPUTED_VALUE"""),"Bridgewater")</f>
        <v>Bridgewater</v>
      </c>
      <c r="E240" t="str">
        <f>IFERROR(__xludf.DUMMYFUNCTION("""COMPUTED_VALUE"""),"Teddy")</f>
        <v>Teddy</v>
      </c>
      <c r="F240" t="str">
        <f>IFERROR(__xludf.DUMMYFUNCTION("""COMPUTED_VALUE"""),"QB")</f>
        <v>QB</v>
      </c>
      <c r="G240">
        <f>IFERROR(__xludf.DUMMYFUNCTION("""COMPUTED_VALUE"""),12.15)</f>
        <v>12.15</v>
      </c>
    </row>
    <row r="241">
      <c r="D241" t="str">
        <f>IFERROR(__xludf.DUMMYFUNCTION("""COMPUTED_VALUE"""),"Brinkley")</f>
        <v>Brinkley</v>
      </c>
      <c r="E241" t="str">
        <f>IFERROR(__xludf.DUMMYFUNCTION("""COMPUTED_VALUE"""),"Beau")</f>
        <v>Beau</v>
      </c>
      <c r="F241" t="str">
        <f>IFERROR(__xludf.DUMMYFUNCTION("""COMPUTED_VALUE"""),"TE")</f>
        <v>TE</v>
      </c>
      <c r="G241">
        <f>IFERROR(__xludf.DUMMYFUNCTION("""COMPUTED_VALUE"""),6.8999999999999995)</f>
        <v>6.9</v>
      </c>
    </row>
    <row r="242">
      <c r="D242" t="str">
        <f>IFERROR(__xludf.DUMMYFUNCTION("""COMPUTED_VALUE"""),"Brinkley")</f>
        <v>Brinkley</v>
      </c>
      <c r="E242" t="str">
        <f>IFERROR(__xludf.DUMMYFUNCTION("""COMPUTED_VALUE"""),"Jasper")</f>
        <v>Jasper</v>
      </c>
      <c r="F242" t="str">
        <f>IFERROR(__xludf.DUMMYFUNCTION("""COMPUTED_VALUE"""),"MLB")</f>
        <v>MLB</v>
      </c>
      <c r="G242">
        <f>IFERROR(__xludf.DUMMYFUNCTION("""COMPUTED_VALUE"""),10.799999999999999)</f>
        <v>10.8</v>
      </c>
    </row>
    <row r="243">
      <c r="D243" t="str">
        <f>IFERROR(__xludf.DUMMYFUNCTION("""COMPUTED_VALUE"""),"Brissett")</f>
        <v>Brissett</v>
      </c>
      <c r="E243" t="str">
        <f>IFERROR(__xludf.DUMMYFUNCTION("""COMPUTED_VALUE"""),"Jacoby")</f>
        <v>Jacoby</v>
      </c>
      <c r="F243" t="str">
        <f>IFERROR(__xludf.DUMMYFUNCTION("""COMPUTED_VALUE"""),"QB")</f>
        <v>QB</v>
      </c>
      <c r="G243">
        <f>IFERROR(__xludf.DUMMYFUNCTION("""COMPUTED_VALUE"""),10.5)</f>
        <v>10.5</v>
      </c>
    </row>
    <row r="244">
      <c r="D244" t="str">
        <f>IFERROR(__xludf.DUMMYFUNCTION("""COMPUTED_VALUE"""),"Britt")</f>
        <v>Britt</v>
      </c>
      <c r="E244" t="str">
        <f>IFERROR(__xludf.DUMMYFUNCTION("""COMPUTED_VALUE"""),"Justin")</f>
        <v>Justin</v>
      </c>
      <c r="F244" t="str">
        <f>IFERROR(__xludf.DUMMYFUNCTION("""COMPUTED_VALUE"""),"C")</f>
        <v>C</v>
      </c>
      <c r="G244">
        <f>IFERROR(__xludf.DUMMYFUNCTION("""COMPUTED_VALUE"""),10.65)</f>
        <v>10.65</v>
      </c>
    </row>
    <row r="245">
      <c r="D245" t="str">
        <f>IFERROR(__xludf.DUMMYFUNCTION("""COMPUTED_VALUE"""),"Britt")</f>
        <v>Britt</v>
      </c>
      <c r="E245" t="str">
        <f>IFERROR(__xludf.DUMMYFUNCTION("""COMPUTED_VALUE"""),"Kenny")</f>
        <v>Kenny</v>
      </c>
      <c r="F245" t="str">
        <f>IFERROR(__xludf.DUMMYFUNCTION("""COMPUTED_VALUE"""),"WR")</f>
        <v>WR</v>
      </c>
      <c r="G245">
        <f>IFERROR(__xludf.DUMMYFUNCTION("""COMPUTED_VALUE"""),12.0)</f>
        <v>12</v>
      </c>
    </row>
    <row r="246">
      <c r="D246" t="str">
        <f>IFERROR(__xludf.DUMMYFUNCTION("""COMPUTED_VALUE"""),"Britz")</f>
        <v>Britz</v>
      </c>
      <c r="E246" t="str">
        <f>IFERROR(__xludf.DUMMYFUNCTION("""COMPUTED_VALUE"""),"Travis")</f>
        <v>Travis</v>
      </c>
      <c r="F246" t="str">
        <f>IFERROR(__xludf.DUMMYFUNCTION("""COMPUTED_VALUE"""),"DT")</f>
        <v>DT</v>
      </c>
      <c r="G246">
        <f>IFERROR(__xludf.DUMMYFUNCTION("""COMPUTED_VALUE"""),8.549999999999999)</f>
        <v>8.55</v>
      </c>
    </row>
    <row r="247">
      <c r="D247" t="str">
        <f>IFERROR(__xludf.DUMMYFUNCTION("""COMPUTED_VALUE"""),"Brock")</f>
        <v>Brock</v>
      </c>
      <c r="E247" t="str">
        <f>IFERROR(__xludf.DUMMYFUNCTION("""COMPUTED_VALUE"""),"Tramaine")</f>
        <v>Tramaine</v>
      </c>
      <c r="F247" t="str">
        <f>IFERROR(__xludf.DUMMYFUNCTION("""COMPUTED_VALUE"""),"CB")</f>
        <v>CB</v>
      </c>
      <c r="G247">
        <f>IFERROR(__xludf.DUMMYFUNCTION("""COMPUTED_VALUE"""),12.15)</f>
        <v>12.15</v>
      </c>
    </row>
    <row r="248">
      <c r="D248" t="str">
        <f>IFERROR(__xludf.DUMMYFUNCTION("""COMPUTED_VALUE"""),"Brockers")</f>
        <v>Brockers</v>
      </c>
      <c r="E248" t="str">
        <f>IFERROR(__xludf.DUMMYFUNCTION("""COMPUTED_VALUE"""),"Michael")</f>
        <v>Michael</v>
      </c>
      <c r="F248" t="str">
        <f>IFERROR(__xludf.DUMMYFUNCTION("""COMPUTED_VALUE"""),"DT")</f>
        <v>DT</v>
      </c>
      <c r="G248">
        <f>IFERROR(__xludf.DUMMYFUNCTION("""COMPUTED_VALUE"""),11.85)</f>
        <v>11.85</v>
      </c>
    </row>
    <row r="249">
      <c r="D249" t="str">
        <f>IFERROR(__xludf.DUMMYFUNCTION("""COMPUTED_VALUE"""),"Bromley")</f>
        <v>Bromley</v>
      </c>
      <c r="E249" t="str">
        <f>IFERROR(__xludf.DUMMYFUNCTION("""COMPUTED_VALUE"""),"Jay")</f>
        <v>Jay</v>
      </c>
      <c r="F249" t="str">
        <f>IFERROR(__xludf.DUMMYFUNCTION("""COMPUTED_VALUE"""),"DT")</f>
        <v>DT</v>
      </c>
      <c r="G249">
        <f>IFERROR(__xludf.DUMMYFUNCTION("""COMPUTED_VALUE"""),10.049999999999999)</f>
        <v>10.05</v>
      </c>
    </row>
    <row r="250">
      <c r="D250" t="str">
        <f>IFERROR(__xludf.DUMMYFUNCTION("""COMPUTED_VALUE"""),"Brooks")</f>
        <v>Brooks</v>
      </c>
      <c r="E250" t="str">
        <f>IFERROR(__xludf.DUMMYFUNCTION("""COMPUTED_VALUE"""),"Ahmad")</f>
        <v>Ahmad</v>
      </c>
      <c r="F250" t="str">
        <f>IFERROR(__xludf.DUMMYFUNCTION("""COMPUTED_VALUE"""),"LOLB")</f>
        <v>LOLB</v>
      </c>
      <c r="G250">
        <f>IFERROR(__xludf.DUMMYFUNCTION("""COMPUTED_VALUE"""),11.1)</f>
        <v>11.1</v>
      </c>
    </row>
    <row r="251">
      <c r="D251" t="str">
        <f>IFERROR(__xludf.DUMMYFUNCTION("""COMPUTED_VALUE"""),"Brooks")</f>
        <v>Brooks</v>
      </c>
      <c r="E251" t="str">
        <f>IFERROR(__xludf.DUMMYFUNCTION("""COMPUTED_VALUE"""),"Brandon")</f>
        <v>Brandon</v>
      </c>
      <c r="F251" t="str">
        <f>IFERROR(__xludf.DUMMYFUNCTION("""COMPUTED_VALUE"""),"RG")</f>
        <v>RG</v>
      </c>
      <c r="G251">
        <f>IFERROR(__xludf.DUMMYFUNCTION("""COMPUTED_VALUE"""),12.0)</f>
        <v>12</v>
      </c>
    </row>
    <row r="252">
      <c r="D252" t="str">
        <f>IFERROR(__xludf.DUMMYFUNCTION("""COMPUTED_VALUE"""),"Brooks")</f>
        <v>Brooks</v>
      </c>
      <c r="E252" t="str">
        <f>IFERROR(__xludf.DUMMYFUNCTION("""COMPUTED_VALUE"""),"Cariel")</f>
        <v>Cariel</v>
      </c>
      <c r="F252" t="str">
        <f>IFERROR(__xludf.DUMMYFUNCTION("""COMPUTED_VALUE"""),"CB")</f>
        <v>CB</v>
      </c>
      <c r="G252">
        <f>IFERROR(__xludf.DUMMYFUNCTION("""COMPUTED_VALUE"""),8.85)</f>
        <v>8.85</v>
      </c>
    </row>
    <row r="253">
      <c r="D253" t="str">
        <f>IFERROR(__xludf.DUMMYFUNCTION("""COMPUTED_VALUE"""),"Brooks")</f>
        <v>Brooks</v>
      </c>
      <c r="E253" t="str">
        <f>IFERROR(__xludf.DUMMYFUNCTION("""COMPUTED_VALUE"""),"Ron")</f>
        <v>Ron</v>
      </c>
      <c r="F253" t="str">
        <f>IFERROR(__xludf.DUMMYFUNCTION("""COMPUTED_VALUE"""),"CB")</f>
        <v>CB</v>
      </c>
      <c r="G253">
        <f>IFERROR(__xludf.DUMMYFUNCTION("""COMPUTED_VALUE"""),10.2)</f>
        <v>10.2</v>
      </c>
    </row>
    <row r="254">
      <c r="D254" t="str">
        <f>IFERROR(__xludf.DUMMYFUNCTION("""COMPUTED_VALUE"""),"Brooks")</f>
        <v>Brooks</v>
      </c>
      <c r="E254" t="str">
        <f>IFERROR(__xludf.DUMMYFUNCTION("""COMPUTED_VALUE"""),"Terrence")</f>
        <v>Terrence</v>
      </c>
      <c r="F254" t="str">
        <f>IFERROR(__xludf.DUMMYFUNCTION("""COMPUTED_VALUE"""),"FS")</f>
        <v>FS</v>
      </c>
      <c r="G254">
        <f>IFERROR(__xludf.DUMMYFUNCTION("""COMPUTED_VALUE"""),10.799999999999999)</f>
        <v>10.8</v>
      </c>
    </row>
    <row r="255">
      <c r="D255" t="str">
        <f>IFERROR(__xludf.DUMMYFUNCTION("""COMPUTED_VALUE"""),"Brooks")</f>
        <v>Brooks</v>
      </c>
      <c r="E255" t="str">
        <f>IFERROR(__xludf.DUMMYFUNCTION("""COMPUTED_VALUE"""),"Zac")</f>
        <v>Zac</v>
      </c>
      <c r="F255" t="str">
        <f>IFERROR(__xludf.DUMMYFUNCTION("""COMPUTED_VALUE"""),"HB")</f>
        <v>HB</v>
      </c>
      <c r="G255">
        <f>IFERROR(__xludf.DUMMYFUNCTION("""COMPUTED_VALUE"""),10.5)</f>
        <v>10.5</v>
      </c>
    </row>
    <row r="256">
      <c r="D256" t="str">
        <f>IFERROR(__xludf.DUMMYFUNCTION("""COMPUTED_VALUE"""),"Brothers")</f>
        <v>Brothers</v>
      </c>
      <c r="E256" t="str">
        <f>IFERROR(__xludf.DUMMYFUNCTION("""COMPUTED_VALUE"""),"Kentrell")</f>
        <v>Kentrell</v>
      </c>
      <c r="F256" t="str">
        <f>IFERROR(__xludf.DUMMYFUNCTION("""COMPUTED_VALUE"""),"MLB")</f>
        <v>MLB</v>
      </c>
      <c r="G256">
        <f>IFERROR(__xludf.DUMMYFUNCTION("""COMPUTED_VALUE"""),9.9)</f>
        <v>9.9</v>
      </c>
    </row>
    <row r="257">
      <c r="D257" t="str">
        <f>IFERROR(__xludf.DUMMYFUNCTION("""COMPUTED_VALUE"""),"Brown")</f>
        <v>Brown</v>
      </c>
      <c r="E257" t="str">
        <f>IFERROR(__xludf.DUMMYFUNCTION("""COMPUTED_VALUE"""),"Anthony")</f>
        <v>Anthony</v>
      </c>
      <c r="F257" t="str">
        <f>IFERROR(__xludf.DUMMYFUNCTION("""COMPUTED_VALUE"""),"CB")</f>
        <v>CB</v>
      </c>
      <c r="G257">
        <f>IFERROR(__xludf.DUMMYFUNCTION("""COMPUTED_VALUE"""),10.2)</f>
        <v>10.2</v>
      </c>
    </row>
    <row r="258">
      <c r="D258" t="str">
        <f>IFERROR(__xludf.DUMMYFUNCTION("""COMPUTED_VALUE"""),"Brown")</f>
        <v>Brown</v>
      </c>
      <c r="E258" t="str">
        <f>IFERROR(__xludf.DUMMYFUNCTION("""COMPUTED_VALUE"""),"Antonio")</f>
        <v>Antonio</v>
      </c>
      <c r="F258" t="str">
        <f>IFERROR(__xludf.DUMMYFUNCTION("""COMPUTED_VALUE"""),"WR")</f>
        <v>WR</v>
      </c>
      <c r="G258">
        <f>IFERROR(__xludf.DUMMYFUNCTION("""COMPUTED_VALUE"""),14.549999999999999)</f>
        <v>14.55</v>
      </c>
    </row>
    <row r="259">
      <c r="D259" t="str">
        <f>IFERROR(__xludf.DUMMYFUNCTION("""COMPUTED_VALUE"""),"Brown")</f>
        <v>Brown</v>
      </c>
      <c r="E259" t="str">
        <f>IFERROR(__xludf.DUMMYFUNCTION("""COMPUTED_VALUE"""),"Arthur")</f>
        <v>Arthur</v>
      </c>
      <c r="F259" t="str">
        <f>IFERROR(__xludf.DUMMYFUNCTION("""COMPUTED_VALUE"""),"MLB")</f>
        <v>MLB</v>
      </c>
      <c r="G259">
        <f>IFERROR(__xludf.DUMMYFUNCTION("""COMPUTED_VALUE"""),10.799999999999999)</f>
        <v>10.8</v>
      </c>
    </row>
    <row r="260">
      <c r="D260" t="str">
        <f>IFERROR(__xludf.DUMMYFUNCTION("""COMPUTED_VALUE"""),"Brown")</f>
        <v>Brown</v>
      </c>
      <c r="E260" t="str">
        <f>IFERROR(__xludf.DUMMYFUNCTION("""COMPUTED_VALUE"""),"Beniquez")</f>
        <v>Beniquez</v>
      </c>
      <c r="F260" t="str">
        <f>IFERROR(__xludf.DUMMYFUNCTION("""COMPUTED_VALUE"""),"LOLB")</f>
        <v>LOLB</v>
      </c>
      <c r="G260">
        <f>IFERROR(__xludf.DUMMYFUNCTION("""COMPUTED_VALUE"""),8.85)</f>
        <v>8.85</v>
      </c>
    </row>
    <row r="261">
      <c r="D261" t="str">
        <f>IFERROR(__xludf.DUMMYFUNCTION("""COMPUTED_VALUE"""),"Brown")</f>
        <v>Brown</v>
      </c>
      <c r="E261" t="str">
        <f>IFERROR(__xludf.DUMMYFUNCTION("""COMPUTED_VALUE"""),"Chris")</f>
        <v>Chris</v>
      </c>
      <c r="F261" t="str">
        <f>IFERROR(__xludf.DUMMYFUNCTION("""COMPUTED_VALUE"""),"WR")</f>
        <v>WR</v>
      </c>
      <c r="G261">
        <f>IFERROR(__xludf.DUMMYFUNCTION("""COMPUTED_VALUE"""),9.299999999999999)</f>
        <v>9.3</v>
      </c>
    </row>
    <row r="262">
      <c r="D262" t="str">
        <f>IFERROR(__xludf.DUMMYFUNCTION("""COMPUTED_VALUE"""),"Brown")</f>
        <v>Brown</v>
      </c>
      <c r="E262" t="str">
        <f>IFERROR(__xludf.DUMMYFUNCTION("""COMPUTED_VALUE"""),"Chykie")</f>
        <v>Chykie</v>
      </c>
      <c r="F262" t="str">
        <f>IFERROR(__xludf.DUMMYFUNCTION("""COMPUTED_VALUE"""),"CB")</f>
        <v>CB</v>
      </c>
      <c r="G262">
        <f>IFERROR(__xludf.DUMMYFUNCTION("""COMPUTED_VALUE"""),10.5)</f>
        <v>10.5</v>
      </c>
    </row>
    <row r="263">
      <c r="D263" t="str">
        <f>IFERROR(__xludf.DUMMYFUNCTION("""COMPUTED_VALUE"""),"Brown")</f>
        <v>Brown</v>
      </c>
      <c r="E263" t="str">
        <f>IFERROR(__xludf.DUMMYFUNCTION("""COMPUTED_VALUE"""),"Daniel")</f>
        <v>Daniel</v>
      </c>
      <c r="F263" t="str">
        <f>IFERROR(__xludf.DUMMYFUNCTION("""COMPUTED_VALUE"""),"WR")</f>
        <v>WR</v>
      </c>
      <c r="G263">
        <f>IFERROR(__xludf.DUMMYFUNCTION("""COMPUTED_VALUE"""),9.15)</f>
        <v>9.15</v>
      </c>
    </row>
    <row r="264">
      <c r="D264" t="str">
        <f>IFERROR(__xludf.DUMMYFUNCTION("""COMPUTED_VALUE"""),"Brown")</f>
        <v>Brown</v>
      </c>
      <c r="E264" t="str">
        <f>IFERROR(__xludf.DUMMYFUNCTION("""COMPUTED_VALUE"""),"Donald")</f>
        <v>Donald</v>
      </c>
      <c r="F264" t="str">
        <f>IFERROR(__xludf.DUMMYFUNCTION("""COMPUTED_VALUE"""),"HB")</f>
        <v>HB</v>
      </c>
      <c r="G264">
        <f>IFERROR(__xludf.DUMMYFUNCTION("""COMPUTED_VALUE"""),11.4)</f>
        <v>11.4</v>
      </c>
    </row>
    <row r="265">
      <c r="D265" t="str">
        <f>IFERROR(__xludf.DUMMYFUNCTION("""COMPUTED_VALUE"""),"Brown")</f>
        <v>Brown</v>
      </c>
      <c r="E265" t="str">
        <f>IFERROR(__xludf.DUMMYFUNCTION("""COMPUTED_VALUE"""),"Duane")</f>
        <v>Duane</v>
      </c>
      <c r="F265" t="str">
        <f>IFERROR(__xludf.DUMMYFUNCTION("""COMPUTED_VALUE"""),"LT")</f>
        <v>LT</v>
      </c>
      <c r="G265">
        <f>IFERROR(__xludf.DUMMYFUNCTION("""COMPUTED_VALUE"""),12.9)</f>
        <v>12.9</v>
      </c>
    </row>
    <row r="266">
      <c r="D266" t="str">
        <f>IFERROR(__xludf.DUMMYFUNCTION("""COMPUTED_VALUE"""),"Brown")</f>
        <v>Brown</v>
      </c>
      <c r="E266" t="str">
        <f>IFERROR(__xludf.DUMMYFUNCTION("""COMPUTED_VALUE"""),"Jalil")</f>
        <v>Jalil</v>
      </c>
      <c r="F266" t="str">
        <f>IFERROR(__xludf.DUMMYFUNCTION("""COMPUTED_VALUE"""),"CB")</f>
        <v>CB</v>
      </c>
      <c r="G266">
        <f>IFERROR(__xludf.DUMMYFUNCTION("""COMPUTED_VALUE"""),10.049999999999999)</f>
        <v>10.05</v>
      </c>
    </row>
    <row r="267">
      <c r="D267" t="str">
        <f>IFERROR(__xludf.DUMMYFUNCTION("""COMPUTED_VALUE"""),"Brown")</f>
        <v>Brown</v>
      </c>
      <c r="E267" t="str">
        <f>IFERROR(__xludf.DUMMYFUNCTION("""COMPUTED_VALUE"""),"Jamon")</f>
        <v>Jamon</v>
      </c>
      <c r="F267" t="str">
        <f>IFERROR(__xludf.DUMMYFUNCTION("""COMPUTED_VALUE"""),"RG")</f>
        <v>RG</v>
      </c>
      <c r="G267">
        <f>IFERROR(__xludf.DUMMYFUNCTION("""COMPUTED_VALUE"""),10.2)</f>
        <v>10.2</v>
      </c>
    </row>
    <row r="268">
      <c r="D268" t="str">
        <f>IFERROR(__xludf.DUMMYFUNCTION("""COMPUTED_VALUE"""),"Brown")</f>
        <v>Brown</v>
      </c>
      <c r="E268" t="str">
        <f>IFERROR(__xludf.DUMMYFUNCTION("""COMPUTED_VALUE"""),"Jaron")</f>
        <v>Jaron</v>
      </c>
      <c r="F268" t="str">
        <f>IFERROR(__xludf.DUMMYFUNCTION("""COMPUTED_VALUE"""),"WR")</f>
        <v>WR</v>
      </c>
      <c r="G268">
        <f>IFERROR(__xludf.DUMMYFUNCTION("""COMPUTED_VALUE"""),10.799999999999999)</f>
        <v>10.8</v>
      </c>
    </row>
    <row r="269">
      <c r="D269" t="str">
        <f>IFERROR(__xludf.DUMMYFUNCTION("""COMPUTED_VALUE"""),"Brown")</f>
        <v>Brown</v>
      </c>
      <c r="E269" t="str">
        <f>IFERROR(__xludf.DUMMYFUNCTION("""COMPUTED_VALUE"""),"Jatavis")</f>
        <v>Jatavis</v>
      </c>
      <c r="F269" t="str">
        <f>IFERROR(__xludf.DUMMYFUNCTION("""COMPUTED_VALUE"""),"LOLB")</f>
        <v>LOLB</v>
      </c>
      <c r="G269">
        <f>IFERROR(__xludf.DUMMYFUNCTION("""COMPUTED_VALUE"""),9.75)</f>
        <v>9.75</v>
      </c>
    </row>
    <row r="270">
      <c r="D270" t="str">
        <f>IFERROR(__xludf.DUMMYFUNCTION("""COMPUTED_VALUE"""),"Brown")</f>
        <v>Brown</v>
      </c>
      <c r="E270" t="str">
        <f>IFERROR(__xludf.DUMMYFUNCTION("""COMPUTED_VALUE"""),"John")</f>
        <v>John</v>
      </c>
      <c r="F270" t="str">
        <f>IFERROR(__xludf.DUMMYFUNCTION("""COMPUTED_VALUE"""),"WR")</f>
        <v>WR</v>
      </c>
      <c r="G270">
        <f>IFERROR(__xludf.DUMMYFUNCTION("""COMPUTED_VALUE"""),12.9)</f>
        <v>12.9</v>
      </c>
    </row>
    <row r="271">
      <c r="D271" t="str">
        <f>IFERROR(__xludf.DUMMYFUNCTION("""COMPUTED_VALUE"""),"Brown")</f>
        <v>Brown</v>
      </c>
      <c r="E271" t="str">
        <f>IFERROR(__xludf.DUMMYFUNCTION("""COMPUTED_VALUE"""),"Josh")</f>
        <v>Josh</v>
      </c>
      <c r="F271" t="str">
        <f>IFERROR(__xludf.DUMMYFUNCTION("""COMPUTED_VALUE"""),"K")</f>
        <v>K</v>
      </c>
      <c r="G271">
        <f>IFERROR(__xludf.DUMMYFUNCTION("""COMPUTED_VALUE"""),12.45)</f>
        <v>12.45</v>
      </c>
    </row>
    <row r="272">
      <c r="D272" t="str">
        <f>IFERROR(__xludf.DUMMYFUNCTION("""COMPUTED_VALUE"""),"Brown")</f>
        <v>Brown</v>
      </c>
      <c r="E272" t="str">
        <f>IFERROR(__xludf.DUMMYFUNCTION("""COMPUTED_VALUE"""),"Kourtnei")</f>
        <v>Kourtnei</v>
      </c>
      <c r="F272" t="str">
        <f>IFERROR(__xludf.DUMMYFUNCTION("""COMPUTED_VALUE"""),"LE")</f>
        <v>LE</v>
      </c>
      <c r="G272">
        <f>IFERROR(__xludf.DUMMYFUNCTION("""COMPUTED_VALUE"""),9.15)</f>
        <v>9.15</v>
      </c>
    </row>
    <row r="273">
      <c r="D273" t="str">
        <f>IFERROR(__xludf.DUMMYFUNCTION("""COMPUTED_VALUE"""),"Brown")</f>
        <v>Brown</v>
      </c>
      <c r="E273" t="str">
        <f>IFERROR(__xludf.DUMMYFUNCTION("""COMPUTED_VALUE"""),"Malcolm")</f>
        <v>Malcolm</v>
      </c>
      <c r="F273" t="str">
        <f>IFERROR(__xludf.DUMMYFUNCTION("""COMPUTED_VALUE"""),"HB")</f>
        <v>HB</v>
      </c>
      <c r="G273">
        <f>IFERROR(__xludf.DUMMYFUNCTION("""COMPUTED_VALUE"""),9.9)</f>
        <v>9.9</v>
      </c>
    </row>
    <row r="274">
      <c r="D274" t="str">
        <f>IFERROR(__xludf.DUMMYFUNCTION("""COMPUTED_VALUE"""),"Brown")</f>
        <v>Brown</v>
      </c>
      <c r="E274" t="str">
        <f>IFERROR(__xludf.DUMMYFUNCTION("""COMPUTED_VALUE"""),"Malcom")</f>
        <v>Malcom</v>
      </c>
      <c r="F274" t="str">
        <f>IFERROR(__xludf.DUMMYFUNCTION("""COMPUTED_VALUE"""),"DT")</f>
        <v>DT</v>
      </c>
      <c r="G274">
        <f>IFERROR(__xludf.DUMMYFUNCTION("""COMPUTED_VALUE"""),10.65)</f>
        <v>10.65</v>
      </c>
    </row>
    <row r="275">
      <c r="D275" t="str">
        <f>IFERROR(__xludf.DUMMYFUNCTION("""COMPUTED_VALUE"""),"Brown")</f>
        <v>Brown</v>
      </c>
      <c r="E275" t="str">
        <f>IFERROR(__xludf.DUMMYFUNCTION("""COMPUTED_VALUE"""),"Marlon")</f>
        <v>Marlon</v>
      </c>
      <c r="F275" t="str">
        <f>IFERROR(__xludf.DUMMYFUNCTION("""COMPUTED_VALUE"""),"WR")</f>
        <v>WR</v>
      </c>
      <c r="G275">
        <f>IFERROR(__xludf.DUMMYFUNCTION("""COMPUTED_VALUE"""),10.95)</f>
        <v>10.95</v>
      </c>
    </row>
    <row r="276">
      <c r="D276" t="str">
        <f>IFERROR(__xludf.DUMMYFUNCTION("""COMPUTED_VALUE"""),"Brown")</f>
        <v>Brown</v>
      </c>
      <c r="E276" t="str">
        <f>IFERROR(__xludf.DUMMYFUNCTION("""COMPUTED_VALUE"""),"Philly")</f>
        <v>Philly</v>
      </c>
      <c r="F276" t="str">
        <f>IFERROR(__xludf.DUMMYFUNCTION("""COMPUTED_VALUE"""),"WR")</f>
        <v>WR</v>
      </c>
      <c r="G276">
        <f>IFERROR(__xludf.DUMMYFUNCTION("""COMPUTED_VALUE"""),11.4)</f>
        <v>11.4</v>
      </c>
    </row>
    <row r="277">
      <c r="D277" t="str">
        <f>IFERROR(__xludf.DUMMYFUNCTION("""COMPUTED_VALUE"""),"Brown")</f>
        <v>Brown</v>
      </c>
      <c r="E277" t="str">
        <f>IFERROR(__xludf.DUMMYFUNCTION("""COMPUTED_VALUE"""),"Preston")</f>
        <v>Preston</v>
      </c>
      <c r="F277" t="str">
        <f>IFERROR(__xludf.DUMMYFUNCTION("""COMPUTED_VALUE"""),"MLB")</f>
        <v>MLB</v>
      </c>
      <c r="G277">
        <f>IFERROR(__xludf.DUMMYFUNCTION("""COMPUTED_VALUE"""),10.95)</f>
        <v>10.95</v>
      </c>
    </row>
    <row r="278">
      <c r="D278" t="str">
        <f>IFERROR(__xludf.DUMMYFUNCTION("""COMPUTED_VALUE"""),"Brown")</f>
        <v>Brown</v>
      </c>
      <c r="E278" t="str">
        <f>IFERROR(__xludf.DUMMYFUNCTION("""COMPUTED_VALUE"""),"Ryan")</f>
        <v>Ryan</v>
      </c>
      <c r="F278" t="str">
        <f>IFERROR(__xludf.DUMMYFUNCTION("""COMPUTED_VALUE"""),"LE")</f>
        <v>LE</v>
      </c>
      <c r="G278">
        <f>IFERROR(__xludf.DUMMYFUNCTION("""COMPUTED_VALUE"""),8.85)</f>
        <v>8.85</v>
      </c>
    </row>
    <row r="279">
      <c r="D279" t="str">
        <f>IFERROR(__xludf.DUMMYFUNCTION("""COMPUTED_VALUE"""),"Brown")</f>
        <v>Brown</v>
      </c>
      <c r="E279" t="str">
        <f>IFERROR(__xludf.DUMMYFUNCTION("""COMPUTED_VALUE"""),"Stevie")</f>
        <v>Stevie</v>
      </c>
      <c r="F279" t="str">
        <f>IFERROR(__xludf.DUMMYFUNCTION("""COMPUTED_VALUE"""),"SS")</f>
        <v>SS</v>
      </c>
      <c r="G279">
        <f>IFERROR(__xludf.DUMMYFUNCTION("""COMPUTED_VALUE"""),11.549999999999999)</f>
        <v>11.55</v>
      </c>
    </row>
    <row r="280">
      <c r="D280" t="str">
        <f>IFERROR(__xludf.DUMMYFUNCTION("""COMPUTED_VALUE"""),"Brown")</f>
        <v>Brown</v>
      </c>
      <c r="E280" t="str">
        <f>IFERROR(__xludf.DUMMYFUNCTION("""COMPUTED_VALUE"""),"Trent")</f>
        <v>Trent</v>
      </c>
      <c r="F280" t="str">
        <f>IFERROR(__xludf.DUMMYFUNCTION("""COMPUTED_VALUE"""),"RT")</f>
        <v>RT</v>
      </c>
      <c r="G280">
        <f>IFERROR(__xludf.DUMMYFUNCTION("""COMPUTED_VALUE"""),9.75)</f>
        <v>9.75</v>
      </c>
    </row>
    <row r="281">
      <c r="D281" t="str">
        <f>IFERROR(__xludf.DUMMYFUNCTION("""COMPUTED_VALUE"""),"Brown")</f>
        <v>Brown</v>
      </c>
      <c r="E281" t="str">
        <f>IFERROR(__xludf.DUMMYFUNCTION("""COMPUTED_VALUE"""),"Zach")</f>
        <v>Zach</v>
      </c>
      <c r="F281" t="str">
        <f>IFERROR(__xludf.DUMMYFUNCTION("""COMPUTED_VALUE"""),"ROLB")</f>
        <v>ROLB</v>
      </c>
      <c r="G281">
        <f>IFERROR(__xludf.DUMMYFUNCTION("""COMPUTED_VALUE"""),12.299999999999999)</f>
        <v>12.3</v>
      </c>
    </row>
    <row r="282">
      <c r="D282" t="str">
        <f>IFERROR(__xludf.DUMMYFUNCTION("""COMPUTED_VALUE"""),"Browner")</f>
        <v>Browner</v>
      </c>
      <c r="E282" t="str">
        <f>IFERROR(__xludf.DUMMYFUNCTION("""COMPUTED_VALUE"""),"Brandon")</f>
        <v>Brandon</v>
      </c>
      <c r="F282" t="str">
        <f>IFERROR(__xludf.DUMMYFUNCTION("""COMPUTED_VALUE"""),"CB")</f>
        <v>CB</v>
      </c>
      <c r="G282">
        <f>IFERROR(__xludf.DUMMYFUNCTION("""COMPUTED_VALUE"""),10.95)</f>
        <v>10.95</v>
      </c>
    </row>
    <row r="283">
      <c r="D283" t="str">
        <f>IFERROR(__xludf.DUMMYFUNCTION("""COMPUTED_VALUE"""),"Bruton Jr.")</f>
        <v>Bruton Jr.</v>
      </c>
      <c r="E283" t="str">
        <f>IFERROR(__xludf.DUMMYFUNCTION("""COMPUTED_VALUE"""),"David")</f>
        <v>David</v>
      </c>
      <c r="F283" t="str">
        <f>IFERROR(__xludf.DUMMYFUNCTION("""COMPUTED_VALUE"""),"SS")</f>
        <v>SS</v>
      </c>
      <c r="G283">
        <f>IFERROR(__xludf.DUMMYFUNCTION("""COMPUTED_VALUE"""),11.549999999999999)</f>
        <v>11.55</v>
      </c>
    </row>
    <row r="284">
      <c r="D284" t="str">
        <f>IFERROR(__xludf.DUMMYFUNCTION("""COMPUTED_VALUE"""),"Brutus")</f>
        <v>Brutus</v>
      </c>
      <c r="E284" t="str">
        <f>IFERROR(__xludf.DUMMYFUNCTION("""COMPUTED_VALUE"""),"Lamarcus")</f>
        <v>Lamarcus</v>
      </c>
      <c r="F284" t="str">
        <f>IFERROR(__xludf.DUMMYFUNCTION("""COMPUTED_VALUE"""),"SS")</f>
        <v>SS</v>
      </c>
      <c r="G284">
        <f>IFERROR(__xludf.DUMMYFUNCTION("""COMPUTED_VALUE"""),9.15)</f>
        <v>9.15</v>
      </c>
    </row>
    <row r="285">
      <c r="D285" t="str">
        <f>IFERROR(__xludf.DUMMYFUNCTION("""COMPUTED_VALUE"""),"Bryant")</f>
        <v>Bryant</v>
      </c>
      <c r="E285" t="str">
        <f>IFERROR(__xludf.DUMMYFUNCTION("""COMPUTED_VALUE"""),"Armonty")</f>
        <v>Armonty</v>
      </c>
      <c r="F285" t="str">
        <f>IFERROR(__xludf.DUMMYFUNCTION("""COMPUTED_VALUE"""),"LE")</f>
        <v>LE</v>
      </c>
      <c r="G285">
        <f>IFERROR(__xludf.DUMMYFUNCTION("""COMPUTED_VALUE"""),10.5)</f>
        <v>10.5</v>
      </c>
    </row>
    <row r="286">
      <c r="D286" t="str">
        <f>IFERROR(__xludf.DUMMYFUNCTION("""COMPUTED_VALUE"""),"Bryant")</f>
        <v>Bryant</v>
      </c>
      <c r="E286" t="str">
        <f>IFERROR(__xludf.DUMMYFUNCTION("""COMPUTED_VALUE"""),"Christian")</f>
        <v>Christian</v>
      </c>
      <c r="F286" t="str">
        <f>IFERROR(__xludf.DUMMYFUNCTION("""COMPUTED_VALUE"""),"SS")</f>
        <v>SS</v>
      </c>
      <c r="G286">
        <f>IFERROR(__xludf.DUMMYFUNCTION("""COMPUTED_VALUE"""),9.6)</f>
        <v>9.6</v>
      </c>
    </row>
    <row r="287">
      <c r="D287" t="str">
        <f>IFERROR(__xludf.DUMMYFUNCTION("""COMPUTED_VALUE"""),"Bryant")</f>
        <v>Bryant</v>
      </c>
      <c r="E287" t="str">
        <f>IFERROR(__xludf.DUMMYFUNCTION("""COMPUTED_VALUE"""),"Corbin")</f>
        <v>Corbin</v>
      </c>
      <c r="F287" t="str">
        <f>IFERROR(__xludf.DUMMYFUNCTION("""COMPUTED_VALUE"""),"DT")</f>
        <v>DT</v>
      </c>
      <c r="G287">
        <f>IFERROR(__xludf.DUMMYFUNCTION("""COMPUTED_VALUE"""),10.65)</f>
        <v>10.65</v>
      </c>
    </row>
    <row r="288">
      <c r="D288" t="str">
        <f>IFERROR(__xludf.DUMMYFUNCTION("""COMPUTED_VALUE"""),"Bryant")</f>
        <v>Bryant</v>
      </c>
      <c r="E288" t="str">
        <f>IFERROR(__xludf.DUMMYFUNCTION("""COMPUTED_VALUE"""),"Desmond")</f>
        <v>Desmond</v>
      </c>
      <c r="F288" t="str">
        <f>IFERROR(__xludf.DUMMYFUNCTION("""COMPUTED_VALUE"""),"LE")</f>
        <v>LE</v>
      </c>
      <c r="G288">
        <f>IFERROR(__xludf.DUMMYFUNCTION("""COMPUTED_VALUE"""),11.549999999999999)</f>
        <v>11.55</v>
      </c>
    </row>
    <row r="289">
      <c r="D289" t="str">
        <f>IFERROR(__xludf.DUMMYFUNCTION("""COMPUTED_VALUE"""),"Bryant")</f>
        <v>Bryant</v>
      </c>
      <c r="E289" t="str">
        <f>IFERROR(__xludf.DUMMYFUNCTION("""COMPUTED_VALUE"""),"Dez")</f>
        <v>Dez</v>
      </c>
      <c r="F289" t="str">
        <f>IFERROR(__xludf.DUMMYFUNCTION("""COMPUTED_VALUE"""),"WR")</f>
        <v>WR</v>
      </c>
      <c r="G289">
        <f>IFERROR(__xludf.DUMMYFUNCTION("""COMPUTED_VALUE"""),13.5)</f>
        <v>13.5</v>
      </c>
    </row>
    <row r="290">
      <c r="D290" t="str">
        <f>IFERROR(__xludf.DUMMYFUNCTION("""COMPUTED_VALUE"""),"Bryant")</f>
        <v>Bryant</v>
      </c>
      <c r="E290" t="str">
        <f>IFERROR(__xludf.DUMMYFUNCTION("""COMPUTED_VALUE"""),"Martavis")</f>
        <v>Martavis</v>
      </c>
      <c r="F290" t="str">
        <f>IFERROR(__xludf.DUMMYFUNCTION("""COMPUTED_VALUE"""),"WR")</f>
        <v>WR</v>
      </c>
      <c r="G290">
        <f>IFERROR(__xludf.DUMMYFUNCTION("""COMPUTED_VALUE"""),12.299999999999999)</f>
        <v>12.3</v>
      </c>
    </row>
    <row r="291">
      <c r="D291" t="str">
        <f>IFERROR(__xludf.DUMMYFUNCTION("""COMPUTED_VALUE"""),"Bryant")</f>
        <v>Bryant</v>
      </c>
      <c r="E291" t="str">
        <f>IFERROR(__xludf.DUMMYFUNCTION("""COMPUTED_VALUE"""),"Matt")</f>
        <v>Matt</v>
      </c>
      <c r="F291" t="str">
        <f>IFERROR(__xludf.DUMMYFUNCTION("""COMPUTED_VALUE"""),"K")</f>
        <v>K</v>
      </c>
      <c r="G291">
        <f>IFERROR(__xludf.DUMMYFUNCTION("""COMPUTED_VALUE"""),12.15)</f>
        <v>12.15</v>
      </c>
    </row>
    <row r="292">
      <c r="D292" t="str">
        <f>IFERROR(__xludf.DUMMYFUNCTION("""COMPUTED_VALUE"""),"Bryant")</f>
        <v>Bryant</v>
      </c>
      <c r="E292" t="str">
        <f>IFERROR(__xludf.DUMMYFUNCTION("""COMPUTED_VALUE"""),"Red")</f>
        <v>Red</v>
      </c>
      <c r="F292" t="str">
        <f>IFERROR(__xludf.DUMMYFUNCTION("""COMPUTED_VALUE"""),"LE")</f>
        <v>LE</v>
      </c>
      <c r="G292">
        <f>IFERROR(__xludf.DUMMYFUNCTION("""COMPUTED_VALUE"""),10.95)</f>
        <v>10.95</v>
      </c>
    </row>
    <row r="293">
      <c r="D293" t="str">
        <f>IFERROR(__xludf.DUMMYFUNCTION("""COMPUTED_VALUE"""),"Bucannon")</f>
        <v>Bucannon</v>
      </c>
      <c r="E293" t="str">
        <f>IFERROR(__xludf.DUMMYFUNCTION("""COMPUTED_VALUE"""),"Deone")</f>
        <v>Deone</v>
      </c>
      <c r="F293" t="str">
        <f>IFERROR(__xludf.DUMMYFUNCTION("""COMPUTED_VALUE"""),"MLB")</f>
        <v>MLB</v>
      </c>
      <c r="G293">
        <f>IFERROR(__xludf.DUMMYFUNCTION("""COMPUTED_VALUE"""),11.7)</f>
        <v>11.7</v>
      </c>
    </row>
    <row r="294">
      <c r="D294" t="str">
        <f>IFERROR(__xludf.DUMMYFUNCTION("""COMPUTED_VALUE"""),"Buckner")</f>
        <v>Buckner</v>
      </c>
      <c r="E294" t="str">
        <f>IFERROR(__xludf.DUMMYFUNCTION("""COMPUTED_VALUE"""),"DeForest")</f>
        <v>DeForest</v>
      </c>
      <c r="F294" t="str">
        <f>IFERROR(__xludf.DUMMYFUNCTION("""COMPUTED_VALUE"""),"RE")</f>
        <v>RE</v>
      </c>
      <c r="G294">
        <f>IFERROR(__xludf.DUMMYFUNCTION("""COMPUTED_VALUE"""),11.7)</f>
        <v>11.7</v>
      </c>
    </row>
    <row r="295">
      <c r="D295" t="str">
        <f>IFERROR(__xludf.DUMMYFUNCTION("""COMPUTED_VALUE"""),"Bulaga")</f>
        <v>Bulaga</v>
      </c>
      <c r="E295" t="str">
        <f>IFERROR(__xludf.DUMMYFUNCTION("""COMPUTED_VALUE"""),"Bryan")</f>
        <v>Bryan</v>
      </c>
      <c r="F295" t="str">
        <f>IFERROR(__xludf.DUMMYFUNCTION("""COMPUTED_VALUE"""),"RT")</f>
        <v>RT</v>
      </c>
      <c r="G295">
        <f>IFERROR(__xludf.DUMMYFUNCTION("""COMPUTED_VALUE"""),11.85)</f>
        <v>11.85</v>
      </c>
    </row>
    <row r="296">
      <c r="D296" t="str">
        <f>IFERROR(__xludf.DUMMYFUNCTION("""COMPUTED_VALUE"""),"Bullard")</f>
        <v>Bullard</v>
      </c>
      <c r="E296" t="str">
        <f>IFERROR(__xludf.DUMMYFUNCTION("""COMPUTED_VALUE"""),"Jonathan")</f>
        <v>Jonathan</v>
      </c>
      <c r="F296" t="str">
        <f>IFERROR(__xludf.DUMMYFUNCTION("""COMPUTED_VALUE"""),"RE")</f>
        <v>RE</v>
      </c>
      <c r="G296">
        <f>IFERROR(__xludf.DUMMYFUNCTION("""COMPUTED_VALUE"""),10.2)</f>
        <v>10.2</v>
      </c>
    </row>
    <row r="297">
      <c r="D297" t="str">
        <f>IFERROR(__xludf.DUMMYFUNCTION("""COMPUTED_VALUE"""),"Bullough")</f>
        <v>Bullough</v>
      </c>
      <c r="E297" t="str">
        <f>IFERROR(__xludf.DUMMYFUNCTION("""COMPUTED_VALUE"""),"Max")</f>
        <v>Max</v>
      </c>
      <c r="F297" t="str">
        <f>IFERROR(__xludf.DUMMYFUNCTION("""COMPUTED_VALUE"""),"MLB")</f>
        <v>MLB</v>
      </c>
      <c r="G297">
        <f>IFERROR(__xludf.DUMMYFUNCTION("""COMPUTED_VALUE"""),10.2)</f>
        <v>10.2</v>
      </c>
    </row>
    <row r="298">
      <c r="D298" t="str">
        <f>IFERROR(__xludf.DUMMYFUNCTION("""COMPUTED_VALUE"""),"Burbridge")</f>
        <v>Burbridge</v>
      </c>
      <c r="E298" t="str">
        <f>IFERROR(__xludf.DUMMYFUNCTION("""COMPUTED_VALUE"""),"Aaron")</f>
        <v>Aaron</v>
      </c>
      <c r="F298" t="str">
        <f>IFERROR(__xludf.DUMMYFUNCTION("""COMPUTED_VALUE"""),"WR")</f>
        <v>WR</v>
      </c>
      <c r="G298">
        <f>IFERROR(__xludf.DUMMYFUNCTION("""COMPUTED_VALUE"""),9.45)</f>
        <v>9.45</v>
      </c>
    </row>
    <row r="299">
      <c r="D299" t="str">
        <f>IFERROR(__xludf.DUMMYFUNCTION("""COMPUTED_VALUE"""),"Burfict")</f>
        <v>Burfict</v>
      </c>
      <c r="E299" t="str">
        <f>IFERROR(__xludf.DUMMYFUNCTION("""COMPUTED_VALUE"""),"Vontaze")</f>
        <v>Vontaze</v>
      </c>
      <c r="F299" t="str">
        <f>IFERROR(__xludf.DUMMYFUNCTION("""COMPUTED_VALUE"""),"ROLB")</f>
        <v>ROLB</v>
      </c>
      <c r="G299">
        <f>IFERROR(__xludf.DUMMYFUNCTION("""COMPUTED_VALUE"""),13.2)</f>
        <v>13.2</v>
      </c>
    </row>
    <row r="300">
      <c r="D300" t="str">
        <f>IFERROR(__xludf.DUMMYFUNCTION("""COMPUTED_VALUE"""),"Burkhead")</f>
        <v>Burkhead</v>
      </c>
      <c r="E300" t="str">
        <f>IFERROR(__xludf.DUMMYFUNCTION("""COMPUTED_VALUE"""),"Rex")</f>
        <v>Rex</v>
      </c>
      <c r="F300" t="str">
        <f>IFERROR(__xludf.DUMMYFUNCTION("""COMPUTED_VALUE"""),"HB")</f>
        <v>HB</v>
      </c>
      <c r="G300">
        <f>IFERROR(__xludf.DUMMYFUNCTION("""COMPUTED_VALUE"""),10.65)</f>
        <v>10.65</v>
      </c>
    </row>
    <row r="301">
      <c r="D301" t="str">
        <f>IFERROR(__xludf.DUMMYFUNCTION("""COMPUTED_VALUE"""),"Burks")</f>
        <v>Burks</v>
      </c>
      <c r="E301" t="str">
        <f>IFERROR(__xludf.DUMMYFUNCTION("""COMPUTED_VALUE"""),"Brandon")</f>
        <v>Brandon</v>
      </c>
      <c r="F301" t="str">
        <f>IFERROR(__xludf.DUMMYFUNCTION("""COMPUTED_VALUE"""),"HB")</f>
        <v>HB</v>
      </c>
      <c r="G301">
        <f>IFERROR(__xludf.DUMMYFUNCTION("""COMPUTED_VALUE"""),9.15)</f>
        <v>9.15</v>
      </c>
    </row>
    <row r="302">
      <c r="D302" t="str">
        <f>IFERROR(__xludf.DUMMYFUNCTION("""COMPUTED_VALUE"""),"Burley")</f>
        <v>Burley</v>
      </c>
      <c r="E302" t="str">
        <f>IFERROR(__xludf.DUMMYFUNCTION("""COMPUTED_VALUE"""),"Marcus")</f>
        <v>Marcus</v>
      </c>
      <c r="F302" t="str">
        <f>IFERROR(__xludf.DUMMYFUNCTION("""COMPUTED_VALUE"""),"CB")</f>
        <v>CB</v>
      </c>
      <c r="G302">
        <f>IFERROR(__xludf.DUMMYFUNCTION("""COMPUTED_VALUE"""),10.65)</f>
        <v>10.65</v>
      </c>
    </row>
    <row r="303">
      <c r="D303" t="str">
        <f>IFERROR(__xludf.DUMMYFUNCTION("""COMPUTED_VALUE"""),"Burnett")</f>
        <v>Burnett</v>
      </c>
      <c r="E303" t="str">
        <f>IFERROR(__xludf.DUMMYFUNCTION("""COMPUTED_VALUE"""),"Morgan")</f>
        <v>Morgan</v>
      </c>
      <c r="F303" t="str">
        <f>IFERROR(__xludf.DUMMYFUNCTION("""COMPUTED_VALUE"""),"SS")</f>
        <v>SS</v>
      </c>
      <c r="G303">
        <f>IFERROR(__xludf.DUMMYFUNCTION("""COMPUTED_VALUE"""),12.75)</f>
        <v>12.75</v>
      </c>
    </row>
    <row r="304">
      <c r="D304" t="str">
        <f>IFERROR(__xludf.DUMMYFUNCTION("""COMPUTED_VALUE"""),"Burns")</f>
        <v>Burns</v>
      </c>
      <c r="E304" t="str">
        <f>IFERROR(__xludf.DUMMYFUNCTION("""COMPUTED_VALUE"""),"Artie")</f>
        <v>Artie</v>
      </c>
      <c r="F304" t="str">
        <f>IFERROR(__xludf.DUMMYFUNCTION("""COMPUTED_VALUE"""),"CB")</f>
        <v>CB</v>
      </c>
      <c r="G304">
        <f>IFERROR(__xludf.DUMMYFUNCTION("""COMPUTED_VALUE"""),10.799999999999999)</f>
        <v>10.8</v>
      </c>
    </row>
    <row r="305">
      <c r="D305" t="str">
        <f>IFERROR(__xludf.DUMMYFUNCTION("""COMPUTED_VALUE"""),"Burris")</f>
        <v>Burris</v>
      </c>
      <c r="E305" t="str">
        <f>IFERROR(__xludf.DUMMYFUNCTION("""COMPUTED_VALUE"""),"Juston")</f>
        <v>Juston</v>
      </c>
      <c r="F305" t="str">
        <f>IFERROR(__xludf.DUMMYFUNCTION("""COMPUTED_VALUE"""),"CB")</f>
        <v>CB</v>
      </c>
      <c r="G305">
        <f>IFERROR(__xludf.DUMMYFUNCTION("""COMPUTED_VALUE"""),10.2)</f>
        <v>10.2</v>
      </c>
    </row>
    <row r="306">
      <c r="D306" t="str">
        <f>IFERROR(__xludf.DUMMYFUNCTION("""COMPUTED_VALUE"""),"Burse")</f>
        <v>Burse</v>
      </c>
      <c r="E306" t="str">
        <f>IFERROR(__xludf.DUMMYFUNCTION("""COMPUTED_VALUE"""),"Isaiah")</f>
        <v>Isaiah</v>
      </c>
      <c r="F306" t="str">
        <f>IFERROR(__xludf.DUMMYFUNCTION("""COMPUTED_VALUE"""),"WR")</f>
        <v>WR</v>
      </c>
      <c r="G306">
        <f>IFERROR(__xludf.DUMMYFUNCTION("""COMPUTED_VALUE"""),9.15)</f>
        <v>9.15</v>
      </c>
    </row>
    <row r="307">
      <c r="D307" t="str">
        <f>IFERROR(__xludf.DUMMYFUNCTION("""COMPUTED_VALUE"""),"Burton")</f>
        <v>Burton</v>
      </c>
      <c r="E307" t="str">
        <f>IFERROR(__xludf.DUMMYFUNCTION("""COMPUTED_VALUE"""),"Michael")</f>
        <v>Michael</v>
      </c>
      <c r="F307" t="str">
        <f>IFERROR(__xludf.DUMMYFUNCTION("""COMPUTED_VALUE"""),"FB")</f>
        <v>FB</v>
      </c>
      <c r="G307">
        <f>IFERROR(__xludf.DUMMYFUNCTION("""COMPUTED_VALUE"""),12.45)</f>
        <v>12.45</v>
      </c>
    </row>
    <row r="308">
      <c r="D308" t="str">
        <f>IFERROR(__xludf.DUMMYFUNCTION("""COMPUTED_VALUE"""),"Burton")</f>
        <v>Burton</v>
      </c>
      <c r="E308" t="str">
        <f>IFERROR(__xludf.DUMMYFUNCTION("""COMPUTED_VALUE"""),"Trey")</f>
        <v>Trey</v>
      </c>
      <c r="F308" t="str">
        <f>IFERROR(__xludf.DUMMYFUNCTION("""COMPUTED_VALUE"""),"TE")</f>
        <v>TE</v>
      </c>
      <c r="G308">
        <f>IFERROR(__xludf.DUMMYFUNCTION("""COMPUTED_VALUE"""),10.35)</f>
        <v>10.35</v>
      </c>
    </row>
    <row r="309">
      <c r="D309" t="str">
        <f>IFERROR(__xludf.DUMMYFUNCTION("""COMPUTED_VALUE"""),"Burwell")</f>
        <v>Burwell</v>
      </c>
      <c r="E309" t="str">
        <f>IFERROR(__xludf.DUMMYFUNCTION("""COMPUTED_VALUE"""),"Tyreek")</f>
        <v>Tyreek</v>
      </c>
      <c r="F309" t="str">
        <f>IFERROR(__xludf.DUMMYFUNCTION("""COMPUTED_VALUE"""),"RT")</f>
        <v>RT</v>
      </c>
      <c r="G309">
        <f>IFERROR(__xludf.DUMMYFUNCTION("""COMPUTED_VALUE"""),9.45)</f>
        <v>9.45</v>
      </c>
    </row>
    <row r="310">
      <c r="D310" t="str">
        <f>IFERROR(__xludf.DUMMYFUNCTION("""COMPUTED_VALUE"""),"Bush")</f>
        <v>Bush</v>
      </c>
      <c r="E310" t="str">
        <f>IFERROR(__xludf.DUMMYFUNCTION("""COMPUTED_VALUE"""),"Deon")</f>
        <v>Deon</v>
      </c>
      <c r="F310" t="str">
        <f>IFERROR(__xludf.DUMMYFUNCTION("""COMPUTED_VALUE"""),"SS")</f>
        <v>SS</v>
      </c>
      <c r="G310">
        <f>IFERROR(__xludf.DUMMYFUNCTION("""COMPUTED_VALUE"""),10.2)</f>
        <v>10.2</v>
      </c>
    </row>
    <row r="311">
      <c r="D311" t="str">
        <f>IFERROR(__xludf.DUMMYFUNCTION("""COMPUTED_VALUE"""),"Bush")</f>
        <v>Bush</v>
      </c>
      <c r="E311" t="str">
        <f>IFERROR(__xludf.DUMMYFUNCTION("""COMPUTED_VALUE"""),"Rafael")</f>
        <v>Rafael</v>
      </c>
      <c r="F311" t="str">
        <f>IFERROR(__xludf.DUMMYFUNCTION("""COMPUTED_VALUE"""),"FS")</f>
        <v>FS</v>
      </c>
      <c r="G311">
        <f>IFERROR(__xludf.DUMMYFUNCTION("""COMPUTED_VALUE"""),11.549999999999999)</f>
        <v>11.55</v>
      </c>
    </row>
    <row r="312">
      <c r="D312" t="str">
        <f>IFERROR(__xludf.DUMMYFUNCTION("""COMPUTED_VALUE"""),"Bush")</f>
        <v>Bush</v>
      </c>
      <c r="E312" t="str">
        <f>IFERROR(__xludf.DUMMYFUNCTION("""COMPUTED_VALUE"""),"Reggie")</f>
        <v>Reggie</v>
      </c>
      <c r="F312" t="str">
        <f>IFERROR(__xludf.DUMMYFUNCTION("""COMPUTED_VALUE"""),"HB")</f>
        <v>HB</v>
      </c>
      <c r="G312">
        <f>IFERROR(__xludf.DUMMYFUNCTION("""COMPUTED_VALUE"""),11.1)</f>
        <v>11.1</v>
      </c>
    </row>
    <row r="313">
      <c r="D313" t="str">
        <f>IFERROR(__xludf.DUMMYFUNCTION("""COMPUTED_VALUE"""),"Bushrod")</f>
        <v>Bushrod</v>
      </c>
      <c r="E313" t="str">
        <f>IFERROR(__xludf.DUMMYFUNCTION("""COMPUTED_VALUE"""),"Jermon")</f>
        <v>Jermon</v>
      </c>
      <c r="F313" t="str">
        <f>IFERROR(__xludf.DUMMYFUNCTION("""COMPUTED_VALUE"""),"LG")</f>
        <v>LG</v>
      </c>
      <c r="G313">
        <f>IFERROR(__xludf.DUMMYFUNCTION("""COMPUTED_VALUE"""),12.15)</f>
        <v>12.15</v>
      </c>
    </row>
    <row r="314">
      <c r="D314" t="str">
        <f>IFERROR(__xludf.DUMMYFUNCTION("""COMPUTED_VALUE"""),"Butler")</f>
        <v>Butler</v>
      </c>
      <c r="E314" t="str">
        <f>IFERROR(__xludf.DUMMYFUNCTION("""COMPUTED_VALUE"""),"Brice")</f>
        <v>Brice</v>
      </c>
      <c r="F314" t="str">
        <f>IFERROR(__xludf.DUMMYFUNCTION("""COMPUTED_VALUE"""),"WR")</f>
        <v>WR</v>
      </c>
      <c r="G314">
        <f>IFERROR(__xludf.DUMMYFUNCTION("""COMPUTED_VALUE"""),10.65)</f>
        <v>10.65</v>
      </c>
    </row>
    <row r="315">
      <c r="D315" t="str">
        <f>IFERROR(__xludf.DUMMYFUNCTION("""COMPUTED_VALUE"""),"Butler")</f>
        <v>Butler</v>
      </c>
      <c r="E315" t="str">
        <f>IFERROR(__xludf.DUMMYFUNCTION("""COMPUTED_VALUE"""),"Crezdon")</f>
        <v>Crezdon</v>
      </c>
      <c r="F315" t="str">
        <f>IFERROR(__xludf.DUMMYFUNCTION("""COMPUTED_VALUE"""),"CB")</f>
        <v>CB</v>
      </c>
      <c r="G315">
        <f>IFERROR(__xludf.DUMMYFUNCTION("""COMPUTED_VALUE"""),10.2)</f>
        <v>10.2</v>
      </c>
    </row>
    <row r="316">
      <c r="D316" t="str">
        <f>IFERROR(__xludf.DUMMYFUNCTION("""COMPUTED_VALUE"""),"Butler")</f>
        <v>Butler</v>
      </c>
      <c r="E316" t="str">
        <f>IFERROR(__xludf.DUMMYFUNCTION("""COMPUTED_VALUE"""),"Darius")</f>
        <v>Darius</v>
      </c>
      <c r="F316" t="str">
        <f>IFERROR(__xludf.DUMMYFUNCTION("""COMPUTED_VALUE"""),"CB")</f>
        <v>CB</v>
      </c>
      <c r="G316">
        <f>IFERROR(__xludf.DUMMYFUNCTION("""COMPUTED_VALUE"""),10.799999999999999)</f>
        <v>10.8</v>
      </c>
    </row>
    <row r="317">
      <c r="D317" t="str">
        <f>IFERROR(__xludf.DUMMYFUNCTION("""COMPUTED_VALUE"""),"Butler")</f>
        <v>Butler</v>
      </c>
      <c r="E317" t="str">
        <f>IFERROR(__xludf.DUMMYFUNCTION("""COMPUTED_VALUE"""),"Donald")</f>
        <v>Donald</v>
      </c>
      <c r="F317" t="str">
        <f>IFERROR(__xludf.DUMMYFUNCTION("""COMPUTED_VALUE"""),"MLB")</f>
        <v>MLB</v>
      </c>
      <c r="G317">
        <f>IFERROR(__xludf.DUMMYFUNCTION("""COMPUTED_VALUE"""),10.95)</f>
        <v>10.95</v>
      </c>
    </row>
    <row r="318">
      <c r="D318" t="str">
        <f>IFERROR(__xludf.DUMMYFUNCTION("""COMPUTED_VALUE"""),"Butler")</f>
        <v>Butler</v>
      </c>
      <c r="E318" t="str">
        <f>IFERROR(__xludf.DUMMYFUNCTION("""COMPUTED_VALUE"""),"Drew")</f>
        <v>Drew</v>
      </c>
      <c r="F318" t="str">
        <f>IFERROR(__xludf.DUMMYFUNCTION("""COMPUTED_VALUE"""),"P")</f>
        <v>P</v>
      </c>
      <c r="G318">
        <f>IFERROR(__xludf.DUMMYFUNCTION("""COMPUTED_VALUE"""),11.4)</f>
        <v>11.4</v>
      </c>
    </row>
    <row r="319">
      <c r="D319" t="str">
        <f>IFERROR(__xludf.DUMMYFUNCTION("""COMPUTED_VALUE"""),"Butler")</f>
        <v>Butler</v>
      </c>
      <c r="E319" t="str">
        <f>IFERROR(__xludf.DUMMYFUNCTION("""COMPUTED_VALUE"""),"Malcolm")</f>
        <v>Malcolm</v>
      </c>
      <c r="F319" t="str">
        <f>IFERROR(__xludf.DUMMYFUNCTION("""COMPUTED_VALUE"""),"CB")</f>
        <v>CB</v>
      </c>
      <c r="G319">
        <f>IFERROR(__xludf.DUMMYFUNCTION("""COMPUTED_VALUE"""),12.75)</f>
        <v>12.75</v>
      </c>
    </row>
    <row r="320">
      <c r="D320" t="str">
        <f>IFERROR(__xludf.DUMMYFUNCTION("""COMPUTED_VALUE"""),"Butler")</f>
        <v>Butler</v>
      </c>
      <c r="E320" t="str">
        <f>IFERROR(__xludf.DUMMYFUNCTION("""COMPUTED_VALUE"""),"Vernon")</f>
        <v>Vernon</v>
      </c>
      <c r="F320" t="str">
        <f>IFERROR(__xludf.DUMMYFUNCTION("""COMPUTED_VALUE"""),"DT")</f>
        <v>DT</v>
      </c>
      <c r="G320">
        <f>IFERROR(__xludf.DUMMYFUNCTION("""COMPUTED_VALUE"""),11.1)</f>
        <v>11.1</v>
      </c>
    </row>
    <row r="321">
      <c r="D321" t="str">
        <f>IFERROR(__xludf.DUMMYFUNCTION("""COMPUTED_VALUE"""),"Byard")</f>
        <v>Byard</v>
      </c>
      <c r="E321" t="str">
        <f>IFERROR(__xludf.DUMMYFUNCTION("""COMPUTED_VALUE"""),"Kevin")</f>
        <v>Kevin</v>
      </c>
      <c r="F321" t="str">
        <f>IFERROR(__xludf.DUMMYFUNCTION("""COMPUTED_VALUE"""),"SS")</f>
        <v>SS</v>
      </c>
      <c r="G321">
        <f>IFERROR(__xludf.DUMMYFUNCTION("""COMPUTED_VALUE"""),10.65)</f>
        <v>10.65</v>
      </c>
    </row>
    <row r="322">
      <c r="D322" t="str">
        <f>IFERROR(__xludf.DUMMYFUNCTION("""COMPUTED_VALUE"""),"Bynes")</f>
        <v>Bynes</v>
      </c>
      <c r="E322" t="str">
        <f>IFERROR(__xludf.DUMMYFUNCTION("""COMPUTED_VALUE"""),"Josh")</f>
        <v>Josh</v>
      </c>
      <c r="F322" t="str">
        <f>IFERROR(__xludf.DUMMYFUNCTION("""COMPUTED_VALUE"""),"ROLB")</f>
        <v>ROLB</v>
      </c>
      <c r="G322">
        <f>IFERROR(__xludf.DUMMYFUNCTION("""COMPUTED_VALUE"""),11.85)</f>
        <v>11.85</v>
      </c>
    </row>
    <row r="323">
      <c r="D323" t="str">
        <f>IFERROR(__xludf.DUMMYFUNCTION("""COMPUTED_VALUE"""),"Byrd")</f>
        <v>Byrd</v>
      </c>
      <c r="E323" t="str">
        <f>IFERROR(__xludf.DUMMYFUNCTION("""COMPUTED_VALUE"""),"Jairus")</f>
        <v>Jairus</v>
      </c>
      <c r="F323" t="str">
        <f>IFERROR(__xludf.DUMMYFUNCTION("""COMPUTED_VALUE"""),"FS")</f>
        <v>FS</v>
      </c>
      <c r="G323">
        <f>IFERROR(__xludf.DUMMYFUNCTION("""COMPUTED_VALUE"""),12.45)</f>
        <v>12.45</v>
      </c>
    </row>
    <row r="324">
      <c r="D324" t="str">
        <f>IFERROR(__xludf.DUMMYFUNCTION("""COMPUTED_VALUE"""),"Cadet")</f>
        <v>Cadet</v>
      </c>
      <c r="E324" t="str">
        <f>IFERROR(__xludf.DUMMYFUNCTION("""COMPUTED_VALUE"""),"Travaris")</f>
        <v>Travaris</v>
      </c>
      <c r="F324" t="str">
        <f>IFERROR(__xludf.DUMMYFUNCTION("""COMPUTED_VALUE"""),"HB")</f>
        <v>HB</v>
      </c>
      <c r="G324">
        <f>IFERROR(__xludf.DUMMYFUNCTION("""COMPUTED_VALUE"""),10.65)</f>
        <v>10.65</v>
      </c>
    </row>
    <row r="325">
      <c r="D325" t="str">
        <f>IFERROR(__xludf.DUMMYFUNCTION("""COMPUTED_VALUE"""),"Cajuste")</f>
        <v>Cajuste</v>
      </c>
      <c r="E325" t="str">
        <f>IFERROR(__xludf.DUMMYFUNCTION("""COMPUTED_VALUE"""),"Devon")</f>
        <v>Devon</v>
      </c>
      <c r="F325" t="str">
        <f>IFERROR(__xludf.DUMMYFUNCTION("""COMPUTED_VALUE"""),"WR")</f>
        <v>WR</v>
      </c>
      <c r="G325">
        <f>IFERROR(__xludf.DUMMYFUNCTION("""COMPUTED_VALUE"""),9.45)</f>
        <v>9.45</v>
      </c>
    </row>
    <row r="326">
      <c r="D326" t="str">
        <f>IFERROR(__xludf.DUMMYFUNCTION("""COMPUTED_VALUE"""),"Caldwell")</f>
        <v>Caldwell</v>
      </c>
      <c r="E326" t="str">
        <f>IFERROR(__xludf.DUMMYFUNCTION("""COMPUTED_VALUE"""),"Andre")</f>
        <v>Andre</v>
      </c>
      <c r="F326" t="str">
        <f>IFERROR(__xludf.DUMMYFUNCTION("""COMPUTED_VALUE"""),"WR")</f>
        <v>WR</v>
      </c>
      <c r="G326">
        <f>IFERROR(__xludf.DUMMYFUNCTION("""COMPUTED_VALUE"""),10.5)</f>
        <v>10.5</v>
      </c>
    </row>
    <row r="327">
      <c r="D327" t="str">
        <f>IFERROR(__xludf.DUMMYFUNCTION("""COMPUTED_VALUE"""),"Caldwell")</f>
        <v>Caldwell</v>
      </c>
      <c r="E327" t="str">
        <f>IFERROR(__xludf.DUMMYFUNCTION("""COMPUTED_VALUE"""),"Trey")</f>
        <v>Trey</v>
      </c>
      <c r="F327" t="str">
        <f>IFERROR(__xludf.DUMMYFUNCTION("""COMPUTED_VALUE"""),"CB")</f>
        <v>CB</v>
      </c>
      <c r="G327">
        <f>IFERROR(__xludf.DUMMYFUNCTION("""COMPUTED_VALUE"""),9.299999999999999)</f>
        <v>9.3</v>
      </c>
    </row>
    <row r="328">
      <c r="D328" t="str">
        <f>IFERROR(__xludf.DUMMYFUNCTION("""COMPUTED_VALUE"""),"Calhoun")</f>
        <v>Calhoun</v>
      </c>
      <c r="E328" t="str">
        <f>IFERROR(__xludf.DUMMYFUNCTION("""COMPUTED_VALUE"""),"Shilique")</f>
        <v>Shilique</v>
      </c>
      <c r="F328" t="str">
        <f>IFERROR(__xludf.DUMMYFUNCTION("""COMPUTED_VALUE"""),"ROLB")</f>
        <v>ROLB</v>
      </c>
      <c r="G328">
        <f>IFERROR(__xludf.DUMMYFUNCTION("""COMPUTED_VALUE"""),10.35)</f>
        <v>10.35</v>
      </c>
    </row>
    <row r="329">
      <c r="D329" t="str">
        <f>IFERROR(__xludf.DUMMYFUNCTION("""COMPUTED_VALUE"""),"Calhoun")</f>
        <v>Calhoun</v>
      </c>
      <c r="E329" t="str">
        <f>IFERROR(__xludf.DUMMYFUNCTION("""COMPUTED_VALUE"""),"Taveze")</f>
        <v>Taveze</v>
      </c>
      <c r="F329" t="str">
        <f>IFERROR(__xludf.DUMMYFUNCTION("""COMPUTED_VALUE"""),"CB")</f>
        <v>CB</v>
      </c>
      <c r="G329">
        <f>IFERROR(__xludf.DUMMYFUNCTION("""COMPUTED_VALUE"""),9.299999999999999)</f>
        <v>9.3</v>
      </c>
    </row>
    <row r="330">
      <c r="D330" t="str">
        <f>IFERROR(__xludf.DUMMYFUNCTION("""COMPUTED_VALUE"""),"Callahan")</f>
        <v>Callahan</v>
      </c>
      <c r="E330" t="str">
        <f>IFERROR(__xludf.DUMMYFUNCTION("""COMPUTED_VALUE"""),"Bryce")</f>
        <v>Bryce</v>
      </c>
      <c r="F330" t="str">
        <f>IFERROR(__xludf.DUMMYFUNCTION("""COMPUTED_VALUE"""),"CB")</f>
        <v>CB</v>
      </c>
      <c r="G330">
        <f>IFERROR(__xludf.DUMMYFUNCTION("""COMPUTED_VALUE"""),10.35)</f>
        <v>10.35</v>
      </c>
    </row>
    <row r="331">
      <c r="D331" t="str">
        <f>IFERROR(__xludf.DUMMYFUNCTION("""COMPUTED_VALUE"""),"Callahan")</f>
        <v>Callahan</v>
      </c>
      <c r="E331" t="str">
        <f>IFERROR(__xludf.DUMMYFUNCTION("""COMPUTED_VALUE"""),"Joe")</f>
        <v>Joe</v>
      </c>
      <c r="F331" t="str">
        <f>IFERROR(__xludf.DUMMYFUNCTION("""COMPUTED_VALUE"""),"QB")</f>
        <v>QB</v>
      </c>
      <c r="G331">
        <f>IFERROR(__xludf.DUMMYFUNCTION("""COMPUTED_VALUE"""),9.299999999999999)</f>
        <v>9.3</v>
      </c>
    </row>
    <row r="332">
      <c r="D332" t="str">
        <f>IFERROR(__xludf.DUMMYFUNCTION("""COMPUTED_VALUE"""),"Cameron")</f>
        <v>Cameron</v>
      </c>
      <c r="E332" t="str">
        <f>IFERROR(__xludf.DUMMYFUNCTION("""COMPUTED_VALUE"""),"Jordan")</f>
        <v>Jordan</v>
      </c>
      <c r="F332" t="str">
        <f>IFERROR(__xludf.DUMMYFUNCTION("""COMPUTED_VALUE"""),"TE")</f>
        <v>TE</v>
      </c>
      <c r="G332">
        <f>IFERROR(__xludf.DUMMYFUNCTION("""COMPUTED_VALUE"""),12.15)</f>
        <v>12.15</v>
      </c>
    </row>
    <row r="333">
      <c r="D333" t="str">
        <f>IFERROR(__xludf.DUMMYFUNCTION("""COMPUTED_VALUE"""),"Campanaro")</f>
        <v>Campanaro</v>
      </c>
      <c r="E333" t="str">
        <f>IFERROR(__xludf.DUMMYFUNCTION("""COMPUTED_VALUE"""),"Michael")</f>
        <v>Michael</v>
      </c>
      <c r="F333" t="str">
        <f>IFERROR(__xludf.DUMMYFUNCTION("""COMPUTED_VALUE"""),"WR")</f>
        <v>WR</v>
      </c>
      <c r="G333">
        <f>IFERROR(__xludf.DUMMYFUNCTION("""COMPUTED_VALUE"""),10.2)</f>
        <v>10.2</v>
      </c>
    </row>
    <row r="334">
      <c r="D334" t="str">
        <f>IFERROR(__xludf.DUMMYFUNCTION("""COMPUTED_VALUE"""),"Campbell")</f>
        <v>Campbell</v>
      </c>
      <c r="E334" t="str">
        <f>IFERROR(__xludf.DUMMYFUNCTION("""COMPUTED_VALUE"""),"Calais")</f>
        <v>Calais</v>
      </c>
      <c r="F334" t="str">
        <f>IFERROR(__xludf.DUMMYFUNCTION("""COMPUTED_VALUE"""),"LE")</f>
        <v>LE</v>
      </c>
      <c r="G334">
        <f>IFERROR(__xludf.DUMMYFUNCTION("""COMPUTED_VALUE"""),13.2)</f>
        <v>13.2</v>
      </c>
    </row>
    <row r="335">
      <c r="D335" t="str">
        <f>IFERROR(__xludf.DUMMYFUNCTION("""COMPUTED_VALUE"""),"Campbell")</f>
        <v>Campbell</v>
      </c>
      <c r="E335" t="str">
        <f>IFERROR(__xludf.DUMMYFUNCTION("""COMPUTED_VALUE"""),"DeVondre")</f>
        <v>DeVondre</v>
      </c>
      <c r="F335" t="str">
        <f>IFERROR(__xludf.DUMMYFUNCTION("""COMPUTED_VALUE"""),"MLB")</f>
        <v>MLB</v>
      </c>
      <c r="G335">
        <f>IFERROR(__xludf.DUMMYFUNCTION("""COMPUTED_VALUE"""),9.6)</f>
        <v>9.6</v>
      </c>
    </row>
    <row r="336">
      <c r="D336" t="str">
        <f>IFERROR(__xludf.DUMMYFUNCTION("""COMPUTED_VALUE"""),"Campbell")</f>
        <v>Campbell</v>
      </c>
      <c r="E336" t="str">
        <f>IFERROR(__xludf.DUMMYFUNCTION("""COMPUTED_VALUE"""),"Ibraheim")</f>
        <v>Ibraheim</v>
      </c>
      <c r="F336" t="str">
        <f>IFERROR(__xludf.DUMMYFUNCTION("""COMPUTED_VALUE"""),"SS")</f>
        <v>SS</v>
      </c>
      <c r="G336">
        <f>IFERROR(__xludf.DUMMYFUNCTION("""COMPUTED_VALUE"""),10.5)</f>
        <v>10.5</v>
      </c>
    </row>
    <row r="337">
      <c r="D337" t="str">
        <f>IFERROR(__xludf.DUMMYFUNCTION("""COMPUTED_VALUE"""),"Canaday")</f>
        <v>Canaday</v>
      </c>
      <c r="E337" t="str">
        <f>IFERROR(__xludf.DUMMYFUNCTION("""COMPUTED_VALUE"""),"Kameron")</f>
        <v>Kameron</v>
      </c>
      <c r="F337" t="str">
        <f>IFERROR(__xludf.DUMMYFUNCTION("""COMPUTED_VALUE"""),"TE")</f>
        <v>TE</v>
      </c>
      <c r="G337">
        <f>IFERROR(__xludf.DUMMYFUNCTION("""COMPUTED_VALUE"""),6.3)</f>
        <v>6.3</v>
      </c>
    </row>
    <row r="338">
      <c r="D338" t="str">
        <f>IFERROR(__xludf.DUMMYFUNCTION("""COMPUTED_VALUE"""),"Canady")</f>
        <v>Canady</v>
      </c>
      <c r="E338" t="str">
        <f>IFERROR(__xludf.DUMMYFUNCTION("""COMPUTED_VALUE"""),"Maurice")</f>
        <v>Maurice</v>
      </c>
      <c r="F338" t="str">
        <f>IFERROR(__xludf.DUMMYFUNCTION("""COMPUTED_VALUE"""),"SS")</f>
        <v>SS</v>
      </c>
      <c r="G338">
        <f>IFERROR(__xludf.DUMMYFUNCTION("""COMPUTED_VALUE"""),9.75)</f>
        <v>9.75</v>
      </c>
    </row>
    <row r="339">
      <c r="D339" t="str">
        <f>IFERROR(__xludf.DUMMYFUNCTION("""COMPUTED_VALUE"""),"Cann")</f>
        <v>Cann</v>
      </c>
      <c r="E339" t="str">
        <f>IFERROR(__xludf.DUMMYFUNCTION("""COMPUTED_VALUE"""),"AJ")</f>
        <v>AJ</v>
      </c>
      <c r="F339" t="str">
        <f>IFERROR(__xludf.DUMMYFUNCTION("""COMPUTED_VALUE"""),"RG")</f>
        <v>RG</v>
      </c>
      <c r="G339">
        <f>IFERROR(__xludf.DUMMYFUNCTION("""COMPUTED_VALUE"""),10.35)</f>
        <v>10.35</v>
      </c>
    </row>
    <row r="340">
      <c r="D340" t="str">
        <f>IFERROR(__xludf.DUMMYFUNCTION("""COMPUTED_VALUE"""),"Cannon")</f>
        <v>Cannon</v>
      </c>
      <c r="E340" t="str">
        <f>IFERROR(__xludf.DUMMYFUNCTION("""COMPUTED_VALUE"""),"Marcus")</f>
        <v>Marcus</v>
      </c>
      <c r="F340" t="str">
        <f>IFERROR(__xludf.DUMMYFUNCTION("""COMPUTED_VALUE"""),"LT")</f>
        <v>LT</v>
      </c>
      <c r="G340">
        <f>IFERROR(__xludf.DUMMYFUNCTION("""COMPUTED_VALUE"""),11.1)</f>
        <v>11.1</v>
      </c>
    </row>
    <row r="341">
      <c r="D341" t="str">
        <f>IFERROR(__xludf.DUMMYFUNCTION("""COMPUTED_VALUE"""),"Carder")</f>
        <v>Carder</v>
      </c>
      <c r="E341" t="str">
        <f>IFERROR(__xludf.DUMMYFUNCTION("""COMPUTED_VALUE"""),"Tank")</f>
        <v>Tank</v>
      </c>
      <c r="F341" t="str">
        <f>IFERROR(__xludf.DUMMYFUNCTION("""COMPUTED_VALUE"""),"MLB")</f>
        <v>MLB</v>
      </c>
      <c r="G341">
        <f>IFERROR(__xludf.DUMMYFUNCTION("""COMPUTED_VALUE"""),9.75)</f>
        <v>9.75</v>
      </c>
    </row>
    <row r="342">
      <c r="D342" t="str">
        <f>IFERROR(__xludf.DUMMYFUNCTION("""COMPUTED_VALUE"""),"Cardona")</f>
        <v>Cardona</v>
      </c>
      <c r="E342" t="str">
        <f>IFERROR(__xludf.DUMMYFUNCTION("""COMPUTED_VALUE"""),"Joe")</f>
        <v>Joe</v>
      </c>
      <c r="F342" t="str">
        <f>IFERROR(__xludf.DUMMYFUNCTION("""COMPUTED_VALUE"""),"TE")</f>
        <v>TE</v>
      </c>
      <c r="G342">
        <f>IFERROR(__xludf.DUMMYFUNCTION("""COMPUTED_VALUE"""),6.0)</f>
        <v>6</v>
      </c>
    </row>
    <row r="343">
      <c r="D343" t="str">
        <f>IFERROR(__xludf.DUMMYFUNCTION("""COMPUTED_VALUE"""),"Carey")</f>
        <v>Carey</v>
      </c>
      <c r="E343" t="str">
        <f>IFERROR(__xludf.DUMMYFUNCTION("""COMPUTED_VALUE"""),"Don")</f>
        <v>Don</v>
      </c>
      <c r="F343" t="str">
        <f>IFERROR(__xludf.DUMMYFUNCTION("""COMPUTED_VALUE"""),"SS")</f>
        <v>SS</v>
      </c>
      <c r="G343">
        <f>IFERROR(__xludf.DUMMYFUNCTION("""COMPUTED_VALUE"""),10.5)</f>
        <v>10.5</v>
      </c>
    </row>
    <row r="344">
      <c r="D344" t="str">
        <f>IFERROR(__xludf.DUMMYFUNCTION("""COMPUTED_VALUE"""),"Carey")</f>
        <v>Carey</v>
      </c>
      <c r="E344" t="str">
        <f>IFERROR(__xludf.DUMMYFUNCTION("""COMPUTED_VALUE"""),"KaDeem")</f>
        <v>KaDeem</v>
      </c>
      <c r="F344" t="str">
        <f>IFERROR(__xludf.DUMMYFUNCTION("""COMPUTED_VALUE"""),"HB")</f>
        <v>HB</v>
      </c>
      <c r="G344">
        <f>IFERROR(__xludf.DUMMYFUNCTION("""COMPUTED_VALUE"""),10.95)</f>
        <v>10.95</v>
      </c>
    </row>
    <row r="345">
      <c r="D345" t="str">
        <f>IFERROR(__xludf.DUMMYFUNCTION("""COMPUTED_VALUE"""),"Carlisle")</f>
        <v>Carlisle</v>
      </c>
      <c r="E345" t="str">
        <f>IFERROR(__xludf.DUMMYFUNCTION("""COMPUTED_VALUE"""),"Amir")</f>
        <v>Amir</v>
      </c>
      <c r="F345" t="str">
        <f>IFERROR(__xludf.DUMMYFUNCTION("""COMPUTED_VALUE"""),"WR")</f>
        <v>WR</v>
      </c>
      <c r="G345">
        <f>IFERROR(__xludf.DUMMYFUNCTION("""COMPUTED_VALUE"""),9.15)</f>
        <v>9.15</v>
      </c>
    </row>
    <row r="346">
      <c r="D346" t="str">
        <f>IFERROR(__xludf.DUMMYFUNCTION("""COMPUTED_VALUE"""),"Carpenter")</f>
        <v>Carpenter</v>
      </c>
      <c r="E346" t="str">
        <f>IFERROR(__xludf.DUMMYFUNCTION("""COMPUTED_VALUE"""),"Dan")</f>
        <v>Dan</v>
      </c>
      <c r="F346" t="str">
        <f>IFERROR(__xludf.DUMMYFUNCTION("""COMPUTED_VALUE"""),"K")</f>
        <v>K</v>
      </c>
      <c r="G346">
        <f>IFERROR(__xludf.DUMMYFUNCTION("""COMPUTED_VALUE"""),11.85)</f>
        <v>11.85</v>
      </c>
    </row>
    <row r="347">
      <c r="D347" t="str">
        <f>IFERROR(__xludf.DUMMYFUNCTION("""COMPUTED_VALUE"""),"Carpenter")</f>
        <v>Carpenter</v>
      </c>
      <c r="E347" t="str">
        <f>IFERROR(__xludf.DUMMYFUNCTION("""COMPUTED_VALUE"""),"James")</f>
        <v>James</v>
      </c>
      <c r="F347" t="str">
        <f>IFERROR(__xludf.DUMMYFUNCTION("""COMPUTED_VALUE"""),"LG")</f>
        <v>LG</v>
      </c>
      <c r="G347">
        <f>IFERROR(__xludf.DUMMYFUNCTION("""COMPUTED_VALUE"""),11.85)</f>
        <v>11.85</v>
      </c>
    </row>
    <row r="348">
      <c r="D348" t="str">
        <f>IFERROR(__xludf.DUMMYFUNCTION("""COMPUTED_VALUE"""),"Carr")</f>
        <v>Carr</v>
      </c>
      <c r="E348" t="str">
        <f>IFERROR(__xludf.DUMMYFUNCTION("""COMPUTED_VALUE"""),"Brandon")</f>
        <v>Brandon</v>
      </c>
      <c r="F348" t="str">
        <f>IFERROR(__xludf.DUMMYFUNCTION("""COMPUTED_VALUE"""),"CB")</f>
        <v>CB</v>
      </c>
      <c r="G348">
        <f>IFERROR(__xludf.DUMMYFUNCTION("""COMPUTED_VALUE"""),11.4)</f>
        <v>11.4</v>
      </c>
    </row>
    <row r="349">
      <c r="D349" t="str">
        <f>IFERROR(__xludf.DUMMYFUNCTION("""COMPUTED_VALUE"""),"Carr")</f>
        <v>Carr</v>
      </c>
      <c r="E349" t="str">
        <f>IFERROR(__xludf.DUMMYFUNCTION("""COMPUTED_VALUE"""),"Derek")</f>
        <v>Derek</v>
      </c>
      <c r="F349" t="str">
        <f>IFERROR(__xludf.DUMMYFUNCTION("""COMPUTED_VALUE"""),"QB")</f>
        <v>QB</v>
      </c>
      <c r="G349">
        <f>IFERROR(__xludf.DUMMYFUNCTION("""COMPUTED_VALUE"""),12.45)</f>
        <v>12.45</v>
      </c>
    </row>
    <row r="350">
      <c r="D350" t="str">
        <f>IFERROR(__xludf.DUMMYFUNCTION("""COMPUTED_VALUE"""),"Carr")</f>
        <v>Carr</v>
      </c>
      <c r="E350" t="str">
        <f>IFERROR(__xludf.DUMMYFUNCTION("""COMPUTED_VALUE"""),"Deveron")</f>
        <v>Deveron</v>
      </c>
      <c r="F350" t="str">
        <f>IFERROR(__xludf.DUMMYFUNCTION("""COMPUTED_VALUE"""),"CB")</f>
        <v>CB</v>
      </c>
      <c r="G350">
        <f>IFERROR(__xludf.DUMMYFUNCTION("""COMPUTED_VALUE"""),8.85)</f>
        <v>8.85</v>
      </c>
    </row>
    <row r="351">
      <c r="D351" t="str">
        <f>IFERROR(__xludf.DUMMYFUNCTION("""COMPUTED_VALUE"""),"Carradine")</f>
        <v>Carradine</v>
      </c>
      <c r="E351" t="str">
        <f>IFERROR(__xludf.DUMMYFUNCTION("""COMPUTED_VALUE"""),"Tank")</f>
        <v>Tank</v>
      </c>
      <c r="F351" t="str">
        <f>IFERROR(__xludf.DUMMYFUNCTION("""COMPUTED_VALUE"""),"LOLB")</f>
        <v>LOLB</v>
      </c>
      <c r="G351">
        <f>IFERROR(__xludf.DUMMYFUNCTION("""COMPUTED_VALUE"""),10.65)</f>
        <v>10.65</v>
      </c>
    </row>
    <row r="352">
      <c r="D352" t="str">
        <f>IFERROR(__xludf.DUMMYFUNCTION("""COMPUTED_VALUE"""),"Carrethers")</f>
        <v>Carrethers</v>
      </c>
      <c r="E352" t="str">
        <f>IFERROR(__xludf.DUMMYFUNCTION("""COMPUTED_VALUE"""),"Ryan")</f>
        <v>Ryan</v>
      </c>
      <c r="F352" t="str">
        <f>IFERROR(__xludf.DUMMYFUNCTION("""COMPUTED_VALUE"""),"DT")</f>
        <v>DT</v>
      </c>
      <c r="G352">
        <f>IFERROR(__xludf.DUMMYFUNCTION("""COMPUTED_VALUE"""),10.2)</f>
        <v>10.2</v>
      </c>
    </row>
    <row r="353">
      <c r="D353" t="str">
        <f>IFERROR(__xludf.DUMMYFUNCTION("""COMPUTED_VALUE"""),"Carrie")</f>
        <v>Carrie</v>
      </c>
      <c r="E353" t="str">
        <f>IFERROR(__xludf.DUMMYFUNCTION("""COMPUTED_VALUE"""),"TJ")</f>
        <v>TJ</v>
      </c>
      <c r="F353" t="str">
        <f>IFERROR(__xludf.DUMMYFUNCTION("""COMPUTED_VALUE"""),"CB")</f>
        <v>CB</v>
      </c>
      <c r="G353">
        <f>IFERROR(__xludf.DUMMYFUNCTION("""COMPUTED_VALUE"""),10.95)</f>
        <v>10.95</v>
      </c>
    </row>
    <row r="354">
      <c r="D354" t="str">
        <f>IFERROR(__xludf.DUMMYFUNCTION("""COMPUTED_VALUE"""),"Carrier")</f>
        <v>Carrier</v>
      </c>
      <c r="E354" t="str">
        <f>IFERROR(__xludf.DUMMYFUNCTION("""COMPUTED_VALUE"""),"Derek")</f>
        <v>Derek</v>
      </c>
      <c r="F354" t="str">
        <f>IFERROR(__xludf.DUMMYFUNCTION("""COMPUTED_VALUE"""),"TE")</f>
        <v>TE</v>
      </c>
      <c r="G354">
        <f>IFERROR(__xludf.DUMMYFUNCTION("""COMPUTED_VALUE"""),10.95)</f>
        <v>10.95</v>
      </c>
    </row>
    <row r="355">
      <c r="D355" t="str">
        <f>IFERROR(__xludf.DUMMYFUNCTION("""COMPUTED_VALUE"""),"Carroll II")</f>
        <v>Carroll II</v>
      </c>
      <c r="E355" t="str">
        <f>IFERROR(__xludf.DUMMYFUNCTION("""COMPUTED_VALUE"""),"Nolan")</f>
        <v>Nolan</v>
      </c>
      <c r="F355" t="str">
        <f>IFERROR(__xludf.DUMMYFUNCTION("""COMPUTED_VALUE"""),"CB")</f>
        <v>CB</v>
      </c>
      <c r="G355">
        <f>IFERROR(__xludf.DUMMYFUNCTION("""COMPUTED_VALUE"""),11.4)</f>
        <v>11.4</v>
      </c>
    </row>
    <row r="356">
      <c r="D356" t="str">
        <f>IFERROR(__xludf.DUMMYFUNCTION("""COMPUTED_VALUE"""),"Carroo")</f>
        <v>Carroo</v>
      </c>
      <c r="E356" t="str">
        <f>IFERROR(__xludf.DUMMYFUNCTION("""COMPUTED_VALUE"""),"Leonte")</f>
        <v>Leonte</v>
      </c>
      <c r="F356" t="str">
        <f>IFERROR(__xludf.DUMMYFUNCTION("""COMPUTED_VALUE"""),"WR")</f>
        <v>WR</v>
      </c>
      <c r="G356">
        <f>IFERROR(__xludf.DUMMYFUNCTION("""COMPUTED_VALUE"""),10.5)</f>
        <v>10.5</v>
      </c>
    </row>
    <row r="357">
      <c r="D357" t="str">
        <f>IFERROR(__xludf.DUMMYFUNCTION("""COMPUTED_VALUE"""),"Carson")</f>
        <v>Carson</v>
      </c>
      <c r="E357" t="str">
        <f>IFERROR(__xludf.DUMMYFUNCTION("""COMPUTED_VALUE"""),"Tra")</f>
        <v>Tra</v>
      </c>
      <c r="F357" t="str">
        <f>IFERROR(__xludf.DUMMYFUNCTION("""COMPUTED_VALUE"""),"HB")</f>
        <v>HB</v>
      </c>
      <c r="G357">
        <f>IFERROR(__xludf.DUMMYFUNCTION("""COMPUTED_VALUE"""),9.299999999999999)</f>
        <v>9.3</v>
      </c>
    </row>
    <row r="358">
      <c r="D358" t="str">
        <f>IFERROR(__xludf.DUMMYFUNCTION("""COMPUTED_VALUE"""),"Carter")</f>
        <v>Carter</v>
      </c>
      <c r="E358" t="str">
        <f>IFERROR(__xludf.DUMMYFUNCTION("""COMPUTED_VALUE"""),"Alex")</f>
        <v>Alex</v>
      </c>
      <c r="F358" t="str">
        <f>IFERROR(__xludf.DUMMYFUNCTION("""COMPUTED_VALUE"""),"CB")</f>
        <v>CB</v>
      </c>
      <c r="G358">
        <f>IFERROR(__xludf.DUMMYFUNCTION("""COMPUTED_VALUE"""),10.049999999999999)</f>
        <v>10.05</v>
      </c>
    </row>
    <row r="359">
      <c r="D359" t="str">
        <f>IFERROR(__xludf.DUMMYFUNCTION("""COMPUTED_VALUE"""),"Carter")</f>
        <v>Carter</v>
      </c>
      <c r="E359" t="str">
        <f>IFERROR(__xludf.DUMMYFUNCTION("""COMPUTED_VALUE"""),"Bruce")</f>
        <v>Bruce</v>
      </c>
      <c r="F359" t="str">
        <f>IFERROR(__xludf.DUMMYFUNCTION("""COMPUTED_VALUE"""),"MLB")</f>
        <v>MLB</v>
      </c>
      <c r="G359">
        <f>IFERROR(__xludf.DUMMYFUNCTION("""COMPUTED_VALUE"""),10.95)</f>
        <v>10.95</v>
      </c>
    </row>
    <row r="360">
      <c r="D360" t="str">
        <f>IFERROR(__xludf.DUMMYFUNCTION("""COMPUTED_VALUE"""),"Carter")</f>
        <v>Carter</v>
      </c>
      <c r="E360" t="str">
        <f>IFERROR(__xludf.DUMMYFUNCTION("""COMPUTED_VALUE"""),"Chris")</f>
        <v>Chris</v>
      </c>
      <c r="F360" t="str">
        <f>IFERROR(__xludf.DUMMYFUNCTION("""COMPUTED_VALUE"""),"LOLB")</f>
        <v>LOLB</v>
      </c>
      <c r="G360">
        <f>IFERROR(__xludf.DUMMYFUNCTION("""COMPUTED_VALUE"""),10.049999999999999)</f>
        <v>10.05</v>
      </c>
    </row>
    <row r="361">
      <c r="D361" t="str">
        <f>IFERROR(__xludf.DUMMYFUNCTION("""COMPUTED_VALUE"""),"Carter")</f>
        <v>Carter</v>
      </c>
      <c r="E361" t="str">
        <f>IFERROR(__xludf.DUMMYFUNCTION("""COMPUTED_VALUE"""),"Kyle")</f>
        <v>Kyle</v>
      </c>
      <c r="F361" t="str">
        <f>IFERROR(__xludf.DUMMYFUNCTION("""COMPUTED_VALUE"""),"TE")</f>
        <v>TE</v>
      </c>
      <c r="G361">
        <f>IFERROR(__xludf.DUMMYFUNCTION("""COMPUTED_VALUE"""),8.7)</f>
        <v>8.7</v>
      </c>
    </row>
    <row r="362">
      <c r="D362" t="str">
        <f>IFERROR(__xludf.DUMMYFUNCTION("""COMPUTED_VALUE"""),"Carter")</f>
        <v>Carter</v>
      </c>
      <c r="E362" t="str">
        <f>IFERROR(__xludf.DUMMYFUNCTION("""COMPUTED_VALUE"""),"Tony")</f>
        <v>Tony</v>
      </c>
      <c r="F362" t="str">
        <f>IFERROR(__xludf.DUMMYFUNCTION("""COMPUTED_VALUE"""),"CB")</f>
        <v>CB</v>
      </c>
      <c r="G362">
        <f>IFERROR(__xludf.DUMMYFUNCTION("""COMPUTED_VALUE"""),10.35)</f>
        <v>10.35</v>
      </c>
    </row>
    <row r="363">
      <c r="D363" t="str">
        <f>IFERROR(__xludf.DUMMYFUNCTION("""COMPUTED_VALUE"""),"Cartwright")</f>
        <v>Cartwright</v>
      </c>
      <c r="E363" t="str">
        <f>IFERROR(__xludf.DUMMYFUNCTION("""COMPUTED_VALUE"""),"Kivon")</f>
        <v>Kivon</v>
      </c>
      <c r="F363" t="str">
        <f>IFERROR(__xludf.DUMMYFUNCTION("""COMPUTED_VALUE"""),"TE")</f>
        <v>TE</v>
      </c>
      <c r="G363">
        <f>IFERROR(__xludf.DUMMYFUNCTION("""COMPUTED_VALUE"""),9.45)</f>
        <v>9.45</v>
      </c>
    </row>
    <row r="364">
      <c r="D364" t="str">
        <f>IFERROR(__xludf.DUMMYFUNCTION("""COMPUTED_VALUE"""),"Casey")</f>
        <v>Casey</v>
      </c>
      <c r="E364" t="str">
        <f>IFERROR(__xludf.DUMMYFUNCTION("""COMPUTED_VALUE"""),"Jurrell")</f>
        <v>Jurrell</v>
      </c>
      <c r="F364" t="str">
        <f>IFERROR(__xludf.DUMMYFUNCTION("""COMPUTED_VALUE"""),"RE")</f>
        <v>RE</v>
      </c>
      <c r="G364">
        <f>IFERROR(__xludf.DUMMYFUNCTION("""COMPUTED_VALUE"""),13.95)</f>
        <v>13.95</v>
      </c>
    </row>
    <row r="365">
      <c r="D365" t="str">
        <f>IFERROR(__xludf.DUMMYFUNCTION("""COMPUTED_VALUE"""),"Cash")</f>
        <v>Cash</v>
      </c>
      <c r="E365" t="str">
        <f>IFERROR(__xludf.DUMMYFUNCTION("""COMPUTED_VALUE"""),"Jeremy")</f>
        <v>Jeremy</v>
      </c>
      <c r="F365" t="str">
        <f>IFERROR(__xludf.DUMMYFUNCTION("""COMPUTED_VALUE"""),"MLB")</f>
        <v>MLB</v>
      </c>
      <c r="G365">
        <f>IFERROR(__xludf.DUMMYFUNCTION("""COMPUTED_VALUE"""),9.299999999999999)</f>
        <v>9.3</v>
      </c>
    </row>
    <row r="366">
      <c r="D366" t="str">
        <f>IFERROR(__xludf.DUMMYFUNCTION("""COMPUTED_VALUE"""),"Casillas")</f>
        <v>Casillas</v>
      </c>
      <c r="E366" t="str">
        <f>IFERROR(__xludf.DUMMYFUNCTION("""COMPUTED_VALUE"""),"Jonathan")</f>
        <v>Jonathan</v>
      </c>
      <c r="F366" t="str">
        <f>IFERROR(__xludf.DUMMYFUNCTION("""COMPUTED_VALUE"""),"ROLB")</f>
        <v>ROLB</v>
      </c>
      <c r="G366">
        <f>IFERROR(__xludf.DUMMYFUNCTION("""COMPUTED_VALUE"""),10.65)</f>
        <v>10.65</v>
      </c>
    </row>
    <row r="367">
      <c r="D367" t="str">
        <f>IFERROR(__xludf.DUMMYFUNCTION("""COMPUTED_VALUE"""),"Cassel")</f>
        <v>Cassel</v>
      </c>
      <c r="E367" t="str">
        <f>IFERROR(__xludf.DUMMYFUNCTION("""COMPUTED_VALUE"""),"Matt")</f>
        <v>Matt</v>
      </c>
      <c r="F367" t="str">
        <f>IFERROR(__xludf.DUMMYFUNCTION("""COMPUTED_VALUE"""),"QB")</f>
        <v>QB</v>
      </c>
      <c r="G367">
        <f>IFERROR(__xludf.DUMMYFUNCTION("""COMPUTED_VALUE"""),10.5)</f>
        <v>10.5</v>
      </c>
    </row>
    <row r="368">
      <c r="D368" t="str">
        <f>IFERROR(__xludf.DUMMYFUNCTION("""COMPUTED_VALUE"""),"Castonzo")</f>
        <v>Castonzo</v>
      </c>
      <c r="E368" t="str">
        <f>IFERROR(__xludf.DUMMYFUNCTION("""COMPUTED_VALUE"""),"Anthony")</f>
        <v>Anthony</v>
      </c>
      <c r="F368" t="str">
        <f>IFERROR(__xludf.DUMMYFUNCTION("""COMPUTED_VALUE"""),"LT")</f>
        <v>LT</v>
      </c>
      <c r="G368">
        <f>IFERROR(__xludf.DUMMYFUNCTION("""COMPUTED_VALUE"""),12.15)</f>
        <v>12.15</v>
      </c>
    </row>
    <row r="369">
      <c r="D369" t="str">
        <f>IFERROR(__xludf.DUMMYFUNCTION("""COMPUTED_VALUE"""),"Catanzaro")</f>
        <v>Catanzaro</v>
      </c>
      <c r="E369" t="str">
        <f>IFERROR(__xludf.DUMMYFUNCTION("""COMPUTED_VALUE"""),"Chandler")</f>
        <v>Chandler</v>
      </c>
      <c r="F369" t="str">
        <f>IFERROR(__xludf.DUMMYFUNCTION("""COMPUTED_VALUE"""),"K")</f>
        <v>K</v>
      </c>
      <c r="G369">
        <f>IFERROR(__xludf.DUMMYFUNCTION("""COMPUTED_VALUE"""),12.0)</f>
        <v>12</v>
      </c>
    </row>
    <row r="370">
      <c r="D370" t="str">
        <f>IFERROR(__xludf.DUMMYFUNCTION("""COMPUTED_VALUE"""),"Catapano")</f>
        <v>Catapano</v>
      </c>
      <c r="E370" t="str">
        <f>IFERROR(__xludf.DUMMYFUNCTION("""COMPUTED_VALUE"""),"Mike")</f>
        <v>Mike</v>
      </c>
      <c r="F370" t="str">
        <f>IFERROR(__xludf.DUMMYFUNCTION("""COMPUTED_VALUE"""),"LE")</f>
        <v>LE</v>
      </c>
      <c r="G370">
        <f>IFERROR(__xludf.DUMMYFUNCTION("""COMPUTED_VALUE"""),9.75)</f>
        <v>9.75</v>
      </c>
    </row>
    <row r="371">
      <c r="D371" t="str">
        <f>IFERROR(__xludf.DUMMYFUNCTION("""COMPUTED_VALUE"""),"Celek")</f>
        <v>Celek</v>
      </c>
      <c r="E371" t="str">
        <f>IFERROR(__xludf.DUMMYFUNCTION("""COMPUTED_VALUE"""),"Brent")</f>
        <v>Brent</v>
      </c>
      <c r="F371" t="str">
        <f>IFERROR(__xludf.DUMMYFUNCTION("""COMPUTED_VALUE"""),"TE")</f>
        <v>TE</v>
      </c>
      <c r="G371">
        <f>IFERROR(__xludf.DUMMYFUNCTION("""COMPUTED_VALUE"""),11.85)</f>
        <v>11.85</v>
      </c>
    </row>
    <row r="372">
      <c r="D372" t="str">
        <f>IFERROR(__xludf.DUMMYFUNCTION("""COMPUTED_VALUE"""),"Celek")</f>
        <v>Celek</v>
      </c>
      <c r="E372" t="str">
        <f>IFERROR(__xludf.DUMMYFUNCTION("""COMPUTED_VALUE"""),"Garrett")</f>
        <v>Garrett</v>
      </c>
      <c r="F372" t="str">
        <f>IFERROR(__xludf.DUMMYFUNCTION("""COMPUTED_VALUE"""),"TE")</f>
        <v>TE</v>
      </c>
      <c r="G372">
        <f>IFERROR(__xludf.DUMMYFUNCTION("""COMPUTED_VALUE"""),11.25)</f>
        <v>11.25</v>
      </c>
    </row>
    <row r="373">
      <c r="D373" t="str">
        <f>IFERROR(__xludf.DUMMYFUNCTION("""COMPUTED_VALUE"""),"Chancellor")</f>
        <v>Chancellor</v>
      </c>
      <c r="E373" t="str">
        <f>IFERROR(__xludf.DUMMYFUNCTION("""COMPUTED_VALUE"""),"Kam")</f>
        <v>Kam</v>
      </c>
      <c r="F373" t="str">
        <f>IFERROR(__xludf.DUMMYFUNCTION("""COMPUTED_VALUE"""),"SS")</f>
        <v>SS</v>
      </c>
      <c r="G373">
        <f>IFERROR(__xludf.DUMMYFUNCTION("""COMPUTED_VALUE"""),13.65)</f>
        <v>13.65</v>
      </c>
    </row>
    <row r="374">
      <c r="D374" t="str">
        <f>IFERROR(__xludf.DUMMYFUNCTION("""COMPUTED_VALUE"""),"Charles")</f>
        <v>Charles</v>
      </c>
      <c r="E374" t="str">
        <f>IFERROR(__xludf.DUMMYFUNCTION("""COMPUTED_VALUE"""),"Jamaal")</f>
        <v>Jamaal</v>
      </c>
      <c r="F374" t="str">
        <f>IFERROR(__xludf.DUMMYFUNCTION("""COMPUTED_VALUE"""),"HB")</f>
        <v>HB</v>
      </c>
      <c r="G374">
        <f>IFERROR(__xludf.DUMMYFUNCTION("""COMPUTED_VALUE"""),13.35)</f>
        <v>13.35</v>
      </c>
    </row>
    <row r="375">
      <c r="D375" t="str">
        <f>IFERROR(__xludf.DUMMYFUNCTION("""COMPUTED_VALUE"""),"Charles")</f>
        <v>Charles</v>
      </c>
      <c r="E375" t="str">
        <f>IFERROR(__xludf.DUMMYFUNCTION("""COMPUTED_VALUE"""),"Stefan")</f>
        <v>Stefan</v>
      </c>
      <c r="F375" t="str">
        <f>IFERROR(__xludf.DUMMYFUNCTION("""COMPUTED_VALUE"""),"DT")</f>
        <v>DT</v>
      </c>
      <c r="G375">
        <f>IFERROR(__xludf.DUMMYFUNCTION("""COMPUTED_VALUE"""),10.2)</f>
        <v>10.2</v>
      </c>
    </row>
    <row r="376">
      <c r="D376" t="str">
        <f>IFERROR(__xludf.DUMMYFUNCTION("""COMPUTED_VALUE"""),"Chekwa")</f>
        <v>Chekwa</v>
      </c>
      <c r="E376" t="str">
        <f>IFERROR(__xludf.DUMMYFUNCTION("""COMPUTED_VALUE"""),"Chimdi")</f>
        <v>Chimdi</v>
      </c>
      <c r="F376" t="str">
        <f>IFERROR(__xludf.DUMMYFUNCTION("""COMPUTED_VALUE"""),"CB")</f>
        <v>CB</v>
      </c>
      <c r="G376">
        <f>IFERROR(__xludf.DUMMYFUNCTION("""COMPUTED_VALUE"""),10.2)</f>
        <v>10.2</v>
      </c>
    </row>
    <row r="377">
      <c r="D377" t="str">
        <f>IFERROR(__xludf.DUMMYFUNCTION("""COMPUTED_VALUE"""),"Cherilus")</f>
        <v>Cherilus</v>
      </c>
      <c r="E377" t="str">
        <f>IFERROR(__xludf.DUMMYFUNCTION("""COMPUTED_VALUE"""),"Gosder")</f>
        <v>Gosder</v>
      </c>
      <c r="F377" t="str">
        <f>IFERROR(__xludf.DUMMYFUNCTION("""COMPUTED_VALUE"""),"RT")</f>
        <v>RT</v>
      </c>
      <c r="G377">
        <f>IFERROR(__xludf.DUMMYFUNCTION("""COMPUTED_VALUE"""),10.5)</f>
        <v>10.5</v>
      </c>
    </row>
    <row r="378">
      <c r="D378" t="str">
        <f>IFERROR(__xludf.DUMMYFUNCTION("""COMPUTED_VALUE"""),"Chester")</f>
        <v>Chester</v>
      </c>
      <c r="E378" t="str">
        <f>IFERROR(__xludf.DUMMYFUNCTION("""COMPUTED_VALUE"""),"Chris")</f>
        <v>Chris</v>
      </c>
      <c r="F378" t="str">
        <f>IFERROR(__xludf.DUMMYFUNCTION("""COMPUTED_VALUE"""),"RG")</f>
        <v>RG</v>
      </c>
      <c r="G378">
        <f>IFERROR(__xludf.DUMMYFUNCTION("""COMPUTED_VALUE"""),11.7)</f>
        <v>11.7</v>
      </c>
    </row>
    <row r="379">
      <c r="D379" t="str">
        <f>IFERROR(__xludf.DUMMYFUNCTION("""COMPUTED_VALUE"""),"Chestnut")</f>
        <v>Chestnut</v>
      </c>
      <c r="E379" t="str">
        <f>IFERROR(__xludf.DUMMYFUNCTION("""COMPUTED_VALUE"""),"Terrell")</f>
        <v>Terrell</v>
      </c>
      <c r="F379" t="str">
        <f>IFERROR(__xludf.DUMMYFUNCTION("""COMPUTED_VALUE"""),"CB")</f>
        <v>CB</v>
      </c>
      <c r="G379">
        <f>IFERROR(__xludf.DUMMYFUNCTION("""COMPUTED_VALUE"""),9.0)</f>
        <v>9</v>
      </c>
    </row>
    <row r="380">
      <c r="D380" t="str">
        <f>IFERROR(__xludf.DUMMYFUNCTION("""COMPUTED_VALUE"""),"Chickillo")</f>
        <v>Chickillo</v>
      </c>
      <c r="E380" t="str">
        <f>IFERROR(__xludf.DUMMYFUNCTION("""COMPUTED_VALUE"""),"Anthony")</f>
        <v>Anthony</v>
      </c>
      <c r="F380" t="str">
        <f>IFERROR(__xludf.DUMMYFUNCTION("""COMPUTED_VALUE"""),"ROLB")</f>
        <v>ROLB</v>
      </c>
      <c r="G380">
        <f>IFERROR(__xludf.DUMMYFUNCTION("""COMPUTED_VALUE"""),9.299999999999999)</f>
        <v>9.3</v>
      </c>
    </row>
    <row r="381">
      <c r="D381" t="str">
        <f>IFERROR(__xludf.DUMMYFUNCTION("""COMPUTED_VALUE"""),"Christian")</f>
        <v>Christian</v>
      </c>
      <c r="E381" t="str">
        <f>IFERROR(__xludf.DUMMYFUNCTION("""COMPUTED_VALUE"""),"Gerald")</f>
        <v>Gerald</v>
      </c>
      <c r="F381" t="str">
        <f>IFERROR(__xludf.DUMMYFUNCTION("""COMPUTED_VALUE"""),"TE")</f>
        <v>TE</v>
      </c>
      <c r="G381">
        <f>IFERROR(__xludf.DUMMYFUNCTION("""COMPUTED_VALUE"""),9.45)</f>
        <v>9.45</v>
      </c>
    </row>
    <row r="382">
      <c r="D382" t="str">
        <f>IFERROR(__xludf.DUMMYFUNCTION("""COMPUTED_VALUE"""),"Christian")</f>
        <v>Christian</v>
      </c>
      <c r="E382" t="str">
        <f>IFERROR(__xludf.DUMMYFUNCTION("""COMPUTED_VALUE"""),"Marqui")</f>
        <v>Marqui</v>
      </c>
      <c r="F382" t="str">
        <f>IFERROR(__xludf.DUMMYFUNCTION("""COMPUTED_VALUE"""),"SS")</f>
        <v>SS</v>
      </c>
      <c r="G382">
        <f>IFERROR(__xludf.DUMMYFUNCTION("""COMPUTED_VALUE"""),9.6)</f>
        <v>9.6</v>
      </c>
    </row>
    <row r="383">
      <c r="D383" t="str">
        <f>IFERROR(__xludf.DUMMYFUNCTION("""COMPUTED_VALUE"""),"Chubb")</f>
        <v>Chubb</v>
      </c>
      <c r="E383" t="str">
        <f>IFERROR(__xludf.DUMMYFUNCTION("""COMPUTED_VALUE"""),"Brandon")</f>
        <v>Brandon</v>
      </c>
      <c r="F383" t="str">
        <f>IFERROR(__xludf.DUMMYFUNCTION("""COMPUTED_VALUE"""),"MLB")</f>
        <v>MLB</v>
      </c>
      <c r="G383">
        <f>IFERROR(__xludf.DUMMYFUNCTION("""COMPUTED_VALUE"""),9.0)</f>
        <v>9</v>
      </c>
    </row>
    <row r="384">
      <c r="D384" t="str">
        <f>IFERROR(__xludf.DUMMYFUNCTION("""COMPUTED_VALUE"""),"Chung")</f>
        <v>Chung</v>
      </c>
      <c r="E384" t="str">
        <f>IFERROR(__xludf.DUMMYFUNCTION("""COMPUTED_VALUE"""),"Patrick")</f>
        <v>Patrick</v>
      </c>
      <c r="F384" t="str">
        <f>IFERROR(__xludf.DUMMYFUNCTION("""COMPUTED_VALUE"""),"SS")</f>
        <v>SS</v>
      </c>
      <c r="G384">
        <f>IFERROR(__xludf.DUMMYFUNCTION("""COMPUTED_VALUE"""),12.9)</f>
        <v>12.9</v>
      </c>
    </row>
    <row r="385">
      <c r="D385" t="str">
        <f>IFERROR(__xludf.DUMMYFUNCTION("""COMPUTED_VALUE"""),"Church")</f>
        <v>Church</v>
      </c>
      <c r="E385" t="str">
        <f>IFERROR(__xludf.DUMMYFUNCTION("""COMPUTED_VALUE"""),"Barry")</f>
        <v>Barry</v>
      </c>
      <c r="F385" t="str">
        <f>IFERROR(__xludf.DUMMYFUNCTION("""COMPUTED_VALUE"""),"SS")</f>
        <v>SS</v>
      </c>
      <c r="G385">
        <f>IFERROR(__xludf.DUMMYFUNCTION("""COMPUTED_VALUE"""),12.299999999999999)</f>
        <v>12.3</v>
      </c>
    </row>
    <row r="386">
      <c r="D386" t="str">
        <f>IFERROR(__xludf.DUMMYFUNCTION("""COMPUTED_VALUE"""),"Clady")</f>
        <v>Clady</v>
      </c>
      <c r="E386" t="str">
        <f>IFERROR(__xludf.DUMMYFUNCTION("""COMPUTED_VALUE"""),"Ryan")</f>
        <v>Ryan</v>
      </c>
      <c r="F386" t="str">
        <f>IFERROR(__xludf.DUMMYFUNCTION("""COMPUTED_VALUE"""),"LT")</f>
        <v>LT</v>
      </c>
      <c r="G386">
        <f>IFERROR(__xludf.DUMMYFUNCTION("""COMPUTED_VALUE"""),12.6)</f>
        <v>12.6</v>
      </c>
    </row>
    <row r="387">
      <c r="D387" t="str">
        <f>IFERROR(__xludf.DUMMYFUNCTION("""COMPUTED_VALUE"""),"Claiborne")</f>
        <v>Claiborne</v>
      </c>
      <c r="E387" t="str">
        <f>IFERROR(__xludf.DUMMYFUNCTION("""COMPUTED_VALUE"""),"Morris")</f>
        <v>Morris</v>
      </c>
      <c r="F387" t="str">
        <f>IFERROR(__xludf.DUMMYFUNCTION("""COMPUTED_VALUE"""),"CB")</f>
        <v>CB</v>
      </c>
      <c r="G387">
        <f>IFERROR(__xludf.DUMMYFUNCTION("""COMPUTED_VALUE"""),10.5)</f>
        <v>10.5</v>
      </c>
    </row>
    <row r="388">
      <c r="D388" t="str">
        <f>IFERROR(__xludf.DUMMYFUNCTION("""COMPUTED_VALUE"""),"Clark")</f>
        <v>Clark</v>
      </c>
      <c r="E388" t="str">
        <f>IFERROR(__xludf.DUMMYFUNCTION("""COMPUTED_VALUE"""),"Chris")</f>
        <v>Chris</v>
      </c>
      <c r="F388" t="str">
        <f>IFERROR(__xludf.DUMMYFUNCTION("""COMPUTED_VALUE"""),"LT")</f>
        <v>LT</v>
      </c>
      <c r="G388">
        <f>IFERROR(__xludf.DUMMYFUNCTION("""COMPUTED_VALUE"""),11.25)</f>
        <v>11.25</v>
      </c>
    </row>
    <row r="389">
      <c r="D389" t="str">
        <f>IFERROR(__xludf.DUMMYFUNCTION("""COMPUTED_VALUE"""),"Clark")</f>
        <v>Clark</v>
      </c>
      <c r="E389" t="str">
        <f>IFERROR(__xludf.DUMMYFUNCTION("""COMPUTED_VALUE"""),"Donavon")</f>
        <v>Donavon</v>
      </c>
      <c r="F389" t="str">
        <f>IFERROR(__xludf.DUMMYFUNCTION("""COMPUTED_VALUE"""),"RG")</f>
        <v>RG</v>
      </c>
      <c r="G389">
        <f>IFERROR(__xludf.DUMMYFUNCTION("""COMPUTED_VALUE"""),9.15)</f>
        <v>9.15</v>
      </c>
    </row>
    <row r="390">
      <c r="D390" t="str">
        <f>IFERROR(__xludf.DUMMYFUNCTION("""COMPUTED_VALUE"""),"Clark")</f>
        <v>Clark</v>
      </c>
      <c r="E390" t="str">
        <f>IFERROR(__xludf.DUMMYFUNCTION("""COMPUTED_VALUE"""),"Frank")</f>
        <v>Frank</v>
      </c>
      <c r="F390" t="str">
        <f>IFERROR(__xludf.DUMMYFUNCTION("""COMPUTED_VALUE"""),"LE")</f>
        <v>LE</v>
      </c>
      <c r="G390">
        <f>IFERROR(__xludf.DUMMYFUNCTION("""COMPUTED_VALUE"""),9.75)</f>
        <v>9.75</v>
      </c>
    </row>
    <row r="391">
      <c r="D391" t="str">
        <f>IFERROR(__xludf.DUMMYFUNCTION("""COMPUTED_VALUE"""),"Clark")</f>
        <v>Clark</v>
      </c>
      <c r="E391" t="str">
        <f>IFERROR(__xludf.DUMMYFUNCTION("""COMPUTED_VALUE"""),"Kenny")</f>
        <v>Kenny</v>
      </c>
      <c r="F391" t="str">
        <f>IFERROR(__xludf.DUMMYFUNCTION("""COMPUTED_VALUE"""),"DT")</f>
        <v>DT</v>
      </c>
      <c r="G391">
        <f>IFERROR(__xludf.DUMMYFUNCTION("""COMPUTED_VALUE"""),10.95)</f>
        <v>10.95</v>
      </c>
    </row>
    <row r="392">
      <c r="D392" t="str">
        <f>IFERROR(__xludf.DUMMYFUNCTION("""COMPUTED_VALUE"""),"Clark")</f>
        <v>Clark</v>
      </c>
      <c r="E392" t="str">
        <f>IFERROR(__xludf.DUMMYFUNCTION("""COMPUTED_VALUE"""),"LeRaven")</f>
        <v>LeRaven</v>
      </c>
      <c r="F392" t="str">
        <f>IFERROR(__xludf.DUMMYFUNCTION("""COMPUTED_VALUE"""),"LT")</f>
        <v>LT</v>
      </c>
      <c r="G392">
        <f>IFERROR(__xludf.DUMMYFUNCTION("""COMPUTED_VALUE"""),10.35)</f>
        <v>10.35</v>
      </c>
    </row>
    <row r="393">
      <c r="D393" t="str">
        <f>IFERROR(__xludf.DUMMYFUNCTION("""COMPUTED_VALUE"""),"Clarke")</f>
        <v>Clarke</v>
      </c>
      <c r="E393" t="str">
        <f>IFERROR(__xludf.DUMMYFUNCTION("""COMPUTED_VALUE"""),"Will")</f>
        <v>Will</v>
      </c>
      <c r="F393" t="str">
        <f>IFERROR(__xludf.DUMMYFUNCTION("""COMPUTED_VALUE"""),"RE")</f>
        <v>RE</v>
      </c>
      <c r="G393">
        <f>IFERROR(__xludf.DUMMYFUNCTION("""COMPUTED_VALUE"""),10.049999999999999)</f>
        <v>10.05</v>
      </c>
    </row>
    <row r="394">
      <c r="D394" t="str">
        <f>IFERROR(__xludf.DUMMYFUNCTION("""COMPUTED_VALUE"""),"Clay")</f>
        <v>Clay</v>
      </c>
      <c r="E394" t="str">
        <f>IFERROR(__xludf.DUMMYFUNCTION("""COMPUTED_VALUE"""),"Charles")</f>
        <v>Charles</v>
      </c>
      <c r="F394" t="str">
        <f>IFERROR(__xludf.DUMMYFUNCTION("""COMPUTED_VALUE"""),"TE")</f>
        <v>TE</v>
      </c>
      <c r="G394">
        <f>IFERROR(__xludf.DUMMYFUNCTION("""COMPUTED_VALUE"""),12.6)</f>
        <v>12.6</v>
      </c>
    </row>
    <row r="395">
      <c r="D395" t="str">
        <f>IFERROR(__xludf.DUMMYFUNCTION("""COMPUTED_VALUE"""),"Clay")</f>
        <v>Clay</v>
      </c>
      <c r="E395" t="str">
        <f>IFERROR(__xludf.DUMMYFUNCTION("""COMPUTED_VALUE"""),"Kaelin")</f>
        <v>Kaelin</v>
      </c>
      <c r="F395" t="str">
        <f>IFERROR(__xludf.DUMMYFUNCTION("""COMPUTED_VALUE"""),"WR")</f>
        <v>WR</v>
      </c>
      <c r="G395">
        <f>IFERROR(__xludf.DUMMYFUNCTION("""COMPUTED_VALUE"""),8.7)</f>
        <v>8.7</v>
      </c>
    </row>
    <row r="396">
      <c r="D396" t="str">
        <f>IFERROR(__xludf.DUMMYFUNCTION("""COMPUTED_VALUE"""),"Clayborn")</f>
        <v>Clayborn</v>
      </c>
      <c r="E396" t="str">
        <f>IFERROR(__xludf.DUMMYFUNCTION("""COMPUTED_VALUE"""),"Adrian")</f>
        <v>Adrian</v>
      </c>
      <c r="F396" t="str">
        <f>IFERROR(__xludf.DUMMYFUNCTION("""COMPUTED_VALUE"""),"LE")</f>
        <v>LE</v>
      </c>
      <c r="G396">
        <f>IFERROR(__xludf.DUMMYFUNCTION("""COMPUTED_VALUE"""),11.549999999999999)</f>
        <v>11.55</v>
      </c>
    </row>
    <row r="397">
      <c r="D397" t="str">
        <f>IFERROR(__xludf.DUMMYFUNCTION("""COMPUTED_VALUE"""),"Cleary")</f>
        <v>Cleary</v>
      </c>
      <c r="E397" t="str">
        <f>IFERROR(__xludf.DUMMYFUNCTION("""COMPUTED_VALUE"""),"Emmett")</f>
        <v>Emmett</v>
      </c>
      <c r="F397" t="str">
        <f>IFERROR(__xludf.DUMMYFUNCTION("""COMPUTED_VALUE"""),"RT")</f>
        <v>RT</v>
      </c>
      <c r="G397">
        <f>IFERROR(__xludf.DUMMYFUNCTION("""COMPUTED_VALUE"""),9.9)</f>
        <v>9.9</v>
      </c>
    </row>
    <row r="398">
      <c r="D398" t="str">
        <f>IFERROR(__xludf.DUMMYFUNCTION("""COMPUTED_VALUE"""),"Clemens")</f>
        <v>Clemens</v>
      </c>
      <c r="E398" t="str">
        <f>IFERROR(__xludf.DUMMYFUNCTION("""COMPUTED_VALUE"""),"Kellen")</f>
        <v>Kellen</v>
      </c>
      <c r="F398" t="str">
        <f>IFERROR(__xludf.DUMMYFUNCTION("""COMPUTED_VALUE"""),"QB")</f>
        <v>QB</v>
      </c>
      <c r="G398">
        <f>IFERROR(__xludf.DUMMYFUNCTION("""COMPUTED_VALUE"""),10.2)</f>
        <v>10.2</v>
      </c>
    </row>
    <row r="399">
      <c r="D399" t="str">
        <f>IFERROR(__xludf.DUMMYFUNCTION("""COMPUTED_VALUE"""),"Clemmings")</f>
        <v>Clemmings</v>
      </c>
      <c r="E399" t="str">
        <f>IFERROR(__xludf.DUMMYFUNCTION("""COMPUTED_VALUE"""),"TJ")</f>
        <v>TJ</v>
      </c>
      <c r="F399" t="str">
        <f>IFERROR(__xludf.DUMMYFUNCTION("""COMPUTED_VALUE"""),"RT")</f>
        <v>RT</v>
      </c>
      <c r="G399">
        <f>IFERROR(__xludf.DUMMYFUNCTION("""COMPUTED_VALUE"""),10.35)</f>
        <v>10.35</v>
      </c>
    </row>
    <row r="400">
      <c r="D400" t="str">
        <f>IFERROR(__xludf.DUMMYFUNCTION("""COMPUTED_VALUE"""),"Clemons")</f>
        <v>Clemons</v>
      </c>
      <c r="E400" t="str">
        <f>IFERROR(__xludf.DUMMYFUNCTION("""COMPUTED_VALUE"""),"Chris")</f>
        <v>Chris</v>
      </c>
      <c r="F400" t="str">
        <f>IFERROR(__xludf.DUMMYFUNCTION("""COMPUTED_VALUE"""),"FS")</f>
        <v>FS</v>
      </c>
      <c r="G400">
        <f>IFERROR(__xludf.DUMMYFUNCTION("""COMPUTED_VALUE"""),11.4)</f>
        <v>11.4</v>
      </c>
    </row>
    <row r="401">
      <c r="D401" t="str">
        <f>IFERROR(__xludf.DUMMYFUNCTION("""COMPUTED_VALUE"""),"Cleveland")</f>
        <v>Cleveland</v>
      </c>
      <c r="E401" t="str">
        <f>IFERROR(__xludf.DUMMYFUNCTION("""COMPUTED_VALUE"""),"Asante")</f>
        <v>Asante</v>
      </c>
      <c r="F401" t="str">
        <f>IFERROR(__xludf.DUMMYFUNCTION("""COMPUTED_VALUE"""),"TE")</f>
        <v>TE</v>
      </c>
      <c r="G401">
        <f>IFERROR(__xludf.DUMMYFUNCTION("""COMPUTED_VALUE"""),10.2)</f>
        <v>10.2</v>
      </c>
    </row>
    <row r="402">
      <c r="D402" t="str">
        <f>IFERROR(__xludf.DUMMYFUNCTION("""COMPUTED_VALUE"""),"Cliett")</f>
        <v>Cliett</v>
      </c>
      <c r="E402" t="str">
        <f>IFERROR(__xludf.DUMMYFUNCTION("""COMPUTED_VALUE"""),"Reshard")</f>
        <v>Reshard</v>
      </c>
      <c r="F402" t="str">
        <f>IFERROR(__xludf.DUMMYFUNCTION("""COMPUTED_VALUE"""),"MLB")</f>
        <v>MLB</v>
      </c>
      <c r="G402">
        <f>IFERROR(__xludf.DUMMYFUNCTION("""COMPUTED_VALUE"""),8.1)</f>
        <v>8.1</v>
      </c>
    </row>
    <row r="403">
      <c r="D403" t="str">
        <f>IFERROR(__xludf.DUMMYFUNCTION("""COMPUTED_VALUE"""),"Clinton-Dix")</f>
        <v>Clinton-Dix</v>
      </c>
      <c r="E403" t="str">
        <f>IFERROR(__xludf.DUMMYFUNCTION("""COMPUTED_VALUE"""),"Ha Ha")</f>
        <v>Ha Ha</v>
      </c>
      <c r="F403" t="str">
        <f>IFERROR(__xludf.DUMMYFUNCTION("""COMPUTED_VALUE"""),"FS")</f>
        <v>FS</v>
      </c>
      <c r="G403">
        <f>IFERROR(__xludf.DUMMYFUNCTION("""COMPUTED_VALUE"""),12.45)</f>
        <v>12.45</v>
      </c>
    </row>
    <row r="404">
      <c r="D404" t="str">
        <f>IFERROR(__xludf.DUMMYFUNCTION("""COMPUTED_VALUE"""),"Clowney")</f>
        <v>Clowney</v>
      </c>
      <c r="E404" t="str">
        <f>IFERROR(__xludf.DUMMYFUNCTION("""COMPUTED_VALUE"""),"Jadeveon")</f>
        <v>Jadeveon</v>
      </c>
      <c r="F404" t="str">
        <f>IFERROR(__xludf.DUMMYFUNCTION("""COMPUTED_VALUE"""),"ROLB")</f>
        <v>ROLB</v>
      </c>
      <c r="G404">
        <f>IFERROR(__xludf.DUMMYFUNCTION("""COMPUTED_VALUE"""),12.45)</f>
        <v>12.45</v>
      </c>
    </row>
    <row r="405">
      <c r="D405" t="str">
        <f>IFERROR(__xludf.DUMMYFUNCTION("""COMPUTED_VALUE"""),"Coates")</f>
        <v>Coates</v>
      </c>
      <c r="E405" t="str">
        <f>IFERROR(__xludf.DUMMYFUNCTION("""COMPUTED_VALUE"""),"Sammie")</f>
        <v>Sammie</v>
      </c>
      <c r="F405" t="str">
        <f>IFERROR(__xludf.DUMMYFUNCTION("""COMPUTED_VALUE"""),"WR")</f>
        <v>WR</v>
      </c>
      <c r="G405">
        <f>IFERROR(__xludf.DUMMYFUNCTION("""COMPUTED_VALUE"""),10.5)</f>
        <v>10.5</v>
      </c>
    </row>
    <row r="406">
      <c r="D406" t="str">
        <f>IFERROR(__xludf.DUMMYFUNCTION("""COMPUTED_VALUE"""),"Cobb")</f>
        <v>Cobb</v>
      </c>
      <c r="E406" t="str">
        <f>IFERROR(__xludf.DUMMYFUNCTION("""COMPUTED_VALUE"""),"David")</f>
        <v>David</v>
      </c>
      <c r="F406" t="str">
        <f>IFERROR(__xludf.DUMMYFUNCTION("""COMPUTED_VALUE"""),"HB")</f>
        <v>HB</v>
      </c>
      <c r="G406">
        <f>IFERROR(__xludf.DUMMYFUNCTION("""COMPUTED_VALUE"""),10.5)</f>
        <v>10.5</v>
      </c>
    </row>
    <row r="407">
      <c r="D407" t="str">
        <f>IFERROR(__xludf.DUMMYFUNCTION("""COMPUTED_VALUE"""),"Cobb")</f>
        <v>Cobb</v>
      </c>
      <c r="E407" t="str">
        <f>IFERROR(__xludf.DUMMYFUNCTION("""COMPUTED_VALUE"""),"Randall")</f>
        <v>Randall</v>
      </c>
      <c r="F407" t="str">
        <f>IFERROR(__xludf.DUMMYFUNCTION("""COMPUTED_VALUE"""),"WR")</f>
        <v>WR</v>
      </c>
      <c r="G407">
        <f>IFERROR(__xludf.DUMMYFUNCTION("""COMPUTED_VALUE"""),12.9)</f>
        <v>12.9</v>
      </c>
    </row>
    <row r="408">
      <c r="D408" t="str">
        <f>IFERROR(__xludf.DUMMYFUNCTION("""COMPUTED_VALUE"""),"Cockrell")</f>
        <v>Cockrell</v>
      </c>
      <c r="E408" t="str">
        <f>IFERROR(__xludf.DUMMYFUNCTION("""COMPUTED_VALUE"""),"Ross")</f>
        <v>Ross</v>
      </c>
      <c r="F408" t="str">
        <f>IFERROR(__xludf.DUMMYFUNCTION("""COMPUTED_VALUE"""),"CB")</f>
        <v>CB</v>
      </c>
      <c r="G408">
        <f>IFERROR(__xludf.DUMMYFUNCTION("""COMPUTED_VALUE"""),10.95)</f>
        <v>10.95</v>
      </c>
    </row>
    <row r="409">
      <c r="D409" t="str">
        <f>IFERROR(__xludf.DUMMYFUNCTION("""COMPUTED_VALUE"""),"Coffman")</f>
        <v>Coffman</v>
      </c>
      <c r="E409" t="str">
        <f>IFERROR(__xludf.DUMMYFUNCTION("""COMPUTED_VALUE"""),"Chase")</f>
        <v>Chase</v>
      </c>
      <c r="F409" t="str">
        <f>IFERROR(__xludf.DUMMYFUNCTION("""COMPUTED_VALUE"""),"TE")</f>
        <v>TE</v>
      </c>
      <c r="G409">
        <f>IFERROR(__xludf.DUMMYFUNCTION("""COMPUTED_VALUE"""),10.2)</f>
        <v>10.2</v>
      </c>
    </row>
    <row r="410">
      <c r="D410" t="str">
        <f>IFERROR(__xludf.DUMMYFUNCTION("""COMPUTED_VALUE"""),"Cofield")</f>
        <v>Cofield</v>
      </c>
      <c r="E410" t="str">
        <f>IFERROR(__xludf.DUMMYFUNCTION("""COMPUTED_VALUE"""),"Takoby")</f>
        <v>Takoby</v>
      </c>
      <c r="F410" t="str">
        <f>IFERROR(__xludf.DUMMYFUNCTION("""COMPUTED_VALUE"""),"RG")</f>
        <v>RG</v>
      </c>
      <c r="G410">
        <f>IFERROR(__xludf.DUMMYFUNCTION("""COMPUTED_VALUE"""),9.75)</f>
        <v>9.75</v>
      </c>
    </row>
    <row r="411">
      <c r="D411" t="str">
        <f>IFERROR(__xludf.DUMMYFUNCTION("""COMPUTED_VALUE"""),"Coker")</f>
        <v>Coker</v>
      </c>
      <c r="E411" t="str">
        <f>IFERROR(__xludf.DUMMYFUNCTION("""COMPUTED_VALUE"""),"Jake")</f>
        <v>Jake</v>
      </c>
      <c r="F411" t="str">
        <f>IFERROR(__xludf.DUMMYFUNCTION("""COMPUTED_VALUE"""),"QB")</f>
        <v>QB</v>
      </c>
      <c r="G411">
        <f>IFERROR(__xludf.DUMMYFUNCTION("""COMPUTED_VALUE"""),9.299999999999999)</f>
        <v>9.3</v>
      </c>
    </row>
    <row r="412">
      <c r="D412" t="str">
        <f>IFERROR(__xludf.DUMMYFUNCTION("""COMPUTED_VALUE"""),"Cole")</f>
        <v>Cole</v>
      </c>
      <c r="E412" t="str">
        <f>IFERROR(__xludf.DUMMYFUNCTION("""COMPUTED_VALUE"""),"Audie")</f>
        <v>Audie</v>
      </c>
      <c r="F412" t="str">
        <f>IFERROR(__xludf.DUMMYFUNCTION("""COMPUTED_VALUE"""),"MLB")</f>
        <v>MLB</v>
      </c>
      <c r="G412">
        <f>IFERROR(__xludf.DUMMYFUNCTION("""COMPUTED_VALUE"""),10.049999999999999)</f>
        <v>10.05</v>
      </c>
    </row>
    <row r="413">
      <c r="D413" t="str">
        <f>IFERROR(__xludf.DUMMYFUNCTION("""COMPUTED_VALUE"""),"Cole")</f>
        <v>Cole</v>
      </c>
      <c r="E413" t="str">
        <f>IFERROR(__xludf.DUMMYFUNCTION("""COMPUTED_VALUE"""),"Trent")</f>
        <v>Trent</v>
      </c>
      <c r="F413" t="str">
        <f>IFERROR(__xludf.DUMMYFUNCTION("""COMPUTED_VALUE"""),"ROLB")</f>
        <v>ROLB</v>
      </c>
      <c r="G413">
        <f>IFERROR(__xludf.DUMMYFUNCTION("""COMPUTED_VALUE"""),12.299999999999999)</f>
        <v>12.3</v>
      </c>
    </row>
    <row r="414">
      <c r="D414" t="str">
        <f>IFERROR(__xludf.DUMMYFUNCTION("""COMPUTED_VALUE"""),"Coleman")</f>
        <v>Coleman</v>
      </c>
      <c r="E414" t="str">
        <f>IFERROR(__xludf.DUMMYFUNCTION("""COMPUTED_VALUE"""),"Brandon")</f>
        <v>Brandon</v>
      </c>
      <c r="F414" t="str">
        <f>IFERROR(__xludf.DUMMYFUNCTION("""COMPUTED_VALUE"""),"WR")</f>
        <v>WR</v>
      </c>
      <c r="G414">
        <f>IFERROR(__xludf.DUMMYFUNCTION("""COMPUTED_VALUE"""),10.35)</f>
        <v>10.35</v>
      </c>
    </row>
    <row r="415">
      <c r="D415" t="str">
        <f>IFERROR(__xludf.DUMMYFUNCTION("""COMPUTED_VALUE"""),"Coleman")</f>
        <v>Coleman</v>
      </c>
      <c r="E415" t="str">
        <f>IFERROR(__xludf.DUMMYFUNCTION("""COMPUTED_VALUE"""),"Corey")</f>
        <v>Corey</v>
      </c>
      <c r="F415" t="str">
        <f>IFERROR(__xludf.DUMMYFUNCTION("""COMPUTED_VALUE"""),"WR")</f>
        <v>WR</v>
      </c>
      <c r="G415">
        <f>IFERROR(__xludf.DUMMYFUNCTION("""COMPUTED_VALUE"""),11.7)</f>
        <v>11.7</v>
      </c>
    </row>
    <row r="416">
      <c r="D416" t="str">
        <f>IFERROR(__xludf.DUMMYFUNCTION("""COMPUTED_VALUE"""),"Coleman")</f>
        <v>Coleman</v>
      </c>
      <c r="E416" t="str">
        <f>IFERROR(__xludf.DUMMYFUNCTION("""COMPUTED_VALUE"""),"Deandre")</f>
        <v>Deandre</v>
      </c>
      <c r="F416" t="str">
        <f>IFERROR(__xludf.DUMMYFUNCTION("""COMPUTED_VALUE"""),"DT")</f>
        <v>DT</v>
      </c>
      <c r="G416">
        <f>IFERROR(__xludf.DUMMYFUNCTION("""COMPUTED_VALUE"""),9.299999999999999)</f>
        <v>9.3</v>
      </c>
    </row>
    <row r="417">
      <c r="D417" t="str">
        <f>IFERROR(__xludf.DUMMYFUNCTION("""COMPUTED_VALUE"""),"Coleman")</f>
        <v>Coleman</v>
      </c>
      <c r="E417" t="str">
        <f>IFERROR(__xludf.DUMMYFUNCTION("""COMPUTED_VALUE"""),"Justin")</f>
        <v>Justin</v>
      </c>
      <c r="F417" t="str">
        <f>IFERROR(__xludf.DUMMYFUNCTION("""COMPUTED_VALUE"""),"CB")</f>
        <v>CB</v>
      </c>
      <c r="G417">
        <f>IFERROR(__xludf.DUMMYFUNCTION("""COMPUTED_VALUE"""),10.049999999999999)</f>
        <v>10.05</v>
      </c>
    </row>
    <row r="418">
      <c r="D418" t="str">
        <f>IFERROR(__xludf.DUMMYFUNCTION("""COMPUTED_VALUE"""),"Coleman")</f>
        <v>Coleman</v>
      </c>
      <c r="E418" t="str">
        <f>IFERROR(__xludf.DUMMYFUNCTION("""COMPUTED_VALUE"""),"Kurt")</f>
        <v>Kurt</v>
      </c>
      <c r="F418" t="str">
        <f>IFERROR(__xludf.DUMMYFUNCTION("""COMPUTED_VALUE"""),"FS")</f>
        <v>FS</v>
      </c>
      <c r="G418">
        <f>IFERROR(__xludf.DUMMYFUNCTION("""COMPUTED_VALUE"""),13.049999999999999)</f>
        <v>13.05</v>
      </c>
    </row>
    <row r="419">
      <c r="D419" t="str">
        <f>IFERROR(__xludf.DUMMYFUNCTION("""COMPUTED_VALUE"""),"Coleman")</f>
        <v>Coleman</v>
      </c>
      <c r="E419" t="str">
        <f>IFERROR(__xludf.DUMMYFUNCTION("""COMPUTED_VALUE"""),"Shon")</f>
        <v>Shon</v>
      </c>
      <c r="F419" t="str">
        <f>IFERROR(__xludf.DUMMYFUNCTION("""COMPUTED_VALUE"""),"RT")</f>
        <v>RT</v>
      </c>
      <c r="G419">
        <f>IFERROR(__xludf.DUMMYFUNCTION("""COMPUTED_VALUE"""),10.049999999999999)</f>
        <v>10.05</v>
      </c>
    </row>
    <row r="420">
      <c r="D420" t="str">
        <f>IFERROR(__xludf.DUMMYFUNCTION("""COMPUTED_VALUE"""),"Coleman")</f>
        <v>Coleman</v>
      </c>
      <c r="E420" t="str">
        <f>IFERROR(__xludf.DUMMYFUNCTION("""COMPUTED_VALUE"""),"Tevin")</f>
        <v>Tevin</v>
      </c>
      <c r="F420" t="str">
        <f>IFERROR(__xludf.DUMMYFUNCTION("""COMPUTED_VALUE"""),"HB")</f>
        <v>HB</v>
      </c>
      <c r="G420">
        <f>IFERROR(__xludf.DUMMYFUNCTION("""COMPUTED_VALUE"""),11.25)</f>
        <v>11.25</v>
      </c>
    </row>
    <row r="421">
      <c r="D421" t="str">
        <f>IFERROR(__xludf.DUMMYFUNCTION("""COMPUTED_VALUE"""),"Collins")</f>
        <v>Collins</v>
      </c>
      <c r="E421" t="str">
        <f>IFERROR(__xludf.DUMMYFUNCTION("""COMPUTED_VALUE"""),"Alex")</f>
        <v>Alex</v>
      </c>
      <c r="F421" t="str">
        <f>IFERROR(__xludf.DUMMYFUNCTION("""COMPUTED_VALUE"""),"HB")</f>
        <v>HB</v>
      </c>
      <c r="G421">
        <f>IFERROR(__xludf.DUMMYFUNCTION("""COMPUTED_VALUE"""),10.35)</f>
        <v>10.35</v>
      </c>
    </row>
    <row r="422">
      <c r="D422" t="str">
        <f>IFERROR(__xludf.DUMMYFUNCTION("""COMPUTED_VALUE"""),"Collins")</f>
        <v>Collins</v>
      </c>
      <c r="E422" t="str">
        <f>IFERROR(__xludf.DUMMYFUNCTION("""COMPUTED_VALUE"""),"Jalen")</f>
        <v>Jalen</v>
      </c>
      <c r="F422" t="str">
        <f>IFERROR(__xludf.DUMMYFUNCTION("""COMPUTED_VALUE"""),"CB")</f>
        <v>CB</v>
      </c>
      <c r="G422">
        <f>IFERROR(__xludf.DUMMYFUNCTION("""COMPUTED_VALUE"""),10.65)</f>
        <v>10.65</v>
      </c>
    </row>
    <row r="423">
      <c r="D423" t="str">
        <f>IFERROR(__xludf.DUMMYFUNCTION("""COMPUTED_VALUE"""),"Collins")</f>
        <v>Collins</v>
      </c>
      <c r="E423" t="str">
        <f>IFERROR(__xludf.DUMMYFUNCTION("""COMPUTED_VALUE"""),"Jamie")</f>
        <v>Jamie</v>
      </c>
      <c r="F423" t="str">
        <f>IFERROR(__xludf.DUMMYFUNCTION("""COMPUTED_VALUE"""),"MLB")</f>
        <v>MLB</v>
      </c>
      <c r="G423">
        <f>IFERROR(__xludf.DUMMYFUNCTION("""COMPUTED_VALUE"""),13.2)</f>
        <v>13.2</v>
      </c>
    </row>
    <row r="424">
      <c r="D424" t="str">
        <f>IFERROR(__xludf.DUMMYFUNCTION("""COMPUTED_VALUE"""),"Collins")</f>
        <v>Collins</v>
      </c>
      <c r="E424" t="str">
        <f>IFERROR(__xludf.DUMMYFUNCTION("""COMPUTED_VALUE"""),"Lael")</f>
        <v>Lael</v>
      </c>
      <c r="F424" t="str">
        <f>IFERROR(__xludf.DUMMYFUNCTION("""COMPUTED_VALUE"""),"LG")</f>
        <v>LG</v>
      </c>
      <c r="G424">
        <f>IFERROR(__xludf.DUMMYFUNCTION("""COMPUTED_VALUE"""),11.7)</f>
        <v>11.7</v>
      </c>
    </row>
    <row r="425">
      <c r="D425" t="str">
        <f>IFERROR(__xludf.DUMMYFUNCTION("""COMPUTED_VALUE"""),"Collins")</f>
        <v>Collins</v>
      </c>
      <c r="E425" t="str">
        <f>IFERROR(__xludf.DUMMYFUNCTION("""COMPUTED_VALUE"""),"Landon")</f>
        <v>Landon</v>
      </c>
      <c r="F425" t="str">
        <f>IFERROR(__xludf.DUMMYFUNCTION("""COMPUTED_VALUE"""),"FS")</f>
        <v>FS</v>
      </c>
      <c r="G425">
        <f>IFERROR(__xludf.DUMMYFUNCTION("""COMPUTED_VALUE"""),11.25)</f>
        <v>11.25</v>
      </c>
    </row>
    <row r="426">
      <c r="D426" t="str">
        <f>IFERROR(__xludf.DUMMYFUNCTION("""COMPUTED_VALUE"""),"Collins")</f>
        <v>Collins</v>
      </c>
      <c r="E426" t="str">
        <f>IFERROR(__xludf.DUMMYFUNCTION("""COMPUTED_VALUE"""),"Maliek")</f>
        <v>Maliek</v>
      </c>
      <c r="F426" t="str">
        <f>IFERROR(__xludf.DUMMYFUNCTION("""COMPUTED_VALUE"""),"DT")</f>
        <v>DT</v>
      </c>
      <c r="G426">
        <f>IFERROR(__xludf.DUMMYFUNCTION("""COMPUTED_VALUE"""),10.35)</f>
        <v>10.35</v>
      </c>
    </row>
    <row r="427">
      <c r="D427" t="str">
        <f>IFERROR(__xludf.DUMMYFUNCTION("""COMPUTED_VALUE"""),"Colquitt")</f>
        <v>Colquitt</v>
      </c>
      <c r="E427" t="str">
        <f>IFERROR(__xludf.DUMMYFUNCTION("""COMPUTED_VALUE"""),"Britton")</f>
        <v>Britton</v>
      </c>
      <c r="F427" t="str">
        <f>IFERROR(__xludf.DUMMYFUNCTION("""COMPUTED_VALUE"""),"P")</f>
        <v>P</v>
      </c>
      <c r="G427">
        <f>IFERROR(__xludf.DUMMYFUNCTION("""COMPUTED_VALUE"""),12.0)</f>
        <v>12</v>
      </c>
    </row>
    <row r="428">
      <c r="D428" t="str">
        <f>IFERROR(__xludf.DUMMYFUNCTION("""COMPUTED_VALUE"""),"Colquitt")</f>
        <v>Colquitt</v>
      </c>
      <c r="E428" t="str">
        <f>IFERROR(__xludf.DUMMYFUNCTION("""COMPUTED_VALUE"""),"Dustin")</f>
        <v>Dustin</v>
      </c>
      <c r="F428" t="str">
        <f>IFERROR(__xludf.DUMMYFUNCTION("""COMPUTED_VALUE"""),"P")</f>
        <v>P</v>
      </c>
      <c r="G428">
        <f>IFERROR(__xludf.DUMMYFUNCTION("""COMPUTED_VALUE"""),12.299999999999999)</f>
        <v>12.3</v>
      </c>
    </row>
    <row r="429">
      <c r="D429" t="str">
        <f>IFERROR(__xludf.DUMMYFUNCTION("""COMPUTED_VALUE"""),"Colvin")</f>
        <v>Colvin</v>
      </c>
      <c r="E429" t="str">
        <f>IFERROR(__xludf.DUMMYFUNCTION("""COMPUTED_VALUE"""),"Aaron")</f>
        <v>Aaron</v>
      </c>
      <c r="F429" t="str">
        <f>IFERROR(__xludf.DUMMYFUNCTION("""COMPUTED_VALUE"""),"CB")</f>
        <v>CB</v>
      </c>
      <c r="G429">
        <f>IFERROR(__xludf.DUMMYFUNCTION("""COMPUTED_VALUE"""),11.7)</f>
        <v>11.7</v>
      </c>
    </row>
    <row r="430">
      <c r="D430" t="str">
        <f>IFERROR(__xludf.DUMMYFUNCTION("""COMPUTED_VALUE"""),"Compton")</f>
        <v>Compton</v>
      </c>
      <c r="E430" t="str">
        <f>IFERROR(__xludf.DUMMYFUNCTION("""COMPUTED_VALUE"""),"Tom")</f>
        <v>Tom</v>
      </c>
      <c r="F430" t="str">
        <f>IFERROR(__xludf.DUMMYFUNCTION("""COMPUTED_VALUE"""),"LT")</f>
        <v>LT</v>
      </c>
      <c r="G430">
        <f>IFERROR(__xludf.DUMMYFUNCTION("""COMPUTED_VALUE"""),10.95)</f>
        <v>10.95</v>
      </c>
    </row>
    <row r="431">
      <c r="D431" t="str">
        <f>IFERROR(__xludf.DUMMYFUNCTION("""COMPUTED_VALUE"""),"Compton")</f>
        <v>Compton</v>
      </c>
      <c r="E431" t="str">
        <f>IFERROR(__xludf.DUMMYFUNCTION("""COMPUTED_VALUE"""),"Will")</f>
        <v>Will</v>
      </c>
      <c r="F431" t="str">
        <f>IFERROR(__xludf.DUMMYFUNCTION("""COMPUTED_VALUE"""),"MLB")</f>
        <v>MLB</v>
      </c>
      <c r="G431">
        <f>IFERROR(__xludf.DUMMYFUNCTION("""COMPUTED_VALUE"""),10.5)</f>
        <v>10.5</v>
      </c>
    </row>
    <row r="432">
      <c r="D432" t="str">
        <f>IFERROR(__xludf.DUMMYFUNCTION("""COMPUTED_VALUE"""),"Condo")</f>
        <v>Condo</v>
      </c>
      <c r="E432" t="str">
        <f>IFERROR(__xludf.DUMMYFUNCTION("""COMPUTED_VALUE"""),"Jon")</f>
        <v>Jon</v>
      </c>
      <c r="F432" t="str">
        <f>IFERROR(__xludf.DUMMYFUNCTION("""COMPUTED_VALUE"""),"TE")</f>
        <v>TE</v>
      </c>
      <c r="G432">
        <f>IFERROR(__xludf.DUMMYFUNCTION("""COMPUTED_VALUE"""),6.3)</f>
        <v>6.3</v>
      </c>
    </row>
    <row r="433">
      <c r="D433" t="str">
        <f>IFERROR(__xludf.DUMMYFUNCTION("""COMPUTED_VALUE"""),"Conklin")</f>
        <v>Conklin</v>
      </c>
      <c r="E433" t="str">
        <f>IFERROR(__xludf.DUMMYFUNCTION("""COMPUTED_VALUE"""),"Jack")</f>
        <v>Jack</v>
      </c>
      <c r="F433" t="str">
        <f>IFERROR(__xludf.DUMMYFUNCTION("""COMPUTED_VALUE"""),"RT")</f>
        <v>RT</v>
      </c>
      <c r="G433">
        <f>IFERROR(__xludf.DUMMYFUNCTION("""COMPUTED_VALUE"""),11.85)</f>
        <v>11.85</v>
      </c>
    </row>
    <row r="434">
      <c r="D434" t="str">
        <f>IFERROR(__xludf.DUMMYFUNCTION("""COMPUTED_VALUE"""),"Conley")</f>
        <v>Conley</v>
      </c>
      <c r="E434" t="str">
        <f>IFERROR(__xludf.DUMMYFUNCTION("""COMPUTED_VALUE"""),"Chris")</f>
        <v>Chris</v>
      </c>
      <c r="F434" t="str">
        <f>IFERROR(__xludf.DUMMYFUNCTION("""COMPUTED_VALUE"""),"WR")</f>
        <v>WR</v>
      </c>
      <c r="G434">
        <f>IFERROR(__xludf.DUMMYFUNCTION("""COMPUTED_VALUE"""),10.5)</f>
        <v>10.5</v>
      </c>
    </row>
    <row r="435">
      <c r="D435" t="str">
        <f>IFERROR(__xludf.DUMMYFUNCTION("""COMPUTED_VALUE"""),"Conner")</f>
        <v>Conner</v>
      </c>
      <c r="E435" t="str">
        <f>IFERROR(__xludf.DUMMYFUNCTION("""COMPUTED_VALUE"""),"Kavell")</f>
        <v>Kavell</v>
      </c>
      <c r="F435" t="str">
        <f>IFERROR(__xludf.DUMMYFUNCTION("""COMPUTED_VALUE"""),"MLB")</f>
        <v>MLB</v>
      </c>
      <c r="G435">
        <f>IFERROR(__xludf.DUMMYFUNCTION("""COMPUTED_VALUE"""),10.95)</f>
        <v>10.95</v>
      </c>
    </row>
    <row r="436">
      <c r="D436" t="str">
        <f>IFERROR(__xludf.DUMMYFUNCTION("""COMPUTED_VALUE"""),"Conte")</f>
        <v>Conte</v>
      </c>
      <c r="E436" t="str">
        <f>IFERROR(__xludf.DUMMYFUNCTION("""COMPUTED_VALUE"""),"Chris")</f>
        <v>Chris</v>
      </c>
      <c r="F436" t="str">
        <f>IFERROR(__xludf.DUMMYFUNCTION("""COMPUTED_VALUE"""),"SS")</f>
        <v>SS</v>
      </c>
      <c r="G436">
        <f>IFERROR(__xludf.DUMMYFUNCTION("""COMPUTED_VALUE"""),11.4)</f>
        <v>11.4</v>
      </c>
    </row>
    <row r="437">
      <c r="D437" t="str">
        <f>IFERROR(__xludf.DUMMYFUNCTION("""COMPUTED_VALUE"""),"Cook")</f>
        <v>Cook</v>
      </c>
      <c r="E437" t="str">
        <f>IFERROR(__xludf.DUMMYFUNCTION("""COMPUTED_VALUE"""),"Connor")</f>
        <v>Connor</v>
      </c>
      <c r="F437" t="str">
        <f>IFERROR(__xludf.DUMMYFUNCTION("""COMPUTED_VALUE"""),"QB")</f>
        <v>QB</v>
      </c>
      <c r="G437">
        <f>IFERROR(__xludf.DUMMYFUNCTION("""COMPUTED_VALUE"""),10.799999999999999)</f>
        <v>10.8</v>
      </c>
    </row>
    <row r="438">
      <c r="D438" t="str">
        <f>IFERROR(__xludf.DUMMYFUNCTION("""COMPUTED_VALUE"""),"Cook")</f>
        <v>Cook</v>
      </c>
      <c r="E438" t="str">
        <f>IFERROR(__xludf.DUMMYFUNCTION("""COMPUTED_VALUE"""),"Jared")</f>
        <v>Jared</v>
      </c>
      <c r="F438" t="str">
        <f>IFERROR(__xludf.DUMMYFUNCTION("""COMPUTED_VALUE"""),"TE")</f>
        <v>TE</v>
      </c>
      <c r="G438">
        <f>IFERROR(__xludf.DUMMYFUNCTION("""COMPUTED_VALUE"""),12.0)</f>
        <v>12</v>
      </c>
    </row>
    <row r="439">
      <c r="D439" t="str">
        <f>IFERROR(__xludf.DUMMYFUNCTION("""COMPUTED_VALUE"""),"Cooks")</f>
        <v>Cooks</v>
      </c>
      <c r="E439" t="str">
        <f>IFERROR(__xludf.DUMMYFUNCTION("""COMPUTED_VALUE"""),"Brandin")</f>
        <v>Brandin</v>
      </c>
      <c r="F439" t="str">
        <f>IFERROR(__xludf.DUMMYFUNCTION("""COMPUTED_VALUE"""),"WR")</f>
        <v>WR</v>
      </c>
      <c r="G439">
        <f>IFERROR(__xludf.DUMMYFUNCTION("""COMPUTED_VALUE"""),12.45)</f>
        <v>12.45</v>
      </c>
    </row>
    <row r="440">
      <c r="D440" t="str">
        <f>IFERROR(__xludf.DUMMYFUNCTION("""COMPUTED_VALUE"""),"Coons")</f>
        <v>Coons</v>
      </c>
      <c r="E440" t="str">
        <f>IFERROR(__xludf.DUMMYFUNCTION("""COMPUTED_VALUE"""),"Travis")</f>
        <v>Travis</v>
      </c>
      <c r="F440" t="str">
        <f>IFERROR(__xludf.DUMMYFUNCTION("""COMPUTED_VALUE"""),"K")</f>
        <v>K</v>
      </c>
      <c r="G440">
        <f>IFERROR(__xludf.DUMMYFUNCTION("""COMPUTED_VALUE"""),11.4)</f>
        <v>11.4</v>
      </c>
    </row>
    <row r="441">
      <c r="D441" t="str">
        <f>IFERROR(__xludf.DUMMYFUNCTION("""COMPUTED_VALUE"""),"Cooper")</f>
        <v>Cooper</v>
      </c>
      <c r="E441" t="str">
        <f>IFERROR(__xludf.DUMMYFUNCTION("""COMPUTED_VALUE"""),"Alex")</f>
        <v>Alex</v>
      </c>
      <c r="F441" t="str">
        <f>IFERROR(__xludf.DUMMYFUNCTION("""COMPUTED_VALUE"""),"LG")</f>
        <v>LG</v>
      </c>
      <c r="G441">
        <f>IFERROR(__xludf.DUMMYFUNCTION("""COMPUTED_VALUE"""),8.85)</f>
        <v>8.85</v>
      </c>
    </row>
    <row r="442">
      <c r="D442" t="str">
        <f>IFERROR(__xludf.DUMMYFUNCTION("""COMPUTED_VALUE"""),"Cooper")</f>
        <v>Cooper</v>
      </c>
      <c r="E442" t="str">
        <f>IFERROR(__xludf.DUMMYFUNCTION("""COMPUTED_VALUE"""),"Amari")</f>
        <v>Amari</v>
      </c>
      <c r="F442" t="str">
        <f>IFERROR(__xludf.DUMMYFUNCTION("""COMPUTED_VALUE"""),"WR")</f>
        <v>WR</v>
      </c>
      <c r="G442">
        <f>IFERROR(__xludf.DUMMYFUNCTION("""COMPUTED_VALUE"""),12.45)</f>
        <v>12.45</v>
      </c>
    </row>
    <row r="443">
      <c r="D443" t="str">
        <f>IFERROR(__xludf.DUMMYFUNCTION("""COMPUTED_VALUE"""),"Cooper")</f>
        <v>Cooper</v>
      </c>
      <c r="E443" t="str">
        <f>IFERROR(__xludf.DUMMYFUNCTION("""COMPUTED_VALUE"""),"Fahn")</f>
        <v>Fahn</v>
      </c>
      <c r="F443" t="str">
        <f>IFERROR(__xludf.DUMMYFUNCTION("""COMPUTED_VALUE"""),"RT")</f>
        <v>RT</v>
      </c>
      <c r="G443">
        <f>IFERROR(__xludf.DUMMYFUNCTION("""COMPUTED_VALUE"""),9.9)</f>
        <v>9.9</v>
      </c>
    </row>
    <row r="444">
      <c r="D444" t="str">
        <f>IFERROR(__xludf.DUMMYFUNCTION("""COMPUTED_VALUE"""),"Cooper")</f>
        <v>Cooper</v>
      </c>
      <c r="E444" t="str">
        <f>IFERROR(__xludf.DUMMYFUNCTION("""COMPUTED_VALUE"""),"Jonathan")</f>
        <v>Jonathan</v>
      </c>
      <c r="F444" t="str">
        <f>IFERROR(__xludf.DUMMYFUNCTION("""COMPUTED_VALUE"""),"RG")</f>
        <v>RG</v>
      </c>
      <c r="G444">
        <f>IFERROR(__xludf.DUMMYFUNCTION("""COMPUTED_VALUE"""),11.4)</f>
        <v>11.4</v>
      </c>
    </row>
    <row r="445">
      <c r="D445" t="str">
        <f>IFERROR(__xludf.DUMMYFUNCTION("""COMPUTED_VALUE"""),"Cooper")</f>
        <v>Cooper</v>
      </c>
      <c r="E445" t="str">
        <f>IFERROR(__xludf.DUMMYFUNCTION("""COMPUTED_VALUE"""),"Marcus")</f>
        <v>Marcus</v>
      </c>
      <c r="F445" t="str">
        <f>IFERROR(__xludf.DUMMYFUNCTION("""COMPUTED_VALUE"""),"CB")</f>
        <v>CB</v>
      </c>
      <c r="G445">
        <f>IFERROR(__xludf.DUMMYFUNCTION("""COMPUTED_VALUE"""),10.65)</f>
        <v>10.65</v>
      </c>
    </row>
    <row r="446">
      <c r="D446" t="str">
        <f>IFERROR(__xludf.DUMMYFUNCTION("""COMPUTED_VALUE"""),"Cooper")</f>
        <v>Cooper</v>
      </c>
      <c r="E446" t="str">
        <f>IFERROR(__xludf.DUMMYFUNCTION("""COMPUTED_VALUE"""),"Pharoh")</f>
        <v>Pharoh</v>
      </c>
      <c r="F446" t="str">
        <f>IFERROR(__xludf.DUMMYFUNCTION("""COMPUTED_VALUE"""),"WR")</f>
        <v>WR</v>
      </c>
      <c r="G446">
        <f>IFERROR(__xludf.DUMMYFUNCTION("""COMPUTED_VALUE"""),9.45)</f>
        <v>9.45</v>
      </c>
    </row>
    <row r="447">
      <c r="D447" t="str">
        <f>IFERROR(__xludf.DUMMYFUNCTION("""COMPUTED_VALUE"""),"Cooper")</f>
        <v>Cooper</v>
      </c>
      <c r="E447" t="str">
        <f>IFERROR(__xludf.DUMMYFUNCTION("""COMPUTED_VALUE"""),"Xavier")</f>
        <v>Xavier</v>
      </c>
      <c r="F447" t="str">
        <f>IFERROR(__xludf.DUMMYFUNCTION("""COMPUTED_VALUE"""),"RE")</f>
        <v>RE</v>
      </c>
      <c r="G447">
        <f>IFERROR(__xludf.DUMMYFUNCTION("""COMPUTED_VALUE"""),9.299999999999999)</f>
        <v>9.3</v>
      </c>
    </row>
    <row r="448">
      <c r="D448" t="str">
        <f>IFERROR(__xludf.DUMMYFUNCTION("""COMPUTED_VALUE"""),"Copeland")</f>
        <v>Copeland</v>
      </c>
      <c r="E448" t="str">
        <f>IFERROR(__xludf.DUMMYFUNCTION("""COMPUTED_VALUE"""),"Brandon")</f>
        <v>Brandon</v>
      </c>
      <c r="F448" t="str">
        <f>IFERROR(__xludf.DUMMYFUNCTION("""COMPUTED_VALUE"""),"LOLB")</f>
        <v>LOLB</v>
      </c>
      <c r="G448">
        <f>IFERROR(__xludf.DUMMYFUNCTION("""COMPUTED_VALUE"""),9.6)</f>
        <v>9.6</v>
      </c>
    </row>
    <row r="449">
      <c r="D449" t="str">
        <f>IFERROR(__xludf.DUMMYFUNCTION("""COMPUTED_VALUE"""),"Coples")</f>
        <v>Coples</v>
      </c>
      <c r="E449" t="str">
        <f>IFERROR(__xludf.DUMMYFUNCTION("""COMPUTED_VALUE"""),"Quinton")</f>
        <v>Quinton</v>
      </c>
      <c r="F449" t="str">
        <f>IFERROR(__xludf.DUMMYFUNCTION("""COMPUTED_VALUE"""),"LE")</f>
        <v>LE</v>
      </c>
      <c r="G449">
        <f>IFERROR(__xludf.DUMMYFUNCTION("""COMPUTED_VALUE"""),11.4)</f>
        <v>11.4</v>
      </c>
    </row>
    <row r="450">
      <c r="D450" t="str">
        <f>IFERROR(__xludf.DUMMYFUNCTION("""COMPUTED_VALUE"""),"Coprich")</f>
        <v>Coprich</v>
      </c>
      <c r="E450" t="str">
        <f>IFERROR(__xludf.DUMMYFUNCTION("""COMPUTED_VALUE"""),"Marshaun")</f>
        <v>Marshaun</v>
      </c>
      <c r="F450" t="str">
        <f>IFERROR(__xludf.DUMMYFUNCTION("""COMPUTED_VALUE"""),"HB")</f>
        <v>HB</v>
      </c>
      <c r="G450">
        <f>IFERROR(__xludf.DUMMYFUNCTION("""COMPUTED_VALUE"""),9.45)</f>
        <v>9.45</v>
      </c>
    </row>
    <row r="451">
      <c r="D451" t="str">
        <f>IFERROR(__xludf.DUMMYFUNCTION("""COMPUTED_VALUE"""),"Core")</f>
        <v>Core</v>
      </c>
      <c r="E451" t="str">
        <f>IFERROR(__xludf.DUMMYFUNCTION("""COMPUTED_VALUE"""),"Cody")</f>
        <v>Cody</v>
      </c>
      <c r="F451" t="str">
        <f>IFERROR(__xludf.DUMMYFUNCTION("""COMPUTED_VALUE"""),"WR")</f>
        <v>WR</v>
      </c>
      <c r="G451">
        <f>IFERROR(__xludf.DUMMYFUNCTION("""COMPUTED_VALUE"""),9.75)</f>
        <v>9.75</v>
      </c>
    </row>
    <row r="452">
      <c r="D452" t="str">
        <f>IFERROR(__xludf.DUMMYFUNCTION("""COMPUTED_VALUE"""),"Correa")</f>
        <v>Correa</v>
      </c>
      <c r="E452" t="str">
        <f>IFERROR(__xludf.DUMMYFUNCTION("""COMPUTED_VALUE"""),"Kamalei")</f>
        <v>Kamalei</v>
      </c>
      <c r="F452" t="str">
        <f>IFERROR(__xludf.DUMMYFUNCTION("""COMPUTED_VALUE"""),"LOLB")</f>
        <v>LOLB</v>
      </c>
      <c r="G452">
        <f>IFERROR(__xludf.DUMMYFUNCTION("""COMPUTED_VALUE"""),10.799999999999999)</f>
        <v>10.8</v>
      </c>
    </row>
    <row r="453">
      <c r="D453" t="str">
        <f>IFERROR(__xludf.DUMMYFUNCTION("""COMPUTED_VALUE"""),"Countess")</f>
        <v>Countess</v>
      </c>
      <c r="E453" t="str">
        <f>IFERROR(__xludf.DUMMYFUNCTION("""COMPUTED_VALUE"""),"Blake")</f>
        <v>Blake</v>
      </c>
      <c r="F453" t="str">
        <f>IFERROR(__xludf.DUMMYFUNCTION("""COMPUTED_VALUE"""),"SS")</f>
        <v>SS</v>
      </c>
      <c r="G453">
        <f>IFERROR(__xludf.DUMMYFUNCTION("""COMPUTED_VALUE"""),10.049999999999999)</f>
        <v>10.05</v>
      </c>
    </row>
    <row r="454">
      <c r="D454" t="str">
        <f>IFERROR(__xludf.DUMMYFUNCTION("""COMPUTED_VALUE"""),"Cousins")</f>
        <v>Cousins</v>
      </c>
      <c r="E454" t="str">
        <f>IFERROR(__xludf.DUMMYFUNCTION("""COMPUTED_VALUE"""),"Kirk")</f>
        <v>Kirk</v>
      </c>
      <c r="F454" t="str">
        <f>IFERROR(__xludf.DUMMYFUNCTION("""COMPUTED_VALUE"""),"QB")</f>
        <v>QB</v>
      </c>
      <c r="G454">
        <f>IFERROR(__xludf.DUMMYFUNCTION("""COMPUTED_VALUE"""),12.45)</f>
        <v>12.45</v>
      </c>
    </row>
    <row r="455">
      <c r="D455" t="str">
        <f>IFERROR(__xludf.DUMMYFUNCTION("""COMPUTED_VALUE"""),"Covington")</f>
        <v>Covington</v>
      </c>
      <c r="E455" t="str">
        <f>IFERROR(__xludf.DUMMYFUNCTION("""COMPUTED_VALUE"""),"Christian")</f>
        <v>Christian</v>
      </c>
      <c r="F455" t="str">
        <f>IFERROR(__xludf.DUMMYFUNCTION("""COMPUTED_VALUE"""),"DT")</f>
        <v>DT</v>
      </c>
      <c r="G455">
        <f>IFERROR(__xludf.DUMMYFUNCTION("""COMPUTED_VALUE"""),9.9)</f>
        <v>9.9</v>
      </c>
    </row>
    <row r="456">
      <c r="D456" t="str">
        <f>IFERROR(__xludf.DUMMYFUNCTION("""COMPUTED_VALUE"""),"Cowser")</f>
        <v>Cowser</v>
      </c>
      <c r="E456" t="str">
        <f>IFERROR(__xludf.DUMMYFUNCTION("""COMPUTED_VALUE"""),"James")</f>
        <v>James</v>
      </c>
      <c r="F456" t="str">
        <f>IFERROR(__xludf.DUMMYFUNCTION("""COMPUTED_VALUE"""),"LE")</f>
        <v>LE</v>
      </c>
      <c r="G456">
        <f>IFERROR(__xludf.DUMMYFUNCTION("""COMPUTED_VALUE"""),9.15)</f>
        <v>9.15</v>
      </c>
    </row>
    <row r="457">
      <c r="D457" t="str">
        <f>IFERROR(__xludf.DUMMYFUNCTION("""COMPUTED_VALUE"""),"Cox")</f>
        <v>Cox</v>
      </c>
      <c r="E457" t="str">
        <f>IFERROR(__xludf.DUMMYFUNCTION("""COMPUTED_VALUE"""),"Fletcher")</f>
        <v>Fletcher</v>
      </c>
      <c r="F457" t="str">
        <f>IFERROR(__xludf.DUMMYFUNCTION("""COMPUTED_VALUE"""),"DT")</f>
        <v>DT</v>
      </c>
      <c r="G457">
        <f>IFERROR(__xludf.DUMMYFUNCTION("""COMPUTED_VALUE"""),13.95)</f>
        <v>13.95</v>
      </c>
    </row>
    <row r="458">
      <c r="D458" t="str">
        <f>IFERROR(__xludf.DUMMYFUNCTION("""COMPUTED_VALUE"""),"Cox")</f>
        <v>Cox</v>
      </c>
      <c r="E458" t="str">
        <f>IFERROR(__xludf.DUMMYFUNCTION("""COMPUTED_VALUE"""),"Morgan")</f>
        <v>Morgan</v>
      </c>
      <c r="F458" t="str">
        <f>IFERROR(__xludf.DUMMYFUNCTION("""COMPUTED_VALUE"""),"TE")</f>
        <v>TE</v>
      </c>
      <c r="G458">
        <f>IFERROR(__xludf.DUMMYFUNCTION("""COMPUTED_VALUE"""),6.0)</f>
        <v>6</v>
      </c>
    </row>
    <row r="459">
      <c r="D459" t="str">
        <f>IFERROR(__xludf.DUMMYFUNCTION("""COMPUTED_VALUE"""),"Cox")</f>
        <v>Cox</v>
      </c>
      <c r="E459" t="str">
        <f>IFERROR(__xludf.DUMMYFUNCTION("""COMPUTED_VALUE"""),"Perrish")</f>
        <v>Perrish</v>
      </c>
      <c r="F459" t="str">
        <f>IFERROR(__xludf.DUMMYFUNCTION("""COMPUTED_VALUE"""),"CB")</f>
        <v>CB</v>
      </c>
      <c r="G459">
        <f>IFERROR(__xludf.DUMMYFUNCTION("""COMPUTED_VALUE"""),11.7)</f>
        <v>11.7</v>
      </c>
    </row>
    <row r="460">
      <c r="D460" t="str">
        <f>IFERROR(__xludf.DUMMYFUNCTION("""COMPUTED_VALUE"""),"Coyle")</f>
        <v>Coyle</v>
      </c>
      <c r="E460" t="str">
        <f>IFERROR(__xludf.DUMMYFUNCTION("""COMPUTED_VALUE"""),"Brock")</f>
        <v>Brock</v>
      </c>
      <c r="F460" t="str">
        <f>IFERROR(__xludf.DUMMYFUNCTION("""COMPUTED_VALUE"""),"MLB")</f>
        <v>MLB</v>
      </c>
      <c r="G460">
        <f>IFERROR(__xludf.DUMMYFUNCTION("""COMPUTED_VALUE"""),9.9)</f>
        <v>9.9</v>
      </c>
    </row>
    <row r="461">
      <c r="D461" t="str">
        <f>IFERROR(__xludf.DUMMYFUNCTION("""COMPUTED_VALUE"""),"Crabtree")</f>
        <v>Crabtree</v>
      </c>
      <c r="E461" t="str">
        <f>IFERROR(__xludf.DUMMYFUNCTION("""COMPUTED_VALUE"""),"Michael")</f>
        <v>Michael</v>
      </c>
      <c r="F461" t="str">
        <f>IFERROR(__xludf.DUMMYFUNCTION("""COMPUTED_VALUE"""),"WR")</f>
        <v>WR</v>
      </c>
      <c r="G461">
        <f>IFERROR(__xludf.DUMMYFUNCTION("""COMPUTED_VALUE"""),12.45)</f>
        <v>12.45</v>
      </c>
    </row>
    <row r="462">
      <c r="D462" t="str">
        <f>IFERROR(__xludf.DUMMYFUNCTION("""COMPUTED_VALUE"""),"Cravens")</f>
        <v>Cravens</v>
      </c>
      <c r="E462" t="str">
        <f>IFERROR(__xludf.DUMMYFUNCTION("""COMPUTED_VALUE"""),"Sua")</f>
        <v>Sua</v>
      </c>
      <c r="F462" t="str">
        <f>IFERROR(__xludf.DUMMYFUNCTION("""COMPUTED_VALUE"""),"SS")</f>
        <v>SS</v>
      </c>
      <c r="G462">
        <f>IFERROR(__xludf.DUMMYFUNCTION("""COMPUTED_VALUE"""),11.1)</f>
        <v>11.1</v>
      </c>
    </row>
    <row r="463">
      <c r="D463" t="str">
        <f>IFERROR(__xludf.DUMMYFUNCTION("""COMPUTED_VALUE"""),"Crawford")</f>
        <v>Crawford</v>
      </c>
      <c r="E463" t="str">
        <f>IFERROR(__xludf.DUMMYFUNCTION("""COMPUTED_VALUE"""),"Jack")</f>
        <v>Jack</v>
      </c>
      <c r="F463" t="str">
        <f>IFERROR(__xludf.DUMMYFUNCTION("""COMPUTED_VALUE"""),"DT")</f>
        <v>DT</v>
      </c>
      <c r="G463">
        <f>IFERROR(__xludf.DUMMYFUNCTION("""COMPUTED_VALUE"""),9.6)</f>
        <v>9.6</v>
      </c>
    </row>
    <row r="464">
      <c r="D464" t="str">
        <f>IFERROR(__xludf.DUMMYFUNCTION("""COMPUTED_VALUE"""),"Crawford")</f>
        <v>Crawford</v>
      </c>
      <c r="E464" t="str">
        <f>IFERROR(__xludf.DUMMYFUNCTION("""COMPUTED_VALUE"""),"Tyrone")</f>
        <v>Tyrone</v>
      </c>
      <c r="F464" t="str">
        <f>IFERROR(__xludf.DUMMYFUNCTION("""COMPUTED_VALUE"""),"DT")</f>
        <v>DT</v>
      </c>
      <c r="G464">
        <f>IFERROR(__xludf.DUMMYFUNCTION("""COMPUTED_VALUE"""),12.0)</f>
        <v>12</v>
      </c>
    </row>
    <row r="465">
      <c r="D465" t="str">
        <f>IFERROR(__xludf.DUMMYFUNCTION("""COMPUTED_VALUE"""),"Crichton")</f>
        <v>Crichton</v>
      </c>
      <c r="E465" t="str">
        <f>IFERROR(__xludf.DUMMYFUNCTION("""COMPUTED_VALUE"""),"Scott")</f>
        <v>Scott</v>
      </c>
      <c r="F465" t="str">
        <f>IFERROR(__xludf.DUMMYFUNCTION("""COMPUTED_VALUE"""),"DT")</f>
        <v>DT</v>
      </c>
      <c r="G465">
        <f>IFERROR(__xludf.DUMMYFUNCTION("""COMPUTED_VALUE"""),10.65)</f>
        <v>10.65</v>
      </c>
    </row>
    <row r="466">
      <c r="D466" t="str">
        <f>IFERROR(__xludf.DUMMYFUNCTION("""COMPUTED_VALUE"""),"Crick")</f>
        <v>Crick</v>
      </c>
      <c r="E466" t="str">
        <f>IFERROR(__xludf.DUMMYFUNCTION("""COMPUTED_VALUE"""),"Jared")</f>
        <v>Jared</v>
      </c>
      <c r="F466" t="str">
        <f>IFERROR(__xludf.DUMMYFUNCTION("""COMPUTED_VALUE"""),"RE")</f>
        <v>RE</v>
      </c>
      <c r="G466">
        <f>IFERROR(__xludf.DUMMYFUNCTION("""COMPUTED_VALUE"""),10.5)</f>
        <v>10.5</v>
      </c>
    </row>
    <row r="467">
      <c r="D467" t="str">
        <f>IFERROR(__xludf.DUMMYFUNCTION("""COMPUTED_VALUE"""),"Crockett")</f>
        <v>Crockett</v>
      </c>
      <c r="E467" t="str">
        <f>IFERROR(__xludf.DUMMYFUNCTION("""COMPUTED_VALUE"""),"John")</f>
        <v>John</v>
      </c>
      <c r="F467" t="str">
        <f>IFERROR(__xludf.DUMMYFUNCTION("""COMPUTED_VALUE"""),"HB")</f>
        <v>HB</v>
      </c>
      <c r="G467">
        <f>IFERROR(__xludf.DUMMYFUNCTION("""COMPUTED_VALUE"""),10.049999999999999)</f>
        <v>10.05</v>
      </c>
    </row>
    <row r="468">
      <c r="D468" t="str">
        <f>IFERROR(__xludf.DUMMYFUNCTION("""COMPUTED_VALUE"""),"Cromartie")</f>
        <v>Cromartie</v>
      </c>
      <c r="E468" t="str">
        <f>IFERROR(__xludf.DUMMYFUNCTION("""COMPUTED_VALUE"""),"Marcus")</f>
        <v>Marcus</v>
      </c>
      <c r="F468" t="str">
        <f>IFERROR(__xludf.DUMMYFUNCTION("""COMPUTED_VALUE"""),"CB")</f>
        <v>CB</v>
      </c>
      <c r="G468">
        <f>IFERROR(__xludf.DUMMYFUNCTION("""COMPUTED_VALUE"""),9.75)</f>
        <v>9.75</v>
      </c>
    </row>
    <row r="469">
      <c r="D469" t="str">
        <f>IFERROR(__xludf.DUMMYFUNCTION("""COMPUTED_VALUE"""),"Crosby")</f>
        <v>Crosby</v>
      </c>
      <c r="E469" t="str">
        <f>IFERROR(__xludf.DUMMYFUNCTION("""COMPUTED_VALUE"""),"Mason")</f>
        <v>Mason</v>
      </c>
      <c r="F469" t="str">
        <f>IFERROR(__xludf.DUMMYFUNCTION("""COMPUTED_VALUE"""),"K")</f>
        <v>K</v>
      </c>
      <c r="G469">
        <f>IFERROR(__xludf.DUMMYFUNCTION("""COMPUTED_VALUE"""),12.15)</f>
        <v>12.15</v>
      </c>
    </row>
    <row r="470">
      <c r="D470" t="str">
        <f>IFERROR(__xludf.DUMMYFUNCTION("""COMPUTED_VALUE"""),"Cross")</f>
        <v>Cross</v>
      </c>
      <c r="E470" t="str">
        <f>IFERROR(__xludf.DUMMYFUNCTION("""COMPUTED_VALUE"""),"Alan")</f>
        <v>Alan</v>
      </c>
      <c r="F470" t="str">
        <f>IFERROR(__xludf.DUMMYFUNCTION("""COMPUTED_VALUE"""),"TE")</f>
        <v>TE</v>
      </c>
      <c r="G470">
        <f>IFERROR(__xludf.DUMMYFUNCTION("""COMPUTED_VALUE"""),9.299999999999999)</f>
        <v>9.3</v>
      </c>
    </row>
    <row r="471">
      <c r="D471" t="str">
        <f>IFERROR(__xludf.DUMMYFUNCTION("""COMPUTED_VALUE"""),"Crowder")</f>
        <v>Crowder</v>
      </c>
      <c r="E471" t="str">
        <f>IFERROR(__xludf.DUMMYFUNCTION("""COMPUTED_VALUE"""),"Jamison")</f>
        <v>Jamison</v>
      </c>
      <c r="F471" t="str">
        <f>IFERROR(__xludf.DUMMYFUNCTION("""COMPUTED_VALUE"""),"WR")</f>
        <v>WR</v>
      </c>
      <c r="G471">
        <f>IFERROR(__xludf.DUMMYFUNCTION("""COMPUTED_VALUE"""),11.1)</f>
        <v>11.1</v>
      </c>
    </row>
    <row r="472">
      <c r="D472" t="str">
        <f>IFERROR(__xludf.DUMMYFUNCTION("""COMPUTED_VALUE"""),"Crowell")</f>
        <v>Crowell</v>
      </c>
      <c r="E472" t="str">
        <f>IFERROR(__xludf.DUMMYFUNCTION("""COMPUTED_VALUE"""),"Isaiah")</f>
        <v>Isaiah</v>
      </c>
      <c r="F472" t="str">
        <f>IFERROR(__xludf.DUMMYFUNCTION("""COMPUTED_VALUE"""),"HB")</f>
        <v>HB</v>
      </c>
      <c r="G472">
        <f>IFERROR(__xludf.DUMMYFUNCTION("""COMPUTED_VALUE"""),11.4)</f>
        <v>11.4</v>
      </c>
    </row>
    <row r="473">
      <c r="D473" t="str">
        <f>IFERROR(__xludf.DUMMYFUNCTION("""COMPUTED_VALUE"""),"Cruz")</f>
        <v>Cruz</v>
      </c>
      <c r="E473" t="str">
        <f>IFERROR(__xludf.DUMMYFUNCTION("""COMPUTED_VALUE"""),"Victor")</f>
        <v>Victor</v>
      </c>
      <c r="F473" t="str">
        <f>IFERROR(__xludf.DUMMYFUNCTION("""COMPUTED_VALUE"""),"WR")</f>
        <v>WR</v>
      </c>
      <c r="G473">
        <f>IFERROR(__xludf.DUMMYFUNCTION("""COMPUTED_VALUE"""),12.15)</f>
        <v>12.15</v>
      </c>
    </row>
    <row r="474">
      <c r="D474" t="str">
        <f>IFERROR(__xludf.DUMMYFUNCTION("""COMPUTED_VALUE"""),"Cumberland")</f>
        <v>Cumberland</v>
      </c>
      <c r="E474" t="str">
        <f>IFERROR(__xludf.DUMMYFUNCTION("""COMPUTED_VALUE"""),"Jeff")</f>
        <v>Jeff</v>
      </c>
      <c r="F474" t="str">
        <f>IFERROR(__xludf.DUMMYFUNCTION("""COMPUTED_VALUE"""),"TE")</f>
        <v>TE</v>
      </c>
      <c r="G474">
        <f>IFERROR(__xludf.DUMMYFUNCTION("""COMPUTED_VALUE"""),10.799999999999999)</f>
        <v>10.8</v>
      </c>
    </row>
    <row r="475">
      <c r="D475" t="str">
        <f>IFERROR(__xludf.DUMMYFUNCTION("""COMPUTED_VALUE"""),"Cunningham")</f>
        <v>Cunningham</v>
      </c>
      <c r="E475" t="str">
        <f>IFERROR(__xludf.DUMMYFUNCTION("""COMPUTED_VALUE"""),"Benny")</f>
        <v>Benny</v>
      </c>
      <c r="F475" t="str">
        <f>IFERROR(__xludf.DUMMYFUNCTION("""COMPUTED_VALUE"""),"HB")</f>
        <v>HB</v>
      </c>
      <c r="G475">
        <f>IFERROR(__xludf.DUMMYFUNCTION("""COMPUTED_VALUE"""),11.1)</f>
        <v>11.1</v>
      </c>
    </row>
    <row r="476">
      <c r="D476" t="str">
        <f>IFERROR(__xludf.DUMMYFUNCTION("""COMPUTED_VALUE"""),"Cunningham")</f>
        <v>Cunningham</v>
      </c>
      <c r="E476" t="str">
        <f>IFERROR(__xludf.DUMMYFUNCTION("""COMPUTED_VALUE"""),"Jerome")</f>
        <v>Jerome</v>
      </c>
      <c r="F476" t="str">
        <f>IFERROR(__xludf.DUMMYFUNCTION("""COMPUTED_VALUE"""),"TE")</f>
        <v>TE</v>
      </c>
      <c r="G476">
        <f>IFERROR(__xludf.DUMMYFUNCTION("""COMPUTED_VALUE"""),9.9)</f>
        <v>9.9</v>
      </c>
    </row>
    <row r="477">
      <c r="D477" t="str">
        <f>IFERROR(__xludf.DUMMYFUNCTION("""COMPUTED_VALUE"""),"Cunningham")</f>
        <v>Cunningham</v>
      </c>
      <c r="E477" t="str">
        <f>IFERROR(__xludf.DUMMYFUNCTION("""COMPUTED_VALUE"""),"Justice")</f>
        <v>Justice</v>
      </c>
      <c r="F477" t="str">
        <f>IFERROR(__xludf.DUMMYFUNCTION("""COMPUTED_VALUE"""),"TE")</f>
        <v>TE</v>
      </c>
      <c r="G477">
        <f>IFERROR(__xludf.DUMMYFUNCTION("""COMPUTED_VALUE"""),10.2)</f>
        <v>10.2</v>
      </c>
    </row>
    <row r="478">
      <c r="D478" t="str">
        <f>IFERROR(__xludf.DUMMYFUNCTION("""COMPUTED_VALUE"""),"Curry")</f>
        <v>Curry</v>
      </c>
      <c r="E478" t="str">
        <f>IFERROR(__xludf.DUMMYFUNCTION("""COMPUTED_VALUE"""),"Vinny")</f>
        <v>Vinny</v>
      </c>
      <c r="F478" t="str">
        <f>IFERROR(__xludf.DUMMYFUNCTION("""COMPUTED_VALUE"""),"LE")</f>
        <v>LE</v>
      </c>
      <c r="G478">
        <f>IFERROR(__xludf.DUMMYFUNCTION("""COMPUTED_VALUE"""),11.85)</f>
        <v>11.85</v>
      </c>
    </row>
    <row r="479">
      <c r="D479" t="str">
        <f>IFERROR(__xludf.DUMMYFUNCTION("""COMPUTED_VALUE"""),"Cushing")</f>
        <v>Cushing</v>
      </c>
      <c r="E479" t="str">
        <f>IFERROR(__xludf.DUMMYFUNCTION("""COMPUTED_VALUE"""),"Brian")</f>
        <v>Brian</v>
      </c>
      <c r="F479" t="str">
        <f>IFERROR(__xludf.DUMMYFUNCTION("""COMPUTED_VALUE"""),"MLB")</f>
        <v>MLB</v>
      </c>
      <c r="G479">
        <f>IFERROR(__xludf.DUMMYFUNCTION("""COMPUTED_VALUE"""),12.15)</f>
        <v>12.15</v>
      </c>
    </row>
    <row r="480">
      <c r="D480" t="str">
        <f>IFERROR(__xludf.DUMMYFUNCTION("""COMPUTED_VALUE"""),"Cutler")</f>
        <v>Cutler</v>
      </c>
      <c r="E480" t="str">
        <f>IFERROR(__xludf.DUMMYFUNCTION("""COMPUTED_VALUE"""),"Jay")</f>
        <v>Jay</v>
      </c>
      <c r="F480" t="str">
        <f>IFERROR(__xludf.DUMMYFUNCTION("""COMPUTED_VALUE"""),"QB")</f>
        <v>QB</v>
      </c>
      <c r="G480">
        <f>IFERROR(__xludf.DUMMYFUNCTION("""COMPUTED_VALUE"""),12.0)</f>
        <v>12</v>
      </c>
    </row>
    <row r="481">
      <c r="D481" t="str">
        <f>IFERROR(__xludf.DUMMYFUNCTION("""COMPUTED_VALUE"""),"Cyprien")</f>
        <v>Cyprien</v>
      </c>
      <c r="E481" t="str">
        <f>IFERROR(__xludf.DUMMYFUNCTION("""COMPUTED_VALUE"""),"Johnathan")</f>
        <v>Johnathan</v>
      </c>
      <c r="F481" t="str">
        <f>IFERROR(__xludf.DUMMYFUNCTION("""COMPUTED_VALUE"""),"SS")</f>
        <v>SS</v>
      </c>
      <c r="G481">
        <f>IFERROR(__xludf.DUMMYFUNCTION("""COMPUTED_VALUE"""),11.4)</f>
        <v>11.4</v>
      </c>
    </row>
    <row r="482">
      <c r="D482" t="str">
        <f>IFERROR(__xludf.DUMMYFUNCTION("""COMPUTED_VALUE"""),"Dahl")</f>
        <v>Dahl</v>
      </c>
      <c r="E482" t="str">
        <f>IFERROR(__xludf.DUMMYFUNCTION("""COMPUTED_VALUE"""),"Joe")</f>
        <v>Joe</v>
      </c>
      <c r="F482" t="str">
        <f>IFERROR(__xludf.DUMMYFUNCTION("""COMPUTED_VALUE"""),"LG")</f>
        <v>LG</v>
      </c>
      <c r="G482">
        <f>IFERROR(__xludf.DUMMYFUNCTION("""COMPUTED_VALUE"""),9.75)</f>
        <v>9.75</v>
      </c>
    </row>
    <row r="483">
      <c r="D483" t="str">
        <f>IFERROR(__xludf.DUMMYFUNCTION("""COMPUTED_VALUE"""),"Dalton")</f>
        <v>Dalton</v>
      </c>
      <c r="E483" t="str">
        <f>IFERROR(__xludf.DUMMYFUNCTION("""COMPUTED_VALUE"""),"Andy")</f>
        <v>Andy</v>
      </c>
      <c r="F483" t="str">
        <f>IFERROR(__xludf.DUMMYFUNCTION("""COMPUTED_VALUE"""),"QB")</f>
        <v>QB</v>
      </c>
      <c r="G483">
        <f>IFERROR(__xludf.DUMMYFUNCTION("""COMPUTED_VALUE"""),13.049999999999999)</f>
        <v>13.05</v>
      </c>
    </row>
    <row r="484">
      <c r="D484" t="str">
        <f>IFERROR(__xludf.DUMMYFUNCTION("""COMPUTED_VALUE"""),"Dangerfield")</f>
        <v>Dangerfield</v>
      </c>
      <c r="E484" t="str">
        <f>IFERROR(__xludf.DUMMYFUNCTION("""COMPUTED_VALUE"""),"Jared")</f>
        <v>Jared</v>
      </c>
      <c r="F484" t="str">
        <f>IFERROR(__xludf.DUMMYFUNCTION("""COMPUTED_VALUE"""),"WR")</f>
        <v>WR</v>
      </c>
      <c r="G484">
        <f>IFERROR(__xludf.DUMMYFUNCTION("""COMPUTED_VALUE"""),9.299999999999999)</f>
        <v>9.3</v>
      </c>
    </row>
    <row r="485">
      <c r="D485" t="str">
        <f>IFERROR(__xludf.DUMMYFUNCTION("""COMPUTED_VALUE"""),"Daniel")</f>
        <v>Daniel</v>
      </c>
      <c r="E485" t="str">
        <f>IFERROR(__xludf.DUMMYFUNCTION("""COMPUTED_VALUE"""),"Chase")</f>
        <v>Chase</v>
      </c>
      <c r="F485" t="str">
        <f>IFERROR(__xludf.DUMMYFUNCTION("""COMPUTED_VALUE"""),"QB")</f>
        <v>QB</v>
      </c>
      <c r="G485">
        <f>IFERROR(__xludf.DUMMYFUNCTION("""COMPUTED_VALUE"""),10.65)</f>
        <v>10.65</v>
      </c>
    </row>
    <row r="486">
      <c r="D486" t="str">
        <f>IFERROR(__xludf.DUMMYFUNCTION("""COMPUTED_VALUE"""),"Daniels")</f>
        <v>Daniels</v>
      </c>
      <c r="E486" t="str">
        <f>IFERROR(__xludf.DUMMYFUNCTION("""COMPUTED_VALUE"""),"BJ")</f>
        <v>BJ</v>
      </c>
      <c r="F486" t="str">
        <f>IFERROR(__xludf.DUMMYFUNCTION("""COMPUTED_VALUE"""),"QB")</f>
        <v>QB</v>
      </c>
      <c r="G486">
        <f>IFERROR(__xludf.DUMMYFUNCTION("""COMPUTED_VALUE"""),8.549999999999999)</f>
        <v>8.55</v>
      </c>
    </row>
    <row r="487">
      <c r="D487" t="str">
        <f>IFERROR(__xludf.DUMMYFUNCTION("""COMPUTED_VALUE"""),"Daniels")</f>
        <v>Daniels</v>
      </c>
      <c r="E487" t="str">
        <f>IFERROR(__xludf.DUMMYFUNCTION("""COMPUTED_VALUE"""),"Mike")</f>
        <v>Mike</v>
      </c>
      <c r="F487" t="str">
        <f>IFERROR(__xludf.DUMMYFUNCTION("""COMPUTED_VALUE"""),"RE")</f>
        <v>RE</v>
      </c>
      <c r="G487">
        <f>IFERROR(__xludf.DUMMYFUNCTION("""COMPUTED_VALUE"""),13.799999999999999)</f>
        <v>13.8</v>
      </c>
    </row>
    <row r="488">
      <c r="D488" t="str">
        <f>IFERROR(__xludf.DUMMYFUNCTION("""COMPUTED_VALUE"""),"Daniels")</f>
        <v>Daniels</v>
      </c>
      <c r="E488" t="str">
        <f>IFERROR(__xludf.DUMMYFUNCTION("""COMPUTED_VALUE"""),"Steven")</f>
        <v>Steven</v>
      </c>
      <c r="F488" t="str">
        <f>IFERROR(__xludf.DUMMYFUNCTION("""COMPUTED_VALUE"""),"MLB")</f>
        <v>MLB</v>
      </c>
      <c r="G488">
        <f>IFERROR(__xludf.DUMMYFUNCTION("""COMPUTED_VALUE"""),9.15)</f>
        <v>9.15</v>
      </c>
    </row>
    <row r="489">
      <c r="D489" t="str">
        <f>IFERROR(__xludf.DUMMYFUNCTION("""COMPUTED_VALUE"""),"Dansby")</f>
        <v>Dansby</v>
      </c>
      <c r="E489" t="str">
        <f>IFERROR(__xludf.DUMMYFUNCTION("""COMPUTED_VALUE"""),"Karlos")</f>
        <v>Karlos</v>
      </c>
      <c r="F489" t="str">
        <f>IFERROR(__xludf.DUMMYFUNCTION("""COMPUTED_VALUE"""),"LOLB")</f>
        <v>LOLB</v>
      </c>
      <c r="G489">
        <f>IFERROR(__xludf.DUMMYFUNCTION("""COMPUTED_VALUE"""),12.45)</f>
        <v>12.45</v>
      </c>
    </row>
    <row r="490">
      <c r="D490" t="str">
        <f>IFERROR(__xludf.DUMMYFUNCTION("""COMPUTED_VALUE"""),"Darby")</f>
        <v>Darby</v>
      </c>
      <c r="E490" t="str">
        <f>IFERROR(__xludf.DUMMYFUNCTION("""COMPUTED_VALUE"""),"Ronald")</f>
        <v>Ronald</v>
      </c>
      <c r="F490" t="str">
        <f>IFERROR(__xludf.DUMMYFUNCTION("""COMPUTED_VALUE"""),"CB")</f>
        <v>CB</v>
      </c>
      <c r="G490">
        <f>IFERROR(__xludf.DUMMYFUNCTION("""COMPUTED_VALUE"""),12.45)</f>
        <v>12.45</v>
      </c>
    </row>
    <row r="491">
      <c r="D491" t="str">
        <f>IFERROR(__xludf.DUMMYFUNCTION("""COMPUTED_VALUE"""),"Dareus")</f>
        <v>Dareus</v>
      </c>
      <c r="E491" t="str">
        <f>IFERROR(__xludf.DUMMYFUNCTION("""COMPUTED_VALUE"""),"Marcell")</f>
        <v>Marcell</v>
      </c>
      <c r="F491" t="str">
        <f>IFERROR(__xludf.DUMMYFUNCTION("""COMPUTED_VALUE"""),"DT")</f>
        <v>DT</v>
      </c>
      <c r="G491">
        <f>IFERROR(__xludf.DUMMYFUNCTION("""COMPUTED_VALUE"""),13.2)</f>
        <v>13.2</v>
      </c>
    </row>
    <row r="492">
      <c r="D492" t="str">
        <f>IFERROR(__xludf.DUMMYFUNCTION("""COMPUTED_VALUE"""),"Darkwa")</f>
        <v>Darkwa</v>
      </c>
      <c r="E492" t="str">
        <f>IFERROR(__xludf.DUMMYFUNCTION("""COMPUTED_VALUE"""),"Orleans")</f>
        <v>Orleans</v>
      </c>
      <c r="F492" t="str">
        <f>IFERROR(__xludf.DUMMYFUNCTION("""COMPUTED_VALUE"""),"HB")</f>
        <v>HB</v>
      </c>
      <c r="G492">
        <f>IFERROR(__xludf.DUMMYFUNCTION("""COMPUTED_VALUE"""),10.95)</f>
        <v>10.95</v>
      </c>
    </row>
    <row r="493">
      <c r="D493" t="str">
        <f>IFERROR(__xludf.DUMMYFUNCTION("""COMPUTED_VALUE"""),"Darr")</f>
        <v>Darr</v>
      </c>
      <c r="E493" t="str">
        <f>IFERROR(__xludf.DUMMYFUNCTION("""COMPUTED_VALUE"""),"Matt")</f>
        <v>Matt</v>
      </c>
      <c r="F493" t="str">
        <f>IFERROR(__xludf.DUMMYFUNCTION("""COMPUTED_VALUE"""),"P")</f>
        <v>P</v>
      </c>
      <c r="G493">
        <f>IFERROR(__xludf.DUMMYFUNCTION("""COMPUTED_VALUE"""),11.4)</f>
        <v>11.4</v>
      </c>
    </row>
    <row r="494">
      <c r="D494" t="str">
        <f>IFERROR(__xludf.DUMMYFUNCTION("""COMPUTED_VALUE"""),"David")</f>
        <v>David</v>
      </c>
      <c r="E494" t="str">
        <f>IFERROR(__xludf.DUMMYFUNCTION("""COMPUTED_VALUE"""),"Lavonte")</f>
        <v>Lavonte</v>
      </c>
      <c r="F494" t="str">
        <f>IFERROR(__xludf.DUMMYFUNCTION("""COMPUTED_VALUE"""),"ROLB")</f>
        <v>ROLB</v>
      </c>
      <c r="G494">
        <f>IFERROR(__xludf.DUMMYFUNCTION("""COMPUTED_VALUE"""),12.9)</f>
        <v>12.9</v>
      </c>
    </row>
    <row r="495">
      <c r="D495" t="str">
        <f>IFERROR(__xludf.DUMMYFUNCTION("""COMPUTED_VALUE"""),"Davis")</f>
        <v>Davis</v>
      </c>
      <c r="E495" t="str">
        <f>IFERROR(__xludf.DUMMYFUNCTION("""COMPUTED_VALUE"""),"Anthony")</f>
        <v>Anthony</v>
      </c>
      <c r="F495" t="str">
        <f>IFERROR(__xludf.DUMMYFUNCTION("""COMPUTED_VALUE"""),"RT")</f>
        <v>RT</v>
      </c>
      <c r="G495">
        <f>IFERROR(__xludf.DUMMYFUNCTION("""COMPUTED_VALUE"""),11.7)</f>
        <v>11.7</v>
      </c>
    </row>
    <row r="496">
      <c r="D496" t="str">
        <f>IFERROR(__xludf.DUMMYFUNCTION("""COMPUTED_VALUE"""),"Davis")</f>
        <v>Davis</v>
      </c>
      <c r="E496" t="str">
        <f>IFERROR(__xludf.DUMMYFUNCTION("""COMPUTED_VALUE"""),"Austin")</f>
        <v>Austin</v>
      </c>
      <c r="F496" t="str">
        <f>IFERROR(__xludf.DUMMYFUNCTION("""COMPUTED_VALUE"""),"QB")</f>
        <v>QB</v>
      </c>
      <c r="G496">
        <f>IFERROR(__xludf.DUMMYFUNCTION("""COMPUTED_VALUE"""),10.35)</f>
        <v>10.35</v>
      </c>
    </row>
    <row r="497">
      <c r="D497" t="str">
        <f>IFERROR(__xludf.DUMMYFUNCTION("""COMPUTED_VALUE"""),"Davis")</f>
        <v>Davis</v>
      </c>
      <c r="E497" t="str">
        <f>IFERROR(__xludf.DUMMYFUNCTION("""COMPUTED_VALUE"""),"Carl")</f>
        <v>Carl</v>
      </c>
      <c r="F497" t="str">
        <f>IFERROR(__xludf.DUMMYFUNCTION("""COMPUTED_VALUE"""),"DT")</f>
        <v>DT</v>
      </c>
      <c r="G497">
        <f>IFERROR(__xludf.DUMMYFUNCTION("""COMPUTED_VALUE"""),9.9)</f>
        <v>9.9</v>
      </c>
    </row>
    <row r="498">
      <c r="D498" t="str">
        <f>IFERROR(__xludf.DUMMYFUNCTION("""COMPUTED_VALUE"""),"Davis")</f>
        <v>Davis</v>
      </c>
      <c r="E498" t="str">
        <f>IFERROR(__xludf.DUMMYFUNCTION("""COMPUTED_VALUE"""),"Cody")</f>
        <v>Cody</v>
      </c>
      <c r="F498" t="str">
        <f>IFERROR(__xludf.DUMMYFUNCTION("""COMPUTED_VALUE"""),"FS")</f>
        <v>FS</v>
      </c>
      <c r="G498">
        <f>IFERROR(__xludf.DUMMYFUNCTION("""COMPUTED_VALUE"""),10.2)</f>
        <v>10.2</v>
      </c>
    </row>
    <row r="499">
      <c r="D499" t="str">
        <f>IFERROR(__xludf.DUMMYFUNCTION("""COMPUTED_VALUE"""),"Davis")</f>
        <v>Davis</v>
      </c>
      <c r="E499" t="str">
        <f>IFERROR(__xludf.DUMMYFUNCTION("""COMPUTED_VALUE"""),"Demario")</f>
        <v>Demario</v>
      </c>
      <c r="F499" t="str">
        <f>IFERROR(__xludf.DUMMYFUNCTION("""COMPUTED_VALUE"""),"MLB")</f>
        <v>MLB</v>
      </c>
      <c r="G499">
        <f>IFERROR(__xludf.DUMMYFUNCTION("""COMPUTED_VALUE"""),11.4)</f>
        <v>11.4</v>
      </c>
    </row>
    <row r="500">
      <c r="D500" t="str">
        <f>IFERROR(__xludf.DUMMYFUNCTION("""COMPUTED_VALUE"""),"Davis")</f>
        <v>Davis</v>
      </c>
      <c r="E500" t="str">
        <f>IFERROR(__xludf.DUMMYFUNCTION("""COMPUTED_VALUE"""),"Geremy")</f>
        <v>Geremy</v>
      </c>
      <c r="F500" t="str">
        <f>IFERROR(__xludf.DUMMYFUNCTION("""COMPUTED_VALUE"""),"WR")</f>
        <v>WR</v>
      </c>
      <c r="G500">
        <f>IFERROR(__xludf.DUMMYFUNCTION("""COMPUTED_VALUE"""),9.6)</f>
        <v>9.6</v>
      </c>
    </row>
    <row r="501">
      <c r="D501" t="str">
        <f>IFERROR(__xludf.DUMMYFUNCTION("""COMPUTED_VALUE"""),"Davis")</f>
        <v>Davis</v>
      </c>
      <c r="E501" t="str">
        <f>IFERROR(__xludf.DUMMYFUNCTION("""COMPUTED_VALUE"""),"Kellen")</f>
        <v>Kellen</v>
      </c>
      <c r="F501" t="str">
        <f>IFERROR(__xludf.DUMMYFUNCTION("""COMPUTED_VALUE"""),"TE")</f>
        <v>TE</v>
      </c>
      <c r="G501">
        <f>IFERROR(__xludf.DUMMYFUNCTION("""COMPUTED_VALUE"""),10.35)</f>
        <v>10.35</v>
      </c>
    </row>
    <row r="502">
      <c r="D502" t="str">
        <f>IFERROR(__xludf.DUMMYFUNCTION("""COMPUTED_VALUE"""),"Davis")</f>
        <v>Davis</v>
      </c>
      <c r="E502" t="str">
        <f>IFERROR(__xludf.DUMMYFUNCTION("""COMPUTED_VALUE"""),"Knile")</f>
        <v>Knile</v>
      </c>
      <c r="F502" t="str">
        <f>IFERROR(__xludf.DUMMYFUNCTION("""COMPUTED_VALUE"""),"HB")</f>
        <v>HB</v>
      </c>
      <c r="G502">
        <f>IFERROR(__xludf.DUMMYFUNCTION("""COMPUTED_VALUE"""),10.95)</f>
        <v>10.95</v>
      </c>
    </row>
    <row r="503">
      <c r="D503" t="str">
        <f>IFERROR(__xludf.DUMMYFUNCTION("""COMPUTED_VALUE"""),"Davis")</f>
        <v>Davis</v>
      </c>
      <c r="E503" t="str">
        <f>IFERROR(__xludf.DUMMYFUNCTION("""COMPUTED_VALUE"""),"Mike")</f>
        <v>Mike</v>
      </c>
      <c r="F503" t="str">
        <f>IFERROR(__xludf.DUMMYFUNCTION("""COMPUTED_VALUE"""),"HB")</f>
        <v>HB</v>
      </c>
      <c r="G503">
        <f>IFERROR(__xludf.DUMMYFUNCTION("""COMPUTED_VALUE"""),10.65)</f>
        <v>10.65</v>
      </c>
    </row>
    <row r="504">
      <c r="D504" t="str">
        <f>IFERROR(__xludf.DUMMYFUNCTION("""COMPUTED_VALUE"""),"Davis")</f>
        <v>Davis</v>
      </c>
      <c r="E504" t="str">
        <f>IFERROR(__xludf.DUMMYFUNCTION("""COMPUTED_VALUE"""),"Ryan")</f>
        <v>Ryan</v>
      </c>
      <c r="F504" t="str">
        <f>IFERROR(__xludf.DUMMYFUNCTION("""COMPUTED_VALUE"""),"LE")</f>
        <v>LE</v>
      </c>
      <c r="G504">
        <f>IFERROR(__xludf.DUMMYFUNCTION("""COMPUTED_VALUE"""),10.799999999999999)</f>
        <v>10.8</v>
      </c>
    </row>
    <row r="505">
      <c r="D505" t="str">
        <f>IFERROR(__xludf.DUMMYFUNCTION("""COMPUTED_VALUE"""),"Davis")</f>
        <v>Davis</v>
      </c>
      <c r="E505" t="str">
        <f>IFERROR(__xludf.DUMMYFUNCTION("""COMPUTED_VALUE"""),"Sean")</f>
        <v>Sean</v>
      </c>
      <c r="F505" t="str">
        <f>IFERROR(__xludf.DUMMYFUNCTION("""COMPUTED_VALUE"""),"SS")</f>
        <v>SS</v>
      </c>
      <c r="G505">
        <f>IFERROR(__xludf.DUMMYFUNCTION("""COMPUTED_VALUE"""),10.65)</f>
        <v>10.65</v>
      </c>
    </row>
    <row r="506">
      <c r="D506" t="str">
        <f>IFERROR(__xludf.DUMMYFUNCTION("""COMPUTED_VALUE"""),"Davis")</f>
        <v>Davis</v>
      </c>
      <c r="E506" t="str">
        <f>IFERROR(__xludf.DUMMYFUNCTION("""COMPUTED_VALUE"""),"Titus")</f>
        <v>Titus</v>
      </c>
      <c r="F506" t="str">
        <f>IFERROR(__xludf.DUMMYFUNCTION("""COMPUTED_VALUE"""),"WR")</f>
        <v>WR</v>
      </c>
      <c r="G506">
        <f>IFERROR(__xludf.DUMMYFUNCTION("""COMPUTED_VALUE"""),9.75)</f>
        <v>9.75</v>
      </c>
    </row>
    <row r="507">
      <c r="D507" t="str">
        <f>IFERROR(__xludf.DUMMYFUNCTION("""COMPUTED_VALUE"""),"Davis")</f>
        <v>Davis</v>
      </c>
      <c r="E507" t="str">
        <f>IFERROR(__xludf.DUMMYFUNCTION("""COMPUTED_VALUE"""),"Todd")</f>
        <v>Todd</v>
      </c>
      <c r="F507" t="str">
        <f>IFERROR(__xludf.DUMMYFUNCTION("""COMPUTED_VALUE"""),"MLB")</f>
        <v>MLB</v>
      </c>
      <c r="G507">
        <f>IFERROR(__xludf.DUMMYFUNCTION("""COMPUTED_VALUE"""),9.6)</f>
        <v>9.6</v>
      </c>
    </row>
    <row r="508">
      <c r="D508" t="str">
        <f>IFERROR(__xludf.DUMMYFUNCTION("""COMPUTED_VALUE"""),"Davis")</f>
        <v>Davis</v>
      </c>
      <c r="E508" t="str">
        <f>IFERROR(__xludf.DUMMYFUNCTION("""COMPUTED_VALUE"""),"Trevor")</f>
        <v>Trevor</v>
      </c>
      <c r="F508" t="str">
        <f>IFERROR(__xludf.DUMMYFUNCTION("""COMPUTED_VALUE"""),"WR")</f>
        <v>WR</v>
      </c>
      <c r="G508">
        <f>IFERROR(__xludf.DUMMYFUNCTION("""COMPUTED_VALUE"""),9.6)</f>
        <v>9.6</v>
      </c>
    </row>
    <row r="509">
      <c r="D509" t="str">
        <f>IFERROR(__xludf.DUMMYFUNCTION("""COMPUTED_VALUE"""),"Davis")</f>
        <v>Davis</v>
      </c>
      <c r="E509" t="str">
        <f>IFERROR(__xludf.DUMMYFUNCTION("""COMPUTED_VALUE"""),"Vernon")</f>
        <v>Vernon</v>
      </c>
      <c r="F509" t="str">
        <f>IFERROR(__xludf.DUMMYFUNCTION("""COMPUTED_VALUE"""),"TE")</f>
        <v>TE</v>
      </c>
      <c r="G509">
        <f>IFERROR(__xludf.DUMMYFUNCTION("""COMPUTED_VALUE"""),12.0)</f>
        <v>12</v>
      </c>
    </row>
    <row r="510">
      <c r="D510" t="str">
        <f>IFERROR(__xludf.DUMMYFUNCTION("""COMPUTED_VALUE"""),"Davis")</f>
        <v>Davis</v>
      </c>
      <c r="E510" t="str">
        <f>IFERROR(__xludf.DUMMYFUNCTION("""COMPUTED_VALUE"""),"Vontae")</f>
        <v>Vontae</v>
      </c>
      <c r="F510" t="str">
        <f>IFERROR(__xludf.DUMMYFUNCTION("""COMPUTED_VALUE"""),"CB")</f>
        <v>CB</v>
      </c>
      <c r="G510">
        <f>IFERROR(__xludf.DUMMYFUNCTION("""COMPUTED_VALUE"""),13.65)</f>
        <v>13.65</v>
      </c>
    </row>
    <row r="511">
      <c r="D511" t="str">
        <f>IFERROR(__xludf.DUMMYFUNCTION("""COMPUTED_VALUE"""),"Davis")</f>
        <v>Davis</v>
      </c>
      <c r="E511" t="str">
        <f>IFERROR(__xludf.DUMMYFUNCTION("""COMPUTED_VALUE"""),"Will")</f>
        <v>Will</v>
      </c>
      <c r="F511" t="str">
        <f>IFERROR(__xludf.DUMMYFUNCTION("""COMPUTED_VALUE"""),"CB")</f>
        <v>CB</v>
      </c>
      <c r="G511">
        <f>IFERROR(__xludf.DUMMYFUNCTION("""COMPUTED_VALUE"""),10.95)</f>
        <v>10.95</v>
      </c>
    </row>
    <row r="512">
      <c r="D512" t="str">
        <f>IFERROR(__xludf.DUMMYFUNCTION("""COMPUTED_VALUE"""),"Davis Sr.")</f>
        <v>Davis Sr.</v>
      </c>
      <c r="E512" t="str">
        <f>IFERROR(__xludf.DUMMYFUNCTION("""COMPUTED_VALUE"""),"Thomas")</f>
        <v>Thomas</v>
      </c>
      <c r="F512" t="str">
        <f>IFERROR(__xludf.DUMMYFUNCTION("""COMPUTED_VALUE"""),"ROLB")</f>
        <v>ROLB</v>
      </c>
      <c r="G512">
        <f>IFERROR(__xludf.DUMMYFUNCTION("""COMPUTED_VALUE"""),13.2)</f>
        <v>13.2</v>
      </c>
    </row>
    <row r="513">
      <c r="D513" t="str">
        <f>IFERROR(__xludf.DUMMYFUNCTION("""COMPUTED_VALUE"""),"Davison")</f>
        <v>Davison</v>
      </c>
      <c r="E513" t="str">
        <f>IFERROR(__xludf.DUMMYFUNCTION("""COMPUTED_VALUE"""),"Tyeler")</f>
        <v>Tyeler</v>
      </c>
      <c r="F513" t="str">
        <f>IFERROR(__xludf.DUMMYFUNCTION("""COMPUTED_VALUE"""),"DT")</f>
        <v>DT</v>
      </c>
      <c r="G513">
        <f>IFERROR(__xludf.DUMMYFUNCTION("""COMPUTED_VALUE"""),10.2)</f>
        <v>10.2</v>
      </c>
    </row>
    <row r="514">
      <c r="D514" t="str">
        <f>IFERROR(__xludf.DUMMYFUNCTION("""COMPUTED_VALUE"""),"Dawson")</f>
        <v>Dawson</v>
      </c>
      <c r="E514" t="str">
        <f>IFERROR(__xludf.DUMMYFUNCTION("""COMPUTED_VALUE"""),"Phil")</f>
        <v>Phil</v>
      </c>
      <c r="F514" t="str">
        <f>IFERROR(__xludf.DUMMYFUNCTION("""COMPUTED_VALUE"""),"K")</f>
        <v>K</v>
      </c>
      <c r="G514">
        <f>IFERROR(__xludf.DUMMYFUNCTION("""COMPUTED_VALUE"""),12.0)</f>
        <v>12</v>
      </c>
    </row>
    <row r="515">
      <c r="D515" t="str">
        <f>IFERROR(__xludf.DUMMYFUNCTION("""COMPUTED_VALUE"""),"Dawson")</f>
        <v>Dawson</v>
      </c>
      <c r="E515" t="str">
        <f>IFERROR(__xludf.DUMMYFUNCTION("""COMPUTED_VALUE"""),"PJ")</f>
        <v>PJ</v>
      </c>
      <c r="F515" t="str">
        <f>IFERROR(__xludf.DUMMYFUNCTION("""COMPUTED_VALUE"""),"ROLB")</f>
        <v>ROLB</v>
      </c>
      <c r="G515">
        <f>IFERROR(__xludf.DUMMYFUNCTION("""COMPUTED_VALUE"""),10.65)</f>
        <v>10.65</v>
      </c>
    </row>
    <row r="516">
      <c r="D516" t="str">
        <f>IFERROR(__xludf.DUMMYFUNCTION("""COMPUTED_VALUE"""),"Day")</f>
        <v>Day</v>
      </c>
      <c r="E516" t="str">
        <f>IFERROR(__xludf.DUMMYFUNCTION("""COMPUTED_VALUE"""),"Sheldon")</f>
        <v>Sheldon</v>
      </c>
      <c r="F516" t="str">
        <f>IFERROR(__xludf.DUMMYFUNCTION("""COMPUTED_VALUE"""),"DT")</f>
        <v>DT</v>
      </c>
      <c r="G516">
        <f>IFERROR(__xludf.DUMMYFUNCTION("""COMPUTED_VALUE"""),10.2)</f>
        <v>10.2</v>
      </c>
    </row>
    <row r="517">
      <c r="D517" t="str">
        <f>IFERROR(__xludf.DUMMYFUNCTION("""COMPUTED_VALUE"""),"Dean")</f>
        <v>Dean</v>
      </c>
      <c r="E517" t="str">
        <f>IFERROR(__xludf.DUMMYFUNCTION("""COMPUTED_VALUE"""),"David")</f>
        <v>David</v>
      </c>
      <c r="F517" t="str">
        <f>IFERROR(__xludf.DUMMYFUNCTION("""COMPUTED_VALUE"""),"DT")</f>
        <v>DT</v>
      </c>
      <c r="G517">
        <f>IFERROR(__xludf.DUMMYFUNCTION("""COMPUTED_VALUE"""),9.0)</f>
        <v>9</v>
      </c>
    </row>
    <row r="518">
      <c r="D518" t="str">
        <f>IFERROR(__xludf.DUMMYFUNCTION("""COMPUTED_VALUE"""),"DeBord")</f>
        <v>DeBord</v>
      </c>
      <c r="E518" t="str">
        <f>IFERROR(__xludf.DUMMYFUNCTION("""COMPUTED_VALUE"""),"Clay")</f>
        <v>Clay</v>
      </c>
      <c r="F518" t="str">
        <f>IFERROR(__xludf.DUMMYFUNCTION("""COMPUTED_VALUE"""),"LT")</f>
        <v>LT</v>
      </c>
      <c r="G518">
        <f>IFERROR(__xludf.DUMMYFUNCTION("""COMPUTED_VALUE"""),9.0)</f>
        <v>9</v>
      </c>
    </row>
    <row r="519">
      <c r="D519" t="str">
        <f>IFERROR(__xludf.DUMMYFUNCTION("""COMPUTED_VALUE"""),"Debose")</f>
        <v>Debose</v>
      </c>
      <c r="E519" t="str">
        <f>IFERROR(__xludf.DUMMYFUNCTION("""COMPUTED_VALUE"""),"Andre")</f>
        <v>Andre</v>
      </c>
      <c r="F519" t="str">
        <f>IFERROR(__xludf.DUMMYFUNCTION("""COMPUTED_VALUE"""),"WR")</f>
        <v>WR</v>
      </c>
      <c r="G519">
        <f>IFERROR(__xludf.DUMMYFUNCTION("""COMPUTED_VALUE"""),7.8)</f>
        <v>7.8</v>
      </c>
    </row>
    <row r="520">
      <c r="D520" t="str">
        <f>IFERROR(__xludf.DUMMYFUNCTION("""COMPUTED_VALUE"""),"DeCastro")</f>
        <v>DeCastro</v>
      </c>
      <c r="E520" t="str">
        <f>IFERROR(__xludf.DUMMYFUNCTION("""COMPUTED_VALUE"""),"David")</f>
        <v>David</v>
      </c>
      <c r="F520" t="str">
        <f>IFERROR(__xludf.DUMMYFUNCTION("""COMPUTED_VALUE"""),"RG")</f>
        <v>RG</v>
      </c>
      <c r="G520">
        <f>IFERROR(__xludf.DUMMYFUNCTION("""COMPUTED_VALUE"""),12.6)</f>
        <v>12.6</v>
      </c>
    </row>
    <row r="521">
      <c r="D521" t="str">
        <f>IFERROR(__xludf.DUMMYFUNCTION("""COMPUTED_VALUE"""),"Decker")</f>
        <v>Decker</v>
      </c>
      <c r="E521" t="str">
        <f>IFERROR(__xludf.DUMMYFUNCTION("""COMPUTED_VALUE"""),"Eric")</f>
        <v>Eric</v>
      </c>
      <c r="F521" t="str">
        <f>IFERROR(__xludf.DUMMYFUNCTION("""COMPUTED_VALUE"""),"WR")</f>
        <v>WR</v>
      </c>
      <c r="G521">
        <f>IFERROR(__xludf.DUMMYFUNCTION("""COMPUTED_VALUE"""),13.049999999999999)</f>
        <v>13.05</v>
      </c>
    </row>
    <row r="522">
      <c r="D522" t="str">
        <f>IFERROR(__xludf.DUMMYFUNCTION("""COMPUTED_VALUE"""),"Decker")</f>
        <v>Decker</v>
      </c>
      <c r="E522" t="str">
        <f>IFERROR(__xludf.DUMMYFUNCTION("""COMPUTED_VALUE"""),"Taylor")</f>
        <v>Taylor</v>
      </c>
      <c r="F522" t="str">
        <f>IFERROR(__xludf.DUMMYFUNCTION("""COMPUTED_VALUE"""),"LT")</f>
        <v>LT</v>
      </c>
      <c r="G522">
        <f>IFERROR(__xludf.DUMMYFUNCTION("""COMPUTED_VALUE"""),11.4)</f>
        <v>11.4</v>
      </c>
    </row>
    <row r="523">
      <c r="D523" t="str">
        <f>IFERROR(__xludf.DUMMYFUNCTION("""COMPUTED_VALUE"""),"Delaire")</f>
        <v>Delaire</v>
      </c>
      <c r="E523" t="str">
        <f>IFERROR(__xludf.DUMMYFUNCTION("""COMPUTED_VALUE"""),"Ryan")</f>
        <v>Ryan</v>
      </c>
      <c r="F523" t="str">
        <f>IFERROR(__xludf.DUMMYFUNCTION("""COMPUTED_VALUE"""),"RE")</f>
        <v>RE</v>
      </c>
      <c r="G523">
        <f>IFERROR(__xludf.DUMMYFUNCTION("""COMPUTED_VALUE"""),9.75)</f>
        <v>9.75</v>
      </c>
    </row>
    <row r="524">
      <c r="D524" t="str">
        <f>IFERROR(__xludf.DUMMYFUNCTION("""COMPUTED_VALUE"""),"Demps")</f>
        <v>Demps</v>
      </c>
      <c r="E524" t="str">
        <f>IFERROR(__xludf.DUMMYFUNCTION("""COMPUTED_VALUE"""),"Quintin")</f>
        <v>Quintin</v>
      </c>
      <c r="F524" t="str">
        <f>IFERROR(__xludf.DUMMYFUNCTION("""COMPUTED_VALUE"""),"SS")</f>
        <v>SS</v>
      </c>
      <c r="G524">
        <f>IFERROR(__xludf.DUMMYFUNCTION("""COMPUTED_VALUE"""),11.25)</f>
        <v>11.25</v>
      </c>
    </row>
    <row r="525">
      <c r="D525" t="str">
        <f>IFERROR(__xludf.DUMMYFUNCTION("""COMPUTED_VALUE"""),"Dennard")</f>
        <v>Dennard</v>
      </c>
      <c r="E525" t="str">
        <f>IFERROR(__xludf.DUMMYFUNCTION("""COMPUTED_VALUE"""),"Darqueze")</f>
        <v>Darqueze</v>
      </c>
      <c r="F525" t="str">
        <f>IFERROR(__xludf.DUMMYFUNCTION("""COMPUTED_VALUE"""),"CB")</f>
        <v>CB</v>
      </c>
      <c r="G525">
        <f>IFERROR(__xludf.DUMMYFUNCTION("""COMPUTED_VALUE"""),11.25)</f>
        <v>11.25</v>
      </c>
    </row>
    <row r="526">
      <c r="D526" t="str">
        <f>IFERROR(__xludf.DUMMYFUNCTION("""COMPUTED_VALUE"""),"Denney")</f>
        <v>Denney</v>
      </c>
      <c r="E526" t="str">
        <f>IFERROR(__xludf.DUMMYFUNCTION("""COMPUTED_VALUE"""),"John")</f>
        <v>John</v>
      </c>
      <c r="F526" t="str">
        <f>IFERROR(__xludf.DUMMYFUNCTION("""COMPUTED_VALUE"""),"TE")</f>
        <v>TE</v>
      </c>
      <c r="G526">
        <f>IFERROR(__xludf.DUMMYFUNCTION("""COMPUTED_VALUE"""),7.199999999999999)</f>
        <v>7.2</v>
      </c>
    </row>
    <row r="527">
      <c r="D527" t="str">
        <f>IFERROR(__xludf.DUMMYFUNCTION("""COMPUTED_VALUE"""),"Dent")</f>
        <v>Dent</v>
      </c>
      <c r="E527" t="str">
        <f>IFERROR(__xludf.DUMMYFUNCTION("""COMPUTED_VALUE"""),"Akeem")</f>
        <v>Akeem</v>
      </c>
      <c r="F527" t="str">
        <f>IFERROR(__xludf.DUMMYFUNCTION("""COMPUTED_VALUE"""),"MLB")</f>
        <v>MLB</v>
      </c>
      <c r="G527">
        <f>IFERROR(__xludf.DUMMYFUNCTION("""COMPUTED_VALUE"""),11.1)</f>
        <v>11.1</v>
      </c>
    </row>
    <row r="528">
      <c r="D528" t="str">
        <f>IFERROR(__xludf.DUMMYFUNCTION("""COMPUTED_VALUE"""),"DeOssie")</f>
        <v>DeOssie</v>
      </c>
      <c r="E528" t="str">
        <f>IFERROR(__xludf.DUMMYFUNCTION("""COMPUTED_VALUE"""),"Zak")</f>
        <v>Zak</v>
      </c>
      <c r="F528" t="str">
        <f>IFERROR(__xludf.DUMMYFUNCTION("""COMPUTED_VALUE"""),"TE")</f>
        <v>TE</v>
      </c>
      <c r="G528">
        <f>IFERROR(__xludf.DUMMYFUNCTION("""COMPUTED_VALUE"""),8.25)</f>
        <v>8.25</v>
      </c>
    </row>
    <row r="529">
      <c r="D529" t="str">
        <f>IFERROR(__xludf.DUMMYFUNCTION("""COMPUTED_VALUE"""),"DePalma")</f>
        <v>DePalma</v>
      </c>
      <c r="E529" t="str">
        <f>IFERROR(__xludf.DUMMYFUNCTION("""COMPUTED_VALUE"""),"John")</f>
        <v>John</v>
      </c>
      <c r="F529" t="str">
        <f>IFERROR(__xludf.DUMMYFUNCTION("""COMPUTED_VALUE"""),"TE")</f>
        <v>TE</v>
      </c>
      <c r="G529">
        <f>IFERROR(__xludf.DUMMYFUNCTION("""COMPUTED_VALUE"""),6.45)</f>
        <v>6.45</v>
      </c>
    </row>
    <row r="530">
      <c r="D530" t="str">
        <f>IFERROR(__xludf.DUMMYFUNCTION("""COMPUTED_VALUE"""),"DePaola")</f>
        <v>DePaola</v>
      </c>
      <c r="E530" t="str">
        <f>IFERROR(__xludf.DUMMYFUNCTION("""COMPUTED_VALUE"""),"Andrew")</f>
        <v>Andrew</v>
      </c>
      <c r="F530" t="str">
        <f>IFERROR(__xludf.DUMMYFUNCTION("""COMPUTED_VALUE"""),"TE")</f>
        <v>TE</v>
      </c>
      <c r="G530">
        <f>IFERROR(__xludf.DUMMYFUNCTION("""COMPUTED_VALUE"""),9.299999999999999)</f>
        <v>9.3</v>
      </c>
    </row>
    <row r="531">
      <c r="D531" t="str">
        <f>IFERROR(__xludf.DUMMYFUNCTION("""COMPUTED_VALUE"""),"Desir")</f>
        <v>Desir</v>
      </c>
      <c r="E531" t="str">
        <f>IFERROR(__xludf.DUMMYFUNCTION("""COMPUTED_VALUE"""),"Pierre")</f>
        <v>Pierre</v>
      </c>
      <c r="F531" t="str">
        <f>IFERROR(__xludf.DUMMYFUNCTION("""COMPUTED_VALUE"""),"CB")</f>
        <v>CB</v>
      </c>
      <c r="G531">
        <f>IFERROR(__xludf.DUMMYFUNCTION("""COMPUTED_VALUE"""),10.35)</f>
        <v>10.35</v>
      </c>
    </row>
    <row r="532">
      <c r="D532" t="str">
        <f>IFERROR(__xludf.DUMMYFUNCTION("""COMPUTED_VALUE"""),"DeValve")</f>
        <v>DeValve</v>
      </c>
      <c r="E532" t="str">
        <f>IFERROR(__xludf.DUMMYFUNCTION("""COMPUTED_VALUE"""),"Seth")</f>
        <v>Seth</v>
      </c>
      <c r="F532" t="str">
        <f>IFERROR(__xludf.DUMMYFUNCTION("""COMPUTED_VALUE"""),"TE")</f>
        <v>TE</v>
      </c>
      <c r="G532">
        <f>IFERROR(__xludf.DUMMYFUNCTION("""COMPUTED_VALUE"""),9.6)</f>
        <v>9.6</v>
      </c>
    </row>
    <row r="533">
      <c r="D533" t="str">
        <f>IFERROR(__xludf.DUMMYFUNCTION("""COMPUTED_VALUE"""),"Develin")</f>
        <v>Develin</v>
      </c>
      <c r="E533" t="str">
        <f>IFERROR(__xludf.DUMMYFUNCTION("""COMPUTED_VALUE"""),"James")</f>
        <v>James</v>
      </c>
      <c r="F533" t="str">
        <f>IFERROR(__xludf.DUMMYFUNCTION("""COMPUTED_VALUE"""),"FB")</f>
        <v>FB</v>
      </c>
      <c r="G533">
        <f>IFERROR(__xludf.DUMMYFUNCTION("""COMPUTED_VALUE"""),12.45)</f>
        <v>12.45</v>
      </c>
    </row>
    <row r="534">
      <c r="D534" t="str">
        <f>IFERROR(__xludf.DUMMYFUNCTION("""COMPUTED_VALUE"""),"Devey")</f>
        <v>Devey</v>
      </c>
      <c r="E534" t="str">
        <f>IFERROR(__xludf.DUMMYFUNCTION("""COMPUTED_VALUE"""),"Jordan")</f>
        <v>Jordan</v>
      </c>
      <c r="F534" t="str">
        <f>IFERROR(__xludf.DUMMYFUNCTION("""COMPUTED_VALUE"""),"RG")</f>
        <v>RG</v>
      </c>
      <c r="G534">
        <f>IFERROR(__xludf.DUMMYFUNCTION("""COMPUTED_VALUE"""),9.75)</f>
        <v>9.75</v>
      </c>
    </row>
    <row r="535">
      <c r="D535" t="str">
        <f>IFERROR(__xludf.DUMMYFUNCTION("""COMPUTED_VALUE"""),"Dial")</f>
        <v>Dial</v>
      </c>
      <c r="E535" t="str">
        <f>IFERROR(__xludf.DUMMYFUNCTION("""COMPUTED_VALUE"""),"Quinton")</f>
        <v>Quinton</v>
      </c>
      <c r="F535" t="str">
        <f>IFERROR(__xludf.DUMMYFUNCTION("""COMPUTED_VALUE"""),"RE")</f>
        <v>RE</v>
      </c>
      <c r="G535">
        <f>IFERROR(__xludf.DUMMYFUNCTION("""COMPUTED_VALUE"""),10.5)</f>
        <v>10.5</v>
      </c>
    </row>
    <row r="536">
      <c r="D536" t="str">
        <f>IFERROR(__xludf.DUMMYFUNCTION("""COMPUTED_VALUE"""),"Dickson")</f>
        <v>Dickson</v>
      </c>
      <c r="E536" t="str">
        <f>IFERROR(__xludf.DUMMYFUNCTION("""COMPUTED_VALUE"""),"Ed")</f>
        <v>Ed</v>
      </c>
      <c r="F536" t="str">
        <f>IFERROR(__xludf.DUMMYFUNCTION("""COMPUTED_VALUE"""),"TE")</f>
        <v>TE</v>
      </c>
      <c r="G536">
        <f>IFERROR(__xludf.DUMMYFUNCTION("""COMPUTED_VALUE"""),10.799999999999999)</f>
        <v>10.8</v>
      </c>
    </row>
    <row r="537">
      <c r="D537" t="str">
        <f>IFERROR(__xludf.DUMMYFUNCTION("""COMPUTED_VALUE"""),"Diggs")</f>
        <v>Diggs</v>
      </c>
      <c r="E537" t="str">
        <f>IFERROR(__xludf.DUMMYFUNCTION("""COMPUTED_VALUE"""),"Quandre")</f>
        <v>Quandre</v>
      </c>
      <c r="F537" t="str">
        <f>IFERROR(__xludf.DUMMYFUNCTION("""COMPUTED_VALUE"""),"CB")</f>
        <v>CB</v>
      </c>
      <c r="G537">
        <f>IFERROR(__xludf.DUMMYFUNCTION("""COMPUTED_VALUE"""),11.1)</f>
        <v>11.1</v>
      </c>
    </row>
    <row r="538">
      <c r="D538" t="str">
        <f>IFERROR(__xludf.DUMMYFUNCTION("""COMPUTED_VALUE"""),"Diggs")</f>
        <v>Diggs</v>
      </c>
      <c r="E538" t="str">
        <f>IFERROR(__xludf.DUMMYFUNCTION("""COMPUTED_VALUE"""),"Reggie")</f>
        <v>Reggie</v>
      </c>
      <c r="F538" t="str">
        <f>IFERROR(__xludf.DUMMYFUNCTION("""COMPUTED_VALUE"""),"WR")</f>
        <v>WR</v>
      </c>
      <c r="G538">
        <f>IFERROR(__xludf.DUMMYFUNCTION("""COMPUTED_VALUE"""),9.0)</f>
        <v>9</v>
      </c>
    </row>
    <row r="539">
      <c r="D539" t="str">
        <f>IFERROR(__xludf.DUMMYFUNCTION("""COMPUTED_VALUE"""),"Diggs")</f>
        <v>Diggs</v>
      </c>
      <c r="E539" t="str">
        <f>IFERROR(__xludf.DUMMYFUNCTION("""COMPUTED_VALUE"""),"Stefon")</f>
        <v>Stefon</v>
      </c>
      <c r="F539" t="str">
        <f>IFERROR(__xludf.DUMMYFUNCTION("""COMPUTED_VALUE"""),"WR")</f>
        <v>WR</v>
      </c>
      <c r="G539">
        <f>IFERROR(__xludf.DUMMYFUNCTION("""COMPUTED_VALUE"""),11.85)</f>
        <v>11.85</v>
      </c>
    </row>
    <row r="540">
      <c r="D540" t="str">
        <f>IFERROR(__xludf.DUMMYFUNCTION("""COMPUTED_VALUE"""),"Dillon")</f>
        <v>Dillon</v>
      </c>
      <c r="E540" t="str">
        <f>IFERROR(__xludf.DUMMYFUNCTION("""COMPUTED_VALUE"""),"KJ")</f>
        <v>KJ</v>
      </c>
      <c r="F540" t="str">
        <f>IFERROR(__xludf.DUMMYFUNCTION("""COMPUTED_VALUE"""),"SS")</f>
        <v>SS</v>
      </c>
      <c r="G540">
        <f>IFERROR(__xludf.DUMMYFUNCTION("""COMPUTED_VALUE"""),10.049999999999999)</f>
        <v>10.05</v>
      </c>
    </row>
    <row r="541">
      <c r="D541" t="str">
        <f>IFERROR(__xludf.DUMMYFUNCTION("""COMPUTED_VALUE"""),"DiManche")</f>
        <v>DiManche</v>
      </c>
      <c r="E541" t="str">
        <f>IFERROR(__xludf.DUMMYFUNCTION("""COMPUTED_VALUE"""),"Jayson")</f>
        <v>Jayson</v>
      </c>
      <c r="F541" t="str">
        <f>IFERROR(__xludf.DUMMYFUNCTION("""COMPUTED_VALUE"""),"LOLB")</f>
        <v>LOLB</v>
      </c>
      <c r="G541">
        <f>IFERROR(__xludf.DUMMYFUNCTION("""COMPUTED_VALUE"""),10.049999999999999)</f>
        <v>10.05</v>
      </c>
    </row>
    <row r="542">
      <c r="D542" t="str">
        <f>IFERROR(__xludf.DUMMYFUNCTION("""COMPUTED_VALUE"""),"DiMarco")</f>
        <v>DiMarco</v>
      </c>
      <c r="E542" t="str">
        <f>IFERROR(__xludf.DUMMYFUNCTION("""COMPUTED_VALUE"""),"Patrick")</f>
        <v>Patrick</v>
      </c>
      <c r="F542" t="str">
        <f>IFERROR(__xludf.DUMMYFUNCTION("""COMPUTED_VALUE"""),"FB")</f>
        <v>FB</v>
      </c>
      <c r="G542">
        <f>IFERROR(__xludf.DUMMYFUNCTION("""COMPUTED_VALUE"""),13.65)</f>
        <v>13.65</v>
      </c>
    </row>
    <row r="543">
      <c r="D543" t="str">
        <f>IFERROR(__xludf.DUMMYFUNCTION("""COMPUTED_VALUE"""),"Dismukes")</f>
        <v>Dismukes</v>
      </c>
      <c r="E543" t="str">
        <f>IFERROR(__xludf.DUMMYFUNCTION("""COMPUTED_VALUE"""),"Reese")</f>
        <v>Reese</v>
      </c>
      <c r="F543" t="str">
        <f>IFERROR(__xludf.DUMMYFUNCTION("""COMPUTED_VALUE"""),"RG")</f>
        <v>RG</v>
      </c>
      <c r="G543">
        <f>IFERROR(__xludf.DUMMYFUNCTION("""COMPUTED_VALUE"""),10.049999999999999)</f>
        <v>10.05</v>
      </c>
    </row>
    <row r="544">
      <c r="D544" t="str">
        <f>IFERROR(__xludf.DUMMYFUNCTION("""COMPUTED_VALUE"""),"Dixon")</f>
        <v>Dixon</v>
      </c>
      <c r="E544" t="str">
        <f>IFERROR(__xludf.DUMMYFUNCTION("""COMPUTED_VALUE"""),"Brandon")</f>
        <v>Brandon</v>
      </c>
      <c r="F544" t="str">
        <f>IFERROR(__xludf.DUMMYFUNCTION("""COMPUTED_VALUE"""),"CB")</f>
        <v>CB</v>
      </c>
      <c r="G544">
        <f>IFERROR(__xludf.DUMMYFUNCTION("""COMPUTED_VALUE"""),9.75)</f>
        <v>9.75</v>
      </c>
    </row>
    <row r="545">
      <c r="D545" t="str">
        <f>IFERROR(__xludf.DUMMYFUNCTION("""COMPUTED_VALUE"""),"Dixon")</f>
        <v>Dixon</v>
      </c>
      <c r="E545" t="str">
        <f>IFERROR(__xludf.DUMMYFUNCTION("""COMPUTED_VALUE"""),"Brian")</f>
        <v>Brian</v>
      </c>
      <c r="F545" t="str">
        <f>IFERROR(__xludf.DUMMYFUNCTION("""COMPUTED_VALUE"""),"CB")</f>
        <v>CB</v>
      </c>
      <c r="G545">
        <f>IFERROR(__xludf.DUMMYFUNCTION("""COMPUTED_VALUE"""),9.9)</f>
        <v>9.9</v>
      </c>
    </row>
    <row r="546">
      <c r="D546" t="str">
        <f>IFERROR(__xludf.DUMMYFUNCTION("""COMPUTED_VALUE"""),"Dixon")</f>
        <v>Dixon</v>
      </c>
      <c r="E546" t="str">
        <f>IFERROR(__xludf.DUMMYFUNCTION("""COMPUTED_VALUE"""),"Kenneth")</f>
        <v>Kenneth</v>
      </c>
      <c r="F546" t="str">
        <f>IFERROR(__xludf.DUMMYFUNCTION("""COMPUTED_VALUE"""),"HB")</f>
        <v>HB</v>
      </c>
      <c r="G546">
        <f>IFERROR(__xludf.DUMMYFUNCTION("""COMPUTED_VALUE"""),10.799999999999999)</f>
        <v>10.8</v>
      </c>
    </row>
    <row r="547">
      <c r="D547" t="str">
        <f>IFERROR(__xludf.DUMMYFUNCTION("""COMPUTED_VALUE"""),"Dixon")</f>
        <v>Dixon</v>
      </c>
      <c r="E547" t="str">
        <f>IFERROR(__xludf.DUMMYFUNCTION("""COMPUTED_VALUE"""),"Riley")</f>
        <v>Riley</v>
      </c>
      <c r="F547" t="str">
        <f>IFERROR(__xludf.DUMMYFUNCTION("""COMPUTED_VALUE"""),"P")</f>
        <v>P</v>
      </c>
      <c r="G547">
        <f>IFERROR(__xludf.DUMMYFUNCTION("""COMPUTED_VALUE"""),10.799999999999999)</f>
        <v>10.8</v>
      </c>
    </row>
    <row r="548">
      <c r="D548" t="str">
        <f>IFERROR(__xludf.DUMMYFUNCTION("""COMPUTED_VALUE"""),"Dobson")</f>
        <v>Dobson</v>
      </c>
      <c r="E548" t="str">
        <f>IFERROR(__xludf.DUMMYFUNCTION("""COMPUTED_VALUE"""),"Aaron")</f>
        <v>Aaron</v>
      </c>
      <c r="F548" t="str">
        <f>IFERROR(__xludf.DUMMYFUNCTION("""COMPUTED_VALUE"""),"WR")</f>
        <v>WR</v>
      </c>
      <c r="G548">
        <f>IFERROR(__xludf.DUMMYFUNCTION("""COMPUTED_VALUE"""),10.65)</f>
        <v>10.65</v>
      </c>
    </row>
    <row r="549">
      <c r="D549" t="str">
        <f>IFERROR(__xludf.DUMMYFUNCTION("""COMPUTED_VALUE"""),"Doctson")</f>
        <v>Doctson</v>
      </c>
      <c r="E549" t="str">
        <f>IFERROR(__xludf.DUMMYFUNCTION("""COMPUTED_VALUE"""),"Josh")</f>
        <v>Josh</v>
      </c>
      <c r="F549" t="str">
        <f>IFERROR(__xludf.DUMMYFUNCTION("""COMPUTED_VALUE"""),"WR")</f>
        <v>WR</v>
      </c>
      <c r="G549">
        <f>IFERROR(__xludf.DUMMYFUNCTION("""COMPUTED_VALUE"""),11.549999999999999)</f>
        <v>11.55</v>
      </c>
    </row>
    <row r="550">
      <c r="D550" t="str">
        <f>IFERROR(__xludf.DUMMYFUNCTION("""COMPUTED_VALUE"""),"Dodd")</f>
        <v>Dodd</v>
      </c>
      <c r="E550" t="str">
        <f>IFERROR(__xludf.DUMMYFUNCTION("""COMPUTED_VALUE"""),"Kevin")</f>
        <v>Kevin</v>
      </c>
      <c r="F550" t="str">
        <f>IFERROR(__xludf.DUMMYFUNCTION("""COMPUTED_VALUE"""),"ROLB")</f>
        <v>ROLB</v>
      </c>
      <c r="G550">
        <f>IFERROR(__xludf.DUMMYFUNCTION("""COMPUTED_VALUE"""),10.95)</f>
        <v>10.95</v>
      </c>
    </row>
    <row r="551">
      <c r="D551" t="str">
        <f>IFERROR(__xludf.DUMMYFUNCTION("""COMPUTED_VALUE"""),"Donald")</f>
        <v>Donald</v>
      </c>
      <c r="E551" t="str">
        <f>IFERROR(__xludf.DUMMYFUNCTION("""COMPUTED_VALUE"""),"Aaron")</f>
        <v>Aaron</v>
      </c>
      <c r="F551" t="str">
        <f>IFERROR(__xludf.DUMMYFUNCTION("""COMPUTED_VALUE"""),"DT")</f>
        <v>DT</v>
      </c>
      <c r="G551">
        <f>IFERROR(__xludf.DUMMYFUNCTION("""COMPUTED_VALUE"""),14.7)</f>
        <v>14.7</v>
      </c>
    </row>
    <row r="552">
      <c r="D552" t="str">
        <f>IFERROR(__xludf.DUMMYFUNCTION("""COMPUTED_VALUE"""),"Donnal")</f>
        <v>Donnal</v>
      </c>
      <c r="E552" t="str">
        <f>IFERROR(__xludf.DUMMYFUNCTION("""COMPUTED_VALUE"""),"Andrew")</f>
        <v>Andrew</v>
      </c>
      <c r="F552" t="str">
        <f>IFERROR(__xludf.DUMMYFUNCTION("""COMPUTED_VALUE"""),"RG")</f>
        <v>RG</v>
      </c>
      <c r="G552">
        <f>IFERROR(__xludf.DUMMYFUNCTION("""COMPUTED_VALUE"""),9.6)</f>
        <v>9.6</v>
      </c>
    </row>
    <row r="553">
      <c r="D553" t="str">
        <f>IFERROR(__xludf.DUMMYFUNCTION("""COMPUTED_VALUE"""),"Donnell")</f>
        <v>Donnell</v>
      </c>
      <c r="E553" t="str">
        <f>IFERROR(__xludf.DUMMYFUNCTION("""COMPUTED_VALUE"""),"Larry")</f>
        <v>Larry</v>
      </c>
      <c r="F553" t="str">
        <f>IFERROR(__xludf.DUMMYFUNCTION("""COMPUTED_VALUE"""),"TE")</f>
        <v>TE</v>
      </c>
      <c r="G553">
        <f>IFERROR(__xludf.DUMMYFUNCTION("""COMPUTED_VALUE"""),11.4)</f>
        <v>11.4</v>
      </c>
    </row>
    <row r="554">
      <c r="D554" t="str">
        <f>IFERROR(__xludf.DUMMYFUNCTION("""COMPUTED_VALUE"""),"Dora")</f>
        <v>Dora</v>
      </c>
      <c r="E554" t="str">
        <f>IFERROR(__xludf.DUMMYFUNCTION("""COMPUTED_VALUE"""),"Vontarrius")</f>
        <v>Vontarrius</v>
      </c>
      <c r="F554" t="str">
        <f>IFERROR(__xludf.DUMMYFUNCTION("""COMPUTED_VALUE"""),"LOLB")</f>
        <v>LOLB</v>
      </c>
      <c r="G554">
        <f>IFERROR(__xludf.DUMMYFUNCTION("""COMPUTED_VALUE"""),8.549999999999999)</f>
        <v>8.55</v>
      </c>
    </row>
    <row r="555">
      <c r="D555" t="str">
        <f>IFERROR(__xludf.DUMMYFUNCTION("""COMPUTED_VALUE"""),"Dorenbos")</f>
        <v>Dorenbos</v>
      </c>
      <c r="E555" t="str">
        <f>IFERROR(__xludf.DUMMYFUNCTION("""COMPUTED_VALUE"""),"Jon")</f>
        <v>Jon</v>
      </c>
      <c r="F555" t="str">
        <f>IFERROR(__xludf.DUMMYFUNCTION("""COMPUTED_VALUE"""),"TE")</f>
        <v>TE</v>
      </c>
      <c r="G555">
        <f>IFERROR(__xludf.DUMMYFUNCTION("""COMPUTED_VALUE"""),6.6)</f>
        <v>6.6</v>
      </c>
    </row>
    <row r="556">
      <c r="D556" t="str">
        <f>IFERROR(__xludf.DUMMYFUNCTION("""COMPUTED_VALUE"""),"Dorleant")</f>
        <v>Dorleant</v>
      </c>
      <c r="E556" t="str">
        <f>IFERROR(__xludf.DUMMYFUNCTION("""COMPUTED_VALUE"""),"Makinton")</f>
        <v>Makinton</v>
      </c>
      <c r="F556" t="str">
        <f>IFERROR(__xludf.DUMMYFUNCTION("""COMPUTED_VALUE"""),"CB")</f>
        <v>CB</v>
      </c>
      <c r="G556">
        <f>IFERROR(__xludf.DUMMYFUNCTION("""COMPUTED_VALUE"""),9.15)</f>
        <v>9.15</v>
      </c>
    </row>
    <row r="557">
      <c r="D557" t="str">
        <f>IFERROR(__xludf.DUMMYFUNCTION("""COMPUTED_VALUE"""),"Dorsett")</f>
        <v>Dorsett</v>
      </c>
      <c r="E557" t="str">
        <f>IFERROR(__xludf.DUMMYFUNCTION("""COMPUTED_VALUE"""),"Phillip")</f>
        <v>Phillip</v>
      </c>
      <c r="F557" t="str">
        <f>IFERROR(__xludf.DUMMYFUNCTION("""COMPUTED_VALUE"""),"WR")</f>
        <v>WR</v>
      </c>
      <c r="G557">
        <f>IFERROR(__xludf.DUMMYFUNCTION("""COMPUTED_VALUE"""),10.799999999999999)</f>
        <v>10.8</v>
      </c>
    </row>
    <row r="558">
      <c r="D558" t="str">
        <f>IFERROR(__xludf.DUMMYFUNCTION("""COMPUTED_VALUE"""),"Dorsey")</f>
        <v>Dorsey</v>
      </c>
      <c r="E558" t="str">
        <f>IFERROR(__xludf.DUMMYFUNCTION("""COMPUTED_VALUE"""),"Glenn")</f>
        <v>Glenn</v>
      </c>
      <c r="F558" t="str">
        <f>IFERROR(__xludf.DUMMYFUNCTION("""COMPUTED_VALUE"""),"LE")</f>
        <v>LE</v>
      </c>
      <c r="G558">
        <f>IFERROR(__xludf.DUMMYFUNCTION("""COMPUTED_VALUE"""),10.5)</f>
        <v>10.5</v>
      </c>
    </row>
    <row r="559">
      <c r="D559" t="str">
        <f>IFERROR(__xludf.DUMMYFUNCTION("""COMPUTED_VALUE"""),"Doss")</f>
        <v>Doss</v>
      </c>
      <c r="E559" t="str">
        <f>IFERROR(__xludf.DUMMYFUNCTION("""COMPUTED_VALUE"""),"Lorenzo")</f>
        <v>Lorenzo</v>
      </c>
      <c r="F559" t="str">
        <f>IFERROR(__xludf.DUMMYFUNCTION("""COMPUTED_VALUE"""),"CB")</f>
        <v>CB</v>
      </c>
      <c r="G559">
        <f>IFERROR(__xludf.DUMMYFUNCTION("""COMPUTED_VALUE"""),10.049999999999999)</f>
        <v>10.05</v>
      </c>
    </row>
    <row r="560">
      <c r="D560" t="str">
        <f>IFERROR(__xludf.DUMMYFUNCTION("""COMPUTED_VALUE"""),"Dotson")</f>
        <v>Dotson</v>
      </c>
      <c r="E560" t="str">
        <f>IFERROR(__xludf.DUMMYFUNCTION("""COMPUTED_VALUE"""),"Demar")</f>
        <v>Demar</v>
      </c>
      <c r="F560" t="str">
        <f>IFERROR(__xludf.DUMMYFUNCTION("""COMPUTED_VALUE"""),"RT")</f>
        <v>RT</v>
      </c>
      <c r="G560">
        <f>IFERROR(__xludf.DUMMYFUNCTION("""COMPUTED_VALUE"""),11.7)</f>
        <v>11.7</v>
      </c>
    </row>
    <row r="561">
      <c r="D561" t="str">
        <f>IFERROR(__xludf.DUMMYFUNCTION("""COMPUTED_VALUE"""),"Doughty")</f>
        <v>Doughty</v>
      </c>
      <c r="E561" t="str">
        <f>IFERROR(__xludf.DUMMYFUNCTION("""COMPUTED_VALUE"""),"Brandon")</f>
        <v>Brandon</v>
      </c>
      <c r="F561" t="str">
        <f>IFERROR(__xludf.DUMMYFUNCTION("""COMPUTED_VALUE"""),"QB")</f>
        <v>QB</v>
      </c>
      <c r="G561">
        <f>IFERROR(__xludf.DUMMYFUNCTION("""COMPUTED_VALUE"""),9.45)</f>
        <v>9.45</v>
      </c>
    </row>
    <row r="562">
      <c r="D562" t="str">
        <f>IFERROR(__xludf.DUMMYFUNCTION("""COMPUTED_VALUE"""),"Douglas")</f>
        <v>Douglas</v>
      </c>
      <c r="E562" t="str">
        <f>IFERROR(__xludf.DUMMYFUNCTION("""COMPUTED_VALUE"""),"Harry")</f>
        <v>Harry</v>
      </c>
      <c r="F562" t="str">
        <f>IFERROR(__xludf.DUMMYFUNCTION("""COMPUTED_VALUE"""),"WR")</f>
        <v>WR</v>
      </c>
      <c r="G562">
        <f>IFERROR(__xludf.DUMMYFUNCTION("""COMPUTED_VALUE"""),10.95)</f>
        <v>10.95</v>
      </c>
    </row>
    <row r="563">
      <c r="D563" t="str">
        <f>IFERROR(__xludf.DUMMYFUNCTION("""COMPUTED_VALUE"""),"Douzable")</f>
        <v>Douzable</v>
      </c>
      <c r="E563" t="str">
        <f>IFERROR(__xludf.DUMMYFUNCTION("""COMPUTED_VALUE"""),"Leger")</f>
        <v>Leger</v>
      </c>
      <c r="F563" t="str">
        <f>IFERROR(__xludf.DUMMYFUNCTION("""COMPUTED_VALUE"""),"RE")</f>
        <v>RE</v>
      </c>
      <c r="G563">
        <f>IFERROR(__xludf.DUMMYFUNCTION("""COMPUTED_VALUE"""),10.2)</f>
        <v>10.2</v>
      </c>
    </row>
    <row r="564">
      <c r="D564" t="str">
        <f>IFERROR(__xludf.DUMMYFUNCTION("""COMPUTED_VALUE"""),"Dowling")</f>
        <v>Dowling</v>
      </c>
      <c r="E564" t="str">
        <f>IFERROR(__xludf.DUMMYFUNCTION("""COMPUTED_VALUE"""),"Jonathan")</f>
        <v>Jonathan</v>
      </c>
      <c r="F564" t="str">
        <f>IFERROR(__xludf.DUMMYFUNCTION("""COMPUTED_VALUE"""),"FS")</f>
        <v>FS</v>
      </c>
      <c r="G564">
        <f>IFERROR(__xludf.DUMMYFUNCTION("""COMPUTED_VALUE"""),9.9)</f>
        <v>9.9</v>
      </c>
    </row>
    <row r="565">
      <c r="D565" t="str">
        <f>IFERROR(__xludf.DUMMYFUNCTION("""COMPUTED_VALUE"""),"Doyle")</f>
        <v>Doyle</v>
      </c>
      <c r="E565" t="str">
        <f>IFERROR(__xludf.DUMMYFUNCTION("""COMPUTED_VALUE"""),"Jack")</f>
        <v>Jack</v>
      </c>
      <c r="F565" t="str">
        <f>IFERROR(__xludf.DUMMYFUNCTION("""COMPUTED_VALUE"""),"TE")</f>
        <v>TE</v>
      </c>
      <c r="G565">
        <f>IFERROR(__xludf.DUMMYFUNCTION("""COMPUTED_VALUE"""),10.799999999999999)</f>
        <v>10.8</v>
      </c>
    </row>
    <row r="566">
      <c r="D566" t="str">
        <f>IFERROR(__xludf.DUMMYFUNCTION("""COMPUTED_VALUE"""),"Dozier")</f>
        <v>Dozier</v>
      </c>
      <c r="E566" t="str">
        <f>IFERROR(__xludf.DUMMYFUNCTION("""COMPUTED_VALUE"""),"Dakota")</f>
        <v>Dakota</v>
      </c>
      <c r="F566" t="str">
        <f>IFERROR(__xludf.DUMMYFUNCTION("""COMPUTED_VALUE"""),"RG")</f>
        <v>RG</v>
      </c>
      <c r="G566">
        <f>IFERROR(__xludf.DUMMYFUNCTION("""COMPUTED_VALUE"""),10.049999999999999)</f>
        <v>10.05</v>
      </c>
    </row>
    <row r="567">
      <c r="D567" t="str">
        <f>IFERROR(__xludf.DUMMYFUNCTION("""COMPUTED_VALUE"""),"Drake")</f>
        <v>Drake</v>
      </c>
      <c r="E567" t="str">
        <f>IFERROR(__xludf.DUMMYFUNCTION("""COMPUTED_VALUE"""),"Kenyan")</f>
        <v>Kenyan</v>
      </c>
      <c r="F567" t="str">
        <f>IFERROR(__xludf.DUMMYFUNCTION("""COMPUTED_VALUE"""),"HB")</f>
        <v>HB</v>
      </c>
      <c r="G567">
        <f>IFERROR(__xludf.DUMMYFUNCTION("""COMPUTED_VALUE"""),10.5)</f>
        <v>10.5</v>
      </c>
    </row>
    <row r="568">
      <c r="D568" t="str">
        <f>IFERROR(__xludf.DUMMYFUNCTION("""COMPUTED_VALUE"""),"Drango")</f>
        <v>Drango</v>
      </c>
      <c r="E568" t="str">
        <f>IFERROR(__xludf.DUMMYFUNCTION("""COMPUTED_VALUE"""),"Spencer")</f>
        <v>Spencer</v>
      </c>
      <c r="F568" t="str">
        <f>IFERROR(__xludf.DUMMYFUNCTION("""COMPUTED_VALUE"""),"RG")</f>
        <v>RG</v>
      </c>
      <c r="G568">
        <f>IFERROR(__xludf.DUMMYFUNCTION("""COMPUTED_VALUE"""),9.6)</f>
        <v>9.6</v>
      </c>
    </row>
    <row r="569">
      <c r="D569" t="str">
        <f>IFERROR(__xludf.DUMMYFUNCTION("""COMPUTED_VALUE"""),"Draughn")</f>
        <v>Draughn</v>
      </c>
      <c r="E569" t="str">
        <f>IFERROR(__xludf.DUMMYFUNCTION("""COMPUTED_VALUE"""),"Shaun")</f>
        <v>Shaun</v>
      </c>
      <c r="F569" t="str">
        <f>IFERROR(__xludf.DUMMYFUNCTION("""COMPUTED_VALUE"""),"HB")</f>
        <v>HB</v>
      </c>
      <c r="G569">
        <f>IFERROR(__xludf.DUMMYFUNCTION("""COMPUTED_VALUE"""),10.95)</f>
        <v>10.95</v>
      </c>
    </row>
    <row r="570">
      <c r="D570" t="str">
        <f>IFERROR(__xludf.DUMMYFUNCTION("""COMPUTED_VALUE"""),"Dray")</f>
        <v>Dray</v>
      </c>
      <c r="E570" t="str">
        <f>IFERROR(__xludf.DUMMYFUNCTION("""COMPUTED_VALUE"""),"Jim")</f>
        <v>Jim</v>
      </c>
      <c r="F570" t="str">
        <f>IFERROR(__xludf.DUMMYFUNCTION("""COMPUTED_VALUE"""),"TE")</f>
        <v>TE</v>
      </c>
      <c r="G570">
        <f>IFERROR(__xludf.DUMMYFUNCTION("""COMPUTED_VALUE"""),10.5)</f>
        <v>10.5</v>
      </c>
    </row>
    <row r="571">
      <c r="D571" t="str">
        <f>IFERROR(__xludf.DUMMYFUNCTION("""COMPUTED_VALUE"""),"Drescher")</f>
        <v>Drescher</v>
      </c>
      <c r="E571" t="str">
        <f>IFERROR(__xludf.DUMMYFUNCTION("""COMPUTED_VALUE"""),"Justin")</f>
        <v>Justin</v>
      </c>
      <c r="F571" t="str">
        <f>IFERROR(__xludf.DUMMYFUNCTION("""COMPUTED_VALUE"""),"TE")</f>
        <v>TE</v>
      </c>
      <c r="G571">
        <f>IFERROR(__xludf.DUMMYFUNCTION("""COMPUTED_VALUE"""),6.3)</f>
        <v>6.3</v>
      </c>
    </row>
    <row r="572">
      <c r="D572" t="str">
        <f>IFERROR(__xludf.DUMMYFUNCTION("""COMPUTED_VALUE"""),"Driskel")</f>
        <v>Driskel</v>
      </c>
      <c r="E572" t="str">
        <f>IFERROR(__xludf.DUMMYFUNCTION("""COMPUTED_VALUE"""),"Jeff")</f>
        <v>Jeff</v>
      </c>
      <c r="F572" t="str">
        <f>IFERROR(__xludf.DUMMYFUNCTION("""COMPUTED_VALUE"""),"QB")</f>
        <v>QB</v>
      </c>
      <c r="G572">
        <f>IFERROR(__xludf.DUMMYFUNCTION("""COMPUTED_VALUE"""),9.9)</f>
        <v>9.9</v>
      </c>
    </row>
    <row r="573">
      <c r="D573" t="str">
        <f>IFERROR(__xludf.DUMMYFUNCTION("""COMPUTED_VALUE"""),"Drummond")</f>
        <v>Drummond</v>
      </c>
      <c r="E573" t="str">
        <f>IFERROR(__xludf.DUMMYFUNCTION("""COMPUTED_VALUE"""),"Kurtis")</f>
        <v>Kurtis</v>
      </c>
      <c r="F573" t="str">
        <f>IFERROR(__xludf.DUMMYFUNCTION("""COMPUTED_VALUE"""),"SS")</f>
        <v>SS</v>
      </c>
      <c r="G573">
        <f>IFERROR(__xludf.DUMMYFUNCTION("""COMPUTED_VALUE"""),10.049999999999999)</f>
        <v>10.05</v>
      </c>
    </row>
    <row r="574">
      <c r="D574" t="str">
        <f>IFERROR(__xludf.DUMMYFUNCTION("""COMPUTED_VALUE"""),"Duarte")</f>
        <v>Duarte</v>
      </c>
      <c r="E574" t="str">
        <f>IFERROR(__xludf.DUMMYFUNCTION("""COMPUTED_VALUE"""),"Thomas")</f>
        <v>Thomas</v>
      </c>
      <c r="F574" t="str">
        <f>IFERROR(__xludf.DUMMYFUNCTION("""COMPUTED_VALUE"""),"TE")</f>
        <v>TE</v>
      </c>
      <c r="G574">
        <f>IFERROR(__xludf.DUMMYFUNCTION("""COMPUTED_VALUE"""),9.45)</f>
        <v>9.45</v>
      </c>
    </row>
    <row r="575">
      <c r="D575" t="str">
        <f>IFERROR(__xludf.DUMMYFUNCTION("""COMPUTED_VALUE"""),"Dubose")</f>
        <v>Dubose</v>
      </c>
      <c r="E575" t="str">
        <f>IFERROR(__xludf.DUMMYFUNCTION("""COMPUTED_VALUE"""),"BJ")</f>
        <v>BJ</v>
      </c>
      <c r="F575" t="str">
        <f>IFERROR(__xludf.DUMMYFUNCTION("""COMPUTED_VALUE"""),"DT")</f>
        <v>DT</v>
      </c>
      <c r="G575">
        <f>IFERROR(__xludf.DUMMYFUNCTION("""COMPUTED_VALUE"""),9.45)</f>
        <v>9.45</v>
      </c>
    </row>
    <row r="576">
      <c r="D576" t="str">
        <f>IFERROR(__xludf.DUMMYFUNCTION("""COMPUTED_VALUE"""),"Ducasse")</f>
        <v>Ducasse</v>
      </c>
      <c r="E576" t="str">
        <f>IFERROR(__xludf.DUMMYFUNCTION("""COMPUTED_VALUE"""),"Vladimir")</f>
        <v>Vladimir</v>
      </c>
      <c r="F576" t="str">
        <f>IFERROR(__xludf.DUMMYFUNCTION("""COMPUTED_VALUE"""),"RG")</f>
        <v>RG</v>
      </c>
      <c r="G576">
        <f>IFERROR(__xludf.DUMMYFUNCTION("""COMPUTED_VALUE"""),11.1)</f>
        <v>11.1</v>
      </c>
    </row>
    <row r="577">
      <c r="D577" t="str">
        <f>IFERROR(__xludf.DUMMYFUNCTION("""COMPUTED_VALUE"""),"Dumervil")</f>
        <v>Dumervil</v>
      </c>
      <c r="E577" t="str">
        <f>IFERROR(__xludf.DUMMYFUNCTION("""COMPUTED_VALUE"""),"Elvis")</f>
        <v>Elvis</v>
      </c>
      <c r="F577" t="str">
        <f>IFERROR(__xludf.DUMMYFUNCTION("""COMPUTED_VALUE"""),"LOLB")</f>
        <v>LOLB</v>
      </c>
      <c r="G577">
        <f>IFERROR(__xludf.DUMMYFUNCTION("""COMPUTED_VALUE"""),13.049999999999999)</f>
        <v>13.05</v>
      </c>
    </row>
    <row r="578">
      <c r="D578" t="str">
        <f>IFERROR(__xludf.DUMMYFUNCTION("""COMPUTED_VALUE"""),"Dunbar")</f>
        <v>Dunbar</v>
      </c>
      <c r="E578" t="str">
        <f>IFERROR(__xludf.DUMMYFUNCTION("""COMPUTED_VALUE"""),"Lance")</f>
        <v>Lance</v>
      </c>
      <c r="F578" t="str">
        <f>IFERROR(__xludf.DUMMYFUNCTION("""COMPUTED_VALUE"""),"HB")</f>
        <v>HB</v>
      </c>
      <c r="G578">
        <f>IFERROR(__xludf.DUMMYFUNCTION("""COMPUTED_VALUE"""),11.4)</f>
        <v>11.4</v>
      </c>
    </row>
    <row r="579">
      <c r="D579" t="str">
        <f>IFERROR(__xludf.DUMMYFUNCTION("""COMPUTED_VALUE"""),"Dunbar")</f>
        <v>Dunbar</v>
      </c>
      <c r="E579" t="str">
        <f>IFERROR(__xludf.DUMMYFUNCTION("""COMPUTED_VALUE"""),"Quinton")</f>
        <v>Quinton</v>
      </c>
      <c r="F579" t="str">
        <f>IFERROR(__xludf.DUMMYFUNCTION("""COMPUTED_VALUE"""),"CB")</f>
        <v>CB</v>
      </c>
      <c r="G579">
        <f>IFERROR(__xludf.DUMMYFUNCTION("""COMPUTED_VALUE"""),10.799999999999999)</f>
        <v>10.8</v>
      </c>
    </row>
    <row r="580">
      <c r="D580" t="str">
        <f>IFERROR(__xludf.DUMMYFUNCTION("""COMPUTED_VALUE"""),"Dunlap")</f>
        <v>Dunlap</v>
      </c>
      <c r="E580" t="str">
        <f>IFERROR(__xludf.DUMMYFUNCTION("""COMPUTED_VALUE"""),"Carlos")</f>
        <v>Carlos</v>
      </c>
      <c r="F580" t="str">
        <f>IFERROR(__xludf.DUMMYFUNCTION("""COMPUTED_VALUE"""),"LE")</f>
        <v>LE</v>
      </c>
      <c r="G580">
        <f>IFERROR(__xludf.DUMMYFUNCTION("""COMPUTED_VALUE"""),13.049999999999999)</f>
        <v>13.05</v>
      </c>
    </row>
    <row r="581">
      <c r="D581" t="str">
        <f>IFERROR(__xludf.DUMMYFUNCTION("""COMPUTED_VALUE"""),"Dunlap")</f>
        <v>Dunlap</v>
      </c>
      <c r="E581" t="str">
        <f>IFERROR(__xludf.DUMMYFUNCTION("""COMPUTED_VALUE"""),"King")</f>
        <v>King</v>
      </c>
      <c r="F581" t="str">
        <f>IFERROR(__xludf.DUMMYFUNCTION("""COMPUTED_VALUE"""),"LT")</f>
        <v>LT</v>
      </c>
      <c r="G581">
        <f>IFERROR(__xludf.DUMMYFUNCTION("""COMPUTED_VALUE"""),12.299999999999999)</f>
        <v>12.3</v>
      </c>
    </row>
    <row r="582">
      <c r="D582" t="str">
        <f>IFERROR(__xludf.DUMMYFUNCTION("""COMPUTED_VALUE"""),"Dunn")</f>
        <v>Dunn</v>
      </c>
      <c r="E582" t="str">
        <f>IFERROR(__xludf.DUMMYFUNCTION("""COMPUTED_VALUE"""),"Brandon")</f>
        <v>Brandon</v>
      </c>
      <c r="F582" t="str">
        <f>IFERROR(__xludf.DUMMYFUNCTION("""COMPUTED_VALUE"""),"LE")</f>
        <v>LE</v>
      </c>
      <c r="G582">
        <f>IFERROR(__xludf.DUMMYFUNCTION("""COMPUTED_VALUE"""),10.2)</f>
        <v>10.2</v>
      </c>
    </row>
    <row r="583">
      <c r="D583" t="str">
        <f>IFERROR(__xludf.DUMMYFUNCTION("""COMPUTED_VALUE"""),"Dupree")</f>
        <v>Dupree</v>
      </c>
      <c r="E583" t="str">
        <f>IFERROR(__xludf.DUMMYFUNCTION("""COMPUTED_VALUE"""),"Bud")</f>
        <v>Bud</v>
      </c>
      <c r="F583" t="str">
        <f>IFERROR(__xludf.DUMMYFUNCTION("""COMPUTED_VALUE"""),"LOLB")</f>
        <v>LOLB</v>
      </c>
      <c r="G583">
        <f>IFERROR(__xludf.DUMMYFUNCTION("""COMPUTED_VALUE"""),10.5)</f>
        <v>10.5</v>
      </c>
    </row>
    <row r="584">
      <c r="D584" t="str">
        <f>IFERROR(__xludf.DUMMYFUNCTION("""COMPUTED_VALUE"""),"Durant")</f>
        <v>Durant</v>
      </c>
      <c r="E584" t="str">
        <f>IFERROR(__xludf.DUMMYFUNCTION("""COMPUTED_VALUE"""),"Justin")</f>
        <v>Justin</v>
      </c>
      <c r="F584" t="str">
        <f>IFERROR(__xludf.DUMMYFUNCTION("""COMPUTED_VALUE"""),"LOLB")</f>
        <v>LOLB</v>
      </c>
      <c r="G584">
        <f>IFERROR(__xludf.DUMMYFUNCTION("""COMPUTED_VALUE"""),11.549999999999999)</f>
        <v>11.55</v>
      </c>
    </row>
    <row r="585">
      <c r="D585" t="str">
        <f>IFERROR(__xludf.DUMMYFUNCTION("""COMPUTED_VALUE"""),"Durden")</f>
        <v>Durden</v>
      </c>
      <c r="E585" t="str">
        <f>IFERROR(__xludf.DUMMYFUNCTION("""COMPUTED_VALUE"""),"Kenneth")</f>
        <v>Kenneth</v>
      </c>
      <c r="F585" t="str">
        <f>IFERROR(__xludf.DUMMYFUNCTION("""COMPUTED_VALUE"""),"CB")</f>
        <v>CB</v>
      </c>
      <c r="G585">
        <f>IFERROR(__xludf.DUMMYFUNCTION("""COMPUTED_VALUE"""),9.15)</f>
        <v>9.15</v>
      </c>
    </row>
    <row r="586">
      <c r="D586" t="str">
        <f>IFERROR(__xludf.DUMMYFUNCTION("""COMPUTED_VALUE"""),"Duvernay-Tardif")</f>
        <v>Duvernay-Tardif</v>
      </c>
      <c r="E586" t="str">
        <f>IFERROR(__xludf.DUMMYFUNCTION("""COMPUTED_VALUE"""),"Laurent")</f>
        <v>Laurent</v>
      </c>
      <c r="F586" t="str">
        <f>IFERROR(__xludf.DUMMYFUNCTION("""COMPUTED_VALUE"""),"RG")</f>
        <v>RG</v>
      </c>
      <c r="G586">
        <f>IFERROR(__xludf.DUMMYFUNCTION("""COMPUTED_VALUE"""),10.95)</f>
        <v>10.95</v>
      </c>
    </row>
    <row r="587">
      <c r="D587" t="str">
        <f>IFERROR(__xludf.DUMMYFUNCTION("""COMPUTED_VALUE"""),"Dye Jr.")</f>
        <v>Dye Jr.</v>
      </c>
      <c r="E587" t="str">
        <f>IFERROR(__xludf.DUMMYFUNCTION("""COMPUTED_VALUE"""),"Donteea")</f>
        <v>Donteea</v>
      </c>
      <c r="F587" t="str">
        <f>IFERROR(__xludf.DUMMYFUNCTION("""COMPUTED_VALUE"""),"WR")</f>
        <v>WR</v>
      </c>
      <c r="G587">
        <f>IFERROR(__xludf.DUMMYFUNCTION("""COMPUTED_VALUE"""),9.6)</f>
        <v>9.6</v>
      </c>
    </row>
    <row r="588">
      <c r="D588" t="str">
        <f>IFERROR(__xludf.DUMMYFUNCTION("""COMPUTED_VALUE"""),"Dysert")</f>
        <v>Dysert</v>
      </c>
      <c r="E588" t="str">
        <f>IFERROR(__xludf.DUMMYFUNCTION("""COMPUTED_VALUE"""),"Zac")</f>
        <v>Zac</v>
      </c>
      <c r="F588" t="str">
        <f>IFERROR(__xludf.DUMMYFUNCTION("""COMPUTED_VALUE"""),"QB")</f>
        <v>QB</v>
      </c>
      <c r="G588">
        <f>IFERROR(__xludf.DUMMYFUNCTION("""COMPUTED_VALUE"""),9.15)</f>
        <v>9.15</v>
      </c>
    </row>
    <row r="589">
      <c r="D589" t="str">
        <f>IFERROR(__xludf.DUMMYFUNCTION("""COMPUTED_VALUE"""),"Dzubnar")</f>
        <v>Dzubnar</v>
      </c>
      <c r="E589" t="str">
        <f>IFERROR(__xludf.DUMMYFUNCTION("""COMPUTED_VALUE"""),"Nick")</f>
        <v>Nick</v>
      </c>
      <c r="F589" t="str">
        <f>IFERROR(__xludf.DUMMYFUNCTION("""COMPUTED_VALUE"""),"MLB")</f>
        <v>MLB</v>
      </c>
      <c r="G589">
        <f>IFERROR(__xludf.DUMMYFUNCTION("""COMPUTED_VALUE"""),9.299999999999999)</f>
        <v>9.3</v>
      </c>
    </row>
    <row r="590">
      <c r="D590" t="str">
        <f>IFERROR(__xludf.DUMMYFUNCTION("""COMPUTED_VALUE"""),"Ealy")</f>
        <v>Ealy</v>
      </c>
      <c r="E590" t="str">
        <f>IFERROR(__xludf.DUMMYFUNCTION("""COMPUTED_VALUE"""),"Kony")</f>
        <v>Kony</v>
      </c>
      <c r="F590" t="str">
        <f>IFERROR(__xludf.DUMMYFUNCTION("""COMPUTED_VALUE"""),"RE")</f>
        <v>RE</v>
      </c>
      <c r="G590">
        <f>IFERROR(__xludf.DUMMYFUNCTION("""COMPUTED_VALUE"""),11.85)</f>
        <v>11.85</v>
      </c>
    </row>
    <row r="591">
      <c r="D591" t="str">
        <f>IFERROR(__xludf.DUMMYFUNCTION("""COMPUTED_VALUE"""),"Easley")</f>
        <v>Easley</v>
      </c>
      <c r="E591" t="str">
        <f>IFERROR(__xludf.DUMMYFUNCTION("""COMPUTED_VALUE"""),"Dominique")</f>
        <v>Dominique</v>
      </c>
      <c r="F591" t="str">
        <f>IFERROR(__xludf.DUMMYFUNCTION("""COMPUTED_VALUE"""),"DT")</f>
        <v>DT</v>
      </c>
      <c r="G591">
        <f>IFERROR(__xludf.DUMMYFUNCTION("""COMPUTED_VALUE"""),11.1)</f>
        <v>11.1</v>
      </c>
    </row>
    <row r="592">
      <c r="D592" t="str">
        <f>IFERROR(__xludf.DUMMYFUNCTION("""COMPUTED_VALUE"""),"Easley")</f>
        <v>Easley</v>
      </c>
      <c r="E592" t="str">
        <f>IFERROR(__xludf.DUMMYFUNCTION("""COMPUTED_VALUE"""),"Marcus")</f>
        <v>Marcus</v>
      </c>
      <c r="F592" t="str">
        <f>IFERROR(__xludf.DUMMYFUNCTION("""COMPUTED_VALUE"""),"WR")</f>
        <v>WR</v>
      </c>
      <c r="G592">
        <f>IFERROR(__xludf.DUMMYFUNCTION("""COMPUTED_VALUE"""),10.049999999999999)</f>
        <v>10.05</v>
      </c>
    </row>
    <row r="593">
      <c r="D593" t="str">
        <f>IFERROR(__xludf.DUMMYFUNCTION("""COMPUTED_VALUE"""),"Easton")</f>
        <v>Easton</v>
      </c>
      <c r="E593" t="str">
        <f>IFERROR(__xludf.DUMMYFUNCTION("""COMPUTED_VALUE"""),"Nick")</f>
        <v>Nick</v>
      </c>
      <c r="F593" t="str">
        <f>IFERROR(__xludf.DUMMYFUNCTION("""COMPUTED_VALUE"""),"C")</f>
        <v>C</v>
      </c>
      <c r="G593">
        <f>IFERROR(__xludf.DUMMYFUNCTION("""COMPUTED_VALUE"""),9.0)</f>
        <v>9</v>
      </c>
    </row>
    <row r="594">
      <c r="D594" t="str">
        <f>IFERROR(__xludf.DUMMYFUNCTION("""COMPUTED_VALUE"""),"Ebner")</f>
        <v>Ebner</v>
      </c>
      <c r="E594" t="str">
        <f>IFERROR(__xludf.DUMMYFUNCTION("""COMPUTED_VALUE"""),"Nate")</f>
        <v>Nate</v>
      </c>
      <c r="F594" t="str">
        <f>IFERROR(__xludf.DUMMYFUNCTION("""COMPUTED_VALUE"""),"SS")</f>
        <v>SS</v>
      </c>
      <c r="G594">
        <f>IFERROR(__xludf.DUMMYFUNCTION("""COMPUTED_VALUE"""),9.75)</f>
        <v>9.75</v>
      </c>
    </row>
    <row r="595">
      <c r="D595" t="str">
        <f>IFERROR(__xludf.DUMMYFUNCTION("""COMPUTED_VALUE"""),"Ebron")</f>
        <v>Ebron</v>
      </c>
      <c r="E595" t="str">
        <f>IFERROR(__xludf.DUMMYFUNCTION("""COMPUTED_VALUE"""),"Eric")</f>
        <v>Eric</v>
      </c>
      <c r="F595" t="str">
        <f>IFERROR(__xludf.DUMMYFUNCTION("""COMPUTED_VALUE"""),"TE")</f>
        <v>TE</v>
      </c>
      <c r="G595">
        <f>IFERROR(__xludf.DUMMYFUNCTION("""COMPUTED_VALUE"""),11.4)</f>
        <v>11.4</v>
      </c>
    </row>
    <row r="596">
      <c r="D596" t="str">
        <f>IFERROR(__xludf.DUMMYFUNCTION("""COMPUTED_VALUE"""),"Edebali")</f>
        <v>Edebali</v>
      </c>
      <c r="E596" t="str">
        <f>IFERROR(__xludf.DUMMYFUNCTION("""COMPUTED_VALUE"""),"Kasim")</f>
        <v>Kasim</v>
      </c>
      <c r="F596" t="str">
        <f>IFERROR(__xludf.DUMMYFUNCTION("""COMPUTED_VALUE"""),"LOLB")</f>
        <v>LOLB</v>
      </c>
      <c r="G596">
        <f>IFERROR(__xludf.DUMMYFUNCTION("""COMPUTED_VALUE"""),10.049999999999999)</f>
        <v>10.05</v>
      </c>
    </row>
    <row r="597">
      <c r="D597" t="str">
        <f>IFERROR(__xludf.DUMMYFUNCTION("""COMPUTED_VALUE"""),"Edelman")</f>
        <v>Edelman</v>
      </c>
      <c r="E597" t="str">
        <f>IFERROR(__xludf.DUMMYFUNCTION("""COMPUTED_VALUE"""),"Julian")</f>
        <v>Julian</v>
      </c>
      <c r="F597" t="str">
        <f>IFERROR(__xludf.DUMMYFUNCTION("""COMPUTED_VALUE"""),"WR")</f>
        <v>WR</v>
      </c>
      <c r="G597">
        <f>IFERROR(__xludf.DUMMYFUNCTION("""COMPUTED_VALUE"""),13.35)</f>
        <v>13.35</v>
      </c>
    </row>
    <row r="598">
      <c r="D598" t="str">
        <f>IFERROR(__xludf.DUMMYFUNCTION("""COMPUTED_VALUE"""),"Edwards")</f>
        <v>Edwards</v>
      </c>
      <c r="E598" t="str">
        <f>IFERROR(__xludf.DUMMYFUNCTION("""COMPUTED_VALUE"""),"Chris")</f>
        <v>Chris</v>
      </c>
      <c r="F598" t="str">
        <f>IFERROR(__xludf.DUMMYFUNCTION("""COMPUTED_VALUE"""),"SS")</f>
        <v>SS</v>
      </c>
      <c r="G598">
        <f>IFERROR(__xludf.DUMMYFUNCTION("""COMPUTED_VALUE"""),9.15)</f>
        <v>9.15</v>
      </c>
    </row>
    <row r="599">
      <c r="D599" t="str">
        <f>IFERROR(__xludf.DUMMYFUNCTION("""COMPUTED_VALUE"""),"Edwards")</f>
        <v>Edwards</v>
      </c>
      <c r="E599" t="str">
        <f>IFERROR(__xludf.DUMMYFUNCTION("""COMPUTED_VALUE"""),"Kadeem")</f>
        <v>Kadeem</v>
      </c>
      <c r="F599" t="str">
        <f>IFERROR(__xludf.DUMMYFUNCTION("""COMPUTED_VALUE"""),"LG")</f>
        <v>LG</v>
      </c>
      <c r="G599">
        <f>IFERROR(__xludf.DUMMYFUNCTION("""COMPUTED_VALUE"""),9.6)</f>
        <v>9.6</v>
      </c>
    </row>
    <row r="600">
      <c r="D600" t="str">
        <f>IFERROR(__xludf.DUMMYFUNCTION("""COMPUTED_VALUE"""),"Edwards")</f>
        <v>Edwards</v>
      </c>
      <c r="E600" t="str">
        <f>IFERROR(__xludf.DUMMYFUNCTION("""COMPUTED_VALUE"""),"Lachlan")</f>
        <v>Lachlan</v>
      </c>
      <c r="F600" t="str">
        <f>IFERROR(__xludf.DUMMYFUNCTION("""COMPUTED_VALUE"""),"P")</f>
        <v>P</v>
      </c>
      <c r="G600">
        <f>IFERROR(__xludf.DUMMYFUNCTION("""COMPUTED_VALUE"""),10.799999999999999)</f>
        <v>10.8</v>
      </c>
    </row>
    <row r="601">
      <c r="D601" t="str">
        <f>IFERROR(__xludf.DUMMYFUNCTION("""COMPUTED_VALUE"""),"Edwards")</f>
        <v>Edwards</v>
      </c>
      <c r="E601" t="str">
        <f>IFERROR(__xludf.DUMMYFUNCTION("""COMPUTED_VALUE"""),"Lavar")</f>
        <v>Lavar</v>
      </c>
      <c r="F601" t="str">
        <f>IFERROR(__xludf.DUMMYFUNCTION("""COMPUTED_VALUE"""),"LE")</f>
        <v>LE</v>
      </c>
      <c r="G601">
        <f>IFERROR(__xludf.DUMMYFUNCTION("""COMPUTED_VALUE"""),9.9)</f>
        <v>9.9</v>
      </c>
    </row>
    <row r="602">
      <c r="D602" t="str">
        <f>IFERROR(__xludf.DUMMYFUNCTION("""COMPUTED_VALUE"""),"Edwards Jr.")</f>
        <v>Edwards Jr.</v>
      </c>
      <c r="E602" t="str">
        <f>IFERROR(__xludf.DUMMYFUNCTION("""COMPUTED_VALUE"""),"Mario")</f>
        <v>Mario</v>
      </c>
      <c r="F602" t="str">
        <f>IFERROR(__xludf.DUMMYFUNCTION("""COMPUTED_VALUE"""),"RE")</f>
        <v>RE</v>
      </c>
      <c r="G602">
        <f>IFERROR(__xludf.DUMMYFUNCTION("""COMPUTED_VALUE"""),11.7)</f>
        <v>11.7</v>
      </c>
    </row>
    <row r="603">
      <c r="D603" t="str">
        <f>IFERROR(__xludf.DUMMYFUNCTION("""COMPUTED_VALUE"""),"Ehinger")</f>
        <v>Ehinger</v>
      </c>
      <c r="E603" t="str">
        <f>IFERROR(__xludf.DUMMYFUNCTION("""COMPUTED_VALUE"""),"Parker")</f>
        <v>Parker</v>
      </c>
      <c r="F603" t="str">
        <f>IFERROR(__xludf.DUMMYFUNCTION("""COMPUTED_VALUE"""),"LG")</f>
        <v>LG</v>
      </c>
      <c r="G603">
        <f>IFERROR(__xludf.DUMMYFUNCTION("""COMPUTED_VALUE"""),9.9)</f>
        <v>9.9</v>
      </c>
    </row>
    <row r="604">
      <c r="D604" t="str">
        <f>IFERROR(__xludf.DUMMYFUNCTION("""COMPUTED_VALUE"""),"Eifert")</f>
        <v>Eifert</v>
      </c>
      <c r="E604" t="str">
        <f>IFERROR(__xludf.DUMMYFUNCTION("""COMPUTED_VALUE"""),"Tyler")</f>
        <v>Tyler</v>
      </c>
      <c r="F604" t="str">
        <f>IFERROR(__xludf.DUMMYFUNCTION("""COMPUTED_VALUE"""),"TE")</f>
        <v>TE</v>
      </c>
      <c r="G604">
        <f>IFERROR(__xludf.DUMMYFUNCTION("""COMPUTED_VALUE"""),13.5)</f>
        <v>13.5</v>
      </c>
    </row>
    <row r="605">
      <c r="D605" t="str">
        <f>IFERROR(__xludf.DUMMYFUNCTION("""COMPUTED_VALUE"""),"Ekpre-Olomu")</f>
        <v>Ekpre-Olomu</v>
      </c>
      <c r="E605" t="str">
        <f>IFERROR(__xludf.DUMMYFUNCTION("""COMPUTED_VALUE"""),"Ifo")</f>
        <v>Ifo</v>
      </c>
      <c r="F605" t="str">
        <f>IFERROR(__xludf.DUMMYFUNCTION("""COMPUTED_VALUE"""),"CB")</f>
        <v>CB</v>
      </c>
      <c r="G605">
        <f>IFERROR(__xludf.DUMMYFUNCTION("""COMPUTED_VALUE"""),10.049999999999999)</f>
        <v>10.05</v>
      </c>
    </row>
    <row r="606">
      <c r="D606" t="str">
        <f>IFERROR(__xludf.DUMMYFUNCTION("""COMPUTED_VALUE"""),"Elam")</f>
        <v>Elam</v>
      </c>
      <c r="E606" t="str">
        <f>IFERROR(__xludf.DUMMYFUNCTION("""COMPUTED_VALUE"""),"Matt")</f>
        <v>Matt</v>
      </c>
      <c r="F606" t="str">
        <f>IFERROR(__xludf.DUMMYFUNCTION("""COMPUTED_VALUE"""),"SS")</f>
        <v>SS</v>
      </c>
      <c r="G606">
        <f>IFERROR(__xludf.DUMMYFUNCTION("""COMPUTED_VALUE"""),10.35)</f>
        <v>10.35</v>
      </c>
    </row>
    <row r="607">
      <c r="D607" t="str">
        <f>IFERROR(__xludf.DUMMYFUNCTION("""COMPUTED_VALUE"""),"Ellerbe")</f>
        <v>Ellerbe</v>
      </c>
      <c r="E607" t="str">
        <f>IFERROR(__xludf.DUMMYFUNCTION("""COMPUTED_VALUE"""),"Dannell")</f>
        <v>Dannell</v>
      </c>
      <c r="F607" t="str">
        <f>IFERROR(__xludf.DUMMYFUNCTION("""COMPUTED_VALUE"""),"ROLB")</f>
        <v>ROLB</v>
      </c>
      <c r="G607">
        <f>IFERROR(__xludf.DUMMYFUNCTION("""COMPUTED_VALUE"""),11.549999999999999)</f>
        <v>11.55</v>
      </c>
    </row>
    <row r="608">
      <c r="D608" t="str">
        <f>IFERROR(__xludf.DUMMYFUNCTION("""COMPUTED_VALUE"""),"Ellington")</f>
        <v>Ellington</v>
      </c>
      <c r="E608" t="str">
        <f>IFERROR(__xludf.DUMMYFUNCTION("""COMPUTED_VALUE"""),"Andre")</f>
        <v>Andre</v>
      </c>
      <c r="F608" t="str">
        <f>IFERROR(__xludf.DUMMYFUNCTION("""COMPUTED_VALUE"""),"HB")</f>
        <v>HB</v>
      </c>
      <c r="G608">
        <f>IFERROR(__xludf.DUMMYFUNCTION("""COMPUTED_VALUE"""),11.7)</f>
        <v>11.7</v>
      </c>
    </row>
    <row r="609">
      <c r="D609" t="str">
        <f>IFERROR(__xludf.DUMMYFUNCTION("""COMPUTED_VALUE"""),"Ellington")</f>
        <v>Ellington</v>
      </c>
      <c r="E609" t="str">
        <f>IFERROR(__xludf.DUMMYFUNCTION("""COMPUTED_VALUE"""),"Bruce")</f>
        <v>Bruce</v>
      </c>
      <c r="F609" t="str">
        <f>IFERROR(__xludf.DUMMYFUNCTION("""COMPUTED_VALUE"""),"WR")</f>
        <v>WR</v>
      </c>
      <c r="G609">
        <f>IFERROR(__xludf.DUMMYFUNCTION("""COMPUTED_VALUE"""),10.35)</f>
        <v>10.35</v>
      </c>
    </row>
    <row r="610">
      <c r="D610" t="str">
        <f>IFERROR(__xludf.DUMMYFUNCTION("""COMPUTED_VALUE"""),"Elliott")</f>
        <v>Elliott</v>
      </c>
      <c r="E610" t="str">
        <f>IFERROR(__xludf.DUMMYFUNCTION("""COMPUTED_VALUE"""),"DeAndre")</f>
        <v>DeAndre</v>
      </c>
      <c r="F610" t="str">
        <f>IFERROR(__xludf.DUMMYFUNCTION("""COMPUTED_VALUE"""),"CB")</f>
        <v>CB</v>
      </c>
      <c r="G610">
        <f>IFERROR(__xludf.DUMMYFUNCTION("""COMPUTED_VALUE"""),9.15)</f>
        <v>9.15</v>
      </c>
    </row>
    <row r="611">
      <c r="D611" t="str">
        <f>IFERROR(__xludf.DUMMYFUNCTION("""COMPUTED_VALUE"""),"Elliott")</f>
        <v>Elliott</v>
      </c>
      <c r="E611" t="str">
        <f>IFERROR(__xludf.DUMMYFUNCTION("""COMPUTED_VALUE"""),"Ezekiel")</f>
        <v>Ezekiel</v>
      </c>
      <c r="F611" t="str">
        <f>IFERROR(__xludf.DUMMYFUNCTION("""COMPUTED_VALUE"""),"HB")</f>
        <v>HB</v>
      </c>
      <c r="G611">
        <f>IFERROR(__xludf.DUMMYFUNCTION("""COMPUTED_VALUE"""),12.0)</f>
        <v>12</v>
      </c>
    </row>
    <row r="612">
      <c r="D612" t="str">
        <f>IFERROR(__xludf.DUMMYFUNCTION("""COMPUTED_VALUE"""),"Elliott")</f>
        <v>Elliott</v>
      </c>
      <c r="E612" t="str">
        <f>IFERROR(__xludf.DUMMYFUNCTION("""COMPUTED_VALUE"""),"Jayrone")</f>
        <v>Jayrone</v>
      </c>
      <c r="F612" t="str">
        <f>IFERROR(__xludf.DUMMYFUNCTION("""COMPUTED_VALUE"""),"LOLB")</f>
        <v>LOLB</v>
      </c>
      <c r="G612">
        <f>IFERROR(__xludf.DUMMYFUNCTION("""COMPUTED_VALUE"""),10.2)</f>
        <v>10.2</v>
      </c>
    </row>
    <row r="613">
      <c r="D613" t="str">
        <f>IFERROR(__xludf.DUMMYFUNCTION("""COMPUTED_VALUE"""),"Ellis")</f>
        <v>Ellis</v>
      </c>
      <c r="E613" t="str">
        <f>IFERROR(__xludf.DUMMYFUNCTION("""COMPUTED_VALUE"""),"Justin")</f>
        <v>Justin</v>
      </c>
      <c r="F613" t="str">
        <f>IFERROR(__xludf.DUMMYFUNCTION("""COMPUTED_VALUE"""),"DT")</f>
        <v>DT</v>
      </c>
      <c r="G613">
        <f>IFERROR(__xludf.DUMMYFUNCTION("""COMPUTED_VALUE"""),10.65)</f>
        <v>10.65</v>
      </c>
    </row>
    <row r="614">
      <c r="D614" t="str">
        <f>IFERROR(__xludf.DUMMYFUNCTION("""COMPUTED_VALUE"""),"Ellis")</f>
        <v>Ellis</v>
      </c>
      <c r="E614" t="str">
        <f>IFERROR(__xludf.DUMMYFUNCTION("""COMPUTED_VALUE"""),"Kenrick")</f>
        <v>Kenrick</v>
      </c>
      <c r="F614" t="str">
        <f>IFERROR(__xludf.DUMMYFUNCTION("""COMPUTED_VALUE"""),"DT")</f>
        <v>DT</v>
      </c>
      <c r="G614">
        <f>IFERROR(__xludf.DUMMYFUNCTION("""COMPUTED_VALUE"""),10.65)</f>
        <v>10.65</v>
      </c>
    </row>
    <row r="615">
      <c r="D615" t="str">
        <f>IFERROR(__xludf.DUMMYFUNCTION("""COMPUTED_VALUE"""),"Ellison")</f>
        <v>Ellison</v>
      </c>
      <c r="E615" t="str">
        <f>IFERROR(__xludf.DUMMYFUNCTION("""COMPUTED_VALUE"""),"Rhett")</f>
        <v>Rhett</v>
      </c>
      <c r="F615" t="str">
        <f>IFERROR(__xludf.DUMMYFUNCTION("""COMPUTED_VALUE"""),"TE")</f>
        <v>TE</v>
      </c>
      <c r="G615">
        <f>IFERROR(__xludf.DUMMYFUNCTION("""COMPUTED_VALUE"""),10.799999999999999)</f>
        <v>10.8</v>
      </c>
    </row>
    <row r="616">
      <c r="D616" t="str">
        <f>IFERROR(__xludf.DUMMYFUNCTION("""COMPUTED_VALUE"""),"Elston")</f>
        <v>Elston</v>
      </c>
      <c r="E616" t="str">
        <f>IFERROR(__xludf.DUMMYFUNCTION("""COMPUTED_VALUE"""),"Trae")</f>
        <v>Trae</v>
      </c>
      <c r="F616" t="str">
        <f>IFERROR(__xludf.DUMMYFUNCTION("""COMPUTED_VALUE"""),"SS")</f>
        <v>SS</v>
      </c>
      <c r="G616">
        <f>IFERROR(__xludf.DUMMYFUNCTION("""COMPUTED_VALUE"""),8.85)</f>
        <v>8.85</v>
      </c>
    </row>
    <row r="617">
      <c r="D617" t="str">
        <f>IFERROR(__xludf.DUMMYFUNCTION("""COMPUTED_VALUE"""),"Emanuel")</f>
        <v>Emanuel</v>
      </c>
      <c r="E617" t="str">
        <f>IFERROR(__xludf.DUMMYFUNCTION("""COMPUTED_VALUE"""),"Kyle")</f>
        <v>Kyle</v>
      </c>
      <c r="F617" t="str">
        <f>IFERROR(__xludf.DUMMYFUNCTION("""COMPUTED_VALUE"""),"ROLB")</f>
        <v>ROLB</v>
      </c>
      <c r="G617">
        <f>IFERROR(__xludf.DUMMYFUNCTION("""COMPUTED_VALUE"""),10.35)</f>
        <v>10.35</v>
      </c>
    </row>
    <row r="618">
      <c r="D618" t="str">
        <f>IFERROR(__xludf.DUMMYFUNCTION("""COMPUTED_VALUE"""),"Enemkpali")</f>
        <v>Enemkpali</v>
      </c>
      <c r="E618" t="str">
        <f>IFERROR(__xludf.DUMMYFUNCTION("""COMPUTED_VALUE"""),"IK")</f>
        <v>IK</v>
      </c>
      <c r="F618" t="str">
        <f>IFERROR(__xludf.DUMMYFUNCTION("""COMPUTED_VALUE"""),"LE")</f>
        <v>LE</v>
      </c>
      <c r="G618">
        <f>IFERROR(__xludf.DUMMYFUNCTION("""COMPUTED_VALUE"""),9.9)</f>
        <v>9.9</v>
      </c>
    </row>
    <row r="619">
      <c r="D619" t="str">
        <f>IFERROR(__xludf.DUMMYFUNCTION("""COMPUTED_VALUE"""),"Enunwa")</f>
        <v>Enunwa</v>
      </c>
      <c r="E619" t="str">
        <f>IFERROR(__xludf.DUMMYFUNCTION("""COMPUTED_VALUE"""),"Quincy")</f>
        <v>Quincy</v>
      </c>
      <c r="F619" t="str">
        <f>IFERROR(__xludf.DUMMYFUNCTION("""COMPUTED_VALUE"""),"WR")</f>
        <v>WR</v>
      </c>
      <c r="G619">
        <f>IFERROR(__xludf.DUMMYFUNCTION("""COMPUTED_VALUE"""),9.45)</f>
        <v>9.45</v>
      </c>
    </row>
    <row r="620">
      <c r="D620" t="str">
        <f>IFERROR(__xludf.DUMMYFUNCTION("""COMPUTED_VALUE"""),"Epps")</f>
        <v>Epps</v>
      </c>
      <c r="E620" t="str">
        <f>IFERROR(__xludf.DUMMYFUNCTION("""COMPUTED_VALUE"""),"Aaron")</f>
        <v>Aaron</v>
      </c>
      <c r="F620" t="str">
        <f>IFERROR(__xludf.DUMMYFUNCTION("""COMPUTED_VALUE"""),"RT")</f>
        <v>RT</v>
      </c>
      <c r="G620">
        <f>IFERROR(__xludf.DUMMYFUNCTION("""COMPUTED_VALUE"""),9.299999999999999)</f>
        <v>9.3</v>
      </c>
    </row>
    <row r="621">
      <c r="D621" t="str">
        <f>IFERROR(__xludf.DUMMYFUNCTION("""COMPUTED_VALUE"""),"Ertz")</f>
        <v>Ertz</v>
      </c>
      <c r="E621" t="str">
        <f>IFERROR(__xludf.DUMMYFUNCTION("""COMPUTED_VALUE"""),"Zach")</f>
        <v>Zach</v>
      </c>
      <c r="F621" t="str">
        <f>IFERROR(__xludf.DUMMYFUNCTION("""COMPUTED_VALUE"""),"TE")</f>
        <v>TE</v>
      </c>
      <c r="G621">
        <f>IFERROR(__xludf.DUMMYFUNCTION("""COMPUTED_VALUE"""),13.049999999999999)</f>
        <v>13.05</v>
      </c>
    </row>
    <row r="622">
      <c r="D622" t="str">
        <f>IFERROR(__xludf.DUMMYFUNCTION("""COMPUTED_VALUE"""),"Ervin")</f>
        <v>Ervin</v>
      </c>
      <c r="E622" t="str">
        <f>IFERROR(__xludf.DUMMYFUNCTION("""COMPUTED_VALUE"""),"Tyler")</f>
        <v>Tyler</v>
      </c>
      <c r="F622" t="str">
        <f>IFERROR(__xludf.DUMMYFUNCTION("""COMPUTED_VALUE"""),"HB")</f>
        <v>HB</v>
      </c>
      <c r="G622">
        <f>IFERROR(__xludf.DUMMYFUNCTION("""COMPUTED_VALUE"""),10.049999999999999)</f>
        <v>10.05</v>
      </c>
    </row>
    <row r="623">
      <c r="D623" t="str">
        <f>IFERROR(__xludf.DUMMYFUNCTION("""COMPUTED_VALUE"""),"Erving")</f>
        <v>Erving</v>
      </c>
      <c r="E623" t="str">
        <f>IFERROR(__xludf.DUMMYFUNCTION("""COMPUTED_VALUE"""),"Cameron")</f>
        <v>Cameron</v>
      </c>
      <c r="F623" t="str">
        <f>IFERROR(__xludf.DUMMYFUNCTION("""COMPUTED_VALUE"""),"C")</f>
        <v>C</v>
      </c>
      <c r="G623">
        <f>IFERROR(__xludf.DUMMYFUNCTION("""COMPUTED_VALUE"""),10.2)</f>
        <v>10.2</v>
      </c>
    </row>
    <row r="624">
      <c r="D624" t="str">
        <f>IFERROR(__xludf.DUMMYFUNCTION("""COMPUTED_VALUE"""),"Escobar")</f>
        <v>Escobar</v>
      </c>
      <c r="E624" t="str">
        <f>IFERROR(__xludf.DUMMYFUNCTION("""COMPUTED_VALUE"""),"Gavin")</f>
        <v>Gavin</v>
      </c>
      <c r="F624" t="str">
        <f>IFERROR(__xludf.DUMMYFUNCTION("""COMPUTED_VALUE"""),"TE")</f>
        <v>TE</v>
      </c>
      <c r="G624">
        <f>IFERROR(__xludf.DUMMYFUNCTION("""COMPUTED_VALUE"""),11.1)</f>
        <v>11.1</v>
      </c>
    </row>
    <row r="625">
      <c r="D625" t="str">
        <f>IFERROR(__xludf.DUMMYFUNCTION("""COMPUTED_VALUE"""),"Eulls")</f>
        <v>Eulls</v>
      </c>
      <c r="E625" t="str">
        <f>IFERROR(__xludf.DUMMYFUNCTION("""COMPUTED_VALUE"""),"Kaleb")</f>
        <v>Kaleb</v>
      </c>
      <c r="F625" t="str">
        <f>IFERROR(__xludf.DUMMYFUNCTION("""COMPUTED_VALUE"""),"LG")</f>
        <v>LG</v>
      </c>
      <c r="G625">
        <f>IFERROR(__xludf.DUMMYFUNCTION("""COMPUTED_VALUE"""),9.299999999999999)</f>
        <v>9.3</v>
      </c>
    </row>
    <row r="626">
      <c r="D626" t="str">
        <f>IFERROR(__xludf.DUMMYFUNCTION("""COMPUTED_VALUE"""),"Evans")</f>
        <v>Evans</v>
      </c>
      <c r="E626" t="str">
        <f>IFERROR(__xludf.DUMMYFUNCTION("""COMPUTED_VALUE"""),"Josh")</f>
        <v>Josh</v>
      </c>
      <c r="F626" t="str">
        <f>IFERROR(__xludf.DUMMYFUNCTION("""COMPUTED_VALUE"""),"SS")</f>
        <v>SS</v>
      </c>
      <c r="G626">
        <f>IFERROR(__xludf.DUMMYFUNCTION("""COMPUTED_VALUE"""),10.65)</f>
        <v>10.65</v>
      </c>
    </row>
    <row r="627">
      <c r="D627" t="str">
        <f>IFERROR(__xludf.DUMMYFUNCTION("""COMPUTED_VALUE"""),"Evans")</f>
        <v>Evans</v>
      </c>
      <c r="E627" t="str">
        <f>IFERROR(__xludf.DUMMYFUNCTION("""COMPUTED_VALUE"""),"Marwin")</f>
        <v>Marwin</v>
      </c>
      <c r="F627" t="str">
        <f>IFERROR(__xludf.DUMMYFUNCTION("""COMPUTED_VALUE"""),"FS")</f>
        <v>FS</v>
      </c>
      <c r="G627">
        <f>IFERROR(__xludf.DUMMYFUNCTION("""COMPUTED_VALUE"""),9.45)</f>
        <v>9.45</v>
      </c>
    </row>
    <row r="628">
      <c r="D628" t="str">
        <f>IFERROR(__xludf.DUMMYFUNCTION("""COMPUTED_VALUE"""),"Evans")</f>
        <v>Evans</v>
      </c>
      <c r="E628" t="str">
        <f>IFERROR(__xludf.DUMMYFUNCTION("""COMPUTED_VALUE"""),"Mike")</f>
        <v>Mike</v>
      </c>
      <c r="F628" t="str">
        <f>IFERROR(__xludf.DUMMYFUNCTION("""COMPUTED_VALUE"""),"WR")</f>
        <v>WR</v>
      </c>
      <c r="G628">
        <f>IFERROR(__xludf.DUMMYFUNCTION("""COMPUTED_VALUE"""),12.9)</f>
        <v>12.9</v>
      </c>
    </row>
    <row r="629">
      <c r="D629" t="str">
        <f>IFERROR(__xludf.DUMMYFUNCTION("""COMPUTED_VALUE"""),"Evans")</f>
        <v>Evans</v>
      </c>
      <c r="E629" t="str">
        <f>IFERROR(__xludf.DUMMYFUNCTION("""COMPUTED_VALUE"""),"Randall")</f>
        <v>Randall</v>
      </c>
      <c r="F629" t="str">
        <f>IFERROR(__xludf.DUMMYFUNCTION("""COMPUTED_VALUE"""),"CB")</f>
        <v>CB</v>
      </c>
      <c r="G629">
        <f>IFERROR(__xludf.DUMMYFUNCTION("""COMPUTED_VALUE"""),10.2)</f>
        <v>10.2</v>
      </c>
    </row>
    <row r="630">
      <c r="D630" t="str">
        <f>IFERROR(__xludf.DUMMYFUNCTION("""COMPUTED_VALUE"""),"Evans")</f>
        <v>Evans</v>
      </c>
      <c r="E630" t="str">
        <f>IFERROR(__xludf.DUMMYFUNCTION("""COMPUTED_VALUE"""),"Shaq")</f>
        <v>Shaq</v>
      </c>
      <c r="F630" t="str">
        <f>IFERROR(__xludf.DUMMYFUNCTION("""COMPUTED_VALUE"""),"WR")</f>
        <v>WR</v>
      </c>
      <c r="G630">
        <f>IFERROR(__xludf.DUMMYFUNCTION("""COMPUTED_VALUE"""),9.45)</f>
        <v>9.45</v>
      </c>
    </row>
    <row r="631">
      <c r="D631" t="str">
        <f>IFERROR(__xludf.DUMMYFUNCTION("""COMPUTED_VALUE"""),"Everett")</f>
        <v>Everett</v>
      </c>
      <c r="E631" t="str">
        <f>IFERROR(__xludf.DUMMYFUNCTION("""COMPUTED_VALUE"""),"Deshazor")</f>
        <v>Deshazor</v>
      </c>
      <c r="F631" t="str">
        <f>IFERROR(__xludf.DUMMYFUNCTION("""COMPUTED_VALUE"""),"FS")</f>
        <v>FS</v>
      </c>
      <c r="G631">
        <f>IFERROR(__xludf.DUMMYFUNCTION("""COMPUTED_VALUE"""),9.9)</f>
        <v>9.9</v>
      </c>
    </row>
    <row r="632">
      <c r="D632" t="str">
        <f>IFERROR(__xludf.DUMMYFUNCTION("""COMPUTED_VALUE"""),"Exum Jr.")</f>
        <v>Exum Jr.</v>
      </c>
      <c r="E632" t="str">
        <f>IFERROR(__xludf.DUMMYFUNCTION("""COMPUTED_VALUE"""),"Antone")</f>
        <v>Antone</v>
      </c>
      <c r="F632" t="str">
        <f>IFERROR(__xludf.DUMMYFUNCTION("""COMPUTED_VALUE"""),"FS")</f>
        <v>FS</v>
      </c>
      <c r="G632">
        <f>IFERROR(__xludf.DUMMYFUNCTION("""COMPUTED_VALUE"""),10.799999999999999)</f>
        <v>10.8</v>
      </c>
    </row>
    <row r="633">
      <c r="D633" t="str">
        <f>IFERROR(__xludf.DUMMYFUNCTION("""COMPUTED_VALUE"""),"Fackrell")</f>
        <v>Fackrell</v>
      </c>
      <c r="E633" t="str">
        <f>IFERROR(__xludf.DUMMYFUNCTION("""COMPUTED_VALUE"""),"Kyler")</f>
        <v>Kyler</v>
      </c>
      <c r="F633" t="str">
        <f>IFERROR(__xludf.DUMMYFUNCTION("""COMPUTED_VALUE"""),"LOLB")</f>
        <v>LOLB</v>
      </c>
      <c r="G633">
        <f>IFERROR(__xludf.DUMMYFUNCTION("""COMPUTED_VALUE"""),10.2)</f>
        <v>10.2</v>
      </c>
    </row>
    <row r="634">
      <c r="D634" t="str">
        <f>IFERROR(__xludf.DUMMYFUNCTION("""COMPUTED_VALUE"""),"Fairbairn")</f>
        <v>Fairbairn</v>
      </c>
      <c r="E634" t="str">
        <f>IFERROR(__xludf.DUMMYFUNCTION("""COMPUTED_VALUE"""),"Kaimi")</f>
        <v>Kaimi</v>
      </c>
      <c r="F634" t="str">
        <f>IFERROR(__xludf.DUMMYFUNCTION("""COMPUTED_VALUE"""),"K")</f>
        <v>K</v>
      </c>
      <c r="G634">
        <f>IFERROR(__xludf.DUMMYFUNCTION("""COMPUTED_VALUE"""),10.65)</f>
        <v>10.65</v>
      </c>
    </row>
    <row r="635">
      <c r="D635" t="str">
        <f>IFERROR(__xludf.DUMMYFUNCTION("""COMPUTED_VALUE"""),"Fairley")</f>
        <v>Fairley</v>
      </c>
      <c r="E635" t="str">
        <f>IFERROR(__xludf.DUMMYFUNCTION("""COMPUTED_VALUE"""),"Nick")</f>
        <v>Nick</v>
      </c>
      <c r="F635" t="str">
        <f>IFERROR(__xludf.DUMMYFUNCTION("""COMPUTED_VALUE"""),"DT")</f>
        <v>DT</v>
      </c>
      <c r="G635">
        <f>IFERROR(__xludf.DUMMYFUNCTION("""COMPUTED_VALUE"""),11.85)</f>
        <v>11.85</v>
      </c>
    </row>
    <row r="636">
      <c r="D636" t="str">
        <f>IFERROR(__xludf.DUMMYFUNCTION("""COMPUTED_VALUE"""),"Fales")</f>
        <v>Fales</v>
      </c>
      <c r="E636" t="str">
        <f>IFERROR(__xludf.DUMMYFUNCTION("""COMPUTED_VALUE"""),"David")</f>
        <v>David</v>
      </c>
      <c r="F636" t="str">
        <f>IFERROR(__xludf.DUMMYFUNCTION("""COMPUTED_VALUE"""),"QB")</f>
        <v>QB</v>
      </c>
      <c r="G636">
        <f>IFERROR(__xludf.DUMMYFUNCTION("""COMPUTED_VALUE"""),9.45)</f>
        <v>9.45</v>
      </c>
    </row>
    <row r="637">
      <c r="D637" t="str">
        <f>IFERROR(__xludf.DUMMYFUNCTION("""COMPUTED_VALUE"""),"Fallin")</f>
        <v>Fallin</v>
      </c>
      <c r="E637" t="str">
        <f>IFERROR(__xludf.DUMMYFUNCTION("""COMPUTED_VALUE"""),"Taylor")</f>
        <v>Taylor</v>
      </c>
      <c r="F637" t="str">
        <f>IFERROR(__xludf.DUMMYFUNCTION("""COMPUTED_VALUE"""),"RT")</f>
        <v>RT</v>
      </c>
      <c r="G637">
        <f>IFERROR(__xludf.DUMMYFUNCTION("""COMPUTED_VALUE"""),8.7)</f>
        <v>8.7</v>
      </c>
    </row>
    <row r="638">
      <c r="D638" t="str">
        <f>IFERROR(__xludf.DUMMYFUNCTION("""COMPUTED_VALUE"""),"Fanaika")</f>
        <v>Fanaika</v>
      </c>
      <c r="E638" t="str">
        <f>IFERROR(__xludf.DUMMYFUNCTION("""COMPUTED_VALUE"""),"Jason")</f>
        <v>Jason</v>
      </c>
      <c r="F638" t="str">
        <f>IFERROR(__xludf.DUMMYFUNCTION("""COMPUTED_VALUE"""),"ROLB")</f>
        <v>ROLB</v>
      </c>
      <c r="G638">
        <f>IFERROR(__xludf.DUMMYFUNCTION("""COMPUTED_VALUE"""),9.0)</f>
        <v>9</v>
      </c>
    </row>
    <row r="639">
      <c r="D639" t="str">
        <f>IFERROR(__xludf.DUMMYFUNCTION("""COMPUTED_VALUE"""),"Farmer")</f>
        <v>Farmer</v>
      </c>
      <c r="E639" t="str">
        <f>IFERROR(__xludf.DUMMYFUNCTION("""COMPUTED_VALUE"""),"George")</f>
        <v>George</v>
      </c>
      <c r="F639" t="str">
        <f>IFERROR(__xludf.DUMMYFUNCTION("""COMPUTED_VALUE"""),"CB")</f>
        <v>CB</v>
      </c>
      <c r="G639">
        <f>IFERROR(__xludf.DUMMYFUNCTION("""COMPUTED_VALUE"""),8.85)</f>
        <v>8.85</v>
      </c>
    </row>
    <row r="640">
      <c r="D640" t="str">
        <f>IFERROR(__xludf.DUMMYFUNCTION("""COMPUTED_VALUE"""),"Farrell")</f>
        <v>Farrell</v>
      </c>
      <c r="E640" t="str">
        <f>IFERROR(__xludf.DUMMYFUNCTION("""COMPUTED_VALUE"""),"Dillon")</f>
        <v>Dillon</v>
      </c>
      <c r="F640" t="str">
        <f>IFERROR(__xludf.DUMMYFUNCTION("""COMPUTED_VALUE"""),"LG")</f>
        <v>LG</v>
      </c>
      <c r="G640">
        <f>IFERROR(__xludf.DUMMYFUNCTION("""COMPUTED_VALUE"""),9.75)</f>
        <v>9.75</v>
      </c>
    </row>
    <row r="641">
      <c r="D641" t="str">
        <f>IFERROR(__xludf.DUMMYFUNCTION("""COMPUTED_VALUE"""),"Farris")</f>
        <v>Farris</v>
      </c>
      <c r="E641" t="str">
        <f>IFERROR(__xludf.DUMMYFUNCTION("""COMPUTED_VALUE"""),"Chase")</f>
        <v>Chase</v>
      </c>
      <c r="F641" t="str">
        <f>IFERROR(__xludf.DUMMYFUNCTION("""COMPUTED_VALUE"""),"RG")</f>
        <v>RG</v>
      </c>
      <c r="G641">
        <f>IFERROR(__xludf.DUMMYFUNCTION("""COMPUTED_VALUE"""),8.85)</f>
        <v>8.85</v>
      </c>
    </row>
    <row r="642">
      <c r="D642" t="str">
        <f>IFERROR(__xludf.DUMMYFUNCTION("""COMPUTED_VALUE"""),"Farrow")</f>
        <v>Farrow</v>
      </c>
      <c r="E642" t="str">
        <f>IFERROR(__xludf.DUMMYFUNCTION("""COMPUTED_VALUE"""),"Kenneth")</f>
        <v>Kenneth</v>
      </c>
      <c r="F642" t="str">
        <f>IFERROR(__xludf.DUMMYFUNCTION("""COMPUTED_VALUE"""),"HB")</f>
        <v>HB</v>
      </c>
      <c r="G642">
        <f>IFERROR(__xludf.DUMMYFUNCTION("""COMPUTED_VALUE"""),9.15)</f>
        <v>9.15</v>
      </c>
    </row>
    <row r="643">
      <c r="D643" t="str">
        <f>IFERROR(__xludf.DUMMYFUNCTION("""COMPUTED_VALUE"""),"Fasano")</f>
        <v>Fasano</v>
      </c>
      <c r="E643" t="str">
        <f>IFERROR(__xludf.DUMMYFUNCTION("""COMPUTED_VALUE"""),"Anthony")</f>
        <v>Anthony</v>
      </c>
      <c r="F643" t="str">
        <f>IFERROR(__xludf.DUMMYFUNCTION("""COMPUTED_VALUE"""),"TE")</f>
        <v>TE</v>
      </c>
      <c r="G643">
        <f>IFERROR(__xludf.DUMMYFUNCTION("""COMPUTED_VALUE"""),12.0)</f>
        <v>12</v>
      </c>
    </row>
    <row r="644">
      <c r="D644" t="str">
        <f>IFERROR(__xludf.DUMMYFUNCTION("""COMPUTED_VALUE"""),"Fede")</f>
        <v>Fede</v>
      </c>
      <c r="E644" t="str">
        <f>IFERROR(__xludf.DUMMYFUNCTION("""COMPUTED_VALUE"""),"Terrence")</f>
        <v>Terrence</v>
      </c>
      <c r="F644" t="str">
        <f>IFERROR(__xludf.DUMMYFUNCTION("""COMPUTED_VALUE"""),"LE")</f>
        <v>LE</v>
      </c>
      <c r="G644">
        <f>IFERROR(__xludf.DUMMYFUNCTION("""COMPUTED_VALUE"""),9.9)</f>
        <v>9.9</v>
      </c>
    </row>
    <row r="645">
      <c r="D645" t="str">
        <f>IFERROR(__xludf.DUMMYFUNCTION("""COMPUTED_VALUE"""),"Feeney")</f>
        <v>Feeney</v>
      </c>
      <c r="E645" t="str">
        <f>IFERROR(__xludf.DUMMYFUNCTION("""COMPUTED_VALUE"""),"Travis")</f>
        <v>Travis</v>
      </c>
      <c r="F645" t="str">
        <f>IFERROR(__xludf.DUMMYFUNCTION("""COMPUTED_VALUE"""),"LOLB")</f>
        <v>LOLB</v>
      </c>
      <c r="G645">
        <f>IFERROR(__xludf.DUMMYFUNCTION("""COMPUTED_VALUE"""),9.299999999999999)</f>
        <v>9.3</v>
      </c>
    </row>
    <row r="646">
      <c r="D646" t="str">
        <f>IFERROR(__xludf.DUMMYFUNCTION("""COMPUTED_VALUE"""),"Fejedelem")</f>
        <v>Fejedelem</v>
      </c>
      <c r="E646" t="str">
        <f>IFERROR(__xludf.DUMMYFUNCTION("""COMPUTED_VALUE"""),"Clayton")</f>
        <v>Clayton</v>
      </c>
      <c r="F646" t="str">
        <f>IFERROR(__xludf.DUMMYFUNCTION("""COMPUTED_VALUE"""),"SS")</f>
        <v>SS</v>
      </c>
      <c r="G646">
        <f>IFERROR(__xludf.DUMMYFUNCTION("""COMPUTED_VALUE"""),9.75)</f>
        <v>9.75</v>
      </c>
    </row>
    <row r="647">
      <c r="D647" t="str">
        <f>IFERROR(__xludf.DUMMYFUNCTION("""COMPUTED_VALUE"""),"Feliciano")</f>
        <v>Feliciano</v>
      </c>
      <c r="E647" t="str">
        <f>IFERROR(__xludf.DUMMYFUNCTION("""COMPUTED_VALUE"""),"Jon")</f>
        <v>Jon</v>
      </c>
      <c r="F647" t="str">
        <f>IFERROR(__xludf.DUMMYFUNCTION("""COMPUTED_VALUE"""),"LG")</f>
        <v>LG</v>
      </c>
      <c r="G647">
        <f>IFERROR(__xludf.DUMMYFUNCTION("""COMPUTED_VALUE"""),9.6)</f>
        <v>9.6</v>
      </c>
    </row>
    <row r="648">
      <c r="D648" t="str">
        <f>IFERROR(__xludf.DUMMYFUNCTION("""COMPUTED_VALUE"""),"Fells")</f>
        <v>Fells</v>
      </c>
      <c r="E648" t="str">
        <f>IFERROR(__xludf.DUMMYFUNCTION("""COMPUTED_VALUE"""),"Darren")</f>
        <v>Darren</v>
      </c>
      <c r="F648" t="str">
        <f>IFERROR(__xludf.DUMMYFUNCTION("""COMPUTED_VALUE"""),"TE")</f>
        <v>TE</v>
      </c>
      <c r="G648">
        <f>IFERROR(__xludf.DUMMYFUNCTION("""COMPUTED_VALUE"""),10.95)</f>
        <v>10.95</v>
      </c>
    </row>
    <row r="649">
      <c r="D649" t="str">
        <f>IFERROR(__xludf.DUMMYFUNCTION("""COMPUTED_VALUE"""),"Felton")</f>
        <v>Felton</v>
      </c>
      <c r="E649" t="str">
        <f>IFERROR(__xludf.DUMMYFUNCTION("""COMPUTED_VALUE"""),"Jerome")</f>
        <v>Jerome</v>
      </c>
      <c r="F649" t="str">
        <f>IFERROR(__xludf.DUMMYFUNCTION("""COMPUTED_VALUE"""),"FB")</f>
        <v>FB</v>
      </c>
      <c r="G649">
        <f>IFERROR(__xludf.DUMMYFUNCTION("""COMPUTED_VALUE"""),10.95)</f>
        <v>10.95</v>
      </c>
    </row>
    <row r="650">
      <c r="D650" t="str">
        <f>IFERROR(__xludf.DUMMYFUNCTION("""COMPUTED_VALUE"""),"Ferentz")</f>
        <v>Ferentz</v>
      </c>
      <c r="E650" t="str">
        <f>IFERROR(__xludf.DUMMYFUNCTION("""COMPUTED_VALUE"""),"James")</f>
        <v>James</v>
      </c>
      <c r="F650" t="str">
        <f>IFERROR(__xludf.DUMMYFUNCTION("""COMPUTED_VALUE"""),"C")</f>
        <v>C</v>
      </c>
      <c r="G650">
        <f>IFERROR(__xludf.DUMMYFUNCTION("""COMPUTED_VALUE"""),9.6)</f>
        <v>9.6</v>
      </c>
    </row>
    <row r="651">
      <c r="D651" t="str">
        <f>IFERROR(__xludf.DUMMYFUNCTION("""COMPUTED_VALUE"""),"Ferguson")</f>
        <v>Ferguson</v>
      </c>
      <c r="E651" t="str">
        <f>IFERROR(__xludf.DUMMYFUNCTION("""COMPUTED_VALUE"""),"Ego")</f>
        <v>Ego</v>
      </c>
      <c r="F651" t="str">
        <f>IFERROR(__xludf.DUMMYFUNCTION("""COMPUTED_VALUE"""),"RE")</f>
        <v>RE</v>
      </c>
      <c r="G651">
        <f>IFERROR(__xludf.DUMMYFUNCTION("""COMPUTED_VALUE"""),10.049999999999999)</f>
        <v>10.05</v>
      </c>
    </row>
    <row r="652">
      <c r="D652" t="str">
        <f>IFERROR(__xludf.DUMMYFUNCTION("""COMPUTED_VALUE"""),"Ferguson")</f>
        <v>Ferguson</v>
      </c>
      <c r="E652" t="str">
        <f>IFERROR(__xludf.DUMMYFUNCTION("""COMPUTED_VALUE"""),"Josh")</f>
        <v>Josh</v>
      </c>
      <c r="F652" t="str">
        <f>IFERROR(__xludf.DUMMYFUNCTION("""COMPUTED_VALUE"""),"HB")</f>
        <v>HB</v>
      </c>
      <c r="G652">
        <f>IFERROR(__xludf.DUMMYFUNCTION("""COMPUTED_VALUE"""),9.45)</f>
        <v>9.45</v>
      </c>
    </row>
    <row r="653">
      <c r="D653" t="str">
        <f>IFERROR(__xludf.DUMMYFUNCTION("""COMPUTED_VALUE"""),"Ferris")</f>
        <v>Ferris</v>
      </c>
      <c r="E653" t="str">
        <f>IFERROR(__xludf.DUMMYFUNCTION("""COMPUTED_VALUE"""),"Drew")</f>
        <v>Drew</v>
      </c>
      <c r="F653" t="str">
        <f>IFERROR(__xludf.DUMMYFUNCTION("""COMPUTED_VALUE"""),"TE")</f>
        <v>TE</v>
      </c>
      <c r="G653">
        <f>IFERROR(__xludf.DUMMYFUNCTION("""COMPUTED_VALUE"""),6.0)</f>
        <v>6</v>
      </c>
    </row>
    <row r="654">
      <c r="D654" t="str">
        <f>IFERROR(__xludf.DUMMYFUNCTION("""COMPUTED_VALUE"""),"Fiedorowicz")</f>
        <v>Fiedorowicz</v>
      </c>
      <c r="E654" t="str">
        <f>IFERROR(__xludf.DUMMYFUNCTION("""COMPUTED_VALUE"""),"CJ")</f>
        <v>CJ</v>
      </c>
      <c r="F654" t="str">
        <f>IFERROR(__xludf.DUMMYFUNCTION("""COMPUTED_VALUE"""),"TE")</f>
        <v>TE</v>
      </c>
      <c r="G654">
        <f>IFERROR(__xludf.DUMMYFUNCTION("""COMPUTED_VALUE"""),11.549999999999999)</f>
        <v>11.55</v>
      </c>
    </row>
    <row r="655">
      <c r="D655" t="str">
        <f>IFERROR(__xludf.DUMMYFUNCTION("""COMPUTED_VALUE"""),"Fields")</f>
        <v>Fields</v>
      </c>
      <c r="E655" t="str">
        <f>IFERROR(__xludf.DUMMYFUNCTION("""COMPUTED_VALUE"""),"Carlos")</f>
        <v>Carlos</v>
      </c>
      <c r="F655" t="str">
        <f>IFERROR(__xludf.DUMMYFUNCTION("""COMPUTED_VALUE"""),"MLB")</f>
        <v>MLB</v>
      </c>
      <c r="G655">
        <f>IFERROR(__xludf.DUMMYFUNCTION("""COMPUTED_VALUE"""),9.15)</f>
        <v>9.15</v>
      </c>
    </row>
    <row r="656">
      <c r="D656" t="str">
        <f>IFERROR(__xludf.DUMMYFUNCTION("""COMPUTED_VALUE"""),"Finney")</f>
        <v>Finney</v>
      </c>
      <c r="E656" t="str">
        <f>IFERROR(__xludf.DUMMYFUNCTION("""COMPUTED_VALUE"""),"BJ")</f>
        <v>BJ</v>
      </c>
      <c r="F656" t="str">
        <f>IFERROR(__xludf.DUMMYFUNCTION("""COMPUTED_VALUE"""),"C")</f>
        <v>C</v>
      </c>
      <c r="G656">
        <f>IFERROR(__xludf.DUMMYFUNCTION("""COMPUTED_VALUE"""),9.75)</f>
        <v>9.75</v>
      </c>
    </row>
    <row r="657">
      <c r="D657" t="str">
        <f>IFERROR(__xludf.DUMMYFUNCTION("""COMPUTED_VALUE"""),"Fisher")</f>
        <v>Fisher</v>
      </c>
      <c r="E657" t="str">
        <f>IFERROR(__xludf.DUMMYFUNCTION("""COMPUTED_VALUE"""),"Eric")</f>
        <v>Eric</v>
      </c>
      <c r="F657" t="str">
        <f>IFERROR(__xludf.DUMMYFUNCTION("""COMPUTED_VALUE"""),"LT")</f>
        <v>LT</v>
      </c>
      <c r="G657">
        <f>IFERROR(__xludf.DUMMYFUNCTION("""COMPUTED_VALUE"""),11.7)</f>
        <v>11.7</v>
      </c>
    </row>
    <row r="658">
      <c r="D658" t="str">
        <f>IFERROR(__xludf.DUMMYFUNCTION("""COMPUTED_VALUE"""),"Fisher")</f>
        <v>Fisher</v>
      </c>
      <c r="E658" t="str">
        <f>IFERROR(__xludf.DUMMYFUNCTION("""COMPUTED_VALUE"""),"Jake")</f>
        <v>Jake</v>
      </c>
      <c r="F658" t="str">
        <f>IFERROR(__xludf.DUMMYFUNCTION("""COMPUTED_VALUE"""),"RT")</f>
        <v>RT</v>
      </c>
      <c r="G658">
        <f>IFERROR(__xludf.DUMMYFUNCTION("""COMPUTED_VALUE"""),11.549999999999999)</f>
        <v>11.55</v>
      </c>
    </row>
    <row r="659">
      <c r="D659" t="str">
        <f>IFERROR(__xludf.DUMMYFUNCTION("""COMPUTED_VALUE"""),"Fitzgerald")</f>
        <v>Fitzgerald</v>
      </c>
      <c r="E659" t="str">
        <f>IFERROR(__xludf.DUMMYFUNCTION("""COMPUTED_VALUE"""),"Larry")</f>
        <v>Larry</v>
      </c>
      <c r="F659" t="str">
        <f>IFERROR(__xludf.DUMMYFUNCTION("""COMPUTED_VALUE"""),"WR")</f>
        <v>WR</v>
      </c>
      <c r="G659">
        <f>IFERROR(__xludf.DUMMYFUNCTION("""COMPUTED_VALUE"""),13.65)</f>
        <v>13.65</v>
      </c>
    </row>
    <row r="660">
      <c r="D660" t="str">
        <f>IFERROR(__xludf.DUMMYFUNCTION("""COMPUTED_VALUE"""),"Fitzpatrick")</f>
        <v>Fitzpatrick</v>
      </c>
      <c r="E660" t="str">
        <f>IFERROR(__xludf.DUMMYFUNCTION("""COMPUTED_VALUE"""),"Ryan")</f>
        <v>Ryan</v>
      </c>
      <c r="F660" t="str">
        <f>IFERROR(__xludf.DUMMYFUNCTION("""COMPUTED_VALUE"""),"QB")</f>
        <v>QB</v>
      </c>
      <c r="G660">
        <f>IFERROR(__xludf.DUMMYFUNCTION("""COMPUTED_VALUE"""),11.85)</f>
        <v>11.85</v>
      </c>
    </row>
    <row r="661">
      <c r="D661" t="str">
        <f>IFERROR(__xludf.DUMMYFUNCTION("""COMPUTED_VALUE"""),"Flacco")</f>
        <v>Flacco</v>
      </c>
      <c r="E661" t="str">
        <f>IFERROR(__xludf.DUMMYFUNCTION("""COMPUTED_VALUE"""),"Joe")</f>
        <v>Joe</v>
      </c>
      <c r="F661" t="str">
        <f>IFERROR(__xludf.DUMMYFUNCTION("""COMPUTED_VALUE"""),"QB")</f>
        <v>QB</v>
      </c>
      <c r="G661">
        <f>IFERROR(__xludf.DUMMYFUNCTION("""COMPUTED_VALUE"""),12.15)</f>
        <v>12.15</v>
      </c>
    </row>
    <row r="662">
      <c r="D662" t="str">
        <f>IFERROR(__xludf.DUMMYFUNCTION("""COMPUTED_VALUE"""),"Fleener")</f>
        <v>Fleener</v>
      </c>
      <c r="E662" t="str">
        <f>IFERROR(__xludf.DUMMYFUNCTION("""COMPUTED_VALUE"""),"Coby")</f>
        <v>Coby</v>
      </c>
      <c r="F662" t="str">
        <f>IFERROR(__xludf.DUMMYFUNCTION("""COMPUTED_VALUE"""),"TE")</f>
        <v>TE</v>
      </c>
      <c r="G662">
        <f>IFERROR(__xludf.DUMMYFUNCTION("""COMPUTED_VALUE"""),12.6)</f>
        <v>12.6</v>
      </c>
    </row>
    <row r="663">
      <c r="D663" t="str">
        <f>IFERROR(__xludf.DUMMYFUNCTION("""COMPUTED_VALUE"""),"Fleming")</f>
        <v>Fleming</v>
      </c>
      <c r="E663" t="str">
        <f>IFERROR(__xludf.DUMMYFUNCTION("""COMPUTED_VALUE"""),"Cameron")</f>
        <v>Cameron</v>
      </c>
      <c r="F663" t="str">
        <f>IFERROR(__xludf.DUMMYFUNCTION("""COMPUTED_VALUE"""),"LT")</f>
        <v>LT</v>
      </c>
      <c r="G663">
        <f>IFERROR(__xludf.DUMMYFUNCTION("""COMPUTED_VALUE"""),10.35)</f>
        <v>10.35</v>
      </c>
    </row>
    <row r="664">
      <c r="D664" t="str">
        <f>IFERROR(__xludf.DUMMYFUNCTION("""COMPUTED_VALUE"""),"Fleming")</f>
        <v>Fleming</v>
      </c>
      <c r="E664" t="str">
        <f>IFERROR(__xludf.DUMMYFUNCTION("""COMPUTED_VALUE"""),"Jamell")</f>
        <v>Jamell</v>
      </c>
      <c r="F664" t="str">
        <f>IFERROR(__xludf.DUMMYFUNCTION("""COMPUTED_VALUE"""),"SS")</f>
        <v>SS</v>
      </c>
      <c r="G664">
        <f>IFERROR(__xludf.DUMMYFUNCTION("""COMPUTED_VALUE"""),9.9)</f>
        <v>9.9</v>
      </c>
    </row>
    <row r="665">
      <c r="D665" t="str">
        <f>IFERROR(__xludf.DUMMYFUNCTION("""COMPUTED_VALUE"""),"Flores")</f>
        <v>Flores</v>
      </c>
      <c r="E665" t="str">
        <f>IFERROR(__xludf.DUMMYFUNCTION("""COMPUTED_VALUE"""),"Jacob")</f>
        <v>Jacob</v>
      </c>
      <c r="F665" t="str">
        <f>IFERROR(__xludf.DUMMYFUNCTION("""COMPUTED_VALUE"""),"C")</f>
        <v>C</v>
      </c>
      <c r="G665">
        <f>IFERROR(__xludf.DUMMYFUNCTION("""COMPUTED_VALUE"""),8.7)</f>
        <v>8.7</v>
      </c>
    </row>
    <row r="666">
      <c r="D666" t="str">
        <f>IFERROR(__xludf.DUMMYFUNCTION("""COMPUTED_VALUE"""),"Flowers")</f>
        <v>Flowers</v>
      </c>
      <c r="E666" t="str">
        <f>IFERROR(__xludf.DUMMYFUNCTION("""COMPUTED_VALUE"""),"Brandon")</f>
        <v>Brandon</v>
      </c>
      <c r="F666" t="str">
        <f>IFERROR(__xludf.DUMMYFUNCTION("""COMPUTED_VALUE"""),"CB")</f>
        <v>CB</v>
      </c>
      <c r="G666">
        <f>IFERROR(__xludf.DUMMYFUNCTION("""COMPUTED_VALUE"""),11.7)</f>
        <v>11.7</v>
      </c>
    </row>
    <row r="667">
      <c r="D667" t="str">
        <f>IFERROR(__xludf.DUMMYFUNCTION("""COMPUTED_VALUE"""),"Flowers")</f>
        <v>Flowers</v>
      </c>
      <c r="E667" t="str">
        <f>IFERROR(__xludf.DUMMYFUNCTION("""COMPUTED_VALUE"""),"Ereck")</f>
        <v>Ereck</v>
      </c>
      <c r="F667" t="str">
        <f>IFERROR(__xludf.DUMMYFUNCTION("""COMPUTED_VALUE"""),"LT")</f>
        <v>LT</v>
      </c>
      <c r="G667">
        <f>IFERROR(__xludf.DUMMYFUNCTION("""COMPUTED_VALUE"""),11.4)</f>
        <v>11.4</v>
      </c>
    </row>
    <row r="668">
      <c r="D668" t="str">
        <f>IFERROR(__xludf.DUMMYFUNCTION("""COMPUTED_VALUE"""),"Flowers")</f>
        <v>Flowers</v>
      </c>
      <c r="E668" t="str">
        <f>IFERROR(__xludf.DUMMYFUNCTION("""COMPUTED_VALUE"""),"Marquis")</f>
        <v>Marquis</v>
      </c>
      <c r="F668" t="str">
        <f>IFERROR(__xludf.DUMMYFUNCTION("""COMPUTED_VALUE"""),"ROLB")</f>
        <v>ROLB</v>
      </c>
      <c r="G668">
        <f>IFERROR(__xludf.DUMMYFUNCTION("""COMPUTED_VALUE"""),9.45)</f>
        <v>9.45</v>
      </c>
    </row>
    <row r="669">
      <c r="D669" t="str">
        <f>IFERROR(__xludf.DUMMYFUNCTION("""COMPUTED_VALUE"""),"Flowers")</f>
        <v>Flowers</v>
      </c>
      <c r="E669" t="str">
        <f>IFERROR(__xludf.DUMMYFUNCTION("""COMPUTED_VALUE"""),"Trey")</f>
        <v>Trey</v>
      </c>
      <c r="F669" t="str">
        <f>IFERROR(__xludf.DUMMYFUNCTION("""COMPUTED_VALUE"""),"RE")</f>
        <v>RE</v>
      </c>
      <c r="G669">
        <f>IFERROR(__xludf.DUMMYFUNCTION("""COMPUTED_VALUE"""),10.2)</f>
        <v>10.2</v>
      </c>
    </row>
    <row r="670">
      <c r="D670" t="str">
        <f>IFERROR(__xludf.DUMMYFUNCTION("""COMPUTED_VALUE"""),"Floyd")</f>
        <v>Floyd</v>
      </c>
      <c r="E670" t="str">
        <f>IFERROR(__xludf.DUMMYFUNCTION("""COMPUTED_VALUE"""),"Leonard")</f>
        <v>Leonard</v>
      </c>
      <c r="F670" t="str">
        <f>IFERROR(__xludf.DUMMYFUNCTION("""COMPUTED_VALUE"""),"ROLB")</f>
        <v>ROLB</v>
      </c>
      <c r="G670">
        <f>IFERROR(__xludf.DUMMYFUNCTION("""COMPUTED_VALUE"""),11.4)</f>
        <v>11.4</v>
      </c>
    </row>
    <row r="671">
      <c r="D671" t="str">
        <f>IFERROR(__xludf.DUMMYFUNCTION("""COMPUTED_VALUE"""),"Floyd")</f>
        <v>Floyd</v>
      </c>
      <c r="E671" t="str">
        <f>IFERROR(__xludf.DUMMYFUNCTION("""COMPUTED_VALUE"""),"Michael")</f>
        <v>Michael</v>
      </c>
      <c r="F671" t="str">
        <f>IFERROR(__xludf.DUMMYFUNCTION("""COMPUTED_VALUE"""),"WR")</f>
        <v>WR</v>
      </c>
      <c r="G671">
        <f>IFERROR(__xludf.DUMMYFUNCTION("""COMPUTED_VALUE"""),12.75)</f>
        <v>12.75</v>
      </c>
    </row>
    <row r="672">
      <c r="D672" t="str">
        <f>IFERROR(__xludf.DUMMYFUNCTION("""COMPUTED_VALUE"""),"Floyd")</f>
        <v>Floyd</v>
      </c>
      <c r="E672" t="str">
        <f>IFERROR(__xludf.DUMMYFUNCTION("""COMPUTED_VALUE"""),"Sharrif")</f>
        <v>Sharrif</v>
      </c>
      <c r="F672" t="str">
        <f>IFERROR(__xludf.DUMMYFUNCTION("""COMPUTED_VALUE"""),"DT")</f>
        <v>DT</v>
      </c>
      <c r="G672">
        <f>IFERROR(__xludf.DUMMYFUNCTION("""COMPUTED_VALUE"""),12.45)</f>
        <v>12.45</v>
      </c>
    </row>
    <row r="673">
      <c r="D673" t="str">
        <f>IFERROR(__xludf.DUMMYFUNCTION("""COMPUTED_VALUE"""),"Fluellen")</f>
        <v>Fluellen</v>
      </c>
      <c r="E673" t="str">
        <f>IFERROR(__xludf.DUMMYFUNCTION("""COMPUTED_VALUE"""),"David")</f>
        <v>David</v>
      </c>
      <c r="F673" t="str">
        <f>IFERROR(__xludf.DUMMYFUNCTION("""COMPUTED_VALUE"""),"HB")</f>
        <v>HB</v>
      </c>
      <c r="G673">
        <f>IFERROR(__xludf.DUMMYFUNCTION("""COMPUTED_VALUE"""),9.6)</f>
        <v>9.6</v>
      </c>
    </row>
    <row r="674">
      <c r="D674" t="str">
        <f>IFERROR(__xludf.DUMMYFUNCTION("""COMPUTED_VALUE"""),"Fluker")</f>
        <v>Fluker</v>
      </c>
      <c r="E674" t="str">
        <f>IFERROR(__xludf.DUMMYFUNCTION("""COMPUTED_VALUE"""),"DJ")</f>
        <v>DJ</v>
      </c>
      <c r="F674" t="str">
        <f>IFERROR(__xludf.DUMMYFUNCTION("""COMPUTED_VALUE"""),"RG")</f>
        <v>RG</v>
      </c>
      <c r="G674">
        <f>IFERROR(__xludf.DUMMYFUNCTION("""COMPUTED_VALUE"""),11.1)</f>
        <v>11.1</v>
      </c>
    </row>
    <row r="675">
      <c r="D675" t="str">
        <f>IFERROR(__xludf.DUMMYFUNCTION("""COMPUTED_VALUE"""),"Folk")</f>
        <v>Folk</v>
      </c>
      <c r="E675" t="str">
        <f>IFERROR(__xludf.DUMMYFUNCTION("""COMPUTED_VALUE"""),"Nick")</f>
        <v>Nick</v>
      </c>
      <c r="F675" t="str">
        <f>IFERROR(__xludf.DUMMYFUNCTION("""COMPUTED_VALUE"""),"K")</f>
        <v>K</v>
      </c>
      <c r="G675">
        <f>IFERROR(__xludf.DUMMYFUNCTION("""COMPUTED_VALUE"""),11.85)</f>
        <v>11.85</v>
      </c>
    </row>
    <row r="676">
      <c r="D676" t="str">
        <f>IFERROR(__xludf.DUMMYFUNCTION("""COMPUTED_VALUE"""),"Folkerts")</f>
        <v>Folkerts</v>
      </c>
      <c r="E676" t="str">
        <f>IFERROR(__xludf.DUMMYFUNCTION("""COMPUTED_VALUE"""),"Brian")</f>
        <v>Brian</v>
      </c>
      <c r="F676" t="str">
        <f>IFERROR(__xludf.DUMMYFUNCTION("""COMPUTED_VALUE"""),"C")</f>
        <v>C</v>
      </c>
      <c r="G676">
        <f>IFERROR(__xludf.DUMMYFUNCTION("""COMPUTED_VALUE"""),10.049999999999999)</f>
        <v>10.05</v>
      </c>
    </row>
    <row r="677">
      <c r="D677" t="str">
        <f>IFERROR(__xludf.DUMMYFUNCTION("""COMPUTED_VALUE"""),"Forbath")</f>
        <v>Forbath</v>
      </c>
      <c r="E677" t="str">
        <f>IFERROR(__xludf.DUMMYFUNCTION("""COMPUTED_VALUE"""),"Kai")</f>
        <v>Kai</v>
      </c>
      <c r="F677" t="str">
        <f>IFERROR(__xludf.DUMMYFUNCTION("""COMPUTED_VALUE"""),"K")</f>
        <v>K</v>
      </c>
      <c r="G677">
        <f>IFERROR(__xludf.DUMMYFUNCTION("""COMPUTED_VALUE"""),11.25)</f>
        <v>11.25</v>
      </c>
    </row>
    <row r="678">
      <c r="D678" t="str">
        <f>IFERROR(__xludf.DUMMYFUNCTION("""COMPUTED_VALUE"""),"Ford")</f>
        <v>Ford</v>
      </c>
      <c r="E678" t="str">
        <f>IFERROR(__xludf.DUMMYFUNCTION("""COMPUTED_VALUE"""),"Dee")</f>
        <v>Dee</v>
      </c>
      <c r="F678" t="str">
        <f>IFERROR(__xludf.DUMMYFUNCTION("""COMPUTED_VALUE"""),"ROLB")</f>
        <v>ROLB</v>
      </c>
      <c r="G678">
        <f>IFERROR(__xludf.DUMMYFUNCTION("""COMPUTED_VALUE"""),10.95)</f>
        <v>10.95</v>
      </c>
    </row>
    <row r="679">
      <c r="D679" t="str">
        <f>IFERROR(__xludf.DUMMYFUNCTION("""COMPUTED_VALUE"""),"Forrest")</f>
        <v>Forrest</v>
      </c>
      <c r="E679" t="str">
        <f>IFERROR(__xludf.DUMMYFUNCTION("""COMPUTED_VALUE"""),"Josh")</f>
        <v>Josh</v>
      </c>
      <c r="F679" t="str">
        <f>IFERROR(__xludf.DUMMYFUNCTION("""COMPUTED_VALUE"""),"LOLB")</f>
        <v>LOLB</v>
      </c>
      <c r="G679">
        <f>IFERROR(__xludf.DUMMYFUNCTION("""COMPUTED_VALUE"""),9.45)</f>
        <v>9.45</v>
      </c>
    </row>
    <row r="680">
      <c r="D680" t="str">
        <f>IFERROR(__xludf.DUMMYFUNCTION("""COMPUTED_VALUE"""),"Forsett")</f>
        <v>Forsett</v>
      </c>
      <c r="E680" t="str">
        <f>IFERROR(__xludf.DUMMYFUNCTION("""COMPUTED_VALUE"""),"Justin")</f>
        <v>Justin</v>
      </c>
      <c r="F680" t="str">
        <f>IFERROR(__xludf.DUMMYFUNCTION("""COMPUTED_VALUE"""),"HB")</f>
        <v>HB</v>
      </c>
      <c r="G680">
        <f>IFERROR(__xludf.DUMMYFUNCTION("""COMPUTED_VALUE"""),12.299999999999999)</f>
        <v>12.3</v>
      </c>
    </row>
    <row r="681">
      <c r="D681" t="str">
        <f>IFERROR(__xludf.DUMMYFUNCTION("""COMPUTED_VALUE"""),"Fort")</f>
        <v>Fort</v>
      </c>
      <c r="E681" t="str">
        <f>IFERROR(__xludf.DUMMYFUNCTION("""COMPUTED_VALUE"""),"LJ")</f>
        <v>LJ</v>
      </c>
      <c r="F681" t="str">
        <f>IFERROR(__xludf.DUMMYFUNCTION("""COMPUTED_VALUE"""),"LOLB")</f>
        <v>LOLB</v>
      </c>
      <c r="G681">
        <f>IFERROR(__xludf.DUMMYFUNCTION("""COMPUTED_VALUE"""),10.2)</f>
        <v>10.2</v>
      </c>
    </row>
    <row r="682">
      <c r="D682" t="str">
        <f>IFERROR(__xludf.DUMMYFUNCTION("""COMPUTED_VALUE"""),"Forte")</f>
        <v>Forte</v>
      </c>
      <c r="E682" t="str">
        <f>IFERROR(__xludf.DUMMYFUNCTION("""COMPUTED_VALUE"""),"Matt")</f>
        <v>Matt</v>
      </c>
      <c r="F682" t="str">
        <f>IFERROR(__xludf.DUMMYFUNCTION("""COMPUTED_VALUE"""),"HB")</f>
        <v>HB</v>
      </c>
      <c r="G682">
        <f>IFERROR(__xludf.DUMMYFUNCTION("""COMPUTED_VALUE"""),12.9)</f>
        <v>12.9</v>
      </c>
    </row>
    <row r="683">
      <c r="D683" t="str">
        <f>IFERROR(__xludf.DUMMYFUNCTION("""COMPUTED_VALUE"""),"Foster")</f>
        <v>Foster</v>
      </c>
      <c r="E683" t="str">
        <f>IFERROR(__xludf.DUMMYFUNCTION("""COMPUTED_VALUE"""),"Arian")</f>
        <v>Arian</v>
      </c>
      <c r="F683" t="str">
        <f>IFERROR(__xludf.DUMMYFUNCTION("""COMPUTED_VALUE"""),"HB")</f>
        <v>HB</v>
      </c>
      <c r="G683">
        <f>IFERROR(__xludf.DUMMYFUNCTION("""COMPUTED_VALUE"""),12.15)</f>
        <v>12.15</v>
      </c>
    </row>
    <row r="684">
      <c r="D684" t="str">
        <f>IFERROR(__xludf.DUMMYFUNCTION("""COMPUTED_VALUE"""),"Foster")</f>
        <v>Foster</v>
      </c>
      <c r="E684" t="str">
        <f>IFERROR(__xludf.DUMMYFUNCTION("""COMPUTED_VALUE"""),"DJ")</f>
        <v>DJ</v>
      </c>
      <c r="F684" t="str">
        <f>IFERROR(__xludf.DUMMYFUNCTION("""COMPUTED_VALUE"""),"HB")</f>
        <v>HB</v>
      </c>
      <c r="G684">
        <f>IFERROR(__xludf.DUMMYFUNCTION("""COMPUTED_VALUE"""),9.75)</f>
        <v>9.75</v>
      </c>
    </row>
    <row r="685">
      <c r="D685" t="str">
        <f>IFERROR(__xludf.DUMMYFUNCTION("""COMPUTED_VALUE"""),"Foster")</f>
        <v>Foster</v>
      </c>
      <c r="E685" t="str">
        <f>IFERROR(__xludf.DUMMYFUNCTION("""COMPUTED_VALUE"""),"Mason")</f>
        <v>Mason</v>
      </c>
      <c r="F685" t="str">
        <f>IFERROR(__xludf.DUMMYFUNCTION("""COMPUTED_VALUE"""),"MLB")</f>
        <v>MLB</v>
      </c>
      <c r="G685">
        <f>IFERROR(__xludf.DUMMYFUNCTION("""COMPUTED_VALUE"""),10.799999999999999)</f>
        <v>10.8</v>
      </c>
    </row>
    <row r="686">
      <c r="D686" t="str">
        <f>IFERROR(__xludf.DUMMYFUNCTION("""COMPUTED_VALUE"""),"Foster")</f>
        <v>Foster</v>
      </c>
      <c r="E686" t="str">
        <f>IFERROR(__xludf.DUMMYFUNCTION("""COMPUTED_VALUE"""),"Ramon")</f>
        <v>Ramon</v>
      </c>
      <c r="F686" t="str">
        <f>IFERROR(__xludf.DUMMYFUNCTION("""COMPUTED_VALUE"""),"LG")</f>
        <v>LG</v>
      </c>
      <c r="G686">
        <f>IFERROR(__xludf.DUMMYFUNCTION("""COMPUTED_VALUE"""),12.299999999999999)</f>
        <v>12.3</v>
      </c>
    </row>
    <row r="687">
      <c r="D687" t="str">
        <f>IFERROR(__xludf.DUMMYFUNCTION("""COMPUTED_VALUE"""),"Foucault")</f>
        <v>Foucault</v>
      </c>
      <c r="E687" t="str">
        <f>IFERROR(__xludf.DUMMYFUNCTION("""COMPUTED_VALUE"""),"David")</f>
        <v>David</v>
      </c>
      <c r="F687" t="str">
        <f>IFERROR(__xludf.DUMMYFUNCTION("""COMPUTED_VALUE"""),"LT")</f>
        <v>LT</v>
      </c>
      <c r="G687">
        <f>IFERROR(__xludf.DUMMYFUNCTION("""COMPUTED_VALUE"""),9.6)</f>
        <v>9.6</v>
      </c>
    </row>
    <row r="688">
      <c r="D688" t="str">
        <f>IFERROR(__xludf.DUMMYFUNCTION("""COMPUTED_VALUE"""),"Fowler")</f>
        <v>Fowler</v>
      </c>
      <c r="E688" t="str">
        <f>IFERROR(__xludf.DUMMYFUNCTION("""COMPUTED_VALUE"""),"Bennie")</f>
        <v>Bennie</v>
      </c>
      <c r="F688" t="str">
        <f>IFERROR(__xludf.DUMMYFUNCTION("""COMPUTED_VALUE"""),"WR")</f>
        <v>WR</v>
      </c>
      <c r="G688">
        <f>IFERROR(__xludf.DUMMYFUNCTION("""COMPUTED_VALUE"""),10.65)</f>
        <v>10.65</v>
      </c>
    </row>
    <row r="689">
      <c r="D689" t="str">
        <f>IFERROR(__xludf.DUMMYFUNCTION("""COMPUTED_VALUE"""),"Fowler")</f>
        <v>Fowler</v>
      </c>
      <c r="E689" t="str">
        <f>IFERROR(__xludf.DUMMYFUNCTION("""COMPUTED_VALUE"""),"Jalston")</f>
        <v>Jalston</v>
      </c>
      <c r="F689" t="str">
        <f>IFERROR(__xludf.DUMMYFUNCTION("""COMPUTED_VALUE"""),"FB")</f>
        <v>FB</v>
      </c>
      <c r="G689">
        <f>IFERROR(__xludf.DUMMYFUNCTION("""COMPUTED_VALUE"""),13.2)</f>
        <v>13.2</v>
      </c>
    </row>
    <row r="690">
      <c r="D690" t="str">
        <f>IFERROR(__xludf.DUMMYFUNCTION("""COMPUTED_VALUE"""),"Fowler Jr.")</f>
        <v>Fowler Jr.</v>
      </c>
      <c r="E690" t="str">
        <f>IFERROR(__xludf.DUMMYFUNCTION("""COMPUTED_VALUE"""),"Dante")</f>
        <v>Dante</v>
      </c>
      <c r="F690" t="str">
        <f>IFERROR(__xludf.DUMMYFUNCTION("""COMPUTED_VALUE"""),"RE")</f>
        <v>RE</v>
      </c>
      <c r="G690">
        <f>IFERROR(__xludf.DUMMYFUNCTION("""COMPUTED_VALUE"""),11.549999999999999)</f>
        <v>11.55</v>
      </c>
    </row>
    <row r="691">
      <c r="D691" t="str">
        <f>IFERROR(__xludf.DUMMYFUNCTION("""COMPUTED_VALUE"""),"Fragel")</f>
        <v>Fragel</v>
      </c>
      <c r="E691" t="str">
        <f>IFERROR(__xludf.DUMMYFUNCTION("""COMPUTED_VALUE"""),"Reid")</f>
        <v>Reid</v>
      </c>
      <c r="F691" t="str">
        <f>IFERROR(__xludf.DUMMYFUNCTION("""COMPUTED_VALUE"""),"RT")</f>
        <v>RT</v>
      </c>
      <c r="G691">
        <f>IFERROR(__xludf.DUMMYFUNCTION("""COMPUTED_VALUE"""),10.35)</f>
        <v>10.35</v>
      </c>
    </row>
    <row r="692">
      <c r="D692" t="str">
        <f>IFERROR(__xludf.DUMMYFUNCTION("""COMPUTED_VALUE"""),"Franklin")</f>
        <v>Franklin</v>
      </c>
      <c r="E692" t="str">
        <f>IFERROR(__xludf.DUMMYFUNCTION("""COMPUTED_VALUE"""),"Jerry")</f>
        <v>Jerry</v>
      </c>
      <c r="F692" t="str">
        <f>IFERROR(__xludf.DUMMYFUNCTION("""COMPUTED_VALUE"""),"MLB")</f>
        <v>MLB</v>
      </c>
      <c r="G692">
        <f>IFERROR(__xludf.DUMMYFUNCTION("""COMPUTED_VALUE"""),9.45)</f>
        <v>9.45</v>
      </c>
    </row>
    <row r="693">
      <c r="D693" t="str">
        <f>IFERROR(__xludf.DUMMYFUNCTION("""COMPUTED_VALUE"""),"Franklin")</f>
        <v>Franklin</v>
      </c>
      <c r="E693" t="str">
        <f>IFERROR(__xludf.DUMMYFUNCTION("""COMPUTED_VALUE"""),"Orlando")</f>
        <v>Orlando</v>
      </c>
      <c r="F693" t="str">
        <f>IFERROR(__xludf.DUMMYFUNCTION("""COMPUTED_VALUE"""),"LG")</f>
        <v>LG</v>
      </c>
      <c r="G693">
        <f>IFERROR(__xludf.DUMMYFUNCTION("""COMPUTED_VALUE"""),10.799999999999999)</f>
        <v>10.8</v>
      </c>
    </row>
    <row r="694">
      <c r="D694" t="str">
        <f>IFERROR(__xludf.DUMMYFUNCTION("""COMPUTED_VALUE"""),"Franks")</f>
        <v>Franks</v>
      </c>
      <c r="E694" t="str">
        <f>IFERROR(__xludf.DUMMYFUNCTION("""COMPUTED_VALUE"""),"Andrew")</f>
        <v>Andrew</v>
      </c>
      <c r="F694" t="str">
        <f>IFERROR(__xludf.DUMMYFUNCTION("""COMPUTED_VALUE"""),"K")</f>
        <v>K</v>
      </c>
      <c r="G694">
        <f>IFERROR(__xludf.DUMMYFUNCTION("""COMPUTED_VALUE"""),11.4)</f>
        <v>11.4</v>
      </c>
    </row>
    <row r="695">
      <c r="D695" t="str">
        <f>IFERROR(__xludf.DUMMYFUNCTION("""COMPUTED_VALUE"""),"Frazier")</f>
        <v>Frazier</v>
      </c>
      <c r="E695" t="str">
        <f>IFERROR(__xludf.DUMMYFUNCTION("""COMPUTED_VALUE"""),"Kavon")</f>
        <v>Kavon</v>
      </c>
      <c r="F695" t="str">
        <f>IFERROR(__xludf.DUMMYFUNCTION("""COMPUTED_VALUE"""),"SS")</f>
        <v>SS</v>
      </c>
      <c r="G695">
        <f>IFERROR(__xludf.DUMMYFUNCTION("""COMPUTED_VALUE"""),9.9)</f>
        <v>9.9</v>
      </c>
    </row>
    <row r="696">
      <c r="D696" t="str">
        <f>IFERROR(__xludf.DUMMYFUNCTION("""COMPUTED_VALUE"""),"Frazier")</f>
        <v>Frazier</v>
      </c>
      <c r="E696" t="str">
        <f>IFERROR(__xludf.DUMMYFUNCTION("""COMPUTED_VALUE"""),"Mose")</f>
        <v>Mose</v>
      </c>
      <c r="F696" t="str">
        <f>IFERROR(__xludf.DUMMYFUNCTION("""COMPUTED_VALUE"""),"WR")</f>
        <v>WR</v>
      </c>
      <c r="G696">
        <f>IFERROR(__xludf.DUMMYFUNCTION("""COMPUTED_VALUE"""),9.45)</f>
        <v>9.45</v>
      </c>
    </row>
    <row r="697">
      <c r="D697" t="str">
        <f>IFERROR(__xludf.DUMMYFUNCTION("""COMPUTED_VALUE"""),"Frederick")</f>
        <v>Frederick</v>
      </c>
      <c r="E697" t="str">
        <f>IFERROR(__xludf.DUMMYFUNCTION("""COMPUTED_VALUE"""),"Travis")</f>
        <v>Travis</v>
      </c>
      <c r="F697" t="str">
        <f>IFERROR(__xludf.DUMMYFUNCTION("""COMPUTED_VALUE"""),"C")</f>
        <v>C</v>
      </c>
      <c r="G697">
        <f>IFERROR(__xludf.DUMMYFUNCTION("""COMPUTED_VALUE"""),13.65)</f>
        <v>13.65</v>
      </c>
    </row>
    <row r="698">
      <c r="D698" t="str">
        <f>IFERROR(__xludf.DUMMYFUNCTION("""COMPUTED_VALUE"""),"Free")</f>
        <v>Free</v>
      </c>
      <c r="E698" t="str">
        <f>IFERROR(__xludf.DUMMYFUNCTION("""COMPUTED_VALUE"""),"Doug")</f>
        <v>Doug</v>
      </c>
      <c r="F698" t="str">
        <f>IFERROR(__xludf.DUMMYFUNCTION("""COMPUTED_VALUE"""),"RT")</f>
        <v>RT</v>
      </c>
      <c r="G698">
        <f>IFERROR(__xludf.DUMMYFUNCTION("""COMPUTED_VALUE"""),12.0)</f>
        <v>12</v>
      </c>
    </row>
    <row r="699">
      <c r="D699" t="str">
        <f>IFERROR(__xludf.DUMMYFUNCTION("""COMPUTED_VALUE"""),"Freeman")</f>
        <v>Freeman</v>
      </c>
      <c r="E699" t="str">
        <f>IFERROR(__xludf.DUMMYFUNCTION("""COMPUTED_VALUE"""),"Dalton")</f>
        <v>Dalton</v>
      </c>
      <c r="F699" t="str">
        <f>IFERROR(__xludf.DUMMYFUNCTION("""COMPUTED_VALUE"""),"C")</f>
        <v>C</v>
      </c>
      <c r="G699">
        <f>IFERROR(__xludf.DUMMYFUNCTION("""COMPUTED_VALUE"""),10.35)</f>
        <v>10.35</v>
      </c>
    </row>
    <row r="700">
      <c r="D700" t="str">
        <f>IFERROR(__xludf.DUMMYFUNCTION("""COMPUTED_VALUE"""),"Freeman")</f>
        <v>Freeman</v>
      </c>
      <c r="E700" t="str">
        <f>IFERROR(__xludf.DUMMYFUNCTION("""COMPUTED_VALUE"""),"Devonta")</f>
        <v>Devonta</v>
      </c>
      <c r="F700" t="str">
        <f>IFERROR(__xludf.DUMMYFUNCTION("""COMPUTED_VALUE"""),"HB")</f>
        <v>HB</v>
      </c>
      <c r="G700">
        <f>IFERROR(__xludf.DUMMYFUNCTION("""COMPUTED_VALUE"""),12.9)</f>
        <v>12.9</v>
      </c>
    </row>
    <row r="701">
      <c r="D701" t="str">
        <f>IFERROR(__xludf.DUMMYFUNCTION("""COMPUTED_VALUE"""),"Freeman")</f>
        <v>Freeman</v>
      </c>
      <c r="E701" t="str">
        <f>IFERROR(__xludf.DUMMYFUNCTION("""COMPUTED_VALUE"""),"Jerrell")</f>
        <v>Jerrell</v>
      </c>
      <c r="F701" t="str">
        <f>IFERROR(__xludf.DUMMYFUNCTION("""COMPUTED_VALUE"""),"MLB")</f>
        <v>MLB</v>
      </c>
      <c r="G701">
        <f>IFERROR(__xludf.DUMMYFUNCTION("""COMPUTED_VALUE"""),12.9)</f>
        <v>12.9</v>
      </c>
    </row>
    <row r="702">
      <c r="D702" t="str">
        <f>IFERROR(__xludf.DUMMYFUNCTION("""COMPUTED_VALUE"""),"Freeny")</f>
        <v>Freeny</v>
      </c>
      <c r="E702" t="str">
        <f>IFERROR(__xludf.DUMMYFUNCTION("""COMPUTED_VALUE"""),"Jonathan")</f>
        <v>Jonathan</v>
      </c>
      <c r="F702" t="str">
        <f>IFERROR(__xludf.DUMMYFUNCTION("""COMPUTED_VALUE"""),"MLB")</f>
        <v>MLB</v>
      </c>
      <c r="G702">
        <f>IFERROR(__xludf.DUMMYFUNCTION("""COMPUTED_VALUE"""),10.35)</f>
        <v>10.35</v>
      </c>
    </row>
    <row r="703">
      <c r="D703" t="str">
        <f>IFERROR(__xludf.DUMMYFUNCTION("""COMPUTED_VALUE"""),"Frey")</f>
        <v>Frey</v>
      </c>
      <c r="E703" t="str">
        <f>IFERROR(__xludf.DUMMYFUNCTION("""COMPUTED_VALUE"""),"Isaiah")</f>
        <v>Isaiah</v>
      </c>
      <c r="F703" t="str">
        <f>IFERROR(__xludf.DUMMYFUNCTION("""COMPUTED_VALUE"""),"CB")</f>
        <v>CB</v>
      </c>
      <c r="G703">
        <f>IFERROR(__xludf.DUMMYFUNCTION("""COMPUTED_VALUE"""),10.5)</f>
        <v>10.5</v>
      </c>
    </row>
    <row r="704">
      <c r="D704" t="str">
        <f>IFERROR(__xludf.DUMMYFUNCTION("""COMPUTED_VALUE"""),"Friend")</f>
        <v>Friend</v>
      </c>
      <c r="E704" t="str">
        <f>IFERROR(__xludf.DUMMYFUNCTION("""COMPUTED_VALUE"""),"Kyle")</f>
        <v>Kyle</v>
      </c>
      <c r="F704" t="str">
        <f>IFERROR(__xludf.DUMMYFUNCTION("""COMPUTED_VALUE"""),"C")</f>
        <v>C</v>
      </c>
      <c r="G704">
        <f>IFERROR(__xludf.DUMMYFUNCTION("""COMPUTED_VALUE"""),9.299999999999999)</f>
        <v>9.3</v>
      </c>
    </row>
    <row r="705">
      <c r="D705" t="str">
        <f>IFERROR(__xludf.DUMMYFUNCTION("""COMPUTED_VALUE"""),"Fua")</f>
        <v>Fua</v>
      </c>
      <c r="E705" t="str">
        <f>IFERROR(__xludf.DUMMYFUNCTION("""COMPUTED_VALUE"""),"Alani")</f>
        <v>Alani</v>
      </c>
      <c r="F705" t="str">
        <f>IFERROR(__xludf.DUMMYFUNCTION("""COMPUTED_VALUE"""),"MLB")</f>
        <v>MLB</v>
      </c>
      <c r="G705">
        <f>IFERROR(__xludf.DUMMYFUNCTION("""COMPUTED_VALUE"""),9.15)</f>
        <v>9.15</v>
      </c>
    </row>
    <row r="706">
      <c r="D706" t="str">
        <f>IFERROR(__xludf.DUMMYFUNCTION("""COMPUTED_VALUE"""),"Fuehne")</f>
        <v>Fuehne</v>
      </c>
      <c r="E706" t="str">
        <f>IFERROR(__xludf.DUMMYFUNCTION("""COMPUTED_VALUE"""),"Adam")</f>
        <v>Adam</v>
      </c>
      <c r="F706" t="str">
        <f>IFERROR(__xludf.DUMMYFUNCTION("""COMPUTED_VALUE"""),"TE")</f>
        <v>TE</v>
      </c>
      <c r="G706">
        <f>IFERROR(__xludf.DUMMYFUNCTION("""COMPUTED_VALUE"""),9.6)</f>
        <v>9.6</v>
      </c>
    </row>
    <row r="707">
      <c r="D707" t="str">
        <f>IFERROR(__xludf.DUMMYFUNCTION("""COMPUTED_VALUE"""),"Fuller")</f>
        <v>Fuller</v>
      </c>
      <c r="E707" t="str">
        <f>IFERROR(__xludf.DUMMYFUNCTION("""COMPUTED_VALUE"""),"Corey")</f>
        <v>Corey</v>
      </c>
      <c r="F707" t="str">
        <f>IFERROR(__xludf.DUMMYFUNCTION("""COMPUTED_VALUE"""),"WR")</f>
        <v>WR</v>
      </c>
      <c r="G707">
        <f>IFERROR(__xludf.DUMMYFUNCTION("""COMPUTED_VALUE"""),10.5)</f>
        <v>10.5</v>
      </c>
    </row>
    <row r="708">
      <c r="D708" t="str">
        <f>IFERROR(__xludf.DUMMYFUNCTION("""COMPUTED_VALUE"""),"Fuller")</f>
        <v>Fuller</v>
      </c>
      <c r="E708" t="str">
        <f>IFERROR(__xludf.DUMMYFUNCTION("""COMPUTED_VALUE"""),"Devin")</f>
        <v>Devin</v>
      </c>
      <c r="F708" t="str">
        <f>IFERROR(__xludf.DUMMYFUNCTION("""COMPUTED_VALUE"""),"WR")</f>
        <v>WR</v>
      </c>
      <c r="G708">
        <f>IFERROR(__xludf.DUMMYFUNCTION("""COMPUTED_VALUE"""),9.299999999999999)</f>
        <v>9.3</v>
      </c>
    </row>
    <row r="709">
      <c r="D709" t="str">
        <f>IFERROR(__xludf.DUMMYFUNCTION("""COMPUTED_VALUE"""),"Fuller")</f>
        <v>Fuller</v>
      </c>
      <c r="E709" t="str">
        <f>IFERROR(__xludf.DUMMYFUNCTION("""COMPUTED_VALUE"""),"Jeff")</f>
        <v>Jeff</v>
      </c>
      <c r="F709" t="str">
        <f>IFERROR(__xludf.DUMMYFUNCTION("""COMPUTED_VALUE"""),"WR")</f>
        <v>WR</v>
      </c>
      <c r="G709">
        <f>IFERROR(__xludf.DUMMYFUNCTION("""COMPUTED_VALUE"""),9.299999999999999)</f>
        <v>9.3</v>
      </c>
    </row>
    <row r="710">
      <c r="D710" t="str">
        <f>IFERROR(__xludf.DUMMYFUNCTION("""COMPUTED_VALUE"""),"Fuller")</f>
        <v>Fuller</v>
      </c>
      <c r="E710" t="str">
        <f>IFERROR(__xludf.DUMMYFUNCTION("""COMPUTED_VALUE"""),"Kendall")</f>
        <v>Kendall</v>
      </c>
      <c r="F710" t="str">
        <f>IFERROR(__xludf.DUMMYFUNCTION("""COMPUTED_VALUE"""),"CB")</f>
        <v>CB</v>
      </c>
      <c r="G710">
        <f>IFERROR(__xludf.DUMMYFUNCTION("""COMPUTED_VALUE"""),10.5)</f>
        <v>10.5</v>
      </c>
    </row>
    <row r="711">
      <c r="D711" t="str">
        <f>IFERROR(__xludf.DUMMYFUNCTION("""COMPUTED_VALUE"""),"Fuller")</f>
        <v>Fuller</v>
      </c>
      <c r="E711" t="str">
        <f>IFERROR(__xludf.DUMMYFUNCTION("""COMPUTED_VALUE"""),"Kyle")</f>
        <v>Kyle</v>
      </c>
      <c r="F711" t="str">
        <f>IFERROR(__xludf.DUMMYFUNCTION("""COMPUTED_VALUE"""),"CB")</f>
        <v>CB</v>
      </c>
      <c r="G711">
        <f>IFERROR(__xludf.DUMMYFUNCTION("""COMPUTED_VALUE"""),12.0)</f>
        <v>12</v>
      </c>
    </row>
    <row r="712">
      <c r="D712" t="str">
        <f>IFERROR(__xludf.DUMMYFUNCTION("""COMPUTED_VALUE"""),"Fuller V")</f>
        <v>Fuller V</v>
      </c>
      <c r="E712" t="str">
        <f>IFERROR(__xludf.DUMMYFUNCTION("""COMPUTED_VALUE"""),"Will")</f>
        <v>Will</v>
      </c>
      <c r="F712" t="str">
        <f>IFERROR(__xludf.DUMMYFUNCTION("""COMPUTED_VALUE"""),"WR")</f>
        <v>WR</v>
      </c>
      <c r="G712">
        <f>IFERROR(__xludf.DUMMYFUNCTION("""COMPUTED_VALUE"""),11.1)</f>
        <v>11.1</v>
      </c>
    </row>
    <row r="713">
      <c r="D713" t="str">
        <f>IFERROR(__xludf.DUMMYFUNCTION("""COMPUTED_VALUE"""),"Fulton")</f>
        <v>Fulton</v>
      </c>
      <c r="E713" t="str">
        <f>IFERROR(__xludf.DUMMYFUNCTION("""COMPUTED_VALUE"""),"Zach")</f>
        <v>Zach</v>
      </c>
      <c r="F713" t="str">
        <f>IFERROR(__xludf.DUMMYFUNCTION("""COMPUTED_VALUE"""),"C")</f>
        <v>C</v>
      </c>
      <c r="G713">
        <f>IFERROR(__xludf.DUMMYFUNCTION("""COMPUTED_VALUE"""),10.2)</f>
        <v>10.2</v>
      </c>
    </row>
    <row r="714">
      <c r="D714" t="str">
        <f>IFERROR(__xludf.DUMMYFUNCTION("""COMPUTED_VALUE"""),"Funchess")</f>
        <v>Funchess</v>
      </c>
      <c r="E714" t="str">
        <f>IFERROR(__xludf.DUMMYFUNCTION("""COMPUTED_VALUE"""),"Devin")</f>
        <v>Devin</v>
      </c>
      <c r="F714" t="str">
        <f>IFERROR(__xludf.DUMMYFUNCTION("""COMPUTED_VALUE"""),"WR")</f>
        <v>WR</v>
      </c>
      <c r="G714">
        <f>IFERROR(__xludf.DUMMYFUNCTION("""COMPUTED_VALUE"""),11.1)</f>
        <v>11.1</v>
      </c>
    </row>
    <row r="715">
      <c r="D715" t="str">
        <f>IFERROR(__xludf.DUMMYFUNCTION("""COMPUTED_VALUE"""),"Fusco")</f>
        <v>Fusco</v>
      </c>
      <c r="E715" t="str">
        <f>IFERROR(__xludf.DUMMYFUNCTION("""COMPUTED_VALUE"""),"Brandon")</f>
        <v>Brandon</v>
      </c>
      <c r="F715" t="str">
        <f>IFERROR(__xludf.DUMMYFUNCTION("""COMPUTED_VALUE"""),"LG")</f>
        <v>LG</v>
      </c>
      <c r="G715">
        <f>IFERROR(__xludf.DUMMYFUNCTION("""COMPUTED_VALUE"""),10.799999999999999)</f>
        <v>10.8</v>
      </c>
    </row>
    <row r="716">
      <c r="D716" t="str">
        <f>IFERROR(__xludf.DUMMYFUNCTION("""COMPUTED_VALUE"""),"Gabbert")</f>
        <v>Gabbert</v>
      </c>
      <c r="E716" t="str">
        <f>IFERROR(__xludf.DUMMYFUNCTION("""COMPUTED_VALUE"""),"Blaine")</f>
        <v>Blaine</v>
      </c>
      <c r="F716" t="str">
        <f>IFERROR(__xludf.DUMMYFUNCTION("""COMPUTED_VALUE"""),"QB")</f>
        <v>QB</v>
      </c>
      <c r="G716">
        <f>IFERROR(__xludf.DUMMYFUNCTION("""COMPUTED_VALUE"""),11.1)</f>
        <v>11.1</v>
      </c>
    </row>
    <row r="717">
      <c r="D717" t="str">
        <f>IFERROR(__xludf.DUMMYFUNCTION("""COMPUTED_VALUE"""),"Gabriel")</f>
        <v>Gabriel</v>
      </c>
      <c r="E717" t="str">
        <f>IFERROR(__xludf.DUMMYFUNCTION("""COMPUTED_VALUE"""),"Taylor")</f>
        <v>Taylor</v>
      </c>
      <c r="F717" t="str">
        <f>IFERROR(__xludf.DUMMYFUNCTION("""COMPUTED_VALUE"""),"WR")</f>
        <v>WR</v>
      </c>
      <c r="G717">
        <f>IFERROR(__xludf.DUMMYFUNCTION("""COMPUTED_VALUE"""),10.799999999999999)</f>
        <v>10.8</v>
      </c>
    </row>
    <row r="718">
      <c r="D718" t="str">
        <f>IFERROR(__xludf.DUMMYFUNCTION("""COMPUTED_VALUE"""),"Gachkar")</f>
        <v>Gachkar</v>
      </c>
      <c r="E718" t="str">
        <f>IFERROR(__xludf.DUMMYFUNCTION("""COMPUTED_VALUE"""),"Andrew")</f>
        <v>Andrew</v>
      </c>
      <c r="F718" t="str">
        <f>IFERROR(__xludf.DUMMYFUNCTION("""COMPUTED_VALUE"""),"MLB")</f>
        <v>MLB</v>
      </c>
      <c r="G718">
        <f>IFERROR(__xludf.DUMMYFUNCTION("""COMPUTED_VALUE"""),10.65)</f>
        <v>10.65</v>
      </c>
    </row>
    <row r="719">
      <c r="D719" t="str">
        <f>IFERROR(__xludf.DUMMYFUNCTION("""COMPUTED_VALUE"""),"Gaines")</f>
        <v>Gaines</v>
      </c>
      <c r="E719" t="str">
        <f>IFERROR(__xludf.DUMMYFUNCTION("""COMPUTED_VALUE"""),"Charles")</f>
        <v>Charles</v>
      </c>
      <c r="F719" t="str">
        <f>IFERROR(__xludf.DUMMYFUNCTION("""COMPUTED_VALUE"""),"CB")</f>
        <v>CB</v>
      </c>
      <c r="G719">
        <f>IFERROR(__xludf.DUMMYFUNCTION("""COMPUTED_VALUE"""),10.049999999999999)</f>
        <v>10.05</v>
      </c>
    </row>
    <row r="720">
      <c r="D720" t="str">
        <f>IFERROR(__xludf.DUMMYFUNCTION("""COMPUTED_VALUE"""),"Gaines")</f>
        <v>Gaines</v>
      </c>
      <c r="E720" t="str">
        <f>IFERROR(__xludf.DUMMYFUNCTION("""COMPUTED_VALUE"""),"EJ")</f>
        <v>EJ</v>
      </c>
      <c r="F720" t="str">
        <f>IFERROR(__xludf.DUMMYFUNCTION("""COMPUTED_VALUE"""),"CB")</f>
        <v>CB</v>
      </c>
      <c r="G720">
        <f>IFERROR(__xludf.DUMMYFUNCTION("""COMPUTED_VALUE"""),11.85)</f>
        <v>11.85</v>
      </c>
    </row>
    <row r="721">
      <c r="D721" t="str">
        <f>IFERROR(__xludf.DUMMYFUNCTION("""COMPUTED_VALUE"""),"Gaines")</f>
        <v>Gaines</v>
      </c>
      <c r="E721" t="str">
        <f>IFERROR(__xludf.DUMMYFUNCTION("""COMPUTED_VALUE"""),"Phillip")</f>
        <v>Phillip</v>
      </c>
      <c r="F721" t="str">
        <f>IFERROR(__xludf.DUMMYFUNCTION("""COMPUTED_VALUE"""),"CB")</f>
        <v>CB</v>
      </c>
      <c r="G721">
        <f>IFERROR(__xludf.DUMMYFUNCTION("""COMPUTED_VALUE"""),11.25)</f>
        <v>11.25</v>
      </c>
    </row>
    <row r="722">
      <c r="D722" t="str">
        <f>IFERROR(__xludf.DUMMYFUNCTION("""COMPUTED_VALUE"""),"Galette")</f>
        <v>Galette</v>
      </c>
      <c r="E722" t="str">
        <f>IFERROR(__xludf.DUMMYFUNCTION("""COMPUTED_VALUE"""),"Junior")</f>
        <v>Junior</v>
      </c>
      <c r="F722" t="str">
        <f>IFERROR(__xludf.DUMMYFUNCTION("""COMPUTED_VALUE"""),"LOLB")</f>
        <v>LOLB</v>
      </c>
      <c r="G722">
        <f>IFERROR(__xludf.DUMMYFUNCTION("""COMPUTED_VALUE"""),12.0)</f>
        <v>12</v>
      </c>
    </row>
    <row r="723">
      <c r="D723" t="str">
        <f>IFERROR(__xludf.DUMMYFUNCTION("""COMPUTED_VALUE"""),"Gallik")</f>
        <v>Gallik</v>
      </c>
      <c r="E723" t="str">
        <f>IFERROR(__xludf.DUMMYFUNCTION("""COMPUTED_VALUE"""),"Andy")</f>
        <v>Andy</v>
      </c>
      <c r="F723" t="str">
        <f>IFERROR(__xludf.DUMMYFUNCTION("""COMPUTED_VALUE"""),"C")</f>
        <v>C</v>
      </c>
      <c r="G723">
        <f>IFERROR(__xludf.DUMMYFUNCTION("""COMPUTED_VALUE"""),9.6)</f>
        <v>9.6</v>
      </c>
    </row>
    <row r="724">
      <c r="D724" t="str">
        <f>IFERROR(__xludf.DUMMYFUNCTION("""COMPUTED_VALUE"""),"Gano")</f>
        <v>Gano</v>
      </c>
      <c r="E724" t="str">
        <f>IFERROR(__xludf.DUMMYFUNCTION("""COMPUTED_VALUE"""),"Graham")</f>
        <v>Graham</v>
      </c>
      <c r="F724" t="str">
        <f>IFERROR(__xludf.DUMMYFUNCTION("""COMPUTED_VALUE"""),"K")</f>
        <v>K</v>
      </c>
      <c r="G724">
        <f>IFERROR(__xludf.DUMMYFUNCTION("""COMPUTED_VALUE"""),12.75)</f>
        <v>12.75</v>
      </c>
    </row>
    <row r="725">
      <c r="D725" t="str">
        <f>IFERROR(__xludf.DUMMYFUNCTION("""COMPUTED_VALUE"""),"Garcia")</f>
        <v>Garcia</v>
      </c>
      <c r="E725" t="str">
        <f>IFERROR(__xludf.DUMMYFUNCTION("""COMPUTED_VALUE"""),"Max")</f>
        <v>Max</v>
      </c>
      <c r="F725" t="str">
        <f>IFERROR(__xludf.DUMMYFUNCTION("""COMPUTED_VALUE"""),"LG")</f>
        <v>LG</v>
      </c>
      <c r="G725">
        <f>IFERROR(__xludf.DUMMYFUNCTION("""COMPUTED_VALUE"""),10.5)</f>
        <v>10.5</v>
      </c>
    </row>
    <row r="726">
      <c r="D726" t="str">
        <f>IFERROR(__xludf.DUMMYFUNCTION("""COMPUTED_VALUE"""),"Garcon")</f>
        <v>Garcon</v>
      </c>
      <c r="E726" t="str">
        <f>IFERROR(__xludf.DUMMYFUNCTION("""COMPUTED_VALUE"""),"Pierre")</f>
        <v>Pierre</v>
      </c>
      <c r="F726" t="str">
        <f>IFERROR(__xludf.DUMMYFUNCTION("""COMPUTED_VALUE"""),"WR")</f>
        <v>WR</v>
      </c>
      <c r="G726">
        <f>IFERROR(__xludf.DUMMYFUNCTION("""COMPUTED_VALUE"""),12.15)</f>
        <v>12.15</v>
      </c>
    </row>
    <row r="727">
      <c r="D727" t="str">
        <f>IFERROR(__xludf.DUMMYFUNCTION("""COMPUTED_VALUE"""),"Gardner")</f>
        <v>Gardner</v>
      </c>
      <c r="E727" t="str">
        <f>IFERROR(__xludf.DUMMYFUNCTION("""COMPUTED_VALUE"""),"Andrew")</f>
        <v>Andrew</v>
      </c>
      <c r="F727" t="str">
        <f>IFERROR(__xludf.DUMMYFUNCTION("""COMPUTED_VALUE"""),"LT")</f>
        <v>LT</v>
      </c>
      <c r="G727">
        <f>IFERROR(__xludf.DUMMYFUNCTION("""COMPUTED_VALUE"""),11.25)</f>
        <v>11.25</v>
      </c>
    </row>
    <row r="728">
      <c r="D728" t="str">
        <f>IFERROR(__xludf.DUMMYFUNCTION("""COMPUTED_VALUE"""),"Garland")</f>
        <v>Garland</v>
      </c>
      <c r="E728" t="str">
        <f>IFERROR(__xludf.DUMMYFUNCTION("""COMPUTED_VALUE"""),"Ben")</f>
        <v>Ben</v>
      </c>
      <c r="F728" t="str">
        <f>IFERROR(__xludf.DUMMYFUNCTION("""COMPUTED_VALUE"""),"LG")</f>
        <v>LG</v>
      </c>
      <c r="G728">
        <f>IFERROR(__xludf.DUMMYFUNCTION("""COMPUTED_VALUE"""),9.9)</f>
        <v>9.9</v>
      </c>
    </row>
    <row r="729">
      <c r="D729" t="str">
        <f>IFERROR(__xludf.DUMMYFUNCTION("""COMPUTED_VALUE"""),"Garnett")</f>
        <v>Garnett</v>
      </c>
      <c r="E729" t="str">
        <f>IFERROR(__xludf.DUMMYFUNCTION("""COMPUTED_VALUE"""),"Joshua")</f>
        <v>Joshua</v>
      </c>
      <c r="F729" t="str">
        <f>IFERROR(__xludf.DUMMYFUNCTION("""COMPUTED_VALUE"""),"RG")</f>
        <v>RG</v>
      </c>
      <c r="G729">
        <f>IFERROR(__xludf.DUMMYFUNCTION("""COMPUTED_VALUE"""),11.1)</f>
        <v>11.1</v>
      </c>
    </row>
    <row r="730">
      <c r="D730" t="str">
        <f>IFERROR(__xludf.DUMMYFUNCTION("""COMPUTED_VALUE"""),"Garoppolo")</f>
        <v>Garoppolo</v>
      </c>
      <c r="E730" t="str">
        <f>IFERROR(__xludf.DUMMYFUNCTION("""COMPUTED_VALUE"""),"Jimmy")</f>
        <v>Jimmy</v>
      </c>
      <c r="F730" t="str">
        <f>IFERROR(__xludf.DUMMYFUNCTION("""COMPUTED_VALUE"""),"QB")</f>
        <v>QB</v>
      </c>
      <c r="G730">
        <f>IFERROR(__xludf.DUMMYFUNCTION("""COMPUTED_VALUE"""),10.799999999999999)</f>
        <v>10.8</v>
      </c>
    </row>
    <row r="731">
      <c r="D731" t="str">
        <f>IFERROR(__xludf.DUMMYFUNCTION("""COMPUTED_VALUE"""),"Garvin")</f>
        <v>Garvin</v>
      </c>
      <c r="E731" t="str">
        <f>IFERROR(__xludf.DUMMYFUNCTION("""COMPUTED_VALUE"""),"Terence")</f>
        <v>Terence</v>
      </c>
      <c r="F731" t="str">
        <f>IFERROR(__xludf.DUMMYFUNCTION("""COMPUTED_VALUE"""),"LOLB")</f>
        <v>LOLB</v>
      </c>
      <c r="G731">
        <f>IFERROR(__xludf.DUMMYFUNCTION("""COMPUTED_VALUE"""),10.049999999999999)</f>
        <v>10.05</v>
      </c>
    </row>
    <row r="732">
      <c r="D732" t="str">
        <f>IFERROR(__xludf.DUMMYFUNCTION("""COMPUTED_VALUE"""),"Gary")</f>
        <v>Gary</v>
      </c>
      <c r="E732" t="str">
        <f>IFERROR(__xludf.DUMMYFUNCTION("""COMPUTED_VALUE"""),"Shamiel")</f>
        <v>Shamiel</v>
      </c>
      <c r="F732" t="str">
        <f>IFERROR(__xludf.DUMMYFUNCTION("""COMPUTED_VALUE"""),"SS")</f>
        <v>SS</v>
      </c>
      <c r="G732">
        <f>IFERROR(__xludf.DUMMYFUNCTION("""COMPUTED_VALUE"""),9.6)</f>
        <v>9.6</v>
      </c>
    </row>
    <row r="733">
      <c r="D733" t="str">
        <f>IFERROR(__xludf.DUMMYFUNCTION("""COMPUTED_VALUE"""),"Gates")</f>
        <v>Gates</v>
      </c>
      <c r="E733" t="str">
        <f>IFERROR(__xludf.DUMMYFUNCTION("""COMPUTED_VALUE"""),"Antonio")</f>
        <v>Antonio</v>
      </c>
      <c r="F733" t="str">
        <f>IFERROR(__xludf.DUMMYFUNCTION("""COMPUTED_VALUE"""),"TE")</f>
        <v>TE</v>
      </c>
      <c r="G733">
        <f>IFERROR(__xludf.DUMMYFUNCTION("""COMPUTED_VALUE"""),12.75)</f>
        <v>12.75</v>
      </c>
    </row>
    <row r="734">
      <c r="D734" t="str">
        <f>IFERROR(__xludf.DUMMYFUNCTION("""COMPUTED_VALUE"""),"Gathers")</f>
        <v>Gathers</v>
      </c>
      <c r="E734" t="str">
        <f>IFERROR(__xludf.DUMMYFUNCTION("""COMPUTED_VALUE"""),"Rico")</f>
        <v>Rico</v>
      </c>
      <c r="F734" t="str">
        <f>IFERROR(__xludf.DUMMYFUNCTION("""COMPUTED_VALUE"""),"TE")</f>
        <v>TE</v>
      </c>
      <c r="G734">
        <f>IFERROR(__xludf.DUMMYFUNCTION("""COMPUTED_VALUE"""),9.0)</f>
        <v>9</v>
      </c>
    </row>
    <row r="735">
      <c r="D735" t="str">
        <f>IFERROR(__xludf.DUMMYFUNCTION("""COMPUTED_VALUE"""),"Gause")</f>
        <v>Gause</v>
      </c>
      <c r="E735" t="str">
        <f>IFERROR(__xludf.DUMMYFUNCTION("""COMPUTED_VALUE"""),"Quentin")</f>
        <v>Quentin</v>
      </c>
      <c r="F735" t="str">
        <f>IFERROR(__xludf.DUMMYFUNCTION("""COMPUTED_VALUE"""),"ROLB")</f>
        <v>ROLB</v>
      </c>
      <c r="G735">
        <f>IFERROR(__xludf.DUMMYFUNCTION("""COMPUTED_VALUE"""),8.549999999999999)</f>
        <v>8.55</v>
      </c>
    </row>
    <row r="736">
      <c r="D736" t="str">
        <f>IFERROR(__xludf.DUMMYFUNCTION("""COMPUTED_VALUE"""),"Gay")</f>
        <v>Gay</v>
      </c>
      <c r="E736" t="str">
        <f>IFERROR(__xludf.DUMMYFUNCTION("""COMPUTED_VALUE"""),"Jordan")</f>
        <v>Jordan</v>
      </c>
      <c r="F736" t="str">
        <f>IFERROR(__xludf.DUMMYFUNCTION("""COMPUTED_VALUE"""),"K")</f>
        <v>K</v>
      </c>
      <c r="G736">
        <f>IFERROR(__xludf.DUMMYFUNCTION("""COMPUTED_VALUE"""),10.65)</f>
        <v>10.65</v>
      </c>
    </row>
    <row r="737">
      <c r="D737" t="str">
        <f>IFERROR(__xludf.DUMMYFUNCTION("""COMPUTED_VALUE"""),"Gay")</f>
        <v>Gay</v>
      </c>
      <c r="E737" t="str">
        <f>IFERROR(__xludf.DUMMYFUNCTION("""COMPUTED_VALUE"""),"William")</f>
        <v>William</v>
      </c>
      <c r="F737" t="str">
        <f>IFERROR(__xludf.DUMMYFUNCTION("""COMPUTED_VALUE"""),"CB")</f>
        <v>CB</v>
      </c>
      <c r="G737">
        <f>IFERROR(__xludf.DUMMYFUNCTION("""COMPUTED_VALUE"""),12.299999999999999)</f>
        <v>12.3</v>
      </c>
    </row>
    <row r="738">
      <c r="D738" t="str">
        <f>IFERROR(__xludf.DUMMYFUNCTION("""COMPUTED_VALUE"""),"Geathers")</f>
        <v>Geathers</v>
      </c>
      <c r="E738" t="str">
        <f>IFERROR(__xludf.DUMMYFUNCTION("""COMPUTED_VALUE"""),"Clayton")</f>
        <v>Clayton</v>
      </c>
      <c r="F738" t="str">
        <f>IFERROR(__xludf.DUMMYFUNCTION("""COMPUTED_VALUE"""),"FS")</f>
        <v>FS</v>
      </c>
      <c r="G738">
        <f>IFERROR(__xludf.DUMMYFUNCTION("""COMPUTED_VALUE"""),10.5)</f>
        <v>10.5</v>
      </c>
    </row>
    <row r="739">
      <c r="D739" t="str">
        <f>IFERROR(__xludf.DUMMYFUNCTION("""COMPUTED_VALUE"""),"George")</f>
        <v>George</v>
      </c>
      <c r="E739" t="str">
        <f>IFERROR(__xludf.DUMMYFUNCTION("""COMPUTED_VALUE"""),"Jeremiah")</f>
        <v>Jeremiah</v>
      </c>
      <c r="F739" t="str">
        <f>IFERROR(__xludf.DUMMYFUNCTION("""COMPUTED_VALUE"""),"ROLB")</f>
        <v>ROLB</v>
      </c>
      <c r="G739">
        <f>IFERROR(__xludf.DUMMYFUNCTION("""COMPUTED_VALUE"""),10.2)</f>
        <v>10.2</v>
      </c>
    </row>
    <row r="740">
      <c r="D740" t="str">
        <f>IFERROR(__xludf.DUMMYFUNCTION("""COMPUTED_VALUE"""),"Gerhart")</f>
        <v>Gerhart</v>
      </c>
      <c r="E740" t="str">
        <f>IFERROR(__xludf.DUMMYFUNCTION("""COMPUTED_VALUE"""),"Garth")</f>
        <v>Garth</v>
      </c>
      <c r="F740" t="str">
        <f>IFERROR(__xludf.DUMMYFUNCTION("""COMPUTED_VALUE"""),"C")</f>
        <v>C</v>
      </c>
      <c r="G740">
        <f>IFERROR(__xludf.DUMMYFUNCTION("""COMPUTED_VALUE"""),9.9)</f>
        <v>9.9</v>
      </c>
    </row>
    <row r="741">
      <c r="D741" t="str">
        <f>IFERROR(__xludf.DUMMYFUNCTION("""COMPUTED_VALUE"""),"Gettis")</f>
        <v>Gettis</v>
      </c>
      <c r="E741" t="str">
        <f>IFERROR(__xludf.DUMMYFUNCTION("""COMPUTED_VALUE"""),"Adam")</f>
        <v>Adam</v>
      </c>
      <c r="F741" t="str">
        <f>IFERROR(__xludf.DUMMYFUNCTION("""COMPUTED_VALUE"""),"RG")</f>
        <v>RG</v>
      </c>
      <c r="G741">
        <f>IFERROR(__xludf.DUMMYFUNCTION("""COMPUTED_VALUE"""),9.9)</f>
        <v>9.9</v>
      </c>
    </row>
    <row r="742">
      <c r="D742" t="str">
        <f>IFERROR(__xludf.DUMMYFUNCTION("""COMPUTED_VALUE"""),"Gholston")</f>
        <v>Gholston</v>
      </c>
      <c r="E742" t="str">
        <f>IFERROR(__xludf.DUMMYFUNCTION("""COMPUTED_VALUE"""),"William")</f>
        <v>William</v>
      </c>
      <c r="F742" t="str">
        <f>IFERROR(__xludf.DUMMYFUNCTION("""COMPUTED_VALUE"""),"RE")</f>
        <v>RE</v>
      </c>
      <c r="G742">
        <f>IFERROR(__xludf.DUMMYFUNCTION("""COMPUTED_VALUE"""),11.7)</f>
        <v>11.7</v>
      </c>
    </row>
    <row r="743">
      <c r="D743" t="str">
        <f>IFERROR(__xludf.DUMMYFUNCTION("""COMPUTED_VALUE"""),"Giacomini")</f>
        <v>Giacomini</v>
      </c>
      <c r="E743" t="str">
        <f>IFERROR(__xludf.DUMMYFUNCTION("""COMPUTED_VALUE"""),"Breno")</f>
        <v>Breno</v>
      </c>
      <c r="F743" t="str">
        <f>IFERROR(__xludf.DUMMYFUNCTION("""COMPUTED_VALUE"""),"RT")</f>
        <v>RT</v>
      </c>
      <c r="G743">
        <f>IFERROR(__xludf.DUMMYFUNCTION("""COMPUTED_VALUE"""),10.35)</f>
        <v>10.35</v>
      </c>
    </row>
    <row r="744">
      <c r="D744" t="str">
        <f>IFERROR(__xludf.DUMMYFUNCTION("""COMPUTED_VALUE"""),"Gibson")</f>
        <v>Gibson</v>
      </c>
      <c r="E744" t="str">
        <f>IFERROR(__xludf.DUMMYFUNCTION("""COMPUTED_VALUE"""),"Laurence")</f>
        <v>Laurence</v>
      </c>
      <c r="F744" t="str">
        <f>IFERROR(__xludf.DUMMYFUNCTION("""COMPUTED_VALUE"""),"LT")</f>
        <v>LT</v>
      </c>
      <c r="G744">
        <f>IFERROR(__xludf.DUMMYFUNCTION("""COMPUTED_VALUE"""),9.6)</f>
        <v>9.6</v>
      </c>
    </row>
    <row r="745">
      <c r="D745" t="str">
        <f>IFERROR(__xludf.DUMMYFUNCTION("""COMPUTED_VALUE"""),"Gilberry")</f>
        <v>Gilberry</v>
      </c>
      <c r="E745" t="str">
        <f>IFERROR(__xludf.DUMMYFUNCTION("""COMPUTED_VALUE"""),"Wallace")</f>
        <v>Wallace</v>
      </c>
      <c r="F745" t="str">
        <f>IFERROR(__xludf.DUMMYFUNCTION("""COMPUTED_VALUE"""),"LE")</f>
        <v>LE</v>
      </c>
      <c r="G745">
        <f>IFERROR(__xludf.DUMMYFUNCTION("""COMPUTED_VALUE"""),11.1)</f>
        <v>11.1</v>
      </c>
    </row>
    <row r="746">
      <c r="D746" t="str">
        <f>IFERROR(__xludf.DUMMYFUNCTION("""COMPUTED_VALUE"""),"Gilbert")</f>
        <v>Gilbert</v>
      </c>
      <c r="E746" t="str">
        <f>IFERROR(__xludf.DUMMYFUNCTION("""COMPUTED_VALUE"""),"Justin")</f>
        <v>Justin</v>
      </c>
      <c r="F746" t="str">
        <f>IFERROR(__xludf.DUMMYFUNCTION("""COMPUTED_VALUE"""),"CB")</f>
        <v>CB</v>
      </c>
      <c r="G746">
        <f>IFERROR(__xludf.DUMMYFUNCTION("""COMPUTED_VALUE"""),11.1)</f>
        <v>11.1</v>
      </c>
    </row>
    <row r="747">
      <c r="D747" t="str">
        <f>IFERROR(__xludf.DUMMYFUNCTION("""COMPUTED_VALUE"""),"Gilbert")</f>
        <v>Gilbert</v>
      </c>
      <c r="E747" t="str">
        <f>IFERROR(__xludf.DUMMYFUNCTION("""COMPUTED_VALUE"""),"Marcus")</f>
        <v>Marcus</v>
      </c>
      <c r="F747" t="str">
        <f>IFERROR(__xludf.DUMMYFUNCTION("""COMPUTED_VALUE"""),"RT")</f>
        <v>RT</v>
      </c>
      <c r="G747">
        <f>IFERROR(__xludf.DUMMYFUNCTION("""COMPUTED_VALUE"""),12.45)</f>
        <v>12.45</v>
      </c>
    </row>
    <row r="748">
      <c r="D748" t="str">
        <f>IFERROR(__xludf.DUMMYFUNCTION("""COMPUTED_VALUE"""),"Gilbert")</f>
        <v>Gilbert</v>
      </c>
      <c r="E748" t="str">
        <f>IFERROR(__xludf.DUMMYFUNCTION("""COMPUTED_VALUE"""),"Reggie")</f>
        <v>Reggie</v>
      </c>
      <c r="F748" t="str">
        <f>IFERROR(__xludf.DUMMYFUNCTION("""COMPUTED_VALUE"""),"ROLB")</f>
        <v>ROLB</v>
      </c>
      <c r="G748">
        <f>IFERROR(__xludf.DUMMYFUNCTION("""COMPUTED_VALUE"""),8.549999999999999)</f>
        <v>8.55</v>
      </c>
    </row>
    <row r="749">
      <c r="D749" t="str">
        <f>IFERROR(__xludf.DUMMYFUNCTION("""COMPUTED_VALUE"""),"Gilchrist")</f>
        <v>Gilchrist</v>
      </c>
      <c r="E749" t="str">
        <f>IFERROR(__xludf.DUMMYFUNCTION("""COMPUTED_VALUE"""),"Marcus")</f>
        <v>Marcus</v>
      </c>
      <c r="F749" t="str">
        <f>IFERROR(__xludf.DUMMYFUNCTION("""COMPUTED_VALUE"""),"FS")</f>
        <v>FS</v>
      </c>
      <c r="G749">
        <f>IFERROR(__xludf.DUMMYFUNCTION("""COMPUTED_VALUE"""),12.299999999999999)</f>
        <v>12.3</v>
      </c>
    </row>
    <row r="750">
      <c r="D750" t="str">
        <f>IFERROR(__xludf.DUMMYFUNCTION("""COMPUTED_VALUE"""),"Gilliam")</f>
        <v>Gilliam</v>
      </c>
      <c r="E750" t="str">
        <f>IFERROR(__xludf.DUMMYFUNCTION("""COMPUTED_VALUE"""),"Garry")</f>
        <v>Garry</v>
      </c>
      <c r="F750" t="str">
        <f>IFERROR(__xludf.DUMMYFUNCTION("""COMPUTED_VALUE"""),"LT")</f>
        <v>LT</v>
      </c>
      <c r="G750">
        <f>IFERROR(__xludf.DUMMYFUNCTION("""COMPUTED_VALUE"""),10.799999999999999)</f>
        <v>10.8</v>
      </c>
    </row>
    <row r="751">
      <c r="D751" t="str">
        <f>IFERROR(__xludf.DUMMYFUNCTION("""COMPUTED_VALUE"""),"Gillislee")</f>
        <v>Gillislee</v>
      </c>
      <c r="E751" t="str">
        <f>IFERROR(__xludf.DUMMYFUNCTION("""COMPUTED_VALUE"""),"Mike")</f>
        <v>Mike</v>
      </c>
      <c r="F751" t="str">
        <f>IFERROR(__xludf.DUMMYFUNCTION("""COMPUTED_VALUE"""),"HB")</f>
        <v>HB</v>
      </c>
      <c r="G751">
        <f>IFERROR(__xludf.DUMMYFUNCTION("""COMPUTED_VALUE"""),10.5)</f>
        <v>10.5</v>
      </c>
    </row>
    <row r="752">
      <c r="D752" t="str">
        <f>IFERROR(__xludf.DUMMYFUNCTION("""COMPUTED_VALUE"""),"Gillmore")</f>
        <v>Gillmore</v>
      </c>
      <c r="E752" t="str">
        <f>IFERROR(__xludf.DUMMYFUNCTION("""COMPUTED_VALUE"""),"Crockett")</f>
        <v>Crockett</v>
      </c>
      <c r="F752" t="str">
        <f>IFERROR(__xludf.DUMMYFUNCTION("""COMPUTED_VALUE"""),"TE")</f>
        <v>TE</v>
      </c>
      <c r="G752">
        <f>IFERROR(__xludf.DUMMYFUNCTION("""COMPUTED_VALUE"""),11.7)</f>
        <v>11.7</v>
      </c>
    </row>
    <row r="753">
      <c r="D753" t="str">
        <f>IFERROR(__xludf.DUMMYFUNCTION("""COMPUTED_VALUE"""),"Gilmore")</f>
        <v>Gilmore</v>
      </c>
      <c r="E753" t="str">
        <f>IFERROR(__xludf.DUMMYFUNCTION("""COMPUTED_VALUE"""),"Stephon")</f>
        <v>Stephon</v>
      </c>
      <c r="F753" t="str">
        <f>IFERROR(__xludf.DUMMYFUNCTION("""COMPUTED_VALUE"""),"CB")</f>
        <v>CB</v>
      </c>
      <c r="G753">
        <f>IFERROR(__xludf.DUMMYFUNCTION("""COMPUTED_VALUE"""),12.75)</f>
        <v>12.75</v>
      </c>
    </row>
    <row r="754">
      <c r="D754" t="str">
        <f>IFERROR(__xludf.DUMMYFUNCTION("""COMPUTED_VALUE"""),"Ginn Jr.")</f>
        <v>Ginn Jr.</v>
      </c>
      <c r="E754" t="str">
        <f>IFERROR(__xludf.DUMMYFUNCTION("""COMPUTED_VALUE"""),"Ted")</f>
        <v>Ted</v>
      </c>
      <c r="F754" t="str">
        <f>IFERROR(__xludf.DUMMYFUNCTION("""COMPUTED_VALUE"""),"WR")</f>
        <v>WR</v>
      </c>
      <c r="G754">
        <f>IFERROR(__xludf.DUMMYFUNCTION("""COMPUTED_VALUE"""),11.549999999999999)</f>
        <v>11.55</v>
      </c>
    </row>
    <row r="755">
      <c r="D755" t="str">
        <f>IFERROR(__xludf.DUMMYFUNCTION("""COMPUTED_VALUE"""),"Gipson")</f>
        <v>Gipson</v>
      </c>
      <c r="E755" t="str">
        <f>IFERROR(__xludf.DUMMYFUNCTION("""COMPUTED_VALUE"""),"Tashaun")</f>
        <v>Tashaun</v>
      </c>
      <c r="F755" t="str">
        <f>IFERROR(__xludf.DUMMYFUNCTION("""COMPUTED_VALUE"""),"FS")</f>
        <v>FS</v>
      </c>
      <c r="G755">
        <f>IFERROR(__xludf.DUMMYFUNCTION("""COMPUTED_VALUE"""),11.549999999999999)</f>
        <v>11.55</v>
      </c>
    </row>
    <row r="756">
      <c r="D756" t="str">
        <f>IFERROR(__xludf.DUMMYFUNCTION("""COMPUTED_VALUE"""),"Givens")</f>
        <v>Givens</v>
      </c>
      <c r="E756" t="str">
        <f>IFERROR(__xludf.DUMMYFUNCTION("""COMPUTED_VALUE"""),"Chris")</f>
        <v>Chris</v>
      </c>
      <c r="F756" t="str">
        <f>IFERROR(__xludf.DUMMYFUNCTION("""COMPUTED_VALUE"""),"WR")</f>
        <v>WR</v>
      </c>
      <c r="G756">
        <f>IFERROR(__xludf.DUMMYFUNCTION("""COMPUTED_VALUE"""),10.2)</f>
        <v>10.2</v>
      </c>
    </row>
    <row r="757">
      <c r="D757" t="str">
        <f>IFERROR(__xludf.DUMMYFUNCTION("""COMPUTED_VALUE"""),"Glanton")</f>
        <v>Glanton</v>
      </c>
      <c r="E757" t="str">
        <f>IFERROR(__xludf.DUMMYFUNCTION("""COMPUTED_VALUE"""),"Adarius")</f>
        <v>Adarius</v>
      </c>
      <c r="F757" t="str">
        <f>IFERROR(__xludf.DUMMYFUNCTION("""COMPUTED_VALUE"""),"MLB")</f>
        <v>MLB</v>
      </c>
      <c r="G757">
        <f>IFERROR(__xludf.DUMMYFUNCTION("""COMPUTED_VALUE"""),9.15)</f>
        <v>9.15</v>
      </c>
    </row>
    <row r="758">
      <c r="D758" t="str">
        <f>IFERROR(__xludf.DUMMYFUNCTION("""COMPUTED_VALUE"""),"Glasgow")</f>
        <v>Glasgow</v>
      </c>
      <c r="E758" t="str">
        <f>IFERROR(__xludf.DUMMYFUNCTION("""COMPUTED_VALUE"""),"Graham")</f>
        <v>Graham</v>
      </c>
      <c r="F758" t="str">
        <f>IFERROR(__xludf.DUMMYFUNCTION("""COMPUTED_VALUE"""),"C")</f>
        <v>C</v>
      </c>
      <c r="G758">
        <f>IFERROR(__xludf.DUMMYFUNCTION("""COMPUTED_VALUE"""),10.35)</f>
        <v>10.35</v>
      </c>
    </row>
    <row r="759">
      <c r="D759" t="str">
        <f>IFERROR(__xludf.DUMMYFUNCTION("""COMPUTED_VALUE"""),"Glenn")</f>
        <v>Glenn</v>
      </c>
      <c r="E759" t="str">
        <f>IFERROR(__xludf.DUMMYFUNCTION("""COMPUTED_VALUE"""),"Cordy")</f>
        <v>Cordy</v>
      </c>
      <c r="F759" t="str">
        <f>IFERROR(__xludf.DUMMYFUNCTION("""COMPUTED_VALUE"""),"LT")</f>
        <v>LT</v>
      </c>
      <c r="G759">
        <f>IFERROR(__xludf.DUMMYFUNCTION("""COMPUTED_VALUE"""),13.35)</f>
        <v>13.35</v>
      </c>
    </row>
    <row r="760">
      <c r="D760" t="str">
        <f>IFERROR(__xludf.DUMMYFUNCTION("""COMPUTED_VALUE"""),"Glenn")</f>
        <v>Glenn</v>
      </c>
      <c r="E760" t="str">
        <f>IFERROR(__xludf.DUMMYFUNCTION("""COMPUTED_VALUE"""),"Jacoby")</f>
        <v>Jacoby</v>
      </c>
      <c r="F760" t="str">
        <f>IFERROR(__xludf.DUMMYFUNCTION("""COMPUTED_VALUE"""),"CB")</f>
        <v>CB</v>
      </c>
      <c r="G760">
        <f>IFERROR(__xludf.DUMMYFUNCTION("""COMPUTED_VALUE"""),9.299999999999999)</f>
        <v>9.3</v>
      </c>
    </row>
    <row r="761">
      <c r="D761" t="str">
        <f>IFERROR(__xludf.DUMMYFUNCTION("""COMPUTED_VALUE"""),"Glennon")</f>
        <v>Glennon</v>
      </c>
      <c r="E761" t="str">
        <f>IFERROR(__xludf.DUMMYFUNCTION("""COMPUTED_VALUE"""),"Mike")</f>
        <v>Mike</v>
      </c>
      <c r="F761" t="str">
        <f>IFERROR(__xludf.DUMMYFUNCTION("""COMPUTED_VALUE"""),"QB")</f>
        <v>QB</v>
      </c>
      <c r="G761">
        <f>IFERROR(__xludf.DUMMYFUNCTION("""COMPUTED_VALUE"""),10.65)</f>
        <v>10.65</v>
      </c>
    </row>
    <row r="762">
      <c r="D762" t="str">
        <f>IFERROR(__xludf.DUMMYFUNCTION("""COMPUTED_VALUE"""),"Glover")</f>
        <v>Glover</v>
      </c>
      <c r="E762" t="str">
        <f>IFERROR(__xludf.DUMMYFUNCTION("""COMPUTED_VALUE"""),"Antonio")</f>
        <v>Antonio</v>
      </c>
      <c r="F762" t="str">
        <f>IFERROR(__xludf.DUMMYFUNCTION("""COMPUTED_VALUE"""),"SS")</f>
        <v>SS</v>
      </c>
      <c r="G762">
        <f>IFERROR(__xludf.DUMMYFUNCTION("""COMPUTED_VALUE"""),9.45)</f>
        <v>9.45</v>
      </c>
    </row>
    <row r="763">
      <c r="D763" t="str">
        <f>IFERROR(__xludf.DUMMYFUNCTION("""COMPUTED_VALUE"""),"Glover-Wright")</f>
        <v>Glover-Wright</v>
      </c>
      <c r="E763" t="str">
        <f>IFERROR(__xludf.DUMMYFUNCTION("""COMPUTED_VALUE"""),"Tay")</f>
        <v>Tay</v>
      </c>
      <c r="F763" t="str">
        <f>IFERROR(__xludf.DUMMYFUNCTION("""COMPUTED_VALUE"""),"CB")</f>
        <v>CB</v>
      </c>
      <c r="G763">
        <f>IFERROR(__xludf.DUMMYFUNCTION("""COMPUTED_VALUE"""),10.049999999999999)</f>
        <v>10.05</v>
      </c>
    </row>
    <row r="764">
      <c r="D764" t="str">
        <f>IFERROR(__xludf.DUMMYFUNCTION("""COMPUTED_VALUE"""),"Glowinski")</f>
        <v>Glowinski</v>
      </c>
      <c r="E764" t="str">
        <f>IFERROR(__xludf.DUMMYFUNCTION("""COMPUTED_VALUE"""),"Mark")</f>
        <v>Mark</v>
      </c>
      <c r="F764" t="str">
        <f>IFERROR(__xludf.DUMMYFUNCTION("""COMPUTED_VALUE"""),"LG")</f>
        <v>LG</v>
      </c>
      <c r="G764">
        <f>IFERROR(__xludf.DUMMYFUNCTION("""COMPUTED_VALUE"""),10.35)</f>
        <v>10.35</v>
      </c>
    </row>
    <row r="765">
      <c r="D765" t="str">
        <f>IFERROR(__xludf.DUMMYFUNCTION("""COMPUTED_VALUE"""),"Godfrey")</f>
        <v>Godfrey</v>
      </c>
      <c r="E765" t="str">
        <f>IFERROR(__xludf.DUMMYFUNCTION("""COMPUTED_VALUE"""),"Charles")</f>
        <v>Charles</v>
      </c>
      <c r="F765" t="str">
        <f>IFERROR(__xludf.DUMMYFUNCTION("""COMPUTED_VALUE"""),"SS")</f>
        <v>SS</v>
      </c>
      <c r="G765">
        <f>IFERROR(__xludf.DUMMYFUNCTION("""COMPUTED_VALUE"""),10.799999999999999)</f>
        <v>10.8</v>
      </c>
    </row>
    <row r="766">
      <c r="D766" t="str">
        <f>IFERROR(__xludf.DUMMYFUNCTION("""COMPUTED_VALUE"""),"Goff")</f>
        <v>Goff</v>
      </c>
      <c r="E766" t="str">
        <f>IFERROR(__xludf.DUMMYFUNCTION("""COMPUTED_VALUE"""),"Jared")</f>
        <v>Jared</v>
      </c>
      <c r="F766" t="str">
        <f>IFERROR(__xludf.DUMMYFUNCTION("""COMPUTED_VALUE"""),"QB")</f>
        <v>QB</v>
      </c>
      <c r="G766">
        <f>IFERROR(__xludf.DUMMYFUNCTION("""COMPUTED_VALUE"""),11.549999999999999)</f>
        <v>11.55</v>
      </c>
    </row>
    <row r="767">
      <c r="D767" t="str">
        <f>IFERROR(__xludf.DUMMYFUNCTION("""COMPUTED_VALUE"""),"Golden")</f>
        <v>Golden</v>
      </c>
      <c r="E767" t="str">
        <f>IFERROR(__xludf.DUMMYFUNCTION("""COMPUTED_VALUE"""),"Brittan")</f>
        <v>Brittan</v>
      </c>
      <c r="F767" t="str">
        <f>IFERROR(__xludf.DUMMYFUNCTION("""COMPUTED_VALUE"""),"WR")</f>
        <v>WR</v>
      </c>
      <c r="G767">
        <f>IFERROR(__xludf.DUMMYFUNCTION("""COMPUTED_VALUE"""),9.299999999999999)</f>
        <v>9.3</v>
      </c>
    </row>
    <row r="768">
      <c r="D768" t="str">
        <f>IFERROR(__xludf.DUMMYFUNCTION("""COMPUTED_VALUE"""),"Golden")</f>
        <v>Golden</v>
      </c>
      <c r="E768" t="str">
        <f>IFERROR(__xludf.DUMMYFUNCTION("""COMPUTED_VALUE"""),"Markus")</f>
        <v>Markus</v>
      </c>
      <c r="F768" t="str">
        <f>IFERROR(__xludf.DUMMYFUNCTION("""COMPUTED_VALUE"""),"LOLB")</f>
        <v>LOLB</v>
      </c>
      <c r="G768">
        <f>IFERROR(__xludf.DUMMYFUNCTION("""COMPUTED_VALUE"""),10.35)</f>
        <v>10.35</v>
      </c>
    </row>
    <row r="769">
      <c r="D769" t="str">
        <f>IFERROR(__xludf.DUMMYFUNCTION("""COMPUTED_VALUE"""),"Golden")</f>
        <v>Golden</v>
      </c>
      <c r="E769" t="str">
        <f>IFERROR(__xludf.DUMMYFUNCTION("""COMPUTED_VALUE"""),"Robert")</f>
        <v>Robert</v>
      </c>
      <c r="F769" t="str">
        <f>IFERROR(__xludf.DUMMYFUNCTION("""COMPUTED_VALUE"""),"FS")</f>
        <v>FS</v>
      </c>
      <c r="G769">
        <f>IFERROR(__xludf.DUMMYFUNCTION("""COMPUTED_VALUE"""),11.1)</f>
        <v>11.1</v>
      </c>
    </row>
    <row r="770">
      <c r="D770" t="str">
        <f>IFERROR(__xludf.DUMMYFUNCTION("""COMPUTED_VALUE"""),"Goldman")</f>
        <v>Goldman</v>
      </c>
      <c r="E770" t="str">
        <f>IFERROR(__xludf.DUMMYFUNCTION("""COMPUTED_VALUE"""),"Eddie")</f>
        <v>Eddie</v>
      </c>
      <c r="F770" t="str">
        <f>IFERROR(__xludf.DUMMYFUNCTION("""COMPUTED_VALUE"""),"DT")</f>
        <v>DT</v>
      </c>
      <c r="G770">
        <f>IFERROR(__xludf.DUMMYFUNCTION("""COMPUTED_VALUE"""),11.4)</f>
        <v>11.4</v>
      </c>
    </row>
    <row r="771">
      <c r="D771" t="str">
        <f>IFERROR(__xludf.DUMMYFUNCTION("""COMPUTED_VALUE"""),"Golson")</f>
        <v>Golson</v>
      </c>
      <c r="E771" t="str">
        <f>IFERROR(__xludf.DUMMYFUNCTION("""COMPUTED_VALUE"""),"Senquez")</f>
        <v>Senquez</v>
      </c>
      <c r="F771" t="str">
        <f>IFERROR(__xludf.DUMMYFUNCTION("""COMPUTED_VALUE"""),"CB")</f>
        <v>CB</v>
      </c>
      <c r="G771">
        <f>IFERROR(__xludf.DUMMYFUNCTION("""COMPUTED_VALUE"""),10.65)</f>
        <v>10.65</v>
      </c>
    </row>
    <row r="772">
      <c r="D772" t="str">
        <f>IFERROR(__xludf.DUMMYFUNCTION("""COMPUTED_VALUE"""),"Golston")</f>
        <v>Golston</v>
      </c>
      <c r="E772" t="str">
        <f>IFERROR(__xludf.DUMMYFUNCTION("""COMPUTED_VALUE"""),"Kedric")</f>
        <v>Kedric</v>
      </c>
      <c r="F772" t="str">
        <f>IFERROR(__xludf.DUMMYFUNCTION("""COMPUTED_VALUE"""),"DT")</f>
        <v>DT</v>
      </c>
      <c r="G772">
        <f>IFERROR(__xludf.DUMMYFUNCTION("""COMPUTED_VALUE"""),10.65)</f>
        <v>10.65</v>
      </c>
    </row>
    <row r="773">
      <c r="D773" t="str">
        <f>IFERROR(__xludf.DUMMYFUNCTION("""COMPUTED_VALUE"""),"Good")</f>
        <v>Good</v>
      </c>
      <c r="E773" t="str">
        <f>IFERROR(__xludf.DUMMYFUNCTION("""COMPUTED_VALUE"""),"Denzelle")</f>
        <v>Denzelle</v>
      </c>
      <c r="F773" t="str">
        <f>IFERROR(__xludf.DUMMYFUNCTION("""COMPUTED_VALUE"""),"RT")</f>
        <v>RT</v>
      </c>
      <c r="G773">
        <f>IFERROR(__xludf.DUMMYFUNCTION("""COMPUTED_VALUE"""),10.35)</f>
        <v>10.35</v>
      </c>
    </row>
    <row r="774">
      <c r="D774" t="str">
        <f>IFERROR(__xludf.DUMMYFUNCTION("""COMPUTED_VALUE"""),"Goode")</f>
        <v>Goode</v>
      </c>
      <c r="E774" t="str">
        <f>IFERROR(__xludf.DUMMYFUNCTION("""COMPUTED_VALUE"""),"Najee")</f>
        <v>Najee</v>
      </c>
      <c r="F774" t="str">
        <f>IFERROR(__xludf.DUMMYFUNCTION("""COMPUTED_VALUE"""),"MLB")</f>
        <v>MLB</v>
      </c>
      <c r="G774">
        <f>IFERROR(__xludf.DUMMYFUNCTION("""COMPUTED_VALUE"""),9.6)</f>
        <v>9.6</v>
      </c>
    </row>
    <row r="775">
      <c r="D775" t="str">
        <f>IFERROR(__xludf.DUMMYFUNCTION("""COMPUTED_VALUE"""),"Gooden")</f>
        <v>Gooden</v>
      </c>
      <c r="E775" t="str">
        <f>IFERROR(__xludf.DUMMYFUNCTION("""COMPUTED_VALUE"""),"Zaviar")</f>
        <v>Zaviar</v>
      </c>
      <c r="F775" t="str">
        <f>IFERROR(__xludf.DUMMYFUNCTION("""COMPUTED_VALUE"""),"MLB")</f>
        <v>MLB</v>
      </c>
      <c r="G775">
        <f>IFERROR(__xludf.DUMMYFUNCTION("""COMPUTED_VALUE"""),10.049999999999999)</f>
        <v>10.05</v>
      </c>
    </row>
    <row r="776">
      <c r="D776" t="str">
        <f>IFERROR(__xludf.DUMMYFUNCTION("""COMPUTED_VALUE"""),"Goodley")</f>
        <v>Goodley</v>
      </c>
      <c r="E776" t="str">
        <f>IFERROR(__xludf.DUMMYFUNCTION("""COMPUTED_VALUE"""),"Antwan")</f>
        <v>Antwan</v>
      </c>
      <c r="F776" t="str">
        <f>IFERROR(__xludf.DUMMYFUNCTION("""COMPUTED_VALUE"""),"WR")</f>
        <v>WR</v>
      </c>
      <c r="G776">
        <f>IFERROR(__xludf.DUMMYFUNCTION("""COMPUTED_VALUE"""),9.75)</f>
        <v>9.75</v>
      </c>
    </row>
    <row r="777">
      <c r="D777" t="str">
        <f>IFERROR(__xludf.DUMMYFUNCTION("""COMPUTED_VALUE"""),"Goodman")</f>
        <v>Goodman</v>
      </c>
      <c r="E777" t="str">
        <f>IFERROR(__xludf.DUMMYFUNCTION("""COMPUTED_VALUE"""),"Malliciah")</f>
        <v>Malliciah</v>
      </c>
      <c r="F777" t="str">
        <f>IFERROR(__xludf.DUMMYFUNCTION("""COMPUTED_VALUE"""),"LE")</f>
        <v>LE</v>
      </c>
      <c r="G777">
        <f>IFERROR(__xludf.DUMMYFUNCTION("""COMPUTED_VALUE"""),10.2)</f>
        <v>10.2</v>
      </c>
    </row>
    <row r="778">
      <c r="D778" t="str">
        <f>IFERROR(__xludf.DUMMYFUNCTION("""COMPUTED_VALUE"""),"Goodson")</f>
        <v>Goodson</v>
      </c>
      <c r="E778" t="str">
        <f>IFERROR(__xludf.DUMMYFUNCTION("""COMPUTED_VALUE"""),"BJ")</f>
        <v>BJ</v>
      </c>
      <c r="F778" t="str">
        <f>IFERROR(__xludf.DUMMYFUNCTION("""COMPUTED_VALUE"""),"MLB")</f>
        <v>MLB</v>
      </c>
      <c r="G778">
        <f>IFERROR(__xludf.DUMMYFUNCTION("""COMPUTED_VALUE"""),9.9)</f>
        <v>9.9</v>
      </c>
    </row>
    <row r="779">
      <c r="D779" t="str">
        <f>IFERROR(__xludf.DUMMYFUNCTION("""COMPUTED_VALUE"""),"Goodson")</f>
        <v>Goodson</v>
      </c>
      <c r="E779" t="str">
        <f>IFERROR(__xludf.DUMMYFUNCTION("""COMPUTED_VALUE"""),"Demetri")</f>
        <v>Demetri</v>
      </c>
      <c r="F779" t="str">
        <f>IFERROR(__xludf.DUMMYFUNCTION("""COMPUTED_VALUE"""),"CB")</f>
        <v>CB</v>
      </c>
      <c r="G779">
        <f>IFERROR(__xludf.DUMMYFUNCTION("""COMPUTED_VALUE"""),10.2)</f>
        <v>10.2</v>
      </c>
    </row>
    <row r="780">
      <c r="D780" t="str">
        <f>IFERROR(__xludf.DUMMYFUNCTION("""COMPUTED_VALUE"""),"Goodwin")</f>
        <v>Goodwin</v>
      </c>
      <c r="E780" t="str">
        <f>IFERROR(__xludf.DUMMYFUNCTION("""COMPUTED_VALUE"""),"CJ")</f>
        <v>CJ</v>
      </c>
      <c r="F780" t="str">
        <f>IFERROR(__xludf.DUMMYFUNCTION("""COMPUTED_VALUE"""),"CB")</f>
        <v>CB</v>
      </c>
      <c r="G780">
        <f>IFERROR(__xludf.DUMMYFUNCTION("""COMPUTED_VALUE"""),9.15)</f>
        <v>9.15</v>
      </c>
    </row>
    <row r="781">
      <c r="D781" t="str">
        <f>IFERROR(__xludf.DUMMYFUNCTION("""COMPUTED_VALUE"""),"Goodwin")</f>
        <v>Goodwin</v>
      </c>
      <c r="E781" t="str">
        <f>IFERROR(__xludf.DUMMYFUNCTION("""COMPUTED_VALUE"""),"Marquise")</f>
        <v>Marquise</v>
      </c>
      <c r="F781" t="str">
        <f>IFERROR(__xludf.DUMMYFUNCTION("""COMPUTED_VALUE"""),"WR")</f>
        <v>WR</v>
      </c>
      <c r="G781">
        <f>IFERROR(__xludf.DUMMYFUNCTION("""COMPUTED_VALUE"""),10.2)</f>
        <v>10.2</v>
      </c>
    </row>
    <row r="782">
      <c r="D782" t="str">
        <f>IFERROR(__xludf.DUMMYFUNCTION("""COMPUTED_VALUE"""),"Gordon")</f>
        <v>Gordon</v>
      </c>
      <c r="E782" t="str">
        <f>IFERROR(__xludf.DUMMYFUNCTION("""COMPUTED_VALUE"""),"Josh")</f>
        <v>Josh</v>
      </c>
      <c r="F782" t="str">
        <f>IFERROR(__xludf.DUMMYFUNCTION("""COMPUTED_VALUE"""),"WR")</f>
        <v>WR</v>
      </c>
      <c r="G782">
        <f>IFERROR(__xludf.DUMMYFUNCTION("""COMPUTED_VALUE"""),11.4)</f>
        <v>11.4</v>
      </c>
    </row>
    <row r="783">
      <c r="D783" t="str">
        <f>IFERROR(__xludf.DUMMYFUNCTION("""COMPUTED_VALUE"""),"Gordon")</f>
        <v>Gordon</v>
      </c>
      <c r="E783" t="str">
        <f>IFERROR(__xludf.DUMMYFUNCTION("""COMPUTED_VALUE"""),"Melvin")</f>
        <v>Melvin</v>
      </c>
      <c r="F783" t="str">
        <f>IFERROR(__xludf.DUMMYFUNCTION("""COMPUTED_VALUE"""),"HB")</f>
        <v>HB</v>
      </c>
      <c r="G783">
        <f>IFERROR(__xludf.DUMMYFUNCTION("""COMPUTED_VALUE"""),11.4)</f>
        <v>11.4</v>
      </c>
    </row>
    <row r="784">
      <c r="D784" t="str">
        <f>IFERROR(__xludf.DUMMYFUNCTION("""COMPUTED_VALUE"""),"Gore")</f>
        <v>Gore</v>
      </c>
      <c r="E784" t="str">
        <f>IFERROR(__xludf.DUMMYFUNCTION("""COMPUTED_VALUE"""),"Frank")</f>
        <v>Frank</v>
      </c>
      <c r="F784" t="str">
        <f>IFERROR(__xludf.DUMMYFUNCTION("""COMPUTED_VALUE"""),"HB")</f>
        <v>HB</v>
      </c>
      <c r="G784">
        <f>IFERROR(__xludf.DUMMYFUNCTION("""COMPUTED_VALUE"""),11.85)</f>
        <v>11.85</v>
      </c>
    </row>
    <row r="785">
      <c r="D785" t="str">
        <f>IFERROR(__xludf.DUMMYFUNCTION("""COMPUTED_VALUE"""),"Gostkowski")</f>
        <v>Gostkowski</v>
      </c>
      <c r="E785" t="str">
        <f>IFERROR(__xludf.DUMMYFUNCTION("""COMPUTED_VALUE"""),"Stephen")</f>
        <v>Stephen</v>
      </c>
      <c r="F785" t="str">
        <f>IFERROR(__xludf.DUMMYFUNCTION("""COMPUTED_VALUE"""),"K")</f>
        <v>K</v>
      </c>
      <c r="G785">
        <f>IFERROR(__xludf.DUMMYFUNCTION("""COMPUTED_VALUE"""),12.75)</f>
        <v>12.75</v>
      </c>
    </row>
    <row r="786">
      <c r="D786" t="str">
        <f>IFERROR(__xludf.DUMMYFUNCTION("""COMPUTED_VALUE"""),"Gotsis")</f>
        <v>Gotsis</v>
      </c>
      <c r="E786" t="str">
        <f>IFERROR(__xludf.DUMMYFUNCTION("""COMPUTED_VALUE"""),"Adam")</f>
        <v>Adam</v>
      </c>
      <c r="F786" t="str">
        <f>IFERROR(__xludf.DUMMYFUNCTION("""COMPUTED_VALUE"""),"RE")</f>
        <v>RE</v>
      </c>
      <c r="G786">
        <f>IFERROR(__xludf.DUMMYFUNCTION("""COMPUTED_VALUE"""),10.2)</f>
        <v>10.2</v>
      </c>
    </row>
    <row r="787">
      <c r="D787" t="str">
        <f>IFERROR(__xludf.DUMMYFUNCTION("""COMPUTED_VALUE"""),"Gould")</f>
        <v>Gould</v>
      </c>
      <c r="E787" t="str">
        <f>IFERROR(__xludf.DUMMYFUNCTION("""COMPUTED_VALUE"""),"Robbie")</f>
        <v>Robbie</v>
      </c>
      <c r="F787" t="str">
        <f>IFERROR(__xludf.DUMMYFUNCTION("""COMPUTED_VALUE"""),"K")</f>
        <v>K</v>
      </c>
      <c r="G787">
        <f>IFERROR(__xludf.DUMMYFUNCTION("""COMPUTED_VALUE"""),11.85)</f>
        <v>11.85</v>
      </c>
    </row>
    <row r="788">
      <c r="D788" t="str">
        <f>IFERROR(__xludf.DUMMYFUNCTION("""COMPUTED_VALUE"""),"Gradkowski")</f>
        <v>Gradkowski</v>
      </c>
      <c r="E788" t="str">
        <f>IFERROR(__xludf.DUMMYFUNCTION("""COMPUTED_VALUE"""),"Bruce")</f>
        <v>Bruce</v>
      </c>
      <c r="F788" t="str">
        <f>IFERROR(__xludf.DUMMYFUNCTION("""COMPUTED_VALUE"""),"QB")</f>
        <v>QB</v>
      </c>
      <c r="G788">
        <f>IFERROR(__xludf.DUMMYFUNCTION("""COMPUTED_VALUE"""),10.35)</f>
        <v>10.35</v>
      </c>
    </row>
    <row r="789">
      <c r="D789" t="str">
        <f>IFERROR(__xludf.DUMMYFUNCTION("""COMPUTED_VALUE"""),"Gradkowski")</f>
        <v>Gradkowski</v>
      </c>
      <c r="E789" t="str">
        <f>IFERROR(__xludf.DUMMYFUNCTION("""COMPUTED_VALUE"""),"Gino")</f>
        <v>Gino</v>
      </c>
      <c r="F789" t="str">
        <f>IFERROR(__xludf.DUMMYFUNCTION("""COMPUTED_VALUE"""),"C")</f>
        <v>C</v>
      </c>
      <c r="G789">
        <f>IFERROR(__xludf.DUMMYFUNCTION("""COMPUTED_VALUE"""),10.5)</f>
        <v>10.5</v>
      </c>
    </row>
    <row r="790">
      <c r="D790" t="str">
        <f>IFERROR(__xludf.DUMMYFUNCTION("""COMPUTED_VALUE"""),"Graf")</f>
        <v>Graf</v>
      </c>
      <c r="E790" t="str">
        <f>IFERROR(__xludf.DUMMYFUNCTION("""COMPUTED_VALUE"""),"Kevin")</f>
        <v>Kevin</v>
      </c>
      <c r="F790" t="str">
        <f>IFERROR(__xludf.DUMMYFUNCTION("""COMPUTED_VALUE"""),"LT")</f>
        <v>LT</v>
      </c>
      <c r="G790">
        <f>IFERROR(__xludf.DUMMYFUNCTION("""COMPUTED_VALUE"""),9.6)</f>
        <v>9.6</v>
      </c>
    </row>
    <row r="791">
      <c r="D791" t="str">
        <f>IFERROR(__xludf.DUMMYFUNCTION("""COMPUTED_VALUE"""),"Gragg")</f>
        <v>Gragg</v>
      </c>
      <c r="E791" t="str">
        <f>IFERROR(__xludf.DUMMYFUNCTION("""COMPUTED_VALUE"""),"Chris")</f>
        <v>Chris</v>
      </c>
      <c r="F791" t="str">
        <f>IFERROR(__xludf.DUMMYFUNCTION("""COMPUTED_VALUE"""),"TE")</f>
        <v>TE</v>
      </c>
      <c r="G791">
        <f>IFERROR(__xludf.DUMMYFUNCTION("""COMPUTED_VALUE"""),10.799999999999999)</f>
        <v>10.8</v>
      </c>
    </row>
    <row r="792">
      <c r="D792" t="str">
        <f>IFERROR(__xludf.DUMMYFUNCTION("""COMPUTED_VALUE"""),"Graham")</f>
        <v>Graham</v>
      </c>
      <c r="E792" t="str">
        <f>IFERROR(__xludf.DUMMYFUNCTION("""COMPUTED_VALUE"""),"Brandon")</f>
        <v>Brandon</v>
      </c>
      <c r="F792" t="str">
        <f>IFERROR(__xludf.DUMMYFUNCTION("""COMPUTED_VALUE"""),"RE")</f>
        <v>RE</v>
      </c>
      <c r="G792">
        <f>IFERROR(__xludf.DUMMYFUNCTION("""COMPUTED_VALUE"""),13.799999999999999)</f>
        <v>13.8</v>
      </c>
    </row>
    <row r="793">
      <c r="D793" t="str">
        <f>IFERROR(__xludf.DUMMYFUNCTION("""COMPUTED_VALUE"""),"Graham")</f>
        <v>Graham</v>
      </c>
      <c r="E793" t="str">
        <f>IFERROR(__xludf.DUMMYFUNCTION("""COMPUTED_VALUE"""),"Corey")</f>
        <v>Corey</v>
      </c>
      <c r="F793" t="str">
        <f>IFERROR(__xludf.DUMMYFUNCTION("""COMPUTED_VALUE"""),"FS")</f>
        <v>FS</v>
      </c>
      <c r="G793">
        <f>IFERROR(__xludf.DUMMYFUNCTION("""COMPUTED_VALUE"""),12.299999999999999)</f>
        <v>12.3</v>
      </c>
    </row>
    <row r="794">
      <c r="D794" t="str">
        <f>IFERROR(__xludf.DUMMYFUNCTION("""COMPUTED_VALUE"""),"Graham")</f>
        <v>Graham</v>
      </c>
      <c r="E794" t="str">
        <f>IFERROR(__xludf.DUMMYFUNCTION("""COMPUTED_VALUE"""),"Garrett")</f>
        <v>Garrett</v>
      </c>
      <c r="F794" t="str">
        <f>IFERROR(__xludf.DUMMYFUNCTION("""COMPUTED_VALUE"""),"TE")</f>
        <v>TE</v>
      </c>
      <c r="G794">
        <f>IFERROR(__xludf.DUMMYFUNCTION("""COMPUTED_VALUE"""),10.5)</f>
        <v>10.5</v>
      </c>
    </row>
    <row r="795">
      <c r="D795" t="str">
        <f>IFERROR(__xludf.DUMMYFUNCTION("""COMPUTED_VALUE"""),"Graham")</f>
        <v>Graham</v>
      </c>
      <c r="E795" t="str">
        <f>IFERROR(__xludf.DUMMYFUNCTION("""COMPUTED_VALUE"""),"Jimmy")</f>
        <v>Jimmy</v>
      </c>
      <c r="F795" t="str">
        <f>IFERROR(__xludf.DUMMYFUNCTION("""COMPUTED_VALUE"""),"TE")</f>
        <v>TE</v>
      </c>
      <c r="G795">
        <f>IFERROR(__xludf.DUMMYFUNCTION("""COMPUTED_VALUE"""),13.35)</f>
        <v>13.35</v>
      </c>
    </row>
    <row r="796">
      <c r="D796" t="str">
        <f>IFERROR(__xludf.DUMMYFUNCTION("""COMPUTED_VALUE"""),"Graham")</f>
        <v>Graham</v>
      </c>
      <c r="E796" t="str">
        <f>IFERROR(__xludf.DUMMYFUNCTION("""COMPUTED_VALUE"""),"TJ")</f>
        <v>TJ</v>
      </c>
      <c r="F796" t="str">
        <f>IFERROR(__xludf.DUMMYFUNCTION("""COMPUTED_VALUE"""),"WR")</f>
        <v>WR</v>
      </c>
      <c r="G796">
        <f>IFERROR(__xludf.DUMMYFUNCTION("""COMPUTED_VALUE"""),9.9)</f>
        <v>9.9</v>
      </c>
    </row>
    <row r="797">
      <c r="D797" t="str">
        <f>IFERROR(__xludf.DUMMYFUNCTION("""COMPUTED_VALUE"""),"Grant")</f>
        <v>Grant</v>
      </c>
      <c r="E797" t="str">
        <f>IFERROR(__xludf.DUMMYFUNCTION("""COMPUTED_VALUE"""),"Antwane")</f>
        <v>Antwane</v>
      </c>
      <c r="F797" t="str">
        <f>IFERROR(__xludf.DUMMYFUNCTION("""COMPUTED_VALUE"""),"WR")</f>
        <v>WR</v>
      </c>
      <c r="G797">
        <f>IFERROR(__xludf.DUMMYFUNCTION("""COMPUTED_VALUE"""),8.85)</f>
        <v>8.85</v>
      </c>
    </row>
    <row r="798">
      <c r="D798" t="str">
        <f>IFERROR(__xludf.DUMMYFUNCTION("""COMPUTED_VALUE"""),"Grant")</f>
        <v>Grant</v>
      </c>
      <c r="E798" t="str">
        <f>IFERROR(__xludf.DUMMYFUNCTION("""COMPUTED_VALUE"""),"Corey")</f>
        <v>Corey</v>
      </c>
      <c r="F798" t="str">
        <f>IFERROR(__xludf.DUMMYFUNCTION("""COMPUTED_VALUE"""),"HB")</f>
        <v>HB</v>
      </c>
      <c r="G798">
        <f>IFERROR(__xludf.DUMMYFUNCTION("""COMPUTED_VALUE"""),8.85)</f>
        <v>8.85</v>
      </c>
    </row>
    <row r="799">
      <c r="D799" t="str">
        <f>IFERROR(__xludf.DUMMYFUNCTION("""COMPUTED_VALUE"""),"Grant")</f>
        <v>Grant</v>
      </c>
      <c r="E799" t="str">
        <f>IFERROR(__xludf.DUMMYFUNCTION("""COMPUTED_VALUE"""),"Doran")</f>
        <v>Doran</v>
      </c>
      <c r="F799" t="str">
        <f>IFERROR(__xludf.DUMMYFUNCTION("""COMPUTED_VALUE"""),"CB")</f>
        <v>CB</v>
      </c>
      <c r="G799">
        <f>IFERROR(__xludf.DUMMYFUNCTION("""COMPUTED_VALUE"""),9.9)</f>
        <v>9.9</v>
      </c>
    </row>
    <row r="800">
      <c r="D800" t="str">
        <f>IFERROR(__xludf.DUMMYFUNCTION("""COMPUTED_VALUE"""),"Grant")</f>
        <v>Grant</v>
      </c>
      <c r="E800" t="str">
        <f>IFERROR(__xludf.DUMMYFUNCTION("""COMPUTED_VALUE"""),"Jakeem")</f>
        <v>Jakeem</v>
      </c>
      <c r="F800" t="str">
        <f>IFERROR(__xludf.DUMMYFUNCTION("""COMPUTED_VALUE"""),"WR")</f>
        <v>WR</v>
      </c>
      <c r="G800">
        <f>IFERROR(__xludf.DUMMYFUNCTION("""COMPUTED_VALUE"""),9.9)</f>
        <v>9.9</v>
      </c>
    </row>
    <row r="801">
      <c r="D801" t="str">
        <f>IFERROR(__xludf.DUMMYFUNCTION("""COMPUTED_VALUE"""),"Grant")</f>
        <v>Grant</v>
      </c>
      <c r="E801" t="str">
        <f>IFERROR(__xludf.DUMMYFUNCTION("""COMPUTED_VALUE"""),"Ryan")</f>
        <v>Ryan</v>
      </c>
      <c r="F801" t="str">
        <f>IFERROR(__xludf.DUMMYFUNCTION("""COMPUTED_VALUE"""),"WR")</f>
        <v>WR</v>
      </c>
      <c r="G801">
        <f>IFERROR(__xludf.DUMMYFUNCTION("""COMPUTED_VALUE"""),10.35)</f>
        <v>10.35</v>
      </c>
    </row>
    <row r="802">
      <c r="D802" t="str">
        <f>IFERROR(__xludf.DUMMYFUNCTION("""COMPUTED_VALUE"""),"Grasu")</f>
        <v>Grasu</v>
      </c>
      <c r="E802" t="str">
        <f>IFERROR(__xludf.DUMMYFUNCTION("""COMPUTED_VALUE"""),"Hroniss")</f>
        <v>Hroniss</v>
      </c>
      <c r="F802" t="str">
        <f>IFERROR(__xludf.DUMMYFUNCTION("""COMPUTED_VALUE"""),"C")</f>
        <v>C</v>
      </c>
      <c r="G802">
        <f>IFERROR(__xludf.DUMMYFUNCTION("""COMPUTED_VALUE"""),10.2)</f>
        <v>10.2</v>
      </c>
    </row>
    <row r="803">
      <c r="D803" t="str">
        <f>IFERROR(__xludf.DUMMYFUNCTION("""COMPUTED_VALUE"""),"Gratz")</f>
        <v>Gratz</v>
      </c>
      <c r="E803" t="str">
        <f>IFERROR(__xludf.DUMMYFUNCTION("""COMPUTED_VALUE"""),"Dwayne")</f>
        <v>Dwayne</v>
      </c>
      <c r="F803" t="str">
        <f>IFERROR(__xludf.DUMMYFUNCTION("""COMPUTED_VALUE"""),"CB")</f>
        <v>CB</v>
      </c>
      <c r="G803">
        <f>IFERROR(__xludf.DUMMYFUNCTION("""COMPUTED_VALUE"""),11.1)</f>
        <v>11.1</v>
      </c>
    </row>
    <row r="804">
      <c r="D804" t="str">
        <f>IFERROR(__xludf.DUMMYFUNCTION("""COMPUTED_VALUE"""),"Gray")</f>
        <v>Gray</v>
      </c>
      <c r="E804" t="str">
        <f>IFERROR(__xludf.DUMMYFUNCTION("""COMPUTED_VALUE"""),"MarQueis")</f>
        <v>MarQueis</v>
      </c>
      <c r="F804" t="str">
        <f>IFERROR(__xludf.DUMMYFUNCTION("""COMPUTED_VALUE"""),"TE")</f>
        <v>TE</v>
      </c>
      <c r="G804">
        <f>IFERROR(__xludf.DUMMYFUNCTION("""COMPUTED_VALUE"""),10.35)</f>
        <v>10.35</v>
      </c>
    </row>
    <row r="805">
      <c r="D805" t="str">
        <f>IFERROR(__xludf.DUMMYFUNCTION("""COMPUTED_VALUE"""),"Grayson")</f>
        <v>Grayson</v>
      </c>
      <c r="E805" t="str">
        <f>IFERROR(__xludf.DUMMYFUNCTION("""COMPUTED_VALUE"""),"Garrett")</f>
        <v>Garrett</v>
      </c>
      <c r="F805" t="str">
        <f>IFERROR(__xludf.DUMMYFUNCTION("""COMPUTED_VALUE"""),"QB")</f>
        <v>QB</v>
      </c>
      <c r="G805">
        <f>IFERROR(__xludf.DUMMYFUNCTION("""COMPUTED_VALUE"""),9.6)</f>
        <v>9.6</v>
      </c>
    </row>
    <row r="806">
      <c r="D806" t="str">
        <f>IFERROR(__xludf.DUMMYFUNCTION("""COMPUTED_VALUE"""),"Greco")</f>
        <v>Greco</v>
      </c>
      <c r="E806" t="str">
        <f>IFERROR(__xludf.DUMMYFUNCTION("""COMPUTED_VALUE"""),"John")</f>
        <v>John</v>
      </c>
      <c r="F806" t="str">
        <f>IFERROR(__xludf.DUMMYFUNCTION("""COMPUTED_VALUE"""),"RG")</f>
        <v>RG</v>
      </c>
      <c r="G806">
        <f>IFERROR(__xludf.DUMMYFUNCTION("""COMPUTED_VALUE"""),11.549999999999999)</f>
        <v>11.55</v>
      </c>
    </row>
    <row r="807">
      <c r="D807" t="str">
        <f>IFERROR(__xludf.DUMMYFUNCTION("""COMPUTED_VALUE"""),"Green")</f>
        <v>Green</v>
      </c>
      <c r="E807" t="str">
        <f>IFERROR(__xludf.DUMMYFUNCTION("""COMPUTED_VALUE"""),"AJ")</f>
        <v>AJ</v>
      </c>
      <c r="F807" t="str">
        <f>IFERROR(__xludf.DUMMYFUNCTION("""COMPUTED_VALUE"""),"WR")</f>
        <v>WR</v>
      </c>
      <c r="G807">
        <f>IFERROR(__xludf.DUMMYFUNCTION("""COMPUTED_VALUE"""),13.95)</f>
        <v>13.95</v>
      </c>
    </row>
    <row r="808">
      <c r="D808" t="str">
        <f>IFERROR(__xludf.DUMMYFUNCTION("""COMPUTED_VALUE"""),"Green")</f>
        <v>Green</v>
      </c>
      <c r="E808" t="str">
        <f>IFERROR(__xludf.DUMMYFUNCTION("""COMPUTED_VALUE"""),"Chaz")</f>
        <v>Chaz</v>
      </c>
      <c r="F808" t="str">
        <f>IFERROR(__xludf.DUMMYFUNCTION("""COMPUTED_VALUE"""),"RT")</f>
        <v>RT</v>
      </c>
      <c r="G808">
        <f>IFERROR(__xludf.DUMMYFUNCTION("""COMPUTED_VALUE"""),10.2)</f>
        <v>10.2</v>
      </c>
    </row>
    <row r="809">
      <c r="D809" t="str">
        <f>IFERROR(__xludf.DUMMYFUNCTION("""COMPUTED_VALUE"""),"Green")</f>
        <v>Green</v>
      </c>
      <c r="E809" t="str">
        <f>IFERROR(__xludf.DUMMYFUNCTION("""COMPUTED_VALUE"""),"Ladarius")</f>
        <v>Ladarius</v>
      </c>
      <c r="F809" t="str">
        <f>IFERROR(__xludf.DUMMYFUNCTION("""COMPUTED_VALUE"""),"TE")</f>
        <v>TE</v>
      </c>
      <c r="G809">
        <f>IFERROR(__xludf.DUMMYFUNCTION("""COMPUTED_VALUE"""),12.15)</f>
        <v>12.15</v>
      </c>
    </row>
    <row r="810">
      <c r="D810" t="str">
        <f>IFERROR(__xludf.DUMMYFUNCTION("""COMPUTED_VALUE"""),"Green")</f>
        <v>Green</v>
      </c>
      <c r="E810" t="str">
        <f>IFERROR(__xludf.DUMMYFUNCTION("""COMPUTED_VALUE"""),"TJ")</f>
        <v>TJ</v>
      </c>
      <c r="F810" t="str">
        <f>IFERROR(__xludf.DUMMYFUNCTION("""COMPUTED_VALUE"""),"FS")</f>
        <v>FS</v>
      </c>
      <c r="G810">
        <f>IFERROR(__xludf.DUMMYFUNCTION("""COMPUTED_VALUE"""),10.65)</f>
        <v>10.65</v>
      </c>
    </row>
    <row r="811">
      <c r="D811" t="str">
        <f>IFERROR(__xludf.DUMMYFUNCTION("""COMPUTED_VALUE"""),"Green")</f>
        <v>Green</v>
      </c>
      <c r="E811" t="str">
        <f>IFERROR(__xludf.DUMMYFUNCTION("""COMPUTED_VALUE"""),"Torrey")</f>
        <v>Torrey</v>
      </c>
      <c r="F811" t="str">
        <f>IFERROR(__xludf.DUMMYFUNCTION("""COMPUTED_VALUE"""),"MLB")</f>
        <v>MLB</v>
      </c>
      <c r="G811">
        <f>IFERROR(__xludf.DUMMYFUNCTION("""COMPUTED_VALUE"""),8.549999999999999)</f>
        <v>8.55</v>
      </c>
    </row>
    <row r="812">
      <c r="D812" t="str">
        <f>IFERROR(__xludf.DUMMYFUNCTION("""COMPUTED_VALUE"""),"Green")</f>
        <v>Green</v>
      </c>
      <c r="E812" t="str">
        <f>IFERROR(__xludf.DUMMYFUNCTION("""COMPUTED_VALUE"""),"Virgil")</f>
        <v>Virgil</v>
      </c>
      <c r="F812" t="str">
        <f>IFERROR(__xludf.DUMMYFUNCTION("""COMPUTED_VALUE"""),"TE")</f>
        <v>TE</v>
      </c>
      <c r="G812">
        <f>IFERROR(__xludf.DUMMYFUNCTION("""COMPUTED_VALUE"""),11.85)</f>
        <v>11.85</v>
      </c>
    </row>
    <row r="813">
      <c r="D813" t="str">
        <f>IFERROR(__xludf.DUMMYFUNCTION("""COMPUTED_VALUE"""),"Green-Beckham")</f>
        <v>Green-Beckham</v>
      </c>
      <c r="E813" t="str">
        <f>IFERROR(__xludf.DUMMYFUNCTION("""COMPUTED_VALUE"""),"Dorial")</f>
        <v>Dorial</v>
      </c>
      <c r="F813" t="str">
        <f>IFERROR(__xludf.DUMMYFUNCTION("""COMPUTED_VALUE"""),"WR")</f>
        <v>WR</v>
      </c>
      <c r="G813">
        <f>IFERROR(__xludf.DUMMYFUNCTION("""COMPUTED_VALUE"""),11.4)</f>
        <v>11.4</v>
      </c>
    </row>
    <row r="814">
      <c r="D814" t="str">
        <f>IFERROR(__xludf.DUMMYFUNCTION("""COMPUTED_VALUE"""),"Greene")</f>
        <v>Greene</v>
      </c>
      <c r="E814" t="str">
        <f>IFERROR(__xludf.DUMMYFUNCTION("""COMPUTED_VALUE"""),"Darrell")</f>
        <v>Darrell</v>
      </c>
      <c r="F814" t="str">
        <f>IFERROR(__xludf.DUMMYFUNCTION("""COMPUTED_VALUE"""),"LG")</f>
        <v>LG</v>
      </c>
      <c r="G814">
        <f>IFERROR(__xludf.DUMMYFUNCTION("""COMPUTED_VALUE"""),8.85)</f>
        <v>8.85</v>
      </c>
    </row>
    <row r="815">
      <c r="D815" t="str">
        <f>IFERROR(__xludf.DUMMYFUNCTION("""COMPUTED_VALUE"""),"Greene")</f>
        <v>Greene</v>
      </c>
      <c r="E815" t="str">
        <f>IFERROR(__xludf.DUMMYFUNCTION("""COMPUTED_VALUE"""),"Khaseem")</f>
        <v>Khaseem</v>
      </c>
      <c r="F815" t="str">
        <f>IFERROR(__xludf.DUMMYFUNCTION("""COMPUTED_VALUE"""),"ROLB")</f>
        <v>ROLB</v>
      </c>
      <c r="G815">
        <f>IFERROR(__xludf.DUMMYFUNCTION("""COMPUTED_VALUE"""),10.65)</f>
        <v>10.65</v>
      </c>
    </row>
    <row r="816">
      <c r="D816" t="str">
        <f>IFERROR(__xludf.DUMMYFUNCTION("""COMPUTED_VALUE"""),"Greene")</f>
        <v>Greene</v>
      </c>
      <c r="E816" t="str">
        <f>IFERROR(__xludf.DUMMYFUNCTION("""COMPUTED_VALUE"""),"Rashad")</f>
        <v>Rashad</v>
      </c>
      <c r="F816" t="str">
        <f>IFERROR(__xludf.DUMMYFUNCTION("""COMPUTED_VALUE"""),"WR")</f>
        <v>WR</v>
      </c>
      <c r="G816">
        <f>IFERROR(__xludf.DUMMYFUNCTION("""COMPUTED_VALUE"""),10.5)</f>
        <v>10.5</v>
      </c>
    </row>
    <row r="817">
      <c r="D817" t="str">
        <f>IFERROR(__xludf.DUMMYFUNCTION("""COMPUTED_VALUE"""),"Greenway")</f>
        <v>Greenway</v>
      </c>
      <c r="E817" t="str">
        <f>IFERROR(__xludf.DUMMYFUNCTION("""COMPUTED_VALUE"""),"Chad")</f>
        <v>Chad</v>
      </c>
      <c r="F817" t="str">
        <f>IFERROR(__xludf.DUMMYFUNCTION("""COMPUTED_VALUE"""),"ROLB")</f>
        <v>ROLB</v>
      </c>
      <c r="G817">
        <f>IFERROR(__xludf.DUMMYFUNCTION("""COMPUTED_VALUE"""),11.7)</f>
        <v>11.7</v>
      </c>
    </row>
    <row r="818">
      <c r="D818" t="str">
        <f>IFERROR(__xludf.DUMMYFUNCTION("""COMPUTED_VALUE"""),"Gregory")</f>
        <v>Gregory</v>
      </c>
      <c r="E818" t="str">
        <f>IFERROR(__xludf.DUMMYFUNCTION("""COMPUTED_VALUE"""),"Randy")</f>
        <v>Randy</v>
      </c>
      <c r="F818" t="str">
        <f>IFERROR(__xludf.DUMMYFUNCTION("""COMPUTED_VALUE"""),"RE")</f>
        <v>RE</v>
      </c>
      <c r="G818">
        <f>IFERROR(__xludf.DUMMYFUNCTION("""COMPUTED_VALUE"""),11.25)</f>
        <v>11.25</v>
      </c>
    </row>
    <row r="819">
      <c r="D819" t="str">
        <f>IFERROR(__xludf.DUMMYFUNCTION("""COMPUTED_VALUE"""),"Gresham")</f>
        <v>Gresham</v>
      </c>
      <c r="E819" t="str">
        <f>IFERROR(__xludf.DUMMYFUNCTION("""COMPUTED_VALUE"""),"Jermaine")</f>
        <v>Jermaine</v>
      </c>
      <c r="F819" t="str">
        <f>IFERROR(__xludf.DUMMYFUNCTION("""COMPUTED_VALUE"""),"TE")</f>
        <v>TE</v>
      </c>
      <c r="G819">
        <f>IFERROR(__xludf.DUMMYFUNCTION("""COMPUTED_VALUE"""),12.6)</f>
        <v>12.6</v>
      </c>
    </row>
    <row r="820">
      <c r="D820" t="str">
        <f>IFERROR(__xludf.DUMMYFUNCTION("""COMPUTED_VALUE"""),"Griffen")</f>
        <v>Griffen</v>
      </c>
      <c r="E820" t="str">
        <f>IFERROR(__xludf.DUMMYFUNCTION("""COMPUTED_VALUE"""),"Everson")</f>
        <v>Everson</v>
      </c>
      <c r="F820" t="str">
        <f>IFERROR(__xludf.DUMMYFUNCTION("""COMPUTED_VALUE"""),"RE")</f>
        <v>RE</v>
      </c>
      <c r="G820">
        <f>IFERROR(__xludf.DUMMYFUNCTION("""COMPUTED_VALUE"""),13.2)</f>
        <v>13.2</v>
      </c>
    </row>
    <row r="821">
      <c r="D821" t="str">
        <f>IFERROR(__xludf.DUMMYFUNCTION("""COMPUTED_VALUE"""),"Griffin")</f>
        <v>Griffin</v>
      </c>
      <c r="E821" t="str">
        <f>IFERROR(__xludf.DUMMYFUNCTION("""COMPUTED_VALUE"""),"Michael")</f>
        <v>Michael</v>
      </c>
      <c r="F821" t="str">
        <f>IFERROR(__xludf.DUMMYFUNCTION("""COMPUTED_VALUE"""),"FS")</f>
        <v>FS</v>
      </c>
      <c r="G821">
        <f>IFERROR(__xludf.DUMMYFUNCTION("""COMPUTED_VALUE"""),11.7)</f>
        <v>11.7</v>
      </c>
    </row>
    <row r="822">
      <c r="D822" t="str">
        <f>IFERROR(__xludf.DUMMYFUNCTION("""COMPUTED_VALUE"""),"Griffin")</f>
        <v>Griffin</v>
      </c>
      <c r="E822" t="str">
        <f>IFERROR(__xludf.DUMMYFUNCTION("""COMPUTED_VALUE"""),"Ryan")</f>
        <v>Ryan</v>
      </c>
      <c r="F822" t="str">
        <f>IFERROR(__xludf.DUMMYFUNCTION("""COMPUTED_VALUE"""),"TE")</f>
        <v>TE</v>
      </c>
      <c r="G822">
        <f>IFERROR(__xludf.DUMMYFUNCTION("""COMPUTED_VALUE"""),10.799999999999999)</f>
        <v>10.8</v>
      </c>
    </row>
    <row r="823">
      <c r="D823" t="str">
        <f>IFERROR(__xludf.DUMMYFUNCTION("""COMPUTED_VALUE"""),"Griffin")</f>
        <v>Griffin</v>
      </c>
      <c r="E823" t="str">
        <f>IFERROR(__xludf.DUMMYFUNCTION("""COMPUTED_VALUE"""),"Ryan")</f>
        <v>Ryan</v>
      </c>
      <c r="F823" t="str">
        <f>IFERROR(__xludf.DUMMYFUNCTION("""COMPUTED_VALUE"""),"QB")</f>
        <v>QB</v>
      </c>
      <c r="G823">
        <f>IFERROR(__xludf.DUMMYFUNCTION("""COMPUTED_VALUE"""),9.299999999999999)</f>
        <v>9.3</v>
      </c>
    </row>
    <row r="824">
      <c r="D824" t="str">
        <f>IFERROR(__xludf.DUMMYFUNCTION("""COMPUTED_VALUE"""),"Griffin III")</f>
        <v>Griffin III</v>
      </c>
      <c r="E824" t="str">
        <f>IFERROR(__xludf.DUMMYFUNCTION("""COMPUTED_VALUE"""),"Robert")</f>
        <v>Robert</v>
      </c>
      <c r="F824" t="str">
        <f>IFERROR(__xludf.DUMMYFUNCTION("""COMPUTED_VALUE"""),"QB")</f>
        <v>QB</v>
      </c>
      <c r="G824">
        <f>IFERROR(__xludf.DUMMYFUNCTION("""COMPUTED_VALUE"""),10.95)</f>
        <v>10.95</v>
      </c>
    </row>
    <row r="825">
      <c r="D825" t="str">
        <f>IFERROR(__xludf.DUMMYFUNCTION("""COMPUTED_VALUE"""),"Grimble")</f>
        <v>Grimble</v>
      </c>
      <c r="E825" t="str">
        <f>IFERROR(__xludf.DUMMYFUNCTION("""COMPUTED_VALUE"""),"Xavier")</f>
        <v>Xavier</v>
      </c>
      <c r="F825" t="str">
        <f>IFERROR(__xludf.DUMMYFUNCTION("""COMPUTED_VALUE"""),"TE")</f>
        <v>TE</v>
      </c>
      <c r="G825">
        <f>IFERROR(__xludf.DUMMYFUNCTION("""COMPUTED_VALUE"""),9.299999999999999)</f>
        <v>9.3</v>
      </c>
    </row>
    <row r="826">
      <c r="D826" t="str">
        <f>IFERROR(__xludf.DUMMYFUNCTION("""COMPUTED_VALUE"""),"Grimes")</f>
        <v>Grimes</v>
      </c>
      <c r="E826" t="str">
        <f>IFERROR(__xludf.DUMMYFUNCTION("""COMPUTED_VALUE"""),"Brent")</f>
        <v>Brent</v>
      </c>
      <c r="F826" t="str">
        <f>IFERROR(__xludf.DUMMYFUNCTION("""COMPUTED_VALUE"""),"CB")</f>
        <v>CB</v>
      </c>
      <c r="G826">
        <f>IFERROR(__xludf.DUMMYFUNCTION("""COMPUTED_VALUE"""),12.75)</f>
        <v>12.75</v>
      </c>
    </row>
    <row r="827">
      <c r="D827" t="str">
        <f>IFERROR(__xludf.DUMMYFUNCTION("""COMPUTED_VALUE"""),"Grimes")</f>
        <v>Grimes</v>
      </c>
      <c r="E827" t="str">
        <f>IFERROR(__xludf.DUMMYFUNCTION("""COMPUTED_VALUE"""),"Jonathan")</f>
        <v>Jonathan</v>
      </c>
      <c r="F827" t="str">
        <f>IFERROR(__xludf.DUMMYFUNCTION("""COMPUTED_VALUE"""),"HB")</f>
        <v>HB</v>
      </c>
      <c r="G827">
        <f>IFERROR(__xludf.DUMMYFUNCTION("""COMPUTED_VALUE"""),10.95)</f>
        <v>10.95</v>
      </c>
    </row>
    <row r="828">
      <c r="D828" t="str">
        <f>IFERROR(__xludf.DUMMYFUNCTION("""COMPUTED_VALUE"""),"Grissom")</f>
        <v>Grissom</v>
      </c>
      <c r="E828" t="str">
        <f>IFERROR(__xludf.DUMMYFUNCTION("""COMPUTED_VALUE"""),"Geneo")</f>
        <v>Geneo</v>
      </c>
      <c r="F828" t="str">
        <f>IFERROR(__xludf.DUMMYFUNCTION("""COMPUTED_VALUE"""),"RE")</f>
        <v>RE</v>
      </c>
      <c r="G828">
        <f>IFERROR(__xludf.DUMMYFUNCTION("""COMPUTED_VALUE"""),9.45)</f>
        <v>9.45</v>
      </c>
    </row>
    <row r="829">
      <c r="D829" t="str">
        <f>IFERROR(__xludf.DUMMYFUNCTION("""COMPUTED_VALUE"""),"Gronkowski")</f>
        <v>Gronkowski</v>
      </c>
      <c r="E829" t="str">
        <f>IFERROR(__xludf.DUMMYFUNCTION("""COMPUTED_VALUE"""),"Rob")</f>
        <v>Rob</v>
      </c>
      <c r="F829" t="str">
        <f>IFERROR(__xludf.DUMMYFUNCTION("""COMPUTED_VALUE"""),"TE")</f>
        <v>TE</v>
      </c>
      <c r="G829">
        <f>IFERROR(__xludf.DUMMYFUNCTION("""COMPUTED_VALUE"""),14.85)</f>
        <v>14.85</v>
      </c>
    </row>
    <row r="830">
      <c r="D830" t="str">
        <f>IFERROR(__xludf.DUMMYFUNCTION("""COMPUTED_VALUE"""),"Groy")</f>
        <v>Groy</v>
      </c>
      <c r="E830" t="str">
        <f>IFERROR(__xludf.DUMMYFUNCTION("""COMPUTED_VALUE"""),"Ryan")</f>
        <v>Ryan</v>
      </c>
      <c r="F830" t="str">
        <f>IFERROR(__xludf.DUMMYFUNCTION("""COMPUTED_VALUE"""),"RG")</f>
        <v>RG</v>
      </c>
      <c r="G830">
        <f>IFERROR(__xludf.DUMMYFUNCTION("""COMPUTED_VALUE"""),9.6)</f>
        <v>9.6</v>
      </c>
    </row>
    <row r="831">
      <c r="D831" t="str">
        <f>IFERROR(__xludf.DUMMYFUNCTION("""COMPUTED_VALUE"""),"Grugier-Hill")</f>
        <v>Grugier-Hill</v>
      </c>
      <c r="E831" t="str">
        <f>IFERROR(__xludf.DUMMYFUNCTION("""COMPUTED_VALUE"""),"Kamu")</f>
        <v>Kamu</v>
      </c>
      <c r="F831" t="str">
        <f>IFERROR(__xludf.DUMMYFUNCTION("""COMPUTED_VALUE"""),"SS")</f>
        <v>SS</v>
      </c>
      <c r="G831">
        <f>IFERROR(__xludf.DUMMYFUNCTION("""COMPUTED_VALUE"""),9.15)</f>
        <v>9.15</v>
      </c>
    </row>
    <row r="832">
      <c r="D832" t="str">
        <f>IFERROR(__xludf.DUMMYFUNCTION("""COMPUTED_VALUE"""),"Guion")</f>
        <v>Guion</v>
      </c>
      <c r="E832" t="str">
        <f>IFERROR(__xludf.DUMMYFUNCTION("""COMPUTED_VALUE"""),"Letroy")</f>
        <v>Letroy</v>
      </c>
      <c r="F832" t="str">
        <f>IFERROR(__xludf.DUMMYFUNCTION("""COMPUTED_VALUE"""),"DT")</f>
        <v>DT</v>
      </c>
      <c r="G832">
        <f>IFERROR(__xludf.DUMMYFUNCTION("""COMPUTED_VALUE"""),10.95)</f>
        <v>10.95</v>
      </c>
    </row>
    <row r="833">
      <c r="D833" t="str">
        <f>IFERROR(__xludf.DUMMYFUNCTION("""COMPUTED_VALUE"""),"Gunter")</f>
        <v>Gunter</v>
      </c>
      <c r="E833" t="str">
        <f>IFERROR(__xludf.DUMMYFUNCTION("""COMPUTED_VALUE"""),"LaDarius")</f>
        <v>LaDarius</v>
      </c>
      <c r="F833" t="str">
        <f>IFERROR(__xludf.DUMMYFUNCTION("""COMPUTED_VALUE"""),"CB")</f>
        <v>CB</v>
      </c>
      <c r="G833">
        <f>IFERROR(__xludf.DUMMYFUNCTION("""COMPUTED_VALUE"""),9.6)</f>
        <v>9.6</v>
      </c>
    </row>
    <row r="834">
      <c r="D834" t="str">
        <f>IFERROR(__xludf.DUMMYFUNCTION("""COMPUTED_VALUE"""),"Gunter")</f>
        <v>Gunter</v>
      </c>
      <c r="E834" t="str">
        <f>IFERROR(__xludf.DUMMYFUNCTION("""COMPUTED_VALUE"""),"Rodney")</f>
        <v>Rodney</v>
      </c>
      <c r="F834" t="str">
        <f>IFERROR(__xludf.DUMMYFUNCTION("""COMPUTED_VALUE"""),"DT")</f>
        <v>DT</v>
      </c>
      <c r="G834">
        <f>IFERROR(__xludf.DUMMYFUNCTION("""COMPUTED_VALUE"""),9.9)</f>
        <v>9.9</v>
      </c>
    </row>
    <row r="835">
      <c r="D835" t="str">
        <f>IFERROR(__xludf.DUMMYFUNCTION("""COMPUTED_VALUE"""),"Gurley II")</f>
        <v>Gurley II</v>
      </c>
      <c r="E835" t="str">
        <f>IFERROR(__xludf.DUMMYFUNCTION("""COMPUTED_VALUE"""),"Todd")</f>
        <v>Todd</v>
      </c>
      <c r="F835" t="str">
        <f>IFERROR(__xludf.DUMMYFUNCTION("""COMPUTED_VALUE"""),"HB")</f>
        <v>HB</v>
      </c>
      <c r="G835">
        <f>IFERROR(__xludf.DUMMYFUNCTION("""COMPUTED_VALUE"""),12.75)</f>
        <v>12.75</v>
      </c>
    </row>
    <row r="836">
      <c r="D836" t="str">
        <f>IFERROR(__xludf.DUMMYFUNCTION("""COMPUTED_VALUE"""),"Guy")</f>
        <v>Guy</v>
      </c>
      <c r="E836" t="str">
        <f>IFERROR(__xludf.DUMMYFUNCTION("""COMPUTED_VALUE"""),"Lawrence")</f>
        <v>Lawrence</v>
      </c>
      <c r="F836" t="str">
        <f>IFERROR(__xludf.DUMMYFUNCTION("""COMPUTED_VALUE"""),"RE")</f>
        <v>RE</v>
      </c>
      <c r="G836">
        <f>IFERROR(__xludf.DUMMYFUNCTION("""COMPUTED_VALUE"""),10.65)</f>
        <v>10.65</v>
      </c>
    </row>
    <row r="837">
      <c r="D837" t="str">
        <f>IFERROR(__xludf.DUMMYFUNCTION("""COMPUTED_VALUE"""),"Guy Jr.")</f>
        <v>Guy Jr.</v>
      </c>
      <c r="E837" t="str">
        <f>IFERROR(__xludf.DUMMYFUNCTION("""COMPUTED_VALUE"""),"Winston")</f>
        <v>Winston</v>
      </c>
      <c r="F837" t="str">
        <f>IFERROR(__xludf.DUMMYFUNCTION("""COMPUTED_VALUE"""),"FS")</f>
        <v>FS</v>
      </c>
      <c r="G837">
        <f>IFERROR(__xludf.DUMMYFUNCTION("""COMPUTED_VALUE"""),10.35)</f>
        <v>10.35</v>
      </c>
    </row>
    <row r="838">
      <c r="D838" t="str">
        <f>IFERROR(__xludf.DUMMYFUNCTION("""COMPUTED_VALUE"""),"Gwacham")</f>
        <v>Gwacham</v>
      </c>
      <c r="E838" t="str">
        <f>IFERROR(__xludf.DUMMYFUNCTION("""COMPUTED_VALUE"""),"Obum")</f>
        <v>Obum</v>
      </c>
      <c r="F838" t="str">
        <f>IFERROR(__xludf.DUMMYFUNCTION("""COMPUTED_VALUE"""),"LE")</f>
        <v>LE</v>
      </c>
      <c r="G838">
        <f>IFERROR(__xludf.DUMMYFUNCTION("""COMPUTED_VALUE"""),8.549999999999999)</f>
        <v>8.55</v>
      </c>
    </row>
    <row r="839">
      <c r="D839" t="str">
        <f>IFERROR(__xludf.DUMMYFUNCTION("""COMPUTED_VALUE"""),"Hackenberg")</f>
        <v>Hackenberg</v>
      </c>
      <c r="E839" t="str">
        <f>IFERROR(__xludf.DUMMYFUNCTION("""COMPUTED_VALUE"""),"Christian")</f>
        <v>Christian</v>
      </c>
      <c r="F839" t="str">
        <f>IFERROR(__xludf.DUMMYFUNCTION("""COMPUTED_VALUE"""),"QB")</f>
        <v>QB</v>
      </c>
      <c r="G839">
        <f>IFERROR(__xludf.DUMMYFUNCTION("""COMPUTED_VALUE"""),10.049999999999999)</f>
        <v>10.05</v>
      </c>
    </row>
    <row r="840">
      <c r="D840" t="str">
        <f>IFERROR(__xludf.DUMMYFUNCTION("""COMPUTED_VALUE"""),"Hackett")</f>
        <v>Hackett</v>
      </c>
      <c r="E840" t="str">
        <f>IFERROR(__xludf.DUMMYFUNCTION("""COMPUTED_VALUE"""),"Chris")</f>
        <v>Chris</v>
      </c>
      <c r="F840" t="str">
        <f>IFERROR(__xludf.DUMMYFUNCTION("""COMPUTED_VALUE"""),"FS")</f>
        <v>FS</v>
      </c>
      <c r="G840">
        <f>IFERROR(__xludf.DUMMYFUNCTION("""COMPUTED_VALUE"""),9.45)</f>
        <v>9.45</v>
      </c>
    </row>
    <row r="841">
      <c r="D841" t="str">
        <f>IFERROR(__xludf.DUMMYFUNCTION("""COMPUTED_VALUE"""),"Haden")</f>
        <v>Haden</v>
      </c>
      <c r="E841" t="str">
        <f>IFERROR(__xludf.DUMMYFUNCTION("""COMPUTED_VALUE"""),"Joe")</f>
        <v>Joe</v>
      </c>
      <c r="F841" t="str">
        <f>IFERROR(__xludf.DUMMYFUNCTION("""COMPUTED_VALUE"""),"CB")</f>
        <v>CB</v>
      </c>
      <c r="G841">
        <f>IFERROR(__xludf.DUMMYFUNCTION("""COMPUTED_VALUE"""),12.9)</f>
        <v>12.9</v>
      </c>
    </row>
    <row r="842">
      <c r="D842" t="str">
        <f>IFERROR(__xludf.DUMMYFUNCTION("""COMPUTED_VALUE"""),"Haeg")</f>
        <v>Haeg</v>
      </c>
      <c r="E842" t="str">
        <f>IFERROR(__xludf.DUMMYFUNCTION("""COMPUTED_VALUE"""),"Joe")</f>
        <v>Joe</v>
      </c>
      <c r="F842" t="str">
        <f>IFERROR(__xludf.DUMMYFUNCTION("""COMPUTED_VALUE"""),"RT")</f>
        <v>RT</v>
      </c>
      <c r="G842">
        <f>IFERROR(__xludf.DUMMYFUNCTION("""COMPUTED_VALUE"""),10.35)</f>
        <v>10.35</v>
      </c>
    </row>
    <row r="843">
      <c r="D843" t="str">
        <f>IFERROR(__xludf.DUMMYFUNCTION("""COMPUTED_VALUE"""),"Hageman")</f>
        <v>Hageman</v>
      </c>
      <c r="E843" t="str">
        <f>IFERROR(__xludf.DUMMYFUNCTION("""COMPUTED_VALUE"""),"RaShede")</f>
        <v>RaShede</v>
      </c>
      <c r="F843" t="str">
        <f>IFERROR(__xludf.DUMMYFUNCTION("""COMPUTED_VALUE"""),"RE")</f>
        <v>RE</v>
      </c>
      <c r="G843">
        <f>IFERROR(__xludf.DUMMYFUNCTION("""COMPUTED_VALUE"""),11.1)</f>
        <v>11.1</v>
      </c>
    </row>
    <row r="844">
      <c r="D844" t="str">
        <f>IFERROR(__xludf.DUMMYFUNCTION("""COMPUTED_VALUE"""),"Hager")</f>
        <v>Hager</v>
      </c>
      <c r="E844" t="str">
        <f>IFERROR(__xludf.DUMMYFUNCTION("""COMPUTED_VALUE"""),"Bryce")</f>
        <v>Bryce</v>
      </c>
      <c r="F844" t="str">
        <f>IFERROR(__xludf.DUMMYFUNCTION("""COMPUTED_VALUE"""),"MLB")</f>
        <v>MLB</v>
      </c>
      <c r="G844">
        <f>IFERROR(__xludf.DUMMYFUNCTION("""COMPUTED_VALUE"""),9.0)</f>
        <v>9</v>
      </c>
    </row>
    <row r="845">
      <c r="D845" t="str">
        <f>IFERROR(__xludf.DUMMYFUNCTION("""COMPUTED_VALUE"""),"Hairston")</f>
        <v>Hairston</v>
      </c>
      <c r="E845" t="str">
        <f>IFERROR(__xludf.DUMMYFUNCTION("""COMPUTED_VALUE"""),"Chris")</f>
        <v>Chris</v>
      </c>
      <c r="F845" t="str">
        <f>IFERROR(__xludf.DUMMYFUNCTION("""COMPUTED_VALUE"""),"LT")</f>
        <v>LT</v>
      </c>
      <c r="G845">
        <f>IFERROR(__xludf.DUMMYFUNCTION("""COMPUTED_VALUE"""),10.35)</f>
        <v>10.35</v>
      </c>
    </row>
    <row r="846">
      <c r="D846" t="str">
        <f>IFERROR(__xludf.DUMMYFUNCTION("""COMPUTED_VALUE"""),"Hal")</f>
        <v>Hal</v>
      </c>
      <c r="E846" t="str">
        <f>IFERROR(__xludf.DUMMYFUNCTION("""COMPUTED_VALUE"""),"Andre")</f>
        <v>Andre</v>
      </c>
      <c r="F846" t="str">
        <f>IFERROR(__xludf.DUMMYFUNCTION("""COMPUTED_VALUE"""),"FS")</f>
        <v>FS</v>
      </c>
      <c r="G846">
        <f>IFERROR(__xludf.DUMMYFUNCTION("""COMPUTED_VALUE"""),11.549999999999999)</f>
        <v>11.55</v>
      </c>
    </row>
    <row r="847">
      <c r="D847" t="str">
        <f>IFERROR(__xludf.DUMMYFUNCTION("""COMPUTED_VALUE"""),"Hali")</f>
        <v>Hali</v>
      </c>
      <c r="E847" t="str">
        <f>IFERROR(__xludf.DUMMYFUNCTION("""COMPUTED_VALUE"""),"Tamba")</f>
        <v>Tamba</v>
      </c>
      <c r="F847" t="str">
        <f>IFERROR(__xludf.DUMMYFUNCTION("""COMPUTED_VALUE"""),"ROLB")</f>
        <v>ROLB</v>
      </c>
      <c r="G847">
        <f>IFERROR(__xludf.DUMMYFUNCTION("""COMPUTED_VALUE"""),13.5)</f>
        <v>13.5</v>
      </c>
    </row>
    <row r="848">
      <c r="D848" t="str">
        <f>IFERROR(__xludf.DUMMYFUNCTION("""COMPUTED_VALUE"""),"Hall")</f>
        <v>Hall</v>
      </c>
      <c r="E848" t="str">
        <f>IFERROR(__xludf.DUMMYFUNCTION("""COMPUTED_VALUE"""),"DeAngelo")</f>
        <v>DeAngelo</v>
      </c>
      <c r="F848" t="str">
        <f>IFERROR(__xludf.DUMMYFUNCTION("""COMPUTED_VALUE"""),"FS")</f>
        <v>FS</v>
      </c>
      <c r="G848">
        <f>IFERROR(__xludf.DUMMYFUNCTION("""COMPUTED_VALUE"""),12.299999999999999)</f>
        <v>12.3</v>
      </c>
    </row>
    <row r="849">
      <c r="D849" t="str">
        <f>IFERROR(__xludf.DUMMYFUNCTION("""COMPUTED_VALUE"""),"Hall")</f>
        <v>Hall</v>
      </c>
      <c r="E849" t="str">
        <f>IFERROR(__xludf.DUMMYFUNCTION("""COMPUTED_VALUE"""),"Deiondre")</f>
        <v>Deiondre</v>
      </c>
      <c r="F849" t="str">
        <f>IFERROR(__xludf.DUMMYFUNCTION("""COMPUTED_VALUE"""),"CB")</f>
        <v>CB</v>
      </c>
      <c r="G849">
        <f>IFERROR(__xludf.DUMMYFUNCTION("""COMPUTED_VALUE"""),9.6)</f>
        <v>9.6</v>
      </c>
    </row>
    <row r="850">
      <c r="D850" t="str">
        <f>IFERROR(__xludf.DUMMYFUNCTION("""COMPUTED_VALUE"""),"Hall")</f>
        <v>Hall</v>
      </c>
      <c r="E850" t="str">
        <f>IFERROR(__xludf.DUMMYFUNCTION("""COMPUTED_VALUE"""),"Rannell")</f>
        <v>Rannell</v>
      </c>
      <c r="F850" t="str">
        <f>IFERROR(__xludf.DUMMYFUNCTION("""COMPUTED_VALUE"""),"WR")</f>
        <v>WR</v>
      </c>
      <c r="G850">
        <f>IFERROR(__xludf.DUMMYFUNCTION("""COMPUTED_VALUE"""),9.299999999999999)</f>
        <v>9.3</v>
      </c>
    </row>
    <row r="851">
      <c r="D851" t="str">
        <f>IFERROR(__xludf.DUMMYFUNCTION("""COMPUTED_VALUE"""),"Hamilton")</f>
        <v>Hamilton</v>
      </c>
      <c r="E851" t="str">
        <f>IFERROR(__xludf.DUMMYFUNCTION("""COMPUTED_VALUE"""),"Cobi")</f>
        <v>Cobi</v>
      </c>
      <c r="F851" t="str">
        <f>IFERROR(__xludf.DUMMYFUNCTION("""COMPUTED_VALUE"""),"WR")</f>
        <v>WR</v>
      </c>
      <c r="G851">
        <f>IFERROR(__xludf.DUMMYFUNCTION("""COMPUTED_VALUE"""),9.75)</f>
        <v>9.75</v>
      </c>
    </row>
    <row r="852">
      <c r="D852" t="str">
        <f>IFERROR(__xludf.DUMMYFUNCTION("""COMPUTED_VALUE"""),"Hamilton")</f>
        <v>Hamilton</v>
      </c>
      <c r="E852" t="str">
        <f>IFERROR(__xludf.DUMMYFUNCTION("""COMPUTED_VALUE"""),"Justin")</f>
        <v>Justin</v>
      </c>
      <c r="F852" t="str">
        <f>IFERROR(__xludf.DUMMYFUNCTION("""COMPUTED_VALUE"""),"DT")</f>
        <v>DT</v>
      </c>
      <c r="G852">
        <f>IFERROR(__xludf.DUMMYFUNCTION("""COMPUTED_VALUE"""),9.45)</f>
        <v>9.45</v>
      </c>
    </row>
    <row r="853">
      <c r="D853" t="str">
        <f>IFERROR(__xludf.DUMMYFUNCTION("""COMPUTED_VALUE"""),"Hamm")</f>
        <v>Hamm</v>
      </c>
      <c r="E853" t="str">
        <f>IFERROR(__xludf.DUMMYFUNCTION("""COMPUTED_VALUE"""),"JeRon")</f>
        <v>JeRon</v>
      </c>
      <c r="F853" t="str">
        <f>IFERROR(__xludf.DUMMYFUNCTION("""COMPUTED_VALUE"""),"TE")</f>
        <v>TE</v>
      </c>
      <c r="G853">
        <f>IFERROR(__xludf.DUMMYFUNCTION("""COMPUTED_VALUE"""),9.75)</f>
        <v>9.75</v>
      </c>
    </row>
    <row r="854">
      <c r="D854" t="str">
        <f>IFERROR(__xludf.DUMMYFUNCTION("""COMPUTED_VALUE"""),"Hammond")</f>
        <v>Hammond</v>
      </c>
      <c r="E854" t="str">
        <f>IFERROR(__xludf.DUMMYFUNCTION("""COMPUTED_VALUE"""),"Frankie")</f>
        <v>Frankie</v>
      </c>
      <c r="F854" t="str">
        <f>IFERROR(__xludf.DUMMYFUNCTION("""COMPUTED_VALUE"""),"WR")</f>
        <v>WR</v>
      </c>
      <c r="G854">
        <f>IFERROR(__xludf.DUMMYFUNCTION("""COMPUTED_VALUE"""),9.45)</f>
        <v>9.45</v>
      </c>
    </row>
    <row r="855">
      <c r="D855" t="str">
        <f>IFERROR(__xludf.DUMMYFUNCTION("""COMPUTED_VALUE"""),"Hankerson")</f>
        <v>Hankerson</v>
      </c>
      <c r="E855" t="str">
        <f>IFERROR(__xludf.DUMMYFUNCTION("""COMPUTED_VALUE"""),"Leonard")</f>
        <v>Leonard</v>
      </c>
      <c r="F855" t="str">
        <f>IFERROR(__xludf.DUMMYFUNCTION("""COMPUTED_VALUE"""),"WR")</f>
        <v>WR</v>
      </c>
      <c r="G855">
        <f>IFERROR(__xludf.DUMMYFUNCTION("""COMPUTED_VALUE"""),10.5)</f>
        <v>10.5</v>
      </c>
    </row>
    <row r="856">
      <c r="D856" t="str">
        <f>IFERROR(__xludf.DUMMYFUNCTION("""COMPUTED_VALUE"""),"Hankins")</f>
        <v>Hankins</v>
      </c>
      <c r="E856" t="str">
        <f>IFERROR(__xludf.DUMMYFUNCTION("""COMPUTED_VALUE"""),"Johnathan")</f>
        <v>Johnathan</v>
      </c>
      <c r="F856" t="str">
        <f>IFERROR(__xludf.DUMMYFUNCTION("""COMPUTED_VALUE"""),"DT")</f>
        <v>DT</v>
      </c>
      <c r="G856">
        <f>IFERROR(__xludf.DUMMYFUNCTION("""COMPUTED_VALUE"""),12.15)</f>
        <v>12.15</v>
      </c>
    </row>
    <row r="857">
      <c r="D857" t="str">
        <f>IFERROR(__xludf.DUMMYFUNCTION("""COMPUTED_VALUE"""),"Hanna")</f>
        <v>Hanna</v>
      </c>
      <c r="E857" t="str">
        <f>IFERROR(__xludf.DUMMYFUNCTION("""COMPUTED_VALUE"""),"James")</f>
        <v>James</v>
      </c>
      <c r="F857" t="str">
        <f>IFERROR(__xludf.DUMMYFUNCTION("""COMPUTED_VALUE"""),"TE")</f>
        <v>TE</v>
      </c>
      <c r="G857">
        <f>IFERROR(__xludf.DUMMYFUNCTION("""COMPUTED_VALUE"""),11.1)</f>
        <v>11.1</v>
      </c>
    </row>
    <row r="858">
      <c r="D858" t="str">
        <f>IFERROR(__xludf.DUMMYFUNCTION("""COMPUTED_VALUE"""),"Hanson")</f>
        <v>Hanson</v>
      </c>
      <c r="E858" t="str">
        <f>IFERROR(__xludf.DUMMYFUNCTION("""COMPUTED_VALUE"""),"Lars")</f>
        <v>Lars</v>
      </c>
      <c r="F858" t="str">
        <f>IFERROR(__xludf.DUMMYFUNCTION("""COMPUTED_VALUE"""),"LT")</f>
        <v>LT</v>
      </c>
      <c r="G858">
        <f>IFERROR(__xludf.DUMMYFUNCTION("""COMPUTED_VALUE"""),9.299999999999999)</f>
        <v>9.3</v>
      </c>
    </row>
    <row r="859">
      <c r="D859" t="str">
        <f>IFERROR(__xludf.DUMMYFUNCTION("""COMPUTED_VALUE"""),"Harbor")</f>
        <v>Harbor</v>
      </c>
      <c r="E859" t="str">
        <f>IFERROR(__xludf.DUMMYFUNCTION("""COMPUTED_VALUE"""),"Clay")</f>
        <v>Clay</v>
      </c>
      <c r="F859" t="str">
        <f>IFERROR(__xludf.DUMMYFUNCTION("""COMPUTED_VALUE"""),"TE")</f>
        <v>TE</v>
      </c>
      <c r="G859">
        <f>IFERROR(__xludf.DUMMYFUNCTION("""COMPUTED_VALUE"""),10.5)</f>
        <v>10.5</v>
      </c>
    </row>
    <row r="860">
      <c r="D860" t="str">
        <f>IFERROR(__xludf.DUMMYFUNCTION("""COMPUTED_VALUE"""),"Hardison")</f>
        <v>Hardison</v>
      </c>
      <c r="E860" t="str">
        <f>IFERROR(__xludf.DUMMYFUNCTION("""COMPUTED_VALUE"""),"Marcus")</f>
        <v>Marcus</v>
      </c>
      <c r="F860" t="str">
        <f>IFERROR(__xludf.DUMMYFUNCTION("""COMPUTED_VALUE"""),"DT")</f>
        <v>DT</v>
      </c>
      <c r="G860">
        <f>IFERROR(__xludf.DUMMYFUNCTION("""COMPUTED_VALUE"""),9.0)</f>
        <v>9</v>
      </c>
    </row>
    <row r="861">
      <c r="D861" t="str">
        <f>IFERROR(__xludf.DUMMYFUNCTION("""COMPUTED_VALUE"""),"Hardy")</f>
        <v>Hardy</v>
      </c>
      <c r="E861" t="str">
        <f>IFERROR(__xludf.DUMMYFUNCTION("""COMPUTED_VALUE"""),"Justin")</f>
        <v>Justin</v>
      </c>
      <c r="F861" t="str">
        <f>IFERROR(__xludf.DUMMYFUNCTION("""COMPUTED_VALUE"""),"WR")</f>
        <v>WR</v>
      </c>
      <c r="G861">
        <f>IFERROR(__xludf.DUMMYFUNCTION("""COMPUTED_VALUE"""),10.35)</f>
        <v>10.35</v>
      </c>
    </row>
    <row r="862">
      <c r="D862" t="str">
        <f>IFERROR(__xludf.DUMMYFUNCTION("""COMPUTED_VALUE"""),"Hargrave")</f>
        <v>Hargrave</v>
      </c>
      <c r="E862" t="str">
        <f>IFERROR(__xludf.DUMMYFUNCTION("""COMPUTED_VALUE"""),"Javon")</f>
        <v>Javon</v>
      </c>
      <c r="F862" t="str">
        <f>IFERROR(__xludf.DUMMYFUNCTION("""COMPUTED_VALUE"""),"DT")</f>
        <v>DT</v>
      </c>
      <c r="G862">
        <f>IFERROR(__xludf.DUMMYFUNCTION("""COMPUTED_VALUE"""),10.2)</f>
        <v>10.2</v>
      </c>
    </row>
    <row r="863">
      <c r="D863" t="str">
        <f>IFERROR(__xludf.DUMMYFUNCTION("""COMPUTED_VALUE"""),"Hargreaves III")</f>
        <v>Hargreaves III</v>
      </c>
      <c r="E863" t="str">
        <f>IFERROR(__xludf.DUMMYFUNCTION("""COMPUTED_VALUE"""),"Vernon")</f>
        <v>Vernon</v>
      </c>
      <c r="F863" t="str">
        <f>IFERROR(__xludf.DUMMYFUNCTION("""COMPUTED_VALUE"""),"CB")</f>
        <v>CB</v>
      </c>
      <c r="G863">
        <f>IFERROR(__xludf.DUMMYFUNCTION("""COMPUTED_VALUE"""),11.549999999999999)</f>
        <v>11.55</v>
      </c>
    </row>
    <row r="864">
      <c r="D864" t="str">
        <f>IFERROR(__xludf.DUMMYFUNCTION("""COMPUTED_VALUE"""),"Harkey")</f>
        <v>Harkey</v>
      </c>
      <c r="E864" t="str">
        <f>IFERROR(__xludf.DUMMYFUNCTION("""COMPUTED_VALUE"""),"Cory")</f>
        <v>Cory</v>
      </c>
      <c r="F864" t="str">
        <f>IFERROR(__xludf.DUMMYFUNCTION("""COMPUTED_VALUE"""),"FB")</f>
        <v>FB</v>
      </c>
      <c r="G864">
        <f>IFERROR(__xludf.DUMMYFUNCTION("""COMPUTED_VALUE"""),12.0)</f>
        <v>12</v>
      </c>
    </row>
    <row r="865">
      <c r="D865" t="str">
        <f>IFERROR(__xludf.DUMMYFUNCTION("""COMPUTED_VALUE"""),"Harmon")</f>
        <v>Harmon</v>
      </c>
      <c r="E865" t="str">
        <f>IFERROR(__xludf.DUMMYFUNCTION("""COMPUTED_VALUE"""),"Duron")</f>
        <v>Duron</v>
      </c>
      <c r="F865" t="str">
        <f>IFERROR(__xludf.DUMMYFUNCTION("""COMPUTED_VALUE"""),"SS")</f>
        <v>SS</v>
      </c>
      <c r="G865">
        <f>IFERROR(__xludf.DUMMYFUNCTION("""COMPUTED_VALUE"""),11.25)</f>
        <v>11.25</v>
      </c>
    </row>
    <row r="866">
      <c r="D866" t="str">
        <f>IFERROR(__xludf.DUMMYFUNCTION("""COMPUTED_VALUE"""),"Harold")</f>
        <v>Harold</v>
      </c>
      <c r="E866" t="str">
        <f>IFERROR(__xludf.DUMMYFUNCTION("""COMPUTED_VALUE"""),"Eli")</f>
        <v>Eli</v>
      </c>
      <c r="F866" t="str">
        <f>IFERROR(__xludf.DUMMYFUNCTION("""COMPUTED_VALUE"""),"ROLB")</f>
        <v>ROLB</v>
      </c>
      <c r="G866">
        <f>IFERROR(__xludf.DUMMYFUNCTION("""COMPUTED_VALUE"""),10.5)</f>
        <v>10.5</v>
      </c>
    </row>
    <row r="867">
      <c r="D867" t="str">
        <f>IFERROR(__xludf.DUMMYFUNCTION("""COMPUTED_VALUE"""),"Harper")</f>
        <v>Harper</v>
      </c>
      <c r="E867" t="str">
        <f>IFERROR(__xludf.DUMMYFUNCTION("""COMPUTED_VALUE"""),"Roman")</f>
        <v>Roman</v>
      </c>
      <c r="F867" t="str">
        <f>IFERROR(__xludf.DUMMYFUNCTION("""COMPUTED_VALUE"""),"SS")</f>
        <v>SS</v>
      </c>
      <c r="G867">
        <f>IFERROR(__xludf.DUMMYFUNCTION("""COMPUTED_VALUE"""),11.1)</f>
        <v>11.1</v>
      </c>
    </row>
    <row r="868">
      <c r="D868" t="str">
        <f>IFERROR(__xludf.DUMMYFUNCTION("""COMPUTED_VALUE"""),"Harris")</f>
        <v>Harris</v>
      </c>
      <c r="E868" t="str">
        <f>IFERROR(__xludf.DUMMYFUNCTION("""COMPUTED_VALUE"""),"Anthony")</f>
        <v>Anthony</v>
      </c>
      <c r="F868" t="str">
        <f>IFERROR(__xludf.DUMMYFUNCTION("""COMPUTED_VALUE"""),"FS")</f>
        <v>FS</v>
      </c>
      <c r="G868">
        <f>IFERROR(__xludf.DUMMYFUNCTION("""COMPUTED_VALUE"""),10.2)</f>
        <v>10.2</v>
      </c>
    </row>
    <row r="869">
      <c r="D869" t="str">
        <f>IFERROR(__xludf.DUMMYFUNCTION("""COMPUTED_VALUE"""),"Harris")</f>
        <v>Harris</v>
      </c>
      <c r="E869" t="str">
        <f>IFERROR(__xludf.DUMMYFUNCTION("""COMPUTED_VALUE"""),"Brandon")</f>
        <v>Brandon</v>
      </c>
      <c r="F869" t="str">
        <f>IFERROR(__xludf.DUMMYFUNCTION("""COMPUTED_VALUE"""),"CB")</f>
        <v>CB</v>
      </c>
      <c r="G869">
        <f>IFERROR(__xludf.DUMMYFUNCTION("""COMPUTED_VALUE"""),10.65)</f>
        <v>10.65</v>
      </c>
    </row>
    <row r="870">
      <c r="D870" t="str">
        <f>IFERROR(__xludf.DUMMYFUNCTION("""COMPUTED_VALUE"""),"Harris")</f>
        <v>Harris</v>
      </c>
      <c r="E870" t="str">
        <f>IFERROR(__xludf.DUMMYFUNCTION("""COMPUTED_VALUE"""),"Bryce")</f>
        <v>Bryce</v>
      </c>
      <c r="F870" t="str">
        <f>IFERROR(__xludf.DUMMYFUNCTION("""COMPUTED_VALUE"""),"RT")</f>
        <v>RT</v>
      </c>
      <c r="G870">
        <f>IFERROR(__xludf.DUMMYFUNCTION("""COMPUTED_VALUE"""),10.95)</f>
        <v>10.95</v>
      </c>
    </row>
    <row r="871">
      <c r="D871" t="str">
        <f>IFERROR(__xludf.DUMMYFUNCTION("""COMPUTED_VALUE"""),"Harris")</f>
        <v>Harris</v>
      </c>
      <c r="E871" t="str">
        <f>IFERROR(__xludf.DUMMYFUNCTION("""COMPUTED_VALUE"""),"Clark")</f>
        <v>Clark</v>
      </c>
      <c r="F871" t="str">
        <f>IFERROR(__xludf.DUMMYFUNCTION("""COMPUTED_VALUE"""),"TE")</f>
        <v>TE</v>
      </c>
      <c r="G871">
        <f>IFERROR(__xludf.DUMMYFUNCTION("""COMPUTED_VALUE"""),8.4)</f>
        <v>8.4</v>
      </c>
    </row>
    <row r="872">
      <c r="D872" t="str">
        <f>IFERROR(__xludf.DUMMYFUNCTION("""COMPUTED_VALUE"""),"Harris")</f>
        <v>Harris</v>
      </c>
      <c r="E872" t="str">
        <f>IFERROR(__xludf.DUMMYFUNCTION("""COMPUTED_VALUE"""),"Darien")</f>
        <v>Darien</v>
      </c>
      <c r="F872" t="str">
        <f>IFERROR(__xludf.DUMMYFUNCTION("""COMPUTED_VALUE"""),"ROLB")</f>
        <v>ROLB</v>
      </c>
      <c r="G872">
        <f>IFERROR(__xludf.DUMMYFUNCTION("""COMPUTED_VALUE"""),9.299999999999999)</f>
        <v>9.3</v>
      </c>
    </row>
    <row r="873">
      <c r="D873" t="str">
        <f>IFERROR(__xludf.DUMMYFUNCTION("""COMPUTED_VALUE"""),"Harris")</f>
        <v>Harris</v>
      </c>
      <c r="E873" t="str">
        <f>IFERROR(__xludf.DUMMYFUNCTION("""COMPUTED_VALUE"""),"David")</f>
        <v>David</v>
      </c>
      <c r="F873" t="str">
        <f>IFERROR(__xludf.DUMMYFUNCTION("""COMPUTED_VALUE"""),"MLB")</f>
        <v>MLB</v>
      </c>
      <c r="G873">
        <f>IFERROR(__xludf.DUMMYFUNCTION("""COMPUTED_VALUE"""),12.15)</f>
        <v>12.15</v>
      </c>
    </row>
    <row r="874">
      <c r="D874" t="str">
        <f>IFERROR(__xludf.DUMMYFUNCTION("""COMPUTED_VALUE"""),"Harris")</f>
        <v>Harris</v>
      </c>
      <c r="E874" t="str">
        <f>IFERROR(__xludf.DUMMYFUNCTION("""COMPUTED_VALUE"""),"Demetrius")</f>
        <v>Demetrius</v>
      </c>
      <c r="F874" t="str">
        <f>IFERROR(__xludf.DUMMYFUNCTION("""COMPUTED_VALUE"""),"TE")</f>
        <v>TE</v>
      </c>
      <c r="G874">
        <f>IFERROR(__xludf.DUMMYFUNCTION("""COMPUTED_VALUE"""),9.9)</f>
        <v>9.9</v>
      </c>
    </row>
    <row r="875">
      <c r="D875" t="str">
        <f>IFERROR(__xludf.DUMMYFUNCTION("""COMPUTED_VALUE"""),"Harris")</f>
        <v>Harris</v>
      </c>
      <c r="E875" t="str">
        <f>IFERROR(__xludf.DUMMYFUNCTION("""COMPUTED_VALUE"""),"DeVante")</f>
        <v>DeVante</v>
      </c>
      <c r="F875" t="str">
        <f>IFERROR(__xludf.DUMMYFUNCTION("""COMPUTED_VALUE"""),"CB")</f>
        <v>CB</v>
      </c>
      <c r="G875">
        <f>IFERROR(__xludf.DUMMYFUNCTION("""COMPUTED_VALUE"""),9.0)</f>
        <v>9</v>
      </c>
    </row>
    <row r="876">
      <c r="D876" t="str">
        <f>IFERROR(__xludf.DUMMYFUNCTION("""COMPUTED_VALUE"""),"Harris")</f>
        <v>Harris</v>
      </c>
      <c r="E876" t="str">
        <f>IFERROR(__xludf.DUMMYFUNCTION("""COMPUTED_VALUE"""),"DuJuan")</f>
        <v>DuJuan</v>
      </c>
      <c r="F876" t="str">
        <f>IFERROR(__xludf.DUMMYFUNCTION("""COMPUTED_VALUE"""),"HB")</f>
        <v>HB</v>
      </c>
      <c r="G876">
        <f>IFERROR(__xludf.DUMMYFUNCTION("""COMPUTED_VALUE"""),10.5)</f>
        <v>10.5</v>
      </c>
    </row>
    <row r="877">
      <c r="D877" t="str">
        <f>IFERROR(__xludf.DUMMYFUNCTION("""COMPUTED_VALUE"""),"Harris")</f>
        <v>Harris</v>
      </c>
      <c r="E877" t="str">
        <f>IFERROR(__xludf.DUMMYFUNCTION("""COMPUTED_VALUE"""),"Dwayne")</f>
        <v>Dwayne</v>
      </c>
      <c r="F877" t="str">
        <f>IFERROR(__xludf.DUMMYFUNCTION("""COMPUTED_VALUE"""),"WR")</f>
        <v>WR</v>
      </c>
      <c r="G877">
        <f>IFERROR(__xludf.DUMMYFUNCTION("""COMPUTED_VALUE"""),10.95)</f>
        <v>10.95</v>
      </c>
    </row>
    <row r="878">
      <c r="D878" t="str">
        <f>IFERROR(__xludf.DUMMYFUNCTION("""COMPUTED_VALUE"""),"Harris")</f>
        <v>Harris</v>
      </c>
      <c r="E878" t="str">
        <f>IFERROR(__xludf.DUMMYFUNCTION("""COMPUTED_VALUE"""),"Jeremy")</f>
        <v>Jeremy</v>
      </c>
      <c r="F878" t="str">
        <f>IFERROR(__xludf.DUMMYFUNCTION("""COMPUTED_VALUE"""),"CB")</f>
        <v>CB</v>
      </c>
      <c r="G878">
        <f>IFERROR(__xludf.DUMMYFUNCTION("""COMPUTED_VALUE"""),10.049999999999999)</f>
        <v>10.05</v>
      </c>
    </row>
    <row r="879">
      <c r="D879" t="str">
        <f>IFERROR(__xludf.DUMMYFUNCTION("""COMPUTED_VALUE"""),"Harris")</f>
        <v>Harris</v>
      </c>
      <c r="E879" t="str">
        <f>IFERROR(__xludf.DUMMYFUNCTION("""COMPUTED_VALUE"""),"Josh")</f>
        <v>Josh</v>
      </c>
      <c r="F879" t="str">
        <f>IFERROR(__xludf.DUMMYFUNCTION("""COMPUTED_VALUE"""),"TE")</f>
        <v>TE</v>
      </c>
      <c r="G879">
        <f>IFERROR(__xludf.DUMMYFUNCTION("""COMPUTED_VALUE"""),8.1)</f>
        <v>8.1</v>
      </c>
    </row>
    <row r="880">
      <c r="D880" t="str">
        <f>IFERROR(__xludf.DUMMYFUNCTION("""COMPUTED_VALUE"""),"Harris")</f>
        <v>Harris</v>
      </c>
      <c r="E880" t="str">
        <f>IFERROR(__xludf.DUMMYFUNCTION("""COMPUTED_VALUE"""),"Mike")</f>
        <v>Mike</v>
      </c>
      <c r="F880" t="str">
        <f>IFERROR(__xludf.DUMMYFUNCTION("""COMPUTED_VALUE"""),"RG")</f>
        <v>RG</v>
      </c>
      <c r="G880">
        <f>IFERROR(__xludf.DUMMYFUNCTION("""COMPUTED_VALUE"""),11.1)</f>
        <v>11.1</v>
      </c>
    </row>
    <row r="881">
      <c r="D881" t="str">
        <f>IFERROR(__xludf.DUMMYFUNCTION("""COMPUTED_VALUE"""),"Harris")</f>
        <v>Harris</v>
      </c>
      <c r="E881" t="str">
        <f>IFERROR(__xludf.DUMMYFUNCTION("""COMPUTED_VALUE"""),"Ryan")</f>
        <v>Ryan</v>
      </c>
      <c r="F881" t="str">
        <f>IFERROR(__xludf.DUMMYFUNCTION("""COMPUTED_VALUE"""),"LT")</f>
        <v>LT</v>
      </c>
      <c r="G881">
        <f>IFERROR(__xludf.DUMMYFUNCTION("""COMPUTED_VALUE"""),11.4)</f>
        <v>11.4</v>
      </c>
    </row>
    <row r="882">
      <c r="D882" t="str">
        <f>IFERROR(__xludf.DUMMYFUNCTION("""COMPUTED_VALUE"""),"Harris")</f>
        <v>Harris</v>
      </c>
      <c r="E882" t="str">
        <f>IFERROR(__xludf.DUMMYFUNCTION("""COMPUTED_VALUE"""),"Shelby")</f>
        <v>Shelby</v>
      </c>
      <c r="F882" t="str">
        <f>IFERROR(__xludf.DUMMYFUNCTION("""COMPUTED_VALUE"""),"RE")</f>
        <v>RE</v>
      </c>
      <c r="G882">
        <f>IFERROR(__xludf.DUMMYFUNCTION("""COMPUTED_VALUE"""),9.9)</f>
        <v>9.9</v>
      </c>
    </row>
    <row r="883">
      <c r="D883" t="str">
        <f>IFERROR(__xludf.DUMMYFUNCTION("""COMPUTED_VALUE"""),"Harris Jr.")</f>
        <v>Harris Jr.</v>
      </c>
      <c r="E883" t="str">
        <f>IFERROR(__xludf.DUMMYFUNCTION("""COMPUTED_VALUE"""),"Chris")</f>
        <v>Chris</v>
      </c>
      <c r="F883" t="str">
        <f>IFERROR(__xludf.DUMMYFUNCTION("""COMPUTED_VALUE"""),"CB")</f>
        <v>CB</v>
      </c>
      <c r="G883">
        <f>IFERROR(__xludf.DUMMYFUNCTION("""COMPUTED_VALUE"""),13.95)</f>
        <v>13.95</v>
      </c>
    </row>
    <row r="884">
      <c r="D884" t="str">
        <f>IFERROR(__xludf.DUMMYFUNCTION("""COMPUTED_VALUE"""),"Harrison")</f>
        <v>Harrison</v>
      </c>
      <c r="E884" t="str">
        <f>IFERROR(__xludf.DUMMYFUNCTION("""COMPUTED_VALUE"""),"Damon")</f>
        <v>Damon</v>
      </c>
      <c r="F884" t="str">
        <f>IFERROR(__xludf.DUMMYFUNCTION("""COMPUTED_VALUE"""),"DT")</f>
        <v>DT</v>
      </c>
      <c r="G884">
        <f>IFERROR(__xludf.DUMMYFUNCTION("""COMPUTED_VALUE"""),12.6)</f>
        <v>12.6</v>
      </c>
    </row>
    <row r="885">
      <c r="D885" t="str">
        <f>IFERROR(__xludf.DUMMYFUNCTION("""COMPUTED_VALUE"""),"Harrison")</f>
        <v>Harrison</v>
      </c>
      <c r="E885" t="str">
        <f>IFERROR(__xludf.DUMMYFUNCTION("""COMPUTED_VALUE"""),"James")</f>
        <v>James</v>
      </c>
      <c r="F885" t="str">
        <f>IFERROR(__xludf.DUMMYFUNCTION("""COMPUTED_VALUE"""),"ROLB")</f>
        <v>ROLB</v>
      </c>
      <c r="G885">
        <f>IFERROR(__xludf.DUMMYFUNCTION("""COMPUTED_VALUE"""),12.75)</f>
        <v>12.75</v>
      </c>
    </row>
    <row r="886">
      <c r="D886" t="str">
        <f>IFERROR(__xludf.DUMMYFUNCTION("""COMPUTED_VALUE"""),"Harrison")</f>
        <v>Harrison</v>
      </c>
      <c r="E886" t="str">
        <f>IFERROR(__xludf.DUMMYFUNCTION("""COMPUTED_VALUE"""),"Jarvis")</f>
        <v>Jarvis</v>
      </c>
      <c r="F886" t="str">
        <f>IFERROR(__xludf.DUMMYFUNCTION("""COMPUTED_VALUE"""),"RG")</f>
        <v>RG</v>
      </c>
      <c r="G886">
        <f>IFERROR(__xludf.DUMMYFUNCTION("""COMPUTED_VALUE"""),10.049999999999999)</f>
        <v>10.05</v>
      </c>
    </row>
    <row r="887">
      <c r="D887" t="str">
        <f>IFERROR(__xludf.DUMMYFUNCTION("""COMPUTED_VALUE"""),"Harrison")</f>
        <v>Harrison</v>
      </c>
      <c r="E887" t="str">
        <f>IFERROR(__xludf.DUMMYFUNCTION("""COMPUTED_VALUE"""),"Jonotthan")</f>
        <v>Jonotthan</v>
      </c>
      <c r="F887" t="str">
        <f>IFERROR(__xludf.DUMMYFUNCTION("""COMPUTED_VALUE"""),"RG")</f>
        <v>RG</v>
      </c>
      <c r="G887">
        <f>IFERROR(__xludf.DUMMYFUNCTION("""COMPUTED_VALUE"""),10.95)</f>
        <v>10.95</v>
      </c>
    </row>
    <row r="888">
      <c r="D888" t="str">
        <f>IFERROR(__xludf.DUMMYFUNCTION("""COMPUTED_VALUE"""),"Hart")</f>
        <v>Hart</v>
      </c>
      <c r="E888" t="str">
        <f>IFERROR(__xludf.DUMMYFUNCTION("""COMPUTED_VALUE"""),"Bobby")</f>
        <v>Bobby</v>
      </c>
      <c r="F888" t="str">
        <f>IFERROR(__xludf.DUMMYFUNCTION("""COMPUTED_VALUE"""),"RT")</f>
        <v>RT</v>
      </c>
      <c r="G888">
        <f>IFERROR(__xludf.DUMMYFUNCTION("""COMPUTED_VALUE"""),10.049999999999999)</f>
        <v>10.05</v>
      </c>
    </row>
    <row r="889">
      <c r="D889" t="str">
        <f>IFERROR(__xludf.DUMMYFUNCTION("""COMPUTED_VALUE"""),"Hart")</f>
        <v>Hart</v>
      </c>
      <c r="E889" t="str">
        <f>IFERROR(__xludf.DUMMYFUNCTION("""COMPUTED_VALUE"""),"Taylor")</f>
        <v>Taylor</v>
      </c>
      <c r="F889" t="str">
        <f>IFERROR(__xludf.DUMMYFUNCTION("""COMPUTED_VALUE"""),"DT")</f>
        <v>DT</v>
      </c>
      <c r="G889">
        <f>IFERROR(__xludf.DUMMYFUNCTION("""COMPUTED_VALUE"""),9.75)</f>
        <v>9.75</v>
      </c>
    </row>
    <row r="890">
      <c r="D890" t="str">
        <f>IFERROR(__xludf.DUMMYFUNCTION("""COMPUTED_VALUE"""),"Hauschka")</f>
        <v>Hauschka</v>
      </c>
      <c r="E890" t="str">
        <f>IFERROR(__xludf.DUMMYFUNCTION("""COMPUTED_VALUE"""),"Steven")</f>
        <v>Steven</v>
      </c>
      <c r="F890" t="str">
        <f>IFERROR(__xludf.DUMMYFUNCTION("""COMPUTED_VALUE"""),"K")</f>
        <v>K</v>
      </c>
      <c r="G890">
        <f>IFERROR(__xludf.DUMMYFUNCTION("""COMPUTED_VALUE"""),12.6)</f>
        <v>12.6</v>
      </c>
    </row>
    <row r="891">
      <c r="D891" t="str">
        <f>IFERROR(__xludf.DUMMYFUNCTION("""COMPUTED_VALUE"""),"Havenstein")</f>
        <v>Havenstein</v>
      </c>
      <c r="E891" t="str">
        <f>IFERROR(__xludf.DUMMYFUNCTION("""COMPUTED_VALUE"""),"Rob")</f>
        <v>Rob</v>
      </c>
      <c r="F891" t="str">
        <f>IFERROR(__xludf.DUMMYFUNCTION("""COMPUTED_VALUE"""),"RT")</f>
        <v>RT</v>
      </c>
      <c r="G891">
        <f>IFERROR(__xludf.DUMMYFUNCTION("""COMPUTED_VALUE"""),10.799999999999999)</f>
        <v>10.8</v>
      </c>
    </row>
    <row r="892">
      <c r="D892" t="str">
        <f>IFERROR(__xludf.DUMMYFUNCTION("""COMPUTED_VALUE"""),"Hawkins")</f>
        <v>Hawkins</v>
      </c>
      <c r="E892" t="str">
        <f>IFERROR(__xludf.DUMMYFUNCTION("""COMPUTED_VALUE"""),"Andrew")</f>
        <v>Andrew</v>
      </c>
      <c r="F892" t="str">
        <f>IFERROR(__xludf.DUMMYFUNCTION("""COMPUTED_VALUE"""),"WR")</f>
        <v>WR</v>
      </c>
      <c r="G892">
        <f>IFERROR(__xludf.DUMMYFUNCTION("""COMPUTED_VALUE"""),10.95)</f>
        <v>10.95</v>
      </c>
    </row>
    <row r="893">
      <c r="D893" t="str">
        <f>IFERROR(__xludf.DUMMYFUNCTION("""COMPUTED_VALUE"""),"Hawkins")</f>
        <v>Hawkins</v>
      </c>
      <c r="E893" t="str">
        <f>IFERROR(__xludf.DUMMYFUNCTION("""COMPUTED_VALUE"""),"Donald")</f>
        <v>Donald</v>
      </c>
      <c r="F893" t="str">
        <f>IFERROR(__xludf.DUMMYFUNCTION("""COMPUTED_VALUE"""),"LT")</f>
        <v>LT</v>
      </c>
      <c r="G893">
        <f>IFERROR(__xludf.DUMMYFUNCTION("""COMPUTED_VALUE"""),9.299999999999999)</f>
        <v>9.3</v>
      </c>
    </row>
    <row r="894">
      <c r="D894" t="str">
        <f>IFERROR(__xludf.DUMMYFUNCTION("""COMPUTED_VALUE"""),"Hawkins")</f>
        <v>Hawkins</v>
      </c>
      <c r="E894" t="str">
        <f>IFERROR(__xludf.DUMMYFUNCTION("""COMPUTED_VALUE"""),"Jerald")</f>
        <v>Jerald</v>
      </c>
      <c r="F894" t="str">
        <f>IFERROR(__xludf.DUMMYFUNCTION("""COMPUTED_VALUE"""),"LT")</f>
        <v>LT</v>
      </c>
      <c r="G894">
        <f>IFERROR(__xludf.DUMMYFUNCTION("""COMPUTED_VALUE"""),10.049999999999999)</f>
        <v>10.05</v>
      </c>
    </row>
    <row r="895">
      <c r="D895" t="str">
        <f>IFERROR(__xludf.DUMMYFUNCTION("""COMPUTED_VALUE"""),"Hawkins")</f>
        <v>Hawkins</v>
      </c>
      <c r="E895" t="str">
        <f>IFERROR(__xludf.DUMMYFUNCTION("""COMPUTED_VALUE"""),"Josh")</f>
        <v>Josh</v>
      </c>
      <c r="F895" t="str">
        <f>IFERROR(__xludf.DUMMYFUNCTION("""COMPUTED_VALUE"""),"CB")</f>
        <v>CB</v>
      </c>
      <c r="G895">
        <f>IFERROR(__xludf.DUMMYFUNCTION("""COMPUTED_VALUE"""),9.299999999999999)</f>
        <v>9.3</v>
      </c>
    </row>
    <row r="896">
      <c r="D896" t="str">
        <f>IFERROR(__xludf.DUMMYFUNCTION("""COMPUTED_VALUE"""),"Hawley")</f>
        <v>Hawley</v>
      </c>
      <c r="E896" t="str">
        <f>IFERROR(__xludf.DUMMYFUNCTION("""COMPUTED_VALUE"""),"Joe")</f>
        <v>Joe</v>
      </c>
      <c r="F896" t="str">
        <f>IFERROR(__xludf.DUMMYFUNCTION("""COMPUTED_VALUE"""),"C")</f>
        <v>C</v>
      </c>
      <c r="G896">
        <f>IFERROR(__xludf.DUMMYFUNCTION("""COMPUTED_VALUE"""),10.049999999999999)</f>
        <v>10.05</v>
      </c>
    </row>
    <row r="897">
      <c r="D897" t="str">
        <f>IFERROR(__xludf.DUMMYFUNCTION("""COMPUTED_VALUE"""),"Hayden")</f>
        <v>Hayden</v>
      </c>
      <c r="E897" t="str">
        <f>IFERROR(__xludf.DUMMYFUNCTION("""COMPUTED_VALUE"""),"DJ")</f>
        <v>DJ</v>
      </c>
      <c r="F897" t="str">
        <f>IFERROR(__xludf.DUMMYFUNCTION("""COMPUTED_VALUE"""),"CB")</f>
        <v>CB</v>
      </c>
      <c r="G897">
        <f>IFERROR(__xludf.DUMMYFUNCTION("""COMPUTED_VALUE"""),10.5)</f>
        <v>10.5</v>
      </c>
    </row>
    <row r="898">
      <c r="D898" t="str">
        <f>IFERROR(__xludf.DUMMYFUNCTION("""COMPUTED_VALUE"""),"Hayden")</f>
        <v>Hayden</v>
      </c>
      <c r="E898" t="str">
        <f>IFERROR(__xludf.DUMMYFUNCTION("""COMPUTED_VALUE"""),"Nick")</f>
        <v>Nick</v>
      </c>
      <c r="F898" t="str">
        <f>IFERROR(__xludf.DUMMYFUNCTION("""COMPUTED_VALUE"""),"LE")</f>
        <v>LE</v>
      </c>
      <c r="G898">
        <f>IFERROR(__xludf.DUMMYFUNCTION("""COMPUTED_VALUE"""),9.299999999999999)</f>
        <v>9.3</v>
      </c>
    </row>
    <row r="899">
      <c r="D899" t="str">
        <f>IFERROR(__xludf.DUMMYFUNCTION("""COMPUTED_VALUE"""),"Hayes")</f>
        <v>Hayes</v>
      </c>
      <c r="E899" t="str">
        <f>IFERROR(__xludf.DUMMYFUNCTION("""COMPUTED_VALUE"""),"William")</f>
        <v>William</v>
      </c>
      <c r="F899" t="str">
        <f>IFERROR(__xludf.DUMMYFUNCTION("""COMPUTED_VALUE"""),"LE")</f>
        <v>LE</v>
      </c>
      <c r="G899">
        <f>IFERROR(__xludf.DUMMYFUNCTION("""COMPUTED_VALUE"""),12.75)</f>
        <v>12.75</v>
      </c>
    </row>
    <row r="900">
      <c r="D900" t="str">
        <f>IFERROR(__xludf.DUMMYFUNCTION("""COMPUTED_VALUE"""),"Hayward")</f>
        <v>Hayward</v>
      </c>
      <c r="E900" t="str">
        <f>IFERROR(__xludf.DUMMYFUNCTION("""COMPUTED_VALUE"""),"Adam")</f>
        <v>Adam</v>
      </c>
      <c r="F900" t="str">
        <f>IFERROR(__xludf.DUMMYFUNCTION("""COMPUTED_VALUE"""),"MLB")</f>
        <v>MLB</v>
      </c>
      <c r="G900">
        <f>IFERROR(__xludf.DUMMYFUNCTION("""COMPUTED_VALUE"""),10.5)</f>
        <v>10.5</v>
      </c>
    </row>
    <row r="901">
      <c r="D901" t="str">
        <f>IFERROR(__xludf.DUMMYFUNCTION("""COMPUTED_VALUE"""),"Hayward")</f>
        <v>Hayward</v>
      </c>
      <c r="E901" t="str">
        <f>IFERROR(__xludf.DUMMYFUNCTION("""COMPUTED_VALUE"""),"Casey")</f>
        <v>Casey</v>
      </c>
      <c r="F901" t="str">
        <f>IFERROR(__xludf.DUMMYFUNCTION("""COMPUTED_VALUE"""),"CB")</f>
        <v>CB</v>
      </c>
      <c r="G901">
        <f>IFERROR(__xludf.DUMMYFUNCTION("""COMPUTED_VALUE"""),12.6)</f>
        <v>12.6</v>
      </c>
    </row>
    <row r="902">
      <c r="D902" t="str">
        <f>IFERROR(__xludf.DUMMYFUNCTION("""COMPUTED_VALUE"""),"Hazel")</f>
        <v>Hazel</v>
      </c>
      <c r="E902" t="str">
        <f>IFERROR(__xludf.DUMMYFUNCTION("""COMPUTED_VALUE"""),"Matt")</f>
        <v>Matt</v>
      </c>
      <c r="F902" t="str">
        <f>IFERROR(__xludf.DUMMYFUNCTION("""COMPUTED_VALUE"""),"WR")</f>
        <v>WR</v>
      </c>
      <c r="G902">
        <f>IFERROR(__xludf.DUMMYFUNCTION("""COMPUTED_VALUE"""),9.6)</f>
        <v>9.6</v>
      </c>
    </row>
    <row r="903">
      <c r="D903" t="str">
        <f>IFERROR(__xludf.DUMMYFUNCTION("""COMPUTED_VALUE"""),"Heaps")</f>
        <v>Heaps</v>
      </c>
      <c r="E903" t="str">
        <f>IFERROR(__xludf.DUMMYFUNCTION("""COMPUTED_VALUE"""),"Jake")</f>
        <v>Jake</v>
      </c>
      <c r="F903" t="str">
        <f>IFERROR(__xludf.DUMMYFUNCTION("""COMPUTED_VALUE"""),"QB")</f>
        <v>QB</v>
      </c>
      <c r="G903">
        <f>IFERROR(__xludf.DUMMYFUNCTION("""COMPUTED_VALUE"""),9.299999999999999)</f>
        <v>9.3</v>
      </c>
    </row>
    <row r="904">
      <c r="D904" t="str">
        <f>IFERROR(__xludf.DUMMYFUNCTION("""COMPUTED_VALUE"""),"Heath")</f>
        <v>Heath</v>
      </c>
      <c r="E904" t="str">
        <f>IFERROR(__xludf.DUMMYFUNCTION("""COMPUTED_VALUE"""),"Jeff")</f>
        <v>Jeff</v>
      </c>
      <c r="F904" t="str">
        <f>IFERROR(__xludf.DUMMYFUNCTION("""COMPUTED_VALUE"""),"FS")</f>
        <v>FS</v>
      </c>
      <c r="G904">
        <f>IFERROR(__xludf.DUMMYFUNCTION("""COMPUTED_VALUE"""),10.95)</f>
        <v>10.95</v>
      </c>
    </row>
    <row r="905">
      <c r="D905" t="str">
        <f>IFERROR(__xludf.DUMMYFUNCTION("""COMPUTED_VALUE"""),"Heath")</f>
        <v>Heath</v>
      </c>
      <c r="E905" t="str">
        <f>IFERROR(__xludf.DUMMYFUNCTION("""COMPUTED_VALUE"""),"Joel")</f>
        <v>Joel</v>
      </c>
      <c r="F905" t="str">
        <f>IFERROR(__xludf.DUMMYFUNCTION("""COMPUTED_VALUE"""),"LE")</f>
        <v>LE</v>
      </c>
      <c r="G905">
        <f>IFERROR(__xludf.DUMMYFUNCTION("""COMPUTED_VALUE"""),8.549999999999999)</f>
        <v>8.55</v>
      </c>
    </row>
    <row r="906">
      <c r="D906" t="str">
        <f>IFERROR(__xludf.DUMMYFUNCTION("""COMPUTED_VALUE"""),"Heeney")</f>
        <v>Heeney</v>
      </c>
      <c r="E906" t="str">
        <f>IFERROR(__xludf.DUMMYFUNCTION("""COMPUTED_VALUE"""),"Ben")</f>
        <v>Ben</v>
      </c>
      <c r="F906" t="str">
        <f>IFERROR(__xludf.DUMMYFUNCTION("""COMPUTED_VALUE"""),"MLB")</f>
        <v>MLB</v>
      </c>
      <c r="G906">
        <f>IFERROR(__xludf.DUMMYFUNCTION("""COMPUTED_VALUE"""),10.5)</f>
        <v>10.5</v>
      </c>
    </row>
    <row r="907">
      <c r="D907" t="str">
        <f>IFERROR(__xludf.DUMMYFUNCTION("""COMPUTED_VALUE"""),"Heinicke")</f>
        <v>Heinicke</v>
      </c>
      <c r="E907" t="str">
        <f>IFERROR(__xludf.DUMMYFUNCTION("""COMPUTED_VALUE"""),"Taylor")</f>
        <v>Taylor</v>
      </c>
      <c r="F907" t="str">
        <f>IFERROR(__xludf.DUMMYFUNCTION("""COMPUTED_VALUE"""),"QB")</f>
        <v>QB</v>
      </c>
      <c r="G907">
        <f>IFERROR(__xludf.DUMMYFUNCTION("""COMPUTED_VALUE"""),9.0)</f>
        <v>9</v>
      </c>
    </row>
    <row r="908">
      <c r="D908" t="str">
        <f>IFERROR(__xludf.DUMMYFUNCTION("""COMPUTED_VALUE"""),"Hekker")</f>
        <v>Hekker</v>
      </c>
      <c r="E908" t="str">
        <f>IFERROR(__xludf.DUMMYFUNCTION("""COMPUTED_VALUE"""),"Johnny")</f>
        <v>Johnny</v>
      </c>
      <c r="F908" t="str">
        <f>IFERROR(__xludf.DUMMYFUNCTION("""COMPUTED_VALUE"""),"P")</f>
        <v>P</v>
      </c>
      <c r="G908">
        <f>IFERROR(__xludf.DUMMYFUNCTION("""COMPUTED_VALUE"""),12.299999999999999)</f>
        <v>12.3</v>
      </c>
    </row>
    <row r="909">
      <c r="D909" t="str">
        <f>IFERROR(__xludf.DUMMYFUNCTION("""COMPUTED_VALUE"""),"Helfet")</f>
        <v>Helfet</v>
      </c>
      <c r="E909" t="str">
        <f>IFERROR(__xludf.DUMMYFUNCTION("""COMPUTED_VALUE"""),"Cooper")</f>
        <v>Cooper</v>
      </c>
      <c r="F909" t="str">
        <f>IFERROR(__xludf.DUMMYFUNCTION("""COMPUTED_VALUE"""),"TE")</f>
        <v>TE</v>
      </c>
      <c r="G909">
        <f>IFERROR(__xludf.DUMMYFUNCTION("""COMPUTED_VALUE"""),10.65)</f>
        <v>10.65</v>
      </c>
    </row>
    <row r="910">
      <c r="D910" t="str">
        <f>IFERROR(__xludf.DUMMYFUNCTION("""COMPUTED_VALUE"""),"Hemingway")</f>
        <v>Hemingway</v>
      </c>
      <c r="E910" t="str">
        <f>IFERROR(__xludf.DUMMYFUNCTION("""COMPUTED_VALUE"""),"Temarrick")</f>
        <v>Temarrick</v>
      </c>
      <c r="F910" t="str">
        <f>IFERROR(__xludf.DUMMYFUNCTION("""COMPUTED_VALUE"""),"TE")</f>
        <v>TE</v>
      </c>
      <c r="G910">
        <f>IFERROR(__xludf.DUMMYFUNCTION("""COMPUTED_VALUE"""),9.45)</f>
        <v>9.45</v>
      </c>
    </row>
    <row r="911">
      <c r="D911" t="str">
        <f>IFERROR(__xludf.DUMMYFUNCTION("""COMPUTED_VALUE"""),"Henderson")</f>
        <v>Henderson</v>
      </c>
      <c r="E911" t="str">
        <f>IFERROR(__xludf.DUMMYFUNCTION("""COMPUTED_VALUE"""),"Erin")</f>
        <v>Erin</v>
      </c>
      <c r="F911" t="str">
        <f>IFERROR(__xludf.DUMMYFUNCTION("""COMPUTED_VALUE"""),"MLB")</f>
        <v>MLB</v>
      </c>
      <c r="G911">
        <f>IFERROR(__xludf.DUMMYFUNCTION("""COMPUTED_VALUE"""),11.25)</f>
        <v>11.25</v>
      </c>
    </row>
    <row r="912">
      <c r="D912" t="str">
        <f>IFERROR(__xludf.DUMMYFUNCTION("""COMPUTED_VALUE"""),"Henderson")</f>
        <v>Henderson</v>
      </c>
      <c r="E912" t="str">
        <f>IFERROR(__xludf.DUMMYFUNCTION("""COMPUTED_VALUE"""),"Seantrel")</f>
        <v>Seantrel</v>
      </c>
      <c r="F912" t="str">
        <f>IFERROR(__xludf.DUMMYFUNCTION("""COMPUTED_VALUE"""),"LT")</f>
        <v>LT</v>
      </c>
      <c r="G912">
        <f>IFERROR(__xludf.DUMMYFUNCTION("""COMPUTED_VALUE"""),10.2)</f>
        <v>10.2</v>
      </c>
    </row>
    <row r="913">
      <c r="D913" t="str">
        <f>IFERROR(__xludf.DUMMYFUNCTION("""COMPUTED_VALUE"""),"Henne")</f>
        <v>Henne</v>
      </c>
      <c r="E913" t="str">
        <f>IFERROR(__xludf.DUMMYFUNCTION("""COMPUTED_VALUE"""),"Chad")</f>
        <v>Chad</v>
      </c>
      <c r="F913" t="str">
        <f>IFERROR(__xludf.DUMMYFUNCTION("""COMPUTED_VALUE"""),"QB")</f>
        <v>QB</v>
      </c>
      <c r="G913">
        <f>IFERROR(__xludf.DUMMYFUNCTION("""COMPUTED_VALUE"""),10.35)</f>
        <v>10.35</v>
      </c>
    </row>
    <row r="914">
      <c r="D914" t="str">
        <f>IFERROR(__xludf.DUMMYFUNCTION("""COMPUTED_VALUE"""),"Henry")</f>
        <v>Henry</v>
      </c>
      <c r="E914" t="str">
        <f>IFERROR(__xludf.DUMMYFUNCTION("""COMPUTED_VALUE"""),"Derrick")</f>
        <v>Derrick</v>
      </c>
      <c r="F914" t="str">
        <f>IFERROR(__xludf.DUMMYFUNCTION("""COMPUTED_VALUE"""),"HB")</f>
        <v>HB</v>
      </c>
      <c r="G914">
        <f>IFERROR(__xludf.DUMMYFUNCTION("""COMPUTED_VALUE"""),11.1)</f>
        <v>11.1</v>
      </c>
    </row>
    <row r="915">
      <c r="D915" t="str">
        <f>IFERROR(__xludf.DUMMYFUNCTION("""COMPUTED_VALUE"""),"Henry")</f>
        <v>Henry</v>
      </c>
      <c r="E915" t="str">
        <f>IFERROR(__xludf.DUMMYFUNCTION("""COMPUTED_VALUE"""),"Hunter")</f>
        <v>Hunter</v>
      </c>
      <c r="F915" t="str">
        <f>IFERROR(__xludf.DUMMYFUNCTION("""COMPUTED_VALUE"""),"TE")</f>
        <v>TE</v>
      </c>
      <c r="G915">
        <f>IFERROR(__xludf.DUMMYFUNCTION("""COMPUTED_VALUE"""),11.7)</f>
        <v>11.7</v>
      </c>
    </row>
    <row r="916">
      <c r="D916" t="str">
        <f>IFERROR(__xludf.DUMMYFUNCTION("""COMPUTED_VALUE"""),"Henry")</f>
        <v>Henry</v>
      </c>
      <c r="E916" t="str">
        <f>IFERROR(__xludf.DUMMYFUNCTION("""COMPUTED_VALUE"""),"Marcus")</f>
        <v>Marcus</v>
      </c>
      <c r="F916" t="str">
        <f>IFERROR(__xludf.DUMMYFUNCTION("""COMPUTED_VALUE"""),"C")</f>
        <v>C</v>
      </c>
      <c r="G916">
        <f>IFERROR(__xludf.DUMMYFUNCTION("""COMPUTED_VALUE"""),9.0)</f>
        <v>9</v>
      </c>
    </row>
    <row r="917">
      <c r="D917" t="str">
        <f>IFERROR(__xludf.DUMMYFUNCTION("""COMPUTED_VALUE"""),"Henry")</f>
        <v>Henry</v>
      </c>
      <c r="E917" t="str">
        <f>IFERROR(__xludf.DUMMYFUNCTION("""COMPUTED_VALUE"""),"Mitchell")</f>
        <v>Mitchell</v>
      </c>
      <c r="F917" t="str">
        <f>IFERROR(__xludf.DUMMYFUNCTION("""COMPUTED_VALUE"""),"TE")</f>
        <v>TE</v>
      </c>
      <c r="G917">
        <f>IFERROR(__xludf.DUMMYFUNCTION("""COMPUTED_VALUE"""),10.35)</f>
        <v>10.35</v>
      </c>
    </row>
    <row r="918">
      <c r="D918" t="str">
        <f>IFERROR(__xludf.DUMMYFUNCTION("""COMPUTED_VALUE"""),"Henry")</f>
        <v>Henry</v>
      </c>
      <c r="E918" t="str">
        <f>IFERROR(__xludf.DUMMYFUNCTION("""COMPUTED_VALUE"""),"Willie")</f>
        <v>Willie</v>
      </c>
      <c r="F918" t="str">
        <f>IFERROR(__xludf.DUMMYFUNCTION("""COMPUTED_VALUE"""),"DT")</f>
        <v>DT</v>
      </c>
      <c r="G918">
        <f>IFERROR(__xludf.DUMMYFUNCTION("""COMPUTED_VALUE"""),10.2)</f>
        <v>10.2</v>
      </c>
    </row>
    <row r="919">
      <c r="D919" t="str">
        <f>IFERROR(__xludf.DUMMYFUNCTION("""COMPUTED_VALUE"""),"Hepburn")</f>
        <v>Hepburn</v>
      </c>
      <c r="E919" t="str">
        <f>IFERROR(__xludf.DUMMYFUNCTION("""COMPUTED_VALUE"""),"Brandon")</f>
        <v>Brandon</v>
      </c>
      <c r="F919" t="str">
        <f>IFERROR(__xludf.DUMMYFUNCTION("""COMPUTED_VALUE"""),"MLB")</f>
        <v>MLB</v>
      </c>
      <c r="G919">
        <f>IFERROR(__xludf.DUMMYFUNCTION("""COMPUTED_VALUE"""),10.2)</f>
        <v>10.2</v>
      </c>
    </row>
    <row r="920">
      <c r="D920" t="str">
        <f>IFERROR(__xludf.DUMMYFUNCTION("""COMPUTED_VALUE"""),"Herndon")</f>
        <v>Herndon</v>
      </c>
      <c r="E920" t="str">
        <f>IFERROR(__xludf.DUMMYFUNCTION("""COMPUTED_VALUE"""),"Javontee")</f>
        <v>Javontee</v>
      </c>
      <c r="F920" t="str">
        <f>IFERROR(__xludf.DUMMYFUNCTION("""COMPUTED_VALUE"""),"WR")</f>
        <v>WR</v>
      </c>
      <c r="G920">
        <f>IFERROR(__xludf.DUMMYFUNCTION("""COMPUTED_VALUE"""),10.049999999999999)</f>
        <v>10.05</v>
      </c>
    </row>
    <row r="921">
      <c r="D921" t="str">
        <f>IFERROR(__xludf.DUMMYFUNCTION("""COMPUTED_VALUE"""),"Herrera")</f>
        <v>Herrera</v>
      </c>
      <c r="E921" t="str">
        <f>IFERROR(__xludf.DUMMYFUNCTION("""COMPUTED_VALUE"""),"Amarlo")</f>
        <v>Amarlo</v>
      </c>
      <c r="F921" t="str">
        <f>IFERROR(__xludf.DUMMYFUNCTION("""COMPUTED_VALUE"""),"MLB")</f>
        <v>MLB</v>
      </c>
      <c r="G921">
        <f>IFERROR(__xludf.DUMMYFUNCTION("""COMPUTED_VALUE"""),8.85)</f>
        <v>8.85</v>
      </c>
    </row>
    <row r="922">
      <c r="D922" t="str">
        <f>IFERROR(__xludf.DUMMYFUNCTION("""COMPUTED_VALUE"""),"Herzlich")</f>
        <v>Herzlich</v>
      </c>
      <c r="E922" t="str">
        <f>IFERROR(__xludf.DUMMYFUNCTION("""COMPUTED_VALUE"""),"Mark")</f>
        <v>Mark</v>
      </c>
      <c r="F922" t="str">
        <f>IFERROR(__xludf.DUMMYFUNCTION("""COMPUTED_VALUE"""),"LOLB")</f>
        <v>LOLB</v>
      </c>
      <c r="G922">
        <f>IFERROR(__xludf.DUMMYFUNCTION("""COMPUTED_VALUE"""),10.2)</f>
        <v>10.2</v>
      </c>
    </row>
    <row r="923">
      <c r="D923" t="str">
        <f>IFERROR(__xludf.DUMMYFUNCTION("""COMPUTED_VALUE"""),"Heuerman")</f>
        <v>Heuerman</v>
      </c>
      <c r="E923" t="str">
        <f>IFERROR(__xludf.DUMMYFUNCTION("""COMPUTED_VALUE"""),"Jeff")</f>
        <v>Jeff</v>
      </c>
      <c r="F923" t="str">
        <f>IFERROR(__xludf.DUMMYFUNCTION("""COMPUTED_VALUE"""),"TE")</f>
        <v>TE</v>
      </c>
      <c r="G923">
        <f>IFERROR(__xludf.DUMMYFUNCTION("""COMPUTED_VALUE"""),10.65)</f>
        <v>10.65</v>
      </c>
    </row>
    <row r="924">
      <c r="D924" t="str">
        <f>IFERROR(__xludf.DUMMYFUNCTION("""COMPUTED_VALUE"""),"Heurtelou")</f>
        <v>Heurtelou</v>
      </c>
      <c r="E924" t="str">
        <f>IFERROR(__xludf.DUMMYFUNCTION("""COMPUTED_VALUE"""),"Calvin")</f>
        <v>Calvin</v>
      </c>
      <c r="F924" t="str">
        <f>IFERROR(__xludf.DUMMYFUNCTION("""COMPUTED_VALUE"""),"LE")</f>
        <v>LE</v>
      </c>
      <c r="G924">
        <f>IFERROR(__xludf.DUMMYFUNCTION("""COMPUTED_VALUE"""),8.85)</f>
        <v>8.85</v>
      </c>
    </row>
    <row r="925">
      <c r="D925" t="str">
        <f>IFERROR(__xludf.DUMMYFUNCTION("""COMPUTED_VALUE"""),"Hewitt")</f>
        <v>Hewitt</v>
      </c>
      <c r="E925" t="str">
        <f>IFERROR(__xludf.DUMMYFUNCTION("""COMPUTED_VALUE"""),"Neville")</f>
        <v>Neville</v>
      </c>
      <c r="F925" t="str">
        <f>IFERROR(__xludf.DUMMYFUNCTION("""COMPUTED_VALUE"""),"ROLB")</f>
        <v>ROLB</v>
      </c>
      <c r="G925">
        <f>IFERROR(__xludf.DUMMYFUNCTION("""COMPUTED_VALUE"""),9.9)</f>
        <v>9.9</v>
      </c>
    </row>
    <row r="926">
      <c r="D926" t="str">
        <f>IFERROR(__xludf.DUMMYFUNCTION("""COMPUTED_VALUE"""),"Hewitt")</f>
        <v>Hewitt</v>
      </c>
      <c r="E926" t="str">
        <f>IFERROR(__xludf.DUMMYFUNCTION("""COMPUTED_VALUE"""),"Ryan")</f>
        <v>Ryan</v>
      </c>
      <c r="F926" t="str">
        <f>IFERROR(__xludf.DUMMYFUNCTION("""COMPUTED_VALUE"""),"FB")</f>
        <v>FB</v>
      </c>
      <c r="G926">
        <f>IFERROR(__xludf.DUMMYFUNCTION("""COMPUTED_VALUE"""),11.1)</f>
        <v>11.1</v>
      </c>
    </row>
    <row r="927">
      <c r="D927" t="str">
        <f>IFERROR(__xludf.DUMMYFUNCTION("""COMPUTED_VALUE"""),"Heyward")</f>
        <v>Heyward</v>
      </c>
      <c r="E927" t="str">
        <f>IFERROR(__xludf.DUMMYFUNCTION("""COMPUTED_VALUE"""),"Cameron")</f>
        <v>Cameron</v>
      </c>
      <c r="F927" t="str">
        <f>IFERROR(__xludf.DUMMYFUNCTION("""COMPUTED_VALUE"""),"LE")</f>
        <v>LE</v>
      </c>
      <c r="G927">
        <f>IFERROR(__xludf.DUMMYFUNCTION("""COMPUTED_VALUE"""),13.2)</f>
        <v>13.2</v>
      </c>
    </row>
    <row r="928">
      <c r="D928" t="str">
        <f>IFERROR(__xludf.DUMMYFUNCTION("""COMPUTED_VALUE"""),"Heyward-Bey")</f>
        <v>Heyward-Bey</v>
      </c>
      <c r="E928" t="str">
        <f>IFERROR(__xludf.DUMMYFUNCTION("""COMPUTED_VALUE"""),"Darrius")</f>
        <v>Darrius</v>
      </c>
      <c r="F928" t="str">
        <f>IFERROR(__xludf.DUMMYFUNCTION("""COMPUTED_VALUE"""),"WR")</f>
        <v>WR</v>
      </c>
      <c r="G928">
        <f>IFERROR(__xludf.DUMMYFUNCTION("""COMPUTED_VALUE"""),10.65)</f>
        <v>10.65</v>
      </c>
    </row>
    <row r="929">
      <c r="D929" t="str">
        <f>IFERROR(__xludf.DUMMYFUNCTION("""COMPUTED_VALUE"""),"Hicks")</f>
        <v>Hicks</v>
      </c>
      <c r="E929" t="str">
        <f>IFERROR(__xludf.DUMMYFUNCTION("""COMPUTED_VALUE"""),"Akiem")</f>
        <v>Akiem</v>
      </c>
      <c r="F929" t="str">
        <f>IFERROR(__xludf.DUMMYFUNCTION("""COMPUTED_VALUE"""),"LE")</f>
        <v>LE</v>
      </c>
      <c r="G929">
        <f>IFERROR(__xludf.DUMMYFUNCTION("""COMPUTED_VALUE"""),11.7)</f>
        <v>11.7</v>
      </c>
    </row>
    <row r="930">
      <c r="D930" t="str">
        <f>IFERROR(__xludf.DUMMYFUNCTION("""COMPUTED_VALUE"""),"Hicks")</f>
        <v>Hicks</v>
      </c>
      <c r="E930" t="str">
        <f>IFERROR(__xludf.DUMMYFUNCTION("""COMPUTED_VALUE"""),"Jordan")</f>
        <v>Jordan</v>
      </c>
      <c r="F930" t="str">
        <f>IFERROR(__xludf.DUMMYFUNCTION("""COMPUTED_VALUE"""),"MLB")</f>
        <v>MLB</v>
      </c>
      <c r="G930">
        <f>IFERROR(__xludf.DUMMYFUNCTION("""COMPUTED_VALUE"""),11.1)</f>
        <v>11.1</v>
      </c>
    </row>
    <row r="931">
      <c r="D931" t="str">
        <f>IFERROR(__xludf.DUMMYFUNCTION("""COMPUTED_VALUE"""),"Higbee")</f>
        <v>Higbee</v>
      </c>
      <c r="E931" t="str">
        <f>IFERROR(__xludf.DUMMYFUNCTION("""COMPUTED_VALUE"""),"Tyler")</f>
        <v>Tyler</v>
      </c>
      <c r="F931" t="str">
        <f>IFERROR(__xludf.DUMMYFUNCTION("""COMPUTED_VALUE"""),"TE")</f>
        <v>TE</v>
      </c>
      <c r="G931">
        <f>IFERROR(__xludf.DUMMYFUNCTION("""COMPUTED_VALUE"""),10.5)</f>
        <v>10.5</v>
      </c>
    </row>
    <row r="932">
      <c r="D932" t="str">
        <f>IFERROR(__xludf.DUMMYFUNCTION("""COMPUTED_VALUE"""),"Higgins")</f>
        <v>Higgins</v>
      </c>
      <c r="E932" t="str">
        <f>IFERROR(__xludf.DUMMYFUNCTION("""COMPUTED_VALUE"""),"Rashard")</f>
        <v>Rashard</v>
      </c>
      <c r="F932" t="str">
        <f>IFERROR(__xludf.DUMMYFUNCTION("""COMPUTED_VALUE"""),"WR")</f>
        <v>WR</v>
      </c>
      <c r="G932">
        <f>IFERROR(__xludf.DUMMYFUNCTION("""COMPUTED_VALUE"""),9.45)</f>
        <v>9.45</v>
      </c>
    </row>
    <row r="933">
      <c r="D933" t="str">
        <f>IFERROR(__xludf.DUMMYFUNCTION("""COMPUTED_VALUE"""),"Hightower")</f>
        <v>Hightower</v>
      </c>
      <c r="E933" t="str">
        <f>IFERROR(__xludf.DUMMYFUNCTION("""COMPUTED_VALUE"""),"Donta")</f>
        <v>Donta</v>
      </c>
      <c r="F933" t="str">
        <f>IFERROR(__xludf.DUMMYFUNCTION("""COMPUTED_VALUE"""),"ROLB")</f>
        <v>ROLB</v>
      </c>
      <c r="G933">
        <f>IFERROR(__xludf.DUMMYFUNCTION("""COMPUTED_VALUE"""),13.5)</f>
        <v>13.5</v>
      </c>
    </row>
    <row r="934">
      <c r="D934" t="str">
        <f>IFERROR(__xludf.DUMMYFUNCTION("""COMPUTED_VALUE"""),"Hightower")</f>
        <v>Hightower</v>
      </c>
      <c r="E934" t="str">
        <f>IFERROR(__xludf.DUMMYFUNCTION("""COMPUTED_VALUE"""),"Tim")</f>
        <v>Tim</v>
      </c>
      <c r="F934" t="str">
        <f>IFERROR(__xludf.DUMMYFUNCTION("""COMPUTED_VALUE"""),"HB")</f>
        <v>HB</v>
      </c>
      <c r="G934">
        <f>IFERROR(__xludf.DUMMYFUNCTION("""COMPUTED_VALUE"""),10.95)</f>
        <v>10.95</v>
      </c>
    </row>
    <row r="935">
      <c r="D935" t="str">
        <f>IFERROR(__xludf.DUMMYFUNCTION("""COMPUTED_VALUE"""),"Hill")</f>
        <v>Hill</v>
      </c>
      <c r="E935" t="str">
        <f>IFERROR(__xludf.DUMMYFUNCTION("""COMPUTED_VALUE"""),"Jeremy")</f>
        <v>Jeremy</v>
      </c>
      <c r="F935" t="str">
        <f>IFERROR(__xludf.DUMMYFUNCTION("""COMPUTED_VALUE"""),"HB")</f>
        <v>HB</v>
      </c>
      <c r="G935">
        <f>IFERROR(__xludf.DUMMYFUNCTION("""COMPUTED_VALUE"""),12.15)</f>
        <v>12.15</v>
      </c>
    </row>
    <row r="936">
      <c r="D936" t="str">
        <f>IFERROR(__xludf.DUMMYFUNCTION("""COMPUTED_VALUE"""),"Hill")</f>
        <v>Hill</v>
      </c>
      <c r="E936" t="str">
        <f>IFERROR(__xludf.DUMMYFUNCTION("""COMPUTED_VALUE"""),"Jordan")</f>
        <v>Jordan</v>
      </c>
      <c r="F936" t="str">
        <f>IFERROR(__xludf.DUMMYFUNCTION("""COMPUTED_VALUE"""),"DT")</f>
        <v>DT</v>
      </c>
      <c r="G936">
        <f>IFERROR(__xludf.DUMMYFUNCTION("""COMPUTED_VALUE"""),10.799999999999999)</f>
        <v>10.8</v>
      </c>
    </row>
    <row r="937">
      <c r="D937" t="str">
        <f>IFERROR(__xludf.DUMMYFUNCTION("""COMPUTED_VALUE"""),"Hill")</f>
        <v>Hill</v>
      </c>
      <c r="E937" t="str">
        <f>IFERROR(__xludf.DUMMYFUNCTION("""COMPUTED_VALUE"""),"Josh")</f>
        <v>Josh</v>
      </c>
      <c r="F937" t="str">
        <f>IFERROR(__xludf.DUMMYFUNCTION("""COMPUTED_VALUE"""),"TE")</f>
        <v>TE</v>
      </c>
      <c r="G937">
        <f>IFERROR(__xludf.DUMMYFUNCTION("""COMPUTED_VALUE"""),11.7)</f>
        <v>11.7</v>
      </c>
    </row>
    <row r="938">
      <c r="D938" t="str">
        <f>IFERROR(__xludf.DUMMYFUNCTION("""COMPUTED_VALUE"""),"Hill")</f>
        <v>Hill</v>
      </c>
      <c r="E938" t="str">
        <f>IFERROR(__xludf.DUMMYFUNCTION("""COMPUTED_VALUE"""),"Shaun")</f>
        <v>Shaun</v>
      </c>
      <c r="F938" t="str">
        <f>IFERROR(__xludf.DUMMYFUNCTION("""COMPUTED_VALUE"""),"QB")</f>
        <v>QB</v>
      </c>
      <c r="G938">
        <f>IFERROR(__xludf.DUMMYFUNCTION("""COMPUTED_VALUE"""),10.2)</f>
        <v>10.2</v>
      </c>
    </row>
    <row r="939">
      <c r="D939" t="str">
        <f>IFERROR(__xludf.DUMMYFUNCTION("""COMPUTED_VALUE"""),"Hill")</f>
        <v>Hill</v>
      </c>
      <c r="E939" t="str">
        <f>IFERROR(__xludf.DUMMYFUNCTION("""COMPUTED_VALUE"""),"Stephen")</f>
        <v>Stephen</v>
      </c>
      <c r="F939" t="str">
        <f>IFERROR(__xludf.DUMMYFUNCTION("""COMPUTED_VALUE"""),"WR")</f>
        <v>WR</v>
      </c>
      <c r="G939">
        <f>IFERROR(__xludf.DUMMYFUNCTION("""COMPUTED_VALUE"""),9.299999999999999)</f>
        <v>9.3</v>
      </c>
    </row>
    <row r="940">
      <c r="D940" t="str">
        <f>IFERROR(__xludf.DUMMYFUNCTION("""COMPUTED_VALUE"""),"Hill")</f>
        <v>Hill</v>
      </c>
      <c r="E940" t="str">
        <f>IFERROR(__xludf.DUMMYFUNCTION("""COMPUTED_VALUE"""),"Troy")</f>
        <v>Troy</v>
      </c>
      <c r="F940" t="str">
        <f>IFERROR(__xludf.DUMMYFUNCTION("""COMPUTED_VALUE"""),"CB")</f>
        <v>CB</v>
      </c>
      <c r="G940">
        <f>IFERROR(__xludf.DUMMYFUNCTION("""COMPUTED_VALUE"""),9.0)</f>
        <v>9</v>
      </c>
    </row>
    <row r="941">
      <c r="D941" t="str">
        <f>IFERROR(__xludf.DUMMYFUNCTION("""COMPUTED_VALUE"""),"Hill")</f>
        <v>Hill</v>
      </c>
      <c r="E941" t="str">
        <f>IFERROR(__xludf.DUMMYFUNCTION("""COMPUTED_VALUE"""),"Tyreek")</f>
        <v>Tyreek</v>
      </c>
      <c r="F941" t="str">
        <f>IFERROR(__xludf.DUMMYFUNCTION("""COMPUTED_VALUE"""),"WR")</f>
        <v>WR</v>
      </c>
      <c r="G941">
        <f>IFERROR(__xludf.DUMMYFUNCTION("""COMPUTED_VALUE"""),9.75)</f>
        <v>9.75</v>
      </c>
    </row>
    <row r="942">
      <c r="D942" t="str">
        <f>IFERROR(__xludf.DUMMYFUNCTION("""COMPUTED_VALUE"""),"Hillary")</f>
        <v>Hillary</v>
      </c>
      <c r="E942" t="str">
        <f>IFERROR(__xludf.DUMMYFUNCTION("""COMPUTED_VALUE"""),"Darius")</f>
        <v>Darius</v>
      </c>
      <c r="F942" t="str">
        <f>IFERROR(__xludf.DUMMYFUNCTION("""COMPUTED_VALUE"""),"CB")</f>
        <v>CB</v>
      </c>
      <c r="G942">
        <f>IFERROR(__xludf.DUMMYFUNCTION("""COMPUTED_VALUE"""),9.0)</f>
        <v>9</v>
      </c>
    </row>
    <row r="943">
      <c r="D943" t="str">
        <f>IFERROR(__xludf.DUMMYFUNCTION("""COMPUTED_VALUE"""),"Hilliard")</f>
        <v>Hilliard</v>
      </c>
      <c r="E943" t="str">
        <f>IFERROR(__xludf.DUMMYFUNCTION("""COMPUTED_VALUE"""),"Kenny")</f>
        <v>Kenny</v>
      </c>
      <c r="F943" t="str">
        <f>IFERROR(__xludf.DUMMYFUNCTION("""COMPUTED_VALUE"""),"HB")</f>
        <v>HB</v>
      </c>
      <c r="G943">
        <f>IFERROR(__xludf.DUMMYFUNCTION("""COMPUTED_VALUE"""),9.299999999999999)</f>
        <v>9.3</v>
      </c>
    </row>
    <row r="944">
      <c r="D944" t="str">
        <f>IFERROR(__xludf.DUMMYFUNCTION("""COMPUTED_VALUE"""),"Hillman")</f>
        <v>Hillman</v>
      </c>
      <c r="E944" t="str">
        <f>IFERROR(__xludf.DUMMYFUNCTION("""COMPUTED_VALUE"""),"Ronnie")</f>
        <v>Ronnie</v>
      </c>
      <c r="F944" t="str">
        <f>IFERROR(__xludf.DUMMYFUNCTION("""COMPUTED_VALUE"""),"HB")</f>
        <v>HB</v>
      </c>
      <c r="G944">
        <f>IFERROR(__xludf.DUMMYFUNCTION("""COMPUTED_VALUE"""),11.4)</f>
        <v>11.4</v>
      </c>
    </row>
    <row r="945">
      <c r="D945" t="str">
        <f>IFERROR(__xludf.DUMMYFUNCTION("""COMPUTED_VALUE"""),"Hilton")</f>
        <v>Hilton</v>
      </c>
      <c r="E945" t="str">
        <f>IFERROR(__xludf.DUMMYFUNCTION("""COMPUTED_VALUE"""),"TY")</f>
        <v>TY</v>
      </c>
      <c r="F945" t="str">
        <f>IFERROR(__xludf.DUMMYFUNCTION("""COMPUTED_VALUE"""),"WR")</f>
        <v>WR</v>
      </c>
      <c r="G945">
        <f>IFERROR(__xludf.DUMMYFUNCTION("""COMPUTED_VALUE"""),13.35)</f>
        <v>13.35</v>
      </c>
    </row>
    <row r="946">
      <c r="D946" t="str">
        <f>IFERROR(__xludf.DUMMYFUNCTION("""COMPUTED_VALUE"""),"Hitchens")</f>
        <v>Hitchens</v>
      </c>
      <c r="E946" t="str">
        <f>IFERROR(__xludf.DUMMYFUNCTION("""COMPUTED_VALUE"""),"Anthony")</f>
        <v>Anthony</v>
      </c>
      <c r="F946" t="str">
        <f>IFERROR(__xludf.DUMMYFUNCTION("""COMPUTED_VALUE"""),"LOLB")</f>
        <v>LOLB</v>
      </c>
      <c r="G946">
        <f>IFERROR(__xludf.DUMMYFUNCTION("""COMPUTED_VALUE"""),11.1)</f>
        <v>11.1</v>
      </c>
    </row>
    <row r="947">
      <c r="D947" t="str">
        <f>IFERROR(__xludf.DUMMYFUNCTION("""COMPUTED_VALUE"""),"Hocker")</f>
        <v>Hocker</v>
      </c>
      <c r="E947" t="str">
        <f>IFERROR(__xludf.DUMMYFUNCTION("""COMPUTED_VALUE"""),"Zach")</f>
        <v>Zach</v>
      </c>
      <c r="F947" t="str">
        <f>IFERROR(__xludf.DUMMYFUNCTION("""COMPUTED_VALUE"""),"K")</f>
        <v>K</v>
      </c>
      <c r="G947">
        <f>IFERROR(__xludf.DUMMYFUNCTION("""COMPUTED_VALUE"""),10.35)</f>
        <v>10.35</v>
      </c>
    </row>
    <row r="948">
      <c r="D948" t="str">
        <f>IFERROR(__xludf.DUMMYFUNCTION("""COMPUTED_VALUE"""),"Hodges Jr.")</f>
        <v>Hodges Jr.</v>
      </c>
      <c r="E948" t="str">
        <f>IFERROR(__xludf.DUMMYFUNCTION("""COMPUTED_VALUE"""),"Gerald")</f>
        <v>Gerald</v>
      </c>
      <c r="F948" t="str">
        <f>IFERROR(__xludf.DUMMYFUNCTION("""COMPUTED_VALUE"""),"MLB")</f>
        <v>MLB</v>
      </c>
      <c r="G948">
        <f>IFERROR(__xludf.DUMMYFUNCTION("""COMPUTED_VALUE"""),10.35)</f>
        <v>10.35</v>
      </c>
    </row>
    <row r="949">
      <c r="D949" t="str">
        <f>IFERROR(__xludf.DUMMYFUNCTION("""COMPUTED_VALUE"""),"Hogan")</f>
        <v>Hogan</v>
      </c>
      <c r="E949" t="str">
        <f>IFERROR(__xludf.DUMMYFUNCTION("""COMPUTED_VALUE"""),"Chris")</f>
        <v>Chris</v>
      </c>
      <c r="F949" t="str">
        <f>IFERROR(__xludf.DUMMYFUNCTION("""COMPUTED_VALUE"""),"WR")</f>
        <v>WR</v>
      </c>
      <c r="G949">
        <f>IFERROR(__xludf.DUMMYFUNCTION("""COMPUTED_VALUE"""),11.25)</f>
        <v>11.25</v>
      </c>
    </row>
    <row r="950">
      <c r="D950" t="str">
        <f>IFERROR(__xludf.DUMMYFUNCTION("""COMPUTED_VALUE"""),"Hogan")</f>
        <v>Hogan</v>
      </c>
      <c r="E950" t="str">
        <f>IFERROR(__xludf.DUMMYFUNCTION("""COMPUTED_VALUE"""),"Kevin")</f>
        <v>Kevin</v>
      </c>
      <c r="F950" t="str">
        <f>IFERROR(__xludf.DUMMYFUNCTION("""COMPUTED_VALUE"""),"QB")</f>
        <v>QB</v>
      </c>
      <c r="G950">
        <f>IFERROR(__xludf.DUMMYFUNCTION("""COMPUTED_VALUE"""),10.049999999999999)</f>
        <v>10.05</v>
      </c>
    </row>
    <row r="951">
      <c r="D951" t="str">
        <f>IFERROR(__xludf.DUMMYFUNCTION("""COMPUTED_VALUE"""),"Holmes")</f>
        <v>Holmes</v>
      </c>
      <c r="E951" t="str">
        <f>IFERROR(__xludf.DUMMYFUNCTION("""COMPUTED_VALUE"""),"Andre")</f>
        <v>Andre</v>
      </c>
      <c r="F951" t="str">
        <f>IFERROR(__xludf.DUMMYFUNCTION("""COMPUTED_VALUE"""),"WR")</f>
        <v>WR</v>
      </c>
      <c r="G951">
        <f>IFERROR(__xludf.DUMMYFUNCTION("""COMPUTED_VALUE"""),10.95)</f>
        <v>10.95</v>
      </c>
    </row>
    <row r="952">
      <c r="D952" t="str">
        <f>IFERROR(__xludf.DUMMYFUNCTION("""COMPUTED_VALUE"""),"Holmes")</f>
        <v>Holmes</v>
      </c>
      <c r="E952" t="str">
        <f>IFERROR(__xludf.DUMMYFUNCTION("""COMPUTED_VALUE"""),"Gabe")</f>
        <v>Gabe</v>
      </c>
      <c r="F952" t="str">
        <f>IFERROR(__xludf.DUMMYFUNCTION("""COMPUTED_VALUE"""),"TE")</f>
        <v>TE</v>
      </c>
      <c r="G952">
        <f>IFERROR(__xludf.DUMMYFUNCTION("""COMPUTED_VALUE"""),9.0)</f>
        <v>9</v>
      </c>
    </row>
    <row r="953">
      <c r="D953" t="str">
        <f>IFERROR(__xludf.DUMMYFUNCTION("""COMPUTED_VALUE"""),"Holmes")</f>
        <v>Holmes</v>
      </c>
      <c r="E953" t="str">
        <f>IFERROR(__xludf.DUMMYFUNCTION("""COMPUTED_VALUE"""),"Tyrone")</f>
        <v>Tyrone</v>
      </c>
      <c r="F953" t="str">
        <f>IFERROR(__xludf.DUMMYFUNCTION("""COMPUTED_VALUE"""),"LOLB")</f>
        <v>LOLB</v>
      </c>
      <c r="G953">
        <f>IFERROR(__xludf.DUMMYFUNCTION("""COMPUTED_VALUE"""),9.9)</f>
        <v>9.9</v>
      </c>
    </row>
    <row r="954">
      <c r="D954" t="str">
        <f>IFERROR(__xludf.DUMMYFUNCTION("""COMPUTED_VALUE"""),"Holton")</f>
        <v>Holton</v>
      </c>
      <c r="E954" t="str">
        <f>IFERROR(__xludf.DUMMYFUNCTION("""COMPUTED_VALUE"""),"Johnny")</f>
        <v>Johnny</v>
      </c>
      <c r="F954" t="str">
        <f>IFERROR(__xludf.DUMMYFUNCTION("""COMPUTED_VALUE"""),"WR")</f>
        <v>WR</v>
      </c>
      <c r="G954">
        <f>IFERROR(__xludf.DUMMYFUNCTION("""COMPUTED_VALUE"""),9.45)</f>
        <v>9.45</v>
      </c>
    </row>
    <row r="955">
      <c r="D955" t="str">
        <f>IFERROR(__xludf.DUMMYFUNCTION("""COMPUTED_VALUE"""),"Hood")</f>
        <v>Hood</v>
      </c>
      <c r="E955" t="str">
        <f>IFERROR(__xludf.DUMMYFUNCTION("""COMPUTED_VALUE"""),"Ziggy")</f>
        <v>Ziggy</v>
      </c>
      <c r="F955" t="str">
        <f>IFERROR(__xludf.DUMMYFUNCTION("""COMPUTED_VALUE"""),"DT")</f>
        <v>DT</v>
      </c>
      <c r="G955">
        <f>IFERROR(__xludf.DUMMYFUNCTION("""COMPUTED_VALUE"""),10.5)</f>
        <v>10.5</v>
      </c>
    </row>
    <row r="956">
      <c r="D956" t="str">
        <f>IFERROR(__xludf.DUMMYFUNCTION("""COMPUTED_VALUE"""),"Hooks")</f>
        <v>Hooks</v>
      </c>
      <c r="E956" t="str">
        <f>IFERROR(__xludf.DUMMYFUNCTION("""COMPUTED_VALUE"""),"Lavon")</f>
        <v>Lavon</v>
      </c>
      <c r="F956" t="str">
        <f>IFERROR(__xludf.DUMMYFUNCTION("""COMPUTED_VALUE"""),"DT")</f>
        <v>DT</v>
      </c>
      <c r="G956">
        <f>IFERROR(__xludf.DUMMYFUNCTION("""COMPUTED_VALUE"""),9.0)</f>
        <v>9</v>
      </c>
    </row>
    <row r="957">
      <c r="D957" t="str">
        <f>IFERROR(__xludf.DUMMYFUNCTION("""COMPUTED_VALUE"""),"Hoomanawanui")</f>
        <v>Hoomanawanui</v>
      </c>
      <c r="E957" t="str">
        <f>IFERROR(__xludf.DUMMYFUNCTION("""COMPUTED_VALUE"""),"Michael")</f>
        <v>Michael</v>
      </c>
      <c r="F957" t="str">
        <f>IFERROR(__xludf.DUMMYFUNCTION("""COMPUTED_VALUE"""),"TE")</f>
        <v>TE</v>
      </c>
      <c r="G957">
        <f>IFERROR(__xludf.DUMMYFUNCTION("""COMPUTED_VALUE"""),11.1)</f>
        <v>11.1</v>
      </c>
    </row>
    <row r="958">
      <c r="D958" t="str">
        <f>IFERROR(__xludf.DUMMYFUNCTION("""COMPUTED_VALUE"""),"Hooper")</f>
        <v>Hooper</v>
      </c>
      <c r="E958" t="str">
        <f>IFERROR(__xludf.DUMMYFUNCTION("""COMPUTED_VALUE"""),"Austin")</f>
        <v>Austin</v>
      </c>
      <c r="F958" t="str">
        <f>IFERROR(__xludf.DUMMYFUNCTION("""COMPUTED_VALUE"""),"TE")</f>
        <v>TE</v>
      </c>
      <c r="G958">
        <f>IFERROR(__xludf.DUMMYFUNCTION("""COMPUTED_VALUE"""),10.5)</f>
        <v>10.5</v>
      </c>
    </row>
    <row r="959">
      <c r="D959" t="str">
        <f>IFERROR(__xludf.DUMMYFUNCTION("""COMPUTED_VALUE"""),"Hopkins")</f>
        <v>Hopkins</v>
      </c>
      <c r="E959" t="str">
        <f>IFERROR(__xludf.DUMMYFUNCTION("""COMPUTED_VALUE"""),"DeAndre")</f>
        <v>DeAndre</v>
      </c>
      <c r="F959" t="str">
        <f>IFERROR(__xludf.DUMMYFUNCTION("""COMPUTED_VALUE"""),"WR")</f>
        <v>WR</v>
      </c>
      <c r="G959">
        <f>IFERROR(__xludf.DUMMYFUNCTION("""COMPUTED_VALUE"""),13.95)</f>
        <v>13.95</v>
      </c>
    </row>
    <row r="960">
      <c r="D960" t="str">
        <f>IFERROR(__xludf.DUMMYFUNCTION("""COMPUTED_VALUE"""),"Hopkins")</f>
        <v>Hopkins</v>
      </c>
      <c r="E960" t="str">
        <f>IFERROR(__xludf.DUMMYFUNCTION("""COMPUTED_VALUE"""),"Dustin")</f>
        <v>Dustin</v>
      </c>
      <c r="F960" t="str">
        <f>IFERROR(__xludf.DUMMYFUNCTION("""COMPUTED_VALUE"""),"K")</f>
        <v>K</v>
      </c>
      <c r="G960">
        <f>IFERROR(__xludf.DUMMYFUNCTION("""COMPUTED_VALUE"""),11.549999999999999)</f>
        <v>11.55</v>
      </c>
    </row>
    <row r="961">
      <c r="D961" t="str">
        <f>IFERROR(__xludf.DUMMYFUNCTION("""COMPUTED_VALUE"""),"Hopkins")</f>
        <v>Hopkins</v>
      </c>
      <c r="E961" t="str">
        <f>IFERROR(__xludf.DUMMYFUNCTION("""COMPUTED_VALUE"""),"Trey")</f>
        <v>Trey</v>
      </c>
      <c r="F961" t="str">
        <f>IFERROR(__xludf.DUMMYFUNCTION("""COMPUTED_VALUE"""),"RG")</f>
        <v>RG</v>
      </c>
      <c r="G961">
        <f>IFERROR(__xludf.DUMMYFUNCTION("""COMPUTED_VALUE"""),9.75)</f>
        <v>9.75</v>
      </c>
    </row>
    <row r="962">
      <c r="D962" t="str">
        <f>IFERROR(__xludf.DUMMYFUNCTION("""COMPUTED_VALUE"""),"Horton")</f>
        <v>Horton</v>
      </c>
      <c r="E962" t="str">
        <f>IFERROR(__xludf.DUMMYFUNCTION("""COMPUTED_VALUE"""),"Wes")</f>
        <v>Wes</v>
      </c>
      <c r="F962" t="str">
        <f>IFERROR(__xludf.DUMMYFUNCTION("""COMPUTED_VALUE"""),"RE")</f>
        <v>RE</v>
      </c>
      <c r="G962">
        <f>IFERROR(__xludf.DUMMYFUNCTION("""COMPUTED_VALUE"""),10.5)</f>
        <v>10.5</v>
      </c>
    </row>
    <row r="963">
      <c r="D963" t="str">
        <f>IFERROR(__xludf.DUMMYFUNCTION("""COMPUTED_VALUE"""),"Houma")</f>
        <v>Houma</v>
      </c>
      <c r="E963" t="str">
        <f>IFERROR(__xludf.DUMMYFUNCTION("""COMPUTED_VALUE"""),"Sione")</f>
        <v>Sione</v>
      </c>
      <c r="F963" t="str">
        <f>IFERROR(__xludf.DUMMYFUNCTION("""COMPUTED_VALUE"""),"FB")</f>
        <v>FB</v>
      </c>
      <c r="G963">
        <f>IFERROR(__xludf.DUMMYFUNCTION("""COMPUTED_VALUE"""),9.45)</f>
        <v>9.45</v>
      </c>
    </row>
    <row r="964">
      <c r="D964" t="str">
        <f>IFERROR(__xludf.DUMMYFUNCTION("""COMPUTED_VALUE"""),"House")</f>
        <v>House</v>
      </c>
      <c r="E964" t="str">
        <f>IFERROR(__xludf.DUMMYFUNCTION("""COMPUTED_VALUE"""),"Davon")</f>
        <v>Davon</v>
      </c>
      <c r="F964" t="str">
        <f>IFERROR(__xludf.DUMMYFUNCTION("""COMPUTED_VALUE"""),"CB")</f>
        <v>CB</v>
      </c>
      <c r="G964">
        <f>IFERROR(__xludf.DUMMYFUNCTION("""COMPUTED_VALUE"""),11.4)</f>
        <v>11.4</v>
      </c>
    </row>
    <row r="965">
      <c r="D965" t="str">
        <f>IFERROR(__xludf.DUMMYFUNCTION("""COMPUTED_VALUE"""),"Housler")</f>
        <v>Housler</v>
      </c>
      <c r="E965" t="str">
        <f>IFERROR(__xludf.DUMMYFUNCTION("""COMPUTED_VALUE"""),"Rob")</f>
        <v>Rob</v>
      </c>
      <c r="F965" t="str">
        <f>IFERROR(__xludf.DUMMYFUNCTION("""COMPUTED_VALUE"""),"TE")</f>
        <v>TE</v>
      </c>
      <c r="G965">
        <f>IFERROR(__xludf.DUMMYFUNCTION("""COMPUTED_VALUE"""),10.2)</f>
        <v>10.2</v>
      </c>
    </row>
    <row r="966">
      <c r="D966" t="str">
        <f>IFERROR(__xludf.DUMMYFUNCTION("""COMPUTED_VALUE"""),"Houston")</f>
        <v>Houston</v>
      </c>
      <c r="E966" t="str">
        <f>IFERROR(__xludf.DUMMYFUNCTION("""COMPUTED_VALUE"""),"Justin")</f>
        <v>Justin</v>
      </c>
      <c r="F966" t="str">
        <f>IFERROR(__xludf.DUMMYFUNCTION("""COMPUTED_VALUE"""),"LOLB")</f>
        <v>LOLB</v>
      </c>
      <c r="G966">
        <f>IFERROR(__xludf.DUMMYFUNCTION("""COMPUTED_VALUE"""),14.549999999999999)</f>
        <v>14.55</v>
      </c>
    </row>
    <row r="967">
      <c r="D967" t="str">
        <f>IFERROR(__xludf.DUMMYFUNCTION("""COMPUTED_VALUE"""),"Houston")</f>
        <v>Houston</v>
      </c>
      <c r="E967" t="str">
        <f>IFERROR(__xludf.DUMMYFUNCTION("""COMPUTED_VALUE"""),"Lamarr")</f>
        <v>Lamarr</v>
      </c>
      <c r="F967" t="str">
        <f>IFERROR(__xludf.DUMMYFUNCTION("""COMPUTED_VALUE"""),"ROLB")</f>
        <v>ROLB</v>
      </c>
      <c r="G967">
        <f>IFERROR(__xludf.DUMMYFUNCTION("""COMPUTED_VALUE"""),12.15)</f>
        <v>12.15</v>
      </c>
    </row>
    <row r="968">
      <c r="D968" t="str">
        <f>IFERROR(__xludf.DUMMYFUNCTION("""COMPUTED_VALUE"""),"Houston-Carson")</f>
        <v>Houston-Carson</v>
      </c>
      <c r="E968" t="str">
        <f>IFERROR(__xludf.DUMMYFUNCTION("""COMPUTED_VALUE"""),"DeAndre")</f>
        <v>DeAndre</v>
      </c>
      <c r="F968" t="str">
        <f>IFERROR(__xludf.DUMMYFUNCTION("""COMPUTED_VALUE"""),"FS")</f>
        <v>FS</v>
      </c>
      <c r="G968">
        <f>IFERROR(__xludf.DUMMYFUNCTION("""COMPUTED_VALUE"""),10.2)</f>
        <v>10.2</v>
      </c>
    </row>
    <row r="969">
      <c r="D969" t="str">
        <f>IFERROR(__xludf.DUMMYFUNCTION("""COMPUTED_VALUE"""),"Howard")</f>
        <v>Howard</v>
      </c>
      <c r="E969" t="str">
        <f>IFERROR(__xludf.DUMMYFUNCTION("""COMPUTED_VALUE"""),"Austin")</f>
        <v>Austin</v>
      </c>
      <c r="F969" t="str">
        <f>IFERROR(__xludf.DUMMYFUNCTION("""COMPUTED_VALUE"""),"RT")</f>
        <v>RT</v>
      </c>
      <c r="G969">
        <f>IFERROR(__xludf.DUMMYFUNCTION("""COMPUTED_VALUE"""),12.0)</f>
        <v>12</v>
      </c>
    </row>
    <row r="970">
      <c r="D970" t="str">
        <f>IFERROR(__xludf.DUMMYFUNCTION("""COMPUTED_VALUE"""),"Howard")</f>
        <v>Howard</v>
      </c>
      <c r="E970" t="str">
        <f>IFERROR(__xludf.DUMMYFUNCTION("""COMPUTED_VALUE"""),"Jaye")</f>
        <v>Jaye</v>
      </c>
      <c r="F970" t="str">
        <f>IFERROR(__xludf.DUMMYFUNCTION("""COMPUTED_VALUE"""),"LE")</f>
        <v>LE</v>
      </c>
      <c r="G970">
        <f>IFERROR(__xludf.DUMMYFUNCTION("""COMPUTED_VALUE"""),12.45)</f>
        <v>12.45</v>
      </c>
    </row>
    <row r="971">
      <c r="D971" t="str">
        <f>IFERROR(__xludf.DUMMYFUNCTION("""COMPUTED_VALUE"""),"Howard")</f>
        <v>Howard</v>
      </c>
      <c r="E971" t="str">
        <f>IFERROR(__xludf.DUMMYFUNCTION("""COMPUTED_VALUE"""),"Jordan")</f>
        <v>Jordan</v>
      </c>
      <c r="F971" t="str">
        <f>IFERROR(__xludf.DUMMYFUNCTION("""COMPUTED_VALUE"""),"HB")</f>
        <v>HB</v>
      </c>
      <c r="G971">
        <f>IFERROR(__xludf.DUMMYFUNCTION("""COMPUTED_VALUE"""),9.9)</f>
        <v>9.9</v>
      </c>
    </row>
    <row r="972">
      <c r="D972" t="str">
        <f>IFERROR(__xludf.DUMMYFUNCTION("""COMPUTED_VALUE"""),"Howard")</f>
        <v>Howard</v>
      </c>
      <c r="E972" t="str">
        <f>IFERROR(__xludf.DUMMYFUNCTION("""COMPUTED_VALUE"""),"Xavien")</f>
        <v>Xavien</v>
      </c>
      <c r="F972" t="str">
        <f>IFERROR(__xludf.DUMMYFUNCTION("""COMPUTED_VALUE"""),"CB")</f>
        <v>CB</v>
      </c>
      <c r="G972">
        <f>IFERROR(__xludf.DUMMYFUNCTION("""COMPUTED_VALUE"""),10.799999999999999)</f>
        <v>10.8</v>
      </c>
    </row>
    <row r="973">
      <c r="D973" t="str">
        <f>IFERROR(__xludf.DUMMYFUNCTION("""COMPUTED_VALUE"""),"Hoyer")</f>
        <v>Hoyer</v>
      </c>
      <c r="E973" t="str">
        <f>IFERROR(__xludf.DUMMYFUNCTION("""COMPUTED_VALUE"""),"Brian")</f>
        <v>Brian</v>
      </c>
      <c r="F973" t="str">
        <f>IFERROR(__xludf.DUMMYFUNCTION("""COMPUTED_VALUE"""),"QB")</f>
        <v>QB</v>
      </c>
      <c r="G973">
        <f>IFERROR(__xludf.DUMMYFUNCTION("""COMPUTED_VALUE"""),10.95)</f>
        <v>10.95</v>
      </c>
    </row>
    <row r="974">
      <c r="D974" t="str">
        <f>IFERROR(__xludf.DUMMYFUNCTION("""COMPUTED_VALUE"""),"Hubbard")</f>
        <v>Hubbard</v>
      </c>
      <c r="E974" t="str">
        <f>IFERROR(__xludf.DUMMYFUNCTION("""COMPUTED_VALUE"""),"Chris")</f>
        <v>Chris</v>
      </c>
      <c r="F974" t="str">
        <f>IFERROR(__xludf.DUMMYFUNCTION("""COMPUTED_VALUE"""),"LG")</f>
        <v>LG</v>
      </c>
      <c r="G974">
        <f>IFERROR(__xludf.DUMMYFUNCTION("""COMPUTED_VALUE"""),10.049999999999999)</f>
        <v>10.05</v>
      </c>
    </row>
    <row r="975">
      <c r="D975" t="str">
        <f>IFERROR(__xludf.DUMMYFUNCTION("""COMPUTED_VALUE"""),"Huber")</f>
        <v>Huber</v>
      </c>
      <c r="E975" t="str">
        <f>IFERROR(__xludf.DUMMYFUNCTION("""COMPUTED_VALUE"""),"Kevin")</f>
        <v>Kevin</v>
      </c>
      <c r="F975" t="str">
        <f>IFERROR(__xludf.DUMMYFUNCTION("""COMPUTED_VALUE"""),"P")</f>
        <v>P</v>
      </c>
      <c r="G975">
        <f>IFERROR(__xludf.DUMMYFUNCTION("""COMPUTED_VALUE"""),11.549999999999999)</f>
        <v>11.55</v>
      </c>
    </row>
    <row r="976">
      <c r="D976" t="str">
        <f>IFERROR(__xludf.DUMMYFUNCTION("""COMPUTED_VALUE"""),"Hudson")</f>
        <v>Hudson</v>
      </c>
      <c r="E976" t="str">
        <f>IFERROR(__xludf.DUMMYFUNCTION("""COMPUTED_VALUE"""),"Rodney")</f>
        <v>Rodney</v>
      </c>
      <c r="F976" t="str">
        <f>IFERROR(__xludf.DUMMYFUNCTION("""COMPUTED_VALUE"""),"C")</f>
        <v>C</v>
      </c>
      <c r="G976">
        <f>IFERROR(__xludf.DUMMYFUNCTION("""COMPUTED_VALUE"""),12.75)</f>
        <v>12.75</v>
      </c>
    </row>
    <row r="977">
      <c r="D977" t="str">
        <f>IFERROR(__xludf.DUMMYFUNCTION("""COMPUTED_VALUE"""),"Huff")</f>
        <v>Huff</v>
      </c>
      <c r="E977" t="str">
        <f>IFERROR(__xludf.DUMMYFUNCTION("""COMPUTED_VALUE"""),"Josh")</f>
        <v>Josh</v>
      </c>
      <c r="F977" t="str">
        <f>IFERROR(__xludf.DUMMYFUNCTION("""COMPUTED_VALUE"""),"WR")</f>
        <v>WR</v>
      </c>
      <c r="G977">
        <f>IFERROR(__xludf.DUMMYFUNCTION("""COMPUTED_VALUE"""),10.5)</f>
        <v>10.5</v>
      </c>
    </row>
    <row r="978">
      <c r="D978" t="str">
        <f>IFERROR(__xludf.DUMMYFUNCTION("""COMPUTED_VALUE"""),"Huff")</f>
        <v>Huff</v>
      </c>
      <c r="E978" t="str">
        <f>IFERROR(__xludf.DUMMYFUNCTION("""COMPUTED_VALUE"""),"Marqueston")</f>
        <v>Marqueston</v>
      </c>
      <c r="F978" t="str">
        <f>IFERROR(__xludf.DUMMYFUNCTION("""COMPUTED_VALUE"""),"FS")</f>
        <v>FS</v>
      </c>
      <c r="G978">
        <f>IFERROR(__xludf.DUMMYFUNCTION("""COMPUTED_VALUE"""),10.799999999999999)</f>
        <v>10.8</v>
      </c>
    </row>
    <row r="979">
      <c r="D979" t="str">
        <f>IFERROR(__xludf.DUMMYFUNCTION("""COMPUTED_VALUE"""),"Hughes")</f>
        <v>Hughes</v>
      </c>
      <c r="E979" t="str">
        <f>IFERROR(__xludf.DUMMYFUNCTION("""COMPUTED_VALUE"""),"Jerry")</f>
        <v>Jerry</v>
      </c>
      <c r="F979" t="str">
        <f>IFERROR(__xludf.DUMMYFUNCTION("""COMPUTED_VALUE"""),"RE")</f>
        <v>RE</v>
      </c>
      <c r="G979">
        <f>IFERROR(__xludf.DUMMYFUNCTION("""COMPUTED_VALUE"""),13.2)</f>
        <v>13.2</v>
      </c>
    </row>
    <row r="980">
      <c r="D980" t="str">
        <f>IFERROR(__xludf.DUMMYFUNCTION("""COMPUTED_VALUE"""),"Hughes")</f>
        <v>Hughes</v>
      </c>
      <c r="E980" t="str">
        <f>IFERROR(__xludf.DUMMYFUNCTION("""COMPUTED_VALUE"""),"Montori")</f>
        <v>Montori</v>
      </c>
      <c r="F980" t="str">
        <f>IFERROR(__xludf.DUMMYFUNCTION("""COMPUTED_VALUE"""),"DT")</f>
        <v>DT</v>
      </c>
      <c r="G980">
        <f>IFERROR(__xludf.DUMMYFUNCTION("""COMPUTED_VALUE"""),9.75)</f>
        <v>9.75</v>
      </c>
    </row>
    <row r="981">
      <c r="D981" t="str">
        <f>IFERROR(__xludf.DUMMYFUNCTION("""COMPUTED_VALUE"""),"Hughes III")</f>
        <v>Hughes III</v>
      </c>
      <c r="E981" t="str">
        <f>IFERROR(__xludf.DUMMYFUNCTION("""COMPUTED_VALUE"""),"John")</f>
        <v>John</v>
      </c>
      <c r="F981" t="str">
        <f>IFERROR(__xludf.DUMMYFUNCTION("""COMPUTED_VALUE"""),"RE")</f>
        <v>RE</v>
      </c>
      <c r="G981">
        <f>IFERROR(__xludf.DUMMYFUNCTION("""COMPUTED_VALUE"""),10.5)</f>
        <v>10.5</v>
      </c>
    </row>
    <row r="982">
      <c r="D982" t="str">
        <f>IFERROR(__xludf.DUMMYFUNCTION("""COMPUTED_VALUE"""),"Hughlett")</f>
        <v>Hughlett</v>
      </c>
      <c r="E982" t="str">
        <f>IFERROR(__xludf.DUMMYFUNCTION("""COMPUTED_VALUE"""),"Charley")</f>
        <v>Charley</v>
      </c>
      <c r="F982" t="str">
        <f>IFERROR(__xludf.DUMMYFUNCTION("""COMPUTED_VALUE"""),"TE")</f>
        <v>TE</v>
      </c>
      <c r="G982">
        <f>IFERROR(__xludf.DUMMYFUNCTION("""COMPUTED_VALUE"""),7.6499999999999995)</f>
        <v>7.65</v>
      </c>
    </row>
    <row r="983">
      <c r="D983" t="str">
        <f>IFERROR(__xludf.DUMMYFUNCTION("""COMPUTED_VALUE"""),"Hull")</f>
        <v>Hull</v>
      </c>
      <c r="E983" t="str">
        <f>IFERROR(__xludf.DUMMYFUNCTION("""COMPUTED_VALUE"""),"Mike")</f>
        <v>Mike</v>
      </c>
      <c r="F983" t="str">
        <f>IFERROR(__xludf.DUMMYFUNCTION("""COMPUTED_VALUE"""),"MLB")</f>
        <v>MLB</v>
      </c>
      <c r="G983">
        <f>IFERROR(__xludf.DUMMYFUNCTION("""COMPUTED_VALUE"""),9.15)</f>
        <v>9.15</v>
      </c>
    </row>
    <row r="984">
      <c r="D984" t="str">
        <f>IFERROR(__xludf.DUMMYFUNCTION("""COMPUTED_VALUE"""),"Humber")</f>
        <v>Humber</v>
      </c>
      <c r="E984" t="str">
        <f>IFERROR(__xludf.DUMMYFUNCTION("""COMPUTED_VALUE"""),"Ramon")</f>
        <v>Ramon</v>
      </c>
      <c r="F984" t="str">
        <f>IFERROR(__xludf.DUMMYFUNCTION("""COMPUTED_VALUE"""),"MLB")</f>
        <v>MLB</v>
      </c>
      <c r="G984">
        <f>IFERROR(__xludf.DUMMYFUNCTION("""COMPUTED_VALUE"""),10.2)</f>
        <v>10.2</v>
      </c>
    </row>
    <row r="985">
      <c r="D985" t="str">
        <f>IFERROR(__xludf.DUMMYFUNCTION("""COMPUTED_VALUE"""),"Humphries")</f>
        <v>Humphries</v>
      </c>
      <c r="E985" t="str">
        <f>IFERROR(__xludf.DUMMYFUNCTION("""COMPUTED_VALUE"""),"Adam")</f>
        <v>Adam</v>
      </c>
      <c r="F985" t="str">
        <f>IFERROR(__xludf.DUMMYFUNCTION("""COMPUTED_VALUE"""),"WR")</f>
        <v>WR</v>
      </c>
      <c r="G985">
        <f>IFERROR(__xludf.DUMMYFUNCTION("""COMPUTED_VALUE"""),10.049999999999999)</f>
        <v>10.05</v>
      </c>
    </row>
    <row r="986">
      <c r="D986" t="str">
        <f>IFERROR(__xludf.DUMMYFUNCTION("""COMPUTED_VALUE"""),"Humphries")</f>
        <v>Humphries</v>
      </c>
      <c r="E986" t="str">
        <f>IFERROR(__xludf.DUMMYFUNCTION("""COMPUTED_VALUE"""),"DJ")</f>
        <v>DJ</v>
      </c>
      <c r="F986" t="str">
        <f>IFERROR(__xludf.DUMMYFUNCTION("""COMPUTED_VALUE"""),"RT")</f>
        <v>RT</v>
      </c>
      <c r="G986">
        <f>IFERROR(__xludf.DUMMYFUNCTION("""COMPUTED_VALUE"""),10.95)</f>
        <v>10.95</v>
      </c>
    </row>
    <row r="987">
      <c r="D987" t="str">
        <f>IFERROR(__xludf.DUMMYFUNCTION("""COMPUTED_VALUE"""),"Hundley")</f>
        <v>Hundley</v>
      </c>
      <c r="E987" t="str">
        <f>IFERROR(__xludf.DUMMYFUNCTION("""COMPUTED_VALUE"""),"Brett")</f>
        <v>Brett</v>
      </c>
      <c r="F987" t="str">
        <f>IFERROR(__xludf.DUMMYFUNCTION("""COMPUTED_VALUE"""),"QB")</f>
        <v>QB</v>
      </c>
      <c r="G987">
        <f>IFERROR(__xludf.DUMMYFUNCTION("""COMPUTED_VALUE"""),10.5)</f>
        <v>10.5</v>
      </c>
    </row>
    <row r="988">
      <c r="D988" t="str">
        <f>IFERROR(__xludf.DUMMYFUNCTION("""COMPUTED_VALUE"""),"Hunt")</f>
        <v>Hunt</v>
      </c>
      <c r="E988" t="str">
        <f>IFERROR(__xludf.DUMMYFUNCTION("""COMPUTED_VALUE"""),"Akeem")</f>
        <v>Akeem</v>
      </c>
      <c r="F988" t="str">
        <f>IFERROR(__xludf.DUMMYFUNCTION("""COMPUTED_VALUE"""),"HB")</f>
        <v>HB</v>
      </c>
      <c r="G988">
        <f>IFERROR(__xludf.DUMMYFUNCTION("""COMPUTED_VALUE"""),9.6)</f>
        <v>9.6</v>
      </c>
    </row>
    <row r="989">
      <c r="D989" t="str">
        <f>IFERROR(__xludf.DUMMYFUNCTION("""COMPUTED_VALUE"""),"Hunt")</f>
        <v>Hunt</v>
      </c>
      <c r="E989" t="str">
        <f>IFERROR(__xludf.DUMMYFUNCTION("""COMPUTED_VALUE"""),"Joey")</f>
        <v>Joey</v>
      </c>
      <c r="F989" t="str">
        <f>IFERROR(__xludf.DUMMYFUNCTION("""COMPUTED_VALUE"""),"C")</f>
        <v>C</v>
      </c>
      <c r="G989">
        <f>IFERROR(__xludf.DUMMYFUNCTION("""COMPUTED_VALUE"""),10.049999999999999)</f>
        <v>10.05</v>
      </c>
    </row>
    <row r="990">
      <c r="D990" t="str">
        <f>IFERROR(__xludf.DUMMYFUNCTION("""COMPUTED_VALUE"""),"Hunt")</f>
        <v>Hunt</v>
      </c>
      <c r="E990" t="str">
        <f>IFERROR(__xludf.DUMMYFUNCTION("""COMPUTED_VALUE"""),"Margus")</f>
        <v>Margus</v>
      </c>
      <c r="F990" t="str">
        <f>IFERROR(__xludf.DUMMYFUNCTION("""COMPUTED_VALUE"""),"LE")</f>
        <v>LE</v>
      </c>
      <c r="G990">
        <f>IFERROR(__xludf.DUMMYFUNCTION("""COMPUTED_VALUE"""),9.75)</f>
        <v>9.75</v>
      </c>
    </row>
    <row r="991">
      <c r="D991" t="str">
        <f>IFERROR(__xludf.DUMMYFUNCTION("""COMPUTED_VALUE"""),"Hunter")</f>
        <v>Hunter</v>
      </c>
      <c r="E991" t="str">
        <f>IFERROR(__xludf.DUMMYFUNCTION("""COMPUTED_VALUE"""),"Danielle")</f>
        <v>Danielle</v>
      </c>
      <c r="F991" t="str">
        <f>IFERROR(__xludf.DUMMYFUNCTION("""COMPUTED_VALUE"""),"RE")</f>
        <v>RE</v>
      </c>
      <c r="G991">
        <f>IFERROR(__xludf.DUMMYFUNCTION("""COMPUTED_VALUE"""),10.799999999999999)</f>
        <v>10.8</v>
      </c>
    </row>
    <row r="992">
      <c r="D992" t="str">
        <f>IFERROR(__xludf.DUMMYFUNCTION("""COMPUTED_VALUE"""),"Hunter")</f>
        <v>Hunter</v>
      </c>
      <c r="E992" t="str">
        <f>IFERROR(__xludf.DUMMYFUNCTION("""COMPUTED_VALUE"""),"Justin")</f>
        <v>Justin</v>
      </c>
      <c r="F992" t="str">
        <f>IFERROR(__xludf.DUMMYFUNCTION("""COMPUTED_VALUE"""),"WR")</f>
        <v>WR</v>
      </c>
      <c r="G992">
        <f>IFERROR(__xludf.DUMMYFUNCTION("""COMPUTED_VALUE"""),10.65)</f>
        <v>10.65</v>
      </c>
    </row>
    <row r="993">
      <c r="D993" t="str">
        <f>IFERROR(__xludf.DUMMYFUNCTION("""COMPUTED_VALUE"""),"Hurns")</f>
        <v>Hurns</v>
      </c>
      <c r="E993" t="str">
        <f>IFERROR(__xludf.DUMMYFUNCTION("""COMPUTED_VALUE"""),"Allen")</f>
        <v>Allen</v>
      </c>
      <c r="F993" t="str">
        <f>IFERROR(__xludf.DUMMYFUNCTION("""COMPUTED_VALUE"""),"WR")</f>
        <v>WR</v>
      </c>
      <c r="G993">
        <f>IFERROR(__xludf.DUMMYFUNCTION("""COMPUTED_VALUE"""),12.75)</f>
        <v>12.75</v>
      </c>
    </row>
    <row r="994">
      <c r="D994" t="str">
        <f>IFERROR(__xludf.DUMMYFUNCTION("""COMPUTED_VALUE"""),"Hurst")</f>
        <v>Hurst</v>
      </c>
      <c r="E994" t="str">
        <f>IFERROR(__xludf.DUMMYFUNCTION("""COMPUTED_VALUE"""),"Demontre")</f>
        <v>Demontre</v>
      </c>
      <c r="F994" t="str">
        <f>IFERROR(__xludf.DUMMYFUNCTION("""COMPUTED_VALUE"""),"SS")</f>
        <v>SS</v>
      </c>
      <c r="G994">
        <f>IFERROR(__xludf.DUMMYFUNCTION("""COMPUTED_VALUE"""),9.45)</f>
        <v>9.45</v>
      </c>
    </row>
    <row r="995">
      <c r="D995" t="str">
        <f>IFERROR(__xludf.DUMMYFUNCTION("""COMPUTED_VALUE"""),"Hurst")</f>
        <v>Hurst</v>
      </c>
      <c r="E995" t="str">
        <f>IFERROR(__xludf.DUMMYFUNCTION("""COMPUTED_VALUE"""),"James")</f>
        <v>James</v>
      </c>
      <c r="F995" t="str">
        <f>IFERROR(__xludf.DUMMYFUNCTION("""COMPUTED_VALUE"""),"LG")</f>
        <v>LG</v>
      </c>
      <c r="G995">
        <f>IFERROR(__xludf.DUMMYFUNCTION("""COMPUTED_VALUE"""),9.9)</f>
        <v>9.9</v>
      </c>
    </row>
    <row r="996">
      <c r="D996" t="str">
        <f>IFERROR(__xludf.DUMMYFUNCTION("""COMPUTED_VALUE"""),"Hyde")</f>
        <v>Hyde</v>
      </c>
      <c r="E996" t="str">
        <f>IFERROR(__xludf.DUMMYFUNCTION("""COMPUTED_VALUE"""),"Carlos")</f>
        <v>Carlos</v>
      </c>
      <c r="F996" t="str">
        <f>IFERROR(__xludf.DUMMYFUNCTION("""COMPUTED_VALUE"""),"HB")</f>
        <v>HB</v>
      </c>
      <c r="G996">
        <f>IFERROR(__xludf.DUMMYFUNCTION("""COMPUTED_VALUE"""),12.15)</f>
        <v>12.15</v>
      </c>
    </row>
    <row r="997">
      <c r="D997" t="str">
        <f>IFERROR(__xludf.DUMMYFUNCTION("""COMPUTED_VALUE"""),"Hyde")</f>
        <v>Hyde</v>
      </c>
      <c r="E997" t="str">
        <f>IFERROR(__xludf.DUMMYFUNCTION("""COMPUTED_VALUE"""),"Micah")</f>
        <v>Micah</v>
      </c>
      <c r="F997" t="str">
        <f>IFERROR(__xludf.DUMMYFUNCTION("""COMPUTED_VALUE"""),"FS")</f>
        <v>FS</v>
      </c>
      <c r="G997">
        <f>IFERROR(__xludf.DUMMYFUNCTION("""COMPUTED_VALUE"""),12.0)</f>
        <v>12</v>
      </c>
    </row>
    <row r="998">
      <c r="D998" t="str">
        <f>IFERROR(__xludf.DUMMYFUNCTION("""COMPUTED_VALUE"""),"Ifedi")</f>
        <v>Ifedi</v>
      </c>
      <c r="E998" t="str">
        <f>IFERROR(__xludf.DUMMYFUNCTION("""COMPUTED_VALUE"""),"Germain")</f>
        <v>Germain</v>
      </c>
      <c r="F998" t="str">
        <f>IFERROR(__xludf.DUMMYFUNCTION("""COMPUTED_VALUE"""),"RG")</f>
        <v>RG</v>
      </c>
      <c r="G998">
        <f>IFERROR(__xludf.DUMMYFUNCTION("""COMPUTED_VALUE"""),11.25)</f>
        <v>11.25</v>
      </c>
    </row>
    <row r="999">
      <c r="D999" t="str">
        <f>IFERROR(__xludf.DUMMYFUNCTION("""COMPUTED_VALUE"""),"Ihenacho")</f>
        <v>Ihenacho</v>
      </c>
      <c r="E999" t="str">
        <f>IFERROR(__xludf.DUMMYFUNCTION("""COMPUTED_VALUE"""),"Duke")</f>
        <v>Duke</v>
      </c>
      <c r="F999" t="str">
        <f>IFERROR(__xludf.DUMMYFUNCTION("""COMPUTED_VALUE"""),"SS")</f>
        <v>SS</v>
      </c>
      <c r="G999">
        <f>IFERROR(__xludf.DUMMYFUNCTION("""COMPUTED_VALUE"""),11.549999999999999)</f>
        <v>11.55</v>
      </c>
    </row>
    <row r="1000">
      <c r="D1000" t="str">
        <f>IFERROR(__xludf.DUMMYFUNCTION("""COMPUTED_VALUE"""),"Ijalana")</f>
        <v>Ijalana</v>
      </c>
      <c r="E1000" t="str">
        <f>IFERROR(__xludf.DUMMYFUNCTION("""COMPUTED_VALUE"""),"Ben")</f>
        <v>Ben</v>
      </c>
      <c r="F1000" t="str">
        <f>IFERROR(__xludf.DUMMYFUNCTION("""COMPUTED_VALUE"""),"LT")</f>
        <v>LT</v>
      </c>
      <c r="G1000">
        <f>IFERROR(__xludf.DUMMYFUNCTION("""COMPUTED_VALUE"""),10.35)</f>
        <v>10.35</v>
      </c>
    </row>
    <row r="1001">
      <c r="D1001" t="str">
        <f>IFERROR(__xludf.DUMMYFUNCTION("""COMPUTED_VALUE"""),"Ikard")</f>
        <v>Ikard</v>
      </c>
      <c r="E1001" t="str">
        <f>IFERROR(__xludf.DUMMYFUNCTION("""COMPUTED_VALUE"""),"Gabe")</f>
        <v>Gabe</v>
      </c>
      <c r="F1001" t="str">
        <f>IFERROR(__xludf.DUMMYFUNCTION("""COMPUTED_VALUE"""),"C")</f>
        <v>C</v>
      </c>
      <c r="G1001">
        <f>IFERROR(__xludf.DUMMYFUNCTION("""COMPUTED_VALUE"""),9.75)</f>
        <v>9.75</v>
      </c>
    </row>
    <row r="1002">
      <c r="D1002" t="str">
        <f>IFERROR(__xludf.DUMMYFUNCTION("""COMPUTED_VALUE"""),"Iloka")</f>
        <v>Iloka</v>
      </c>
      <c r="E1002" t="str">
        <f>IFERROR(__xludf.DUMMYFUNCTION("""COMPUTED_VALUE"""),"George")</f>
        <v>George</v>
      </c>
      <c r="F1002" t="str">
        <f>IFERROR(__xludf.DUMMYFUNCTION("""COMPUTED_VALUE"""),"FS")</f>
        <v>FS</v>
      </c>
      <c r="G1002">
        <f>IFERROR(__xludf.DUMMYFUNCTION("""COMPUTED_VALUE"""),12.6)</f>
        <v>12.6</v>
      </c>
    </row>
    <row r="1003">
      <c r="D1003" t="str">
        <f>IFERROR(__xludf.DUMMYFUNCTION("""COMPUTED_VALUE"""),"Incognito")</f>
        <v>Incognito</v>
      </c>
      <c r="E1003" t="str">
        <f>IFERROR(__xludf.DUMMYFUNCTION("""COMPUTED_VALUE"""),"Richie")</f>
        <v>Richie</v>
      </c>
      <c r="F1003" t="str">
        <f>IFERROR(__xludf.DUMMYFUNCTION("""COMPUTED_VALUE"""),"LG")</f>
        <v>LG</v>
      </c>
      <c r="G1003">
        <f>IFERROR(__xludf.DUMMYFUNCTION("""COMPUTED_VALUE"""),13.5)</f>
        <v>13.5</v>
      </c>
    </row>
    <row r="1004">
      <c r="D1004" t="str">
        <f>IFERROR(__xludf.DUMMYFUNCTION("""COMPUTED_VALUE"""),"Ingram")</f>
        <v>Ingram</v>
      </c>
      <c r="E1004" t="str">
        <f>IFERROR(__xludf.DUMMYFUNCTION("""COMPUTED_VALUE"""),"Mark")</f>
        <v>Mark</v>
      </c>
      <c r="F1004" t="str">
        <f>IFERROR(__xludf.DUMMYFUNCTION("""COMPUTED_VALUE"""),"HB")</f>
        <v>HB</v>
      </c>
      <c r="G1004">
        <f>IFERROR(__xludf.DUMMYFUNCTION("""COMPUTED_VALUE"""),12.45)</f>
        <v>12.45</v>
      </c>
    </row>
    <row r="1005">
      <c r="D1005" t="str">
        <f>IFERROR(__xludf.DUMMYFUNCTION("""COMPUTED_VALUE"""),"Ingram")</f>
        <v>Ingram</v>
      </c>
      <c r="E1005" t="str">
        <f>IFERROR(__xludf.DUMMYFUNCTION("""COMPUTED_VALUE"""),"Melvin")</f>
        <v>Melvin</v>
      </c>
      <c r="F1005" t="str">
        <f>IFERROR(__xludf.DUMMYFUNCTION("""COMPUTED_VALUE"""),"ROLB")</f>
        <v>ROLB</v>
      </c>
      <c r="G1005">
        <f>IFERROR(__xludf.DUMMYFUNCTION("""COMPUTED_VALUE"""),12.9)</f>
        <v>12.9</v>
      </c>
    </row>
    <row r="1006">
      <c r="D1006" t="str">
        <f>IFERROR(__xludf.DUMMYFUNCTION("""COMPUTED_VALUE"""),"Inman")</f>
        <v>Inman</v>
      </c>
      <c r="E1006" t="str">
        <f>IFERROR(__xludf.DUMMYFUNCTION("""COMPUTED_VALUE"""),"Dontrelle")</f>
        <v>Dontrelle</v>
      </c>
      <c r="F1006" t="str">
        <f>IFERROR(__xludf.DUMMYFUNCTION("""COMPUTED_VALUE"""),"WR")</f>
        <v>WR</v>
      </c>
      <c r="G1006">
        <f>IFERROR(__xludf.DUMMYFUNCTION("""COMPUTED_VALUE"""),10.799999999999999)</f>
        <v>10.8</v>
      </c>
    </row>
    <row r="1007">
      <c r="D1007" t="str">
        <f>IFERROR(__xludf.DUMMYFUNCTION("""COMPUTED_VALUE"""),"Ioannidis")</f>
        <v>Ioannidis</v>
      </c>
      <c r="E1007" t="str">
        <f>IFERROR(__xludf.DUMMYFUNCTION("""COMPUTED_VALUE"""),"Matthew")</f>
        <v>Matthew</v>
      </c>
      <c r="F1007" t="str">
        <f>IFERROR(__xludf.DUMMYFUNCTION("""COMPUTED_VALUE"""),"LE")</f>
        <v>LE</v>
      </c>
      <c r="G1007">
        <f>IFERROR(__xludf.DUMMYFUNCTION("""COMPUTED_VALUE"""),9.9)</f>
        <v>9.9</v>
      </c>
    </row>
    <row r="1008">
      <c r="D1008" t="str">
        <f>IFERROR(__xludf.DUMMYFUNCTION("""COMPUTED_VALUE"""),"Irvin")</f>
        <v>Irvin</v>
      </c>
      <c r="E1008" t="str">
        <f>IFERROR(__xludf.DUMMYFUNCTION("""COMPUTED_VALUE"""),"Bruce")</f>
        <v>Bruce</v>
      </c>
      <c r="F1008" t="str">
        <f>IFERROR(__xludf.DUMMYFUNCTION("""COMPUTED_VALUE"""),"LOLB")</f>
        <v>LOLB</v>
      </c>
      <c r="G1008">
        <f>IFERROR(__xludf.DUMMYFUNCTION("""COMPUTED_VALUE"""),12.15)</f>
        <v>12.15</v>
      </c>
    </row>
    <row r="1009">
      <c r="D1009" t="str">
        <f>IFERROR(__xludf.DUMMYFUNCTION("""COMPUTED_VALUE"""),"Irving")</f>
        <v>Irving</v>
      </c>
      <c r="E1009" t="str">
        <f>IFERROR(__xludf.DUMMYFUNCTION("""COMPUTED_VALUE"""),"David")</f>
        <v>David</v>
      </c>
      <c r="F1009" t="str">
        <f>IFERROR(__xludf.DUMMYFUNCTION("""COMPUTED_VALUE"""),"LE")</f>
        <v>LE</v>
      </c>
      <c r="G1009">
        <f>IFERROR(__xludf.DUMMYFUNCTION("""COMPUTED_VALUE"""),10.049999999999999)</f>
        <v>10.05</v>
      </c>
    </row>
    <row r="1010">
      <c r="D1010" t="str">
        <f>IFERROR(__xludf.DUMMYFUNCTION("""COMPUTED_VALUE"""),"Irving")</f>
        <v>Irving</v>
      </c>
      <c r="E1010" t="str">
        <f>IFERROR(__xludf.DUMMYFUNCTION("""COMPUTED_VALUE"""),"Nate")</f>
        <v>Nate</v>
      </c>
      <c r="F1010" t="str">
        <f>IFERROR(__xludf.DUMMYFUNCTION("""COMPUTED_VALUE"""),"MLB")</f>
        <v>MLB</v>
      </c>
      <c r="G1010">
        <f>IFERROR(__xludf.DUMMYFUNCTION("""COMPUTED_VALUE"""),11.4)</f>
        <v>11.4</v>
      </c>
    </row>
    <row r="1011">
      <c r="D1011" t="str">
        <f>IFERROR(__xludf.DUMMYFUNCTION("""COMPUTED_VALUE"""),"Ishmael")</f>
        <v>Ishmael</v>
      </c>
      <c r="E1011" t="str">
        <f>IFERROR(__xludf.DUMMYFUNCTION("""COMPUTED_VALUE"""),"Kemal")</f>
        <v>Kemal</v>
      </c>
      <c r="F1011" t="str">
        <f>IFERROR(__xludf.DUMMYFUNCTION("""COMPUTED_VALUE"""),"SS")</f>
        <v>SS</v>
      </c>
      <c r="G1011">
        <f>IFERROR(__xludf.DUMMYFUNCTION("""COMPUTED_VALUE"""),11.4)</f>
        <v>11.4</v>
      </c>
    </row>
    <row r="1012">
      <c r="D1012" t="str">
        <f>IFERROR(__xludf.DUMMYFUNCTION("""COMPUTED_VALUE"""),"Iupati")</f>
        <v>Iupati</v>
      </c>
      <c r="E1012" t="str">
        <f>IFERROR(__xludf.DUMMYFUNCTION("""COMPUTED_VALUE"""),"Mike")</f>
        <v>Mike</v>
      </c>
      <c r="F1012" t="str">
        <f>IFERROR(__xludf.DUMMYFUNCTION("""COMPUTED_VALUE"""),"LG")</f>
        <v>LG</v>
      </c>
      <c r="G1012">
        <f>IFERROR(__xludf.DUMMYFUNCTION("""COMPUTED_VALUE"""),12.9)</f>
        <v>12.9</v>
      </c>
    </row>
    <row r="1013">
      <c r="D1013" t="str">
        <f>IFERROR(__xludf.DUMMYFUNCTION("""COMPUTED_VALUE"""),"Ivory")</f>
        <v>Ivory</v>
      </c>
      <c r="E1013" t="str">
        <f>IFERROR(__xludf.DUMMYFUNCTION("""COMPUTED_VALUE"""),"Chris")</f>
        <v>Chris</v>
      </c>
      <c r="F1013" t="str">
        <f>IFERROR(__xludf.DUMMYFUNCTION("""COMPUTED_VALUE"""),"HB")</f>
        <v>HB</v>
      </c>
      <c r="G1013">
        <f>IFERROR(__xludf.DUMMYFUNCTION("""COMPUTED_VALUE"""),12.299999999999999)</f>
        <v>12.3</v>
      </c>
    </row>
    <row r="1014">
      <c r="D1014" t="str">
        <f>IFERROR(__xludf.DUMMYFUNCTION("""COMPUTED_VALUE"""),"Iworah")</f>
        <v>Iworah</v>
      </c>
      <c r="E1014" t="str">
        <f>IFERROR(__xludf.DUMMYFUNCTION("""COMPUTED_VALUE"""),"Prince")</f>
        <v>Prince</v>
      </c>
      <c r="F1014" t="str">
        <f>IFERROR(__xludf.DUMMYFUNCTION("""COMPUTED_VALUE"""),"CB")</f>
        <v>CB</v>
      </c>
      <c r="G1014">
        <f>IFERROR(__xludf.DUMMYFUNCTION("""COMPUTED_VALUE"""),9.45)</f>
        <v>9.45</v>
      </c>
    </row>
    <row r="1015">
      <c r="D1015" t="str">
        <f>IFERROR(__xludf.DUMMYFUNCTION("""COMPUTED_VALUE"""),"Jack")</f>
        <v>Jack</v>
      </c>
      <c r="E1015" t="str">
        <f>IFERROR(__xludf.DUMMYFUNCTION("""COMPUTED_VALUE"""),"Myles")</f>
        <v>Myles</v>
      </c>
      <c r="F1015" t="str">
        <f>IFERROR(__xludf.DUMMYFUNCTION("""COMPUTED_VALUE"""),"ROLB")</f>
        <v>ROLB</v>
      </c>
      <c r="G1015">
        <f>IFERROR(__xludf.DUMMYFUNCTION("""COMPUTED_VALUE"""),11.4)</f>
        <v>11.4</v>
      </c>
    </row>
    <row r="1016">
      <c r="D1016" t="str">
        <f>IFERROR(__xludf.DUMMYFUNCTION("""COMPUTED_VALUE"""),"Jackson")</f>
        <v>Jackson</v>
      </c>
      <c r="E1016" t="str">
        <f>IFERROR(__xludf.DUMMYFUNCTION("""COMPUTED_VALUE"""),"Asa")</f>
        <v>Asa</v>
      </c>
      <c r="F1016" t="str">
        <f>IFERROR(__xludf.DUMMYFUNCTION("""COMPUTED_VALUE"""),"CB")</f>
        <v>CB</v>
      </c>
      <c r="G1016">
        <f>IFERROR(__xludf.DUMMYFUNCTION("""COMPUTED_VALUE"""),10.35)</f>
        <v>10.35</v>
      </c>
    </row>
    <row r="1017">
      <c r="D1017" t="str">
        <f>IFERROR(__xludf.DUMMYFUNCTION("""COMPUTED_VALUE"""),"Jackson")</f>
        <v>Jackson</v>
      </c>
      <c r="E1017" t="str">
        <f>IFERROR(__xludf.DUMMYFUNCTION("""COMPUTED_VALUE"""),"Bennett")</f>
        <v>Bennett</v>
      </c>
      <c r="F1017" t="str">
        <f>IFERROR(__xludf.DUMMYFUNCTION("""COMPUTED_VALUE"""),"FS")</f>
        <v>FS</v>
      </c>
      <c r="G1017">
        <f>IFERROR(__xludf.DUMMYFUNCTION("""COMPUTED_VALUE"""),10.2)</f>
        <v>10.2</v>
      </c>
    </row>
    <row r="1018">
      <c r="D1018" t="str">
        <f>IFERROR(__xludf.DUMMYFUNCTION("""COMPUTED_VALUE"""),"Jackson")</f>
        <v>Jackson</v>
      </c>
      <c r="E1018" t="str">
        <f>IFERROR(__xludf.DUMMYFUNCTION("""COMPUTED_VALUE"""),"Darius")</f>
        <v>Darius</v>
      </c>
      <c r="F1018" t="str">
        <f>IFERROR(__xludf.DUMMYFUNCTION("""COMPUTED_VALUE"""),"HB")</f>
        <v>HB</v>
      </c>
      <c r="G1018">
        <f>IFERROR(__xludf.DUMMYFUNCTION("""COMPUTED_VALUE"""),10.049999999999999)</f>
        <v>10.05</v>
      </c>
    </row>
    <row r="1019">
      <c r="D1019" t="str">
        <f>IFERROR(__xludf.DUMMYFUNCTION("""COMPUTED_VALUE"""),"Jackson")</f>
        <v>Jackson</v>
      </c>
      <c r="E1019" t="str">
        <f>IFERROR(__xludf.DUMMYFUNCTION("""COMPUTED_VALUE"""),"DeSean")</f>
        <v>DeSean</v>
      </c>
      <c r="F1019" t="str">
        <f>IFERROR(__xludf.DUMMYFUNCTION("""COMPUTED_VALUE"""),"WR")</f>
        <v>WR</v>
      </c>
      <c r="G1019">
        <f>IFERROR(__xludf.DUMMYFUNCTION("""COMPUTED_VALUE"""),12.6)</f>
        <v>12.6</v>
      </c>
    </row>
    <row r="1020">
      <c r="D1020" t="str">
        <f>IFERROR(__xludf.DUMMYFUNCTION("""COMPUTED_VALUE"""),"Jackson")</f>
        <v>Jackson</v>
      </c>
      <c r="E1020" t="str">
        <f>IFERROR(__xludf.DUMMYFUNCTION("""COMPUTED_VALUE"""),"Don")</f>
        <v>Don</v>
      </c>
      <c r="F1020" t="str">
        <f>IFERROR(__xludf.DUMMYFUNCTION("""COMPUTED_VALUE"""),"HB")</f>
        <v>HB</v>
      </c>
      <c r="G1020">
        <f>IFERROR(__xludf.DUMMYFUNCTION("""COMPUTED_VALUE"""),9.0)</f>
        <v>9</v>
      </c>
    </row>
    <row r="1021">
      <c r="D1021" t="str">
        <f>IFERROR(__xludf.DUMMYFUNCTION("""COMPUTED_VALUE"""),"Jackson")</f>
        <v>Jackson</v>
      </c>
      <c r="E1021" t="str">
        <f>IFERROR(__xludf.DUMMYFUNCTION("""COMPUTED_VALUE"""),"DQwell")</f>
        <v>DQwell</v>
      </c>
      <c r="F1021" t="str">
        <f>IFERROR(__xludf.DUMMYFUNCTION("""COMPUTED_VALUE"""),"MLB")</f>
        <v>MLB</v>
      </c>
      <c r="G1021">
        <f>IFERROR(__xludf.DUMMYFUNCTION("""COMPUTED_VALUE"""),11.85)</f>
        <v>11.85</v>
      </c>
    </row>
    <row r="1022">
      <c r="D1022" t="str">
        <f>IFERROR(__xludf.DUMMYFUNCTION("""COMPUTED_VALUE"""),"Jackson")</f>
        <v>Jackson</v>
      </c>
      <c r="E1022" t="str">
        <f>IFERROR(__xludf.DUMMYFUNCTION("""COMPUTED_VALUE"""),"Gabe")</f>
        <v>Gabe</v>
      </c>
      <c r="F1022" t="str">
        <f>IFERROR(__xludf.DUMMYFUNCTION("""COMPUTED_VALUE"""),"LG")</f>
        <v>LG</v>
      </c>
      <c r="G1022">
        <f>IFERROR(__xludf.DUMMYFUNCTION("""COMPUTED_VALUE"""),12.45)</f>
        <v>12.45</v>
      </c>
    </row>
    <row r="1023">
      <c r="D1023" t="str">
        <f>IFERROR(__xludf.DUMMYFUNCTION("""COMPUTED_VALUE"""),"Jackson")</f>
        <v>Jackson</v>
      </c>
      <c r="E1023" t="str">
        <f>IFERROR(__xludf.DUMMYFUNCTION("""COMPUTED_VALUE"""),"Kareem")</f>
        <v>Kareem</v>
      </c>
      <c r="F1023" t="str">
        <f>IFERROR(__xludf.DUMMYFUNCTION("""COMPUTED_VALUE"""),"CB")</f>
        <v>CB</v>
      </c>
      <c r="G1023">
        <f>IFERROR(__xludf.DUMMYFUNCTION("""COMPUTED_VALUE"""),11.7)</f>
        <v>11.7</v>
      </c>
    </row>
    <row r="1024">
      <c r="D1024" t="str">
        <f>IFERROR(__xludf.DUMMYFUNCTION("""COMPUTED_VALUE"""),"Jackson")</f>
        <v>Jackson</v>
      </c>
      <c r="E1024" t="str">
        <f>IFERROR(__xludf.DUMMYFUNCTION("""COMPUTED_VALUE"""),"Malik")</f>
        <v>Malik</v>
      </c>
      <c r="F1024" t="str">
        <f>IFERROR(__xludf.DUMMYFUNCTION("""COMPUTED_VALUE"""),"LE")</f>
        <v>LE</v>
      </c>
      <c r="G1024">
        <f>IFERROR(__xludf.DUMMYFUNCTION("""COMPUTED_VALUE"""),12.9)</f>
        <v>12.9</v>
      </c>
    </row>
    <row r="1025">
      <c r="D1025" t="str">
        <f>IFERROR(__xludf.DUMMYFUNCTION("""COMPUTED_VALUE"""),"Jackson")</f>
        <v>Jackson</v>
      </c>
      <c r="E1025" t="str">
        <f>IFERROR(__xludf.DUMMYFUNCTION("""COMPUTED_VALUE"""),"Tre")</f>
        <v>Tre</v>
      </c>
      <c r="F1025" t="str">
        <f>IFERROR(__xludf.DUMMYFUNCTION("""COMPUTED_VALUE"""),"RG")</f>
        <v>RG</v>
      </c>
      <c r="G1025">
        <f>IFERROR(__xludf.DUMMYFUNCTION("""COMPUTED_VALUE"""),10.65)</f>
        <v>10.65</v>
      </c>
    </row>
    <row r="1026">
      <c r="D1026" t="str">
        <f>IFERROR(__xludf.DUMMYFUNCTION("""COMPUTED_VALUE"""),"Jackson")</f>
        <v>Jackson</v>
      </c>
      <c r="E1026" t="str">
        <f>IFERROR(__xludf.DUMMYFUNCTION("""COMPUTED_VALUE"""),"Tyson")</f>
        <v>Tyson</v>
      </c>
      <c r="F1026" t="str">
        <f>IFERROR(__xludf.DUMMYFUNCTION("""COMPUTED_VALUE"""),"DT")</f>
        <v>DT</v>
      </c>
      <c r="G1026">
        <f>IFERROR(__xludf.DUMMYFUNCTION("""COMPUTED_VALUE"""),11.549999999999999)</f>
        <v>11.55</v>
      </c>
    </row>
    <row r="1027">
      <c r="D1027" t="str">
        <f>IFERROR(__xludf.DUMMYFUNCTION("""COMPUTED_VALUE"""),"Jackson")</f>
        <v>Jackson</v>
      </c>
      <c r="E1027" t="str">
        <f>IFERROR(__xludf.DUMMYFUNCTION("""COMPUTED_VALUE"""),"Vincent")</f>
        <v>Vincent</v>
      </c>
      <c r="F1027" t="str">
        <f>IFERROR(__xludf.DUMMYFUNCTION("""COMPUTED_VALUE"""),"WR")</f>
        <v>WR</v>
      </c>
      <c r="G1027">
        <f>IFERROR(__xludf.DUMMYFUNCTION("""COMPUTED_VALUE"""),12.299999999999999)</f>
        <v>12.3</v>
      </c>
    </row>
    <row r="1028">
      <c r="D1028" t="str">
        <f>IFERROR(__xludf.DUMMYFUNCTION("""COMPUTED_VALUE"""),"Jackson III")</f>
        <v>Jackson III</v>
      </c>
      <c r="E1028" t="str">
        <f>IFERROR(__xludf.DUMMYFUNCTION("""COMPUTED_VALUE"""),"William")</f>
        <v>William</v>
      </c>
      <c r="F1028" t="str">
        <f>IFERROR(__xludf.DUMMYFUNCTION("""COMPUTED_VALUE"""),"CB")</f>
        <v>CB</v>
      </c>
      <c r="G1028">
        <f>IFERROR(__xludf.DUMMYFUNCTION("""COMPUTED_VALUE"""),10.95)</f>
        <v>10.95</v>
      </c>
    </row>
    <row r="1029">
      <c r="D1029" t="str">
        <f>IFERROR(__xludf.DUMMYFUNCTION("""COMPUTED_VALUE"""),"Jacobs")</f>
        <v>Jacobs</v>
      </c>
      <c r="E1029" t="str">
        <f>IFERROR(__xludf.DUMMYFUNCTION("""COMPUTED_VALUE"""),"Ben")</f>
        <v>Ben</v>
      </c>
      <c r="F1029" t="str">
        <f>IFERROR(__xludf.DUMMYFUNCTION("""COMPUTED_VALUE"""),"ROLB")</f>
        <v>ROLB</v>
      </c>
      <c r="G1029">
        <f>IFERROR(__xludf.DUMMYFUNCTION("""COMPUTED_VALUE"""),10.049999999999999)</f>
        <v>10.05</v>
      </c>
    </row>
    <row r="1030">
      <c r="D1030" t="str">
        <f>IFERROR(__xludf.DUMMYFUNCTION("""COMPUTED_VALUE"""),"Jacobs")</f>
        <v>Jacobs</v>
      </c>
      <c r="E1030" t="str">
        <f>IFERROR(__xludf.DUMMYFUNCTION("""COMPUTED_VALUE"""),"Nic")</f>
        <v>Nic</v>
      </c>
      <c r="F1030" t="str">
        <f>IFERROR(__xludf.DUMMYFUNCTION("""COMPUTED_VALUE"""),"TE")</f>
        <v>TE</v>
      </c>
      <c r="G1030">
        <f>IFERROR(__xludf.DUMMYFUNCTION("""COMPUTED_VALUE"""),10.65)</f>
        <v>10.65</v>
      </c>
    </row>
    <row r="1031">
      <c r="D1031" t="str">
        <f>IFERROR(__xludf.DUMMYFUNCTION("""COMPUTED_VALUE"""),"Jacobs")</f>
        <v>Jacobs</v>
      </c>
      <c r="E1031" t="str">
        <f>IFERROR(__xludf.DUMMYFUNCTION("""COMPUTED_VALUE"""),"Tramain")</f>
        <v>Tramain</v>
      </c>
      <c r="F1031" t="str">
        <f>IFERROR(__xludf.DUMMYFUNCTION("""COMPUTED_VALUE"""),"CB")</f>
        <v>CB</v>
      </c>
      <c r="G1031">
        <f>IFERROR(__xludf.DUMMYFUNCTION("""COMPUTED_VALUE"""),9.299999999999999)</f>
        <v>9.3</v>
      </c>
    </row>
    <row r="1032">
      <c r="D1032" t="str">
        <f>IFERROR(__xludf.DUMMYFUNCTION("""COMPUTED_VALUE"""),"James")</f>
        <v>James</v>
      </c>
      <c r="E1032" t="str">
        <f>IFERROR(__xludf.DUMMYFUNCTION("""COMPUTED_VALUE"""),"Cory")</f>
        <v>Cory</v>
      </c>
      <c r="F1032" t="str">
        <f>IFERROR(__xludf.DUMMYFUNCTION("""COMPUTED_VALUE"""),"MLB")</f>
        <v>MLB</v>
      </c>
      <c r="G1032">
        <f>IFERROR(__xludf.DUMMYFUNCTION("""COMPUTED_VALUE"""),9.15)</f>
        <v>9.15</v>
      </c>
    </row>
    <row r="1033">
      <c r="D1033" t="str">
        <f>IFERROR(__xludf.DUMMYFUNCTION("""COMPUTED_VALUE"""),"James")</f>
        <v>James</v>
      </c>
      <c r="E1033" t="str">
        <f>IFERROR(__xludf.DUMMYFUNCTION("""COMPUTED_VALUE"""),"JaWuan")</f>
        <v>JaWuan</v>
      </c>
      <c r="F1033" t="str">
        <f>IFERROR(__xludf.DUMMYFUNCTION("""COMPUTED_VALUE"""),"RT")</f>
        <v>RT</v>
      </c>
      <c r="G1033">
        <f>IFERROR(__xludf.DUMMYFUNCTION("""COMPUTED_VALUE"""),11.25)</f>
        <v>11.25</v>
      </c>
    </row>
    <row r="1034">
      <c r="D1034" t="str">
        <f>IFERROR(__xludf.DUMMYFUNCTION("""COMPUTED_VALUE"""),"James")</f>
        <v>James</v>
      </c>
      <c r="E1034" t="str">
        <f>IFERROR(__xludf.DUMMYFUNCTION("""COMPUTED_VALUE"""),"Jesse")</f>
        <v>Jesse</v>
      </c>
      <c r="F1034" t="str">
        <f>IFERROR(__xludf.DUMMYFUNCTION("""COMPUTED_VALUE"""),"TE")</f>
        <v>TE</v>
      </c>
      <c r="G1034">
        <f>IFERROR(__xludf.DUMMYFUNCTION("""COMPUTED_VALUE"""),10.049999999999999)</f>
        <v>10.05</v>
      </c>
    </row>
    <row r="1035">
      <c r="D1035" t="str">
        <f>IFERROR(__xludf.DUMMYFUNCTION("""COMPUTED_VALUE"""),"James")</f>
        <v>James</v>
      </c>
      <c r="E1035" t="str">
        <f>IFERROR(__xludf.DUMMYFUNCTION("""COMPUTED_VALUE"""),"Josh")</f>
        <v>Josh</v>
      </c>
      <c r="F1035" t="str">
        <f>IFERROR(__xludf.DUMMYFUNCTION("""COMPUTED_VALUE"""),"LT")</f>
        <v>LT</v>
      </c>
      <c r="G1035">
        <f>IFERROR(__xludf.DUMMYFUNCTION("""COMPUTED_VALUE"""),8.85)</f>
        <v>8.85</v>
      </c>
    </row>
    <row r="1036">
      <c r="D1036" t="str">
        <f>IFERROR(__xludf.DUMMYFUNCTION("""COMPUTED_VALUE"""),"James")</f>
        <v>James</v>
      </c>
      <c r="E1036" t="str">
        <f>IFERROR(__xludf.DUMMYFUNCTION("""COMPUTED_VALUE"""),"Kendall")</f>
        <v>Kendall</v>
      </c>
      <c r="F1036" t="str">
        <f>IFERROR(__xludf.DUMMYFUNCTION("""COMPUTED_VALUE"""),"CB")</f>
        <v>CB</v>
      </c>
      <c r="G1036">
        <f>IFERROR(__xludf.DUMMYFUNCTION("""COMPUTED_VALUE"""),10.049999999999999)</f>
        <v>10.05</v>
      </c>
    </row>
    <row r="1037">
      <c r="D1037" t="str">
        <f>IFERROR(__xludf.DUMMYFUNCTION("""COMPUTED_VALUE"""),"James")</f>
        <v>James</v>
      </c>
      <c r="E1037" t="str">
        <f>IFERROR(__xludf.DUMMYFUNCTION("""COMPUTED_VALUE"""),"Mike")</f>
        <v>Mike</v>
      </c>
      <c r="F1037" t="str">
        <f>IFERROR(__xludf.DUMMYFUNCTION("""COMPUTED_VALUE"""),"HB")</f>
        <v>HB</v>
      </c>
      <c r="G1037">
        <f>IFERROR(__xludf.DUMMYFUNCTION("""COMPUTED_VALUE"""),10.65)</f>
        <v>10.65</v>
      </c>
    </row>
    <row r="1038">
      <c r="D1038" t="str">
        <f>IFERROR(__xludf.DUMMYFUNCTION("""COMPUTED_VALUE"""),"James II")</f>
        <v>James II</v>
      </c>
      <c r="E1038" t="str">
        <f>IFERROR(__xludf.DUMMYFUNCTION("""COMPUTED_VALUE"""),"Charles")</f>
        <v>Charles</v>
      </c>
      <c r="F1038" t="str">
        <f>IFERROR(__xludf.DUMMYFUNCTION("""COMPUTED_VALUE"""),"CB")</f>
        <v>CB</v>
      </c>
      <c r="G1038">
        <f>IFERROR(__xludf.DUMMYFUNCTION("""COMPUTED_VALUE"""),10.799999999999999)</f>
        <v>10.8</v>
      </c>
    </row>
    <row r="1039">
      <c r="D1039" t="str">
        <f>IFERROR(__xludf.DUMMYFUNCTION("""COMPUTED_VALUE"""),"Janikowski")</f>
        <v>Janikowski</v>
      </c>
      <c r="E1039" t="str">
        <f>IFERROR(__xludf.DUMMYFUNCTION("""COMPUTED_VALUE"""),"Sebastian")</f>
        <v>Sebastian</v>
      </c>
      <c r="F1039" t="str">
        <f>IFERROR(__xludf.DUMMYFUNCTION("""COMPUTED_VALUE"""),"K")</f>
        <v>K</v>
      </c>
      <c r="G1039">
        <f>IFERROR(__xludf.DUMMYFUNCTION("""COMPUTED_VALUE"""),11.85)</f>
        <v>11.85</v>
      </c>
    </row>
    <row r="1040">
      <c r="D1040" t="str">
        <f>IFERROR(__xludf.DUMMYFUNCTION("""COMPUTED_VALUE"""),"Janis")</f>
        <v>Janis</v>
      </c>
      <c r="E1040" t="str">
        <f>IFERROR(__xludf.DUMMYFUNCTION("""COMPUTED_VALUE"""),"Jeff")</f>
        <v>Jeff</v>
      </c>
      <c r="F1040" t="str">
        <f>IFERROR(__xludf.DUMMYFUNCTION("""COMPUTED_VALUE"""),"WR")</f>
        <v>WR</v>
      </c>
      <c r="G1040">
        <f>IFERROR(__xludf.DUMMYFUNCTION("""COMPUTED_VALUE"""),10.65)</f>
        <v>10.65</v>
      </c>
    </row>
    <row r="1041">
      <c r="D1041" t="str">
        <f>IFERROR(__xludf.DUMMYFUNCTION("""COMPUTED_VALUE"""),"Janovich")</f>
        <v>Janovich</v>
      </c>
      <c r="E1041" t="str">
        <f>IFERROR(__xludf.DUMMYFUNCTION("""COMPUTED_VALUE"""),"Andy")</f>
        <v>Andy</v>
      </c>
      <c r="F1041" t="str">
        <f>IFERROR(__xludf.DUMMYFUNCTION("""COMPUTED_VALUE"""),"FB")</f>
        <v>FB</v>
      </c>
      <c r="G1041">
        <f>IFERROR(__xludf.DUMMYFUNCTION("""COMPUTED_VALUE"""),10.049999999999999)</f>
        <v>10.05</v>
      </c>
    </row>
    <row r="1042">
      <c r="D1042" t="str">
        <f>IFERROR(__xludf.DUMMYFUNCTION("""COMPUTED_VALUE"""),"Jansen")</f>
        <v>Jansen</v>
      </c>
      <c r="E1042" t="str">
        <f>IFERROR(__xludf.DUMMYFUNCTION("""COMPUTED_VALUE"""),"JJ")</f>
        <v>JJ</v>
      </c>
      <c r="F1042" t="str">
        <f>IFERROR(__xludf.DUMMYFUNCTION("""COMPUTED_VALUE"""),"TE")</f>
        <v>TE</v>
      </c>
      <c r="G1042">
        <f>IFERROR(__xludf.DUMMYFUNCTION("""COMPUTED_VALUE"""),6.6)</f>
        <v>6.6</v>
      </c>
    </row>
    <row r="1043">
      <c r="D1043" t="str">
        <f>IFERROR(__xludf.DUMMYFUNCTION("""COMPUTED_VALUE"""),"Jarrett")</f>
        <v>Jarrett</v>
      </c>
      <c r="E1043" t="str">
        <f>IFERROR(__xludf.DUMMYFUNCTION("""COMPUTED_VALUE"""),"Grady")</f>
        <v>Grady</v>
      </c>
      <c r="F1043" t="str">
        <f>IFERROR(__xludf.DUMMYFUNCTION("""COMPUTED_VALUE"""),"DT")</f>
        <v>DT</v>
      </c>
      <c r="G1043">
        <f>IFERROR(__xludf.DUMMYFUNCTION("""COMPUTED_VALUE"""),10.799999999999999)</f>
        <v>10.8</v>
      </c>
    </row>
    <row r="1044">
      <c r="D1044" t="str">
        <f>IFERROR(__xludf.DUMMYFUNCTION("""COMPUTED_VALUE"""),"Jarrett")</f>
        <v>Jarrett</v>
      </c>
      <c r="E1044" t="str">
        <f>IFERROR(__xludf.DUMMYFUNCTION("""COMPUTED_VALUE"""),"Kyshoen")</f>
        <v>Kyshoen</v>
      </c>
      <c r="F1044" t="str">
        <f>IFERROR(__xludf.DUMMYFUNCTION("""COMPUTED_VALUE"""),"FS")</f>
        <v>FS</v>
      </c>
      <c r="G1044">
        <f>IFERROR(__xludf.DUMMYFUNCTION("""COMPUTED_VALUE"""),11.1)</f>
        <v>11.1</v>
      </c>
    </row>
    <row r="1045">
      <c r="D1045" t="str">
        <f>IFERROR(__xludf.DUMMYFUNCTION("""COMPUTED_VALUE"""),"Jean Francois")</f>
        <v>Jean Francois</v>
      </c>
      <c r="E1045" t="str">
        <f>IFERROR(__xludf.DUMMYFUNCTION("""COMPUTED_VALUE"""),"Ricky")</f>
        <v>Ricky</v>
      </c>
      <c r="F1045" t="str">
        <f>IFERROR(__xludf.DUMMYFUNCTION("""COMPUTED_VALUE"""),"RE")</f>
        <v>RE</v>
      </c>
      <c r="G1045">
        <f>IFERROR(__xludf.DUMMYFUNCTION("""COMPUTED_VALUE"""),11.1)</f>
        <v>11.1</v>
      </c>
    </row>
    <row r="1046">
      <c r="D1046" t="str">
        <f>IFERROR(__xludf.DUMMYFUNCTION("""COMPUTED_VALUE"""),"Jean-Baptiste")</f>
        <v>Jean-Baptiste</v>
      </c>
      <c r="E1046" t="str">
        <f>IFERROR(__xludf.DUMMYFUNCTION("""COMPUTED_VALUE"""),"Stanley")</f>
        <v>Stanley</v>
      </c>
      <c r="F1046" t="str">
        <f>IFERROR(__xludf.DUMMYFUNCTION("""COMPUTED_VALUE"""),"CB")</f>
        <v>CB</v>
      </c>
      <c r="G1046">
        <f>IFERROR(__xludf.DUMMYFUNCTION("""COMPUTED_VALUE"""),9.9)</f>
        <v>9.9</v>
      </c>
    </row>
    <row r="1047">
      <c r="D1047" t="str">
        <f>IFERROR(__xludf.DUMMYFUNCTION("""COMPUTED_VALUE"""),"Jefferson")</f>
        <v>Jefferson</v>
      </c>
      <c r="E1047" t="str">
        <f>IFERROR(__xludf.DUMMYFUNCTION("""COMPUTED_VALUE"""),"Quinton")</f>
        <v>Quinton</v>
      </c>
      <c r="F1047" t="str">
        <f>IFERROR(__xludf.DUMMYFUNCTION("""COMPUTED_VALUE"""),"DT")</f>
        <v>DT</v>
      </c>
      <c r="G1047">
        <f>IFERROR(__xludf.DUMMYFUNCTION("""COMPUTED_VALUE"""),9.75)</f>
        <v>9.75</v>
      </c>
    </row>
    <row r="1048">
      <c r="D1048" t="str">
        <f>IFERROR(__xludf.DUMMYFUNCTION("""COMPUTED_VALUE"""),"Jefferson")</f>
        <v>Jefferson</v>
      </c>
      <c r="E1048" t="str">
        <f>IFERROR(__xludf.DUMMYFUNCTION("""COMPUTED_VALUE"""),"Tony")</f>
        <v>Tony</v>
      </c>
      <c r="F1048" t="str">
        <f>IFERROR(__xludf.DUMMYFUNCTION("""COMPUTED_VALUE"""),"FS")</f>
        <v>FS</v>
      </c>
      <c r="G1048">
        <f>IFERROR(__xludf.DUMMYFUNCTION("""COMPUTED_VALUE"""),12.15)</f>
        <v>12.15</v>
      </c>
    </row>
    <row r="1049">
      <c r="D1049" t="str">
        <f>IFERROR(__xludf.DUMMYFUNCTION("""COMPUTED_VALUE"""),"Jeffery")</f>
        <v>Jeffery</v>
      </c>
      <c r="E1049" t="str">
        <f>IFERROR(__xludf.DUMMYFUNCTION("""COMPUTED_VALUE"""),"Alshon")</f>
        <v>Alshon</v>
      </c>
      <c r="F1049" t="str">
        <f>IFERROR(__xludf.DUMMYFUNCTION("""COMPUTED_VALUE"""),"WR")</f>
        <v>WR</v>
      </c>
      <c r="G1049">
        <f>IFERROR(__xludf.DUMMYFUNCTION("""COMPUTED_VALUE"""),13.65)</f>
        <v>13.65</v>
      </c>
    </row>
    <row r="1050">
      <c r="D1050" t="str">
        <f>IFERROR(__xludf.DUMMYFUNCTION("""COMPUTED_VALUE"""),"Jenkins")</f>
        <v>Jenkins</v>
      </c>
      <c r="E1050" t="str">
        <f>IFERROR(__xludf.DUMMYFUNCTION("""COMPUTED_VALUE"""),"Janoris")</f>
        <v>Janoris</v>
      </c>
      <c r="F1050" t="str">
        <f>IFERROR(__xludf.DUMMYFUNCTION("""COMPUTED_VALUE"""),"CB")</f>
        <v>CB</v>
      </c>
      <c r="G1050">
        <f>IFERROR(__xludf.DUMMYFUNCTION("""COMPUTED_VALUE"""),12.75)</f>
        <v>12.75</v>
      </c>
    </row>
    <row r="1051">
      <c r="D1051" t="str">
        <f>IFERROR(__xludf.DUMMYFUNCTION("""COMPUTED_VALUE"""),"Jenkins")</f>
        <v>Jenkins</v>
      </c>
      <c r="E1051" t="str">
        <f>IFERROR(__xludf.DUMMYFUNCTION("""COMPUTED_VALUE"""),"Jarvis")</f>
        <v>Jarvis</v>
      </c>
      <c r="F1051" t="str">
        <f>IFERROR(__xludf.DUMMYFUNCTION("""COMPUTED_VALUE"""),"LE")</f>
        <v>LE</v>
      </c>
      <c r="G1051">
        <f>IFERROR(__xludf.DUMMYFUNCTION("""COMPUTED_VALUE"""),9.9)</f>
        <v>9.9</v>
      </c>
    </row>
    <row r="1052">
      <c r="D1052" t="str">
        <f>IFERROR(__xludf.DUMMYFUNCTION("""COMPUTED_VALUE"""),"Jenkins")</f>
        <v>Jenkins</v>
      </c>
      <c r="E1052" t="str">
        <f>IFERROR(__xludf.DUMMYFUNCTION("""COMPUTED_VALUE"""),"Jelani")</f>
        <v>Jelani</v>
      </c>
      <c r="F1052" t="str">
        <f>IFERROR(__xludf.DUMMYFUNCTION("""COMPUTED_VALUE"""),"ROLB")</f>
        <v>ROLB</v>
      </c>
      <c r="G1052">
        <f>IFERROR(__xludf.DUMMYFUNCTION("""COMPUTED_VALUE"""),11.7)</f>
        <v>11.7</v>
      </c>
    </row>
    <row r="1053">
      <c r="D1053" t="str">
        <f>IFERROR(__xludf.DUMMYFUNCTION("""COMPUTED_VALUE"""),"Jenkins")</f>
        <v>Jenkins</v>
      </c>
      <c r="E1053" t="str">
        <f>IFERROR(__xludf.DUMMYFUNCTION("""COMPUTED_VALUE"""),"John")</f>
        <v>John</v>
      </c>
      <c r="F1053" t="str">
        <f>IFERROR(__xludf.DUMMYFUNCTION("""COMPUTED_VALUE"""),"DT")</f>
        <v>DT</v>
      </c>
      <c r="G1053">
        <f>IFERROR(__xludf.DUMMYFUNCTION("""COMPUTED_VALUE"""),11.7)</f>
        <v>11.7</v>
      </c>
    </row>
    <row r="1054">
      <c r="D1054" t="str">
        <f>IFERROR(__xludf.DUMMYFUNCTION("""COMPUTED_VALUE"""),"Jenkins")</f>
        <v>Jenkins</v>
      </c>
      <c r="E1054" t="str">
        <f>IFERROR(__xludf.DUMMYFUNCTION("""COMPUTED_VALUE"""),"Jordan")</f>
        <v>Jordan</v>
      </c>
      <c r="F1054" t="str">
        <f>IFERROR(__xludf.DUMMYFUNCTION("""COMPUTED_VALUE"""),"LOLB")</f>
        <v>LOLB</v>
      </c>
      <c r="G1054">
        <f>IFERROR(__xludf.DUMMYFUNCTION("""COMPUTED_VALUE"""),10.35)</f>
        <v>10.35</v>
      </c>
    </row>
    <row r="1055">
      <c r="D1055" t="str">
        <f>IFERROR(__xludf.DUMMYFUNCTION("""COMPUTED_VALUE"""),"Jenkins")</f>
        <v>Jenkins</v>
      </c>
      <c r="E1055" t="str">
        <f>IFERROR(__xludf.DUMMYFUNCTION("""COMPUTED_VALUE"""),"Malcolm")</f>
        <v>Malcolm</v>
      </c>
      <c r="F1055" t="str">
        <f>IFERROR(__xludf.DUMMYFUNCTION("""COMPUTED_VALUE"""),"FS")</f>
        <v>FS</v>
      </c>
      <c r="G1055">
        <f>IFERROR(__xludf.DUMMYFUNCTION("""COMPUTED_VALUE"""),13.95)</f>
        <v>13.95</v>
      </c>
    </row>
    <row r="1056">
      <c r="D1056" t="str">
        <f>IFERROR(__xludf.DUMMYFUNCTION("""COMPUTED_VALUE"""),"Jenkins")</f>
        <v>Jenkins</v>
      </c>
      <c r="E1056" t="str">
        <f>IFERROR(__xludf.DUMMYFUNCTION("""COMPUTED_VALUE"""),"Mike")</f>
        <v>Mike</v>
      </c>
      <c r="F1056" t="str">
        <f>IFERROR(__xludf.DUMMYFUNCTION("""COMPUTED_VALUE"""),"CB")</f>
        <v>CB</v>
      </c>
      <c r="G1056">
        <f>IFERROR(__xludf.DUMMYFUNCTION("""COMPUTED_VALUE"""),10.799999999999999)</f>
        <v>10.8</v>
      </c>
    </row>
    <row r="1057">
      <c r="D1057" t="str">
        <f>IFERROR(__xludf.DUMMYFUNCTION("""COMPUTED_VALUE"""),"Jenkins")</f>
        <v>Jenkins</v>
      </c>
      <c r="E1057" t="str">
        <f>IFERROR(__xludf.DUMMYFUNCTION("""COMPUTED_VALUE"""),"Shaneil")</f>
        <v>Shaneil</v>
      </c>
      <c r="F1057" t="str">
        <f>IFERROR(__xludf.DUMMYFUNCTION("""COMPUTED_VALUE"""),"RE")</f>
        <v>RE</v>
      </c>
      <c r="G1057">
        <f>IFERROR(__xludf.DUMMYFUNCTION("""COMPUTED_VALUE"""),9.15)</f>
        <v>9.15</v>
      </c>
    </row>
    <row r="1058">
      <c r="D1058" t="str">
        <f>IFERROR(__xludf.DUMMYFUNCTION("""COMPUTED_VALUE"""),"Jennings")</f>
        <v>Jennings</v>
      </c>
      <c r="E1058" t="str">
        <f>IFERROR(__xludf.DUMMYFUNCTION("""COMPUTED_VALUE"""),"Darius")</f>
        <v>Darius</v>
      </c>
      <c r="F1058" t="str">
        <f>IFERROR(__xludf.DUMMYFUNCTION("""COMPUTED_VALUE"""),"WR")</f>
        <v>WR</v>
      </c>
      <c r="G1058">
        <f>IFERROR(__xludf.DUMMYFUNCTION("""COMPUTED_VALUE"""),9.15)</f>
        <v>9.15</v>
      </c>
    </row>
    <row r="1059">
      <c r="D1059" t="str">
        <f>IFERROR(__xludf.DUMMYFUNCTION("""COMPUTED_VALUE"""),"Jennings")</f>
        <v>Jennings</v>
      </c>
      <c r="E1059" t="str">
        <f>IFERROR(__xludf.DUMMYFUNCTION("""COMPUTED_VALUE"""),"Rashad")</f>
        <v>Rashad</v>
      </c>
      <c r="F1059" t="str">
        <f>IFERROR(__xludf.DUMMYFUNCTION("""COMPUTED_VALUE"""),"HB")</f>
        <v>HB</v>
      </c>
      <c r="G1059">
        <f>IFERROR(__xludf.DUMMYFUNCTION("""COMPUTED_VALUE"""),12.0)</f>
        <v>12</v>
      </c>
    </row>
    <row r="1060">
      <c r="D1060" t="str">
        <f>IFERROR(__xludf.DUMMYFUNCTION("""COMPUTED_VALUE"""),"Jensen")</f>
        <v>Jensen</v>
      </c>
      <c r="E1060" t="str">
        <f>IFERROR(__xludf.DUMMYFUNCTION("""COMPUTED_VALUE"""),"Marcel")</f>
        <v>Marcel</v>
      </c>
      <c r="F1060" t="str">
        <f>IFERROR(__xludf.DUMMYFUNCTION("""COMPUTED_VALUE"""),"TE")</f>
        <v>TE</v>
      </c>
      <c r="G1060">
        <f>IFERROR(__xludf.DUMMYFUNCTION("""COMPUTED_VALUE"""),9.9)</f>
        <v>9.9</v>
      </c>
    </row>
    <row r="1061">
      <c r="D1061" t="str">
        <f>IFERROR(__xludf.DUMMYFUNCTION("""COMPUTED_VALUE"""),"Jensen")</f>
        <v>Jensen</v>
      </c>
      <c r="E1061" t="str">
        <f>IFERROR(__xludf.DUMMYFUNCTION("""COMPUTED_VALUE"""),"Ryan")</f>
        <v>Ryan</v>
      </c>
      <c r="F1061" t="str">
        <f>IFERROR(__xludf.DUMMYFUNCTION("""COMPUTED_VALUE"""),"C")</f>
        <v>C</v>
      </c>
      <c r="G1061">
        <f>IFERROR(__xludf.DUMMYFUNCTION("""COMPUTED_VALUE"""),10.35)</f>
        <v>10.35</v>
      </c>
    </row>
    <row r="1062">
      <c r="D1062" t="str">
        <f>IFERROR(__xludf.DUMMYFUNCTION("""COMPUTED_VALUE"""),"Jernigan")</f>
        <v>Jernigan</v>
      </c>
      <c r="E1062" t="str">
        <f>IFERROR(__xludf.DUMMYFUNCTION("""COMPUTED_VALUE"""),"Timmy")</f>
        <v>Timmy</v>
      </c>
      <c r="F1062" t="str">
        <f>IFERROR(__xludf.DUMMYFUNCTION("""COMPUTED_VALUE"""),"LE")</f>
        <v>LE</v>
      </c>
      <c r="G1062">
        <f>IFERROR(__xludf.DUMMYFUNCTION("""COMPUTED_VALUE"""),11.4)</f>
        <v>11.4</v>
      </c>
    </row>
    <row r="1063">
      <c r="D1063" t="str">
        <f>IFERROR(__xludf.DUMMYFUNCTION("""COMPUTED_VALUE"""),"Jerod-Eddie")</f>
        <v>Jerod-Eddie</v>
      </c>
      <c r="E1063" t="str">
        <f>IFERROR(__xludf.DUMMYFUNCTION("""COMPUTED_VALUE"""),"Tony")</f>
        <v>Tony</v>
      </c>
      <c r="F1063" t="str">
        <f>IFERROR(__xludf.DUMMYFUNCTION("""COMPUTED_VALUE"""),"LE")</f>
        <v>LE</v>
      </c>
      <c r="G1063">
        <f>IFERROR(__xludf.DUMMYFUNCTION("""COMPUTED_VALUE"""),10.2)</f>
        <v>10.2</v>
      </c>
    </row>
    <row r="1064">
      <c r="D1064" t="str">
        <f>IFERROR(__xludf.DUMMYFUNCTION("""COMPUTED_VALUE"""),"Jerry")</f>
        <v>Jerry</v>
      </c>
      <c r="E1064" t="str">
        <f>IFERROR(__xludf.DUMMYFUNCTION("""COMPUTED_VALUE"""),"John")</f>
        <v>John</v>
      </c>
      <c r="F1064" t="str">
        <f>IFERROR(__xludf.DUMMYFUNCTION("""COMPUTED_VALUE"""),"RG")</f>
        <v>RG</v>
      </c>
      <c r="G1064">
        <f>IFERROR(__xludf.DUMMYFUNCTION("""COMPUTED_VALUE"""),10.95)</f>
        <v>10.95</v>
      </c>
    </row>
    <row r="1065">
      <c r="D1065" t="str">
        <f>IFERROR(__xludf.DUMMYFUNCTION("""COMPUTED_VALUE"""),"Joeckel")</f>
        <v>Joeckel</v>
      </c>
      <c r="E1065" t="str">
        <f>IFERROR(__xludf.DUMMYFUNCTION("""COMPUTED_VALUE"""),"Luke")</f>
        <v>Luke</v>
      </c>
      <c r="F1065" t="str">
        <f>IFERROR(__xludf.DUMMYFUNCTION("""COMPUTED_VALUE"""),"LT")</f>
        <v>LT</v>
      </c>
      <c r="G1065">
        <f>IFERROR(__xludf.DUMMYFUNCTION("""COMPUTED_VALUE"""),11.85)</f>
        <v>11.85</v>
      </c>
    </row>
    <row r="1066">
      <c r="D1066" t="str">
        <f>IFERROR(__xludf.DUMMYFUNCTION("""COMPUTED_VALUE"""),"John")</f>
        <v>John</v>
      </c>
      <c r="E1066" t="str">
        <f>IFERROR(__xludf.DUMMYFUNCTION("""COMPUTED_VALUE"""),"Ulrick")</f>
        <v>Ulrick</v>
      </c>
      <c r="F1066" t="str">
        <f>IFERROR(__xludf.DUMMYFUNCTION("""COMPUTED_VALUE"""),"RT")</f>
        <v>RT</v>
      </c>
      <c r="G1066">
        <f>IFERROR(__xludf.DUMMYFUNCTION("""COMPUTED_VALUE"""),10.65)</f>
        <v>10.65</v>
      </c>
    </row>
    <row r="1067">
      <c r="D1067" t="str">
        <f>IFERROR(__xludf.DUMMYFUNCTION("""COMPUTED_VALUE"""),"Johnson")</f>
        <v>Johnson</v>
      </c>
      <c r="E1067" t="str">
        <f>IFERROR(__xludf.DUMMYFUNCTION("""COMPUTED_VALUE"""),"Andre")</f>
        <v>Andre</v>
      </c>
      <c r="F1067" t="str">
        <f>IFERROR(__xludf.DUMMYFUNCTION("""COMPUTED_VALUE"""),"WR")</f>
        <v>WR</v>
      </c>
      <c r="G1067">
        <f>IFERROR(__xludf.DUMMYFUNCTION("""COMPUTED_VALUE"""),11.4)</f>
        <v>11.4</v>
      </c>
    </row>
    <row r="1068">
      <c r="D1068" t="str">
        <f>IFERROR(__xludf.DUMMYFUNCTION("""COMPUTED_VALUE"""),"Johnson")</f>
        <v>Johnson</v>
      </c>
      <c r="E1068" t="str">
        <f>IFERROR(__xludf.DUMMYFUNCTION("""COMPUTED_VALUE"""),"Austin")</f>
        <v>Austin</v>
      </c>
      <c r="F1068" t="str">
        <f>IFERROR(__xludf.DUMMYFUNCTION("""COMPUTED_VALUE"""),"FB")</f>
        <v>FB</v>
      </c>
      <c r="G1068">
        <f>IFERROR(__xludf.DUMMYFUNCTION("""COMPUTED_VALUE"""),10.5)</f>
        <v>10.5</v>
      </c>
    </row>
    <row r="1069">
      <c r="D1069" t="str">
        <f>IFERROR(__xludf.DUMMYFUNCTION("""COMPUTED_VALUE"""),"Johnson")</f>
        <v>Johnson</v>
      </c>
      <c r="E1069" t="str">
        <f>IFERROR(__xludf.DUMMYFUNCTION("""COMPUTED_VALUE"""),"Austin")</f>
        <v>Austin</v>
      </c>
      <c r="F1069" t="str">
        <f>IFERROR(__xludf.DUMMYFUNCTION("""COMPUTED_VALUE"""),"DT")</f>
        <v>DT</v>
      </c>
      <c r="G1069">
        <f>IFERROR(__xludf.DUMMYFUNCTION("""COMPUTED_VALUE"""),10.5)</f>
        <v>10.5</v>
      </c>
    </row>
    <row r="1070">
      <c r="D1070" t="str">
        <f>IFERROR(__xludf.DUMMYFUNCTION("""COMPUTED_VALUE"""),"Johnson")</f>
        <v>Johnson</v>
      </c>
      <c r="E1070" t="str">
        <f>IFERROR(__xludf.DUMMYFUNCTION("""COMPUTED_VALUE"""),"Cam")</f>
        <v>Cam</v>
      </c>
      <c r="F1070" t="str">
        <f>IFERROR(__xludf.DUMMYFUNCTION("""COMPUTED_VALUE"""),"LOLB")</f>
        <v>LOLB</v>
      </c>
      <c r="G1070">
        <f>IFERROR(__xludf.DUMMYFUNCTION("""COMPUTED_VALUE"""),9.6)</f>
        <v>9.6</v>
      </c>
    </row>
    <row r="1071">
      <c r="D1071" t="str">
        <f>IFERROR(__xludf.DUMMYFUNCTION("""COMPUTED_VALUE"""),"Johnson")</f>
        <v>Johnson</v>
      </c>
      <c r="E1071" t="str">
        <f>IFERROR(__xludf.DUMMYFUNCTION("""COMPUTED_VALUE"""),"Charles")</f>
        <v>Charles</v>
      </c>
      <c r="F1071" t="str">
        <f>IFERROR(__xludf.DUMMYFUNCTION("""COMPUTED_VALUE"""),"LE")</f>
        <v>LE</v>
      </c>
      <c r="G1071">
        <f>IFERROR(__xludf.DUMMYFUNCTION("""COMPUTED_VALUE"""),12.299999999999999)</f>
        <v>12.3</v>
      </c>
    </row>
    <row r="1072">
      <c r="D1072" t="str">
        <f>IFERROR(__xludf.DUMMYFUNCTION("""COMPUTED_VALUE"""),"Johnson")</f>
        <v>Johnson</v>
      </c>
      <c r="E1072" t="str">
        <f>IFERROR(__xludf.DUMMYFUNCTION("""COMPUTED_VALUE"""),"Charles")</f>
        <v>Charles</v>
      </c>
      <c r="F1072" t="str">
        <f>IFERROR(__xludf.DUMMYFUNCTION("""COMPUTED_VALUE"""),"WR")</f>
        <v>WR</v>
      </c>
      <c r="G1072">
        <f>IFERROR(__xludf.DUMMYFUNCTION("""COMPUTED_VALUE"""),11.1)</f>
        <v>11.1</v>
      </c>
    </row>
    <row r="1073">
      <c r="D1073" t="str">
        <f>IFERROR(__xludf.DUMMYFUNCTION("""COMPUTED_VALUE"""),"Johnson")</f>
        <v>Johnson</v>
      </c>
      <c r="E1073" t="str">
        <f>IFERROR(__xludf.DUMMYFUNCTION("""COMPUTED_VALUE"""),"Chris")</f>
        <v>Chris</v>
      </c>
      <c r="F1073" t="str">
        <f>IFERROR(__xludf.DUMMYFUNCTION("""COMPUTED_VALUE"""),"HB")</f>
        <v>HB</v>
      </c>
      <c r="G1073">
        <f>IFERROR(__xludf.DUMMYFUNCTION("""COMPUTED_VALUE"""),11.25)</f>
        <v>11.25</v>
      </c>
    </row>
    <row r="1074">
      <c r="D1074" t="str">
        <f>IFERROR(__xludf.DUMMYFUNCTION("""COMPUTED_VALUE"""),"Johnson")</f>
        <v>Johnson</v>
      </c>
      <c r="E1074" t="str">
        <f>IFERROR(__xludf.DUMMYFUNCTION("""COMPUTED_VALUE"""),"Cory")</f>
        <v>Cory</v>
      </c>
      <c r="F1074" t="str">
        <f>IFERROR(__xludf.DUMMYFUNCTION("""COMPUTED_VALUE"""),"DT")</f>
        <v>DT</v>
      </c>
      <c r="G1074">
        <f>IFERROR(__xludf.DUMMYFUNCTION("""COMPUTED_VALUE"""),8.7)</f>
        <v>8.7</v>
      </c>
    </row>
    <row r="1075">
      <c r="D1075" t="str">
        <f>IFERROR(__xludf.DUMMYFUNCTION("""COMPUTED_VALUE"""),"Johnson")</f>
        <v>Johnson</v>
      </c>
      <c r="E1075" t="str">
        <f>IFERROR(__xludf.DUMMYFUNCTION("""COMPUTED_VALUE"""),"David")</f>
        <v>David</v>
      </c>
      <c r="F1075" t="str">
        <f>IFERROR(__xludf.DUMMYFUNCTION("""COMPUTED_VALUE"""),"HB")</f>
        <v>HB</v>
      </c>
      <c r="G1075">
        <f>IFERROR(__xludf.DUMMYFUNCTION("""COMPUTED_VALUE"""),12.45)</f>
        <v>12.45</v>
      </c>
    </row>
    <row r="1076">
      <c r="D1076" t="str">
        <f>IFERROR(__xludf.DUMMYFUNCTION("""COMPUTED_VALUE"""),"Johnson")</f>
        <v>Johnson</v>
      </c>
      <c r="E1076" t="str">
        <f>IFERROR(__xludf.DUMMYFUNCTION("""COMPUTED_VALUE"""),"David")</f>
        <v>David</v>
      </c>
      <c r="F1076" t="str">
        <f>IFERROR(__xludf.DUMMYFUNCTION("""COMPUTED_VALUE"""),"FB")</f>
        <v>FB</v>
      </c>
      <c r="G1076">
        <f>IFERROR(__xludf.DUMMYFUNCTION("""COMPUTED_VALUE"""),11.1)</f>
        <v>11.1</v>
      </c>
    </row>
    <row r="1077">
      <c r="D1077" t="str">
        <f>IFERROR(__xludf.DUMMYFUNCTION("""COMPUTED_VALUE"""),"Johnson")</f>
        <v>Johnson</v>
      </c>
      <c r="E1077" t="str">
        <f>IFERROR(__xludf.DUMMYFUNCTION("""COMPUTED_VALUE"""),"Derrick")</f>
        <v>Derrick</v>
      </c>
      <c r="F1077" t="str">
        <f>IFERROR(__xludf.DUMMYFUNCTION("""COMPUTED_VALUE"""),"MLB")</f>
        <v>MLB</v>
      </c>
      <c r="G1077">
        <f>IFERROR(__xludf.DUMMYFUNCTION("""COMPUTED_VALUE"""),13.5)</f>
        <v>13.5</v>
      </c>
    </row>
    <row r="1078">
      <c r="D1078" t="str">
        <f>IFERROR(__xludf.DUMMYFUNCTION("""COMPUTED_VALUE"""),"Johnson")</f>
        <v>Johnson</v>
      </c>
      <c r="E1078" t="str">
        <f>IFERROR(__xludf.DUMMYFUNCTION("""COMPUTED_VALUE"""),"Devon")</f>
        <v>Devon</v>
      </c>
      <c r="F1078" t="str">
        <f>IFERROR(__xludf.DUMMYFUNCTION("""COMPUTED_VALUE"""),"FB")</f>
        <v>FB</v>
      </c>
      <c r="G1078">
        <f>IFERROR(__xludf.DUMMYFUNCTION("""COMPUTED_VALUE"""),9.299999999999999)</f>
        <v>9.3</v>
      </c>
    </row>
    <row r="1079">
      <c r="D1079" t="str">
        <f>IFERROR(__xludf.DUMMYFUNCTION("""COMPUTED_VALUE"""),"Johnson")</f>
        <v>Johnson</v>
      </c>
      <c r="E1079" t="str">
        <f>IFERROR(__xludf.DUMMYFUNCTION("""COMPUTED_VALUE"""),"Devonte")</f>
        <v>Devonte</v>
      </c>
      <c r="F1079" t="str">
        <f>IFERROR(__xludf.DUMMYFUNCTION("""COMPUTED_VALUE"""),"CB")</f>
        <v>CB</v>
      </c>
      <c r="G1079">
        <f>IFERROR(__xludf.DUMMYFUNCTION("""COMPUTED_VALUE"""),9.15)</f>
        <v>9.15</v>
      </c>
    </row>
    <row r="1080">
      <c r="D1080" t="str">
        <f>IFERROR(__xludf.DUMMYFUNCTION("""COMPUTED_VALUE"""),"Johnson")</f>
        <v>Johnson</v>
      </c>
      <c r="E1080" t="str">
        <f>IFERROR(__xludf.DUMMYFUNCTION("""COMPUTED_VALUE"""),"Dontae")</f>
        <v>Dontae</v>
      </c>
      <c r="F1080" t="str">
        <f>IFERROR(__xludf.DUMMYFUNCTION("""COMPUTED_VALUE"""),"CB")</f>
        <v>CB</v>
      </c>
      <c r="G1080">
        <f>IFERROR(__xludf.DUMMYFUNCTION("""COMPUTED_VALUE"""),11.25)</f>
        <v>11.25</v>
      </c>
    </row>
    <row r="1081">
      <c r="D1081" t="str">
        <f>IFERROR(__xludf.DUMMYFUNCTION("""COMPUTED_VALUE"""),"Johnson")</f>
        <v>Johnson</v>
      </c>
      <c r="E1081" t="str">
        <f>IFERROR(__xludf.DUMMYFUNCTION("""COMPUTED_VALUE"""),"George")</f>
        <v>George</v>
      </c>
      <c r="F1081" t="str">
        <f>IFERROR(__xludf.DUMMYFUNCTION("""COMPUTED_VALUE"""),"RE")</f>
        <v>RE</v>
      </c>
      <c r="G1081">
        <f>IFERROR(__xludf.DUMMYFUNCTION("""COMPUTED_VALUE"""),10.5)</f>
        <v>10.5</v>
      </c>
    </row>
    <row r="1082">
      <c r="D1082" t="str">
        <f>IFERROR(__xludf.DUMMYFUNCTION("""COMPUTED_VALUE"""),"Johnson")</f>
        <v>Johnson</v>
      </c>
      <c r="E1082" t="str">
        <f>IFERROR(__xludf.DUMMYFUNCTION("""COMPUTED_VALUE"""),"Gus")</f>
        <v>Gus</v>
      </c>
      <c r="F1082" t="str">
        <f>IFERROR(__xludf.DUMMYFUNCTION("""COMPUTED_VALUE"""),"HB")</f>
        <v>HB</v>
      </c>
      <c r="G1082">
        <f>IFERROR(__xludf.DUMMYFUNCTION("""COMPUTED_VALUE"""),9.45)</f>
        <v>9.45</v>
      </c>
    </row>
    <row r="1083">
      <c r="D1083" t="str">
        <f>IFERROR(__xludf.DUMMYFUNCTION("""COMPUTED_VALUE"""),"Johnson")</f>
        <v>Johnson</v>
      </c>
      <c r="E1083" t="str">
        <f>IFERROR(__xludf.DUMMYFUNCTION("""COMPUTED_VALUE"""),"Isaiah")</f>
        <v>Isaiah</v>
      </c>
      <c r="F1083" t="str">
        <f>IFERROR(__xludf.DUMMYFUNCTION("""COMPUTED_VALUE"""),"SS")</f>
        <v>SS</v>
      </c>
      <c r="G1083">
        <f>IFERROR(__xludf.DUMMYFUNCTION("""COMPUTED_VALUE"""),9.15)</f>
        <v>9.15</v>
      </c>
    </row>
    <row r="1084">
      <c r="D1084" t="str">
        <f>IFERROR(__xludf.DUMMYFUNCTION("""COMPUTED_VALUE"""),"Johnson")</f>
        <v>Johnson</v>
      </c>
      <c r="E1084" t="str">
        <f>IFERROR(__xludf.DUMMYFUNCTION("""COMPUTED_VALUE"""),"James-Michael")</f>
        <v>James-Michael</v>
      </c>
      <c r="F1084" t="str">
        <f>IFERROR(__xludf.DUMMYFUNCTION("""COMPUTED_VALUE"""),"ROLB")</f>
        <v>ROLB</v>
      </c>
      <c r="G1084">
        <f>IFERROR(__xludf.DUMMYFUNCTION("""COMPUTED_VALUE"""),10.799999999999999)</f>
        <v>10.8</v>
      </c>
    </row>
    <row r="1085">
      <c r="D1085" t="str">
        <f>IFERROR(__xludf.DUMMYFUNCTION("""COMPUTED_VALUE"""),"Johnson")</f>
        <v>Johnson</v>
      </c>
      <c r="E1085" t="str">
        <f>IFERROR(__xludf.DUMMYFUNCTION("""COMPUTED_VALUE"""),"Josh")</f>
        <v>Josh</v>
      </c>
      <c r="F1085" t="str">
        <f>IFERROR(__xludf.DUMMYFUNCTION("""COMPUTED_VALUE"""),"QB")</f>
        <v>QB</v>
      </c>
      <c r="G1085">
        <f>IFERROR(__xludf.DUMMYFUNCTION("""COMPUTED_VALUE"""),9.75)</f>
        <v>9.75</v>
      </c>
    </row>
    <row r="1086">
      <c r="D1086" t="str">
        <f>IFERROR(__xludf.DUMMYFUNCTION("""COMPUTED_VALUE"""),"Johnson")</f>
        <v>Johnson</v>
      </c>
      <c r="E1086" t="str">
        <f>IFERROR(__xludf.DUMMYFUNCTION("""COMPUTED_VALUE"""),"Kaleb")</f>
        <v>Kaleb</v>
      </c>
      <c r="F1086" t="str">
        <f>IFERROR(__xludf.DUMMYFUNCTION("""COMPUTED_VALUE"""),"LG")</f>
        <v>LG</v>
      </c>
      <c r="G1086">
        <f>IFERROR(__xludf.DUMMYFUNCTION("""COMPUTED_VALUE"""),10.049999999999999)</f>
        <v>10.05</v>
      </c>
    </row>
    <row r="1087">
      <c r="D1087" t="str">
        <f>IFERROR(__xludf.DUMMYFUNCTION("""COMPUTED_VALUE"""),"Johnson")</f>
        <v>Johnson</v>
      </c>
      <c r="E1087" t="str">
        <f>IFERROR(__xludf.DUMMYFUNCTION("""COMPUTED_VALUE"""),"Kevin")</f>
        <v>Kevin</v>
      </c>
      <c r="F1087" t="str">
        <f>IFERROR(__xludf.DUMMYFUNCTION("""COMPUTED_VALUE"""),"CB")</f>
        <v>CB</v>
      </c>
      <c r="G1087">
        <f>IFERROR(__xludf.DUMMYFUNCTION("""COMPUTED_VALUE"""),11.1)</f>
        <v>11.1</v>
      </c>
    </row>
    <row r="1088">
      <c r="D1088" t="str">
        <f>IFERROR(__xludf.DUMMYFUNCTION("""COMPUTED_VALUE"""),"Johnson")</f>
        <v>Johnson</v>
      </c>
      <c r="E1088" t="str">
        <f>IFERROR(__xludf.DUMMYFUNCTION("""COMPUTED_VALUE"""),"Lane")</f>
        <v>Lane</v>
      </c>
      <c r="F1088" t="str">
        <f>IFERROR(__xludf.DUMMYFUNCTION("""COMPUTED_VALUE"""),"RT")</f>
        <v>RT</v>
      </c>
      <c r="G1088">
        <f>IFERROR(__xludf.DUMMYFUNCTION("""COMPUTED_VALUE"""),12.9)</f>
        <v>12.9</v>
      </c>
    </row>
    <row r="1089">
      <c r="D1089" t="str">
        <f>IFERROR(__xludf.DUMMYFUNCTION("""COMPUTED_VALUE"""),"Johnson")</f>
        <v>Johnson</v>
      </c>
      <c r="E1089" t="str">
        <f>IFERROR(__xludf.DUMMYFUNCTION("""COMPUTED_VALUE"""),"Leonard")</f>
        <v>Leonard</v>
      </c>
      <c r="F1089" t="str">
        <f>IFERROR(__xludf.DUMMYFUNCTION("""COMPUTED_VALUE"""),"CB")</f>
        <v>CB</v>
      </c>
      <c r="G1089">
        <f>IFERROR(__xludf.DUMMYFUNCTION("""COMPUTED_VALUE"""),10.65)</f>
        <v>10.65</v>
      </c>
    </row>
    <row r="1090">
      <c r="D1090" t="str">
        <f>IFERROR(__xludf.DUMMYFUNCTION("""COMPUTED_VALUE"""),"Johnson")</f>
        <v>Johnson</v>
      </c>
      <c r="E1090" t="str">
        <f>IFERROR(__xludf.DUMMYFUNCTION("""COMPUTED_VALUE"""),"Malcolm")</f>
        <v>Malcolm</v>
      </c>
      <c r="F1090" t="str">
        <f>IFERROR(__xludf.DUMMYFUNCTION("""COMPUTED_VALUE"""),"FB")</f>
        <v>FB</v>
      </c>
      <c r="G1090">
        <f>IFERROR(__xludf.DUMMYFUNCTION("""COMPUTED_VALUE"""),9.15)</f>
        <v>9.15</v>
      </c>
    </row>
    <row r="1091">
      <c r="D1091" t="str">
        <f>IFERROR(__xludf.DUMMYFUNCTION("""COMPUTED_VALUE"""),"Johnson")</f>
        <v>Johnson</v>
      </c>
      <c r="E1091" t="str">
        <f>IFERROR(__xludf.DUMMYFUNCTION("""COMPUTED_VALUE"""),"Michael")</f>
        <v>Michael</v>
      </c>
      <c r="F1091" t="str">
        <f>IFERROR(__xludf.DUMMYFUNCTION("""COMPUTED_VALUE"""),"RE")</f>
        <v>RE</v>
      </c>
      <c r="G1091">
        <f>IFERROR(__xludf.DUMMYFUNCTION("""COMPUTED_VALUE"""),11.85)</f>
        <v>11.85</v>
      </c>
    </row>
    <row r="1092">
      <c r="D1092" t="str">
        <f>IFERROR(__xludf.DUMMYFUNCTION("""COMPUTED_VALUE"""),"Johnson")</f>
        <v>Johnson</v>
      </c>
      <c r="E1092" t="str">
        <f>IFERROR(__xludf.DUMMYFUNCTION("""COMPUTED_VALUE"""),"Randell")</f>
        <v>Randell</v>
      </c>
      <c r="F1092" t="str">
        <f>IFERROR(__xludf.DUMMYFUNCTION("""COMPUTED_VALUE"""),"LOLB")</f>
        <v>LOLB</v>
      </c>
      <c r="G1092">
        <f>IFERROR(__xludf.DUMMYFUNCTION("""COMPUTED_VALUE"""),10.049999999999999)</f>
        <v>10.05</v>
      </c>
    </row>
    <row r="1093">
      <c r="D1093" t="str">
        <f>IFERROR(__xludf.DUMMYFUNCTION("""COMPUTED_VALUE"""),"Johnson")</f>
        <v>Johnson</v>
      </c>
      <c r="E1093" t="str">
        <f>IFERROR(__xludf.DUMMYFUNCTION("""COMPUTED_VALUE"""),"Rashad")</f>
        <v>Rashad</v>
      </c>
      <c r="F1093" t="str">
        <f>IFERROR(__xludf.DUMMYFUNCTION("""COMPUTED_VALUE"""),"FS")</f>
        <v>FS</v>
      </c>
      <c r="G1093">
        <f>IFERROR(__xludf.DUMMYFUNCTION("""COMPUTED_VALUE"""),12.299999999999999)</f>
        <v>12.3</v>
      </c>
    </row>
    <row r="1094">
      <c r="D1094" t="str">
        <f>IFERROR(__xludf.DUMMYFUNCTION("""COMPUTED_VALUE"""),"Johnson")</f>
        <v>Johnson</v>
      </c>
      <c r="E1094" t="str">
        <f>IFERROR(__xludf.DUMMYFUNCTION("""COMPUTED_VALUE"""),"Rufus")</f>
        <v>Rufus</v>
      </c>
      <c r="F1094" t="str">
        <f>IFERROR(__xludf.DUMMYFUNCTION("""COMPUTED_VALUE"""),"ROLB")</f>
        <v>ROLB</v>
      </c>
      <c r="G1094">
        <f>IFERROR(__xludf.DUMMYFUNCTION("""COMPUTED_VALUE"""),9.75)</f>
        <v>9.75</v>
      </c>
    </row>
    <row r="1095">
      <c r="D1095" t="str">
        <f>IFERROR(__xludf.DUMMYFUNCTION("""COMPUTED_VALUE"""),"Johnson")</f>
        <v>Johnson</v>
      </c>
      <c r="E1095" t="str">
        <f>IFERROR(__xludf.DUMMYFUNCTION("""COMPUTED_VALUE"""),"Steven")</f>
        <v>Steven</v>
      </c>
      <c r="F1095" t="str">
        <f>IFERROR(__xludf.DUMMYFUNCTION("""COMPUTED_VALUE"""),"MLB")</f>
        <v>MLB</v>
      </c>
      <c r="G1095">
        <f>IFERROR(__xludf.DUMMYFUNCTION("""COMPUTED_VALUE"""),10.2)</f>
        <v>10.2</v>
      </c>
    </row>
    <row r="1096">
      <c r="D1096" t="str">
        <f>IFERROR(__xludf.DUMMYFUNCTION("""COMPUTED_VALUE"""),"Johnson")</f>
        <v>Johnson</v>
      </c>
      <c r="E1096" t="str">
        <f>IFERROR(__xludf.DUMMYFUNCTION("""COMPUTED_VALUE"""),"Stevie")</f>
        <v>Stevie</v>
      </c>
      <c r="F1096" t="str">
        <f>IFERROR(__xludf.DUMMYFUNCTION("""COMPUTED_VALUE"""),"WR")</f>
        <v>WR</v>
      </c>
      <c r="G1096">
        <f>IFERROR(__xludf.DUMMYFUNCTION("""COMPUTED_VALUE"""),11.549999999999999)</f>
        <v>11.55</v>
      </c>
    </row>
    <row r="1097">
      <c r="D1097" t="str">
        <f>IFERROR(__xludf.DUMMYFUNCTION("""COMPUTED_VALUE"""),"Johnson")</f>
        <v>Johnson</v>
      </c>
      <c r="E1097" t="str">
        <f>IFERROR(__xludf.DUMMYFUNCTION("""COMPUTED_VALUE"""),"Storm")</f>
        <v>Storm</v>
      </c>
      <c r="F1097" t="str">
        <f>IFERROR(__xludf.DUMMYFUNCTION("""COMPUTED_VALUE"""),"HB")</f>
        <v>HB</v>
      </c>
      <c r="G1097">
        <f>IFERROR(__xludf.DUMMYFUNCTION("""COMPUTED_VALUE"""),10.35)</f>
        <v>10.35</v>
      </c>
    </row>
    <row r="1098">
      <c r="D1098" t="str">
        <f>IFERROR(__xludf.DUMMYFUNCTION("""COMPUTED_VALUE"""),"Johnson")</f>
        <v>Johnson</v>
      </c>
      <c r="E1098" t="str">
        <f>IFERROR(__xludf.DUMMYFUNCTION("""COMPUTED_VALUE"""),"TJ")</f>
        <v>TJ</v>
      </c>
      <c r="F1098" t="str">
        <f>IFERROR(__xludf.DUMMYFUNCTION("""COMPUTED_VALUE"""),"C")</f>
        <v>C</v>
      </c>
      <c r="G1098">
        <f>IFERROR(__xludf.DUMMYFUNCTION("""COMPUTED_VALUE"""),10.049999999999999)</f>
        <v>10.05</v>
      </c>
    </row>
    <row r="1099">
      <c r="D1099" t="str">
        <f>IFERROR(__xludf.DUMMYFUNCTION("""COMPUTED_VALUE"""),"Johnson")</f>
        <v>Johnson</v>
      </c>
      <c r="E1099" t="str">
        <f>IFERROR(__xludf.DUMMYFUNCTION("""COMPUTED_VALUE"""),"Tom")</f>
        <v>Tom</v>
      </c>
      <c r="F1099" t="str">
        <f>IFERROR(__xludf.DUMMYFUNCTION("""COMPUTED_VALUE"""),"DT")</f>
        <v>DT</v>
      </c>
      <c r="G1099">
        <f>IFERROR(__xludf.DUMMYFUNCTION("""COMPUTED_VALUE"""),10.799999999999999)</f>
        <v>10.8</v>
      </c>
    </row>
    <row r="1100">
      <c r="D1100" t="str">
        <f>IFERROR(__xludf.DUMMYFUNCTION("""COMPUTED_VALUE"""),"Johnson")</f>
        <v>Johnson</v>
      </c>
      <c r="E1100" t="str">
        <f>IFERROR(__xludf.DUMMYFUNCTION("""COMPUTED_VALUE"""),"Trumaine")</f>
        <v>Trumaine</v>
      </c>
      <c r="F1100" t="str">
        <f>IFERROR(__xludf.DUMMYFUNCTION("""COMPUTED_VALUE"""),"CB")</f>
        <v>CB</v>
      </c>
      <c r="G1100">
        <f>IFERROR(__xludf.DUMMYFUNCTION("""COMPUTED_VALUE"""),12.0)</f>
        <v>12</v>
      </c>
    </row>
    <row r="1101">
      <c r="D1101" t="str">
        <f>IFERROR(__xludf.DUMMYFUNCTION("""COMPUTED_VALUE"""),"Johnson")</f>
        <v>Johnson</v>
      </c>
      <c r="E1101" t="str">
        <f>IFERROR(__xludf.DUMMYFUNCTION("""COMPUTED_VALUE"""),"Wesley")</f>
        <v>Wesley</v>
      </c>
      <c r="F1101" t="str">
        <f>IFERROR(__xludf.DUMMYFUNCTION("""COMPUTED_VALUE"""),"C")</f>
        <v>C</v>
      </c>
      <c r="G1101">
        <f>IFERROR(__xludf.DUMMYFUNCTION("""COMPUTED_VALUE"""),10.5)</f>
        <v>10.5</v>
      </c>
    </row>
    <row r="1102">
      <c r="D1102" t="str">
        <f>IFERROR(__xludf.DUMMYFUNCTION("""COMPUTED_VALUE"""),"Johnson")</f>
        <v>Johnson</v>
      </c>
      <c r="E1102" t="str">
        <f>IFERROR(__xludf.DUMMYFUNCTION("""COMPUTED_VALUE"""),"Will")</f>
        <v>Will</v>
      </c>
      <c r="F1102" t="str">
        <f>IFERROR(__xludf.DUMMYFUNCTION("""COMPUTED_VALUE"""),"FB")</f>
        <v>FB</v>
      </c>
      <c r="G1102">
        <f>IFERROR(__xludf.DUMMYFUNCTION("""COMPUTED_VALUE"""),12.299999999999999)</f>
        <v>12.3</v>
      </c>
    </row>
    <row r="1103">
      <c r="D1103" t="str">
        <f>IFERROR(__xludf.DUMMYFUNCTION("""COMPUTED_VALUE"""),"Johnson Jr.")</f>
        <v>Johnson Jr.</v>
      </c>
      <c r="E1103" t="str">
        <f>IFERROR(__xludf.DUMMYFUNCTION("""COMPUTED_VALUE"""),"Duke")</f>
        <v>Duke</v>
      </c>
      <c r="F1103" t="str">
        <f>IFERROR(__xludf.DUMMYFUNCTION("""COMPUTED_VALUE"""),"HB")</f>
        <v>HB</v>
      </c>
      <c r="G1103">
        <f>IFERROR(__xludf.DUMMYFUNCTION("""COMPUTED_VALUE"""),11.7)</f>
        <v>11.7</v>
      </c>
    </row>
    <row r="1104">
      <c r="D1104" t="str">
        <f>IFERROR(__xludf.DUMMYFUNCTION("""COMPUTED_VALUE"""),"Johnstone")</f>
        <v>Johnstone</v>
      </c>
      <c r="E1104" t="str">
        <f>IFERROR(__xludf.DUMMYFUNCTION("""COMPUTED_VALUE"""),"Tyler")</f>
        <v>Tyler</v>
      </c>
      <c r="F1104" t="str">
        <f>IFERROR(__xludf.DUMMYFUNCTION("""COMPUTED_VALUE"""),"RT")</f>
        <v>RT</v>
      </c>
      <c r="G1104">
        <f>IFERROR(__xludf.DUMMYFUNCTION("""COMPUTED_VALUE"""),9.299999999999999)</f>
        <v>9.3</v>
      </c>
    </row>
    <row r="1105">
      <c r="D1105" t="str">
        <f>IFERROR(__xludf.DUMMYFUNCTION("""COMPUTED_VALUE"""),"Jones")</f>
        <v>Jones</v>
      </c>
      <c r="E1105" t="str">
        <f>IFERROR(__xludf.DUMMYFUNCTION("""COMPUTED_VALUE"""),"Abry")</f>
        <v>Abry</v>
      </c>
      <c r="F1105" t="str">
        <f>IFERROR(__xludf.DUMMYFUNCTION("""COMPUTED_VALUE"""),"DT")</f>
        <v>DT</v>
      </c>
      <c r="G1105">
        <f>IFERROR(__xludf.DUMMYFUNCTION("""COMPUTED_VALUE"""),10.2)</f>
        <v>10.2</v>
      </c>
    </row>
    <row r="1106">
      <c r="D1106" t="str">
        <f>IFERROR(__xludf.DUMMYFUNCTION("""COMPUTED_VALUE"""),"Jones")</f>
        <v>Jones</v>
      </c>
      <c r="E1106" t="str">
        <f>IFERROR(__xludf.DUMMYFUNCTION("""COMPUTED_VALUE"""),"Adam")</f>
        <v>Adam</v>
      </c>
      <c r="F1106" t="str">
        <f>IFERROR(__xludf.DUMMYFUNCTION("""COMPUTED_VALUE"""),"CB")</f>
        <v>CB</v>
      </c>
      <c r="G1106">
        <f>IFERROR(__xludf.DUMMYFUNCTION("""COMPUTED_VALUE"""),13.2)</f>
        <v>13.2</v>
      </c>
    </row>
    <row r="1107">
      <c r="D1107" t="str">
        <f>IFERROR(__xludf.DUMMYFUNCTION("""COMPUTED_VALUE"""),"Jones")</f>
        <v>Jones</v>
      </c>
      <c r="E1107" t="str">
        <f>IFERROR(__xludf.DUMMYFUNCTION("""COMPUTED_VALUE"""),"Andy")</f>
        <v>Andy</v>
      </c>
      <c r="F1107" t="str">
        <f>IFERROR(__xludf.DUMMYFUNCTION("""COMPUTED_VALUE"""),"WR")</f>
        <v>WR</v>
      </c>
      <c r="G1107">
        <f>IFERROR(__xludf.DUMMYFUNCTION("""COMPUTED_VALUE"""),9.0)</f>
        <v>9</v>
      </c>
    </row>
    <row r="1108">
      <c r="D1108" t="str">
        <f>IFERROR(__xludf.DUMMYFUNCTION("""COMPUTED_VALUE"""),"Jones")</f>
        <v>Jones</v>
      </c>
      <c r="E1108" t="str">
        <f>IFERROR(__xludf.DUMMYFUNCTION("""COMPUTED_VALUE"""),"Arthur")</f>
        <v>Arthur</v>
      </c>
      <c r="F1108" t="str">
        <f>IFERROR(__xludf.DUMMYFUNCTION("""COMPUTED_VALUE"""),"RE")</f>
        <v>RE</v>
      </c>
      <c r="G1108">
        <f>IFERROR(__xludf.DUMMYFUNCTION("""COMPUTED_VALUE"""),10.65)</f>
        <v>10.65</v>
      </c>
    </row>
    <row r="1109">
      <c r="D1109" t="str">
        <f>IFERROR(__xludf.DUMMYFUNCTION("""COMPUTED_VALUE"""),"Jones")</f>
        <v>Jones</v>
      </c>
      <c r="E1109" t="str">
        <f>IFERROR(__xludf.DUMMYFUNCTION("""COMPUTED_VALUE"""),"Barrett")</f>
        <v>Barrett</v>
      </c>
      <c r="F1109" t="str">
        <f>IFERROR(__xludf.DUMMYFUNCTION("""COMPUTED_VALUE"""),"LG")</f>
        <v>LG</v>
      </c>
      <c r="G1109">
        <f>IFERROR(__xludf.DUMMYFUNCTION("""COMPUTED_VALUE"""),10.799999999999999)</f>
        <v>10.8</v>
      </c>
    </row>
    <row r="1110">
      <c r="D1110" t="str">
        <f>IFERROR(__xludf.DUMMYFUNCTION("""COMPUTED_VALUE"""),"Jones")</f>
        <v>Jones</v>
      </c>
      <c r="E1110" t="str">
        <f>IFERROR(__xludf.DUMMYFUNCTION("""COMPUTED_VALUE"""),"Ben")</f>
        <v>Ben</v>
      </c>
      <c r="F1110" t="str">
        <f>IFERROR(__xludf.DUMMYFUNCTION("""COMPUTED_VALUE"""),"C")</f>
        <v>C</v>
      </c>
      <c r="G1110">
        <f>IFERROR(__xludf.DUMMYFUNCTION("""COMPUTED_VALUE"""),11.1)</f>
        <v>11.1</v>
      </c>
    </row>
    <row r="1111">
      <c r="D1111" t="str">
        <f>IFERROR(__xludf.DUMMYFUNCTION("""COMPUTED_VALUE"""),"Jones")</f>
        <v>Jones</v>
      </c>
      <c r="E1111" t="str">
        <f>IFERROR(__xludf.DUMMYFUNCTION("""COMPUTED_VALUE"""),"Byron")</f>
        <v>Byron</v>
      </c>
      <c r="F1111" t="str">
        <f>IFERROR(__xludf.DUMMYFUNCTION("""COMPUTED_VALUE"""),"FS")</f>
        <v>FS</v>
      </c>
      <c r="G1111">
        <f>IFERROR(__xludf.DUMMYFUNCTION("""COMPUTED_VALUE"""),12.15)</f>
        <v>12.15</v>
      </c>
    </row>
    <row r="1112">
      <c r="D1112" t="str">
        <f>IFERROR(__xludf.DUMMYFUNCTION("""COMPUTED_VALUE"""),"Jones")</f>
        <v>Jones</v>
      </c>
      <c r="E1112" t="str">
        <f>IFERROR(__xludf.DUMMYFUNCTION("""COMPUTED_VALUE"""),"Cardale")</f>
        <v>Cardale</v>
      </c>
      <c r="F1112" t="str">
        <f>IFERROR(__xludf.DUMMYFUNCTION("""COMPUTED_VALUE"""),"QB")</f>
        <v>QB</v>
      </c>
      <c r="G1112">
        <f>IFERROR(__xludf.DUMMYFUNCTION("""COMPUTED_VALUE"""),9.9)</f>
        <v>9.9</v>
      </c>
    </row>
    <row r="1113">
      <c r="D1113" t="str">
        <f>IFERROR(__xludf.DUMMYFUNCTION("""COMPUTED_VALUE"""),"Jones")</f>
        <v>Jones</v>
      </c>
      <c r="E1113" t="str">
        <f>IFERROR(__xludf.DUMMYFUNCTION("""COMPUTED_VALUE"""),"Chandler")</f>
        <v>Chandler</v>
      </c>
      <c r="F1113" t="str">
        <f>IFERROR(__xludf.DUMMYFUNCTION("""COMPUTED_VALUE"""),"ROLB")</f>
        <v>ROLB</v>
      </c>
      <c r="G1113">
        <f>IFERROR(__xludf.DUMMYFUNCTION("""COMPUTED_VALUE"""),12.299999999999999)</f>
        <v>12.3</v>
      </c>
    </row>
    <row r="1114">
      <c r="D1114" t="str">
        <f>IFERROR(__xludf.DUMMYFUNCTION("""COMPUTED_VALUE"""),"Jones")</f>
        <v>Jones</v>
      </c>
      <c r="E1114" t="str">
        <f>IFERROR(__xludf.DUMMYFUNCTION("""COMPUTED_VALUE"""),"Chris")</f>
        <v>Chris</v>
      </c>
      <c r="F1114" t="str">
        <f>IFERROR(__xludf.DUMMYFUNCTION("""COMPUTED_VALUE"""),"P")</f>
        <v>P</v>
      </c>
      <c r="G1114">
        <f>IFERROR(__xludf.DUMMYFUNCTION("""COMPUTED_VALUE"""),12.299999999999999)</f>
        <v>12.3</v>
      </c>
    </row>
    <row r="1115">
      <c r="D1115" t="str">
        <f>IFERROR(__xludf.DUMMYFUNCTION("""COMPUTED_VALUE"""),"Jones")</f>
        <v>Jones</v>
      </c>
      <c r="E1115" t="str">
        <f>IFERROR(__xludf.DUMMYFUNCTION("""COMPUTED_VALUE"""),"Chris")</f>
        <v>Chris</v>
      </c>
      <c r="F1115" t="str">
        <f>IFERROR(__xludf.DUMMYFUNCTION("""COMPUTED_VALUE"""),"LE")</f>
        <v>LE</v>
      </c>
      <c r="G1115">
        <f>IFERROR(__xludf.DUMMYFUNCTION("""COMPUTED_VALUE"""),10.799999999999999)</f>
        <v>10.8</v>
      </c>
    </row>
    <row r="1116">
      <c r="D1116" t="str">
        <f>IFERROR(__xludf.DUMMYFUNCTION("""COMPUTED_VALUE"""),"Jones")</f>
        <v>Jones</v>
      </c>
      <c r="E1116" t="str">
        <f>IFERROR(__xludf.DUMMYFUNCTION("""COMPUTED_VALUE"""),"Chris")</f>
        <v>Chris</v>
      </c>
      <c r="F1116" t="str">
        <f>IFERROR(__xludf.DUMMYFUNCTION("""COMPUTED_VALUE"""),"DT")</f>
        <v>DT</v>
      </c>
      <c r="G1116">
        <f>IFERROR(__xludf.DUMMYFUNCTION("""COMPUTED_VALUE"""),9.75)</f>
        <v>9.75</v>
      </c>
    </row>
    <row r="1117">
      <c r="D1117" t="str">
        <f>IFERROR(__xludf.DUMMYFUNCTION("""COMPUTED_VALUE"""),"Jones")</f>
        <v>Jones</v>
      </c>
      <c r="E1117" t="str">
        <f>IFERROR(__xludf.DUMMYFUNCTION("""COMPUTED_VALUE"""),"Christian")</f>
        <v>Christian</v>
      </c>
      <c r="F1117" t="str">
        <f>IFERROR(__xludf.DUMMYFUNCTION("""COMPUTED_VALUE"""),"MLB")</f>
        <v>MLB</v>
      </c>
      <c r="G1117">
        <f>IFERROR(__xludf.DUMMYFUNCTION("""COMPUTED_VALUE"""),10.799999999999999)</f>
        <v>10.8</v>
      </c>
    </row>
    <row r="1118">
      <c r="D1118" t="str">
        <f>IFERROR(__xludf.DUMMYFUNCTION("""COMPUTED_VALUE"""),"Jones")</f>
        <v>Jones</v>
      </c>
      <c r="E1118" t="str">
        <f>IFERROR(__xludf.DUMMYFUNCTION("""COMPUTED_VALUE"""),"Colin")</f>
        <v>Colin</v>
      </c>
      <c r="F1118" t="str">
        <f>IFERROR(__xludf.DUMMYFUNCTION("""COMPUTED_VALUE"""),"FS")</f>
        <v>FS</v>
      </c>
      <c r="G1118">
        <f>IFERROR(__xludf.DUMMYFUNCTION("""COMPUTED_VALUE"""),10.35)</f>
        <v>10.35</v>
      </c>
    </row>
    <row r="1119">
      <c r="D1119" t="str">
        <f>IFERROR(__xludf.DUMMYFUNCTION("""COMPUTED_VALUE"""),"Jones")</f>
        <v>Jones</v>
      </c>
      <c r="E1119" t="str">
        <f>IFERROR(__xludf.DUMMYFUNCTION("""COMPUTED_VALUE"""),"Cyrus")</f>
        <v>Cyrus</v>
      </c>
      <c r="F1119" t="str">
        <f>IFERROR(__xludf.DUMMYFUNCTION("""COMPUTED_VALUE"""),"CB")</f>
        <v>CB</v>
      </c>
      <c r="G1119">
        <f>IFERROR(__xludf.DUMMYFUNCTION("""COMPUTED_VALUE"""),10.65)</f>
        <v>10.65</v>
      </c>
    </row>
    <row r="1120">
      <c r="D1120" t="str">
        <f>IFERROR(__xludf.DUMMYFUNCTION("""COMPUTED_VALUE"""),"Jones")</f>
        <v>Jones</v>
      </c>
      <c r="E1120" t="str">
        <f>IFERROR(__xludf.DUMMYFUNCTION("""COMPUTED_VALUE"""),"DaQuan")</f>
        <v>DaQuan</v>
      </c>
      <c r="F1120" t="str">
        <f>IFERROR(__xludf.DUMMYFUNCTION("""COMPUTED_VALUE"""),"LE")</f>
        <v>LE</v>
      </c>
      <c r="G1120">
        <f>IFERROR(__xludf.DUMMYFUNCTION("""COMPUTED_VALUE"""),10.2)</f>
        <v>10.2</v>
      </c>
    </row>
    <row r="1121">
      <c r="D1121" t="str">
        <f>IFERROR(__xludf.DUMMYFUNCTION("""COMPUTED_VALUE"""),"Jones")</f>
        <v>Jones</v>
      </c>
      <c r="E1121" t="str">
        <f>IFERROR(__xludf.DUMMYFUNCTION("""COMPUTED_VALUE"""),"Datone")</f>
        <v>Datone</v>
      </c>
      <c r="F1121" t="str">
        <f>IFERROR(__xludf.DUMMYFUNCTION("""COMPUTED_VALUE"""),"LE")</f>
        <v>LE</v>
      </c>
      <c r="G1121">
        <f>IFERROR(__xludf.DUMMYFUNCTION("""COMPUTED_VALUE"""),11.4)</f>
        <v>11.4</v>
      </c>
    </row>
    <row r="1122">
      <c r="D1122" t="str">
        <f>IFERROR(__xludf.DUMMYFUNCTION("""COMPUTED_VALUE"""),"Jones")</f>
        <v>Jones</v>
      </c>
      <c r="E1122" t="str">
        <f>IFERROR(__xludf.DUMMYFUNCTION("""COMPUTED_VALUE"""),"Deion")</f>
        <v>Deion</v>
      </c>
      <c r="F1122" t="str">
        <f>IFERROR(__xludf.DUMMYFUNCTION("""COMPUTED_VALUE"""),"MLB")</f>
        <v>MLB</v>
      </c>
      <c r="G1122">
        <f>IFERROR(__xludf.DUMMYFUNCTION("""COMPUTED_VALUE"""),10.65)</f>
        <v>10.65</v>
      </c>
    </row>
    <row r="1123">
      <c r="D1123" t="str">
        <f>IFERROR(__xludf.DUMMYFUNCTION("""COMPUTED_VALUE"""),"Jones")</f>
        <v>Jones</v>
      </c>
      <c r="E1123" t="str">
        <f>IFERROR(__xludf.DUMMYFUNCTION("""COMPUTED_VALUE"""),"Don")</f>
        <v>Don</v>
      </c>
      <c r="F1123" t="str">
        <f>IFERROR(__xludf.DUMMYFUNCTION("""COMPUTED_VALUE"""),"FS")</f>
        <v>FS</v>
      </c>
      <c r="G1123">
        <f>IFERROR(__xludf.DUMMYFUNCTION("""COMPUTED_VALUE"""),10.5)</f>
        <v>10.5</v>
      </c>
    </row>
    <row r="1124">
      <c r="D1124" t="str">
        <f>IFERROR(__xludf.DUMMYFUNCTION("""COMPUTED_VALUE"""),"Jones")</f>
        <v>Jones</v>
      </c>
      <c r="E1124" t="str">
        <f>IFERROR(__xludf.DUMMYFUNCTION("""COMPUTED_VALUE"""),"Donnie")</f>
        <v>Donnie</v>
      </c>
      <c r="F1124" t="str">
        <f>IFERROR(__xludf.DUMMYFUNCTION("""COMPUTED_VALUE"""),"P")</f>
        <v>P</v>
      </c>
      <c r="G1124">
        <f>IFERROR(__xludf.DUMMYFUNCTION("""COMPUTED_VALUE"""),11.85)</f>
        <v>11.85</v>
      </c>
    </row>
    <row r="1125">
      <c r="D1125" t="str">
        <f>IFERROR(__xludf.DUMMYFUNCTION("""COMPUTED_VALUE"""),"Jones")</f>
        <v>Jones</v>
      </c>
      <c r="E1125" t="str">
        <f>IFERROR(__xludf.DUMMYFUNCTION("""COMPUTED_VALUE"""),"Howard")</f>
        <v>Howard</v>
      </c>
      <c r="F1125" t="str">
        <f>IFERROR(__xludf.DUMMYFUNCTION("""COMPUTED_VALUE"""),"LE")</f>
        <v>LE</v>
      </c>
      <c r="G1125">
        <f>IFERROR(__xludf.DUMMYFUNCTION("""COMPUTED_VALUE"""),10.5)</f>
        <v>10.5</v>
      </c>
    </row>
    <row r="1126">
      <c r="D1126" t="str">
        <f>IFERROR(__xludf.DUMMYFUNCTION("""COMPUTED_VALUE"""),"Jones")</f>
        <v>Jones</v>
      </c>
      <c r="E1126" t="str">
        <f>IFERROR(__xludf.DUMMYFUNCTION("""COMPUTED_VALUE"""),"Jamaal")</f>
        <v>Jamaal</v>
      </c>
      <c r="F1126" t="str">
        <f>IFERROR(__xludf.DUMMYFUNCTION("""COMPUTED_VALUE"""),"WR")</f>
        <v>WR</v>
      </c>
      <c r="G1126">
        <f>IFERROR(__xludf.DUMMYFUNCTION("""COMPUTED_VALUE"""),9.15)</f>
        <v>9.15</v>
      </c>
    </row>
    <row r="1127">
      <c r="D1127" t="str">
        <f>IFERROR(__xludf.DUMMYFUNCTION("""COMPUTED_VALUE"""),"Jones")</f>
        <v>Jones</v>
      </c>
      <c r="E1127" t="str">
        <f>IFERROR(__xludf.DUMMYFUNCTION("""COMPUTED_VALUE"""),"Jarvis")</f>
        <v>Jarvis</v>
      </c>
      <c r="F1127" t="str">
        <f>IFERROR(__xludf.DUMMYFUNCTION("""COMPUTED_VALUE"""),"ROLB")</f>
        <v>ROLB</v>
      </c>
      <c r="G1127">
        <f>IFERROR(__xludf.DUMMYFUNCTION("""COMPUTED_VALUE"""),10.95)</f>
        <v>10.95</v>
      </c>
    </row>
    <row r="1128">
      <c r="D1128" t="str">
        <f>IFERROR(__xludf.DUMMYFUNCTION("""COMPUTED_VALUE"""),"Jones")</f>
        <v>Jones</v>
      </c>
      <c r="E1128" t="str">
        <f>IFERROR(__xludf.DUMMYFUNCTION("""COMPUTED_VALUE"""),"Jason")</f>
        <v>Jason</v>
      </c>
      <c r="F1128" t="str">
        <f>IFERROR(__xludf.DUMMYFUNCTION("""COMPUTED_VALUE"""),"RE")</f>
        <v>RE</v>
      </c>
      <c r="G1128">
        <f>IFERROR(__xludf.DUMMYFUNCTION("""COMPUTED_VALUE"""),11.549999999999999)</f>
        <v>11.55</v>
      </c>
    </row>
    <row r="1129">
      <c r="D1129" t="str">
        <f>IFERROR(__xludf.DUMMYFUNCTION("""COMPUTED_VALUE"""),"Jones")</f>
        <v>Jones</v>
      </c>
      <c r="E1129" t="str">
        <f>IFERROR(__xludf.DUMMYFUNCTION("""COMPUTED_VALUE"""),"Jonathan")</f>
        <v>Jonathan</v>
      </c>
      <c r="F1129" t="str">
        <f>IFERROR(__xludf.DUMMYFUNCTION("""COMPUTED_VALUE"""),"CB")</f>
        <v>CB</v>
      </c>
      <c r="G1129">
        <f>IFERROR(__xludf.DUMMYFUNCTION("""COMPUTED_VALUE"""),9.299999999999999)</f>
        <v>9.3</v>
      </c>
    </row>
    <row r="1130">
      <c r="D1130" t="str">
        <f>IFERROR(__xludf.DUMMYFUNCTION("""COMPUTED_VALUE"""),"Jones")</f>
        <v>Jones</v>
      </c>
      <c r="E1130" t="str">
        <f>IFERROR(__xludf.DUMMYFUNCTION("""COMPUTED_VALUE"""),"Julio")</f>
        <v>Julio</v>
      </c>
      <c r="F1130" t="str">
        <f>IFERROR(__xludf.DUMMYFUNCTION("""COMPUTED_VALUE"""),"WR")</f>
        <v>WR</v>
      </c>
      <c r="G1130">
        <f>IFERROR(__xludf.DUMMYFUNCTION("""COMPUTED_VALUE"""),14.399999999999999)</f>
        <v>14.4</v>
      </c>
    </row>
    <row r="1131">
      <c r="D1131" t="str">
        <f>IFERROR(__xludf.DUMMYFUNCTION("""COMPUTED_VALUE"""),"Jones")</f>
        <v>Jones</v>
      </c>
      <c r="E1131" t="str">
        <f>IFERROR(__xludf.DUMMYFUNCTION("""COMPUTED_VALUE"""),"Landry")</f>
        <v>Landry</v>
      </c>
      <c r="F1131" t="str">
        <f>IFERROR(__xludf.DUMMYFUNCTION("""COMPUTED_VALUE"""),"QB")</f>
        <v>QB</v>
      </c>
      <c r="G1131">
        <f>IFERROR(__xludf.DUMMYFUNCTION("""COMPUTED_VALUE"""),9.9)</f>
        <v>9.9</v>
      </c>
    </row>
    <row r="1132">
      <c r="D1132" t="str">
        <f>IFERROR(__xludf.DUMMYFUNCTION("""COMPUTED_VALUE"""),"Jones")</f>
        <v>Jones</v>
      </c>
      <c r="E1132" t="str">
        <f>IFERROR(__xludf.DUMMYFUNCTION("""COMPUTED_VALUE"""),"Marvin")</f>
        <v>Marvin</v>
      </c>
      <c r="F1132" t="str">
        <f>IFERROR(__xludf.DUMMYFUNCTION("""COMPUTED_VALUE"""),"WR")</f>
        <v>WR</v>
      </c>
      <c r="G1132">
        <f>IFERROR(__xludf.DUMMYFUNCTION("""COMPUTED_VALUE"""),12.299999999999999)</f>
        <v>12.3</v>
      </c>
    </row>
    <row r="1133">
      <c r="D1133" t="str">
        <f>IFERROR(__xludf.DUMMYFUNCTION("""COMPUTED_VALUE"""),"Jones")</f>
        <v>Jones</v>
      </c>
      <c r="E1133" t="str">
        <f>IFERROR(__xludf.DUMMYFUNCTION("""COMPUTED_VALUE"""),"Matt")</f>
        <v>Matt</v>
      </c>
      <c r="F1133" t="str">
        <f>IFERROR(__xludf.DUMMYFUNCTION("""COMPUTED_VALUE"""),"HB")</f>
        <v>HB</v>
      </c>
      <c r="G1133">
        <f>IFERROR(__xludf.DUMMYFUNCTION("""COMPUTED_VALUE"""),11.549999999999999)</f>
        <v>11.55</v>
      </c>
    </row>
    <row r="1134">
      <c r="D1134" t="str">
        <f>IFERROR(__xludf.DUMMYFUNCTION("""COMPUTED_VALUE"""),"Jones")</f>
        <v>Jones</v>
      </c>
      <c r="E1134" t="str">
        <f>IFERROR(__xludf.DUMMYFUNCTION("""COMPUTED_VALUE"""),"Reshad")</f>
        <v>Reshad</v>
      </c>
      <c r="F1134" t="str">
        <f>IFERROR(__xludf.DUMMYFUNCTION("""COMPUTED_VALUE"""),"SS")</f>
        <v>SS</v>
      </c>
      <c r="G1134">
        <f>IFERROR(__xludf.DUMMYFUNCTION("""COMPUTED_VALUE"""),13.95)</f>
        <v>13.95</v>
      </c>
    </row>
    <row r="1135">
      <c r="D1135" t="str">
        <f>IFERROR(__xludf.DUMMYFUNCTION("""COMPUTED_VALUE"""),"Jones")</f>
        <v>Jones</v>
      </c>
      <c r="E1135" t="str">
        <f>IFERROR(__xludf.DUMMYFUNCTION("""COMPUTED_VALUE"""),"Seantavius")</f>
        <v>Seantavius</v>
      </c>
      <c r="F1135" t="str">
        <f>IFERROR(__xludf.DUMMYFUNCTION("""COMPUTED_VALUE"""),"WR")</f>
        <v>WR</v>
      </c>
      <c r="G1135">
        <f>IFERROR(__xludf.DUMMYFUNCTION("""COMPUTED_VALUE"""),9.0)</f>
        <v>9</v>
      </c>
    </row>
    <row r="1136">
      <c r="D1136" t="str">
        <f>IFERROR(__xludf.DUMMYFUNCTION("""COMPUTED_VALUE"""),"Jones")</f>
        <v>Jones</v>
      </c>
      <c r="E1136" t="str">
        <f>IFERROR(__xludf.DUMMYFUNCTION("""COMPUTED_VALUE"""),"Taiwan")</f>
        <v>Taiwan</v>
      </c>
      <c r="F1136" t="str">
        <f>IFERROR(__xludf.DUMMYFUNCTION("""COMPUTED_VALUE"""),"HB")</f>
        <v>HB</v>
      </c>
      <c r="G1136">
        <f>IFERROR(__xludf.DUMMYFUNCTION("""COMPUTED_VALUE"""),10.95)</f>
        <v>10.95</v>
      </c>
    </row>
    <row r="1137">
      <c r="D1137" t="str">
        <f>IFERROR(__xludf.DUMMYFUNCTION("""COMPUTED_VALUE"""),"Jones")</f>
        <v>Jones</v>
      </c>
      <c r="E1137" t="str">
        <f>IFERROR(__xludf.DUMMYFUNCTION("""COMPUTED_VALUE"""),"Taiwan")</f>
        <v>Taiwan</v>
      </c>
      <c r="F1137" t="str">
        <f>IFERROR(__xludf.DUMMYFUNCTION("""COMPUTED_VALUE"""),"MLB")</f>
        <v>MLB</v>
      </c>
      <c r="G1137">
        <f>IFERROR(__xludf.DUMMYFUNCTION("""COMPUTED_VALUE"""),9.6)</f>
        <v>9.6</v>
      </c>
    </row>
    <row r="1138">
      <c r="D1138" t="str">
        <f>IFERROR(__xludf.DUMMYFUNCTION("""COMPUTED_VALUE"""),"Jones")</f>
        <v>Jones</v>
      </c>
      <c r="E1138" t="str">
        <f>IFERROR(__xludf.DUMMYFUNCTION("""COMPUTED_VALUE"""),"TJ")</f>
        <v>TJ</v>
      </c>
      <c r="F1138" t="str">
        <f>IFERROR(__xludf.DUMMYFUNCTION("""COMPUTED_VALUE"""),"WR")</f>
        <v>WR</v>
      </c>
      <c r="G1138">
        <f>IFERROR(__xludf.DUMMYFUNCTION("""COMPUTED_VALUE"""),9.9)</f>
        <v>9.9</v>
      </c>
    </row>
    <row r="1139">
      <c r="D1139" t="str">
        <f>IFERROR(__xludf.DUMMYFUNCTION("""COMPUTED_VALUE"""),"Jones-Quartey")</f>
        <v>Jones-Quartey</v>
      </c>
      <c r="E1139" t="str">
        <f>IFERROR(__xludf.DUMMYFUNCTION("""COMPUTED_VALUE"""),"Harold")</f>
        <v>Harold</v>
      </c>
      <c r="F1139" t="str">
        <f>IFERROR(__xludf.DUMMYFUNCTION("""COMPUTED_VALUE"""),"FS")</f>
        <v>FS</v>
      </c>
      <c r="G1139">
        <f>IFERROR(__xludf.DUMMYFUNCTION("""COMPUTED_VALUE"""),10.65)</f>
        <v>10.65</v>
      </c>
    </row>
    <row r="1140">
      <c r="D1140" t="str">
        <f>IFERROR(__xludf.DUMMYFUNCTION("""COMPUTED_VALUE"""),"Jordan")</f>
        <v>Jordan</v>
      </c>
      <c r="E1140" t="str">
        <f>IFERROR(__xludf.DUMMYFUNCTION("""COMPUTED_VALUE"""),"Cameron")</f>
        <v>Cameron</v>
      </c>
      <c r="F1140" t="str">
        <f>IFERROR(__xludf.DUMMYFUNCTION("""COMPUTED_VALUE"""),"LE")</f>
        <v>LE</v>
      </c>
      <c r="G1140">
        <f>IFERROR(__xludf.DUMMYFUNCTION("""COMPUTED_VALUE"""),13.5)</f>
        <v>13.5</v>
      </c>
    </row>
    <row r="1141">
      <c r="D1141" t="str">
        <f>IFERROR(__xludf.DUMMYFUNCTION("""COMPUTED_VALUE"""),"Jordan")</f>
        <v>Jordan</v>
      </c>
      <c r="E1141" t="str">
        <f>IFERROR(__xludf.DUMMYFUNCTION("""COMPUTED_VALUE"""),"Dion")</f>
        <v>Dion</v>
      </c>
      <c r="F1141" t="str">
        <f>IFERROR(__xludf.DUMMYFUNCTION("""COMPUTED_VALUE"""),"RE")</f>
        <v>RE</v>
      </c>
      <c r="G1141">
        <f>IFERROR(__xludf.DUMMYFUNCTION("""COMPUTED_VALUE"""),10.2)</f>
        <v>10.2</v>
      </c>
    </row>
    <row r="1142">
      <c r="D1142" t="str">
        <f>IFERROR(__xludf.DUMMYFUNCTION("""COMPUTED_VALUE"""),"Jordan")</f>
        <v>Jordan</v>
      </c>
      <c r="E1142" t="str">
        <f>IFERROR(__xludf.DUMMYFUNCTION("""COMPUTED_VALUE"""),"Mike")</f>
        <v>Mike</v>
      </c>
      <c r="F1142" t="str">
        <f>IFERROR(__xludf.DUMMYFUNCTION("""COMPUTED_VALUE"""),"CB")</f>
        <v>CB</v>
      </c>
      <c r="G1142">
        <f>IFERROR(__xludf.DUMMYFUNCTION("""COMPUTED_VALUE"""),8.85)</f>
        <v>8.85</v>
      </c>
    </row>
    <row r="1143">
      <c r="D1143" t="str">
        <f>IFERROR(__xludf.DUMMYFUNCTION("""COMPUTED_VALUE"""),"Joseph")</f>
        <v>Joseph</v>
      </c>
      <c r="E1143" t="str">
        <f>IFERROR(__xludf.DUMMYFUNCTION("""COMPUTED_VALUE"""),"Johnathan")</f>
        <v>Johnathan</v>
      </c>
      <c r="F1143" t="str">
        <f>IFERROR(__xludf.DUMMYFUNCTION("""COMPUTED_VALUE"""),"CB")</f>
        <v>CB</v>
      </c>
      <c r="G1143">
        <f>IFERROR(__xludf.DUMMYFUNCTION("""COMPUTED_VALUE"""),13.65)</f>
        <v>13.65</v>
      </c>
    </row>
    <row r="1144">
      <c r="D1144" t="str">
        <f>IFERROR(__xludf.DUMMYFUNCTION("""COMPUTED_VALUE"""),"Joseph")</f>
        <v>Joseph</v>
      </c>
      <c r="E1144" t="str">
        <f>IFERROR(__xludf.DUMMYFUNCTION("""COMPUTED_VALUE"""),"Karl")</f>
        <v>Karl</v>
      </c>
      <c r="F1144" t="str">
        <f>IFERROR(__xludf.DUMMYFUNCTION("""COMPUTED_VALUE"""),"SS")</f>
        <v>SS</v>
      </c>
      <c r="G1144">
        <f>IFERROR(__xludf.DUMMYFUNCTION("""COMPUTED_VALUE"""),11.4)</f>
        <v>11.4</v>
      </c>
    </row>
    <row r="1145">
      <c r="D1145" t="str">
        <f>IFERROR(__xludf.DUMMYFUNCTION("""COMPUTED_VALUE"""),"Joseph")</f>
        <v>Joseph</v>
      </c>
      <c r="E1145" t="str">
        <f>IFERROR(__xludf.DUMMYFUNCTION("""COMPUTED_VALUE"""),"Linval")</f>
        <v>Linval</v>
      </c>
      <c r="F1145" t="str">
        <f>IFERROR(__xludf.DUMMYFUNCTION("""COMPUTED_VALUE"""),"DT")</f>
        <v>DT</v>
      </c>
      <c r="G1145">
        <f>IFERROR(__xludf.DUMMYFUNCTION("""COMPUTED_VALUE"""),13.35)</f>
        <v>13.35</v>
      </c>
    </row>
    <row r="1146">
      <c r="D1146" t="str">
        <f>IFERROR(__xludf.DUMMYFUNCTION("""COMPUTED_VALUE"""),"Joyner")</f>
        <v>Joyner</v>
      </c>
      <c r="E1146" t="str">
        <f>IFERROR(__xludf.DUMMYFUNCTION("""COMPUTED_VALUE"""),"Lamarcus")</f>
        <v>Lamarcus</v>
      </c>
      <c r="F1146" t="str">
        <f>IFERROR(__xludf.DUMMYFUNCTION("""COMPUTED_VALUE"""),"CB")</f>
        <v>CB</v>
      </c>
      <c r="G1146">
        <f>IFERROR(__xludf.DUMMYFUNCTION("""COMPUTED_VALUE"""),11.25)</f>
        <v>11.25</v>
      </c>
    </row>
    <row r="1147">
      <c r="D1147" t="str">
        <f>IFERROR(__xludf.DUMMYFUNCTION("""COMPUTED_VALUE"""),"Judon")</f>
        <v>Judon</v>
      </c>
      <c r="E1147" t="str">
        <f>IFERROR(__xludf.DUMMYFUNCTION("""COMPUTED_VALUE"""),"Matt")</f>
        <v>Matt</v>
      </c>
      <c r="F1147" t="str">
        <f>IFERROR(__xludf.DUMMYFUNCTION("""COMPUTED_VALUE"""),"ROLB")</f>
        <v>ROLB</v>
      </c>
      <c r="G1147">
        <f>IFERROR(__xludf.DUMMYFUNCTION("""COMPUTED_VALUE"""),10.049999999999999)</f>
        <v>10.05</v>
      </c>
    </row>
    <row r="1148">
      <c r="D1148" t="str">
        <f>IFERROR(__xludf.DUMMYFUNCTION("""COMPUTED_VALUE"""),"Juszczyk")</f>
        <v>Juszczyk</v>
      </c>
      <c r="E1148" t="str">
        <f>IFERROR(__xludf.DUMMYFUNCTION("""COMPUTED_VALUE"""),"Kyle")</f>
        <v>Kyle</v>
      </c>
      <c r="F1148" t="str">
        <f>IFERROR(__xludf.DUMMYFUNCTION("""COMPUTED_VALUE"""),"FB")</f>
        <v>FB</v>
      </c>
      <c r="G1148">
        <f>IFERROR(__xludf.DUMMYFUNCTION("""COMPUTED_VALUE"""),12.45)</f>
        <v>12.45</v>
      </c>
    </row>
    <row r="1149">
      <c r="D1149" t="str">
        <f>IFERROR(__xludf.DUMMYFUNCTION("""COMPUTED_VALUE"""),"Kaepernick")</f>
        <v>Kaepernick</v>
      </c>
      <c r="E1149" t="str">
        <f>IFERROR(__xludf.DUMMYFUNCTION("""COMPUTED_VALUE"""),"Colin")</f>
        <v>Colin</v>
      </c>
      <c r="F1149" t="str">
        <f>IFERROR(__xludf.DUMMYFUNCTION("""COMPUTED_VALUE"""),"QB")</f>
        <v>QB</v>
      </c>
      <c r="G1149">
        <f>IFERROR(__xludf.DUMMYFUNCTION("""COMPUTED_VALUE"""),11.1)</f>
        <v>11.1</v>
      </c>
    </row>
    <row r="1150">
      <c r="D1150" t="str">
        <f>IFERROR(__xludf.DUMMYFUNCTION("""COMPUTED_VALUE"""),"Kalil")</f>
        <v>Kalil</v>
      </c>
      <c r="E1150" t="str">
        <f>IFERROR(__xludf.DUMMYFUNCTION("""COMPUTED_VALUE"""),"Matt")</f>
        <v>Matt</v>
      </c>
      <c r="F1150" t="str">
        <f>IFERROR(__xludf.DUMMYFUNCTION("""COMPUTED_VALUE"""),"LT")</f>
        <v>LT</v>
      </c>
      <c r="G1150">
        <f>IFERROR(__xludf.DUMMYFUNCTION("""COMPUTED_VALUE"""),12.0)</f>
        <v>12</v>
      </c>
    </row>
    <row r="1151">
      <c r="D1151" t="str">
        <f>IFERROR(__xludf.DUMMYFUNCTION("""COMPUTED_VALUE"""),"Kalil")</f>
        <v>Kalil</v>
      </c>
      <c r="E1151" t="str">
        <f>IFERROR(__xludf.DUMMYFUNCTION("""COMPUTED_VALUE"""),"Ryan")</f>
        <v>Ryan</v>
      </c>
      <c r="F1151" t="str">
        <f>IFERROR(__xludf.DUMMYFUNCTION("""COMPUTED_VALUE"""),"C")</f>
        <v>C</v>
      </c>
      <c r="G1151">
        <f>IFERROR(__xludf.DUMMYFUNCTION("""COMPUTED_VALUE"""),13.35)</f>
        <v>13.35</v>
      </c>
    </row>
    <row r="1152">
      <c r="D1152" t="str">
        <f>IFERROR(__xludf.DUMMYFUNCTION("""COMPUTED_VALUE"""),"Kamalu")</f>
        <v>Kamalu</v>
      </c>
      <c r="E1152" t="str">
        <f>IFERROR(__xludf.DUMMYFUNCTION("""COMPUTED_VALUE"""),"Ufomba")</f>
        <v>Ufomba</v>
      </c>
      <c r="F1152" t="str">
        <f>IFERROR(__xludf.DUMMYFUNCTION("""COMPUTED_VALUE"""),"LE")</f>
        <v>LE</v>
      </c>
      <c r="G1152">
        <f>IFERROR(__xludf.DUMMYFUNCTION("""COMPUTED_VALUE"""),8.85)</f>
        <v>8.85</v>
      </c>
    </row>
    <row r="1153">
      <c r="D1153" t="str">
        <f>IFERROR(__xludf.DUMMYFUNCTION("""COMPUTED_VALUE"""),"Karras")</f>
        <v>Karras</v>
      </c>
      <c r="E1153" t="str">
        <f>IFERROR(__xludf.DUMMYFUNCTION("""COMPUTED_VALUE"""),"Ted")</f>
        <v>Ted</v>
      </c>
      <c r="F1153" t="str">
        <f>IFERROR(__xludf.DUMMYFUNCTION("""COMPUTED_VALUE"""),"RG")</f>
        <v>RG</v>
      </c>
      <c r="G1153">
        <f>IFERROR(__xludf.DUMMYFUNCTION("""COMPUTED_VALUE"""),9.9)</f>
        <v>9.9</v>
      </c>
    </row>
    <row r="1154">
      <c r="D1154" t="str">
        <f>IFERROR(__xludf.DUMMYFUNCTION("""COMPUTED_VALUE"""),"Kaser")</f>
        <v>Kaser</v>
      </c>
      <c r="E1154" t="str">
        <f>IFERROR(__xludf.DUMMYFUNCTION("""COMPUTED_VALUE"""),"Drew")</f>
        <v>Drew</v>
      </c>
      <c r="F1154" t="str">
        <f>IFERROR(__xludf.DUMMYFUNCTION("""COMPUTED_VALUE"""),"P")</f>
        <v>P</v>
      </c>
      <c r="G1154">
        <f>IFERROR(__xludf.DUMMYFUNCTION("""COMPUTED_VALUE"""),11.4)</f>
        <v>11.4</v>
      </c>
    </row>
    <row r="1155">
      <c r="D1155" t="str">
        <f>IFERROR(__xludf.DUMMYFUNCTION("""COMPUTED_VALUE"""),"Kasitati")</f>
        <v>Kasitati</v>
      </c>
      <c r="E1155" t="str">
        <f>IFERROR(__xludf.DUMMYFUNCTION("""COMPUTED_VALUE"""),"Nila")</f>
        <v>Nila</v>
      </c>
      <c r="F1155" t="str">
        <f>IFERROR(__xludf.DUMMYFUNCTION("""COMPUTED_VALUE"""),"RG")</f>
        <v>RG</v>
      </c>
      <c r="G1155">
        <f>IFERROR(__xludf.DUMMYFUNCTION("""COMPUTED_VALUE"""),9.15)</f>
        <v>9.15</v>
      </c>
    </row>
    <row r="1156">
      <c r="D1156" t="str">
        <f>IFERROR(__xludf.DUMMYFUNCTION("""COMPUTED_VALUE"""),"Kaufusi")</f>
        <v>Kaufusi</v>
      </c>
      <c r="E1156" t="str">
        <f>IFERROR(__xludf.DUMMYFUNCTION("""COMPUTED_VALUE"""),"Bronson")</f>
        <v>Bronson</v>
      </c>
      <c r="F1156" t="str">
        <f>IFERROR(__xludf.DUMMYFUNCTION("""COMPUTED_VALUE"""),"RE")</f>
        <v>RE</v>
      </c>
      <c r="G1156">
        <f>IFERROR(__xludf.DUMMYFUNCTION("""COMPUTED_VALUE"""),10.35)</f>
        <v>10.35</v>
      </c>
    </row>
    <row r="1157">
      <c r="D1157" t="str">
        <f>IFERROR(__xludf.DUMMYFUNCTION("""COMPUTED_VALUE"""),"Kearse")</f>
        <v>Kearse</v>
      </c>
      <c r="E1157" t="str">
        <f>IFERROR(__xludf.DUMMYFUNCTION("""COMPUTED_VALUE"""),"Frank")</f>
        <v>Frank</v>
      </c>
      <c r="F1157" t="str">
        <f>IFERROR(__xludf.DUMMYFUNCTION("""COMPUTED_VALUE"""),"LE")</f>
        <v>LE</v>
      </c>
      <c r="G1157">
        <f>IFERROR(__xludf.DUMMYFUNCTION("""COMPUTED_VALUE"""),9.45)</f>
        <v>9.45</v>
      </c>
    </row>
    <row r="1158">
      <c r="D1158" t="str">
        <f>IFERROR(__xludf.DUMMYFUNCTION("""COMPUTED_VALUE"""),"Kearse")</f>
        <v>Kearse</v>
      </c>
      <c r="E1158" t="str">
        <f>IFERROR(__xludf.DUMMYFUNCTION("""COMPUTED_VALUE"""),"Jayron")</f>
        <v>Jayron</v>
      </c>
      <c r="F1158" t="str">
        <f>IFERROR(__xludf.DUMMYFUNCTION("""COMPUTED_VALUE"""),"SS")</f>
        <v>SS</v>
      </c>
      <c r="G1158">
        <f>IFERROR(__xludf.DUMMYFUNCTION("""COMPUTED_VALUE"""),9.6)</f>
        <v>9.6</v>
      </c>
    </row>
    <row r="1159">
      <c r="D1159" t="str">
        <f>IFERROR(__xludf.DUMMYFUNCTION("""COMPUTED_VALUE"""),"Kearse")</f>
        <v>Kearse</v>
      </c>
      <c r="E1159" t="str">
        <f>IFERROR(__xludf.DUMMYFUNCTION("""COMPUTED_VALUE"""),"Jermaine")</f>
        <v>Jermaine</v>
      </c>
      <c r="F1159" t="str">
        <f>IFERROR(__xludf.DUMMYFUNCTION("""COMPUTED_VALUE"""),"WR")</f>
        <v>WR</v>
      </c>
      <c r="G1159">
        <f>IFERROR(__xludf.DUMMYFUNCTION("""COMPUTED_VALUE"""),12.0)</f>
        <v>12</v>
      </c>
    </row>
    <row r="1160">
      <c r="D1160" t="str">
        <f>IFERROR(__xludf.DUMMYFUNCTION("""COMPUTED_VALUE"""),"Keenum")</f>
        <v>Keenum</v>
      </c>
      <c r="E1160" t="str">
        <f>IFERROR(__xludf.DUMMYFUNCTION("""COMPUTED_VALUE"""),"Case")</f>
        <v>Case</v>
      </c>
      <c r="F1160" t="str">
        <f>IFERROR(__xludf.DUMMYFUNCTION("""COMPUTED_VALUE"""),"QB")</f>
        <v>QB</v>
      </c>
      <c r="G1160">
        <f>IFERROR(__xludf.DUMMYFUNCTION("""COMPUTED_VALUE"""),11.25)</f>
        <v>11.25</v>
      </c>
    </row>
    <row r="1161">
      <c r="D1161" t="str">
        <f>IFERROR(__xludf.DUMMYFUNCTION("""COMPUTED_VALUE"""),"Kelce")</f>
        <v>Kelce</v>
      </c>
      <c r="E1161" t="str">
        <f>IFERROR(__xludf.DUMMYFUNCTION("""COMPUTED_VALUE"""),"Jason")</f>
        <v>Jason</v>
      </c>
      <c r="F1161" t="str">
        <f>IFERROR(__xludf.DUMMYFUNCTION("""COMPUTED_VALUE"""),"C")</f>
        <v>C</v>
      </c>
      <c r="G1161">
        <f>IFERROR(__xludf.DUMMYFUNCTION("""COMPUTED_VALUE"""),12.75)</f>
        <v>12.75</v>
      </c>
    </row>
    <row r="1162">
      <c r="D1162" t="str">
        <f>IFERROR(__xludf.DUMMYFUNCTION("""COMPUTED_VALUE"""),"Kelce")</f>
        <v>Kelce</v>
      </c>
      <c r="E1162" t="str">
        <f>IFERROR(__xludf.DUMMYFUNCTION("""COMPUTED_VALUE"""),"Travis")</f>
        <v>Travis</v>
      </c>
      <c r="F1162" t="str">
        <f>IFERROR(__xludf.DUMMYFUNCTION("""COMPUTED_VALUE"""),"TE")</f>
        <v>TE</v>
      </c>
      <c r="G1162">
        <f>IFERROR(__xludf.DUMMYFUNCTION("""COMPUTED_VALUE"""),13.2)</f>
        <v>13.2</v>
      </c>
    </row>
    <row r="1163">
      <c r="D1163" t="str">
        <f>IFERROR(__xludf.DUMMYFUNCTION("""COMPUTED_VALUE"""),"Kelemete")</f>
        <v>Kelemete</v>
      </c>
      <c r="E1163" t="str">
        <f>IFERROR(__xludf.DUMMYFUNCTION("""COMPUTED_VALUE"""),"Senio")</f>
        <v>Senio</v>
      </c>
      <c r="F1163" t="str">
        <f>IFERROR(__xludf.DUMMYFUNCTION("""COMPUTED_VALUE"""),"RG")</f>
        <v>RG</v>
      </c>
      <c r="G1163">
        <f>IFERROR(__xludf.DUMMYFUNCTION("""COMPUTED_VALUE"""),10.65)</f>
        <v>10.65</v>
      </c>
    </row>
    <row r="1164">
      <c r="D1164" t="str">
        <f>IFERROR(__xludf.DUMMYFUNCTION("""COMPUTED_VALUE"""),"Kelly")</f>
        <v>Kelly</v>
      </c>
      <c r="E1164" t="str">
        <f>IFERROR(__xludf.DUMMYFUNCTION("""COMPUTED_VALUE"""),"Dennis")</f>
        <v>Dennis</v>
      </c>
      <c r="F1164" t="str">
        <f>IFERROR(__xludf.DUMMYFUNCTION("""COMPUTED_VALUE"""),"RT")</f>
        <v>RT</v>
      </c>
      <c r="G1164">
        <f>IFERROR(__xludf.DUMMYFUNCTION("""COMPUTED_VALUE"""),10.799999999999999)</f>
        <v>10.8</v>
      </c>
    </row>
    <row r="1165">
      <c r="D1165" t="str">
        <f>IFERROR(__xludf.DUMMYFUNCTION("""COMPUTED_VALUE"""),"Kelly")</f>
        <v>Kelly</v>
      </c>
      <c r="E1165" t="str">
        <f>IFERROR(__xludf.DUMMYFUNCTION("""COMPUTED_VALUE"""),"Ryan")</f>
        <v>Ryan</v>
      </c>
      <c r="F1165" t="str">
        <f>IFERROR(__xludf.DUMMYFUNCTION("""COMPUTED_VALUE"""),"C")</f>
        <v>C</v>
      </c>
      <c r="G1165">
        <f>IFERROR(__xludf.DUMMYFUNCTION("""COMPUTED_VALUE"""),11.4)</f>
        <v>11.4</v>
      </c>
    </row>
    <row r="1166">
      <c r="D1166" t="str">
        <f>IFERROR(__xludf.DUMMYFUNCTION("""COMPUTED_VALUE"""),"Kendricks")</f>
        <v>Kendricks</v>
      </c>
      <c r="E1166" t="str">
        <f>IFERROR(__xludf.DUMMYFUNCTION("""COMPUTED_VALUE"""),"Eric")</f>
        <v>Eric</v>
      </c>
      <c r="F1166" t="str">
        <f>IFERROR(__xludf.DUMMYFUNCTION("""COMPUTED_VALUE"""),"MLB")</f>
        <v>MLB</v>
      </c>
      <c r="G1166">
        <f>IFERROR(__xludf.DUMMYFUNCTION("""COMPUTED_VALUE"""),11.4)</f>
        <v>11.4</v>
      </c>
    </row>
    <row r="1167">
      <c r="D1167" t="str">
        <f>IFERROR(__xludf.DUMMYFUNCTION("""COMPUTED_VALUE"""),"Kendricks")</f>
        <v>Kendricks</v>
      </c>
      <c r="E1167" t="str">
        <f>IFERROR(__xludf.DUMMYFUNCTION("""COMPUTED_VALUE"""),"Lance")</f>
        <v>Lance</v>
      </c>
      <c r="F1167" t="str">
        <f>IFERROR(__xludf.DUMMYFUNCTION("""COMPUTED_VALUE"""),"TE")</f>
        <v>TE</v>
      </c>
      <c r="G1167">
        <f>IFERROR(__xludf.DUMMYFUNCTION("""COMPUTED_VALUE"""),11.25)</f>
        <v>11.25</v>
      </c>
    </row>
    <row r="1168">
      <c r="D1168" t="str">
        <f>IFERROR(__xludf.DUMMYFUNCTION("""COMPUTED_VALUE"""),"Kendricks")</f>
        <v>Kendricks</v>
      </c>
      <c r="E1168" t="str">
        <f>IFERROR(__xludf.DUMMYFUNCTION("""COMPUTED_VALUE"""),"Mychal")</f>
        <v>Mychal</v>
      </c>
      <c r="F1168" t="str">
        <f>IFERROR(__xludf.DUMMYFUNCTION("""COMPUTED_VALUE"""),"LOLB")</f>
        <v>LOLB</v>
      </c>
      <c r="G1168">
        <f>IFERROR(__xludf.DUMMYFUNCTION("""COMPUTED_VALUE"""),12.75)</f>
        <v>12.75</v>
      </c>
    </row>
    <row r="1169">
      <c r="D1169" t="str">
        <f>IFERROR(__xludf.DUMMYFUNCTION("""COMPUTED_VALUE"""),"Kennard")</f>
        <v>Kennard</v>
      </c>
      <c r="E1169" t="str">
        <f>IFERROR(__xludf.DUMMYFUNCTION("""COMPUTED_VALUE"""),"Devon")</f>
        <v>Devon</v>
      </c>
      <c r="F1169" t="str">
        <f>IFERROR(__xludf.DUMMYFUNCTION("""COMPUTED_VALUE"""),"LOLB")</f>
        <v>LOLB</v>
      </c>
      <c r="G1169">
        <f>IFERROR(__xludf.DUMMYFUNCTION("""COMPUTED_VALUE"""),11.7)</f>
        <v>11.7</v>
      </c>
    </row>
    <row r="1170">
      <c r="D1170" t="str">
        <f>IFERROR(__xludf.DUMMYFUNCTION("""COMPUTED_VALUE"""),"Keo")</f>
        <v>Keo</v>
      </c>
      <c r="E1170" t="str">
        <f>IFERROR(__xludf.DUMMYFUNCTION("""COMPUTED_VALUE"""),"Shiloh")</f>
        <v>Shiloh</v>
      </c>
      <c r="F1170" t="str">
        <f>IFERROR(__xludf.DUMMYFUNCTION("""COMPUTED_VALUE"""),"SS")</f>
        <v>SS</v>
      </c>
      <c r="G1170">
        <f>IFERROR(__xludf.DUMMYFUNCTION("""COMPUTED_VALUE"""),10.65)</f>
        <v>10.65</v>
      </c>
    </row>
    <row r="1171">
      <c r="D1171" t="str">
        <f>IFERROR(__xludf.DUMMYFUNCTION("""COMPUTED_VALUE"""),"Kerin")</f>
        <v>Kerin</v>
      </c>
      <c r="E1171" t="str">
        <f>IFERROR(__xludf.DUMMYFUNCTION("""COMPUTED_VALUE"""),"Zac")</f>
        <v>Zac</v>
      </c>
      <c r="F1171" t="str">
        <f>IFERROR(__xludf.DUMMYFUNCTION("""COMPUTED_VALUE"""),"LG")</f>
        <v>LG</v>
      </c>
      <c r="G1171">
        <f>IFERROR(__xludf.DUMMYFUNCTION("""COMPUTED_VALUE"""),9.299999999999999)</f>
        <v>9.3</v>
      </c>
    </row>
    <row r="1172">
      <c r="D1172" t="str">
        <f>IFERROR(__xludf.DUMMYFUNCTION("""COMPUTED_VALUE"""),"Kerley")</f>
        <v>Kerley</v>
      </c>
      <c r="E1172" t="str">
        <f>IFERROR(__xludf.DUMMYFUNCTION("""COMPUTED_VALUE"""),"Jeremy")</f>
        <v>Jeremy</v>
      </c>
      <c r="F1172" t="str">
        <f>IFERROR(__xludf.DUMMYFUNCTION("""COMPUTED_VALUE"""),"WR")</f>
        <v>WR</v>
      </c>
      <c r="G1172">
        <f>IFERROR(__xludf.DUMMYFUNCTION("""COMPUTED_VALUE"""),10.799999999999999)</f>
        <v>10.8</v>
      </c>
    </row>
    <row r="1173">
      <c r="D1173" t="str">
        <f>IFERROR(__xludf.DUMMYFUNCTION("""COMPUTED_VALUE"""),"Kern")</f>
        <v>Kern</v>
      </c>
      <c r="E1173" t="str">
        <f>IFERROR(__xludf.DUMMYFUNCTION("""COMPUTED_VALUE"""),"Brett")</f>
        <v>Brett</v>
      </c>
      <c r="F1173" t="str">
        <f>IFERROR(__xludf.DUMMYFUNCTION("""COMPUTED_VALUE"""),"P")</f>
        <v>P</v>
      </c>
      <c r="G1173">
        <f>IFERROR(__xludf.DUMMYFUNCTION("""COMPUTED_VALUE"""),12.75)</f>
        <v>12.75</v>
      </c>
    </row>
    <row r="1174">
      <c r="D1174" t="str">
        <f>IFERROR(__xludf.DUMMYFUNCTION("""COMPUTED_VALUE"""),"Kerr")</f>
        <v>Kerr</v>
      </c>
      <c r="E1174" t="str">
        <f>IFERROR(__xludf.DUMMYFUNCTION("""COMPUTED_VALUE"""),"Zach")</f>
        <v>Zach</v>
      </c>
      <c r="F1174" t="str">
        <f>IFERROR(__xludf.DUMMYFUNCTION("""COMPUTED_VALUE"""),"DT")</f>
        <v>DT</v>
      </c>
      <c r="G1174">
        <f>IFERROR(__xludf.DUMMYFUNCTION("""COMPUTED_VALUE"""),10.95)</f>
        <v>10.95</v>
      </c>
    </row>
    <row r="1175">
      <c r="D1175" t="str">
        <f>IFERROR(__xludf.DUMMYFUNCTION("""COMPUTED_VALUE"""),"Kerrigan")</f>
        <v>Kerrigan</v>
      </c>
      <c r="E1175" t="str">
        <f>IFERROR(__xludf.DUMMYFUNCTION("""COMPUTED_VALUE"""),"Ryan")</f>
        <v>Ryan</v>
      </c>
      <c r="F1175" t="str">
        <f>IFERROR(__xludf.DUMMYFUNCTION("""COMPUTED_VALUE"""),"LOLB")</f>
        <v>LOLB</v>
      </c>
      <c r="G1175">
        <f>IFERROR(__xludf.DUMMYFUNCTION("""COMPUTED_VALUE"""),13.2)</f>
        <v>13.2</v>
      </c>
    </row>
    <row r="1176">
      <c r="D1176" t="str">
        <f>IFERROR(__xludf.DUMMYFUNCTION("""COMPUTED_VALUE"""),"Kessler")</f>
        <v>Kessler</v>
      </c>
      <c r="E1176" t="str">
        <f>IFERROR(__xludf.DUMMYFUNCTION("""COMPUTED_VALUE"""),"Cody")</f>
        <v>Cody</v>
      </c>
      <c r="F1176" t="str">
        <f>IFERROR(__xludf.DUMMYFUNCTION("""COMPUTED_VALUE"""),"QB")</f>
        <v>QB</v>
      </c>
      <c r="G1176">
        <f>IFERROR(__xludf.DUMMYFUNCTION("""COMPUTED_VALUE"""),10.5)</f>
        <v>10.5</v>
      </c>
    </row>
    <row r="1177">
      <c r="D1177" t="str">
        <f>IFERROR(__xludf.DUMMYFUNCTION("""COMPUTED_VALUE"""),"Keyes")</f>
        <v>Keyes</v>
      </c>
      <c r="E1177" t="str">
        <f>IFERROR(__xludf.DUMMYFUNCTION("""COMPUTED_VALUE"""),"Josh")</f>
        <v>Josh</v>
      </c>
      <c r="F1177" t="str">
        <f>IFERROR(__xludf.DUMMYFUNCTION("""COMPUTED_VALUE"""),"LOLB")</f>
        <v>LOLB</v>
      </c>
      <c r="G1177">
        <f>IFERROR(__xludf.DUMMYFUNCTION("""COMPUTED_VALUE"""),8.85)</f>
        <v>8.85</v>
      </c>
    </row>
    <row r="1178">
      <c r="D1178" t="str">
        <f>IFERROR(__xludf.DUMMYFUNCTION("""COMPUTED_VALUE"""),"Kikaha")</f>
        <v>Kikaha</v>
      </c>
      <c r="E1178" t="str">
        <f>IFERROR(__xludf.DUMMYFUNCTION("""COMPUTED_VALUE"""),"Hauoli")</f>
        <v>Hauoli</v>
      </c>
      <c r="F1178" t="str">
        <f>IFERROR(__xludf.DUMMYFUNCTION("""COMPUTED_VALUE"""),"RE")</f>
        <v>RE</v>
      </c>
      <c r="G1178">
        <f>IFERROR(__xludf.DUMMYFUNCTION("""COMPUTED_VALUE"""),11.25)</f>
        <v>11.25</v>
      </c>
    </row>
    <row r="1179">
      <c r="D1179" t="str">
        <f>IFERROR(__xludf.DUMMYFUNCTION("""COMPUTED_VALUE"""),"Kilgo")</f>
        <v>Kilgo</v>
      </c>
      <c r="E1179" t="str">
        <f>IFERROR(__xludf.DUMMYFUNCTION("""COMPUTED_VALUE"""),"Darius")</f>
        <v>Darius</v>
      </c>
      <c r="F1179" t="str">
        <f>IFERROR(__xludf.DUMMYFUNCTION("""COMPUTED_VALUE"""),"DT")</f>
        <v>DT</v>
      </c>
      <c r="G1179">
        <f>IFERROR(__xludf.DUMMYFUNCTION("""COMPUTED_VALUE"""),9.15)</f>
        <v>9.15</v>
      </c>
    </row>
    <row r="1180">
      <c r="D1180" t="str">
        <f>IFERROR(__xludf.DUMMYFUNCTION("""COMPUTED_VALUE"""),"Kilgore")</f>
        <v>Kilgore</v>
      </c>
      <c r="E1180" t="str">
        <f>IFERROR(__xludf.DUMMYFUNCTION("""COMPUTED_VALUE"""),"Daniel")</f>
        <v>Daniel</v>
      </c>
      <c r="F1180" t="str">
        <f>IFERROR(__xludf.DUMMYFUNCTION("""COMPUTED_VALUE"""),"C")</f>
        <v>C</v>
      </c>
      <c r="G1180">
        <f>IFERROR(__xludf.DUMMYFUNCTION("""COMPUTED_VALUE"""),10.65)</f>
        <v>10.65</v>
      </c>
    </row>
    <row r="1181">
      <c r="D1181" t="str">
        <f>IFERROR(__xludf.DUMMYFUNCTION("""COMPUTED_VALUE"""),"Killebrew")</f>
        <v>Killebrew</v>
      </c>
      <c r="E1181" t="str">
        <f>IFERROR(__xludf.DUMMYFUNCTION("""COMPUTED_VALUE"""),"Miles")</f>
        <v>Miles</v>
      </c>
      <c r="F1181" t="str">
        <f>IFERROR(__xludf.DUMMYFUNCTION("""COMPUTED_VALUE"""),"SS")</f>
        <v>SS</v>
      </c>
      <c r="G1181">
        <f>IFERROR(__xludf.DUMMYFUNCTION("""COMPUTED_VALUE"""),10.2)</f>
        <v>10.2</v>
      </c>
    </row>
    <row r="1182">
      <c r="D1182" t="str">
        <f>IFERROR(__xludf.DUMMYFUNCTION("""COMPUTED_VALUE"""),"Kindred")</f>
        <v>Kindred</v>
      </c>
      <c r="E1182" t="str">
        <f>IFERROR(__xludf.DUMMYFUNCTION("""COMPUTED_VALUE"""),"Derrick")</f>
        <v>Derrick</v>
      </c>
      <c r="F1182" t="str">
        <f>IFERROR(__xludf.DUMMYFUNCTION("""COMPUTED_VALUE"""),"SS")</f>
        <v>SS</v>
      </c>
      <c r="G1182">
        <f>IFERROR(__xludf.DUMMYFUNCTION("""COMPUTED_VALUE"""),9.75)</f>
        <v>9.75</v>
      </c>
    </row>
    <row r="1183">
      <c r="D1183" t="str">
        <f>IFERROR(__xludf.DUMMYFUNCTION("""COMPUTED_VALUE"""),"King")</f>
        <v>King</v>
      </c>
      <c r="E1183" t="str">
        <f>IFERROR(__xludf.DUMMYFUNCTION("""COMPUTED_VALUE"""),"Akeem")</f>
        <v>Akeem</v>
      </c>
      <c r="F1183" t="str">
        <f>IFERROR(__xludf.DUMMYFUNCTION("""COMPUTED_VALUE"""),"CB")</f>
        <v>CB</v>
      </c>
      <c r="G1183">
        <f>IFERROR(__xludf.DUMMYFUNCTION("""COMPUTED_VALUE"""),9.15)</f>
        <v>9.15</v>
      </c>
    </row>
    <row r="1184">
      <c r="D1184" t="str">
        <f>IFERROR(__xludf.DUMMYFUNCTION("""COMPUTED_VALUE"""),"King")</f>
        <v>King</v>
      </c>
      <c r="E1184" t="str">
        <f>IFERROR(__xludf.DUMMYFUNCTION("""COMPUTED_VALUE"""),"David")</f>
        <v>David</v>
      </c>
      <c r="F1184" t="str">
        <f>IFERROR(__xludf.DUMMYFUNCTION("""COMPUTED_VALUE"""),"DT")</f>
        <v>DT</v>
      </c>
      <c r="G1184">
        <f>IFERROR(__xludf.DUMMYFUNCTION("""COMPUTED_VALUE"""),10.049999999999999)</f>
        <v>10.05</v>
      </c>
    </row>
    <row r="1185">
      <c r="D1185" t="str">
        <f>IFERROR(__xludf.DUMMYFUNCTION("""COMPUTED_VALUE"""),"King")</f>
        <v>King</v>
      </c>
      <c r="E1185" t="str">
        <f>IFERROR(__xludf.DUMMYFUNCTION("""COMPUTED_VALUE"""),"Marquette")</f>
        <v>Marquette</v>
      </c>
      <c r="F1185" t="str">
        <f>IFERROR(__xludf.DUMMYFUNCTION("""COMPUTED_VALUE"""),"P")</f>
        <v>P</v>
      </c>
      <c r="G1185">
        <f>IFERROR(__xludf.DUMMYFUNCTION("""COMPUTED_VALUE"""),12.299999999999999)</f>
        <v>12.3</v>
      </c>
    </row>
    <row r="1186">
      <c r="D1186" t="str">
        <f>IFERROR(__xludf.DUMMYFUNCTION("""COMPUTED_VALUE"""),"King")</f>
        <v>King</v>
      </c>
      <c r="E1186" t="str">
        <f>IFERROR(__xludf.DUMMYFUNCTION("""COMPUTED_VALUE"""),"Tavarres")</f>
        <v>Tavarres</v>
      </c>
      <c r="F1186" t="str">
        <f>IFERROR(__xludf.DUMMYFUNCTION("""COMPUTED_VALUE"""),"WR")</f>
        <v>WR</v>
      </c>
      <c r="G1186">
        <f>IFERROR(__xludf.DUMMYFUNCTION("""COMPUTED_VALUE"""),9.15)</f>
        <v>9.15</v>
      </c>
    </row>
    <row r="1187">
      <c r="D1187" t="str">
        <f>IFERROR(__xludf.DUMMYFUNCTION("""COMPUTED_VALUE"""),"Kirkland")</f>
        <v>Kirkland</v>
      </c>
      <c r="E1187" t="str">
        <f>IFERROR(__xludf.DUMMYFUNCTION("""COMPUTED_VALUE"""),"Denver")</f>
        <v>Denver</v>
      </c>
      <c r="F1187" t="str">
        <f>IFERROR(__xludf.DUMMYFUNCTION("""COMPUTED_VALUE"""),"LG")</f>
        <v>LG</v>
      </c>
      <c r="G1187">
        <f>IFERROR(__xludf.DUMMYFUNCTION("""COMPUTED_VALUE"""),8.549999999999999)</f>
        <v>8.55</v>
      </c>
    </row>
    <row r="1188">
      <c r="D1188" t="str">
        <f>IFERROR(__xludf.DUMMYFUNCTION("""COMPUTED_VALUE"""),"Kirkpatrick")</f>
        <v>Kirkpatrick</v>
      </c>
      <c r="E1188" t="str">
        <f>IFERROR(__xludf.DUMMYFUNCTION("""COMPUTED_VALUE"""),"Dre")</f>
        <v>Dre</v>
      </c>
      <c r="F1188" t="str">
        <f>IFERROR(__xludf.DUMMYFUNCTION("""COMPUTED_VALUE"""),"CB")</f>
        <v>CB</v>
      </c>
      <c r="G1188">
        <f>IFERROR(__xludf.DUMMYFUNCTION("""COMPUTED_VALUE"""),11.4)</f>
        <v>11.4</v>
      </c>
    </row>
    <row r="1189">
      <c r="D1189" t="str">
        <f>IFERROR(__xludf.DUMMYFUNCTION("""COMPUTED_VALUE"""),"Kirksey")</f>
        <v>Kirksey</v>
      </c>
      <c r="E1189" t="str">
        <f>IFERROR(__xludf.DUMMYFUNCTION("""COMPUTED_VALUE"""),"Christian")</f>
        <v>Christian</v>
      </c>
      <c r="F1189" t="str">
        <f>IFERROR(__xludf.DUMMYFUNCTION("""COMPUTED_VALUE"""),"MLB")</f>
        <v>MLB</v>
      </c>
      <c r="G1189">
        <f>IFERROR(__xludf.DUMMYFUNCTION("""COMPUTED_VALUE"""),11.1)</f>
        <v>11.1</v>
      </c>
    </row>
    <row r="1190">
      <c r="D1190" t="str">
        <f>IFERROR(__xludf.DUMMYFUNCTION("""COMPUTED_VALUE"""),"Klein")</f>
        <v>Klein</v>
      </c>
      <c r="E1190" t="str">
        <f>IFERROR(__xludf.DUMMYFUNCTION("""COMPUTED_VALUE"""),"AJ")</f>
        <v>AJ</v>
      </c>
      <c r="F1190" t="str">
        <f>IFERROR(__xludf.DUMMYFUNCTION("""COMPUTED_VALUE"""),"LOLB")</f>
        <v>LOLB</v>
      </c>
      <c r="G1190">
        <f>IFERROR(__xludf.DUMMYFUNCTION("""COMPUTED_VALUE"""),11.1)</f>
        <v>11.1</v>
      </c>
    </row>
    <row r="1191">
      <c r="D1191" t="str">
        <f>IFERROR(__xludf.DUMMYFUNCTION("""COMPUTED_VALUE"""),"Kline")</f>
        <v>Kline</v>
      </c>
      <c r="E1191" t="str">
        <f>IFERROR(__xludf.DUMMYFUNCTION("""COMPUTED_VALUE"""),"Josh")</f>
        <v>Josh</v>
      </c>
      <c r="F1191" t="str">
        <f>IFERROR(__xludf.DUMMYFUNCTION("""COMPUTED_VALUE"""),"C")</f>
        <v>C</v>
      </c>
      <c r="G1191">
        <f>IFERROR(__xludf.DUMMYFUNCTION("""COMPUTED_VALUE"""),10.799999999999999)</f>
        <v>10.8</v>
      </c>
    </row>
    <row r="1192">
      <c r="D1192" t="str">
        <f>IFERROR(__xludf.DUMMYFUNCTION("""COMPUTED_VALUE"""),"Klug")</f>
        <v>Klug</v>
      </c>
      <c r="E1192" t="str">
        <f>IFERROR(__xludf.DUMMYFUNCTION("""COMPUTED_VALUE"""),"Karl")</f>
        <v>Karl</v>
      </c>
      <c r="F1192" t="str">
        <f>IFERROR(__xludf.DUMMYFUNCTION("""COMPUTED_VALUE"""),"RE")</f>
        <v>RE</v>
      </c>
      <c r="G1192">
        <f>IFERROR(__xludf.DUMMYFUNCTION("""COMPUTED_VALUE"""),10.95)</f>
        <v>10.95</v>
      </c>
    </row>
    <row r="1193">
      <c r="D1193" t="str">
        <f>IFERROR(__xludf.DUMMYFUNCTION("""COMPUTED_VALUE"""),"Knighton")</f>
        <v>Knighton</v>
      </c>
      <c r="E1193" t="str">
        <f>IFERROR(__xludf.DUMMYFUNCTION("""COMPUTED_VALUE"""),"Terrance")</f>
        <v>Terrance</v>
      </c>
      <c r="F1193" t="str">
        <f>IFERROR(__xludf.DUMMYFUNCTION("""COMPUTED_VALUE"""),"DT")</f>
        <v>DT</v>
      </c>
      <c r="G1193">
        <f>IFERROR(__xludf.DUMMYFUNCTION("""COMPUTED_VALUE"""),12.45)</f>
        <v>12.45</v>
      </c>
    </row>
    <row r="1194">
      <c r="D1194" t="str">
        <f>IFERROR(__xludf.DUMMYFUNCTION("""COMPUTED_VALUE"""),"Koch")</f>
        <v>Koch</v>
      </c>
      <c r="E1194" t="str">
        <f>IFERROR(__xludf.DUMMYFUNCTION("""COMPUTED_VALUE"""),"Sam")</f>
        <v>Sam</v>
      </c>
      <c r="F1194" t="str">
        <f>IFERROR(__xludf.DUMMYFUNCTION("""COMPUTED_VALUE"""),"P")</f>
        <v>P</v>
      </c>
      <c r="G1194">
        <f>IFERROR(__xludf.DUMMYFUNCTION("""COMPUTED_VALUE"""),12.6)</f>
        <v>12.6</v>
      </c>
    </row>
    <row r="1195">
      <c r="D1195" t="str">
        <f>IFERROR(__xludf.DUMMYFUNCTION("""COMPUTED_VALUE"""),"Kouandjio")</f>
        <v>Kouandjio</v>
      </c>
      <c r="E1195" t="str">
        <f>IFERROR(__xludf.DUMMYFUNCTION("""COMPUTED_VALUE"""),"Arie")</f>
        <v>Arie</v>
      </c>
      <c r="F1195" t="str">
        <f>IFERROR(__xludf.DUMMYFUNCTION("""COMPUTED_VALUE"""),"LG")</f>
        <v>LG</v>
      </c>
      <c r="G1195">
        <f>IFERROR(__xludf.DUMMYFUNCTION("""COMPUTED_VALUE"""),9.299999999999999)</f>
        <v>9.3</v>
      </c>
    </row>
    <row r="1196">
      <c r="D1196" t="str">
        <f>IFERROR(__xludf.DUMMYFUNCTION("""COMPUTED_VALUE"""),"Kouandjio")</f>
        <v>Kouandjio</v>
      </c>
      <c r="E1196" t="str">
        <f>IFERROR(__xludf.DUMMYFUNCTION("""COMPUTED_VALUE"""),"Cyrus")</f>
        <v>Cyrus</v>
      </c>
      <c r="F1196" t="str">
        <f>IFERROR(__xludf.DUMMYFUNCTION("""COMPUTED_VALUE"""),"RT")</f>
        <v>RT</v>
      </c>
      <c r="G1196">
        <f>IFERROR(__xludf.DUMMYFUNCTION("""COMPUTED_VALUE"""),10.799999999999999)</f>
        <v>10.8</v>
      </c>
    </row>
    <row r="1197">
      <c r="D1197" t="str">
        <f>IFERROR(__xludf.DUMMYFUNCTION("""COMPUTED_VALUE"""),"Koyack")</f>
        <v>Koyack</v>
      </c>
      <c r="E1197" t="str">
        <f>IFERROR(__xludf.DUMMYFUNCTION("""COMPUTED_VALUE"""),"Ben")</f>
        <v>Ben</v>
      </c>
      <c r="F1197" t="str">
        <f>IFERROR(__xludf.DUMMYFUNCTION("""COMPUTED_VALUE"""),"TE")</f>
        <v>TE</v>
      </c>
      <c r="G1197">
        <f>IFERROR(__xludf.DUMMYFUNCTION("""COMPUTED_VALUE"""),9.6)</f>
        <v>9.6</v>
      </c>
    </row>
    <row r="1198">
      <c r="D1198" t="str">
        <f>IFERROR(__xludf.DUMMYFUNCTION("""COMPUTED_VALUE"""),"Kreiter")</f>
        <v>Kreiter</v>
      </c>
      <c r="E1198" t="str">
        <f>IFERROR(__xludf.DUMMYFUNCTION("""COMPUTED_VALUE"""),"Casey")</f>
        <v>Casey</v>
      </c>
      <c r="F1198" t="str">
        <f>IFERROR(__xludf.DUMMYFUNCTION("""COMPUTED_VALUE"""),"TE")</f>
        <v>TE</v>
      </c>
      <c r="G1198">
        <f>IFERROR(__xludf.DUMMYFUNCTION("""COMPUTED_VALUE"""),6.0)</f>
        <v>6</v>
      </c>
    </row>
    <row r="1199">
      <c r="D1199" t="str">
        <f>IFERROR(__xludf.DUMMYFUNCTION("""COMPUTED_VALUE"""),"Krieger-Coble")</f>
        <v>Krieger-Coble</v>
      </c>
      <c r="E1199" t="str">
        <f>IFERROR(__xludf.DUMMYFUNCTION("""COMPUTED_VALUE"""),"Henry")</f>
        <v>Henry</v>
      </c>
      <c r="F1199" t="str">
        <f>IFERROR(__xludf.DUMMYFUNCTION("""COMPUTED_VALUE"""),"TE")</f>
        <v>TE</v>
      </c>
      <c r="G1199">
        <f>IFERROR(__xludf.DUMMYFUNCTION("""COMPUTED_VALUE"""),9.15)</f>
        <v>9.15</v>
      </c>
    </row>
    <row r="1200">
      <c r="D1200" t="str">
        <f>IFERROR(__xludf.DUMMYFUNCTION("""COMPUTED_VALUE"""),"Kroft")</f>
        <v>Kroft</v>
      </c>
      <c r="E1200" t="str">
        <f>IFERROR(__xludf.DUMMYFUNCTION("""COMPUTED_VALUE"""),"Tyler")</f>
        <v>Tyler</v>
      </c>
      <c r="F1200" t="str">
        <f>IFERROR(__xludf.DUMMYFUNCTION("""COMPUTED_VALUE"""),"TE")</f>
        <v>TE</v>
      </c>
      <c r="G1200">
        <f>IFERROR(__xludf.DUMMYFUNCTION("""COMPUTED_VALUE"""),10.65)</f>
        <v>10.65</v>
      </c>
    </row>
    <row r="1201">
      <c r="D1201" t="str">
        <f>IFERROR(__xludf.DUMMYFUNCTION("""COMPUTED_VALUE"""),"Kruger")</f>
        <v>Kruger</v>
      </c>
      <c r="E1201" t="str">
        <f>IFERROR(__xludf.DUMMYFUNCTION("""COMPUTED_VALUE"""),"Paul")</f>
        <v>Paul</v>
      </c>
      <c r="F1201" t="str">
        <f>IFERROR(__xludf.DUMMYFUNCTION("""COMPUTED_VALUE"""),"ROLB")</f>
        <v>ROLB</v>
      </c>
      <c r="G1201">
        <f>IFERROR(__xludf.DUMMYFUNCTION("""COMPUTED_VALUE"""),12.75)</f>
        <v>12.75</v>
      </c>
    </row>
    <row r="1202">
      <c r="D1202" t="str">
        <f>IFERROR(__xludf.DUMMYFUNCTION("""COMPUTED_VALUE"""),"Kuder")</f>
        <v>Kuder</v>
      </c>
      <c r="E1202" t="str">
        <f>IFERROR(__xludf.DUMMYFUNCTION("""COMPUTED_VALUE"""),"Tyler")</f>
        <v>Tyler</v>
      </c>
      <c r="F1202" t="str">
        <f>IFERROR(__xludf.DUMMYFUNCTION("""COMPUTED_VALUE"""),"LE")</f>
        <v>LE</v>
      </c>
      <c r="G1202">
        <f>IFERROR(__xludf.DUMMYFUNCTION("""COMPUTED_VALUE"""),8.7)</f>
        <v>8.7</v>
      </c>
    </row>
    <row r="1203">
      <c r="D1203" t="str">
        <f>IFERROR(__xludf.DUMMYFUNCTION("""COMPUTED_VALUE"""),"Kuechly")</f>
        <v>Kuechly</v>
      </c>
      <c r="E1203" t="str">
        <f>IFERROR(__xludf.DUMMYFUNCTION("""COMPUTED_VALUE"""),"Luke")</f>
        <v>Luke</v>
      </c>
      <c r="F1203" t="str">
        <f>IFERROR(__xludf.DUMMYFUNCTION("""COMPUTED_VALUE"""),"MLB")</f>
        <v>MLB</v>
      </c>
      <c r="G1203">
        <f>IFERROR(__xludf.DUMMYFUNCTION("""COMPUTED_VALUE"""),14.85)</f>
        <v>14.85</v>
      </c>
    </row>
    <row r="1204">
      <c r="D1204" t="str">
        <f>IFERROR(__xludf.DUMMYFUNCTION("""COMPUTED_VALUE"""),"Kuhn")</f>
        <v>Kuhn</v>
      </c>
      <c r="E1204" t="str">
        <f>IFERROR(__xludf.DUMMYFUNCTION("""COMPUTED_VALUE"""),"Markus")</f>
        <v>Markus</v>
      </c>
      <c r="F1204" t="str">
        <f>IFERROR(__xludf.DUMMYFUNCTION("""COMPUTED_VALUE"""),"DT")</f>
        <v>DT</v>
      </c>
      <c r="G1204">
        <f>IFERROR(__xludf.DUMMYFUNCTION("""COMPUTED_VALUE"""),10.049999999999999)</f>
        <v>10.05</v>
      </c>
    </row>
    <row r="1205">
      <c r="D1205" t="str">
        <f>IFERROR(__xludf.DUMMYFUNCTION("""COMPUTED_VALUE"""),"Kush")</f>
        <v>Kush</v>
      </c>
      <c r="E1205" t="str">
        <f>IFERROR(__xludf.DUMMYFUNCTION("""COMPUTED_VALUE"""),"Eric")</f>
        <v>Eric</v>
      </c>
      <c r="F1205" t="str">
        <f>IFERROR(__xludf.DUMMYFUNCTION("""COMPUTED_VALUE"""),"C")</f>
        <v>C</v>
      </c>
      <c r="G1205">
        <f>IFERROR(__xludf.DUMMYFUNCTION("""COMPUTED_VALUE"""),9.9)</f>
        <v>9.9</v>
      </c>
    </row>
    <row r="1206">
      <c r="D1206" t="str">
        <f>IFERROR(__xludf.DUMMYFUNCTION("""COMPUTED_VALUE"""),"Kwiatkoski")</f>
        <v>Kwiatkoski</v>
      </c>
      <c r="E1206" t="str">
        <f>IFERROR(__xludf.DUMMYFUNCTION("""COMPUTED_VALUE"""),"Nick")</f>
        <v>Nick</v>
      </c>
      <c r="F1206" t="str">
        <f>IFERROR(__xludf.DUMMYFUNCTION("""COMPUTED_VALUE"""),"MLB")</f>
        <v>MLB</v>
      </c>
      <c r="G1206">
        <f>IFERROR(__xludf.DUMMYFUNCTION("""COMPUTED_VALUE"""),9.6)</f>
        <v>9.6</v>
      </c>
    </row>
    <row r="1207">
      <c r="D1207" t="str">
        <f>IFERROR(__xludf.DUMMYFUNCTION("""COMPUTED_VALUE"""),"LaCosse")</f>
        <v>LaCosse</v>
      </c>
      <c r="E1207" t="str">
        <f>IFERROR(__xludf.DUMMYFUNCTION("""COMPUTED_VALUE"""),"Matt")</f>
        <v>Matt</v>
      </c>
      <c r="F1207" t="str">
        <f>IFERROR(__xludf.DUMMYFUNCTION("""COMPUTED_VALUE"""),"TE")</f>
        <v>TE</v>
      </c>
      <c r="G1207">
        <f>IFERROR(__xludf.DUMMYFUNCTION("""COMPUTED_VALUE"""),9.75)</f>
        <v>9.75</v>
      </c>
    </row>
    <row r="1208">
      <c r="D1208" t="str">
        <f>IFERROR(__xludf.DUMMYFUNCTION("""COMPUTED_VALUE"""),"Lacy")</f>
        <v>Lacy</v>
      </c>
      <c r="E1208" t="str">
        <f>IFERROR(__xludf.DUMMYFUNCTION("""COMPUTED_VALUE"""),"Eddie")</f>
        <v>Eddie</v>
      </c>
      <c r="F1208" t="str">
        <f>IFERROR(__xludf.DUMMYFUNCTION("""COMPUTED_VALUE"""),"HB")</f>
        <v>HB</v>
      </c>
      <c r="G1208">
        <f>IFERROR(__xludf.DUMMYFUNCTION("""COMPUTED_VALUE"""),12.45)</f>
        <v>12.45</v>
      </c>
    </row>
    <row r="1209">
      <c r="D1209" t="str">
        <f>IFERROR(__xludf.DUMMYFUNCTION("""COMPUTED_VALUE"""),"LaDouceur")</f>
        <v>LaDouceur</v>
      </c>
      <c r="E1209" t="str">
        <f>IFERROR(__xludf.DUMMYFUNCTION("""COMPUTED_VALUE"""),"LP")</f>
        <v>LP</v>
      </c>
      <c r="F1209" t="str">
        <f>IFERROR(__xludf.DUMMYFUNCTION("""COMPUTED_VALUE"""),"TE")</f>
        <v>TE</v>
      </c>
      <c r="G1209">
        <f>IFERROR(__xludf.DUMMYFUNCTION("""COMPUTED_VALUE"""),7.199999999999999)</f>
        <v>7.2</v>
      </c>
    </row>
    <row r="1210">
      <c r="D1210" t="str">
        <f>IFERROR(__xludf.DUMMYFUNCTION("""COMPUTED_VALUE"""),"LaFell")</f>
        <v>LaFell</v>
      </c>
      <c r="E1210" t="str">
        <f>IFERROR(__xludf.DUMMYFUNCTION("""COMPUTED_VALUE"""),"Brandon")</f>
        <v>Brandon</v>
      </c>
      <c r="F1210" t="str">
        <f>IFERROR(__xludf.DUMMYFUNCTION("""COMPUTED_VALUE"""),"WR")</f>
        <v>WR</v>
      </c>
      <c r="G1210">
        <f>IFERROR(__xludf.DUMMYFUNCTION("""COMPUTED_VALUE"""),11.549999999999999)</f>
        <v>11.55</v>
      </c>
    </row>
    <row r="1211">
      <c r="D1211" t="str">
        <f>IFERROR(__xludf.DUMMYFUNCTION("""COMPUTED_VALUE"""),"Lambo")</f>
        <v>Lambo</v>
      </c>
      <c r="E1211" t="str">
        <f>IFERROR(__xludf.DUMMYFUNCTION("""COMPUTED_VALUE"""),"Josh")</f>
        <v>Josh</v>
      </c>
      <c r="F1211" t="str">
        <f>IFERROR(__xludf.DUMMYFUNCTION("""COMPUTED_VALUE"""),"K")</f>
        <v>K</v>
      </c>
      <c r="G1211">
        <f>IFERROR(__xludf.DUMMYFUNCTION("""COMPUTED_VALUE"""),11.4)</f>
        <v>11.4</v>
      </c>
    </row>
    <row r="1212">
      <c r="D1212" t="str">
        <f>IFERROR(__xludf.DUMMYFUNCTION("""COMPUTED_VALUE"""),"Lamm")</f>
        <v>Lamm</v>
      </c>
      <c r="E1212" t="str">
        <f>IFERROR(__xludf.DUMMYFUNCTION("""COMPUTED_VALUE"""),"Kendall")</f>
        <v>Kendall</v>
      </c>
      <c r="F1212" t="str">
        <f>IFERROR(__xludf.DUMMYFUNCTION("""COMPUTED_VALUE"""),"RT")</f>
        <v>RT</v>
      </c>
      <c r="G1212">
        <f>IFERROR(__xludf.DUMMYFUNCTION("""COMPUTED_VALUE"""),9.9)</f>
        <v>9.9</v>
      </c>
    </row>
    <row r="1213">
      <c r="D1213" t="str">
        <f>IFERROR(__xludf.DUMMYFUNCTION("""COMPUTED_VALUE"""),"Lampman")</f>
        <v>Lampman</v>
      </c>
      <c r="E1213" t="str">
        <f>IFERROR(__xludf.DUMMYFUNCTION("""COMPUTED_VALUE"""),"Jake")</f>
        <v>Jake</v>
      </c>
      <c r="F1213" t="str">
        <f>IFERROR(__xludf.DUMMYFUNCTION("""COMPUTED_VALUE"""),"WR")</f>
        <v>WR</v>
      </c>
      <c r="G1213">
        <f>IFERROR(__xludf.DUMMYFUNCTION("""COMPUTED_VALUE"""),9.15)</f>
        <v>9.15</v>
      </c>
    </row>
    <row r="1214">
      <c r="D1214" t="str">
        <f>IFERROR(__xludf.DUMMYFUNCTION("""COMPUTED_VALUE"""),"Lamur")</f>
        <v>Lamur</v>
      </c>
      <c r="E1214" t="str">
        <f>IFERROR(__xludf.DUMMYFUNCTION("""COMPUTED_VALUE"""),"Emmanuel")</f>
        <v>Emmanuel</v>
      </c>
      <c r="F1214" t="str">
        <f>IFERROR(__xludf.DUMMYFUNCTION("""COMPUTED_VALUE"""),"ROLB")</f>
        <v>ROLB</v>
      </c>
      <c r="G1214">
        <f>IFERROR(__xludf.DUMMYFUNCTION("""COMPUTED_VALUE"""),10.799999999999999)</f>
        <v>10.8</v>
      </c>
    </row>
    <row r="1215">
      <c r="D1215" t="str">
        <f>IFERROR(__xludf.DUMMYFUNCTION("""COMPUTED_VALUE"""),"Landes")</f>
        <v>Landes</v>
      </c>
      <c r="E1215" t="str">
        <f>IFERROR(__xludf.DUMMYFUNCTION("""COMPUTED_VALUE"""),"Jimmy")</f>
        <v>Jimmy</v>
      </c>
      <c r="F1215" t="str">
        <f>IFERROR(__xludf.DUMMYFUNCTION("""COMPUTED_VALUE"""),"TE")</f>
        <v>TE</v>
      </c>
      <c r="G1215">
        <f>IFERROR(__xludf.DUMMYFUNCTION("""COMPUTED_VALUE"""),6.8999999999999995)</f>
        <v>6.9</v>
      </c>
    </row>
    <row r="1216">
      <c r="D1216" t="str">
        <f>IFERROR(__xludf.DUMMYFUNCTION("""COMPUTED_VALUE"""),"Landrum")</f>
        <v>Landrum</v>
      </c>
      <c r="E1216" t="str">
        <f>IFERROR(__xludf.DUMMYFUNCTION("""COMPUTED_VALUE"""),"Chris")</f>
        <v>Chris</v>
      </c>
      <c r="F1216" t="str">
        <f>IFERROR(__xludf.DUMMYFUNCTION("""COMPUTED_VALUE"""),"ROLB")</f>
        <v>ROLB</v>
      </c>
      <c r="G1216">
        <f>IFERROR(__xludf.DUMMYFUNCTION("""COMPUTED_VALUE"""),8.549999999999999)</f>
        <v>8.55</v>
      </c>
    </row>
    <row r="1217">
      <c r="D1217" t="str">
        <f>IFERROR(__xludf.DUMMYFUNCTION("""COMPUTED_VALUE"""),"Landry")</f>
        <v>Landry</v>
      </c>
      <c r="E1217" t="str">
        <f>IFERROR(__xludf.DUMMYFUNCTION("""COMPUTED_VALUE"""),"Jarvis")</f>
        <v>Jarvis</v>
      </c>
      <c r="F1217" t="str">
        <f>IFERROR(__xludf.DUMMYFUNCTION("""COMPUTED_VALUE"""),"WR")</f>
        <v>WR</v>
      </c>
      <c r="G1217">
        <f>IFERROR(__xludf.DUMMYFUNCTION("""COMPUTED_VALUE"""),13.049999999999999)</f>
        <v>13.05</v>
      </c>
    </row>
    <row r="1218">
      <c r="D1218" t="str">
        <f>IFERROR(__xludf.DUMMYFUNCTION("""COMPUTED_VALUE"""),"Lane")</f>
        <v>Lane</v>
      </c>
      <c r="E1218" t="str">
        <f>IFERROR(__xludf.DUMMYFUNCTION("""COMPUTED_VALUE"""),"Jeremy")</f>
        <v>Jeremy</v>
      </c>
      <c r="F1218" t="str">
        <f>IFERROR(__xludf.DUMMYFUNCTION("""COMPUTED_VALUE"""),"CB")</f>
        <v>CB</v>
      </c>
      <c r="G1218">
        <f>IFERROR(__xludf.DUMMYFUNCTION("""COMPUTED_VALUE"""),11.549999999999999)</f>
        <v>11.55</v>
      </c>
    </row>
    <row r="1219">
      <c r="D1219" t="str">
        <f>IFERROR(__xludf.DUMMYFUNCTION("""COMPUTED_VALUE"""),"Lang")</f>
        <v>Lang</v>
      </c>
      <c r="E1219" t="str">
        <f>IFERROR(__xludf.DUMMYFUNCTION("""COMPUTED_VALUE"""),"TJ")</f>
        <v>TJ</v>
      </c>
      <c r="F1219" t="str">
        <f>IFERROR(__xludf.DUMMYFUNCTION("""COMPUTED_VALUE"""),"RG")</f>
        <v>RG</v>
      </c>
      <c r="G1219">
        <f>IFERROR(__xludf.DUMMYFUNCTION("""COMPUTED_VALUE"""),13.65)</f>
        <v>13.65</v>
      </c>
    </row>
    <row r="1220">
      <c r="D1220" t="str">
        <f>IFERROR(__xludf.DUMMYFUNCTION("""COMPUTED_VALUE"""),"Langford")</f>
        <v>Langford</v>
      </c>
      <c r="E1220" t="str">
        <f>IFERROR(__xludf.DUMMYFUNCTION("""COMPUTED_VALUE"""),"Jeremy")</f>
        <v>Jeremy</v>
      </c>
      <c r="F1220" t="str">
        <f>IFERROR(__xludf.DUMMYFUNCTION("""COMPUTED_VALUE"""),"HB")</f>
        <v>HB</v>
      </c>
      <c r="G1220">
        <f>IFERROR(__xludf.DUMMYFUNCTION("""COMPUTED_VALUE"""),11.4)</f>
        <v>11.4</v>
      </c>
    </row>
    <row r="1221">
      <c r="D1221" t="str">
        <f>IFERROR(__xludf.DUMMYFUNCTION("""COMPUTED_VALUE"""),"Langford")</f>
        <v>Langford</v>
      </c>
      <c r="E1221" t="str">
        <f>IFERROR(__xludf.DUMMYFUNCTION("""COMPUTED_VALUE"""),"Kendall")</f>
        <v>Kendall</v>
      </c>
      <c r="F1221" t="str">
        <f>IFERROR(__xludf.DUMMYFUNCTION("""COMPUTED_VALUE"""),"LE")</f>
        <v>LE</v>
      </c>
      <c r="G1221">
        <f>IFERROR(__xludf.DUMMYFUNCTION("""COMPUTED_VALUE"""),12.0)</f>
        <v>12</v>
      </c>
    </row>
    <row r="1222">
      <c r="D1222" t="str">
        <f>IFERROR(__xludf.DUMMYFUNCTION("""COMPUTED_VALUE"""),"LARey")</f>
        <v>LARey</v>
      </c>
      <c r="E1222" t="str">
        <f>IFERROR(__xludf.DUMMYFUNCTION("""COMPUTED_VALUE"""),"Jalen")</f>
        <v>Jalen</v>
      </c>
      <c r="F1222" t="str">
        <f>IFERROR(__xludf.DUMMYFUNCTION("""COMPUTED_VALUE"""),"CB")</f>
        <v>CB</v>
      </c>
      <c r="G1222">
        <f>IFERROR(__xludf.DUMMYFUNCTION("""COMPUTED_VALUE"""),12.299999999999999)</f>
        <v>12.3</v>
      </c>
    </row>
    <row r="1223">
      <c r="D1223" t="str">
        <f>IFERROR(__xludf.DUMMYFUNCTION("""COMPUTED_VALUE"""),"Larsen")</f>
        <v>Larsen</v>
      </c>
      <c r="E1223" t="str">
        <f>IFERROR(__xludf.DUMMYFUNCTION("""COMPUTED_VALUE"""),"Ted")</f>
        <v>Ted</v>
      </c>
      <c r="F1223" t="str">
        <f>IFERROR(__xludf.DUMMYFUNCTION("""COMPUTED_VALUE"""),"LG")</f>
        <v>LG</v>
      </c>
      <c r="G1223">
        <f>IFERROR(__xludf.DUMMYFUNCTION("""COMPUTED_VALUE"""),10.049999999999999)</f>
        <v>10.05</v>
      </c>
    </row>
    <row r="1224">
      <c r="D1224" t="str">
        <f>IFERROR(__xludf.DUMMYFUNCTION("""COMPUTED_VALUE"""),"Larsen")</f>
        <v>Larsen</v>
      </c>
      <c r="E1224" t="str">
        <f>IFERROR(__xludf.DUMMYFUNCTION("""COMPUTED_VALUE"""),"Tyler")</f>
        <v>Tyler</v>
      </c>
      <c r="F1224" t="str">
        <f>IFERROR(__xludf.DUMMYFUNCTION("""COMPUTED_VALUE"""),"LG")</f>
        <v>LG</v>
      </c>
      <c r="G1224">
        <f>IFERROR(__xludf.DUMMYFUNCTION("""COMPUTED_VALUE"""),10.049999999999999)</f>
        <v>10.05</v>
      </c>
    </row>
    <row r="1225">
      <c r="D1225" t="str">
        <f>IFERROR(__xludf.DUMMYFUNCTION("""COMPUTED_VALUE"""),"Lasco")</f>
        <v>Lasco</v>
      </c>
      <c r="E1225" t="str">
        <f>IFERROR(__xludf.DUMMYFUNCTION("""COMPUTED_VALUE"""),"Daniel")</f>
        <v>Daniel</v>
      </c>
      <c r="F1225" t="str">
        <f>IFERROR(__xludf.DUMMYFUNCTION("""COMPUTED_VALUE"""),"HB")</f>
        <v>HB</v>
      </c>
      <c r="G1225">
        <f>IFERROR(__xludf.DUMMYFUNCTION("""COMPUTED_VALUE"""),10.2)</f>
        <v>10.2</v>
      </c>
    </row>
    <row r="1226">
      <c r="D1226" t="str">
        <f>IFERROR(__xludf.DUMMYFUNCTION("""COMPUTED_VALUE"""),"Lasike")</f>
        <v>Lasike</v>
      </c>
      <c r="E1226" t="str">
        <f>IFERROR(__xludf.DUMMYFUNCTION("""COMPUTED_VALUE"""),"Paul")</f>
        <v>Paul</v>
      </c>
      <c r="F1226" t="str">
        <f>IFERROR(__xludf.DUMMYFUNCTION("""COMPUTED_VALUE"""),"FB")</f>
        <v>FB</v>
      </c>
      <c r="G1226">
        <f>IFERROR(__xludf.DUMMYFUNCTION("""COMPUTED_VALUE"""),9.9)</f>
        <v>9.9</v>
      </c>
    </row>
    <row r="1227">
      <c r="D1227" t="str">
        <f>IFERROR(__xludf.DUMMYFUNCTION("""COMPUTED_VALUE"""),"Latham")</f>
        <v>Latham</v>
      </c>
      <c r="E1227" t="str">
        <f>IFERROR(__xludf.DUMMYFUNCTION("""COMPUTED_VALUE"""),"Darius")</f>
        <v>Darius</v>
      </c>
      <c r="F1227" t="str">
        <f>IFERROR(__xludf.DUMMYFUNCTION("""COMPUTED_VALUE"""),"DT")</f>
        <v>DT</v>
      </c>
      <c r="G1227">
        <f>IFERROR(__xludf.DUMMYFUNCTION("""COMPUTED_VALUE"""),8.7)</f>
        <v>8.7</v>
      </c>
    </row>
    <row r="1228">
      <c r="D1228" t="str">
        <f>IFERROR(__xludf.DUMMYFUNCTION("""COMPUTED_VALUE"""),"Latimer")</f>
        <v>Latimer</v>
      </c>
      <c r="E1228" t="str">
        <f>IFERROR(__xludf.DUMMYFUNCTION("""COMPUTED_VALUE"""),"Cody")</f>
        <v>Cody</v>
      </c>
      <c r="F1228" t="str">
        <f>IFERROR(__xludf.DUMMYFUNCTION("""COMPUTED_VALUE"""),"WR")</f>
        <v>WR</v>
      </c>
      <c r="G1228">
        <f>IFERROR(__xludf.DUMMYFUNCTION("""COMPUTED_VALUE"""),10.2)</f>
        <v>10.2</v>
      </c>
    </row>
    <row r="1229">
      <c r="D1229" t="str">
        <f>IFERROR(__xludf.DUMMYFUNCTION("""COMPUTED_VALUE"""),"Lattimore")</f>
        <v>Lattimore</v>
      </c>
      <c r="E1229" t="str">
        <f>IFERROR(__xludf.DUMMYFUNCTION("""COMPUTED_VALUE"""),"Jamari")</f>
        <v>Jamari</v>
      </c>
      <c r="F1229" t="str">
        <f>IFERROR(__xludf.DUMMYFUNCTION("""COMPUTED_VALUE"""),"MLB")</f>
        <v>MLB</v>
      </c>
      <c r="G1229">
        <f>IFERROR(__xludf.DUMMYFUNCTION("""COMPUTED_VALUE"""),10.5)</f>
        <v>10.5</v>
      </c>
    </row>
    <row r="1230">
      <c r="D1230" t="str">
        <f>IFERROR(__xludf.DUMMYFUNCTION("""COMPUTED_VALUE"""),"Laurinaitis")</f>
        <v>Laurinaitis</v>
      </c>
      <c r="E1230" t="str">
        <f>IFERROR(__xludf.DUMMYFUNCTION("""COMPUTED_VALUE"""),"James")</f>
        <v>James</v>
      </c>
      <c r="F1230" t="str">
        <f>IFERROR(__xludf.DUMMYFUNCTION("""COMPUTED_VALUE"""),"MLB")</f>
        <v>MLB</v>
      </c>
      <c r="G1230">
        <f>IFERROR(__xludf.DUMMYFUNCTION("""COMPUTED_VALUE"""),10.95)</f>
        <v>10.95</v>
      </c>
    </row>
    <row r="1231">
      <c r="D1231" t="str">
        <f>IFERROR(__xludf.DUMMYFUNCTION("""COMPUTED_VALUE"""),"Lauvao")</f>
        <v>Lauvao</v>
      </c>
      <c r="E1231" t="str">
        <f>IFERROR(__xludf.DUMMYFUNCTION("""COMPUTED_VALUE"""),"Shawn")</f>
        <v>Shawn</v>
      </c>
      <c r="F1231" t="str">
        <f>IFERROR(__xludf.DUMMYFUNCTION("""COMPUTED_VALUE"""),"LG")</f>
        <v>LG</v>
      </c>
      <c r="G1231">
        <f>IFERROR(__xludf.DUMMYFUNCTION("""COMPUTED_VALUE"""),11.1)</f>
        <v>11.1</v>
      </c>
    </row>
    <row r="1232">
      <c r="D1232" t="str">
        <f>IFERROR(__xludf.DUMMYFUNCTION("""COMPUTED_VALUE"""),"Lawler")</f>
        <v>Lawler</v>
      </c>
      <c r="E1232" t="str">
        <f>IFERROR(__xludf.DUMMYFUNCTION("""COMPUTED_VALUE"""),"Kenny")</f>
        <v>Kenny</v>
      </c>
      <c r="F1232" t="str">
        <f>IFERROR(__xludf.DUMMYFUNCTION("""COMPUTED_VALUE"""),"WR")</f>
        <v>WR</v>
      </c>
      <c r="G1232">
        <f>IFERROR(__xludf.DUMMYFUNCTION("""COMPUTED_VALUE"""),9.6)</f>
        <v>9.6</v>
      </c>
    </row>
    <row r="1233">
      <c r="D1233" t="str">
        <f>IFERROR(__xludf.DUMMYFUNCTION("""COMPUTED_VALUE"""),"Lawrence")</f>
        <v>Lawrence</v>
      </c>
      <c r="E1233" t="str">
        <f>IFERROR(__xludf.DUMMYFUNCTION("""COMPUTED_VALUE"""),"DeMarcus")</f>
        <v>DeMarcus</v>
      </c>
      <c r="F1233" t="str">
        <f>IFERROR(__xludf.DUMMYFUNCTION("""COMPUTED_VALUE"""),"LE")</f>
        <v>LE</v>
      </c>
      <c r="G1233">
        <f>IFERROR(__xludf.DUMMYFUNCTION("""COMPUTED_VALUE"""),12.15)</f>
        <v>12.15</v>
      </c>
    </row>
    <row r="1234">
      <c r="D1234" t="str">
        <f>IFERROR(__xludf.DUMMYFUNCTION("""COMPUTED_VALUE"""),"Lawrence")</f>
        <v>Lawrence</v>
      </c>
      <c r="E1234" t="str">
        <f>IFERROR(__xludf.DUMMYFUNCTION("""COMPUTED_VALUE"""),"Rashad")</f>
        <v>Rashad</v>
      </c>
      <c r="F1234" t="str">
        <f>IFERROR(__xludf.DUMMYFUNCTION("""COMPUTED_VALUE"""),"WR")</f>
        <v>WR</v>
      </c>
      <c r="G1234">
        <f>IFERROR(__xludf.DUMMYFUNCTION("""COMPUTED_VALUE"""),8.85)</f>
        <v>8.85</v>
      </c>
    </row>
    <row r="1235">
      <c r="D1235" t="str">
        <f>IFERROR(__xludf.DUMMYFUNCTION("""COMPUTED_VALUE"""),"Lawson")</f>
        <v>Lawson</v>
      </c>
      <c r="E1235" t="str">
        <f>IFERROR(__xludf.DUMMYFUNCTION("""COMPUTED_VALUE"""),"Manny")</f>
        <v>Manny</v>
      </c>
      <c r="F1235" t="str">
        <f>IFERROR(__xludf.DUMMYFUNCTION("""COMPUTED_VALUE"""),"LOLB")</f>
        <v>LOLB</v>
      </c>
      <c r="G1235">
        <f>IFERROR(__xludf.DUMMYFUNCTION("""COMPUTED_VALUE"""),10.65)</f>
        <v>10.65</v>
      </c>
    </row>
    <row r="1236">
      <c r="D1236" t="str">
        <f>IFERROR(__xludf.DUMMYFUNCTION("""COMPUTED_VALUE"""),"Lawson")</f>
        <v>Lawson</v>
      </c>
      <c r="E1236" t="str">
        <f>IFERROR(__xludf.DUMMYFUNCTION("""COMPUTED_VALUE"""),"Nevin")</f>
        <v>Nevin</v>
      </c>
      <c r="F1236" t="str">
        <f>IFERROR(__xludf.DUMMYFUNCTION("""COMPUTED_VALUE"""),"CB")</f>
        <v>CB</v>
      </c>
      <c r="G1236">
        <f>IFERROR(__xludf.DUMMYFUNCTION("""COMPUTED_VALUE"""),10.5)</f>
        <v>10.5</v>
      </c>
    </row>
    <row r="1237">
      <c r="D1237" t="str">
        <f>IFERROR(__xludf.DUMMYFUNCTION("""COMPUTED_VALUE"""),"Lawson")</f>
        <v>Lawson</v>
      </c>
      <c r="E1237" t="str">
        <f>IFERROR(__xludf.DUMMYFUNCTION("""COMPUTED_VALUE"""),"Shaq")</f>
        <v>Shaq</v>
      </c>
      <c r="F1237" t="str">
        <f>IFERROR(__xludf.DUMMYFUNCTION("""COMPUTED_VALUE"""),"LE")</f>
        <v>LE</v>
      </c>
      <c r="G1237">
        <f>IFERROR(__xludf.DUMMYFUNCTION("""COMPUTED_VALUE"""),11.25)</f>
        <v>11.25</v>
      </c>
    </row>
    <row r="1238">
      <c r="D1238" t="str">
        <f>IFERROR(__xludf.DUMMYFUNCTION("""COMPUTED_VALUE"""),"Leary")</f>
        <v>Leary</v>
      </c>
      <c r="E1238" t="str">
        <f>IFERROR(__xludf.DUMMYFUNCTION("""COMPUTED_VALUE"""),"Ronald")</f>
        <v>Ronald</v>
      </c>
      <c r="F1238" t="str">
        <f>IFERROR(__xludf.DUMMYFUNCTION("""COMPUTED_VALUE"""),"LG")</f>
        <v>LG</v>
      </c>
      <c r="G1238">
        <f>IFERROR(__xludf.DUMMYFUNCTION("""COMPUTED_VALUE"""),11.25)</f>
        <v>11.25</v>
      </c>
    </row>
    <row r="1239">
      <c r="D1239" t="str">
        <f>IFERROR(__xludf.DUMMYFUNCTION("""COMPUTED_VALUE"""),"Lechler")</f>
        <v>Lechler</v>
      </c>
      <c r="E1239" t="str">
        <f>IFERROR(__xludf.DUMMYFUNCTION("""COMPUTED_VALUE"""),"Shane")</f>
        <v>Shane</v>
      </c>
      <c r="F1239" t="str">
        <f>IFERROR(__xludf.DUMMYFUNCTION("""COMPUTED_VALUE"""),"P")</f>
        <v>P</v>
      </c>
      <c r="G1239">
        <f>IFERROR(__xludf.DUMMYFUNCTION("""COMPUTED_VALUE"""),11.549999999999999)</f>
        <v>11.55</v>
      </c>
    </row>
    <row r="1240">
      <c r="D1240" t="str">
        <f>IFERROR(__xludf.DUMMYFUNCTION("""COMPUTED_VALUE"""),"Lee")</f>
        <v>Lee</v>
      </c>
      <c r="E1240" t="str">
        <f>IFERROR(__xludf.DUMMYFUNCTION("""COMPUTED_VALUE"""),"Andy")</f>
        <v>Andy</v>
      </c>
      <c r="F1240" t="str">
        <f>IFERROR(__xludf.DUMMYFUNCTION("""COMPUTED_VALUE"""),"P")</f>
        <v>P</v>
      </c>
      <c r="G1240">
        <f>IFERROR(__xludf.DUMMYFUNCTION("""COMPUTED_VALUE"""),12.0)</f>
        <v>12</v>
      </c>
    </row>
    <row r="1241">
      <c r="D1241" t="str">
        <f>IFERROR(__xludf.DUMMYFUNCTION("""COMPUTED_VALUE"""),"Lee")</f>
        <v>Lee</v>
      </c>
      <c r="E1241" t="str">
        <f>IFERROR(__xludf.DUMMYFUNCTION("""COMPUTED_VALUE"""),"Darron")</f>
        <v>Darron</v>
      </c>
      <c r="F1241" t="str">
        <f>IFERROR(__xludf.DUMMYFUNCTION("""COMPUTED_VALUE"""),"MLB")</f>
        <v>MLB</v>
      </c>
      <c r="G1241">
        <f>IFERROR(__xludf.DUMMYFUNCTION("""COMPUTED_VALUE"""),10.95)</f>
        <v>10.95</v>
      </c>
    </row>
    <row r="1242">
      <c r="D1242" t="str">
        <f>IFERROR(__xludf.DUMMYFUNCTION("""COMPUTED_VALUE"""),"Lee")</f>
        <v>Lee</v>
      </c>
      <c r="E1242" t="str">
        <f>IFERROR(__xludf.DUMMYFUNCTION("""COMPUTED_VALUE"""),"Dillon")</f>
        <v>Dillon</v>
      </c>
      <c r="F1242" t="str">
        <f>IFERROR(__xludf.DUMMYFUNCTION("""COMPUTED_VALUE"""),"LOLB")</f>
        <v>LOLB</v>
      </c>
      <c r="G1242">
        <f>IFERROR(__xludf.DUMMYFUNCTION("""COMPUTED_VALUE"""),8.549999999999999)</f>
        <v>8.55</v>
      </c>
    </row>
    <row r="1243">
      <c r="D1243" t="str">
        <f>IFERROR(__xludf.DUMMYFUNCTION("""COMPUTED_VALUE"""),"Lee")</f>
        <v>Lee</v>
      </c>
      <c r="E1243" t="str">
        <f>IFERROR(__xludf.DUMMYFUNCTION("""COMPUTED_VALUE"""),"Jay")</f>
        <v>Jay</v>
      </c>
      <c r="F1243" t="str">
        <f>IFERROR(__xludf.DUMMYFUNCTION("""COMPUTED_VALUE"""),"WR")</f>
        <v>WR</v>
      </c>
      <c r="G1243">
        <f>IFERROR(__xludf.DUMMYFUNCTION("""COMPUTED_VALUE"""),9.0)</f>
        <v>9</v>
      </c>
    </row>
    <row r="1244">
      <c r="D1244" t="str">
        <f>IFERROR(__xludf.DUMMYFUNCTION("""COMPUTED_VALUE"""),"Lee")</f>
        <v>Lee</v>
      </c>
      <c r="E1244" t="str">
        <f>IFERROR(__xludf.DUMMYFUNCTION("""COMPUTED_VALUE"""),"Khari")</f>
        <v>Khari</v>
      </c>
      <c r="F1244" t="str">
        <f>IFERROR(__xludf.DUMMYFUNCTION("""COMPUTED_VALUE"""),"TE")</f>
        <v>TE</v>
      </c>
      <c r="G1244">
        <f>IFERROR(__xludf.DUMMYFUNCTION("""COMPUTED_VALUE"""),10.049999999999999)</f>
        <v>10.05</v>
      </c>
    </row>
    <row r="1245">
      <c r="D1245" t="str">
        <f>IFERROR(__xludf.DUMMYFUNCTION("""COMPUTED_VALUE"""),"Lee")</f>
        <v>Lee</v>
      </c>
      <c r="E1245" t="str">
        <f>IFERROR(__xludf.DUMMYFUNCTION("""COMPUTED_VALUE"""),"Marqise")</f>
        <v>Marqise</v>
      </c>
      <c r="F1245" t="str">
        <f>IFERROR(__xludf.DUMMYFUNCTION("""COMPUTED_VALUE"""),"WR")</f>
        <v>WR</v>
      </c>
      <c r="G1245">
        <f>IFERROR(__xludf.DUMMYFUNCTION("""COMPUTED_VALUE"""),10.65)</f>
        <v>10.65</v>
      </c>
    </row>
    <row r="1246">
      <c r="D1246" t="str">
        <f>IFERROR(__xludf.DUMMYFUNCTION("""COMPUTED_VALUE"""),"Lee")</f>
        <v>Lee</v>
      </c>
      <c r="E1246" t="str">
        <f>IFERROR(__xludf.DUMMYFUNCTION("""COMPUTED_VALUE"""),"Sean")</f>
        <v>Sean</v>
      </c>
      <c r="F1246" t="str">
        <f>IFERROR(__xludf.DUMMYFUNCTION("""COMPUTED_VALUE"""),"ROLB")</f>
        <v>ROLB</v>
      </c>
      <c r="G1246">
        <f>IFERROR(__xludf.DUMMYFUNCTION("""COMPUTED_VALUE"""),13.35)</f>
        <v>13.35</v>
      </c>
    </row>
    <row r="1247">
      <c r="D1247" t="str">
        <f>IFERROR(__xludf.DUMMYFUNCTION("""COMPUTED_VALUE"""),"LeFevour")</f>
        <v>LeFevour</v>
      </c>
      <c r="E1247" t="str">
        <f>IFERROR(__xludf.DUMMYFUNCTION("""COMPUTED_VALUE"""),"Dan")</f>
        <v>Dan</v>
      </c>
      <c r="F1247" t="str">
        <f>IFERROR(__xludf.DUMMYFUNCTION("""COMPUTED_VALUE"""),"QB")</f>
        <v>QB</v>
      </c>
      <c r="G1247">
        <f>IFERROR(__xludf.DUMMYFUNCTION("""COMPUTED_VALUE"""),9.0)</f>
        <v>9</v>
      </c>
    </row>
    <row r="1248">
      <c r="D1248" t="str">
        <f>IFERROR(__xludf.DUMMYFUNCTION("""COMPUTED_VALUE"""),"Lelito")</f>
        <v>Lelito</v>
      </c>
      <c r="E1248" t="str">
        <f>IFERROR(__xludf.DUMMYFUNCTION("""COMPUTED_VALUE"""),"Tim")</f>
        <v>Tim</v>
      </c>
      <c r="F1248" t="str">
        <f>IFERROR(__xludf.DUMMYFUNCTION("""COMPUTED_VALUE"""),"LG")</f>
        <v>LG</v>
      </c>
      <c r="G1248">
        <f>IFERROR(__xludf.DUMMYFUNCTION("""COMPUTED_VALUE"""),11.549999999999999)</f>
        <v>11.55</v>
      </c>
    </row>
    <row r="1249">
      <c r="D1249" t="str">
        <f>IFERROR(__xludf.DUMMYFUNCTION("""COMPUTED_VALUE"""),"Lemonier")</f>
        <v>Lemonier</v>
      </c>
      <c r="E1249" t="str">
        <f>IFERROR(__xludf.DUMMYFUNCTION("""COMPUTED_VALUE"""),"Corey")</f>
        <v>Corey</v>
      </c>
      <c r="F1249" t="str">
        <f>IFERROR(__xludf.DUMMYFUNCTION("""COMPUTED_VALUE"""),"LOLB")</f>
        <v>LOLB</v>
      </c>
      <c r="G1249">
        <f>IFERROR(__xludf.DUMMYFUNCTION("""COMPUTED_VALUE"""),9.9)</f>
        <v>9.9</v>
      </c>
    </row>
    <row r="1250">
      <c r="D1250" t="str">
        <f>IFERROR(__xludf.DUMMYFUNCTION("""COMPUTED_VALUE"""),"Leno Jr.")</f>
        <v>Leno Jr.</v>
      </c>
      <c r="E1250" t="str">
        <f>IFERROR(__xludf.DUMMYFUNCTION("""COMPUTED_VALUE"""),"Charles")</f>
        <v>Charles</v>
      </c>
      <c r="F1250" t="str">
        <f>IFERROR(__xludf.DUMMYFUNCTION("""COMPUTED_VALUE"""),"LT")</f>
        <v>LT</v>
      </c>
      <c r="G1250">
        <f>IFERROR(__xludf.DUMMYFUNCTION("""COMPUTED_VALUE"""),10.2)</f>
        <v>10.2</v>
      </c>
    </row>
    <row r="1251">
      <c r="D1251" t="str">
        <f>IFERROR(__xludf.DUMMYFUNCTION("""COMPUTED_VALUE"""),"Lenz")</f>
        <v>Lenz</v>
      </c>
      <c r="E1251" t="str">
        <f>IFERROR(__xludf.DUMMYFUNCTION("""COMPUTED_VALUE"""),"Josh")</f>
        <v>Josh</v>
      </c>
      <c r="F1251" t="str">
        <f>IFERROR(__xludf.DUMMYFUNCTION("""COMPUTED_VALUE"""),"WR")</f>
        <v>WR</v>
      </c>
      <c r="G1251">
        <f>IFERROR(__xludf.DUMMYFUNCTION("""COMPUTED_VALUE"""),8.7)</f>
        <v>8.7</v>
      </c>
    </row>
    <row r="1252">
      <c r="D1252" t="str">
        <f>IFERROR(__xludf.DUMMYFUNCTION("""COMPUTED_VALUE"""),"Leonhardt")</f>
        <v>Leonhardt</v>
      </c>
      <c r="E1252" t="str">
        <f>IFERROR(__xludf.DUMMYFUNCTION("""COMPUTED_VALUE"""),"Brian")</f>
        <v>Brian</v>
      </c>
      <c r="F1252" t="str">
        <f>IFERROR(__xludf.DUMMYFUNCTION("""COMPUTED_VALUE"""),"TE")</f>
        <v>TE</v>
      </c>
      <c r="G1252">
        <f>IFERROR(__xludf.DUMMYFUNCTION("""COMPUTED_VALUE"""),9.9)</f>
        <v>9.9</v>
      </c>
    </row>
    <row r="1253">
      <c r="D1253" t="str">
        <f>IFERROR(__xludf.DUMMYFUNCTION("""COMPUTED_VALUE"""),"LeRibeus")</f>
        <v>LeRibeus</v>
      </c>
      <c r="E1253" t="str">
        <f>IFERROR(__xludf.DUMMYFUNCTION("""COMPUTED_VALUE"""),"Josh")</f>
        <v>Josh</v>
      </c>
      <c r="F1253" t="str">
        <f>IFERROR(__xludf.DUMMYFUNCTION("""COMPUTED_VALUE"""),"C")</f>
        <v>C</v>
      </c>
      <c r="G1253">
        <f>IFERROR(__xludf.DUMMYFUNCTION("""COMPUTED_VALUE"""),10.049999999999999)</f>
        <v>10.05</v>
      </c>
    </row>
    <row r="1254">
      <c r="D1254" t="str">
        <f>IFERROR(__xludf.DUMMYFUNCTION("""COMPUTED_VALUE"""),"Levine Sr.")</f>
        <v>Levine Sr.</v>
      </c>
      <c r="E1254" t="str">
        <f>IFERROR(__xludf.DUMMYFUNCTION("""COMPUTED_VALUE"""),"Anthony")</f>
        <v>Anthony</v>
      </c>
      <c r="F1254" t="str">
        <f>IFERROR(__xludf.DUMMYFUNCTION("""COMPUTED_VALUE"""),"FS")</f>
        <v>FS</v>
      </c>
      <c r="G1254">
        <f>IFERROR(__xludf.DUMMYFUNCTION("""COMPUTED_VALUE"""),10.65)</f>
        <v>10.65</v>
      </c>
    </row>
    <row r="1255">
      <c r="D1255" t="str">
        <f>IFERROR(__xludf.DUMMYFUNCTION("""COMPUTED_VALUE"""),"Levitre")</f>
        <v>Levitre</v>
      </c>
      <c r="E1255" t="str">
        <f>IFERROR(__xludf.DUMMYFUNCTION("""COMPUTED_VALUE"""),"Andy")</f>
        <v>Andy</v>
      </c>
      <c r="F1255" t="str">
        <f>IFERROR(__xludf.DUMMYFUNCTION("""COMPUTED_VALUE"""),"LG")</f>
        <v>LG</v>
      </c>
      <c r="G1255">
        <f>IFERROR(__xludf.DUMMYFUNCTION("""COMPUTED_VALUE"""),12.0)</f>
        <v>12</v>
      </c>
    </row>
    <row r="1256">
      <c r="D1256" t="str">
        <f>IFERROR(__xludf.DUMMYFUNCTION("""COMPUTED_VALUE"""),"Levy")</f>
        <v>Levy</v>
      </c>
      <c r="E1256" t="str">
        <f>IFERROR(__xludf.DUMMYFUNCTION("""COMPUTED_VALUE"""),"DeAndre")</f>
        <v>DeAndre</v>
      </c>
      <c r="F1256" t="str">
        <f>IFERROR(__xludf.DUMMYFUNCTION("""COMPUTED_VALUE"""),"ROLB")</f>
        <v>ROLB</v>
      </c>
      <c r="G1256">
        <f>IFERROR(__xludf.DUMMYFUNCTION("""COMPUTED_VALUE"""),13.049999999999999)</f>
        <v>13.05</v>
      </c>
    </row>
    <row r="1257">
      <c r="D1257" t="str">
        <f>IFERROR(__xludf.DUMMYFUNCTION("""COMPUTED_VALUE"""),"Lewan")</f>
        <v>Lewan</v>
      </c>
      <c r="E1257" t="str">
        <f>IFERROR(__xludf.DUMMYFUNCTION("""COMPUTED_VALUE"""),"Taylor")</f>
        <v>Taylor</v>
      </c>
      <c r="F1257" t="str">
        <f>IFERROR(__xludf.DUMMYFUNCTION("""COMPUTED_VALUE"""),"LT")</f>
        <v>LT</v>
      </c>
      <c r="G1257">
        <f>IFERROR(__xludf.DUMMYFUNCTION("""COMPUTED_VALUE"""),12.45)</f>
        <v>12.45</v>
      </c>
    </row>
    <row r="1258">
      <c r="D1258" t="str">
        <f>IFERROR(__xludf.DUMMYFUNCTION("""COMPUTED_VALUE"""),"Lewis")</f>
        <v>Lewis</v>
      </c>
      <c r="E1258" t="str">
        <f>IFERROR(__xludf.DUMMYFUNCTION("""COMPUTED_VALUE"""),"Alex")</f>
        <v>Alex</v>
      </c>
      <c r="F1258" t="str">
        <f>IFERROR(__xludf.DUMMYFUNCTION("""COMPUTED_VALUE"""),"RT")</f>
        <v>RT</v>
      </c>
      <c r="G1258">
        <f>IFERROR(__xludf.DUMMYFUNCTION("""COMPUTED_VALUE"""),10.35)</f>
        <v>10.35</v>
      </c>
    </row>
    <row r="1259">
      <c r="D1259" t="str">
        <f>IFERROR(__xludf.DUMMYFUNCTION("""COMPUTED_VALUE"""),"Lewis")</f>
        <v>Lewis</v>
      </c>
      <c r="E1259" t="str">
        <f>IFERROR(__xludf.DUMMYFUNCTION("""COMPUTED_VALUE"""),"Dion")</f>
        <v>Dion</v>
      </c>
      <c r="F1259" t="str">
        <f>IFERROR(__xludf.DUMMYFUNCTION("""COMPUTED_VALUE"""),"HB")</f>
        <v>HB</v>
      </c>
      <c r="G1259">
        <f>IFERROR(__xludf.DUMMYFUNCTION("""COMPUTED_VALUE"""),12.0)</f>
        <v>12</v>
      </c>
    </row>
    <row r="1260">
      <c r="D1260" t="str">
        <f>IFERROR(__xludf.DUMMYFUNCTION("""COMPUTED_VALUE"""),"Lewis")</f>
        <v>Lewis</v>
      </c>
      <c r="E1260" t="str">
        <f>IFERROR(__xludf.DUMMYFUNCTION("""COMPUTED_VALUE"""),"Keenan")</f>
        <v>Keenan</v>
      </c>
      <c r="F1260" t="str">
        <f>IFERROR(__xludf.DUMMYFUNCTION("""COMPUTED_VALUE"""),"CB")</f>
        <v>CB</v>
      </c>
      <c r="G1260">
        <f>IFERROR(__xludf.DUMMYFUNCTION("""COMPUTED_VALUE"""),11.25)</f>
        <v>11.25</v>
      </c>
    </row>
    <row r="1261">
      <c r="D1261" t="str">
        <f>IFERROR(__xludf.DUMMYFUNCTION("""COMPUTED_VALUE"""),"Lewis")</f>
        <v>Lewis</v>
      </c>
      <c r="E1261" t="str">
        <f>IFERROR(__xludf.DUMMYFUNCTION("""COMPUTED_VALUE"""),"Kendrick")</f>
        <v>Kendrick</v>
      </c>
      <c r="F1261" t="str">
        <f>IFERROR(__xludf.DUMMYFUNCTION("""COMPUTED_VALUE"""),"FS")</f>
        <v>FS</v>
      </c>
      <c r="G1261">
        <f>IFERROR(__xludf.DUMMYFUNCTION("""COMPUTED_VALUE"""),11.85)</f>
        <v>11.85</v>
      </c>
    </row>
    <row r="1262">
      <c r="D1262" t="str">
        <f>IFERROR(__xludf.DUMMYFUNCTION("""COMPUTED_VALUE"""),"Lewis")</f>
        <v>Lewis</v>
      </c>
      <c r="E1262" t="str">
        <f>IFERROR(__xludf.DUMMYFUNCTION("""COMPUTED_VALUE"""),"Marcedes")</f>
        <v>Marcedes</v>
      </c>
      <c r="F1262" t="str">
        <f>IFERROR(__xludf.DUMMYFUNCTION("""COMPUTED_VALUE"""),"TE")</f>
        <v>TE</v>
      </c>
      <c r="G1262">
        <f>IFERROR(__xludf.DUMMYFUNCTION("""COMPUTED_VALUE"""),11.4)</f>
        <v>11.4</v>
      </c>
    </row>
    <row r="1263">
      <c r="D1263" t="str">
        <f>IFERROR(__xludf.DUMMYFUNCTION("""COMPUTED_VALUE"""),"Lewis")</f>
        <v>Lewis</v>
      </c>
      <c r="E1263" t="str">
        <f>IFERROR(__xludf.DUMMYFUNCTION("""COMPUTED_VALUE"""),"Patrick")</f>
        <v>Patrick</v>
      </c>
      <c r="F1263" t="str">
        <f>IFERROR(__xludf.DUMMYFUNCTION("""COMPUTED_VALUE"""),"C")</f>
        <v>C</v>
      </c>
      <c r="G1263">
        <f>IFERROR(__xludf.DUMMYFUNCTION("""COMPUTED_VALUE"""),10.5)</f>
        <v>10.5</v>
      </c>
    </row>
    <row r="1264">
      <c r="D1264" t="str">
        <f>IFERROR(__xludf.DUMMYFUNCTION("""COMPUTED_VALUE"""),"Lewis")</f>
        <v>Lewis</v>
      </c>
      <c r="E1264" t="str">
        <f>IFERROR(__xludf.DUMMYFUNCTION("""COMPUTED_VALUE"""),"Roger")</f>
        <v>Roger</v>
      </c>
      <c r="F1264" t="str">
        <f>IFERROR(__xludf.DUMMYFUNCTION("""COMPUTED_VALUE"""),"WR")</f>
        <v>WR</v>
      </c>
      <c r="G1264">
        <f>IFERROR(__xludf.DUMMYFUNCTION("""COMPUTED_VALUE"""),9.299999999999999)</f>
        <v>9.3</v>
      </c>
    </row>
    <row r="1265">
      <c r="D1265" t="str">
        <f>IFERROR(__xludf.DUMMYFUNCTION("""COMPUTED_VALUE"""),"Lewis")</f>
        <v>Lewis</v>
      </c>
      <c r="E1265" t="str">
        <f>IFERROR(__xludf.DUMMYFUNCTION("""COMPUTED_VALUE"""),"Thad")</f>
        <v>Thad</v>
      </c>
      <c r="F1265" t="str">
        <f>IFERROR(__xludf.DUMMYFUNCTION("""COMPUTED_VALUE"""),"QB")</f>
        <v>QB</v>
      </c>
      <c r="G1265">
        <f>IFERROR(__xludf.DUMMYFUNCTION("""COMPUTED_VALUE"""),9.75)</f>
        <v>9.75</v>
      </c>
    </row>
    <row r="1266">
      <c r="D1266" t="str">
        <f>IFERROR(__xludf.DUMMYFUNCTION("""COMPUTED_VALUE"""),"Lewis-Harris")</f>
        <v>Lewis-Harris</v>
      </c>
      <c r="E1266" t="str">
        <f>IFERROR(__xludf.DUMMYFUNCTION("""COMPUTED_VALUE"""),"Chris")</f>
        <v>Chris</v>
      </c>
      <c r="F1266" t="str">
        <f>IFERROR(__xludf.DUMMYFUNCTION("""COMPUTED_VALUE"""),"CB")</f>
        <v>CB</v>
      </c>
      <c r="G1266">
        <f>IFERROR(__xludf.DUMMYFUNCTION("""COMPUTED_VALUE"""),10.049999999999999)</f>
        <v>10.05</v>
      </c>
    </row>
    <row r="1267">
      <c r="D1267" t="str">
        <f>IFERROR(__xludf.DUMMYFUNCTION("""COMPUTED_VALUE"""),"Lewis-Moore")</f>
        <v>Lewis-Moore</v>
      </c>
      <c r="E1267" t="str">
        <f>IFERROR(__xludf.DUMMYFUNCTION("""COMPUTED_VALUE"""),"Kapron")</f>
        <v>Kapron</v>
      </c>
      <c r="F1267" t="str">
        <f>IFERROR(__xludf.DUMMYFUNCTION("""COMPUTED_VALUE"""),"LE")</f>
        <v>LE</v>
      </c>
      <c r="G1267">
        <f>IFERROR(__xludf.DUMMYFUNCTION("""COMPUTED_VALUE"""),9.0)</f>
        <v>9</v>
      </c>
    </row>
    <row r="1268">
      <c r="D1268" t="str">
        <f>IFERROR(__xludf.DUMMYFUNCTION("""COMPUTED_VALUE"""),"Licata")</f>
        <v>Licata</v>
      </c>
      <c r="E1268" t="str">
        <f>IFERROR(__xludf.DUMMYFUNCTION("""COMPUTED_VALUE"""),"Joe")</f>
        <v>Joe</v>
      </c>
      <c r="F1268" t="str">
        <f>IFERROR(__xludf.DUMMYFUNCTION("""COMPUTED_VALUE"""),"QB")</f>
        <v>QB</v>
      </c>
      <c r="G1268">
        <f>IFERROR(__xludf.DUMMYFUNCTION("""COMPUTED_VALUE"""),9.15)</f>
        <v>9.15</v>
      </c>
    </row>
    <row r="1269">
      <c r="D1269" t="str">
        <f>IFERROR(__xludf.DUMMYFUNCTION("""COMPUTED_VALUE"""),"Lichtensteiger")</f>
        <v>Lichtensteiger</v>
      </c>
      <c r="E1269" t="str">
        <f>IFERROR(__xludf.DUMMYFUNCTION("""COMPUTED_VALUE"""),"Kory")</f>
        <v>Kory</v>
      </c>
      <c r="F1269" t="str">
        <f>IFERROR(__xludf.DUMMYFUNCTION("""COMPUTED_VALUE"""),"C")</f>
        <v>C</v>
      </c>
      <c r="G1269">
        <f>IFERROR(__xludf.DUMMYFUNCTION("""COMPUTED_VALUE"""),10.65)</f>
        <v>10.65</v>
      </c>
    </row>
    <row r="1270">
      <c r="D1270" t="str">
        <f>IFERROR(__xludf.DUMMYFUNCTION("""COMPUTED_VALUE"""),"Linder")</f>
        <v>Linder</v>
      </c>
      <c r="E1270" t="str">
        <f>IFERROR(__xludf.DUMMYFUNCTION("""COMPUTED_VALUE"""),"Brandon")</f>
        <v>Brandon</v>
      </c>
      <c r="F1270" t="str">
        <f>IFERROR(__xludf.DUMMYFUNCTION("""COMPUTED_VALUE"""),"RG")</f>
        <v>RG</v>
      </c>
      <c r="G1270">
        <f>IFERROR(__xludf.DUMMYFUNCTION("""COMPUTED_VALUE"""),11.549999999999999)</f>
        <v>11.55</v>
      </c>
    </row>
    <row r="1271">
      <c r="D1271" t="str">
        <f>IFERROR(__xludf.DUMMYFUNCTION("""COMPUTED_VALUE"""),"Line")</f>
        <v>Line</v>
      </c>
      <c r="E1271" t="str">
        <f>IFERROR(__xludf.DUMMYFUNCTION("""COMPUTED_VALUE"""),"Zach")</f>
        <v>Zach</v>
      </c>
      <c r="F1271" t="str">
        <f>IFERROR(__xludf.DUMMYFUNCTION("""COMPUTED_VALUE"""),"FB")</f>
        <v>FB</v>
      </c>
      <c r="G1271">
        <f>IFERROR(__xludf.DUMMYFUNCTION("""COMPUTED_VALUE"""),10.799999999999999)</f>
        <v>10.8</v>
      </c>
    </row>
    <row r="1272">
      <c r="D1272" t="str">
        <f>IFERROR(__xludf.DUMMYFUNCTION("""COMPUTED_VALUE"""),"Linkenbach")</f>
        <v>Linkenbach</v>
      </c>
      <c r="E1272" t="str">
        <f>IFERROR(__xludf.DUMMYFUNCTION("""COMPUTED_VALUE"""),"Jeff")</f>
        <v>Jeff</v>
      </c>
      <c r="F1272" t="str">
        <f>IFERROR(__xludf.DUMMYFUNCTION("""COMPUTED_VALUE"""),"LG")</f>
        <v>LG</v>
      </c>
      <c r="G1272">
        <f>IFERROR(__xludf.DUMMYFUNCTION("""COMPUTED_VALUE"""),10.799999999999999)</f>
        <v>10.8</v>
      </c>
    </row>
    <row r="1273">
      <c r="D1273" t="str">
        <f>IFERROR(__xludf.DUMMYFUNCTION("""COMPUTED_VALUE"""),"Linsley")</f>
        <v>Linsley</v>
      </c>
      <c r="E1273" t="str">
        <f>IFERROR(__xludf.DUMMYFUNCTION("""COMPUTED_VALUE"""),"Corey")</f>
        <v>Corey</v>
      </c>
      <c r="F1273" t="str">
        <f>IFERROR(__xludf.DUMMYFUNCTION("""COMPUTED_VALUE"""),"C")</f>
        <v>C</v>
      </c>
      <c r="G1273">
        <f>IFERROR(__xludf.DUMMYFUNCTION("""COMPUTED_VALUE"""),12.0)</f>
        <v>12</v>
      </c>
    </row>
    <row r="1274">
      <c r="D1274" t="str">
        <f>IFERROR(__xludf.DUMMYFUNCTION("""COMPUTED_VALUE"""),"Lippett")</f>
        <v>Lippett</v>
      </c>
      <c r="E1274" t="str">
        <f>IFERROR(__xludf.DUMMYFUNCTION("""COMPUTED_VALUE"""),"Tony")</f>
        <v>Tony</v>
      </c>
      <c r="F1274" t="str">
        <f>IFERROR(__xludf.DUMMYFUNCTION("""COMPUTED_VALUE"""),"CB")</f>
        <v>CB</v>
      </c>
      <c r="G1274">
        <f>IFERROR(__xludf.DUMMYFUNCTION("""COMPUTED_VALUE"""),9.75)</f>
        <v>9.75</v>
      </c>
    </row>
    <row r="1275">
      <c r="D1275" t="str">
        <f>IFERROR(__xludf.DUMMYFUNCTION("""COMPUTED_VALUE"""),"Lissemore")</f>
        <v>Lissemore</v>
      </c>
      <c r="E1275" t="str">
        <f>IFERROR(__xludf.DUMMYFUNCTION("""COMPUTED_VALUE"""),"Sean")</f>
        <v>Sean</v>
      </c>
      <c r="F1275" t="str">
        <f>IFERROR(__xludf.DUMMYFUNCTION("""COMPUTED_VALUE"""),"DT")</f>
        <v>DT</v>
      </c>
      <c r="G1275">
        <f>IFERROR(__xludf.DUMMYFUNCTION("""COMPUTED_VALUE"""),10.799999999999999)</f>
        <v>10.8</v>
      </c>
    </row>
    <row r="1276">
      <c r="D1276" t="str">
        <f>IFERROR(__xludf.DUMMYFUNCTION("""COMPUTED_VALUE"""),"Listenbee")</f>
        <v>Listenbee</v>
      </c>
      <c r="E1276" t="str">
        <f>IFERROR(__xludf.DUMMYFUNCTION("""COMPUTED_VALUE"""),"Kolby")</f>
        <v>Kolby</v>
      </c>
      <c r="F1276" t="str">
        <f>IFERROR(__xludf.DUMMYFUNCTION("""COMPUTED_VALUE"""),"WR")</f>
        <v>WR</v>
      </c>
      <c r="G1276">
        <f>IFERROR(__xludf.DUMMYFUNCTION("""COMPUTED_VALUE"""),9.9)</f>
        <v>9.9</v>
      </c>
    </row>
    <row r="1277">
      <c r="D1277" t="str">
        <f>IFERROR(__xludf.DUMMYFUNCTION("""COMPUTED_VALUE"""),"Little")</f>
        <v>Little</v>
      </c>
      <c r="E1277" t="str">
        <f>IFERROR(__xludf.DUMMYFUNCTION("""COMPUTED_VALUE"""),"Greg")</f>
        <v>Greg</v>
      </c>
      <c r="F1277" t="str">
        <f>IFERROR(__xludf.DUMMYFUNCTION("""COMPUTED_VALUE"""),"WR")</f>
        <v>WR</v>
      </c>
      <c r="G1277">
        <f>IFERROR(__xludf.DUMMYFUNCTION("""COMPUTED_VALUE"""),10.2)</f>
        <v>10.2</v>
      </c>
    </row>
    <row r="1278">
      <c r="D1278" t="str">
        <f>IFERROR(__xludf.DUMMYFUNCTION("""COMPUTED_VALUE"""),"Liuget")</f>
        <v>Liuget</v>
      </c>
      <c r="E1278" t="str">
        <f>IFERROR(__xludf.DUMMYFUNCTION("""COMPUTED_VALUE"""),"Corey")</f>
        <v>Corey</v>
      </c>
      <c r="F1278" t="str">
        <f>IFERROR(__xludf.DUMMYFUNCTION("""COMPUTED_VALUE"""),"RE")</f>
        <v>RE</v>
      </c>
      <c r="G1278">
        <f>IFERROR(__xludf.DUMMYFUNCTION("""COMPUTED_VALUE"""),12.0)</f>
        <v>12</v>
      </c>
    </row>
    <row r="1279">
      <c r="D1279" t="str">
        <f>IFERROR(__xludf.DUMMYFUNCTION("""COMPUTED_VALUE"""),"Locke")</f>
        <v>Locke</v>
      </c>
      <c r="E1279" t="str">
        <f>IFERROR(__xludf.DUMMYFUNCTION("""COMPUTED_VALUE"""),"Jeff")</f>
        <v>Jeff</v>
      </c>
      <c r="F1279" t="str">
        <f>IFERROR(__xludf.DUMMYFUNCTION("""COMPUTED_VALUE"""),"P")</f>
        <v>P</v>
      </c>
      <c r="G1279">
        <f>IFERROR(__xludf.DUMMYFUNCTION("""COMPUTED_VALUE"""),11.1)</f>
        <v>11.1</v>
      </c>
    </row>
    <row r="1280">
      <c r="D1280" t="str">
        <f>IFERROR(__xludf.DUMMYFUNCTION("""COMPUTED_VALUE"""),"Lockett")</f>
        <v>Lockett</v>
      </c>
      <c r="E1280" t="str">
        <f>IFERROR(__xludf.DUMMYFUNCTION("""COMPUTED_VALUE"""),"Tyler")</f>
        <v>Tyler</v>
      </c>
      <c r="F1280" t="str">
        <f>IFERROR(__xludf.DUMMYFUNCTION("""COMPUTED_VALUE"""),"WR")</f>
        <v>WR</v>
      </c>
      <c r="G1280">
        <f>IFERROR(__xludf.DUMMYFUNCTION("""COMPUTED_VALUE"""),12.0)</f>
        <v>12</v>
      </c>
    </row>
    <row r="1281">
      <c r="D1281" t="str">
        <f>IFERROR(__xludf.DUMMYFUNCTION("""COMPUTED_VALUE"""),"Logan")</f>
        <v>Logan</v>
      </c>
      <c r="E1281" t="str">
        <f>IFERROR(__xludf.DUMMYFUNCTION("""COMPUTED_VALUE"""),"Bennie")</f>
        <v>Bennie</v>
      </c>
      <c r="F1281" t="str">
        <f>IFERROR(__xludf.DUMMYFUNCTION("""COMPUTED_VALUE"""),"DT")</f>
        <v>DT</v>
      </c>
      <c r="G1281">
        <f>IFERROR(__xludf.DUMMYFUNCTION("""COMPUTED_VALUE"""),11.7)</f>
        <v>11.7</v>
      </c>
    </row>
    <row r="1282">
      <c r="D1282" t="str">
        <f>IFERROR(__xludf.DUMMYFUNCTION("""COMPUTED_VALUE"""),"Lomax")</f>
        <v>Lomax</v>
      </c>
      <c r="E1282" t="str">
        <f>IFERROR(__xludf.DUMMYFUNCTION("""COMPUTED_VALUE"""),"Jordan")</f>
        <v>Jordan</v>
      </c>
      <c r="F1282" t="str">
        <f>IFERROR(__xludf.DUMMYFUNCTION("""COMPUTED_VALUE"""),"FS")</f>
        <v>FS</v>
      </c>
      <c r="G1282">
        <f>IFERROR(__xludf.DUMMYFUNCTION("""COMPUTED_VALUE"""),9.0)</f>
        <v>9</v>
      </c>
    </row>
    <row r="1283">
      <c r="D1283" t="str">
        <f>IFERROR(__xludf.DUMMYFUNCTION("""COMPUTED_VALUE"""),"Long")</f>
        <v>Long</v>
      </c>
      <c r="E1283" t="str">
        <f>IFERROR(__xludf.DUMMYFUNCTION("""COMPUTED_VALUE"""),"Chris")</f>
        <v>Chris</v>
      </c>
      <c r="F1283" t="str">
        <f>IFERROR(__xludf.DUMMYFUNCTION("""COMPUTED_VALUE"""),"LE")</f>
        <v>LE</v>
      </c>
      <c r="G1283">
        <f>IFERROR(__xludf.DUMMYFUNCTION("""COMPUTED_VALUE"""),11.549999999999999)</f>
        <v>11.55</v>
      </c>
    </row>
    <row r="1284">
      <c r="D1284" t="str">
        <f>IFERROR(__xludf.DUMMYFUNCTION("""COMPUTED_VALUE"""),"Long")</f>
        <v>Long</v>
      </c>
      <c r="E1284" t="str">
        <f>IFERROR(__xludf.DUMMYFUNCTION("""COMPUTED_VALUE"""),"Deon")</f>
        <v>Deon</v>
      </c>
      <c r="F1284" t="str">
        <f>IFERROR(__xludf.DUMMYFUNCTION("""COMPUTED_VALUE"""),"WR")</f>
        <v>WR</v>
      </c>
      <c r="G1284">
        <f>IFERROR(__xludf.DUMMYFUNCTION("""COMPUTED_VALUE"""),9.6)</f>
        <v>9.6</v>
      </c>
    </row>
    <row r="1285">
      <c r="D1285" t="str">
        <f>IFERROR(__xludf.DUMMYFUNCTION("""COMPUTED_VALUE"""),"Long")</f>
        <v>Long</v>
      </c>
      <c r="E1285" t="str">
        <f>IFERROR(__xludf.DUMMYFUNCTION("""COMPUTED_VALUE"""),"Kyle")</f>
        <v>Kyle</v>
      </c>
      <c r="F1285" t="str">
        <f>IFERROR(__xludf.DUMMYFUNCTION("""COMPUTED_VALUE"""),"RG")</f>
        <v>RG</v>
      </c>
      <c r="G1285">
        <f>IFERROR(__xludf.DUMMYFUNCTION("""COMPUTED_VALUE"""),11.85)</f>
        <v>11.85</v>
      </c>
    </row>
    <row r="1286">
      <c r="D1286" t="str">
        <f>IFERROR(__xludf.DUMMYFUNCTION("""COMPUTED_VALUE"""),"Long")</f>
        <v>Long</v>
      </c>
      <c r="E1286" t="str">
        <f>IFERROR(__xludf.DUMMYFUNCTION("""COMPUTED_VALUE"""),"Spencer")</f>
        <v>Spencer</v>
      </c>
      <c r="F1286" t="str">
        <f>IFERROR(__xludf.DUMMYFUNCTION("""COMPUTED_VALUE"""),"LG")</f>
        <v>LG</v>
      </c>
      <c r="G1286">
        <f>IFERROR(__xludf.DUMMYFUNCTION("""COMPUTED_VALUE"""),10.799999999999999)</f>
        <v>10.8</v>
      </c>
    </row>
    <row r="1287">
      <c r="D1287" t="str">
        <f>IFERROR(__xludf.DUMMYFUNCTION("""COMPUTED_VALUE"""),"Longa")</f>
        <v>Longa</v>
      </c>
      <c r="E1287" t="str">
        <f>IFERROR(__xludf.DUMMYFUNCTION("""COMPUTED_VALUE"""),"Steve")</f>
        <v>Steve</v>
      </c>
      <c r="F1287" t="str">
        <f>IFERROR(__xludf.DUMMYFUNCTION("""COMPUTED_VALUE"""),"MLB")</f>
        <v>MLB</v>
      </c>
      <c r="G1287">
        <f>IFERROR(__xludf.DUMMYFUNCTION("""COMPUTED_VALUE"""),8.7)</f>
        <v>8.7</v>
      </c>
    </row>
    <row r="1288">
      <c r="D1288" t="str">
        <f>IFERROR(__xludf.DUMMYFUNCTION("""COMPUTED_VALUE"""),"Longacre")</f>
        <v>Longacre</v>
      </c>
      <c r="E1288" t="str">
        <f>IFERROR(__xludf.DUMMYFUNCTION("""COMPUTED_VALUE"""),"Matt")</f>
        <v>Matt</v>
      </c>
      <c r="F1288" t="str">
        <f>IFERROR(__xludf.DUMMYFUNCTION("""COMPUTED_VALUE"""),"RE")</f>
        <v>RE</v>
      </c>
      <c r="G1288">
        <f>IFERROR(__xludf.DUMMYFUNCTION("""COMPUTED_VALUE"""),9.45)</f>
        <v>9.45</v>
      </c>
    </row>
    <row r="1289">
      <c r="D1289" t="str">
        <f>IFERROR(__xludf.DUMMYFUNCTION("""COMPUTED_VALUE"""),"Looney")</f>
        <v>Looney</v>
      </c>
      <c r="E1289" t="str">
        <f>IFERROR(__xludf.DUMMYFUNCTION("""COMPUTED_VALUE"""),"Joe")</f>
        <v>Joe</v>
      </c>
      <c r="F1289" t="str">
        <f>IFERROR(__xludf.DUMMYFUNCTION("""COMPUTED_VALUE"""),"C")</f>
        <v>C</v>
      </c>
      <c r="G1289">
        <f>IFERROR(__xludf.DUMMYFUNCTION("""COMPUTED_VALUE"""),9.6)</f>
        <v>9.6</v>
      </c>
    </row>
    <row r="1290">
      <c r="D1290" t="str">
        <f>IFERROR(__xludf.DUMMYFUNCTION("""COMPUTED_VALUE"""),"Lotulelei")</f>
        <v>Lotulelei</v>
      </c>
      <c r="E1290" t="str">
        <f>IFERROR(__xludf.DUMMYFUNCTION("""COMPUTED_VALUE"""),"John")</f>
        <v>John</v>
      </c>
      <c r="F1290" t="str">
        <f>IFERROR(__xludf.DUMMYFUNCTION("""COMPUTED_VALUE"""),"ROLB")</f>
        <v>ROLB</v>
      </c>
      <c r="G1290">
        <f>IFERROR(__xludf.DUMMYFUNCTION("""COMPUTED_VALUE"""),9.75)</f>
        <v>9.75</v>
      </c>
    </row>
    <row r="1291">
      <c r="D1291" t="str">
        <f>IFERROR(__xludf.DUMMYFUNCTION("""COMPUTED_VALUE"""),"Lotulelei")</f>
        <v>Lotulelei</v>
      </c>
      <c r="E1291" t="str">
        <f>IFERROR(__xludf.DUMMYFUNCTION("""COMPUTED_VALUE"""),"Star")</f>
        <v>Star</v>
      </c>
      <c r="F1291" t="str">
        <f>IFERROR(__xludf.DUMMYFUNCTION("""COMPUTED_VALUE"""),"DT")</f>
        <v>DT</v>
      </c>
      <c r="G1291">
        <f>IFERROR(__xludf.DUMMYFUNCTION("""COMPUTED_VALUE"""),11.85)</f>
        <v>11.85</v>
      </c>
    </row>
    <row r="1292">
      <c r="D1292" t="str">
        <f>IFERROR(__xludf.DUMMYFUNCTION("""COMPUTED_VALUE"""),"Louis")</f>
        <v>Louis</v>
      </c>
      <c r="E1292" t="str">
        <f>IFERROR(__xludf.DUMMYFUNCTION("""COMPUTED_VALUE"""),"Lamar")</f>
        <v>Lamar</v>
      </c>
      <c r="F1292" t="str">
        <f>IFERROR(__xludf.DUMMYFUNCTION("""COMPUTED_VALUE"""),"MLB")</f>
        <v>MLB</v>
      </c>
      <c r="G1292">
        <f>IFERROR(__xludf.DUMMYFUNCTION("""COMPUTED_VALUE"""),7.5)</f>
        <v>7.5</v>
      </c>
    </row>
    <row r="1293">
      <c r="D1293" t="str">
        <f>IFERROR(__xludf.DUMMYFUNCTION("""COMPUTED_VALUE"""),"Louis")</f>
        <v>Louis</v>
      </c>
      <c r="E1293" t="str">
        <f>IFERROR(__xludf.DUMMYFUNCTION("""COMPUTED_VALUE"""),"Ricardo")</f>
        <v>Ricardo</v>
      </c>
      <c r="F1293" t="str">
        <f>IFERROR(__xludf.DUMMYFUNCTION("""COMPUTED_VALUE"""),"WR")</f>
        <v>WR</v>
      </c>
      <c r="G1293">
        <f>IFERROR(__xludf.DUMMYFUNCTION("""COMPUTED_VALUE"""),9.6)</f>
        <v>9.6</v>
      </c>
    </row>
    <row r="1294">
      <c r="D1294" t="str">
        <f>IFERROR(__xludf.DUMMYFUNCTION("""COMPUTED_VALUE"""),"Lovato")</f>
        <v>Lovato</v>
      </c>
      <c r="E1294" t="str">
        <f>IFERROR(__xludf.DUMMYFUNCTION("""COMPUTED_VALUE"""),"Rick")</f>
        <v>Rick</v>
      </c>
      <c r="F1294" t="str">
        <f>IFERROR(__xludf.DUMMYFUNCTION("""COMPUTED_VALUE"""),"TE")</f>
        <v>TE</v>
      </c>
      <c r="G1294">
        <f>IFERROR(__xludf.DUMMYFUNCTION("""COMPUTED_VALUE"""),6.3)</f>
        <v>6.3</v>
      </c>
    </row>
    <row r="1295">
      <c r="D1295" t="str">
        <f>IFERROR(__xludf.DUMMYFUNCTION("""COMPUTED_VALUE"""),"Love")</f>
        <v>Love</v>
      </c>
      <c r="E1295" t="str">
        <f>IFERROR(__xludf.DUMMYFUNCTION("""COMPUTED_VALUE"""),"Kyle")</f>
        <v>Kyle</v>
      </c>
      <c r="F1295" t="str">
        <f>IFERROR(__xludf.DUMMYFUNCTION("""COMPUTED_VALUE"""),"DT")</f>
        <v>DT</v>
      </c>
      <c r="G1295">
        <f>IFERROR(__xludf.DUMMYFUNCTION("""COMPUTED_VALUE"""),10.799999999999999)</f>
        <v>10.8</v>
      </c>
    </row>
    <row r="1296">
      <c r="D1296" t="str">
        <f>IFERROR(__xludf.DUMMYFUNCTION("""COMPUTED_VALUE"""),"Lowery")</f>
        <v>Lowery</v>
      </c>
      <c r="E1296" t="str">
        <f>IFERROR(__xludf.DUMMYFUNCTION("""COMPUTED_VALUE"""),"Dwight")</f>
        <v>Dwight</v>
      </c>
      <c r="F1296" t="str">
        <f>IFERROR(__xludf.DUMMYFUNCTION("""COMPUTED_VALUE"""),"FS")</f>
        <v>FS</v>
      </c>
      <c r="G1296">
        <f>IFERROR(__xludf.DUMMYFUNCTION("""COMPUTED_VALUE"""),11.85)</f>
        <v>11.85</v>
      </c>
    </row>
    <row r="1297">
      <c r="D1297" t="str">
        <f>IFERROR(__xludf.DUMMYFUNCTION("""COMPUTED_VALUE"""),"Lowry")</f>
        <v>Lowry</v>
      </c>
      <c r="E1297" t="str">
        <f>IFERROR(__xludf.DUMMYFUNCTION("""COMPUTED_VALUE"""),"Dean")</f>
        <v>Dean</v>
      </c>
      <c r="F1297" t="str">
        <f>IFERROR(__xludf.DUMMYFUNCTION("""COMPUTED_VALUE"""),"LE")</f>
        <v>LE</v>
      </c>
      <c r="G1297">
        <f>IFERROR(__xludf.DUMMYFUNCTION("""COMPUTED_VALUE"""),9.75)</f>
        <v>9.75</v>
      </c>
    </row>
    <row r="1298">
      <c r="D1298" t="str">
        <f>IFERROR(__xludf.DUMMYFUNCTION("""COMPUTED_VALUE"""),"Lucas")</f>
        <v>Lucas</v>
      </c>
      <c r="E1298" t="str">
        <f>IFERROR(__xludf.DUMMYFUNCTION("""COMPUTED_VALUE"""),"Cornelius")</f>
        <v>Cornelius</v>
      </c>
      <c r="F1298" t="str">
        <f>IFERROR(__xludf.DUMMYFUNCTION("""COMPUTED_VALUE"""),"RT")</f>
        <v>RT</v>
      </c>
      <c r="G1298">
        <f>IFERROR(__xludf.DUMMYFUNCTION("""COMPUTED_VALUE"""),10.5)</f>
        <v>10.5</v>
      </c>
    </row>
    <row r="1299">
      <c r="D1299" t="str">
        <f>IFERROR(__xludf.DUMMYFUNCTION("""COMPUTED_VALUE"""),"Lucas")</f>
        <v>Lucas</v>
      </c>
      <c r="E1299" t="str">
        <f>IFERROR(__xludf.DUMMYFUNCTION("""COMPUTED_VALUE"""),"Jordan")</f>
        <v>Jordan</v>
      </c>
      <c r="F1299" t="str">
        <f>IFERROR(__xludf.DUMMYFUNCTION("""COMPUTED_VALUE"""),"CB")</f>
        <v>CB</v>
      </c>
      <c r="G1299">
        <f>IFERROR(__xludf.DUMMYFUNCTION("""COMPUTED_VALUE"""),9.6)</f>
        <v>9.6</v>
      </c>
    </row>
    <row r="1300">
      <c r="D1300" t="str">
        <f>IFERROR(__xludf.DUMMYFUNCTION("""COMPUTED_VALUE"""),"Lucien")</f>
        <v>Lucien</v>
      </c>
      <c r="E1300" t="str">
        <f>IFERROR(__xludf.DUMMYFUNCTION("""COMPUTED_VALUE"""),"Devin")</f>
        <v>Devin</v>
      </c>
      <c r="F1300" t="str">
        <f>IFERROR(__xludf.DUMMYFUNCTION("""COMPUTED_VALUE"""),"WR")</f>
        <v>WR</v>
      </c>
      <c r="G1300">
        <f>IFERROR(__xludf.DUMMYFUNCTION("""COMPUTED_VALUE"""),9.45)</f>
        <v>9.45</v>
      </c>
    </row>
    <row r="1301">
      <c r="D1301" t="str">
        <f>IFERROR(__xludf.DUMMYFUNCTION("""COMPUTED_VALUE"""),"Luck")</f>
        <v>Luck</v>
      </c>
      <c r="E1301" t="str">
        <f>IFERROR(__xludf.DUMMYFUNCTION("""COMPUTED_VALUE"""),"Andrew")</f>
        <v>Andrew</v>
      </c>
      <c r="F1301" t="str">
        <f>IFERROR(__xludf.DUMMYFUNCTION("""COMPUTED_VALUE"""),"QB")</f>
        <v>QB</v>
      </c>
      <c r="G1301">
        <f>IFERROR(__xludf.DUMMYFUNCTION("""COMPUTED_VALUE"""),13.2)</f>
        <v>13.2</v>
      </c>
    </row>
    <row r="1302">
      <c r="D1302" t="str">
        <f>IFERROR(__xludf.DUMMYFUNCTION("""COMPUTED_VALUE"""),"Lumpkin")</f>
        <v>Lumpkin</v>
      </c>
      <c r="E1302" t="str">
        <f>IFERROR(__xludf.DUMMYFUNCTION("""COMPUTED_VALUE"""),"Ricky")</f>
        <v>Ricky</v>
      </c>
      <c r="F1302" t="str">
        <f>IFERROR(__xludf.DUMMYFUNCTION("""COMPUTED_VALUE"""),"DT")</f>
        <v>DT</v>
      </c>
      <c r="G1302">
        <f>IFERROR(__xludf.DUMMYFUNCTION("""COMPUTED_VALUE"""),9.9)</f>
        <v>9.9</v>
      </c>
    </row>
    <row r="1303">
      <c r="D1303" t="str">
        <f>IFERROR(__xludf.DUMMYFUNCTION("""COMPUTED_VALUE"""),"Lynch")</f>
        <v>Lynch</v>
      </c>
      <c r="E1303" t="str">
        <f>IFERROR(__xludf.DUMMYFUNCTION("""COMPUTED_VALUE"""),"Aaron")</f>
        <v>Aaron</v>
      </c>
      <c r="F1303" t="str">
        <f>IFERROR(__xludf.DUMMYFUNCTION("""COMPUTED_VALUE"""),"ROLB")</f>
        <v>ROLB</v>
      </c>
      <c r="G1303">
        <f>IFERROR(__xludf.DUMMYFUNCTION("""COMPUTED_VALUE"""),12.45)</f>
        <v>12.45</v>
      </c>
    </row>
    <row r="1304">
      <c r="D1304" t="str">
        <f>IFERROR(__xludf.DUMMYFUNCTION("""COMPUTED_VALUE"""),"Lynch")</f>
        <v>Lynch</v>
      </c>
      <c r="E1304" t="str">
        <f>IFERROR(__xludf.DUMMYFUNCTION("""COMPUTED_VALUE"""),"Arthur")</f>
        <v>Arthur</v>
      </c>
      <c r="F1304" t="str">
        <f>IFERROR(__xludf.DUMMYFUNCTION("""COMPUTED_VALUE"""),"TE")</f>
        <v>TE</v>
      </c>
      <c r="G1304">
        <f>IFERROR(__xludf.DUMMYFUNCTION("""COMPUTED_VALUE"""),10.049999999999999)</f>
        <v>10.05</v>
      </c>
    </row>
    <row r="1305">
      <c r="D1305" t="str">
        <f>IFERROR(__xludf.DUMMYFUNCTION("""COMPUTED_VALUE"""),"Lynch")</f>
        <v>Lynch</v>
      </c>
      <c r="E1305" t="str">
        <f>IFERROR(__xludf.DUMMYFUNCTION("""COMPUTED_VALUE"""),"Cameron")</f>
        <v>Cameron</v>
      </c>
      <c r="F1305" t="str">
        <f>IFERROR(__xludf.DUMMYFUNCTION("""COMPUTED_VALUE"""),"LOLB")</f>
        <v>LOLB</v>
      </c>
      <c r="G1305">
        <f>IFERROR(__xludf.DUMMYFUNCTION("""COMPUTED_VALUE"""),9.0)</f>
        <v>9</v>
      </c>
    </row>
    <row r="1306">
      <c r="D1306" t="str">
        <f>IFERROR(__xludf.DUMMYFUNCTION("""COMPUTED_VALUE"""),"Lynch")</f>
        <v>Lynch</v>
      </c>
      <c r="E1306" t="str">
        <f>IFERROR(__xludf.DUMMYFUNCTION("""COMPUTED_VALUE"""),"Paxton")</f>
        <v>Paxton</v>
      </c>
      <c r="F1306" t="str">
        <f>IFERROR(__xludf.DUMMYFUNCTION("""COMPUTED_VALUE"""),"QB")</f>
        <v>QB</v>
      </c>
      <c r="G1306">
        <f>IFERROR(__xludf.DUMMYFUNCTION("""COMPUTED_VALUE"""),11.1)</f>
        <v>11.1</v>
      </c>
    </row>
    <row r="1307">
      <c r="D1307" t="str">
        <f>IFERROR(__xludf.DUMMYFUNCTION("""COMPUTED_VALUE"""),"Lyons")</f>
        <v>Lyons</v>
      </c>
      <c r="E1307" t="str">
        <f>IFERROR(__xludf.DUMMYFUNCTION("""COMPUTED_VALUE"""),"Caushaud")</f>
        <v>Caushaud</v>
      </c>
      <c r="F1307" t="str">
        <f>IFERROR(__xludf.DUMMYFUNCTION("""COMPUTED_VALUE"""),"LE")</f>
        <v>LE</v>
      </c>
      <c r="G1307">
        <f>IFERROR(__xludf.DUMMYFUNCTION("""COMPUTED_VALUE"""),8.85)</f>
        <v>8.85</v>
      </c>
    </row>
    <row r="1308">
      <c r="D1308" t="str">
        <f>IFERROR(__xludf.DUMMYFUNCTION("""COMPUTED_VALUE"""),"Mack")</f>
        <v>Mack</v>
      </c>
      <c r="E1308" t="str">
        <f>IFERROR(__xludf.DUMMYFUNCTION("""COMPUTED_VALUE"""),"Alex")</f>
        <v>Alex</v>
      </c>
      <c r="F1308" t="str">
        <f>IFERROR(__xludf.DUMMYFUNCTION("""COMPUTED_VALUE"""),"C")</f>
        <v>C</v>
      </c>
      <c r="G1308">
        <f>IFERROR(__xludf.DUMMYFUNCTION("""COMPUTED_VALUE"""),12.6)</f>
        <v>12.6</v>
      </c>
    </row>
    <row r="1309">
      <c r="D1309" t="str">
        <f>IFERROR(__xludf.DUMMYFUNCTION("""COMPUTED_VALUE"""),"Mack")</f>
        <v>Mack</v>
      </c>
      <c r="E1309" t="str">
        <f>IFERROR(__xludf.DUMMYFUNCTION("""COMPUTED_VALUE"""),"Khalil")</f>
        <v>Khalil</v>
      </c>
      <c r="F1309" t="str">
        <f>IFERROR(__xludf.DUMMYFUNCTION("""COMPUTED_VALUE"""),"LOLB")</f>
        <v>LOLB</v>
      </c>
      <c r="G1309">
        <f>IFERROR(__xludf.DUMMYFUNCTION("""COMPUTED_VALUE"""),14.1)</f>
        <v>14.1</v>
      </c>
    </row>
    <row r="1310">
      <c r="D1310" t="str">
        <f>IFERROR(__xludf.DUMMYFUNCTION("""COMPUTED_VALUE"""),"Maclin")</f>
        <v>Maclin</v>
      </c>
      <c r="E1310" t="str">
        <f>IFERROR(__xludf.DUMMYFUNCTION("""COMPUTED_VALUE"""),"Jeremy")</f>
        <v>Jeremy</v>
      </c>
      <c r="F1310" t="str">
        <f>IFERROR(__xludf.DUMMYFUNCTION("""COMPUTED_VALUE"""),"WR")</f>
        <v>WR</v>
      </c>
      <c r="G1310">
        <f>IFERROR(__xludf.DUMMYFUNCTION("""COMPUTED_VALUE"""),12.9)</f>
        <v>12.9</v>
      </c>
    </row>
    <row r="1311">
      <c r="D1311" t="str">
        <f>IFERROR(__xludf.DUMMYFUNCTION("""COMPUTED_VALUE"""),"Madden")</f>
        <v>Madden</v>
      </c>
      <c r="E1311" t="str">
        <f>IFERROR(__xludf.DUMMYFUNCTION("""COMPUTED_VALUE"""),"Tre")</f>
        <v>Tre</v>
      </c>
      <c r="F1311" t="str">
        <f>IFERROR(__xludf.DUMMYFUNCTION("""COMPUTED_VALUE"""),"HB")</f>
        <v>HB</v>
      </c>
      <c r="G1311">
        <f>IFERROR(__xludf.DUMMYFUNCTION("""COMPUTED_VALUE"""),9.45)</f>
        <v>9.45</v>
      </c>
    </row>
    <row r="1312">
      <c r="D1312" t="str">
        <f>IFERROR(__xludf.DUMMYFUNCTION("""COMPUTED_VALUE"""),"Magee")</f>
        <v>Magee</v>
      </c>
      <c r="E1312" t="str">
        <f>IFERROR(__xludf.DUMMYFUNCTION("""COMPUTED_VALUE"""),"Terrence")</f>
        <v>Terrence</v>
      </c>
      <c r="F1312" t="str">
        <f>IFERROR(__xludf.DUMMYFUNCTION("""COMPUTED_VALUE"""),"HB")</f>
        <v>HB</v>
      </c>
      <c r="G1312">
        <f>IFERROR(__xludf.DUMMYFUNCTION("""COMPUTED_VALUE"""),10.35)</f>
        <v>10.35</v>
      </c>
    </row>
    <row r="1313">
      <c r="D1313" t="str">
        <f>IFERROR(__xludf.DUMMYFUNCTION("""COMPUTED_VALUE"""),"Mager")</f>
        <v>Mager</v>
      </c>
      <c r="E1313" t="str">
        <f>IFERROR(__xludf.DUMMYFUNCTION("""COMPUTED_VALUE"""),"Craig")</f>
        <v>Craig</v>
      </c>
      <c r="F1313" t="str">
        <f>IFERROR(__xludf.DUMMYFUNCTION("""COMPUTED_VALUE"""),"CB")</f>
        <v>CB</v>
      </c>
      <c r="G1313">
        <f>IFERROR(__xludf.DUMMYFUNCTION("""COMPUTED_VALUE"""),10.35)</f>
        <v>10.35</v>
      </c>
    </row>
    <row r="1314">
      <c r="D1314" t="str">
        <f>IFERROR(__xludf.DUMMYFUNCTION("""COMPUTED_VALUE"""),"Maggitt")</f>
        <v>Maggitt</v>
      </c>
      <c r="E1314" t="str">
        <f>IFERROR(__xludf.DUMMYFUNCTION("""COMPUTED_VALUE"""),"Curt")</f>
        <v>Curt</v>
      </c>
      <c r="F1314" t="str">
        <f>IFERROR(__xludf.DUMMYFUNCTION("""COMPUTED_VALUE"""),"MLB")</f>
        <v>MLB</v>
      </c>
      <c r="G1314">
        <f>IFERROR(__xludf.DUMMYFUNCTION("""COMPUTED_VALUE"""),8.549999999999999)</f>
        <v>8.55</v>
      </c>
    </row>
    <row r="1315">
      <c r="D1315" t="str">
        <f>IFERROR(__xludf.DUMMYFUNCTION("""COMPUTED_VALUE"""),"Maiava")</f>
        <v>Maiava</v>
      </c>
      <c r="E1315" t="str">
        <f>IFERROR(__xludf.DUMMYFUNCTION("""COMPUTED_VALUE"""),"Lene")</f>
        <v>Lene</v>
      </c>
      <c r="F1315" t="str">
        <f>IFERROR(__xludf.DUMMYFUNCTION("""COMPUTED_VALUE"""),"RT")</f>
        <v>RT</v>
      </c>
      <c r="G1315">
        <f>IFERROR(__xludf.DUMMYFUNCTION("""COMPUTED_VALUE"""),9.45)</f>
        <v>9.45</v>
      </c>
    </row>
    <row r="1316">
      <c r="D1316" t="str">
        <f>IFERROR(__xludf.DUMMYFUNCTION("""COMPUTED_VALUE"""),"Malleck")</f>
        <v>Malleck</v>
      </c>
      <c r="E1316" t="str">
        <f>IFERROR(__xludf.DUMMYFUNCTION("""COMPUTED_VALUE"""),"Ryan")</f>
        <v>Ryan</v>
      </c>
      <c r="F1316" t="str">
        <f>IFERROR(__xludf.DUMMYFUNCTION("""COMPUTED_VALUE"""),"TE")</f>
        <v>TE</v>
      </c>
      <c r="G1316">
        <f>IFERROR(__xludf.DUMMYFUNCTION("""COMPUTED_VALUE"""),9.45)</f>
        <v>9.45</v>
      </c>
    </row>
    <row r="1317">
      <c r="D1317" t="str">
        <f>IFERROR(__xludf.DUMMYFUNCTION("""COMPUTED_VALUE"""),"Mallett")</f>
        <v>Mallett</v>
      </c>
      <c r="E1317" t="str">
        <f>IFERROR(__xludf.DUMMYFUNCTION("""COMPUTED_VALUE"""),"Ryan")</f>
        <v>Ryan</v>
      </c>
      <c r="F1317" t="str">
        <f>IFERROR(__xludf.DUMMYFUNCTION("""COMPUTED_VALUE"""),"QB")</f>
        <v>QB</v>
      </c>
      <c r="G1317">
        <f>IFERROR(__xludf.DUMMYFUNCTION("""COMPUTED_VALUE"""),10.049999999999999)</f>
        <v>10.05</v>
      </c>
    </row>
    <row r="1318">
      <c r="D1318" t="str">
        <f>IFERROR(__xludf.DUMMYFUNCTION("""COMPUTED_VALUE"""),"Mancz")</f>
        <v>Mancz</v>
      </c>
      <c r="E1318" t="str">
        <f>IFERROR(__xludf.DUMMYFUNCTION("""COMPUTED_VALUE"""),"Greg")</f>
        <v>Greg</v>
      </c>
      <c r="F1318" t="str">
        <f>IFERROR(__xludf.DUMMYFUNCTION("""COMPUTED_VALUE"""),"C")</f>
        <v>C</v>
      </c>
      <c r="G1318">
        <f>IFERROR(__xludf.DUMMYFUNCTION("""COMPUTED_VALUE"""),9.45)</f>
        <v>9.45</v>
      </c>
    </row>
    <row r="1319">
      <c r="D1319" t="str">
        <f>IFERROR(__xludf.DUMMYFUNCTION("""COMPUTED_VALUE"""),"Mangold")</f>
        <v>Mangold</v>
      </c>
      <c r="E1319" t="str">
        <f>IFERROR(__xludf.DUMMYFUNCTION("""COMPUTED_VALUE"""),"Nick")</f>
        <v>Nick</v>
      </c>
      <c r="F1319" t="str">
        <f>IFERROR(__xludf.DUMMYFUNCTION("""COMPUTED_VALUE"""),"C")</f>
        <v>C</v>
      </c>
      <c r="G1319">
        <f>IFERROR(__xludf.DUMMYFUNCTION("""COMPUTED_VALUE"""),12.45)</f>
        <v>12.45</v>
      </c>
    </row>
    <row r="1320">
      <c r="D1320" t="str">
        <f>IFERROR(__xludf.DUMMYFUNCTION("""COMPUTED_VALUE"""),"Manning")</f>
        <v>Manning</v>
      </c>
      <c r="E1320" t="str">
        <f>IFERROR(__xludf.DUMMYFUNCTION("""COMPUTED_VALUE"""),"Eli")</f>
        <v>Eli</v>
      </c>
      <c r="F1320" t="str">
        <f>IFERROR(__xludf.DUMMYFUNCTION("""COMPUTED_VALUE"""),"QB")</f>
        <v>QB</v>
      </c>
      <c r="G1320">
        <f>IFERROR(__xludf.DUMMYFUNCTION("""COMPUTED_VALUE"""),12.15)</f>
        <v>12.15</v>
      </c>
    </row>
    <row r="1321">
      <c r="D1321" t="str">
        <f>IFERROR(__xludf.DUMMYFUNCTION("""COMPUTED_VALUE"""),"Mannion")</f>
        <v>Mannion</v>
      </c>
      <c r="E1321" t="str">
        <f>IFERROR(__xludf.DUMMYFUNCTION("""COMPUTED_VALUE"""),"Sean")</f>
        <v>Sean</v>
      </c>
      <c r="F1321" t="str">
        <f>IFERROR(__xludf.DUMMYFUNCTION("""COMPUTED_VALUE"""),"QB")</f>
        <v>QB</v>
      </c>
      <c r="G1321">
        <f>IFERROR(__xludf.DUMMYFUNCTION("""COMPUTED_VALUE"""),9.45)</f>
        <v>9.45</v>
      </c>
    </row>
    <row r="1322">
      <c r="D1322" t="str">
        <f>IFERROR(__xludf.DUMMYFUNCTION("""COMPUTED_VALUE"""),"Manuel")</f>
        <v>Manuel</v>
      </c>
      <c r="E1322" t="str">
        <f>IFERROR(__xludf.DUMMYFUNCTION("""COMPUTED_VALUE"""),"EJ")</f>
        <v>EJ</v>
      </c>
      <c r="F1322" t="str">
        <f>IFERROR(__xludf.DUMMYFUNCTION("""COMPUTED_VALUE"""),"QB")</f>
        <v>QB</v>
      </c>
      <c r="G1322">
        <f>IFERROR(__xludf.DUMMYFUNCTION("""COMPUTED_VALUE"""),10.65)</f>
        <v>10.65</v>
      </c>
    </row>
    <row r="1323">
      <c r="D1323" t="str">
        <f>IFERROR(__xludf.DUMMYFUNCTION("""COMPUTED_VALUE"""),"Maponga")</f>
        <v>Maponga</v>
      </c>
      <c r="E1323" t="str">
        <f>IFERROR(__xludf.DUMMYFUNCTION("""COMPUTED_VALUE"""),"Stansly")</f>
        <v>Stansly</v>
      </c>
      <c r="F1323" t="str">
        <f>IFERROR(__xludf.DUMMYFUNCTION("""COMPUTED_VALUE"""),"LE")</f>
        <v>LE</v>
      </c>
      <c r="G1323">
        <f>IFERROR(__xludf.DUMMYFUNCTION("""COMPUTED_VALUE"""),9.75)</f>
        <v>9.75</v>
      </c>
    </row>
    <row r="1324">
      <c r="D1324" t="str">
        <f>IFERROR(__xludf.DUMMYFUNCTION("""COMPUTED_VALUE"""),"Maragos")</f>
        <v>Maragos</v>
      </c>
      <c r="E1324" t="str">
        <f>IFERROR(__xludf.DUMMYFUNCTION("""COMPUTED_VALUE"""),"Chris")</f>
        <v>Chris</v>
      </c>
      <c r="F1324" t="str">
        <f>IFERROR(__xludf.DUMMYFUNCTION("""COMPUTED_VALUE"""),"SS")</f>
        <v>SS</v>
      </c>
      <c r="G1324">
        <f>IFERROR(__xludf.DUMMYFUNCTION("""COMPUTED_VALUE"""),10.95)</f>
        <v>10.95</v>
      </c>
    </row>
    <row r="1325">
      <c r="D1325" t="str">
        <f>IFERROR(__xludf.DUMMYFUNCTION("""COMPUTED_VALUE"""),"Marcordes")</f>
        <v>Marcordes</v>
      </c>
      <c r="E1325" t="str">
        <f>IFERROR(__xludf.DUMMYFUNCTION("""COMPUTED_VALUE"""),"Tyler")</f>
        <v>Tyler</v>
      </c>
      <c r="F1325" t="str">
        <f>IFERROR(__xludf.DUMMYFUNCTION("""COMPUTED_VALUE"""),"LOLB")</f>
        <v>LOLB</v>
      </c>
      <c r="G1325">
        <f>IFERROR(__xludf.DUMMYFUNCTION("""COMPUTED_VALUE"""),9.299999999999999)</f>
        <v>9.3</v>
      </c>
    </row>
    <row r="1326">
      <c r="D1326" t="str">
        <f>IFERROR(__xludf.DUMMYFUNCTION("""COMPUTED_VALUE"""),"Mariani")</f>
        <v>Mariani</v>
      </c>
      <c r="E1326" t="str">
        <f>IFERROR(__xludf.DUMMYFUNCTION("""COMPUTED_VALUE"""),"Marc")</f>
        <v>Marc</v>
      </c>
      <c r="F1326" t="str">
        <f>IFERROR(__xludf.DUMMYFUNCTION("""COMPUTED_VALUE"""),"WR")</f>
        <v>WR</v>
      </c>
      <c r="G1326">
        <f>IFERROR(__xludf.DUMMYFUNCTION("""COMPUTED_VALUE"""),10.35)</f>
        <v>10.35</v>
      </c>
    </row>
    <row r="1327">
      <c r="D1327" t="str">
        <f>IFERROR(__xludf.DUMMYFUNCTION("""COMPUTED_VALUE"""),"Mariota")</f>
        <v>Mariota</v>
      </c>
      <c r="E1327" t="str">
        <f>IFERROR(__xludf.DUMMYFUNCTION("""COMPUTED_VALUE"""),"Marcus")</f>
        <v>Marcus</v>
      </c>
      <c r="F1327" t="str">
        <f>IFERROR(__xludf.DUMMYFUNCTION("""COMPUTED_VALUE"""),"QB")</f>
        <v>QB</v>
      </c>
      <c r="G1327">
        <f>IFERROR(__xludf.DUMMYFUNCTION("""COMPUTED_VALUE"""),11.85)</f>
        <v>11.85</v>
      </c>
    </row>
    <row r="1328">
      <c r="D1328" t="str">
        <f>IFERROR(__xludf.DUMMYFUNCTION("""COMPUTED_VALUE"""),"Marks")</f>
        <v>Marks</v>
      </c>
      <c r="E1328" t="str">
        <f>IFERROR(__xludf.DUMMYFUNCTION("""COMPUTED_VALUE"""),"SenDerrick")</f>
        <v>SenDerrick</v>
      </c>
      <c r="F1328" t="str">
        <f>IFERROR(__xludf.DUMMYFUNCTION("""COMPUTED_VALUE"""),"DT")</f>
        <v>DT</v>
      </c>
      <c r="G1328">
        <f>IFERROR(__xludf.DUMMYFUNCTION("""COMPUTED_VALUE"""),11.85)</f>
        <v>11.85</v>
      </c>
    </row>
    <row r="1329">
      <c r="D1329" t="str">
        <f>IFERROR(__xludf.DUMMYFUNCTION("""COMPUTED_VALUE"""),"Marlowe")</f>
        <v>Marlowe</v>
      </c>
      <c r="E1329" t="str">
        <f>IFERROR(__xludf.DUMMYFUNCTION("""COMPUTED_VALUE"""),"Dean")</f>
        <v>Dean</v>
      </c>
      <c r="F1329" t="str">
        <f>IFERROR(__xludf.DUMMYFUNCTION("""COMPUTED_VALUE"""),"SS")</f>
        <v>SS</v>
      </c>
      <c r="G1329">
        <f>IFERROR(__xludf.DUMMYFUNCTION("""COMPUTED_VALUE"""),10.049999999999999)</f>
        <v>10.05</v>
      </c>
    </row>
    <row r="1330">
      <c r="D1330" t="str">
        <f>IFERROR(__xludf.DUMMYFUNCTION("""COMPUTED_VALUE"""),"Marpet")</f>
        <v>Marpet</v>
      </c>
      <c r="E1330" t="str">
        <f>IFERROR(__xludf.DUMMYFUNCTION("""COMPUTED_VALUE"""),"Ali")</f>
        <v>Ali</v>
      </c>
      <c r="F1330" t="str">
        <f>IFERROR(__xludf.DUMMYFUNCTION("""COMPUTED_VALUE"""),"RG")</f>
        <v>RG</v>
      </c>
      <c r="G1330">
        <f>IFERROR(__xludf.DUMMYFUNCTION("""COMPUTED_VALUE"""),11.549999999999999)</f>
        <v>11.55</v>
      </c>
    </row>
    <row r="1331">
      <c r="D1331" t="str">
        <f>IFERROR(__xludf.DUMMYFUNCTION("""COMPUTED_VALUE"""),"Marquez")</f>
        <v>Marquez</v>
      </c>
      <c r="E1331" t="str">
        <f>IFERROR(__xludf.DUMMYFUNCTION("""COMPUTED_VALUE"""),"Bradley")</f>
        <v>Bradley</v>
      </c>
      <c r="F1331" t="str">
        <f>IFERROR(__xludf.DUMMYFUNCTION("""COMPUTED_VALUE"""),"WR")</f>
        <v>WR</v>
      </c>
      <c r="G1331">
        <f>IFERROR(__xludf.DUMMYFUNCTION("""COMPUTED_VALUE"""),9.45)</f>
        <v>9.45</v>
      </c>
    </row>
    <row r="1332">
      <c r="D1332" t="str">
        <f>IFERROR(__xludf.DUMMYFUNCTION("""COMPUTED_VALUE"""),"Marsh")</f>
        <v>Marsh</v>
      </c>
      <c r="E1332" t="str">
        <f>IFERROR(__xludf.DUMMYFUNCTION("""COMPUTED_VALUE"""),"Cassius")</f>
        <v>Cassius</v>
      </c>
      <c r="F1332" t="str">
        <f>IFERROR(__xludf.DUMMYFUNCTION("""COMPUTED_VALUE"""),"RE")</f>
        <v>RE</v>
      </c>
      <c r="G1332">
        <f>IFERROR(__xludf.DUMMYFUNCTION("""COMPUTED_VALUE"""),10.049999999999999)</f>
        <v>10.05</v>
      </c>
    </row>
    <row r="1333">
      <c r="D1333" t="str">
        <f>IFERROR(__xludf.DUMMYFUNCTION("""COMPUTED_VALUE"""),"Marshall")</f>
        <v>Marshall</v>
      </c>
      <c r="E1333" t="str">
        <f>IFERROR(__xludf.DUMMYFUNCTION("""COMPUTED_VALUE"""),"Brandon")</f>
        <v>Brandon</v>
      </c>
      <c r="F1333" t="str">
        <f>IFERROR(__xludf.DUMMYFUNCTION("""COMPUTED_VALUE"""),"MLB")</f>
        <v>MLB</v>
      </c>
      <c r="G1333">
        <f>IFERROR(__xludf.DUMMYFUNCTION("""COMPUTED_VALUE"""),13.5)</f>
        <v>13.5</v>
      </c>
    </row>
    <row r="1334">
      <c r="D1334" t="str">
        <f>IFERROR(__xludf.DUMMYFUNCTION("""COMPUTED_VALUE"""),"Marshall")</f>
        <v>Marshall</v>
      </c>
      <c r="E1334" t="str">
        <f>IFERROR(__xludf.DUMMYFUNCTION("""COMPUTED_VALUE"""),"Brandon")</f>
        <v>Brandon</v>
      </c>
      <c r="F1334" t="str">
        <f>IFERROR(__xludf.DUMMYFUNCTION("""COMPUTED_VALUE"""),"WR")</f>
        <v>WR</v>
      </c>
      <c r="G1334">
        <f>IFERROR(__xludf.DUMMYFUNCTION("""COMPUTED_VALUE"""),13.35)</f>
        <v>13.35</v>
      </c>
    </row>
    <row r="1335">
      <c r="D1335" t="str">
        <f>IFERROR(__xludf.DUMMYFUNCTION("""COMPUTED_VALUE"""),"Marshall")</f>
        <v>Marshall</v>
      </c>
      <c r="E1335" t="str">
        <f>IFERROR(__xludf.DUMMYFUNCTION("""COMPUTED_VALUE"""),"Byron")</f>
        <v>Byron</v>
      </c>
      <c r="F1335" t="str">
        <f>IFERROR(__xludf.DUMMYFUNCTION("""COMPUTED_VALUE"""),"HB")</f>
        <v>HB</v>
      </c>
      <c r="G1335">
        <f>IFERROR(__xludf.DUMMYFUNCTION("""COMPUTED_VALUE"""),9.299999999999999)</f>
        <v>9.3</v>
      </c>
    </row>
    <row r="1336">
      <c r="D1336" t="str">
        <f>IFERROR(__xludf.DUMMYFUNCTION("""COMPUTED_VALUE"""),"Marshall")</f>
        <v>Marshall</v>
      </c>
      <c r="E1336" t="str">
        <f>IFERROR(__xludf.DUMMYFUNCTION("""COMPUTED_VALUE"""),"Keith")</f>
        <v>Keith</v>
      </c>
      <c r="F1336" t="str">
        <f>IFERROR(__xludf.DUMMYFUNCTION("""COMPUTED_VALUE"""),"HB")</f>
        <v>HB</v>
      </c>
      <c r="G1336">
        <f>IFERROR(__xludf.DUMMYFUNCTION("""COMPUTED_VALUE"""),10.35)</f>
        <v>10.35</v>
      </c>
    </row>
    <row r="1337">
      <c r="D1337" t="str">
        <f>IFERROR(__xludf.DUMMYFUNCTION("""COMPUTED_VALUE"""),"Marshall")</f>
        <v>Marshall</v>
      </c>
      <c r="E1337" t="str">
        <f>IFERROR(__xludf.DUMMYFUNCTION("""COMPUTED_VALUE"""),"Nick")</f>
        <v>Nick</v>
      </c>
      <c r="F1337" t="str">
        <f>IFERROR(__xludf.DUMMYFUNCTION("""COMPUTED_VALUE"""),"CB")</f>
        <v>CB</v>
      </c>
      <c r="G1337">
        <f>IFERROR(__xludf.DUMMYFUNCTION("""COMPUTED_VALUE"""),9.299999999999999)</f>
        <v>9.3</v>
      </c>
    </row>
    <row r="1338">
      <c r="D1338" t="str">
        <f>IFERROR(__xludf.DUMMYFUNCTION("""COMPUTED_VALUE"""),"Martin")</f>
        <v>Martin</v>
      </c>
      <c r="E1338" t="str">
        <f>IFERROR(__xludf.DUMMYFUNCTION("""COMPUTED_VALUE"""),"Doug")</f>
        <v>Doug</v>
      </c>
      <c r="F1338" t="str">
        <f>IFERROR(__xludf.DUMMYFUNCTION("""COMPUTED_VALUE"""),"HB")</f>
        <v>HB</v>
      </c>
      <c r="G1338">
        <f>IFERROR(__xludf.DUMMYFUNCTION("""COMPUTED_VALUE"""),13.5)</f>
        <v>13.5</v>
      </c>
    </row>
    <row r="1339">
      <c r="D1339" t="str">
        <f>IFERROR(__xludf.DUMMYFUNCTION("""COMPUTED_VALUE"""),"Martin")</f>
        <v>Martin</v>
      </c>
      <c r="E1339" t="str">
        <f>IFERROR(__xludf.DUMMYFUNCTION("""COMPUTED_VALUE"""),"Gabe")</f>
        <v>Gabe</v>
      </c>
      <c r="F1339" t="str">
        <f>IFERROR(__xludf.DUMMYFUNCTION("""COMPUTED_VALUE"""),"ROLB")</f>
        <v>ROLB</v>
      </c>
      <c r="G1339">
        <f>IFERROR(__xludf.DUMMYFUNCTION("""COMPUTED_VALUE"""),9.6)</f>
        <v>9.6</v>
      </c>
    </row>
    <row r="1340">
      <c r="D1340" t="str">
        <f>IFERROR(__xludf.DUMMYFUNCTION("""COMPUTED_VALUE"""),"Martin")</f>
        <v>Martin</v>
      </c>
      <c r="E1340" t="str">
        <f>IFERROR(__xludf.DUMMYFUNCTION("""COMPUTED_VALUE"""),"Josh")</f>
        <v>Josh</v>
      </c>
      <c r="F1340" t="str">
        <f>IFERROR(__xludf.DUMMYFUNCTION("""COMPUTED_VALUE"""),"ROLB")</f>
        <v>ROLB</v>
      </c>
      <c r="G1340">
        <f>IFERROR(__xludf.DUMMYFUNCTION("""COMPUTED_VALUE"""),10.049999999999999)</f>
        <v>10.05</v>
      </c>
    </row>
    <row r="1341">
      <c r="D1341" t="str">
        <f>IFERROR(__xludf.DUMMYFUNCTION("""COMPUTED_VALUE"""),"Martin")</f>
        <v>Martin</v>
      </c>
      <c r="E1341" t="str">
        <f>IFERROR(__xludf.DUMMYFUNCTION("""COMPUTED_VALUE"""),"Kareem")</f>
        <v>Kareem</v>
      </c>
      <c r="F1341" t="str">
        <f>IFERROR(__xludf.DUMMYFUNCTION("""COMPUTED_VALUE"""),"ROLB")</f>
        <v>ROLB</v>
      </c>
      <c r="G1341">
        <f>IFERROR(__xludf.DUMMYFUNCTION("""COMPUTED_VALUE"""),9.45)</f>
        <v>9.45</v>
      </c>
    </row>
    <row r="1342">
      <c r="D1342" t="str">
        <f>IFERROR(__xludf.DUMMYFUNCTION("""COMPUTED_VALUE"""),"Martin")</f>
        <v>Martin</v>
      </c>
      <c r="E1342" t="str">
        <f>IFERROR(__xludf.DUMMYFUNCTION("""COMPUTED_VALUE"""),"Keshawn")</f>
        <v>Keshawn</v>
      </c>
      <c r="F1342" t="str">
        <f>IFERROR(__xludf.DUMMYFUNCTION("""COMPUTED_VALUE"""),"WR")</f>
        <v>WR</v>
      </c>
      <c r="G1342">
        <f>IFERROR(__xludf.DUMMYFUNCTION("""COMPUTED_VALUE"""),10.2)</f>
        <v>10.2</v>
      </c>
    </row>
    <row r="1343">
      <c r="D1343" t="str">
        <f>IFERROR(__xludf.DUMMYFUNCTION("""COMPUTED_VALUE"""),"Martin")</f>
        <v>Martin</v>
      </c>
      <c r="E1343" t="str">
        <f>IFERROR(__xludf.DUMMYFUNCTION("""COMPUTED_VALUE"""),"Marcus")</f>
        <v>Marcus</v>
      </c>
      <c r="F1343" t="str">
        <f>IFERROR(__xludf.DUMMYFUNCTION("""COMPUTED_VALUE"""),"C")</f>
        <v>C</v>
      </c>
      <c r="G1343">
        <f>IFERROR(__xludf.DUMMYFUNCTION("""COMPUTED_VALUE"""),9.75)</f>
        <v>9.75</v>
      </c>
    </row>
    <row r="1344">
      <c r="D1344" t="str">
        <f>IFERROR(__xludf.DUMMYFUNCTION("""COMPUTED_VALUE"""),"Martin")</f>
        <v>Martin</v>
      </c>
      <c r="E1344" t="str">
        <f>IFERROR(__xludf.DUMMYFUNCTION("""COMPUTED_VALUE"""),"Mike")</f>
        <v>Mike</v>
      </c>
      <c r="F1344" t="str">
        <f>IFERROR(__xludf.DUMMYFUNCTION("""COMPUTED_VALUE"""),"DT")</f>
        <v>DT</v>
      </c>
      <c r="G1344">
        <f>IFERROR(__xludf.DUMMYFUNCTION("""COMPUTED_VALUE"""),10.5)</f>
        <v>10.5</v>
      </c>
    </row>
    <row r="1345">
      <c r="D1345" t="str">
        <f>IFERROR(__xludf.DUMMYFUNCTION("""COMPUTED_VALUE"""),"Martin")</f>
        <v>Martin</v>
      </c>
      <c r="E1345" t="str">
        <f>IFERROR(__xludf.DUMMYFUNCTION("""COMPUTED_VALUE"""),"Nick")</f>
        <v>Nick</v>
      </c>
      <c r="F1345" t="str">
        <f>IFERROR(__xludf.DUMMYFUNCTION("""COMPUTED_VALUE"""),"C")</f>
        <v>C</v>
      </c>
      <c r="G1345">
        <f>IFERROR(__xludf.DUMMYFUNCTION("""COMPUTED_VALUE"""),10.95)</f>
        <v>10.95</v>
      </c>
    </row>
    <row r="1346">
      <c r="D1346" t="str">
        <f>IFERROR(__xludf.DUMMYFUNCTION("""COMPUTED_VALUE"""),"Martin")</f>
        <v>Martin</v>
      </c>
      <c r="E1346" t="str">
        <f>IFERROR(__xludf.DUMMYFUNCTION("""COMPUTED_VALUE"""),"Ronald")</f>
        <v>Ronald</v>
      </c>
      <c r="F1346" t="str">
        <f>IFERROR(__xludf.DUMMYFUNCTION("""COMPUTED_VALUE"""),"FS")</f>
        <v>FS</v>
      </c>
      <c r="G1346">
        <f>IFERROR(__xludf.DUMMYFUNCTION("""COMPUTED_VALUE"""),9.6)</f>
        <v>9.6</v>
      </c>
    </row>
    <row r="1347">
      <c r="D1347" t="str">
        <f>IFERROR(__xludf.DUMMYFUNCTION("""COMPUTED_VALUE"""),"Martin")</f>
        <v>Martin</v>
      </c>
      <c r="E1347" t="str">
        <f>IFERROR(__xludf.DUMMYFUNCTION("""COMPUTED_VALUE"""),"Sam")</f>
        <v>Sam</v>
      </c>
      <c r="F1347" t="str">
        <f>IFERROR(__xludf.DUMMYFUNCTION("""COMPUTED_VALUE"""),"P")</f>
        <v>P</v>
      </c>
      <c r="G1347">
        <f>IFERROR(__xludf.DUMMYFUNCTION("""COMPUTED_VALUE"""),12.0)</f>
        <v>12</v>
      </c>
    </row>
    <row r="1348">
      <c r="D1348" t="str">
        <f>IFERROR(__xludf.DUMMYFUNCTION("""COMPUTED_VALUE"""),"Martin")</f>
        <v>Martin</v>
      </c>
      <c r="E1348" t="str">
        <f>IFERROR(__xludf.DUMMYFUNCTION("""COMPUTED_VALUE"""),"Zack")</f>
        <v>Zack</v>
      </c>
      <c r="F1348" t="str">
        <f>IFERROR(__xludf.DUMMYFUNCTION("""COMPUTED_VALUE"""),"RG")</f>
        <v>RG</v>
      </c>
      <c r="G1348">
        <f>IFERROR(__xludf.DUMMYFUNCTION("""COMPUTED_VALUE"""),13.799999999999999)</f>
        <v>13.8</v>
      </c>
    </row>
    <row r="1349">
      <c r="D1349" t="str">
        <f>IFERROR(__xludf.DUMMYFUNCTION("""COMPUTED_VALUE"""),"Martinez")</f>
        <v>Martinez</v>
      </c>
      <c r="E1349" t="str">
        <f>IFERROR(__xludf.DUMMYFUNCTION("""COMPUTED_VALUE"""),"Blake")</f>
        <v>Blake</v>
      </c>
      <c r="F1349" t="str">
        <f>IFERROR(__xludf.DUMMYFUNCTION("""COMPUTED_VALUE"""),"MLB")</f>
        <v>MLB</v>
      </c>
      <c r="G1349">
        <f>IFERROR(__xludf.DUMMYFUNCTION("""COMPUTED_VALUE"""),10.049999999999999)</f>
        <v>10.05</v>
      </c>
    </row>
    <row r="1350">
      <c r="D1350" t="str">
        <f>IFERROR(__xludf.DUMMYFUNCTION("""COMPUTED_VALUE"""),"Martino")</f>
        <v>Martino</v>
      </c>
      <c r="E1350" t="str">
        <f>IFERROR(__xludf.DUMMYFUNCTION("""COMPUTED_VALUE"""),"Freddie")</f>
        <v>Freddie</v>
      </c>
      <c r="F1350" t="str">
        <f>IFERROR(__xludf.DUMMYFUNCTION("""COMPUTED_VALUE"""),"WR")</f>
        <v>WR</v>
      </c>
      <c r="G1350">
        <f>IFERROR(__xludf.DUMMYFUNCTION("""COMPUTED_VALUE"""),8.7)</f>
        <v>8.7</v>
      </c>
    </row>
    <row r="1351">
      <c r="D1351" t="str">
        <f>IFERROR(__xludf.DUMMYFUNCTION("""COMPUTED_VALUE"""),"Masifilo")</f>
        <v>Masifilo</v>
      </c>
      <c r="E1351" t="str">
        <f>IFERROR(__xludf.DUMMYFUNCTION("""COMPUTED_VALUE"""),"Matt")</f>
        <v>Matt</v>
      </c>
      <c r="F1351" t="str">
        <f>IFERROR(__xludf.DUMMYFUNCTION("""COMPUTED_VALUE"""),"C")</f>
        <v>C</v>
      </c>
      <c r="G1351">
        <f>IFERROR(__xludf.DUMMYFUNCTION("""COMPUTED_VALUE"""),9.45)</f>
        <v>9.45</v>
      </c>
    </row>
    <row r="1352">
      <c r="D1352" t="str">
        <f>IFERROR(__xludf.DUMMYFUNCTION("""COMPUTED_VALUE"""),"Mason")</f>
        <v>Mason</v>
      </c>
      <c r="E1352" t="str">
        <f>IFERROR(__xludf.DUMMYFUNCTION("""COMPUTED_VALUE"""),"Shaq")</f>
        <v>Shaq</v>
      </c>
      <c r="F1352" t="str">
        <f>IFERROR(__xludf.DUMMYFUNCTION("""COMPUTED_VALUE"""),"LG")</f>
        <v>LG</v>
      </c>
      <c r="G1352">
        <f>IFERROR(__xludf.DUMMYFUNCTION("""COMPUTED_VALUE"""),11.1)</f>
        <v>11.1</v>
      </c>
    </row>
    <row r="1353">
      <c r="D1353" t="str">
        <f>IFERROR(__xludf.DUMMYFUNCTION("""COMPUTED_VALUE"""),"Mason")</f>
        <v>Mason</v>
      </c>
      <c r="E1353" t="str">
        <f>IFERROR(__xludf.DUMMYFUNCTION("""COMPUTED_VALUE"""),"Tre")</f>
        <v>Tre</v>
      </c>
      <c r="F1353" t="str">
        <f>IFERROR(__xludf.DUMMYFUNCTION("""COMPUTED_VALUE"""),"HB")</f>
        <v>HB</v>
      </c>
      <c r="G1353">
        <f>IFERROR(__xludf.DUMMYFUNCTION("""COMPUTED_VALUE"""),11.7)</f>
        <v>11.7</v>
      </c>
    </row>
    <row r="1354">
      <c r="D1354" t="str">
        <f>IFERROR(__xludf.DUMMYFUNCTION("""COMPUTED_VALUE"""),"Massaquoi")</f>
        <v>Massaquoi</v>
      </c>
      <c r="E1354" t="str">
        <f>IFERROR(__xludf.DUMMYFUNCTION("""COMPUTED_VALUE"""),"Jonathan")</f>
        <v>Jonathan</v>
      </c>
      <c r="F1354" t="str">
        <f>IFERROR(__xludf.DUMMYFUNCTION("""COMPUTED_VALUE"""),"ROLB")</f>
        <v>ROLB</v>
      </c>
      <c r="G1354">
        <f>IFERROR(__xludf.DUMMYFUNCTION("""COMPUTED_VALUE"""),10.799999999999999)</f>
        <v>10.8</v>
      </c>
    </row>
    <row r="1355">
      <c r="D1355" t="str">
        <f>IFERROR(__xludf.DUMMYFUNCTION("""COMPUTED_VALUE"""),"Massie")</f>
        <v>Massie</v>
      </c>
      <c r="E1355" t="str">
        <f>IFERROR(__xludf.DUMMYFUNCTION("""COMPUTED_VALUE"""),"Bobby")</f>
        <v>Bobby</v>
      </c>
      <c r="F1355" t="str">
        <f>IFERROR(__xludf.DUMMYFUNCTION("""COMPUTED_VALUE"""),"RT")</f>
        <v>RT</v>
      </c>
      <c r="G1355">
        <f>IFERROR(__xludf.DUMMYFUNCTION("""COMPUTED_VALUE"""),11.25)</f>
        <v>11.25</v>
      </c>
    </row>
    <row r="1356">
      <c r="D1356" t="str">
        <f>IFERROR(__xludf.DUMMYFUNCTION("""COMPUTED_VALUE"""),"Masthay")</f>
        <v>Masthay</v>
      </c>
      <c r="E1356" t="str">
        <f>IFERROR(__xludf.DUMMYFUNCTION("""COMPUTED_VALUE"""),"Tim")</f>
        <v>Tim</v>
      </c>
      <c r="F1356" t="str">
        <f>IFERROR(__xludf.DUMMYFUNCTION("""COMPUTED_VALUE"""),"P")</f>
        <v>P</v>
      </c>
      <c r="G1356">
        <f>IFERROR(__xludf.DUMMYFUNCTION("""COMPUTED_VALUE"""),11.1)</f>
        <v>11.1</v>
      </c>
    </row>
    <row r="1357">
      <c r="D1357" t="str">
        <f>IFERROR(__xludf.DUMMYFUNCTION("""COMPUTED_VALUE"""),"Matakevich")</f>
        <v>Matakevich</v>
      </c>
      <c r="E1357" t="str">
        <f>IFERROR(__xludf.DUMMYFUNCTION("""COMPUTED_VALUE"""),"Tyler")</f>
        <v>Tyler</v>
      </c>
      <c r="F1357" t="str">
        <f>IFERROR(__xludf.DUMMYFUNCTION("""COMPUTED_VALUE"""),"MLB")</f>
        <v>MLB</v>
      </c>
      <c r="G1357">
        <f>IFERROR(__xludf.DUMMYFUNCTION("""COMPUTED_VALUE"""),9.75)</f>
        <v>9.75</v>
      </c>
    </row>
    <row r="1358">
      <c r="D1358" t="str">
        <f>IFERROR(__xludf.DUMMYFUNCTION("""COMPUTED_VALUE"""),"Mathews")</f>
        <v>Mathews</v>
      </c>
      <c r="E1358" t="str">
        <f>IFERROR(__xludf.DUMMYFUNCTION("""COMPUTED_VALUE"""),"Mitch")</f>
        <v>Mitch</v>
      </c>
      <c r="F1358" t="str">
        <f>IFERROR(__xludf.DUMMYFUNCTION("""COMPUTED_VALUE"""),"WR")</f>
        <v>WR</v>
      </c>
      <c r="G1358">
        <f>IFERROR(__xludf.DUMMYFUNCTION("""COMPUTED_VALUE"""),9.0)</f>
        <v>9</v>
      </c>
    </row>
    <row r="1359">
      <c r="D1359" t="str">
        <f>IFERROR(__xludf.DUMMYFUNCTION("""COMPUTED_VALUE"""),"Mathews")</f>
        <v>Mathews</v>
      </c>
      <c r="E1359" t="str">
        <f>IFERROR(__xludf.DUMMYFUNCTION("""COMPUTED_VALUE"""),"Ricardo")</f>
        <v>Ricardo</v>
      </c>
      <c r="F1359" t="str">
        <f>IFERROR(__xludf.DUMMYFUNCTION("""COMPUTED_VALUE"""),"DT")</f>
        <v>DT</v>
      </c>
      <c r="G1359">
        <f>IFERROR(__xludf.DUMMYFUNCTION("""COMPUTED_VALUE"""),10.35)</f>
        <v>10.35</v>
      </c>
    </row>
    <row r="1360">
      <c r="D1360" t="str">
        <f>IFERROR(__xludf.DUMMYFUNCTION("""COMPUTED_VALUE"""),"Mathews")</f>
        <v>Mathews</v>
      </c>
      <c r="E1360" t="str">
        <f>IFERROR(__xludf.DUMMYFUNCTION("""COMPUTED_VALUE"""),"Ryan")</f>
        <v>Ryan</v>
      </c>
      <c r="F1360" t="str">
        <f>IFERROR(__xludf.DUMMYFUNCTION("""COMPUTED_VALUE"""),"HB")</f>
        <v>HB</v>
      </c>
      <c r="G1360">
        <f>IFERROR(__xludf.DUMMYFUNCTION("""COMPUTED_VALUE"""),12.299999999999999)</f>
        <v>12.3</v>
      </c>
    </row>
    <row r="1361">
      <c r="D1361" t="str">
        <f>IFERROR(__xludf.DUMMYFUNCTION("""COMPUTED_VALUE"""),"Mathieu")</f>
        <v>Mathieu</v>
      </c>
      <c r="E1361" t="str">
        <f>IFERROR(__xludf.DUMMYFUNCTION("""COMPUTED_VALUE"""),"Tyrann")</f>
        <v>Tyrann</v>
      </c>
      <c r="F1361" t="str">
        <f>IFERROR(__xludf.DUMMYFUNCTION("""COMPUTED_VALUE"""),"FS")</f>
        <v>FS</v>
      </c>
      <c r="G1361">
        <f>IFERROR(__xludf.DUMMYFUNCTION("""COMPUTED_VALUE"""),14.399999999999999)</f>
        <v>14.4</v>
      </c>
    </row>
    <row r="1362">
      <c r="D1362" t="str">
        <f>IFERROR(__xludf.DUMMYFUNCTION("""COMPUTED_VALUE"""),"Mathis")</f>
        <v>Mathis</v>
      </c>
      <c r="E1362" t="str">
        <f>IFERROR(__xludf.DUMMYFUNCTION("""COMPUTED_VALUE"""),"Evan")</f>
        <v>Evan</v>
      </c>
      <c r="F1362" t="str">
        <f>IFERROR(__xludf.DUMMYFUNCTION("""COMPUTED_VALUE"""),"RG")</f>
        <v>RG</v>
      </c>
      <c r="G1362">
        <f>IFERROR(__xludf.DUMMYFUNCTION("""COMPUTED_VALUE"""),13.2)</f>
        <v>13.2</v>
      </c>
    </row>
    <row r="1363">
      <c r="D1363" t="str">
        <f>IFERROR(__xludf.DUMMYFUNCTION("""COMPUTED_VALUE"""),"Mathis")</f>
        <v>Mathis</v>
      </c>
      <c r="E1363" t="str">
        <f>IFERROR(__xludf.DUMMYFUNCTION("""COMPUTED_VALUE"""),"Robert")</f>
        <v>Robert</v>
      </c>
      <c r="F1363" t="str">
        <f>IFERROR(__xludf.DUMMYFUNCTION("""COMPUTED_VALUE"""),"ROLB")</f>
        <v>ROLB</v>
      </c>
      <c r="G1363">
        <f>IFERROR(__xludf.DUMMYFUNCTION("""COMPUTED_VALUE"""),12.45)</f>
        <v>12.45</v>
      </c>
    </row>
    <row r="1364">
      <c r="D1364" t="str">
        <f>IFERROR(__xludf.DUMMYFUNCTION("""COMPUTED_VALUE"""),"Matias")</f>
        <v>Matias</v>
      </c>
      <c r="E1364" t="str">
        <f>IFERROR(__xludf.DUMMYFUNCTION("""COMPUTED_VALUE"""),"Josue")</f>
        <v>Josue</v>
      </c>
      <c r="F1364" t="str">
        <f>IFERROR(__xludf.DUMMYFUNCTION("""COMPUTED_VALUE"""),"RG")</f>
        <v>RG</v>
      </c>
      <c r="G1364">
        <f>IFERROR(__xludf.DUMMYFUNCTION("""COMPUTED_VALUE"""),9.45)</f>
        <v>9.45</v>
      </c>
    </row>
    <row r="1365">
      <c r="D1365" t="str">
        <f>IFERROR(__xludf.DUMMYFUNCTION("""COMPUTED_VALUE"""),"Matthews")</f>
        <v>Matthews</v>
      </c>
      <c r="E1365" t="str">
        <f>IFERROR(__xludf.DUMMYFUNCTION("""COMPUTED_VALUE"""),"Chris")</f>
        <v>Chris</v>
      </c>
      <c r="F1365" t="str">
        <f>IFERROR(__xludf.DUMMYFUNCTION("""COMPUTED_VALUE"""),"WR")</f>
        <v>WR</v>
      </c>
      <c r="G1365">
        <f>IFERROR(__xludf.DUMMYFUNCTION("""COMPUTED_VALUE"""),10.2)</f>
        <v>10.2</v>
      </c>
    </row>
    <row r="1366">
      <c r="D1366" t="str">
        <f>IFERROR(__xludf.DUMMYFUNCTION("""COMPUTED_VALUE"""),"Matthews")</f>
        <v>Matthews</v>
      </c>
      <c r="E1366" t="str">
        <f>IFERROR(__xludf.DUMMYFUNCTION("""COMPUTED_VALUE"""),"Clay")</f>
        <v>Clay</v>
      </c>
      <c r="F1366" t="str">
        <f>IFERROR(__xludf.DUMMYFUNCTION("""COMPUTED_VALUE"""),"LOLB")</f>
        <v>LOLB</v>
      </c>
      <c r="G1366">
        <f>IFERROR(__xludf.DUMMYFUNCTION("""COMPUTED_VALUE"""),13.35)</f>
        <v>13.35</v>
      </c>
    </row>
    <row r="1367">
      <c r="D1367" t="str">
        <f>IFERROR(__xludf.DUMMYFUNCTION("""COMPUTED_VALUE"""),"Matthews")</f>
        <v>Matthews</v>
      </c>
      <c r="E1367" t="str">
        <f>IFERROR(__xludf.DUMMYFUNCTION("""COMPUTED_VALUE"""),"Cliff")</f>
        <v>Cliff</v>
      </c>
      <c r="F1367" t="str">
        <f>IFERROR(__xludf.DUMMYFUNCTION("""COMPUTED_VALUE"""),"RE")</f>
        <v>RE</v>
      </c>
      <c r="G1367">
        <f>IFERROR(__xludf.DUMMYFUNCTION("""COMPUTED_VALUE"""),9.9)</f>
        <v>9.9</v>
      </c>
    </row>
    <row r="1368">
      <c r="D1368" t="str">
        <f>IFERROR(__xludf.DUMMYFUNCTION("""COMPUTED_VALUE"""),"Matthews")</f>
        <v>Matthews</v>
      </c>
      <c r="E1368" t="str">
        <f>IFERROR(__xludf.DUMMYFUNCTION("""COMPUTED_VALUE"""),"Jake")</f>
        <v>Jake</v>
      </c>
      <c r="F1368" t="str">
        <f>IFERROR(__xludf.DUMMYFUNCTION("""COMPUTED_VALUE"""),"LT")</f>
        <v>LT</v>
      </c>
      <c r="G1368">
        <f>IFERROR(__xludf.DUMMYFUNCTION("""COMPUTED_VALUE"""),12.0)</f>
        <v>12</v>
      </c>
    </row>
    <row r="1369">
      <c r="D1369" t="str">
        <f>IFERROR(__xludf.DUMMYFUNCTION("""COMPUTED_VALUE"""),"Matthews")</f>
        <v>Matthews</v>
      </c>
      <c r="E1369" t="str">
        <f>IFERROR(__xludf.DUMMYFUNCTION("""COMPUTED_VALUE"""),"Jordan")</f>
        <v>Jordan</v>
      </c>
      <c r="F1369" t="str">
        <f>IFERROR(__xludf.DUMMYFUNCTION("""COMPUTED_VALUE"""),"WR")</f>
        <v>WR</v>
      </c>
      <c r="G1369">
        <f>IFERROR(__xludf.DUMMYFUNCTION("""COMPUTED_VALUE"""),11.7)</f>
        <v>11.7</v>
      </c>
    </row>
    <row r="1370">
      <c r="D1370" t="str">
        <f>IFERROR(__xludf.DUMMYFUNCTION("""COMPUTED_VALUE"""),"Matthews")</f>
        <v>Matthews</v>
      </c>
      <c r="E1370" t="str">
        <f>IFERROR(__xludf.DUMMYFUNCTION("""COMPUTED_VALUE"""),"Rishard")</f>
        <v>Rishard</v>
      </c>
      <c r="F1370" t="str">
        <f>IFERROR(__xludf.DUMMYFUNCTION("""COMPUTED_VALUE"""),"WR")</f>
        <v>WR</v>
      </c>
      <c r="G1370">
        <f>IFERROR(__xludf.DUMMYFUNCTION("""COMPUTED_VALUE"""),11.85)</f>
        <v>11.85</v>
      </c>
    </row>
    <row r="1371">
      <c r="D1371" t="str">
        <f>IFERROR(__xludf.DUMMYFUNCTION("""COMPUTED_VALUE"""),"Matungulu")</f>
        <v>Matungulu</v>
      </c>
      <c r="E1371" t="str">
        <f>IFERROR(__xludf.DUMMYFUNCTION("""COMPUTED_VALUE"""),"Helva")</f>
        <v>Helva</v>
      </c>
      <c r="F1371" t="str">
        <f>IFERROR(__xludf.DUMMYFUNCTION("""COMPUTED_VALUE"""),"RE")</f>
        <v>RE</v>
      </c>
      <c r="G1371">
        <f>IFERROR(__xludf.DUMMYFUNCTION("""COMPUTED_VALUE"""),8.7)</f>
        <v>8.7</v>
      </c>
    </row>
    <row r="1372">
      <c r="D1372" t="str">
        <f>IFERROR(__xludf.DUMMYFUNCTION("""COMPUTED_VALUE"""),"Maualuga")</f>
        <v>Maualuga</v>
      </c>
      <c r="E1372" t="str">
        <f>IFERROR(__xludf.DUMMYFUNCTION("""COMPUTED_VALUE"""),"Rey")</f>
        <v>Rey</v>
      </c>
      <c r="F1372" t="str">
        <f>IFERROR(__xludf.DUMMYFUNCTION("""COMPUTED_VALUE"""),"MLB")</f>
        <v>MLB</v>
      </c>
      <c r="G1372">
        <f>IFERROR(__xludf.DUMMYFUNCTION("""COMPUTED_VALUE"""),12.6)</f>
        <v>12.6</v>
      </c>
    </row>
    <row r="1373">
      <c r="D1373" t="str">
        <f>IFERROR(__xludf.DUMMYFUNCTION("""COMPUTED_VALUE"""),"Mauga")</f>
        <v>Mauga</v>
      </c>
      <c r="E1373" t="str">
        <f>IFERROR(__xludf.DUMMYFUNCTION("""COMPUTED_VALUE"""),"Josh")</f>
        <v>Josh</v>
      </c>
      <c r="F1373" t="str">
        <f>IFERROR(__xludf.DUMMYFUNCTION("""COMPUTED_VALUE"""),"MLB")</f>
        <v>MLB</v>
      </c>
      <c r="G1373">
        <f>IFERROR(__xludf.DUMMYFUNCTION("""COMPUTED_VALUE"""),11.549999999999999)</f>
        <v>11.55</v>
      </c>
    </row>
    <row r="1374">
      <c r="D1374" t="str">
        <f>IFERROR(__xludf.DUMMYFUNCTION("""COMPUTED_VALUE"""),"Mauldin IV")</f>
        <v>Mauldin IV</v>
      </c>
      <c r="E1374" t="str">
        <f>IFERROR(__xludf.DUMMYFUNCTION("""COMPUTED_VALUE"""),"Lorenzo")</f>
        <v>Lorenzo</v>
      </c>
      <c r="F1374" t="str">
        <f>IFERROR(__xludf.DUMMYFUNCTION("""COMPUTED_VALUE"""),"ROLB")</f>
        <v>ROLB</v>
      </c>
      <c r="G1374">
        <f>IFERROR(__xludf.DUMMYFUNCTION("""COMPUTED_VALUE"""),10.5)</f>
        <v>10.5</v>
      </c>
    </row>
    <row r="1375">
      <c r="D1375" t="str">
        <f>IFERROR(__xludf.DUMMYFUNCTION("""COMPUTED_VALUE"""),"Mauro")</f>
        <v>Mauro</v>
      </c>
      <c r="E1375" t="str">
        <f>IFERROR(__xludf.DUMMYFUNCTION("""COMPUTED_VALUE"""),"Josh")</f>
        <v>Josh</v>
      </c>
      <c r="F1375" t="str">
        <f>IFERROR(__xludf.DUMMYFUNCTION("""COMPUTED_VALUE"""),"RE")</f>
        <v>RE</v>
      </c>
      <c r="G1375">
        <f>IFERROR(__xludf.DUMMYFUNCTION("""COMPUTED_VALUE"""),9.15)</f>
        <v>9.15</v>
      </c>
    </row>
    <row r="1376">
      <c r="D1376" t="str">
        <f>IFERROR(__xludf.DUMMYFUNCTION("""COMPUTED_VALUE"""),"Mauti")</f>
        <v>Mauti</v>
      </c>
      <c r="E1376" t="str">
        <f>IFERROR(__xludf.DUMMYFUNCTION("""COMPUTED_VALUE"""),"Michael")</f>
        <v>Michael</v>
      </c>
      <c r="F1376" t="str">
        <f>IFERROR(__xludf.DUMMYFUNCTION("""COMPUTED_VALUE"""),"MLB")</f>
        <v>MLB</v>
      </c>
      <c r="G1376">
        <f>IFERROR(__xludf.DUMMYFUNCTION("""COMPUTED_VALUE"""),10.2)</f>
        <v>10.2</v>
      </c>
    </row>
    <row r="1377">
      <c r="D1377" t="str">
        <f>IFERROR(__xludf.DUMMYFUNCTION("""COMPUTED_VALUE"""),"Maxey")</f>
        <v>Maxey</v>
      </c>
      <c r="E1377" t="str">
        <f>IFERROR(__xludf.DUMMYFUNCTION("""COMPUTED_VALUE"""),"Johnny")</f>
        <v>Johnny</v>
      </c>
      <c r="F1377" t="str">
        <f>IFERROR(__xludf.DUMMYFUNCTION("""COMPUTED_VALUE"""),"RE")</f>
        <v>RE</v>
      </c>
      <c r="G1377">
        <f>IFERROR(__xludf.DUMMYFUNCTION("""COMPUTED_VALUE"""),8.549999999999999)</f>
        <v>8.55</v>
      </c>
    </row>
    <row r="1378">
      <c r="D1378" t="str">
        <f>IFERROR(__xludf.DUMMYFUNCTION("""COMPUTED_VALUE"""),"Maxwell")</f>
        <v>Maxwell</v>
      </c>
      <c r="E1378" t="str">
        <f>IFERROR(__xludf.DUMMYFUNCTION("""COMPUTED_VALUE"""),"Byron")</f>
        <v>Byron</v>
      </c>
      <c r="F1378" t="str">
        <f>IFERROR(__xludf.DUMMYFUNCTION("""COMPUTED_VALUE"""),"CB")</f>
        <v>CB</v>
      </c>
      <c r="G1378">
        <f>IFERROR(__xludf.DUMMYFUNCTION("""COMPUTED_VALUE"""),11.4)</f>
        <v>11.4</v>
      </c>
    </row>
    <row r="1379">
      <c r="D1379" t="str">
        <f>IFERROR(__xludf.DUMMYFUNCTION("""COMPUTED_VALUE"""),"Maye")</f>
        <v>Maye</v>
      </c>
      <c r="E1379" t="str">
        <f>IFERROR(__xludf.DUMMYFUNCTION("""COMPUTED_VALUE"""),"KJ")</f>
        <v>KJ</v>
      </c>
      <c r="F1379" t="str">
        <f>IFERROR(__xludf.DUMMYFUNCTION("""COMPUTED_VALUE"""),"WR")</f>
        <v>WR</v>
      </c>
      <c r="G1379">
        <f>IFERROR(__xludf.DUMMYFUNCTION("""COMPUTED_VALUE"""),9.15)</f>
        <v>9.15</v>
      </c>
    </row>
    <row r="1380">
      <c r="D1380" t="str">
        <f>IFERROR(__xludf.DUMMYFUNCTION("""COMPUTED_VALUE"""),"Mayes")</f>
        <v>Mayes</v>
      </c>
      <c r="E1380" t="str">
        <f>IFERROR(__xludf.DUMMYFUNCTION("""COMPUTED_VALUE"""),"Chris")</f>
        <v>Chris</v>
      </c>
      <c r="F1380" t="str">
        <f>IFERROR(__xludf.DUMMYFUNCTION("""COMPUTED_VALUE"""),"DT")</f>
        <v>DT</v>
      </c>
      <c r="G1380">
        <f>IFERROR(__xludf.DUMMYFUNCTION("""COMPUTED_VALUE"""),9.15)</f>
        <v>9.15</v>
      </c>
    </row>
    <row r="1381">
      <c r="D1381" t="str">
        <f>IFERROR(__xludf.DUMMYFUNCTION("""COMPUTED_VALUE"""),"Mayle")</f>
        <v>Mayle</v>
      </c>
      <c r="E1381" t="str">
        <f>IFERROR(__xludf.DUMMYFUNCTION("""COMPUTED_VALUE"""),"Vince")</f>
        <v>Vince</v>
      </c>
      <c r="F1381" t="str">
        <f>IFERROR(__xludf.DUMMYFUNCTION("""COMPUTED_VALUE"""),"WR")</f>
        <v>WR</v>
      </c>
      <c r="G1381">
        <f>IFERROR(__xludf.DUMMYFUNCTION("""COMPUTED_VALUE"""),9.9)</f>
        <v>9.9</v>
      </c>
    </row>
    <row r="1382">
      <c r="D1382" t="str">
        <f>IFERROR(__xludf.DUMMYFUNCTION("""COMPUTED_VALUE"""),"Mayo")</f>
        <v>Mayo</v>
      </c>
      <c r="E1382" t="str">
        <f>IFERROR(__xludf.DUMMYFUNCTION("""COMPUTED_VALUE"""),"David")</f>
        <v>David</v>
      </c>
      <c r="F1382" t="str">
        <f>IFERROR(__xludf.DUMMYFUNCTION("""COMPUTED_VALUE"""),"MLB")</f>
        <v>MLB</v>
      </c>
      <c r="G1382">
        <f>IFERROR(__xludf.DUMMYFUNCTION("""COMPUTED_VALUE"""),9.6)</f>
        <v>9.6</v>
      </c>
    </row>
    <row r="1383">
      <c r="D1383" t="str">
        <f>IFERROR(__xludf.DUMMYFUNCTION("""COMPUTED_VALUE"""),"Mayowa")</f>
        <v>Mayowa</v>
      </c>
      <c r="E1383" t="str">
        <f>IFERROR(__xludf.DUMMYFUNCTION("""COMPUTED_VALUE"""),"Benson")</f>
        <v>Benson</v>
      </c>
      <c r="F1383" t="str">
        <f>IFERROR(__xludf.DUMMYFUNCTION("""COMPUTED_VALUE"""),"LE")</f>
        <v>LE</v>
      </c>
      <c r="G1383">
        <f>IFERROR(__xludf.DUMMYFUNCTION("""COMPUTED_VALUE"""),10.2)</f>
        <v>10.2</v>
      </c>
    </row>
    <row r="1384">
      <c r="D1384" t="str">
        <f>IFERROR(__xludf.DUMMYFUNCTION("""COMPUTED_VALUE"""),"Mbu")</f>
        <v>Mbu</v>
      </c>
      <c r="E1384" t="str">
        <f>IFERROR(__xludf.DUMMYFUNCTION("""COMPUTED_VALUE"""),"Joey")</f>
        <v>Joey</v>
      </c>
      <c r="F1384" t="str">
        <f>IFERROR(__xludf.DUMMYFUNCTION("""COMPUTED_VALUE"""),"DT")</f>
        <v>DT</v>
      </c>
      <c r="G1384">
        <f>IFERROR(__xludf.DUMMYFUNCTION("""COMPUTED_VALUE"""),8.85)</f>
        <v>8.85</v>
      </c>
    </row>
    <row r="1385">
      <c r="D1385" t="str">
        <f>IFERROR(__xludf.DUMMYFUNCTION("""COMPUTED_VALUE"""),"McAfee")</f>
        <v>McAfee</v>
      </c>
      <c r="E1385" t="str">
        <f>IFERROR(__xludf.DUMMYFUNCTION("""COMPUTED_VALUE"""),"Pat")</f>
        <v>Pat</v>
      </c>
      <c r="F1385" t="str">
        <f>IFERROR(__xludf.DUMMYFUNCTION("""COMPUTED_VALUE"""),"P")</f>
        <v>P</v>
      </c>
      <c r="G1385">
        <f>IFERROR(__xludf.DUMMYFUNCTION("""COMPUTED_VALUE"""),12.9)</f>
        <v>12.9</v>
      </c>
    </row>
    <row r="1386">
      <c r="D1386" t="str">
        <f>IFERROR(__xludf.DUMMYFUNCTION("""COMPUTED_VALUE"""),"McBride")</f>
        <v>McBride</v>
      </c>
      <c r="E1386" t="str">
        <f>IFERROR(__xludf.DUMMYFUNCTION("""COMPUTED_VALUE"""),"Tre")</f>
        <v>Tre</v>
      </c>
      <c r="F1386" t="str">
        <f>IFERROR(__xludf.DUMMYFUNCTION("""COMPUTED_VALUE"""),"WR")</f>
        <v>WR</v>
      </c>
      <c r="G1386">
        <f>IFERROR(__xludf.DUMMYFUNCTION("""COMPUTED_VALUE"""),9.75)</f>
        <v>9.75</v>
      </c>
    </row>
    <row r="1387">
      <c r="D1387" t="str">
        <f>IFERROR(__xludf.DUMMYFUNCTION("""COMPUTED_VALUE"""),"McCaffrey")</f>
        <v>McCaffrey</v>
      </c>
      <c r="E1387" t="str">
        <f>IFERROR(__xludf.DUMMYFUNCTION("""COMPUTED_VALUE"""),"Max")</f>
        <v>Max</v>
      </c>
      <c r="F1387" t="str">
        <f>IFERROR(__xludf.DUMMYFUNCTION("""COMPUTED_VALUE"""),"WR")</f>
        <v>WR</v>
      </c>
      <c r="G1387">
        <f>IFERROR(__xludf.DUMMYFUNCTION("""COMPUTED_VALUE"""),9.45)</f>
        <v>9.45</v>
      </c>
    </row>
    <row r="1388">
      <c r="D1388" t="str">
        <f>IFERROR(__xludf.DUMMYFUNCTION("""COMPUTED_VALUE"""),"McCain")</f>
        <v>McCain</v>
      </c>
      <c r="E1388" t="str">
        <f>IFERROR(__xludf.DUMMYFUNCTION("""COMPUTED_VALUE"""),"Bobby")</f>
        <v>Bobby</v>
      </c>
      <c r="F1388" t="str">
        <f>IFERROR(__xludf.DUMMYFUNCTION("""COMPUTED_VALUE"""),"CB")</f>
        <v>CB</v>
      </c>
      <c r="G1388">
        <f>IFERROR(__xludf.DUMMYFUNCTION("""COMPUTED_VALUE"""),10.65)</f>
        <v>10.65</v>
      </c>
    </row>
    <row r="1389">
      <c r="D1389" t="str">
        <f>IFERROR(__xludf.DUMMYFUNCTION("""COMPUTED_VALUE"""),"McCain")</f>
        <v>McCain</v>
      </c>
      <c r="E1389" t="str">
        <f>IFERROR(__xludf.DUMMYFUNCTION("""COMPUTED_VALUE"""),"Brice")</f>
        <v>Brice</v>
      </c>
      <c r="F1389" t="str">
        <f>IFERROR(__xludf.DUMMYFUNCTION("""COMPUTED_VALUE"""),"CB")</f>
        <v>CB</v>
      </c>
      <c r="G1389">
        <f>IFERROR(__xludf.DUMMYFUNCTION("""COMPUTED_VALUE"""),11.7)</f>
        <v>11.7</v>
      </c>
    </row>
    <row r="1390">
      <c r="D1390" t="str">
        <f>IFERROR(__xludf.DUMMYFUNCTION("""COMPUTED_VALUE"""),"McCain")</f>
        <v>McCain</v>
      </c>
      <c r="E1390" t="str">
        <f>IFERROR(__xludf.DUMMYFUNCTION("""COMPUTED_VALUE"""),"Chris")</f>
        <v>Chris</v>
      </c>
      <c r="F1390" t="str">
        <f>IFERROR(__xludf.DUMMYFUNCTION("""COMPUTED_VALUE"""),"RE")</f>
        <v>RE</v>
      </c>
      <c r="G1390">
        <f>IFERROR(__xludf.DUMMYFUNCTION("""COMPUTED_VALUE"""),9.6)</f>
        <v>9.6</v>
      </c>
    </row>
    <row r="1391">
      <c r="D1391" t="str">
        <f>IFERROR(__xludf.DUMMYFUNCTION("""COMPUTED_VALUE"""),"McCalister")</f>
        <v>McCalister</v>
      </c>
      <c r="E1391" t="str">
        <f>IFERROR(__xludf.DUMMYFUNCTION("""COMPUTED_VALUE"""),"Alex")</f>
        <v>Alex</v>
      </c>
      <c r="F1391" t="str">
        <f>IFERROR(__xludf.DUMMYFUNCTION("""COMPUTED_VALUE"""),"RE")</f>
        <v>RE</v>
      </c>
      <c r="G1391">
        <f>IFERROR(__xludf.DUMMYFUNCTION("""COMPUTED_VALUE"""),9.0)</f>
        <v>9</v>
      </c>
    </row>
    <row r="1392">
      <c r="D1392" t="str">
        <f>IFERROR(__xludf.DUMMYFUNCTION("""COMPUTED_VALUE"""),"McCants")</f>
        <v>McCants</v>
      </c>
      <c r="E1392" t="str">
        <f>IFERROR(__xludf.DUMMYFUNCTION("""COMPUTED_VALUE"""),"Matthew")</f>
        <v>Matthew</v>
      </c>
      <c r="F1392" t="str">
        <f>IFERROR(__xludf.DUMMYFUNCTION("""COMPUTED_VALUE"""),"LT")</f>
        <v>LT</v>
      </c>
      <c r="G1392">
        <f>IFERROR(__xludf.DUMMYFUNCTION("""COMPUTED_VALUE"""),10.65)</f>
        <v>10.65</v>
      </c>
    </row>
    <row r="1393">
      <c r="D1393" t="str">
        <f>IFERROR(__xludf.DUMMYFUNCTION("""COMPUTED_VALUE"""),"McCarron")</f>
        <v>McCarron</v>
      </c>
      <c r="E1393" t="str">
        <f>IFERROR(__xludf.DUMMYFUNCTION("""COMPUTED_VALUE"""),"AJ")</f>
        <v>AJ</v>
      </c>
      <c r="F1393" t="str">
        <f>IFERROR(__xludf.DUMMYFUNCTION("""COMPUTED_VALUE"""),"QB")</f>
        <v>QB</v>
      </c>
      <c r="G1393">
        <f>IFERROR(__xludf.DUMMYFUNCTION("""COMPUTED_VALUE"""),10.95)</f>
        <v>10.95</v>
      </c>
    </row>
    <row r="1394">
      <c r="D1394" t="str">
        <f>IFERROR(__xludf.DUMMYFUNCTION("""COMPUTED_VALUE"""),"McClain")</f>
        <v>McClain</v>
      </c>
      <c r="E1394" t="str">
        <f>IFERROR(__xludf.DUMMYFUNCTION("""COMPUTED_VALUE"""),"Antoine")</f>
        <v>Antoine</v>
      </c>
      <c r="F1394" t="str">
        <f>IFERROR(__xludf.DUMMYFUNCTION("""COMPUTED_VALUE"""),"RG")</f>
        <v>RG</v>
      </c>
      <c r="G1394">
        <f>IFERROR(__xludf.DUMMYFUNCTION("""COMPUTED_VALUE"""),9.6)</f>
        <v>9.6</v>
      </c>
    </row>
    <row r="1395">
      <c r="D1395" t="str">
        <f>IFERROR(__xludf.DUMMYFUNCTION("""COMPUTED_VALUE"""),"McClain")</f>
        <v>McClain</v>
      </c>
      <c r="E1395" t="str">
        <f>IFERROR(__xludf.DUMMYFUNCTION("""COMPUTED_VALUE"""),"Robert")</f>
        <v>Robert</v>
      </c>
      <c r="F1395" t="str">
        <f>IFERROR(__xludf.DUMMYFUNCTION("""COMPUTED_VALUE"""),"CB")</f>
        <v>CB</v>
      </c>
      <c r="G1395">
        <f>IFERROR(__xludf.DUMMYFUNCTION("""COMPUTED_VALUE"""),10.65)</f>
        <v>10.65</v>
      </c>
    </row>
    <row r="1396">
      <c r="D1396" t="str">
        <f>IFERROR(__xludf.DUMMYFUNCTION("""COMPUTED_VALUE"""),"McClain")</f>
        <v>McClain</v>
      </c>
      <c r="E1396" t="str">
        <f>IFERROR(__xludf.DUMMYFUNCTION("""COMPUTED_VALUE"""),"Rolando")</f>
        <v>Rolando</v>
      </c>
      <c r="F1396" t="str">
        <f>IFERROR(__xludf.DUMMYFUNCTION("""COMPUTED_VALUE"""),"MLB")</f>
        <v>MLB</v>
      </c>
      <c r="G1396">
        <f>IFERROR(__xludf.DUMMYFUNCTION("""COMPUTED_VALUE"""),12.15)</f>
        <v>12.15</v>
      </c>
    </row>
    <row r="1397">
      <c r="D1397" t="str">
        <f>IFERROR(__xludf.DUMMYFUNCTION("""COMPUTED_VALUE"""),"McClain")</f>
        <v>McClain</v>
      </c>
      <c r="E1397" t="str">
        <f>IFERROR(__xludf.DUMMYFUNCTION("""COMPUTED_VALUE"""),"Terrell")</f>
        <v>Terrell</v>
      </c>
      <c r="F1397" t="str">
        <f>IFERROR(__xludf.DUMMYFUNCTION("""COMPUTED_VALUE"""),"DT")</f>
        <v>DT</v>
      </c>
      <c r="G1397">
        <f>IFERROR(__xludf.DUMMYFUNCTION("""COMPUTED_VALUE"""),10.95)</f>
        <v>10.95</v>
      </c>
    </row>
    <row r="1398">
      <c r="D1398" t="str">
        <f>IFERROR(__xludf.DUMMYFUNCTION("""COMPUTED_VALUE"""),"McClellan")</f>
        <v>McClellan</v>
      </c>
      <c r="E1398" t="str">
        <f>IFERROR(__xludf.DUMMYFUNCTION("""COMPUTED_VALUE"""),"Albert")</f>
        <v>Albert</v>
      </c>
      <c r="F1398" t="str">
        <f>IFERROR(__xludf.DUMMYFUNCTION("""COMPUTED_VALUE"""),"MLB")</f>
        <v>MLB</v>
      </c>
      <c r="G1398">
        <f>IFERROR(__xludf.DUMMYFUNCTION("""COMPUTED_VALUE"""),10.5)</f>
        <v>10.5</v>
      </c>
    </row>
    <row r="1399">
      <c r="D1399" t="str">
        <f>IFERROR(__xludf.DUMMYFUNCTION("""COMPUTED_VALUE"""),"McClellin")</f>
        <v>McClellin</v>
      </c>
      <c r="E1399" t="str">
        <f>IFERROR(__xludf.DUMMYFUNCTION("""COMPUTED_VALUE"""),"Shea")</f>
        <v>Shea</v>
      </c>
      <c r="F1399" t="str">
        <f>IFERROR(__xludf.DUMMYFUNCTION("""COMPUTED_VALUE"""),"ROLB")</f>
        <v>ROLB</v>
      </c>
      <c r="G1399">
        <f>IFERROR(__xludf.DUMMYFUNCTION("""COMPUTED_VALUE"""),11.549999999999999)</f>
        <v>11.55</v>
      </c>
    </row>
    <row r="1400">
      <c r="D1400" t="str">
        <f>IFERROR(__xludf.DUMMYFUNCTION("""COMPUTED_VALUE"""),"McClendon")</f>
        <v>McClendon</v>
      </c>
      <c r="E1400" t="str">
        <f>IFERROR(__xludf.DUMMYFUNCTION("""COMPUTED_VALUE"""),"Jacques")</f>
        <v>Jacques</v>
      </c>
      <c r="F1400" t="str">
        <f>IFERROR(__xludf.DUMMYFUNCTION("""COMPUTED_VALUE"""),"C")</f>
        <v>C</v>
      </c>
      <c r="G1400">
        <f>IFERROR(__xludf.DUMMYFUNCTION("""COMPUTED_VALUE"""),10.5)</f>
        <v>10.5</v>
      </c>
    </row>
    <row r="1401">
      <c r="D1401" t="str">
        <f>IFERROR(__xludf.DUMMYFUNCTION("""COMPUTED_VALUE"""),"McClure")</f>
        <v>McClure</v>
      </c>
      <c r="E1401" t="str">
        <f>IFERROR(__xludf.DUMMYFUNCTION("""COMPUTED_VALUE"""),"Stefan")</f>
        <v>Stefan</v>
      </c>
      <c r="F1401" t="str">
        <f>IFERROR(__xludf.DUMMYFUNCTION("""COMPUTED_VALUE"""),"SS")</f>
        <v>SS</v>
      </c>
      <c r="G1401">
        <f>IFERROR(__xludf.DUMMYFUNCTION("""COMPUTED_VALUE"""),9.0)</f>
        <v>9</v>
      </c>
    </row>
    <row r="1402">
      <c r="D1402" t="str">
        <f>IFERROR(__xludf.DUMMYFUNCTION("""COMPUTED_VALUE"""),"McCluster")</f>
        <v>McCluster</v>
      </c>
      <c r="E1402" t="str">
        <f>IFERROR(__xludf.DUMMYFUNCTION("""COMPUTED_VALUE"""),"Dexter")</f>
        <v>Dexter</v>
      </c>
      <c r="F1402" t="str">
        <f>IFERROR(__xludf.DUMMYFUNCTION("""COMPUTED_VALUE"""),"HB")</f>
        <v>HB</v>
      </c>
      <c r="G1402">
        <f>IFERROR(__xludf.DUMMYFUNCTION("""COMPUTED_VALUE"""),10.95)</f>
        <v>10.95</v>
      </c>
    </row>
    <row r="1403">
      <c r="D1403" t="str">
        <f>IFERROR(__xludf.DUMMYFUNCTION("""COMPUTED_VALUE"""),"McCourty")</f>
        <v>McCourty</v>
      </c>
      <c r="E1403" t="str">
        <f>IFERROR(__xludf.DUMMYFUNCTION("""COMPUTED_VALUE"""),"Devin")</f>
        <v>Devin</v>
      </c>
      <c r="F1403" t="str">
        <f>IFERROR(__xludf.DUMMYFUNCTION("""COMPUTED_VALUE"""),"FS")</f>
        <v>FS</v>
      </c>
      <c r="G1403">
        <f>IFERROR(__xludf.DUMMYFUNCTION("""COMPUTED_VALUE"""),13.65)</f>
        <v>13.65</v>
      </c>
    </row>
    <row r="1404">
      <c r="D1404" t="str">
        <f>IFERROR(__xludf.DUMMYFUNCTION("""COMPUTED_VALUE"""),"McCourty")</f>
        <v>McCourty</v>
      </c>
      <c r="E1404" t="str">
        <f>IFERROR(__xludf.DUMMYFUNCTION("""COMPUTED_VALUE"""),"Jason")</f>
        <v>Jason</v>
      </c>
      <c r="F1404" t="str">
        <f>IFERROR(__xludf.DUMMYFUNCTION("""COMPUTED_VALUE"""),"CB")</f>
        <v>CB</v>
      </c>
      <c r="G1404">
        <f>IFERROR(__xludf.DUMMYFUNCTION("""COMPUTED_VALUE"""),12.0)</f>
        <v>12</v>
      </c>
    </row>
    <row r="1405">
      <c r="D1405" t="str">
        <f>IFERROR(__xludf.DUMMYFUNCTION("""COMPUTED_VALUE"""),"McCown")</f>
        <v>McCown</v>
      </c>
      <c r="E1405" t="str">
        <f>IFERROR(__xludf.DUMMYFUNCTION("""COMPUTED_VALUE"""),"Josh")</f>
        <v>Josh</v>
      </c>
      <c r="F1405" t="str">
        <f>IFERROR(__xludf.DUMMYFUNCTION("""COMPUTED_VALUE"""),"QB")</f>
        <v>QB</v>
      </c>
      <c r="G1405">
        <f>IFERROR(__xludf.DUMMYFUNCTION("""COMPUTED_VALUE"""),10.65)</f>
        <v>10.65</v>
      </c>
    </row>
    <row r="1406">
      <c r="D1406" t="str">
        <f>IFERROR(__xludf.DUMMYFUNCTION("""COMPUTED_VALUE"""),"McCown")</f>
        <v>McCown</v>
      </c>
      <c r="E1406" t="str">
        <f>IFERROR(__xludf.DUMMYFUNCTION("""COMPUTED_VALUE"""),"Luke")</f>
        <v>Luke</v>
      </c>
      <c r="F1406" t="str">
        <f>IFERROR(__xludf.DUMMYFUNCTION("""COMPUTED_VALUE"""),"QB")</f>
        <v>QB</v>
      </c>
      <c r="G1406">
        <f>IFERROR(__xludf.DUMMYFUNCTION("""COMPUTED_VALUE"""),10.65)</f>
        <v>10.65</v>
      </c>
    </row>
    <row r="1407">
      <c r="D1407" t="str">
        <f>IFERROR(__xludf.DUMMYFUNCTION("""COMPUTED_VALUE"""),"McCoy")</f>
        <v>McCoy</v>
      </c>
      <c r="E1407" t="str">
        <f>IFERROR(__xludf.DUMMYFUNCTION("""COMPUTED_VALUE"""),"Colt")</f>
        <v>Colt</v>
      </c>
      <c r="F1407" t="str">
        <f>IFERROR(__xludf.DUMMYFUNCTION("""COMPUTED_VALUE"""),"QB")</f>
        <v>QB</v>
      </c>
      <c r="G1407">
        <f>IFERROR(__xludf.DUMMYFUNCTION("""COMPUTED_VALUE"""),10.2)</f>
        <v>10.2</v>
      </c>
    </row>
    <row r="1408">
      <c r="D1408" t="str">
        <f>IFERROR(__xludf.DUMMYFUNCTION("""COMPUTED_VALUE"""),"McCoy")</f>
        <v>McCoy</v>
      </c>
      <c r="E1408" t="str">
        <f>IFERROR(__xludf.DUMMYFUNCTION("""COMPUTED_VALUE"""),"Gerald")</f>
        <v>Gerald</v>
      </c>
      <c r="F1408" t="str">
        <f>IFERROR(__xludf.DUMMYFUNCTION("""COMPUTED_VALUE"""),"DT")</f>
        <v>DT</v>
      </c>
      <c r="G1408">
        <f>IFERROR(__xludf.DUMMYFUNCTION("""COMPUTED_VALUE"""),13.799999999999999)</f>
        <v>13.8</v>
      </c>
    </row>
    <row r="1409">
      <c r="D1409" t="str">
        <f>IFERROR(__xludf.DUMMYFUNCTION("""COMPUTED_VALUE"""),"McCoy")</f>
        <v>McCoy</v>
      </c>
      <c r="E1409" t="str">
        <f>IFERROR(__xludf.DUMMYFUNCTION("""COMPUTED_VALUE"""),"LeSean")</f>
        <v>LeSean</v>
      </c>
      <c r="F1409" t="str">
        <f>IFERROR(__xludf.DUMMYFUNCTION("""COMPUTED_VALUE"""),"HB")</f>
        <v>HB</v>
      </c>
      <c r="G1409">
        <f>IFERROR(__xludf.DUMMYFUNCTION("""COMPUTED_VALUE"""),12.9)</f>
        <v>12.9</v>
      </c>
    </row>
    <row r="1410">
      <c r="D1410" t="str">
        <f>IFERROR(__xludf.DUMMYFUNCTION("""COMPUTED_VALUE"""),"McCray")</f>
        <v>McCray</v>
      </c>
      <c r="E1410" t="str">
        <f>IFERROR(__xludf.DUMMYFUNCTION("""COMPUTED_VALUE"""),"Demetrius")</f>
        <v>Demetrius</v>
      </c>
      <c r="F1410" t="str">
        <f>IFERROR(__xludf.DUMMYFUNCTION("""COMPUTED_VALUE"""),"CB")</f>
        <v>CB</v>
      </c>
      <c r="G1410">
        <f>IFERROR(__xludf.DUMMYFUNCTION("""COMPUTED_VALUE"""),10.95)</f>
        <v>10.95</v>
      </c>
    </row>
    <row r="1411">
      <c r="D1411" t="str">
        <f>IFERROR(__xludf.DUMMYFUNCTION("""COMPUTED_VALUE"""),"McCray")</f>
        <v>McCray</v>
      </c>
      <c r="E1411" t="str">
        <f>IFERROR(__xludf.DUMMYFUNCTION("""COMPUTED_VALUE"""),"Kelcie")</f>
        <v>Kelcie</v>
      </c>
      <c r="F1411" t="str">
        <f>IFERROR(__xludf.DUMMYFUNCTION("""COMPUTED_VALUE"""),"SS")</f>
        <v>SS</v>
      </c>
      <c r="G1411">
        <f>IFERROR(__xludf.DUMMYFUNCTION("""COMPUTED_VALUE"""),9.9)</f>
        <v>9.9</v>
      </c>
    </row>
    <row r="1412">
      <c r="D1412" t="str">
        <f>IFERROR(__xludf.DUMMYFUNCTION("""COMPUTED_VALUE"""),"McCray")</f>
        <v>McCray</v>
      </c>
      <c r="E1412" t="str">
        <f>IFERROR(__xludf.DUMMYFUNCTION("""COMPUTED_VALUE"""),"Lerentee")</f>
        <v>Lerentee</v>
      </c>
      <c r="F1412" t="str">
        <f>IFERROR(__xludf.DUMMYFUNCTION("""COMPUTED_VALUE"""),"ROLB")</f>
        <v>ROLB</v>
      </c>
      <c r="G1412">
        <f>IFERROR(__xludf.DUMMYFUNCTION("""COMPUTED_VALUE"""),10.65)</f>
        <v>10.65</v>
      </c>
    </row>
    <row r="1413">
      <c r="D1413" t="str">
        <f>IFERROR(__xludf.DUMMYFUNCTION("""COMPUTED_VALUE"""),"McCray II")</f>
        <v>McCray II</v>
      </c>
      <c r="E1413" t="str">
        <f>IFERROR(__xludf.DUMMYFUNCTION("""COMPUTED_VALUE"""),"LJ")</f>
        <v>LJ</v>
      </c>
      <c r="F1413" t="str">
        <f>IFERROR(__xludf.DUMMYFUNCTION("""COMPUTED_VALUE"""),"FS")</f>
        <v>FS</v>
      </c>
      <c r="G1413">
        <f>IFERROR(__xludf.DUMMYFUNCTION("""COMPUTED_VALUE"""),9.75)</f>
        <v>9.75</v>
      </c>
    </row>
    <row r="1414">
      <c r="D1414" t="str">
        <f>IFERROR(__xludf.DUMMYFUNCTION("""COMPUTED_VALUE"""),"McCullers")</f>
        <v>McCullers</v>
      </c>
      <c r="E1414" t="str">
        <f>IFERROR(__xludf.DUMMYFUNCTION("""COMPUTED_VALUE"""),"Daniel")</f>
        <v>Daniel</v>
      </c>
      <c r="F1414" t="str">
        <f>IFERROR(__xludf.DUMMYFUNCTION("""COMPUTED_VALUE"""),"DT")</f>
        <v>DT</v>
      </c>
      <c r="G1414">
        <f>IFERROR(__xludf.DUMMYFUNCTION("""COMPUTED_VALUE"""),9.9)</f>
        <v>9.9</v>
      </c>
    </row>
    <row r="1415">
      <c r="D1415" t="str">
        <f>IFERROR(__xludf.DUMMYFUNCTION("""COMPUTED_VALUE"""),"McDermott")</f>
        <v>McDermott</v>
      </c>
      <c r="E1415" t="str">
        <f>IFERROR(__xludf.DUMMYFUNCTION("""COMPUTED_VALUE"""),"Kevin")</f>
        <v>Kevin</v>
      </c>
      <c r="F1415" t="str">
        <f>IFERROR(__xludf.DUMMYFUNCTION("""COMPUTED_VALUE"""),"TE")</f>
        <v>TE</v>
      </c>
      <c r="G1415">
        <f>IFERROR(__xludf.DUMMYFUNCTION("""COMPUTED_VALUE"""),7.5)</f>
        <v>7.5</v>
      </c>
    </row>
    <row r="1416">
      <c r="D1416" t="str">
        <f>IFERROR(__xludf.DUMMYFUNCTION("""COMPUTED_VALUE"""),"McDermott")</f>
        <v>McDermott</v>
      </c>
      <c r="E1416" t="str">
        <f>IFERROR(__xludf.DUMMYFUNCTION("""COMPUTED_VALUE"""),"Shane")</f>
        <v>Shane</v>
      </c>
      <c r="F1416" t="str">
        <f>IFERROR(__xludf.DUMMYFUNCTION("""COMPUTED_VALUE"""),"C")</f>
        <v>C</v>
      </c>
      <c r="G1416">
        <f>IFERROR(__xludf.DUMMYFUNCTION("""COMPUTED_VALUE"""),9.299999999999999)</f>
        <v>9.3</v>
      </c>
    </row>
    <row r="1417">
      <c r="D1417" t="str">
        <f>IFERROR(__xludf.DUMMYFUNCTION("""COMPUTED_VALUE"""),"McDonald")</f>
        <v>McDonald</v>
      </c>
      <c r="E1417" t="str">
        <f>IFERROR(__xludf.DUMMYFUNCTION("""COMPUTED_VALUE"""),"Andrew")</f>
        <v>Andrew</v>
      </c>
      <c r="F1417" t="str">
        <f>IFERROR(__xludf.DUMMYFUNCTION("""COMPUTED_VALUE"""),"LT")</f>
        <v>LT</v>
      </c>
      <c r="G1417">
        <f>IFERROR(__xludf.DUMMYFUNCTION("""COMPUTED_VALUE"""),10.5)</f>
        <v>10.5</v>
      </c>
    </row>
    <row r="1418">
      <c r="D1418" t="str">
        <f>IFERROR(__xludf.DUMMYFUNCTION("""COMPUTED_VALUE"""),"McDonald")</f>
        <v>McDonald</v>
      </c>
      <c r="E1418" t="str">
        <f>IFERROR(__xludf.DUMMYFUNCTION("""COMPUTED_VALUE"""),"Clinton")</f>
        <v>Clinton</v>
      </c>
      <c r="F1418" t="str">
        <f>IFERROR(__xludf.DUMMYFUNCTION("""COMPUTED_VALUE"""),"DT")</f>
        <v>DT</v>
      </c>
      <c r="G1418">
        <f>IFERROR(__xludf.DUMMYFUNCTION("""COMPUTED_VALUE"""),11.549999999999999)</f>
        <v>11.55</v>
      </c>
    </row>
    <row r="1419">
      <c r="D1419" t="str">
        <f>IFERROR(__xludf.DUMMYFUNCTION("""COMPUTED_VALUE"""),"McDonald")</f>
        <v>McDonald</v>
      </c>
      <c r="E1419" t="str">
        <f>IFERROR(__xludf.DUMMYFUNCTION("""COMPUTED_VALUE"""),"Dewey")</f>
        <v>Dewey</v>
      </c>
      <c r="F1419" t="str">
        <f>IFERROR(__xludf.DUMMYFUNCTION("""COMPUTED_VALUE"""),"SS")</f>
        <v>SS</v>
      </c>
      <c r="G1419">
        <f>IFERROR(__xludf.DUMMYFUNCTION("""COMPUTED_VALUE"""),9.75)</f>
        <v>9.75</v>
      </c>
    </row>
    <row r="1420">
      <c r="D1420" t="str">
        <f>IFERROR(__xludf.DUMMYFUNCTION("""COMPUTED_VALUE"""),"McDonald")</f>
        <v>McDonald</v>
      </c>
      <c r="E1420" t="str">
        <f>IFERROR(__xludf.DUMMYFUNCTION("""COMPUTED_VALUE"""),"Dexter")</f>
        <v>Dexter</v>
      </c>
      <c r="F1420" t="str">
        <f>IFERROR(__xludf.DUMMYFUNCTION("""COMPUTED_VALUE"""),"CB")</f>
        <v>CB</v>
      </c>
      <c r="G1420">
        <f>IFERROR(__xludf.DUMMYFUNCTION("""COMPUTED_VALUE"""),9.15)</f>
        <v>9.15</v>
      </c>
    </row>
    <row r="1421">
      <c r="D1421" t="str">
        <f>IFERROR(__xludf.DUMMYFUNCTION("""COMPUTED_VALUE"""),"McDonald")</f>
        <v>McDonald</v>
      </c>
      <c r="E1421" t="str">
        <f>IFERROR(__xludf.DUMMYFUNCTION("""COMPUTED_VALUE"""),"Vance")</f>
        <v>Vance</v>
      </c>
      <c r="F1421" t="str">
        <f>IFERROR(__xludf.DUMMYFUNCTION("""COMPUTED_VALUE"""),"TE")</f>
        <v>TE</v>
      </c>
      <c r="G1421">
        <f>IFERROR(__xludf.DUMMYFUNCTION("""COMPUTED_VALUE"""),11.7)</f>
        <v>11.7</v>
      </c>
    </row>
    <row r="1422">
      <c r="D1422" t="str">
        <f>IFERROR(__xludf.DUMMYFUNCTION("""COMPUTED_VALUE"""),"McDonald Jr.")</f>
        <v>McDonald Jr.</v>
      </c>
      <c r="E1422" t="str">
        <f>IFERROR(__xludf.DUMMYFUNCTION("""COMPUTED_VALUE"""),"TJ")</f>
        <v>TJ</v>
      </c>
      <c r="F1422" t="str">
        <f>IFERROR(__xludf.DUMMYFUNCTION("""COMPUTED_VALUE"""),"SS")</f>
        <v>SS</v>
      </c>
      <c r="G1422">
        <f>IFERROR(__xludf.DUMMYFUNCTION("""COMPUTED_VALUE"""),12.45)</f>
        <v>12.45</v>
      </c>
    </row>
    <row r="1423">
      <c r="D1423" t="str">
        <f>IFERROR(__xludf.DUMMYFUNCTION("""COMPUTED_VALUE"""),"McDougald")</f>
        <v>McDougald</v>
      </c>
      <c r="E1423" t="str">
        <f>IFERROR(__xludf.DUMMYFUNCTION("""COMPUTED_VALUE"""),"Bradley")</f>
        <v>Bradley</v>
      </c>
      <c r="F1423" t="str">
        <f>IFERROR(__xludf.DUMMYFUNCTION("""COMPUTED_VALUE"""),"FS")</f>
        <v>FS</v>
      </c>
      <c r="G1423">
        <f>IFERROR(__xludf.DUMMYFUNCTION("""COMPUTED_VALUE"""),11.549999999999999)</f>
        <v>11.55</v>
      </c>
    </row>
    <row r="1424">
      <c r="D1424" t="str">
        <f>IFERROR(__xludf.DUMMYFUNCTION("""COMPUTED_VALUE"""),"McDougle")</f>
        <v>McDougle</v>
      </c>
      <c r="E1424" t="str">
        <f>IFERROR(__xludf.DUMMYFUNCTION("""COMPUTED_VALUE"""),"Dexter")</f>
        <v>Dexter</v>
      </c>
      <c r="F1424" t="str">
        <f>IFERROR(__xludf.DUMMYFUNCTION("""COMPUTED_VALUE"""),"CB")</f>
        <v>CB</v>
      </c>
      <c r="G1424">
        <f>IFERROR(__xludf.DUMMYFUNCTION("""COMPUTED_VALUE"""),10.2)</f>
        <v>10.2</v>
      </c>
    </row>
    <row r="1425">
      <c r="D1425" t="str">
        <f>IFERROR(__xludf.DUMMYFUNCTION("""COMPUTED_VALUE"""),"McFadden")</f>
        <v>McFadden</v>
      </c>
      <c r="E1425" t="str">
        <f>IFERROR(__xludf.DUMMYFUNCTION("""COMPUTED_VALUE"""),"Darren")</f>
        <v>Darren</v>
      </c>
      <c r="F1425" t="str">
        <f>IFERROR(__xludf.DUMMYFUNCTION("""COMPUTED_VALUE"""),"HB")</f>
        <v>HB</v>
      </c>
      <c r="G1425">
        <f>IFERROR(__xludf.DUMMYFUNCTION("""COMPUTED_VALUE"""),11.85)</f>
        <v>11.85</v>
      </c>
    </row>
    <row r="1426">
      <c r="D1426" t="str">
        <f>IFERROR(__xludf.DUMMYFUNCTION("""COMPUTED_VALUE"""),"McFadden")</f>
        <v>McFadden</v>
      </c>
      <c r="E1426" t="str">
        <f>IFERROR(__xludf.DUMMYFUNCTION("""COMPUTED_VALUE"""),"Kimario")</f>
        <v>Kimario</v>
      </c>
      <c r="F1426" t="str">
        <f>IFERROR(__xludf.DUMMYFUNCTION("""COMPUTED_VALUE"""),"SS")</f>
        <v>SS</v>
      </c>
      <c r="G1426">
        <f>IFERROR(__xludf.DUMMYFUNCTION("""COMPUTED_VALUE"""),9.45)</f>
        <v>9.45</v>
      </c>
    </row>
    <row r="1427">
      <c r="D1427" t="str">
        <f>IFERROR(__xludf.DUMMYFUNCTION("""COMPUTED_VALUE"""),"McFadden")</f>
        <v>McFadden</v>
      </c>
      <c r="E1427" t="str">
        <f>IFERROR(__xludf.DUMMYFUNCTION("""COMPUTED_VALUE"""),"Leon")</f>
        <v>Leon</v>
      </c>
      <c r="F1427" t="str">
        <f>IFERROR(__xludf.DUMMYFUNCTION("""COMPUTED_VALUE"""),"CB")</f>
        <v>CB</v>
      </c>
      <c r="G1427">
        <f>IFERROR(__xludf.DUMMYFUNCTION("""COMPUTED_VALUE"""),10.65)</f>
        <v>10.65</v>
      </c>
    </row>
    <row r="1428">
      <c r="D1428" t="str">
        <f>IFERROR(__xludf.DUMMYFUNCTION("""COMPUTED_VALUE"""),"McGee")</f>
        <v>McGee</v>
      </c>
      <c r="E1428" t="str">
        <f>IFERROR(__xludf.DUMMYFUNCTION("""COMPUTED_VALUE"""),"Stacy")</f>
        <v>Stacy</v>
      </c>
      <c r="F1428" t="str">
        <f>IFERROR(__xludf.DUMMYFUNCTION("""COMPUTED_VALUE"""),"LE")</f>
        <v>LE</v>
      </c>
      <c r="G1428">
        <f>IFERROR(__xludf.DUMMYFUNCTION("""COMPUTED_VALUE"""),9.45)</f>
        <v>9.45</v>
      </c>
    </row>
    <row r="1429">
      <c r="D1429" t="str">
        <f>IFERROR(__xludf.DUMMYFUNCTION("""COMPUTED_VALUE"""),"McGill")</f>
        <v>McGill</v>
      </c>
      <c r="E1429" t="str">
        <f>IFERROR(__xludf.DUMMYFUNCTION("""COMPUTED_VALUE"""),"Keith")</f>
        <v>Keith</v>
      </c>
      <c r="F1429" t="str">
        <f>IFERROR(__xludf.DUMMYFUNCTION("""COMPUTED_VALUE"""),"CB")</f>
        <v>CB</v>
      </c>
      <c r="G1429">
        <f>IFERROR(__xludf.DUMMYFUNCTION("""COMPUTED_VALUE"""),9.9)</f>
        <v>9.9</v>
      </c>
    </row>
    <row r="1430">
      <c r="D1430" t="str">
        <f>IFERROR(__xludf.DUMMYFUNCTION("""COMPUTED_VALUE"""),"McGill")</f>
        <v>McGill</v>
      </c>
      <c r="E1430" t="str">
        <f>IFERROR(__xludf.DUMMYFUNCTION("""COMPUTED_VALUE"""),"TY")</f>
        <v>TY</v>
      </c>
      <c r="F1430" t="str">
        <f>IFERROR(__xludf.DUMMYFUNCTION("""COMPUTED_VALUE"""),"RE")</f>
        <v>RE</v>
      </c>
      <c r="G1430">
        <f>IFERROR(__xludf.DUMMYFUNCTION("""COMPUTED_VALUE"""),9.15)</f>
        <v>9.15</v>
      </c>
    </row>
    <row r="1431">
      <c r="D1431" t="str">
        <f>IFERROR(__xludf.DUMMYFUNCTION("""COMPUTED_VALUE"""),"McGloin")</f>
        <v>McGloin</v>
      </c>
      <c r="E1431" t="str">
        <f>IFERROR(__xludf.DUMMYFUNCTION("""COMPUTED_VALUE"""),"Matt")</f>
        <v>Matt</v>
      </c>
      <c r="F1431" t="str">
        <f>IFERROR(__xludf.DUMMYFUNCTION("""COMPUTED_VALUE"""),"QB")</f>
        <v>QB</v>
      </c>
      <c r="G1431">
        <f>IFERROR(__xludf.DUMMYFUNCTION("""COMPUTED_VALUE"""),9.6)</f>
        <v>9.6</v>
      </c>
    </row>
    <row r="1432">
      <c r="D1432" t="str">
        <f>IFERROR(__xludf.DUMMYFUNCTION("""COMPUTED_VALUE"""),"McGovern")</f>
        <v>McGovern</v>
      </c>
      <c r="E1432" t="str">
        <f>IFERROR(__xludf.DUMMYFUNCTION("""COMPUTED_VALUE"""),"Connor")</f>
        <v>Connor</v>
      </c>
      <c r="F1432" t="str">
        <f>IFERROR(__xludf.DUMMYFUNCTION("""COMPUTED_VALUE"""),"RG")</f>
        <v>RG</v>
      </c>
      <c r="G1432">
        <f>IFERROR(__xludf.DUMMYFUNCTION("""COMPUTED_VALUE"""),9.9)</f>
        <v>9.9</v>
      </c>
    </row>
    <row r="1433">
      <c r="D1433" t="str">
        <f>IFERROR(__xludf.DUMMYFUNCTION("""COMPUTED_VALUE"""),"McGrath")</f>
        <v>McGrath</v>
      </c>
      <c r="E1433" t="str">
        <f>IFERROR(__xludf.DUMMYFUNCTION("""COMPUTED_VALUE"""),"Sean")</f>
        <v>Sean</v>
      </c>
      <c r="F1433" t="str">
        <f>IFERROR(__xludf.DUMMYFUNCTION("""COMPUTED_VALUE"""),"TE")</f>
        <v>TE</v>
      </c>
      <c r="G1433">
        <f>IFERROR(__xludf.DUMMYFUNCTION("""COMPUTED_VALUE"""),10.5)</f>
        <v>10.5</v>
      </c>
    </row>
    <row r="1434">
      <c r="D1434" t="str">
        <f>IFERROR(__xludf.DUMMYFUNCTION("""COMPUTED_VALUE"""),"McKay")</f>
        <v>McKay</v>
      </c>
      <c r="E1434" t="str">
        <f>IFERROR(__xludf.DUMMYFUNCTION("""COMPUTED_VALUE"""),"Mekale")</f>
        <v>Mekale</v>
      </c>
      <c r="F1434" t="str">
        <f>IFERROR(__xludf.DUMMYFUNCTION("""COMPUTED_VALUE"""),"WR")</f>
        <v>WR</v>
      </c>
      <c r="G1434">
        <f>IFERROR(__xludf.DUMMYFUNCTION("""COMPUTED_VALUE"""),9.45)</f>
        <v>9.45</v>
      </c>
    </row>
    <row r="1435">
      <c r="D1435" t="str">
        <f>IFERROR(__xludf.DUMMYFUNCTION("""COMPUTED_VALUE"""),"McKelvin")</f>
        <v>McKelvin</v>
      </c>
      <c r="E1435" t="str">
        <f>IFERROR(__xludf.DUMMYFUNCTION("""COMPUTED_VALUE"""),"Leodis")</f>
        <v>Leodis</v>
      </c>
      <c r="F1435" t="str">
        <f>IFERROR(__xludf.DUMMYFUNCTION("""COMPUTED_VALUE"""),"CB")</f>
        <v>CB</v>
      </c>
      <c r="G1435">
        <f>IFERROR(__xludf.DUMMYFUNCTION("""COMPUTED_VALUE"""),10.95)</f>
        <v>10.95</v>
      </c>
    </row>
    <row r="1436">
      <c r="D1436" t="str">
        <f>IFERROR(__xludf.DUMMYFUNCTION("""COMPUTED_VALUE"""),"McKinney")</f>
        <v>McKinney</v>
      </c>
      <c r="E1436" t="str">
        <f>IFERROR(__xludf.DUMMYFUNCTION("""COMPUTED_VALUE"""),"Benardrick")</f>
        <v>Benardrick</v>
      </c>
      <c r="F1436" t="str">
        <f>IFERROR(__xludf.DUMMYFUNCTION("""COMPUTED_VALUE"""),"MLB")</f>
        <v>MLB</v>
      </c>
      <c r="G1436">
        <f>IFERROR(__xludf.DUMMYFUNCTION("""COMPUTED_VALUE"""),11.549999999999999)</f>
        <v>11.55</v>
      </c>
    </row>
    <row r="1437">
      <c r="D1437" t="str">
        <f>IFERROR(__xludf.DUMMYFUNCTION("""COMPUTED_VALUE"""),"McKinnon")</f>
        <v>McKinnon</v>
      </c>
      <c r="E1437" t="str">
        <f>IFERROR(__xludf.DUMMYFUNCTION("""COMPUTED_VALUE"""),"Jerick")</f>
        <v>Jerick</v>
      </c>
      <c r="F1437" t="str">
        <f>IFERROR(__xludf.DUMMYFUNCTION("""COMPUTED_VALUE"""),"HB")</f>
        <v>HB</v>
      </c>
      <c r="G1437">
        <f>IFERROR(__xludf.DUMMYFUNCTION("""COMPUTED_VALUE"""),11.4)</f>
        <v>11.4</v>
      </c>
    </row>
    <row r="1438">
      <c r="D1438" t="str">
        <f>IFERROR(__xludf.DUMMYFUNCTION("""COMPUTED_VALUE"""),"McKinzy")</f>
        <v>McKinzy</v>
      </c>
      <c r="E1438" t="str">
        <f>IFERROR(__xludf.DUMMYFUNCTION("""COMPUTED_VALUE"""),"Cassanova")</f>
        <v>Cassanova</v>
      </c>
      <c r="F1438" t="str">
        <f>IFERROR(__xludf.DUMMYFUNCTION("""COMPUTED_VALUE"""),"MLB")</f>
        <v>MLB</v>
      </c>
      <c r="G1438">
        <f>IFERROR(__xludf.DUMMYFUNCTION("""COMPUTED_VALUE"""),8.549999999999999)</f>
        <v>8.55</v>
      </c>
    </row>
    <row r="1439">
      <c r="D1439" t="str">
        <f>IFERROR(__xludf.DUMMYFUNCTION("""COMPUTED_VALUE"""),"McKissic")</f>
        <v>McKissic</v>
      </c>
      <c r="E1439" t="str">
        <f>IFERROR(__xludf.DUMMYFUNCTION("""COMPUTED_VALUE"""),"JD")</f>
        <v>JD</v>
      </c>
      <c r="F1439" t="str">
        <f>IFERROR(__xludf.DUMMYFUNCTION("""COMPUTED_VALUE"""),"WR")</f>
        <v>WR</v>
      </c>
      <c r="G1439">
        <f>IFERROR(__xludf.DUMMYFUNCTION("""COMPUTED_VALUE"""),9.299999999999999)</f>
        <v>9.3</v>
      </c>
    </row>
    <row r="1440">
      <c r="D1440" t="str">
        <f>IFERROR(__xludf.DUMMYFUNCTION("""COMPUTED_VALUE"""),"McLendon")</f>
        <v>McLendon</v>
      </c>
      <c r="E1440" t="str">
        <f>IFERROR(__xludf.DUMMYFUNCTION("""COMPUTED_VALUE"""),"Steve")</f>
        <v>Steve</v>
      </c>
      <c r="F1440" t="str">
        <f>IFERROR(__xludf.DUMMYFUNCTION("""COMPUTED_VALUE"""),"DT")</f>
        <v>DT</v>
      </c>
      <c r="G1440">
        <f>IFERROR(__xludf.DUMMYFUNCTION("""COMPUTED_VALUE"""),11.7)</f>
        <v>11.7</v>
      </c>
    </row>
    <row r="1441">
      <c r="D1441" t="str">
        <f>IFERROR(__xludf.DUMMYFUNCTION("""COMPUTED_VALUE"""),"McLennan")</f>
        <v>McLennan</v>
      </c>
      <c r="E1441" t="str">
        <f>IFERROR(__xludf.DUMMYFUNCTION("""COMPUTED_VALUE"""),"Ivan")</f>
        <v>Ivan</v>
      </c>
      <c r="F1441" t="str">
        <f>IFERROR(__xludf.DUMMYFUNCTION("""COMPUTED_VALUE"""),"ROLB")</f>
        <v>ROLB</v>
      </c>
      <c r="G1441">
        <f>IFERROR(__xludf.DUMMYFUNCTION("""COMPUTED_VALUE"""),9.15)</f>
        <v>9.15</v>
      </c>
    </row>
    <row r="1442">
      <c r="D1442" t="str">
        <f>IFERROR(__xludf.DUMMYFUNCTION("""COMPUTED_VALUE"""),"McLeod Jr.")</f>
        <v>McLeod Jr.</v>
      </c>
      <c r="E1442" t="str">
        <f>IFERROR(__xludf.DUMMYFUNCTION("""COMPUTED_VALUE"""),"Rodney")</f>
        <v>Rodney</v>
      </c>
      <c r="F1442" t="str">
        <f>IFERROR(__xludf.DUMMYFUNCTION("""COMPUTED_VALUE"""),"SS")</f>
        <v>SS</v>
      </c>
      <c r="G1442">
        <f>IFERROR(__xludf.DUMMYFUNCTION("""COMPUTED_VALUE"""),12.15)</f>
        <v>12.15</v>
      </c>
    </row>
    <row r="1443">
      <c r="D1443" t="str">
        <f>IFERROR(__xludf.DUMMYFUNCTION("""COMPUTED_VALUE"""),"McManis")</f>
        <v>McManis</v>
      </c>
      <c r="E1443" t="str">
        <f>IFERROR(__xludf.DUMMYFUNCTION("""COMPUTED_VALUE"""),"Sherrick")</f>
        <v>Sherrick</v>
      </c>
      <c r="F1443" t="str">
        <f>IFERROR(__xludf.DUMMYFUNCTION("""COMPUTED_VALUE"""),"CB")</f>
        <v>CB</v>
      </c>
      <c r="G1443">
        <f>IFERROR(__xludf.DUMMYFUNCTION("""COMPUTED_VALUE"""),10.35)</f>
        <v>10.35</v>
      </c>
    </row>
    <row r="1444">
      <c r="D1444" t="str">
        <f>IFERROR(__xludf.DUMMYFUNCTION("""COMPUTED_VALUE"""),"McManus")</f>
        <v>McManus</v>
      </c>
      <c r="E1444" t="str">
        <f>IFERROR(__xludf.DUMMYFUNCTION("""COMPUTED_VALUE"""),"Brandon")</f>
        <v>Brandon</v>
      </c>
      <c r="F1444" t="str">
        <f>IFERROR(__xludf.DUMMYFUNCTION("""COMPUTED_VALUE"""),"K")</f>
        <v>K</v>
      </c>
      <c r="G1444">
        <f>IFERROR(__xludf.DUMMYFUNCTION("""COMPUTED_VALUE"""),12.299999999999999)</f>
        <v>12.3</v>
      </c>
    </row>
    <row r="1445">
      <c r="D1445" t="str">
        <f>IFERROR(__xludf.DUMMYFUNCTION("""COMPUTED_VALUE"""),"McNary")</f>
        <v>McNary</v>
      </c>
      <c r="E1445" t="str">
        <f>IFERROR(__xludf.DUMMYFUNCTION("""COMPUTED_VALUE"""),"Josh")</f>
        <v>Josh</v>
      </c>
      <c r="F1445" t="str">
        <f>IFERROR(__xludf.DUMMYFUNCTION("""COMPUTED_VALUE"""),"ROLB")</f>
        <v>ROLB</v>
      </c>
      <c r="G1445">
        <f>IFERROR(__xludf.DUMMYFUNCTION("""COMPUTED_VALUE"""),10.65)</f>
        <v>10.65</v>
      </c>
    </row>
    <row r="1446">
      <c r="D1446" t="str">
        <f>IFERROR(__xludf.DUMMYFUNCTION("""COMPUTED_VALUE"""),"McPhee")</f>
        <v>McPhee</v>
      </c>
      <c r="E1446" t="str">
        <f>IFERROR(__xludf.DUMMYFUNCTION("""COMPUTED_VALUE"""),"Pernell")</f>
        <v>Pernell</v>
      </c>
      <c r="F1446" t="str">
        <f>IFERROR(__xludf.DUMMYFUNCTION("""COMPUTED_VALUE"""),"LOLB")</f>
        <v>LOLB</v>
      </c>
      <c r="G1446">
        <f>IFERROR(__xludf.DUMMYFUNCTION("""COMPUTED_VALUE"""),13.799999999999999)</f>
        <v>13.8</v>
      </c>
    </row>
    <row r="1447">
      <c r="D1447" t="str">
        <f>IFERROR(__xludf.DUMMYFUNCTION("""COMPUTED_VALUE"""),"McQuaide")</f>
        <v>McQuaide</v>
      </c>
      <c r="E1447" t="str">
        <f>IFERROR(__xludf.DUMMYFUNCTION("""COMPUTED_VALUE"""),"Jake")</f>
        <v>Jake</v>
      </c>
      <c r="F1447" t="str">
        <f>IFERROR(__xludf.DUMMYFUNCTION("""COMPUTED_VALUE"""),"TE")</f>
        <v>TE</v>
      </c>
      <c r="G1447">
        <f>IFERROR(__xludf.DUMMYFUNCTION("""COMPUTED_VALUE"""),6.6)</f>
        <v>6.6</v>
      </c>
    </row>
    <row r="1448">
      <c r="D1448" t="str">
        <f>IFERROR(__xludf.DUMMYFUNCTION("""COMPUTED_VALUE"""),"McRoberts")</f>
        <v>McRoberts</v>
      </c>
      <c r="E1448" t="str">
        <f>IFERROR(__xludf.DUMMYFUNCTION("""COMPUTED_VALUE"""),"Paul")</f>
        <v>Paul</v>
      </c>
      <c r="F1448" t="str">
        <f>IFERROR(__xludf.DUMMYFUNCTION("""COMPUTED_VALUE"""),"WR")</f>
        <v>WR</v>
      </c>
      <c r="G1448">
        <f>IFERROR(__xludf.DUMMYFUNCTION("""COMPUTED_VALUE"""),9.299999999999999)</f>
        <v>9.3</v>
      </c>
    </row>
    <row r="1449">
      <c r="D1449" t="str">
        <f>IFERROR(__xludf.DUMMYFUNCTION("""COMPUTED_VALUE"""),"Means")</f>
        <v>Means</v>
      </c>
      <c r="E1449" t="str">
        <f>IFERROR(__xludf.DUMMYFUNCTION("""COMPUTED_VALUE"""),"Steven")</f>
        <v>Steven</v>
      </c>
      <c r="F1449" t="str">
        <f>IFERROR(__xludf.DUMMYFUNCTION("""COMPUTED_VALUE"""),"RE")</f>
        <v>RE</v>
      </c>
      <c r="G1449">
        <f>IFERROR(__xludf.DUMMYFUNCTION("""COMPUTED_VALUE"""),9.75)</f>
        <v>9.75</v>
      </c>
    </row>
    <row r="1450">
      <c r="D1450" t="str">
        <f>IFERROR(__xludf.DUMMYFUNCTION("""COMPUTED_VALUE"""),"Mebane")</f>
        <v>Mebane</v>
      </c>
      <c r="E1450" t="str">
        <f>IFERROR(__xludf.DUMMYFUNCTION("""COMPUTED_VALUE"""),"Brandon")</f>
        <v>Brandon</v>
      </c>
      <c r="F1450" t="str">
        <f>IFERROR(__xludf.DUMMYFUNCTION("""COMPUTED_VALUE"""),"DT")</f>
        <v>DT</v>
      </c>
      <c r="G1450">
        <f>IFERROR(__xludf.DUMMYFUNCTION("""COMPUTED_VALUE"""),12.0)</f>
        <v>12</v>
      </c>
    </row>
    <row r="1451">
      <c r="D1451" t="str">
        <f>IFERROR(__xludf.DUMMYFUNCTION("""COMPUTED_VALUE"""),"Meder")</f>
        <v>Meder</v>
      </c>
      <c r="E1451" t="str">
        <f>IFERROR(__xludf.DUMMYFUNCTION("""COMPUTED_VALUE"""),"Jamie")</f>
        <v>Jamie</v>
      </c>
      <c r="F1451" t="str">
        <f>IFERROR(__xludf.DUMMYFUNCTION("""COMPUTED_VALUE"""),"DT")</f>
        <v>DT</v>
      </c>
      <c r="G1451">
        <f>IFERROR(__xludf.DUMMYFUNCTION("""COMPUTED_VALUE"""),10.35)</f>
        <v>10.35</v>
      </c>
    </row>
    <row r="1452">
      <c r="D1452" t="str">
        <f>IFERROR(__xludf.DUMMYFUNCTION("""COMPUTED_VALUE"""),"Meeks")</f>
        <v>Meeks</v>
      </c>
      <c r="E1452" t="str">
        <f>IFERROR(__xludf.DUMMYFUNCTION("""COMPUTED_VALUE"""),"Jonathan")</f>
        <v>Jonathan</v>
      </c>
      <c r="F1452" t="str">
        <f>IFERROR(__xludf.DUMMYFUNCTION("""COMPUTED_VALUE"""),"SS")</f>
        <v>SS</v>
      </c>
      <c r="G1452">
        <f>IFERROR(__xludf.DUMMYFUNCTION("""COMPUTED_VALUE"""),9.6)</f>
        <v>9.6</v>
      </c>
    </row>
    <row r="1453">
      <c r="D1453" t="str">
        <f>IFERROR(__xludf.DUMMYFUNCTION("""COMPUTED_VALUE"""),"Melvin")</f>
        <v>Melvin</v>
      </c>
      <c r="E1453" t="str">
        <f>IFERROR(__xludf.DUMMYFUNCTION("""COMPUTED_VALUE"""),"Rashaan")</f>
        <v>Rashaan</v>
      </c>
      <c r="F1453" t="str">
        <f>IFERROR(__xludf.DUMMYFUNCTION("""COMPUTED_VALUE"""),"CB")</f>
        <v>CB</v>
      </c>
      <c r="G1453">
        <f>IFERROR(__xludf.DUMMYFUNCTION("""COMPUTED_VALUE"""),10.35)</f>
        <v>10.35</v>
      </c>
    </row>
    <row r="1454">
      <c r="D1454" t="str">
        <f>IFERROR(__xludf.DUMMYFUNCTION("""COMPUTED_VALUE"""),"Mercilus")</f>
        <v>Mercilus</v>
      </c>
      <c r="E1454" t="str">
        <f>IFERROR(__xludf.DUMMYFUNCTION("""COMPUTED_VALUE"""),"Whitney")</f>
        <v>Whitney</v>
      </c>
      <c r="F1454" t="str">
        <f>IFERROR(__xludf.DUMMYFUNCTION("""COMPUTED_VALUE"""),"LOLB")</f>
        <v>LOLB</v>
      </c>
      <c r="G1454">
        <f>IFERROR(__xludf.DUMMYFUNCTION("""COMPUTED_VALUE"""),13.2)</f>
        <v>13.2</v>
      </c>
    </row>
    <row r="1455">
      <c r="D1455" t="str">
        <f>IFERROR(__xludf.DUMMYFUNCTION("""COMPUTED_VALUE"""),"Meredith")</f>
        <v>Meredith</v>
      </c>
      <c r="E1455" t="str">
        <f>IFERROR(__xludf.DUMMYFUNCTION("""COMPUTED_VALUE"""),"Cameron")</f>
        <v>Cameron</v>
      </c>
      <c r="F1455" t="str">
        <f>IFERROR(__xludf.DUMMYFUNCTION("""COMPUTED_VALUE"""),"WR")</f>
        <v>WR</v>
      </c>
      <c r="G1455">
        <f>IFERROR(__xludf.DUMMYFUNCTION("""COMPUTED_VALUE"""),9.6)</f>
        <v>9.6</v>
      </c>
    </row>
    <row r="1456">
      <c r="D1456" t="str">
        <f>IFERROR(__xludf.DUMMYFUNCTION("""COMPUTED_VALUE"""),"Mettenberger")</f>
        <v>Mettenberger</v>
      </c>
      <c r="E1456" t="str">
        <f>IFERROR(__xludf.DUMMYFUNCTION("""COMPUTED_VALUE"""),"Zach")</f>
        <v>Zach</v>
      </c>
      <c r="F1456" t="str">
        <f>IFERROR(__xludf.DUMMYFUNCTION("""COMPUTED_VALUE"""),"QB")</f>
        <v>QB</v>
      </c>
      <c r="G1456">
        <f>IFERROR(__xludf.DUMMYFUNCTION("""COMPUTED_VALUE"""),9.9)</f>
        <v>9.9</v>
      </c>
    </row>
    <row r="1457">
      <c r="D1457" t="str">
        <f>IFERROR(__xludf.DUMMYFUNCTION("""COMPUTED_VALUE"""),"Mewhort")</f>
        <v>Mewhort</v>
      </c>
      <c r="E1457" t="str">
        <f>IFERROR(__xludf.DUMMYFUNCTION("""COMPUTED_VALUE"""),"Jack")</f>
        <v>Jack</v>
      </c>
      <c r="F1457" t="str">
        <f>IFERROR(__xludf.DUMMYFUNCTION("""COMPUTED_VALUE"""),"LG")</f>
        <v>LG</v>
      </c>
      <c r="G1457">
        <f>IFERROR(__xludf.DUMMYFUNCTION("""COMPUTED_VALUE"""),12.75)</f>
        <v>12.75</v>
      </c>
    </row>
    <row r="1458">
      <c r="D1458" t="str">
        <f>IFERROR(__xludf.DUMMYFUNCTION("""COMPUTED_VALUE"""),"Michael")</f>
        <v>Michael</v>
      </c>
      <c r="E1458" t="str">
        <f>IFERROR(__xludf.DUMMYFUNCTION("""COMPUTED_VALUE"""),"Christine")</f>
        <v>Christine</v>
      </c>
      <c r="F1458" t="str">
        <f>IFERROR(__xludf.DUMMYFUNCTION("""COMPUTED_VALUE"""),"HB")</f>
        <v>HB</v>
      </c>
      <c r="G1458">
        <f>IFERROR(__xludf.DUMMYFUNCTION("""COMPUTED_VALUE"""),10.65)</f>
        <v>10.65</v>
      </c>
    </row>
    <row r="1459">
      <c r="D1459" t="str">
        <f>IFERROR(__xludf.DUMMYFUNCTION("""COMPUTED_VALUE"""),"Mihalik")</f>
        <v>Mihalik</v>
      </c>
      <c r="E1459" t="str">
        <f>IFERROR(__xludf.DUMMYFUNCTION("""COMPUTED_VALUE"""),"Brian")</f>
        <v>Brian</v>
      </c>
      <c r="F1459" t="str">
        <f>IFERROR(__xludf.DUMMYFUNCTION("""COMPUTED_VALUE"""),"RT")</f>
        <v>RT</v>
      </c>
      <c r="G1459">
        <f>IFERROR(__xludf.DUMMYFUNCTION("""COMPUTED_VALUE"""),9.75)</f>
        <v>9.75</v>
      </c>
    </row>
    <row r="1460">
      <c r="D1460" t="str">
        <f>IFERROR(__xludf.DUMMYFUNCTION("""COMPUTED_VALUE"""),"Miles")</f>
        <v>Miles</v>
      </c>
      <c r="E1460" t="str">
        <f>IFERROR(__xludf.DUMMYFUNCTION("""COMPUTED_VALUE"""),"Rontez")</f>
        <v>Rontez</v>
      </c>
      <c r="F1460" t="str">
        <f>IFERROR(__xludf.DUMMYFUNCTION("""COMPUTED_VALUE"""),"FS")</f>
        <v>FS</v>
      </c>
      <c r="G1460">
        <f>IFERROR(__xludf.DUMMYFUNCTION("""COMPUTED_VALUE"""),10.95)</f>
        <v>10.95</v>
      </c>
    </row>
    <row r="1461">
      <c r="D1461" t="str">
        <f>IFERROR(__xludf.DUMMYFUNCTION("""COMPUTED_VALUE"""),"Milhouse")</f>
        <v>Milhouse</v>
      </c>
      <c r="E1461" t="str">
        <f>IFERROR(__xludf.DUMMYFUNCTION("""COMPUTED_VALUE"""),"Greg")</f>
        <v>Greg</v>
      </c>
      <c r="F1461" t="str">
        <f>IFERROR(__xludf.DUMMYFUNCTION("""COMPUTED_VALUE"""),"DT")</f>
        <v>DT</v>
      </c>
      <c r="G1461">
        <f>IFERROR(__xludf.DUMMYFUNCTION("""COMPUTED_VALUE"""),9.299999999999999)</f>
        <v>9.3</v>
      </c>
    </row>
    <row r="1462">
      <c r="D1462" t="str">
        <f>IFERROR(__xludf.DUMMYFUNCTION("""COMPUTED_VALUE"""),"Millard")</f>
        <v>Millard</v>
      </c>
      <c r="E1462" t="str">
        <f>IFERROR(__xludf.DUMMYFUNCTION("""COMPUTED_VALUE"""),"Trey")</f>
        <v>Trey</v>
      </c>
      <c r="F1462" t="str">
        <f>IFERROR(__xludf.DUMMYFUNCTION("""COMPUTED_VALUE"""),"FB")</f>
        <v>FB</v>
      </c>
      <c r="G1462">
        <f>IFERROR(__xludf.DUMMYFUNCTION("""COMPUTED_VALUE"""),9.6)</f>
        <v>9.6</v>
      </c>
    </row>
    <row r="1463">
      <c r="D1463" t="str">
        <f>IFERROR(__xludf.DUMMYFUNCTION("""COMPUTED_VALUE"""),"Miller")</f>
        <v>Miller</v>
      </c>
      <c r="E1463" t="str">
        <f>IFERROR(__xludf.DUMMYFUNCTION("""COMPUTED_VALUE"""),"Braxton")</f>
        <v>Braxton</v>
      </c>
      <c r="F1463" t="str">
        <f>IFERROR(__xludf.DUMMYFUNCTION("""COMPUTED_VALUE"""),"WR")</f>
        <v>WR</v>
      </c>
      <c r="G1463">
        <f>IFERROR(__xludf.DUMMYFUNCTION("""COMPUTED_VALUE"""),10.65)</f>
        <v>10.65</v>
      </c>
    </row>
    <row r="1464">
      <c r="D1464" t="str">
        <f>IFERROR(__xludf.DUMMYFUNCTION("""COMPUTED_VALUE"""),"Miller")</f>
        <v>Miller</v>
      </c>
      <c r="E1464" t="str">
        <f>IFERROR(__xludf.DUMMYFUNCTION("""COMPUTED_VALUE"""),"Bruce")</f>
        <v>Bruce</v>
      </c>
      <c r="F1464" t="str">
        <f>IFERROR(__xludf.DUMMYFUNCTION("""COMPUTED_VALUE"""),"FB")</f>
        <v>FB</v>
      </c>
      <c r="G1464">
        <f>IFERROR(__xludf.DUMMYFUNCTION("""COMPUTED_VALUE"""),11.549999999999999)</f>
        <v>11.55</v>
      </c>
    </row>
    <row r="1465">
      <c r="D1465" t="str">
        <f>IFERROR(__xludf.DUMMYFUNCTION("""COMPUTED_VALUE"""),"Miller")</f>
        <v>Miller</v>
      </c>
      <c r="E1465" t="str">
        <f>IFERROR(__xludf.DUMMYFUNCTION("""COMPUTED_VALUE"""),"Harlan")</f>
        <v>Harlan</v>
      </c>
      <c r="F1465" t="str">
        <f>IFERROR(__xludf.DUMMYFUNCTION("""COMPUTED_VALUE"""),"CB")</f>
        <v>CB</v>
      </c>
      <c r="G1465">
        <f>IFERROR(__xludf.DUMMYFUNCTION("""COMPUTED_VALUE"""),9.299999999999999)</f>
        <v>9.3</v>
      </c>
    </row>
    <row r="1466">
      <c r="D1466" t="str">
        <f>IFERROR(__xludf.DUMMYFUNCTION("""COMPUTED_VALUE"""),"Miller")</f>
        <v>Miller</v>
      </c>
      <c r="E1466" t="str">
        <f>IFERROR(__xludf.DUMMYFUNCTION("""COMPUTED_VALUE"""),"John")</f>
        <v>John</v>
      </c>
      <c r="F1466" t="str">
        <f>IFERROR(__xludf.DUMMYFUNCTION("""COMPUTED_VALUE"""),"RG")</f>
        <v>RG</v>
      </c>
      <c r="G1466">
        <f>IFERROR(__xludf.DUMMYFUNCTION("""COMPUTED_VALUE"""),10.35)</f>
        <v>10.35</v>
      </c>
    </row>
    <row r="1467">
      <c r="D1467" t="str">
        <f>IFERROR(__xludf.DUMMYFUNCTION("""COMPUTED_VALUE"""),"Miller")</f>
        <v>Miller</v>
      </c>
      <c r="E1467" t="str">
        <f>IFERROR(__xludf.DUMMYFUNCTION("""COMPUTED_VALUE"""),"Lamar")</f>
        <v>Lamar</v>
      </c>
      <c r="F1467" t="str">
        <f>IFERROR(__xludf.DUMMYFUNCTION("""COMPUTED_VALUE"""),"HB")</f>
        <v>HB</v>
      </c>
      <c r="G1467">
        <f>IFERROR(__xludf.DUMMYFUNCTION("""COMPUTED_VALUE"""),13.2)</f>
        <v>13.2</v>
      </c>
    </row>
    <row r="1468">
      <c r="D1468" t="str">
        <f>IFERROR(__xludf.DUMMYFUNCTION("""COMPUTED_VALUE"""),"Miller")</f>
        <v>Miller</v>
      </c>
      <c r="E1468" t="str">
        <f>IFERROR(__xludf.DUMMYFUNCTION("""COMPUTED_VALUE"""),"Von")</f>
        <v>Von</v>
      </c>
      <c r="F1468" t="str">
        <f>IFERROR(__xludf.DUMMYFUNCTION("""COMPUTED_VALUE"""),"LOLB")</f>
        <v>LOLB</v>
      </c>
      <c r="G1468">
        <f>IFERROR(__xludf.DUMMYFUNCTION("""COMPUTED_VALUE"""),14.85)</f>
        <v>14.85</v>
      </c>
    </row>
    <row r="1469">
      <c r="D1469" t="str">
        <f>IFERROR(__xludf.DUMMYFUNCTION("""COMPUTED_VALUE"""),"Miller")</f>
        <v>Miller</v>
      </c>
      <c r="E1469" t="str">
        <f>IFERROR(__xludf.DUMMYFUNCTION("""COMPUTED_VALUE"""),"Zach")</f>
        <v>Zach</v>
      </c>
      <c r="F1469" t="str">
        <f>IFERROR(__xludf.DUMMYFUNCTION("""COMPUTED_VALUE"""),"TE")</f>
        <v>TE</v>
      </c>
      <c r="G1469">
        <f>IFERROR(__xludf.DUMMYFUNCTION("""COMPUTED_VALUE"""),11.7)</f>
        <v>11.7</v>
      </c>
    </row>
    <row r="1470">
      <c r="D1470" t="str">
        <f>IFERROR(__xludf.DUMMYFUNCTION("""COMPUTED_VALUE"""),"Miller III")</f>
        <v>Miller III</v>
      </c>
      <c r="E1470" t="str">
        <f>IFERROR(__xludf.DUMMYFUNCTION("""COMPUTED_VALUE"""),"Roy")</f>
        <v>Roy</v>
      </c>
      <c r="F1470" t="str">
        <f>IFERROR(__xludf.DUMMYFUNCTION("""COMPUTED_VALUE"""),"DT")</f>
        <v>DT</v>
      </c>
      <c r="G1470">
        <f>IFERROR(__xludf.DUMMYFUNCTION("""COMPUTED_VALUE"""),11.7)</f>
        <v>11.7</v>
      </c>
    </row>
    <row r="1471">
      <c r="D1471" t="str">
        <f>IFERROR(__xludf.DUMMYFUNCTION("""COMPUTED_VALUE"""),"Milliner")</f>
        <v>Milliner</v>
      </c>
      <c r="E1471" t="str">
        <f>IFERROR(__xludf.DUMMYFUNCTION("""COMPUTED_VALUE"""),"Dee")</f>
        <v>Dee</v>
      </c>
      <c r="F1471" t="str">
        <f>IFERROR(__xludf.DUMMYFUNCTION("""COMPUTED_VALUE"""),"CB")</f>
        <v>CB</v>
      </c>
      <c r="G1471">
        <f>IFERROR(__xludf.DUMMYFUNCTION("""COMPUTED_VALUE"""),10.65)</f>
        <v>10.65</v>
      </c>
    </row>
    <row r="1472">
      <c r="D1472" t="str">
        <f>IFERROR(__xludf.DUMMYFUNCTION("""COMPUTED_VALUE"""),"Mills")</f>
        <v>Mills</v>
      </c>
      <c r="E1472" t="str">
        <f>IFERROR(__xludf.DUMMYFUNCTION("""COMPUTED_VALUE"""),"Jalen")</f>
        <v>Jalen</v>
      </c>
      <c r="F1472" t="str">
        <f>IFERROR(__xludf.DUMMYFUNCTION("""COMPUTED_VALUE"""),"CB")</f>
        <v>CB</v>
      </c>
      <c r="G1472">
        <f>IFERROR(__xludf.DUMMYFUNCTION("""COMPUTED_VALUE"""),9.45)</f>
        <v>9.45</v>
      </c>
    </row>
    <row r="1473">
      <c r="D1473" t="str">
        <f>IFERROR(__xludf.DUMMYFUNCTION("""COMPUTED_VALUE"""),"Mills")</f>
        <v>Mills</v>
      </c>
      <c r="E1473" t="str">
        <f>IFERROR(__xludf.DUMMYFUNCTION("""COMPUTED_VALUE"""),"Jordan")</f>
        <v>Jordan</v>
      </c>
      <c r="F1473" t="str">
        <f>IFERROR(__xludf.DUMMYFUNCTION("""COMPUTED_VALUE"""),"RT")</f>
        <v>RT</v>
      </c>
      <c r="G1473">
        <f>IFERROR(__xludf.DUMMYFUNCTION("""COMPUTED_VALUE"""),10.95)</f>
        <v>10.95</v>
      </c>
    </row>
    <row r="1474">
      <c r="D1474" t="str">
        <f>IFERROR(__xludf.DUMMYFUNCTION("""COMPUTED_VALUE"""),"Milton")</f>
        <v>Milton</v>
      </c>
      <c r="E1474" t="str">
        <f>IFERROR(__xludf.DUMMYFUNCTION("""COMPUTED_VALUE"""),"Keavon")</f>
        <v>Keavon</v>
      </c>
      <c r="F1474" t="str">
        <f>IFERROR(__xludf.DUMMYFUNCTION("""COMPUTED_VALUE"""),"RT")</f>
        <v>RT</v>
      </c>
      <c r="G1474">
        <f>IFERROR(__xludf.DUMMYFUNCTION("""COMPUTED_VALUE"""),9.6)</f>
        <v>9.6</v>
      </c>
    </row>
    <row r="1475">
      <c r="D1475" t="str">
        <f>IFERROR(__xludf.DUMMYFUNCTION("""COMPUTED_VALUE"""),"Mims II")</f>
        <v>Mims II</v>
      </c>
      <c r="E1475" t="str">
        <f>IFERROR(__xludf.DUMMYFUNCTION("""COMPUTED_VALUE"""),"David")</f>
        <v>David</v>
      </c>
      <c r="F1475" t="str">
        <f>IFERROR(__xludf.DUMMYFUNCTION("""COMPUTED_VALUE"""),"CB")</f>
        <v>CB</v>
      </c>
      <c r="G1475">
        <f>IFERROR(__xludf.DUMMYFUNCTION("""COMPUTED_VALUE"""),9.15)</f>
        <v>9.15</v>
      </c>
    </row>
    <row r="1476">
      <c r="D1476" t="str">
        <f>IFERROR(__xludf.DUMMYFUNCTION("""COMPUTED_VALUE"""),"Mingo")</f>
        <v>Mingo</v>
      </c>
      <c r="E1476" t="str">
        <f>IFERROR(__xludf.DUMMYFUNCTION("""COMPUTED_VALUE"""),"Barkevious")</f>
        <v>Barkevious</v>
      </c>
      <c r="F1476" t="str">
        <f>IFERROR(__xludf.DUMMYFUNCTION("""COMPUTED_VALUE"""),"LOLB")</f>
        <v>LOLB</v>
      </c>
      <c r="G1476">
        <f>IFERROR(__xludf.DUMMYFUNCTION("""COMPUTED_VALUE"""),11.4)</f>
        <v>11.4</v>
      </c>
    </row>
    <row r="1477">
      <c r="D1477" t="str">
        <f>IFERROR(__xludf.DUMMYFUNCTION("""COMPUTED_VALUE"""),"Minter")</f>
        <v>Minter</v>
      </c>
      <c r="E1477" t="str">
        <f>IFERROR(__xludf.DUMMYFUNCTION("""COMPUTED_VALUE"""),"Kevin")</f>
        <v>Kevin</v>
      </c>
      <c r="F1477" t="str">
        <f>IFERROR(__xludf.DUMMYFUNCTION("""COMPUTED_VALUE"""),"MLB")</f>
        <v>MLB</v>
      </c>
      <c r="G1477">
        <f>IFERROR(__xludf.DUMMYFUNCTION("""COMPUTED_VALUE"""),11.1)</f>
        <v>11.1</v>
      </c>
    </row>
    <row r="1478">
      <c r="D1478" t="str">
        <f>IFERROR(__xludf.DUMMYFUNCTION("""COMPUTED_VALUE"""),"Misi")</f>
        <v>Misi</v>
      </c>
      <c r="E1478" t="str">
        <f>IFERROR(__xludf.DUMMYFUNCTION("""COMPUTED_VALUE"""),"Koa")</f>
        <v>Koa</v>
      </c>
      <c r="F1478" t="str">
        <f>IFERROR(__xludf.DUMMYFUNCTION("""COMPUTED_VALUE"""),"LOLB")</f>
        <v>LOLB</v>
      </c>
      <c r="G1478">
        <f>IFERROR(__xludf.DUMMYFUNCTION("""COMPUTED_VALUE"""),12.75)</f>
        <v>12.75</v>
      </c>
    </row>
    <row r="1479">
      <c r="D1479" t="str">
        <f>IFERROR(__xludf.DUMMYFUNCTION("""COMPUTED_VALUE"""),"Mitchel")</f>
        <v>Mitchel</v>
      </c>
      <c r="E1479" t="str">
        <f>IFERROR(__xludf.DUMMYFUNCTION("""COMPUTED_VALUE"""),"Tevin")</f>
        <v>Tevin</v>
      </c>
      <c r="F1479" t="str">
        <f>IFERROR(__xludf.DUMMYFUNCTION("""COMPUTED_VALUE"""),"CB")</f>
        <v>CB</v>
      </c>
      <c r="G1479">
        <f>IFERROR(__xludf.DUMMYFUNCTION("""COMPUTED_VALUE"""),9.6)</f>
        <v>9.6</v>
      </c>
    </row>
    <row r="1480">
      <c r="D1480" t="str">
        <f>IFERROR(__xludf.DUMMYFUNCTION("""COMPUTED_VALUE"""),"Mitchell")</f>
        <v>Mitchell</v>
      </c>
      <c r="E1480" t="str">
        <f>IFERROR(__xludf.DUMMYFUNCTION("""COMPUTED_VALUE"""),"Earl")</f>
        <v>Earl</v>
      </c>
      <c r="F1480" t="str">
        <f>IFERROR(__xludf.DUMMYFUNCTION("""COMPUTED_VALUE"""),"DT")</f>
        <v>DT</v>
      </c>
      <c r="G1480">
        <f>IFERROR(__xludf.DUMMYFUNCTION("""COMPUTED_VALUE"""),11.1)</f>
        <v>11.1</v>
      </c>
    </row>
    <row r="1481">
      <c r="D1481" t="str">
        <f>IFERROR(__xludf.DUMMYFUNCTION("""COMPUTED_VALUE"""),"Mitchell")</f>
        <v>Mitchell</v>
      </c>
      <c r="E1481" t="str">
        <f>IFERROR(__xludf.DUMMYFUNCTION("""COMPUTED_VALUE"""),"Malcolm")</f>
        <v>Malcolm</v>
      </c>
      <c r="F1481" t="str">
        <f>IFERROR(__xludf.DUMMYFUNCTION("""COMPUTED_VALUE"""),"WR")</f>
        <v>WR</v>
      </c>
      <c r="G1481">
        <f>IFERROR(__xludf.DUMMYFUNCTION("""COMPUTED_VALUE"""),10.049999999999999)</f>
        <v>10.05</v>
      </c>
    </row>
    <row r="1482">
      <c r="D1482" t="str">
        <f>IFERROR(__xludf.DUMMYFUNCTION("""COMPUTED_VALUE"""),"Mitchell")</f>
        <v>Mitchell</v>
      </c>
      <c r="E1482" t="str">
        <f>IFERROR(__xludf.DUMMYFUNCTION("""COMPUTED_VALUE"""),"Mike")</f>
        <v>Mike</v>
      </c>
      <c r="F1482" t="str">
        <f>IFERROR(__xludf.DUMMYFUNCTION("""COMPUTED_VALUE"""),"FS")</f>
        <v>FS</v>
      </c>
      <c r="G1482">
        <f>IFERROR(__xludf.DUMMYFUNCTION("""COMPUTED_VALUE"""),12.6)</f>
        <v>12.6</v>
      </c>
    </row>
    <row r="1483">
      <c r="D1483" t="str">
        <f>IFERROR(__xludf.DUMMYFUNCTION("""COMPUTED_VALUE"""),"Moala")</f>
        <v>Moala</v>
      </c>
      <c r="E1483" t="str">
        <f>IFERROR(__xludf.DUMMYFUNCTION("""COMPUTED_VALUE"""),"David")</f>
        <v>David</v>
      </c>
      <c r="F1483" t="str">
        <f>IFERROR(__xludf.DUMMYFUNCTION("""COMPUTED_VALUE"""),"DT")</f>
        <v>DT</v>
      </c>
      <c r="G1483">
        <f>IFERROR(__xludf.DUMMYFUNCTION("""COMPUTED_VALUE"""),8.7)</f>
        <v>8.7</v>
      </c>
    </row>
    <row r="1484">
      <c r="D1484" t="str">
        <f>IFERROR(__xludf.DUMMYFUNCTION("""COMPUTED_VALUE"""),"Moats")</f>
        <v>Moats</v>
      </c>
      <c r="E1484" t="str">
        <f>IFERROR(__xludf.DUMMYFUNCTION("""COMPUTED_VALUE"""),"Arthur")</f>
        <v>Arthur</v>
      </c>
      <c r="F1484" t="str">
        <f>IFERROR(__xludf.DUMMYFUNCTION("""COMPUTED_VALUE"""),"LOLB")</f>
        <v>LOLB</v>
      </c>
      <c r="G1484">
        <f>IFERROR(__xludf.DUMMYFUNCTION("""COMPUTED_VALUE"""),11.7)</f>
        <v>11.7</v>
      </c>
    </row>
    <row r="1485">
      <c r="D1485" t="str">
        <f>IFERROR(__xludf.DUMMYFUNCTION("""COMPUTED_VALUE"""),"Moeaki")</f>
        <v>Moeaki</v>
      </c>
      <c r="E1485" t="str">
        <f>IFERROR(__xludf.DUMMYFUNCTION("""COMPUTED_VALUE"""),"Tony")</f>
        <v>Tony</v>
      </c>
      <c r="F1485" t="str">
        <f>IFERROR(__xludf.DUMMYFUNCTION("""COMPUTED_VALUE"""),"TE")</f>
        <v>TE</v>
      </c>
      <c r="G1485">
        <f>IFERROR(__xludf.DUMMYFUNCTION("""COMPUTED_VALUE"""),10.65)</f>
        <v>10.65</v>
      </c>
    </row>
    <row r="1486">
      <c r="D1486" t="str">
        <f>IFERROR(__xludf.DUMMYFUNCTION("""COMPUTED_VALUE"""),"Momah")</f>
        <v>Momah</v>
      </c>
      <c r="E1486" t="str">
        <f>IFERROR(__xludf.DUMMYFUNCTION("""COMPUTED_VALUE"""),"Ifeanyi")</f>
        <v>Ifeanyi</v>
      </c>
      <c r="F1486" t="str">
        <f>IFERROR(__xludf.DUMMYFUNCTION("""COMPUTED_VALUE"""),"TE")</f>
        <v>TE</v>
      </c>
      <c r="G1486">
        <f>IFERROR(__xludf.DUMMYFUNCTION("""COMPUTED_VALUE"""),9.9)</f>
        <v>9.9</v>
      </c>
    </row>
    <row r="1487">
      <c r="D1487" t="str">
        <f>IFERROR(__xludf.DUMMYFUNCTION("""COMPUTED_VALUE"""),"Moncrief")</f>
        <v>Moncrief</v>
      </c>
      <c r="E1487" t="str">
        <f>IFERROR(__xludf.DUMMYFUNCTION("""COMPUTED_VALUE"""),"Donte")</f>
        <v>Donte</v>
      </c>
      <c r="F1487" t="str">
        <f>IFERROR(__xludf.DUMMYFUNCTION("""COMPUTED_VALUE"""),"WR")</f>
        <v>WR</v>
      </c>
      <c r="G1487">
        <f>IFERROR(__xludf.DUMMYFUNCTION("""COMPUTED_VALUE"""),11.7)</f>
        <v>11.7</v>
      </c>
    </row>
    <row r="1488">
      <c r="D1488" t="str">
        <f>IFERROR(__xludf.DUMMYFUNCTION("""COMPUTED_VALUE"""),"Monday")</f>
        <v>Monday</v>
      </c>
      <c r="E1488" t="str">
        <f>IFERROR(__xludf.DUMMYFUNCTION("""COMPUTED_VALUE"""),"Will")</f>
        <v>Will</v>
      </c>
      <c r="F1488" t="str">
        <f>IFERROR(__xludf.DUMMYFUNCTION("""COMPUTED_VALUE"""),"P")</f>
        <v>P</v>
      </c>
      <c r="G1488">
        <f>IFERROR(__xludf.DUMMYFUNCTION("""COMPUTED_VALUE"""),10.2)</f>
        <v>10.2</v>
      </c>
    </row>
    <row r="1489">
      <c r="D1489" t="str">
        <f>IFERROR(__xludf.DUMMYFUNCTION("""COMPUTED_VALUE"""),"Montgomery")</f>
        <v>Montgomery</v>
      </c>
      <c r="E1489" t="str">
        <f>IFERROR(__xludf.DUMMYFUNCTION("""COMPUTED_VALUE"""),"Ty")</f>
        <v>Ty</v>
      </c>
      <c r="F1489" t="str">
        <f>IFERROR(__xludf.DUMMYFUNCTION("""COMPUTED_VALUE"""),"WR")</f>
        <v>WR</v>
      </c>
      <c r="G1489">
        <f>IFERROR(__xludf.DUMMYFUNCTION("""COMPUTED_VALUE"""),10.65)</f>
        <v>10.65</v>
      </c>
    </row>
    <row r="1490">
      <c r="D1490" t="str">
        <f>IFERROR(__xludf.DUMMYFUNCTION("""COMPUTED_VALUE"""),"Moore")</f>
        <v>Moore</v>
      </c>
      <c r="E1490" t="str">
        <f>IFERROR(__xludf.DUMMYFUNCTION("""COMPUTED_VALUE"""),"Chris")</f>
        <v>Chris</v>
      </c>
      <c r="F1490" t="str">
        <f>IFERROR(__xludf.DUMMYFUNCTION("""COMPUTED_VALUE"""),"WR")</f>
        <v>WR</v>
      </c>
      <c r="G1490">
        <f>IFERROR(__xludf.DUMMYFUNCTION("""COMPUTED_VALUE"""),9.75)</f>
        <v>9.75</v>
      </c>
    </row>
    <row r="1491">
      <c r="D1491" t="str">
        <f>IFERROR(__xludf.DUMMYFUNCTION("""COMPUTED_VALUE"""),"Moore")</f>
        <v>Moore</v>
      </c>
      <c r="E1491" t="str">
        <f>IFERROR(__xludf.DUMMYFUNCTION("""COMPUTED_VALUE"""),"Corey")</f>
        <v>Corey</v>
      </c>
      <c r="F1491" t="str">
        <f>IFERROR(__xludf.DUMMYFUNCTION("""COMPUTED_VALUE"""),"SS")</f>
        <v>SS</v>
      </c>
      <c r="G1491">
        <f>IFERROR(__xludf.DUMMYFUNCTION("""COMPUTED_VALUE"""),9.299999999999999)</f>
        <v>9.3</v>
      </c>
    </row>
    <row r="1492">
      <c r="D1492" t="str">
        <f>IFERROR(__xludf.DUMMYFUNCTION("""COMPUTED_VALUE"""),"Moore")</f>
        <v>Moore</v>
      </c>
      <c r="E1492" t="str">
        <f>IFERROR(__xludf.DUMMYFUNCTION("""COMPUTED_VALUE"""),"Damontre")</f>
        <v>Damontre</v>
      </c>
      <c r="F1492" t="str">
        <f>IFERROR(__xludf.DUMMYFUNCTION("""COMPUTED_VALUE"""),"RE")</f>
        <v>RE</v>
      </c>
      <c r="G1492">
        <f>IFERROR(__xludf.DUMMYFUNCTION("""COMPUTED_VALUE"""),10.35)</f>
        <v>10.35</v>
      </c>
    </row>
    <row r="1493">
      <c r="D1493" t="str">
        <f>IFERROR(__xludf.DUMMYFUNCTION("""COMPUTED_VALUE"""),"Moore")</f>
        <v>Moore</v>
      </c>
      <c r="E1493" t="str">
        <f>IFERROR(__xludf.DUMMYFUNCTION("""COMPUTED_VALUE"""),"Kellen")</f>
        <v>Kellen</v>
      </c>
      <c r="F1493" t="str">
        <f>IFERROR(__xludf.DUMMYFUNCTION("""COMPUTED_VALUE"""),"QB")</f>
        <v>QB</v>
      </c>
      <c r="G1493">
        <f>IFERROR(__xludf.DUMMYFUNCTION("""COMPUTED_VALUE"""),10.35)</f>
        <v>10.35</v>
      </c>
    </row>
    <row r="1494">
      <c r="D1494" t="str">
        <f>IFERROR(__xludf.DUMMYFUNCTION("""COMPUTED_VALUE"""),"Moore")</f>
        <v>Moore</v>
      </c>
      <c r="E1494" t="str">
        <f>IFERROR(__xludf.DUMMYFUNCTION("""COMPUTED_VALUE"""),"Marlon")</f>
        <v>Marlon</v>
      </c>
      <c r="F1494" t="str">
        <f>IFERROR(__xludf.DUMMYFUNCTION("""COMPUTED_VALUE"""),"WR")</f>
        <v>WR</v>
      </c>
      <c r="G1494">
        <f>IFERROR(__xludf.DUMMYFUNCTION("""COMPUTED_VALUE"""),9.75)</f>
        <v>9.75</v>
      </c>
    </row>
    <row r="1495">
      <c r="D1495" t="str">
        <f>IFERROR(__xludf.DUMMYFUNCTION("""COMPUTED_VALUE"""),"Moore")</f>
        <v>Moore</v>
      </c>
      <c r="E1495" t="str">
        <f>IFERROR(__xludf.DUMMYFUNCTION("""COMPUTED_VALUE"""),"Matt")</f>
        <v>Matt</v>
      </c>
      <c r="F1495" t="str">
        <f>IFERROR(__xludf.DUMMYFUNCTION("""COMPUTED_VALUE"""),"QB")</f>
        <v>QB</v>
      </c>
      <c r="G1495">
        <f>IFERROR(__xludf.DUMMYFUNCTION("""COMPUTED_VALUE"""),10.35)</f>
        <v>10.35</v>
      </c>
    </row>
    <row r="1496">
      <c r="D1496" t="str">
        <f>IFERROR(__xludf.DUMMYFUNCTION("""COMPUTED_VALUE"""),"Moore")</f>
        <v>Moore</v>
      </c>
      <c r="E1496" t="str">
        <f>IFERROR(__xludf.DUMMYFUNCTION("""COMPUTED_VALUE"""),"Sio")</f>
        <v>Sio</v>
      </c>
      <c r="F1496" t="str">
        <f>IFERROR(__xludf.DUMMYFUNCTION("""COMPUTED_VALUE"""),"MLB")</f>
        <v>MLB</v>
      </c>
      <c r="G1496">
        <f>IFERROR(__xludf.DUMMYFUNCTION("""COMPUTED_VALUE"""),10.799999999999999)</f>
        <v>10.8</v>
      </c>
    </row>
    <row r="1497">
      <c r="D1497" t="str">
        <f>IFERROR(__xludf.DUMMYFUNCTION("""COMPUTED_VALUE"""),"Moore")</f>
        <v>Moore</v>
      </c>
      <c r="E1497" t="str">
        <f>IFERROR(__xludf.DUMMYFUNCTION("""COMPUTED_VALUE"""),"Sterling")</f>
        <v>Sterling</v>
      </c>
      <c r="F1497" t="str">
        <f>IFERROR(__xludf.DUMMYFUNCTION("""COMPUTED_VALUE"""),"CB")</f>
        <v>CB</v>
      </c>
      <c r="G1497">
        <f>IFERROR(__xludf.DUMMYFUNCTION("""COMPUTED_VALUE"""),11.4)</f>
        <v>11.4</v>
      </c>
    </row>
    <row r="1498">
      <c r="D1498" t="str">
        <f>IFERROR(__xludf.DUMMYFUNCTION("""COMPUTED_VALUE"""),"Moore")</f>
        <v>Moore</v>
      </c>
      <c r="E1498" t="str">
        <f>IFERROR(__xludf.DUMMYFUNCTION("""COMPUTED_VALUE"""),"Zach")</f>
        <v>Zach</v>
      </c>
      <c r="F1498" t="str">
        <f>IFERROR(__xludf.DUMMYFUNCTION("""COMPUTED_VALUE"""),"LE")</f>
        <v>LE</v>
      </c>
      <c r="G1498">
        <f>IFERROR(__xludf.DUMMYFUNCTION("""COMPUTED_VALUE"""),9.6)</f>
        <v>9.6</v>
      </c>
    </row>
    <row r="1499">
      <c r="D1499" t="str">
        <f>IFERROR(__xludf.DUMMYFUNCTION("""COMPUTED_VALUE"""),"Moore Sr.")</f>
        <v>Moore Sr.</v>
      </c>
      <c r="E1499" t="str">
        <f>IFERROR(__xludf.DUMMYFUNCTION("""COMPUTED_VALUE"""),"Rahim")</f>
        <v>Rahim</v>
      </c>
      <c r="F1499" t="str">
        <f>IFERROR(__xludf.DUMMYFUNCTION("""COMPUTED_VALUE"""),"FS")</f>
        <v>FS</v>
      </c>
      <c r="G1499">
        <f>IFERROR(__xludf.DUMMYFUNCTION("""COMPUTED_VALUE"""),11.85)</f>
        <v>11.85</v>
      </c>
    </row>
    <row r="1500">
      <c r="D1500" t="str">
        <f>IFERROR(__xludf.DUMMYFUNCTION("""COMPUTED_VALUE"""),"Morgan")</f>
        <v>Morgan</v>
      </c>
      <c r="E1500" t="str">
        <f>IFERROR(__xludf.DUMMYFUNCTION("""COMPUTED_VALUE"""),"David")</f>
        <v>David</v>
      </c>
      <c r="F1500" t="str">
        <f>IFERROR(__xludf.DUMMYFUNCTION("""COMPUTED_VALUE"""),"TE")</f>
        <v>TE</v>
      </c>
      <c r="G1500">
        <f>IFERROR(__xludf.DUMMYFUNCTION("""COMPUTED_VALUE"""),10.049999999999999)</f>
        <v>10.05</v>
      </c>
    </row>
    <row r="1501">
      <c r="D1501" t="str">
        <f>IFERROR(__xludf.DUMMYFUNCTION("""COMPUTED_VALUE"""),"Morgan")</f>
        <v>Morgan</v>
      </c>
      <c r="E1501" t="str">
        <f>IFERROR(__xludf.DUMMYFUNCTION("""COMPUTED_VALUE"""),"Derrick")</f>
        <v>Derrick</v>
      </c>
      <c r="F1501" t="str">
        <f>IFERROR(__xludf.DUMMYFUNCTION("""COMPUTED_VALUE"""),"LOLB")</f>
        <v>LOLB</v>
      </c>
      <c r="G1501">
        <f>IFERROR(__xludf.DUMMYFUNCTION("""COMPUTED_VALUE"""),12.15)</f>
        <v>12.15</v>
      </c>
    </row>
    <row r="1502">
      <c r="D1502" t="str">
        <f>IFERROR(__xludf.DUMMYFUNCTION("""COMPUTED_VALUE"""),"Morgan")</f>
        <v>Morgan</v>
      </c>
      <c r="E1502" t="str">
        <f>IFERROR(__xludf.DUMMYFUNCTION("""COMPUTED_VALUE"""),"Mike")</f>
        <v>Mike</v>
      </c>
      <c r="F1502" t="str">
        <f>IFERROR(__xludf.DUMMYFUNCTION("""COMPUTED_VALUE"""),"LOLB")</f>
        <v>LOLB</v>
      </c>
      <c r="G1502">
        <f>IFERROR(__xludf.DUMMYFUNCTION("""COMPUTED_VALUE"""),10.65)</f>
        <v>10.65</v>
      </c>
    </row>
    <row r="1503">
      <c r="D1503" t="str">
        <f>IFERROR(__xludf.DUMMYFUNCTION("""COMPUTED_VALUE"""),"Morris")</f>
        <v>Morris</v>
      </c>
      <c r="E1503" t="str">
        <f>IFERROR(__xludf.DUMMYFUNCTION("""COMPUTED_VALUE"""),"Alfred")</f>
        <v>Alfred</v>
      </c>
      <c r="F1503" t="str">
        <f>IFERROR(__xludf.DUMMYFUNCTION("""COMPUTED_VALUE"""),"HB")</f>
        <v>HB</v>
      </c>
      <c r="G1503">
        <f>IFERROR(__xludf.DUMMYFUNCTION("""COMPUTED_VALUE"""),11.85)</f>
        <v>11.85</v>
      </c>
    </row>
    <row r="1504">
      <c r="D1504" t="str">
        <f>IFERROR(__xludf.DUMMYFUNCTION("""COMPUTED_VALUE"""),"Morris")</f>
        <v>Morris</v>
      </c>
      <c r="E1504" t="str">
        <f>IFERROR(__xludf.DUMMYFUNCTION("""COMPUTED_VALUE"""),"Darryl")</f>
        <v>Darryl</v>
      </c>
      <c r="F1504" t="str">
        <f>IFERROR(__xludf.DUMMYFUNCTION("""COMPUTED_VALUE"""),"CB")</f>
        <v>CB</v>
      </c>
      <c r="G1504">
        <f>IFERROR(__xludf.DUMMYFUNCTION("""COMPUTED_VALUE"""),10.65)</f>
        <v>10.65</v>
      </c>
    </row>
    <row r="1505">
      <c r="D1505" t="str">
        <f>IFERROR(__xludf.DUMMYFUNCTION("""COMPUTED_VALUE"""),"Morris")</f>
        <v>Morris</v>
      </c>
      <c r="E1505" t="str">
        <f>IFERROR(__xludf.DUMMYFUNCTION("""COMPUTED_VALUE"""),"Stephen")</f>
        <v>Stephen</v>
      </c>
      <c r="F1505" t="str">
        <f>IFERROR(__xludf.DUMMYFUNCTION("""COMPUTED_VALUE"""),"QB")</f>
        <v>QB</v>
      </c>
      <c r="G1505">
        <f>IFERROR(__xludf.DUMMYFUNCTION("""COMPUTED_VALUE"""),9.299999999999999)</f>
        <v>9.3</v>
      </c>
    </row>
    <row r="1506">
      <c r="D1506" t="str">
        <f>IFERROR(__xludf.DUMMYFUNCTION("""COMPUTED_VALUE"""),"Morrison")</f>
        <v>Morrison</v>
      </c>
      <c r="E1506" t="str">
        <f>IFERROR(__xludf.DUMMYFUNCTION("""COMPUTED_VALUE"""),"Antonio")</f>
        <v>Antonio</v>
      </c>
      <c r="F1506" t="str">
        <f>IFERROR(__xludf.DUMMYFUNCTION("""COMPUTED_VALUE"""),"MLB")</f>
        <v>MLB</v>
      </c>
      <c r="G1506">
        <f>IFERROR(__xludf.DUMMYFUNCTION("""COMPUTED_VALUE"""),9.75)</f>
        <v>9.75</v>
      </c>
    </row>
    <row r="1507">
      <c r="D1507" t="str">
        <f>IFERROR(__xludf.DUMMYFUNCTION("""COMPUTED_VALUE"""),"Morse")</f>
        <v>Morse</v>
      </c>
      <c r="E1507" t="str">
        <f>IFERROR(__xludf.DUMMYFUNCTION("""COMPUTED_VALUE"""),"Mitch")</f>
        <v>Mitch</v>
      </c>
      <c r="F1507" t="str">
        <f>IFERROR(__xludf.DUMMYFUNCTION("""COMPUTED_VALUE"""),"C")</f>
        <v>C</v>
      </c>
      <c r="G1507">
        <f>IFERROR(__xludf.DUMMYFUNCTION("""COMPUTED_VALUE"""),10.95)</f>
        <v>10.95</v>
      </c>
    </row>
    <row r="1508">
      <c r="D1508" t="str">
        <f>IFERROR(__xludf.DUMMYFUNCTION("""COMPUTED_VALUE"""),"Morstead")</f>
        <v>Morstead</v>
      </c>
      <c r="E1508" t="str">
        <f>IFERROR(__xludf.DUMMYFUNCTION("""COMPUTED_VALUE"""),"Thomas")</f>
        <v>Thomas</v>
      </c>
      <c r="F1508" t="str">
        <f>IFERROR(__xludf.DUMMYFUNCTION("""COMPUTED_VALUE"""),"P")</f>
        <v>P</v>
      </c>
      <c r="G1508">
        <f>IFERROR(__xludf.DUMMYFUNCTION("""COMPUTED_VALUE"""),12.45)</f>
        <v>12.45</v>
      </c>
    </row>
    <row r="1509">
      <c r="D1509" t="str">
        <f>IFERROR(__xludf.DUMMYFUNCTION("""COMPUTED_VALUE"""),"Moses")</f>
        <v>Moses</v>
      </c>
      <c r="E1509" t="str">
        <f>IFERROR(__xludf.DUMMYFUNCTION("""COMPUTED_VALUE"""),"Dezman")</f>
        <v>Dezman</v>
      </c>
      <c r="F1509" t="str">
        <f>IFERROR(__xludf.DUMMYFUNCTION("""COMPUTED_VALUE"""),"LOLB")</f>
        <v>LOLB</v>
      </c>
      <c r="G1509">
        <f>IFERROR(__xludf.DUMMYFUNCTION("""COMPUTED_VALUE"""),9.75)</f>
        <v>9.75</v>
      </c>
    </row>
    <row r="1510">
      <c r="D1510" t="str">
        <f>IFERROR(__xludf.DUMMYFUNCTION("""COMPUTED_VALUE"""),"Moses")</f>
        <v>Moses</v>
      </c>
      <c r="E1510" t="str">
        <f>IFERROR(__xludf.DUMMYFUNCTION("""COMPUTED_VALUE"""),"Morgan")</f>
        <v>Morgan</v>
      </c>
      <c r="F1510" t="str">
        <f>IFERROR(__xludf.DUMMYFUNCTION("""COMPUTED_VALUE"""),"RT")</f>
        <v>RT</v>
      </c>
      <c r="G1510">
        <f>IFERROR(__xludf.DUMMYFUNCTION("""COMPUTED_VALUE"""),11.7)</f>
        <v>11.7</v>
      </c>
    </row>
    <row r="1511">
      <c r="D1511" t="str">
        <f>IFERROR(__xludf.DUMMYFUNCTION("""COMPUTED_VALUE"""),"Mosley")</f>
        <v>Mosley</v>
      </c>
      <c r="E1511" t="str">
        <f>IFERROR(__xludf.DUMMYFUNCTION("""COMPUTED_VALUE"""),"CJ")</f>
        <v>CJ</v>
      </c>
      <c r="F1511" t="str">
        <f>IFERROR(__xludf.DUMMYFUNCTION("""COMPUTED_VALUE"""),"MLB")</f>
        <v>MLB</v>
      </c>
      <c r="G1511">
        <f>IFERROR(__xludf.DUMMYFUNCTION("""COMPUTED_VALUE"""),12.45)</f>
        <v>12.45</v>
      </c>
    </row>
    <row r="1512">
      <c r="D1512" t="str">
        <f>IFERROR(__xludf.DUMMYFUNCTION("""COMPUTED_VALUE"""),"Mostert")</f>
        <v>Mostert</v>
      </c>
      <c r="E1512" t="str">
        <f>IFERROR(__xludf.DUMMYFUNCTION("""COMPUTED_VALUE"""),"Raheem")</f>
        <v>Raheem</v>
      </c>
      <c r="F1512" t="str">
        <f>IFERROR(__xludf.DUMMYFUNCTION("""COMPUTED_VALUE"""),"HB")</f>
        <v>HB</v>
      </c>
      <c r="G1512">
        <f>IFERROR(__xludf.DUMMYFUNCTION("""COMPUTED_VALUE"""),10.049999999999999)</f>
        <v>10.05</v>
      </c>
    </row>
    <row r="1513">
      <c r="D1513" t="str">
        <f>IFERROR(__xludf.DUMMYFUNCTION("""COMPUTED_VALUE"""),"Mount")</f>
        <v>Mount</v>
      </c>
      <c r="E1513" t="str">
        <f>IFERROR(__xludf.DUMMYFUNCTION("""COMPUTED_VALUE"""),"Deiontrez")</f>
        <v>Deiontrez</v>
      </c>
      <c r="F1513" t="str">
        <f>IFERROR(__xludf.DUMMYFUNCTION("""COMPUTED_VALUE"""),"LOLB")</f>
        <v>LOLB</v>
      </c>
      <c r="G1513">
        <f>IFERROR(__xludf.DUMMYFUNCTION("""COMPUTED_VALUE"""),9.45)</f>
        <v>9.45</v>
      </c>
    </row>
    <row r="1514">
      <c r="D1514" t="str">
        <f>IFERROR(__xludf.DUMMYFUNCTION("""COMPUTED_VALUE"""),"Muhlbach")</f>
        <v>Muhlbach</v>
      </c>
      <c r="E1514" t="str">
        <f>IFERROR(__xludf.DUMMYFUNCTION("""COMPUTED_VALUE"""),"Don")</f>
        <v>Don</v>
      </c>
      <c r="F1514" t="str">
        <f>IFERROR(__xludf.DUMMYFUNCTION("""COMPUTED_VALUE"""),"TE")</f>
        <v>TE</v>
      </c>
      <c r="G1514">
        <f>IFERROR(__xludf.DUMMYFUNCTION("""COMPUTED_VALUE"""),7.5)</f>
        <v>7.5</v>
      </c>
    </row>
    <row r="1515">
      <c r="D1515" t="str">
        <f>IFERROR(__xludf.DUMMYFUNCTION("""COMPUTED_VALUE"""),"Mulumba")</f>
        <v>Mulumba</v>
      </c>
      <c r="E1515" t="str">
        <f>IFERROR(__xludf.DUMMYFUNCTION("""COMPUTED_VALUE"""),"Andy")</f>
        <v>Andy</v>
      </c>
      <c r="F1515" t="str">
        <f>IFERROR(__xludf.DUMMYFUNCTION("""COMPUTED_VALUE"""),"ROLB")</f>
        <v>ROLB</v>
      </c>
      <c r="G1515">
        <f>IFERROR(__xludf.DUMMYFUNCTION("""COMPUTED_VALUE"""),10.049999999999999)</f>
        <v>10.05</v>
      </c>
    </row>
    <row r="1516">
      <c r="D1516" t="str">
        <f>IFERROR(__xludf.DUMMYFUNCTION("""COMPUTED_VALUE"""),"Mumphery")</f>
        <v>Mumphery</v>
      </c>
      <c r="E1516" t="str">
        <f>IFERROR(__xludf.DUMMYFUNCTION("""COMPUTED_VALUE"""),"Keith")</f>
        <v>Keith</v>
      </c>
      <c r="F1516" t="str">
        <f>IFERROR(__xludf.DUMMYFUNCTION("""COMPUTED_VALUE"""),"WR")</f>
        <v>WR</v>
      </c>
      <c r="G1516">
        <f>IFERROR(__xludf.DUMMYFUNCTION("""COMPUTED_VALUE"""),9.45)</f>
        <v>9.45</v>
      </c>
    </row>
    <row r="1517">
      <c r="D1517" t="str">
        <f>IFERROR(__xludf.DUMMYFUNCTION("""COMPUTED_VALUE"""),"Munnerlyn")</f>
        <v>Munnerlyn</v>
      </c>
      <c r="E1517" t="str">
        <f>IFERROR(__xludf.DUMMYFUNCTION("""COMPUTED_VALUE"""),"Captain")</f>
        <v>Captain</v>
      </c>
      <c r="F1517" t="str">
        <f>IFERROR(__xludf.DUMMYFUNCTION("""COMPUTED_VALUE"""),"CB")</f>
        <v>CB</v>
      </c>
      <c r="G1517">
        <f>IFERROR(__xludf.DUMMYFUNCTION("""COMPUTED_VALUE"""),11.25)</f>
        <v>11.25</v>
      </c>
    </row>
    <row r="1518">
      <c r="D1518" t="str">
        <f>IFERROR(__xludf.DUMMYFUNCTION("""COMPUTED_VALUE"""),"Munyer")</f>
        <v>Munyer</v>
      </c>
      <c r="E1518" t="str">
        <f>IFERROR(__xludf.DUMMYFUNCTION("""COMPUTED_VALUE"""),"Daniel")</f>
        <v>Daniel</v>
      </c>
      <c r="F1518" t="str">
        <f>IFERROR(__xludf.DUMMYFUNCTION("""COMPUTED_VALUE"""),"C")</f>
        <v>C</v>
      </c>
      <c r="G1518">
        <f>IFERROR(__xludf.DUMMYFUNCTION("""COMPUTED_VALUE"""),9.45)</f>
        <v>9.45</v>
      </c>
    </row>
    <row r="1519">
      <c r="D1519" t="str">
        <f>IFERROR(__xludf.DUMMYFUNCTION("""COMPUTED_VALUE"""),"Murphy")</f>
        <v>Murphy</v>
      </c>
      <c r="E1519" t="str">
        <f>IFERROR(__xludf.DUMMYFUNCTION("""COMPUTED_VALUE"""),"Kyle")</f>
        <v>Kyle</v>
      </c>
      <c r="F1519" t="str">
        <f>IFERROR(__xludf.DUMMYFUNCTION("""COMPUTED_VALUE"""),"RT")</f>
        <v>RT</v>
      </c>
      <c r="G1519">
        <f>IFERROR(__xludf.DUMMYFUNCTION("""COMPUTED_VALUE"""),9.9)</f>
        <v>9.9</v>
      </c>
    </row>
    <row r="1520">
      <c r="D1520" t="str">
        <f>IFERROR(__xludf.DUMMYFUNCTION("""COMPUTED_VALUE"""),"Murphy")</f>
        <v>Murphy</v>
      </c>
      <c r="E1520" t="str">
        <f>IFERROR(__xludf.DUMMYFUNCTION("""COMPUTED_VALUE"""),"Louis")</f>
        <v>Louis</v>
      </c>
      <c r="F1520" t="str">
        <f>IFERROR(__xludf.DUMMYFUNCTION("""COMPUTED_VALUE"""),"WR")</f>
        <v>WR</v>
      </c>
      <c r="G1520">
        <f>IFERROR(__xludf.DUMMYFUNCTION("""COMPUTED_VALUE"""),10.65)</f>
        <v>10.65</v>
      </c>
    </row>
    <row r="1521">
      <c r="D1521" t="str">
        <f>IFERROR(__xludf.DUMMYFUNCTION("""COMPUTED_VALUE"""),"Murphy")</f>
        <v>Murphy</v>
      </c>
      <c r="E1521" t="str">
        <f>IFERROR(__xludf.DUMMYFUNCTION("""COMPUTED_VALUE"""),"Marcus")</f>
        <v>Marcus</v>
      </c>
      <c r="F1521" t="str">
        <f>IFERROR(__xludf.DUMMYFUNCTION("""COMPUTED_VALUE"""),"HB")</f>
        <v>HB</v>
      </c>
      <c r="G1521">
        <f>IFERROR(__xludf.DUMMYFUNCTION("""COMPUTED_VALUE"""),10.049999999999999)</f>
        <v>10.05</v>
      </c>
    </row>
    <row r="1522">
      <c r="D1522" t="str">
        <f>IFERROR(__xludf.DUMMYFUNCTION("""COMPUTED_VALUE"""),"Murphy")</f>
        <v>Murphy</v>
      </c>
      <c r="E1522" t="str">
        <f>IFERROR(__xludf.DUMMYFUNCTION("""COMPUTED_VALUE"""),"Trent")</f>
        <v>Trent</v>
      </c>
      <c r="F1522" t="str">
        <f>IFERROR(__xludf.DUMMYFUNCTION("""COMPUTED_VALUE"""),"RE")</f>
        <v>RE</v>
      </c>
      <c r="G1522">
        <f>IFERROR(__xludf.DUMMYFUNCTION("""COMPUTED_VALUE"""),12.15)</f>
        <v>12.15</v>
      </c>
    </row>
    <row r="1523">
      <c r="D1523" t="str">
        <f>IFERROR(__xludf.DUMMYFUNCTION("""COMPUTED_VALUE"""),"Murphy")</f>
        <v>Murphy</v>
      </c>
      <c r="E1523" t="str">
        <f>IFERROR(__xludf.DUMMYFUNCTION("""COMPUTED_VALUE"""),"Tyler")</f>
        <v>Tyler</v>
      </c>
      <c r="F1523" t="str">
        <f>IFERROR(__xludf.DUMMYFUNCTION("""COMPUTED_VALUE"""),"WR")</f>
        <v>WR</v>
      </c>
      <c r="G1523">
        <f>IFERROR(__xludf.DUMMYFUNCTION("""COMPUTED_VALUE"""),8.85)</f>
        <v>8.85</v>
      </c>
    </row>
    <row r="1524">
      <c r="D1524" t="str">
        <f>IFERROR(__xludf.DUMMYFUNCTION("""COMPUTED_VALUE"""),"Murray")</f>
        <v>Murray</v>
      </c>
      <c r="E1524" t="str">
        <f>IFERROR(__xludf.DUMMYFUNCTION("""COMPUTED_VALUE"""),"Aaron")</f>
        <v>Aaron</v>
      </c>
      <c r="F1524" t="str">
        <f>IFERROR(__xludf.DUMMYFUNCTION("""COMPUTED_VALUE"""),"QB")</f>
        <v>QB</v>
      </c>
      <c r="G1524">
        <f>IFERROR(__xludf.DUMMYFUNCTION("""COMPUTED_VALUE"""),9.45)</f>
        <v>9.45</v>
      </c>
    </row>
    <row r="1525">
      <c r="D1525" t="str">
        <f>IFERROR(__xludf.DUMMYFUNCTION("""COMPUTED_VALUE"""),"Murray")</f>
        <v>Murray</v>
      </c>
      <c r="E1525" t="str">
        <f>IFERROR(__xludf.DUMMYFUNCTION("""COMPUTED_VALUE"""),"DeMarco")</f>
        <v>DeMarco</v>
      </c>
      <c r="F1525" t="str">
        <f>IFERROR(__xludf.DUMMYFUNCTION("""COMPUTED_VALUE"""),"HB")</f>
        <v>HB</v>
      </c>
      <c r="G1525">
        <f>IFERROR(__xludf.DUMMYFUNCTION("""COMPUTED_VALUE"""),12.45)</f>
        <v>12.45</v>
      </c>
    </row>
    <row r="1526">
      <c r="D1526" t="str">
        <f>IFERROR(__xludf.DUMMYFUNCTION("""COMPUTED_VALUE"""),"Murray")</f>
        <v>Murray</v>
      </c>
      <c r="E1526" t="str">
        <f>IFERROR(__xludf.DUMMYFUNCTION("""COMPUTED_VALUE"""),"Eric")</f>
        <v>Eric</v>
      </c>
      <c r="F1526" t="str">
        <f>IFERROR(__xludf.DUMMYFUNCTION("""COMPUTED_VALUE"""),"CB")</f>
        <v>CB</v>
      </c>
      <c r="G1526">
        <f>IFERROR(__xludf.DUMMYFUNCTION("""COMPUTED_VALUE"""),10.2)</f>
        <v>10.2</v>
      </c>
    </row>
    <row r="1527">
      <c r="D1527" t="str">
        <f>IFERROR(__xludf.DUMMYFUNCTION("""COMPUTED_VALUE"""),"Murray")</f>
        <v>Murray</v>
      </c>
      <c r="E1527" t="str">
        <f>IFERROR(__xludf.DUMMYFUNCTION("""COMPUTED_VALUE"""),"Justin")</f>
        <v>Justin</v>
      </c>
      <c r="F1527" t="str">
        <f>IFERROR(__xludf.DUMMYFUNCTION("""COMPUTED_VALUE"""),"LG")</f>
        <v>LG</v>
      </c>
      <c r="G1527">
        <f>IFERROR(__xludf.DUMMYFUNCTION("""COMPUTED_VALUE"""),9.0)</f>
        <v>9</v>
      </c>
    </row>
    <row r="1528">
      <c r="D1528" t="str">
        <f>IFERROR(__xludf.DUMMYFUNCTION("""COMPUTED_VALUE"""),"Murray")</f>
        <v>Murray</v>
      </c>
      <c r="E1528" t="str">
        <f>IFERROR(__xludf.DUMMYFUNCTION("""COMPUTED_VALUE"""),"Latavius")</f>
        <v>Latavius</v>
      </c>
      <c r="F1528" t="str">
        <f>IFERROR(__xludf.DUMMYFUNCTION("""COMPUTED_VALUE"""),"HB")</f>
        <v>HB</v>
      </c>
      <c r="G1528">
        <f>IFERROR(__xludf.DUMMYFUNCTION("""COMPUTED_VALUE"""),12.15)</f>
        <v>12.15</v>
      </c>
    </row>
    <row r="1529">
      <c r="D1529" t="str">
        <f>IFERROR(__xludf.DUMMYFUNCTION("""COMPUTED_VALUE"""),"Murray")</f>
        <v>Murray</v>
      </c>
      <c r="E1529" t="str">
        <f>IFERROR(__xludf.DUMMYFUNCTION("""COMPUTED_VALUE"""),"Patrick")</f>
        <v>Patrick</v>
      </c>
      <c r="F1529" t="str">
        <f>IFERROR(__xludf.DUMMYFUNCTION("""COMPUTED_VALUE"""),"K")</f>
        <v>K</v>
      </c>
      <c r="G1529">
        <f>IFERROR(__xludf.DUMMYFUNCTION("""COMPUTED_VALUE"""),10.799999999999999)</f>
        <v>10.8</v>
      </c>
    </row>
    <row r="1530">
      <c r="D1530" t="str">
        <f>IFERROR(__xludf.DUMMYFUNCTION("""COMPUTED_VALUE"""),"Myers")</f>
        <v>Myers</v>
      </c>
      <c r="E1530" t="str">
        <f>IFERROR(__xludf.DUMMYFUNCTION("""COMPUTED_VALUE"""),"Brandon")</f>
        <v>Brandon</v>
      </c>
      <c r="F1530" t="str">
        <f>IFERROR(__xludf.DUMMYFUNCTION("""COMPUTED_VALUE"""),"TE")</f>
        <v>TE</v>
      </c>
      <c r="G1530">
        <f>IFERROR(__xludf.DUMMYFUNCTION("""COMPUTED_VALUE"""),10.799999999999999)</f>
        <v>10.8</v>
      </c>
    </row>
    <row r="1531">
      <c r="D1531" t="str">
        <f>IFERROR(__xludf.DUMMYFUNCTION("""COMPUTED_VALUE"""),"Myers")</f>
        <v>Myers</v>
      </c>
      <c r="E1531" t="str">
        <f>IFERROR(__xludf.DUMMYFUNCTION("""COMPUTED_VALUE"""),"Jason")</f>
        <v>Jason</v>
      </c>
      <c r="F1531" t="str">
        <f>IFERROR(__xludf.DUMMYFUNCTION("""COMPUTED_VALUE"""),"K")</f>
        <v>K</v>
      </c>
      <c r="G1531">
        <f>IFERROR(__xludf.DUMMYFUNCTION("""COMPUTED_VALUE"""),11.549999999999999)</f>
        <v>11.55</v>
      </c>
    </row>
    <row r="1532">
      <c r="D1532" t="str">
        <f>IFERROR(__xludf.DUMMYFUNCTION("""COMPUTED_VALUE"""),"Myers Jr.")</f>
        <v>Myers Jr.</v>
      </c>
      <c r="E1532" t="str">
        <f>IFERROR(__xludf.DUMMYFUNCTION("""COMPUTED_VALUE"""),"Robert")</f>
        <v>Robert</v>
      </c>
      <c r="F1532" t="str">
        <f>IFERROR(__xludf.DUMMYFUNCTION("""COMPUTED_VALUE"""),"RG")</f>
        <v>RG</v>
      </c>
      <c r="G1532">
        <f>IFERROR(__xludf.DUMMYFUNCTION("""COMPUTED_VALUE"""),8.85)</f>
        <v>8.85</v>
      </c>
    </row>
    <row r="1533">
      <c r="D1533" t="str">
        <f>IFERROR(__xludf.DUMMYFUNCTION("""COMPUTED_VALUE"""),"Nassib")</f>
        <v>Nassib</v>
      </c>
      <c r="E1533" t="str">
        <f>IFERROR(__xludf.DUMMYFUNCTION("""COMPUTED_VALUE"""),"Carl")</f>
        <v>Carl</v>
      </c>
      <c r="F1533" t="str">
        <f>IFERROR(__xludf.DUMMYFUNCTION("""COMPUTED_VALUE"""),"RE")</f>
        <v>RE</v>
      </c>
      <c r="G1533">
        <f>IFERROR(__xludf.DUMMYFUNCTION("""COMPUTED_VALUE"""),10.35)</f>
        <v>10.35</v>
      </c>
    </row>
    <row r="1534">
      <c r="D1534" t="str">
        <f>IFERROR(__xludf.DUMMYFUNCTION("""COMPUTED_VALUE"""),"Nassib")</f>
        <v>Nassib</v>
      </c>
      <c r="E1534" t="str">
        <f>IFERROR(__xludf.DUMMYFUNCTION("""COMPUTED_VALUE"""),"Ryan")</f>
        <v>Ryan</v>
      </c>
      <c r="F1534" t="str">
        <f>IFERROR(__xludf.DUMMYFUNCTION("""COMPUTED_VALUE"""),"QB")</f>
        <v>QB</v>
      </c>
      <c r="G1534">
        <f>IFERROR(__xludf.DUMMYFUNCTION("""COMPUTED_VALUE"""),9.299999999999999)</f>
        <v>9.3</v>
      </c>
    </row>
    <row r="1535">
      <c r="D1535" t="str">
        <f>IFERROR(__xludf.DUMMYFUNCTION("""COMPUTED_VALUE"""),"Neal")</f>
        <v>Neal</v>
      </c>
      <c r="E1535" t="str">
        <f>IFERROR(__xludf.DUMMYFUNCTION("""COMPUTED_VALUE"""),"Keanu")</f>
        <v>Keanu</v>
      </c>
      <c r="F1535" t="str">
        <f>IFERROR(__xludf.DUMMYFUNCTION("""COMPUTED_VALUE"""),"SS")</f>
        <v>SS</v>
      </c>
      <c r="G1535">
        <f>IFERROR(__xludf.DUMMYFUNCTION("""COMPUTED_VALUE"""),11.549999999999999)</f>
        <v>11.55</v>
      </c>
    </row>
    <row r="1536">
      <c r="D1536" t="str">
        <f>IFERROR(__xludf.DUMMYFUNCTION("""COMPUTED_VALUE"""),"Neasman")</f>
        <v>Neasman</v>
      </c>
      <c r="E1536" t="str">
        <f>IFERROR(__xludf.DUMMYFUNCTION("""COMPUTED_VALUE"""),"Sharrod")</f>
        <v>Sharrod</v>
      </c>
      <c r="F1536" t="str">
        <f>IFERROR(__xludf.DUMMYFUNCTION("""COMPUTED_VALUE"""),"SS")</f>
        <v>SS</v>
      </c>
      <c r="G1536">
        <f>IFERROR(__xludf.DUMMYFUNCTION("""COMPUTED_VALUE"""),9.299999999999999)</f>
        <v>9.3</v>
      </c>
    </row>
    <row r="1537">
      <c r="D1537" t="str">
        <f>IFERROR(__xludf.DUMMYFUNCTION("""COMPUTED_VALUE"""),"Nelson")</f>
        <v>Nelson</v>
      </c>
      <c r="E1537" t="str">
        <f>IFERROR(__xludf.DUMMYFUNCTION("""COMPUTED_VALUE"""),"Corey")</f>
        <v>Corey</v>
      </c>
      <c r="F1537" t="str">
        <f>IFERROR(__xludf.DUMMYFUNCTION("""COMPUTED_VALUE"""),"MLB")</f>
        <v>MLB</v>
      </c>
      <c r="G1537">
        <f>IFERROR(__xludf.DUMMYFUNCTION("""COMPUTED_VALUE"""),9.15)</f>
        <v>9.15</v>
      </c>
    </row>
    <row r="1538">
      <c r="D1538" t="str">
        <f>IFERROR(__xludf.DUMMYFUNCTION("""COMPUTED_VALUE"""),"Nelson")</f>
        <v>Nelson</v>
      </c>
      <c r="E1538" t="str">
        <f>IFERROR(__xludf.DUMMYFUNCTION("""COMPUTED_VALUE"""),"JJ")</f>
        <v>JJ</v>
      </c>
      <c r="F1538" t="str">
        <f>IFERROR(__xludf.DUMMYFUNCTION("""COMPUTED_VALUE"""),"WR")</f>
        <v>WR</v>
      </c>
      <c r="G1538">
        <f>IFERROR(__xludf.DUMMYFUNCTION("""COMPUTED_VALUE"""),10.049999999999999)</f>
        <v>10.05</v>
      </c>
    </row>
    <row r="1539">
      <c r="D1539" t="str">
        <f>IFERROR(__xludf.DUMMYFUNCTION("""COMPUTED_VALUE"""),"Nelson")</f>
        <v>Nelson</v>
      </c>
      <c r="E1539" t="str">
        <f>IFERROR(__xludf.DUMMYFUNCTION("""COMPUTED_VALUE"""),"Jordy")</f>
        <v>Jordy</v>
      </c>
      <c r="F1539" t="str">
        <f>IFERROR(__xludf.DUMMYFUNCTION("""COMPUTED_VALUE"""),"WR")</f>
        <v>WR</v>
      </c>
      <c r="G1539">
        <f>IFERROR(__xludf.DUMMYFUNCTION("""COMPUTED_VALUE"""),13.35)</f>
        <v>13.35</v>
      </c>
    </row>
    <row r="1540">
      <c r="D1540" t="str">
        <f>IFERROR(__xludf.DUMMYFUNCTION("""COMPUTED_VALUE"""),"Nelson")</f>
        <v>Nelson</v>
      </c>
      <c r="E1540" t="str">
        <f>IFERROR(__xludf.DUMMYFUNCTION("""COMPUTED_VALUE"""),"Kyle")</f>
        <v>Kyle</v>
      </c>
      <c r="F1540" t="str">
        <f>IFERROR(__xludf.DUMMYFUNCTION("""COMPUTED_VALUE"""),"TE")</f>
        <v>TE</v>
      </c>
      <c r="G1540">
        <f>IFERROR(__xludf.DUMMYFUNCTION("""COMPUTED_VALUE"""),6.6)</f>
        <v>6.6</v>
      </c>
    </row>
    <row r="1541">
      <c r="D1541" t="str">
        <f>IFERROR(__xludf.DUMMYFUNCTION("""COMPUTED_VALUE"""),"Nelson")</f>
        <v>Nelson</v>
      </c>
      <c r="E1541" t="str">
        <f>IFERROR(__xludf.DUMMYFUNCTION("""COMPUTED_VALUE"""),"Reggie")</f>
        <v>Reggie</v>
      </c>
      <c r="F1541" t="str">
        <f>IFERROR(__xludf.DUMMYFUNCTION("""COMPUTED_VALUE"""),"FS")</f>
        <v>FS</v>
      </c>
      <c r="G1541">
        <f>IFERROR(__xludf.DUMMYFUNCTION("""COMPUTED_VALUE"""),13.049999999999999)</f>
        <v>13.05</v>
      </c>
    </row>
    <row r="1542">
      <c r="D1542" t="str">
        <f>IFERROR(__xludf.DUMMYFUNCTION("""COMPUTED_VALUE"""),"Nelson")</f>
        <v>Nelson</v>
      </c>
      <c r="E1542" t="str">
        <f>IFERROR(__xludf.DUMMYFUNCTION("""COMPUTED_VALUE"""),"Robert")</f>
        <v>Robert</v>
      </c>
      <c r="F1542" t="str">
        <f>IFERROR(__xludf.DUMMYFUNCTION("""COMPUTED_VALUE"""),"CB")</f>
        <v>CB</v>
      </c>
      <c r="G1542">
        <f>IFERROR(__xludf.DUMMYFUNCTION("""COMPUTED_VALUE"""),10.049999999999999)</f>
        <v>10.05</v>
      </c>
    </row>
    <row r="1543">
      <c r="D1543" t="str">
        <f>IFERROR(__xludf.DUMMYFUNCTION("""COMPUTED_VALUE"""),"Nelson")</f>
        <v>Nelson</v>
      </c>
      <c r="E1543" t="str">
        <f>IFERROR(__xludf.DUMMYFUNCTION("""COMPUTED_VALUE"""),"Steven")</f>
        <v>Steven</v>
      </c>
      <c r="F1543" t="str">
        <f>IFERROR(__xludf.DUMMYFUNCTION("""COMPUTED_VALUE"""),"CB")</f>
        <v>CB</v>
      </c>
      <c r="G1543">
        <f>IFERROR(__xludf.DUMMYFUNCTION("""COMPUTED_VALUE"""),10.5)</f>
        <v>10.5</v>
      </c>
    </row>
    <row r="1544">
      <c r="D1544" t="str">
        <f>IFERROR(__xludf.DUMMYFUNCTION("""COMPUTED_VALUE"""),"Nembot")</f>
        <v>Nembot</v>
      </c>
      <c r="E1544" t="str">
        <f>IFERROR(__xludf.DUMMYFUNCTION("""COMPUTED_VALUE"""),"Stephane")</f>
        <v>Stephane</v>
      </c>
      <c r="F1544" t="str">
        <f>IFERROR(__xludf.DUMMYFUNCTION("""COMPUTED_VALUE"""),"LT")</f>
        <v>LT</v>
      </c>
      <c r="G1544">
        <f>IFERROR(__xludf.DUMMYFUNCTION("""COMPUTED_VALUE"""),8.85)</f>
        <v>8.85</v>
      </c>
    </row>
    <row r="1545">
      <c r="D1545" t="str">
        <f>IFERROR(__xludf.DUMMYFUNCTION("""COMPUTED_VALUE"""),"Newberry")</f>
        <v>Newberry</v>
      </c>
      <c r="E1545" t="str">
        <f>IFERROR(__xludf.DUMMYFUNCTION("""COMPUTED_VALUE"""),"Giorgio")</f>
        <v>Giorgio</v>
      </c>
      <c r="F1545" t="str">
        <f>IFERROR(__xludf.DUMMYFUNCTION("""COMPUTED_VALUE"""),"RE")</f>
        <v>RE</v>
      </c>
      <c r="G1545">
        <f>IFERROR(__xludf.DUMMYFUNCTION("""COMPUTED_VALUE"""),9.299999999999999)</f>
        <v>9.3</v>
      </c>
    </row>
    <row r="1546">
      <c r="D1546" t="str">
        <f>IFERROR(__xludf.DUMMYFUNCTION("""COMPUTED_VALUE"""),"Newhouse")</f>
        <v>Newhouse</v>
      </c>
      <c r="E1546" t="str">
        <f>IFERROR(__xludf.DUMMYFUNCTION("""COMPUTED_VALUE"""),"Marshall")</f>
        <v>Marshall</v>
      </c>
      <c r="F1546" t="str">
        <f>IFERROR(__xludf.DUMMYFUNCTION("""COMPUTED_VALUE"""),"RT")</f>
        <v>RT</v>
      </c>
      <c r="G1546">
        <f>IFERROR(__xludf.DUMMYFUNCTION("""COMPUTED_VALUE"""),10.5)</f>
        <v>10.5</v>
      </c>
    </row>
    <row r="1547">
      <c r="D1547" t="str">
        <f>IFERROR(__xludf.DUMMYFUNCTION("""COMPUTED_VALUE"""),"Newman")</f>
        <v>Newman</v>
      </c>
      <c r="E1547" t="str">
        <f>IFERROR(__xludf.DUMMYFUNCTION("""COMPUTED_VALUE"""),"Terence")</f>
        <v>Terence</v>
      </c>
      <c r="F1547" t="str">
        <f>IFERROR(__xludf.DUMMYFUNCTION("""COMPUTED_VALUE"""),"CB")</f>
        <v>CB</v>
      </c>
      <c r="G1547">
        <f>IFERROR(__xludf.DUMMYFUNCTION("""COMPUTED_VALUE"""),12.0)</f>
        <v>12</v>
      </c>
    </row>
    <row r="1548">
      <c r="D1548" t="str">
        <f>IFERROR(__xludf.DUMMYFUNCTION("""COMPUTED_VALUE"""),"Newton")</f>
        <v>Newton</v>
      </c>
      <c r="E1548" t="str">
        <f>IFERROR(__xludf.DUMMYFUNCTION("""COMPUTED_VALUE"""),"Cam")</f>
        <v>Cam</v>
      </c>
      <c r="F1548" t="str">
        <f>IFERROR(__xludf.DUMMYFUNCTION("""COMPUTED_VALUE"""),"QB")</f>
        <v>QB</v>
      </c>
      <c r="G1548">
        <f>IFERROR(__xludf.DUMMYFUNCTION("""COMPUTED_VALUE"""),14.1)</f>
        <v>14.1</v>
      </c>
    </row>
    <row r="1549">
      <c r="D1549" t="str">
        <f>IFERROR(__xludf.DUMMYFUNCTION("""COMPUTED_VALUE"""),"Newton")</f>
        <v>Newton</v>
      </c>
      <c r="E1549" t="str">
        <f>IFERROR(__xludf.DUMMYFUNCTION("""COMPUTED_VALUE"""),"Derek")</f>
        <v>Derek</v>
      </c>
      <c r="F1549" t="str">
        <f>IFERROR(__xludf.DUMMYFUNCTION("""COMPUTED_VALUE"""),"RT")</f>
        <v>RT</v>
      </c>
      <c r="G1549">
        <f>IFERROR(__xludf.DUMMYFUNCTION("""COMPUTED_VALUE"""),12.299999999999999)</f>
        <v>12.3</v>
      </c>
    </row>
    <row r="1550">
      <c r="D1550" t="str">
        <f>IFERROR(__xludf.DUMMYFUNCTION("""COMPUTED_VALUE"""),"Ngakoue")</f>
        <v>Ngakoue</v>
      </c>
      <c r="E1550" t="str">
        <f>IFERROR(__xludf.DUMMYFUNCTION("""COMPUTED_VALUE"""),"Yannick")</f>
        <v>Yannick</v>
      </c>
      <c r="F1550" t="str">
        <f>IFERROR(__xludf.DUMMYFUNCTION("""COMPUTED_VALUE"""),"RE")</f>
        <v>RE</v>
      </c>
      <c r="G1550">
        <f>IFERROR(__xludf.DUMMYFUNCTION("""COMPUTED_VALUE"""),10.35)</f>
        <v>10.35</v>
      </c>
    </row>
    <row r="1551">
      <c r="D1551" t="str">
        <f>IFERROR(__xludf.DUMMYFUNCTION("""COMPUTED_VALUE"""),"Ngata")</f>
        <v>Ngata</v>
      </c>
      <c r="E1551" t="str">
        <f>IFERROR(__xludf.DUMMYFUNCTION("""COMPUTED_VALUE"""),"Haloti")</f>
        <v>Haloti</v>
      </c>
      <c r="F1551" t="str">
        <f>IFERROR(__xludf.DUMMYFUNCTION("""COMPUTED_VALUE"""),"DT")</f>
        <v>DT</v>
      </c>
      <c r="G1551">
        <f>IFERROR(__xludf.DUMMYFUNCTION("""COMPUTED_VALUE"""),12.299999999999999)</f>
        <v>12.3</v>
      </c>
    </row>
    <row r="1552">
      <c r="D1552" t="str">
        <f>IFERROR(__xludf.DUMMYFUNCTION("""COMPUTED_VALUE"""),"Nicks")</f>
        <v>Nicks</v>
      </c>
      <c r="E1552" t="str">
        <f>IFERROR(__xludf.DUMMYFUNCTION("""COMPUTED_VALUE"""),"Hakeem")</f>
        <v>Hakeem</v>
      </c>
      <c r="F1552" t="str">
        <f>IFERROR(__xludf.DUMMYFUNCTION("""COMPUTED_VALUE"""),"WR")</f>
        <v>WR</v>
      </c>
      <c r="G1552">
        <f>IFERROR(__xludf.DUMMYFUNCTION("""COMPUTED_VALUE"""),10.95)</f>
        <v>10.95</v>
      </c>
    </row>
    <row r="1553">
      <c r="D1553" t="str">
        <f>IFERROR(__xludf.DUMMYFUNCTION("""COMPUTED_VALUE"""),"Nicolas")</f>
        <v>Nicolas</v>
      </c>
      <c r="E1553" t="str">
        <f>IFERROR(__xludf.DUMMYFUNCTION("""COMPUTED_VALUE"""),"Dadi")</f>
        <v>Dadi</v>
      </c>
      <c r="F1553" t="str">
        <f>IFERROR(__xludf.DUMMYFUNCTION("""COMPUTED_VALUE"""),"LOLB")</f>
        <v>LOLB</v>
      </c>
      <c r="G1553">
        <f>IFERROR(__xludf.DUMMYFUNCTION("""COMPUTED_VALUE"""),9.45)</f>
        <v>9.45</v>
      </c>
    </row>
    <row r="1554">
      <c r="D1554" t="str">
        <f>IFERROR(__xludf.DUMMYFUNCTION("""COMPUTED_VALUE"""),"Niklas")</f>
        <v>Niklas</v>
      </c>
      <c r="E1554" t="str">
        <f>IFERROR(__xludf.DUMMYFUNCTION("""COMPUTED_VALUE"""),"Troy")</f>
        <v>Troy</v>
      </c>
      <c r="F1554" t="str">
        <f>IFERROR(__xludf.DUMMYFUNCTION("""COMPUTED_VALUE"""),"TE")</f>
        <v>TE</v>
      </c>
      <c r="G1554">
        <f>IFERROR(__xludf.DUMMYFUNCTION("""COMPUTED_VALUE"""),11.1)</f>
        <v>11.1</v>
      </c>
    </row>
    <row r="1555">
      <c r="D1555" t="str">
        <f>IFERROR(__xludf.DUMMYFUNCTION("""COMPUTED_VALUE"""),"Ninkovich")</f>
        <v>Ninkovich</v>
      </c>
      <c r="E1555" t="str">
        <f>IFERROR(__xludf.DUMMYFUNCTION("""COMPUTED_VALUE"""),"Rob")</f>
        <v>Rob</v>
      </c>
      <c r="F1555" t="str">
        <f>IFERROR(__xludf.DUMMYFUNCTION("""COMPUTED_VALUE"""),"LOLB")</f>
        <v>LOLB</v>
      </c>
      <c r="G1555">
        <f>IFERROR(__xludf.DUMMYFUNCTION("""COMPUTED_VALUE"""),12.299999999999999)</f>
        <v>12.3</v>
      </c>
    </row>
    <row r="1556">
      <c r="D1556" t="str">
        <f>IFERROR(__xludf.DUMMYFUNCTION("""COMPUTED_VALUE"""),"Nix")</f>
        <v>Nix</v>
      </c>
      <c r="E1556" t="str">
        <f>IFERROR(__xludf.DUMMYFUNCTION("""COMPUTED_VALUE"""),"Roosevelt")</f>
        <v>Roosevelt</v>
      </c>
      <c r="F1556" t="str">
        <f>IFERROR(__xludf.DUMMYFUNCTION("""COMPUTED_VALUE"""),"FB")</f>
        <v>FB</v>
      </c>
      <c r="G1556">
        <f>IFERROR(__xludf.DUMMYFUNCTION("""COMPUTED_VALUE"""),12.0)</f>
        <v>12</v>
      </c>
    </row>
    <row r="1557">
      <c r="D1557" t="str">
        <f>IFERROR(__xludf.DUMMYFUNCTION("""COMPUTED_VALUE"""),"Nix III")</f>
        <v>Nix III</v>
      </c>
      <c r="E1557" t="str">
        <f>IFERROR(__xludf.DUMMYFUNCTION("""COMPUTED_VALUE"""),"Louis")</f>
        <v>Louis</v>
      </c>
      <c r="F1557" t="str">
        <f>IFERROR(__xludf.DUMMYFUNCTION("""COMPUTED_VALUE"""),"DT")</f>
        <v>DT</v>
      </c>
      <c r="G1557">
        <f>IFERROR(__xludf.DUMMYFUNCTION("""COMPUTED_VALUE"""),9.6)</f>
        <v>9.6</v>
      </c>
    </row>
    <row r="1558">
      <c r="D1558" t="str">
        <f>IFERROR(__xludf.DUMMYFUNCTION("""COMPUTED_VALUE"""),"Nixon")</f>
        <v>Nixon</v>
      </c>
      <c r="E1558" t="str">
        <f>IFERROR(__xludf.DUMMYFUNCTION("""COMPUTED_VALUE"""),"Taurean")</f>
        <v>Taurean</v>
      </c>
      <c r="F1558" t="str">
        <f>IFERROR(__xludf.DUMMYFUNCTION("""COMPUTED_VALUE"""),"CB")</f>
        <v>CB</v>
      </c>
      <c r="G1558">
        <f>IFERROR(__xludf.DUMMYFUNCTION("""COMPUTED_VALUE"""),9.15)</f>
        <v>9.15</v>
      </c>
    </row>
    <row r="1559">
      <c r="D1559" t="str">
        <f>IFERROR(__xludf.DUMMYFUNCTION("""COMPUTED_VALUE"""),"Nkemdiche")</f>
        <v>Nkemdiche</v>
      </c>
      <c r="E1559" t="str">
        <f>IFERROR(__xludf.DUMMYFUNCTION("""COMPUTED_VALUE"""),"Robert")</f>
        <v>Robert</v>
      </c>
      <c r="F1559" t="str">
        <f>IFERROR(__xludf.DUMMYFUNCTION("""COMPUTED_VALUE"""),"LE")</f>
        <v>LE</v>
      </c>
      <c r="G1559">
        <f>IFERROR(__xludf.DUMMYFUNCTION("""COMPUTED_VALUE"""),11.25)</f>
        <v>11.25</v>
      </c>
    </row>
    <row r="1560">
      <c r="D1560" t="str">
        <f>IFERROR(__xludf.DUMMYFUNCTION("""COMPUTED_VALUE"""),"Norman")</f>
        <v>Norman</v>
      </c>
      <c r="E1560" t="str">
        <f>IFERROR(__xludf.DUMMYFUNCTION("""COMPUTED_VALUE"""),"Josh")</f>
        <v>Josh</v>
      </c>
      <c r="F1560" t="str">
        <f>IFERROR(__xludf.DUMMYFUNCTION("""COMPUTED_VALUE"""),"CB")</f>
        <v>CB</v>
      </c>
      <c r="G1560">
        <f>IFERROR(__xludf.DUMMYFUNCTION("""COMPUTED_VALUE"""),14.1)</f>
        <v>14.1</v>
      </c>
    </row>
    <row r="1561">
      <c r="D1561" t="str">
        <f>IFERROR(__xludf.DUMMYFUNCTION("""COMPUTED_VALUE"""),"Norris")</f>
        <v>Norris</v>
      </c>
      <c r="E1561" t="str">
        <f>IFERROR(__xludf.DUMMYFUNCTION("""COMPUTED_VALUE"""),"Jared")</f>
        <v>Jared</v>
      </c>
      <c r="F1561" t="str">
        <f>IFERROR(__xludf.DUMMYFUNCTION("""COMPUTED_VALUE"""),"MLB")</f>
        <v>MLB</v>
      </c>
      <c r="G1561">
        <f>IFERROR(__xludf.DUMMYFUNCTION("""COMPUTED_VALUE"""),8.549999999999999)</f>
        <v>8.55</v>
      </c>
    </row>
    <row r="1562">
      <c r="D1562" t="str">
        <f>IFERROR(__xludf.DUMMYFUNCTION("""COMPUTED_VALUE"""),"North")</f>
        <v>North</v>
      </c>
      <c r="E1562" t="str">
        <f>IFERROR(__xludf.DUMMYFUNCTION("""COMPUTED_VALUE"""),"Marquez")</f>
        <v>Marquez</v>
      </c>
      <c r="F1562" t="str">
        <f>IFERROR(__xludf.DUMMYFUNCTION("""COMPUTED_VALUE"""),"WR")</f>
        <v>WR</v>
      </c>
      <c r="G1562">
        <f>IFERROR(__xludf.DUMMYFUNCTION("""COMPUTED_VALUE"""),9.45)</f>
        <v>9.45</v>
      </c>
    </row>
    <row r="1563">
      <c r="D1563" t="str">
        <f>IFERROR(__xludf.DUMMYFUNCTION("""COMPUTED_VALUE"""),"Nortman")</f>
        <v>Nortman</v>
      </c>
      <c r="E1563" t="str">
        <f>IFERROR(__xludf.DUMMYFUNCTION("""COMPUTED_VALUE"""),"Brad")</f>
        <v>Brad</v>
      </c>
      <c r="F1563" t="str">
        <f>IFERROR(__xludf.DUMMYFUNCTION("""COMPUTED_VALUE"""),"P")</f>
        <v>P</v>
      </c>
      <c r="G1563">
        <f>IFERROR(__xludf.DUMMYFUNCTION("""COMPUTED_VALUE"""),12.15)</f>
        <v>12.15</v>
      </c>
    </row>
    <row r="1564">
      <c r="D1564" t="str">
        <f>IFERROR(__xludf.DUMMYFUNCTION("""COMPUTED_VALUE"""),"Norwell")</f>
        <v>Norwell</v>
      </c>
      <c r="E1564" t="str">
        <f>IFERROR(__xludf.DUMMYFUNCTION("""COMPUTED_VALUE"""),"Andrew")</f>
        <v>Andrew</v>
      </c>
      <c r="F1564" t="str">
        <f>IFERROR(__xludf.DUMMYFUNCTION("""COMPUTED_VALUE"""),"LG")</f>
        <v>LG</v>
      </c>
      <c r="G1564">
        <f>IFERROR(__xludf.DUMMYFUNCTION("""COMPUTED_VALUE"""),12.45)</f>
        <v>12.45</v>
      </c>
    </row>
    <row r="1565">
      <c r="D1565" t="str">
        <f>IFERROR(__xludf.DUMMYFUNCTION("""COMPUTED_VALUE"""),"Norwood")</f>
        <v>Norwood</v>
      </c>
      <c r="E1565" t="str">
        <f>IFERROR(__xludf.DUMMYFUNCTION("""COMPUTED_VALUE"""),"Jordan")</f>
        <v>Jordan</v>
      </c>
      <c r="F1565" t="str">
        <f>IFERROR(__xludf.DUMMYFUNCTION("""COMPUTED_VALUE"""),"WR")</f>
        <v>WR</v>
      </c>
      <c r="G1565">
        <f>IFERROR(__xludf.DUMMYFUNCTION("""COMPUTED_VALUE"""),10.5)</f>
        <v>10.5</v>
      </c>
    </row>
    <row r="1566">
      <c r="D1566" t="str">
        <f>IFERROR(__xludf.DUMMYFUNCTION("""COMPUTED_VALUE"""),"Norwood")</f>
        <v>Norwood</v>
      </c>
      <c r="E1566" t="str">
        <f>IFERROR(__xludf.DUMMYFUNCTION("""COMPUTED_VALUE"""),"Kevin")</f>
        <v>Kevin</v>
      </c>
      <c r="F1566" t="str">
        <f>IFERROR(__xludf.DUMMYFUNCTION("""COMPUTED_VALUE"""),"WR")</f>
        <v>WR</v>
      </c>
      <c r="G1566">
        <f>IFERROR(__xludf.DUMMYFUNCTION("""COMPUTED_VALUE"""),10.2)</f>
        <v>10.2</v>
      </c>
    </row>
    <row r="1567">
      <c r="D1567" t="str">
        <f>IFERROR(__xludf.DUMMYFUNCTION("""COMPUTED_VALUE"""),"Novak")</f>
        <v>Novak</v>
      </c>
      <c r="E1567" t="str">
        <f>IFERROR(__xludf.DUMMYFUNCTION("""COMPUTED_VALUE"""),"Nick")</f>
        <v>Nick</v>
      </c>
      <c r="F1567" t="str">
        <f>IFERROR(__xludf.DUMMYFUNCTION("""COMPUTED_VALUE"""),"K")</f>
        <v>K</v>
      </c>
      <c r="G1567">
        <f>IFERROR(__xludf.DUMMYFUNCTION("""COMPUTED_VALUE"""),12.15)</f>
        <v>12.15</v>
      </c>
    </row>
    <row r="1568">
      <c r="D1568" t="str">
        <f>IFERROR(__xludf.DUMMYFUNCTION("""COMPUTED_VALUE"""),"Nowak")</f>
        <v>Nowak</v>
      </c>
      <c r="E1568" t="str">
        <f>IFERROR(__xludf.DUMMYFUNCTION("""COMPUTED_VALUE"""),"Drew")</f>
        <v>Drew</v>
      </c>
      <c r="F1568" t="str">
        <f>IFERROR(__xludf.DUMMYFUNCTION("""COMPUTED_VALUE"""),"C")</f>
        <v>C</v>
      </c>
      <c r="G1568">
        <f>IFERROR(__xludf.DUMMYFUNCTION("""COMPUTED_VALUE"""),9.9)</f>
        <v>9.9</v>
      </c>
    </row>
    <row r="1569">
      <c r="D1569" t="str">
        <f>IFERROR(__xludf.DUMMYFUNCTION("""COMPUTED_VALUE"""),"Nsekhe")</f>
        <v>Nsekhe</v>
      </c>
      <c r="E1569" t="str">
        <f>IFERROR(__xludf.DUMMYFUNCTION("""COMPUTED_VALUE"""),"Ty")</f>
        <v>Ty</v>
      </c>
      <c r="F1569" t="str">
        <f>IFERROR(__xludf.DUMMYFUNCTION("""COMPUTED_VALUE"""),"RT")</f>
        <v>RT</v>
      </c>
      <c r="G1569">
        <f>IFERROR(__xludf.DUMMYFUNCTION("""COMPUTED_VALUE"""),10.35)</f>
        <v>10.35</v>
      </c>
    </row>
    <row r="1570">
      <c r="D1570" t="str">
        <f>IFERROR(__xludf.DUMMYFUNCTION("""COMPUTED_VALUE"""),"Nugent")</f>
        <v>Nugent</v>
      </c>
      <c r="E1570" t="str">
        <f>IFERROR(__xludf.DUMMYFUNCTION("""COMPUTED_VALUE"""),"Mike")</f>
        <v>Mike</v>
      </c>
      <c r="F1570" t="str">
        <f>IFERROR(__xludf.DUMMYFUNCTION("""COMPUTED_VALUE"""),"K")</f>
        <v>K</v>
      </c>
      <c r="G1570">
        <f>IFERROR(__xludf.DUMMYFUNCTION("""COMPUTED_VALUE"""),12.0)</f>
        <v>12</v>
      </c>
    </row>
    <row r="1571">
      <c r="D1571" t="str">
        <f>IFERROR(__xludf.DUMMYFUNCTION("""COMPUTED_VALUE"""),"Nunez-Roches")</f>
        <v>Nunez-Roches</v>
      </c>
      <c r="E1571" t="str">
        <f>IFERROR(__xludf.DUMMYFUNCTION("""COMPUTED_VALUE"""),"Rakeem")</f>
        <v>Rakeem</v>
      </c>
      <c r="F1571" t="str">
        <f>IFERROR(__xludf.DUMMYFUNCTION("""COMPUTED_VALUE"""),"LE")</f>
        <v>LE</v>
      </c>
      <c r="G1571">
        <f>IFERROR(__xludf.DUMMYFUNCTION("""COMPUTED_VALUE"""),9.0)</f>
        <v>9</v>
      </c>
    </row>
    <row r="1572">
      <c r="D1572" t="str">
        <f>IFERROR(__xludf.DUMMYFUNCTION("""COMPUTED_VALUE"""),"Nzeocha")</f>
        <v>Nzeocha</v>
      </c>
      <c r="E1572" t="str">
        <f>IFERROR(__xludf.DUMMYFUNCTION("""COMPUTED_VALUE"""),"Mark")</f>
        <v>Mark</v>
      </c>
      <c r="F1572" t="str">
        <f>IFERROR(__xludf.DUMMYFUNCTION("""COMPUTED_VALUE"""),"ROLB")</f>
        <v>ROLB</v>
      </c>
      <c r="G1572">
        <f>IFERROR(__xludf.DUMMYFUNCTION("""COMPUTED_VALUE"""),9.15)</f>
        <v>9.15</v>
      </c>
    </row>
    <row r="1573">
      <c r="D1573" t="str">
        <f>IFERROR(__xludf.DUMMYFUNCTION("""COMPUTED_VALUE"""),"Ochi")</f>
        <v>Ochi</v>
      </c>
      <c r="E1573" t="str">
        <f>IFERROR(__xludf.DUMMYFUNCTION("""COMPUTED_VALUE"""),"Victor")</f>
        <v>Victor</v>
      </c>
      <c r="F1573" t="str">
        <f>IFERROR(__xludf.DUMMYFUNCTION("""COMPUTED_VALUE"""),"ROLB")</f>
        <v>ROLB</v>
      </c>
      <c r="G1573">
        <f>IFERROR(__xludf.DUMMYFUNCTION("""COMPUTED_VALUE"""),9.15)</f>
        <v>9.15</v>
      </c>
    </row>
    <row r="1574">
      <c r="D1574" t="str">
        <f>IFERROR(__xludf.DUMMYFUNCTION("""COMPUTED_VALUE"""),"Odhiambo")</f>
        <v>Odhiambo</v>
      </c>
      <c r="E1574" t="str">
        <f>IFERROR(__xludf.DUMMYFUNCTION("""COMPUTED_VALUE"""),"Rees")</f>
        <v>Rees</v>
      </c>
      <c r="F1574" t="str">
        <f>IFERROR(__xludf.DUMMYFUNCTION("""COMPUTED_VALUE"""),"RG")</f>
        <v>RG</v>
      </c>
      <c r="G1574">
        <f>IFERROR(__xludf.DUMMYFUNCTION("""COMPUTED_VALUE"""),10.2)</f>
        <v>10.2</v>
      </c>
    </row>
    <row r="1575">
      <c r="D1575" t="str">
        <f>IFERROR(__xludf.DUMMYFUNCTION("""COMPUTED_VALUE"""),"Odighizuwa")</f>
        <v>Odighizuwa</v>
      </c>
      <c r="E1575" t="str">
        <f>IFERROR(__xludf.DUMMYFUNCTION("""COMPUTED_VALUE"""),"Owa")</f>
        <v>Owa</v>
      </c>
      <c r="F1575" t="str">
        <f>IFERROR(__xludf.DUMMYFUNCTION("""COMPUTED_VALUE"""),"RE")</f>
        <v>RE</v>
      </c>
      <c r="G1575">
        <f>IFERROR(__xludf.DUMMYFUNCTION("""COMPUTED_VALUE"""),9.75)</f>
        <v>9.75</v>
      </c>
    </row>
    <row r="1576">
      <c r="D1576" t="str">
        <f>IFERROR(__xludf.DUMMYFUNCTION("""COMPUTED_VALUE"""),"ODonnell")</f>
        <v>ODonnell</v>
      </c>
      <c r="E1576" t="str">
        <f>IFERROR(__xludf.DUMMYFUNCTION("""COMPUTED_VALUE"""),"Pat")</f>
        <v>Pat</v>
      </c>
      <c r="F1576" t="str">
        <f>IFERROR(__xludf.DUMMYFUNCTION("""COMPUTED_VALUE"""),"P")</f>
        <v>P</v>
      </c>
      <c r="G1576">
        <f>IFERROR(__xludf.DUMMYFUNCTION("""COMPUTED_VALUE"""),12.0)</f>
        <v>12</v>
      </c>
    </row>
    <row r="1577">
      <c r="D1577" t="str">
        <f>IFERROR(__xludf.DUMMYFUNCTION("""COMPUTED_VALUE"""),"Odrick")</f>
        <v>Odrick</v>
      </c>
      <c r="E1577" t="str">
        <f>IFERROR(__xludf.DUMMYFUNCTION("""COMPUTED_VALUE"""),"Jared")</f>
        <v>Jared</v>
      </c>
      <c r="F1577" t="str">
        <f>IFERROR(__xludf.DUMMYFUNCTION("""COMPUTED_VALUE"""),"RE")</f>
        <v>RE</v>
      </c>
      <c r="G1577">
        <f>IFERROR(__xludf.DUMMYFUNCTION("""COMPUTED_VALUE"""),11.7)</f>
        <v>11.7</v>
      </c>
    </row>
    <row r="1578">
      <c r="D1578" t="str">
        <f>IFERROR(__xludf.DUMMYFUNCTION("""COMPUTED_VALUE"""),"Ogbah")</f>
        <v>Ogbah</v>
      </c>
      <c r="E1578" t="str">
        <f>IFERROR(__xludf.DUMMYFUNCTION("""COMPUTED_VALUE"""),"Emmanuel")</f>
        <v>Emmanuel</v>
      </c>
      <c r="F1578" t="str">
        <f>IFERROR(__xludf.DUMMYFUNCTION("""COMPUTED_VALUE"""),"LOLB")</f>
        <v>LOLB</v>
      </c>
      <c r="G1578">
        <f>IFERROR(__xludf.DUMMYFUNCTION("""COMPUTED_VALUE"""),10.799999999999999)</f>
        <v>10.8</v>
      </c>
    </row>
    <row r="1579">
      <c r="D1579" t="str">
        <f>IFERROR(__xludf.DUMMYFUNCTION("""COMPUTED_VALUE"""),"Ogbuehi")</f>
        <v>Ogbuehi</v>
      </c>
      <c r="E1579" t="str">
        <f>IFERROR(__xludf.DUMMYFUNCTION("""COMPUTED_VALUE"""),"Cedric")</f>
        <v>Cedric</v>
      </c>
      <c r="F1579" t="str">
        <f>IFERROR(__xludf.DUMMYFUNCTION("""COMPUTED_VALUE"""),"LT")</f>
        <v>LT</v>
      </c>
      <c r="G1579">
        <f>IFERROR(__xludf.DUMMYFUNCTION("""COMPUTED_VALUE"""),11.1)</f>
        <v>11.1</v>
      </c>
    </row>
    <row r="1580">
      <c r="D1580" t="str">
        <f>IFERROR(__xludf.DUMMYFUNCTION("""COMPUTED_VALUE"""),"Ogletree")</f>
        <v>Ogletree</v>
      </c>
      <c r="E1580" t="str">
        <f>IFERROR(__xludf.DUMMYFUNCTION("""COMPUTED_VALUE"""),"Alec")</f>
        <v>Alec</v>
      </c>
      <c r="F1580" t="str">
        <f>IFERROR(__xludf.DUMMYFUNCTION("""COMPUTED_VALUE"""),"MLB")</f>
        <v>MLB</v>
      </c>
      <c r="G1580">
        <f>IFERROR(__xludf.DUMMYFUNCTION("""COMPUTED_VALUE"""),11.85)</f>
        <v>11.85</v>
      </c>
    </row>
    <row r="1581">
      <c r="D1581" t="str">
        <f>IFERROR(__xludf.DUMMYFUNCTION("""COMPUTED_VALUE"""),"Oher")</f>
        <v>Oher</v>
      </c>
      <c r="E1581" t="str">
        <f>IFERROR(__xludf.DUMMYFUNCTION("""COMPUTED_VALUE"""),"Michael")</f>
        <v>Michael</v>
      </c>
      <c r="F1581" t="str">
        <f>IFERROR(__xludf.DUMMYFUNCTION("""COMPUTED_VALUE"""),"LT")</f>
        <v>LT</v>
      </c>
      <c r="G1581">
        <f>IFERROR(__xludf.DUMMYFUNCTION("""COMPUTED_VALUE"""),11.7)</f>
        <v>11.7</v>
      </c>
    </row>
    <row r="1582">
      <c r="D1582" t="str">
        <f>IFERROR(__xludf.DUMMYFUNCTION("""COMPUTED_VALUE"""),"Okafor")</f>
        <v>Okafor</v>
      </c>
      <c r="E1582" t="str">
        <f>IFERROR(__xludf.DUMMYFUNCTION("""COMPUTED_VALUE"""),"Alex")</f>
        <v>Alex</v>
      </c>
      <c r="F1582" t="str">
        <f>IFERROR(__xludf.DUMMYFUNCTION("""COMPUTED_VALUE"""),"LOLB")</f>
        <v>LOLB</v>
      </c>
      <c r="G1582">
        <f>IFERROR(__xludf.DUMMYFUNCTION("""COMPUTED_VALUE"""),10.65)</f>
        <v>10.65</v>
      </c>
    </row>
    <row r="1583">
      <c r="D1583" t="str">
        <f>IFERROR(__xludf.DUMMYFUNCTION("""COMPUTED_VALUE"""),"Okine")</f>
        <v>Okine</v>
      </c>
      <c r="E1583" t="str">
        <f>IFERROR(__xludf.DUMMYFUNCTION("""COMPUTED_VALUE"""),"Earl")</f>
        <v>Earl</v>
      </c>
      <c r="F1583" t="str">
        <f>IFERROR(__xludf.DUMMYFUNCTION("""COMPUTED_VALUE"""),"LE")</f>
        <v>LE</v>
      </c>
      <c r="G1583">
        <f>IFERROR(__xludf.DUMMYFUNCTION("""COMPUTED_VALUE"""),8.4)</f>
        <v>8.4</v>
      </c>
    </row>
    <row r="1584">
      <c r="D1584" t="str">
        <f>IFERROR(__xludf.DUMMYFUNCTION("""COMPUTED_VALUE"""),"Okoye")</f>
        <v>Okoye</v>
      </c>
      <c r="E1584" t="str">
        <f>IFERROR(__xludf.DUMMYFUNCTION("""COMPUTED_VALUE"""),"Lawrence")</f>
        <v>Lawrence</v>
      </c>
      <c r="F1584" t="str">
        <f>IFERROR(__xludf.DUMMYFUNCTION("""COMPUTED_VALUE"""),"RE")</f>
        <v>RE</v>
      </c>
      <c r="G1584">
        <f>IFERROR(__xludf.DUMMYFUNCTION("""COMPUTED_VALUE"""),8.1)</f>
        <v>8.1</v>
      </c>
    </row>
    <row r="1585">
      <c r="D1585" t="str">
        <f>IFERROR(__xludf.DUMMYFUNCTION("""COMPUTED_VALUE"""),"Okung")</f>
        <v>Okung</v>
      </c>
      <c r="E1585" t="str">
        <f>IFERROR(__xludf.DUMMYFUNCTION("""COMPUTED_VALUE"""),"Russell")</f>
        <v>Russell</v>
      </c>
      <c r="F1585" t="str">
        <f>IFERROR(__xludf.DUMMYFUNCTION("""COMPUTED_VALUE"""),"LT")</f>
        <v>LT</v>
      </c>
      <c r="G1585">
        <f>IFERROR(__xludf.DUMMYFUNCTION("""COMPUTED_VALUE"""),12.299999999999999)</f>
        <v>12.3</v>
      </c>
    </row>
    <row r="1586">
      <c r="D1586" t="str">
        <f>IFERROR(__xludf.DUMMYFUNCTION("""COMPUTED_VALUE"""),"Okwara")</f>
        <v>Okwara</v>
      </c>
      <c r="E1586" t="str">
        <f>IFERROR(__xludf.DUMMYFUNCTION("""COMPUTED_VALUE"""),"Romeo")</f>
        <v>Romeo</v>
      </c>
      <c r="F1586" t="str">
        <f>IFERROR(__xludf.DUMMYFUNCTION("""COMPUTED_VALUE"""),"LOLB")</f>
        <v>LOLB</v>
      </c>
      <c r="G1586">
        <f>IFERROR(__xludf.DUMMYFUNCTION("""COMPUTED_VALUE"""),8.7)</f>
        <v>8.7</v>
      </c>
    </row>
    <row r="1587">
      <c r="D1587" t="str">
        <f>IFERROR(__xludf.DUMMYFUNCTION("""COMPUTED_VALUE"""),"Ola")</f>
        <v>Ola</v>
      </c>
      <c r="E1587" t="str">
        <f>IFERROR(__xludf.DUMMYFUNCTION("""COMPUTED_VALUE"""),"Michael")</f>
        <v>Michael</v>
      </c>
      <c r="F1587" t="str">
        <f>IFERROR(__xludf.DUMMYFUNCTION("""COMPUTED_VALUE"""),"RT")</f>
        <v>RT</v>
      </c>
      <c r="G1587">
        <f>IFERROR(__xludf.DUMMYFUNCTION("""COMPUTED_VALUE"""),11.1)</f>
        <v>11.1</v>
      </c>
    </row>
    <row r="1588">
      <c r="D1588" t="str">
        <f>IFERROR(__xludf.DUMMYFUNCTION("""COMPUTED_VALUE"""),"Olatoye")</f>
        <v>Olatoye</v>
      </c>
      <c r="E1588" t="str">
        <f>IFERROR(__xludf.DUMMYFUNCTION("""COMPUTED_VALUE"""),"Deji")</f>
        <v>Deji</v>
      </c>
      <c r="F1588" t="str">
        <f>IFERROR(__xludf.DUMMYFUNCTION("""COMPUTED_VALUE"""),"CB")</f>
        <v>CB</v>
      </c>
      <c r="G1588">
        <f>IFERROR(__xludf.DUMMYFUNCTION("""COMPUTED_VALUE"""),9.9)</f>
        <v>9.9</v>
      </c>
    </row>
    <row r="1589">
      <c r="D1589" t="str">
        <f>IFERROR(__xludf.DUMMYFUNCTION("""COMPUTED_VALUE"""),"Olawale")</f>
        <v>Olawale</v>
      </c>
      <c r="E1589" t="str">
        <f>IFERROR(__xludf.DUMMYFUNCTION("""COMPUTED_VALUE"""),"Jamize")</f>
        <v>Jamize</v>
      </c>
      <c r="F1589" t="str">
        <f>IFERROR(__xludf.DUMMYFUNCTION("""COMPUTED_VALUE"""),"FB")</f>
        <v>FB</v>
      </c>
      <c r="G1589">
        <f>IFERROR(__xludf.DUMMYFUNCTION("""COMPUTED_VALUE"""),11.85)</f>
        <v>11.85</v>
      </c>
    </row>
    <row r="1590">
      <c r="D1590" t="str">
        <f>IFERROR(__xludf.DUMMYFUNCTION("""COMPUTED_VALUE"""),"OLeary")</f>
        <v>OLeary</v>
      </c>
      <c r="E1590" t="str">
        <f>IFERROR(__xludf.DUMMYFUNCTION("""COMPUTED_VALUE"""),"Nick")</f>
        <v>Nick</v>
      </c>
      <c r="F1590" t="str">
        <f>IFERROR(__xludf.DUMMYFUNCTION("""COMPUTED_VALUE"""),"TE")</f>
        <v>TE</v>
      </c>
      <c r="G1590">
        <f>IFERROR(__xludf.DUMMYFUNCTION("""COMPUTED_VALUE"""),10.35)</f>
        <v>10.35</v>
      </c>
    </row>
    <row r="1591">
      <c r="D1591" t="str">
        <f>IFERROR(__xludf.DUMMYFUNCTION("""COMPUTED_VALUE"""),"Oliver")</f>
        <v>Oliver</v>
      </c>
      <c r="E1591" t="str">
        <f>IFERROR(__xludf.DUMMYFUNCTION("""COMPUTED_VALUE"""),"Branden")</f>
        <v>Branden</v>
      </c>
      <c r="F1591" t="str">
        <f>IFERROR(__xludf.DUMMYFUNCTION("""COMPUTED_VALUE"""),"HB")</f>
        <v>HB</v>
      </c>
      <c r="G1591">
        <f>IFERROR(__xludf.DUMMYFUNCTION("""COMPUTED_VALUE"""),11.85)</f>
        <v>11.85</v>
      </c>
    </row>
    <row r="1592">
      <c r="D1592" t="str">
        <f>IFERROR(__xludf.DUMMYFUNCTION("""COMPUTED_VALUE"""),"Olsen")</f>
        <v>Olsen</v>
      </c>
      <c r="E1592" t="str">
        <f>IFERROR(__xludf.DUMMYFUNCTION("""COMPUTED_VALUE"""),"Greg")</f>
        <v>Greg</v>
      </c>
      <c r="F1592" t="str">
        <f>IFERROR(__xludf.DUMMYFUNCTION("""COMPUTED_VALUE"""),"TE")</f>
        <v>TE</v>
      </c>
      <c r="G1592">
        <f>IFERROR(__xludf.DUMMYFUNCTION("""COMPUTED_VALUE"""),13.95)</f>
        <v>13.95</v>
      </c>
    </row>
    <row r="1593">
      <c r="D1593" t="str">
        <f>IFERROR(__xludf.DUMMYFUNCTION("""COMPUTED_VALUE"""),"Omameh")</f>
        <v>Omameh</v>
      </c>
      <c r="E1593" t="str">
        <f>IFERROR(__xludf.DUMMYFUNCTION("""COMPUTED_VALUE"""),"Patrick")</f>
        <v>Patrick</v>
      </c>
      <c r="F1593" t="str">
        <f>IFERROR(__xludf.DUMMYFUNCTION("""COMPUTED_VALUE"""),"RG")</f>
        <v>RG</v>
      </c>
      <c r="G1593">
        <f>IFERROR(__xludf.DUMMYFUNCTION("""COMPUTED_VALUE"""),11.1)</f>
        <v>11.1</v>
      </c>
    </row>
    <row r="1594">
      <c r="D1594" t="str">
        <f>IFERROR(__xludf.DUMMYFUNCTION("""COMPUTED_VALUE"""),"Onyemata")</f>
        <v>Onyemata</v>
      </c>
      <c r="E1594" t="str">
        <f>IFERROR(__xludf.DUMMYFUNCTION("""COMPUTED_VALUE"""),"David")</f>
        <v>David</v>
      </c>
      <c r="F1594" t="str">
        <f>IFERROR(__xludf.DUMMYFUNCTION("""COMPUTED_VALUE"""),"RE")</f>
        <v>RE</v>
      </c>
      <c r="G1594">
        <f>IFERROR(__xludf.DUMMYFUNCTION("""COMPUTED_VALUE"""),9.6)</f>
        <v>9.6</v>
      </c>
    </row>
    <row r="1595">
      <c r="D1595" t="str">
        <f>IFERROR(__xludf.DUMMYFUNCTION("""COMPUTED_VALUE"""),"Orakpo")</f>
        <v>Orakpo</v>
      </c>
      <c r="E1595" t="str">
        <f>IFERROR(__xludf.DUMMYFUNCTION("""COMPUTED_VALUE"""),"Brian")</f>
        <v>Brian</v>
      </c>
      <c r="F1595" t="str">
        <f>IFERROR(__xludf.DUMMYFUNCTION("""COMPUTED_VALUE"""),"ROLB")</f>
        <v>ROLB</v>
      </c>
      <c r="G1595">
        <f>IFERROR(__xludf.DUMMYFUNCTION("""COMPUTED_VALUE"""),13.049999999999999)</f>
        <v>13.05</v>
      </c>
    </row>
    <row r="1596">
      <c r="D1596" t="str">
        <f>IFERROR(__xludf.DUMMYFUNCTION("""COMPUTED_VALUE"""),"Orchard")</f>
        <v>Orchard</v>
      </c>
      <c r="E1596" t="str">
        <f>IFERROR(__xludf.DUMMYFUNCTION("""COMPUTED_VALUE"""),"Nate")</f>
        <v>Nate</v>
      </c>
      <c r="F1596" t="str">
        <f>IFERROR(__xludf.DUMMYFUNCTION("""COMPUTED_VALUE"""),"LOLB")</f>
        <v>LOLB</v>
      </c>
      <c r="G1596">
        <f>IFERROR(__xludf.DUMMYFUNCTION("""COMPUTED_VALUE"""),10.049999999999999)</f>
        <v>10.05</v>
      </c>
    </row>
    <row r="1597">
      <c r="D1597" t="str">
        <f>IFERROR(__xludf.DUMMYFUNCTION("""COMPUTED_VALUE"""),"Orlovsky")</f>
        <v>Orlovsky</v>
      </c>
      <c r="E1597" t="str">
        <f>IFERROR(__xludf.DUMMYFUNCTION("""COMPUTED_VALUE"""),"Dan")</f>
        <v>Dan</v>
      </c>
      <c r="F1597" t="str">
        <f>IFERROR(__xludf.DUMMYFUNCTION("""COMPUTED_VALUE"""),"QB")</f>
        <v>QB</v>
      </c>
      <c r="G1597">
        <f>IFERROR(__xludf.DUMMYFUNCTION("""COMPUTED_VALUE"""),9.9)</f>
        <v>9.9</v>
      </c>
    </row>
    <row r="1598">
      <c r="D1598" t="str">
        <f>IFERROR(__xludf.DUMMYFUNCTION("""COMPUTED_VALUE"""),"Orr")</f>
        <v>Orr</v>
      </c>
      <c r="E1598" t="str">
        <f>IFERROR(__xludf.DUMMYFUNCTION("""COMPUTED_VALUE"""),"Leon")</f>
        <v>Leon</v>
      </c>
      <c r="F1598" t="str">
        <f>IFERROR(__xludf.DUMMYFUNCTION("""COMPUTED_VALUE"""),"DT")</f>
        <v>DT</v>
      </c>
      <c r="G1598">
        <f>IFERROR(__xludf.DUMMYFUNCTION("""COMPUTED_VALUE"""),9.0)</f>
        <v>9</v>
      </c>
    </row>
    <row r="1599">
      <c r="D1599" t="str">
        <f>IFERROR(__xludf.DUMMYFUNCTION("""COMPUTED_VALUE"""),"Orr")</f>
        <v>Orr</v>
      </c>
      <c r="E1599" t="str">
        <f>IFERROR(__xludf.DUMMYFUNCTION("""COMPUTED_VALUE"""),"Zachary")</f>
        <v>Zachary</v>
      </c>
      <c r="F1599" t="str">
        <f>IFERROR(__xludf.DUMMYFUNCTION("""COMPUTED_VALUE"""),"MLB")</f>
        <v>MLB</v>
      </c>
      <c r="G1599">
        <f>IFERROR(__xludf.DUMMYFUNCTION("""COMPUTED_VALUE"""),9.75)</f>
        <v>9.75</v>
      </c>
    </row>
    <row r="1600">
      <c r="D1600" t="str">
        <f>IFERROR(__xludf.DUMMYFUNCTION("""COMPUTED_VALUE"""),"Osemele")</f>
        <v>Osemele</v>
      </c>
      <c r="E1600" t="str">
        <f>IFERROR(__xludf.DUMMYFUNCTION("""COMPUTED_VALUE"""),"Kelechi")</f>
        <v>Kelechi</v>
      </c>
      <c r="F1600" t="str">
        <f>IFERROR(__xludf.DUMMYFUNCTION("""COMPUTED_VALUE"""),"RG")</f>
        <v>RG</v>
      </c>
      <c r="G1600">
        <f>IFERROR(__xludf.DUMMYFUNCTION("""COMPUTED_VALUE"""),13.35)</f>
        <v>13.35</v>
      </c>
    </row>
    <row r="1601">
      <c r="D1601" t="str">
        <f>IFERROR(__xludf.DUMMYFUNCTION("""COMPUTED_VALUE"""),"OShaughnessy")</f>
        <v>OShaughnessy</v>
      </c>
      <c r="E1601" t="str">
        <f>IFERROR(__xludf.DUMMYFUNCTION("""COMPUTED_VALUE"""),"James")</f>
        <v>James</v>
      </c>
      <c r="F1601" t="str">
        <f>IFERROR(__xludf.DUMMYFUNCTION("""COMPUTED_VALUE"""),"TE")</f>
        <v>TE</v>
      </c>
      <c r="G1601">
        <f>IFERROR(__xludf.DUMMYFUNCTION("""COMPUTED_VALUE"""),10.2)</f>
        <v>10.2</v>
      </c>
    </row>
    <row r="1602">
      <c r="D1602" t="str">
        <f>IFERROR(__xludf.DUMMYFUNCTION("""COMPUTED_VALUE"""),"Osweiler")</f>
        <v>Osweiler</v>
      </c>
      <c r="E1602" t="str">
        <f>IFERROR(__xludf.DUMMYFUNCTION("""COMPUTED_VALUE"""),"Brock")</f>
        <v>Brock</v>
      </c>
      <c r="F1602" t="str">
        <f>IFERROR(__xludf.DUMMYFUNCTION("""COMPUTED_VALUE"""),"QB")</f>
        <v>QB</v>
      </c>
      <c r="G1602">
        <f>IFERROR(__xludf.DUMMYFUNCTION("""COMPUTED_VALUE"""),11.549999999999999)</f>
        <v>11.55</v>
      </c>
    </row>
    <row r="1603">
      <c r="D1603" t="str">
        <f>IFERROR(__xludf.DUMMYFUNCTION("""COMPUTED_VALUE"""),"Overton")</f>
        <v>Overton</v>
      </c>
      <c r="E1603" t="str">
        <f>IFERROR(__xludf.DUMMYFUNCTION("""COMPUTED_VALUE"""),"Matt")</f>
        <v>Matt</v>
      </c>
      <c r="F1603" t="str">
        <f>IFERROR(__xludf.DUMMYFUNCTION("""COMPUTED_VALUE"""),"TE")</f>
        <v>TE</v>
      </c>
      <c r="G1603">
        <f>IFERROR(__xludf.DUMMYFUNCTION("""COMPUTED_VALUE"""),6.45)</f>
        <v>6.45</v>
      </c>
    </row>
    <row r="1604">
      <c r="D1604" t="str">
        <f>IFERROR(__xludf.DUMMYFUNCTION("""COMPUTED_VALUE"""),"Paea")</f>
        <v>Paea</v>
      </c>
      <c r="E1604" t="str">
        <f>IFERROR(__xludf.DUMMYFUNCTION("""COMPUTED_VALUE"""),"Stephen")</f>
        <v>Stephen</v>
      </c>
      <c r="F1604" t="str">
        <f>IFERROR(__xludf.DUMMYFUNCTION("""COMPUTED_VALUE"""),"LE")</f>
        <v>LE</v>
      </c>
      <c r="G1604">
        <f>IFERROR(__xludf.DUMMYFUNCTION("""COMPUTED_VALUE"""),11.25)</f>
        <v>11.25</v>
      </c>
    </row>
    <row r="1605">
      <c r="D1605" t="str">
        <f>IFERROR(__xludf.DUMMYFUNCTION("""COMPUTED_VALUE"""),"Pagan")</f>
        <v>Pagan</v>
      </c>
      <c r="E1605" t="str">
        <f>IFERROR(__xludf.DUMMYFUNCTION("""COMPUTED_VALUE"""),"Jeoffrey")</f>
        <v>Jeoffrey</v>
      </c>
      <c r="F1605" t="str">
        <f>IFERROR(__xludf.DUMMYFUNCTION("""COMPUTED_VALUE"""),"RE")</f>
        <v>RE</v>
      </c>
      <c r="G1605">
        <f>IFERROR(__xludf.DUMMYFUNCTION("""COMPUTED_VALUE"""),9.45)</f>
        <v>9.45</v>
      </c>
    </row>
    <row r="1606">
      <c r="D1606" t="str">
        <f>IFERROR(__xludf.DUMMYFUNCTION("""COMPUTED_VALUE"""),"Painter")</f>
        <v>Painter</v>
      </c>
      <c r="E1606" t="str">
        <f>IFERROR(__xludf.DUMMYFUNCTION("""COMPUTED_VALUE"""),"Vinston")</f>
        <v>Vinston</v>
      </c>
      <c r="F1606" t="str">
        <f>IFERROR(__xludf.DUMMYFUNCTION("""COMPUTED_VALUE"""),"LT")</f>
        <v>LT</v>
      </c>
      <c r="G1606">
        <f>IFERROR(__xludf.DUMMYFUNCTION("""COMPUTED_VALUE"""),9.75)</f>
        <v>9.75</v>
      </c>
    </row>
    <row r="1607">
      <c r="D1607" t="str">
        <f>IFERROR(__xludf.DUMMYFUNCTION("""COMPUTED_VALUE"""),"Palepoi")</f>
        <v>Palepoi</v>
      </c>
      <c r="E1607" t="str">
        <f>IFERROR(__xludf.DUMMYFUNCTION("""COMPUTED_VALUE"""),"Tenny")</f>
        <v>Tenny</v>
      </c>
      <c r="F1607" t="str">
        <f>IFERROR(__xludf.DUMMYFUNCTION("""COMPUTED_VALUE"""),"RE")</f>
        <v>RE</v>
      </c>
      <c r="G1607">
        <f>IFERROR(__xludf.DUMMYFUNCTION("""COMPUTED_VALUE"""),9.75)</f>
        <v>9.75</v>
      </c>
    </row>
    <row r="1608">
      <c r="D1608" t="str">
        <f>IFERROR(__xludf.DUMMYFUNCTION("""COMPUTED_VALUE"""),"Palmer")</f>
        <v>Palmer</v>
      </c>
      <c r="E1608" t="str">
        <f>IFERROR(__xludf.DUMMYFUNCTION("""COMPUTED_VALUE"""),"Carson")</f>
        <v>Carson</v>
      </c>
      <c r="F1608" t="str">
        <f>IFERROR(__xludf.DUMMYFUNCTION("""COMPUTED_VALUE"""),"QB")</f>
        <v>QB</v>
      </c>
      <c r="G1608">
        <f>IFERROR(__xludf.DUMMYFUNCTION("""COMPUTED_VALUE"""),13.35)</f>
        <v>13.35</v>
      </c>
    </row>
    <row r="1609">
      <c r="D1609" t="str">
        <f>IFERROR(__xludf.DUMMYFUNCTION("""COMPUTED_VALUE"""),"Palmer")</f>
        <v>Palmer</v>
      </c>
      <c r="E1609" t="str">
        <f>IFERROR(__xludf.DUMMYFUNCTION("""COMPUTED_VALUE"""),"Nate")</f>
        <v>Nate</v>
      </c>
      <c r="F1609" t="str">
        <f>IFERROR(__xludf.DUMMYFUNCTION("""COMPUTED_VALUE"""),"MLB")</f>
        <v>MLB</v>
      </c>
      <c r="G1609">
        <f>IFERROR(__xludf.DUMMYFUNCTION("""COMPUTED_VALUE"""),9.75)</f>
        <v>9.75</v>
      </c>
    </row>
    <row r="1610">
      <c r="D1610" t="str">
        <f>IFERROR(__xludf.DUMMYFUNCTION("""COMPUTED_VALUE"""),"Palmer")</f>
        <v>Palmer</v>
      </c>
      <c r="E1610" t="str">
        <f>IFERROR(__xludf.DUMMYFUNCTION("""COMPUTED_VALUE"""),"Nathan")</f>
        <v>Nathan</v>
      </c>
      <c r="F1610" t="str">
        <f>IFERROR(__xludf.DUMMYFUNCTION("""COMPUTED_VALUE"""),"WR")</f>
        <v>WR</v>
      </c>
      <c r="G1610">
        <f>IFERROR(__xludf.DUMMYFUNCTION("""COMPUTED_VALUE"""),9.0)</f>
        <v>9</v>
      </c>
    </row>
    <row r="1611">
      <c r="D1611" t="str">
        <f>IFERROR(__xludf.DUMMYFUNCTION("""COMPUTED_VALUE"""),"Pamphile")</f>
        <v>Pamphile</v>
      </c>
      <c r="E1611" t="str">
        <f>IFERROR(__xludf.DUMMYFUNCTION("""COMPUTED_VALUE"""),"Kevin")</f>
        <v>Kevin</v>
      </c>
      <c r="F1611" t="str">
        <f>IFERROR(__xludf.DUMMYFUNCTION("""COMPUTED_VALUE"""),"LT")</f>
        <v>LT</v>
      </c>
      <c r="G1611">
        <f>IFERROR(__xludf.DUMMYFUNCTION("""COMPUTED_VALUE"""),10.65)</f>
        <v>10.65</v>
      </c>
    </row>
    <row r="1612">
      <c r="D1612" t="str">
        <f>IFERROR(__xludf.DUMMYFUNCTION("""COMPUTED_VALUE"""),"Pantale")</f>
        <v>Pantale</v>
      </c>
      <c r="E1612" t="str">
        <f>IFERROR(__xludf.DUMMYFUNCTION("""COMPUTED_VALUE"""),"Chris")</f>
        <v>Chris</v>
      </c>
      <c r="F1612" t="str">
        <f>IFERROR(__xludf.DUMMYFUNCTION("""COMPUTED_VALUE"""),"TE")</f>
        <v>TE</v>
      </c>
      <c r="G1612">
        <f>IFERROR(__xludf.DUMMYFUNCTION("""COMPUTED_VALUE"""),9.45)</f>
        <v>9.45</v>
      </c>
    </row>
    <row r="1613">
      <c r="D1613" t="str">
        <f>IFERROR(__xludf.DUMMYFUNCTION("""COMPUTED_VALUE"""),"Paradis")</f>
        <v>Paradis</v>
      </c>
      <c r="E1613" t="str">
        <f>IFERROR(__xludf.DUMMYFUNCTION("""COMPUTED_VALUE"""),"Matt")</f>
        <v>Matt</v>
      </c>
      <c r="F1613" t="str">
        <f>IFERROR(__xludf.DUMMYFUNCTION("""COMPUTED_VALUE"""),"C")</f>
        <v>C</v>
      </c>
      <c r="G1613">
        <f>IFERROR(__xludf.DUMMYFUNCTION("""COMPUTED_VALUE"""),10.65)</f>
        <v>10.65</v>
      </c>
    </row>
    <row r="1614">
      <c r="D1614" t="str">
        <f>IFERROR(__xludf.DUMMYFUNCTION("""COMPUTED_VALUE"""),"Parker")</f>
        <v>Parker</v>
      </c>
      <c r="E1614" t="str">
        <f>IFERROR(__xludf.DUMMYFUNCTION("""COMPUTED_VALUE"""),"Brian")</f>
        <v>Brian</v>
      </c>
      <c r="F1614" t="str">
        <f>IFERROR(__xludf.DUMMYFUNCTION("""COMPUTED_VALUE"""),"TE")</f>
        <v>TE</v>
      </c>
      <c r="G1614">
        <f>IFERROR(__xludf.DUMMYFUNCTION("""COMPUTED_VALUE"""),9.75)</f>
        <v>9.75</v>
      </c>
    </row>
    <row r="1615">
      <c r="D1615" t="str">
        <f>IFERROR(__xludf.DUMMYFUNCTION("""COMPUTED_VALUE"""),"Parker")</f>
        <v>Parker</v>
      </c>
      <c r="E1615" t="str">
        <f>IFERROR(__xludf.DUMMYFUNCTION("""COMPUTED_VALUE"""),"DeVante")</f>
        <v>DeVante</v>
      </c>
      <c r="F1615" t="str">
        <f>IFERROR(__xludf.DUMMYFUNCTION("""COMPUTED_VALUE"""),"WR")</f>
        <v>WR</v>
      </c>
      <c r="G1615">
        <f>IFERROR(__xludf.DUMMYFUNCTION("""COMPUTED_VALUE"""),11.549999999999999)</f>
        <v>11.55</v>
      </c>
    </row>
    <row r="1616">
      <c r="D1616" t="str">
        <f>IFERROR(__xludf.DUMMYFUNCTION("""COMPUTED_VALUE"""),"Parker")</f>
        <v>Parker</v>
      </c>
      <c r="E1616" t="str">
        <f>IFERROR(__xludf.DUMMYFUNCTION("""COMPUTED_VALUE"""),"Ron")</f>
        <v>Ron</v>
      </c>
      <c r="F1616" t="str">
        <f>IFERROR(__xludf.DUMMYFUNCTION("""COMPUTED_VALUE"""),"SS")</f>
        <v>SS</v>
      </c>
      <c r="G1616">
        <f>IFERROR(__xludf.DUMMYFUNCTION("""COMPUTED_VALUE"""),12.15)</f>
        <v>12.15</v>
      </c>
    </row>
    <row r="1617">
      <c r="D1617" t="str">
        <f>IFERROR(__xludf.DUMMYFUNCTION("""COMPUTED_VALUE"""),"Parkey")</f>
        <v>Parkey</v>
      </c>
      <c r="E1617" t="str">
        <f>IFERROR(__xludf.DUMMYFUNCTION("""COMPUTED_VALUE"""),"Cody")</f>
        <v>Cody</v>
      </c>
      <c r="F1617" t="str">
        <f>IFERROR(__xludf.DUMMYFUNCTION("""COMPUTED_VALUE"""),"K")</f>
        <v>K</v>
      </c>
      <c r="G1617">
        <f>IFERROR(__xludf.DUMMYFUNCTION("""COMPUTED_VALUE"""),11.25)</f>
        <v>11.25</v>
      </c>
    </row>
    <row r="1618">
      <c r="D1618" t="str">
        <f>IFERROR(__xludf.DUMMYFUNCTION("""COMPUTED_VALUE"""),"Parks")</f>
        <v>Parks</v>
      </c>
      <c r="E1618" t="str">
        <f>IFERROR(__xludf.DUMMYFUNCTION("""COMPUTED_VALUE"""),"Will")</f>
        <v>Will</v>
      </c>
      <c r="F1618" t="str">
        <f>IFERROR(__xludf.DUMMYFUNCTION("""COMPUTED_VALUE"""),"SS")</f>
        <v>SS</v>
      </c>
      <c r="G1618">
        <f>IFERROR(__xludf.DUMMYFUNCTION("""COMPUTED_VALUE"""),10.2)</f>
        <v>10.2</v>
      </c>
    </row>
    <row r="1619">
      <c r="D1619" t="str">
        <f>IFERROR(__xludf.DUMMYFUNCTION("""COMPUTED_VALUE"""),"Parnell")</f>
        <v>Parnell</v>
      </c>
      <c r="E1619" t="str">
        <f>IFERROR(__xludf.DUMMYFUNCTION("""COMPUTED_VALUE"""),"Jermey")</f>
        <v>Jermey</v>
      </c>
      <c r="F1619" t="str">
        <f>IFERROR(__xludf.DUMMYFUNCTION("""COMPUTED_VALUE"""),"RT")</f>
        <v>RT</v>
      </c>
      <c r="G1619">
        <f>IFERROR(__xludf.DUMMYFUNCTION("""COMPUTED_VALUE"""),11.549999999999999)</f>
        <v>11.55</v>
      </c>
    </row>
    <row r="1620">
      <c r="D1620" t="str">
        <f>IFERROR(__xludf.DUMMYFUNCTION("""COMPUTED_VALUE"""),"Parry")</f>
        <v>Parry</v>
      </c>
      <c r="E1620" t="str">
        <f>IFERROR(__xludf.DUMMYFUNCTION("""COMPUTED_VALUE"""),"David")</f>
        <v>David</v>
      </c>
      <c r="F1620" t="str">
        <f>IFERROR(__xludf.DUMMYFUNCTION("""COMPUTED_VALUE"""),"DT")</f>
        <v>DT</v>
      </c>
      <c r="G1620">
        <f>IFERROR(__xludf.DUMMYFUNCTION("""COMPUTED_VALUE"""),10.2)</f>
        <v>10.2</v>
      </c>
    </row>
    <row r="1621">
      <c r="D1621" t="str">
        <f>IFERROR(__xludf.DUMMYFUNCTION("""COMPUTED_VALUE"""),"Pasztor")</f>
        <v>Pasztor</v>
      </c>
      <c r="E1621" t="str">
        <f>IFERROR(__xludf.DUMMYFUNCTION("""COMPUTED_VALUE"""),"Austin")</f>
        <v>Austin</v>
      </c>
      <c r="F1621" t="str">
        <f>IFERROR(__xludf.DUMMYFUNCTION("""COMPUTED_VALUE"""),"RT")</f>
        <v>RT</v>
      </c>
      <c r="G1621">
        <f>IFERROR(__xludf.DUMMYFUNCTION("""COMPUTED_VALUE"""),10.65)</f>
        <v>10.65</v>
      </c>
    </row>
    <row r="1622">
      <c r="D1622" t="str">
        <f>IFERROR(__xludf.DUMMYFUNCTION("""COMPUTED_VALUE"""),"Patterson")</f>
        <v>Patterson</v>
      </c>
      <c r="E1622" t="str">
        <f>IFERROR(__xludf.DUMMYFUNCTION("""COMPUTED_VALUE"""),"Cordarrelle")</f>
        <v>Cordarrelle</v>
      </c>
      <c r="F1622" t="str">
        <f>IFERROR(__xludf.DUMMYFUNCTION("""COMPUTED_VALUE"""),"WR")</f>
        <v>WR</v>
      </c>
      <c r="G1622">
        <f>IFERROR(__xludf.DUMMYFUNCTION("""COMPUTED_VALUE"""),10.5)</f>
        <v>10.5</v>
      </c>
    </row>
    <row r="1623">
      <c r="D1623" t="str">
        <f>IFERROR(__xludf.DUMMYFUNCTION("""COMPUTED_VALUE"""),"Patterson")</f>
        <v>Patterson</v>
      </c>
      <c r="E1623" t="str">
        <f>IFERROR(__xludf.DUMMYFUNCTION("""COMPUTED_VALUE"""),"Eric")</f>
        <v>Eric</v>
      </c>
      <c r="F1623" t="str">
        <f>IFERROR(__xludf.DUMMYFUNCTION("""COMPUTED_VALUE"""),"CB")</f>
        <v>CB</v>
      </c>
      <c r="G1623">
        <f>IFERROR(__xludf.DUMMYFUNCTION("""COMPUTED_VALUE"""),9.15)</f>
        <v>9.15</v>
      </c>
    </row>
    <row r="1624">
      <c r="D1624" t="str">
        <f>IFERROR(__xludf.DUMMYFUNCTION("""COMPUTED_VALUE"""),"Patton")</f>
        <v>Patton</v>
      </c>
      <c r="E1624" t="str">
        <f>IFERROR(__xludf.DUMMYFUNCTION("""COMPUTED_VALUE"""),"Quinton")</f>
        <v>Quinton</v>
      </c>
      <c r="F1624" t="str">
        <f>IFERROR(__xludf.DUMMYFUNCTION("""COMPUTED_VALUE"""),"WR")</f>
        <v>WR</v>
      </c>
      <c r="G1624">
        <f>IFERROR(__xludf.DUMMYFUNCTION("""COMPUTED_VALUE"""),10.5)</f>
        <v>10.5</v>
      </c>
    </row>
    <row r="1625">
      <c r="D1625" t="str">
        <f>IFERROR(__xludf.DUMMYFUNCTION("""COMPUTED_VALUE"""),"Paul")</f>
        <v>Paul</v>
      </c>
      <c r="E1625" t="str">
        <f>IFERROR(__xludf.DUMMYFUNCTION("""COMPUTED_VALUE"""),"Niles")</f>
        <v>Niles</v>
      </c>
      <c r="F1625" t="str">
        <f>IFERROR(__xludf.DUMMYFUNCTION("""COMPUTED_VALUE"""),"TE")</f>
        <v>TE</v>
      </c>
      <c r="G1625">
        <f>IFERROR(__xludf.DUMMYFUNCTION("""COMPUTED_VALUE"""),10.95)</f>
        <v>10.95</v>
      </c>
    </row>
    <row r="1626">
      <c r="D1626" t="str">
        <f>IFERROR(__xludf.DUMMYFUNCTION("""COMPUTED_VALUE"""),"Paulsen")</f>
        <v>Paulsen</v>
      </c>
      <c r="E1626" t="str">
        <f>IFERROR(__xludf.DUMMYFUNCTION("""COMPUTED_VALUE"""),"Logan")</f>
        <v>Logan</v>
      </c>
      <c r="F1626" t="str">
        <f>IFERROR(__xludf.DUMMYFUNCTION("""COMPUTED_VALUE"""),"TE")</f>
        <v>TE</v>
      </c>
      <c r="G1626">
        <f>IFERROR(__xludf.DUMMYFUNCTION("""COMPUTED_VALUE"""),10.5)</f>
        <v>10.5</v>
      </c>
    </row>
    <row r="1627">
      <c r="D1627" t="str">
        <f>IFERROR(__xludf.DUMMYFUNCTION("""COMPUTED_VALUE"""),"Paysinger")</f>
        <v>Paysinger</v>
      </c>
      <c r="E1627" t="str">
        <f>IFERROR(__xludf.DUMMYFUNCTION("""COMPUTED_VALUE"""),"Spencer")</f>
        <v>Spencer</v>
      </c>
      <c r="F1627" t="str">
        <f>IFERROR(__xludf.DUMMYFUNCTION("""COMPUTED_VALUE"""),"LOLB")</f>
        <v>LOLB</v>
      </c>
      <c r="G1627">
        <f>IFERROR(__xludf.DUMMYFUNCTION("""COMPUTED_VALUE"""),10.5)</f>
        <v>10.5</v>
      </c>
    </row>
    <row r="1628">
      <c r="D1628" t="str">
        <f>IFERROR(__xludf.DUMMYFUNCTION("""COMPUTED_VALUE"""),"Payton")</f>
        <v>Payton</v>
      </c>
      <c r="E1628" t="str">
        <f>IFERROR(__xludf.DUMMYFUNCTION("""COMPUTED_VALUE"""),"Jordan")</f>
        <v>Jordan</v>
      </c>
      <c r="F1628" t="str">
        <f>IFERROR(__xludf.DUMMYFUNCTION("""COMPUTED_VALUE"""),"WR")</f>
        <v>WR</v>
      </c>
      <c r="G1628">
        <f>IFERROR(__xludf.DUMMYFUNCTION("""COMPUTED_VALUE"""),9.6)</f>
        <v>9.6</v>
      </c>
    </row>
    <row r="1629">
      <c r="D1629" t="str">
        <f>IFERROR(__xludf.DUMMYFUNCTION("""COMPUTED_VALUE"""),"Pead")</f>
        <v>Pead</v>
      </c>
      <c r="E1629" t="str">
        <f>IFERROR(__xludf.DUMMYFUNCTION("""COMPUTED_VALUE"""),"Isaiah")</f>
        <v>Isaiah</v>
      </c>
      <c r="F1629" t="str">
        <f>IFERROR(__xludf.DUMMYFUNCTION("""COMPUTED_VALUE"""),"HB")</f>
        <v>HB</v>
      </c>
      <c r="G1629">
        <f>IFERROR(__xludf.DUMMYFUNCTION("""COMPUTED_VALUE"""),10.049999999999999)</f>
        <v>10.05</v>
      </c>
    </row>
    <row r="1630">
      <c r="D1630" t="str">
        <f>IFERROR(__xludf.DUMMYFUNCTION("""COMPUTED_VALUE"""),"Peake")</f>
        <v>Peake</v>
      </c>
      <c r="E1630" t="str">
        <f>IFERROR(__xludf.DUMMYFUNCTION("""COMPUTED_VALUE"""),"Charone")</f>
        <v>Charone</v>
      </c>
      <c r="F1630" t="str">
        <f>IFERROR(__xludf.DUMMYFUNCTION("""COMPUTED_VALUE"""),"WR")</f>
        <v>WR</v>
      </c>
      <c r="G1630">
        <f>IFERROR(__xludf.DUMMYFUNCTION("""COMPUTED_VALUE"""),9.75)</f>
        <v>9.75</v>
      </c>
    </row>
    <row r="1631">
      <c r="D1631" t="str">
        <f>IFERROR(__xludf.DUMMYFUNCTION("""COMPUTED_VALUE"""),"Pears")</f>
        <v>Pears</v>
      </c>
      <c r="E1631" t="str">
        <f>IFERROR(__xludf.DUMMYFUNCTION("""COMPUTED_VALUE"""),"Erik")</f>
        <v>Erik</v>
      </c>
      <c r="F1631" t="str">
        <f>IFERROR(__xludf.DUMMYFUNCTION("""COMPUTED_VALUE"""),"RT")</f>
        <v>RT</v>
      </c>
      <c r="G1631">
        <f>IFERROR(__xludf.DUMMYFUNCTION("""COMPUTED_VALUE"""),10.65)</f>
        <v>10.65</v>
      </c>
    </row>
    <row r="1632">
      <c r="D1632" t="str">
        <f>IFERROR(__xludf.DUMMYFUNCTION("""COMPUTED_VALUE"""),"Peat")</f>
        <v>Peat</v>
      </c>
      <c r="E1632" t="str">
        <f>IFERROR(__xludf.DUMMYFUNCTION("""COMPUTED_VALUE"""),"Andrus")</f>
        <v>Andrus</v>
      </c>
      <c r="F1632" t="str">
        <f>IFERROR(__xludf.DUMMYFUNCTION("""COMPUTED_VALUE"""),"RG")</f>
        <v>RG</v>
      </c>
      <c r="G1632">
        <f>IFERROR(__xludf.DUMMYFUNCTION("""COMPUTED_VALUE"""),10.5)</f>
        <v>10.5</v>
      </c>
    </row>
    <row r="1633">
      <c r="D1633" t="str">
        <f>IFERROR(__xludf.DUMMYFUNCTION("""COMPUTED_VALUE"""),"Peerman")</f>
        <v>Peerman</v>
      </c>
      <c r="E1633" t="str">
        <f>IFERROR(__xludf.DUMMYFUNCTION("""COMPUTED_VALUE"""),"Cedric")</f>
        <v>Cedric</v>
      </c>
      <c r="F1633" t="str">
        <f>IFERROR(__xludf.DUMMYFUNCTION("""COMPUTED_VALUE"""),"HB")</f>
        <v>HB</v>
      </c>
      <c r="G1633">
        <f>IFERROR(__xludf.DUMMYFUNCTION("""COMPUTED_VALUE"""),10.65)</f>
        <v>10.65</v>
      </c>
    </row>
    <row r="1634">
      <c r="D1634" t="str">
        <f>IFERROR(__xludf.DUMMYFUNCTION("""COMPUTED_VALUE"""),"Peko")</f>
        <v>Peko</v>
      </c>
      <c r="E1634" t="str">
        <f>IFERROR(__xludf.DUMMYFUNCTION("""COMPUTED_VALUE"""),"Domata")</f>
        <v>Domata</v>
      </c>
      <c r="F1634" t="str">
        <f>IFERROR(__xludf.DUMMYFUNCTION("""COMPUTED_VALUE"""),"DT")</f>
        <v>DT</v>
      </c>
      <c r="G1634">
        <f>IFERROR(__xludf.DUMMYFUNCTION("""COMPUTED_VALUE"""),10.95)</f>
        <v>10.95</v>
      </c>
    </row>
    <row r="1635">
      <c r="D1635" t="str">
        <f>IFERROR(__xludf.DUMMYFUNCTION("""COMPUTED_VALUE"""),"Penn")</f>
        <v>Penn</v>
      </c>
      <c r="E1635" t="str">
        <f>IFERROR(__xludf.DUMMYFUNCTION("""COMPUTED_VALUE"""),"Donald")</f>
        <v>Donald</v>
      </c>
      <c r="F1635" t="str">
        <f>IFERROR(__xludf.DUMMYFUNCTION("""COMPUTED_VALUE"""),"LT")</f>
        <v>LT</v>
      </c>
      <c r="G1635">
        <f>IFERROR(__xludf.DUMMYFUNCTION("""COMPUTED_VALUE"""),13.049999999999999)</f>
        <v>13.05</v>
      </c>
    </row>
    <row r="1636">
      <c r="D1636" t="str">
        <f>IFERROR(__xludf.DUMMYFUNCTION("""COMPUTED_VALUE"""),"Pennel")</f>
        <v>Pennel</v>
      </c>
      <c r="E1636" t="str">
        <f>IFERROR(__xludf.DUMMYFUNCTION("""COMPUTED_VALUE"""),"Mike")</f>
        <v>Mike</v>
      </c>
      <c r="F1636" t="str">
        <f>IFERROR(__xludf.DUMMYFUNCTION("""COMPUTED_VALUE"""),"RE")</f>
        <v>RE</v>
      </c>
      <c r="G1636">
        <f>IFERROR(__xludf.DUMMYFUNCTION("""COMPUTED_VALUE"""),9.9)</f>
        <v>9.9</v>
      </c>
    </row>
    <row r="1637">
      <c r="D1637" t="str">
        <f>IFERROR(__xludf.DUMMYFUNCTION("""COMPUTED_VALUE"""),"Peppers")</f>
        <v>Peppers</v>
      </c>
      <c r="E1637" t="str">
        <f>IFERROR(__xludf.DUMMYFUNCTION("""COMPUTED_VALUE"""),"Julius")</f>
        <v>Julius</v>
      </c>
      <c r="F1637" t="str">
        <f>IFERROR(__xludf.DUMMYFUNCTION("""COMPUTED_VALUE"""),"ROLB")</f>
        <v>ROLB</v>
      </c>
      <c r="G1637">
        <f>IFERROR(__xludf.DUMMYFUNCTION("""COMPUTED_VALUE"""),12.9)</f>
        <v>12.9</v>
      </c>
    </row>
    <row r="1638">
      <c r="D1638" t="str">
        <f>IFERROR(__xludf.DUMMYFUNCTION("""COMPUTED_VALUE"""),"Perillo")</f>
        <v>Perillo</v>
      </c>
      <c r="E1638" t="str">
        <f>IFERROR(__xludf.DUMMYFUNCTION("""COMPUTED_VALUE"""),"Justin")</f>
        <v>Justin</v>
      </c>
      <c r="F1638" t="str">
        <f>IFERROR(__xludf.DUMMYFUNCTION("""COMPUTED_VALUE"""),"TE")</f>
        <v>TE</v>
      </c>
      <c r="G1638">
        <f>IFERROR(__xludf.DUMMYFUNCTION("""COMPUTED_VALUE"""),10.2)</f>
        <v>10.2</v>
      </c>
    </row>
    <row r="1639">
      <c r="D1639" t="str">
        <f>IFERROR(__xludf.DUMMYFUNCTION("""COMPUTED_VALUE"""),"Perkins")</f>
        <v>Perkins</v>
      </c>
      <c r="E1639" t="str">
        <f>IFERROR(__xludf.DUMMYFUNCTION("""COMPUTED_VALUE"""),"Paul")</f>
        <v>Paul</v>
      </c>
      <c r="F1639" t="str">
        <f>IFERROR(__xludf.DUMMYFUNCTION("""COMPUTED_VALUE"""),"HB")</f>
        <v>HB</v>
      </c>
      <c r="G1639">
        <f>IFERROR(__xludf.DUMMYFUNCTION("""COMPUTED_VALUE"""),10.799999999999999)</f>
        <v>10.8</v>
      </c>
    </row>
    <row r="1640">
      <c r="D1640" t="str">
        <f>IFERROR(__xludf.DUMMYFUNCTION("""COMPUTED_VALUE"""),"Perriman")</f>
        <v>Perriman</v>
      </c>
      <c r="E1640" t="str">
        <f>IFERROR(__xludf.DUMMYFUNCTION("""COMPUTED_VALUE"""),"Breshad")</f>
        <v>Breshad</v>
      </c>
      <c r="F1640" t="str">
        <f>IFERROR(__xludf.DUMMYFUNCTION("""COMPUTED_VALUE"""),"WR")</f>
        <v>WR</v>
      </c>
      <c r="G1640">
        <f>IFERROR(__xludf.DUMMYFUNCTION("""COMPUTED_VALUE"""),10.5)</f>
        <v>10.5</v>
      </c>
    </row>
    <row r="1641">
      <c r="D1641" t="str">
        <f>IFERROR(__xludf.DUMMYFUNCTION("""COMPUTED_VALUE"""),"Perry")</f>
        <v>Perry</v>
      </c>
      <c r="E1641" t="str">
        <f>IFERROR(__xludf.DUMMYFUNCTION("""COMPUTED_VALUE"""),"Joshua")</f>
        <v>Joshua</v>
      </c>
      <c r="F1641" t="str">
        <f>IFERROR(__xludf.DUMMYFUNCTION("""COMPUTED_VALUE"""),"MLB")</f>
        <v>MLB</v>
      </c>
      <c r="G1641">
        <f>IFERROR(__xludf.DUMMYFUNCTION("""COMPUTED_VALUE"""),9.9)</f>
        <v>9.9</v>
      </c>
    </row>
    <row r="1642">
      <c r="D1642" t="str">
        <f>IFERROR(__xludf.DUMMYFUNCTION("""COMPUTED_VALUE"""),"Perry")</f>
        <v>Perry</v>
      </c>
      <c r="E1642" t="str">
        <f>IFERROR(__xludf.DUMMYFUNCTION("""COMPUTED_VALUE"""),"Nick")</f>
        <v>Nick</v>
      </c>
      <c r="F1642" t="str">
        <f>IFERROR(__xludf.DUMMYFUNCTION("""COMPUTED_VALUE"""),"ROLB")</f>
        <v>ROLB</v>
      </c>
      <c r="G1642">
        <f>IFERROR(__xludf.DUMMYFUNCTION("""COMPUTED_VALUE"""),12.15)</f>
        <v>12.15</v>
      </c>
    </row>
    <row r="1643">
      <c r="D1643" t="str">
        <f>IFERROR(__xludf.DUMMYFUNCTION("""COMPUTED_VALUE"""),"Perry")</f>
        <v>Perry</v>
      </c>
      <c r="E1643" t="str">
        <f>IFERROR(__xludf.DUMMYFUNCTION("""COMPUTED_VALUE"""),"Senorise")</f>
        <v>Senorise</v>
      </c>
      <c r="F1643" t="str">
        <f>IFERROR(__xludf.DUMMYFUNCTION("""COMPUTED_VALUE"""),"HB")</f>
        <v>HB</v>
      </c>
      <c r="G1643">
        <f>IFERROR(__xludf.DUMMYFUNCTION("""COMPUTED_VALUE"""),9.6)</f>
        <v>9.6</v>
      </c>
    </row>
    <row r="1644">
      <c r="D1644" t="str">
        <f>IFERROR(__xludf.DUMMYFUNCTION("""COMPUTED_VALUE"""),"Perryman")</f>
        <v>Perryman</v>
      </c>
      <c r="E1644" t="str">
        <f>IFERROR(__xludf.DUMMYFUNCTION("""COMPUTED_VALUE"""),"Denzel")</f>
        <v>Denzel</v>
      </c>
      <c r="F1644" t="str">
        <f>IFERROR(__xludf.DUMMYFUNCTION("""COMPUTED_VALUE"""),"MLB")</f>
        <v>MLB</v>
      </c>
      <c r="G1644">
        <f>IFERROR(__xludf.DUMMYFUNCTION("""COMPUTED_VALUE"""),11.4)</f>
        <v>11.4</v>
      </c>
    </row>
    <row r="1645">
      <c r="D1645" t="str">
        <f>IFERROR(__xludf.DUMMYFUNCTION("""COMPUTED_VALUE"""),"Person")</f>
        <v>Person</v>
      </c>
      <c r="E1645" t="str">
        <f>IFERROR(__xludf.DUMMYFUNCTION("""COMPUTED_VALUE"""),"Mike")</f>
        <v>Mike</v>
      </c>
      <c r="F1645" t="str">
        <f>IFERROR(__xludf.DUMMYFUNCTION("""COMPUTED_VALUE"""),"C")</f>
        <v>C</v>
      </c>
      <c r="G1645">
        <f>IFERROR(__xludf.DUMMYFUNCTION("""COMPUTED_VALUE"""),10.5)</f>
        <v>10.5</v>
      </c>
    </row>
    <row r="1646">
      <c r="D1646" t="str">
        <f>IFERROR(__xludf.DUMMYFUNCTION("""COMPUTED_VALUE"""),"Peters")</f>
        <v>Peters</v>
      </c>
      <c r="E1646" t="str">
        <f>IFERROR(__xludf.DUMMYFUNCTION("""COMPUTED_VALUE"""),"Brian")</f>
        <v>Brian</v>
      </c>
      <c r="F1646" t="str">
        <f>IFERROR(__xludf.DUMMYFUNCTION("""COMPUTED_VALUE"""),"MLB")</f>
        <v>MLB</v>
      </c>
      <c r="G1646">
        <f>IFERROR(__xludf.DUMMYFUNCTION("""COMPUTED_VALUE"""),9.15)</f>
        <v>9.15</v>
      </c>
    </row>
    <row r="1647">
      <c r="D1647" t="str">
        <f>IFERROR(__xludf.DUMMYFUNCTION("""COMPUTED_VALUE"""),"Peters")</f>
        <v>Peters</v>
      </c>
      <c r="E1647" t="str">
        <f>IFERROR(__xludf.DUMMYFUNCTION("""COMPUTED_VALUE"""),"Corey")</f>
        <v>Corey</v>
      </c>
      <c r="F1647" t="str">
        <f>IFERROR(__xludf.DUMMYFUNCTION("""COMPUTED_VALUE"""),"DT")</f>
        <v>DT</v>
      </c>
      <c r="G1647">
        <f>IFERROR(__xludf.DUMMYFUNCTION("""COMPUTED_VALUE"""),11.25)</f>
        <v>11.25</v>
      </c>
    </row>
    <row r="1648">
      <c r="D1648" t="str">
        <f>IFERROR(__xludf.DUMMYFUNCTION("""COMPUTED_VALUE"""),"Peters")</f>
        <v>Peters</v>
      </c>
      <c r="E1648" t="str">
        <f>IFERROR(__xludf.DUMMYFUNCTION("""COMPUTED_VALUE"""),"Jason")</f>
        <v>Jason</v>
      </c>
      <c r="F1648" t="str">
        <f>IFERROR(__xludf.DUMMYFUNCTION("""COMPUTED_VALUE"""),"LT")</f>
        <v>LT</v>
      </c>
      <c r="G1648">
        <f>IFERROR(__xludf.DUMMYFUNCTION("""COMPUTED_VALUE"""),13.049999999999999)</f>
        <v>13.05</v>
      </c>
    </row>
    <row r="1649">
      <c r="D1649" t="str">
        <f>IFERROR(__xludf.DUMMYFUNCTION("""COMPUTED_VALUE"""),"Peters")</f>
        <v>Peters</v>
      </c>
      <c r="E1649" t="str">
        <f>IFERROR(__xludf.DUMMYFUNCTION("""COMPUTED_VALUE"""),"Marcus")</f>
        <v>Marcus</v>
      </c>
      <c r="F1649" t="str">
        <f>IFERROR(__xludf.DUMMYFUNCTION("""COMPUTED_VALUE"""),"CB")</f>
        <v>CB</v>
      </c>
      <c r="G1649">
        <f>IFERROR(__xludf.DUMMYFUNCTION("""COMPUTED_VALUE"""),12.299999999999999)</f>
        <v>12.3</v>
      </c>
    </row>
    <row r="1650">
      <c r="D1650" t="str">
        <f>IFERROR(__xludf.DUMMYFUNCTION("""COMPUTED_VALUE"""),"Peterson")</f>
        <v>Peterson</v>
      </c>
      <c r="E1650" t="str">
        <f>IFERROR(__xludf.DUMMYFUNCTION("""COMPUTED_VALUE"""),"Adrian")</f>
        <v>Adrian</v>
      </c>
      <c r="F1650" t="str">
        <f>IFERROR(__xludf.DUMMYFUNCTION("""COMPUTED_VALUE"""),"HB")</f>
        <v>HB</v>
      </c>
      <c r="G1650">
        <f>IFERROR(__xludf.DUMMYFUNCTION("""COMPUTED_VALUE"""),13.65)</f>
        <v>13.65</v>
      </c>
    </row>
    <row r="1651">
      <c r="D1651" t="str">
        <f>IFERROR(__xludf.DUMMYFUNCTION("""COMPUTED_VALUE"""),"Peterson")</f>
        <v>Peterson</v>
      </c>
      <c r="E1651" t="str">
        <f>IFERROR(__xludf.DUMMYFUNCTION("""COMPUTED_VALUE"""),"Kevin")</f>
        <v>Kevin</v>
      </c>
      <c r="F1651" t="str">
        <f>IFERROR(__xludf.DUMMYFUNCTION("""COMPUTED_VALUE"""),"CB")</f>
        <v>CB</v>
      </c>
      <c r="G1651">
        <f>IFERROR(__xludf.DUMMYFUNCTION("""COMPUTED_VALUE"""),9.15)</f>
        <v>9.15</v>
      </c>
    </row>
    <row r="1652">
      <c r="D1652" t="str">
        <f>IFERROR(__xludf.DUMMYFUNCTION("""COMPUTED_VALUE"""),"Peterson")</f>
        <v>Peterson</v>
      </c>
      <c r="E1652" t="str">
        <f>IFERROR(__xludf.DUMMYFUNCTION("""COMPUTED_VALUE"""),"Patrick")</f>
        <v>Patrick</v>
      </c>
      <c r="F1652" t="str">
        <f>IFERROR(__xludf.DUMMYFUNCTION("""COMPUTED_VALUE"""),"CB")</f>
        <v>CB</v>
      </c>
      <c r="G1652">
        <f>IFERROR(__xludf.DUMMYFUNCTION("""COMPUTED_VALUE"""),13.65)</f>
        <v>13.65</v>
      </c>
    </row>
    <row r="1653">
      <c r="D1653" t="str">
        <f>IFERROR(__xludf.DUMMYFUNCTION("""COMPUTED_VALUE"""),"Petteway")</f>
        <v>Petteway</v>
      </c>
      <c r="E1653" t="str">
        <f>IFERROR(__xludf.DUMMYFUNCTION("""COMPUTED_VALUE"""),"Shaq")</f>
        <v>Shaq</v>
      </c>
      <c r="F1653" t="str">
        <f>IFERROR(__xludf.DUMMYFUNCTION("""COMPUTED_VALUE"""),"ROLB")</f>
        <v>ROLB</v>
      </c>
      <c r="G1653">
        <f>IFERROR(__xludf.DUMMYFUNCTION("""COMPUTED_VALUE"""),9.45)</f>
        <v>9.45</v>
      </c>
    </row>
    <row r="1654">
      <c r="D1654" t="str">
        <f>IFERROR(__xludf.DUMMYFUNCTION("""COMPUTED_VALUE"""),"Pettigrew")</f>
        <v>Pettigrew</v>
      </c>
      <c r="E1654" t="str">
        <f>IFERROR(__xludf.DUMMYFUNCTION("""COMPUTED_VALUE"""),"Brandon")</f>
        <v>Brandon</v>
      </c>
      <c r="F1654" t="str">
        <f>IFERROR(__xludf.DUMMYFUNCTION("""COMPUTED_VALUE"""),"TE")</f>
        <v>TE</v>
      </c>
      <c r="G1654">
        <f>IFERROR(__xludf.DUMMYFUNCTION("""COMPUTED_VALUE"""),11.1)</f>
        <v>11.1</v>
      </c>
    </row>
    <row r="1655">
      <c r="D1655" t="str">
        <f>IFERROR(__xludf.DUMMYFUNCTION("""COMPUTED_VALUE"""),"Pettway")</f>
        <v>Pettway</v>
      </c>
      <c r="E1655" t="str">
        <f>IFERROR(__xludf.DUMMYFUNCTION("""COMPUTED_VALUE"""),"DJ")</f>
        <v>DJ</v>
      </c>
      <c r="F1655" t="str">
        <f>IFERROR(__xludf.DUMMYFUNCTION("""COMPUTED_VALUE"""),"LE")</f>
        <v>LE</v>
      </c>
      <c r="G1655">
        <f>IFERROR(__xludf.DUMMYFUNCTION("""COMPUTED_VALUE"""),9.0)</f>
        <v>9</v>
      </c>
    </row>
    <row r="1656">
      <c r="D1656" t="str">
        <f>IFERROR(__xludf.DUMMYFUNCTION("""COMPUTED_VALUE"""),"Petty")</f>
        <v>Petty</v>
      </c>
      <c r="E1656" t="str">
        <f>IFERROR(__xludf.DUMMYFUNCTION("""COMPUTED_VALUE"""),"Bryce")</f>
        <v>Bryce</v>
      </c>
      <c r="F1656" t="str">
        <f>IFERROR(__xludf.DUMMYFUNCTION("""COMPUTED_VALUE"""),"QB")</f>
        <v>QB</v>
      </c>
      <c r="G1656">
        <f>IFERROR(__xludf.DUMMYFUNCTION("""COMPUTED_VALUE"""),9.75)</f>
        <v>9.75</v>
      </c>
    </row>
    <row r="1657">
      <c r="D1657" t="str">
        <f>IFERROR(__xludf.DUMMYFUNCTION("""COMPUTED_VALUE"""),"Phillips")</f>
        <v>Phillips</v>
      </c>
      <c r="E1657" t="str">
        <f>IFERROR(__xludf.DUMMYFUNCTION("""COMPUTED_VALUE"""),"Adrian")</f>
        <v>Adrian</v>
      </c>
      <c r="F1657" t="str">
        <f>IFERROR(__xludf.DUMMYFUNCTION("""COMPUTED_VALUE"""),"FS")</f>
        <v>FS</v>
      </c>
      <c r="G1657">
        <f>IFERROR(__xludf.DUMMYFUNCTION("""COMPUTED_VALUE"""),10.049999999999999)</f>
        <v>10.05</v>
      </c>
    </row>
    <row r="1658">
      <c r="D1658" t="str">
        <f>IFERROR(__xludf.DUMMYFUNCTION("""COMPUTED_VALUE"""),"Phillips")</f>
        <v>Phillips</v>
      </c>
      <c r="E1658" t="str">
        <f>IFERROR(__xludf.DUMMYFUNCTION("""COMPUTED_VALUE"""),"Dashaun")</f>
        <v>Dashaun</v>
      </c>
      <c r="F1658" t="str">
        <f>IFERROR(__xludf.DUMMYFUNCTION("""COMPUTED_VALUE"""),"CB")</f>
        <v>CB</v>
      </c>
      <c r="G1658">
        <f>IFERROR(__xludf.DUMMYFUNCTION("""COMPUTED_VALUE"""),8.85)</f>
        <v>8.85</v>
      </c>
    </row>
    <row r="1659">
      <c r="D1659" t="str">
        <f>IFERROR(__xludf.DUMMYFUNCTION("""COMPUTED_VALUE"""),"Phillips")</f>
        <v>Phillips</v>
      </c>
      <c r="E1659" t="str">
        <f>IFERROR(__xludf.DUMMYFUNCTION("""COMPUTED_VALUE"""),"Jordan")</f>
        <v>Jordan</v>
      </c>
      <c r="F1659" t="str">
        <f>IFERROR(__xludf.DUMMYFUNCTION("""COMPUTED_VALUE"""),"DT")</f>
        <v>DT</v>
      </c>
      <c r="G1659">
        <f>IFERROR(__xludf.DUMMYFUNCTION("""COMPUTED_VALUE"""),9.45)</f>
        <v>9.45</v>
      </c>
    </row>
    <row r="1660">
      <c r="D1660" t="str">
        <f>IFERROR(__xludf.DUMMYFUNCTION("""COMPUTED_VALUE"""),"Philon")</f>
        <v>Philon</v>
      </c>
      <c r="E1660" t="str">
        <f>IFERROR(__xludf.DUMMYFUNCTION("""COMPUTED_VALUE"""),"Darius")</f>
        <v>Darius</v>
      </c>
      <c r="F1660" t="str">
        <f>IFERROR(__xludf.DUMMYFUNCTION("""COMPUTED_VALUE"""),"LE")</f>
        <v>LE</v>
      </c>
      <c r="G1660">
        <f>IFERROR(__xludf.DUMMYFUNCTION("""COMPUTED_VALUE"""),9.75)</f>
        <v>9.75</v>
      </c>
    </row>
    <row r="1661">
      <c r="D1661" t="str">
        <f>IFERROR(__xludf.DUMMYFUNCTION("""COMPUTED_VALUE"""),"Pierce")</f>
        <v>Pierce</v>
      </c>
      <c r="E1661" t="str">
        <f>IFERROR(__xludf.DUMMYFUNCTION("""COMPUTED_VALUE"""),"Bernard")</f>
        <v>Bernard</v>
      </c>
      <c r="F1661" t="str">
        <f>IFERROR(__xludf.DUMMYFUNCTION("""COMPUTED_VALUE"""),"HB")</f>
        <v>HB</v>
      </c>
      <c r="G1661">
        <f>IFERROR(__xludf.DUMMYFUNCTION("""COMPUTED_VALUE"""),10.5)</f>
        <v>10.5</v>
      </c>
    </row>
    <row r="1662">
      <c r="D1662" t="str">
        <f>IFERROR(__xludf.DUMMYFUNCTION("""COMPUTED_VALUE"""),"Pierre")</f>
        <v>Pierre</v>
      </c>
      <c r="E1662" t="str">
        <f>IFERROR(__xludf.DUMMYFUNCTION("""COMPUTED_VALUE"""),"Olsen")</f>
        <v>Olsen</v>
      </c>
      <c r="F1662" t="str">
        <f>IFERROR(__xludf.DUMMYFUNCTION("""COMPUTED_VALUE"""),"DT")</f>
        <v>DT</v>
      </c>
      <c r="G1662">
        <f>IFERROR(__xludf.DUMMYFUNCTION("""COMPUTED_VALUE"""),8.85)</f>
        <v>8.85</v>
      </c>
    </row>
    <row r="1663">
      <c r="D1663" t="str">
        <f>IFERROR(__xludf.DUMMYFUNCTION("""COMPUTED_VALUE"""),"Pierre-Louis")</f>
        <v>Pierre-Louis</v>
      </c>
      <c r="E1663" t="str">
        <f>IFERROR(__xludf.DUMMYFUNCTION("""COMPUTED_VALUE"""),"Kevin")</f>
        <v>Kevin</v>
      </c>
      <c r="F1663" t="str">
        <f>IFERROR(__xludf.DUMMYFUNCTION("""COMPUTED_VALUE"""),"ROLB")</f>
        <v>ROLB</v>
      </c>
      <c r="G1663">
        <f>IFERROR(__xludf.DUMMYFUNCTION("""COMPUTED_VALUE"""),10.5)</f>
        <v>10.5</v>
      </c>
    </row>
    <row r="1664">
      <c r="D1664" t="str">
        <f>IFERROR(__xludf.DUMMYFUNCTION("""COMPUTED_VALUE"""),"Pierre-Paul")</f>
        <v>Pierre-Paul</v>
      </c>
      <c r="E1664" t="str">
        <f>IFERROR(__xludf.DUMMYFUNCTION("""COMPUTED_VALUE"""),"Jason")</f>
        <v>Jason</v>
      </c>
      <c r="F1664" t="str">
        <f>IFERROR(__xludf.DUMMYFUNCTION("""COMPUTED_VALUE"""),"LE")</f>
        <v>LE</v>
      </c>
      <c r="G1664">
        <f>IFERROR(__xludf.DUMMYFUNCTION("""COMPUTED_VALUE"""),12.75)</f>
        <v>12.75</v>
      </c>
    </row>
    <row r="1665">
      <c r="D1665" t="str">
        <f>IFERROR(__xludf.DUMMYFUNCTION("""COMPUTED_VALUE"""),"Pinion")</f>
        <v>Pinion</v>
      </c>
      <c r="E1665" t="str">
        <f>IFERROR(__xludf.DUMMYFUNCTION("""COMPUTED_VALUE"""),"Bradley")</f>
        <v>Bradley</v>
      </c>
      <c r="F1665" t="str">
        <f>IFERROR(__xludf.DUMMYFUNCTION("""COMPUTED_VALUE"""),"P")</f>
        <v>P</v>
      </c>
      <c r="G1665">
        <f>IFERROR(__xludf.DUMMYFUNCTION("""COMPUTED_VALUE"""),11.549999999999999)</f>
        <v>11.55</v>
      </c>
    </row>
    <row r="1666">
      <c r="D1666" t="str">
        <f>IFERROR(__xludf.DUMMYFUNCTION("""COMPUTED_VALUE"""),"Pinkins")</f>
        <v>Pinkins</v>
      </c>
      <c r="E1666" t="str">
        <f>IFERROR(__xludf.DUMMYFUNCTION("""COMPUTED_VALUE"""),"Eric")</f>
        <v>Eric</v>
      </c>
      <c r="F1666" t="str">
        <f>IFERROR(__xludf.DUMMYFUNCTION("""COMPUTED_VALUE"""),"ROLB")</f>
        <v>ROLB</v>
      </c>
      <c r="G1666">
        <f>IFERROR(__xludf.DUMMYFUNCTION("""COMPUTED_VALUE"""),8.7)</f>
        <v>8.7</v>
      </c>
    </row>
    <row r="1667">
      <c r="D1667" t="str">
        <f>IFERROR(__xludf.DUMMYFUNCTION("""COMPUTED_VALUE"""),"Pitoitua")</f>
        <v>Pitoitua</v>
      </c>
      <c r="E1667" t="str">
        <f>IFERROR(__xludf.DUMMYFUNCTION("""COMPUTED_VALUE"""),"Ropati")</f>
        <v>Ropati</v>
      </c>
      <c r="F1667" t="str">
        <f>IFERROR(__xludf.DUMMYFUNCTION("""COMPUTED_VALUE"""),"LE")</f>
        <v>LE</v>
      </c>
      <c r="G1667">
        <f>IFERROR(__xludf.DUMMYFUNCTION("""COMPUTED_VALUE"""),10.049999999999999)</f>
        <v>10.05</v>
      </c>
    </row>
    <row r="1668">
      <c r="D1668" t="str">
        <f>IFERROR(__xludf.DUMMYFUNCTION("""COMPUTED_VALUE"""),"Pitta")</f>
        <v>Pitta</v>
      </c>
      <c r="E1668" t="str">
        <f>IFERROR(__xludf.DUMMYFUNCTION("""COMPUTED_VALUE"""),"Dennis")</f>
        <v>Dennis</v>
      </c>
      <c r="F1668" t="str">
        <f>IFERROR(__xludf.DUMMYFUNCTION("""COMPUTED_VALUE"""),"TE")</f>
        <v>TE</v>
      </c>
      <c r="G1668">
        <f>IFERROR(__xludf.DUMMYFUNCTION("""COMPUTED_VALUE"""),12.15)</f>
        <v>12.15</v>
      </c>
    </row>
    <row r="1669">
      <c r="D1669" t="str">
        <f>IFERROR(__xludf.DUMMYFUNCTION("""COMPUTED_VALUE"""),"Pleasant")</f>
        <v>Pleasant</v>
      </c>
      <c r="E1669" t="str">
        <f>IFERROR(__xludf.DUMMYFUNCTION("""COMPUTED_VALUE"""),"Eddie")</f>
        <v>Eddie</v>
      </c>
      <c r="F1669" t="str">
        <f>IFERROR(__xludf.DUMMYFUNCTION("""COMPUTED_VALUE"""),"SS")</f>
        <v>SS</v>
      </c>
      <c r="G1669">
        <f>IFERROR(__xludf.DUMMYFUNCTION("""COMPUTED_VALUE"""),10.5)</f>
        <v>10.5</v>
      </c>
    </row>
    <row r="1670">
      <c r="D1670" t="str">
        <f>IFERROR(__xludf.DUMMYFUNCTION("""COMPUTED_VALUE"""),"Plummer")</f>
        <v>Plummer</v>
      </c>
      <c r="E1670" t="str">
        <f>IFERROR(__xludf.DUMMYFUNCTION("""COMPUTED_VALUE"""),"Terrance")</f>
        <v>Terrance</v>
      </c>
      <c r="F1670" t="str">
        <f>IFERROR(__xludf.DUMMYFUNCTION("""COMPUTED_VALUE"""),"MLB")</f>
        <v>MLB</v>
      </c>
      <c r="G1670">
        <f>IFERROR(__xludf.DUMMYFUNCTION("""COMPUTED_VALUE"""),8.549999999999999)</f>
        <v>8.55</v>
      </c>
    </row>
    <row r="1671">
      <c r="D1671" t="str">
        <f>IFERROR(__xludf.DUMMYFUNCTION("""COMPUTED_VALUE"""),"Poe")</f>
        <v>Poe</v>
      </c>
      <c r="E1671" t="str">
        <f>IFERROR(__xludf.DUMMYFUNCTION("""COMPUTED_VALUE"""),"Dontari")</f>
        <v>Dontari</v>
      </c>
      <c r="F1671" t="str">
        <f>IFERROR(__xludf.DUMMYFUNCTION("""COMPUTED_VALUE"""),"DT")</f>
        <v>DT</v>
      </c>
      <c r="G1671">
        <f>IFERROR(__xludf.DUMMYFUNCTION("""COMPUTED_VALUE"""),12.75)</f>
        <v>12.75</v>
      </c>
    </row>
    <row r="1672">
      <c r="D1672" t="str">
        <f>IFERROR(__xludf.DUMMYFUNCTION("""COMPUTED_VALUE"""),"Poole")</f>
        <v>Poole</v>
      </c>
      <c r="E1672" t="str">
        <f>IFERROR(__xludf.DUMMYFUNCTION("""COMPUTED_VALUE"""),"Brian")</f>
        <v>Brian</v>
      </c>
      <c r="F1672" t="str">
        <f>IFERROR(__xludf.DUMMYFUNCTION("""COMPUTED_VALUE"""),"SS")</f>
        <v>SS</v>
      </c>
      <c r="G1672">
        <f>IFERROR(__xludf.DUMMYFUNCTION("""COMPUTED_VALUE"""),9.0)</f>
        <v>9</v>
      </c>
    </row>
    <row r="1673">
      <c r="D1673" t="str">
        <f>IFERROR(__xludf.DUMMYFUNCTION("""COMPUTED_VALUE"""),"Poole")</f>
        <v>Poole</v>
      </c>
      <c r="E1673" t="str">
        <f>IFERROR(__xludf.DUMMYFUNCTION("""COMPUTED_VALUE"""),"Terry")</f>
        <v>Terry</v>
      </c>
      <c r="F1673" t="str">
        <f>IFERROR(__xludf.DUMMYFUNCTION("""COMPUTED_VALUE"""),"LT")</f>
        <v>LT</v>
      </c>
      <c r="G1673">
        <f>IFERROR(__xludf.DUMMYFUNCTION("""COMPUTED_VALUE"""),9.75)</f>
        <v>9.75</v>
      </c>
    </row>
    <row r="1674">
      <c r="D1674" t="str">
        <f>IFERROR(__xludf.DUMMYFUNCTION("""COMPUTED_VALUE"""),"Porter")</f>
        <v>Porter</v>
      </c>
      <c r="E1674" t="str">
        <f>IFERROR(__xludf.DUMMYFUNCTION("""COMPUTED_VALUE"""),"Sean")</f>
        <v>Sean</v>
      </c>
      <c r="F1674" t="str">
        <f>IFERROR(__xludf.DUMMYFUNCTION("""COMPUTED_VALUE"""),"ROLB")</f>
        <v>ROLB</v>
      </c>
      <c r="G1674">
        <f>IFERROR(__xludf.DUMMYFUNCTION("""COMPUTED_VALUE"""),10.65)</f>
        <v>10.65</v>
      </c>
    </row>
    <row r="1675">
      <c r="D1675" t="str">
        <f>IFERROR(__xludf.DUMMYFUNCTION("""COMPUTED_VALUE"""),"Porter")</f>
        <v>Porter</v>
      </c>
      <c r="E1675" t="str">
        <f>IFERROR(__xludf.DUMMYFUNCTION("""COMPUTED_VALUE"""),"Tracy")</f>
        <v>Tracy</v>
      </c>
      <c r="F1675" t="str">
        <f>IFERROR(__xludf.DUMMYFUNCTION("""COMPUTED_VALUE"""),"CB")</f>
        <v>CB</v>
      </c>
      <c r="G1675">
        <f>IFERROR(__xludf.DUMMYFUNCTION("""COMPUTED_VALUE"""),10.799999999999999)</f>
        <v>10.8</v>
      </c>
    </row>
    <row r="1676">
      <c r="D1676" t="str">
        <f>IFERROR(__xludf.DUMMYFUNCTION("""COMPUTED_VALUE"""),"Posey")</f>
        <v>Posey</v>
      </c>
      <c r="E1676" t="str">
        <f>IFERROR(__xludf.DUMMYFUNCTION("""COMPUTED_VALUE"""),"DeVier")</f>
        <v>DeVier</v>
      </c>
      <c r="F1676" t="str">
        <f>IFERROR(__xludf.DUMMYFUNCTION("""COMPUTED_VALUE"""),"WR")</f>
        <v>WR</v>
      </c>
      <c r="G1676">
        <f>IFERROR(__xludf.DUMMYFUNCTION("""COMPUTED_VALUE"""),9.9)</f>
        <v>9.9</v>
      </c>
    </row>
    <row r="1677">
      <c r="D1677" t="str">
        <f>IFERROR(__xludf.DUMMYFUNCTION("""COMPUTED_VALUE"""),"Posluszny")</f>
        <v>Posluszny</v>
      </c>
      <c r="E1677" t="str">
        <f>IFERROR(__xludf.DUMMYFUNCTION("""COMPUTED_VALUE"""),"Paul")</f>
        <v>Paul</v>
      </c>
      <c r="F1677" t="str">
        <f>IFERROR(__xludf.DUMMYFUNCTION("""COMPUTED_VALUE"""),"MLB")</f>
        <v>MLB</v>
      </c>
      <c r="G1677">
        <f>IFERROR(__xludf.DUMMYFUNCTION("""COMPUTED_VALUE"""),11.7)</f>
        <v>11.7</v>
      </c>
    </row>
    <row r="1678">
      <c r="D1678" t="str">
        <f>IFERROR(__xludf.DUMMYFUNCTION("""COMPUTED_VALUE"""),"Pouncey")</f>
        <v>Pouncey</v>
      </c>
      <c r="E1678" t="str">
        <f>IFERROR(__xludf.DUMMYFUNCTION("""COMPUTED_VALUE"""),"Maurkice")</f>
        <v>Maurkice</v>
      </c>
      <c r="F1678" t="str">
        <f>IFERROR(__xludf.DUMMYFUNCTION("""COMPUTED_VALUE"""),"C")</f>
        <v>C</v>
      </c>
      <c r="G1678">
        <f>IFERROR(__xludf.DUMMYFUNCTION("""COMPUTED_VALUE"""),13.2)</f>
        <v>13.2</v>
      </c>
    </row>
    <row r="1679">
      <c r="D1679" t="str">
        <f>IFERROR(__xludf.DUMMYFUNCTION("""COMPUTED_VALUE"""),"Pouncey")</f>
        <v>Pouncey</v>
      </c>
      <c r="E1679" t="str">
        <f>IFERROR(__xludf.DUMMYFUNCTION("""COMPUTED_VALUE"""),"Mike")</f>
        <v>Mike</v>
      </c>
      <c r="F1679" t="str">
        <f>IFERROR(__xludf.DUMMYFUNCTION("""COMPUTED_VALUE"""),"C")</f>
        <v>C</v>
      </c>
      <c r="G1679">
        <f>IFERROR(__xludf.DUMMYFUNCTION("""COMPUTED_VALUE"""),12.15)</f>
        <v>12.15</v>
      </c>
    </row>
    <row r="1680">
      <c r="D1680" t="str">
        <f>IFERROR(__xludf.DUMMYFUNCTION("""COMPUTED_VALUE"""),"Poutasi")</f>
        <v>Poutasi</v>
      </c>
      <c r="E1680" t="str">
        <f>IFERROR(__xludf.DUMMYFUNCTION("""COMPUTED_VALUE"""),"Jeremiah")</f>
        <v>Jeremiah</v>
      </c>
      <c r="F1680" t="str">
        <f>IFERROR(__xludf.DUMMYFUNCTION("""COMPUTED_VALUE"""),"LG")</f>
        <v>LG</v>
      </c>
      <c r="G1680">
        <f>IFERROR(__xludf.DUMMYFUNCTION("""COMPUTED_VALUE"""),10.2)</f>
        <v>10.2</v>
      </c>
    </row>
    <row r="1681">
      <c r="D1681" t="str">
        <f>IFERROR(__xludf.DUMMYFUNCTION("""COMPUTED_VALUE"""),"Powe")</f>
        <v>Powe</v>
      </c>
      <c r="E1681" t="str">
        <f>IFERROR(__xludf.DUMMYFUNCTION("""COMPUTED_VALUE"""),"Jerrell")</f>
        <v>Jerrell</v>
      </c>
      <c r="F1681" t="str">
        <f>IFERROR(__xludf.DUMMYFUNCTION("""COMPUTED_VALUE"""),"DT")</f>
        <v>DT</v>
      </c>
      <c r="G1681">
        <f>IFERROR(__xludf.DUMMYFUNCTION("""COMPUTED_VALUE"""),10.049999999999999)</f>
        <v>10.05</v>
      </c>
    </row>
    <row r="1682">
      <c r="D1682" t="str">
        <f>IFERROR(__xludf.DUMMYFUNCTION("""COMPUTED_VALUE"""),"Powell")</f>
        <v>Powell</v>
      </c>
      <c r="E1682" t="str">
        <f>IFERROR(__xludf.DUMMYFUNCTION("""COMPUTED_VALUE"""),"Bilal")</f>
        <v>Bilal</v>
      </c>
      <c r="F1682" t="str">
        <f>IFERROR(__xludf.DUMMYFUNCTION("""COMPUTED_VALUE"""),"HB")</f>
        <v>HB</v>
      </c>
      <c r="G1682">
        <f>IFERROR(__xludf.DUMMYFUNCTION("""COMPUTED_VALUE"""),11.7)</f>
        <v>11.7</v>
      </c>
    </row>
    <row r="1683">
      <c r="D1683" t="str">
        <f>IFERROR(__xludf.DUMMYFUNCTION("""COMPUTED_VALUE"""),"Powell")</f>
        <v>Powell</v>
      </c>
      <c r="E1683" t="str">
        <f>IFERROR(__xludf.DUMMYFUNCTION("""COMPUTED_VALUE"""),"Tyvis")</f>
        <v>Tyvis</v>
      </c>
      <c r="F1683" t="str">
        <f>IFERROR(__xludf.DUMMYFUNCTION("""COMPUTED_VALUE"""),"SS")</f>
        <v>SS</v>
      </c>
      <c r="G1683">
        <f>IFERROR(__xludf.DUMMYFUNCTION("""COMPUTED_VALUE"""),9.15)</f>
        <v>9.15</v>
      </c>
    </row>
    <row r="1684">
      <c r="D1684" t="str">
        <f>IFERROR(__xludf.DUMMYFUNCTION("""COMPUTED_VALUE"""),"Powell")</f>
        <v>Powell</v>
      </c>
      <c r="E1684" t="str">
        <f>IFERROR(__xludf.DUMMYFUNCTION("""COMPUTED_VALUE"""),"Walter")</f>
        <v>Walter</v>
      </c>
      <c r="F1684" t="str">
        <f>IFERROR(__xludf.DUMMYFUNCTION("""COMPUTED_VALUE"""),"WR")</f>
        <v>WR</v>
      </c>
      <c r="G1684">
        <f>IFERROR(__xludf.DUMMYFUNCTION("""COMPUTED_VALUE"""),9.0)</f>
        <v>9</v>
      </c>
    </row>
    <row r="1685">
      <c r="D1685" t="str">
        <f>IFERROR(__xludf.DUMMYFUNCTION("""COMPUTED_VALUE"""),"Powers")</f>
        <v>Powers</v>
      </c>
      <c r="E1685" t="str">
        <f>IFERROR(__xludf.DUMMYFUNCTION("""COMPUTED_VALUE"""),"Jerraud")</f>
        <v>Jerraud</v>
      </c>
      <c r="F1685" t="str">
        <f>IFERROR(__xludf.DUMMYFUNCTION("""COMPUTED_VALUE"""),"CB")</f>
        <v>CB</v>
      </c>
      <c r="G1685">
        <f>IFERROR(__xludf.DUMMYFUNCTION("""COMPUTED_VALUE"""),11.4)</f>
        <v>11.4</v>
      </c>
    </row>
    <row r="1686">
      <c r="D1686" t="str">
        <f>IFERROR(__xludf.DUMMYFUNCTION("""COMPUTED_VALUE"""),"Poyer")</f>
        <v>Poyer</v>
      </c>
      <c r="E1686" t="str">
        <f>IFERROR(__xludf.DUMMYFUNCTION("""COMPUTED_VALUE"""),"Jordan")</f>
        <v>Jordan</v>
      </c>
      <c r="F1686" t="str">
        <f>IFERROR(__xludf.DUMMYFUNCTION("""COMPUTED_VALUE"""),"FS")</f>
        <v>FS</v>
      </c>
      <c r="G1686">
        <f>IFERROR(__xludf.DUMMYFUNCTION("""COMPUTED_VALUE"""),10.5)</f>
        <v>10.5</v>
      </c>
    </row>
    <row r="1687">
      <c r="D1687" t="str">
        <f>IFERROR(__xludf.DUMMYFUNCTION("""COMPUTED_VALUE"""),"Prater")</f>
        <v>Prater</v>
      </c>
      <c r="E1687" t="str">
        <f>IFERROR(__xludf.DUMMYFUNCTION("""COMPUTED_VALUE"""),"Matt")</f>
        <v>Matt</v>
      </c>
      <c r="F1687" t="str">
        <f>IFERROR(__xludf.DUMMYFUNCTION("""COMPUTED_VALUE"""),"K")</f>
        <v>K</v>
      </c>
      <c r="G1687">
        <f>IFERROR(__xludf.DUMMYFUNCTION("""COMPUTED_VALUE"""),12.15)</f>
        <v>12.15</v>
      </c>
    </row>
    <row r="1688">
      <c r="D1688" t="str">
        <f>IFERROR(__xludf.DUMMYFUNCTION("""COMPUTED_VALUE"""),"Prater")</f>
        <v>Prater</v>
      </c>
      <c r="E1688" t="str">
        <f>IFERROR(__xludf.DUMMYFUNCTION("""COMPUTED_VALUE"""),"Shaun")</f>
        <v>Shaun</v>
      </c>
      <c r="F1688" t="str">
        <f>IFERROR(__xludf.DUMMYFUNCTION("""COMPUTED_VALUE"""),"CB")</f>
        <v>CB</v>
      </c>
      <c r="G1688">
        <f>IFERROR(__xludf.DUMMYFUNCTION("""COMPUTED_VALUE"""),10.5)</f>
        <v>10.5</v>
      </c>
    </row>
    <row r="1689">
      <c r="D1689" t="str">
        <f>IFERROR(__xludf.DUMMYFUNCTION("""COMPUTED_VALUE"""),"Prescott")</f>
        <v>Prescott</v>
      </c>
      <c r="E1689" t="str">
        <f>IFERROR(__xludf.DUMMYFUNCTION("""COMPUTED_VALUE"""),"Dak")</f>
        <v>Dak</v>
      </c>
      <c r="F1689" t="str">
        <f>IFERROR(__xludf.DUMMYFUNCTION("""COMPUTED_VALUE"""),"QB")</f>
        <v>QB</v>
      </c>
      <c r="G1689">
        <f>IFERROR(__xludf.DUMMYFUNCTION("""COMPUTED_VALUE"""),10.65)</f>
        <v>10.65</v>
      </c>
    </row>
    <row r="1690">
      <c r="D1690" t="str">
        <f>IFERROR(__xludf.DUMMYFUNCTION("""COMPUTED_VALUE"""),"Pressley")</f>
        <v>Pressley</v>
      </c>
      <c r="E1690" t="str">
        <f>IFERROR(__xludf.DUMMYFUNCTION("""COMPUTED_VALUE"""),"Jhurell")</f>
        <v>Jhurell</v>
      </c>
      <c r="F1690" t="str">
        <f>IFERROR(__xludf.DUMMYFUNCTION("""COMPUTED_VALUE"""),"HB")</f>
        <v>HB</v>
      </c>
      <c r="G1690">
        <f>IFERROR(__xludf.DUMMYFUNCTION("""COMPUTED_VALUE"""),9.75)</f>
        <v>9.75</v>
      </c>
    </row>
    <row r="1691">
      <c r="D1691" t="str">
        <f>IFERROR(__xludf.DUMMYFUNCTION("""COMPUTED_VALUE"""),"Price")</f>
        <v>Price</v>
      </c>
      <c r="E1691" t="str">
        <f>IFERROR(__xludf.DUMMYFUNCTION("""COMPUTED_VALUE"""),"Brian")</f>
        <v>Brian</v>
      </c>
      <c r="F1691" t="str">
        <f>IFERROR(__xludf.DUMMYFUNCTION("""COMPUTED_VALUE"""),"DT")</f>
        <v>DT</v>
      </c>
      <c r="G1691">
        <f>IFERROR(__xludf.DUMMYFUNCTION("""COMPUTED_VALUE"""),8.85)</f>
        <v>8.85</v>
      </c>
    </row>
    <row r="1692">
      <c r="D1692" t="str">
        <f>IFERROR(__xludf.DUMMYFUNCTION("""COMPUTED_VALUE"""),"Price")</f>
        <v>Price</v>
      </c>
      <c r="E1692" t="str">
        <f>IFERROR(__xludf.DUMMYFUNCTION("""COMPUTED_VALUE"""),"Givens")</f>
        <v>Givens</v>
      </c>
      <c r="F1692" t="str">
        <f>IFERROR(__xludf.DUMMYFUNCTION("""COMPUTED_VALUE"""),"RT")</f>
        <v>RT</v>
      </c>
      <c r="G1692">
        <f>IFERROR(__xludf.DUMMYFUNCTION("""COMPUTED_VALUE"""),9.0)</f>
        <v>9</v>
      </c>
    </row>
    <row r="1693">
      <c r="D1693" t="str">
        <f>IFERROR(__xludf.DUMMYFUNCTION("""COMPUTED_VALUE"""),"Price")</f>
        <v>Price</v>
      </c>
      <c r="E1693" t="str">
        <f>IFERROR(__xludf.DUMMYFUNCTION("""COMPUTED_VALUE"""),"Jabari")</f>
        <v>Jabari</v>
      </c>
      <c r="F1693" t="str">
        <f>IFERROR(__xludf.DUMMYFUNCTION("""COMPUTED_VALUE"""),"CB")</f>
        <v>CB</v>
      </c>
      <c r="G1693">
        <f>IFERROR(__xludf.DUMMYFUNCTION("""COMPUTED_VALUE"""),9.75)</f>
        <v>9.75</v>
      </c>
    </row>
    <row r="1694">
      <c r="D1694" t="str">
        <f>IFERROR(__xludf.DUMMYFUNCTION("""COMPUTED_VALUE"""),"Prosch")</f>
        <v>Prosch</v>
      </c>
      <c r="E1694" t="str">
        <f>IFERROR(__xludf.DUMMYFUNCTION("""COMPUTED_VALUE"""),"Jay")</f>
        <v>Jay</v>
      </c>
      <c r="F1694" t="str">
        <f>IFERROR(__xludf.DUMMYFUNCTION("""COMPUTED_VALUE"""),"FB")</f>
        <v>FB</v>
      </c>
      <c r="G1694">
        <f>IFERROR(__xludf.DUMMYFUNCTION("""COMPUTED_VALUE"""),12.15)</f>
        <v>12.15</v>
      </c>
    </row>
    <row r="1695">
      <c r="D1695" t="str">
        <f>IFERROR(__xludf.DUMMYFUNCTION("""COMPUTED_VALUE"""),"Prosinski")</f>
        <v>Prosinski</v>
      </c>
      <c r="E1695" t="str">
        <f>IFERROR(__xludf.DUMMYFUNCTION("""COMPUTED_VALUE"""),"Chris")</f>
        <v>Chris</v>
      </c>
      <c r="F1695" t="str">
        <f>IFERROR(__xludf.DUMMYFUNCTION("""COMPUTED_VALUE"""),"SS")</f>
        <v>SS</v>
      </c>
      <c r="G1695">
        <f>IFERROR(__xludf.DUMMYFUNCTION("""COMPUTED_VALUE"""),10.35)</f>
        <v>10.35</v>
      </c>
    </row>
    <row r="1696">
      <c r="D1696" t="str">
        <f>IFERROR(__xludf.DUMMYFUNCTION("""COMPUTED_VALUE"""),"Prosise")</f>
        <v>Prosise</v>
      </c>
      <c r="E1696" t="str">
        <f>IFERROR(__xludf.DUMMYFUNCTION("""COMPUTED_VALUE"""),"CJ")</f>
        <v>CJ</v>
      </c>
      <c r="F1696" t="str">
        <f>IFERROR(__xludf.DUMMYFUNCTION("""COMPUTED_VALUE"""),"HB")</f>
        <v>HB</v>
      </c>
      <c r="G1696">
        <f>IFERROR(__xludf.DUMMYFUNCTION("""COMPUTED_VALUE"""),11.1)</f>
        <v>11.1</v>
      </c>
    </row>
    <row r="1697">
      <c r="D1697" t="str">
        <f>IFERROR(__xludf.DUMMYFUNCTION("""COMPUTED_VALUE"""),"Pruitt")</f>
        <v>Pruitt</v>
      </c>
      <c r="E1697" t="str">
        <f>IFERROR(__xludf.DUMMYFUNCTION("""COMPUTED_VALUE"""),"MyCole")</f>
        <v>MyCole</v>
      </c>
      <c r="F1697" t="str">
        <f>IFERROR(__xludf.DUMMYFUNCTION("""COMPUTED_VALUE"""),"TE")</f>
        <v>TE</v>
      </c>
      <c r="G1697">
        <f>IFERROR(__xludf.DUMMYFUNCTION("""COMPUTED_VALUE"""),11.1)</f>
        <v>11.1</v>
      </c>
    </row>
    <row r="1698">
      <c r="D1698" t="str">
        <f>IFERROR(__xludf.DUMMYFUNCTION("""COMPUTED_VALUE"""),"Pryor")</f>
        <v>Pryor</v>
      </c>
      <c r="E1698" t="str">
        <f>IFERROR(__xludf.DUMMYFUNCTION("""COMPUTED_VALUE"""),"Terrelle")</f>
        <v>Terrelle</v>
      </c>
      <c r="F1698" t="str">
        <f>IFERROR(__xludf.DUMMYFUNCTION("""COMPUTED_VALUE"""),"WR")</f>
        <v>WR</v>
      </c>
      <c r="G1698">
        <f>IFERROR(__xludf.DUMMYFUNCTION("""COMPUTED_VALUE"""),9.0)</f>
        <v>9</v>
      </c>
    </row>
    <row r="1699">
      <c r="D1699" t="str">
        <f>IFERROR(__xludf.DUMMYFUNCTION("""COMPUTED_VALUE"""),"Pryor III")</f>
        <v>Pryor III</v>
      </c>
      <c r="E1699" t="str">
        <f>IFERROR(__xludf.DUMMYFUNCTION("""COMPUTED_VALUE"""),"Calvin")</f>
        <v>Calvin</v>
      </c>
      <c r="F1699" t="str">
        <f>IFERROR(__xludf.DUMMYFUNCTION("""COMPUTED_VALUE"""),"SS")</f>
        <v>SS</v>
      </c>
      <c r="G1699">
        <f>IFERROR(__xludf.DUMMYFUNCTION("""COMPUTED_VALUE"""),12.45)</f>
        <v>12.45</v>
      </c>
    </row>
    <row r="1700">
      <c r="D1700" t="str">
        <f>IFERROR(__xludf.DUMMYFUNCTION("""COMPUTED_VALUE"""),"Pugh")</f>
        <v>Pugh</v>
      </c>
      <c r="E1700" t="str">
        <f>IFERROR(__xludf.DUMMYFUNCTION("""COMPUTED_VALUE"""),"Justin")</f>
        <v>Justin</v>
      </c>
      <c r="F1700" t="str">
        <f>IFERROR(__xludf.DUMMYFUNCTION("""COMPUTED_VALUE"""),"LG")</f>
        <v>LG</v>
      </c>
      <c r="G1700">
        <f>IFERROR(__xludf.DUMMYFUNCTION("""COMPUTED_VALUE"""),12.6)</f>
        <v>12.6</v>
      </c>
    </row>
    <row r="1701">
      <c r="D1701" t="str">
        <f>IFERROR(__xludf.DUMMYFUNCTION("""COMPUTED_VALUE"""),"Pughsley")</f>
        <v>Pughsley</v>
      </c>
      <c r="E1701" t="str">
        <f>IFERROR(__xludf.DUMMYFUNCTION("""COMPUTED_VALUE"""),"Jarrod")</f>
        <v>Jarrod</v>
      </c>
      <c r="F1701" t="str">
        <f>IFERROR(__xludf.DUMMYFUNCTION("""COMPUTED_VALUE"""),"LG")</f>
        <v>LG</v>
      </c>
      <c r="G1701">
        <f>IFERROR(__xludf.DUMMYFUNCTION("""COMPUTED_VALUE"""),9.6)</f>
        <v>9.6</v>
      </c>
    </row>
    <row r="1702">
      <c r="D1702" t="str">
        <f>IFERROR(__xludf.DUMMYFUNCTION("""COMPUTED_VALUE"""),"Pullard III")</f>
        <v>Pullard III</v>
      </c>
      <c r="E1702" t="str">
        <f>IFERROR(__xludf.DUMMYFUNCTION("""COMPUTED_VALUE"""),"Hayes")</f>
        <v>Hayes</v>
      </c>
      <c r="F1702" t="str">
        <f>IFERROR(__xludf.DUMMYFUNCTION("""COMPUTED_VALUE"""),"ROLB")</f>
        <v>ROLB</v>
      </c>
      <c r="G1702">
        <f>IFERROR(__xludf.DUMMYFUNCTION("""COMPUTED_VALUE"""),10.049999999999999)</f>
        <v>10.05</v>
      </c>
    </row>
    <row r="1703">
      <c r="D1703" t="str">
        <f>IFERROR(__xludf.DUMMYFUNCTION("""COMPUTED_VALUE"""),"Pulley")</f>
        <v>Pulley</v>
      </c>
      <c r="E1703" t="str">
        <f>IFERROR(__xludf.DUMMYFUNCTION("""COMPUTED_VALUE"""),"Spencer")</f>
        <v>Spencer</v>
      </c>
      <c r="F1703" t="str">
        <f>IFERROR(__xludf.DUMMYFUNCTION("""COMPUTED_VALUE"""),"C")</f>
        <v>C</v>
      </c>
      <c r="G1703">
        <f>IFERROR(__xludf.DUMMYFUNCTION("""COMPUTED_VALUE"""),8.7)</f>
        <v>8.7</v>
      </c>
    </row>
    <row r="1704">
      <c r="D1704" t="str">
        <f>IFERROR(__xludf.DUMMYFUNCTION("""COMPUTED_VALUE"""),"Purcell")</f>
        <v>Purcell</v>
      </c>
      <c r="E1704" t="str">
        <f>IFERROR(__xludf.DUMMYFUNCTION("""COMPUTED_VALUE"""),"Mike")</f>
        <v>Mike</v>
      </c>
      <c r="F1704" t="str">
        <f>IFERROR(__xludf.DUMMYFUNCTION("""COMPUTED_VALUE"""),"DT")</f>
        <v>DT</v>
      </c>
      <c r="G1704">
        <f>IFERROR(__xludf.DUMMYFUNCTION("""COMPUTED_VALUE"""),9.6)</f>
        <v>9.6</v>
      </c>
    </row>
    <row r="1705">
      <c r="D1705" t="str">
        <f>IFERROR(__xludf.DUMMYFUNCTION("""COMPUTED_VALUE"""),"Purdum")</f>
        <v>Purdum</v>
      </c>
      <c r="E1705" t="str">
        <f>IFERROR(__xludf.DUMMYFUNCTION("""COMPUTED_VALUE"""),"Tanner")</f>
        <v>Tanner</v>
      </c>
      <c r="F1705" t="str">
        <f>IFERROR(__xludf.DUMMYFUNCTION("""COMPUTED_VALUE"""),"TE")</f>
        <v>TE</v>
      </c>
      <c r="G1705">
        <f>IFERROR(__xludf.DUMMYFUNCTION("""COMPUTED_VALUE"""),6.8999999999999995)</f>
        <v>6.9</v>
      </c>
    </row>
    <row r="1706">
      <c r="D1706" t="str">
        <f>IFERROR(__xludf.DUMMYFUNCTION("""COMPUTED_VALUE"""),"Quarles")</f>
        <v>Quarles</v>
      </c>
      <c r="E1706" t="str">
        <f>IFERROR(__xludf.DUMMYFUNCTION("""COMPUTED_VALUE"""),"Kelcy")</f>
        <v>Kelcy</v>
      </c>
      <c r="F1706" t="str">
        <f>IFERROR(__xludf.DUMMYFUNCTION("""COMPUTED_VALUE"""),"RE")</f>
        <v>RE</v>
      </c>
      <c r="G1706">
        <f>IFERROR(__xludf.DUMMYFUNCTION("""COMPUTED_VALUE"""),8.85)</f>
        <v>8.85</v>
      </c>
    </row>
    <row r="1707">
      <c r="D1707" t="str">
        <f>IFERROR(__xludf.DUMMYFUNCTION("""COMPUTED_VALUE"""),"Quick")</f>
        <v>Quick</v>
      </c>
      <c r="E1707" t="str">
        <f>IFERROR(__xludf.DUMMYFUNCTION("""COMPUTED_VALUE"""),"Brian")</f>
        <v>Brian</v>
      </c>
      <c r="F1707" t="str">
        <f>IFERROR(__xludf.DUMMYFUNCTION("""COMPUTED_VALUE"""),"WR")</f>
        <v>WR</v>
      </c>
      <c r="G1707">
        <f>IFERROR(__xludf.DUMMYFUNCTION("""COMPUTED_VALUE"""),11.1)</f>
        <v>11.1</v>
      </c>
    </row>
    <row r="1708">
      <c r="D1708" t="str">
        <f>IFERROR(__xludf.DUMMYFUNCTION("""COMPUTED_VALUE"""),"Quigley")</f>
        <v>Quigley</v>
      </c>
      <c r="E1708" t="str">
        <f>IFERROR(__xludf.DUMMYFUNCTION("""COMPUTED_VALUE"""),"Ryan")</f>
        <v>Ryan</v>
      </c>
      <c r="F1708" t="str">
        <f>IFERROR(__xludf.DUMMYFUNCTION("""COMPUTED_VALUE"""),"P")</f>
        <v>P</v>
      </c>
      <c r="G1708">
        <f>IFERROR(__xludf.DUMMYFUNCTION("""COMPUTED_VALUE"""),12.0)</f>
        <v>12</v>
      </c>
    </row>
    <row r="1709">
      <c r="D1709" t="str">
        <f>IFERROR(__xludf.DUMMYFUNCTION("""COMPUTED_VALUE"""),"Quin")</f>
        <v>Quin</v>
      </c>
      <c r="E1709" t="str">
        <f>IFERROR(__xludf.DUMMYFUNCTION("""COMPUTED_VALUE"""),"Glover")</f>
        <v>Glover</v>
      </c>
      <c r="F1709" t="str">
        <f>IFERROR(__xludf.DUMMYFUNCTION("""COMPUTED_VALUE"""),"FS")</f>
        <v>FS</v>
      </c>
      <c r="G1709">
        <f>IFERROR(__xludf.DUMMYFUNCTION("""COMPUTED_VALUE"""),12.45)</f>
        <v>12.45</v>
      </c>
    </row>
    <row r="1710">
      <c r="D1710" t="str">
        <f>IFERROR(__xludf.DUMMYFUNCTION("""COMPUTED_VALUE"""),"Quinn")</f>
        <v>Quinn</v>
      </c>
      <c r="E1710" t="str">
        <f>IFERROR(__xludf.DUMMYFUNCTION("""COMPUTED_VALUE"""),"Robert")</f>
        <v>Robert</v>
      </c>
      <c r="F1710" t="str">
        <f>IFERROR(__xludf.DUMMYFUNCTION("""COMPUTED_VALUE"""),"RE")</f>
        <v>RE</v>
      </c>
      <c r="G1710">
        <f>IFERROR(__xludf.DUMMYFUNCTION("""COMPUTED_VALUE"""),13.35)</f>
        <v>13.35</v>
      </c>
    </row>
    <row r="1711">
      <c r="D1711" t="str">
        <f>IFERROR(__xludf.DUMMYFUNCTION("""COMPUTED_VALUE"""),"Qvale")</f>
        <v>Qvale</v>
      </c>
      <c r="E1711" t="str">
        <f>IFERROR(__xludf.DUMMYFUNCTION("""COMPUTED_VALUE"""),"Brent")</f>
        <v>Brent</v>
      </c>
      <c r="F1711" t="str">
        <f>IFERROR(__xludf.DUMMYFUNCTION("""COMPUTED_VALUE"""),"RT")</f>
        <v>RT</v>
      </c>
      <c r="G1711">
        <f>IFERROR(__xludf.DUMMYFUNCTION("""COMPUTED_VALUE"""),9.45)</f>
        <v>9.45</v>
      </c>
    </row>
    <row r="1712">
      <c r="D1712" t="str">
        <f>IFERROR(__xludf.DUMMYFUNCTION("""COMPUTED_VALUE"""),"Ragland")</f>
        <v>Ragland</v>
      </c>
      <c r="E1712" t="str">
        <f>IFERROR(__xludf.DUMMYFUNCTION("""COMPUTED_VALUE"""),"Reggie")</f>
        <v>Reggie</v>
      </c>
      <c r="F1712" t="str">
        <f>IFERROR(__xludf.DUMMYFUNCTION("""COMPUTED_VALUE"""),"ROLB")</f>
        <v>ROLB</v>
      </c>
      <c r="G1712">
        <f>IFERROR(__xludf.DUMMYFUNCTION("""COMPUTED_VALUE"""),11.1)</f>
        <v>11.1</v>
      </c>
    </row>
    <row r="1713">
      <c r="D1713" t="str">
        <f>IFERROR(__xludf.DUMMYFUNCTION("""COMPUTED_VALUE"""),"Rainey Jr.")</f>
        <v>Rainey Jr.</v>
      </c>
      <c r="E1713" t="str">
        <f>IFERROR(__xludf.DUMMYFUNCTION("""COMPUTED_VALUE"""),"Bobby")</f>
        <v>Bobby</v>
      </c>
      <c r="F1713" t="str">
        <f>IFERROR(__xludf.DUMMYFUNCTION("""COMPUTED_VALUE"""),"HB")</f>
        <v>HB</v>
      </c>
      <c r="G1713">
        <f>IFERROR(__xludf.DUMMYFUNCTION("""COMPUTED_VALUE"""),10.95)</f>
        <v>10.95</v>
      </c>
    </row>
    <row r="1714">
      <c r="D1714" t="str">
        <f>IFERROR(__xludf.DUMMYFUNCTION("""COMPUTED_VALUE"""),"Randall")</f>
        <v>Randall</v>
      </c>
      <c r="E1714" t="str">
        <f>IFERROR(__xludf.DUMMYFUNCTION("""COMPUTED_VALUE"""),"Damarious")</f>
        <v>Damarious</v>
      </c>
      <c r="F1714" t="str">
        <f>IFERROR(__xludf.DUMMYFUNCTION("""COMPUTED_VALUE"""),"CB")</f>
        <v>CB</v>
      </c>
      <c r="G1714">
        <f>IFERROR(__xludf.DUMMYFUNCTION("""COMPUTED_VALUE"""),11.4)</f>
        <v>11.4</v>
      </c>
    </row>
    <row r="1715">
      <c r="D1715" t="str">
        <f>IFERROR(__xludf.DUMMYFUNCTION("""COMPUTED_VALUE"""),"Randle")</f>
        <v>Randle</v>
      </c>
      <c r="E1715" t="str">
        <f>IFERROR(__xludf.DUMMYFUNCTION("""COMPUTED_VALUE"""),"Rueben")</f>
        <v>Rueben</v>
      </c>
      <c r="F1715" t="str">
        <f>IFERROR(__xludf.DUMMYFUNCTION("""COMPUTED_VALUE"""),"WR")</f>
        <v>WR</v>
      </c>
      <c r="G1715">
        <f>IFERROR(__xludf.DUMMYFUNCTION("""COMPUTED_VALUE"""),11.7)</f>
        <v>11.7</v>
      </c>
    </row>
    <row r="1716">
      <c r="D1716" t="str">
        <f>IFERROR(__xludf.DUMMYFUNCTION("""COMPUTED_VALUE"""),"Rankins")</f>
        <v>Rankins</v>
      </c>
      <c r="E1716" t="str">
        <f>IFERROR(__xludf.DUMMYFUNCTION("""COMPUTED_VALUE"""),"Sheldon")</f>
        <v>Sheldon</v>
      </c>
      <c r="F1716" t="str">
        <f>IFERROR(__xludf.DUMMYFUNCTION("""COMPUTED_VALUE"""),"DT")</f>
        <v>DT</v>
      </c>
      <c r="G1716">
        <f>IFERROR(__xludf.DUMMYFUNCTION("""COMPUTED_VALUE"""),11.549999999999999)</f>
        <v>11.55</v>
      </c>
    </row>
    <row r="1717">
      <c r="D1717" t="str">
        <f>IFERROR(__xludf.DUMMYFUNCTION("""COMPUTED_VALUE"""),"Rawls")</f>
        <v>Rawls</v>
      </c>
      <c r="E1717" t="str">
        <f>IFERROR(__xludf.DUMMYFUNCTION("""COMPUTED_VALUE"""),"Thomas")</f>
        <v>Thomas</v>
      </c>
      <c r="F1717" t="str">
        <f>IFERROR(__xludf.DUMMYFUNCTION("""COMPUTED_VALUE"""),"HB")</f>
        <v>HB</v>
      </c>
      <c r="G1717">
        <f>IFERROR(__xludf.DUMMYFUNCTION("""COMPUTED_VALUE"""),12.0)</f>
        <v>12</v>
      </c>
    </row>
    <row r="1718">
      <c r="D1718" t="str">
        <f>IFERROR(__xludf.DUMMYFUNCTION("""COMPUTED_VALUE"""),"Ray")</f>
        <v>Ray</v>
      </c>
      <c r="E1718" t="str">
        <f>IFERROR(__xludf.DUMMYFUNCTION("""COMPUTED_VALUE"""),"Shane")</f>
        <v>Shane</v>
      </c>
      <c r="F1718" t="str">
        <f>IFERROR(__xludf.DUMMYFUNCTION("""COMPUTED_VALUE"""),"ROLB")</f>
        <v>ROLB</v>
      </c>
      <c r="G1718">
        <f>IFERROR(__xludf.DUMMYFUNCTION("""COMPUTED_VALUE"""),10.95)</f>
        <v>10.95</v>
      </c>
    </row>
    <row r="1719">
      <c r="D1719" t="str">
        <f>IFERROR(__xludf.DUMMYFUNCTION("""COMPUTED_VALUE"""),"Reader")</f>
        <v>Reader</v>
      </c>
      <c r="E1719" t="str">
        <f>IFERROR(__xludf.DUMMYFUNCTION("""COMPUTED_VALUE"""),"DJ")</f>
        <v>DJ</v>
      </c>
      <c r="F1719" t="str">
        <f>IFERROR(__xludf.DUMMYFUNCTION("""COMPUTED_VALUE"""),"DT")</f>
        <v>DT</v>
      </c>
      <c r="G1719">
        <f>IFERROR(__xludf.DUMMYFUNCTION("""COMPUTED_VALUE"""),9.75)</f>
        <v>9.75</v>
      </c>
    </row>
    <row r="1720">
      <c r="D1720" t="str">
        <f>IFERROR(__xludf.DUMMYFUNCTION("""COMPUTED_VALUE"""),"Reaser")</f>
        <v>Reaser</v>
      </c>
      <c r="E1720" t="str">
        <f>IFERROR(__xludf.DUMMYFUNCTION("""COMPUTED_VALUE"""),"Keith")</f>
        <v>Keith</v>
      </c>
      <c r="F1720" t="str">
        <f>IFERROR(__xludf.DUMMYFUNCTION("""COMPUTED_VALUE"""),"CB")</f>
        <v>CB</v>
      </c>
      <c r="G1720">
        <f>IFERROR(__xludf.DUMMYFUNCTION("""COMPUTED_VALUE"""),9.9)</f>
        <v>9.9</v>
      </c>
    </row>
    <row r="1721">
      <c r="D1721" t="str">
        <f>IFERROR(__xludf.DUMMYFUNCTION("""COMPUTED_VALUE"""),"Reaves")</f>
        <v>Reaves</v>
      </c>
      <c r="E1721" t="str">
        <f>IFERROR(__xludf.DUMMYFUNCTION("""COMPUTED_VALUE"""),"Deandre")</f>
        <v>Deandre</v>
      </c>
      <c r="F1721" t="str">
        <f>IFERROR(__xludf.DUMMYFUNCTION("""COMPUTED_VALUE"""),"WR")</f>
        <v>WR</v>
      </c>
      <c r="G1721">
        <f>IFERROR(__xludf.DUMMYFUNCTION("""COMPUTED_VALUE"""),9.299999999999999)</f>
        <v>9.3</v>
      </c>
    </row>
    <row r="1722">
      <c r="D1722" t="str">
        <f>IFERROR(__xludf.DUMMYFUNCTION("""COMPUTED_VALUE"""),"Redd Jr.")</f>
        <v>Redd Jr.</v>
      </c>
      <c r="E1722" t="str">
        <f>IFERROR(__xludf.DUMMYFUNCTION("""COMPUTED_VALUE"""),"Silas")</f>
        <v>Silas</v>
      </c>
      <c r="F1722" t="str">
        <f>IFERROR(__xludf.DUMMYFUNCTION("""COMPUTED_VALUE"""),"HB")</f>
        <v>HB</v>
      </c>
      <c r="G1722">
        <f>IFERROR(__xludf.DUMMYFUNCTION("""COMPUTED_VALUE"""),10.35)</f>
        <v>10.35</v>
      </c>
    </row>
    <row r="1723">
      <c r="D1723" t="str">
        <f>IFERROR(__xludf.DUMMYFUNCTION("""COMPUTED_VALUE"""),"Reddick")</f>
        <v>Reddick</v>
      </c>
      <c r="E1723" t="str">
        <f>IFERROR(__xludf.DUMMYFUNCTION("""COMPUTED_VALUE"""),"Kevin")</f>
        <v>Kevin</v>
      </c>
      <c r="F1723" t="str">
        <f>IFERROR(__xludf.DUMMYFUNCTION("""COMPUTED_VALUE"""),"MLB")</f>
        <v>MLB</v>
      </c>
      <c r="G1723">
        <f>IFERROR(__xludf.DUMMYFUNCTION("""COMPUTED_VALUE"""),10.049999999999999)</f>
        <v>10.05</v>
      </c>
    </row>
    <row r="1724">
      <c r="D1724" t="str">
        <f>IFERROR(__xludf.DUMMYFUNCTION("""COMPUTED_VALUE"""),"Redmond")</f>
        <v>Redmond</v>
      </c>
      <c r="E1724" t="str">
        <f>IFERROR(__xludf.DUMMYFUNCTION("""COMPUTED_VALUE"""),"Alex")</f>
        <v>Alex</v>
      </c>
      <c r="F1724" t="str">
        <f>IFERROR(__xludf.DUMMYFUNCTION("""COMPUTED_VALUE"""),"C")</f>
        <v>C</v>
      </c>
      <c r="G1724">
        <f>IFERROR(__xludf.DUMMYFUNCTION("""COMPUTED_VALUE"""),8.549999999999999)</f>
        <v>8.55</v>
      </c>
    </row>
    <row r="1725">
      <c r="D1725" t="str">
        <f>IFERROR(__xludf.DUMMYFUNCTION("""COMPUTED_VALUE"""),"Redmond")</f>
        <v>Redmond</v>
      </c>
      <c r="E1725" t="str">
        <f>IFERROR(__xludf.DUMMYFUNCTION("""COMPUTED_VALUE"""),"Will")</f>
        <v>Will</v>
      </c>
      <c r="F1725" t="str">
        <f>IFERROR(__xludf.DUMMYFUNCTION("""COMPUTED_VALUE"""),"CB")</f>
        <v>CB</v>
      </c>
      <c r="G1725">
        <f>IFERROR(__xludf.DUMMYFUNCTION("""COMPUTED_VALUE"""),10.2)</f>
        <v>10.2</v>
      </c>
    </row>
    <row r="1726">
      <c r="D1726" t="str">
        <f>IFERROR(__xludf.DUMMYFUNCTION("""COMPUTED_VALUE"""),"Reece")</f>
        <v>Reece</v>
      </c>
      <c r="E1726" t="str">
        <f>IFERROR(__xludf.DUMMYFUNCTION("""COMPUTED_VALUE"""),"Marcel")</f>
        <v>Marcel</v>
      </c>
      <c r="F1726" t="str">
        <f>IFERROR(__xludf.DUMMYFUNCTION("""COMPUTED_VALUE"""),"FB")</f>
        <v>FB</v>
      </c>
      <c r="G1726">
        <f>IFERROR(__xludf.DUMMYFUNCTION("""COMPUTED_VALUE"""),12.9)</f>
        <v>12.9</v>
      </c>
    </row>
    <row r="1727">
      <c r="D1727" t="str">
        <f>IFERROR(__xludf.DUMMYFUNCTION("""COMPUTED_VALUE"""),"Reed")</f>
        <v>Reed</v>
      </c>
      <c r="E1727" t="str">
        <f>IFERROR(__xludf.DUMMYFUNCTION("""COMPUTED_VALUE"""),"Brooks")</f>
        <v>Brooks</v>
      </c>
      <c r="F1727" t="str">
        <f>IFERROR(__xludf.DUMMYFUNCTION("""COMPUTED_VALUE"""),"LOLB")</f>
        <v>LOLB</v>
      </c>
      <c r="G1727">
        <f>IFERROR(__xludf.DUMMYFUNCTION("""COMPUTED_VALUE"""),11.4)</f>
        <v>11.4</v>
      </c>
    </row>
    <row r="1728">
      <c r="D1728" t="str">
        <f>IFERROR(__xludf.DUMMYFUNCTION("""COMPUTED_VALUE"""),"Reed")</f>
        <v>Reed</v>
      </c>
      <c r="E1728" t="str">
        <f>IFERROR(__xludf.DUMMYFUNCTION("""COMPUTED_VALUE"""),"Jarran")</f>
        <v>Jarran</v>
      </c>
      <c r="F1728" t="str">
        <f>IFERROR(__xludf.DUMMYFUNCTION("""COMPUTED_VALUE"""),"DT")</f>
        <v>DT</v>
      </c>
      <c r="G1728">
        <f>IFERROR(__xludf.DUMMYFUNCTION("""COMPUTED_VALUE"""),10.95)</f>
        <v>10.95</v>
      </c>
    </row>
    <row r="1729">
      <c r="D1729" t="str">
        <f>IFERROR(__xludf.DUMMYFUNCTION("""COMPUTED_VALUE"""),"Reed")</f>
        <v>Reed</v>
      </c>
      <c r="E1729" t="str">
        <f>IFERROR(__xludf.DUMMYFUNCTION("""COMPUTED_VALUE"""),"Jordan")</f>
        <v>Jordan</v>
      </c>
      <c r="F1729" t="str">
        <f>IFERROR(__xludf.DUMMYFUNCTION("""COMPUTED_VALUE"""),"TE")</f>
        <v>TE</v>
      </c>
      <c r="G1729">
        <f>IFERROR(__xludf.DUMMYFUNCTION("""COMPUTED_VALUE"""),13.35)</f>
        <v>13.35</v>
      </c>
    </row>
    <row r="1730">
      <c r="D1730" t="str">
        <f>IFERROR(__xludf.DUMMYFUNCTION("""COMPUTED_VALUE"""),"Reed")</f>
        <v>Reed</v>
      </c>
      <c r="E1730" t="str">
        <f>IFERROR(__xludf.DUMMYFUNCTION("""COMPUTED_VALUE"""),"Kalan")</f>
        <v>Kalan</v>
      </c>
      <c r="F1730" t="str">
        <f>IFERROR(__xludf.DUMMYFUNCTION("""COMPUTED_VALUE"""),"CB")</f>
        <v>CB</v>
      </c>
      <c r="G1730">
        <f>IFERROR(__xludf.DUMMYFUNCTION("""COMPUTED_VALUE"""),9.15)</f>
        <v>9.15</v>
      </c>
    </row>
    <row r="1731">
      <c r="D1731" t="str">
        <f>IFERROR(__xludf.DUMMYFUNCTION("""COMPUTED_VALUE"""),"Reedy")</f>
        <v>Reedy</v>
      </c>
      <c r="E1731" t="str">
        <f>IFERROR(__xludf.DUMMYFUNCTION("""COMPUTED_VALUE"""),"Bernard")</f>
        <v>Bernard</v>
      </c>
      <c r="F1731" t="str">
        <f>IFERROR(__xludf.DUMMYFUNCTION("""COMPUTED_VALUE"""),"WR")</f>
        <v>WR</v>
      </c>
      <c r="G1731">
        <f>IFERROR(__xludf.DUMMYFUNCTION("""COMPUTED_VALUE"""),8.85)</f>
        <v>8.85</v>
      </c>
    </row>
    <row r="1732">
      <c r="D1732" t="str">
        <f>IFERROR(__xludf.DUMMYFUNCTION("""COMPUTED_VALUE"""),"Reid")</f>
        <v>Reid</v>
      </c>
      <c r="E1732" t="str">
        <f>IFERROR(__xludf.DUMMYFUNCTION("""COMPUTED_VALUE"""),"Caraun")</f>
        <v>Caraun</v>
      </c>
      <c r="F1732" t="str">
        <f>IFERROR(__xludf.DUMMYFUNCTION("""COMPUTED_VALUE"""),"DT")</f>
        <v>DT</v>
      </c>
      <c r="G1732">
        <f>IFERROR(__xludf.DUMMYFUNCTION("""COMPUTED_VALUE"""),10.049999999999999)</f>
        <v>10.05</v>
      </c>
    </row>
    <row r="1733">
      <c r="D1733" t="str">
        <f>IFERROR(__xludf.DUMMYFUNCTION("""COMPUTED_VALUE"""),"Reid")</f>
        <v>Reid</v>
      </c>
      <c r="E1733" t="str">
        <f>IFERROR(__xludf.DUMMYFUNCTION("""COMPUTED_VALUE"""),"Eric")</f>
        <v>Eric</v>
      </c>
      <c r="F1733" t="str">
        <f>IFERROR(__xludf.DUMMYFUNCTION("""COMPUTED_VALUE"""),"FS")</f>
        <v>FS</v>
      </c>
      <c r="G1733">
        <f>IFERROR(__xludf.DUMMYFUNCTION("""COMPUTED_VALUE"""),11.549999999999999)</f>
        <v>11.55</v>
      </c>
    </row>
    <row r="1734">
      <c r="D1734" t="str">
        <f>IFERROR(__xludf.DUMMYFUNCTION("""COMPUTED_VALUE"""),"Reid")</f>
        <v>Reid</v>
      </c>
      <c r="E1734" t="str">
        <f>IFERROR(__xludf.DUMMYFUNCTION("""COMPUTED_VALUE"""),"Jah")</f>
        <v>Jah</v>
      </c>
      <c r="F1734" t="str">
        <f>IFERROR(__xludf.DUMMYFUNCTION("""COMPUTED_VALUE"""),"RT")</f>
        <v>RT</v>
      </c>
      <c r="G1734">
        <f>IFERROR(__xludf.DUMMYFUNCTION("""COMPUTED_VALUE"""),10.799999999999999)</f>
        <v>10.8</v>
      </c>
    </row>
    <row r="1735">
      <c r="D1735" t="str">
        <f>IFERROR(__xludf.DUMMYFUNCTION("""COMPUTED_VALUE"""),"Reiff")</f>
        <v>Reiff</v>
      </c>
      <c r="E1735" t="str">
        <f>IFERROR(__xludf.DUMMYFUNCTION("""COMPUTED_VALUE"""),"Riley")</f>
        <v>Riley</v>
      </c>
      <c r="F1735" t="str">
        <f>IFERROR(__xludf.DUMMYFUNCTION("""COMPUTED_VALUE"""),"RT")</f>
        <v>RT</v>
      </c>
      <c r="G1735">
        <f>IFERROR(__xludf.DUMMYFUNCTION("""COMPUTED_VALUE"""),12.45)</f>
        <v>12.45</v>
      </c>
    </row>
    <row r="1736">
      <c r="D1736" t="str">
        <f>IFERROR(__xludf.DUMMYFUNCTION("""COMPUTED_VALUE"""),"Reilly")</f>
        <v>Reilly</v>
      </c>
      <c r="E1736" t="str">
        <f>IFERROR(__xludf.DUMMYFUNCTION("""COMPUTED_VALUE"""),"Trevor")</f>
        <v>Trevor</v>
      </c>
      <c r="F1736" t="str">
        <f>IFERROR(__xludf.DUMMYFUNCTION("""COMPUTED_VALUE"""),"LOLB")</f>
        <v>LOLB</v>
      </c>
      <c r="G1736">
        <f>IFERROR(__xludf.DUMMYFUNCTION("""COMPUTED_VALUE"""),9.9)</f>
        <v>9.9</v>
      </c>
    </row>
    <row r="1737">
      <c r="D1737" t="str">
        <f>IFERROR(__xludf.DUMMYFUNCTION("""COMPUTED_VALUE"""),"Reiter")</f>
        <v>Reiter</v>
      </c>
      <c r="E1737" t="str">
        <f>IFERROR(__xludf.DUMMYFUNCTION("""COMPUTED_VALUE"""),"Austin")</f>
        <v>Austin</v>
      </c>
      <c r="F1737" t="str">
        <f>IFERROR(__xludf.DUMMYFUNCTION("""COMPUTED_VALUE"""),"C")</f>
        <v>C</v>
      </c>
      <c r="G1737">
        <f>IFERROR(__xludf.DUMMYFUNCTION("""COMPUTED_VALUE"""),9.45)</f>
        <v>9.45</v>
      </c>
    </row>
    <row r="1738">
      <c r="D1738" t="str">
        <f>IFERROR(__xludf.DUMMYFUNCTION("""COMPUTED_VALUE"""),"Reitz")</f>
        <v>Reitz</v>
      </c>
      <c r="E1738" t="str">
        <f>IFERROR(__xludf.DUMMYFUNCTION("""COMPUTED_VALUE"""),"Joe")</f>
        <v>Joe</v>
      </c>
      <c r="F1738" t="str">
        <f>IFERROR(__xludf.DUMMYFUNCTION("""COMPUTED_VALUE"""),"RT")</f>
        <v>RT</v>
      </c>
      <c r="G1738">
        <f>IFERROR(__xludf.DUMMYFUNCTION("""COMPUTED_VALUE"""),11.85)</f>
        <v>11.85</v>
      </c>
    </row>
    <row r="1739">
      <c r="D1739" t="str">
        <f>IFERROR(__xludf.DUMMYFUNCTION("""COMPUTED_VALUE"""),"Remmers")</f>
        <v>Remmers</v>
      </c>
      <c r="E1739" t="str">
        <f>IFERROR(__xludf.DUMMYFUNCTION("""COMPUTED_VALUE"""),"Mike")</f>
        <v>Mike</v>
      </c>
      <c r="F1739" t="str">
        <f>IFERROR(__xludf.DUMMYFUNCTION("""COMPUTED_VALUE"""),"RT")</f>
        <v>RT</v>
      </c>
      <c r="G1739">
        <f>IFERROR(__xludf.DUMMYFUNCTION("""COMPUTED_VALUE"""),11.4)</f>
        <v>11.4</v>
      </c>
    </row>
    <row r="1740">
      <c r="D1740" t="str">
        <f>IFERROR(__xludf.DUMMYFUNCTION("""COMPUTED_VALUE"""),"Renfree")</f>
        <v>Renfree</v>
      </c>
      <c r="E1740" t="str">
        <f>IFERROR(__xludf.DUMMYFUNCTION("""COMPUTED_VALUE"""),"Sean")</f>
        <v>Sean</v>
      </c>
      <c r="F1740" t="str">
        <f>IFERROR(__xludf.DUMMYFUNCTION("""COMPUTED_VALUE"""),"QB")</f>
        <v>QB</v>
      </c>
      <c r="G1740">
        <f>IFERROR(__xludf.DUMMYFUNCTION("""COMPUTED_VALUE"""),9.6)</f>
        <v>9.6</v>
      </c>
    </row>
    <row r="1741">
      <c r="D1741" t="str">
        <f>IFERROR(__xludf.DUMMYFUNCTION("""COMPUTED_VALUE"""),"Revis")</f>
        <v>Revis</v>
      </c>
      <c r="E1741" t="str">
        <f>IFERROR(__xludf.DUMMYFUNCTION("""COMPUTED_VALUE"""),"Darrelle")</f>
        <v>Darrelle</v>
      </c>
      <c r="F1741" t="str">
        <f>IFERROR(__xludf.DUMMYFUNCTION("""COMPUTED_VALUE"""),"CB")</f>
        <v>CB</v>
      </c>
      <c r="G1741">
        <f>IFERROR(__xludf.DUMMYFUNCTION("""COMPUTED_VALUE"""),13.65)</f>
        <v>13.65</v>
      </c>
    </row>
    <row r="1742">
      <c r="D1742" t="str">
        <f>IFERROR(__xludf.DUMMYFUNCTION("""COMPUTED_VALUE"""),"Rey")</f>
        <v>Rey</v>
      </c>
      <c r="E1742" t="str">
        <f>IFERROR(__xludf.DUMMYFUNCTION("""COMPUTED_VALUE"""),"Vincent")</f>
        <v>Vincent</v>
      </c>
      <c r="F1742" t="str">
        <f>IFERROR(__xludf.DUMMYFUNCTION("""COMPUTED_VALUE"""),"MLB")</f>
        <v>MLB</v>
      </c>
      <c r="G1742">
        <f>IFERROR(__xludf.DUMMYFUNCTION("""COMPUTED_VALUE"""),11.25)</f>
        <v>11.25</v>
      </c>
    </row>
    <row r="1743">
      <c r="D1743" t="str">
        <f>IFERROR(__xludf.DUMMYFUNCTION("""COMPUTED_VALUE"""),"Reyes")</f>
        <v>Reyes</v>
      </c>
      <c r="E1743" t="str">
        <f>IFERROR(__xludf.DUMMYFUNCTION("""COMPUTED_VALUE"""),"Kendall")</f>
        <v>Kendall</v>
      </c>
      <c r="F1743" t="str">
        <f>IFERROR(__xludf.DUMMYFUNCTION("""COMPUTED_VALUE"""),"RE")</f>
        <v>RE</v>
      </c>
      <c r="G1743">
        <f>IFERROR(__xludf.DUMMYFUNCTION("""COMPUTED_VALUE"""),10.35)</f>
        <v>10.35</v>
      </c>
    </row>
    <row r="1744">
      <c r="D1744" t="str">
        <f>IFERROR(__xludf.DUMMYFUNCTION("""COMPUTED_VALUE"""),"Reynolds")</f>
        <v>Reynolds</v>
      </c>
      <c r="E1744" t="str">
        <f>IFERROR(__xludf.DUMMYFUNCTION("""COMPUTED_VALUE"""),"Chase")</f>
        <v>Chase</v>
      </c>
      <c r="F1744" t="str">
        <f>IFERROR(__xludf.DUMMYFUNCTION("""COMPUTED_VALUE"""),"HB")</f>
        <v>HB</v>
      </c>
      <c r="G1744">
        <f>IFERROR(__xludf.DUMMYFUNCTION("""COMPUTED_VALUE"""),10.049999999999999)</f>
        <v>10.05</v>
      </c>
    </row>
    <row r="1745">
      <c r="D1745" t="str">
        <f>IFERROR(__xludf.DUMMYFUNCTION("""COMPUTED_VALUE"""),"Reynolds")</f>
        <v>Reynolds</v>
      </c>
      <c r="E1745" t="str">
        <f>IFERROR(__xludf.DUMMYFUNCTION("""COMPUTED_VALUE"""),"Garrett")</f>
        <v>Garrett</v>
      </c>
      <c r="F1745" t="str">
        <f>IFERROR(__xludf.DUMMYFUNCTION("""COMPUTED_VALUE"""),"LG")</f>
        <v>LG</v>
      </c>
      <c r="G1745">
        <f>IFERROR(__xludf.DUMMYFUNCTION("""COMPUTED_VALUE"""),11.7)</f>
        <v>11.7</v>
      </c>
    </row>
    <row r="1746">
      <c r="D1746" t="str">
        <f>IFERROR(__xludf.DUMMYFUNCTION("""COMPUTED_VALUE"""),"Reynolds")</f>
        <v>Reynolds</v>
      </c>
      <c r="E1746" t="str">
        <f>IFERROR(__xludf.DUMMYFUNCTION("""COMPUTED_VALUE"""),"Keenan")</f>
        <v>Keenan</v>
      </c>
      <c r="F1746" t="str">
        <f>IFERROR(__xludf.DUMMYFUNCTION("""COMPUTED_VALUE"""),"HB")</f>
        <v>HB</v>
      </c>
      <c r="G1746">
        <f>IFERROR(__xludf.DUMMYFUNCTION("""COMPUTED_VALUE"""),9.299999999999999)</f>
        <v>9.3</v>
      </c>
    </row>
    <row r="1747">
      <c r="D1747" t="str">
        <f>IFERROR(__xludf.DUMMYFUNCTION("""COMPUTED_VALUE"""),"Reynolds")</f>
        <v>Reynolds</v>
      </c>
      <c r="E1747" t="str">
        <f>IFERROR(__xludf.DUMMYFUNCTION("""COMPUTED_VALUE"""),"LaRoy")</f>
        <v>LaRoy</v>
      </c>
      <c r="F1747" t="str">
        <f>IFERROR(__xludf.DUMMYFUNCTION("""COMPUTED_VALUE"""),"MLB")</f>
        <v>MLB</v>
      </c>
      <c r="G1747">
        <f>IFERROR(__xludf.DUMMYFUNCTION("""COMPUTED_VALUE"""),10.049999999999999)</f>
        <v>10.05</v>
      </c>
    </row>
    <row r="1748">
      <c r="D1748" t="str">
        <f>IFERROR(__xludf.DUMMYFUNCTION("""COMPUTED_VALUE"""),"Reynolds II")</f>
        <v>Reynolds II</v>
      </c>
      <c r="E1748" t="str">
        <f>IFERROR(__xludf.DUMMYFUNCTION("""COMPUTED_VALUE"""),"Ed")</f>
        <v>Ed</v>
      </c>
      <c r="F1748" t="str">
        <f>IFERROR(__xludf.DUMMYFUNCTION("""COMPUTED_VALUE"""),"FS")</f>
        <v>FS</v>
      </c>
      <c r="G1748">
        <f>IFERROR(__xludf.DUMMYFUNCTION("""COMPUTED_VALUE"""),10.5)</f>
        <v>10.5</v>
      </c>
    </row>
    <row r="1749">
      <c r="D1749" t="str">
        <f>IFERROR(__xludf.DUMMYFUNCTION("""COMPUTED_VALUE"""),"Rhaney")</f>
        <v>Rhaney</v>
      </c>
      <c r="E1749" t="str">
        <f>IFERROR(__xludf.DUMMYFUNCTION("""COMPUTED_VALUE"""),"Demetrius")</f>
        <v>Demetrius</v>
      </c>
      <c r="F1749" t="str">
        <f>IFERROR(__xludf.DUMMYFUNCTION("""COMPUTED_VALUE"""),"C")</f>
        <v>C</v>
      </c>
      <c r="G1749">
        <f>IFERROR(__xludf.DUMMYFUNCTION("""COMPUTED_VALUE"""),9.299999999999999)</f>
        <v>9.3</v>
      </c>
    </row>
    <row r="1750">
      <c r="D1750" t="str">
        <f>IFERROR(__xludf.DUMMYFUNCTION("""COMPUTED_VALUE"""),"Rhodes")</f>
        <v>Rhodes</v>
      </c>
      <c r="E1750" t="str">
        <f>IFERROR(__xludf.DUMMYFUNCTION("""COMPUTED_VALUE"""),"Xavier")</f>
        <v>Xavier</v>
      </c>
      <c r="F1750" t="str">
        <f>IFERROR(__xludf.DUMMYFUNCTION("""COMPUTED_VALUE"""),"CB")</f>
        <v>CB</v>
      </c>
      <c r="G1750">
        <f>IFERROR(__xludf.DUMMYFUNCTION("""COMPUTED_VALUE"""),12.0)</f>
        <v>12</v>
      </c>
    </row>
    <row r="1751">
      <c r="D1751" t="str">
        <f>IFERROR(__xludf.DUMMYFUNCTION("""COMPUTED_VALUE"""),"Rice")</f>
        <v>Rice</v>
      </c>
      <c r="E1751" t="str">
        <f>IFERROR(__xludf.DUMMYFUNCTION("""COMPUTED_VALUE"""),"Denzel")</f>
        <v>Denzel</v>
      </c>
      <c r="F1751" t="str">
        <f>IFERROR(__xludf.DUMMYFUNCTION("""COMPUTED_VALUE"""),"CB")</f>
        <v>CB</v>
      </c>
      <c r="G1751">
        <f>IFERROR(__xludf.DUMMYFUNCTION("""COMPUTED_VALUE"""),9.45)</f>
        <v>9.45</v>
      </c>
    </row>
    <row r="1752">
      <c r="D1752" t="str">
        <f>IFERROR(__xludf.DUMMYFUNCTION("""COMPUTED_VALUE"""),"Richards")</f>
        <v>Richards</v>
      </c>
      <c r="E1752" t="str">
        <f>IFERROR(__xludf.DUMMYFUNCTION("""COMPUTED_VALUE"""),"Jordan")</f>
        <v>Jordan</v>
      </c>
      <c r="F1752" t="str">
        <f>IFERROR(__xludf.DUMMYFUNCTION("""COMPUTED_VALUE"""),"FS")</f>
        <v>FS</v>
      </c>
      <c r="G1752">
        <f>IFERROR(__xludf.DUMMYFUNCTION("""COMPUTED_VALUE"""),10.35)</f>
        <v>10.35</v>
      </c>
    </row>
    <row r="1753">
      <c r="D1753" t="str">
        <f>IFERROR(__xludf.DUMMYFUNCTION("""COMPUTED_VALUE"""),"Richardson")</f>
        <v>Richardson</v>
      </c>
      <c r="E1753" t="str">
        <f>IFERROR(__xludf.DUMMYFUNCTION("""COMPUTED_VALUE"""),"Bobby")</f>
        <v>Bobby</v>
      </c>
      <c r="F1753" t="str">
        <f>IFERROR(__xludf.DUMMYFUNCTION("""COMPUTED_VALUE"""),"RE")</f>
        <v>RE</v>
      </c>
      <c r="G1753">
        <f>IFERROR(__xludf.DUMMYFUNCTION("""COMPUTED_VALUE"""),9.9)</f>
        <v>9.9</v>
      </c>
    </row>
    <row r="1754">
      <c r="D1754" t="str">
        <f>IFERROR(__xludf.DUMMYFUNCTION("""COMPUTED_VALUE"""),"Richardson")</f>
        <v>Richardson</v>
      </c>
      <c r="E1754" t="str">
        <f>IFERROR(__xludf.DUMMYFUNCTION("""COMPUTED_VALUE"""),"Cyril")</f>
        <v>Cyril</v>
      </c>
      <c r="F1754" t="str">
        <f>IFERROR(__xludf.DUMMYFUNCTION("""COMPUTED_VALUE"""),"LG")</f>
        <v>LG</v>
      </c>
      <c r="G1754">
        <f>IFERROR(__xludf.DUMMYFUNCTION("""COMPUTED_VALUE"""),9.45)</f>
        <v>9.45</v>
      </c>
    </row>
    <row r="1755">
      <c r="D1755" t="str">
        <f>IFERROR(__xludf.DUMMYFUNCTION("""COMPUTED_VALUE"""),"Richardson")</f>
        <v>Richardson</v>
      </c>
      <c r="E1755" t="str">
        <f>IFERROR(__xludf.DUMMYFUNCTION("""COMPUTED_VALUE"""),"Daryl")</f>
        <v>Daryl</v>
      </c>
      <c r="F1755" t="str">
        <f>IFERROR(__xludf.DUMMYFUNCTION("""COMPUTED_VALUE"""),"HB")</f>
        <v>HB</v>
      </c>
      <c r="G1755">
        <f>IFERROR(__xludf.DUMMYFUNCTION("""COMPUTED_VALUE"""),10.049999999999999)</f>
        <v>10.05</v>
      </c>
    </row>
    <row r="1756">
      <c r="D1756" t="str">
        <f>IFERROR(__xludf.DUMMYFUNCTION("""COMPUTED_VALUE"""),"Richardson")</f>
        <v>Richardson</v>
      </c>
      <c r="E1756" t="str">
        <f>IFERROR(__xludf.DUMMYFUNCTION("""COMPUTED_VALUE"""),"Paul")</f>
        <v>Paul</v>
      </c>
      <c r="F1756" t="str">
        <f>IFERROR(__xludf.DUMMYFUNCTION("""COMPUTED_VALUE"""),"WR")</f>
        <v>WR</v>
      </c>
      <c r="G1756">
        <f>IFERROR(__xludf.DUMMYFUNCTION("""COMPUTED_VALUE"""),10.65)</f>
        <v>10.65</v>
      </c>
    </row>
    <row r="1757">
      <c r="D1757" t="str">
        <f>IFERROR(__xludf.DUMMYFUNCTION("""COMPUTED_VALUE"""),"Richardson")</f>
        <v>Richardson</v>
      </c>
      <c r="E1757" t="str">
        <f>IFERROR(__xludf.DUMMYFUNCTION("""COMPUTED_VALUE"""),"Sheldon")</f>
        <v>Sheldon</v>
      </c>
      <c r="F1757" t="str">
        <f>IFERROR(__xludf.DUMMYFUNCTION("""COMPUTED_VALUE"""),"RE")</f>
        <v>RE</v>
      </c>
      <c r="G1757">
        <f>IFERROR(__xludf.DUMMYFUNCTION("""COMPUTED_VALUE"""),12.9)</f>
        <v>12.9</v>
      </c>
    </row>
    <row r="1758">
      <c r="D1758" t="str">
        <f>IFERROR(__xludf.DUMMYFUNCTION("""COMPUTED_VALUE"""),"Richardson")</f>
        <v>Richardson</v>
      </c>
      <c r="E1758" t="str">
        <f>IFERROR(__xludf.DUMMYFUNCTION("""COMPUTED_VALUE"""),"Trent")</f>
        <v>Trent</v>
      </c>
      <c r="F1758" t="str">
        <f>IFERROR(__xludf.DUMMYFUNCTION("""COMPUTED_VALUE"""),"HB")</f>
        <v>HB</v>
      </c>
      <c r="G1758">
        <f>IFERROR(__xludf.DUMMYFUNCTION("""COMPUTED_VALUE"""),10.799999999999999)</f>
        <v>10.8</v>
      </c>
    </row>
    <row r="1759">
      <c r="D1759" t="str">
        <f>IFERROR(__xludf.DUMMYFUNCTION("""COMPUTED_VALUE"""),"Richburg")</f>
        <v>Richburg</v>
      </c>
      <c r="E1759" t="str">
        <f>IFERROR(__xludf.DUMMYFUNCTION("""COMPUTED_VALUE"""),"Weston")</f>
        <v>Weston</v>
      </c>
      <c r="F1759" t="str">
        <f>IFERROR(__xludf.DUMMYFUNCTION("""COMPUTED_VALUE"""),"C")</f>
        <v>C</v>
      </c>
      <c r="G1759">
        <f>IFERROR(__xludf.DUMMYFUNCTION("""COMPUTED_VALUE"""),13.2)</f>
        <v>13.2</v>
      </c>
    </row>
    <row r="1760">
      <c r="D1760" t="str">
        <f>IFERROR(__xludf.DUMMYFUNCTION("""COMPUTED_VALUE"""),"Riddick")</f>
        <v>Riddick</v>
      </c>
      <c r="E1760" t="str">
        <f>IFERROR(__xludf.DUMMYFUNCTION("""COMPUTED_VALUE"""),"Shaq")</f>
        <v>Shaq</v>
      </c>
      <c r="F1760" t="str">
        <f>IFERROR(__xludf.DUMMYFUNCTION("""COMPUTED_VALUE"""),"LOLB")</f>
        <v>LOLB</v>
      </c>
      <c r="G1760">
        <f>IFERROR(__xludf.DUMMYFUNCTION("""COMPUTED_VALUE"""),8.85)</f>
        <v>8.85</v>
      </c>
    </row>
    <row r="1761">
      <c r="D1761" t="str">
        <f>IFERROR(__xludf.DUMMYFUNCTION("""COMPUTED_VALUE"""),"Riddick")</f>
        <v>Riddick</v>
      </c>
      <c r="E1761" t="str">
        <f>IFERROR(__xludf.DUMMYFUNCTION("""COMPUTED_VALUE"""),"Theo")</f>
        <v>Theo</v>
      </c>
      <c r="F1761" t="str">
        <f>IFERROR(__xludf.DUMMYFUNCTION("""COMPUTED_VALUE"""),"HB")</f>
        <v>HB</v>
      </c>
      <c r="G1761">
        <f>IFERROR(__xludf.DUMMYFUNCTION("""COMPUTED_VALUE"""),12.15)</f>
        <v>12.15</v>
      </c>
    </row>
    <row r="1762">
      <c r="D1762" t="str">
        <f>IFERROR(__xludf.DUMMYFUNCTION("""COMPUTED_VALUE"""),"Ridgeway")</f>
        <v>Ridgeway</v>
      </c>
      <c r="E1762" t="str">
        <f>IFERROR(__xludf.DUMMYFUNCTION("""COMPUTED_VALUE"""),"Hassan")</f>
        <v>Hassan</v>
      </c>
      <c r="F1762" t="str">
        <f>IFERROR(__xludf.DUMMYFUNCTION("""COMPUTED_VALUE"""),"RE")</f>
        <v>RE</v>
      </c>
      <c r="G1762">
        <f>IFERROR(__xludf.DUMMYFUNCTION("""COMPUTED_VALUE"""),10.2)</f>
        <v>10.2</v>
      </c>
    </row>
    <row r="1763">
      <c r="D1763" t="str">
        <f>IFERROR(__xludf.DUMMYFUNCTION("""COMPUTED_VALUE"""),"Ridley")</f>
        <v>Ridley</v>
      </c>
      <c r="E1763" t="str">
        <f>IFERROR(__xludf.DUMMYFUNCTION("""COMPUTED_VALUE"""),"Stevan")</f>
        <v>Stevan</v>
      </c>
      <c r="F1763" t="str">
        <f>IFERROR(__xludf.DUMMYFUNCTION("""COMPUTED_VALUE"""),"HB")</f>
        <v>HB</v>
      </c>
      <c r="G1763">
        <f>IFERROR(__xludf.DUMMYFUNCTION("""COMPUTED_VALUE"""),10.65)</f>
        <v>10.65</v>
      </c>
    </row>
    <row r="1764">
      <c r="D1764" t="str">
        <f>IFERROR(__xludf.DUMMYFUNCTION("""COMPUTED_VALUE"""),"Riggs")</f>
        <v>Riggs</v>
      </c>
      <c r="E1764" t="str">
        <f>IFERROR(__xludf.DUMMYFUNCTION("""COMPUTED_VALUE"""),"Cody")</f>
        <v>Cody</v>
      </c>
      <c r="F1764" t="str">
        <f>IFERROR(__xludf.DUMMYFUNCTION("""COMPUTED_VALUE"""),"CB")</f>
        <v>CB</v>
      </c>
      <c r="G1764">
        <f>IFERROR(__xludf.DUMMYFUNCTION("""COMPUTED_VALUE"""),10.799999999999999)</f>
        <v>10.8</v>
      </c>
    </row>
    <row r="1765">
      <c r="D1765" t="str">
        <f>IFERROR(__xludf.DUMMYFUNCTION("""COMPUTED_VALUE"""),"Riley Jr.")</f>
        <v>Riley Jr.</v>
      </c>
      <c r="E1765" t="str">
        <f>IFERROR(__xludf.DUMMYFUNCTION("""COMPUTED_VALUE"""),"Perry")</f>
        <v>Perry</v>
      </c>
      <c r="F1765" t="str">
        <f>IFERROR(__xludf.DUMMYFUNCTION("""COMPUTED_VALUE"""),"MLB")</f>
        <v>MLB</v>
      </c>
      <c r="G1765">
        <f>IFERROR(__xludf.DUMMYFUNCTION("""COMPUTED_VALUE"""),11.1)</f>
        <v>11.1</v>
      </c>
    </row>
    <row r="1766">
      <c r="D1766" t="str">
        <f>IFERROR(__xludf.DUMMYFUNCTION("""COMPUTED_VALUE"""),"Ringo")</f>
        <v>Ringo</v>
      </c>
      <c r="E1766" t="str">
        <f>IFERROR(__xludf.DUMMYFUNCTION("""COMPUTED_VALUE"""),"Christian")</f>
        <v>Christian</v>
      </c>
      <c r="F1766" t="str">
        <f>IFERROR(__xludf.DUMMYFUNCTION("""COMPUTED_VALUE"""),"DT")</f>
        <v>DT</v>
      </c>
      <c r="G1766">
        <f>IFERROR(__xludf.DUMMYFUNCTION("""COMPUTED_VALUE"""),9.0)</f>
        <v>9</v>
      </c>
    </row>
    <row r="1767">
      <c r="D1767" t="str">
        <f>IFERROR(__xludf.DUMMYFUNCTION("""COMPUTED_VALUE"""),"Ripkowski")</f>
        <v>Ripkowski</v>
      </c>
      <c r="E1767" t="str">
        <f>IFERROR(__xludf.DUMMYFUNCTION("""COMPUTED_VALUE"""),"Aaron")</f>
        <v>Aaron</v>
      </c>
      <c r="F1767" t="str">
        <f>IFERROR(__xludf.DUMMYFUNCTION("""COMPUTED_VALUE"""),"FB")</f>
        <v>FB</v>
      </c>
      <c r="G1767">
        <f>IFERROR(__xludf.DUMMYFUNCTION("""COMPUTED_VALUE"""),10.65)</f>
        <v>10.65</v>
      </c>
    </row>
    <row r="1768">
      <c r="D1768" t="str">
        <f>IFERROR(__xludf.DUMMYFUNCTION("""COMPUTED_VALUE"""),"Rivera")</f>
        <v>Rivera</v>
      </c>
      <c r="E1768" t="str">
        <f>IFERROR(__xludf.DUMMYFUNCTION("""COMPUTED_VALUE"""),"Mychal")</f>
        <v>Mychal</v>
      </c>
      <c r="F1768" t="str">
        <f>IFERROR(__xludf.DUMMYFUNCTION("""COMPUTED_VALUE"""),"TE")</f>
        <v>TE</v>
      </c>
      <c r="G1768">
        <f>IFERROR(__xludf.DUMMYFUNCTION("""COMPUTED_VALUE"""),10.95)</f>
        <v>10.95</v>
      </c>
    </row>
    <row r="1769">
      <c r="D1769" t="str">
        <f>IFERROR(__xludf.DUMMYFUNCTION("""COMPUTED_VALUE"""),"Rivers")</f>
        <v>Rivers</v>
      </c>
      <c r="E1769" t="str">
        <f>IFERROR(__xludf.DUMMYFUNCTION("""COMPUTED_VALUE"""),"Gerald")</f>
        <v>Gerald</v>
      </c>
      <c r="F1769" t="str">
        <f>IFERROR(__xludf.DUMMYFUNCTION("""COMPUTED_VALUE"""),"ROLB")</f>
        <v>ROLB</v>
      </c>
      <c r="G1769">
        <f>IFERROR(__xludf.DUMMYFUNCTION("""COMPUTED_VALUE"""),9.15)</f>
        <v>9.15</v>
      </c>
    </row>
    <row r="1770">
      <c r="D1770" t="str">
        <f>IFERROR(__xludf.DUMMYFUNCTION("""COMPUTED_VALUE"""),"Rivers")</f>
        <v>Rivers</v>
      </c>
      <c r="E1770" t="str">
        <f>IFERROR(__xludf.DUMMYFUNCTION("""COMPUTED_VALUE"""),"Philip")</f>
        <v>Philip</v>
      </c>
      <c r="F1770" t="str">
        <f>IFERROR(__xludf.DUMMYFUNCTION("""COMPUTED_VALUE"""),"QB")</f>
        <v>QB</v>
      </c>
      <c r="G1770">
        <f>IFERROR(__xludf.DUMMYFUNCTION("""COMPUTED_VALUE"""),12.6)</f>
        <v>12.6</v>
      </c>
    </row>
    <row r="1771">
      <c r="D1771" t="str">
        <f>IFERROR(__xludf.DUMMYFUNCTION("""COMPUTED_VALUE"""),"Roach")</f>
        <v>Roach</v>
      </c>
      <c r="E1771" t="str">
        <f>IFERROR(__xludf.DUMMYFUNCTION("""COMPUTED_VALUE"""),"Trevor")</f>
        <v>Trevor</v>
      </c>
      <c r="F1771" t="str">
        <f>IFERROR(__xludf.DUMMYFUNCTION("""COMPUTED_VALUE"""),"LOLB")</f>
        <v>LOLB</v>
      </c>
      <c r="G1771">
        <f>IFERROR(__xludf.DUMMYFUNCTION("""COMPUTED_VALUE"""),9.15)</f>
        <v>9.15</v>
      </c>
    </row>
    <row r="1772">
      <c r="D1772" t="str">
        <f>IFERROR(__xludf.DUMMYFUNCTION("""COMPUTED_VALUE"""),"Roberson")</f>
        <v>Roberson</v>
      </c>
      <c r="E1772" t="str">
        <f>IFERROR(__xludf.DUMMYFUNCTION("""COMPUTED_VALUE"""),"Marcus")</f>
        <v>Marcus</v>
      </c>
      <c r="F1772" t="str">
        <f>IFERROR(__xludf.DUMMYFUNCTION("""COMPUTED_VALUE"""),"CB")</f>
        <v>CB</v>
      </c>
      <c r="G1772">
        <f>IFERROR(__xludf.DUMMYFUNCTION("""COMPUTED_VALUE"""),10.5)</f>
        <v>10.5</v>
      </c>
    </row>
    <row r="1773">
      <c r="D1773" t="str">
        <f>IFERROR(__xludf.DUMMYFUNCTION("""COMPUTED_VALUE"""),"Roberts")</f>
        <v>Roberts</v>
      </c>
      <c r="E1773" t="str">
        <f>IFERROR(__xludf.DUMMYFUNCTION("""COMPUTED_VALUE"""),"Andre")</f>
        <v>Andre</v>
      </c>
      <c r="F1773" t="str">
        <f>IFERROR(__xludf.DUMMYFUNCTION("""COMPUTED_VALUE"""),"WR")</f>
        <v>WR</v>
      </c>
      <c r="G1773">
        <f>IFERROR(__xludf.DUMMYFUNCTION("""COMPUTED_VALUE"""),10.65)</f>
        <v>10.65</v>
      </c>
    </row>
    <row r="1774">
      <c r="D1774" t="str">
        <f>IFERROR(__xludf.DUMMYFUNCTION("""COMPUTED_VALUE"""),"Roberts")</f>
        <v>Roberts</v>
      </c>
      <c r="E1774" t="str">
        <f>IFERROR(__xludf.DUMMYFUNCTION("""COMPUTED_VALUE"""),"Darryl")</f>
        <v>Darryl</v>
      </c>
      <c r="F1774" t="str">
        <f>IFERROR(__xludf.DUMMYFUNCTION("""COMPUTED_VALUE"""),"CB")</f>
        <v>CB</v>
      </c>
      <c r="G1774">
        <f>IFERROR(__xludf.DUMMYFUNCTION("""COMPUTED_VALUE"""),9.6)</f>
        <v>9.6</v>
      </c>
    </row>
    <row r="1775">
      <c r="D1775" t="str">
        <f>IFERROR(__xludf.DUMMYFUNCTION("""COMPUTED_VALUE"""),"Roberts")</f>
        <v>Roberts</v>
      </c>
      <c r="E1775" t="str">
        <f>IFERROR(__xludf.DUMMYFUNCTION("""COMPUTED_VALUE"""),"Elandon")</f>
        <v>Elandon</v>
      </c>
      <c r="F1775" t="str">
        <f>IFERROR(__xludf.DUMMYFUNCTION("""COMPUTED_VALUE"""),"MLB")</f>
        <v>MLB</v>
      </c>
      <c r="G1775">
        <f>IFERROR(__xludf.DUMMYFUNCTION("""COMPUTED_VALUE"""),9.75)</f>
        <v>9.75</v>
      </c>
    </row>
    <row r="1776">
      <c r="D1776" t="str">
        <f>IFERROR(__xludf.DUMMYFUNCTION("""COMPUTED_VALUE"""),"Roberts")</f>
        <v>Roberts</v>
      </c>
      <c r="E1776" t="str">
        <f>IFERROR(__xludf.DUMMYFUNCTION("""COMPUTED_VALUE"""),"Seth")</f>
        <v>Seth</v>
      </c>
      <c r="F1776" t="str">
        <f>IFERROR(__xludf.DUMMYFUNCTION("""COMPUTED_VALUE"""),"WR")</f>
        <v>WR</v>
      </c>
      <c r="G1776">
        <f>IFERROR(__xludf.DUMMYFUNCTION("""COMPUTED_VALUE"""),10.799999999999999)</f>
        <v>10.8</v>
      </c>
    </row>
    <row r="1777">
      <c r="D1777" t="str">
        <f>IFERROR(__xludf.DUMMYFUNCTION("""COMPUTED_VALUE"""),"Robertson")</f>
        <v>Robertson</v>
      </c>
      <c r="E1777" t="str">
        <f>IFERROR(__xludf.DUMMYFUNCTION("""COMPUTED_VALUE"""),"Craig")</f>
        <v>Craig</v>
      </c>
      <c r="F1777" t="str">
        <f>IFERROR(__xludf.DUMMYFUNCTION("""COMPUTED_VALUE"""),"ROLB")</f>
        <v>ROLB</v>
      </c>
      <c r="G1777">
        <f>IFERROR(__xludf.DUMMYFUNCTION("""COMPUTED_VALUE"""),11.7)</f>
        <v>11.7</v>
      </c>
    </row>
    <row r="1778">
      <c r="D1778" t="str">
        <f>IFERROR(__xludf.DUMMYFUNCTION("""COMPUTED_VALUE"""),"Robertson-Harris")</f>
        <v>Robertson-Harris</v>
      </c>
      <c r="E1778" t="str">
        <f>IFERROR(__xludf.DUMMYFUNCTION("""COMPUTED_VALUE"""),"Roy")</f>
        <v>Roy</v>
      </c>
      <c r="F1778" t="str">
        <f>IFERROR(__xludf.DUMMYFUNCTION("""COMPUTED_VALUE"""),"LE")</f>
        <v>LE</v>
      </c>
      <c r="G1778">
        <f>IFERROR(__xludf.DUMMYFUNCTION("""COMPUTED_VALUE"""),9.15)</f>
        <v>9.15</v>
      </c>
    </row>
    <row r="1779">
      <c r="D1779" t="str">
        <f>IFERROR(__xludf.DUMMYFUNCTION("""COMPUTED_VALUE"""),"Robey-Coleman")</f>
        <v>Robey-Coleman</v>
      </c>
      <c r="E1779" t="str">
        <f>IFERROR(__xludf.DUMMYFUNCTION("""COMPUTED_VALUE"""),"Nickell")</f>
        <v>Nickell</v>
      </c>
      <c r="F1779" t="str">
        <f>IFERROR(__xludf.DUMMYFUNCTION("""COMPUTED_VALUE"""),"CB")</f>
        <v>CB</v>
      </c>
      <c r="G1779">
        <f>IFERROR(__xludf.DUMMYFUNCTION("""COMPUTED_VALUE"""),11.1)</f>
        <v>11.1</v>
      </c>
    </row>
    <row r="1780">
      <c r="D1780" t="str">
        <f>IFERROR(__xludf.DUMMYFUNCTION("""COMPUTED_VALUE"""),"Robinson")</f>
        <v>Robinson</v>
      </c>
      <c r="E1780" t="str">
        <f>IFERROR(__xludf.DUMMYFUNCTION("""COMPUTED_VALUE"""),"Aldrick")</f>
        <v>Aldrick</v>
      </c>
      <c r="F1780" t="str">
        <f>IFERROR(__xludf.DUMMYFUNCTION("""COMPUTED_VALUE"""),"WR")</f>
        <v>WR</v>
      </c>
      <c r="G1780">
        <f>IFERROR(__xludf.DUMMYFUNCTION("""COMPUTED_VALUE"""),10.049999999999999)</f>
        <v>10.05</v>
      </c>
    </row>
    <row r="1781">
      <c r="D1781" t="str">
        <f>IFERROR(__xludf.DUMMYFUNCTION("""COMPUTED_VALUE"""),"Robinson")</f>
        <v>Robinson</v>
      </c>
      <c r="E1781" t="str">
        <f>IFERROR(__xludf.DUMMYFUNCTION("""COMPUTED_VALUE"""),"Allen")</f>
        <v>Allen</v>
      </c>
      <c r="F1781" t="str">
        <f>IFERROR(__xludf.DUMMYFUNCTION("""COMPUTED_VALUE"""),"WR")</f>
        <v>WR</v>
      </c>
      <c r="G1781">
        <f>IFERROR(__xludf.DUMMYFUNCTION("""COMPUTED_VALUE"""),13.2)</f>
        <v>13.2</v>
      </c>
    </row>
    <row r="1782">
      <c r="D1782" t="str">
        <f>IFERROR(__xludf.DUMMYFUNCTION("""COMPUTED_VALUE"""),"Robinson")</f>
        <v>Robinson</v>
      </c>
      <c r="E1782" t="str">
        <f>IFERROR(__xludf.DUMMYFUNCTION("""COMPUTED_VALUE"""),"AShawn")</f>
        <v>AShawn</v>
      </c>
      <c r="F1782" t="str">
        <f>IFERROR(__xludf.DUMMYFUNCTION("""COMPUTED_VALUE"""),"DT")</f>
        <v>DT</v>
      </c>
      <c r="G1782">
        <f>IFERROR(__xludf.DUMMYFUNCTION("""COMPUTED_VALUE"""),10.799999999999999)</f>
        <v>10.8</v>
      </c>
    </row>
    <row r="1783">
      <c r="D1783" t="str">
        <f>IFERROR(__xludf.DUMMYFUNCTION("""COMPUTED_VALUE"""),"Robinson")</f>
        <v>Robinson</v>
      </c>
      <c r="E1783" t="str">
        <f>IFERROR(__xludf.DUMMYFUNCTION("""COMPUTED_VALUE"""),"Corey")</f>
        <v>Corey</v>
      </c>
      <c r="F1783" t="str">
        <f>IFERROR(__xludf.DUMMYFUNCTION("""COMPUTED_VALUE"""),"LT")</f>
        <v>LT</v>
      </c>
      <c r="G1783">
        <f>IFERROR(__xludf.DUMMYFUNCTION("""COMPUTED_VALUE"""),10.35)</f>
        <v>10.35</v>
      </c>
    </row>
    <row r="1784">
      <c r="D1784" t="str">
        <f>IFERROR(__xludf.DUMMYFUNCTION("""COMPUTED_VALUE"""),"Robinson")</f>
        <v>Robinson</v>
      </c>
      <c r="E1784" t="str">
        <f>IFERROR(__xludf.DUMMYFUNCTION("""COMPUTED_VALUE"""),"Demarcus")</f>
        <v>Demarcus</v>
      </c>
      <c r="F1784" t="str">
        <f>IFERROR(__xludf.DUMMYFUNCTION("""COMPUTED_VALUE"""),"WR")</f>
        <v>WR</v>
      </c>
      <c r="G1784">
        <f>IFERROR(__xludf.DUMMYFUNCTION("""COMPUTED_VALUE"""),9.75)</f>
        <v>9.75</v>
      </c>
    </row>
    <row r="1785">
      <c r="D1785" t="str">
        <f>IFERROR(__xludf.DUMMYFUNCTION("""COMPUTED_VALUE"""),"Robinson")</f>
        <v>Robinson</v>
      </c>
      <c r="E1785" t="str">
        <f>IFERROR(__xludf.DUMMYFUNCTION("""COMPUTED_VALUE"""),"Denard")</f>
        <v>Denard</v>
      </c>
      <c r="F1785" t="str">
        <f>IFERROR(__xludf.DUMMYFUNCTION("""COMPUTED_VALUE"""),"HB")</f>
        <v>HB</v>
      </c>
      <c r="G1785">
        <f>IFERROR(__xludf.DUMMYFUNCTION("""COMPUTED_VALUE"""),10.95)</f>
        <v>10.95</v>
      </c>
    </row>
    <row r="1786">
      <c r="D1786" t="str">
        <f>IFERROR(__xludf.DUMMYFUNCTION("""COMPUTED_VALUE"""),"Robinson")</f>
        <v>Robinson</v>
      </c>
      <c r="E1786" t="str">
        <f>IFERROR(__xludf.DUMMYFUNCTION("""COMPUTED_VALUE"""),"Edmond")</f>
        <v>Edmond</v>
      </c>
      <c r="F1786" t="str">
        <f>IFERROR(__xludf.DUMMYFUNCTION("""COMPUTED_VALUE"""),"LOLB")</f>
        <v>LOLB</v>
      </c>
      <c r="G1786">
        <f>IFERROR(__xludf.DUMMYFUNCTION("""COMPUTED_VALUE"""),8.4)</f>
        <v>8.4</v>
      </c>
    </row>
    <row r="1787">
      <c r="D1787" t="str">
        <f>IFERROR(__xludf.DUMMYFUNCTION("""COMPUTED_VALUE"""),"Robinson")</f>
        <v>Robinson</v>
      </c>
      <c r="E1787" t="str">
        <f>IFERROR(__xludf.DUMMYFUNCTION("""COMPUTED_VALUE"""),"Greg")</f>
        <v>Greg</v>
      </c>
      <c r="F1787" t="str">
        <f>IFERROR(__xludf.DUMMYFUNCTION("""COMPUTED_VALUE"""),"LT")</f>
        <v>LT</v>
      </c>
      <c r="G1787">
        <f>IFERROR(__xludf.DUMMYFUNCTION("""COMPUTED_VALUE"""),11.549999999999999)</f>
        <v>11.55</v>
      </c>
    </row>
    <row r="1788">
      <c r="D1788" t="str">
        <f>IFERROR(__xludf.DUMMYFUNCTION("""COMPUTED_VALUE"""),"Robinson")</f>
        <v>Robinson</v>
      </c>
      <c r="E1788" t="str">
        <f>IFERROR(__xludf.DUMMYFUNCTION("""COMPUTED_VALUE"""),"Josh")</f>
        <v>Josh</v>
      </c>
      <c r="F1788" t="str">
        <f>IFERROR(__xludf.DUMMYFUNCTION("""COMPUTED_VALUE"""),"CB")</f>
        <v>CB</v>
      </c>
      <c r="G1788">
        <f>IFERROR(__xludf.DUMMYFUNCTION("""COMPUTED_VALUE"""),11.25)</f>
        <v>11.25</v>
      </c>
    </row>
    <row r="1789">
      <c r="D1789" t="str">
        <f>IFERROR(__xludf.DUMMYFUNCTION("""COMPUTED_VALUE"""),"Robinson")</f>
        <v>Robinson</v>
      </c>
      <c r="E1789" t="str">
        <f>IFERROR(__xludf.DUMMYFUNCTION("""COMPUTED_VALUE"""),"Keenan")</f>
        <v>Keenan</v>
      </c>
      <c r="F1789" t="str">
        <f>IFERROR(__xludf.DUMMYFUNCTION("""COMPUTED_VALUE"""),"MLB")</f>
        <v>MLB</v>
      </c>
      <c r="G1789">
        <f>IFERROR(__xludf.DUMMYFUNCTION("""COMPUTED_VALUE"""),11.25)</f>
        <v>11.25</v>
      </c>
    </row>
    <row r="1790">
      <c r="D1790" t="str">
        <f>IFERROR(__xludf.DUMMYFUNCTION("""COMPUTED_VALUE"""),"Robinson")</f>
        <v>Robinson</v>
      </c>
      <c r="E1790" t="str">
        <f>IFERROR(__xludf.DUMMYFUNCTION("""COMPUTED_VALUE"""),"Khiry")</f>
        <v>Khiry</v>
      </c>
      <c r="F1790" t="str">
        <f>IFERROR(__xludf.DUMMYFUNCTION("""COMPUTED_VALUE"""),"HB")</f>
        <v>HB</v>
      </c>
      <c r="G1790">
        <f>IFERROR(__xludf.DUMMYFUNCTION("""COMPUTED_VALUE"""),11.1)</f>
        <v>11.1</v>
      </c>
    </row>
    <row r="1791">
      <c r="D1791" t="str">
        <f>IFERROR(__xludf.DUMMYFUNCTION("""COMPUTED_VALUE"""),"Robinson")</f>
        <v>Robinson</v>
      </c>
      <c r="E1791" t="str">
        <f>IFERROR(__xludf.DUMMYFUNCTION("""COMPUTED_VALUE"""),"Patrick")</f>
        <v>Patrick</v>
      </c>
      <c r="F1791" t="str">
        <f>IFERROR(__xludf.DUMMYFUNCTION("""COMPUTED_VALUE"""),"CB")</f>
        <v>CB</v>
      </c>
      <c r="G1791">
        <f>IFERROR(__xludf.DUMMYFUNCTION("""COMPUTED_VALUE"""),11.7)</f>
        <v>11.7</v>
      </c>
    </row>
    <row r="1792">
      <c r="D1792" t="str">
        <f>IFERROR(__xludf.DUMMYFUNCTION("""COMPUTED_VALUE"""),"Robinson")</f>
        <v>Robinson</v>
      </c>
      <c r="E1792" t="str">
        <f>IFERROR(__xludf.DUMMYFUNCTION("""COMPUTED_VALUE"""),"Rashard")</f>
        <v>Rashard</v>
      </c>
      <c r="F1792" t="str">
        <f>IFERROR(__xludf.DUMMYFUNCTION("""COMPUTED_VALUE"""),"CB")</f>
        <v>CB</v>
      </c>
      <c r="G1792">
        <f>IFERROR(__xludf.DUMMYFUNCTION("""COMPUTED_VALUE"""),9.6)</f>
        <v>9.6</v>
      </c>
    </row>
    <row r="1793">
      <c r="D1793" t="str">
        <f>IFERROR(__xludf.DUMMYFUNCTION("""COMPUTED_VALUE"""),"Robinson")</f>
        <v>Robinson</v>
      </c>
      <c r="E1793" t="str">
        <f>IFERROR(__xludf.DUMMYFUNCTION("""COMPUTED_VALUE"""),"Ryan")</f>
        <v>Ryan</v>
      </c>
      <c r="F1793" t="str">
        <f>IFERROR(__xludf.DUMMYFUNCTION("""COMPUTED_VALUE"""),"LE")</f>
        <v>LE</v>
      </c>
      <c r="G1793">
        <f>IFERROR(__xludf.DUMMYFUNCTION("""COMPUTED_VALUE"""),8.7)</f>
        <v>8.7</v>
      </c>
    </row>
    <row r="1794">
      <c r="D1794" t="str">
        <f>IFERROR(__xludf.DUMMYFUNCTION("""COMPUTED_VALUE"""),"Robinson")</f>
        <v>Robinson</v>
      </c>
      <c r="E1794" t="str">
        <f>IFERROR(__xludf.DUMMYFUNCTION("""COMPUTED_VALUE"""),"Trenton")</f>
        <v>Trenton</v>
      </c>
      <c r="F1794" t="str">
        <f>IFERROR(__xludf.DUMMYFUNCTION("""COMPUTED_VALUE"""),"SS")</f>
        <v>SS</v>
      </c>
      <c r="G1794">
        <f>IFERROR(__xludf.DUMMYFUNCTION("""COMPUTED_VALUE"""),10.2)</f>
        <v>10.2</v>
      </c>
    </row>
    <row r="1795">
      <c r="D1795" t="str">
        <f>IFERROR(__xludf.DUMMYFUNCTION("""COMPUTED_VALUE"""),"Robinson")</f>
        <v>Robinson</v>
      </c>
      <c r="E1795" t="str">
        <f>IFERROR(__xludf.DUMMYFUNCTION("""COMPUTED_VALUE"""),"Trevor")</f>
        <v>Trevor</v>
      </c>
      <c r="F1795" t="str">
        <f>IFERROR(__xludf.DUMMYFUNCTION("""COMPUTED_VALUE"""),"C")</f>
        <v>C</v>
      </c>
      <c r="G1795">
        <f>IFERROR(__xludf.DUMMYFUNCTION("""COMPUTED_VALUE"""),9.75)</f>
        <v>9.75</v>
      </c>
    </row>
    <row r="1796">
      <c r="D1796" t="str">
        <f>IFERROR(__xludf.DUMMYFUNCTION("""COMPUTED_VALUE"""),"Robison")</f>
        <v>Robison</v>
      </c>
      <c r="E1796" t="str">
        <f>IFERROR(__xludf.DUMMYFUNCTION("""COMPUTED_VALUE"""),"Brian")</f>
        <v>Brian</v>
      </c>
      <c r="F1796" t="str">
        <f>IFERROR(__xludf.DUMMYFUNCTION("""COMPUTED_VALUE"""),"LE")</f>
        <v>LE</v>
      </c>
      <c r="G1796">
        <f>IFERROR(__xludf.DUMMYFUNCTION("""COMPUTED_VALUE"""),11.85)</f>
        <v>11.85</v>
      </c>
    </row>
    <row r="1797">
      <c r="D1797" t="str">
        <f>IFERROR(__xludf.DUMMYFUNCTION("""COMPUTED_VALUE"""),"Roby")</f>
        <v>Roby</v>
      </c>
      <c r="E1797" t="str">
        <f>IFERROR(__xludf.DUMMYFUNCTION("""COMPUTED_VALUE"""),"Bradley")</f>
        <v>Bradley</v>
      </c>
      <c r="F1797" t="str">
        <f>IFERROR(__xludf.DUMMYFUNCTION("""COMPUTED_VALUE"""),"CB")</f>
        <v>CB</v>
      </c>
      <c r="G1797">
        <f>IFERROR(__xludf.DUMMYFUNCTION("""COMPUTED_VALUE"""),12.45)</f>
        <v>12.45</v>
      </c>
    </row>
    <row r="1798">
      <c r="D1798" t="str">
        <f>IFERROR(__xludf.DUMMYFUNCTION("""COMPUTED_VALUE"""),"Rodgers")</f>
        <v>Rodgers</v>
      </c>
      <c r="E1798" t="str">
        <f>IFERROR(__xludf.DUMMYFUNCTION("""COMPUTED_VALUE"""),"Aaron")</f>
        <v>Aaron</v>
      </c>
      <c r="F1798" t="str">
        <f>IFERROR(__xludf.DUMMYFUNCTION("""COMPUTED_VALUE"""),"QB")</f>
        <v>QB</v>
      </c>
      <c r="G1798">
        <f>IFERROR(__xludf.DUMMYFUNCTION("""COMPUTED_VALUE"""),14.399999999999999)</f>
        <v>14.4</v>
      </c>
    </row>
    <row r="1799">
      <c r="D1799" t="str">
        <f>IFERROR(__xludf.DUMMYFUNCTION("""COMPUTED_VALUE"""),"Rodgers")</f>
        <v>Rodgers</v>
      </c>
      <c r="E1799" t="str">
        <f>IFERROR(__xludf.DUMMYFUNCTION("""COMPUTED_VALUE"""),"Jacquizz")</f>
        <v>Jacquizz</v>
      </c>
      <c r="F1799" t="str">
        <f>IFERROR(__xludf.DUMMYFUNCTION("""COMPUTED_VALUE"""),"HB")</f>
        <v>HB</v>
      </c>
      <c r="G1799">
        <f>IFERROR(__xludf.DUMMYFUNCTION("""COMPUTED_VALUE"""),11.25)</f>
        <v>11.25</v>
      </c>
    </row>
    <row r="1800">
      <c r="D1800" t="str">
        <f>IFERROR(__xludf.DUMMYFUNCTION("""COMPUTED_VALUE"""),"Rodgers")</f>
        <v>Rodgers</v>
      </c>
      <c r="E1800" t="str">
        <f>IFERROR(__xludf.DUMMYFUNCTION("""COMPUTED_VALUE"""),"Jake")</f>
        <v>Jake</v>
      </c>
      <c r="F1800" t="str">
        <f>IFERROR(__xludf.DUMMYFUNCTION("""COMPUTED_VALUE"""),"LT")</f>
        <v>LT</v>
      </c>
      <c r="G1800">
        <f>IFERROR(__xludf.DUMMYFUNCTION("""COMPUTED_VALUE"""),9.9)</f>
        <v>9.9</v>
      </c>
    </row>
    <row r="1801">
      <c r="D1801" t="str">
        <f>IFERROR(__xludf.DUMMYFUNCTION("""COMPUTED_VALUE"""),"Rodgers")</f>
        <v>Rodgers</v>
      </c>
      <c r="E1801" t="str">
        <f>IFERROR(__xludf.DUMMYFUNCTION("""COMPUTED_VALUE"""),"Richard")</f>
        <v>Richard</v>
      </c>
      <c r="F1801" t="str">
        <f>IFERROR(__xludf.DUMMYFUNCTION("""COMPUTED_VALUE"""),"TE")</f>
        <v>TE</v>
      </c>
      <c r="G1801">
        <f>IFERROR(__xludf.DUMMYFUNCTION("""COMPUTED_VALUE"""),11.85)</f>
        <v>11.85</v>
      </c>
    </row>
    <row r="1802">
      <c r="D1802" t="str">
        <f>IFERROR(__xludf.DUMMYFUNCTION("""COMPUTED_VALUE"""),"Rodgers-Cromartie")</f>
        <v>Rodgers-Cromartie</v>
      </c>
      <c r="E1802" t="str">
        <f>IFERROR(__xludf.DUMMYFUNCTION("""COMPUTED_VALUE"""),"Dominique")</f>
        <v>Dominique</v>
      </c>
      <c r="F1802" t="str">
        <f>IFERROR(__xludf.DUMMYFUNCTION("""COMPUTED_VALUE"""),"CB")</f>
        <v>CB</v>
      </c>
      <c r="G1802">
        <f>IFERROR(__xludf.DUMMYFUNCTION("""COMPUTED_VALUE"""),13.049999999999999)</f>
        <v>13.05</v>
      </c>
    </row>
    <row r="1803">
      <c r="D1803" t="str">
        <f>IFERROR(__xludf.DUMMYFUNCTION("""COMPUTED_VALUE"""),"Roethlisberger")</f>
        <v>Roethlisberger</v>
      </c>
      <c r="E1803" t="str">
        <f>IFERROR(__xludf.DUMMYFUNCTION("""COMPUTED_VALUE"""),"Ben")</f>
        <v>Ben</v>
      </c>
      <c r="F1803" t="str">
        <f>IFERROR(__xludf.DUMMYFUNCTION("""COMPUTED_VALUE"""),"QB")</f>
        <v>QB</v>
      </c>
      <c r="G1803">
        <f>IFERROR(__xludf.DUMMYFUNCTION("""COMPUTED_VALUE"""),13.95)</f>
        <v>13.95</v>
      </c>
    </row>
    <row r="1804">
      <c r="D1804" t="str">
        <f>IFERROR(__xludf.DUMMYFUNCTION("""COMPUTED_VALUE"""),"Rolle")</f>
        <v>Rolle</v>
      </c>
      <c r="E1804" t="str">
        <f>IFERROR(__xludf.DUMMYFUNCTION("""COMPUTED_VALUE"""),"Jumal")</f>
        <v>Jumal</v>
      </c>
      <c r="F1804" t="str">
        <f>IFERROR(__xludf.DUMMYFUNCTION("""COMPUTED_VALUE"""),"CB")</f>
        <v>CB</v>
      </c>
      <c r="G1804">
        <f>IFERROR(__xludf.DUMMYFUNCTION("""COMPUTED_VALUE"""),10.049999999999999)</f>
        <v>10.05</v>
      </c>
    </row>
    <row r="1805">
      <c r="D1805" t="str">
        <f>IFERROR(__xludf.DUMMYFUNCTION("""COMPUTED_VALUE"""),"Rollins")</f>
        <v>Rollins</v>
      </c>
      <c r="E1805" t="str">
        <f>IFERROR(__xludf.DUMMYFUNCTION("""COMPUTED_VALUE"""),"Quinten")</f>
        <v>Quinten</v>
      </c>
      <c r="F1805" t="str">
        <f>IFERROR(__xludf.DUMMYFUNCTION("""COMPUTED_VALUE"""),"CB")</f>
        <v>CB</v>
      </c>
      <c r="G1805">
        <f>IFERROR(__xludf.DUMMYFUNCTION("""COMPUTED_VALUE"""),10.799999999999999)</f>
        <v>10.8</v>
      </c>
    </row>
    <row r="1806">
      <c r="D1806" t="str">
        <f>IFERROR(__xludf.DUMMYFUNCTION("""COMPUTED_VALUE"""),"Romo")</f>
        <v>Romo</v>
      </c>
      <c r="E1806" t="str">
        <f>IFERROR(__xludf.DUMMYFUNCTION("""COMPUTED_VALUE"""),"Tony")</f>
        <v>Tony</v>
      </c>
      <c r="F1806" t="str">
        <f>IFERROR(__xludf.DUMMYFUNCTION("""COMPUTED_VALUE"""),"QB")</f>
        <v>QB</v>
      </c>
      <c r="G1806">
        <f>IFERROR(__xludf.DUMMYFUNCTION("""COMPUTED_VALUE"""),12.9)</f>
        <v>12.9</v>
      </c>
    </row>
    <row r="1807">
      <c r="D1807" t="str">
        <f>IFERROR(__xludf.DUMMYFUNCTION("""COMPUTED_VALUE"""),"Ross")</f>
        <v>Ross</v>
      </c>
      <c r="E1807" t="str">
        <f>IFERROR(__xludf.DUMMYFUNCTION("""COMPUTED_VALUE"""),"Brandian")</f>
        <v>Brandian</v>
      </c>
      <c r="F1807" t="str">
        <f>IFERROR(__xludf.DUMMYFUNCTION("""COMPUTED_VALUE"""),"FS")</f>
        <v>FS</v>
      </c>
      <c r="G1807">
        <f>IFERROR(__xludf.DUMMYFUNCTION("""COMPUTED_VALUE"""),10.799999999999999)</f>
        <v>10.8</v>
      </c>
    </row>
    <row r="1808">
      <c r="D1808" t="str">
        <f>IFERROR(__xludf.DUMMYFUNCTION("""COMPUTED_VALUE"""),"Ross")</f>
        <v>Ross</v>
      </c>
      <c r="E1808" t="str">
        <f>IFERROR(__xludf.DUMMYFUNCTION("""COMPUTED_VALUE"""),"Jeremy")</f>
        <v>Jeremy</v>
      </c>
      <c r="F1808" t="str">
        <f>IFERROR(__xludf.DUMMYFUNCTION("""COMPUTED_VALUE"""),"WR")</f>
        <v>WR</v>
      </c>
      <c r="G1808">
        <f>IFERROR(__xludf.DUMMYFUNCTION("""COMPUTED_VALUE"""),9.9)</f>
        <v>9.9</v>
      </c>
    </row>
    <row r="1809">
      <c r="D1809" t="str">
        <f>IFERROR(__xludf.DUMMYFUNCTION("""COMPUTED_VALUE"""),"Ross")</f>
        <v>Ross</v>
      </c>
      <c r="E1809" t="str">
        <f>IFERROR(__xludf.DUMMYFUNCTION("""COMPUTED_VALUE"""),"Rashad")</f>
        <v>Rashad</v>
      </c>
      <c r="F1809" t="str">
        <f>IFERROR(__xludf.DUMMYFUNCTION("""COMPUTED_VALUE"""),"WR")</f>
        <v>WR</v>
      </c>
      <c r="G1809">
        <f>IFERROR(__xludf.DUMMYFUNCTION("""COMPUTED_VALUE"""),9.45)</f>
        <v>9.45</v>
      </c>
    </row>
    <row r="1810">
      <c r="D1810" t="str">
        <f>IFERROR(__xludf.DUMMYFUNCTION("""COMPUTED_VALUE"""),"Rowe")</f>
        <v>Rowe</v>
      </c>
      <c r="E1810" t="str">
        <f>IFERROR(__xludf.DUMMYFUNCTION("""COMPUTED_VALUE"""),"Eric")</f>
        <v>Eric</v>
      </c>
      <c r="F1810" t="str">
        <f>IFERROR(__xludf.DUMMYFUNCTION("""COMPUTED_VALUE"""),"CB")</f>
        <v>CB</v>
      </c>
      <c r="G1810">
        <f>IFERROR(__xludf.DUMMYFUNCTION("""COMPUTED_VALUE"""),11.1)</f>
        <v>11.1</v>
      </c>
    </row>
    <row r="1811">
      <c r="D1811" t="str">
        <f>IFERROR(__xludf.DUMMYFUNCTION("""COMPUTED_VALUE"""),"Royal")</f>
        <v>Royal</v>
      </c>
      <c r="E1811" t="str">
        <f>IFERROR(__xludf.DUMMYFUNCTION("""COMPUTED_VALUE"""),"Eddie")</f>
        <v>Eddie</v>
      </c>
      <c r="F1811" t="str">
        <f>IFERROR(__xludf.DUMMYFUNCTION("""COMPUTED_VALUE"""),"WR")</f>
        <v>WR</v>
      </c>
      <c r="G1811">
        <f>IFERROR(__xludf.DUMMYFUNCTION("""COMPUTED_VALUE"""),11.549999999999999)</f>
        <v>11.55</v>
      </c>
    </row>
    <row r="1812">
      <c r="D1812" t="str">
        <f>IFERROR(__xludf.DUMMYFUNCTION("""COMPUTED_VALUE"""),"Rubin")</f>
        <v>Rubin</v>
      </c>
      <c r="E1812" t="str">
        <f>IFERROR(__xludf.DUMMYFUNCTION("""COMPUTED_VALUE"""),"Ahtyba")</f>
        <v>Ahtyba</v>
      </c>
      <c r="F1812" t="str">
        <f>IFERROR(__xludf.DUMMYFUNCTION("""COMPUTED_VALUE"""),"DT")</f>
        <v>DT</v>
      </c>
      <c r="G1812">
        <f>IFERROR(__xludf.DUMMYFUNCTION("""COMPUTED_VALUE"""),11.1)</f>
        <v>11.1</v>
      </c>
    </row>
    <row r="1813">
      <c r="D1813" t="str">
        <f>IFERROR(__xludf.DUMMYFUNCTION("""COMPUTED_VALUE"""),"Rucker")</f>
        <v>Rucker</v>
      </c>
      <c r="E1813" t="str">
        <f>IFERROR(__xludf.DUMMYFUNCTION("""COMPUTED_VALUE"""),"Frostee")</f>
        <v>Frostee</v>
      </c>
      <c r="F1813" t="str">
        <f>IFERROR(__xludf.DUMMYFUNCTION("""COMPUTED_VALUE"""),"RE")</f>
        <v>RE</v>
      </c>
      <c r="G1813">
        <f>IFERROR(__xludf.DUMMYFUNCTION("""COMPUTED_VALUE"""),11.4)</f>
        <v>11.4</v>
      </c>
    </row>
    <row r="1814">
      <c r="D1814" t="str">
        <f>IFERROR(__xludf.DUMMYFUNCTION("""COMPUTED_VALUE"""),"Rudock")</f>
        <v>Rudock</v>
      </c>
      <c r="E1814" t="str">
        <f>IFERROR(__xludf.DUMMYFUNCTION("""COMPUTED_VALUE"""),"Jake")</f>
        <v>Jake</v>
      </c>
      <c r="F1814" t="str">
        <f>IFERROR(__xludf.DUMMYFUNCTION("""COMPUTED_VALUE"""),"QB")</f>
        <v>QB</v>
      </c>
      <c r="G1814">
        <f>IFERROR(__xludf.DUMMYFUNCTION("""COMPUTED_VALUE"""),9.6)</f>
        <v>9.6</v>
      </c>
    </row>
    <row r="1815">
      <c r="D1815" t="str">
        <f>IFERROR(__xludf.DUMMYFUNCTION("""COMPUTED_VALUE"""),"Rudolph")</f>
        <v>Rudolph</v>
      </c>
      <c r="E1815" t="str">
        <f>IFERROR(__xludf.DUMMYFUNCTION("""COMPUTED_VALUE"""),"Kyle")</f>
        <v>Kyle</v>
      </c>
      <c r="F1815" t="str">
        <f>IFERROR(__xludf.DUMMYFUNCTION("""COMPUTED_VALUE"""),"TE")</f>
        <v>TE</v>
      </c>
      <c r="G1815">
        <f>IFERROR(__xludf.DUMMYFUNCTION("""COMPUTED_VALUE"""),12.15)</f>
        <v>12.15</v>
      </c>
    </row>
    <row r="1816">
      <c r="D1816" t="str">
        <f>IFERROR(__xludf.DUMMYFUNCTION("""COMPUTED_VALUE"""),"Russell")</f>
        <v>Russell</v>
      </c>
      <c r="E1816" t="str">
        <f>IFERROR(__xludf.DUMMYFUNCTION("""COMPUTED_VALUE"""),"Alonzo")</f>
        <v>Alonzo</v>
      </c>
      <c r="F1816" t="str">
        <f>IFERROR(__xludf.DUMMYFUNCTION("""COMPUTED_VALUE"""),"WR")</f>
        <v>WR</v>
      </c>
      <c r="G1816">
        <f>IFERROR(__xludf.DUMMYFUNCTION("""COMPUTED_VALUE"""),9.299999999999999)</f>
        <v>9.3</v>
      </c>
    </row>
    <row r="1817">
      <c r="D1817" t="str">
        <f>IFERROR(__xludf.DUMMYFUNCTION("""COMPUTED_VALUE"""),"Russell")</f>
        <v>Russell</v>
      </c>
      <c r="E1817" t="str">
        <f>IFERROR(__xludf.DUMMYFUNCTION("""COMPUTED_VALUE"""),"KeiVarae")</f>
        <v>KeiVarae</v>
      </c>
      <c r="F1817" t="str">
        <f>IFERROR(__xludf.DUMMYFUNCTION("""COMPUTED_VALUE"""),"CB")</f>
        <v>CB</v>
      </c>
      <c r="G1817">
        <f>IFERROR(__xludf.DUMMYFUNCTION("""COMPUTED_VALUE"""),10.5)</f>
        <v>10.5</v>
      </c>
    </row>
    <row r="1818">
      <c r="D1818" t="str">
        <f>IFERROR(__xludf.DUMMYFUNCTION("""COMPUTED_VALUE"""),"Russell")</f>
        <v>Russell</v>
      </c>
      <c r="E1818" t="str">
        <f>IFERROR(__xludf.DUMMYFUNCTION("""COMPUTED_VALUE"""),"Ryan")</f>
        <v>Ryan</v>
      </c>
      <c r="F1818" t="str">
        <f>IFERROR(__xludf.DUMMYFUNCTION("""COMPUTED_VALUE"""),"RE")</f>
        <v>RE</v>
      </c>
      <c r="G1818">
        <f>IFERROR(__xludf.DUMMYFUNCTION("""COMPUTED_VALUE"""),9.45)</f>
        <v>9.45</v>
      </c>
    </row>
    <row r="1819">
      <c r="D1819" t="str">
        <f>IFERROR(__xludf.DUMMYFUNCTION("""COMPUTED_VALUE"""),"Ryan")</f>
        <v>Ryan</v>
      </c>
      <c r="E1819" t="str">
        <f>IFERROR(__xludf.DUMMYFUNCTION("""COMPUTED_VALUE"""),"Jake")</f>
        <v>Jake</v>
      </c>
      <c r="F1819" t="str">
        <f>IFERROR(__xludf.DUMMYFUNCTION("""COMPUTED_VALUE"""),"MLB")</f>
        <v>MLB</v>
      </c>
      <c r="G1819">
        <f>IFERROR(__xludf.DUMMYFUNCTION("""COMPUTED_VALUE"""),10.5)</f>
        <v>10.5</v>
      </c>
    </row>
    <row r="1820">
      <c r="D1820" t="str">
        <f>IFERROR(__xludf.DUMMYFUNCTION("""COMPUTED_VALUE"""),"Ryan")</f>
        <v>Ryan</v>
      </c>
      <c r="E1820" t="str">
        <f>IFERROR(__xludf.DUMMYFUNCTION("""COMPUTED_VALUE"""),"Jon")</f>
        <v>Jon</v>
      </c>
      <c r="F1820" t="str">
        <f>IFERROR(__xludf.DUMMYFUNCTION("""COMPUTED_VALUE"""),"P")</f>
        <v>P</v>
      </c>
      <c r="G1820">
        <f>IFERROR(__xludf.DUMMYFUNCTION("""COMPUTED_VALUE"""),12.15)</f>
        <v>12.15</v>
      </c>
    </row>
    <row r="1821">
      <c r="D1821" t="str">
        <f>IFERROR(__xludf.DUMMYFUNCTION("""COMPUTED_VALUE"""),"Ryan")</f>
        <v>Ryan</v>
      </c>
      <c r="E1821" t="str">
        <f>IFERROR(__xludf.DUMMYFUNCTION("""COMPUTED_VALUE"""),"Logan")</f>
        <v>Logan</v>
      </c>
      <c r="F1821" t="str">
        <f>IFERROR(__xludf.DUMMYFUNCTION("""COMPUTED_VALUE"""),"CB")</f>
        <v>CB</v>
      </c>
      <c r="G1821">
        <f>IFERROR(__xludf.DUMMYFUNCTION("""COMPUTED_VALUE"""),12.6)</f>
        <v>12.6</v>
      </c>
    </row>
    <row r="1822">
      <c r="D1822" t="str">
        <f>IFERROR(__xludf.DUMMYFUNCTION("""COMPUTED_VALUE"""),"Ryan")</f>
        <v>Ryan</v>
      </c>
      <c r="E1822" t="str">
        <f>IFERROR(__xludf.DUMMYFUNCTION("""COMPUTED_VALUE"""),"Matt")</f>
        <v>Matt</v>
      </c>
      <c r="F1822" t="str">
        <f>IFERROR(__xludf.DUMMYFUNCTION("""COMPUTED_VALUE"""),"QB")</f>
        <v>QB</v>
      </c>
      <c r="G1822">
        <f>IFERROR(__xludf.DUMMYFUNCTION("""COMPUTED_VALUE"""),12.6)</f>
        <v>12.6</v>
      </c>
    </row>
    <row r="1823">
      <c r="D1823" t="str">
        <f>IFERROR(__xludf.DUMMYFUNCTION("""COMPUTED_VALUE"""),"Saffold III")</f>
        <v>Saffold III</v>
      </c>
      <c r="E1823" t="str">
        <f>IFERROR(__xludf.DUMMYFUNCTION("""COMPUTED_VALUE"""),"Rodger")</f>
        <v>Rodger</v>
      </c>
      <c r="F1823" t="str">
        <f>IFERROR(__xludf.DUMMYFUNCTION("""COMPUTED_VALUE"""),"LG")</f>
        <v>LG</v>
      </c>
      <c r="G1823">
        <f>IFERROR(__xludf.DUMMYFUNCTION("""COMPUTED_VALUE"""),10.95)</f>
        <v>10.95</v>
      </c>
    </row>
    <row r="1824">
      <c r="D1824" t="str">
        <f>IFERROR(__xludf.DUMMYFUNCTION("""COMPUTED_VALUE"""),"Salas")</f>
        <v>Salas</v>
      </c>
      <c r="E1824" t="str">
        <f>IFERROR(__xludf.DUMMYFUNCTION("""COMPUTED_VALUE"""),"Greg")</f>
        <v>Greg</v>
      </c>
      <c r="F1824" t="str">
        <f>IFERROR(__xludf.DUMMYFUNCTION("""COMPUTED_VALUE"""),"WR")</f>
        <v>WR</v>
      </c>
      <c r="G1824">
        <f>IFERROR(__xludf.DUMMYFUNCTION("""COMPUTED_VALUE"""),10.049999999999999)</f>
        <v>10.05</v>
      </c>
    </row>
    <row r="1825">
      <c r="D1825" t="str">
        <f>IFERROR(__xludf.DUMMYFUNCTION("""COMPUTED_VALUE"""),"Sambrailo")</f>
        <v>Sambrailo</v>
      </c>
      <c r="E1825" t="str">
        <f>IFERROR(__xludf.DUMMYFUNCTION("""COMPUTED_VALUE"""),"Ty")</f>
        <v>Ty</v>
      </c>
      <c r="F1825" t="str">
        <f>IFERROR(__xludf.DUMMYFUNCTION("""COMPUTED_VALUE"""),"LT")</f>
        <v>LT</v>
      </c>
      <c r="G1825">
        <f>IFERROR(__xludf.DUMMYFUNCTION("""COMPUTED_VALUE"""),10.5)</f>
        <v>10.5</v>
      </c>
    </row>
    <row r="1826">
      <c r="D1826" t="str">
        <f>IFERROR(__xludf.DUMMYFUNCTION("""COMPUTED_VALUE"""),"Sample")</f>
        <v>Sample</v>
      </c>
      <c r="E1826" t="str">
        <f>IFERROR(__xludf.DUMMYFUNCTION("""COMPUTED_VALUE"""),"James")</f>
        <v>James</v>
      </c>
      <c r="F1826" t="str">
        <f>IFERROR(__xludf.DUMMYFUNCTION("""COMPUTED_VALUE"""),"SS")</f>
        <v>SS</v>
      </c>
      <c r="G1826">
        <f>IFERROR(__xludf.DUMMYFUNCTION("""COMPUTED_VALUE"""),10.35)</f>
        <v>10.35</v>
      </c>
    </row>
    <row r="1827">
      <c r="D1827" t="str">
        <f>IFERROR(__xludf.DUMMYFUNCTION("""COMPUTED_VALUE"""),"Sanborn")</f>
        <v>Sanborn</v>
      </c>
      <c r="E1827" t="str">
        <f>IFERROR(__xludf.DUMMYFUNCTION("""COMPUTED_VALUE"""),"Garrison")</f>
        <v>Garrison</v>
      </c>
      <c r="F1827" t="str">
        <f>IFERROR(__xludf.DUMMYFUNCTION("""COMPUTED_VALUE"""),"C")</f>
        <v>C</v>
      </c>
      <c r="G1827">
        <f>IFERROR(__xludf.DUMMYFUNCTION("""COMPUTED_VALUE"""),8.1)</f>
        <v>8.1</v>
      </c>
    </row>
    <row r="1828">
      <c r="D1828" t="str">
        <f>IFERROR(__xludf.DUMMYFUNCTION("""COMPUTED_VALUE"""),"Sanchez")</f>
        <v>Sanchez</v>
      </c>
      <c r="E1828" t="str">
        <f>IFERROR(__xludf.DUMMYFUNCTION("""COMPUTED_VALUE"""),"Mark")</f>
        <v>Mark</v>
      </c>
      <c r="F1828" t="str">
        <f>IFERROR(__xludf.DUMMYFUNCTION("""COMPUTED_VALUE"""),"QB")</f>
        <v>QB</v>
      </c>
      <c r="G1828">
        <f>IFERROR(__xludf.DUMMYFUNCTION("""COMPUTED_VALUE"""),10.799999999999999)</f>
        <v>10.8</v>
      </c>
    </row>
    <row r="1829">
      <c r="D1829" t="str">
        <f>IFERROR(__xludf.DUMMYFUNCTION("""COMPUTED_VALUE"""),"Sanchez")</f>
        <v>Sanchez</v>
      </c>
      <c r="E1829" t="str">
        <f>IFERROR(__xludf.DUMMYFUNCTION("""COMPUTED_VALUE"""),"Zack")</f>
        <v>Zack</v>
      </c>
      <c r="F1829" t="str">
        <f>IFERROR(__xludf.DUMMYFUNCTION("""COMPUTED_VALUE"""),"CB")</f>
        <v>CB</v>
      </c>
      <c r="G1829">
        <f>IFERROR(__xludf.DUMMYFUNCTION("""COMPUTED_VALUE"""),9.6)</f>
        <v>9.6</v>
      </c>
    </row>
    <row r="1830">
      <c r="D1830" t="str">
        <f>IFERROR(__xludf.DUMMYFUNCTION("""COMPUTED_VALUE"""),"Sanders")</f>
        <v>Sanders</v>
      </c>
      <c r="E1830" t="str">
        <f>IFERROR(__xludf.DUMMYFUNCTION("""COMPUTED_VALUE"""),"Emmanuel")</f>
        <v>Emmanuel</v>
      </c>
      <c r="F1830" t="str">
        <f>IFERROR(__xludf.DUMMYFUNCTION("""COMPUTED_VALUE"""),"WR")</f>
        <v>WR</v>
      </c>
      <c r="G1830">
        <f>IFERROR(__xludf.DUMMYFUNCTION("""COMPUTED_VALUE"""),13.2)</f>
        <v>13.2</v>
      </c>
    </row>
    <row r="1831">
      <c r="D1831" t="str">
        <f>IFERROR(__xludf.DUMMYFUNCTION("""COMPUTED_VALUE"""),"Sandland")</f>
        <v>Sandland</v>
      </c>
      <c r="E1831" t="str">
        <f>IFERROR(__xludf.DUMMYFUNCTION("""COMPUTED_VALUE"""),"Beau")</f>
        <v>Beau</v>
      </c>
      <c r="F1831" t="str">
        <f>IFERROR(__xludf.DUMMYFUNCTION("""COMPUTED_VALUE"""),"TE")</f>
        <v>TE</v>
      </c>
      <c r="G1831">
        <f>IFERROR(__xludf.DUMMYFUNCTION("""COMPUTED_VALUE"""),9.75)</f>
        <v>9.75</v>
      </c>
    </row>
    <row r="1832">
      <c r="D1832" t="str">
        <f>IFERROR(__xludf.DUMMYFUNCTION("""COMPUTED_VALUE"""),"Sanford")</f>
        <v>Sanford</v>
      </c>
      <c r="E1832" t="str">
        <f>IFERROR(__xludf.DUMMYFUNCTION("""COMPUTED_VALUE"""),"Jamarca")</f>
        <v>Jamarca</v>
      </c>
      <c r="F1832" t="str">
        <f>IFERROR(__xludf.DUMMYFUNCTION("""COMPUTED_VALUE"""),"SS")</f>
        <v>SS</v>
      </c>
      <c r="G1832">
        <f>IFERROR(__xludf.DUMMYFUNCTION("""COMPUTED_VALUE"""),10.95)</f>
        <v>10.95</v>
      </c>
    </row>
    <row r="1833">
      <c r="D1833" t="str">
        <f>IFERROR(__xludf.DUMMYFUNCTION("""COMPUTED_VALUE"""),"Sankey")</f>
        <v>Sankey</v>
      </c>
      <c r="E1833" t="str">
        <f>IFERROR(__xludf.DUMMYFUNCTION("""COMPUTED_VALUE"""),"Bishop")</f>
        <v>Bishop</v>
      </c>
      <c r="F1833" t="str">
        <f>IFERROR(__xludf.DUMMYFUNCTION("""COMPUTED_VALUE"""),"HB")</f>
        <v>HB</v>
      </c>
      <c r="G1833">
        <f>IFERROR(__xludf.DUMMYFUNCTION("""COMPUTED_VALUE"""),10.95)</f>
        <v>10.95</v>
      </c>
    </row>
    <row r="1834">
      <c r="D1834" t="str">
        <f>IFERROR(__xludf.DUMMYFUNCTION("""COMPUTED_VALUE"""),"Santos")</f>
        <v>Santos</v>
      </c>
      <c r="E1834" t="str">
        <f>IFERROR(__xludf.DUMMYFUNCTION("""COMPUTED_VALUE"""),"Cairo")</f>
        <v>Cairo</v>
      </c>
      <c r="F1834" t="str">
        <f>IFERROR(__xludf.DUMMYFUNCTION("""COMPUTED_VALUE"""),"K")</f>
        <v>K</v>
      </c>
      <c r="G1834">
        <f>IFERROR(__xludf.DUMMYFUNCTION("""COMPUTED_VALUE"""),11.4)</f>
        <v>11.4</v>
      </c>
    </row>
    <row r="1835">
      <c r="D1835" t="str">
        <f>IFERROR(__xludf.DUMMYFUNCTION("""COMPUTED_VALUE"""),"Sanu Sr.")</f>
        <v>Sanu Sr.</v>
      </c>
      <c r="E1835" t="str">
        <f>IFERROR(__xludf.DUMMYFUNCTION("""COMPUTED_VALUE"""),"Mohamed")</f>
        <v>Mohamed</v>
      </c>
      <c r="F1835" t="str">
        <f>IFERROR(__xludf.DUMMYFUNCTION("""COMPUTED_VALUE"""),"WR")</f>
        <v>WR</v>
      </c>
      <c r="G1835">
        <f>IFERROR(__xludf.DUMMYFUNCTION("""COMPUTED_VALUE"""),11.549999999999999)</f>
        <v>11.55</v>
      </c>
    </row>
    <row r="1836">
      <c r="D1836" t="str">
        <f>IFERROR(__xludf.DUMMYFUNCTION("""COMPUTED_VALUE"""),"Savage")</f>
        <v>Savage</v>
      </c>
      <c r="E1836" t="str">
        <f>IFERROR(__xludf.DUMMYFUNCTION("""COMPUTED_VALUE"""),"Tom")</f>
        <v>Tom</v>
      </c>
      <c r="F1836" t="str">
        <f>IFERROR(__xludf.DUMMYFUNCTION("""COMPUTED_VALUE"""),"QB")</f>
        <v>QB</v>
      </c>
      <c r="G1836">
        <f>IFERROR(__xludf.DUMMYFUNCTION("""COMPUTED_VALUE"""),9.75)</f>
        <v>9.75</v>
      </c>
    </row>
    <row r="1837">
      <c r="D1837" t="str">
        <f>IFERROR(__xludf.DUMMYFUNCTION("""COMPUTED_VALUE"""),"Saxton")</f>
        <v>Saxton</v>
      </c>
      <c r="E1837" t="str">
        <f>IFERROR(__xludf.DUMMYFUNCTION("""COMPUTED_VALUE"""),"Wes")</f>
        <v>Wes</v>
      </c>
      <c r="F1837" t="str">
        <f>IFERROR(__xludf.DUMMYFUNCTION("""COMPUTED_VALUE"""),"TE")</f>
        <v>TE</v>
      </c>
      <c r="G1837">
        <f>IFERROR(__xludf.DUMMYFUNCTION("""COMPUTED_VALUE"""),9.299999999999999)</f>
        <v>9.3</v>
      </c>
    </row>
    <row r="1838">
      <c r="D1838" t="str">
        <f>IFERROR(__xludf.DUMMYFUNCTION("""COMPUTED_VALUE"""),"Scales")</f>
        <v>Scales</v>
      </c>
      <c r="E1838" t="str">
        <f>IFERROR(__xludf.DUMMYFUNCTION("""COMPUTED_VALUE"""),"Patrick")</f>
        <v>Patrick</v>
      </c>
      <c r="F1838" t="str">
        <f>IFERROR(__xludf.DUMMYFUNCTION("""COMPUTED_VALUE"""),"TE")</f>
        <v>TE</v>
      </c>
      <c r="G1838">
        <f>IFERROR(__xludf.DUMMYFUNCTION("""COMPUTED_VALUE"""),6.0)</f>
        <v>6</v>
      </c>
    </row>
    <row r="1839">
      <c r="D1839" t="str">
        <f>IFERROR(__xludf.DUMMYFUNCTION("""COMPUTED_VALUE"""),"Scandrick")</f>
        <v>Scandrick</v>
      </c>
      <c r="E1839" t="str">
        <f>IFERROR(__xludf.DUMMYFUNCTION("""COMPUTED_VALUE"""),"Orlando")</f>
        <v>Orlando</v>
      </c>
      <c r="F1839" t="str">
        <f>IFERROR(__xludf.DUMMYFUNCTION("""COMPUTED_VALUE"""),"CB")</f>
        <v>CB</v>
      </c>
      <c r="G1839">
        <f>IFERROR(__xludf.DUMMYFUNCTION("""COMPUTED_VALUE"""),13.049999999999999)</f>
        <v>13.05</v>
      </c>
    </row>
    <row r="1840">
      <c r="D1840" t="str">
        <f>IFERROR(__xludf.DUMMYFUNCTION("""COMPUTED_VALUE"""),"Schaub")</f>
        <v>Schaub</v>
      </c>
      <c r="E1840" t="str">
        <f>IFERROR(__xludf.DUMMYFUNCTION("""COMPUTED_VALUE"""),"Matt")</f>
        <v>Matt</v>
      </c>
      <c r="F1840" t="str">
        <f>IFERROR(__xludf.DUMMYFUNCTION("""COMPUTED_VALUE"""),"QB")</f>
        <v>QB</v>
      </c>
      <c r="G1840">
        <f>IFERROR(__xludf.DUMMYFUNCTION("""COMPUTED_VALUE"""),10.5)</f>
        <v>10.5</v>
      </c>
    </row>
    <row r="1841">
      <c r="D1841" t="str">
        <f>IFERROR(__xludf.DUMMYFUNCTION("""COMPUTED_VALUE"""),"Scherff")</f>
        <v>Scherff</v>
      </c>
      <c r="E1841" t="str">
        <f>IFERROR(__xludf.DUMMYFUNCTION("""COMPUTED_VALUE"""),"Brandon")</f>
        <v>Brandon</v>
      </c>
      <c r="F1841" t="str">
        <f>IFERROR(__xludf.DUMMYFUNCTION("""COMPUTED_VALUE"""),"RG")</f>
        <v>RG</v>
      </c>
      <c r="G1841">
        <f>IFERROR(__xludf.DUMMYFUNCTION("""COMPUTED_VALUE"""),11.7)</f>
        <v>11.7</v>
      </c>
    </row>
    <row r="1842">
      <c r="D1842" t="str">
        <f>IFERROR(__xludf.DUMMYFUNCTION("""COMPUTED_VALUE"""),"Schmidt")</f>
        <v>Schmidt</v>
      </c>
      <c r="E1842" t="str">
        <f>IFERROR(__xludf.DUMMYFUNCTION("""COMPUTED_VALUE"""),"Colton")</f>
        <v>Colton</v>
      </c>
      <c r="F1842" t="str">
        <f>IFERROR(__xludf.DUMMYFUNCTION("""COMPUTED_VALUE"""),"P")</f>
        <v>P</v>
      </c>
      <c r="G1842">
        <f>IFERROR(__xludf.DUMMYFUNCTION("""COMPUTED_VALUE"""),11.549999999999999)</f>
        <v>11.55</v>
      </c>
    </row>
    <row r="1843">
      <c r="D1843" t="str">
        <f>IFERROR(__xludf.DUMMYFUNCTION("""COMPUTED_VALUE"""),"Schobert")</f>
        <v>Schobert</v>
      </c>
      <c r="E1843" t="str">
        <f>IFERROR(__xludf.DUMMYFUNCTION("""COMPUTED_VALUE"""),"Joe")</f>
        <v>Joe</v>
      </c>
      <c r="F1843" t="str">
        <f>IFERROR(__xludf.DUMMYFUNCTION("""COMPUTED_VALUE"""),"ROLB")</f>
        <v>ROLB</v>
      </c>
      <c r="G1843">
        <f>IFERROR(__xludf.DUMMYFUNCTION("""COMPUTED_VALUE"""),9.75)</f>
        <v>9.75</v>
      </c>
    </row>
    <row r="1844">
      <c r="D1844" t="str">
        <f>IFERROR(__xludf.DUMMYFUNCTION("""COMPUTED_VALUE"""),"Schofield")</f>
        <v>Schofield</v>
      </c>
      <c r="E1844" t="str">
        <f>IFERROR(__xludf.DUMMYFUNCTION("""COMPUTED_VALUE"""),"Michael")</f>
        <v>Michael</v>
      </c>
      <c r="F1844" t="str">
        <f>IFERROR(__xludf.DUMMYFUNCTION("""COMPUTED_VALUE"""),"RT")</f>
        <v>RT</v>
      </c>
      <c r="G1844">
        <f>IFERROR(__xludf.DUMMYFUNCTION("""COMPUTED_VALUE"""),10.2)</f>
        <v>10.2</v>
      </c>
    </row>
    <row r="1845">
      <c r="D1845" t="str">
        <f>IFERROR(__xludf.DUMMYFUNCTION("""COMPUTED_VALUE"""),"Schooley")</f>
        <v>Schooley</v>
      </c>
      <c r="E1845" t="str">
        <f>IFERROR(__xludf.DUMMYFUNCTION("""COMPUTED_VALUE"""),"Quinton")</f>
        <v>Quinton</v>
      </c>
      <c r="F1845" t="str">
        <f>IFERROR(__xludf.DUMMYFUNCTION("""COMPUTED_VALUE"""),"C")</f>
        <v>C</v>
      </c>
      <c r="G1845">
        <f>IFERROR(__xludf.DUMMYFUNCTION("""COMPUTED_VALUE"""),8.85)</f>
        <v>8.85</v>
      </c>
    </row>
    <row r="1846">
      <c r="D1846" t="str">
        <f>IFERROR(__xludf.DUMMYFUNCTION("""COMPUTED_VALUE"""),"Schraeder")</f>
        <v>Schraeder</v>
      </c>
      <c r="E1846" t="str">
        <f>IFERROR(__xludf.DUMMYFUNCTION("""COMPUTED_VALUE"""),"Ryan")</f>
        <v>Ryan</v>
      </c>
      <c r="F1846" t="str">
        <f>IFERROR(__xludf.DUMMYFUNCTION("""COMPUTED_VALUE"""),"RT")</f>
        <v>RT</v>
      </c>
      <c r="G1846">
        <f>IFERROR(__xludf.DUMMYFUNCTION("""COMPUTED_VALUE"""),12.75)</f>
        <v>12.75</v>
      </c>
    </row>
    <row r="1847">
      <c r="D1847" t="str">
        <f>IFERROR(__xludf.DUMMYFUNCTION("""COMPUTED_VALUE"""),"Schum")</f>
        <v>Schum</v>
      </c>
      <c r="E1847" t="str">
        <f>IFERROR(__xludf.DUMMYFUNCTION("""COMPUTED_VALUE"""),"Jacob")</f>
        <v>Jacob</v>
      </c>
      <c r="F1847" t="str">
        <f>IFERROR(__xludf.DUMMYFUNCTION("""COMPUTED_VALUE"""),"P")</f>
        <v>P</v>
      </c>
      <c r="G1847">
        <f>IFERROR(__xludf.DUMMYFUNCTION("""COMPUTED_VALUE"""),11.7)</f>
        <v>11.7</v>
      </c>
    </row>
    <row r="1848">
      <c r="D1848" t="str">
        <f>IFERROR(__xludf.DUMMYFUNCTION("""COMPUTED_VALUE"""),"Schwartz")</f>
        <v>Schwartz</v>
      </c>
      <c r="E1848" t="str">
        <f>IFERROR(__xludf.DUMMYFUNCTION("""COMPUTED_VALUE"""),"Geoff")</f>
        <v>Geoff</v>
      </c>
      <c r="F1848" t="str">
        <f>IFERROR(__xludf.DUMMYFUNCTION("""COMPUTED_VALUE"""),"RG")</f>
        <v>RG</v>
      </c>
      <c r="G1848">
        <f>IFERROR(__xludf.DUMMYFUNCTION("""COMPUTED_VALUE"""),12.15)</f>
        <v>12.15</v>
      </c>
    </row>
    <row r="1849">
      <c r="D1849" t="str">
        <f>IFERROR(__xludf.DUMMYFUNCTION("""COMPUTED_VALUE"""),"Schwartz")</f>
        <v>Schwartz</v>
      </c>
      <c r="E1849" t="str">
        <f>IFERROR(__xludf.DUMMYFUNCTION("""COMPUTED_VALUE"""),"Mitchell")</f>
        <v>Mitchell</v>
      </c>
      <c r="F1849" t="str">
        <f>IFERROR(__xludf.DUMMYFUNCTION("""COMPUTED_VALUE"""),"RT")</f>
        <v>RT</v>
      </c>
      <c r="G1849">
        <f>IFERROR(__xludf.DUMMYFUNCTION("""COMPUTED_VALUE"""),12.9)</f>
        <v>12.9</v>
      </c>
    </row>
    <row r="1850">
      <c r="D1850" t="str">
        <f>IFERROR(__xludf.DUMMYFUNCTION("""COMPUTED_VALUE"""),"Schweitzer")</f>
        <v>Schweitzer</v>
      </c>
      <c r="E1850" t="str">
        <f>IFERROR(__xludf.DUMMYFUNCTION("""COMPUTED_VALUE"""),"Wes")</f>
        <v>Wes</v>
      </c>
      <c r="F1850" t="str">
        <f>IFERROR(__xludf.DUMMYFUNCTION("""COMPUTED_VALUE"""),"LG")</f>
        <v>LG</v>
      </c>
      <c r="G1850">
        <f>IFERROR(__xludf.DUMMYFUNCTION("""COMPUTED_VALUE"""),9.6)</f>
        <v>9.6</v>
      </c>
    </row>
    <row r="1851">
      <c r="D1851" t="str">
        <f>IFERROR(__xludf.DUMMYFUNCTION("""COMPUTED_VALUE"""),"Schwenke")</f>
        <v>Schwenke</v>
      </c>
      <c r="E1851" t="str">
        <f>IFERROR(__xludf.DUMMYFUNCTION("""COMPUTED_VALUE"""),"Brian")</f>
        <v>Brian</v>
      </c>
      <c r="F1851" t="str">
        <f>IFERROR(__xludf.DUMMYFUNCTION("""COMPUTED_VALUE"""),"C")</f>
        <v>C</v>
      </c>
      <c r="G1851">
        <f>IFERROR(__xludf.DUMMYFUNCTION("""COMPUTED_VALUE"""),10.65)</f>
        <v>10.65</v>
      </c>
    </row>
    <row r="1852">
      <c r="D1852" t="str">
        <f>IFERROR(__xludf.DUMMYFUNCTION("""COMPUTED_VALUE"""),"Scifres")</f>
        <v>Scifres</v>
      </c>
      <c r="E1852" t="str">
        <f>IFERROR(__xludf.DUMMYFUNCTION("""COMPUTED_VALUE"""),"Mike")</f>
        <v>Mike</v>
      </c>
      <c r="F1852" t="str">
        <f>IFERROR(__xludf.DUMMYFUNCTION("""COMPUTED_VALUE"""),"P")</f>
        <v>P</v>
      </c>
      <c r="G1852">
        <f>IFERROR(__xludf.DUMMYFUNCTION("""COMPUTED_VALUE"""),11.549999999999999)</f>
        <v>11.55</v>
      </c>
    </row>
    <row r="1853">
      <c r="D1853" t="str">
        <f>IFERROR(__xludf.DUMMYFUNCTION("""COMPUTED_VALUE"""),"Scott")</f>
        <v>Scott</v>
      </c>
      <c r="E1853" t="str">
        <f>IFERROR(__xludf.DUMMYFUNCTION("""COMPUTED_VALUE"""),"Chris")</f>
        <v>Chris</v>
      </c>
      <c r="F1853" t="str">
        <f>IFERROR(__xludf.DUMMYFUNCTION("""COMPUTED_VALUE"""),"RG")</f>
        <v>RG</v>
      </c>
      <c r="G1853">
        <f>IFERROR(__xludf.DUMMYFUNCTION("""COMPUTED_VALUE"""),10.5)</f>
        <v>10.5</v>
      </c>
    </row>
    <row r="1854">
      <c r="D1854" t="str">
        <f>IFERROR(__xludf.DUMMYFUNCTION("""COMPUTED_VALUE"""),"Scott")</f>
        <v>Scott</v>
      </c>
      <c r="E1854" t="str">
        <f>IFERROR(__xludf.DUMMYFUNCTION("""COMPUTED_VALUE"""),"Larry")</f>
        <v>Larry</v>
      </c>
      <c r="F1854" t="str">
        <f>IFERROR(__xludf.DUMMYFUNCTION("""COMPUTED_VALUE"""),"CB")</f>
        <v>CB</v>
      </c>
      <c r="G1854">
        <f>IFERROR(__xludf.DUMMYFUNCTION("""COMPUTED_VALUE"""),8.85)</f>
        <v>8.85</v>
      </c>
    </row>
    <row r="1855">
      <c r="D1855" t="str">
        <f>IFERROR(__xludf.DUMMYFUNCTION("""COMPUTED_VALUE"""),"Scruggs")</f>
        <v>Scruggs</v>
      </c>
      <c r="E1855" t="str">
        <f>IFERROR(__xludf.DUMMYFUNCTION("""COMPUTED_VALUE"""),"Greg")</f>
        <v>Greg</v>
      </c>
      <c r="F1855" t="str">
        <f>IFERROR(__xludf.DUMMYFUNCTION("""COMPUTED_VALUE"""),"TE")</f>
        <v>TE</v>
      </c>
      <c r="G1855">
        <f>IFERROR(__xludf.DUMMYFUNCTION("""COMPUTED_VALUE"""),9.0)</f>
        <v>9</v>
      </c>
    </row>
    <row r="1856">
      <c r="D1856" t="str">
        <f>IFERROR(__xludf.DUMMYFUNCTION("""COMPUTED_VALUE"""),"Seamster")</f>
        <v>Seamster</v>
      </c>
      <c r="E1856" t="str">
        <f>IFERROR(__xludf.DUMMYFUNCTION("""COMPUTED_VALUE"""),"Sammy")</f>
        <v>Sammy</v>
      </c>
      <c r="F1856" t="str">
        <f>IFERROR(__xludf.DUMMYFUNCTION("""COMPUTED_VALUE"""),"CB")</f>
        <v>CB</v>
      </c>
      <c r="G1856">
        <f>IFERROR(__xludf.DUMMYFUNCTION("""COMPUTED_VALUE"""),9.75)</f>
        <v>9.75</v>
      </c>
    </row>
    <row r="1857">
      <c r="D1857" t="str">
        <f>IFERROR(__xludf.DUMMYFUNCTION("""COMPUTED_VALUE"""),"Searcy")</f>
        <v>Searcy</v>
      </c>
      <c r="E1857" t="str">
        <f>IFERROR(__xludf.DUMMYFUNCTION("""COMPUTED_VALUE"""),"DaNorris")</f>
        <v>DaNorris</v>
      </c>
      <c r="F1857" t="str">
        <f>IFERROR(__xludf.DUMMYFUNCTION("""COMPUTED_VALUE"""),"SS")</f>
        <v>SS</v>
      </c>
      <c r="G1857">
        <f>IFERROR(__xludf.DUMMYFUNCTION("""COMPUTED_VALUE"""),12.75)</f>
        <v>12.75</v>
      </c>
    </row>
    <row r="1858">
      <c r="D1858" t="str">
        <f>IFERROR(__xludf.DUMMYFUNCTION("""COMPUTED_VALUE"""),"Seau")</f>
        <v>Seau</v>
      </c>
      <c r="E1858" t="str">
        <f>IFERROR(__xludf.DUMMYFUNCTION("""COMPUTED_VALUE"""),"Ian")</f>
        <v>Ian</v>
      </c>
      <c r="F1858" t="str">
        <f>IFERROR(__xludf.DUMMYFUNCTION("""COMPUTED_VALUE"""),"ROLB")</f>
        <v>ROLB</v>
      </c>
      <c r="G1858">
        <f>IFERROR(__xludf.DUMMYFUNCTION("""COMPUTED_VALUE"""),8.85)</f>
        <v>8.85</v>
      </c>
    </row>
    <row r="1859">
      <c r="D1859" t="str">
        <f>IFERROR(__xludf.DUMMYFUNCTION("""COMPUTED_VALUE"""),"Seferian-Jenkins")</f>
        <v>Seferian-Jenkins</v>
      </c>
      <c r="E1859" t="str">
        <f>IFERROR(__xludf.DUMMYFUNCTION("""COMPUTED_VALUE"""),"Austin")</f>
        <v>Austin</v>
      </c>
      <c r="F1859" t="str">
        <f>IFERROR(__xludf.DUMMYFUNCTION("""COMPUTED_VALUE"""),"TE")</f>
        <v>TE</v>
      </c>
      <c r="G1859">
        <f>IFERROR(__xludf.DUMMYFUNCTION("""COMPUTED_VALUE"""),11.7)</f>
        <v>11.7</v>
      </c>
    </row>
    <row r="1860">
      <c r="D1860" t="str">
        <f>IFERROR(__xludf.DUMMYFUNCTION("""COMPUTED_VALUE"""),"Sendejo")</f>
        <v>Sendejo</v>
      </c>
      <c r="E1860" t="str">
        <f>IFERROR(__xludf.DUMMYFUNCTION("""COMPUTED_VALUE"""),"Andrew")</f>
        <v>Andrew</v>
      </c>
      <c r="F1860" t="str">
        <f>IFERROR(__xludf.DUMMYFUNCTION("""COMPUTED_VALUE"""),"SS")</f>
        <v>SS</v>
      </c>
      <c r="G1860">
        <f>IFERROR(__xludf.DUMMYFUNCTION("""COMPUTED_VALUE"""),11.7)</f>
        <v>11.7</v>
      </c>
    </row>
    <row r="1861">
      <c r="D1861" t="str">
        <f>IFERROR(__xludf.DUMMYFUNCTION("""COMPUTED_VALUE"""),"Sensabaugh")</f>
        <v>Sensabaugh</v>
      </c>
      <c r="E1861" t="str">
        <f>IFERROR(__xludf.DUMMYFUNCTION("""COMPUTED_VALUE"""),"Coty")</f>
        <v>Coty</v>
      </c>
      <c r="F1861" t="str">
        <f>IFERROR(__xludf.DUMMYFUNCTION("""COMPUTED_VALUE"""),"CB")</f>
        <v>CB</v>
      </c>
      <c r="G1861">
        <f>IFERROR(__xludf.DUMMYFUNCTION("""COMPUTED_VALUE"""),10.65)</f>
        <v>10.65</v>
      </c>
    </row>
    <row r="1862">
      <c r="D1862" t="str">
        <f>IFERROR(__xludf.DUMMYFUNCTION("""COMPUTED_VALUE"""),"Seumalo")</f>
        <v>Seumalo</v>
      </c>
      <c r="E1862" t="str">
        <f>IFERROR(__xludf.DUMMYFUNCTION("""COMPUTED_VALUE"""),"Isaac")</f>
        <v>Isaac</v>
      </c>
      <c r="F1862" t="str">
        <f>IFERROR(__xludf.DUMMYFUNCTION("""COMPUTED_VALUE"""),"LG")</f>
        <v>LG</v>
      </c>
      <c r="G1862">
        <f>IFERROR(__xludf.DUMMYFUNCTION("""COMPUTED_VALUE"""),10.35)</f>
        <v>10.35</v>
      </c>
    </row>
    <row r="1863">
      <c r="D1863" t="str">
        <f>IFERROR(__xludf.DUMMYFUNCTION("""COMPUTED_VALUE"""),"Severin")</f>
        <v>Severin</v>
      </c>
      <c r="E1863" t="str">
        <f>IFERROR(__xludf.DUMMYFUNCTION("""COMPUTED_VALUE"""),"Canaan")</f>
        <v>Canaan</v>
      </c>
      <c r="F1863" t="str">
        <f>IFERROR(__xludf.DUMMYFUNCTION("""COMPUTED_VALUE"""),"WR")</f>
        <v>WR</v>
      </c>
      <c r="G1863">
        <f>IFERROR(__xludf.DUMMYFUNCTION("""COMPUTED_VALUE"""),9.299999999999999)</f>
        <v>9.3</v>
      </c>
    </row>
    <row r="1864">
      <c r="D1864" t="str">
        <f>IFERROR(__xludf.DUMMYFUNCTION("""COMPUTED_VALUE"""),"Seymour")</f>
        <v>Seymour</v>
      </c>
      <c r="E1864" t="str">
        <f>IFERROR(__xludf.DUMMYFUNCTION("""COMPUTED_VALUE"""),"Kevon")</f>
        <v>Kevon</v>
      </c>
      <c r="F1864" t="str">
        <f>IFERROR(__xludf.DUMMYFUNCTION("""COMPUTED_VALUE"""),"CB")</f>
        <v>CB</v>
      </c>
      <c r="G1864">
        <f>IFERROR(__xludf.DUMMYFUNCTION("""COMPUTED_VALUE"""),9.45)</f>
        <v>9.45</v>
      </c>
    </row>
    <row r="1865">
      <c r="D1865" t="str">
        <f>IFERROR(__xludf.DUMMYFUNCTION("""COMPUTED_VALUE"""),"Seymour")</f>
        <v>Seymour</v>
      </c>
      <c r="E1865" t="str">
        <f>IFERROR(__xludf.DUMMYFUNCTION("""COMPUTED_VALUE"""),"Ryan")</f>
        <v>Ryan</v>
      </c>
      <c r="F1865" t="str">
        <f>IFERROR(__xludf.DUMMYFUNCTION("""COMPUTED_VALUE"""),"LG")</f>
        <v>LG</v>
      </c>
      <c r="G1865">
        <f>IFERROR(__xludf.DUMMYFUNCTION("""COMPUTED_VALUE"""),10.2)</f>
        <v>10.2</v>
      </c>
    </row>
    <row r="1866">
      <c r="D1866" t="str">
        <f>IFERROR(__xludf.DUMMYFUNCTION("""COMPUTED_VALUE"""),"Sharp")</f>
        <v>Sharp</v>
      </c>
      <c r="E1866" t="str">
        <f>IFERROR(__xludf.DUMMYFUNCTION("""COMPUTED_VALUE"""),"Hunter")</f>
        <v>Hunter</v>
      </c>
      <c r="F1866" t="str">
        <f>IFERROR(__xludf.DUMMYFUNCTION("""COMPUTED_VALUE"""),"WR")</f>
        <v>WR</v>
      </c>
      <c r="G1866">
        <f>IFERROR(__xludf.DUMMYFUNCTION("""COMPUTED_VALUE"""),9.45)</f>
        <v>9.45</v>
      </c>
    </row>
    <row r="1867">
      <c r="D1867" t="str">
        <f>IFERROR(__xludf.DUMMYFUNCTION("""COMPUTED_VALUE"""),"Sharpe")</f>
        <v>Sharpe</v>
      </c>
      <c r="E1867" t="str">
        <f>IFERROR(__xludf.DUMMYFUNCTION("""COMPUTED_VALUE"""),"Tajae")</f>
        <v>Tajae</v>
      </c>
      <c r="F1867" t="str">
        <f>IFERROR(__xludf.DUMMYFUNCTION("""COMPUTED_VALUE"""),"WR")</f>
        <v>WR</v>
      </c>
      <c r="G1867">
        <f>IFERROR(__xludf.DUMMYFUNCTION("""COMPUTED_VALUE"""),10.35)</f>
        <v>10.35</v>
      </c>
    </row>
    <row r="1868">
      <c r="D1868" t="str">
        <f>IFERROR(__xludf.DUMMYFUNCTION("""COMPUTED_VALUE"""),"Shatley")</f>
        <v>Shatley</v>
      </c>
      <c r="E1868" t="str">
        <f>IFERROR(__xludf.DUMMYFUNCTION("""COMPUTED_VALUE"""),"Tyler")</f>
        <v>Tyler</v>
      </c>
      <c r="F1868" t="str">
        <f>IFERROR(__xludf.DUMMYFUNCTION("""COMPUTED_VALUE"""),"C")</f>
        <v>C</v>
      </c>
      <c r="G1868">
        <f>IFERROR(__xludf.DUMMYFUNCTION("""COMPUTED_VALUE"""),9.9)</f>
        <v>9.9</v>
      </c>
    </row>
    <row r="1869">
      <c r="D1869" t="str">
        <f>IFERROR(__xludf.DUMMYFUNCTION("""COMPUTED_VALUE"""),"Shaw")</f>
        <v>Shaw</v>
      </c>
      <c r="E1869" t="str">
        <f>IFERROR(__xludf.DUMMYFUNCTION("""COMPUTED_VALUE"""),"Connor")</f>
        <v>Connor</v>
      </c>
      <c r="F1869" t="str">
        <f>IFERROR(__xludf.DUMMYFUNCTION("""COMPUTED_VALUE"""),"QB")</f>
        <v>QB</v>
      </c>
      <c r="G1869">
        <f>IFERROR(__xludf.DUMMYFUNCTION("""COMPUTED_VALUE"""),8.85)</f>
        <v>8.85</v>
      </c>
    </row>
    <row r="1870">
      <c r="D1870" t="str">
        <f>IFERROR(__xludf.DUMMYFUNCTION("""COMPUTED_VALUE"""),"Shaw")</f>
        <v>Shaw</v>
      </c>
      <c r="E1870" t="str">
        <f>IFERROR(__xludf.DUMMYFUNCTION("""COMPUTED_VALUE"""),"Josh")</f>
        <v>Josh</v>
      </c>
      <c r="F1870" t="str">
        <f>IFERROR(__xludf.DUMMYFUNCTION("""COMPUTED_VALUE"""),"CB")</f>
        <v>CB</v>
      </c>
      <c r="G1870">
        <f>IFERROR(__xludf.DUMMYFUNCTION("""COMPUTED_VALUE"""),10.5)</f>
        <v>10.5</v>
      </c>
    </row>
    <row r="1871">
      <c r="D1871" t="str">
        <f>IFERROR(__xludf.DUMMYFUNCTION("""COMPUTED_VALUE"""),"Shazier")</f>
        <v>Shazier</v>
      </c>
      <c r="E1871" t="str">
        <f>IFERROR(__xludf.DUMMYFUNCTION("""COMPUTED_VALUE"""),"Ryan")</f>
        <v>Ryan</v>
      </c>
      <c r="F1871" t="str">
        <f>IFERROR(__xludf.DUMMYFUNCTION("""COMPUTED_VALUE"""),"MLB")</f>
        <v>MLB</v>
      </c>
      <c r="G1871">
        <f>IFERROR(__xludf.DUMMYFUNCTION("""COMPUTED_VALUE"""),11.85)</f>
        <v>11.85</v>
      </c>
    </row>
    <row r="1872">
      <c r="D1872" t="str">
        <f>IFERROR(__xludf.DUMMYFUNCTION("""COMPUTED_VALUE"""),"Shead")</f>
        <v>Shead</v>
      </c>
      <c r="E1872" t="str">
        <f>IFERROR(__xludf.DUMMYFUNCTION("""COMPUTED_VALUE"""),"DeShawn")</f>
        <v>DeShawn</v>
      </c>
      <c r="F1872" t="str">
        <f>IFERROR(__xludf.DUMMYFUNCTION("""COMPUTED_VALUE"""),"CB")</f>
        <v>CB</v>
      </c>
      <c r="G1872">
        <f>IFERROR(__xludf.DUMMYFUNCTION("""COMPUTED_VALUE"""),10.049999999999999)</f>
        <v>10.05</v>
      </c>
    </row>
    <row r="1873">
      <c r="D1873" t="str">
        <f>IFERROR(__xludf.DUMMYFUNCTION("""COMPUTED_VALUE"""),"Sheard")</f>
        <v>Sheard</v>
      </c>
      <c r="E1873" t="str">
        <f>IFERROR(__xludf.DUMMYFUNCTION("""COMPUTED_VALUE"""),"Jabaal")</f>
        <v>Jabaal</v>
      </c>
      <c r="F1873" t="str">
        <f>IFERROR(__xludf.DUMMYFUNCTION("""COMPUTED_VALUE"""),"RE")</f>
        <v>RE</v>
      </c>
      <c r="G1873">
        <f>IFERROR(__xludf.DUMMYFUNCTION("""COMPUTED_VALUE"""),13.2)</f>
        <v>13.2</v>
      </c>
    </row>
    <row r="1874">
      <c r="D1874" t="str">
        <f>IFERROR(__xludf.DUMMYFUNCTION("""COMPUTED_VALUE"""),"Shelby")</f>
        <v>Shelby</v>
      </c>
      <c r="E1874" t="str">
        <f>IFERROR(__xludf.DUMMYFUNCTION("""COMPUTED_VALUE"""),"Derrick")</f>
        <v>Derrick</v>
      </c>
      <c r="F1874" t="str">
        <f>IFERROR(__xludf.DUMMYFUNCTION("""COMPUTED_VALUE"""),"RE")</f>
        <v>RE</v>
      </c>
      <c r="G1874">
        <f>IFERROR(__xludf.DUMMYFUNCTION("""COMPUTED_VALUE"""),10.799999999999999)</f>
        <v>10.8</v>
      </c>
    </row>
    <row r="1875">
      <c r="D1875" t="str">
        <f>IFERROR(__xludf.DUMMYFUNCTION("""COMPUTED_VALUE"""),"Shell")</f>
        <v>Shell</v>
      </c>
      <c r="E1875" t="str">
        <f>IFERROR(__xludf.DUMMYFUNCTION("""COMPUTED_VALUE"""),"Brandon")</f>
        <v>Brandon</v>
      </c>
      <c r="F1875" t="str">
        <f>IFERROR(__xludf.DUMMYFUNCTION("""COMPUTED_VALUE"""),"RT")</f>
        <v>RT</v>
      </c>
      <c r="G1875">
        <f>IFERROR(__xludf.DUMMYFUNCTION("""COMPUTED_VALUE"""),9.9)</f>
        <v>9.9</v>
      </c>
    </row>
    <row r="1876">
      <c r="D1876" t="str">
        <f>IFERROR(__xludf.DUMMYFUNCTION("""COMPUTED_VALUE"""),"Shelton")</f>
        <v>Shelton</v>
      </c>
      <c r="E1876" t="str">
        <f>IFERROR(__xludf.DUMMYFUNCTION("""COMPUTED_VALUE"""),"Danny")</f>
        <v>Danny</v>
      </c>
      <c r="F1876" t="str">
        <f>IFERROR(__xludf.DUMMYFUNCTION("""COMPUTED_VALUE"""),"DT")</f>
        <v>DT</v>
      </c>
      <c r="G1876">
        <f>IFERROR(__xludf.DUMMYFUNCTION("""COMPUTED_VALUE"""),10.799999999999999)</f>
        <v>10.8</v>
      </c>
    </row>
    <row r="1877">
      <c r="D1877" t="str">
        <f>IFERROR(__xludf.DUMMYFUNCTION("""COMPUTED_VALUE"""),"Shepard")</f>
        <v>Shepard</v>
      </c>
      <c r="E1877" t="str">
        <f>IFERROR(__xludf.DUMMYFUNCTION("""COMPUTED_VALUE"""),"Russell")</f>
        <v>Russell</v>
      </c>
      <c r="F1877" t="str">
        <f>IFERROR(__xludf.DUMMYFUNCTION("""COMPUTED_VALUE"""),"WR")</f>
        <v>WR</v>
      </c>
      <c r="G1877">
        <f>IFERROR(__xludf.DUMMYFUNCTION("""COMPUTED_VALUE"""),9.75)</f>
        <v>9.75</v>
      </c>
    </row>
    <row r="1878">
      <c r="D1878" t="str">
        <f>IFERROR(__xludf.DUMMYFUNCTION("""COMPUTED_VALUE"""),"Shepard")</f>
        <v>Shepard</v>
      </c>
      <c r="E1878" t="str">
        <f>IFERROR(__xludf.DUMMYFUNCTION("""COMPUTED_VALUE"""),"Sterling")</f>
        <v>Sterling</v>
      </c>
      <c r="F1878" t="str">
        <f>IFERROR(__xludf.DUMMYFUNCTION("""COMPUTED_VALUE"""),"WR")</f>
        <v>WR</v>
      </c>
      <c r="G1878">
        <f>IFERROR(__xludf.DUMMYFUNCTION("""COMPUTED_VALUE"""),11.1)</f>
        <v>11.1</v>
      </c>
    </row>
    <row r="1879">
      <c r="D1879" t="str">
        <f>IFERROR(__xludf.DUMMYFUNCTION("""COMPUTED_VALUE"""),"Shepherd")</f>
        <v>Shepherd</v>
      </c>
      <c r="E1879" t="str">
        <f>IFERROR(__xludf.DUMMYFUNCTION("""COMPUTED_VALUE"""),"Austin")</f>
        <v>Austin</v>
      </c>
      <c r="F1879" t="str">
        <f>IFERROR(__xludf.DUMMYFUNCTION("""COMPUTED_VALUE"""),"LT")</f>
        <v>LT</v>
      </c>
      <c r="G1879">
        <f>IFERROR(__xludf.DUMMYFUNCTION("""COMPUTED_VALUE"""),9.45)</f>
        <v>9.45</v>
      </c>
    </row>
    <row r="1880">
      <c r="D1880" t="str">
        <f>IFERROR(__xludf.DUMMYFUNCTION("""COMPUTED_VALUE"""),"Shepherd")</f>
        <v>Shepherd</v>
      </c>
      <c r="E1880" t="str">
        <f>IFERROR(__xludf.DUMMYFUNCTION("""COMPUTED_VALUE"""),"JaCorey")</f>
        <v>JaCorey</v>
      </c>
      <c r="F1880" t="str">
        <f>IFERROR(__xludf.DUMMYFUNCTION("""COMPUTED_VALUE"""),"CB")</f>
        <v>CB</v>
      </c>
      <c r="G1880">
        <f>IFERROR(__xludf.DUMMYFUNCTION("""COMPUTED_VALUE"""),9.6)</f>
        <v>9.6</v>
      </c>
    </row>
    <row r="1881">
      <c r="D1881" t="str">
        <f>IFERROR(__xludf.DUMMYFUNCTION("""COMPUTED_VALUE"""),"Sheppard")</f>
        <v>Sheppard</v>
      </c>
      <c r="E1881" t="str">
        <f>IFERROR(__xludf.DUMMYFUNCTION("""COMPUTED_VALUE"""),"Kelvin")</f>
        <v>Kelvin</v>
      </c>
      <c r="F1881" t="str">
        <f>IFERROR(__xludf.DUMMYFUNCTION("""COMPUTED_VALUE"""),"MLB")</f>
        <v>MLB</v>
      </c>
      <c r="G1881">
        <f>IFERROR(__xludf.DUMMYFUNCTION("""COMPUTED_VALUE"""),10.2)</f>
        <v>10.2</v>
      </c>
    </row>
    <row r="1882">
      <c r="D1882" t="str">
        <f>IFERROR(__xludf.DUMMYFUNCTION("""COMPUTED_VALUE"""),"Sherels")</f>
        <v>Sherels</v>
      </c>
      <c r="E1882" t="str">
        <f>IFERROR(__xludf.DUMMYFUNCTION("""COMPUTED_VALUE"""),"Marcus")</f>
        <v>Marcus</v>
      </c>
      <c r="F1882" t="str">
        <f>IFERROR(__xludf.DUMMYFUNCTION("""COMPUTED_VALUE"""),"CB")</f>
        <v>CB</v>
      </c>
      <c r="G1882">
        <f>IFERROR(__xludf.DUMMYFUNCTION("""COMPUTED_VALUE"""),10.35)</f>
        <v>10.35</v>
      </c>
    </row>
    <row r="1883">
      <c r="D1883" t="str">
        <f>IFERROR(__xludf.DUMMYFUNCTION("""COMPUTED_VALUE"""),"Sherman")</f>
        <v>Sherman</v>
      </c>
      <c r="E1883" t="str">
        <f>IFERROR(__xludf.DUMMYFUNCTION("""COMPUTED_VALUE"""),"Anthony")</f>
        <v>Anthony</v>
      </c>
      <c r="F1883" t="str">
        <f>IFERROR(__xludf.DUMMYFUNCTION("""COMPUTED_VALUE"""),"FB")</f>
        <v>FB</v>
      </c>
      <c r="G1883">
        <f>IFERROR(__xludf.DUMMYFUNCTION("""COMPUTED_VALUE"""),12.15)</f>
        <v>12.15</v>
      </c>
    </row>
    <row r="1884">
      <c r="D1884" t="str">
        <f>IFERROR(__xludf.DUMMYFUNCTION("""COMPUTED_VALUE"""),"Sherman")</f>
        <v>Sherman</v>
      </c>
      <c r="E1884" t="str">
        <f>IFERROR(__xludf.DUMMYFUNCTION("""COMPUTED_VALUE"""),"Richard")</f>
        <v>Richard</v>
      </c>
      <c r="F1884" t="str">
        <f>IFERROR(__xludf.DUMMYFUNCTION("""COMPUTED_VALUE"""),"CB")</f>
        <v>CB</v>
      </c>
      <c r="G1884">
        <f>IFERROR(__xludf.DUMMYFUNCTION("""COMPUTED_VALUE"""),13.799999999999999)</f>
        <v>13.8</v>
      </c>
    </row>
    <row r="1885">
      <c r="D1885" t="str">
        <f>IFERROR(__xludf.DUMMYFUNCTION("""COMPUTED_VALUE"""),"Shields")</f>
        <v>Shields</v>
      </c>
      <c r="E1885" t="str">
        <f>IFERROR(__xludf.DUMMYFUNCTION("""COMPUTED_VALUE"""),"Sam")</f>
        <v>Sam</v>
      </c>
      <c r="F1885" t="str">
        <f>IFERROR(__xludf.DUMMYFUNCTION("""COMPUTED_VALUE"""),"CB")</f>
        <v>CB</v>
      </c>
      <c r="G1885">
        <f>IFERROR(__xludf.DUMMYFUNCTION("""COMPUTED_VALUE"""),12.9)</f>
        <v>12.9</v>
      </c>
    </row>
    <row r="1886">
      <c r="D1886" t="str">
        <f>IFERROR(__xludf.DUMMYFUNCTION("""COMPUTED_VALUE"""),"Shipley")</f>
        <v>Shipley</v>
      </c>
      <c r="E1886" t="str">
        <f>IFERROR(__xludf.DUMMYFUNCTION("""COMPUTED_VALUE"""),"AQ")</f>
        <v>AQ</v>
      </c>
      <c r="F1886" t="str">
        <f>IFERROR(__xludf.DUMMYFUNCTION("""COMPUTED_VALUE"""),"C")</f>
        <v>C</v>
      </c>
      <c r="G1886">
        <f>IFERROR(__xludf.DUMMYFUNCTION("""COMPUTED_VALUE"""),10.65)</f>
        <v>10.65</v>
      </c>
    </row>
    <row r="1887">
      <c r="D1887" t="str">
        <f>IFERROR(__xludf.DUMMYFUNCTION("""COMPUTED_VALUE"""),"Shittu")</f>
        <v>Shittu</v>
      </c>
      <c r="E1887" t="str">
        <f>IFERROR(__xludf.DUMMYFUNCTION("""COMPUTED_VALUE"""),"Aziz")</f>
        <v>Aziz</v>
      </c>
      <c r="F1887" t="str">
        <f>IFERROR(__xludf.DUMMYFUNCTION("""COMPUTED_VALUE"""),"DT")</f>
        <v>DT</v>
      </c>
      <c r="G1887">
        <f>IFERROR(__xludf.DUMMYFUNCTION("""COMPUTED_VALUE"""),9.0)</f>
        <v>9</v>
      </c>
    </row>
    <row r="1888">
      <c r="D1888" t="str">
        <f>IFERROR(__xludf.DUMMYFUNCTION("""COMPUTED_VALUE"""),"Short")</f>
        <v>Short</v>
      </c>
      <c r="E1888" t="str">
        <f>IFERROR(__xludf.DUMMYFUNCTION("""COMPUTED_VALUE"""),"Kawann")</f>
        <v>Kawann</v>
      </c>
      <c r="F1888" t="str">
        <f>IFERROR(__xludf.DUMMYFUNCTION("""COMPUTED_VALUE"""),"DT")</f>
        <v>DT</v>
      </c>
      <c r="G1888">
        <f>IFERROR(__xludf.DUMMYFUNCTION("""COMPUTED_VALUE"""),13.799999999999999)</f>
        <v>13.8</v>
      </c>
    </row>
    <row r="1889">
      <c r="D1889" t="str">
        <f>IFERROR(__xludf.DUMMYFUNCTION("""COMPUTED_VALUE"""),"Shorts III")</f>
        <v>Shorts III</v>
      </c>
      <c r="E1889" t="str">
        <f>IFERROR(__xludf.DUMMYFUNCTION("""COMPUTED_VALUE"""),"Cecil")</f>
        <v>Cecil</v>
      </c>
      <c r="F1889" t="str">
        <f>IFERROR(__xludf.DUMMYFUNCTION("""COMPUTED_VALUE"""),"WR")</f>
        <v>WR</v>
      </c>
      <c r="G1889">
        <f>IFERROR(__xludf.DUMMYFUNCTION("""COMPUTED_VALUE"""),10.95)</f>
        <v>10.95</v>
      </c>
    </row>
    <row r="1890">
      <c r="D1890" t="str">
        <f>IFERROR(__xludf.DUMMYFUNCTION("""COMPUTED_VALUE"""),"Showers")</f>
        <v>Showers</v>
      </c>
      <c r="E1890" t="str">
        <f>IFERROR(__xludf.DUMMYFUNCTION("""COMPUTED_VALUE"""),"Jameill")</f>
        <v>Jameill</v>
      </c>
      <c r="F1890" t="str">
        <f>IFERROR(__xludf.DUMMYFUNCTION("""COMPUTED_VALUE"""),"QB")</f>
        <v>QB</v>
      </c>
      <c r="G1890">
        <f>IFERROR(__xludf.DUMMYFUNCTION("""COMPUTED_VALUE"""),8.4)</f>
        <v>8.4</v>
      </c>
    </row>
    <row r="1891">
      <c r="D1891" t="str">
        <f>IFERROR(__xludf.DUMMYFUNCTION("""COMPUTED_VALUE"""),"Showers")</f>
        <v>Showers</v>
      </c>
      <c r="E1891" t="str">
        <f>IFERROR(__xludf.DUMMYFUNCTION("""COMPUTED_VALUE"""),"Valdez")</f>
        <v>Valdez</v>
      </c>
      <c r="F1891" t="str">
        <f>IFERROR(__xludf.DUMMYFUNCTION("""COMPUTED_VALUE"""),"WR")</f>
        <v>WR</v>
      </c>
      <c r="G1891">
        <f>IFERROR(__xludf.DUMMYFUNCTION("""COMPUTED_VALUE"""),9.0)</f>
        <v>9</v>
      </c>
    </row>
    <row r="1892">
      <c r="D1892" t="str">
        <f>IFERROR(__xludf.DUMMYFUNCTION("""COMPUTED_VALUE"""),"Siemian")</f>
        <v>Siemian</v>
      </c>
      <c r="E1892" t="str">
        <f>IFERROR(__xludf.DUMMYFUNCTION("""COMPUTED_VALUE"""),"Trevor")</f>
        <v>Trevor</v>
      </c>
      <c r="F1892" t="str">
        <f>IFERROR(__xludf.DUMMYFUNCTION("""COMPUTED_VALUE"""),"QB")</f>
        <v>QB</v>
      </c>
      <c r="G1892">
        <f>IFERROR(__xludf.DUMMYFUNCTION("""COMPUTED_VALUE"""),9.0)</f>
        <v>9</v>
      </c>
    </row>
    <row r="1893">
      <c r="D1893" t="str">
        <f>IFERROR(__xludf.DUMMYFUNCTION("""COMPUTED_VALUE"""),"Sigler")</f>
        <v>Sigler</v>
      </c>
      <c r="E1893" t="str">
        <f>IFERROR(__xludf.DUMMYFUNCTION("""COMPUTED_VALUE"""),"Devaunte")</f>
        <v>Devaunte</v>
      </c>
      <c r="F1893" t="str">
        <f>IFERROR(__xludf.DUMMYFUNCTION("""COMPUTED_VALUE"""),"DT")</f>
        <v>DT</v>
      </c>
      <c r="G1893">
        <f>IFERROR(__xludf.DUMMYFUNCTION("""COMPUTED_VALUE"""),8.7)</f>
        <v>8.7</v>
      </c>
    </row>
    <row r="1894">
      <c r="D1894" t="str">
        <f>IFERROR(__xludf.DUMMYFUNCTION("""COMPUTED_VALUE"""),"Silberman")</f>
        <v>Silberman</v>
      </c>
      <c r="E1894" t="str">
        <f>IFERROR(__xludf.DUMMYFUNCTION("""COMPUTED_VALUE"""),"Ian")</f>
        <v>Ian</v>
      </c>
      <c r="F1894" t="str">
        <f>IFERROR(__xludf.DUMMYFUNCTION("""COMPUTED_VALUE"""),"LG")</f>
        <v>LG</v>
      </c>
      <c r="G1894">
        <f>IFERROR(__xludf.DUMMYFUNCTION("""COMPUTED_VALUE"""),10.049999999999999)</f>
        <v>10.05</v>
      </c>
    </row>
    <row r="1895">
      <c r="D1895" t="str">
        <f>IFERROR(__xludf.DUMMYFUNCTION("""COMPUTED_VALUE"""),"Siliga")</f>
        <v>Siliga</v>
      </c>
      <c r="E1895" t="str">
        <f>IFERROR(__xludf.DUMMYFUNCTION("""COMPUTED_VALUE"""),"Sealver")</f>
        <v>Sealver</v>
      </c>
      <c r="F1895" t="str">
        <f>IFERROR(__xludf.DUMMYFUNCTION("""COMPUTED_VALUE"""),"DT")</f>
        <v>DT</v>
      </c>
      <c r="G1895">
        <f>IFERROR(__xludf.DUMMYFUNCTION("""COMPUTED_VALUE"""),10.95)</f>
        <v>10.95</v>
      </c>
    </row>
    <row r="1896">
      <c r="D1896" t="str">
        <f>IFERROR(__xludf.DUMMYFUNCTION("""COMPUTED_VALUE"""),"Simmons")</f>
        <v>Simmons</v>
      </c>
      <c r="E1896" t="str">
        <f>IFERROR(__xludf.DUMMYFUNCTION("""COMPUTED_VALUE"""),"Justin")</f>
        <v>Justin</v>
      </c>
      <c r="F1896" t="str">
        <f>IFERROR(__xludf.DUMMYFUNCTION("""COMPUTED_VALUE"""),"FS")</f>
        <v>FS</v>
      </c>
      <c r="G1896">
        <f>IFERROR(__xludf.DUMMYFUNCTION("""COMPUTED_VALUE"""),10.5)</f>
        <v>10.5</v>
      </c>
    </row>
    <row r="1897">
      <c r="D1897" t="str">
        <f>IFERROR(__xludf.DUMMYFUNCTION("""COMPUTED_VALUE"""),"Simms")</f>
        <v>Simms</v>
      </c>
      <c r="E1897" t="str">
        <f>IFERROR(__xludf.DUMMYFUNCTION("""COMPUTED_VALUE"""),"Matt")</f>
        <v>Matt</v>
      </c>
      <c r="F1897" t="str">
        <f>IFERROR(__xludf.DUMMYFUNCTION("""COMPUTED_VALUE"""),"QB")</f>
        <v>QB</v>
      </c>
      <c r="G1897">
        <f>IFERROR(__xludf.DUMMYFUNCTION("""COMPUTED_VALUE"""),9.15)</f>
        <v>9.15</v>
      </c>
    </row>
    <row r="1898">
      <c r="D1898" t="str">
        <f>IFERROR(__xludf.DUMMYFUNCTION("""COMPUTED_VALUE"""),"Simon")</f>
        <v>Simon</v>
      </c>
      <c r="E1898" t="str">
        <f>IFERROR(__xludf.DUMMYFUNCTION("""COMPUTED_VALUE"""),"Deon")</f>
        <v>Deon</v>
      </c>
      <c r="F1898" t="str">
        <f>IFERROR(__xludf.DUMMYFUNCTION("""COMPUTED_VALUE"""),"DT")</f>
        <v>DT</v>
      </c>
      <c r="G1898">
        <f>IFERROR(__xludf.DUMMYFUNCTION("""COMPUTED_VALUE"""),8.7)</f>
        <v>8.7</v>
      </c>
    </row>
    <row r="1899">
      <c r="D1899" t="str">
        <f>IFERROR(__xludf.DUMMYFUNCTION("""COMPUTED_VALUE"""),"Simon")</f>
        <v>Simon</v>
      </c>
      <c r="E1899" t="str">
        <f>IFERROR(__xludf.DUMMYFUNCTION("""COMPUTED_VALUE"""),"John")</f>
        <v>John</v>
      </c>
      <c r="F1899" t="str">
        <f>IFERROR(__xludf.DUMMYFUNCTION("""COMPUTED_VALUE"""),"ROLB")</f>
        <v>ROLB</v>
      </c>
      <c r="G1899">
        <f>IFERROR(__xludf.DUMMYFUNCTION("""COMPUTED_VALUE"""),11.1)</f>
        <v>11.1</v>
      </c>
    </row>
    <row r="1900">
      <c r="D1900" t="str">
        <f>IFERROR(__xludf.DUMMYFUNCTION("""COMPUTED_VALUE"""),"Simon")</f>
        <v>Simon</v>
      </c>
      <c r="E1900" t="str">
        <f>IFERROR(__xludf.DUMMYFUNCTION("""COMPUTED_VALUE"""),"Tharold")</f>
        <v>Tharold</v>
      </c>
      <c r="F1900" t="str">
        <f>IFERROR(__xludf.DUMMYFUNCTION("""COMPUTED_VALUE"""),"CB")</f>
        <v>CB</v>
      </c>
      <c r="G1900">
        <f>IFERROR(__xludf.DUMMYFUNCTION("""COMPUTED_VALUE"""),10.65)</f>
        <v>10.65</v>
      </c>
    </row>
    <row r="1901">
      <c r="D1901" t="str">
        <f>IFERROR(__xludf.DUMMYFUNCTION("""COMPUTED_VALUE"""),"Simonson")</f>
        <v>Simonson</v>
      </c>
      <c r="E1901" t="str">
        <f>IFERROR(__xludf.DUMMYFUNCTION("""COMPUTED_VALUE"""),"Scott")</f>
        <v>Scott</v>
      </c>
      <c r="F1901" t="str">
        <f>IFERROR(__xludf.DUMMYFUNCTION("""COMPUTED_VALUE"""),"TE")</f>
        <v>TE</v>
      </c>
      <c r="G1901">
        <f>IFERROR(__xludf.DUMMYFUNCTION("""COMPUTED_VALUE"""),9.6)</f>
        <v>9.6</v>
      </c>
    </row>
    <row r="1902">
      <c r="D1902" t="str">
        <f>IFERROR(__xludf.DUMMYFUNCTION("""COMPUTED_VALUE"""),"Simpson")</f>
        <v>Simpson</v>
      </c>
      <c r="E1902" t="str">
        <f>IFERROR(__xludf.DUMMYFUNCTION("""COMPUTED_VALUE"""),"Jerome")</f>
        <v>Jerome</v>
      </c>
      <c r="F1902" t="str">
        <f>IFERROR(__xludf.DUMMYFUNCTION("""COMPUTED_VALUE"""),"WR")</f>
        <v>WR</v>
      </c>
      <c r="G1902">
        <f>IFERROR(__xludf.DUMMYFUNCTION("""COMPUTED_VALUE"""),10.2)</f>
        <v>10.2</v>
      </c>
    </row>
    <row r="1903">
      <c r="D1903" t="str">
        <f>IFERROR(__xludf.DUMMYFUNCTION("""COMPUTED_VALUE"""),"Sims")</f>
        <v>Sims</v>
      </c>
      <c r="E1903" t="str">
        <f>IFERROR(__xludf.DUMMYFUNCTION("""COMPUTED_VALUE"""),"Dion")</f>
        <v>Dion</v>
      </c>
      <c r="F1903" t="str">
        <f>IFERROR(__xludf.DUMMYFUNCTION("""COMPUTED_VALUE"""),"TE")</f>
        <v>TE</v>
      </c>
      <c r="G1903">
        <f>IFERROR(__xludf.DUMMYFUNCTION("""COMPUTED_VALUE"""),11.25)</f>
        <v>11.25</v>
      </c>
    </row>
    <row r="1904">
      <c r="D1904" t="str">
        <f>IFERROR(__xludf.DUMMYFUNCTION("""COMPUTED_VALUE"""),"Sims")</f>
        <v>Sims</v>
      </c>
      <c r="E1904" t="str">
        <f>IFERROR(__xludf.DUMMYFUNCTION("""COMPUTED_VALUE"""),"Eugene")</f>
        <v>Eugene</v>
      </c>
      <c r="F1904" t="str">
        <f>IFERROR(__xludf.DUMMYFUNCTION("""COMPUTED_VALUE"""),"RE")</f>
        <v>RE</v>
      </c>
      <c r="G1904">
        <f>IFERROR(__xludf.DUMMYFUNCTION("""COMPUTED_VALUE"""),10.35)</f>
        <v>10.35</v>
      </c>
    </row>
    <row r="1905">
      <c r="D1905" t="str">
        <f>IFERROR(__xludf.DUMMYFUNCTION("""COMPUTED_VALUE"""),"Sims")</f>
        <v>Sims</v>
      </c>
      <c r="E1905" t="str">
        <f>IFERROR(__xludf.DUMMYFUNCTION("""COMPUTED_VALUE"""),"LeShaun")</f>
        <v>LeShaun</v>
      </c>
      <c r="F1905" t="str">
        <f>IFERROR(__xludf.DUMMYFUNCTION("""COMPUTED_VALUE"""),"CB")</f>
        <v>CB</v>
      </c>
      <c r="G1905">
        <f>IFERROR(__xludf.DUMMYFUNCTION("""COMPUTED_VALUE"""),9.6)</f>
        <v>9.6</v>
      </c>
    </row>
    <row r="1906">
      <c r="D1906" t="str">
        <f>IFERROR(__xludf.DUMMYFUNCTION("""COMPUTED_VALUE"""),"Sims")</f>
        <v>Sims</v>
      </c>
      <c r="E1906" t="str">
        <f>IFERROR(__xludf.DUMMYFUNCTION("""COMPUTED_VALUE"""),"Pat")</f>
        <v>Pat</v>
      </c>
      <c r="F1906" t="str">
        <f>IFERROR(__xludf.DUMMYFUNCTION("""COMPUTED_VALUE"""),"DT")</f>
        <v>DT</v>
      </c>
      <c r="G1906">
        <f>IFERROR(__xludf.DUMMYFUNCTION("""COMPUTED_VALUE"""),10.799999999999999)</f>
        <v>10.8</v>
      </c>
    </row>
    <row r="1907">
      <c r="D1907" t="str">
        <f>IFERROR(__xludf.DUMMYFUNCTION("""COMPUTED_VALUE"""),"Sims III")</f>
        <v>Sims III</v>
      </c>
      <c r="E1907" t="str">
        <f>IFERROR(__xludf.DUMMYFUNCTION("""COMPUTED_VALUE"""),"Charles")</f>
        <v>Charles</v>
      </c>
      <c r="F1907" t="str">
        <f>IFERROR(__xludf.DUMMYFUNCTION("""COMPUTED_VALUE"""),"HB")</f>
        <v>HB</v>
      </c>
      <c r="G1907">
        <f>IFERROR(__xludf.DUMMYFUNCTION("""COMPUTED_VALUE"""),12.299999999999999)</f>
        <v>12.3</v>
      </c>
    </row>
    <row r="1908">
      <c r="D1908" t="str">
        <f>IFERROR(__xludf.DUMMYFUNCTION("""COMPUTED_VALUE"""),"Sirles")</f>
        <v>Sirles</v>
      </c>
      <c r="E1908" t="str">
        <f>IFERROR(__xludf.DUMMYFUNCTION("""COMPUTED_VALUE"""),"Jeremiah")</f>
        <v>Jeremiah</v>
      </c>
      <c r="F1908" t="str">
        <f>IFERROR(__xludf.DUMMYFUNCTION("""COMPUTED_VALUE"""),"RT")</f>
        <v>RT</v>
      </c>
      <c r="G1908">
        <f>IFERROR(__xludf.DUMMYFUNCTION("""COMPUTED_VALUE"""),9.299999999999999)</f>
        <v>9.3</v>
      </c>
    </row>
    <row r="1909">
      <c r="D1909" t="str">
        <f>IFERROR(__xludf.DUMMYFUNCTION("""COMPUTED_VALUE"""),"Sitton")</f>
        <v>Sitton</v>
      </c>
      <c r="E1909" t="str">
        <f>IFERROR(__xludf.DUMMYFUNCTION("""COMPUTED_VALUE"""),"Josh")</f>
        <v>Josh</v>
      </c>
      <c r="F1909" t="str">
        <f>IFERROR(__xludf.DUMMYFUNCTION("""COMPUTED_VALUE"""),"LG")</f>
        <v>LG</v>
      </c>
      <c r="G1909">
        <f>IFERROR(__xludf.DUMMYFUNCTION("""COMPUTED_VALUE"""),13.65)</f>
        <v>13.65</v>
      </c>
    </row>
    <row r="1910">
      <c r="D1910" t="str">
        <f>IFERROR(__xludf.DUMMYFUNCTION("""COMPUTED_VALUE"""),"Skinner")</f>
        <v>Skinner</v>
      </c>
      <c r="E1910" t="str">
        <f>IFERROR(__xludf.DUMMYFUNCTION("""COMPUTED_VALUE"""),"Deontae")</f>
        <v>Deontae</v>
      </c>
      <c r="F1910" t="str">
        <f>IFERROR(__xludf.DUMMYFUNCTION("""COMPUTED_VALUE"""),"LOLB")</f>
        <v>LOLB</v>
      </c>
      <c r="G1910">
        <f>IFERROR(__xludf.DUMMYFUNCTION("""COMPUTED_VALUE"""),9.15)</f>
        <v>9.15</v>
      </c>
    </row>
    <row r="1911">
      <c r="D1911" t="str">
        <f>IFERROR(__xludf.DUMMYFUNCTION("""COMPUTED_VALUE"""),"Skov")</f>
        <v>Skov</v>
      </c>
      <c r="E1911" t="str">
        <f>IFERROR(__xludf.DUMMYFUNCTION("""COMPUTED_VALUE"""),"Shayne")</f>
        <v>Shayne</v>
      </c>
      <c r="F1911" t="str">
        <f>IFERROR(__xludf.DUMMYFUNCTION("""COMPUTED_VALUE"""),"MLB")</f>
        <v>MLB</v>
      </c>
      <c r="G1911">
        <f>IFERROR(__xludf.DUMMYFUNCTION("""COMPUTED_VALUE"""),9.15)</f>
        <v>9.15</v>
      </c>
    </row>
    <row r="1912">
      <c r="D1912" t="str">
        <f>IFERROR(__xludf.DUMMYFUNCTION("""COMPUTED_VALUE"""),"Skrine")</f>
        <v>Skrine</v>
      </c>
      <c r="E1912" t="str">
        <f>IFERROR(__xludf.DUMMYFUNCTION("""COMPUTED_VALUE"""),"Buster")</f>
        <v>Buster</v>
      </c>
      <c r="F1912" t="str">
        <f>IFERROR(__xludf.DUMMYFUNCTION("""COMPUTED_VALUE"""),"CB")</f>
        <v>CB</v>
      </c>
      <c r="G1912">
        <f>IFERROR(__xludf.DUMMYFUNCTION("""COMPUTED_VALUE"""),11.25)</f>
        <v>11.25</v>
      </c>
    </row>
    <row r="1913">
      <c r="D1913" t="str">
        <f>IFERROR(__xludf.DUMMYFUNCTION("""COMPUTED_VALUE"""),"Skuta")</f>
        <v>Skuta</v>
      </c>
      <c r="E1913" t="str">
        <f>IFERROR(__xludf.DUMMYFUNCTION("""COMPUTED_VALUE"""),"Dan")</f>
        <v>Dan</v>
      </c>
      <c r="F1913" t="str">
        <f>IFERROR(__xludf.DUMMYFUNCTION("""COMPUTED_VALUE"""),"ROLB")</f>
        <v>ROLB</v>
      </c>
      <c r="G1913">
        <f>IFERROR(__xludf.DUMMYFUNCTION("""COMPUTED_VALUE"""),11.85)</f>
        <v>11.85</v>
      </c>
    </row>
    <row r="1914">
      <c r="D1914" t="str">
        <f>IFERROR(__xludf.DUMMYFUNCTION("""COMPUTED_VALUE"""),"Slade")</f>
        <v>Slade</v>
      </c>
      <c r="E1914" t="str">
        <f>IFERROR(__xludf.DUMMYFUNCTION("""COMPUTED_VALUE"""),"Chad")</f>
        <v>Chad</v>
      </c>
      <c r="F1914" t="str">
        <f>IFERROR(__xludf.DUMMYFUNCTION("""COMPUTED_VALUE"""),"LG")</f>
        <v>LG</v>
      </c>
      <c r="G1914">
        <f>IFERROR(__xludf.DUMMYFUNCTION("""COMPUTED_VALUE"""),9.45)</f>
        <v>9.45</v>
      </c>
    </row>
    <row r="1915">
      <c r="D1915" t="str">
        <f>IFERROR(__xludf.DUMMYFUNCTION("""COMPUTED_VALUE"""),"Slater")</f>
        <v>Slater</v>
      </c>
      <c r="E1915" t="str">
        <f>IFERROR(__xludf.DUMMYFUNCTION("""COMPUTED_VALUE"""),"Matthew")</f>
        <v>Matthew</v>
      </c>
      <c r="F1915" t="str">
        <f>IFERROR(__xludf.DUMMYFUNCTION("""COMPUTED_VALUE"""),"WR")</f>
        <v>WR</v>
      </c>
      <c r="G1915">
        <f>IFERROR(__xludf.DUMMYFUNCTION("""COMPUTED_VALUE"""),10.35)</f>
        <v>10.35</v>
      </c>
    </row>
    <row r="1916">
      <c r="D1916" t="str">
        <f>IFERROR(__xludf.DUMMYFUNCTION("""COMPUTED_VALUE"""),"Slauson")</f>
        <v>Slauson</v>
      </c>
      <c r="E1916" t="str">
        <f>IFERROR(__xludf.DUMMYFUNCTION("""COMPUTED_VALUE"""),"Matt")</f>
        <v>Matt</v>
      </c>
      <c r="F1916" t="str">
        <f>IFERROR(__xludf.DUMMYFUNCTION("""COMPUTED_VALUE"""),"C")</f>
        <v>C</v>
      </c>
      <c r="G1916">
        <f>IFERROR(__xludf.DUMMYFUNCTION("""COMPUTED_VALUE"""),12.6)</f>
        <v>12.6</v>
      </c>
    </row>
    <row r="1917">
      <c r="D1917" t="str">
        <f>IFERROR(__xludf.DUMMYFUNCTION("""COMPUTED_VALUE"""),"Slay")</f>
        <v>Slay</v>
      </c>
      <c r="E1917" t="str">
        <f>IFERROR(__xludf.DUMMYFUNCTION("""COMPUTED_VALUE"""),"Darius")</f>
        <v>Darius</v>
      </c>
      <c r="F1917" t="str">
        <f>IFERROR(__xludf.DUMMYFUNCTION("""COMPUTED_VALUE"""),"CB")</f>
        <v>CB</v>
      </c>
      <c r="G1917">
        <f>IFERROR(__xludf.DUMMYFUNCTION("""COMPUTED_VALUE"""),13.5)</f>
        <v>13.5</v>
      </c>
    </row>
    <row r="1918">
      <c r="D1918" t="str">
        <f>IFERROR(__xludf.DUMMYFUNCTION("""COMPUTED_VALUE"""),"Smallwood")</f>
        <v>Smallwood</v>
      </c>
      <c r="E1918" t="str">
        <f>IFERROR(__xludf.DUMMYFUNCTION("""COMPUTED_VALUE"""),"Wendell")</f>
        <v>Wendell</v>
      </c>
      <c r="F1918" t="str">
        <f>IFERROR(__xludf.DUMMYFUNCTION("""COMPUTED_VALUE"""),"HB")</f>
        <v>HB</v>
      </c>
      <c r="G1918">
        <f>IFERROR(__xludf.DUMMYFUNCTION("""COMPUTED_VALUE"""),10.5)</f>
        <v>10.5</v>
      </c>
    </row>
    <row r="1919">
      <c r="D1919" t="str">
        <f>IFERROR(__xludf.DUMMYFUNCTION("""COMPUTED_VALUE"""),"Smelter")</f>
        <v>Smelter</v>
      </c>
      <c r="E1919" t="str">
        <f>IFERROR(__xludf.DUMMYFUNCTION("""COMPUTED_VALUE"""),"DeAndre")</f>
        <v>DeAndre</v>
      </c>
      <c r="F1919" t="str">
        <f>IFERROR(__xludf.DUMMYFUNCTION("""COMPUTED_VALUE"""),"WR")</f>
        <v>WR</v>
      </c>
      <c r="G1919">
        <f>IFERROR(__xludf.DUMMYFUNCTION("""COMPUTED_VALUE"""),9.6)</f>
        <v>9.6</v>
      </c>
    </row>
    <row r="1920">
      <c r="D1920" t="str">
        <f>IFERROR(__xludf.DUMMYFUNCTION("""COMPUTED_VALUE"""),"Smith")</f>
        <v>Smith</v>
      </c>
      <c r="E1920" t="str">
        <f>IFERROR(__xludf.DUMMYFUNCTION("""COMPUTED_VALUE"""),"Aldon")</f>
        <v>Aldon</v>
      </c>
      <c r="F1920" t="str">
        <f>IFERROR(__xludf.DUMMYFUNCTION("""COMPUTED_VALUE"""),"ROLB")</f>
        <v>ROLB</v>
      </c>
      <c r="G1920">
        <f>IFERROR(__xludf.DUMMYFUNCTION("""COMPUTED_VALUE"""),12.75)</f>
        <v>12.75</v>
      </c>
    </row>
    <row r="1921">
      <c r="D1921" t="str">
        <f>IFERROR(__xludf.DUMMYFUNCTION("""COMPUTED_VALUE"""),"Smith")</f>
        <v>Smith</v>
      </c>
      <c r="E1921" t="str">
        <f>IFERROR(__xludf.DUMMYFUNCTION("""COMPUTED_VALUE"""),"Alex")</f>
        <v>Alex</v>
      </c>
      <c r="F1921" t="str">
        <f>IFERROR(__xludf.DUMMYFUNCTION("""COMPUTED_VALUE"""),"QB")</f>
        <v>QB</v>
      </c>
      <c r="G1921">
        <f>IFERROR(__xludf.DUMMYFUNCTION("""COMPUTED_VALUE"""),12.299999999999999)</f>
        <v>12.3</v>
      </c>
    </row>
    <row r="1922">
      <c r="D1922" t="str">
        <f>IFERROR(__xludf.DUMMYFUNCTION("""COMPUTED_VALUE"""),"Smith")</f>
        <v>Smith</v>
      </c>
      <c r="E1922" t="str">
        <f>IFERROR(__xludf.DUMMYFUNCTION("""COMPUTED_VALUE"""),"Andre")</f>
        <v>Andre</v>
      </c>
      <c r="F1922" t="str">
        <f>IFERROR(__xludf.DUMMYFUNCTION("""COMPUTED_VALUE"""),"RT")</f>
        <v>RT</v>
      </c>
      <c r="G1922">
        <f>IFERROR(__xludf.DUMMYFUNCTION("""COMPUTED_VALUE"""),11.549999999999999)</f>
        <v>11.55</v>
      </c>
    </row>
    <row r="1923">
      <c r="D1923" t="str">
        <f>IFERROR(__xludf.DUMMYFUNCTION("""COMPUTED_VALUE"""),"Smith")</f>
        <v>Smith</v>
      </c>
      <c r="E1923" t="str">
        <f>IFERROR(__xludf.DUMMYFUNCTION("""COMPUTED_VALUE"""),"Chris")</f>
        <v>Chris</v>
      </c>
      <c r="F1923" t="str">
        <f>IFERROR(__xludf.DUMMYFUNCTION("""COMPUTED_VALUE"""),"LE")</f>
        <v>LE</v>
      </c>
      <c r="G1923">
        <f>IFERROR(__xludf.DUMMYFUNCTION("""COMPUTED_VALUE"""),10.049999999999999)</f>
        <v>10.05</v>
      </c>
    </row>
    <row r="1924">
      <c r="D1924" t="str">
        <f>IFERROR(__xludf.DUMMYFUNCTION("""COMPUTED_VALUE"""),"Smith")</f>
        <v>Smith</v>
      </c>
      <c r="E1924" t="str">
        <f>IFERROR(__xludf.DUMMYFUNCTION("""COMPUTED_VALUE"""),"Daryl")</f>
        <v>Daryl</v>
      </c>
      <c r="F1924" t="str">
        <f>IFERROR(__xludf.DUMMYFUNCTION("""COMPUTED_VALUE"""),"LOLB")</f>
        <v>LOLB</v>
      </c>
      <c r="G1924">
        <f>IFERROR(__xludf.DUMMYFUNCTION("""COMPUTED_VALUE"""),12.299999999999999)</f>
        <v>12.3</v>
      </c>
    </row>
    <row r="1925">
      <c r="D1925" t="str">
        <f>IFERROR(__xludf.DUMMYFUNCTION("""COMPUTED_VALUE"""),"Smith")</f>
        <v>Smith</v>
      </c>
      <c r="E1925" t="str">
        <f>IFERROR(__xludf.DUMMYFUNCTION("""COMPUTED_VALUE"""),"Derron")</f>
        <v>Derron</v>
      </c>
      <c r="F1925" t="str">
        <f>IFERROR(__xludf.DUMMYFUNCTION("""COMPUTED_VALUE"""),"FS")</f>
        <v>FS</v>
      </c>
      <c r="G1925">
        <f>IFERROR(__xludf.DUMMYFUNCTION("""COMPUTED_VALUE"""),10.049999999999999)</f>
        <v>10.05</v>
      </c>
    </row>
    <row r="1926">
      <c r="D1926" t="str">
        <f>IFERROR(__xludf.DUMMYFUNCTION("""COMPUTED_VALUE"""),"Smith")</f>
        <v>Smith</v>
      </c>
      <c r="E1926" t="str">
        <f>IFERROR(__xludf.DUMMYFUNCTION("""COMPUTED_VALUE"""),"Devin")</f>
        <v>Devin</v>
      </c>
      <c r="F1926" t="str">
        <f>IFERROR(__xludf.DUMMYFUNCTION("""COMPUTED_VALUE"""),"WR")</f>
        <v>WR</v>
      </c>
      <c r="G1926">
        <f>IFERROR(__xludf.DUMMYFUNCTION("""COMPUTED_VALUE"""),10.5)</f>
        <v>10.5</v>
      </c>
    </row>
    <row r="1927">
      <c r="D1927" t="str">
        <f>IFERROR(__xludf.DUMMYFUNCTION("""COMPUTED_VALUE"""),"Smith")</f>
        <v>Smith</v>
      </c>
      <c r="E1927" t="str">
        <f>IFERROR(__xludf.DUMMYFUNCTION("""COMPUTED_VALUE"""),"DJoun")</f>
        <v>DJoun</v>
      </c>
      <c r="F1927" t="str">
        <f>IFERROR(__xludf.DUMMYFUNCTION("""COMPUTED_VALUE"""),"CB")</f>
        <v>CB</v>
      </c>
      <c r="G1927">
        <f>IFERROR(__xludf.DUMMYFUNCTION("""COMPUTED_VALUE"""),10.35)</f>
        <v>10.35</v>
      </c>
    </row>
    <row r="1928">
      <c r="D1928" t="str">
        <f>IFERROR(__xludf.DUMMYFUNCTION("""COMPUTED_VALUE"""),"Smith")</f>
        <v>Smith</v>
      </c>
      <c r="E1928" t="str">
        <f>IFERROR(__xludf.DUMMYFUNCTION("""COMPUTED_VALUE"""),"Donovan")</f>
        <v>Donovan</v>
      </c>
      <c r="F1928" t="str">
        <f>IFERROR(__xludf.DUMMYFUNCTION("""COMPUTED_VALUE"""),"LT")</f>
        <v>LT</v>
      </c>
      <c r="G1928">
        <f>IFERROR(__xludf.DUMMYFUNCTION("""COMPUTED_VALUE"""),11.549999999999999)</f>
        <v>11.55</v>
      </c>
    </row>
    <row r="1929">
      <c r="D1929" t="str">
        <f>IFERROR(__xludf.DUMMYFUNCTION("""COMPUTED_VALUE"""),"Smith")</f>
        <v>Smith</v>
      </c>
      <c r="E1929" t="str">
        <f>IFERROR(__xludf.DUMMYFUNCTION("""COMPUTED_VALUE"""),"Dreamius")</f>
        <v>Dreamius</v>
      </c>
      <c r="F1929" t="str">
        <f>IFERROR(__xludf.DUMMYFUNCTION("""COMPUTED_VALUE"""),"HB")</f>
        <v>HB</v>
      </c>
      <c r="G1929">
        <f>IFERROR(__xludf.DUMMYFUNCTION("""COMPUTED_VALUE"""),9.15)</f>
        <v>9.15</v>
      </c>
    </row>
    <row r="1930">
      <c r="D1930" t="str">
        <f>IFERROR(__xludf.DUMMYFUNCTION("""COMPUTED_VALUE"""),"Smith")</f>
        <v>Smith</v>
      </c>
      <c r="E1930" t="str">
        <f>IFERROR(__xludf.DUMMYFUNCTION("""COMPUTED_VALUE"""),"Evan")</f>
        <v>Evan</v>
      </c>
      <c r="F1930" t="str">
        <f>IFERROR(__xludf.DUMMYFUNCTION("""COMPUTED_VALUE"""),"C")</f>
        <v>C</v>
      </c>
      <c r="G1930">
        <f>IFERROR(__xludf.DUMMYFUNCTION("""COMPUTED_VALUE"""),11.25)</f>
        <v>11.25</v>
      </c>
    </row>
    <row r="1931">
      <c r="D1931" t="str">
        <f>IFERROR(__xludf.DUMMYFUNCTION("""COMPUTED_VALUE"""),"Smith")</f>
        <v>Smith</v>
      </c>
      <c r="E1931" t="str">
        <f>IFERROR(__xludf.DUMMYFUNCTION("""COMPUTED_VALUE"""),"Geno")</f>
        <v>Geno</v>
      </c>
      <c r="F1931" t="str">
        <f>IFERROR(__xludf.DUMMYFUNCTION("""COMPUTED_VALUE"""),"QB")</f>
        <v>QB</v>
      </c>
      <c r="G1931">
        <f>IFERROR(__xludf.DUMMYFUNCTION("""COMPUTED_VALUE"""),10.95)</f>
        <v>10.95</v>
      </c>
    </row>
    <row r="1932">
      <c r="D1932" t="str">
        <f>IFERROR(__xludf.DUMMYFUNCTION("""COMPUTED_VALUE"""),"Smith")</f>
        <v>Smith</v>
      </c>
      <c r="E1932" t="str">
        <f>IFERROR(__xludf.DUMMYFUNCTION("""COMPUTED_VALUE"""),"Harrison")</f>
        <v>Harrison</v>
      </c>
      <c r="F1932" t="str">
        <f>IFERROR(__xludf.DUMMYFUNCTION("""COMPUTED_VALUE"""),"FS")</f>
        <v>FS</v>
      </c>
      <c r="G1932">
        <f>IFERROR(__xludf.DUMMYFUNCTION("""COMPUTED_VALUE"""),14.1)</f>
        <v>14.1</v>
      </c>
    </row>
    <row r="1933">
      <c r="D1933" t="str">
        <f>IFERROR(__xludf.DUMMYFUNCTION("""COMPUTED_VALUE"""),"Smith")</f>
        <v>Smith</v>
      </c>
      <c r="E1933" t="str">
        <f>IFERROR(__xludf.DUMMYFUNCTION("""COMPUTED_VALUE"""),"Jacquies")</f>
        <v>Jacquies</v>
      </c>
      <c r="F1933" t="str">
        <f>IFERROR(__xludf.DUMMYFUNCTION("""COMPUTED_VALUE"""),"LE")</f>
        <v>LE</v>
      </c>
      <c r="G1933">
        <f>IFERROR(__xludf.DUMMYFUNCTION("""COMPUTED_VALUE"""),11.1)</f>
        <v>11.1</v>
      </c>
    </row>
    <row r="1934">
      <c r="D1934" t="str">
        <f>IFERROR(__xludf.DUMMYFUNCTION("""COMPUTED_VALUE"""),"Smith")</f>
        <v>Smith</v>
      </c>
      <c r="E1934" t="str">
        <f>IFERROR(__xludf.DUMMYFUNCTION("""COMPUTED_VALUE"""),"Jaylon")</f>
        <v>Jaylon</v>
      </c>
      <c r="F1934" t="str">
        <f>IFERROR(__xludf.DUMMYFUNCTION("""COMPUTED_VALUE"""),"MLB")</f>
        <v>MLB</v>
      </c>
      <c r="G1934">
        <f>IFERROR(__xludf.DUMMYFUNCTION("""COMPUTED_VALUE"""),11.4)</f>
        <v>11.4</v>
      </c>
    </row>
    <row r="1935">
      <c r="D1935" t="str">
        <f>IFERROR(__xludf.DUMMYFUNCTION("""COMPUTED_VALUE"""),"Smith")</f>
        <v>Smith</v>
      </c>
      <c r="E1935" t="str">
        <f>IFERROR(__xludf.DUMMYFUNCTION("""COMPUTED_VALUE"""),"Jimmy")</f>
        <v>Jimmy</v>
      </c>
      <c r="F1935" t="str">
        <f>IFERROR(__xludf.DUMMYFUNCTION("""COMPUTED_VALUE"""),"CB")</f>
        <v>CB</v>
      </c>
      <c r="G1935">
        <f>IFERROR(__xludf.DUMMYFUNCTION("""COMPUTED_VALUE"""),12.15)</f>
        <v>12.15</v>
      </c>
    </row>
    <row r="1936">
      <c r="D1936" t="str">
        <f>IFERROR(__xludf.DUMMYFUNCTION("""COMPUTED_VALUE"""),"Smith")</f>
        <v>Smith</v>
      </c>
      <c r="E1936" t="str">
        <f>IFERROR(__xludf.DUMMYFUNCTION("""COMPUTED_VALUE"""),"Keith")</f>
        <v>Keith</v>
      </c>
      <c r="F1936" t="str">
        <f>IFERROR(__xludf.DUMMYFUNCTION("""COMPUTED_VALUE"""),"FB")</f>
        <v>FB</v>
      </c>
      <c r="G1936">
        <f>IFERROR(__xludf.DUMMYFUNCTION("""COMPUTED_VALUE"""),8.1)</f>
        <v>8.1</v>
      </c>
    </row>
    <row r="1937">
      <c r="D1937" t="str">
        <f>IFERROR(__xludf.DUMMYFUNCTION("""COMPUTED_VALUE"""),"Smith")</f>
        <v>Smith</v>
      </c>
      <c r="E1937" t="str">
        <f>IFERROR(__xludf.DUMMYFUNCTION("""COMPUTED_VALUE"""),"Kevin")</f>
        <v>Kevin</v>
      </c>
      <c r="F1937" t="str">
        <f>IFERROR(__xludf.DUMMYFUNCTION("""COMPUTED_VALUE"""),"WR")</f>
        <v>WR</v>
      </c>
      <c r="G1937">
        <f>IFERROR(__xludf.DUMMYFUNCTION("""COMPUTED_VALUE"""),9.6)</f>
        <v>9.6</v>
      </c>
    </row>
    <row r="1938">
      <c r="D1938" t="str">
        <f>IFERROR(__xludf.DUMMYFUNCTION("""COMPUTED_VALUE"""),"Smith")</f>
        <v>Smith</v>
      </c>
      <c r="E1938" t="str">
        <f>IFERROR(__xludf.DUMMYFUNCTION("""COMPUTED_VALUE"""),"Lee")</f>
        <v>Lee</v>
      </c>
      <c r="F1938" t="str">
        <f>IFERROR(__xludf.DUMMYFUNCTION("""COMPUTED_VALUE"""),"TE")</f>
        <v>TE</v>
      </c>
      <c r="G1938">
        <f>IFERROR(__xludf.DUMMYFUNCTION("""COMPUTED_VALUE"""),11.25)</f>
        <v>11.25</v>
      </c>
    </row>
    <row r="1939">
      <c r="D1939" t="str">
        <f>IFERROR(__xludf.DUMMYFUNCTION("""COMPUTED_VALUE"""),"Smith")</f>
        <v>Smith</v>
      </c>
      <c r="E1939" t="str">
        <f>IFERROR(__xludf.DUMMYFUNCTION("""COMPUTED_VALUE"""),"Malcolm")</f>
        <v>Malcolm</v>
      </c>
      <c r="F1939" t="str">
        <f>IFERROR(__xludf.DUMMYFUNCTION("""COMPUTED_VALUE"""),"MLB")</f>
        <v>MLB</v>
      </c>
      <c r="G1939">
        <f>IFERROR(__xludf.DUMMYFUNCTION("""COMPUTED_VALUE"""),10.65)</f>
        <v>10.65</v>
      </c>
    </row>
    <row r="1940">
      <c r="D1940" t="str">
        <f>IFERROR(__xludf.DUMMYFUNCTION("""COMPUTED_VALUE"""),"Smith")</f>
        <v>Smith</v>
      </c>
      <c r="E1940" t="str">
        <f>IFERROR(__xludf.DUMMYFUNCTION("""COMPUTED_VALUE"""),"Preston")</f>
        <v>Preston</v>
      </c>
      <c r="F1940" t="str">
        <f>IFERROR(__xludf.DUMMYFUNCTION("""COMPUTED_VALUE"""),"ROLB")</f>
        <v>ROLB</v>
      </c>
      <c r="G1940">
        <f>IFERROR(__xludf.DUMMYFUNCTION("""COMPUTED_VALUE"""),11.549999999999999)</f>
        <v>11.55</v>
      </c>
    </row>
    <row r="1941">
      <c r="D1941" t="str">
        <f>IFERROR(__xludf.DUMMYFUNCTION("""COMPUTED_VALUE"""),"Smith")</f>
        <v>Smith</v>
      </c>
      <c r="E1941" t="str">
        <f>IFERROR(__xludf.DUMMYFUNCTION("""COMPUTED_VALUE"""),"Rod")</f>
        <v>Rod</v>
      </c>
      <c r="F1941" t="str">
        <f>IFERROR(__xludf.DUMMYFUNCTION("""COMPUTED_VALUE"""),"HB")</f>
        <v>HB</v>
      </c>
      <c r="G1941">
        <f>IFERROR(__xludf.DUMMYFUNCTION("""COMPUTED_VALUE"""),9.9)</f>
        <v>9.9</v>
      </c>
    </row>
    <row r="1942">
      <c r="D1942" t="str">
        <f>IFERROR(__xludf.DUMMYFUNCTION("""COMPUTED_VALUE"""),"Smith")</f>
        <v>Smith</v>
      </c>
      <c r="E1942" t="str">
        <f>IFERROR(__xludf.DUMMYFUNCTION("""COMPUTED_VALUE"""),"Rodney")</f>
        <v>Rodney</v>
      </c>
      <c r="F1942" t="str">
        <f>IFERROR(__xludf.DUMMYFUNCTION("""COMPUTED_VALUE"""),"WR")</f>
        <v>WR</v>
      </c>
      <c r="G1942">
        <f>IFERROR(__xludf.DUMMYFUNCTION("""COMPUTED_VALUE"""),8.85)</f>
        <v>8.85</v>
      </c>
    </row>
    <row r="1943">
      <c r="D1943" t="str">
        <f>IFERROR(__xludf.DUMMYFUNCTION("""COMPUTED_VALUE"""),"Smith")</f>
        <v>Smith</v>
      </c>
      <c r="E1943" t="str">
        <f>IFERROR(__xludf.DUMMYFUNCTION("""COMPUTED_VALUE"""),"Ryan")</f>
        <v>Ryan</v>
      </c>
      <c r="F1943" t="str">
        <f>IFERROR(__xludf.DUMMYFUNCTION("""COMPUTED_VALUE"""),"CB")</f>
        <v>CB</v>
      </c>
      <c r="G1943">
        <f>IFERROR(__xludf.DUMMYFUNCTION("""COMPUTED_VALUE"""),9.6)</f>
        <v>9.6</v>
      </c>
    </row>
    <row r="1944">
      <c r="D1944" t="str">
        <f>IFERROR(__xludf.DUMMYFUNCTION("""COMPUTED_VALUE"""),"Smith")</f>
        <v>Smith</v>
      </c>
      <c r="E1944" t="str">
        <f>IFERROR(__xludf.DUMMYFUNCTION("""COMPUTED_VALUE"""),"Sean")</f>
        <v>Sean</v>
      </c>
      <c r="F1944" t="str">
        <f>IFERROR(__xludf.DUMMYFUNCTION("""COMPUTED_VALUE"""),"CB")</f>
        <v>CB</v>
      </c>
      <c r="G1944">
        <f>IFERROR(__xludf.DUMMYFUNCTION("""COMPUTED_VALUE"""),13.2)</f>
        <v>13.2</v>
      </c>
    </row>
    <row r="1945">
      <c r="D1945" t="str">
        <f>IFERROR(__xludf.DUMMYFUNCTION("""COMPUTED_VALUE"""),"Smith")</f>
        <v>Smith</v>
      </c>
      <c r="E1945" t="str">
        <f>IFERROR(__xludf.DUMMYFUNCTION("""COMPUTED_VALUE"""),"Telvin")</f>
        <v>Telvin</v>
      </c>
      <c r="F1945" t="str">
        <f>IFERROR(__xludf.DUMMYFUNCTION("""COMPUTED_VALUE"""),"LOLB")</f>
        <v>LOLB</v>
      </c>
      <c r="G1945">
        <f>IFERROR(__xludf.DUMMYFUNCTION("""COMPUTED_VALUE"""),12.0)</f>
        <v>12</v>
      </c>
    </row>
    <row r="1946">
      <c r="D1946" t="str">
        <f>IFERROR(__xludf.DUMMYFUNCTION("""COMPUTED_VALUE"""),"Smith")</f>
        <v>Smith</v>
      </c>
      <c r="E1946" t="str">
        <f>IFERROR(__xludf.DUMMYFUNCTION("""COMPUTED_VALUE"""),"Tevaun")</f>
        <v>Tevaun</v>
      </c>
      <c r="F1946" t="str">
        <f>IFERROR(__xludf.DUMMYFUNCTION("""COMPUTED_VALUE"""),"WR")</f>
        <v>WR</v>
      </c>
      <c r="G1946">
        <f>IFERROR(__xludf.DUMMYFUNCTION("""COMPUTED_VALUE"""),9.45)</f>
        <v>9.45</v>
      </c>
    </row>
    <row r="1947">
      <c r="D1947" t="str">
        <f>IFERROR(__xludf.DUMMYFUNCTION("""COMPUTED_VALUE"""),"Smith")</f>
        <v>Smith</v>
      </c>
      <c r="E1947" t="str">
        <f>IFERROR(__xludf.DUMMYFUNCTION("""COMPUTED_VALUE"""),"Torrey")</f>
        <v>Torrey</v>
      </c>
      <c r="F1947" t="str">
        <f>IFERROR(__xludf.DUMMYFUNCTION("""COMPUTED_VALUE"""),"WR")</f>
        <v>WR</v>
      </c>
      <c r="G1947">
        <f>IFERROR(__xludf.DUMMYFUNCTION("""COMPUTED_VALUE"""),11.7)</f>
        <v>11.7</v>
      </c>
    </row>
    <row r="1948">
      <c r="D1948" t="str">
        <f>IFERROR(__xludf.DUMMYFUNCTION("""COMPUTED_VALUE"""),"Smith")</f>
        <v>Smith</v>
      </c>
      <c r="E1948" t="str">
        <f>IFERROR(__xludf.DUMMYFUNCTION("""COMPUTED_VALUE"""),"Tye")</f>
        <v>Tye</v>
      </c>
      <c r="F1948" t="str">
        <f>IFERROR(__xludf.DUMMYFUNCTION("""COMPUTED_VALUE"""),"CB")</f>
        <v>CB</v>
      </c>
      <c r="G1948">
        <f>IFERROR(__xludf.DUMMYFUNCTION("""COMPUTED_VALUE"""),9.299999999999999)</f>
        <v>9.3</v>
      </c>
    </row>
    <row r="1949">
      <c r="D1949" t="str">
        <f>IFERROR(__xludf.DUMMYFUNCTION("""COMPUTED_VALUE"""),"Smith")</f>
        <v>Smith</v>
      </c>
      <c r="E1949" t="str">
        <f>IFERROR(__xludf.DUMMYFUNCTION("""COMPUTED_VALUE"""),"Tyron")</f>
        <v>Tyron</v>
      </c>
      <c r="F1949" t="str">
        <f>IFERROR(__xludf.DUMMYFUNCTION("""COMPUTED_VALUE"""),"LT")</f>
        <v>LT</v>
      </c>
      <c r="G1949">
        <f>IFERROR(__xludf.DUMMYFUNCTION("""COMPUTED_VALUE"""),14.549999999999999)</f>
        <v>14.55</v>
      </c>
    </row>
    <row r="1950">
      <c r="D1950" t="str">
        <f>IFERROR(__xludf.DUMMYFUNCTION("""COMPUTED_VALUE"""),"Smith")</f>
        <v>Smith</v>
      </c>
      <c r="E1950" t="str">
        <f>IFERROR(__xludf.DUMMYFUNCTION("""COMPUTED_VALUE"""),"ZaDarius")</f>
        <v>ZaDarius</v>
      </c>
      <c r="F1950" t="str">
        <f>IFERROR(__xludf.DUMMYFUNCTION("""COMPUTED_VALUE"""),"ROLB")</f>
        <v>ROLB</v>
      </c>
      <c r="G1950">
        <f>IFERROR(__xludf.DUMMYFUNCTION("""COMPUTED_VALUE"""),9.75)</f>
        <v>9.75</v>
      </c>
    </row>
    <row r="1951">
      <c r="D1951" t="str">
        <f>IFERROR(__xludf.DUMMYFUNCTION("""COMPUTED_VALUE"""),"Smith II")</f>
        <v>Smith II</v>
      </c>
      <c r="E1951" t="str">
        <f>IFERROR(__xludf.DUMMYFUNCTION("""COMPUTED_VALUE"""),"Marcus")</f>
        <v>Marcus</v>
      </c>
      <c r="F1951" t="str">
        <f>IFERROR(__xludf.DUMMYFUNCTION("""COMPUTED_VALUE"""),"LE")</f>
        <v>LE</v>
      </c>
      <c r="G1951">
        <f>IFERROR(__xludf.DUMMYFUNCTION("""COMPUTED_VALUE"""),9.9)</f>
        <v>9.9</v>
      </c>
    </row>
    <row r="1952">
      <c r="D1952" t="str">
        <f>IFERROR(__xludf.DUMMYFUNCTION("""COMPUTED_VALUE"""),"Smith Sr.")</f>
        <v>Smith Sr.</v>
      </c>
      <c r="E1952" t="str">
        <f>IFERROR(__xludf.DUMMYFUNCTION("""COMPUTED_VALUE"""),"Steve")</f>
        <v>Steve</v>
      </c>
      <c r="F1952" t="str">
        <f>IFERROR(__xludf.DUMMYFUNCTION("""COMPUTED_VALUE"""),"WR")</f>
        <v>WR</v>
      </c>
      <c r="G1952">
        <f>IFERROR(__xludf.DUMMYFUNCTION("""COMPUTED_VALUE"""),13.35)</f>
        <v>13.35</v>
      </c>
    </row>
    <row r="1953">
      <c r="D1953" t="str">
        <f>IFERROR(__xludf.DUMMYFUNCTION("""COMPUTED_VALUE"""),"Snead")</f>
        <v>Snead</v>
      </c>
      <c r="E1953" t="str">
        <f>IFERROR(__xludf.DUMMYFUNCTION("""COMPUTED_VALUE"""),"Willie")</f>
        <v>Willie</v>
      </c>
      <c r="F1953" t="str">
        <f>IFERROR(__xludf.DUMMYFUNCTION("""COMPUTED_VALUE"""),"WR")</f>
        <v>WR</v>
      </c>
      <c r="G1953">
        <f>IFERROR(__xludf.DUMMYFUNCTION("""COMPUTED_VALUE"""),11.549999999999999)</f>
        <v>11.55</v>
      </c>
    </row>
    <row r="1954">
      <c r="D1954" t="str">
        <f>IFERROR(__xludf.DUMMYFUNCTION("""COMPUTED_VALUE"""),"Sokoli")</f>
        <v>Sokoli</v>
      </c>
      <c r="E1954" t="str">
        <f>IFERROR(__xludf.DUMMYFUNCTION("""COMPUTED_VALUE"""),"Kristjan")</f>
        <v>Kristjan</v>
      </c>
      <c r="F1954" t="str">
        <f>IFERROR(__xludf.DUMMYFUNCTION("""COMPUTED_VALUE"""),"LG")</f>
        <v>LG</v>
      </c>
      <c r="G1954">
        <f>IFERROR(__xludf.DUMMYFUNCTION("""COMPUTED_VALUE"""),9.299999999999999)</f>
        <v>9.3</v>
      </c>
    </row>
    <row r="1955">
      <c r="D1955" t="str">
        <f>IFERROR(__xludf.DUMMYFUNCTION("""COMPUTED_VALUE"""),"Solder")</f>
        <v>Solder</v>
      </c>
      <c r="E1955" t="str">
        <f>IFERROR(__xludf.DUMMYFUNCTION("""COMPUTED_VALUE"""),"Nate")</f>
        <v>Nate</v>
      </c>
      <c r="F1955" t="str">
        <f>IFERROR(__xludf.DUMMYFUNCTION("""COMPUTED_VALUE"""),"LT")</f>
        <v>LT</v>
      </c>
      <c r="G1955">
        <f>IFERROR(__xludf.DUMMYFUNCTION("""COMPUTED_VALUE"""),12.6)</f>
        <v>12.6</v>
      </c>
    </row>
    <row r="1956">
      <c r="D1956" t="str">
        <f>IFERROR(__xludf.DUMMYFUNCTION("""COMPUTED_VALUE"""),"Soliai")</f>
        <v>Soliai</v>
      </c>
      <c r="E1956" t="str">
        <f>IFERROR(__xludf.DUMMYFUNCTION("""COMPUTED_VALUE"""),"Paul")</f>
        <v>Paul</v>
      </c>
      <c r="F1956" t="str">
        <f>IFERROR(__xludf.DUMMYFUNCTION("""COMPUTED_VALUE"""),"DT")</f>
        <v>DT</v>
      </c>
      <c r="G1956">
        <f>IFERROR(__xludf.DUMMYFUNCTION("""COMPUTED_VALUE"""),12.0)</f>
        <v>12</v>
      </c>
    </row>
    <row r="1957">
      <c r="D1957" t="str">
        <f>IFERROR(__xludf.DUMMYFUNCTION("""COMPUTED_VALUE"""),"Sommers")</f>
        <v>Sommers</v>
      </c>
      <c r="E1957" t="str">
        <f>IFERROR(__xludf.DUMMYFUNCTION("""COMPUTED_VALUE"""),"Joe")</f>
        <v>Joe</v>
      </c>
      <c r="F1957" t="str">
        <f>IFERROR(__xludf.DUMMYFUNCTION("""COMPUTED_VALUE"""),"TE")</f>
        <v>TE</v>
      </c>
      <c r="G1957">
        <f>IFERROR(__xludf.DUMMYFUNCTION("""COMPUTED_VALUE"""),9.45)</f>
        <v>9.45</v>
      </c>
    </row>
    <row r="1958">
      <c r="D1958" t="str">
        <f>IFERROR(__xludf.DUMMYFUNCTION("""COMPUTED_VALUE"""),"Sorensen")</f>
        <v>Sorensen</v>
      </c>
      <c r="E1958" t="str">
        <f>IFERROR(__xludf.DUMMYFUNCTION("""COMPUTED_VALUE"""),"Daniel")</f>
        <v>Daniel</v>
      </c>
      <c r="F1958" t="str">
        <f>IFERROR(__xludf.DUMMYFUNCTION("""COMPUTED_VALUE"""),"FS")</f>
        <v>FS</v>
      </c>
      <c r="G1958">
        <f>IFERROR(__xludf.DUMMYFUNCTION("""COMPUTED_VALUE"""),10.35)</f>
        <v>10.35</v>
      </c>
    </row>
    <row r="1959">
      <c r="D1959" t="str">
        <f>IFERROR(__xludf.DUMMYFUNCTION("""COMPUTED_VALUE"""),"Southward")</f>
        <v>Southward</v>
      </c>
      <c r="E1959" t="str">
        <f>IFERROR(__xludf.DUMMYFUNCTION("""COMPUTED_VALUE"""),"Dezmen")</f>
        <v>Dezmen</v>
      </c>
      <c r="F1959" t="str">
        <f>IFERROR(__xludf.DUMMYFUNCTION("""COMPUTED_VALUE"""),"SS")</f>
        <v>SS</v>
      </c>
      <c r="G1959">
        <f>IFERROR(__xludf.DUMMYFUNCTION("""COMPUTED_VALUE"""),9.9)</f>
        <v>9.9</v>
      </c>
    </row>
    <row r="1960">
      <c r="D1960" t="str">
        <f>IFERROR(__xludf.DUMMYFUNCTION("""COMPUTED_VALUE"""),"Sowell")</f>
        <v>Sowell</v>
      </c>
      <c r="E1960" t="str">
        <f>IFERROR(__xludf.DUMMYFUNCTION("""COMPUTED_VALUE"""),"Bradley")</f>
        <v>Bradley</v>
      </c>
      <c r="F1960" t="str">
        <f>IFERROR(__xludf.DUMMYFUNCTION("""COMPUTED_VALUE"""),"RT")</f>
        <v>RT</v>
      </c>
      <c r="G1960">
        <f>IFERROR(__xludf.DUMMYFUNCTION("""COMPUTED_VALUE"""),11.1)</f>
        <v>11.1</v>
      </c>
    </row>
    <row r="1961">
      <c r="D1961" t="str">
        <f>IFERROR(__xludf.DUMMYFUNCTION("""COMPUTED_VALUE"""),"Spaight")</f>
        <v>Spaight</v>
      </c>
      <c r="E1961" t="str">
        <f>IFERROR(__xludf.DUMMYFUNCTION("""COMPUTED_VALUE"""),"Martrell")</f>
        <v>Martrell</v>
      </c>
      <c r="F1961" t="str">
        <f>IFERROR(__xludf.DUMMYFUNCTION("""COMPUTED_VALUE"""),"MLB")</f>
        <v>MLB</v>
      </c>
      <c r="G1961">
        <f>IFERROR(__xludf.DUMMYFUNCTION("""COMPUTED_VALUE"""),9.0)</f>
        <v>9</v>
      </c>
    </row>
    <row r="1962">
      <c r="D1962" t="str">
        <f>IFERROR(__xludf.DUMMYFUNCTION("""COMPUTED_VALUE"""),"Spain")</f>
        <v>Spain</v>
      </c>
      <c r="E1962" t="str">
        <f>IFERROR(__xludf.DUMMYFUNCTION("""COMPUTED_VALUE"""),"Quinton")</f>
        <v>Quinton</v>
      </c>
      <c r="F1962" t="str">
        <f>IFERROR(__xludf.DUMMYFUNCTION("""COMPUTED_VALUE"""),"LG")</f>
        <v>LG</v>
      </c>
      <c r="G1962">
        <f>IFERROR(__xludf.DUMMYFUNCTION("""COMPUTED_VALUE"""),10.2)</f>
        <v>10.2</v>
      </c>
    </row>
    <row r="1963">
      <c r="D1963" t="str">
        <f>IFERROR(__xludf.DUMMYFUNCTION("""COMPUTED_VALUE"""),"Spence")</f>
        <v>Spence</v>
      </c>
      <c r="E1963" t="str">
        <f>IFERROR(__xludf.DUMMYFUNCTION("""COMPUTED_VALUE"""),"Akeem")</f>
        <v>Akeem</v>
      </c>
      <c r="F1963" t="str">
        <f>IFERROR(__xludf.DUMMYFUNCTION("""COMPUTED_VALUE"""),"DT")</f>
        <v>DT</v>
      </c>
      <c r="G1963">
        <f>IFERROR(__xludf.DUMMYFUNCTION("""COMPUTED_VALUE"""),10.95)</f>
        <v>10.95</v>
      </c>
    </row>
    <row r="1964">
      <c r="D1964" t="str">
        <f>IFERROR(__xludf.DUMMYFUNCTION("""COMPUTED_VALUE"""),"Spence")</f>
        <v>Spence</v>
      </c>
      <c r="E1964" t="str">
        <f>IFERROR(__xludf.DUMMYFUNCTION("""COMPUTED_VALUE"""),"Noah")</f>
        <v>Noah</v>
      </c>
      <c r="F1964" t="str">
        <f>IFERROR(__xludf.DUMMYFUNCTION("""COMPUTED_VALUE"""),"LE")</f>
        <v>LE</v>
      </c>
      <c r="G1964">
        <f>IFERROR(__xludf.DUMMYFUNCTION("""COMPUTED_VALUE"""),10.65)</f>
        <v>10.65</v>
      </c>
    </row>
    <row r="1965">
      <c r="D1965" t="str">
        <f>IFERROR(__xludf.DUMMYFUNCTION("""COMPUTED_VALUE"""),"Spence")</f>
        <v>Spence</v>
      </c>
      <c r="E1965" t="str">
        <f>IFERROR(__xludf.DUMMYFUNCTION("""COMPUTED_VALUE"""),"Sean")</f>
        <v>Sean</v>
      </c>
      <c r="F1965" t="str">
        <f>IFERROR(__xludf.DUMMYFUNCTION("""COMPUTED_VALUE"""),"MLB")</f>
        <v>MLB</v>
      </c>
      <c r="G1965">
        <f>IFERROR(__xludf.DUMMYFUNCTION("""COMPUTED_VALUE"""),10.799999999999999)</f>
        <v>10.8</v>
      </c>
    </row>
    <row r="1966">
      <c r="D1966" t="str">
        <f>IFERROR(__xludf.DUMMYFUNCTION("""COMPUTED_VALUE"""),"Spencer")</f>
        <v>Spencer</v>
      </c>
      <c r="E1966" t="str">
        <f>IFERROR(__xludf.DUMMYFUNCTION("""COMPUTED_VALUE"""),"Evan")</f>
        <v>Evan</v>
      </c>
      <c r="F1966" t="str">
        <f>IFERROR(__xludf.DUMMYFUNCTION("""COMPUTED_VALUE"""),"WR")</f>
        <v>WR</v>
      </c>
      <c r="G1966">
        <f>IFERROR(__xludf.DUMMYFUNCTION("""COMPUTED_VALUE"""),8.549999999999999)</f>
        <v>8.55</v>
      </c>
    </row>
    <row r="1967">
      <c r="D1967" t="str">
        <f>IFERROR(__xludf.DUMMYFUNCTION("""COMPUTED_VALUE"""),"Spiller")</f>
        <v>Spiller</v>
      </c>
      <c r="E1967" t="str">
        <f>IFERROR(__xludf.DUMMYFUNCTION("""COMPUTED_VALUE"""),"CJ")</f>
        <v>CJ</v>
      </c>
      <c r="F1967" t="str">
        <f>IFERROR(__xludf.DUMMYFUNCTION("""COMPUTED_VALUE"""),"HB")</f>
        <v>HB</v>
      </c>
      <c r="G1967">
        <f>IFERROR(__xludf.DUMMYFUNCTION("""COMPUTED_VALUE"""),11.7)</f>
        <v>11.7</v>
      </c>
    </row>
    <row r="1968">
      <c r="D1968" t="str">
        <f>IFERROR(__xludf.DUMMYFUNCTION("""COMPUTED_VALUE"""),"Spriggs")</f>
        <v>Spriggs</v>
      </c>
      <c r="E1968" t="str">
        <f>IFERROR(__xludf.DUMMYFUNCTION("""COMPUTED_VALUE"""),"Jason")</f>
        <v>Jason</v>
      </c>
      <c r="F1968" t="str">
        <f>IFERROR(__xludf.DUMMYFUNCTION("""COMPUTED_VALUE"""),"LT")</f>
        <v>LT</v>
      </c>
      <c r="G1968">
        <f>IFERROR(__xludf.DUMMYFUNCTION("""COMPUTED_VALUE"""),10.5)</f>
        <v>10.5</v>
      </c>
    </row>
    <row r="1969">
      <c r="D1969" t="str">
        <f>IFERROR(__xludf.DUMMYFUNCTION("""COMPUTED_VALUE"""),"Sproles")</f>
        <v>Sproles</v>
      </c>
      <c r="E1969" t="str">
        <f>IFERROR(__xludf.DUMMYFUNCTION("""COMPUTED_VALUE"""),"Darren")</f>
        <v>Darren</v>
      </c>
      <c r="F1969" t="str">
        <f>IFERROR(__xludf.DUMMYFUNCTION("""COMPUTED_VALUE"""),"HB")</f>
        <v>HB</v>
      </c>
      <c r="G1969">
        <f>IFERROR(__xludf.DUMMYFUNCTION("""COMPUTED_VALUE"""),12.15)</f>
        <v>12.15</v>
      </c>
    </row>
    <row r="1970">
      <c r="D1970" t="str">
        <f>IFERROR(__xludf.DUMMYFUNCTION("""COMPUTED_VALUE"""),"Square")</f>
        <v>Square</v>
      </c>
      <c r="E1970" t="str">
        <f>IFERROR(__xludf.DUMMYFUNCTION("""COMPUTED_VALUE"""),"Damion")</f>
        <v>Damion</v>
      </c>
      <c r="F1970" t="str">
        <f>IFERROR(__xludf.DUMMYFUNCTION("""COMPUTED_VALUE"""),"RE")</f>
        <v>RE</v>
      </c>
      <c r="G1970">
        <f>IFERROR(__xludf.DUMMYFUNCTION("""COMPUTED_VALUE"""),9.299999999999999)</f>
        <v>9.3</v>
      </c>
    </row>
    <row r="1971">
      <c r="D1971" t="str">
        <f>IFERROR(__xludf.DUMMYFUNCTION("""COMPUTED_VALUE"""),"Stafford")</f>
        <v>Stafford</v>
      </c>
      <c r="E1971" t="str">
        <f>IFERROR(__xludf.DUMMYFUNCTION("""COMPUTED_VALUE"""),"Daimion")</f>
        <v>Daimion</v>
      </c>
      <c r="F1971" t="str">
        <f>IFERROR(__xludf.DUMMYFUNCTION("""COMPUTED_VALUE"""),"SS")</f>
        <v>SS</v>
      </c>
      <c r="G1971">
        <f>IFERROR(__xludf.DUMMYFUNCTION("""COMPUTED_VALUE"""),10.35)</f>
        <v>10.35</v>
      </c>
    </row>
    <row r="1972">
      <c r="D1972" t="str">
        <f>IFERROR(__xludf.DUMMYFUNCTION("""COMPUTED_VALUE"""),"Stafford")</f>
        <v>Stafford</v>
      </c>
      <c r="E1972" t="str">
        <f>IFERROR(__xludf.DUMMYFUNCTION("""COMPUTED_VALUE"""),"Matthew")</f>
        <v>Matthew</v>
      </c>
      <c r="F1972" t="str">
        <f>IFERROR(__xludf.DUMMYFUNCTION("""COMPUTED_VALUE"""),"QB")</f>
        <v>QB</v>
      </c>
      <c r="G1972">
        <f>IFERROR(__xludf.DUMMYFUNCTION("""COMPUTED_VALUE"""),12.75)</f>
        <v>12.75</v>
      </c>
    </row>
    <row r="1973">
      <c r="D1973" t="str">
        <f>IFERROR(__xludf.DUMMYFUNCTION("""COMPUTED_VALUE"""),"Staley")</f>
        <v>Staley</v>
      </c>
      <c r="E1973" t="str">
        <f>IFERROR(__xludf.DUMMYFUNCTION("""COMPUTED_VALUE"""),"Joe")</f>
        <v>Joe</v>
      </c>
      <c r="F1973" t="str">
        <f>IFERROR(__xludf.DUMMYFUNCTION("""COMPUTED_VALUE"""),"LT")</f>
        <v>LT</v>
      </c>
      <c r="G1973">
        <f>IFERROR(__xludf.DUMMYFUNCTION("""COMPUTED_VALUE"""),13.35)</f>
        <v>13.35</v>
      </c>
    </row>
    <row r="1974">
      <c r="D1974" t="str">
        <f>IFERROR(__xludf.DUMMYFUNCTION("""COMPUTED_VALUE"""),"Stanford")</f>
        <v>Stanford</v>
      </c>
      <c r="E1974" t="str">
        <f>IFERROR(__xludf.DUMMYFUNCTION("""COMPUTED_VALUE"""),"Julian")</f>
        <v>Julian</v>
      </c>
      <c r="F1974" t="str">
        <f>IFERROR(__xludf.DUMMYFUNCTION("""COMPUTED_VALUE"""),"ROLB")</f>
        <v>ROLB</v>
      </c>
      <c r="G1974">
        <f>IFERROR(__xludf.DUMMYFUNCTION("""COMPUTED_VALUE"""),10.35)</f>
        <v>10.35</v>
      </c>
    </row>
    <row r="1975">
      <c r="D1975" t="str">
        <f>IFERROR(__xludf.DUMMYFUNCTION("""COMPUTED_VALUE"""),"Stanley")</f>
        <v>Stanley</v>
      </c>
      <c r="E1975" t="str">
        <f>IFERROR(__xludf.DUMMYFUNCTION("""COMPUTED_VALUE"""),"Ronnie")</f>
        <v>Ronnie</v>
      </c>
      <c r="F1975" t="str">
        <f>IFERROR(__xludf.DUMMYFUNCTION("""COMPUTED_VALUE"""),"LT")</f>
        <v>LT</v>
      </c>
      <c r="G1975">
        <f>IFERROR(__xludf.DUMMYFUNCTION("""COMPUTED_VALUE"""),11.85)</f>
        <v>11.85</v>
      </c>
    </row>
    <row r="1976">
      <c r="D1976" t="str">
        <f>IFERROR(__xludf.DUMMYFUNCTION("""COMPUTED_VALUE"""),"Stanton")</f>
        <v>Stanton</v>
      </c>
      <c r="E1976" t="str">
        <f>IFERROR(__xludf.DUMMYFUNCTION("""COMPUTED_VALUE"""),"Drew")</f>
        <v>Drew</v>
      </c>
      <c r="F1976" t="str">
        <f>IFERROR(__xludf.DUMMYFUNCTION("""COMPUTED_VALUE"""),"QB")</f>
        <v>QB</v>
      </c>
      <c r="G1976">
        <f>IFERROR(__xludf.DUMMYFUNCTION("""COMPUTED_VALUE"""),10.2)</f>
        <v>10.2</v>
      </c>
    </row>
    <row r="1977">
      <c r="D1977" t="str">
        <f>IFERROR(__xludf.DUMMYFUNCTION("""COMPUTED_VALUE"""),"Staples")</f>
        <v>Staples</v>
      </c>
      <c r="E1977" t="str">
        <f>IFERROR(__xludf.DUMMYFUNCTION("""COMPUTED_VALUE"""),"Justin")</f>
        <v>Justin</v>
      </c>
      <c r="F1977" t="str">
        <f>IFERROR(__xludf.DUMMYFUNCTION("""COMPUTED_VALUE"""),"LOLB")</f>
        <v>LOLB</v>
      </c>
      <c r="G1977">
        <f>IFERROR(__xludf.DUMMYFUNCTION("""COMPUTED_VALUE"""),8.7)</f>
        <v>8.7</v>
      </c>
    </row>
    <row r="1978">
      <c r="D1978" t="str">
        <f>IFERROR(__xludf.DUMMYFUNCTION("""COMPUTED_VALUE"""),"Starks")</f>
        <v>Starks</v>
      </c>
      <c r="E1978" t="str">
        <f>IFERROR(__xludf.DUMMYFUNCTION("""COMPUTED_VALUE"""),"James")</f>
        <v>James</v>
      </c>
      <c r="F1978" t="str">
        <f>IFERROR(__xludf.DUMMYFUNCTION("""COMPUTED_VALUE"""),"HB")</f>
        <v>HB</v>
      </c>
      <c r="G1978">
        <f>IFERROR(__xludf.DUMMYFUNCTION("""COMPUTED_VALUE"""),11.85)</f>
        <v>11.85</v>
      </c>
    </row>
    <row r="1979">
      <c r="D1979" t="str">
        <f>IFERROR(__xludf.DUMMYFUNCTION("""COMPUTED_VALUE"""),"Starr")</f>
        <v>Starr</v>
      </c>
      <c r="E1979" t="str">
        <f>IFERROR(__xludf.DUMMYFUNCTION("""COMPUTED_VALUE"""),"Tyler")</f>
        <v>Tyler</v>
      </c>
      <c r="F1979" t="str">
        <f>IFERROR(__xludf.DUMMYFUNCTION("""COMPUTED_VALUE"""),"ROLB")</f>
        <v>ROLB</v>
      </c>
      <c r="G1979">
        <f>IFERROR(__xludf.DUMMYFUNCTION("""COMPUTED_VALUE"""),9.6)</f>
        <v>9.6</v>
      </c>
    </row>
    <row r="1980">
      <c r="D1980" t="str">
        <f>IFERROR(__xludf.DUMMYFUNCTION("""COMPUTED_VALUE"""),"Staten")</f>
        <v>Staten</v>
      </c>
      <c r="E1980" t="str">
        <f>IFERROR(__xludf.DUMMYFUNCTION("""COMPUTED_VALUE"""),"Jimmy")</f>
        <v>Jimmy</v>
      </c>
      <c r="F1980" t="str">
        <f>IFERROR(__xludf.DUMMYFUNCTION("""COMPUTED_VALUE"""),"RE")</f>
        <v>RE</v>
      </c>
      <c r="G1980">
        <f>IFERROR(__xludf.DUMMYFUNCTION("""COMPUTED_VALUE"""),8.4)</f>
        <v>8.4</v>
      </c>
    </row>
    <row r="1981">
      <c r="D1981" t="str">
        <f>IFERROR(__xludf.DUMMYFUNCTION("""COMPUTED_VALUE"""),"Stave")</f>
        <v>Stave</v>
      </c>
      <c r="E1981" t="str">
        <f>IFERROR(__xludf.DUMMYFUNCTION("""COMPUTED_VALUE"""),"Joel")</f>
        <v>Joel</v>
      </c>
      <c r="F1981" t="str">
        <f>IFERROR(__xludf.DUMMYFUNCTION("""COMPUTED_VALUE"""),"QB")</f>
        <v>QB</v>
      </c>
      <c r="G1981">
        <f>IFERROR(__xludf.DUMMYFUNCTION("""COMPUTED_VALUE"""),9.45)</f>
        <v>9.45</v>
      </c>
    </row>
    <row r="1982">
      <c r="D1982" t="str">
        <f>IFERROR(__xludf.DUMMYFUNCTION("""COMPUTED_VALUE"""),"Steen")</f>
        <v>Steen</v>
      </c>
      <c r="E1982" t="str">
        <f>IFERROR(__xludf.DUMMYFUNCTION("""COMPUTED_VALUE"""),"Anthony")</f>
        <v>Anthony</v>
      </c>
      <c r="F1982" t="str">
        <f>IFERROR(__xludf.DUMMYFUNCTION("""COMPUTED_VALUE"""),"RG")</f>
        <v>RG</v>
      </c>
      <c r="G1982">
        <f>IFERROR(__xludf.DUMMYFUNCTION("""COMPUTED_VALUE"""),9.299999999999999)</f>
        <v>9.3</v>
      </c>
    </row>
    <row r="1983">
      <c r="D1983" t="str">
        <f>IFERROR(__xludf.DUMMYFUNCTION("""COMPUTED_VALUE"""),"Stephen")</f>
        <v>Stephen</v>
      </c>
      <c r="E1983" t="str">
        <f>IFERROR(__xludf.DUMMYFUNCTION("""COMPUTED_VALUE"""),"Shamar")</f>
        <v>Shamar</v>
      </c>
      <c r="F1983" t="str">
        <f>IFERROR(__xludf.DUMMYFUNCTION("""COMPUTED_VALUE"""),"DT")</f>
        <v>DT</v>
      </c>
      <c r="G1983">
        <f>IFERROR(__xludf.DUMMYFUNCTION("""COMPUTED_VALUE"""),9.75)</f>
        <v>9.75</v>
      </c>
    </row>
    <row r="1984">
      <c r="D1984" t="str">
        <f>IFERROR(__xludf.DUMMYFUNCTION("""COMPUTED_VALUE"""),"Stephenson")</f>
        <v>Stephenson</v>
      </c>
      <c r="E1984" t="str">
        <f>IFERROR(__xludf.DUMMYFUNCTION("""COMPUTED_VALUE"""),"Donald")</f>
        <v>Donald</v>
      </c>
      <c r="F1984" t="str">
        <f>IFERROR(__xludf.DUMMYFUNCTION("""COMPUTED_VALUE"""),"RT")</f>
        <v>RT</v>
      </c>
      <c r="G1984">
        <f>IFERROR(__xludf.DUMMYFUNCTION("""COMPUTED_VALUE"""),10.799999999999999)</f>
        <v>10.8</v>
      </c>
    </row>
    <row r="1985">
      <c r="D1985" t="str">
        <f>IFERROR(__xludf.DUMMYFUNCTION("""COMPUTED_VALUE"""),"Sterling")</f>
        <v>Sterling</v>
      </c>
      <c r="E1985" t="str">
        <f>IFERROR(__xludf.DUMMYFUNCTION("""COMPUTED_VALUE"""),"Neal")</f>
        <v>Neal</v>
      </c>
      <c r="F1985" t="str">
        <f>IFERROR(__xludf.DUMMYFUNCTION("""COMPUTED_VALUE"""),"WR")</f>
        <v>WR</v>
      </c>
      <c r="G1985">
        <f>IFERROR(__xludf.DUMMYFUNCTION("""COMPUTED_VALUE"""),8.549999999999999)</f>
        <v>8.55</v>
      </c>
    </row>
    <row r="1986">
      <c r="D1986" t="str">
        <f>IFERROR(__xludf.DUMMYFUNCTION("""COMPUTED_VALUE"""),"Stevens")</f>
        <v>Stevens</v>
      </c>
      <c r="E1986" t="str">
        <f>IFERROR(__xludf.DUMMYFUNCTION("""COMPUTED_VALUE"""),"Craig")</f>
        <v>Craig</v>
      </c>
      <c r="F1986" t="str">
        <f>IFERROR(__xludf.DUMMYFUNCTION("""COMPUTED_VALUE"""),"TE")</f>
        <v>TE</v>
      </c>
      <c r="G1986">
        <f>IFERROR(__xludf.DUMMYFUNCTION("""COMPUTED_VALUE"""),12.0)</f>
        <v>12</v>
      </c>
    </row>
    <row r="1987">
      <c r="D1987" t="str">
        <f>IFERROR(__xludf.DUMMYFUNCTION("""COMPUTED_VALUE"""),"Steward")</f>
        <v>Steward</v>
      </c>
      <c r="E1987" t="str">
        <f>IFERROR(__xludf.DUMMYFUNCTION("""COMPUTED_VALUE"""),"Tony")</f>
        <v>Tony</v>
      </c>
      <c r="F1987" t="str">
        <f>IFERROR(__xludf.DUMMYFUNCTION("""COMPUTED_VALUE"""),"ROLB")</f>
        <v>ROLB</v>
      </c>
      <c r="G1987">
        <f>IFERROR(__xludf.DUMMYFUNCTION("""COMPUTED_VALUE"""),9.75)</f>
        <v>9.75</v>
      </c>
    </row>
    <row r="1988">
      <c r="D1988" t="str">
        <f>IFERROR(__xludf.DUMMYFUNCTION("""COMPUTED_VALUE"""),"Stewart")</f>
        <v>Stewart</v>
      </c>
      <c r="E1988" t="str">
        <f>IFERROR(__xludf.DUMMYFUNCTION("""COMPUTED_VALUE"""),"Darian")</f>
        <v>Darian</v>
      </c>
      <c r="F1988" t="str">
        <f>IFERROR(__xludf.DUMMYFUNCTION("""COMPUTED_VALUE"""),"FS")</f>
        <v>FS</v>
      </c>
      <c r="G1988">
        <f>IFERROR(__xludf.DUMMYFUNCTION("""COMPUTED_VALUE"""),12.9)</f>
        <v>12.9</v>
      </c>
    </row>
    <row r="1989">
      <c r="D1989" t="str">
        <f>IFERROR(__xludf.DUMMYFUNCTION("""COMPUTED_VALUE"""),"Stewart")</f>
        <v>Stewart</v>
      </c>
      <c r="E1989" t="str">
        <f>IFERROR(__xludf.DUMMYFUNCTION("""COMPUTED_VALUE"""),"Jonathan")</f>
        <v>Jonathan</v>
      </c>
      <c r="F1989" t="str">
        <f>IFERROR(__xludf.DUMMYFUNCTION("""COMPUTED_VALUE"""),"HB")</f>
        <v>HB</v>
      </c>
      <c r="G1989">
        <f>IFERROR(__xludf.DUMMYFUNCTION("""COMPUTED_VALUE"""),13.049999999999999)</f>
        <v>13.05</v>
      </c>
    </row>
    <row r="1990">
      <c r="D1990" t="str">
        <f>IFERROR(__xludf.DUMMYFUNCTION("""COMPUTED_VALUE"""),"Still")</f>
        <v>Still</v>
      </c>
      <c r="E1990" t="str">
        <f>IFERROR(__xludf.DUMMYFUNCTION("""COMPUTED_VALUE"""),"Devon")</f>
        <v>Devon</v>
      </c>
      <c r="F1990" t="str">
        <f>IFERROR(__xludf.DUMMYFUNCTION("""COMPUTED_VALUE"""),"DT")</f>
        <v>DT</v>
      </c>
      <c r="G1990">
        <f>IFERROR(__xludf.DUMMYFUNCTION("""COMPUTED_VALUE"""),10.049999999999999)</f>
        <v>10.05</v>
      </c>
    </row>
    <row r="1991">
      <c r="D1991" t="str">
        <f>IFERROR(__xludf.DUMMYFUNCTION("""COMPUTED_VALUE"""),"Stills")</f>
        <v>Stills</v>
      </c>
      <c r="E1991" t="str">
        <f>IFERROR(__xludf.DUMMYFUNCTION("""COMPUTED_VALUE"""),"Kenny")</f>
        <v>Kenny</v>
      </c>
      <c r="F1991" t="str">
        <f>IFERROR(__xludf.DUMMYFUNCTION("""COMPUTED_VALUE"""),"WR")</f>
        <v>WR</v>
      </c>
      <c r="G1991">
        <f>IFERROR(__xludf.DUMMYFUNCTION("""COMPUTED_VALUE"""),11.1)</f>
        <v>11.1</v>
      </c>
    </row>
    <row r="1992">
      <c r="D1992" t="str">
        <f>IFERROR(__xludf.DUMMYFUNCTION("""COMPUTED_VALUE"""),"Stingily")</f>
        <v>Stingily</v>
      </c>
      <c r="E1992" t="str">
        <f>IFERROR(__xludf.DUMMYFUNCTION("""COMPUTED_VALUE"""),"Byron")</f>
        <v>Byron</v>
      </c>
      <c r="F1992" t="str">
        <f>IFERROR(__xludf.DUMMYFUNCTION("""COMPUTED_VALUE"""),"RT")</f>
        <v>RT</v>
      </c>
      <c r="G1992">
        <f>IFERROR(__xludf.DUMMYFUNCTION("""COMPUTED_VALUE"""),10.35)</f>
        <v>10.35</v>
      </c>
    </row>
    <row r="1993">
      <c r="D1993" t="str">
        <f>IFERROR(__xludf.DUMMYFUNCTION("""COMPUTED_VALUE"""),"Stinson")</f>
        <v>Stinson</v>
      </c>
      <c r="E1993" t="str">
        <f>IFERROR(__xludf.DUMMYFUNCTION("""COMPUTED_VALUE"""),"Ed")</f>
        <v>Ed</v>
      </c>
      <c r="F1993" t="str">
        <f>IFERROR(__xludf.DUMMYFUNCTION("""COMPUTED_VALUE"""),"RE")</f>
        <v>RE</v>
      </c>
      <c r="G1993">
        <f>IFERROR(__xludf.DUMMYFUNCTION("""COMPUTED_VALUE"""),9.299999999999999)</f>
        <v>9.3</v>
      </c>
    </row>
    <row r="1994">
      <c r="D1994" t="str">
        <f>IFERROR(__xludf.DUMMYFUNCTION("""COMPUTED_VALUE"""),"Stocker")</f>
        <v>Stocker</v>
      </c>
      <c r="E1994" t="str">
        <f>IFERROR(__xludf.DUMMYFUNCTION("""COMPUTED_VALUE"""),"Luke")</f>
        <v>Luke</v>
      </c>
      <c r="F1994" t="str">
        <f>IFERROR(__xludf.DUMMYFUNCTION("""COMPUTED_VALUE"""),"TE")</f>
        <v>TE</v>
      </c>
      <c r="G1994">
        <f>IFERROR(__xludf.DUMMYFUNCTION("""COMPUTED_VALUE"""),10.95)</f>
        <v>10.95</v>
      </c>
    </row>
    <row r="1995">
      <c r="D1995" t="str">
        <f>IFERROR(__xludf.DUMMYFUNCTION("""COMPUTED_VALUE"""),"Stork")</f>
        <v>Stork</v>
      </c>
      <c r="E1995" t="str">
        <f>IFERROR(__xludf.DUMMYFUNCTION("""COMPUTED_VALUE"""),"Bryan")</f>
        <v>Bryan</v>
      </c>
      <c r="F1995" t="str">
        <f>IFERROR(__xludf.DUMMYFUNCTION("""COMPUTED_VALUE"""),"C")</f>
        <v>C</v>
      </c>
      <c r="G1995">
        <f>IFERROR(__xludf.DUMMYFUNCTION("""COMPUTED_VALUE"""),10.95)</f>
        <v>10.95</v>
      </c>
    </row>
    <row r="1996">
      <c r="D1996" t="str">
        <f>IFERROR(__xludf.DUMMYFUNCTION("""COMPUTED_VALUE"""),"Streater")</f>
        <v>Streater</v>
      </c>
      <c r="E1996" t="str">
        <f>IFERROR(__xludf.DUMMYFUNCTION("""COMPUTED_VALUE"""),"Rod")</f>
        <v>Rod</v>
      </c>
      <c r="F1996" t="str">
        <f>IFERROR(__xludf.DUMMYFUNCTION("""COMPUTED_VALUE"""),"WR")</f>
        <v>WR</v>
      </c>
      <c r="G1996">
        <f>IFERROR(__xludf.DUMMYFUNCTION("""COMPUTED_VALUE"""),10.799999999999999)</f>
        <v>10.8</v>
      </c>
    </row>
    <row r="1997">
      <c r="D1997" t="str">
        <f>IFERROR(__xludf.DUMMYFUNCTION("""COMPUTED_VALUE"""),"Street")</f>
        <v>Street</v>
      </c>
      <c r="E1997" t="str">
        <f>IFERROR(__xludf.DUMMYFUNCTION("""COMPUTED_VALUE"""),"Devin")</f>
        <v>Devin</v>
      </c>
      <c r="F1997" t="str">
        <f>IFERROR(__xludf.DUMMYFUNCTION("""COMPUTED_VALUE"""),"WR")</f>
        <v>WR</v>
      </c>
      <c r="G1997">
        <f>IFERROR(__xludf.DUMMYFUNCTION("""COMPUTED_VALUE"""),10.2)</f>
        <v>10.2</v>
      </c>
    </row>
    <row r="1998">
      <c r="D1998" t="str">
        <f>IFERROR(__xludf.DUMMYFUNCTION("""COMPUTED_VALUE"""),"Strief")</f>
        <v>Strief</v>
      </c>
      <c r="E1998" t="str">
        <f>IFERROR(__xludf.DUMMYFUNCTION("""COMPUTED_VALUE"""),"Zach")</f>
        <v>Zach</v>
      </c>
      <c r="F1998" t="str">
        <f>IFERROR(__xludf.DUMMYFUNCTION("""COMPUTED_VALUE"""),"RT")</f>
        <v>RT</v>
      </c>
      <c r="G1998">
        <f>IFERROR(__xludf.DUMMYFUNCTION("""COMPUTED_VALUE"""),12.299999999999999)</f>
        <v>12.3</v>
      </c>
    </row>
    <row r="1999">
      <c r="D1999" t="str">
        <f>IFERROR(__xludf.DUMMYFUNCTION("""COMPUTED_VALUE"""),"Strong")</f>
        <v>Strong</v>
      </c>
      <c r="E1999" t="str">
        <f>IFERROR(__xludf.DUMMYFUNCTION("""COMPUTED_VALUE"""),"Jaelen")</f>
        <v>Jaelen</v>
      </c>
      <c r="F1999" t="str">
        <f>IFERROR(__xludf.DUMMYFUNCTION("""COMPUTED_VALUE"""),"WR")</f>
        <v>WR</v>
      </c>
      <c r="G1999">
        <f>IFERROR(__xludf.DUMMYFUNCTION("""COMPUTED_VALUE"""),10.95)</f>
        <v>10.95</v>
      </c>
    </row>
    <row r="2000">
      <c r="D2000" t="str">
        <f>IFERROR(__xludf.DUMMYFUNCTION("""COMPUTED_VALUE"""),"Stuckey")</f>
        <v>Stuckey</v>
      </c>
      <c r="E2000" t="str">
        <f>IFERROR(__xludf.DUMMYFUNCTION("""COMPUTED_VALUE"""),"Darrell")</f>
        <v>Darrell</v>
      </c>
      <c r="F2000" t="str">
        <f>IFERROR(__xludf.DUMMYFUNCTION("""COMPUTED_VALUE"""),"FS")</f>
        <v>FS</v>
      </c>
      <c r="G2000">
        <f>IFERROR(__xludf.DUMMYFUNCTION("""COMPUTED_VALUE"""),10.799999999999999)</f>
        <v>10.8</v>
      </c>
    </row>
    <row r="2001">
      <c r="D2001" t="str">
        <f>IFERROR(__xludf.DUMMYFUNCTION("""COMPUTED_VALUE"""),"Stupar")</f>
        <v>Stupar</v>
      </c>
      <c r="E2001" t="str">
        <f>IFERROR(__xludf.DUMMYFUNCTION("""COMPUTED_VALUE"""),"Nathan")</f>
        <v>Nathan</v>
      </c>
      <c r="F2001" t="str">
        <f>IFERROR(__xludf.DUMMYFUNCTION("""COMPUTED_VALUE"""),"MLB")</f>
        <v>MLB</v>
      </c>
      <c r="G2001">
        <f>IFERROR(__xludf.DUMMYFUNCTION("""COMPUTED_VALUE"""),10.65)</f>
        <v>10.65</v>
      </c>
    </row>
    <row r="2002">
      <c r="D2002" t="str">
        <f>IFERROR(__xludf.DUMMYFUNCTION("""COMPUTED_VALUE"""),"Sturgis")</f>
        <v>Sturgis</v>
      </c>
      <c r="E2002" t="str">
        <f>IFERROR(__xludf.DUMMYFUNCTION("""COMPUTED_VALUE"""),"Caleb")</f>
        <v>Caleb</v>
      </c>
      <c r="F2002" t="str">
        <f>IFERROR(__xludf.DUMMYFUNCTION("""COMPUTED_VALUE"""),"K")</f>
        <v>K</v>
      </c>
      <c r="G2002">
        <f>IFERROR(__xludf.DUMMYFUNCTION("""COMPUTED_VALUE"""),11.4)</f>
        <v>11.4</v>
      </c>
    </row>
    <row r="2003">
      <c r="D2003" t="str">
        <f>IFERROR(__xludf.DUMMYFUNCTION("""COMPUTED_VALUE"""),"Sua-Filo")</f>
        <v>Sua-Filo</v>
      </c>
      <c r="E2003" t="str">
        <f>IFERROR(__xludf.DUMMYFUNCTION("""COMPUTED_VALUE"""),"Xavier")</f>
        <v>Xavier</v>
      </c>
      <c r="F2003" t="str">
        <f>IFERROR(__xludf.DUMMYFUNCTION("""COMPUTED_VALUE"""),"LG")</f>
        <v>LG</v>
      </c>
      <c r="G2003">
        <f>IFERROR(__xludf.DUMMYFUNCTION("""COMPUTED_VALUE"""),10.65)</f>
        <v>10.65</v>
      </c>
    </row>
    <row r="2004">
      <c r="D2004" t="str">
        <f>IFERROR(__xludf.DUMMYFUNCTION("""COMPUTED_VALUE"""),"Succop")</f>
        <v>Succop</v>
      </c>
      <c r="E2004" t="str">
        <f>IFERROR(__xludf.DUMMYFUNCTION("""COMPUTED_VALUE"""),"Ryan")</f>
        <v>Ryan</v>
      </c>
      <c r="F2004" t="str">
        <f>IFERROR(__xludf.DUMMYFUNCTION("""COMPUTED_VALUE"""),"K")</f>
        <v>K</v>
      </c>
      <c r="G2004">
        <f>IFERROR(__xludf.DUMMYFUNCTION("""COMPUTED_VALUE"""),12.15)</f>
        <v>12.15</v>
      </c>
    </row>
    <row r="2005">
      <c r="D2005" t="str">
        <f>IFERROR(__xludf.DUMMYFUNCTION("""COMPUTED_VALUE"""),"Sudfeld")</f>
        <v>Sudfeld</v>
      </c>
      <c r="E2005" t="str">
        <f>IFERROR(__xludf.DUMMYFUNCTION("""COMPUTED_VALUE"""),"Nate")</f>
        <v>Nate</v>
      </c>
      <c r="F2005" t="str">
        <f>IFERROR(__xludf.DUMMYFUNCTION("""COMPUTED_VALUE"""),"QB")</f>
        <v>QB</v>
      </c>
      <c r="G2005">
        <f>IFERROR(__xludf.DUMMYFUNCTION("""COMPUTED_VALUE"""),9.75)</f>
        <v>9.75</v>
      </c>
    </row>
    <row r="2006">
      <c r="D2006" t="str">
        <f>IFERROR(__xludf.DUMMYFUNCTION("""COMPUTED_VALUE"""),"Sudfeld")</f>
        <v>Sudfeld</v>
      </c>
      <c r="E2006" t="str">
        <f>IFERROR(__xludf.DUMMYFUNCTION("""COMPUTED_VALUE"""),"Zach")</f>
        <v>Zach</v>
      </c>
      <c r="F2006" t="str">
        <f>IFERROR(__xludf.DUMMYFUNCTION("""COMPUTED_VALUE"""),"TE")</f>
        <v>TE</v>
      </c>
      <c r="G2006">
        <f>IFERROR(__xludf.DUMMYFUNCTION("""COMPUTED_VALUE"""),10.5)</f>
        <v>10.5</v>
      </c>
    </row>
    <row r="2007">
      <c r="D2007" t="str">
        <f>IFERROR(__xludf.DUMMYFUNCTION("""COMPUTED_VALUE"""),"Suggs")</f>
        <v>Suggs</v>
      </c>
      <c r="E2007" t="str">
        <f>IFERROR(__xludf.DUMMYFUNCTION("""COMPUTED_VALUE"""),"Terrell")</f>
        <v>Terrell</v>
      </c>
      <c r="F2007" t="str">
        <f>IFERROR(__xludf.DUMMYFUNCTION("""COMPUTED_VALUE"""),"ROLB")</f>
        <v>ROLB</v>
      </c>
      <c r="G2007">
        <f>IFERROR(__xludf.DUMMYFUNCTION("""COMPUTED_VALUE"""),13.5)</f>
        <v>13.5</v>
      </c>
    </row>
    <row r="2008">
      <c r="D2008" t="str">
        <f>IFERROR(__xludf.DUMMYFUNCTION("""COMPUTED_VALUE"""),"Suh")</f>
        <v>Suh</v>
      </c>
      <c r="E2008" t="str">
        <f>IFERROR(__xludf.DUMMYFUNCTION("""COMPUTED_VALUE"""),"Ndamukong")</f>
        <v>Ndamukong</v>
      </c>
      <c r="F2008" t="str">
        <f>IFERROR(__xludf.DUMMYFUNCTION("""COMPUTED_VALUE"""),"DT")</f>
        <v>DT</v>
      </c>
      <c r="G2008">
        <f>IFERROR(__xludf.DUMMYFUNCTION("""COMPUTED_VALUE"""),13.95)</f>
        <v>13.95</v>
      </c>
    </row>
    <row r="2009">
      <c r="D2009" t="str">
        <f>IFERROR(__xludf.DUMMYFUNCTION("""COMPUTED_VALUE"""),"Sulleyman")</f>
        <v>Sulleyman</v>
      </c>
      <c r="E2009" t="str">
        <f>IFERROR(__xludf.DUMMYFUNCTION("""COMPUTED_VALUE"""),"Sadat")</f>
        <v>Sadat</v>
      </c>
      <c r="F2009" t="str">
        <f>IFERROR(__xludf.DUMMYFUNCTION("""COMPUTED_VALUE"""),"ROLB")</f>
        <v>ROLB</v>
      </c>
      <c r="G2009">
        <f>IFERROR(__xludf.DUMMYFUNCTION("""COMPUTED_VALUE"""),9.0)</f>
        <v>9</v>
      </c>
    </row>
    <row r="2010">
      <c r="D2010" t="str">
        <f>IFERROR(__xludf.DUMMYFUNCTION("""COMPUTED_VALUE"""),"Sullivan")</f>
        <v>Sullivan</v>
      </c>
      <c r="E2010" t="str">
        <f>IFERROR(__xludf.DUMMYFUNCTION("""COMPUTED_VALUE"""),"John")</f>
        <v>John</v>
      </c>
      <c r="F2010" t="str">
        <f>IFERROR(__xludf.DUMMYFUNCTION("""COMPUTED_VALUE"""),"C")</f>
        <v>C</v>
      </c>
      <c r="G2010">
        <f>IFERROR(__xludf.DUMMYFUNCTION("""COMPUTED_VALUE"""),12.9)</f>
        <v>12.9</v>
      </c>
    </row>
    <row r="2011">
      <c r="D2011" t="str">
        <f>IFERROR(__xludf.DUMMYFUNCTION("""COMPUTED_VALUE"""),"Sundberg")</f>
        <v>Sundberg</v>
      </c>
      <c r="E2011" t="str">
        <f>IFERROR(__xludf.DUMMYFUNCTION("""COMPUTED_VALUE"""),"Nick")</f>
        <v>Nick</v>
      </c>
      <c r="F2011" t="str">
        <f>IFERROR(__xludf.DUMMYFUNCTION("""COMPUTED_VALUE"""),"C")</f>
        <v>C</v>
      </c>
      <c r="G2011">
        <f>IFERROR(__xludf.DUMMYFUNCTION("""COMPUTED_VALUE"""),8.1)</f>
        <v>8.1</v>
      </c>
    </row>
    <row r="2012">
      <c r="D2012" t="str">
        <f>IFERROR(__xludf.DUMMYFUNCTION("""COMPUTED_VALUE"""),"Supernaw")</f>
        <v>Supernaw</v>
      </c>
      <c r="E2012" t="str">
        <f>IFERROR(__xludf.DUMMYFUNCTION("""COMPUTED_VALUE"""),"Phillip")</f>
        <v>Phillip</v>
      </c>
      <c r="F2012" t="str">
        <f>IFERROR(__xludf.DUMMYFUNCTION("""COMPUTED_VALUE"""),"TE")</f>
        <v>TE</v>
      </c>
      <c r="G2012">
        <f>IFERROR(__xludf.DUMMYFUNCTION("""COMPUTED_VALUE"""),10.799999999999999)</f>
        <v>10.8</v>
      </c>
    </row>
    <row r="2013">
      <c r="D2013" t="str">
        <f>IFERROR(__xludf.DUMMYFUNCTION("""COMPUTED_VALUE"""),"Sutton")</f>
        <v>Sutton</v>
      </c>
      <c r="E2013" t="str">
        <f>IFERROR(__xludf.DUMMYFUNCTION("""COMPUTED_VALUE"""),"Will")</f>
        <v>Will</v>
      </c>
      <c r="F2013" t="str">
        <f>IFERROR(__xludf.DUMMYFUNCTION("""COMPUTED_VALUE"""),"LE")</f>
        <v>LE</v>
      </c>
      <c r="G2013">
        <f>IFERROR(__xludf.DUMMYFUNCTION("""COMPUTED_VALUE"""),9.75)</f>
        <v>9.75</v>
      </c>
    </row>
    <row r="2014">
      <c r="D2014" t="str">
        <f>IFERROR(__xludf.DUMMYFUNCTION("""COMPUTED_VALUE"""),"Swaim")</f>
        <v>Swaim</v>
      </c>
      <c r="E2014" t="str">
        <f>IFERROR(__xludf.DUMMYFUNCTION("""COMPUTED_VALUE"""),"Geoff")</f>
        <v>Geoff</v>
      </c>
      <c r="F2014" t="str">
        <f>IFERROR(__xludf.DUMMYFUNCTION("""COMPUTED_VALUE"""),"TE")</f>
        <v>TE</v>
      </c>
      <c r="G2014">
        <f>IFERROR(__xludf.DUMMYFUNCTION("""COMPUTED_VALUE"""),9.6)</f>
        <v>9.6</v>
      </c>
    </row>
    <row r="2015">
      <c r="D2015" t="str">
        <f>IFERROR(__xludf.DUMMYFUNCTION("""COMPUTED_VALUE"""),"Swain")</f>
        <v>Swain</v>
      </c>
      <c r="E2015" t="str">
        <f>IFERROR(__xludf.DUMMYFUNCTION("""COMPUTED_VALUE"""),"Chris")</f>
        <v>Chris</v>
      </c>
      <c r="F2015" t="str">
        <f>IFERROR(__xludf.DUMMYFUNCTION("""COMPUTED_VALUE"""),"FB")</f>
        <v>FB</v>
      </c>
      <c r="G2015">
        <f>IFERROR(__xludf.DUMMYFUNCTION("""COMPUTED_VALUE"""),9.0)</f>
        <v>9</v>
      </c>
    </row>
    <row r="2016">
      <c r="D2016" t="str">
        <f>IFERROR(__xludf.DUMMYFUNCTION("""COMPUTED_VALUE"""),"Swann")</f>
        <v>Swann</v>
      </c>
      <c r="E2016" t="str">
        <f>IFERROR(__xludf.DUMMYFUNCTION("""COMPUTED_VALUE"""),"Damian")</f>
        <v>Damian</v>
      </c>
      <c r="F2016" t="str">
        <f>IFERROR(__xludf.DUMMYFUNCTION("""COMPUTED_VALUE"""),"CB")</f>
        <v>CB</v>
      </c>
      <c r="G2016">
        <f>IFERROR(__xludf.DUMMYFUNCTION("""COMPUTED_VALUE"""),10.2)</f>
        <v>10.2</v>
      </c>
    </row>
    <row r="2017">
      <c r="D2017" t="str">
        <f>IFERROR(__xludf.DUMMYFUNCTION("""COMPUTED_VALUE"""),"Swanson")</f>
        <v>Swanson</v>
      </c>
      <c r="E2017" t="str">
        <f>IFERROR(__xludf.DUMMYFUNCTION("""COMPUTED_VALUE"""),"Garrett")</f>
        <v>Garrett</v>
      </c>
      <c r="F2017" t="str">
        <f>IFERROR(__xludf.DUMMYFUNCTION("""COMPUTED_VALUE"""),"P")</f>
        <v>P</v>
      </c>
      <c r="G2017">
        <f>IFERROR(__xludf.DUMMYFUNCTION("""COMPUTED_VALUE"""),10.35)</f>
        <v>10.35</v>
      </c>
    </row>
    <row r="2018">
      <c r="D2018" t="str">
        <f>IFERROR(__xludf.DUMMYFUNCTION("""COMPUTED_VALUE"""),"Swanson")</f>
        <v>Swanson</v>
      </c>
      <c r="E2018" t="str">
        <f>IFERROR(__xludf.DUMMYFUNCTION("""COMPUTED_VALUE"""),"Travis")</f>
        <v>Travis</v>
      </c>
      <c r="F2018" t="str">
        <f>IFERROR(__xludf.DUMMYFUNCTION("""COMPUTED_VALUE"""),"C")</f>
        <v>C</v>
      </c>
      <c r="G2018">
        <f>IFERROR(__xludf.DUMMYFUNCTION("""COMPUTED_VALUE"""),10.049999999999999)</f>
        <v>10.05</v>
      </c>
    </row>
    <row r="2019">
      <c r="D2019" t="str">
        <f>IFERROR(__xludf.DUMMYFUNCTION("""COMPUTED_VALUE"""),"Swearinger")</f>
        <v>Swearinger</v>
      </c>
      <c r="E2019" t="str">
        <f>IFERROR(__xludf.DUMMYFUNCTION("""COMPUTED_VALUE"""),"DJ")</f>
        <v>DJ</v>
      </c>
      <c r="F2019" t="str">
        <f>IFERROR(__xludf.DUMMYFUNCTION("""COMPUTED_VALUE"""),"SS")</f>
        <v>SS</v>
      </c>
      <c r="G2019">
        <f>IFERROR(__xludf.DUMMYFUNCTION("""COMPUTED_VALUE"""),10.799999999999999)</f>
        <v>10.8</v>
      </c>
    </row>
    <row r="2020">
      <c r="D2020" t="str">
        <f>IFERROR(__xludf.DUMMYFUNCTION("""COMPUTED_VALUE"""),"Sweezy")</f>
        <v>Sweezy</v>
      </c>
      <c r="E2020" t="str">
        <f>IFERROR(__xludf.DUMMYFUNCTION("""COMPUTED_VALUE"""),"JR")</f>
        <v>JR</v>
      </c>
      <c r="F2020" t="str">
        <f>IFERROR(__xludf.DUMMYFUNCTION("""COMPUTED_VALUE"""),"LG")</f>
        <v>LG</v>
      </c>
      <c r="G2020">
        <f>IFERROR(__xludf.DUMMYFUNCTION("""COMPUTED_VALUE"""),11.4)</f>
        <v>11.4</v>
      </c>
    </row>
    <row r="2021">
      <c r="D2021" t="str">
        <f>IFERROR(__xludf.DUMMYFUNCTION("""COMPUTED_VALUE"""),"Swoope")</f>
        <v>Swoope</v>
      </c>
      <c r="E2021" t="str">
        <f>IFERROR(__xludf.DUMMYFUNCTION("""COMPUTED_VALUE"""),"Erik")</f>
        <v>Erik</v>
      </c>
      <c r="F2021" t="str">
        <f>IFERROR(__xludf.DUMMYFUNCTION("""COMPUTED_VALUE"""),"TE")</f>
        <v>TE</v>
      </c>
      <c r="G2021">
        <f>IFERROR(__xludf.DUMMYFUNCTION("""COMPUTED_VALUE"""),8.7)</f>
        <v>8.7</v>
      </c>
    </row>
    <row r="2022">
      <c r="D2022" t="str">
        <f>IFERROR(__xludf.DUMMYFUNCTION("""COMPUTED_VALUE"""),"Taamu")</f>
        <v>Taamu</v>
      </c>
      <c r="E2022" t="str">
        <f>IFERROR(__xludf.DUMMYFUNCTION("""COMPUTED_VALUE"""),"Alameda")</f>
        <v>Alameda</v>
      </c>
      <c r="F2022" t="str">
        <f>IFERROR(__xludf.DUMMYFUNCTION("""COMPUTED_VALUE"""),"DT")</f>
        <v>DT</v>
      </c>
      <c r="G2022">
        <f>IFERROR(__xludf.DUMMYFUNCTION("""COMPUTED_VALUE"""),10.65)</f>
        <v>10.65</v>
      </c>
    </row>
    <row r="2023">
      <c r="D2023" t="str">
        <f>IFERROR(__xludf.DUMMYFUNCTION("""COMPUTED_VALUE"""),"Taliaferro")</f>
        <v>Taliaferro</v>
      </c>
      <c r="E2023" t="str">
        <f>IFERROR(__xludf.DUMMYFUNCTION("""COMPUTED_VALUE"""),"Lorenzo")</f>
        <v>Lorenzo</v>
      </c>
      <c r="F2023" t="str">
        <f>IFERROR(__xludf.DUMMYFUNCTION("""COMPUTED_VALUE"""),"HB")</f>
        <v>HB</v>
      </c>
      <c r="G2023">
        <f>IFERROR(__xludf.DUMMYFUNCTION("""COMPUTED_VALUE"""),10.95)</f>
        <v>10.95</v>
      </c>
    </row>
    <row r="2024">
      <c r="D2024" t="str">
        <f>IFERROR(__xludf.DUMMYFUNCTION("""COMPUTED_VALUE"""),"Talib")</f>
        <v>Talib</v>
      </c>
      <c r="E2024" t="str">
        <f>IFERROR(__xludf.DUMMYFUNCTION("""COMPUTED_VALUE"""),"Aqib")</f>
        <v>Aqib</v>
      </c>
      <c r="F2024" t="str">
        <f>IFERROR(__xludf.DUMMYFUNCTION("""COMPUTED_VALUE"""),"CB")</f>
        <v>CB</v>
      </c>
      <c r="G2024">
        <f>IFERROR(__xludf.DUMMYFUNCTION("""COMPUTED_VALUE"""),13.5)</f>
        <v>13.5</v>
      </c>
    </row>
    <row r="2025">
      <c r="D2025" t="str">
        <f>IFERROR(__xludf.DUMMYFUNCTION("""COMPUTED_VALUE"""),"Tamme")</f>
        <v>Tamme</v>
      </c>
      <c r="E2025" t="str">
        <f>IFERROR(__xludf.DUMMYFUNCTION("""COMPUTED_VALUE"""),"Jacob")</f>
        <v>Jacob</v>
      </c>
      <c r="F2025" t="str">
        <f>IFERROR(__xludf.DUMMYFUNCTION("""COMPUTED_VALUE"""),"TE")</f>
        <v>TE</v>
      </c>
      <c r="G2025">
        <f>IFERROR(__xludf.DUMMYFUNCTION("""COMPUTED_VALUE"""),11.85)</f>
        <v>11.85</v>
      </c>
    </row>
    <row r="2026">
      <c r="D2026" t="str">
        <f>IFERROR(__xludf.DUMMYFUNCTION("""COMPUTED_VALUE"""),"Tandy")</f>
        <v>Tandy</v>
      </c>
      <c r="E2026" t="str">
        <f>IFERROR(__xludf.DUMMYFUNCTION("""COMPUTED_VALUE"""),"Keith")</f>
        <v>Keith</v>
      </c>
      <c r="F2026" t="str">
        <f>IFERROR(__xludf.DUMMYFUNCTION("""COMPUTED_VALUE"""),"SS")</f>
        <v>SS</v>
      </c>
      <c r="G2026">
        <f>IFERROR(__xludf.DUMMYFUNCTION("""COMPUTED_VALUE"""),10.65)</f>
        <v>10.65</v>
      </c>
    </row>
    <row r="2027">
      <c r="D2027" t="str">
        <f>IFERROR(__xludf.DUMMYFUNCTION("""COMPUTED_VALUE"""),"Tannehill")</f>
        <v>Tannehill</v>
      </c>
      <c r="E2027" t="str">
        <f>IFERROR(__xludf.DUMMYFUNCTION("""COMPUTED_VALUE"""),"Ryan")</f>
        <v>Ryan</v>
      </c>
      <c r="F2027" t="str">
        <f>IFERROR(__xludf.DUMMYFUNCTION("""COMPUTED_VALUE"""),"QB")</f>
        <v>QB</v>
      </c>
      <c r="G2027">
        <f>IFERROR(__xludf.DUMMYFUNCTION("""COMPUTED_VALUE"""),11.85)</f>
        <v>11.85</v>
      </c>
    </row>
    <row r="2028">
      <c r="D2028" t="str">
        <f>IFERROR(__xludf.DUMMYFUNCTION("""COMPUTED_VALUE"""),"Tanney")</f>
        <v>Tanney</v>
      </c>
      <c r="E2028" t="str">
        <f>IFERROR(__xludf.DUMMYFUNCTION("""COMPUTED_VALUE"""),"Alex")</f>
        <v>Alex</v>
      </c>
      <c r="F2028" t="str">
        <f>IFERROR(__xludf.DUMMYFUNCTION("""COMPUTED_VALUE"""),"QB")</f>
        <v>QB</v>
      </c>
      <c r="G2028">
        <f>IFERROR(__xludf.DUMMYFUNCTION("""COMPUTED_VALUE"""),9.45)</f>
        <v>9.45</v>
      </c>
    </row>
    <row r="2029">
      <c r="D2029" t="str">
        <f>IFERROR(__xludf.DUMMYFUNCTION("""COMPUTED_VALUE"""),"Tapper")</f>
        <v>Tapper</v>
      </c>
      <c r="E2029" t="str">
        <f>IFERROR(__xludf.DUMMYFUNCTION("""COMPUTED_VALUE"""),"Charles")</f>
        <v>Charles</v>
      </c>
      <c r="F2029" t="str">
        <f>IFERROR(__xludf.DUMMYFUNCTION("""COMPUTED_VALUE"""),"RE")</f>
        <v>RE</v>
      </c>
      <c r="G2029">
        <f>IFERROR(__xludf.DUMMYFUNCTION("""COMPUTED_VALUE"""),10.2)</f>
        <v>10.2</v>
      </c>
    </row>
    <row r="2030">
      <c r="D2030" t="str">
        <f>IFERROR(__xludf.DUMMYFUNCTION("""COMPUTED_VALUE"""),"Tartt")</f>
        <v>Tartt</v>
      </c>
      <c r="E2030" t="str">
        <f>IFERROR(__xludf.DUMMYFUNCTION("""COMPUTED_VALUE"""),"Jaquiski")</f>
        <v>Jaquiski</v>
      </c>
      <c r="F2030" t="str">
        <f>IFERROR(__xludf.DUMMYFUNCTION("""COMPUTED_VALUE"""),"SS")</f>
        <v>SS</v>
      </c>
      <c r="G2030">
        <f>IFERROR(__xludf.DUMMYFUNCTION("""COMPUTED_VALUE"""),10.65)</f>
        <v>10.65</v>
      </c>
    </row>
    <row r="2031">
      <c r="D2031" t="str">
        <f>IFERROR(__xludf.DUMMYFUNCTION("""COMPUTED_VALUE"""),"Tate")</f>
        <v>Tate</v>
      </c>
      <c r="E2031" t="str">
        <f>IFERROR(__xludf.DUMMYFUNCTION("""COMPUTED_VALUE"""),"Brandon")</f>
        <v>Brandon</v>
      </c>
      <c r="F2031" t="str">
        <f>IFERROR(__xludf.DUMMYFUNCTION("""COMPUTED_VALUE"""),"WR")</f>
        <v>WR</v>
      </c>
      <c r="G2031">
        <f>IFERROR(__xludf.DUMMYFUNCTION("""COMPUTED_VALUE"""),10.65)</f>
        <v>10.65</v>
      </c>
    </row>
    <row r="2032">
      <c r="D2032" t="str">
        <f>IFERROR(__xludf.DUMMYFUNCTION("""COMPUTED_VALUE"""),"Tate III")</f>
        <v>Tate III</v>
      </c>
      <c r="E2032" t="str">
        <f>IFERROR(__xludf.DUMMYFUNCTION("""COMPUTED_VALUE"""),"Golden")</f>
        <v>Golden</v>
      </c>
      <c r="F2032" t="str">
        <f>IFERROR(__xludf.DUMMYFUNCTION("""COMPUTED_VALUE"""),"WR")</f>
        <v>WR</v>
      </c>
      <c r="G2032">
        <f>IFERROR(__xludf.DUMMYFUNCTION("""COMPUTED_VALUE"""),13.35)</f>
        <v>13.35</v>
      </c>
    </row>
    <row r="2033">
      <c r="D2033" t="str">
        <f>IFERROR(__xludf.DUMMYFUNCTION("""COMPUTED_VALUE"""),"Tavai")</f>
        <v>Tavai</v>
      </c>
      <c r="E2033" t="str">
        <f>IFERROR(__xludf.DUMMYFUNCTION("""COMPUTED_VALUE"""),"JR")</f>
        <v>JR</v>
      </c>
      <c r="F2033" t="str">
        <f>IFERROR(__xludf.DUMMYFUNCTION("""COMPUTED_VALUE"""),"ROLB")</f>
        <v>ROLB</v>
      </c>
      <c r="G2033">
        <f>IFERROR(__xludf.DUMMYFUNCTION("""COMPUTED_VALUE"""),8.85)</f>
        <v>8.85</v>
      </c>
    </row>
    <row r="2034">
      <c r="D2034" t="str">
        <f>IFERROR(__xludf.DUMMYFUNCTION("""COMPUTED_VALUE"""),"Tavecchio")</f>
        <v>Tavecchio</v>
      </c>
      <c r="E2034" t="str">
        <f>IFERROR(__xludf.DUMMYFUNCTION("""COMPUTED_VALUE"""),"Giorgio")</f>
        <v>Giorgio</v>
      </c>
      <c r="F2034" t="str">
        <f>IFERROR(__xludf.DUMMYFUNCTION("""COMPUTED_VALUE"""),"K")</f>
        <v>K</v>
      </c>
      <c r="G2034">
        <f>IFERROR(__xludf.DUMMYFUNCTION("""COMPUTED_VALUE"""),10.049999999999999)</f>
        <v>10.05</v>
      </c>
    </row>
    <row r="2035">
      <c r="D2035" t="str">
        <f>IFERROR(__xludf.DUMMYFUNCTION("""COMPUTED_VALUE"""),"Taylor")</f>
        <v>Taylor</v>
      </c>
      <c r="E2035" t="str">
        <f>IFERROR(__xludf.DUMMYFUNCTION("""COMPUTED_VALUE"""),"Cooper")</f>
        <v>Cooper</v>
      </c>
      <c r="F2035" t="str">
        <f>IFERROR(__xludf.DUMMYFUNCTION("""COMPUTED_VALUE"""),"SS")</f>
        <v>SS</v>
      </c>
      <c r="G2035">
        <f>IFERROR(__xludf.DUMMYFUNCTION("""COMPUTED_VALUE"""),10.35)</f>
        <v>10.35</v>
      </c>
    </row>
    <row r="2036">
      <c r="D2036" t="str">
        <f>IFERROR(__xludf.DUMMYFUNCTION("""COMPUTED_VALUE"""),"Taylor")</f>
        <v>Taylor</v>
      </c>
      <c r="E2036" t="str">
        <f>IFERROR(__xludf.DUMMYFUNCTION("""COMPUTED_VALUE"""),"Devin")</f>
        <v>Devin</v>
      </c>
      <c r="F2036" t="str">
        <f>IFERROR(__xludf.DUMMYFUNCTION("""COMPUTED_VALUE"""),"LE")</f>
        <v>LE</v>
      </c>
      <c r="G2036">
        <f>IFERROR(__xludf.DUMMYFUNCTION("""COMPUTED_VALUE"""),10.799999999999999)</f>
        <v>10.8</v>
      </c>
    </row>
    <row r="2037">
      <c r="D2037" t="str">
        <f>IFERROR(__xludf.DUMMYFUNCTION("""COMPUTED_VALUE"""),"Taylor")</f>
        <v>Taylor</v>
      </c>
      <c r="E2037" t="str">
        <f>IFERROR(__xludf.DUMMYFUNCTION("""COMPUTED_VALUE"""),"Jamar")</f>
        <v>Jamar</v>
      </c>
      <c r="F2037" t="str">
        <f>IFERROR(__xludf.DUMMYFUNCTION("""COMPUTED_VALUE"""),"CB")</f>
        <v>CB</v>
      </c>
      <c r="G2037">
        <f>IFERROR(__xludf.DUMMYFUNCTION("""COMPUTED_VALUE"""),10.5)</f>
        <v>10.5</v>
      </c>
    </row>
    <row r="2038">
      <c r="D2038" t="str">
        <f>IFERROR(__xludf.DUMMYFUNCTION("""COMPUTED_VALUE"""),"Taylor")</f>
        <v>Taylor</v>
      </c>
      <c r="E2038" t="str">
        <f>IFERROR(__xludf.DUMMYFUNCTION("""COMPUTED_VALUE"""),"Kelvin")</f>
        <v>Kelvin</v>
      </c>
      <c r="F2038" t="str">
        <f>IFERROR(__xludf.DUMMYFUNCTION("""COMPUTED_VALUE"""),"HB")</f>
        <v>HB</v>
      </c>
      <c r="G2038">
        <f>IFERROR(__xludf.DUMMYFUNCTION("""COMPUTED_VALUE"""),10.049999999999999)</f>
        <v>10.05</v>
      </c>
    </row>
    <row r="2039">
      <c r="D2039" t="str">
        <f>IFERROR(__xludf.DUMMYFUNCTION("""COMPUTED_VALUE"""),"Taylor")</f>
        <v>Taylor</v>
      </c>
      <c r="E2039" t="str">
        <f>IFERROR(__xludf.DUMMYFUNCTION("""COMPUTED_VALUE"""),"Lane")</f>
        <v>Lane</v>
      </c>
      <c r="F2039" t="str">
        <f>IFERROR(__xludf.DUMMYFUNCTION("""COMPUTED_VALUE"""),"LG")</f>
        <v>LG</v>
      </c>
      <c r="G2039">
        <f>IFERROR(__xludf.DUMMYFUNCTION("""COMPUTED_VALUE"""),10.049999999999999)</f>
        <v>10.05</v>
      </c>
    </row>
    <row r="2040">
      <c r="D2040" t="str">
        <f>IFERROR(__xludf.DUMMYFUNCTION("""COMPUTED_VALUE"""),"Taylor")</f>
        <v>Taylor</v>
      </c>
      <c r="E2040" t="str">
        <f>IFERROR(__xludf.DUMMYFUNCTION("""COMPUTED_VALUE"""),"Stepfan")</f>
        <v>Stepfan</v>
      </c>
      <c r="F2040" t="str">
        <f>IFERROR(__xludf.DUMMYFUNCTION("""COMPUTED_VALUE"""),"HB")</f>
        <v>HB</v>
      </c>
      <c r="G2040">
        <f>IFERROR(__xludf.DUMMYFUNCTION("""COMPUTED_VALUE"""),10.95)</f>
        <v>10.95</v>
      </c>
    </row>
    <row r="2041">
      <c r="D2041" t="str">
        <f>IFERROR(__xludf.DUMMYFUNCTION("""COMPUTED_VALUE"""),"Taylor")</f>
        <v>Taylor</v>
      </c>
      <c r="E2041" t="str">
        <f>IFERROR(__xludf.DUMMYFUNCTION("""COMPUTED_VALUE"""),"Tyrod")</f>
        <v>Tyrod</v>
      </c>
      <c r="F2041" t="str">
        <f>IFERROR(__xludf.DUMMYFUNCTION("""COMPUTED_VALUE"""),"QB")</f>
        <v>QB</v>
      </c>
      <c r="G2041">
        <f>IFERROR(__xludf.DUMMYFUNCTION("""COMPUTED_VALUE"""),12.299999999999999)</f>
        <v>12.3</v>
      </c>
    </row>
    <row r="2042">
      <c r="D2042" t="str">
        <f>IFERROR(__xludf.DUMMYFUNCTION("""COMPUTED_VALUE"""),"Telfer")</f>
        <v>Telfer</v>
      </c>
      <c r="E2042" t="str">
        <f>IFERROR(__xludf.DUMMYFUNCTION("""COMPUTED_VALUE"""),"Randall")</f>
        <v>Randall</v>
      </c>
      <c r="F2042" t="str">
        <f>IFERROR(__xludf.DUMMYFUNCTION("""COMPUTED_VALUE"""),"TE")</f>
        <v>TE</v>
      </c>
      <c r="G2042">
        <f>IFERROR(__xludf.DUMMYFUNCTION("""COMPUTED_VALUE"""),9.9)</f>
        <v>9.9</v>
      </c>
    </row>
    <row r="2043">
      <c r="D2043" t="str">
        <f>IFERROR(__xludf.DUMMYFUNCTION("""COMPUTED_VALUE"""),"Teo")</f>
        <v>Teo</v>
      </c>
      <c r="E2043" t="str">
        <f>IFERROR(__xludf.DUMMYFUNCTION("""COMPUTED_VALUE"""),"Manti")</f>
        <v>Manti</v>
      </c>
      <c r="F2043" t="str">
        <f>IFERROR(__xludf.DUMMYFUNCTION("""COMPUTED_VALUE"""),"MLB")</f>
        <v>MLB</v>
      </c>
      <c r="G2043">
        <f>IFERROR(__xludf.DUMMYFUNCTION("""COMPUTED_VALUE"""),11.25)</f>
        <v>11.25</v>
      </c>
    </row>
    <row r="2044">
      <c r="D2044" t="str">
        <f>IFERROR(__xludf.DUMMYFUNCTION("""COMPUTED_VALUE"""),"Terrell")</f>
        <v>Terrell</v>
      </c>
      <c r="E2044" t="str">
        <f>IFERROR(__xludf.DUMMYFUNCTION("""COMPUTED_VALUE"""),"Steven")</f>
        <v>Steven</v>
      </c>
      <c r="F2044" t="str">
        <f>IFERROR(__xludf.DUMMYFUNCTION("""COMPUTED_VALUE"""),"FS")</f>
        <v>FS</v>
      </c>
      <c r="G2044">
        <f>IFERROR(__xludf.DUMMYFUNCTION("""COMPUTED_VALUE"""),10.2)</f>
        <v>10.2</v>
      </c>
    </row>
    <row r="2045">
      <c r="D2045" t="str">
        <f>IFERROR(__xludf.DUMMYFUNCTION("""COMPUTED_VALUE"""),"Therezie")</f>
        <v>Therezie</v>
      </c>
      <c r="E2045" t="str">
        <f>IFERROR(__xludf.DUMMYFUNCTION("""COMPUTED_VALUE"""),"Robenson")</f>
        <v>Robenson</v>
      </c>
      <c r="F2045" t="str">
        <f>IFERROR(__xludf.DUMMYFUNCTION("""COMPUTED_VALUE"""),"FS")</f>
        <v>FS</v>
      </c>
      <c r="G2045">
        <f>IFERROR(__xludf.DUMMYFUNCTION("""COMPUTED_VALUE"""),10.2)</f>
        <v>10.2</v>
      </c>
    </row>
    <row r="2046">
      <c r="D2046" t="str">
        <f>IFERROR(__xludf.DUMMYFUNCTION("""COMPUTED_VALUE"""),"Theus")</f>
        <v>Theus</v>
      </c>
      <c r="E2046" t="str">
        <f>IFERROR(__xludf.DUMMYFUNCTION("""COMPUTED_VALUE"""),"John")</f>
        <v>John</v>
      </c>
      <c r="F2046" t="str">
        <f>IFERROR(__xludf.DUMMYFUNCTION("""COMPUTED_VALUE"""),"LT")</f>
        <v>LT</v>
      </c>
      <c r="G2046">
        <f>IFERROR(__xludf.DUMMYFUNCTION("""COMPUTED_VALUE"""),9.45)</f>
        <v>9.45</v>
      </c>
    </row>
    <row r="2047">
      <c r="D2047" t="str">
        <f>IFERROR(__xludf.DUMMYFUNCTION("""COMPUTED_VALUE"""),"Thielen")</f>
        <v>Thielen</v>
      </c>
      <c r="E2047" t="str">
        <f>IFERROR(__xludf.DUMMYFUNCTION("""COMPUTED_VALUE"""),"Adam")</f>
        <v>Adam</v>
      </c>
      <c r="F2047" t="str">
        <f>IFERROR(__xludf.DUMMYFUNCTION("""COMPUTED_VALUE"""),"WR")</f>
        <v>WR</v>
      </c>
      <c r="G2047">
        <f>IFERROR(__xludf.DUMMYFUNCTION("""COMPUTED_VALUE"""),10.35)</f>
        <v>10.35</v>
      </c>
    </row>
    <row r="2048">
      <c r="D2048" t="str">
        <f>IFERROR(__xludf.DUMMYFUNCTION("""COMPUTED_VALUE"""),"Thomas")</f>
        <v>Thomas</v>
      </c>
      <c r="E2048" t="str">
        <f>IFERROR(__xludf.DUMMYFUNCTION("""COMPUTED_VALUE"""),"Brandon")</f>
        <v>Brandon</v>
      </c>
      <c r="F2048" t="str">
        <f>IFERROR(__xludf.DUMMYFUNCTION("""COMPUTED_VALUE"""),"RG")</f>
        <v>RG</v>
      </c>
      <c r="G2048">
        <f>IFERROR(__xludf.DUMMYFUNCTION("""COMPUTED_VALUE"""),10.049999999999999)</f>
        <v>10.05</v>
      </c>
    </row>
    <row r="2049">
      <c r="D2049" t="str">
        <f>IFERROR(__xludf.DUMMYFUNCTION("""COMPUTED_VALUE"""),"Thomas")</f>
        <v>Thomas</v>
      </c>
      <c r="E2049" t="str">
        <f>IFERROR(__xludf.DUMMYFUNCTION("""COMPUTED_VALUE"""),"Cam")</f>
        <v>Cam</v>
      </c>
      <c r="F2049" t="str">
        <f>IFERROR(__xludf.DUMMYFUNCTION("""COMPUTED_VALUE"""),"LE")</f>
        <v>LE</v>
      </c>
      <c r="G2049">
        <f>IFERROR(__xludf.DUMMYFUNCTION("""COMPUTED_VALUE"""),9.9)</f>
        <v>9.9</v>
      </c>
    </row>
    <row r="2050">
      <c r="D2050" t="str">
        <f>IFERROR(__xludf.DUMMYFUNCTION("""COMPUTED_VALUE"""),"Thomas")</f>
        <v>Thomas</v>
      </c>
      <c r="E2050" t="str">
        <f>IFERROR(__xludf.DUMMYFUNCTION("""COMPUTED_VALUE"""),"Dallas")</f>
        <v>Dallas</v>
      </c>
      <c r="F2050" t="str">
        <f>IFERROR(__xludf.DUMMYFUNCTION("""COMPUTED_VALUE"""),"LG")</f>
        <v>LG</v>
      </c>
      <c r="G2050">
        <f>IFERROR(__xludf.DUMMYFUNCTION("""COMPUTED_VALUE"""),9.9)</f>
        <v>9.9</v>
      </c>
    </row>
    <row r="2051">
      <c r="D2051" t="str">
        <f>IFERROR(__xludf.DUMMYFUNCTION("""COMPUTED_VALUE"""),"Thomas")</f>
        <v>Thomas</v>
      </c>
      <c r="E2051" t="str">
        <f>IFERROR(__xludf.DUMMYFUNCTION("""COMPUTED_VALUE"""),"Daniel")</f>
        <v>Daniel</v>
      </c>
      <c r="F2051" t="str">
        <f>IFERROR(__xludf.DUMMYFUNCTION("""COMPUTED_VALUE"""),"HB")</f>
        <v>HB</v>
      </c>
      <c r="G2051">
        <f>IFERROR(__xludf.DUMMYFUNCTION("""COMPUTED_VALUE"""),10.799999999999999)</f>
        <v>10.8</v>
      </c>
    </row>
    <row r="2052">
      <c r="D2052" t="str">
        <f>IFERROR(__xludf.DUMMYFUNCTION("""COMPUTED_VALUE"""),"Thomas")</f>
        <v>Thomas</v>
      </c>
      <c r="E2052" t="str">
        <f>IFERROR(__xludf.DUMMYFUNCTION("""COMPUTED_VALUE"""),"DeAnthony")</f>
        <v>DeAnthony</v>
      </c>
      <c r="F2052" t="str">
        <f>IFERROR(__xludf.DUMMYFUNCTION("""COMPUTED_VALUE"""),"WR")</f>
        <v>WR</v>
      </c>
      <c r="G2052">
        <f>IFERROR(__xludf.DUMMYFUNCTION("""COMPUTED_VALUE"""),10.65)</f>
        <v>10.65</v>
      </c>
    </row>
    <row r="2053">
      <c r="D2053" t="str">
        <f>IFERROR(__xludf.DUMMYFUNCTION("""COMPUTED_VALUE"""),"Thomas")</f>
        <v>Thomas</v>
      </c>
      <c r="E2053" t="str">
        <f>IFERROR(__xludf.DUMMYFUNCTION("""COMPUTED_VALUE"""),"Demaryius")</f>
        <v>Demaryius</v>
      </c>
      <c r="F2053" t="str">
        <f>IFERROR(__xludf.DUMMYFUNCTION("""COMPUTED_VALUE"""),"WR")</f>
        <v>WR</v>
      </c>
      <c r="G2053">
        <f>IFERROR(__xludf.DUMMYFUNCTION("""COMPUTED_VALUE"""),13.049999999999999)</f>
        <v>13.05</v>
      </c>
    </row>
    <row r="2054">
      <c r="D2054" t="str">
        <f>IFERROR(__xludf.DUMMYFUNCTION("""COMPUTED_VALUE"""),"Thomas")</f>
        <v>Thomas</v>
      </c>
      <c r="E2054" t="str">
        <f>IFERROR(__xludf.DUMMYFUNCTION("""COMPUTED_VALUE"""),"Joe")</f>
        <v>Joe</v>
      </c>
      <c r="F2054" t="str">
        <f>IFERROR(__xludf.DUMMYFUNCTION("""COMPUTED_VALUE"""),"LT")</f>
        <v>LT</v>
      </c>
      <c r="G2054">
        <f>IFERROR(__xludf.DUMMYFUNCTION("""COMPUTED_VALUE"""),14.549999999999999)</f>
        <v>14.55</v>
      </c>
    </row>
    <row r="2055">
      <c r="D2055" t="str">
        <f>IFERROR(__xludf.DUMMYFUNCTION("""COMPUTED_VALUE"""),"Thomas")</f>
        <v>Thomas</v>
      </c>
      <c r="E2055" t="str">
        <f>IFERROR(__xludf.DUMMYFUNCTION("""COMPUTED_VALUE"""),"Joe")</f>
        <v>Joe</v>
      </c>
      <c r="F2055" t="str">
        <f>IFERROR(__xludf.DUMMYFUNCTION("""COMPUTED_VALUE"""),"MLB")</f>
        <v>MLB</v>
      </c>
      <c r="G2055">
        <f>IFERROR(__xludf.DUMMYFUNCTION("""COMPUTED_VALUE"""),10.5)</f>
        <v>10.5</v>
      </c>
    </row>
    <row r="2056">
      <c r="D2056" t="str">
        <f>IFERROR(__xludf.DUMMYFUNCTION("""COMPUTED_VALUE"""),"Thomas")</f>
        <v>Thomas</v>
      </c>
      <c r="E2056" t="str">
        <f>IFERROR(__xludf.DUMMYFUNCTION("""COMPUTED_VALUE"""),"Josh")</f>
        <v>Josh</v>
      </c>
      <c r="F2056" t="str">
        <f>IFERROR(__xludf.DUMMYFUNCTION("""COMPUTED_VALUE"""),"CB")</f>
        <v>CB</v>
      </c>
      <c r="G2056">
        <f>IFERROR(__xludf.DUMMYFUNCTION("""COMPUTED_VALUE"""),9.9)</f>
        <v>9.9</v>
      </c>
    </row>
    <row r="2057">
      <c r="D2057" t="str">
        <f>IFERROR(__xludf.DUMMYFUNCTION("""COMPUTED_VALUE"""),"Thomas")</f>
        <v>Thomas</v>
      </c>
      <c r="E2057" t="str">
        <f>IFERROR(__xludf.DUMMYFUNCTION("""COMPUTED_VALUE"""),"Julius")</f>
        <v>Julius</v>
      </c>
      <c r="F2057" t="str">
        <f>IFERROR(__xludf.DUMMYFUNCTION("""COMPUTED_VALUE"""),"TE")</f>
        <v>TE</v>
      </c>
      <c r="G2057">
        <f>IFERROR(__xludf.DUMMYFUNCTION("""COMPUTED_VALUE"""),12.45)</f>
        <v>12.45</v>
      </c>
    </row>
    <row r="2058">
      <c r="D2058" t="str">
        <f>IFERROR(__xludf.DUMMYFUNCTION("""COMPUTED_VALUE"""),"Thomas")</f>
        <v>Thomas</v>
      </c>
      <c r="E2058" t="str">
        <f>IFERROR(__xludf.DUMMYFUNCTION("""COMPUTED_VALUE"""),"Michael")</f>
        <v>Michael</v>
      </c>
      <c r="F2058" t="str">
        <f>IFERROR(__xludf.DUMMYFUNCTION("""COMPUTED_VALUE"""),"FS")</f>
        <v>FS</v>
      </c>
      <c r="G2058">
        <f>IFERROR(__xludf.DUMMYFUNCTION("""COMPUTED_VALUE"""),11.1)</f>
        <v>11.1</v>
      </c>
    </row>
    <row r="2059">
      <c r="D2059" t="str">
        <f>IFERROR(__xludf.DUMMYFUNCTION("""COMPUTED_VALUE"""),"Thomas")</f>
        <v>Thomas</v>
      </c>
      <c r="E2059" t="str">
        <f>IFERROR(__xludf.DUMMYFUNCTION("""COMPUTED_VALUE"""),"Michael")</f>
        <v>Michael</v>
      </c>
      <c r="F2059" t="str">
        <f>IFERROR(__xludf.DUMMYFUNCTION("""COMPUTED_VALUE"""),"WR")</f>
        <v>WR</v>
      </c>
      <c r="G2059">
        <f>IFERROR(__xludf.DUMMYFUNCTION("""COMPUTED_VALUE"""),10.5)</f>
        <v>10.5</v>
      </c>
    </row>
    <row r="2060">
      <c r="D2060" t="str">
        <f>IFERROR(__xludf.DUMMYFUNCTION("""COMPUTED_VALUE"""),"Thomas")</f>
        <v>Thomas</v>
      </c>
      <c r="E2060" t="str">
        <f>IFERROR(__xludf.DUMMYFUNCTION("""COMPUTED_VALUE"""),"Mike")</f>
        <v>Mike</v>
      </c>
      <c r="F2060" t="str">
        <f>IFERROR(__xludf.DUMMYFUNCTION("""COMPUTED_VALUE"""),"WR")</f>
        <v>WR</v>
      </c>
      <c r="G2060">
        <f>IFERROR(__xludf.DUMMYFUNCTION("""COMPUTED_VALUE"""),9.45)</f>
        <v>9.45</v>
      </c>
    </row>
    <row r="2061">
      <c r="D2061" t="str">
        <f>IFERROR(__xludf.DUMMYFUNCTION("""COMPUTED_VALUE"""),"Thomas")</f>
        <v>Thomas</v>
      </c>
      <c r="E2061" t="str">
        <f>IFERROR(__xludf.DUMMYFUNCTION("""COMPUTED_VALUE"""),"Phillip")</f>
        <v>Phillip</v>
      </c>
      <c r="F2061" t="str">
        <f>IFERROR(__xludf.DUMMYFUNCTION("""COMPUTED_VALUE"""),"SS")</f>
        <v>SS</v>
      </c>
      <c r="G2061">
        <f>IFERROR(__xludf.DUMMYFUNCTION("""COMPUTED_VALUE"""),10.2)</f>
        <v>10.2</v>
      </c>
    </row>
    <row r="2062">
      <c r="D2062" t="str">
        <f>IFERROR(__xludf.DUMMYFUNCTION("""COMPUTED_VALUE"""),"Thomas")</f>
        <v>Thomas</v>
      </c>
      <c r="E2062" t="str">
        <f>IFERROR(__xludf.DUMMYFUNCTION("""COMPUTED_VALUE"""),"Robert")</f>
        <v>Robert</v>
      </c>
      <c r="F2062" t="str">
        <f>IFERROR(__xludf.DUMMYFUNCTION("""COMPUTED_VALUE"""),"RE")</f>
        <v>RE</v>
      </c>
      <c r="G2062">
        <f>IFERROR(__xludf.DUMMYFUNCTION("""COMPUTED_VALUE"""),7.6499999999999995)</f>
        <v>7.65</v>
      </c>
    </row>
    <row r="2063">
      <c r="D2063" t="str">
        <f>IFERROR(__xludf.DUMMYFUNCTION("""COMPUTED_VALUE"""),"Thomas")</f>
        <v>Thomas</v>
      </c>
      <c r="E2063" t="str">
        <f>IFERROR(__xludf.DUMMYFUNCTION("""COMPUTED_VALUE"""),"Shamarko")</f>
        <v>Shamarko</v>
      </c>
      <c r="F2063" t="str">
        <f>IFERROR(__xludf.DUMMYFUNCTION("""COMPUTED_VALUE"""),"SS")</f>
        <v>SS</v>
      </c>
      <c r="G2063">
        <f>IFERROR(__xludf.DUMMYFUNCTION("""COMPUTED_VALUE"""),10.799999999999999)</f>
        <v>10.8</v>
      </c>
    </row>
    <row r="2064">
      <c r="D2064" t="str">
        <f>IFERROR(__xludf.DUMMYFUNCTION("""COMPUTED_VALUE"""),"Thomas III")</f>
        <v>Thomas III</v>
      </c>
      <c r="E2064" t="str">
        <f>IFERROR(__xludf.DUMMYFUNCTION("""COMPUTED_VALUE"""),"Earl")</f>
        <v>Earl</v>
      </c>
      <c r="F2064" t="str">
        <f>IFERROR(__xludf.DUMMYFUNCTION("""COMPUTED_VALUE"""),"FS")</f>
        <v>FS</v>
      </c>
      <c r="G2064">
        <f>IFERROR(__xludf.DUMMYFUNCTION("""COMPUTED_VALUE"""),13.95)</f>
        <v>13.95</v>
      </c>
    </row>
    <row r="2065">
      <c r="D2065" t="str">
        <f>IFERROR(__xludf.DUMMYFUNCTION("""COMPUTED_VALUE"""),"Thomas III")</f>
        <v>Thomas III</v>
      </c>
      <c r="E2065" t="str">
        <f>IFERROR(__xludf.DUMMYFUNCTION("""COMPUTED_VALUE"""),"JT")</f>
        <v>JT</v>
      </c>
      <c r="F2065" t="str">
        <f>IFERROR(__xludf.DUMMYFUNCTION("""COMPUTED_VALUE"""),"ROLB")</f>
        <v>ROLB</v>
      </c>
      <c r="G2065">
        <f>IFERROR(__xludf.DUMMYFUNCTION("""COMPUTED_VALUE"""),11.4)</f>
        <v>11.4</v>
      </c>
    </row>
    <row r="2066">
      <c r="D2066" t="str">
        <f>IFERROR(__xludf.DUMMYFUNCTION("""COMPUTED_VALUE"""),"Thompkins")</f>
        <v>Thompkins</v>
      </c>
      <c r="E2066" t="str">
        <f>IFERROR(__xludf.DUMMYFUNCTION("""COMPUTED_VALUE"""),"Kenbrell")</f>
        <v>Kenbrell</v>
      </c>
      <c r="F2066" t="str">
        <f>IFERROR(__xludf.DUMMYFUNCTION("""COMPUTED_VALUE"""),"WR")</f>
        <v>WR</v>
      </c>
      <c r="G2066">
        <f>IFERROR(__xludf.DUMMYFUNCTION("""COMPUTED_VALUE"""),10.049999999999999)</f>
        <v>10.05</v>
      </c>
    </row>
    <row r="2067">
      <c r="D2067" t="str">
        <f>IFERROR(__xludf.DUMMYFUNCTION("""COMPUTED_VALUE"""),"Thompson")</f>
        <v>Thompson</v>
      </c>
      <c r="E2067" t="str">
        <f>IFERROR(__xludf.DUMMYFUNCTION("""COMPUTED_VALUE"""),"Brandon")</f>
        <v>Brandon</v>
      </c>
      <c r="F2067" t="str">
        <f>IFERROR(__xludf.DUMMYFUNCTION("""COMPUTED_VALUE"""),"DT")</f>
        <v>DT</v>
      </c>
      <c r="G2067">
        <f>IFERROR(__xludf.DUMMYFUNCTION("""COMPUTED_VALUE"""),10.049999999999999)</f>
        <v>10.05</v>
      </c>
    </row>
    <row r="2068">
      <c r="D2068" t="str">
        <f>IFERROR(__xludf.DUMMYFUNCTION("""COMPUTED_VALUE"""),"Thompson")</f>
        <v>Thompson</v>
      </c>
      <c r="E2068" t="str">
        <f>IFERROR(__xludf.DUMMYFUNCTION("""COMPUTED_VALUE"""),"Carlos")</f>
        <v>Carlos</v>
      </c>
      <c r="F2068" t="str">
        <f>IFERROR(__xludf.DUMMYFUNCTION("""COMPUTED_VALUE"""),"LOLB")</f>
        <v>LOLB</v>
      </c>
      <c r="G2068">
        <f>IFERROR(__xludf.DUMMYFUNCTION("""COMPUTED_VALUE"""),9.299999999999999)</f>
        <v>9.3</v>
      </c>
    </row>
    <row r="2069">
      <c r="D2069" t="str">
        <f>IFERROR(__xludf.DUMMYFUNCTION("""COMPUTED_VALUE"""),"Thompson")</f>
        <v>Thompson</v>
      </c>
      <c r="E2069" t="str">
        <f>IFERROR(__xludf.DUMMYFUNCTION("""COMPUTED_VALUE"""),"Chris")</f>
        <v>Chris</v>
      </c>
      <c r="F2069" t="str">
        <f>IFERROR(__xludf.DUMMYFUNCTION("""COMPUTED_VALUE"""),"HB")</f>
        <v>HB</v>
      </c>
      <c r="G2069">
        <f>IFERROR(__xludf.DUMMYFUNCTION("""COMPUTED_VALUE"""),10.799999999999999)</f>
        <v>10.8</v>
      </c>
    </row>
    <row r="2070">
      <c r="D2070" t="str">
        <f>IFERROR(__xludf.DUMMYFUNCTION("""COMPUTED_VALUE"""),"Thompson")</f>
        <v>Thompson</v>
      </c>
      <c r="E2070" t="str">
        <f>IFERROR(__xludf.DUMMYFUNCTION("""COMPUTED_VALUE"""),"Darian")</f>
        <v>Darian</v>
      </c>
      <c r="F2070" t="str">
        <f>IFERROR(__xludf.DUMMYFUNCTION("""COMPUTED_VALUE"""),"FS")</f>
        <v>FS</v>
      </c>
      <c r="G2070">
        <f>IFERROR(__xludf.DUMMYFUNCTION("""COMPUTED_VALUE"""),10.35)</f>
        <v>10.35</v>
      </c>
    </row>
    <row r="2071">
      <c r="D2071" t="str">
        <f>IFERROR(__xludf.DUMMYFUNCTION("""COMPUTED_VALUE"""),"Thompson")</f>
        <v>Thompson</v>
      </c>
      <c r="E2071" t="str">
        <f>IFERROR(__xludf.DUMMYFUNCTION("""COMPUTED_VALUE"""),"Deonte")</f>
        <v>Deonte</v>
      </c>
      <c r="F2071" t="str">
        <f>IFERROR(__xludf.DUMMYFUNCTION("""COMPUTED_VALUE"""),"WR")</f>
        <v>WR</v>
      </c>
      <c r="G2071">
        <f>IFERROR(__xludf.DUMMYFUNCTION("""COMPUTED_VALUE"""),9.6)</f>
        <v>9.6</v>
      </c>
    </row>
    <row r="2072">
      <c r="D2072" t="str">
        <f>IFERROR(__xludf.DUMMYFUNCTION("""COMPUTED_VALUE"""),"Thompson")</f>
        <v>Thompson</v>
      </c>
      <c r="E2072" t="str">
        <f>IFERROR(__xludf.DUMMYFUNCTION("""COMPUTED_VALUE"""),"Dylan")</f>
        <v>Dylan</v>
      </c>
      <c r="F2072" t="str">
        <f>IFERROR(__xludf.DUMMYFUNCTION("""COMPUTED_VALUE"""),"QB")</f>
        <v>QB</v>
      </c>
      <c r="G2072">
        <f>IFERROR(__xludf.DUMMYFUNCTION("""COMPUTED_VALUE"""),9.15)</f>
        <v>9.15</v>
      </c>
    </row>
    <row r="2073">
      <c r="D2073" t="str">
        <f>IFERROR(__xludf.DUMMYFUNCTION("""COMPUTED_VALUE"""),"Thompson")</f>
        <v>Thompson</v>
      </c>
      <c r="E2073" t="str">
        <f>IFERROR(__xludf.DUMMYFUNCTION("""COMPUTED_VALUE"""),"Juwan")</f>
        <v>Juwan</v>
      </c>
      <c r="F2073" t="str">
        <f>IFERROR(__xludf.DUMMYFUNCTION("""COMPUTED_VALUE"""),"HB")</f>
        <v>HB</v>
      </c>
      <c r="G2073">
        <f>IFERROR(__xludf.DUMMYFUNCTION("""COMPUTED_VALUE"""),10.65)</f>
        <v>10.65</v>
      </c>
    </row>
    <row r="2074">
      <c r="D2074" t="str">
        <f>IFERROR(__xludf.DUMMYFUNCTION("""COMPUTED_VALUE"""),"Thompson")</f>
        <v>Thompson</v>
      </c>
      <c r="E2074" t="str">
        <f>IFERROR(__xludf.DUMMYFUNCTION("""COMPUTED_VALUE"""),"Mykkele")</f>
        <v>Mykkele</v>
      </c>
      <c r="F2074" t="str">
        <f>IFERROR(__xludf.DUMMYFUNCTION("""COMPUTED_VALUE"""),"FS")</f>
        <v>FS</v>
      </c>
      <c r="G2074">
        <f>IFERROR(__xludf.DUMMYFUNCTION("""COMPUTED_VALUE"""),9.9)</f>
        <v>9.9</v>
      </c>
    </row>
    <row r="2075">
      <c r="D2075" t="str">
        <f>IFERROR(__xludf.DUMMYFUNCTION("""COMPUTED_VALUE"""),"Thompson")</f>
        <v>Thompson</v>
      </c>
      <c r="E2075" t="str">
        <f>IFERROR(__xludf.DUMMYFUNCTION("""COMPUTED_VALUE"""),"Peyton")</f>
        <v>Peyton</v>
      </c>
      <c r="F2075" t="str">
        <f>IFERROR(__xludf.DUMMYFUNCTION("""COMPUTED_VALUE"""),"FS")</f>
        <v>FS</v>
      </c>
      <c r="G2075">
        <f>IFERROR(__xludf.DUMMYFUNCTION("""COMPUTED_VALUE"""),9.299999999999999)</f>
        <v>9.3</v>
      </c>
    </row>
    <row r="2076">
      <c r="D2076" t="str">
        <f>IFERROR(__xludf.DUMMYFUNCTION("""COMPUTED_VALUE"""),"Thompson")</f>
        <v>Thompson</v>
      </c>
      <c r="E2076" t="str">
        <f>IFERROR(__xludf.DUMMYFUNCTION("""COMPUTED_VALUE"""),"Ron")</f>
        <v>Ron</v>
      </c>
      <c r="F2076" t="str">
        <f>IFERROR(__xludf.DUMMYFUNCTION("""COMPUTED_VALUE"""),"LOLB")</f>
        <v>LOLB</v>
      </c>
      <c r="G2076">
        <f>IFERROR(__xludf.DUMMYFUNCTION("""COMPUTED_VALUE"""),8.7)</f>
        <v>8.7</v>
      </c>
    </row>
    <row r="2077">
      <c r="D2077" t="str">
        <f>IFERROR(__xludf.DUMMYFUNCTION("""COMPUTED_VALUE"""),"Thompson")</f>
        <v>Thompson</v>
      </c>
      <c r="E2077" t="str">
        <f>IFERROR(__xludf.DUMMYFUNCTION("""COMPUTED_VALUE"""),"Shaq")</f>
        <v>Shaq</v>
      </c>
      <c r="F2077" t="str">
        <f>IFERROR(__xludf.DUMMYFUNCTION("""COMPUTED_VALUE"""),"LOLB")</f>
        <v>LOLB</v>
      </c>
      <c r="G2077">
        <f>IFERROR(__xludf.DUMMYFUNCTION("""COMPUTED_VALUE"""),11.25)</f>
        <v>11.25</v>
      </c>
    </row>
    <row r="2078">
      <c r="D2078" t="str">
        <f>IFERROR(__xludf.DUMMYFUNCTION("""COMPUTED_VALUE"""),"Thompson")</f>
        <v>Thompson</v>
      </c>
      <c r="E2078" t="str">
        <f>IFERROR(__xludf.DUMMYFUNCTION("""COMPUTED_VALUE"""),"Tyrus")</f>
        <v>Tyrus</v>
      </c>
      <c r="F2078" t="str">
        <f>IFERROR(__xludf.DUMMYFUNCTION("""COMPUTED_VALUE"""),"LT")</f>
        <v>LT</v>
      </c>
      <c r="G2078">
        <f>IFERROR(__xludf.DUMMYFUNCTION("""COMPUTED_VALUE"""),9.75)</f>
        <v>9.75</v>
      </c>
    </row>
    <row r="2079">
      <c r="D2079" t="str">
        <f>IFERROR(__xludf.DUMMYFUNCTION("""COMPUTED_VALUE"""),"Thornton")</f>
        <v>Thornton</v>
      </c>
      <c r="E2079" t="str">
        <f>IFERROR(__xludf.DUMMYFUNCTION("""COMPUTED_VALUE"""),"Cedric")</f>
        <v>Cedric</v>
      </c>
      <c r="F2079" t="str">
        <f>IFERROR(__xludf.DUMMYFUNCTION("""COMPUTED_VALUE"""),"DT")</f>
        <v>DT</v>
      </c>
      <c r="G2079">
        <f>IFERROR(__xludf.DUMMYFUNCTION("""COMPUTED_VALUE"""),11.7)</f>
        <v>11.7</v>
      </c>
    </row>
    <row r="2080">
      <c r="D2080" t="str">
        <f>IFERROR(__xludf.DUMMYFUNCTION("""COMPUTED_VALUE"""),"Thornton")</f>
        <v>Thornton</v>
      </c>
      <c r="E2080" t="str">
        <f>IFERROR(__xludf.DUMMYFUNCTION("""COMPUTED_VALUE"""),"Hugh")</f>
        <v>Hugh</v>
      </c>
      <c r="F2080" t="str">
        <f>IFERROR(__xludf.DUMMYFUNCTION("""COMPUTED_VALUE"""),"LG")</f>
        <v>LG</v>
      </c>
      <c r="G2080">
        <f>IFERROR(__xludf.DUMMYFUNCTION("""COMPUTED_VALUE"""),10.799999999999999)</f>
        <v>10.8</v>
      </c>
    </row>
    <row r="2081">
      <c r="D2081" t="str">
        <f>IFERROR(__xludf.DUMMYFUNCTION("""COMPUTED_VALUE"""),"Thorpe")</f>
        <v>Thorpe</v>
      </c>
      <c r="E2081" t="str">
        <f>IFERROR(__xludf.DUMMYFUNCTION("""COMPUTED_VALUE"""),"Neiko")</f>
        <v>Neiko</v>
      </c>
      <c r="F2081" t="str">
        <f>IFERROR(__xludf.DUMMYFUNCTION("""COMPUTED_VALUE"""),"CB")</f>
        <v>CB</v>
      </c>
      <c r="G2081">
        <f>IFERROR(__xludf.DUMMYFUNCTION("""COMPUTED_VALUE"""),10.2)</f>
        <v>10.2</v>
      </c>
    </row>
    <row r="2082">
      <c r="D2082" t="str">
        <f>IFERROR(__xludf.DUMMYFUNCTION("""COMPUTED_VALUE"""),"Thuney")</f>
        <v>Thuney</v>
      </c>
      <c r="E2082" t="str">
        <f>IFERROR(__xludf.DUMMYFUNCTION("""COMPUTED_VALUE"""),"Joe")</f>
        <v>Joe</v>
      </c>
      <c r="F2082" t="str">
        <f>IFERROR(__xludf.DUMMYFUNCTION("""COMPUTED_VALUE"""),"LG")</f>
        <v>LG</v>
      </c>
      <c r="G2082">
        <f>IFERROR(__xludf.DUMMYFUNCTION("""COMPUTED_VALUE"""),10.5)</f>
        <v>10.5</v>
      </c>
    </row>
    <row r="2083">
      <c r="D2083" t="str">
        <f>IFERROR(__xludf.DUMMYFUNCTION("""COMPUTED_VALUE"""),"Tiller")</f>
        <v>Tiller</v>
      </c>
      <c r="E2083" t="str">
        <f>IFERROR(__xludf.DUMMYFUNCTION("""COMPUTED_VALUE"""),"Andrew")</f>
        <v>Andrew</v>
      </c>
      <c r="F2083" t="str">
        <f>IFERROR(__xludf.DUMMYFUNCTION("""COMPUTED_VALUE"""),"RG")</f>
        <v>RG</v>
      </c>
      <c r="G2083">
        <f>IFERROR(__xludf.DUMMYFUNCTION("""COMPUTED_VALUE"""),10.65)</f>
        <v>10.65</v>
      </c>
    </row>
    <row r="2084">
      <c r="D2084" t="str">
        <f>IFERROR(__xludf.DUMMYFUNCTION("""COMPUTED_VALUE"""),"Timmons")</f>
        <v>Timmons</v>
      </c>
      <c r="E2084" t="str">
        <f>IFERROR(__xludf.DUMMYFUNCTION("""COMPUTED_VALUE"""),"Lawrence")</f>
        <v>Lawrence</v>
      </c>
      <c r="F2084" t="str">
        <f>IFERROR(__xludf.DUMMYFUNCTION("""COMPUTED_VALUE"""),"MLB")</f>
        <v>MLB</v>
      </c>
      <c r="G2084">
        <f>IFERROR(__xludf.DUMMYFUNCTION("""COMPUTED_VALUE"""),11.7)</f>
        <v>11.7</v>
      </c>
    </row>
    <row r="2085">
      <c r="D2085" t="str">
        <f>IFERROR(__xludf.DUMMYFUNCTION("""COMPUTED_VALUE"""),"Timu")</f>
        <v>Timu</v>
      </c>
      <c r="E2085" t="str">
        <f>IFERROR(__xludf.DUMMYFUNCTION("""COMPUTED_VALUE"""),"John")</f>
        <v>John</v>
      </c>
      <c r="F2085" t="str">
        <f>IFERROR(__xludf.DUMMYFUNCTION("""COMPUTED_VALUE"""),"MLB")</f>
        <v>MLB</v>
      </c>
      <c r="G2085">
        <f>IFERROR(__xludf.DUMMYFUNCTION("""COMPUTED_VALUE"""),9.9)</f>
        <v>9.9</v>
      </c>
    </row>
    <row r="2086">
      <c r="D2086" t="str">
        <f>IFERROR(__xludf.DUMMYFUNCTION("""COMPUTED_VALUE"""),"Tinker")</f>
        <v>Tinker</v>
      </c>
      <c r="E2086" t="str">
        <f>IFERROR(__xludf.DUMMYFUNCTION("""COMPUTED_VALUE"""),"Carson")</f>
        <v>Carson</v>
      </c>
      <c r="F2086" t="str">
        <f>IFERROR(__xludf.DUMMYFUNCTION("""COMPUTED_VALUE"""),"TE")</f>
        <v>TE</v>
      </c>
      <c r="G2086">
        <f>IFERROR(__xludf.DUMMYFUNCTION("""COMPUTED_VALUE"""),6.75)</f>
        <v>6.75</v>
      </c>
    </row>
    <row r="2087">
      <c r="D2087" t="str">
        <f>IFERROR(__xludf.DUMMYFUNCTION("""COMPUTED_VALUE"""),"Tobin")</f>
        <v>Tobin</v>
      </c>
      <c r="E2087" t="str">
        <f>IFERROR(__xludf.DUMMYFUNCTION("""COMPUTED_VALUE"""),"Matt")</f>
        <v>Matt</v>
      </c>
      <c r="F2087" t="str">
        <f>IFERROR(__xludf.DUMMYFUNCTION("""COMPUTED_VALUE"""),"RG")</f>
        <v>RG</v>
      </c>
      <c r="G2087">
        <f>IFERROR(__xludf.DUMMYFUNCTION("""COMPUTED_VALUE"""),10.65)</f>
        <v>10.65</v>
      </c>
    </row>
    <row r="2088">
      <c r="D2088" t="str">
        <f>IFERROR(__xludf.DUMMYFUNCTION("""COMPUTED_VALUE"""),"Todman")</f>
        <v>Todman</v>
      </c>
      <c r="E2088" t="str">
        <f>IFERROR(__xludf.DUMMYFUNCTION("""COMPUTED_VALUE"""),"Jordan")</f>
        <v>Jordan</v>
      </c>
      <c r="F2088" t="str">
        <f>IFERROR(__xludf.DUMMYFUNCTION("""COMPUTED_VALUE"""),"HB")</f>
        <v>HB</v>
      </c>
      <c r="G2088">
        <f>IFERROR(__xludf.DUMMYFUNCTION("""COMPUTED_VALUE"""),10.5)</f>
        <v>10.5</v>
      </c>
    </row>
    <row r="2089">
      <c r="D2089" t="str">
        <f>IFERROR(__xludf.DUMMYFUNCTION("""COMPUTED_VALUE"""),"Toilolo")</f>
        <v>Toilolo</v>
      </c>
      <c r="E2089" t="str">
        <f>IFERROR(__xludf.DUMMYFUNCTION("""COMPUTED_VALUE"""),"Levine")</f>
        <v>Levine</v>
      </c>
      <c r="F2089" t="str">
        <f>IFERROR(__xludf.DUMMYFUNCTION("""COMPUTED_VALUE"""),"TE")</f>
        <v>TE</v>
      </c>
      <c r="G2089">
        <f>IFERROR(__xludf.DUMMYFUNCTION("""COMPUTED_VALUE"""),10.65)</f>
        <v>10.65</v>
      </c>
    </row>
    <row r="2090">
      <c r="D2090" t="str">
        <f>IFERROR(__xludf.DUMMYFUNCTION("""COMPUTED_VALUE"""),"Tolbert")</f>
        <v>Tolbert</v>
      </c>
      <c r="E2090" t="str">
        <f>IFERROR(__xludf.DUMMYFUNCTION("""COMPUTED_VALUE"""),"Mike")</f>
        <v>Mike</v>
      </c>
      <c r="F2090" t="str">
        <f>IFERROR(__xludf.DUMMYFUNCTION("""COMPUTED_VALUE"""),"FB")</f>
        <v>FB</v>
      </c>
      <c r="G2090">
        <f>IFERROR(__xludf.DUMMYFUNCTION("""COMPUTED_VALUE"""),11.7)</f>
        <v>11.7</v>
      </c>
    </row>
    <row r="2091">
      <c r="D2091" t="str">
        <f>IFERROR(__xludf.DUMMYFUNCTION("""COMPUTED_VALUE"""),"Toler")</f>
        <v>Toler</v>
      </c>
      <c r="E2091" t="str">
        <f>IFERROR(__xludf.DUMMYFUNCTION("""COMPUTED_VALUE"""),"Greg")</f>
        <v>Greg</v>
      </c>
      <c r="F2091" t="str">
        <f>IFERROR(__xludf.DUMMYFUNCTION("""COMPUTED_VALUE"""),"CB")</f>
        <v>CB</v>
      </c>
      <c r="G2091">
        <f>IFERROR(__xludf.DUMMYFUNCTION("""COMPUTED_VALUE"""),10.799999999999999)</f>
        <v>10.8</v>
      </c>
    </row>
    <row r="2092">
      <c r="D2092" t="str">
        <f>IFERROR(__xludf.DUMMYFUNCTION("""COMPUTED_VALUE"""),"Tolzien")</f>
        <v>Tolzien</v>
      </c>
      <c r="E2092" t="str">
        <f>IFERROR(__xludf.DUMMYFUNCTION("""COMPUTED_VALUE"""),"Scott")</f>
        <v>Scott</v>
      </c>
      <c r="F2092" t="str">
        <f>IFERROR(__xludf.DUMMYFUNCTION("""COMPUTED_VALUE"""),"QB")</f>
        <v>QB</v>
      </c>
      <c r="G2092">
        <f>IFERROR(__xludf.DUMMYFUNCTION("""COMPUTED_VALUE"""),10.049999999999999)</f>
        <v>10.05</v>
      </c>
    </row>
    <row r="2093">
      <c r="D2093" t="str">
        <f>IFERROR(__xludf.DUMMYFUNCTION("""COMPUTED_VALUE"""),"Tomlinson")</f>
        <v>Tomlinson</v>
      </c>
      <c r="E2093" t="str">
        <f>IFERROR(__xludf.DUMMYFUNCTION("""COMPUTED_VALUE"""),"Eric")</f>
        <v>Eric</v>
      </c>
      <c r="F2093" t="str">
        <f>IFERROR(__xludf.DUMMYFUNCTION("""COMPUTED_VALUE"""),"TE")</f>
        <v>TE</v>
      </c>
      <c r="G2093">
        <f>IFERROR(__xludf.DUMMYFUNCTION("""COMPUTED_VALUE"""),9.6)</f>
        <v>9.6</v>
      </c>
    </row>
    <row r="2094">
      <c r="D2094" t="str">
        <f>IFERROR(__xludf.DUMMYFUNCTION("""COMPUTED_VALUE"""),"Tomlinson")</f>
        <v>Tomlinson</v>
      </c>
      <c r="E2094" t="str">
        <f>IFERROR(__xludf.DUMMYFUNCTION("""COMPUTED_VALUE"""),"Laken")</f>
        <v>Laken</v>
      </c>
      <c r="F2094" t="str">
        <f>IFERROR(__xludf.DUMMYFUNCTION("""COMPUTED_VALUE"""),"LG")</f>
        <v>LG</v>
      </c>
      <c r="G2094">
        <f>IFERROR(__xludf.DUMMYFUNCTION("""COMPUTED_VALUE"""),10.35)</f>
        <v>10.35</v>
      </c>
    </row>
    <row r="2095">
      <c r="D2095" t="str">
        <f>IFERROR(__xludf.DUMMYFUNCTION("""COMPUTED_VALUE"""),"Toner")</f>
        <v>Toner</v>
      </c>
      <c r="E2095" t="str">
        <f>IFERROR(__xludf.DUMMYFUNCTION("""COMPUTED_VALUE"""),"Cole")</f>
        <v>Cole</v>
      </c>
      <c r="F2095" t="str">
        <f>IFERROR(__xludf.DUMMYFUNCTION("""COMPUTED_VALUE"""),"RG")</f>
        <v>RG</v>
      </c>
      <c r="G2095">
        <f>IFERROR(__xludf.DUMMYFUNCTION("""COMPUTED_VALUE"""),9.6)</f>
        <v>9.6</v>
      </c>
    </row>
    <row r="2096">
      <c r="D2096" t="str">
        <f>IFERROR(__xludf.DUMMYFUNCTION("""COMPUTED_VALUE"""),"Toomer")</f>
        <v>Toomer</v>
      </c>
      <c r="E2096" t="str">
        <f>IFERROR(__xludf.DUMMYFUNCTION("""COMPUTED_VALUE"""),"Korey")</f>
        <v>Korey</v>
      </c>
      <c r="F2096" t="str">
        <f>IFERROR(__xludf.DUMMYFUNCTION("""COMPUTED_VALUE"""),"ROLB")</f>
        <v>ROLB</v>
      </c>
      <c r="G2096">
        <f>IFERROR(__xludf.DUMMYFUNCTION("""COMPUTED_VALUE"""),9.45)</f>
        <v>9.45</v>
      </c>
    </row>
    <row r="2097">
      <c r="D2097" t="str">
        <f>IFERROR(__xludf.DUMMYFUNCTION("""COMPUTED_VALUE"""),"Toussaint")</f>
        <v>Toussaint</v>
      </c>
      <c r="E2097" t="str">
        <f>IFERROR(__xludf.DUMMYFUNCTION("""COMPUTED_VALUE"""),"Fitzgerald")</f>
        <v>Fitzgerald</v>
      </c>
      <c r="F2097" t="str">
        <f>IFERROR(__xludf.DUMMYFUNCTION("""COMPUTED_VALUE"""),"HB")</f>
        <v>HB</v>
      </c>
      <c r="G2097">
        <f>IFERROR(__xludf.DUMMYFUNCTION("""COMPUTED_VALUE"""),10.049999999999999)</f>
        <v>10.05</v>
      </c>
    </row>
    <row r="2098">
      <c r="D2098" t="str">
        <f>IFERROR(__xludf.DUMMYFUNCTION("""COMPUTED_VALUE"""),"Trail")</f>
        <v>Trail</v>
      </c>
      <c r="E2098" t="str">
        <f>IFERROR(__xludf.DUMMYFUNCTION("""COMPUTED_VALUE"""),"Lynden")</f>
        <v>Lynden</v>
      </c>
      <c r="F2098" t="str">
        <f>IFERROR(__xludf.DUMMYFUNCTION("""COMPUTED_VALUE"""),"LOLB")</f>
        <v>LOLB</v>
      </c>
      <c r="G2098">
        <f>IFERROR(__xludf.DUMMYFUNCTION("""COMPUTED_VALUE"""),8.4)</f>
        <v>8.4</v>
      </c>
    </row>
    <row r="2099">
      <c r="D2099" t="str">
        <f>IFERROR(__xludf.DUMMYFUNCTION("""COMPUTED_VALUE"""),"Trattou")</f>
        <v>Trattou</v>
      </c>
      <c r="E2099" t="str">
        <f>IFERROR(__xludf.DUMMYFUNCTION("""COMPUTED_VALUE"""),"Justin")</f>
        <v>Justin</v>
      </c>
      <c r="F2099" t="str">
        <f>IFERROR(__xludf.DUMMYFUNCTION("""COMPUTED_VALUE"""),"LE")</f>
        <v>LE</v>
      </c>
      <c r="G2099">
        <f>IFERROR(__xludf.DUMMYFUNCTION("""COMPUTED_VALUE"""),9.75)</f>
        <v>9.75</v>
      </c>
    </row>
    <row r="2100">
      <c r="D2100" t="str">
        <f>IFERROR(__xludf.DUMMYFUNCTION("""COMPUTED_VALUE"""),"Trawick")</f>
        <v>Trawick</v>
      </c>
      <c r="E2100" t="str">
        <f>IFERROR(__xludf.DUMMYFUNCTION("""COMPUTED_VALUE"""),"Brynden")</f>
        <v>Brynden</v>
      </c>
      <c r="F2100" t="str">
        <f>IFERROR(__xludf.DUMMYFUNCTION("""COMPUTED_VALUE"""),"SS")</f>
        <v>SS</v>
      </c>
      <c r="G2100">
        <f>IFERROR(__xludf.DUMMYFUNCTION("""COMPUTED_VALUE"""),9.45)</f>
        <v>9.45</v>
      </c>
    </row>
    <row r="2101">
      <c r="D2101" t="str">
        <f>IFERROR(__xludf.DUMMYFUNCTION("""COMPUTED_VALUE"""),"Treadwell")</f>
        <v>Treadwell</v>
      </c>
      <c r="E2101" t="str">
        <f>IFERROR(__xludf.DUMMYFUNCTION("""COMPUTED_VALUE"""),"Laquon")</f>
        <v>Laquon</v>
      </c>
      <c r="F2101" t="str">
        <f>IFERROR(__xludf.DUMMYFUNCTION("""COMPUTED_VALUE"""),"WR")</f>
        <v>WR</v>
      </c>
      <c r="G2101">
        <f>IFERROR(__xludf.DUMMYFUNCTION("""COMPUTED_VALUE"""),11.25)</f>
        <v>11.25</v>
      </c>
    </row>
    <row r="2102">
      <c r="D2102" t="str">
        <f>IFERROR(__xludf.DUMMYFUNCTION("""COMPUTED_VALUE"""),"Tretola")</f>
        <v>Tretola</v>
      </c>
      <c r="E2102" t="str">
        <f>IFERROR(__xludf.DUMMYFUNCTION("""COMPUTED_VALUE"""),"Sebastian")</f>
        <v>Sebastian</v>
      </c>
      <c r="F2102" t="str">
        <f>IFERROR(__xludf.DUMMYFUNCTION("""COMPUTED_VALUE"""),"RG")</f>
        <v>RG</v>
      </c>
      <c r="G2102">
        <f>IFERROR(__xludf.DUMMYFUNCTION("""COMPUTED_VALUE"""),9.6)</f>
        <v>9.6</v>
      </c>
    </row>
    <row r="2103">
      <c r="D2103" t="str">
        <f>IFERROR(__xludf.DUMMYFUNCTION("""COMPUTED_VALUE"""),"Tretter")</f>
        <v>Tretter</v>
      </c>
      <c r="E2103" t="str">
        <f>IFERROR(__xludf.DUMMYFUNCTION("""COMPUTED_VALUE"""),"JC")</f>
        <v>JC</v>
      </c>
      <c r="F2103" t="str">
        <f>IFERROR(__xludf.DUMMYFUNCTION("""COMPUTED_VALUE"""),"C")</f>
        <v>C</v>
      </c>
      <c r="G2103">
        <f>IFERROR(__xludf.DUMMYFUNCTION("""COMPUTED_VALUE"""),11.4)</f>
        <v>11.4</v>
      </c>
    </row>
    <row r="2104">
      <c r="D2104" t="str">
        <f>IFERROR(__xludf.DUMMYFUNCTION("""COMPUTED_VALUE"""),"Trevathan")</f>
        <v>Trevathan</v>
      </c>
      <c r="E2104" t="str">
        <f>IFERROR(__xludf.DUMMYFUNCTION("""COMPUTED_VALUE"""),"Danny")</f>
        <v>Danny</v>
      </c>
      <c r="F2104" t="str">
        <f>IFERROR(__xludf.DUMMYFUNCTION("""COMPUTED_VALUE"""),"MLB")</f>
        <v>MLB</v>
      </c>
      <c r="G2104">
        <f>IFERROR(__xludf.DUMMYFUNCTION("""COMPUTED_VALUE"""),12.75)</f>
        <v>12.75</v>
      </c>
    </row>
    <row r="2105">
      <c r="D2105" t="str">
        <f>IFERROR(__xludf.DUMMYFUNCTION("""COMPUTED_VALUE"""),"Trinca-Pasat")</f>
        <v>Trinca-Pasat</v>
      </c>
      <c r="E2105" t="str">
        <f>IFERROR(__xludf.DUMMYFUNCTION("""COMPUTED_VALUE"""),"Louis")</f>
        <v>Louis</v>
      </c>
      <c r="F2105" t="str">
        <f>IFERROR(__xludf.DUMMYFUNCTION("""COMPUTED_VALUE"""),"DT")</f>
        <v>DT</v>
      </c>
      <c r="G2105">
        <f>IFERROR(__xludf.DUMMYFUNCTION("""COMPUTED_VALUE"""),8.7)</f>
        <v>8.7</v>
      </c>
    </row>
    <row r="2106">
      <c r="D2106" t="str">
        <f>IFERROR(__xludf.DUMMYFUNCTION("""COMPUTED_VALUE"""),"Tripp")</f>
        <v>Tripp</v>
      </c>
      <c r="E2106" t="str">
        <f>IFERROR(__xludf.DUMMYFUNCTION("""COMPUTED_VALUE"""),"Jordan")</f>
        <v>Jordan</v>
      </c>
      <c r="F2106" t="str">
        <f>IFERROR(__xludf.DUMMYFUNCTION("""COMPUTED_VALUE"""),"LOLB")</f>
        <v>LOLB</v>
      </c>
      <c r="G2106">
        <f>IFERROR(__xludf.DUMMYFUNCTION("""COMPUTED_VALUE"""),9.75)</f>
        <v>9.75</v>
      </c>
    </row>
    <row r="2107">
      <c r="D2107" t="str">
        <f>IFERROR(__xludf.DUMMYFUNCTION("""COMPUTED_VALUE"""),"Trufant")</f>
        <v>Trufant</v>
      </c>
      <c r="E2107" t="str">
        <f>IFERROR(__xludf.DUMMYFUNCTION("""COMPUTED_VALUE"""),"Desmond")</f>
        <v>Desmond</v>
      </c>
      <c r="F2107" t="str">
        <f>IFERROR(__xludf.DUMMYFUNCTION("""COMPUTED_VALUE"""),"CB")</f>
        <v>CB</v>
      </c>
      <c r="G2107">
        <f>IFERROR(__xludf.DUMMYFUNCTION("""COMPUTED_VALUE"""),13.5)</f>
        <v>13.5</v>
      </c>
    </row>
    <row r="2108">
      <c r="D2108" t="str">
        <f>IFERROR(__xludf.DUMMYFUNCTION("""COMPUTED_VALUE"""),"Tuaau")</f>
        <v>Tuaau</v>
      </c>
      <c r="E2108" t="str">
        <f>IFERROR(__xludf.DUMMYFUNCTION("""COMPUTED_VALUE"""),"Charles")</f>
        <v>Charles</v>
      </c>
      <c r="F2108" t="str">
        <f>IFERROR(__xludf.DUMMYFUNCTION("""COMPUTED_VALUE"""),"DT")</f>
        <v>DT</v>
      </c>
      <c r="G2108">
        <f>IFERROR(__xludf.DUMMYFUNCTION("""COMPUTED_VALUE"""),8.4)</f>
        <v>8.4</v>
      </c>
    </row>
    <row r="2109">
      <c r="D2109" t="str">
        <f>IFERROR(__xludf.DUMMYFUNCTION("""COMPUTED_VALUE"""),"Tucker")</f>
        <v>Tucker</v>
      </c>
      <c r="E2109" t="str">
        <f>IFERROR(__xludf.DUMMYFUNCTION("""COMPUTED_VALUE"""),"Justin")</f>
        <v>Justin</v>
      </c>
      <c r="F2109" t="str">
        <f>IFERROR(__xludf.DUMMYFUNCTION("""COMPUTED_VALUE"""),"K")</f>
        <v>K</v>
      </c>
      <c r="G2109">
        <f>IFERROR(__xludf.DUMMYFUNCTION("""COMPUTED_VALUE"""),12.45)</f>
        <v>12.45</v>
      </c>
    </row>
    <row r="2110">
      <c r="D2110" t="str">
        <f>IFERROR(__xludf.DUMMYFUNCTION("""COMPUTED_VALUE"""),"Tucker")</f>
        <v>Tucker</v>
      </c>
      <c r="E2110" t="str">
        <f>IFERROR(__xludf.DUMMYFUNCTION("""COMPUTED_VALUE"""),"Marcus")</f>
        <v>Marcus</v>
      </c>
      <c r="F2110" t="str">
        <f>IFERROR(__xludf.DUMMYFUNCTION("""COMPUTED_VALUE"""),"WR")</f>
        <v>WR</v>
      </c>
      <c r="G2110">
        <f>IFERROR(__xludf.DUMMYFUNCTION("""COMPUTED_VALUE"""),9.15)</f>
        <v>9.15</v>
      </c>
    </row>
    <row r="2111">
      <c r="D2111" t="str">
        <f>IFERROR(__xludf.DUMMYFUNCTION("""COMPUTED_VALUE"""),"Tuerk")</f>
        <v>Tuerk</v>
      </c>
      <c r="E2111" t="str">
        <f>IFERROR(__xludf.DUMMYFUNCTION("""COMPUTED_VALUE"""),"Max")</f>
        <v>Max</v>
      </c>
      <c r="F2111" t="str">
        <f>IFERROR(__xludf.DUMMYFUNCTION("""COMPUTED_VALUE"""),"C")</f>
        <v>C</v>
      </c>
      <c r="G2111">
        <f>IFERROR(__xludf.DUMMYFUNCTION("""COMPUTED_VALUE"""),10.2)</f>
        <v>10.2</v>
      </c>
    </row>
    <row r="2112">
      <c r="D2112" t="str">
        <f>IFERROR(__xludf.DUMMYFUNCTION("""COMPUTED_VALUE"""),"Tuggle")</f>
        <v>Tuggle</v>
      </c>
      <c r="E2112" t="str">
        <f>IFERROR(__xludf.DUMMYFUNCTION("""COMPUTED_VALUE"""),"Justin")</f>
        <v>Justin</v>
      </c>
      <c r="F2112" t="str">
        <f>IFERROR(__xludf.DUMMYFUNCTION("""COMPUTED_VALUE"""),"MLB")</f>
        <v>MLB</v>
      </c>
      <c r="G2112">
        <f>IFERROR(__xludf.DUMMYFUNCTION("""COMPUTED_VALUE"""),10.5)</f>
        <v>10.5</v>
      </c>
    </row>
    <row r="2113">
      <c r="D2113" t="str">
        <f>IFERROR(__xludf.DUMMYFUNCTION("""COMPUTED_VALUE"""),"Tuitt")</f>
        <v>Tuitt</v>
      </c>
      <c r="E2113" t="str">
        <f>IFERROR(__xludf.DUMMYFUNCTION("""COMPUTED_VALUE"""),"Stephon")</f>
        <v>Stephon</v>
      </c>
      <c r="F2113" t="str">
        <f>IFERROR(__xludf.DUMMYFUNCTION("""COMPUTED_VALUE"""),"RE")</f>
        <v>RE</v>
      </c>
      <c r="G2113">
        <f>IFERROR(__xludf.DUMMYFUNCTION("""COMPUTED_VALUE"""),11.7)</f>
        <v>11.7</v>
      </c>
    </row>
    <row r="2114">
      <c r="D2114" t="str">
        <f>IFERROR(__xludf.DUMMYFUNCTION("""COMPUTED_VALUE"""),"Tull")</f>
        <v>Tull</v>
      </c>
      <c r="E2114" t="str">
        <f>IFERROR(__xludf.DUMMYFUNCTION("""COMPUTED_VALUE"""),"Davis")</f>
        <v>Davis</v>
      </c>
      <c r="F2114" t="str">
        <f>IFERROR(__xludf.DUMMYFUNCTION("""COMPUTED_VALUE"""),"RE")</f>
        <v>RE</v>
      </c>
      <c r="G2114">
        <f>IFERROR(__xludf.DUMMYFUNCTION("""COMPUTED_VALUE"""),9.0)</f>
        <v>9</v>
      </c>
    </row>
    <row r="2115">
      <c r="D2115" t="str">
        <f>IFERROR(__xludf.DUMMYFUNCTION("""COMPUTED_VALUE"""),"Tunsil")</f>
        <v>Tunsil</v>
      </c>
      <c r="E2115" t="str">
        <f>IFERROR(__xludf.DUMMYFUNCTION("""COMPUTED_VALUE"""),"Laremy")</f>
        <v>Laremy</v>
      </c>
      <c r="F2115" t="str">
        <f>IFERROR(__xludf.DUMMYFUNCTION("""COMPUTED_VALUE"""),"LG")</f>
        <v>LG</v>
      </c>
      <c r="G2115">
        <f>IFERROR(__xludf.DUMMYFUNCTION("""COMPUTED_VALUE"""),11.7)</f>
        <v>11.7</v>
      </c>
    </row>
    <row r="2116">
      <c r="D2116" t="str">
        <f>IFERROR(__xludf.DUMMYFUNCTION("""COMPUTED_VALUE"""),"Turbin")</f>
        <v>Turbin</v>
      </c>
      <c r="E2116" t="str">
        <f>IFERROR(__xludf.DUMMYFUNCTION("""COMPUTED_VALUE"""),"Robert")</f>
        <v>Robert</v>
      </c>
      <c r="F2116" t="str">
        <f>IFERROR(__xludf.DUMMYFUNCTION("""COMPUTED_VALUE"""),"HB")</f>
        <v>HB</v>
      </c>
      <c r="G2116">
        <f>IFERROR(__xludf.DUMMYFUNCTION("""COMPUTED_VALUE"""),11.25)</f>
        <v>11.25</v>
      </c>
    </row>
    <row r="2117">
      <c r="D2117" t="str">
        <f>IFERROR(__xludf.DUMMYFUNCTION("""COMPUTED_VALUE"""),"Turner")</f>
        <v>Turner</v>
      </c>
      <c r="E2117" t="str">
        <f>IFERROR(__xludf.DUMMYFUNCTION("""COMPUTED_VALUE"""),"Billy")</f>
        <v>Billy</v>
      </c>
      <c r="F2117" t="str">
        <f>IFERROR(__xludf.DUMMYFUNCTION("""COMPUTED_VALUE"""),"RG")</f>
        <v>RG</v>
      </c>
      <c r="G2117">
        <f>IFERROR(__xludf.DUMMYFUNCTION("""COMPUTED_VALUE"""),10.2)</f>
        <v>10.2</v>
      </c>
    </row>
    <row r="2118">
      <c r="D2118" t="str">
        <f>IFERROR(__xludf.DUMMYFUNCTION("""COMPUTED_VALUE"""),"Turner")</f>
        <v>Turner</v>
      </c>
      <c r="E2118" t="str">
        <f>IFERROR(__xludf.DUMMYFUNCTION("""COMPUTED_VALUE"""),"Landon")</f>
        <v>Landon</v>
      </c>
      <c r="F2118" t="str">
        <f>IFERROR(__xludf.DUMMYFUNCTION("""COMPUTED_VALUE"""),"RG")</f>
        <v>RG</v>
      </c>
      <c r="G2118">
        <f>IFERROR(__xludf.DUMMYFUNCTION("""COMPUTED_VALUE"""),8.7)</f>
        <v>8.7</v>
      </c>
    </row>
    <row r="2119">
      <c r="D2119" t="str">
        <f>IFERROR(__xludf.DUMMYFUNCTION("""COMPUTED_VALUE"""),"Turner")</f>
        <v>Turner</v>
      </c>
      <c r="E2119" t="str">
        <f>IFERROR(__xludf.DUMMYFUNCTION("""COMPUTED_VALUE"""),"Trai")</f>
        <v>Trai</v>
      </c>
      <c r="F2119" t="str">
        <f>IFERROR(__xludf.DUMMYFUNCTION("""COMPUTED_VALUE"""),"RG")</f>
        <v>RG</v>
      </c>
      <c r="G2119">
        <f>IFERROR(__xludf.DUMMYFUNCTION("""COMPUTED_VALUE"""),13.049999999999999)</f>
        <v>13.05</v>
      </c>
    </row>
    <row r="2120">
      <c r="D2120" t="str">
        <f>IFERROR(__xludf.DUMMYFUNCTION("""COMPUTED_VALUE"""),"Tye")</f>
        <v>Tye</v>
      </c>
      <c r="E2120" t="str">
        <f>IFERROR(__xludf.DUMMYFUNCTION("""COMPUTED_VALUE"""),"Will")</f>
        <v>Will</v>
      </c>
      <c r="F2120" t="str">
        <f>IFERROR(__xludf.DUMMYFUNCTION("""COMPUTED_VALUE"""),"TE")</f>
        <v>TE</v>
      </c>
      <c r="G2120">
        <f>IFERROR(__xludf.DUMMYFUNCTION("""COMPUTED_VALUE"""),10.799999999999999)</f>
        <v>10.8</v>
      </c>
    </row>
    <row r="2121">
      <c r="D2121" t="str">
        <f>IFERROR(__xludf.DUMMYFUNCTION("""COMPUTED_VALUE"""),"Tyson")</f>
        <v>Tyson</v>
      </c>
      <c r="E2121" t="str">
        <f>IFERROR(__xludf.DUMMYFUNCTION("""COMPUTED_VALUE"""),"DeAngelo")</f>
        <v>DeAngelo</v>
      </c>
      <c r="F2121" t="str">
        <f>IFERROR(__xludf.DUMMYFUNCTION("""COMPUTED_VALUE"""),"RE")</f>
        <v>RE</v>
      </c>
      <c r="G2121">
        <f>IFERROR(__xludf.DUMMYFUNCTION("""COMPUTED_VALUE"""),9.6)</f>
        <v>9.6</v>
      </c>
    </row>
    <row r="2122">
      <c r="D2122" t="str">
        <f>IFERROR(__xludf.DUMMYFUNCTION("""COMPUTED_VALUE"""),"Underwood")</f>
        <v>Underwood</v>
      </c>
      <c r="E2122" t="str">
        <f>IFERROR(__xludf.DUMMYFUNCTION("""COMPUTED_VALUE"""),"Colton")</f>
        <v>Colton</v>
      </c>
      <c r="F2122" t="str">
        <f>IFERROR(__xludf.DUMMYFUNCTION("""COMPUTED_VALUE"""),"TE")</f>
        <v>TE</v>
      </c>
      <c r="G2122">
        <f>IFERROR(__xludf.DUMMYFUNCTION("""COMPUTED_VALUE"""),9.0)</f>
        <v>9</v>
      </c>
    </row>
    <row r="2123">
      <c r="D2123" t="str">
        <f>IFERROR(__xludf.DUMMYFUNCTION("""COMPUTED_VALUE"""),"Unger")</f>
        <v>Unger</v>
      </c>
      <c r="E2123" t="str">
        <f>IFERROR(__xludf.DUMMYFUNCTION("""COMPUTED_VALUE"""),"Max")</f>
        <v>Max</v>
      </c>
      <c r="F2123" t="str">
        <f>IFERROR(__xludf.DUMMYFUNCTION("""COMPUTED_VALUE"""),"C")</f>
        <v>C</v>
      </c>
      <c r="G2123">
        <f>IFERROR(__xludf.DUMMYFUNCTION("""COMPUTED_VALUE"""),12.299999999999999)</f>
        <v>12.3</v>
      </c>
    </row>
    <row r="2124">
      <c r="D2124" t="str">
        <f>IFERROR(__xludf.DUMMYFUNCTION("""COMPUTED_VALUE"""),"Unrein")</f>
        <v>Unrein</v>
      </c>
      <c r="E2124" t="str">
        <f>IFERROR(__xludf.DUMMYFUNCTION("""COMPUTED_VALUE"""),"Mitch")</f>
        <v>Mitch</v>
      </c>
      <c r="F2124" t="str">
        <f>IFERROR(__xludf.DUMMYFUNCTION("""COMPUTED_VALUE"""),"RE")</f>
        <v>RE</v>
      </c>
      <c r="G2124">
        <f>IFERROR(__xludf.DUMMYFUNCTION("""COMPUTED_VALUE"""),10.2)</f>
        <v>10.2</v>
      </c>
    </row>
    <row r="2125">
      <c r="D2125" t="str">
        <f>IFERROR(__xludf.DUMMYFUNCTION("""COMPUTED_VALUE"""),"Upshaw")</f>
        <v>Upshaw</v>
      </c>
      <c r="E2125" t="str">
        <f>IFERROR(__xludf.DUMMYFUNCTION("""COMPUTED_VALUE"""),"Courtney")</f>
        <v>Courtney</v>
      </c>
      <c r="F2125" t="str">
        <f>IFERROR(__xludf.DUMMYFUNCTION("""COMPUTED_VALUE"""),"LOLB")</f>
        <v>LOLB</v>
      </c>
      <c r="G2125">
        <f>IFERROR(__xludf.DUMMYFUNCTION("""COMPUTED_VALUE"""),11.7)</f>
        <v>11.7</v>
      </c>
    </row>
    <row r="2126">
      <c r="D2126" t="str">
        <f>IFERROR(__xludf.DUMMYFUNCTION("""COMPUTED_VALUE"""),"Urban")</f>
        <v>Urban</v>
      </c>
      <c r="E2126" t="str">
        <f>IFERROR(__xludf.DUMMYFUNCTION("""COMPUTED_VALUE"""),"Brent")</f>
        <v>Brent</v>
      </c>
      <c r="F2126" t="str">
        <f>IFERROR(__xludf.DUMMYFUNCTION("""COMPUTED_VALUE"""),"RE")</f>
        <v>RE</v>
      </c>
      <c r="G2126">
        <f>IFERROR(__xludf.DUMMYFUNCTION("""COMPUTED_VALUE"""),9.6)</f>
        <v>9.6</v>
      </c>
    </row>
    <row r="2127">
      <c r="D2127" t="str">
        <f>IFERROR(__xludf.DUMMYFUNCTION("""COMPUTED_VALUE"""),"Urbik")</f>
        <v>Urbik</v>
      </c>
      <c r="E2127" t="str">
        <f>IFERROR(__xludf.DUMMYFUNCTION("""COMPUTED_VALUE"""),"Kraig")</f>
        <v>Kraig</v>
      </c>
      <c r="F2127" t="str">
        <f>IFERROR(__xludf.DUMMYFUNCTION("""COMPUTED_VALUE"""),"RG")</f>
        <v>RG</v>
      </c>
      <c r="G2127">
        <f>IFERROR(__xludf.DUMMYFUNCTION("""COMPUTED_VALUE"""),10.799999999999999)</f>
        <v>10.8</v>
      </c>
    </row>
    <row r="2128">
      <c r="D2128" t="str">
        <f>IFERROR(__xludf.DUMMYFUNCTION("""COMPUTED_VALUE"""),"Urschel")</f>
        <v>Urschel</v>
      </c>
      <c r="E2128" t="str">
        <f>IFERROR(__xludf.DUMMYFUNCTION("""COMPUTED_VALUE"""),"John")</f>
        <v>John</v>
      </c>
      <c r="F2128" t="str">
        <f>IFERROR(__xludf.DUMMYFUNCTION("""COMPUTED_VALUE"""),"LG")</f>
        <v>LG</v>
      </c>
      <c r="G2128">
        <f>IFERROR(__xludf.DUMMYFUNCTION("""COMPUTED_VALUE"""),10.5)</f>
        <v>10.5</v>
      </c>
    </row>
    <row r="2129">
      <c r="D2129" t="str">
        <f>IFERROR(__xludf.DUMMYFUNCTION("""COMPUTED_VALUE"""),"Uzomah")</f>
        <v>Uzomah</v>
      </c>
      <c r="E2129" t="str">
        <f>IFERROR(__xludf.DUMMYFUNCTION("""COMPUTED_VALUE"""),"CJ")</f>
        <v>CJ</v>
      </c>
      <c r="F2129" t="str">
        <f>IFERROR(__xludf.DUMMYFUNCTION("""COMPUTED_VALUE"""),"TE")</f>
        <v>TE</v>
      </c>
      <c r="G2129">
        <f>IFERROR(__xludf.DUMMYFUNCTION("""COMPUTED_VALUE"""),9.9)</f>
        <v>9.9</v>
      </c>
    </row>
    <row r="2130">
      <c r="D2130" t="str">
        <f>IFERROR(__xludf.DUMMYFUNCTION("""COMPUTED_VALUE"""),"Vaccaro")</f>
        <v>Vaccaro</v>
      </c>
      <c r="E2130" t="str">
        <f>IFERROR(__xludf.DUMMYFUNCTION("""COMPUTED_VALUE"""),"Kenny")</f>
        <v>Kenny</v>
      </c>
      <c r="F2130" t="str">
        <f>IFERROR(__xludf.DUMMYFUNCTION("""COMPUTED_VALUE"""),"SS")</f>
        <v>SS</v>
      </c>
      <c r="G2130">
        <f>IFERROR(__xludf.DUMMYFUNCTION("""COMPUTED_VALUE"""),12.0)</f>
        <v>12</v>
      </c>
    </row>
    <row r="2131">
      <c r="D2131" t="str">
        <f>IFERROR(__xludf.DUMMYFUNCTION("""COMPUTED_VALUE"""),"Vaitai")</f>
        <v>Vaitai</v>
      </c>
      <c r="E2131" t="str">
        <f>IFERROR(__xludf.DUMMYFUNCTION("""COMPUTED_VALUE"""),"Hal")</f>
        <v>Hal</v>
      </c>
      <c r="F2131" t="str">
        <f>IFERROR(__xludf.DUMMYFUNCTION("""COMPUTED_VALUE"""),"LT")</f>
        <v>LT</v>
      </c>
      <c r="G2131">
        <f>IFERROR(__xludf.DUMMYFUNCTION("""COMPUTED_VALUE"""),9.9)</f>
        <v>9.9</v>
      </c>
    </row>
    <row r="2132">
      <c r="D2132" t="str">
        <f>IFERROR(__xludf.DUMMYFUNCTION("""COMPUTED_VALUE"""),"Valentine")</f>
        <v>Valentine</v>
      </c>
      <c r="E2132" t="str">
        <f>IFERROR(__xludf.DUMMYFUNCTION("""COMPUTED_VALUE"""),"Vincent")</f>
        <v>Vincent</v>
      </c>
      <c r="F2132" t="str">
        <f>IFERROR(__xludf.DUMMYFUNCTION("""COMPUTED_VALUE"""),"DT")</f>
        <v>DT</v>
      </c>
      <c r="G2132">
        <f>IFERROR(__xludf.DUMMYFUNCTION("""COMPUTED_VALUE"""),10.049999999999999)</f>
        <v>10.05</v>
      </c>
    </row>
    <row r="2133">
      <c r="D2133" t="str">
        <f>IFERROR(__xludf.DUMMYFUNCTION("""COMPUTED_VALUE"""),"Valles")</f>
        <v>Valles</v>
      </c>
      <c r="E2133" t="str">
        <f>IFERROR(__xludf.DUMMYFUNCTION("""COMPUTED_VALUE"""),"Hakeem")</f>
        <v>Hakeem</v>
      </c>
      <c r="F2133" t="str">
        <f>IFERROR(__xludf.DUMMYFUNCTION("""COMPUTED_VALUE"""),"TE")</f>
        <v>TE</v>
      </c>
      <c r="G2133">
        <f>IFERROR(__xludf.DUMMYFUNCTION("""COMPUTED_VALUE"""),9.15)</f>
        <v>9.15</v>
      </c>
    </row>
    <row r="2134">
      <c r="D2134" t="str">
        <f>IFERROR(__xludf.DUMMYFUNCTION("""COMPUTED_VALUE"""),"Valles")</f>
        <v>Valles</v>
      </c>
      <c r="E2134" t="str">
        <f>IFERROR(__xludf.DUMMYFUNCTION("""COMPUTED_VALUE"""),"Max")</f>
        <v>Max</v>
      </c>
      <c r="F2134" t="str">
        <f>IFERROR(__xludf.DUMMYFUNCTION("""COMPUTED_VALUE"""),"RE")</f>
        <v>RE</v>
      </c>
      <c r="G2134">
        <f>IFERROR(__xludf.DUMMYFUNCTION("""COMPUTED_VALUE"""),8.85)</f>
        <v>8.85</v>
      </c>
    </row>
    <row r="2135">
      <c r="D2135" t="str">
        <f>IFERROR(__xludf.DUMMYFUNCTION("""COMPUTED_VALUE"""),"Van Dyk")</f>
        <v>Van Dyk</v>
      </c>
      <c r="E2135" t="str">
        <f>IFERROR(__xludf.DUMMYFUNCTION("""COMPUTED_VALUE"""),"Mitchell")</f>
        <v>Mitchell</v>
      </c>
      <c r="F2135" t="str">
        <f>IFERROR(__xludf.DUMMYFUNCTION("""COMPUTED_VALUE"""),"RT")</f>
        <v>RT</v>
      </c>
      <c r="G2135">
        <f>IFERROR(__xludf.DUMMYFUNCTION("""COMPUTED_VALUE"""),9.75)</f>
        <v>9.75</v>
      </c>
    </row>
    <row r="2136">
      <c r="D2136" t="str">
        <f>IFERROR(__xludf.DUMMYFUNCTION("""COMPUTED_VALUE"""),"Van Dyke")</f>
        <v>Van Dyke</v>
      </c>
      <c r="E2136" t="str">
        <f>IFERROR(__xludf.DUMMYFUNCTION("""COMPUTED_VALUE"""),"DeMarcus")</f>
        <v>DeMarcus</v>
      </c>
      <c r="F2136" t="str">
        <f>IFERROR(__xludf.DUMMYFUNCTION("""COMPUTED_VALUE"""),"CB")</f>
        <v>CB</v>
      </c>
      <c r="G2136">
        <f>IFERROR(__xludf.DUMMYFUNCTION("""COMPUTED_VALUE"""),10.049999999999999)</f>
        <v>10.05</v>
      </c>
    </row>
    <row r="2137">
      <c r="D2137" t="str">
        <f>IFERROR(__xludf.DUMMYFUNCTION("""COMPUTED_VALUE"""),"Van Noy")</f>
        <v>Van Noy</v>
      </c>
      <c r="E2137" t="str">
        <f>IFERROR(__xludf.DUMMYFUNCTION("""COMPUTED_VALUE"""),"Kyle")</f>
        <v>Kyle</v>
      </c>
      <c r="F2137" t="str">
        <f>IFERROR(__xludf.DUMMYFUNCTION("""COMPUTED_VALUE"""),"LOLB")</f>
        <v>LOLB</v>
      </c>
      <c r="G2137">
        <f>IFERROR(__xludf.DUMMYFUNCTION("""COMPUTED_VALUE"""),10.799999999999999)</f>
        <v>10.8</v>
      </c>
    </row>
    <row r="2138">
      <c r="D2138" t="str">
        <f>IFERROR(__xludf.DUMMYFUNCTION("""COMPUTED_VALUE"""),"Vannett")</f>
        <v>Vannett</v>
      </c>
      <c r="E2138" t="str">
        <f>IFERROR(__xludf.DUMMYFUNCTION("""COMPUTED_VALUE"""),"Nick")</f>
        <v>Nick</v>
      </c>
      <c r="F2138" t="str">
        <f>IFERROR(__xludf.DUMMYFUNCTION("""COMPUTED_VALUE"""),"TE")</f>
        <v>TE</v>
      </c>
      <c r="G2138">
        <f>IFERROR(__xludf.DUMMYFUNCTION("""COMPUTED_VALUE"""),10.5)</f>
        <v>10.5</v>
      </c>
    </row>
    <row r="2139">
      <c r="D2139" t="str">
        <f>IFERROR(__xludf.DUMMYFUNCTION("""COMPUTED_VALUE"""),"Vaughan")</f>
        <v>Vaughan</v>
      </c>
      <c r="E2139" t="str">
        <f>IFERROR(__xludf.DUMMYFUNCTION("""COMPUTED_VALUE"""),"Dustin")</f>
        <v>Dustin</v>
      </c>
      <c r="F2139" t="str">
        <f>IFERROR(__xludf.DUMMYFUNCTION("""COMPUTED_VALUE"""),"QB")</f>
        <v>QB</v>
      </c>
      <c r="G2139">
        <f>IFERROR(__xludf.DUMMYFUNCTION("""COMPUTED_VALUE"""),9.299999999999999)</f>
        <v>9.3</v>
      </c>
    </row>
    <row r="2140">
      <c r="D2140" t="str">
        <f>IFERROR(__xludf.DUMMYFUNCTION("""COMPUTED_VALUE"""),"Velasco")</f>
        <v>Velasco</v>
      </c>
      <c r="E2140" t="str">
        <f>IFERROR(__xludf.DUMMYFUNCTION("""COMPUTED_VALUE"""),"Fernando")</f>
        <v>Fernando</v>
      </c>
      <c r="F2140" t="str">
        <f>IFERROR(__xludf.DUMMYFUNCTION("""COMPUTED_VALUE"""),"C")</f>
        <v>C</v>
      </c>
      <c r="G2140">
        <f>IFERROR(__xludf.DUMMYFUNCTION("""COMPUTED_VALUE"""),10.799999999999999)</f>
        <v>10.8</v>
      </c>
    </row>
    <row r="2141">
      <c r="D2141" t="str">
        <f>IFERROR(__xludf.DUMMYFUNCTION("""COMPUTED_VALUE"""),"Veldheer")</f>
        <v>Veldheer</v>
      </c>
      <c r="E2141" t="str">
        <f>IFERROR(__xludf.DUMMYFUNCTION("""COMPUTED_VALUE"""),"Jared")</f>
        <v>Jared</v>
      </c>
      <c r="F2141" t="str">
        <f>IFERROR(__xludf.DUMMYFUNCTION("""COMPUTED_VALUE"""),"LT")</f>
        <v>LT</v>
      </c>
      <c r="G2141">
        <f>IFERROR(__xludf.DUMMYFUNCTION("""COMPUTED_VALUE"""),12.75)</f>
        <v>12.75</v>
      </c>
    </row>
    <row r="2142">
      <c r="D2142" t="str">
        <f>IFERROR(__xludf.DUMMYFUNCTION("""COMPUTED_VALUE"""),"Vellano")</f>
        <v>Vellano</v>
      </c>
      <c r="E2142" t="str">
        <f>IFERROR(__xludf.DUMMYFUNCTION("""COMPUTED_VALUE"""),"Joe")</f>
        <v>Joe</v>
      </c>
      <c r="F2142" t="str">
        <f>IFERROR(__xludf.DUMMYFUNCTION("""COMPUTED_VALUE"""),"DT")</f>
        <v>DT</v>
      </c>
      <c r="G2142">
        <f>IFERROR(__xludf.DUMMYFUNCTION("""COMPUTED_VALUE"""),10.5)</f>
        <v>10.5</v>
      </c>
    </row>
    <row r="2143">
      <c r="D2143" t="str">
        <f>IFERROR(__xludf.DUMMYFUNCTION("""COMPUTED_VALUE"""),"Ventrone")</f>
        <v>Ventrone</v>
      </c>
      <c r="E2143" t="str">
        <f>IFERROR(__xludf.DUMMYFUNCTION("""COMPUTED_VALUE"""),"Ross")</f>
        <v>Ross</v>
      </c>
      <c r="F2143" t="str">
        <f>IFERROR(__xludf.DUMMYFUNCTION("""COMPUTED_VALUE"""),"SS")</f>
        <v>SS</v>
      </c>
      <c r="G2143">
        <f>IFERROR(__xludf.DUMMYFUNCTION("""COMPUTED_VALUE"""),9.6)</f>
        <v>9.6</v>
      </c>
    </row>
    <row r="2144">
      <c r="D2144" t="str">
        <f>IFERROR(__xludf.DUMMYFUNCTION("""COMPUTED_VALUE"""),"Vereen")</f>
        <v>Vereen</v>
      </c>
      <c r="E2144" t="str">
        <f>IFERROR(__xludf.DUMMYFUNCTION("""COMPUTED_VALUE"""),"Brock")</f>
        <v>Brock</v>
      </c>
      <c r="F2144" t="str">
        <f>IFERROR(__xludf.DUMMYFUNCTION("""COMPUTED_VALUE"""),"FS")</f>
        <v>FS</v>
      </c>
      <c r="G2144">
        <f>IFERROR(__xludf.DUMMYFUNCTION("""COMPUTED_VALUE"""),10.5)</f>
        <v>10.5</v>
      </c>
    </row>
    <row r="2145">
      <c r="D2145" t="str">
        <f>IFERROR(__xludf.DUMMYFUNCTION("""COMPUTED_VALUE"""),"Vereen")</f>
        <v>Vereen</v>
      </c>
      <c r="E2145" t="str">
        <f>IFERROR(__xludf.DUMMYFUNCTION("""COMPUTED_VALUE"""),"Shane")</f>
        <v>Shane</v>
      </c>
      <c r="F2145" t="str">
        <f>IFERROR(__xludf.DUMMYFUNCTION("""COMPUTED_VALUE"""),"HB")</f>
        <v>HB</v>
      </c>
      <c r="G2145">
        <f>IFERROR(__xludf.DUMMYFUNCTION("""COMPUTED_VALUE"""),12.15)</f>
        <v>12.15</v>
      </c>
    </row>
    <row r="2146">
      <c r="D2146" t="str">
        <f>IFERROR(__xludf.DUMMYFUNCTION("""COMPUTED_VALUE"""),"Verner")</f>
        <v>Verner</v>
      </c>
      <c r="E2146" t="str">
        <f>IFERROR(__xludf.DUMMYFUNCTION("""COMPUTED_VALUE"""),"Alterraun")</f>
        <v>Alterraun</v>
      </c>
      <c r="F2146" t="str">
        <f>IFERROR(__xludf.DUMMYFUNCTION("""COMPUTED_VALUE"""),"CB")</f>
        <v>CB</v>
      </c>
      <c r="G2146">
        <f>IFERROR(__xludf.DUMMYFUNCTION("""COMPUTED_VALUE"""),11.25)</f>
        <v>11.25</v>
      </c>
    </row>
    <row r="2147">
      <c r="D2147" t="str">
        <f>IFERROR(__xludf.DUMMYFUNCTION("""COMPUTED_VALUE"""),"Vernon")</f>
        <v>Vernon</v>
      </c>
      <c r="E2147" t="str">
        <f>IFERROR(__xludf.DUMMYFUNCTION("""COMPUTED_VALUE"""),"Olivier")</f>
        <v>Olivier</v>
      </c>
      <c r="F2147" t="str">
        <f>IFERROR(__xludf.DUMMYFUNCTION("""COMPUTED_VALUE"""),"RE")</f>
        <v>RE</v>
      </c>
      <c r="G2147">
        <f>IFERROR(__xludf.DUMMYFUNCTION("""COMPUTED_VALUE"""),13.65)</f>
        <v>13.65</v>
      </c>
    </row>
    <row r="2148">
      <c r="D2148" t="str">
        <f>IFERROR(__xludf.DUMMYFUNCTION("""COMPUTED_VALUE"""),"Verrett")</f>
        <v>Verrett</v>
      </c>
      <c r="E2148" t="str">
        <f>IFERROR(__xludf.DUMMYFUNCTION("""COMPUTED_VALUE"""),"Jason")</f>
        <v>Jason</v>
      </c>
      <c r="F2148" t="str">
        <f>IFERROR(__xludf.DUMMYFUNCTION("""COMPUTED_VALUE"""),"CB")</f>
        <v>CB</v>
      </c>
      <c r="G2148">
        <f>IFERROR(__xludf.DUMMYFUNCTION("""COMPUTED_VALUE"""),13.2)</f>
        <v>13.2</v>
      </c>
    </row>
    <row r="2149">
      <c r="D2149" t="str">
        <f>IFERROR(__xludf.DUMMYFUNCTION("""COMPUTED_VALUE"""),"Vigil")</f>
        <v>Vigil</v>
      </c>
      <c r="E2149" t="str">
        <f>IFERROR(__xludf.DUMMYFUNCTION("""COMPUTED_VALUE"""),"Nick")</f>
        <v>Nick</v>
      </c>
      <c r="F2149" t="str">
        <f>IFERROR(__xludf.DUMMYFUNCTION("""COMPUTED_VALUE"""),"MLB")</f>
        <v>MLB</v>
      </c>
      <c r="G2149">
        <f>IFERROR(__xludf.DUMMYFUNCTION("""COMPUTED_VALUE"""),9.75)</f>
        <v>9.75</v>
      </c>
    </row>
    <row r="2150">
      <c r="D2150" t="str">
        <f>IFERROR(__xludf.DUMMYFUNCTION("""COMPUTED_VALUE"""),"Vigil")</f>
        <v>Vigil</v>
      </c>
      <c r="E2150" t="str">
        <f>IFERROR(__xludf.DUMMYFUNCTION("""COMPUTED_VALUE"""),"Zach")</f>
        <v>Zach</v>
      </c>
      <c r="F2150" t="str">
        <f>IFERROR(__xludf.DUMMYFUNCTION("""COMPUTED_VALUE"""),"MLB")</f>
        <v>MLB</v>
      </c>
      <c r="G2150">
        <f>IFERROR(__xludf.DUMMYFUNCTION("""COMPUTED_VALUE"""),8.85)</f>
        <v>8.85</v>
      </c>
    </row>
    <row r="2151">
      <c r="D2151" t="str">
        <f>IFERROR(__xludf.DUMMYFUNCTION("""COMPUTED_VALUE"""),"Villanueva")</f>
        <v>Villanueva</v>
      </c>
      <c r="E2151" t="str">
        <f>IFERROR(__xludf.DUMMYFUNCTION("""COMPUTED_VALUE"""),"Alejandro")</f>
        <v>Alejandro</v>
      </c>
      <c r="F2151" t="str">
        <f>IFERROR(__xludf.DUMMYFUNCTION("""COMPUTED_VALUE"""),"LT")</f>
        <v>LT</v>
      </c>
      <c r="G2151">
        <f>IFERROR(__xludf.DUMMYFUNCTION("""COMPUTED_VALUE"""),10.5)</f>
        <v>10.5</v>
      </c>
    </row>
    <row r="2152">
      <c r="D2152" t="str">
        <f>IFERROR(__xludf.DUMMYFUNCTION("""COMPUTED_VALUE"""),"Vinatieri")</f>
        <v>Vinatieri</v>
      </c>
      <c r="E2152" t="str">
        <f>IFERROR(__xludf.DUMMYFUNCTION("""COMPUTED_VALUE"""),"Adam")</f>
        <v>Adam</v>
      </c>
      <c r="F2152" t="str">
        <f>IFERROR(__xludf.DUMMYFUNCTION("""COMPUTED_VALUE"""),"K")</f>
        <v>K</v>
      </c>
      <c r="G2152">
        <f>IFERROR(__xludf.DUMMYFUNCTION("""COMPUTED_VALUE"""),12.6)</f>
        <v>12.6</v>
      </c>
    </row>
    <row r="2153">
      <c r="D2153" t="str">
        <f>IFERROR(__xludf.DUMMYFUNCTION("""COMPUTED_VALUE"""),"Vitale")</f>
        <v>Vitale</v>
      </c>
      <c r="E2153" t="str">
        <f>IFERROR(__xludf.DUMMYFUNCTION("""COMPUTED_VALUE"""),"Danny")</f>
        <v>Danny</v>
      </c>
      <c r="F2153" t="str">
        <f>IFERROR(__xludf.DUMMYFUNCTION("""COMPUTED_VALUE"""),"TE")</f>
        <v>TE</v>
      </c>
      <c r="G2153">
        <f>IFERROR(__xludf.DUMMYFUNCTION("""COMPUTED_VALUE"""),10.35)</f>
        <v>10.35</v>
      </c>
    </row>
    <row r="2154">
      <c r="D2154" t="str">
        <f>IFERROR(__xludf.DUMMYFUNCTION("""COMPUTED_VALUE"""),"Vollmer")</f>
        <v>Vollmer</v>
      </c>
      <c r="E2154" t="str">
        <f>IFERROR(__xludf.DUMMYFUNCTION("""COMPUTED_VALUE"""),"Sebastian")</f>
        <v>Sebastian</v>
      </c>
      <c r="F2154" t="str">
        <f>IFERROR(__xludf.DUMMYFUNCTION("""COMPUTED_VALUE"""),"RT")</f>
        <v>RT</v>
      </c>
      <c r="G2154">
        <f>IFERROR(__xludf.DUMMYFUNCTION("""COMPUTED_VALUE"""),12.6)</f>
        <v>12.6</v>
      </c>
    </row>
    <row r="2155">
      <c r="D2155" t="str">
        <f>IFERROR(__xludf.DUMMYFUNCTION("""COMPUTED_VALUE"""),"Vujnovich")</f>
        <v>Vujnovich</v>
      </c>
      <c r="E2155" t="str">
        <f>IFERROR(__xludf.DUMMYFUNCTION("""COMPUTED_VALUE"""),"Jeremy")</f>
        <v>Jeremy</v>
      </c>
      <c r="F2155" t="str">
        <f>IFERROR(__xludf.DUMMYFUNCTION("""COMPUTED_VALUE"""),"RG")</f>
        <v>RG</v>
      </c>
      <c r="G2155">
        <f>IFERROR(__xludf.DUMMYFUNCTION("""COMPUTED_VALUE"""),9.45)</f>
        <v>9.45</v>
      </c>
    </row>
    <row r="2156">
      <c r="D2156" t="str">
        <f>IFERROR(__xludf.DUMMYFUNCTION("""COMPUTED_VALUE"""),"Waddle")</f>
        <v>Waddle</v>
      </c>
      <c r="E2156" t="str">
        <f>IFERROR(__xludf.DUMMYFUNCTION("""COMPUTED_VALUE"""),"LaAdrian")</f>
        <v>LaAdrian</v>
      </c>
      <c r="F2156" t="str">
        <f>IFERROR(__xludf.DUMMYFUNCTION("""COMPUTED_VALUE"""),"RT")</f>
        <v>RT</v>
      </c>
      <c r="G2156">
        <f>IFERROR(__xludf.DUMMYFUNCTION("""COMPUTED_VALUE"""),10.5)</f>
        <v>10.5</v>
      </c>
    </row>
    <row r="2157">
      <c r="D2157" t="str">
        <f>IFERROR(__xludf.DUMMYFUNCTION("""COMPUTED_VALUE"""),"Wade")</f>
        <v>Wade</v>
      </c>
      <c r="E2157" t="str">
        <f>IFERROR(__xludf.DUMMYFUNCTION("""COMPUTED_VALUE"""),"Trevin")</f>
        <v>Trevin</v>
      </c>
      <c r="F2157" t="str">
        <f>IFERROR(__xludf.DUMMYFUNCTION("""COMPUTED_VALUE"""),"CB")</f>
        <v>CB</v>
      </c>
      <c r="G2157">
        <f>IFERROR(__xludf.DUMMYFUNCTION("""COMPUTED_VALUE"""),10.799999999999999)</f>
        <v>10.8</v>
      </c>
    </row>
    <row r="2158">
      <c r="D2158" t="str">
        <f>IFERROR(__xludf.DUMMYFUNCTION("""COMPUTED_VALUE"""),"Wagner")</f>
        <v>Wagner</v>
      </c>
      <c r="E2158" t="str">
        <f>IFERROR(__xludf.DUMMYFUNCTION("""COMPUTED_VALUE"""),"Bobby")</f>
        <v>Bobby</v>
      </c>
      <c r="F2158" t="str">
        <f>IFERROR(__xludf.DUMMYFUNCTION("""COMPUTED_VALUE"""),"MLB")</f>
        <v>MLB</v>
      </c>
      <c r="G2158">
        <f>IFERROR(__xludf.DUMMYFUNCTION("""COMPUTED_VALUE"""),13.2)</f>
        <v>13.2</v>
      </c>
    </row>
    <row r="2159">
      <c r="D2159" t="str">
        <f>IFERROR(__xludf.DUMMYFUNCTION("""COMPUTED_VALUE"""),"Wagner")</f>
        <v>Wagner</v>
      </c>
      <c r="E2159" t="str">
        <f>IFERROR(__xludf.DUMMYFUNCTION("""COMPUTED_VALUE"""),"Rick")</f>
        <v>Rick</v>
      </c>
      <c r="F2159" t="str">
        <f>IFERROR(__xludf.DUMMYFUNCTION("""COMPUTED_VALUE"""),"RT")</f>
        <v>RT</v>
      </c>
      <c r="G2159">
        <f>IFERROR(__xludf.DUMMYFUNCTION("""COMPUTED_VALUE"""),11.4)</f>
        <v>11.4</v>
      </c>
    </row>
    <row r="2160">
      <c r="D2160" t="str">
        <f>IFERROR(__xludf.DUMMYFUNCTION("""COMPUTED_VALUE"""),"Wake")</f>
        <v>Wake</v>
      </c>
      <c r="E2160" t="str">
        <f>IFERROR(__xludf.DUMMYFUNCTION("""COMPUTED_VALUE"""),"Cameron")</f>
        <v>Cameron</v>
      </c>
      <c r="F2160" t="str">
        <f>IFERROR(__xludf.DUMMYFUNCTION("""COMPUTED_VALUE"""),"LE")</f>
        <v>LE</v>
      </c>
      <c r="G2160">
        <f>IFERROR(__xludf.DUMMYFUNCTION("""COMPUTED_VALUE"""),13.35)</f>
        <v>13.35</v>
      </c>
    </row>
    <row r="2161">
      <c r="D2161" t="str">
        <f>IFERROR(__xludf.DUMMYFUNCTION("""COMPUTED_VALUE"""),"Wakefield")</f>
        <v>Wakefield</v>
      </c>
      <c r="E2161" t="str">
        <f>IFERROR(__xludf.DUMMYFUNCTION("""COMPUTED_VALUE"""),"Mike")</f>
        <v>Mike</v>
      </c>
      <c r="F2161" t="str">
        <f>IFERROR(__xludf.DUMMYFUNCTION("""COMPUTED_VALUE"""),"LOLB")</f>
        <v>LOLB</v>
      </c>
      <c r="G2161">
        <f>IFERROR(__xludf.DUMMYFUNCTION("""COMPUTED_VALUE"""),9.15)</f>
        <v>9.15</v>
      </c>
    </row>
    <row r="2162">
      <c r="D2162" t="str">
        <f>IFERROR(__xludf.DUMMYFUNCTION("""COMPUTED_VALUE"""),"Walden")</f>
        <v>Walden</v>
      </c>
      <c r="E2162" t="str">
        <f>IFERROR(__xludf.DUMMYFUNCTION("""COMPUTED_VALUE"""),"Erik")</f>
        <v>Erik</v>
      </c>
      <c r="F2162" t="str">
        <f>IFERROR(__xludf.DUMMYFUNCTION("""COMPUTED_VALUE"""),"LOLB")</f>
        <v>LOLB</v>
      </c>
      <c r="G2162">
        <f>IFERROR(__xludf.DUMMYFUNCTION("""COMPUTED_VALUE"""),11.7)</f>
        <v>11.7</v>
      </c>
    </row>
    <row r="2163">
      <c r="D2163" t="str">
        <f>IFERROR(__xludf.DUMMYFUNCTION("""COMPUTED_VALUE"""),"Walford")</f>
        <v>Walford</v>
      </c>
      <c r="E2163" t="str">
        <f>IFERROR(__xludf.DUMMYFUNCTION("""COMPUTED_VALUE"""),"Clive")</f>
        <v>Clive</v>
      </c>
      <c r="F2163" t="str">
        <f>IFERROR(__xludf.DUMMYFUNCTION("""COMPUTED_VALUE"""),"TE")</f>
        <v>TE</v>
      </c>
      <c r="G2163">
        <f>IFERROR(__xludf.DUMMYFUNCTION("""COMPUTED_VALUE"""),11.549999999999999)</f>
        <v>11.55</v>
      </c>
    </row>
    <row r="2164">
      <c r="D2164" t="str">
        <f>IFERROR(__xludf.DUMMYFUNCTION("""COMPUTED_VALUE"""),"Walker")</f>
        <v>Walker</v>
      </c>
      <c r="E2164" t="str">
        <f>IFERROR(__xludf.DUMMYFUNCTION("""COMPUTED_VALUE"""),"Delanie")</f>
        <v>Delanie</v>
      </c>
      <c r="F2164" t="str">
        <f>IFERROR(__xludf.DUMMYFUNCTION("""COMPUTED_VALUE"""),"TE")</f>
        <v>TE</v>
      </c>
      <c r="G2164">
        <f>IFERROR(__xludf.DUMMYFUNCTION("""COMPUTED_VALUE"""),13.95)</f>
        <v>13.95</v>
      </c>
    </row>
    <row r="2165">
      <c r="D2165" t="str">
        <f>IFERROR(__xludf.DUMMYFUNCTION("""COMPUTED_VALUE"""),"Walker")</f>
        <v>Walker</v>
      </c>
      <c r="E2165" t="str">
        <f>IFERROR(__xludf.DUMMYFUNCTION("""COMPUTED_VALUE"""),"Joe")</f>
        <v>Joe</v>
      </c>
      <c r="F2165" t="str">
        <f>IFERROR(__xludf.DUMMYFUNCTION("""COMPUTED_VALUE"""),"MLB")</f>
        <v>MLB</v>
      </c>
      <c r="G2165">
        <f>IFERROR(__xludf.DUMMYFUNCTION("""COMPUTED_VALUE"""),9.0)</f>
        <v>9</v>
      </c>
    </row>
    <row r="2166">
      <c r="D2166" t="str">
        <f>IFERROR(__xludf.DUMMYFUNCTION("""COMPUTED_VALUE"""),"Walker")</f>
        <v>Walker</v>
      </c>
      <c r="E2166" t="str">
        <f>IFERROR(__xludf.DUMMYFUNCTION("""COMPUTED_VALUE"""),"Josh")</f>
        <v>Josh</v>
      </c>
      <c r="F2166" t="str">
        <f>IFERROR(__xludf.DUMMYFUNCTION("""COMPUTED_VALUE"""),"RG")</f>
        <v>RG</v>
      </c>
      <c r="G2166">
        <f>IFERROR(__xludf.DUMMYFUNCTION("""COMPUTED_VALUE"""),9.299999999999999)</f>
        <v>9.3</v>
      </c>
    </row>
    <row r="2167">
      <c r="D2167" t="str">
        <f>IFERROR(__xludf.DUMMYFUNCTION("""COMPUTED_VALUE"""),"Walker")</f>
        <v>Walker</v>
      </c>
      <c r="E2167" t="str">
        <f>IFERROR(__xludf.DUMMYFUNCTION("""COMPUTED_VALUE"""),"Tyrunn")</f>
        <v>Tyrunn</v>
      </c>
      <c r="F2167" t="str">
        <f>IFERROR(__xludf.DUMMYFUNCTION("""COMPUTED_VALUE"""),"DT")</f>
        <v>DT</v>
      </c>
      <c r="G2167">
        <f>IFERROR(__xludf.DUMMYFUNCTION("""COMPUTED_VALUE"""),10.799999999999999)</f>
        <v>10.8</v>
      </c>
    </row>
    <row r="2168">
      <c r="D2168" t="str">
        <f>IFERROR(__xludf.DUMMYFUNCTION("""COMPUTED_VALUE"""),"Walker")</f>
        <v>Walker</v>
      </c>
      <c r="E2168" t="str">
        <f>IFERROR(__xludf.DUMMYFUNCTION("""COMPUTED_VALUE"""),"Vance")</f>
        <v>Vance</v>
      </c>
      <c r="F2168" t="str">
        <f>IFERROR(__xludf.DUMMYFUNCTION("""COMPUTED_VALUE"""),"LE")</f>
        <v>LE</v>
      </c>
      <c r="G2168">
        <f>IFERROR(__xludf.DUMMYFUNCTION("""COMPUTED_VALUE"""),11.1)</f>
        <v>11.1</v>
      </c>
    </row>
    <row r="2169">
      <c r="D2169" t="str">
        <f>IFERROR(__xludf.DUMMYFUNCTION("""COMPUTED_VALUE"""),"Wallace")</f>
        <v>Wallace</v>
      </c>
      <c r="E2169" t="str">
        <f>IFERROR(__xludf.DUMMYFUNCTION("""COMPUTED_VALUE"""),"Aaron")</f>
        <v>Aaron</v>
      </c>
      <c r="F2169" t="str">
        <f>IFERROR(__xludf.DUMMYFUNCTION("""COMPUTED_VALUE"""),"ROLB")</f>
        <v>ROLB</v>
      </c>
      <c r="G2169">
        <f>IFERROR(__xludf.DUMMYFUNCTION("""COMPUTED_VALUE"""),9.75)</f>
        <v>9.75</v>
      </c>
    </row>
    <row r="2170">
      <c r="D2170" t="str">
        <f>IFERROR(__xludf.DUMMYFUNCTION("""COMPUTED_VALUE"""),"Wallace")</f>
        <v>Wallace</v>
      </c>
      <c r="E2170" t="str">
        <f>IFERROR(__xludf.DUMMYFUNCTION("""COMPUTED_VALUE"""),"Cody")</f>
        <v>Cody</v>
      </c>
      <c r="F2170" t="str">
        <f>IFERROR(__xludf.DUMMYFUNCTION("""COMPUTED_VALUE"""),"C")</f>
        <v>C</v>
      </c>
      <c r="G2170">
        <f>IFERROR(__xludf.DUMMYFUNCTION("""COMPUTED_VALUE"""),9.75)</f>
        <v>9.75</v>
      </c>
    </row>
    <row r="2171">
      <c r="D2171" t="str">
        <f>IFERROR(__xludf.DUMMYFUNCTION("""COMPUTED_VALUE"""),"Wallace")</f>
        <v>Wallace</v>
      </c>
      <c r="E2171" t="str">
        <f>IFERROR(__xludf.DUMMYFUNCTION("""COMPUTED_VALUE"""),"Martin")</f>
        <v>Martin</v>
      </c>
      <c r="F2171" t="str">
        <f>IFERROR(__xludf.DUMMYFUNCTION("""COMPUTED_VALUE"""),"RT")</f>
        <v>RT</v>
      </c>
      <c r="G2171">
        <f>IFERROR(__xludf.DUMMYFUNCTION("""COMPUTED_VALUE"""),10.049999999999999)</f>
        <v>10.05</v>
      </c>
    </row>
    <row r="2172">
      <c r="D2172" t="str">
        <f>IFERROR(__xludf.DUMMYFUNCTION("""COMPUTED_VALUE"""),"Wallace")</f>
        <v>Wallace</v>
      </c>
      <c r="E2172" t="str">
        <f>IFERROR(__xludf.DUMMYFUNCTION("""COMPUTED_VALUE"""),"Mike")</f>
        <v>Mike</v>
      </c>
      <c r="F2172" t="str">
        <f>IFERROR(__xludf.DUMMYFUNCTION("""COMPUTED_VALUE"""),"WR")</f>
        <v>WR</v>
      </c>
      <c r="G2172">
        <f>IFERROR(__xludf.DUMMYFUNCTION("""COMPUTED_VALUE"""),11.549999999999999)</f>
        <v>11.55</v>
      </c>
    </row>
    <row r="2173">
      <c r="D2173" t="str">
        <f>IFERROR(__xludf.DUMMYFUNCTION("""COMPUTED_VALUE"""),"Waller")</f>
        <v>Waller</v>
      </c>
      <c r="E2173" t="str">
        <f>IFERROR(__xludf.DUMMYFUNCTION("""COMPUTED_VALUE"""),"Darren")</f>
        <v>Darren</v>
      </c>
      <c r="F2173" t="str">
        <f>IFERROR(__xludf.DUMMYFUNCTION("""COMPUTED_VALUE"""),"WR")</f>
        <v>WR</v>
      </c>
      <c r="G2173">
        <f>IFERROR(__xludf.DUMMYFUNCTION("""COMPUTED_VALUE"""),9.75)</f>
        <v>9.75</v>
      </c>
    </row>
    <row r="2174">
      <c r="D2174" t="str">
        <f>IFERROR(__xludf.DUMMYFUNCTION("""COMPUTED_VALUE"""),"Walls")</f>
        <v>Walls</v>
      </c>
      <c r="E2174" t="str">
        <f>IFERROR(__xludf.DUMMYFUNCTION("""COMPUTED_VALUE"""),"Darrin")</f>
        <v>Darrin</v>
      </c>
      <c r="F2174" t="str">
        <f>IFERROR(__xludf.DUMMYFUNCTION("""COMPUTED_VALUE"""),"CB")</f>
        <v>CB</v>
      </c>
      <c r="G2174">
        <f>IFERROR(__xludf.DUMMYFUNCTION("""COMPUTED_VALUE"""),10.35)</f>
        <v>10.35</v>
      </c>
    </row>
    <row r="2175">
      <c r="D2175" t="str">
        <f>IFERROR(__xludf.DUMMYFUNCTION("""COMPUTED_VALUE"""),"Walsh")</f>
        <v>Walsh</v>
      </c>
      <c r="E2175" t="str">
        <f>IFERROR(__xludf.DUMMYFUNCTION("""COMPUTED_VALUE"""),"Blair")</f>
        <v>Blair</v>
      </c>
      <c r="F2175" t="str">
        <f>IFERROR(__xludf.DUMMYFUNCTION("""COMPUTED_VALUE"""),"K")</f>
        <v>K</v>
      </c>
      <c r="G2175">
        <f>IFERROR(__xludf.DUMMYFUNCTION("""COMPUTED_VALUE"""),12.15)</f>
        <v>12.15</v>
      </c>
    </row>
    <row r="2176">
      <c r="D2176" t="str">
        <f>IFERROR(__xludf.DUMMYFUNCTION("""COMPUTED_VALUE"""),"Walters")</f>
        <v>Walters</v>
      </c>
      <c r="E2176" t="str">
        <f>IFERROR(__xludf.DUMMYFUNCTION("""COMPUTED_VALUE"""),"Bryan")</f>
        <v>Bryan</v>
      </c>
      <c r="F2176" t="str">
        <f>IFERROR(__xludf.DUMMYFUNCTION("""COMPUTED_VALUE"""),"WR")</f>
        <v>WR</v>
      </c>
      <c r="G2176">
        <f>IFERROR(__xludf.DUMMYFUNCTION("""COMPUTED_VALUE"""),10.5)</f>
        <v>10.5</v>
      </c>
    </row>
    <row r="2177">
      <c r="D2177" t="str">
        <f>IFERROR(__xludf.DUMMYFUNCTION("""COMPUTED_VALUE"""),"Walton")</f>
        <v>Walton</v>
      </c>
      <c r="E2177" t="str">
        <f>IFERROR(__xludf.DUMMYFUNCTION("""COMPUTED_VALUE"""),"LT")</f>
        <v>LT</v>
      </c>
      <c r="F2177" t="str">
        <f>IFERROR(__xludf.DUMMYFUNCTION("""COMPUTED_VALUE"""),"RE")</f>
        <v>RE</v>
      </c>
      <c r="G2177">
        <f>IFERROR(__xludf.DUMMYFUNCTION("""COMPUTED_VALUE"""),8.85)</f>
        <v>8.85</v>
      </c>
    </row>
    <row r="2178">
      <c r="D2178" t="str">
        <f>IFERROR(__xludf.DUMMYFUNCTION("""COMPUTED_VALUE"""),"Ward")</f>
        <v>Ward</v>
      </c>
      <c r="E2178" t="str">
        <f>IFERROR(__xludf.DUMMYFUNCTION("""COMPUTED_VALUE"""),"Jihad")</f>
        <v>Jihad</v>
      </c>
      <c r="F2178" t="str">
        <f>IFERROR(__xludf.DUMMYFUNCTION("""COMPUTED_VALUE"""),"LE")</f>
        <v>LE</v>
      </c>
      <c r="G2178">
        <f>IFERROR(__xludf.DUMMYFUNCTION("""COMPUTED_VALUE"""),10.65)</f>
        <v>10.65</v>
      </c>
    </row>
    <row r="2179">
      <c r="D2179" t="str">
        <f>IFERROR(__xludf.DUMMYFUNCTION("""COMPUTED_VALUE"""),"Ward")</f>
        <v>Ward</v>
      </c>
      <c r="E2179" t="str">
        <f>IFERROR(__xludf.DUMMYFUNCTION("""COMPUTED_VALUE"""),"Jimmie")</f>
        <v>Jimmie</v>
      </c>
      <c r="F2179" t="str">
        <f>IFERROR(__xludf.DUMMYFUNCTION("""COMPUTED_VALUE"""),"CB")</f>
        <v>CB</v>
      </c>
      <c r="G2179">
        <f>IFERROR(__xludf.DUMMYFUNCTION("""COMPUTED_VALUE"""),11.25)</f>
        <v>11.25</v>
      </c>
    </row>
    <row r="2180">
      <c r="D2180" t="str">
        <f>IFERROR(__xludf.DUMMYFUNCTION("""COMPUTED_VALUE"""),"Ward")</f>
        <v>Ward</v>
      </c>
      <c r="E2180" t="str">
        <f>IFERROR(__xludf.DUMMYFUNCTION("""COMPUTED_VALUE"""),"Terron")</f>
        <v>Terron</v>
      </c>
      <c r="F2180" t="str">
        <f>IFERROR(__xludf.DUMMYFUNCTION("""COMPUTED_VALUE"""),"HB")</f>
        <v>HB</v>
      </c>
      <c r="G2180">
        <f>IFERROR(__xludf.DUMMYFUNCTION("""COMPUTED_VALUE"""),10.35)</f>
        <v>10.35</v>
      </c>
    </row>
    <row r="2181">
      <c r="D2181" t="str">
        <f>IFERROR(__xludf.DUMMYFUNCTION("""COMPUTED_VALUE"""),"Ward")</f>
        <v>Ward</v>
      </c>
      <c r="E2181" t="str">
        <f>IFERROR(__xludf.DUMMYFUNCTION("""COMPUTED_VALUE"""),"TJ")</f>
        <v>TJ</v>
      </c>
      <c r="F2181" t="str">
        <f>IFERROR(__xludf.DUMMYFUNCTION("""COMPUTED_VALUE"""),"SS")</f>
        <v>SS</v>
      </c>
      <c r="G2181">
        <f>IFERROR(__xludf.DUMMYFUNCTION("""COMPUTED_VALUE"""),12.75)</f>
        <v>12.75</v>
      </c>
    </row>
    <row r="2182">
      <c r="D2182" t="str">
        <f>IFERROR(__xludf.DUMMYFUNCTION("""COMPUTED_VALUE"""),"Ware")</f>
        <v>Ware</v>
      </c>
      <c r="E2182" t="str">
        <f>IFERROR(__xludf.DUMMYFUNCTION("""COMPUTED_VALUE"""),"DeMarcus")</f>
        <v>DeMarcus</v>
      </c>
      <c r="F2182" t="str">
        <f>IFERROR(__xludf.DUMMYFUNCTION("""COMPUTED_VALUE"""),"ROLB")</f>
        <v>ROLB</v>
      </c>
      <c r="G2182">
        <f>IFERROR(__xludf.DUMMYFUNCTION("""COMPUTED_VALUE"""),12.9)</f>
        <v>12.9</v>
      </c>
    </row>
    <row r="2183">
      <c r="D2183" t="str">
        <f>IFERROR(__xludf.DUMMYFUNCTION("""COMPUTED_VALUE"""),"Ware")</f>
        <v>Ware</v>
      </c>
      <c r="E2183" t="str">
        <f>IFERROR(__xludf.DUMMYFUNCTION("""COMPUTED_VALUE"""),"Spencer")</f>
        <v>Spencer</v>
      </c>
      <c r="F2183" t="str">
        <f>IFERROR(__xludf.DUMMYFUNCTION("""COMPUTED_VALUE"""),"HB")</f>
        <v>HB</v>
      </c>
      <c r="G2183">
        <f>IFERROR(__xludf.DUMMYFUNCTION("""COMPUTED_VALUE"""),11.25)</f>
        <v>11.25</v>
      </c>
    </row>
    <row r="2184">
      <c r="D2184" t="str">
        <f>IFERROR(__xludf.DUMMYFUNCTION("""COMPUTED_VALUE"""),"Warford")</f>
        <v>Warford</v>
      </c>
      <c r="E2184" t="str">
        <f>IFERROR(__xludf.DUMMYFUNCTION("""COMPUTED_VALUE"""),"Larry")</f>
        <v>Larry</v>
      </c>
      <c r="F2184" t="str">
        <f>IFERROR(__xludf.DUMMYFUNCTION("""COMPUTED_VALUE"""),"RG")</f>
        <v>RG</v>
      </c>
      <c r="G2184">
        <f>IFERROR(__xludf.DUMMYFUNCTION("""COMPUTED_VALUE"""),11.1)</f>
        <v>11.1</v>
      </c>
    </row>
    <row r="2185">
      <c r="D2185" t="str">
        <f>IFERROR(__xludf.DUMMYFUNCTION("""COMPUTED_VALUE"""),"Warmack")</f>
        <v>Warmack</v>
      </c>
      <c r="E2185" t="str">
        <f>IFERROR(__xludf.DUMMYFUNCTION("""COMPUTED_VALUE"""),"Chance")</f>
        <v>Chance</v>
      </c>
      <c r="F2185" t="str">
        <f>IFERROR(__xludf.DUMMYFUNCTION("""COMPUTED_VALUE"""),"RG")</f>
        <v>RG</v>
      </c>
      <c r="G2185">
        <f>IFERROR(__xludf.DUMMYFUNCTION("""COMPUTED_VALUE"""),11.25)</f>
        <v>11.25</v>
      </c>
    </row>
    <row r="2186">
      <c r="D2186" t="str">
        <f>IFERROR(__xludf.DUMMYFUNCTION("""COMPUTED_VALUE"""),"Warren")</f>
        <v>Warren</v>
      </c>
      <c r="E2186" t="str">
        <f>IFERROR(__xludf.DUMMYFUNCTION("""COMPUTED_VALUE"""),"Greg")</f>
        <v>Greg</v>
      </c>
      <c r="F2186" t="str">
        <f>IFERROR(__xludf.DUMMYFUNCTION("""COMPUTED_VALUE"""),"C")</f>
        <v>C</v>
      </c>
      <c r="G2186">
        <f>IFERROR(__xludf.DUMMYFUNCTION("""COMPUTED_VALUE"""),9.75)</f>
        <v>9.75</v>
      </c>
    </row>
    <row r="2187">
      <c r="D2187" t="str">
        <f>IFERROR(__xludf.DUMMYFUNCTION("""COMPUTED_VALUE"""),"Washington")</f>
        <v>Washington</v>
      </c>
      <c r="E2187" t="str">
        <f>IFERROR(__xludf.DUMMYFUNCTION("""COMPUTED_VALUE"""),"Adolphus")</f>
        <v>Adolphus</v>
      </c>
      <c r="F2187" t="str">
        <f>IFERROR(__xludf.DUMMYFUNCTION("""COMPUTED_VALUE"""),"DT")</f>
        <v>DT</v>
      </c>
      <c r="G2187">
        <f>IFERROR(__xludf.DUMMYFUNCTION("""COMPUTED_VALUE"""),10.5)</f>
        <v>10.5</v>
      </c>
    </row>
    <row r="2188">
      <c r="D2188" t="str">
        <f>IFERROR(__xludf.DUMMYFUNCTION("""COMPUTED_VALUE"""),"Washington")</f>
        <v>Washington</v>
      </c>
      <c r="E2188" t="str">
        <f>IFERROR(__xludf.DUMMYFUNCTION("""COMPUTED_VALUE"""),"Corey")</f>
        <v>Corey</v>
      </c>
      <c r="F2188" t="str">
        <f>IFERROR(__xludf.DUMMYFUNCTION("""COMPUTED_VALUE"""),"WR")</f>
        <v>WR</v>
      </c>
      <c r="G2188">
        <f>IFERROR(__xludf.DUMMYFUNCTION("""COMPUTED_VALUE"""),9.299999999999999)</f>
        <v>9.3</v>
      </c>
    </row>
    <row r="2189">
      <c r="D2189" t="str">
        <f>IFERROR(__xludf.DUMMYFUNCTION("""COMPUTED_VALUE"""),"Washington")</f>
        <v>Washington</v>
      </c>
      <c r="E2189" t="str">
        <f>IFERROR(__xludf.DUMMYFUNCTION("""COMPUTED_VALUE"""),"Cornelius")</f>
        <v>Cornelius</v>
      </c>
      <c r="F2189" t="str">
        <f>IFERROR(__xludf.DUMMYFUNCTION("""COMPUTED_VALUE"""),"LE")</f>
        <v>LE</v>
      </c>
      <c r="G2189">
        <f>IFERROR(__xludf.DUMMYFUNCTION("""COMPUTED_VALUE"""),9.6)</f>
        <v>9.6</v>
      </c>
    </row>
    <row r="2190">
      <c r="D2190" t="str">
        <f>IFERROR(__xludf.DUMMYFUNCTION("""COMPUTED_VALUE"""),"Washington")</f>
        <v>Washington</v>
      </c>
      <c r="E2190" t="str">
        <f>IFERROR(__xludf.DUMMYFUNCTION("""COMPUTED_VALUE"""),"Daryl")</f>
        <v>Daryl</v>
      </c>
      <c r="F2190" t="str">
        <f>IFERROR(__xludf.DUMMYFUNCTION("""COMPUTED_VALUE"""),"MLB")</f>
        <v>MLB</v>
      </c>
      <c r="G2190">
        <f>IFERROR(__xludf.DUMMYFUNCTION("""COMPUTED_VALUE"""),10.5)</f>
        <v>10.5</v>
      </c>
    </row>
    <row r="2191">
      <c r="D2191" t="str">
        <f>IFERROR(__xludf.DUMMYFUNCTION("""COMPUTED_VALUE"""),"Washington")</f>
        <v>Washington</v>
      </c>
      <c r="E2191" t="str">
        <f>IFERROR(__xludf.DUMMYFUNCTION("""COMPUTED_VALUE"""),"DeAndre")</f>
        <v>DeAndre</v>
      </c>
      <c r="F2191" t="str">
        <f>IFERROR(__xludf.DUMMYFUNCTION("""COMPUTED_VALUE"""),"HB")</f>
        <v>HB</v>
      </c>
      <c r="G2191">
        <f>IFERROR(__xludf.DUMMYFUNCTION("""COMPUTED_VALUE"""),10.2)</f>
        <v>10.2</v>
      </c>
    </row>
    <row r="2192">
      <c r="D2192" t="str">
        <f>IFERROR(__xludf.DUMMYFUNCTION("""COMPUTED_VALUE"""),"Washington")</f>
        <v>Washington</v>
      </c>
      <c r="E2192" t="str">
        <f>IFERROR(__xludf.DUMMYFUNCTION("""COMPUTED_VALUE"""),"Donald")</f>
        <v>Donald</v>
      </c>
      <c r="F2192" t="str">
        <f>IFERROR(__xludf.DUMMYFUNCTION("""COMPUTED_VALUE"""),"CB")</f>
        <v>CB</v>
      </c>
      <c r="G2192">
        <f>IFERROR(__xludf.DUMMYFUNCTION("""COMPUTED_VALUE"""),9.75)</f>
        <v>9.75</v>
      </c>
    </row>
    <row r="2193">
      <c r="D2193" t="str">
        <f>IFERROR(__xludf.DUMMYFUNCTION("""COMPUTED_VALUE"""),"Washington")</f>
        <v>Washington</v>
      </c>
      <c r="E2193" t="str">
        <f>IFERROR(__xludf.DUMMYFUNCTION("""COMPUTED_VALUE"""),"Dwayne")</f>
        <v>Dwayne</v>
      </c>
      <c r="F2193" t="str">
        <f>IFERROR(__xludf.DUMMYFUNCTION("""COMPUTED_VALUE"""),"HB")</f>
        <v>HB</v>
      </c>
      <c r="G2193">
        <f>IFERROR(__xludf.DUMMYFUNCTION("""COMPUTED_VALUE"""),9.75)</f>
        <v>9.75</v>
      </c>
    </row>
    <row r="2194">
      <c r="D2194" t="str">
        <f>IFERROR(__xludf.DUMMYFUNCTION("""COMPUTED_VALUE"""),"Washington")</f>
        <v>Washington</v>
      </c>
      <c r="E2194" t="str">
        <f>IFERROR(__xludf.DUMMYFUNCTION("""COMPUTED_VALUE"""),"Nate")</f>
        <v>Nate</v>
      </c>
      <c r="F2194" t="str">
        <f>IFERROR(__xludf.DUMMYFUNCTION("""COMPUTED_VALUE"""),"WR")</f>
        <v>WR</v>
      </c>
      <c r="G2194">
        <f>IFERROR(__xludf.DUMMYFUNCTION("""COMPUTED_VALUE"""),10.95)</f>
        <v>10.95</v>
      </c>
    </row>
    <row r="2195">
      <c r="D2195" t="str">
        <f>IFERROR(__xludf.DUMMYFUNCTION("""COMPUTED_VALUE"""),"Waters")</f>
        <v>Waters</v>
      </c>
      <c r="E2195" t="str">
        <f>IFERROR(__xludf.DUMMYFUNCTION("""COMPUTED_VALUE"""),"Swayze")</f>
        <v>Swayze</v>
      </c>
      <c r="F2195" t="str">
        <f>IFERROR(__xludf.DUMMYFUNCTION("""COMPUTED_VALUE"""),"P")</f>
        <v>P</v>
      </c>
      <c r="G2195">
        <f>IFERROR(__xludf.DUMMYFUNCTION("""COMPUTED_VALUE"""),10.35)</f>
        <v>10.35</v>
      </c>
    </row>
    <row r="2196">
      <c r="D2196" t="str">
        <f>IFERROR(__xludf.DUMMYFUNCTION("""COMPUTED_VALUE"""),"Watford")</f>
        <v>Watford</v>
      </c>
      <c r="E2196" t="str">
        <f>IFERROR(__xludf.DUMMYFUNCTION("""COMPUTED_VALUE"""),"Earl")</f>
        <v>Earl</v>
      </c>
      <c r="F2196" t="str">
        <f>IFERROR(__xludf.DUMMYFUNCTION("""COMPUTED_VALUE"""),"RG")</f>
        <v>RG</v>
      </c>
      <c r="G2196">
        <f>IFERROR(__xludf.DUMMYFUNCTION("""COMPUTED_VALUE"""),11.1)</f>
        <v>11.1</v>
      </c>
    </row>
    <row r="2197">
      <c r="D2197" t="str">
        <f>IFERROR(__xludf.DUMMYFUNCTION("""COMPUTED_VALUE"""),"Watkins")</f>
        <v>Watkins</v>
      </c>
      <c r="E2197" t="str">
        <f>IFERROR(__xludf.DUMMYFUNCTION("""COMPUTED_VALUE"""),"Jaylen")</f>
        <v>Jaylen</v>
      </c>
      <c r="F2197" t="str">
        <f>IFERROR(__xludf.DUMMYFUNCTION("""COMPUTED_VALUE"""),"CB")</f>
        <v>CB</v>
      </c>
      <c r="G2197">
        <f>IFERROR(__xludf.DUMMYFUNCTION("""COMPUTED_VALUE"""),10.2)</f>
        <v>10.2</v>
      </c>
    </row>
    <row r="2198">
      <c r="D2198" t="str">
        <f>IFERROR(__xludf.DUMMYFUNCTION("""COMPUTED_VALUE"""),"Watkins")</f>
        <v>Watkins</v>
      </c>
      <c r="E2198" t="str">
        <f>IFERROR(__xludf.DUMMYFUNCTION("""COMPUTED_VALUE"""),"Sammy")</f>
        <v>Sammy</v>
      </c>
      <c r="F2198" t="str">
        <f>IFERROR(__xludf.DUMMYFUNCTION("""COMPUTED_VALUE"""),"WR")</f>
        <v>WR</v>
      </c>
      <c r="G2198">
        <f>IFERROR(__xludf.DUMMYFUNCTION("""COMPUTED_VALUE"""),13.049999999999999)</f>
        <v>13.05</v>
      </c>
    </row>
    <row r="2199">
      <c r="D2199" t="str">
        <f>IFERROR(__xludf.DUMMYFUNCTION("""COMPUTED_VALUE"""),"Watson")</f>
        <v>Watson</v>
      </c>
      <c r="E2199" t="str">
        <f>IFERROR(__xludf.DUMMYFUNCTION("""COMPUTED_VALUE"""),"Benjamin")</f>
        <v>Benjamin</v>
      </c>
      <c r="F2199" t="str">
        <f>IFERROR(__xludf.DUMMYFUNCTION("""COMPUTED_VALUE"""),"TE")</f>
        <v>TE</v>
      </c>
      <c r="G2199">
        <f>IFERROR(__xludf.DUMMYFUNCTION("""COMPUTED_VALUE"""),12.15)</f>
        <v>12.15</v>
      </c>
    </row>
    <row r="2200">
      <c r="D2200" t="str">
        <f>IFERROR(__xludf.DUMMYFUNCTION("""COMPUTED_VALUE"""),"Watson")</f>
        <v>Watson</v>
      </c>
      <c r="E2200" t="str">
        <f>IFERROR(__xludf.DUMMYFUNCTION("""COMPUTED_VALUE"""),"Dekoda")</f>
        <v>Dekoda</v>
      </c>
      <c r="F2200" t="str">
        <f>IFERROR(__xludf.DUMMYFUNCTION("""COMPUTED_VALUE"""),"MLB")</f>
        <v>MLB</v>
      </c>
      <c r="G2200">
        <f>IFERROR(__xludf.DUMMYFUNCTION("""COMPUTED_VALUE"""),9.45)</f>
        <v>9.45</v>
      </c>
    </row>
    <row r="2201">
      <c r="D2201" t="str">
        <f>IFERROR(__xludf.DUMMYFUNCTION("""COMPUTED_VALUE"""),"Watson")</f>
        <v>Watson</v>
      </c>
      <c r="E2201" t="str">
        <f>IFERROR(__xludf.DUMMYFUNCTION("""COMPUTED_VALUE"""),"Menelik")</f>
        <v>Menelik</v>
      </c>
      <c r="F2201" t="str">
        <f>IFERROR(__xludf.DUMMYFUNCTION("""COMPUTED_VALUE"""),"RT")</f>
        <v>RT</v>
      </c>
      <c r="G2201">
        <f>IFERROR(__xludf.DUMMYFUNCTION("""COMPUTED_VALUE"""),10.95)</f>
        <v>10.95</v>
      </c>
    </row>
    <row r="2202">
      <c r="D2202" t="str">
        <f>IFERROR(__xludf.DUMMYFUNCTION("""COMPUTED_VALUE"""),"Watt")</f>
        <v>Watt</v>
      </c>
      <c r="E2202" t="str">
        <f>IFERROR(__xludf.DUMMYFUNCTION("""COMPUTED_VALUE"""),"Chris")</f>
        <v>Chris</v>
      </c>
      <c r="F2202" t="str">
        <f>IFERROR(__xludf.DUMMYFUNCTION("""COMPUTED_VALUE"""),"C")</f>
        <v>C</v>
      </c>
      <c r="G2202">
        <f>IFERROR(__xludf.DUMMYFUNCTION("""COMPUTED_VALUE"""),10.35)</f>
        <v>10.35</v>
      </c>
    </row>
    <row r="2203">
      <c r="D2203" t="str">
        <f>IFERROR(__xludf.DUMMYFUNCTION("""COMPUTED_VALUE"""),"Watt")</f>
        <v>Watt</v>
      </c>
      <c r="E2203" t="str">
        <f>IFERROR(__xludf.DUMMYFUNCTION("""COMPUTED_VALUE"""),"Derek")</f>
        <v>Derek</v>
      </c>
      <c r="F2203" t="str">
        <f>IFERROR(__xludf.DUMMYFUNCTION("""COMPUTED_VALUE"""),"FB")</f>
        <v>FB</v>
      </c>
      <c r="G2203">
        <f>IFERROR(__xludf.DUMMYFUNCTION("""COMPUTED_VALUE"""),10.65)</f>
        <v>10.65</v>
      </c>
    </row>
    <row r="2204">
      <c r="D2204" t="str">
        <f>IFERROR(__xludf.DUMMYFUNCTION("""COMPUTED_VALUE"""),"Watt")</f>
        <v>Watt</v>
      </c>
      <c r="E2204" t="str">
        <f>IFERROR(__xludf.DUMMYFUNCTION("""COMPUTED_VALUE"""),"JJ")</f>
        <v>JJ</v>
      </c>
      <c r="F2204" t="str">
        <f>IFERROR(__xludf.DUMMYFUNCTION("""COMPUTED_VALUE"""),"RE")</f>
        <v>RE</v>
      </c>
      <c r="G2204">
        <f>IFERROR(__xludf.DUMMYFUNCTION("""COMPUTED_VALUE"""),14.85)</f>
        <v>14.85</v>
      </c>
    </row>
    <row r="2205">
      <c r="D2205" t="str">
        <f>IFERROR(__xludf.DUMMYFUNCTION("""COMPUTED_VALUE"""),"Watts")</f>
        <v>Watts</v>
      </c>
      <c r="E2205" t="str">
        <f>IFERROR(__xludf.DUMMYFUNCTION("""COMPUTED_VALUE"""),"Brandon")</f>
        <v>Brandon</v>
      </c>
      <c r="F2205" t="str">
        <f>IFERROR(__xludf.DUMMYFUNCTION("""COMPUTED_VALUE"""),"ROLB")</f>
        <v>ROLB</v>
      </c>
      <c r="G2205">
        <f>IFERROR(__xludf.DUMMYFUNCTION("""COMPUTED_VALUE"""),9.6)</f>
        <v>9.6</v>
      </c>
    </row>
    <row r="2206">
      <c r="D2206" t="str">
        <f>IFERROR(__xludf.DUMMYFUNCTION("""COMPUTED_VALUE"""),"Watts")</f>
        <v>Watts</v>
      </c>
      <c r="E2206" t="str">
        <f>IFERROR(__xludf.DUMMYFUNCTION("""COMPUTED_VALUE"""),"Craig")</f>
        <v>Craig</v>
      </c>
      <c r="F2206" t="str">
        <f>IFERROR(__xludf.DUMMYFUNCTION("""COMPUTED_VALUE"""),"LG")</f>
        <v>LG</v>
      </c>
      <c r="G2206">
        <f>IFERROR(__xludf.DUMMYFUNCTION("""COMPUTED_VALUE"""),9.45)</f>
        <v>9.45</v>
      </c>
    </row>
    <row r="2207">
      <c r="D2207" t="str">
        <f>IFERROR(__xludf.DUMMYFUNCTION("""COMPUTED_VALUE"""),"Way")</f>
        <v>Way</v>
      </c>
      <c r="E2207" t="str">
        <f>IFERROR(__xludf.DUMMYFUNCTION("""COMPUTED_VALUE"""),"Tress")</f>
        <v>Tress</v>
      </c>
      <c r="F2207" t="str">
        <f>IFERROR(__xludf.DUMMYFUNCTION("""COMPUTED_VALUE"""),"P")</f>
        <v>P</v>
      </c>
      <c r="G2207">
        <f>IFERROR(__xludf.DUMMYFUNCTION("""COMPUTED_VALUE"""),12.45)</f>
        <v>12.45</v>
      </c>
    </row>
    <row r="2208">
      <c r="D2208" t="str">
        <f>IFERROR(__xludf.DUMMYFUNCTION("""COMPUTED_VALUE"""),"Waynes")</f>
        <v>Waynes</v>
      </c>
      <c r="E2208" t="str">
        <f>IFERROR(__xludf.DUMMYFUNCTION("""COMPUTED_VALUE"""),"Trae")</f>
        <v>Trae</v>
      </c>
      <c r="F2208" t="str">
        <f>IFERROR(__xludf.DUMMYFUNCTION("""COMPUTED_VALUE"""),"CB")</f>
        <v>CB</v>
      </c>
      <c r="G2208">
        <f>IFERROR(__xludf.DUMMYFUNCTION("""COMPUTED_VALUE"""),10.95)</f>
        <v>10.95</v>
      </c>
    </row>
    <row r="2209">
      <c r="D2209" t="str">
        <f>IFERROR(__xludf.DUMMYFUNCTION("""COMPUTED_VALUE"""),"Weatherly")</f>
        <v>Weatherly</v>
      </c>
      <c r="E2209" t="str">
        <f>IFERROR(__xludf.DUMMYFUNCTION("""COMPUTED_VALUE"""),"Stephen")</f>
        <v>Stephen</v>
      </c>
      <c r="F2209" t="str">
        <f>IFERROR(__xludf.DUMMYFUNCTION("""COMPUTED_VALUE"""),"RE")</f>
        <v>RE</v>
      </c>
      <c r="G2209">
        <f>IFERROR(__xludf.DUMMYFUNCTION("""COMPUTED_VALUE"""),9.45)</f>
        <v>9.45</v>
      </c>
    </row>
    <row r="2210">
      <c r="D2210" t="str">
        <f>IFERROR(__xludf.DUMMYFUNCTION("""COMPUTED_VALUE"""),"Weatherspoon")</f>
        <v>Weatherspoon</v>
      </c>
      <c r="E2210" t="str">
        <f>IFERROR(__xludf.DUMMYFUNCTION("""COMPUTED_VALUE"""),"Sean")</f>
        <v>Sean</v>
      </c>
      <c r="F2210" t="str">
        <f>IFERROR(__xludf.DUMMYFUNCTION("""COMPUTED_VALUE"""),"MLB")</f>
        <v>MLB</v>
      </c>
      <c r="G2210">
        <f>IFERROR(__xludf.DUMMYFUNCTION("""COMPUTED_VALUE"""),10.95)</f>
        <v>10.95</v>
      </c>
    </row>
    <row r="2211">
      <c r="D2211" t="str">
        <f>IFERROR(__xludf.DUMMYFUNCTION("""COMPUTED_VALUE"""),"Weaver")</f>
        <v>Weaver</v>
      </c>
      <c r="E2211" t="str">
        <f>IFERROR(__xludf.DUMMYFUNCTION("""COMPUTED_VALUE"""),"Jason")</f>
        <v>Jason</v>
      </c>
      <c r="F2211" t="str">
        <f>IFERROR(__xludf.DUMMYFUNCTION("""COMPUTED_VALUE"""),"LT")</f>
        <v>LT</v>
      </c>
      <c r="G2211">
        <f>IFERROR(__xludf.DUMMYFUNCTION("""COMPUTED_VALUE"""),9.75)</f>
        <v>9.75</v>
      </c>
    </row>
    <row r="2212">
      <c r="D2212" t="str">
        <f>IFERROR(__xludf.DUMMYFUNCTION("""COMPUTED_VALUE"""),"Webb")</f>
        <v>Webb</v>
      </c>
      <c r="E2212" t="str">
        <f>IFERROR(__xludf.DUMMYFUNCTION("""COMPUTED_VALUE"""),"BW")</f>
        <v>BW</v>
      </c>
      <c r="F2212" t="str">
        <f>IFERROR(__xludf.DUMMYFUNCTION("""COMPUTED_VALUE"""),"CB")</f>
        <v>CB</v>
      </c>
      <c r="G2212">
        <f>IFERROR(__xludf.DUMMYFUNCTION("""COMPUTED_VALUE"""),9.9)</f>
        <v>9.9</v>
      </c>
    </row>
    <row r="2213">
      <c r="D2213" t="str">
        <f>IFERROR(__xludf.DUMMYFUNCTION("""COMPUTED_VALUE"""),"Webb")</f>
        <v>Webb</v>
      </c>
      <c r="E2213" t="str">
        <f>IFERROR(__xludf.DUMMYFUNCTION("""COMPUTED_VALUE"""),"JMarcus")</f>
        <v>JMarcus</v>
      </c>
      <c r="F2213" t="str">
        <f>IFERROR(__xludf.DUMMYFUNCTION("""COMPUTED_VALUE"""),"RG")</f>
        <v>RG</v>
      </c>
      <c r="G2213">
        <f>IFERROR(__xludf.DUMMYFUNCTION("""COMPUTED_VALUE"""),10.049999999999999)</f>
        <v>10.05</v>
      </c>
    </row>
    <row r="2214">
      <c r="D2214" t="str">
        <f>IFERROR(__xludf.DUMMYFUNCTION("""COMPUTED_VALUE"""),"Webb")</f>
        <v>Webb</v>
      </c>
      <c r="E2214" t="str">
        <f>IFERROR(__xludf.DUMMYFUNCTION("""COMPUTED_VALUE"""),"Joe")</f>
        <v>Joe</v>
      </c>
      <c r="F2214" t="str">
        <f>IFERROR(__xludf.DUMMYFUNCTION("""COMPUTED_VALUE"""),"QB")</f>
        <v>QB</v>
      </c>
      <c r="G2214">
        <f>IFERROR(__xludf.DUMMYFUNCTION("""COMPUTED_VALUE"""),9.75)</f>
        <v>9.75</v>
      </c>
    </row>
    <row r="2215">
      <c r="D2215" t="str">
        <f>IFERROR(__xludf.DUMMYFUNCTION("""COMPUTED_VALUE"""),"Webb")</f>
        <v>Webb</v>
      </c>
      <c r="E2215" t="str">
        <f>IFERROR(__xludf.DUMMYFUNCTION("""COMPUTED_VALUE"""),"Lardarius")</f>
        <v>Lardarius</v>
      </c>
      <c r="F2215" t="str">
        <f>IFERROR(__xludf.DUMMYFUNCTION("""COMPUTED_VALUE"""),"CB")</f>
        <v>CB</v>
      </c>
      <c r="G2215">
        <f>IFERROR(__xludf.DUMMYFUNCTION("""COMPUTED_VALUE"""),11.85)</f>
        <v>11.85</v>
      </c>
    </row>
    <row r="2216">
      <c r="D2216" t="str">
        <f>IFERROR(__xludf.DUMMYFUNCTION("""COMPUTED_VALUE"""),"Webster")</f>
        <v>Webster</v>
      </c>
      <c r="E2216" t="str">
        <f>IFERROR(__xludf.DUMMYFUNCTION("""COMPUTED_VALUE"""),"Kayvon")</f>
        <v>Kayvon</v>
      </c>
      <c r="F2216" t="str">
        <f>IFERROR(__xludf.DUMMYFUNCTION("""COMPUTED_VALUE"""),"CB")</f>
        <v>CB</v>
      </c>
      <c r="G2216">
        <f>IFERROR(__xludf.DUMMYFUNCTION("""COMPUTED_VALUE"""),10.65)</f>
        <v>10.65</v>
      </c>
    </row>
    <row r="2217">
      <c r="D2217" t="str">
        <f>IFERROR(__xludf.DUMMYFUNCTION("""COMPUTED_VALUE"""),"Webster III")</f>
        <v>Webster III</v>
      </c>
      <c r="E2217" t="str">
        <f>IFERROR(__xludf.DUMMYFUNCTION("""COMPUTED_VALUE"""),"Larry")</f>
        <v>Larry</v>
      </c>
      <c r="F2217" t="str">
        <f>IFERROR(__xludf.DUMMYFUNCTION("""COMPUTED_VALUE"""),"LE")</f>
        <v>LE</v>
      </c>
      <c r="G2217">
        <f>IFERROR(__xludf.DUMMYFUNCTION("""COMPUTED_VALUE"""),9.45)</f>
        <v>9.45</v>
      </c>
    </row>
    <row r="2218">
      <c r="D2218" t="str">
        <f>IFERROR(__xludf.DUMMYFUNCTION("""COMPUTED_VALUE"""),"Weddle")</f>
        <v>Weddle</v>
      </c>
      <c r="E2218" t="str">
        <f>IFERROR(__xludf.DUMMYFUNCTION("""COMPUTED_VALUE"""),"Eric")</f>
        <v>Eric</v>
      </c>
      <c r="F2218" t="str">
        <f>IFERROR(__xludf.DUMMYFUNCTION("""COMPUTED_VALUE"""),"FS")</f>
        <v>FS</v>
      </c>
      <c r="G2218">
        <f>IFERROR(__xludf.DUMMYFUNCTION("""COMPUTED_VALUE"""),13.799999999999999)</f>
        <v>13.8</v>
      </c>
    </row>
    <row r="2219">
      <c r="D2219" t="str">
        <f>IFERROR(__xludf.DUMMYFUNCTION("""COMPUTED_VALUE"""),"Weeden")</f>
        <v>Weeden</v>
      </c>
      <c r="E2219" t="str">
        <f>IFERROR(__xludf.DUMMYFUNCTION("""COMPUTED_VALUE"""),"Brandon")</f>
        <v>Brandon</v>
      </c>
      <c r="F2219" t="str">
        <f>IFERROR(__xludf.DUMMYFUNCTION("""COMPUTED_VALUE"""),"QB")</f>
        <v>QB</v>
      </c>
      <c r="G2219">
        <f>IFERROR(__xludf.DUMMYFUNCTION("""COMPUTED_VALUE"""),10.799999999999999)</f>
        <v>10.8</v>
      </c>
    </row>
    <row r="2220">
      <c r="D2220" t="str">
        <f>IFERROR(__xludf.DUMMYFUNCTION("""COMPUTED_VALUE"""),"Weeks")</f>
        <v>Weeks</v>
      </c>
      <c r="E2220" t="str">
        <f>IFERROR(__xludf.DUMMYFUNCTION("""COMPUTED_VALUE"""),"Jon")</f>
        <v>Jon</v>
      </c>
      <c r="F2220" t="str">
        <f>IFERROR(__xludf.DUMMYFUNCTION("""COMPUTED_VALUE"""),"TE")</f>
        <v>TE</v>
      </c>
      <c r="G2220">
        <f>IFERROR(__xludf.DUMMYFUNCTION("""COMPUTED_VALUE"""),6.3)</f>
        <v>6.3</v>
      </c>
    </row>
    <row r="2221">
      <c r="D2221" t="str">
        <f>IFERROR(__xludf.DUMMYFUNCTION("""COMPUTED_VALUE"""),"Weems")</f>
        <v>Weems</v>
      </c>
      <c r="E2221" t="str">
        <f>IFERROR(__xludf.DUMMYFUNCTION("""COMPUTED_VALUE"""),"Darrion")</f>
        <v>Darrion</v>
      </c>
      <c r="F2221" t="str">
        <f>IFERROR(__xludf.DUMMYFUNCTION("""COMPUTED_VALUE"""),"RT")</f>
        <v>RT</v>
      </c>
      <c r="G2221">
        <f>IFERROR(__xludf.DUMMYFUNCTION("""COMPUTED_VALUE"""),10.35)</f>
        <v>10.35</v>
      </c>
    </row>
    <row r="2222">
      <c r="D2222" t="str">
        <f>IFERROR(__xludf.DUMMYFUNCTION("""COMPUTED_VALUE"""),"Weems")</f>
        <v>Weems</v>
      </c>
      <c r="E2222" t="str">
        <f>IFERROR(__xludf.DUMMYFUNCTION("""COMPUTED_VALUE"""),"Eric")</f>
        <v>Eric</v>
      </c>
      <c r="F2222" t="str">
        <f>IFERROR(__xludf.DUMMYFUNCTION("""COMPUTED_VALUE"""),"WR")</f>
        <v>WR</v>
      </c>
      <c r="G2222">
        <f>IFERROR(__xludf.DUMMYFUNCTION("""COMPUTED_VALUE"""),10.35)</f>
        <v>10.35</v>
      </c>
    </row>
    <row r="2223">
      <c r="D2223" t="str">
        <f>IFERROR(__xludf.DUMMYFUNCTION("""COMPUTED_VALUE"""),"Wegher")</f>
        <v>Wegher</v>
      </c>
      <c r="E2223" t="str">
        <f>IFERROR(__xludf.DUMMYFUNCTION("""COMPUTED_VALUE"""),"Brandon")</f>
        <v>Brandon</v>
      </c>
      <c r="F2223" t="str">
        <f>IFERROR(__xludf.DUMMYFUNCTION("""COMPUTED_VALUE"""),"HB")</f>
        <v>HB</v>
      </c>
      <c r="G2223">
        <f>IFERROR(__xludf.DUMMYFUNCTION("""COMPUTED_VALUE"""),10.049999999999999)</f>
        <v>10.05</v>
      </c>
    </row>
    <row r="2224">
      <c r="D2224" t="str">
        <f>IFERROR(__xludf.DUMMYFUNCTION("""COMPUTED_VALUE"""),"Wells")</f>
        <v>Wells</v>
      </c>
      <c r="E2224" t="str">
        <f>IFERROR(__xludf.DUMMYFUNCTION("""COMPUTED_VALUE"""),"Ian")</f>
        <v>Ian</v>
      </c>
      <c r="F2224" t="str">
        <f>IFERROR(__xludf.DUMMYFUNCTION("""COMPUTED_VALUE"""),"CB")</f>
        <v>CB</v>
      </c>
      <c r="G2224">
        <f>IFERROR(__xludf.DUMMYFUNCTION("""COMPUTED_VALUE"""),9.45)</f>
        <v>9.45</v>
      </c>
    </row>
    <row r="2225">
      <c r="D2225" t="str">
        <f>IFERROR(__xludf.DUMMYFUNCTION("""COMPUTED_VALUE"""),"Wells")</f>
        <v>Wells</v>
      </c>
      <c r="E2225" t="str">
        <f>IFERROR(__xludf.DUMMYFUNCTION("""COMPUTED_VALUE"""),"Josh")</f>
        <v>Josh</v>
      </c>
      <c r="F2225" t="str">
        <f>IFERROR(__xludf.DUMMYFUNCTION("""COMPUTED_VALUE"""),"RT")</f>
        <v>RT</v>
      </c>
      <c r="G2225">
        <f>IFERROR(__xludf.DUMMYFUNCTION("""COMPUTED_VALUE"""),10.65)</f>
        <v>10.65</v>
      </c>
    </row>
    <row r="2226">
      <c r="D2226" t="str">
        <f>IFERROR(__xludf.DUMMYFUNCTION("""COMPUTED_VALUE"""),"Wenning")</f>
        <v>Wenning</v>
      </c>
      <c r="E2226" t="str">
        <f>IFERROR(__xludf.DUMMYFUNCTION("""COMPUTED_VALUE"""),"Keith")</f>
        <v>Keith</v>
      </c>
      <c r="F2226" t="str">
        <f>IFERROR(__xludf.DUMMYFUNCTION("""COMPUTED_VALUE"""),"QB")</f>
        <v>QB</v>
      </c>
      <c r="G2226">
        <f>IFERROR(__xludf.DUMMYFUNCTION("""COMPUTED_VALUE"""),9.45)</f>
        <v>9.45</v>
      </c>
    </row>
    <row r="2227">
      <c r="D2227" t="str">
        <f>IFERROR(__xludf.DUMMYFUNCTION("""COMPUTED_VALUE"""),"Wentz")</f>
        <v>Wentz</v>
      </c>
      <c r="E2227" t="str">
        <f>IFERROR(__xludf.DUMMYFUNCTION("""COMPUTED_VALUE"""),"Carson")</f>
        <v>Carson</v>
      </c>
      <c r="F2227" t="str">
        <f>IFERROR(__xludf.DUMMYFUNCTION("""COMPUTED_VALUE"""),"QB")</f>
        <v>QB</v>
      </c>
      <c r="G2227">
        <f>IFERROR(__xludf.DUMMYFUNCTION("""COMPUTED_VALUE"""),11.4)</f>
        <v>11.4</v>
      </c>
    </row>
    <row r="2228">
      <c r="D2228" t="str">
        <f>IFERROR(__xludf.DUMMYFUNCTION("""COMPUTED_VALUE"""),"Werner")</f>
        <v>Werner</v>
      </c>
      <c r="E2228" t="str">
        <f>IFERROR(__xludf.DUMMYFUNCTION("""COMPUTED_VALUE"""),"Bjoern")</f>
        <v>Bjoern</v>
      </c>
      <c r="F2228" t="str">
        <f>IFERROR(__xludf.DUMMYFUNCTION("""COMPUTED_VALUE"""),"LE")</f>
        <v>LE</v>
      </c>
      <c r="G2228">
        <f>IFERROR(__xludf.DUMMYFUNCTION("""COMPUTED_VALUE"""),11.1)</f>
        <v>11.1</v>
      </c>
    </row>
    <row r="2229">
      <c r="D2229" t="str">
        <f>IFERROR(__xludf.DUMMYFUNCTION("""COMPUTED_VALUE"""),"Wesley")</f>
        <v>Wesley</v>
      </c>
      <c r="E2229" t="str">
        <f>IFERROR(__xludf.DUMMYFUNCTION("""COMPUTED_VALUE"""),"DeOndre")</f>
        <v>DeOndre</v>
      </c>
      <c r="F2229" t="str">
        <f>IFERROR(__xludf.DUMMYFUNCTION("""COMPUTED_VALUE"""),"RT")</f>
        <v>RT</v>
      </c>
      <c r="G2229">
        <f>IFERROR(__xludf.DUMMYFUNCTION("""COMPUTED_VALUE"""),9.9)</f>
        <v>9.9</v>
      </c>
    </row>
    <row r="2230">
      <c r="D2230" t="str">
        <f>IFERROR(__xludf.DUMMYFUNCTION("""COMPUTED_VALUE"""),"West")</f>
        <v>West</v>
      </c>
      <c r="E2230" t="str">
        <f>IFERROR(__xludf.DUMMYFUNCTION("""COMPUTED_VALUE"""),"Charcandrick")</f>
        <v>Charcandrick</v>
      </c>
      <c r="F2230" t="str">
        <f>IFERROR(__xludf.DUMMYFUNCTION("""COMPUTED_VALUE"""),"HB")</f>
        <v>HB</v>
      </c>
      <c r="G2230">
        <f>IFERROR(__xludf.DUMMYFUNCTION("""COMPUTED_VALUE"""),11.25)</f>
        <v>11.25</v>
      </c>
    </row>
    <row r="2231">
      <c r="D2231" t="str">
        <f>IFERROR(__xludf.DUMMYFUNCTION("""COMPUTED_VALUE"""),"West")</f>
        <v>West</v>
      </c>
      <c r="E2231" t="str">
        <f>IFERROR(__xludf.DUMMYFUNCTION("""COMPUTED_VALUE"""),"Terrance")</f>
        <v>Terrance</v>
      </c>
      <c r="F2231" t="str">
        <f>IFERROR(__xludf.DUMMYFUNCTION("""COMPUTED_VALUE"""),"HB")</f>
        <v>HB</v>
      </c>
      <c r="G2231">
        <f>IFERROR(__xludf.DUMMYFUNCTION("""COMPUTED_VALUE"""),10.95)</f>
        <v>10.95</v>
      </c>
    </row>
    <row r="2232">
      <c r="D2232" t="str">
        <f>IFERROR(__xludf.DUMMYFUNCTION("""COMPUTED_VALUE"""),"Westbrooks")</f>
        <v>Westbrooks</v>
      </c>
      <c r="E2232" t="str">
        <f>IFERROR(__xludf.DUMMYFUNCTION("""COMPUTED_VALUE"""),"Ethan")</f>
        <v>Ethan</v>
      </c>
      <c r="F2232" t="str">
        <f>IFERROR(__xludf.DUMMYFUNCTION("""COMPUTED_VALUE"""),"DT")</f>
        <v>DT</v>
      </c>
      <c r="G2232">
        <f>IFERROR(__xludf.DUMMYFUNCTION("""COMPUTED_VALUE"""),9.9)</f>
        <v>9.9</v>
      </c>
    </row>
    <row r="2233">
      <c r="D2233" t="str">
        <f>IFERROR(__xludf.DUMMYFUNCTION("""COMPUTED_VALUE"""),"Westerman")</f>
        <v>Westerman</v>
      </c>
      <c r="E2233" t="str">
        <f>IFERROR(__xludf.DUMMYFUNCTION("""COMPUTED_VALUE"""),"Christian")</f>
        <v>Christian</v>
      </c>
      <c r="F2233" t="str">
        <f>IFERROR(__xludf.DUMMYFUNCTION("""COMPUTED_VALUE"""),"LG")</f>
        <v>LG</v>
      </c>
      <c r="G2233">
        <f>IFERROR(__xludf.DUMMYFUNCTION("""COMPUTED_VALUE"""),9.75)</f>
        <v>9.75</v>
      </c>
    </row>
    <row r="2234">
      <c r="D2234" t="str">
        <f>IFERROR(__xludf.DUMMYFUNCTION("""COMPUTED_VALUE"""),"Whalen")</f>
        <v>Whalen</v>
      </c>
      <c r="E2234" t="str">
        <f>IFERROR(__xludf.DUMMYFUNCTION("""COMPUTED_VALUE"""),"Griff")</f>
        <v>Griff</v>
      </c>
      <c r="F2234" t="str">
        <f>IFERROR(__xludf.DUMMYFUNCTION("""COMPUTED_VALUE"""),"WR")</f>
        <v>WR</v>
      </c>
      <c r="G2234">
        <f>IFERROR(__xludf.DUMMYFUNCTION("""COMPUTED_VALUE"""),10.5)</f>
        <v>10.5</v>
      </c>
    </row>
    <row r="2235">
      <c r="D2235" t="str">
        <f>IFERROR(__xludf.DUMMYFUNCTION("""COMPUTED_VALUE"""),"Wheaton")</f>
        <v>Wheaton</v>
      </c>
      <c r="E2235" t="str">
        <f>IFERROR(__xludf.DUMMYFUNCTION("""COMPUTED_VALUE"""),"Markus")</f>
        <v>Markus</v>
      </c>
      <c r="F2235" t="str">
        <f>IFERROR(__xludf.DUMMYFUNCTION("""COMPUTED_VALUE"""),"WR")</f>
        <v>WR</v>
      </c>
      <c r="G2235">
        <f>IFERROR(__xludf.DUMMYFUNCTION("""COMPUTED_VALUE"""),11.4)</f>
        <v>11.4</v>
      </c>
    </row>
    <row r="2236">
      <c r="D2236" t="str">
        <f>IFERROR(__xludf.DUMMYFUNCTION("""COMPUTED_VALUE"""),"Wheeler")</f>
        <v>Wheeler</v>
      </c>
      <c r="E2236" t="str">
        <f>IFERROR(__xludf.DUMMYFUNCTION("""COMPUTED_VALUE"""),"Philip")</f>
        <v>Philip</v>
      </c>
      <c r="F2236" t="str">
        <f>IFERROR(__xludf.DUMMYFUNCTION("""COMPUTED_VALUE"""),"ROLB")</f>
        <v>ROLB</v>
      </c>
      <c r="G2236">
        <f>IFERROR(__xludf.DUMMYFUNCTION("""COMPUTED_VALUE"""),11.1)</f>
        <v>11.1</v>
      </c>
    </row>
    <row r="2237">
      <c r="D2237" t="str">
        <f>IFERROR(__xludf.DUMMYFUNCTION("""COMPUTED_VALUE"""),"White")</f>
        <v>White</v>
      </c>
      <c r="E2237" t="str">
        <f>IFERROR(__xludf.DUMMYFUNCTION("""COMPUTED_VALUE"""),"Corey")</f>
        <v>Corey</v>
      </c>
      <c r="F2237" t="str">
        <f>IFERROR(__xludf.DUMMYFUNCTION("""COMPUTED_VALUE"""),"CB")</f>
        <v>CB</v>
      </c>
      <c r="G2237">
        <f>IFERROR(__xludf.DUMMYFUNCTION("""COMPUTED_VALUE"""),10.65)</f>
        <v>10.65</v>
      </c>
    </row>
    <row r="2238">
      <c r="D2238" t="str">
        <f>IFERROR(__xludf.DUMMYFUNCTION("""COMPUTED_VALUE"""),"White")</f>
        <v>White</v>
      </c>
      <c r="E2238" t="str">
        <f>IFERROR(__xludf.DUMMYFUNCTION("""COMPUTED_VALUE"""),"Darius")</f>
        <v>Darius</v>
      </c>
      <c r="F2238" t="str">
        <f>IFERROR(__xludf.DUMMYFUNCTION("""COMPUTED_VALUE"""),"CB")</f>
        <v>CB</v>
      </c>
      <c r="G2238">
        <f>IFERROR(__xludf.DUMMYFUNCTION("""COMPUTED_VALUE"""),8.85)</f>
        <v>8.85</v>
      </c>
    </row>
    <row r="2239">
      <c r="D2239" t="str">
        <f>IFERROR(__xludf.DUMMYFUNCTION("""COMPUTED_VALUE"""),"White")</f>
        <v>White</v>
      </c>
      <c r="E2239" t="str">
        <f>IFERROR(__xludf.DUMMYFUNCTION("""COMPUTED_VALUE"""),"DeAndrew")</f>
        <v>DeAndrew</v>
      </c>
      <c r="F2239" t="str">
        <f>IFERROR(__xludf.DUMMYFUNCTION("""COMPUTED_VALUE"""),"WR")</f>
        <v>WR</v>
      </c>
      <c r="G2239">
        <f>IFERROR(__xludf.DUMMYFUNCTION("""COMPUTED_VALUE"""),9.75)</f>
        <v>9.75</v>
      </c>
    </row>
    <row r="2240">
      <c r="D2240" t="str">
        <f>IFERROR(__xludf.DUMMYFUNCTION("""COMPUTED_VALUE"""),"White")</f>
        <v>White</v>
      </c>
      <c r="E2240" t="str">
        <f>IFERROR(__xludf.DUMMYFUNCTION("""COMPUTED_VALUE"""),"DJ")</f>
        <v>DJ</v>
      </c>
      <c r="F2240" t="str">
        <f>IFERROR(__xludf.DUMMYFUNCTION("""COMPUTED_VALUE"""),"CB")</f>
        <v>CB</v>
      </c>
      <c r="G2240">
        <f>IFERROR(__xludf.DUMMYFUNCTION("""COMPUTED_VALUE"""),9.45)</f>
        <v>9.45</v>
      </c>
    </row>
    <row r="2241">
      <c r="D2241" t="str">
        <f>IFERROR(__xludf.DUMMYFUNCTION("""COMPUTED_VALUE"""),"White")</f>
        <v>White</v>
      </c>
      <c r="E2241" t="str">
        <f>IFERROR(__xludf.DUMMYFUNCTION("""COMPUTED_VALUE"""),"James")</f>
        <v>James</v>
      </c>
      <c r="F2241" t="str">
        <f>IFERROR(__xludf.DUMMYFUNCTION("""COMPUTED_VALUE"""),"HB")</f>
        <v>HB</v>
      </c>
      <c r="G2241">
        <f>IFERROR(__xludf.DUMMYFUNCTION("""COMPUTED_VALUE"""),11.25)</f>
        <v>11.25</v>
      </c>
    </row>
    <row r="2242">
      <c r="D2242" t="str">
        <f>IFERROR(__xludf.DUMMYFUNCTION("""COMPUTED_VALUE"""),"White")</f>
        <v>White</v>
      </c>
      <c r="E2242" t="str">
        <f>IFERROR(__xludf.DUMMYFUNCTION("""COMPUTED_VALUE"""),"Kevin")</f>
        <v>Kevin</v>
      </c>
      <c r="F2242" t="str">
        <f>IFERROR(__xludf.DUMMYFUNCTION("""COMPUTED_VALUE"""),"WR")</f>
        <v>WR</v>
      </c>
      <c r="G2242">
        <f>IFERROR(__xludf.DUMMYFUNCTION("""COMPUTED_VALUE"""),11.1)</f>
        <v>11.1</v>
      </c>
    </row>
    <row r="2243">
      <c r="D2243" t="str">
        <f>IFERROR(__xludf.DUMMYFUNCTION("""COMPUTED_VALUE"""),"White")</f>
        <v>White</v>
      </c>
      <c r="E2243" t="str">
        <f>IFERROR(__xludf.DUMMYFUNCTION("""COMPUTED_VALUE"""),"Melvin")</f>
        <v>Melvin</v>
      </c>
      <c r="F2243" t="str">
        <f>IFERROR(__xludf.DUMMYFUNCTION("""COMPUTED_VALUE"""),"CB")</f>
        <v>CB</v>
      </c>
      <c r="G2243">
        <f>IFERROR(__xludf.DUMMYFUNCTION("""COMPUTED_VALUE"""),9.75)</f>
        <v>9.75</v>
      </c>
    </row>
    <row r="2244">
      <c r="D2244" t="str">
        <f>IFERROR(__xludf.DUMMYFUNCTION("""COMPUTED_VALUE"""),"White")</f>
        <v>White</v>
      </c>
      <c r="E2244" t="str">
        <f>IFERROR(__xludf.DUMMYFUNCTION("""COMPUTED_VALUE"""),"Myles")</f>
        <v>Myles</v>
      </c>
      <c r="F2244" t="str">
        <f>IFERROR(__xludf.DUMMYFUNCTION("""COMPUTED_VALUE"""),"WR")</f>
        <v>WR</v>
      </c>
      <c r="G2244">
        <f>IFERROR(__xludf.DUMMYFUNCTION("""COMPUTED_VALUE"""),9.45)</f>
        <v>9.45</v>
      </c>
    </row>
    <row r="2245">
      <c r="D2245" t="str">
        <f>IFERROR(__xludf.DUMMYFUNCTION("""COMPUTED_VALUE"""),"Whitehair")</f>
        <v>Whitehair</v>
      </c>
      <c r="E2245" t="str">
        <f>IFERROR(__xludf.DUMMYFUNCTION("""COMPUTED_VALUE"""),"Cody")</f>
        <v>Cody</v>
      </c>
      <c r="F2245" t="str">
        <f>IFERROR(__xludf.DUMMYFUNCTION("""COMPUTED_VALUE"""),"LG")</f>
        <v>LG</v>
      </c>
      <c r="G2245">
        <f>IFERROR(__xludf.DUMMYFUNCTION("""COMPUTED_VALUE"""),10.35)</f>
        <v>10.35</v>
      </c>
    </row>
    <row r="2246">
      <c r="D2246" t="str">
        <f>IFERROR(__xludf.DUMMYFUNCTION("""COMPUTED_VALUE"""),"Whitehead")</f>
        <v>Whitehead</v>
      </c>
      <c r="E2246" t="str">
        <f>IFERROR(__xludf.DUMMYFUNCTION("""COMPUTED_VALUE"""),"Lucky")</f>
        <v>Lucky</v>
      </c>
      <c r="F2246" t="str">
        <f>IFERROR(__xludf.DUMMYFUNCTION("""COMPUTED_VALUE"""),"WR")</f>
        <v>WR</v>
      </c>
      <c r="G2246">
        <f>IFERROR(__xludf.DUMMYFUNCTION("""COMPUTED_VALUE"""),10.65)</f>
        <v>10.65</v>
      </c>
    </row>
    <row r="2247">
      <c r="D2247" t="str">
        <f>IFERROR(__xludf.DUMMYFUNCTION("""COMPUTED_VALUE"""),"Whitehead")</f>
        <v>Whitehead</v>
      </c>
      <c r="E2247" t="str">
        <f>IFERROR(__xludf.DUMMYFUNCTION("""COMPUTED_VALUE"""),"Tahir")</f>
        <v>Tahir</v>
      </c>
      <c r="F2247" t="str">
        <f>IFERROR(__xludf.DUMMYFUNCTION("""COMPUTED_VALUE"""),"LOLB")</f>
        <v>LOLB</v>
      </c>
      <c r="G2247">
        <f>IFERROR(__xludf.DUMMYFUNCTION("""COMPUTED_VALUE"""),12.45)</f>
        <v>12.45</v>
      </c>
    </row>
    <row r="2248">
      <c r="D2248" t="str">
        <f>IFERROR(__xludf.DUMMYFUNCTION("""COMPUTED_VALUE"""),"Whitlock")</f>
        <v>Whitlock</v>
      </c>
      <c r="E2248" t="str">
        <f>IFERROR(__xludf.DUMMYFUNCTION("""COMPUTED_VALUE"""),"Nikita")</f>
        <v>Nikita</v>
      </c>
      <c r="F2248" t="str">
        <f>IFERROR(__xludf.DUMMYFUNCTION("""COMPUTED_VALUE"""),"FB")</f>
        <v>FB</v>
      </c>
      <c r="G2248">
        <f>IFERROR(__xludf.DUMMYFUNCTION("""COMPUTED_VALUE"""),11.4)</f>
        <v>11.4</v>
      </c>
    </row>
    <row r="2249">
      <c r="D2249" t="str">
        <f>IFERROR(__xludf.DUMMYFUNCTION("""COMPUTED_VALUE"""),"Whittaker")</f>
        <v>Whittaker</v>
      </c>
      <c r="E2249" t="str">
        <f>IFERROR(__xludf.DUMMYFUNCTION("""COMPUTED_VALUE"""),"Fozzy")</f>
        <v>Fozzy</v>
      </c>
      <c r="F2249" t="str">
        <f>IFERROR(__xludf.DUMMYFUNCTION("""COMPUTED_VALUE"""),"HB")</f>
        <v>HB</v>
      </c>
      <c r="G2249">
        <f>IFERROR(__xludf.DUMMYFUNCTION("""COMPUTED_VALUE"""),10.35)</f>
        <v>10.35</v>
      </c>
    </row>
    <row r="2250">
      <c r="D2250" t="str">
        <f>IFERROR(__xludf.DUMMYFUNCTION("""COMPUTED_VALUE"""),"Whitworth")</f>
        <v>Whitworth</v>
      </c>
      <c r="E2250" t="str">
        <f>IFERROR(__xludf.DUMMYFUNCTION("""COMPUTED_VALUE"""),"Andrew")</f>
        <v>Andrew</v>
      </c>
      <c r="F2250" t="str">
        <f>IFERROR(__xludf.DUMMYFUNCTION("""COMPUTED_VALUE"""),"LT")</f>
        <v>LT</v>
      </c>
      <c r="G2250">
        <f>IFERROR(__xludf.DUMMYFUNCTION("""COMPUTED_VALUE"""),13.95)</f>
        <v>13.95</v>
      </c>
    </row>
    <row r="2251">
      <c r="D2251" t="str">
        <f>IFERROR(__xludf.DUMMYFUNCTION("""COMPUTED_VALUE"""),"Wichmann")</f>
        <v>Wichmann</v>
      </c>
      <c r="E2251" t="str">
        <f>IFERROR(__xludf.DUMMYFUNCTION("""COMPUTED_VALUE"""),"Cody")</f>
        <v>Cody</v>
      </c>
      <c r="F2251" t="str">
        <f>IFERROR(__xludf.DUMMYFUNCTION("""COMPUTED_VALUE"""),"RG")</f>
        <v>RG</v>
      </c>
      <c r="G2251">
        <f>IFERROR(__xludf.DUMMYFUNCTION("""COMPUTED_VALUE"""),9.6)</f>
        <v>9.6</v>
      </c>
    </row>
    <row r="2252">
      <c r="D2252" t="str">
        <f>IFERROR(__xludf.DUMMYFUNCTION("""COMPUTED_VALUE"""),"Wiggins")</f>
        <v>Wiggins</v>
      </c>
      <c r="E2252" t="str">
        <f>IFERROR(__xludf.DUMMYFUNCTION("""COMPUTED_VALUE"""),"Kenny")</f>
        <v>Kenny</v>
      </c>
      <c r="F2252" t="str">
        <f>IFERROR(__xludf.DUMMYFUNCTION("""COMPUTED_VALUE"""),"LG")</f>
        <v>LG</v>
      </c>
      <c r="G2252">
        <f>IFERROR(__xludf.DUMMYFUNCTION("""COMPUTED_VALUE"""),9.9)</f>
        <v>9.9</v>
      </c>
    </row>
    <row r="2253">
      <c r="D2253" t="str">
        <f>IFERROR(__xludf.DUMMYFUNCTION("""COMPUTED_VALUE"""),"Wilber")</f>
        <v>Wilber</v>
      </c>
      <c r="E2253" t="str">
        <f>IFERROR(__xludf.DUMMYFUNCTION("""COMPUTED_VALUE"""),"Kyle")</f>
        <v>Kyle</v>
      </c>
      <c r="F2253" t="str">
        <f>IFERROR(__xludf.DUMMYFUNCTION("""COMPUTED_VALUE"""),"LOLB")</f>
        <v>LOLB</v>
      </c>
      <c r="G2253">
        <f>IFERROR(__xludf.DUMMYFUNCTION("""COMPUTED_VALUE"""),10.95)</f>
        <v>10.95</v>
      </c>
    </row>
    <row r="2254">
      <c r="D2254" t="str">
        <f>IFERROR(__xludf.DUMMYFUNCTION("""COMPUTED_VALUE"""),"Wilcox")</f>
        <v>Wilcox</v>
      </c>
      <c r="E2254" t="str">
        <f>IFERROR(__xludf.DUMMYFUNCTION("""COMPUTED_VALUE"""),"JJ")</f>
        <v>JJ</v>
      </c>
      <c r="F2254" t="str">
        <f>IFERROR(__xludf.DUMMYFUNCTION("""COMPUTED_VALUE"""),"FS")</f>
        <v>FS</v>
      </c>
      <c r="G2254">
        <f>IFERROR(__xludf.DUMMYFUNCTION("""COMPUTED_VALUE"""),11.85)</f>
        <v>11.85</v>
      </c>
    </row>
    <row r="2255">
      <c r="D2255" t="str">
        <f>IFERROR(__xludf.DUMMYFUNCTION("""COMPUTED_VALUE"""),"Wilfork")</f>
        <v>Wilfork</v>
      </c>
      <c r="E2255" t="str">
        <f>IFERROR(__xludf.DUMMYFUNCTION("""COMPUTED_VALUE"""),"Vince")</f>
        <v>Vince</v>
      </c>
      <c r="F2255" t="str">
        <f>IFERROR(__xludf.DUMMYFUNCTION("""COMPUTED_VALUE"""),"DT")</f>
        <v>DT</v>
      </c>
      <c r="G2255">
        <f>IFERROR(__xludf.DUMMYFUNCTION("""COMPUTED_VALUE"""),12.6)</f>
        <v>12.6</v>
      </c>
    </row>
    <row r="2256">
      <c r="D2256" t="str">
        <f>IFERROR(__xludf.DUMMYFUNCTION("""COMPUTED_VALUE"""),"Wilhoite")</f>
        <v>Wilhoite</v>
      </c>
      <c r="E2256" t="str">
        <f>IFERROR(__xludf.DUMMYFUNCTION("""COMPUTED_VALUE"""),"Michael")</f>
        <v>Michael</v>
      </c>
      <c r="F2256" t="str">
        <f>IFERROR(__xludf.DUMMYFUNCTION("""COMPUTED_VALUE"""),"MLB")</f>
        <v>MLB</v>
      </c>
      <c r="G2256">
        <f>IFERROR(__xludf.DUMMYFUNCTION("""COMPUTED_VALUE"""),10.5)</f>
        <v>10.5</v>
      </c>
    </row>
    <row r="2257">
      <c r="D2257" t="str">
        <f>IFERROR(__xludf.DUMMYFUNCTION("""COMPUTED_VALUE"""),"Wilkerson")</f>
        <v>Wilkerson</v>
      </c>
      <c r="E2257" t="str">
        <f>IFERROR(__xludf.DUMMYFUNCTION("""COMPUTED_VALUE"""),"Muhammad")</f>
        <v>Muhammad</v>
      </c>
      <c r="F2257" t="str">
        <f>IFERROR(__xludf.DUMMYFUNCTION("""COMPUTED_VALUE"""),"LE")</f>
        <v>LE</v>
      </c>
      <c r="G2257">
        <f>IFERROR(__xludf.DUMMYFUNCTION("""COMPUTED_VALUE"""),13.35)</f>
        <v>13.35</v>
      </c>
    </row>
    <row r="2258">
      <c r="D2258" t="str">
        <f>IFERROR(__xludf.DUMMYFUNCTION("""COMPUTED_VALUE"""),"Williams")</f>
        <v>Williams</v>
      </c>
      <c r="E2258" t="str">
        <f>IFERROR(__xludf.DUMMYFUNCTION("""COMPUTED_VALUE"""),"Aaron")</f>
        <v>Aaron</v>
      </c>
      <c r="F2258" t="str">
        <f>IFERROR(__xludf.DUMMYFUNCTION("""COMPUTED_VALUE"""),"SS")</f>
        <v>SS</v>
      </c>
      <c r="G2258">
        <f>IFERROR(__xludf.DUMMYFUNCTION("""COMPUTED_VALUE"""),11.549999999999999)</f>
        <v>11.55</v>
      </c>
    </row>
    <row r="2259">
      <c r="D2259" t="str">
        <f>IFERROR(__xludf.DUMMYFUNCTION("""COMPUTED_VALUE"""),"Williams")</f>
        <v>Williams</v>
      </c>
      <c r="E2259" t="str">
        <f>IFERROR(__xludf.DUMMYFUNCTION("""COMPUTED_VALUE"""),"Andre")</f>
        <v>Andre</v>
      </c>
      <c r="F2259" t="str">
        <f>IFERROR(__xludf.DUMMYFUNCTION("""COMPUTED_VALUE"""),"HB")</f>
        <v>HB</v>
      </c>
      <c r="G2259">
        <f>IFERROR(__xludf.DUMMYFUNCTION("""COMPUTED_VALUE"""),10.799999999999999)</f>
        <v>10.8</v>
      </c>
    </row>
    <row r="2260">
      <c r="D2260" t="str">
        <f>IFERROR(__xludf.DUMMYFUNCTION("""COMPUTED_VALUE"""),"Williams")</f>
        <v>Williams</v>
      </c>
      <c r="E2260" t="str">
        <f>IFERROR(__xludf.DUMMYFUNCTION("""COMPUTED_VALUE"""),"Antwione")</f>
        <v>Antwione</v>
      </c>
      <c r="F2260" t="str">
        <f>IFERROR(__xludf.DUMMYFUNCTION("""COMPUTED_VALUE"""),"MLB")</f>
        <v>MLB</v>
      </c>
      <c r="G2260">
        <f>IFERROR(__xludf.DUMMYFUNCTION("""COMPUTED_VALUE"""),9.75)</f>
        <v>9.75</v>
      </c>
    </row>
    <row r="2261">
      <c r="D2261" t="str">
        <f>IFERROR(__xludf.DUMMYFUNCTION("""COMPUTED_VALUE"""),"Williams")</f>
        <v>Williams</v>
      </c>
      <c r="E2261" t="str">
        <f>IFERROR(__xludf.DUMMYFUNCTION("""COMPUTED_VALUE"""),"Brandon")</f>
        <v>Brandon</v>
      </c>
      <c r="F2261" t="str">
        <f>IFERROR(__xludf.DUMMYFUNCTION("""COMPUTED_VALUE"""),"DT")</f>
        <v>DT</v>
      </c>
      <c r="G2261">
        <f>IFERROR(__xludf.DUMMYFUNCTION("""COMPUTED_VALUE"""),12.6)</f>
        <v>12.6</v>
      </c>
    </row>
    <row r="2262">
      <c r="D2262" t="str">
        <f>IFERROR(__xludf.DUMMYFUNCTION("""COMPUTED_VALUE"""),"Williams")</f>
        <v>Williams</v>
      </c>
      <c r="E2262" t="str">
        <f>IFERROR(__xludf.DUMMYFUNCTION("""COMPUTED_VALUE"""),"Brandon")</f>
        <v>Brandon</v>
      </c>
      <c r="F2262" t="str">
        <f>IFERROR(__xludf.DUMMYFUNCTION("""COMPUTED_VALUE"""),"TE")</f>
        <v>TE</v>
      </c>
      <c r="G2262">
        <f>IFERROR(__xludf.DUMMYFUNCTION("""COMPUTED_VALUE"""),10.65)</f>
        <v>10.65</v>
      </c>
    </row>
    <row r="2263">
      <c r="D2263" t="str">
        <f>IFERROR(__xludf.DUMMYFUNCTION("""COMPUTED_VALUE"""),"Williams")</f>
        <v>Williams</v>
      </c>
      <c r="E2263" t="str">
        <f>IFERROR(__xludf.DUMMYFUNCTION("""COMPUTED_VALUE"""),"Brandon")</f>
        <v>Brandon</v>
      </c>
      <c r="F2263" t="str">
        <f>IFERROR(__xludf.DUMMYFUNCTION("""COMPUTED_VALUE"""),"CB")</f>
        <v>CB</v>
      </c>
      <c r="G2263">
        <f>IFERROR(__xludf.DUMMYFUNCTION("""COMPUTED_VALUE"""),9.9)</f>
        <v>9.9</v>
      </c>
    </row>
    <row r="2264">
      <c r="D2264" t="str">
        <f>IFERROR(__xludf.DUMMYFUNCTION("""COMPUTED_VALUE"""),"Williams")</f>
        <v>Williams</v>
      </c>
      <c r="E2264" t="str">
        <f>IFERROR(__xludf.DUMMYFUNCTION("""COMPUTED_VALUE"""),"Damien")</f>
        <v>Damien</v>
      </c>
      <c r="F2264" t="str">
        <f>IFERROR(__xludf.DUMMYFUNCTION("""COMPUTED_VALUE"""),"HB")</f>
        <v>HB</v>
      </c>
      <c r="G2264">
        <f>IFERROR(__xludf.DUMMYFUNCTION("""COMPUTED_VALUE"""),10.799999999999999)</f>
        <v>10.8</v>
      </c>
    </row>
    <row r="2265">
      <c r="D2265" t="str">
        <f>IFERROR(__xludf.DUMMYFUNCTION("""COMPUTED_VALUE"""),"Williams")</f>
        <v>Williams</v>
      </c>
      <c r="E2265" t="str">
        <f>IFERROR(__xludf.DUMMYFUNCTION("""COMPUTED_VALUE"""),"Dan")</f>
        <v>Dan</v>
      </c>
      <c r="F2265" t="str">
        <f>IFERROR(__xludf.DUMMYFUNCTION("""COMPUTED_VALUE"""),"DT")</f>
        <v>DT</v>
      </c>
      <c r="G2265">
        <f>IFERROR(__xludf.DUMMYFUNCTION("""COMPUTED_VALUE"""),13.2)</f>
        <v>13.2</v>
      </c>
    </row>
    <row r="2266">
      <c r="D2266" t="str">
        <f>IFERROR(__xludf.DUMMYFUNCTION("""COMPUTED_VALUE"""),"Williams")</f>
        <v>Williams</v>
      </c>
      <c r="E2266" t="str">
        <f>IFERROR(__xludf.DUMMYFUNCTION("""COMPUTED_VALUE"""),"Darrell")</f>
        <v>Darrell</v>
      </c>
      <c r="F2266" t="str">
        <f>IFERROR(__xludf.DUMMYFUNCTION("""COMPUTED_VALUE"""),"LT")</f>
        <v>LT</v>
      </c>
      <c r="G2266">
        <f>IFERROR(__xludf.DUMMYFUNCTION("""COMPUTED_VALUE"""),9.75)</f>
        <v>9.75</v>
      </c>
    </row>
    <row r="2267">
      <c r="D2267" t="str">
        <f>IFERROR(__xludf.DUMMYFUNCTION("""COMPUTED_VALUE"""),"Williams")</f>
        <v>Williams</v>
      </c>
      <c r="E2267" t="str">
        <f>IFERROR(__xludf.DUMMYFUNCTION("""COMPUTED_VALUE"""),"Daryl")</f>
        <v>Daryl</v>
      </c>
      <c r="F2267" t="str">
        <f>IFERROR(__xludf.DUMMYFUNCTION("""COMPUTED_VALUE"""),"RT")</f>
        <v>RT</v>
      </c>
      <c r="G2267">
        <f>IFERROR(__xludf.DUMMYFUNCTION("""COMPUTED_VALUE"""),10.5)</f>
        <v>10.5</v>
      </c>
    </row>
    <row r="2268">
      <c r="D2268" t="str">
        <f>IFERROR(__xludf.DUMMYFUNCTION("""COMPUTED_VALUE"""),"Williams")</f>
        <v>Williams</v>
      </c>
      <c r="E2268" t="str">
        <f>IFERROR(__xludf.DUMMYFUNCTION("""COMPUTED_VALUE"""),"DeAngelo")</f>
        <v>DeAngelo</v>
      </c>
      <c r="F2268" t="str">
        <f>IFERROR(__xludf.DUMMYFUNCTION("""COMPUTED_VALUE"""),"HB")</f>
        <v>HB</v>
      </c>
      <c r="G2268">
        <f>IFERROR(__xludf.DUMMYFUNCTION("""COMPUTED_VALUE"""),12.15)</f>
        <v>12.15</v>
      </c>
    </row>
    <row r="2269">
      <c r="D2269" t="str">
        <f>IFERROR(__xludf.DUMMYFUNCTION("""COMPUTED_VALUE"""),"Williams")</f>
        <v>Williams</v>
      </c>
      <c r="E2269" t="str">
        <f>IFERROR(__xludf.DUMMYFUNCTION("""COMPUTED_VALUE"""),"Duke")</f>
        <v>Duke</v>
      </c>
      <c r="F2269" t="str">
        <f>IFERROR(__xludf.DUMMYFUNCTION("""COMPUTED_VALUE"""),"FS")</f>
        <v>FS</v>
      </c>
      <c r="G2269">
        <f>IFERROR(__xludf.DUMMYFUNCTION("""COMPUTED_VALUE"""),11.4)</f>
        <v>11.4</v>
      </c>
    </row>
    <row r="2270">
      <c r="D2270" t="str">
        <f>IFERROR(__xludf.DUMMYFUNCTION("""COMPUTED_VALUE"""),"Williams")</f>
        <v>Williams</v>
      </c>
      <c r="E2270" t="str">
        <f>IFERROR(__xludf.DUMMYFUNCTION("""COMPUTED_VALUE"""),"Ian")</f>
        <v>Ian</v>
      </c>
      <c r="F2270" t="str">
        <f>IFERROR(__xludf.DUMMYFUNCTION("""COMPUTED_VALUE"""),"DT")</f>
        <v>DT</v>
      </c>
      <c r="G2270">
        <f>IFERROR(__xludf.DUMMYFUNCTION("""COMPUTED_VALUE"""),12.299999999999999)</f>
        <v>12.3</v>
      </c>
    </row>
    <row r="2271">
      <c r="D2271" t="str">
        <f>IFERROR(__xludf.DUMMYFUNCTION("""COMPUTED_VALUE"""),"Williams")</f>
        <v>Williams</v>
      </c>
      <c r="E2271" t="str">
        <f>IFERROR(__xludf.DUMMYFUNCTION("""COMPUTED_VALUE"""),"Jonathan")</f>
        <v>Jonathan</v>
      </c>
      <c r="F2271" t="str">
        <f>IFERROR(__xludf.DUMMYFUNCTION("""COMPUTED_VALUE"""),"HB")</f>
        <v>HB</v>
      </c>
      <c r="G2271">
        <f>IFERROR(__xludf.DUMMYFUNCTION("""COMPUTED_VALUE"""),10.049999999999999)</f>
        <v>10.05</v>
      </c>
    </row>
    <row r="2272">
      <c r="D2272" t="str">
        <f>IFERROR(__xludf.DUMMYFUNCTION("""COMPUTED_VALUE"""),"Williams")</f>
        <v>Williams</v>
      </c>
      <c r="E2272" t="str">
        <f>IFERROR(__xludf.DUMMYFUNCTION("""COMPUTED_VALUE"""),"Jordan")</f>
        <v>Jordan</v>
      </c>
      <c r="F2272" t="str">
        <f>IFERROR(__xludf.DUMMYFUNCTION("""COMPUTED_VALUE"""),"DT")</f>
        <v>DT</v>
      </c>
      <c r="G2272">
        <f>IFERROR(__xludf.DUMMYFUNCTION("""COMPUTED_VALUE"""),8.85)</f>
        <v>8.85</v>
      </c>
    </row>
    <row r="2273">
      <c r="D2273" t="str">
        <f>IFERROR(__xludf.DUMMYFUNCTION("""COMPUTED_VALUE"""),"Williams")</f>
        <v>Williams</v>
      </c>
      <c r="E2273" t="str">
        <f>IFERROR(__xludf.DUMMYFUNCTION("""COMPUTED_VALUE"""),"Kasen")</f>
        <v>Kasen</v>
      </c>
      <c r="F2273" t="str">
        <f>IFERROR(__xludf.DUMMYFUNCTION("""COMPUTED_VALUE"""),"WR")</f>
        <v>WR</v>
      </c>
      <c r="G2273">
        <f>IFERROR(__xludf.DUMMYFUNCTION("""COMPUTED_VALUE"""),9.45)</f>
        <v>9.45</v>
      </c>
    </row>
    <row r="2274">
      <c r="D2274" t="str">
        <f>IFERROR(__xludf.DUMMYFUNCTION("""COMPUTED_VALUE"""),"Williams")</f>
        <v>Williams</v>
      </c>
      <c r="E2274" t="str">
        <f>IFERROR(__xludf.DUMMYFUNCTION("""COMPUTED_VALUE"""),"Kerwynn")</f>
        <v>Kerwynn</v>
      </c>
      <c r="F2274" t="str">
        <f>IFERROR(__xludf.DUMMYFUNCTION("""COMPUTED_VALUE"""),"HB")</f>
        <v>HB</v>
      </c>
      <c r="G2274">
        <f>IFERROR(__xludf.DUMMYFUNCTION("""COMPUTED_VALUE"""),10.65)</f>
        <v>10.65</v>
      </c>
    </row>
    <row r="2275">
      <c r="D2275" t="str">
        <f>IFERROR(__xludf.DUMMYFUNCTION("""COMPUTED_VALUE"""),"Williams")</f>
        <v>Williams</v>
      </c>
      <c r="E2275" t="str">
        <f>IFERROR(__xludf.DUMMYFUNCTION("""COMPUTED_VALUE"""),"KWaun")</f>
        <v>KWaun</v>
      </c>
      <c r="F2275" t="str">
        <f>IFERROR(__xludf.DUMMYFUNCTION("""COMPUTED_VALUE"""),"CB")</f>
        <v>CB</v>
      </c>
      <c r="G2275">
        <f>IFERROR(__xludf.DUMMYFUNCTION("""COMPUTED_VALUE"""),11.549999999999999)</f>
        <v>11.55</v>
      </c>
    </row>
    <row r="2276">
      <c r="D2276" t="str">
        <f>IFERROR(__xludf.DUMMYFUNCTION("""COMPUTED_VALUE"""),"Williams")</f>
        <v>Williams</v>
      </c>
      <c r="E2276" t="str">
        <f>IFERROR(__xludf.DUMMYFUNCTION("""COMPUTED_VALUE"""),"Kyle")</f>
        <v>Kyle</v>
      </c>
      <c r="F2276" t="str">
        <f>IFERROR(__xludf.DUMMYFUNCTION("""COMPUTED_VALUE"""),"DT")</f>
        <v>DT</v>
      </c>
      <c r="G2276">
        <f>IFERROR(__xludf.DUMMYFUNCTION("""COMPUTED_VALUE"""),12.299999999999999)</f>
        <v>12.3</v>
      </c>
    </row>
    <row r="2277">
      <c r="D2277" t="str">
        <f>IFERROR(__xludf.DUMMYFUNCTION("""COMPUTED_VALUE"""),"Williams")</f>
        <v>Williams</v>
      </c>
      <c r="E2277" t="str">
        <f>IFERROR(__xludf.DUMMYFUNCTION("""COMPUTED_VALUE"""),"Kyle")</f>
        <v>Kyle</v>
      </c>
      <c r="F2277" t="str">
        <f>IFERROR(__xludf.DUMMYFUNCTION("""COMPUTED_VALUE"""),"WR")</f>
        <v>WR</v>
      </c>
      <c r="G2277">
        <f>IFERROR(__xludf.DUMMYFUNCTION("""COMPUTED_VALUE"""),9.75)</f>
        <v>9.75</v>
      </c>
    </row>
    <row r="2278">
      <c r="D2278" t="str">
        <f>IFERROR(__xludf.DUMMYFUNCTION("""COMPUTED_VALUE"""),"Williams")</f>
        <v>Williams</v>
      </c>
      <c r="E2278" t="str">
        <f>IFERROR(__xludf.DUMMYFUNCTION("""COMPUTED_VALUE"""),"Leonard")</f>
        <v>Leonard</v>
      </c>
      <c r="F2278" t="str">
        <f>IFERROR(__xludf.DUMMYFUNCTION("""COMPUTED_VALUE"""),"RE")</f>
        <v>RE</v>
      </c>
      <c r="G2278">
        <f>IFERROR(__xludf.DUMMYFUNCTION("""COMPUTED_VALUE"""),12.15)</f>
        <v>12.15</v>
      </c>
    </row>
    <row r="2279">
      <c r="D2279" t="str">
        <f>IFERROR(__xludf.DUMMYFUNCTION("""COMPUTED_VALUE"""),"Williams")</f>
        <v>Williams</v>
      </c>
      <c r="E2279" t="str">
        <f>IFERROR(__xludf.DUMMYFUNCTION("""COMPUTED_VALUE"""),"Marcus")</f>
        <v>Marcus</v>
      </c>
      <c r="F2279" t="str">
        <f>IFERROR(__xludf.DUMMYFUNCTION("""COMPUTED_VALUE"""),"CB")</f>
        <v>CB</v>
      </c>
      <c r="G2279">
        <f>IFERROR(__xludf.DUMMYFUNCTION("""COMPUTED_VALUE"""),11.1)</f>
        <v>11.1</v>
      </c>
    </row>
    <row r="2280">
      <c r="D2280" t="str">
        <f>IFERROR(__xludf.DUMMYFUNCTION("""COMPUTED_VALUE"""),"Williams")</f>
        <v>Williams</v>
      </c>
      <c r="E2280" t="str">
        <f>IFERROR(__xludf.DUMMYFUNCTION("""COMPUTED_VALUE"""),"Mario")</f>
        <v>Mario</v>
      </c>
      <c r="F2280" t="str">
        <f>IFERROR(__xludf.DUMMYFUNCTION("""COMPUTED_VALUE"""),"RE")</f>
        <v>RE</v>
      </c>
      <c r="G2280">
        <f>IFERROR(__xludf.DUMMYFUNCTION("""COMPUTED_VALUE"""),12.15)</f>
        <v>12.15</v>
      </c>
    </row>
    <row r="2281">
      <c r="D2281" t="str">
        <f>IFERROR(__xludf.DUMMYFUNCTION("""COMPUTED_VALUE"""),"Williams")</f>
        <v>Williams</v>
      </c>
      <c r="E2281" t="str">
        <f>IFERROR(__xludf.DUMMYFUNCTION("""COMPUTED_VALUE"""),"Maxx")</f>
        <v>Maxx</v>
      </c>
      <c r="F2281" t="str">
        <f>IFERROR(__xludf.DUMMYFUNCTION("""COMPUTED_VALUE"""),"TE")</f>
        <v>TE</v>
      </c>
      <c r="G2281">
        <f>IFERROR(__xludf.DUMMYFUNCTION("""COMPUTED_VALUE"""),11.7)</f>
        <v>11.7</v>
      </c>
    </row>
    <row r="2282">
      <c r="D2282" t="str">
        <f>IFERROR(__xludf.DUMMYFUNCTION("""COMPUTED_VALUE"""),"Williams")</f>
        <v>Williams</v>
      </c>
      <c r="E2282" t="str">
        <f>IFERROR(__xludf.DUMMYFUNCTION("""COMPUTED_VALUE"""),"Michael")</f>
        <v>Michael</v>
      </c>
      <c r="F2282" t="str">
        <f>IFERROR(__xludf.DUMMYFUNCTION("""COMPUTED_VALUE"""),"TE")</f>
        <v>TE</v>
      </c>
      <c r="G2282">
        <f>IFERROR(__xludf.DUMMYFUNCTION("""COMPUTED_VALUE"""),10.65)</f>
        <v>10.65</v>
      </c>
    </row>
    <row r="2283">
      <c r="D2283" t="str">
        <f>IFERROR(__xludf.DUMMYFUNCTION("""COMPUTED_VALUE"""),"Williams")</f>
        <v>Williams</v>
      </c>
      <c r="E2283" t="str">
        <f>IFERROR(__xludf.DUMMYFUNCTION("""COMPUTED_VALUE"""),"Mike")</f>
        <v>Mike</v>
      </c>
      <c r="F2283" t="str">
        <f>IFERROR(__xludf.DUMMYFUNCTION("""COMPUTED_VALUE"""),"WR")</f>
        <v>WR</v>
      </c>
      <c r="G2283">
        <f>IFERROR(__xludf.DUMMYFUNCTION("""COMPUTED_VALUE"""),10.65)</f>
        <v>10.65</v>
      </c>
    </row>
    <row r="2284">
      <c r="D2284" t="str">
        <f>IFERROR(__xludf.DUMMYFUNCTION("""COMPUTED_VALUE"""),"Williams")</f>
        <v>Williams</v>
      </c>
      <c r="E2284" t="str">
        <f>IFERROR(__xludf.DUMMYFUNCTION("""COMPUTED_VALUE"""),"Nick")</f>
        <v>Nick</v>
      </c>
      <c r="F2284" t="str">
        <f>IFERROR(__xludf.DUMMYFUNCTION("""COMPUTED_VALUE"""),"WR")</f>
        <v>WR</v>
      </c>
      <c r="G2284">
        <f>IFERROR(__xludf.DUMMYFUNCTION("""COMPUTED_VALUE"""),10.35)</f>
        <v>10.35</v>
      </c>
    </row>
    <row r="2285">
      <c r="D2285" t="str">
        <f>IFERROR(__xludf.DUMMYFUNCTION("""COMPUTED_VALUE"""),"Williams")</f>
        <v>Williams</v>
      </c>
      <c r="E2285" t="str">
        <f>IFERROR(__xludf.DUMMYFUNCTION("""COMPUTED_VALUE"""),"Nick")</f>
        <v>Nick</v>
      </c>
      <c r="F2285" t="str">
        <f>IFERROR(__xludf.DUMMYFUNCTION("""COMPUTED_VALUE"""),"RE")</f>
        <v>RE</v>
      </c>
      <c r="G2285">
        <f>IFERROR(__xludf.DUMMYFUNCTION("""COMPUTED_VALUE"""),10.2)</f>
        <v>10.2</v>
      </c>
    </row>
    <row r="2286">
      <c r="D2286" t="str">
        <f>IFERROR(__xludf.DUMMYFUNCTION("""COMPUTED_VALUE"""),"Williams")</f>
        <v>Williams</v>
      </c>
      <c r="E2286" t="str">
        <f>IFERROR(__xludf.DUMMYFUNCTION("""COMPUTED_VALUE"""),"PJ")</f>
        <v>PJ</v>
      </c>
      <c r="F2286" t="str">
        <f>IFERROR(__xludf.DUMMYFUNCTION("""COMPUTED_VALUE"""),"CB")</f>
        <v>CB</v>
      </c>
      <c r="G2286">
        <f>IFERROR(__xludf.DUMMYFUNCTION("""COMPUTED_VALUE"""),10.5)</f>
        <v>10.5</v>
      </c>
    </row>
    <row r="2287">
      <c r="D2287" t="str">
        <f>IFERROR(__xludf.DUMMYFUNCTION("""COMPUTED_VALUE"""),"Williams")</f>
        <v>Williams</v>
      </c>
      <c r="E2287" t="str">
        <f>IFERROR(__xludf.DUMMYFUNCTION("""COMPUTED_VALUE"""),"Shawn")</f>
        <v>Shawn</v>
      </c>
      <c r="F2287" t="str">
        <f>IFERROR(__xludf.DUMMYFUNCTION("""COMPUTED_VALUE"""),"SS")</f>
        <v>SS</v>
      </c>
      <c r="G2287">
        <f>IFERROR(__xludf.DUMMYFUNCTION("""COMPUTED_VALUE"""),11.25)</f>
        <v>11.25</v>
      </c>
    </row>
    <row r="2288">
      <c r="D2288" t="str">
        <f>IFERROR(__xludf.DUMMYFUNCTION("""COMPUTED_VALUE"""),"Williams")</f>
        <v>Williams</v>
      </c>
      <c r="E2288" t="str">
        <f>IFERROR(__xludf.DUMMYFUNCTION("""COMPUTED_VALUE"""),"Steve")</f>
        <v>Steve</v>
      </c>
      <c r="F2288" t="str">
        <f>IFERROR(__xludf.DUMMYFUNCTION("""COMPUTED_VALUE"""),"CB")</f>
        <v>CB</v>
      </c>
      <c r="G2288">
        <f>IFERROR(__xludf.DUMMYFUNCTION("""COMPUTED_VALUE"""),10.65)</f>
        <v>10.65</v>
      </c>
    </row>
    <row r="2289">
      <c r="D2289" t="str">
        <f>IFERROR(__xludf.DUMMYFUNCTION("""COMPUTED_VALUE"""),"Williams")</f>
        <v>Williams</v>
      </c>
      <c r="E2289" t="str">
        <f>IFERROR(__xludf.DUMMYFUNCTION("""COMPUTED_VALUE"""),"Sylvester")</f>
        <v>Sylvester</v>
      </c>
      <c r="F2289" t="str">
        <f>IFERROR(__xludf.DUMMYFUNCTION("""COMPUTED_VALUE"""),"DT")</f>
        <v>DT</v>
      </c>
      <c r="G2289">
        <f>IFERROR(__xludf.DUMMYFUNCTION("""COMPUTED_VALUE"""),11.1)</f>
        <v>11.1</v>
      </c>
    </row>
    <row r="2290">
      <c r="D2290" t="str">
        <f>IFERROR(__xludf.DUMMYFUNCTION("""COMPUTED_VALUE"""),"Williams")</f>
        <v>Williams</v>
      </c>
      <c r="E2290" t="str">
        <f>IFERROR(__xludf.DUMMYFUNCTION("""COMPUTED_VALUE"""),"Teddy")</f>
        <v>Teddy</v>
      </c>
      <c r="F2290" t="str">
        <f>IFERROR(__xludf.DUMMYFUNCTION("""COMPUTED_VALUE"""),"CB")</f>
        <v>CB</v>
      </c>
      <c r="G2290">
        <f>IFERROR(__xludf.DUMMYFUNCTION("""COMPUTED_VALUE"""),9.299999999999999)</f>
        <v>9.3</v>
      </c>
    </row>
    <row r="2291">
      <c r="D2291" t="str">
        <f>IFERROR(__xludf.DUMMYFUNCTION("""COMPUTED_VALUE"""),"Williams")</f>
        <v>Williams</v>
      </c>
      <c r="E2291" t="str">
        <f>IFERROR(__xludf.DUMMYFUNCTION("""COMPUTED_VALUE"""),"Terrance")</f>
        <v>Terrance</v>
      </c>
      <c r="F2291" t="str">
        <f>IFERROR(__xludf.DUMMYFUNCTION("""COMPUTED_VALUE"""),"WR")</f>
        <v>WR</v>
      </c>
      <c r="G2291">
        <f>IFERROR(__xludf.DUMMYFUNCTION("""COMPUTED_VALUE"""),12.0)</f>
        <v>12</v>
      </c>
    </row>
    <row r="2292">
      <c r="D2292" t="str">
        <f>IFERROR(__xludf.DUMMYFUNCTION("""COMPUTED_VALUE"""),"Williams")</f>
        <v>Williams</v>
      </c>
      <c r="E2292" t="str">
        <f>IFERROR(__xludf.DUMMYFUNCTION("""COMPUTED_VALUE"""),"Tourek")</f>
        <v>Tourek</v>
      </c>
      <c r="F2292" t="str">
        <f>IFERROR(__xludf.DUMMYFUNCTION("""COMPUTED_VALUE"""),"LOLB")</f>
        <v>LOLB</v>
      </c>
      <c r="G2292">
        <f>IFERROR(__xludf.DUMMYFUNCTION("""COMPUTED_VALUE"""),9.6)</f>
        <v>9.6</v>
      </c>
    </row>
    <row r="2293">
      <c r="D2293" t="str">
        <f>IFERROR(__xludf.DUMMYFUNCTION("""COMPUTED_VALUE"""),"Williams")</f>
        <v>Williams</v>
      </c>
      <c r="E2293" t="str">
        <f>IFERROR(__xludf.DUMMYFUNCTION("""COMPUTED_VALUE"""),"Tramon")</f>
        <v>Tramon</v>
      </c>
      <c r="F2293" t="str">
        <f>IFERROR(__xludf.DUMMYFUNCTION("""COMPUTED_VALUE"""),"CB")</f>
        <v>CB</v>
      </c>
      <c r="G2293">
        <f>IFERROR(__xludf.DUMMYFUNCTION("""COMPUTED_VALUE"""),12.0)</f>
        <v>12</v>
      </c>
    </row>
    <row r="2294">
      <c r="D2294" t="str">
        <f>IFERROR(__xludf.DUMMYFUNCTION("""COMPUTED_VALUE"""),"Williams")</f>
        <v>Williams</v>
      </c>
      <c r="E2294" t="str">
        <f>IFERROR(__xludf.DUMMYFUNCTION("""COMPUTED_VALUE"""),"Trent")</f>
        <v>Trent</v>
      </c>
      <c r="F2294" t="str">
        <f>IFERROR(__xludf.DUMMYFUNCTION("""COMPUTED_VALUE"""),"LT")</f>
        <v>LT</v>
      </c>
      <c r="G2294">
        <f>IFERROR(__xludf.DUMMYFUNCTION("""COMPUTED_VALUE"""),13.799999999999999)</f>
        <v>13.8</v>
      </c>
    </row>
    <row r="2295">
      <c r="D2295" t="str">
        <f>IFERROR(__xludf.DUMMYFUNCTION("""COMPUTED_VALUE"""),"Williams")</f>
        <v>Williams</v>
      </c>
      <c r="E2295" t="str">
        <f>IFERROR(__xludf.DUMMYFUNCTION("""COMPUTED_VALUE"""),"Trey")</f>
        <v>Trey</v>
      </c>
      <c r="F2295" t="str">
        <f>IFERROR(__xludf.DUMMYFUNCTION("""COMPUTED_VALUE"""),"HB")</f>
        <v>HB</v>
      </c>
      <c r="G2295">
        <f>IFERROR(__xludf.DUMMYFUNCTION("""COMPUTED_VALUE"""),9.0)</f>
        <v>9</v>
      </c>
    </row>
    <row r="2296">
      <c r="D2296" t="str">
        <f>IFERROR(__xludf.DUMMYFUNCTION("""COMPUTED_VALUE"""),"Williams")</f>
        <v>Williams</v>
      </c>
      <c r="E2296" t="str">
        <f>IFERROR(__xludf.DUMMYFUNCTION("""COMPUTED_VALUE"""),"Tyrell")</f>
        <v>Tyrell</v>
      </c>
      <c r="F2296" t="str">
        <f>IFERROR(__xludf.DUMMYFUNCTION("""COMPUTED_VALUE"""),"WR")</f>
        <v>WR</v>
      </c>
      <c r="G2296">
        <f>IFERROR(__xludf.DUMMYFUNCTION("""COMPUTED_VALUE"""),9.299999999999999)</f>
        <v>9.3</v>
      </c>
    </row>
    <row r="2297">
      <c r="D2297" t="str">
        <f>IFERROR(__xludf.DUMMYFUNCTION("""COMPUTED_VALUE"""),"Williams")</f>
        <v>Williams</v>
      </c>
      <c r="E2297" t="str">
        <f>IFERROR(__xludf.DUMMYFUNCTION("""COMPUTED_VALUE"""),"Vince")</f>
        <v>Vince</v>
      </c>
      <c r="F2297" t="str">
        <f>IFERROR(__xludf.DUMMYFUNCTION("""COMPUTED_VALUE"""),"MLB")</f>
        <v>MLB</v>
      </c>
      <c r="G2297">
        <f>IFERROR(__xludf.DUMMYFUNCTION("""COMPUTED_VALUE"""),10.95)</f>
        <v>10.95</v>
      </c>
    </row>
    <row r="2298">
      <c r="D2298" t="str">
        <f>IFERROR(__xludf.DUMMYFUNCTION("""COMPUTED_VALUE"""),"Williams")</f>
        <v>Williams</v>
      </c>
      <c r="E2298" t="str">
        <f>IFERROR(__xludf.DUMMYFUNCTION("""COMPUTED_VALUE"""),"Xavier")</f>
        <v>Xavier</v>
      </c>
      <c r="F2298" t="str">
        <f>IFERROR(__xludf.DUMMYFUNCTION("""COMPUTED_VALUE"""),"DT")</f>
        <v>DT</v>
      </c>
      <c r="G2298">
        <f>IFERROR(__xludf.DUMMYFUNCTION("""COMPUTED_VALUE"""),9.0)</f>
        <v>9</v>
      </c>
    </row>
    <row r="2299">
      <c r="D2299" t="str">
        <f>IFERROR(__xludf.DUMMYFUNCTION("""COMPUTED_VALUE"""),"Williams Sr.")</f>
        <v>Williams Sr.</v>
      </c>
      <c r="E2299" t="str">
        <f>IFERROR(__xludf.DUMMYFUNCTION("""COMPUTED_VALUE"""),"Karlos")</f>
        <v>Karlos</v>
      </c>
      <c r="F2299" t="str">
        <f>IFERROR(__xludf.DUMMYFUNCTION("""COMPUTED_VALUE"""),"HB")</f>
        <v>HB</v>
      </c>
      <c r="G2299">
        <f>IFERROR(__xludf.DUMMYFUNCTION("""COMPUTED_VALUE"""),11.85)</f>
        <v>11.85</v>
      </c>
    </row>
    <row r="2300">
      <c r="D2300" t="str">
        <f>IFERROR(__xludf.DUMMYFUNCTION("""COMPUTED_VALUE"""),"Williamson")</f>
        <v>Williamson</v>
      </c>
      <c r="E2300" t="str">
        <f>IFERROR(__xludf.DUMMYFUNCTION("""COMPUTED_VALUE"""),"Avery")</f>
        <v>Avery</v>
      </c>
      <c r="F2300" t="str">
        <f>IFERROR(__xludf.DUMMYFUNCTION("""COMPUTED_VALUE"""),"MLB")</f>
        <v>MLB</v>
      </c>
      <c r="G2300">
        <f>IFERROR(__xludf.DUMMYFUNCTION("""COMPUTED_VALUE"""),11.7)</f>
        <v>11.7</v>
      </c>
    </row>
    <row r="2301">
      <c r="D2301" t="str">
        <f>IFERROR(__xludf.DUMMYFUNCTION("""COMPUTED_VALUE"""),"Willson")</f>
        <v>Willson</v>
      </c>
      <c r="E2301" t="str">
        <f>IFERROR(__xludf.DUMMYFUNCTION("""COMPUTED_VALUE"""),"Luke")</f>
        <v>Luke</v>
      </c>
      <c r="F2301" t="str">
        <f>IFERROR(__xludf.DUMMYFUNCTION("""COMPUTED_VALUE"""),"TE")</f>
        <v>TE</v>
      </c>
      <c r="G2301">
        <f>IFERROR(__xludf.DUMMYFUNCTION("""COMPUTED_VALUE"""),11.7)</f>
        <v>11.7</v>
      </c>
    </row>
    <row r="2302">
      <c r="D2302" t="str">
        <f>IFERROR(__xludf.DUMMYFUNCTION("""COMPUTED_VALUE"""),"Wilson")</f>
        <v>Wilson</v>
      </c>
      <c r="E2302" t="str">
        <f>IFERROR(__xludf.DUMMYFUNCTION("""COMPUTED_VALUE"""),"Albert")</f>
        <v>Albert</v>
      </c>
      <c r="F2302" t="str">
        <f>IFERROR(__xludf.DUMMYFUNCTION("""COMPUTED_VALUE"""),"WR")</f>
        <v>WR</v>
      </c>
      <c r="G2302">
        <f>IFERROR(__xludf.DUMMYFUNCTION("""COMPUTED_VALUE"""),11.1)</f>
        <v>11.1</v>
      </c>
    </row>
    <row r="2303">
      <c r="D2303" t="str">
        <f>IFERROR(__xludf.DUMMYFUNCTION("""COMPUTED_VALUE"""),"Wilson")</f>
        <v>Wilson</v>
      </c>
      <c r="E2303" t="str">
        <f>IFERROR(__xludf.DUMMYFUNCTION("""COMPUTED_VALUE"""),"CJ")</f>
        <v>CJ</v>
      </c>
      <c r="F2303" t="str">
        <f>IFERROR(__xludf.DUMMYFUNCTION("""COMPUTED_VALUE"""),"LE")</f>
        <v>LE</v>
      </c>
      <c r="G2303">
        <f>IFERROR(__xludf.DUMMYFUNCTION("""COMPUTED_VALUE"""),10.35)</f>
        <v>10.35</v>
      </c>
    </row>
    <row r="2304">
      <c r="D2304" t="str">
        <f>IFERROR(__xludf.DUMMYFUNCTION("""COMPUTED_VALUE"""),"Wilson")</f>
        <v>Wilson</v>
      </c>
      <c r="E2304" t="str">
        <f>IFERROR(__xludf.DUMMYFUNCTION("""COMPUTED_VALUE"""),"Damien")</f>
        <v>Damien</v>
      </c>
      <c r="F2304" t="str">
        <f>IFERROR(__xludf.DUMMYFUNCTION("""COMPUTED_VALUE"""),"ROLB")</f>
        <v>ROLB</v>
      </c>
      <c r="G2304">
        <f>IFERROR(__xludf.DUMMYFUNCTION("""COMPUTED_VALUE"""),10.2)</f>
        <v>10.2</v>
      </c>
    </row>
    <row r="2305">
      <c r="D2305" t="str">
        <f>IFERROR(__xludf.DUMMYFUNCTION("""COMPUTED_VALUE"""),"Wilson")</f>
        <v>Wilson</v>
      </c>
      <c r="E2305" t="str">
        <f>IFERROR(__xludf.DUMMYFUNCTION("""COMPUTED_VALUE"""),"Jimmy")</f>
        <v>Jimmy</v>
      </c>
      <c r="F2305" t="str">
        <f>IFERROR(__xludf.DUMMYFUNCTION("""COMPUTED_VALUE"""),"FS")</f>
        <v>FS</v>
      </c>
      <c r="G2305">
        <f>IFERROR(__xludf.DUMMYFUNCTION("""COMPUTED_VALUE"""),10.799999999999999)</f>
        <v>10.8</v>
      </c>
    </row>
    <row r="2306">
      <c r="D2306" t="str">
        <f>IFERROR(__xludf.DUMMYFUNCTION("""COMPUTED_VALUE"""),"Wilson")</f>
        <v>Wilson</v>
      </c>
      <c r="E2306" t="str">
        <f>IFERROR(__xludf.DUMMYFUNCTION("""COMPUTED_VALUE"""),"Kyle")</f>
        <v>Kyle</v>
      </c>
      <c r="F2306" t="str">
        <f>IFERROR(__xludf.DUMMYFUNCTION("""COMPUTED_VALUE"""),"CB")</f>
        <v>CB</v>
      </c>
      <c r="G2306">
        <f>IFERROR(__xludf.DUMMYFUNCTION("""COMPUTED_VALUE"""),11.1)</f>
        <v>11.1</v>
      </c>
    </row>
    <row r="2307">
      <c r="D2307" t="str">
        <f>IFERROR(__xludf.DUMMYFUNCTION("""COMPUTED_VALUE"""),"Wilson")</f>
        <v>Wilson</v>
      </c>
      <c r="E2307" t="str">
        <f>IFERROR(__xludf.DUMMYFUNCTION("""COMPUTED_VALUE"""),"Kyrie")</f>
        <v>Kyrie</v>
      </c>
      <c r="F2307" t="str">
        <f>IFERROR(__xludf.DUMMYFUNCTION("""COMPUTED_VALUE"""),"LOLB")</f>
        <v>LOLB</v>
      </c>
      <c r="G2307">
        <f>IFERROR(__xludf.DUMMYFUNCTION("""COMPUTED_VALUE"""),9.0)</f>
        <v>9</v>
      </c>
    </row>
    <row r="2308">
      <c r="D2308" t="str">
        <f>IFERROR(__xludf.DUMMYFUNCTION("""COMPUTED_VALUE"""),"Wilson")</f>
        <v>Wilson</v>
      </c>
      <c r="E2308" t="str">
        <f>IFERROR(__xludf.DUMMYFUNCTION("""COMPUTED_VALUE"""),"Marquess")</f>
        <v>Marquess</v>
      </c>
      <c r="F2308" t="str">
        <f>IFERROR(__xludf.DUMMYFUNCTION("""COMPUTED_VALUE"""),"WR")</f>
        <v>WR</v>
      </c>
      <c r="G2308">
        <f>IFERROR(__xludf.DUMMYFUNCTION("""COMPUTED_VALUE"""),10.95)</f>
        <v>10.95</v>
      </c>
    </row>
    <row r="2309">
      <c r="D2309" t="str">
        <f>IFERROR(__xludf.DUMMYFUNCTION("""COMPUTED_VALUE"""),"Wilson")</f>
        <v>Wilson</v>
      </c>
      <c r="E2309" t="str">
        <f>IFERROR(__xludf.DUMMYFUNCTION("""COMPUTED_VALUE"""),"Ramik")</f>
        <v>Ramik</v>
      </c>
      <c r="F2309" t="str">
        <f>IFERROR(__xludf.DUMMYFUNCTION("""COMPUTED_VALUE"""),"MLB")</f>
        <v>MLB</v>
      </c>
      <c r="G2309">
        <f>IFERROR(__xludf.DUMMYFUNCTION("""COMPUTED_VALUE"""),9.75)</f>
        <v>9.75</v>
      </c>
    </row>
    <row r="2310">
      <c r="D2310" t="str">
        <f>IFERROR(__xludf.DUMMYFUNCTION("""COMPUTED_VALUE"""),"Wilson")</f>
        <v>Wilson</v>
      </c>
      <c r="E2310" t="str">
        <f>IFERROR(__xludf.DUMMYFUNCTION("""COMPUTED_VALUE"""),"Russell")</f>
        <v>Russell</v>
      </c>
      <c r="F2310" t="str">
        <f>IFERROR(__xludf.DUMMYFUNCTION("""COMPUTED_VALUE"""),"QB")</f>
        <v>QB</v>
      </c>
      <c r="G2310">
        <f>IFERROR(__xludf.DUMMYFUNCTION("""COMPUTED_VALUE"""),13.65)</f>
        <v>13.65</v>
      </c>
    </row>
    <row r="2311">
      <c r="D2311" t="str">
        <f>IFERROR(__xludf.DUMMYFUNCTION("""COMPUTED_VALUE"""),"Wilson")</f>
        <v>Wilson</v>
      </c>
      <c r="E2311" t="str">
        <f>IFERROR(__xludf.DUMMYFUNCTION("""COMPUTED_VALUE"""),"Tavon")</f>
        <v>Tavon</v>
      </c>
      <c r="F2311" t="str">
        <f>IFERROR(__xludf.DUMMYFUNCTION("""COMPUTED_VALUE"""),"SS")</f>
        <v>SS</v>
      </c>
      <c r="G2311">
        <f>IFERROR(__xludf.DUMMYFUNCTION("""COMPUTED_VALUE"""),10.95)</f>
        <v>10.95</v>
      </c>
    </row>
    <row r="2312">
      <c r="D2312" t="str">
        <f>IFERROR(__xludf.DUMMYFUNCTION("""COMPUTED_VALUE"""),"Winchester")</f>
        <v>Winchester</v>
      </c>
      <c r="E2312" t="str">
        <f>IFERROR(__xludf.DUMMYFUNCTION("""COMPUTED_VALUE"""),"James")</f>
        <v>James</v>
      </c>
      <c r="F2312" t="str">
        <f>IFERROR(__xludf.DUMMYFUNCTION("""COMPUTED_VALUE"""),"TE")</f>
        <v>TE</v>
      </c>
      <c r="G2312">
        <f>IFERROR(__xludf.DUMMYFUNCTION("""COMPUTED_VALUE"""),6.45)</f>
        <v>6.45</v>
      </c>
    </row>
    <row r="2313">
      <c r="D2313" t="str">
        <f>IFERROR(__xludf.DUMMYFUNCTION("""COMPUTED_VALUE"""),"Windt")</f>
        <v>Windt</v>
      </c>
      <c r="E2313" t="str">
        <f>IFERROR(__xludf.DUMMYFUNCTION("""COMPUTED_VALUE"""),"Mike")</f>
        <v>Mike</v>
      </c>
      <c r="F2313" t="str">
        <f>IFERROR(__xludf.DUMMYFUNCTION("""COMPUTED_VALUE"""),"TE")</f>
        <v>TE</v>
      </c>
      <c r="G2313">
        <f>IFERROR(__xludf.DUMMYFUNCTION("""COMPUTED_VALUE"""),6.8999999999999995)</f>
        <v>6.9</v>
      </c>
    </row>
    <row r="2314">
      <c r="D2314" t="str">
        <f>IFERROR(__xludf.DUMMYFUNCTION("""COMPUTED_VALUE"""),"Wing")</f>
        <v>Wing</v>
      </c>
      <c r="E2314" t="str">
        <f>IFERROR(__xludf.DUMMYFUNCTION("""COMPUTED_VALUE"""),"Brad")</f>
        <v>Brad</v>
      </c>
      <c r="F2314" t="str">
        <f>IFERROR(__xludf.DUMMYFUNCTION("""COMPUTED_VALUE"""),"P")</f>
        <v>P</v>
      </c>
      <c r="G2314">
        <f>IFERROR(__xludf.DUMMYFUNCTION("""COMPUTED_VALUE"""),11.4)</f>
        <v>11.4</v>
      </c>
    </row>
    <row r="2315">
      <c r="D2315" t="str">
        <f>IFERROR(__xludf.DUMMYFUNCTION("""COMPUTED_VALUE"""),"Winn")</f>
        <v>Winn</v>
      </c>
      <c r="E2315" t="str">
        <f>IFERROR(__xludf.DUMMYFUNCTION("""COMPUTED_VALUE"""),"Billy")</f>
        <v>Billy</v>
      </c>
      <c r="F2315" t="str">
        <f>IFERROR(__xludf.DUMMYFUNCTION("""COMPUTED_VALUE"""),"RE")</f>
        <v>RE</v>
      </c>
      <c r="G2315">
        <f>IFERROR(__xludf.DUMMYFUNCTION("""COMPUTED_VALUE"""),10.049999999999999)</f>
        <v>10.05</v>
      </c>
    </row>
    <row r="2316">
      <c r="D2316" t="str">
        <f>IFERROR(__xludf.DUMMYFUNCTION("""COMPUTED_VALUE"""),"Winn")</f>
        <v>Winn</v>
      </c>
      <c r="E2316" t="str">
        <f>IFERROR(__xludf.DUMMYFUNCTION("""COMPUTED_VALUE"""),"George")</f>
        <v>George</v>
      </c>
      <c r="F2316" t="str">
        <f>IFERROR(__xludf.DUMMYFUNCTION("""COMPUTED_VALUE"""),"HB")</f>
        <v>HB</v>
      </c>
      <c r="G2316">
        <f>IFERROR(__xludf.DUMMYFUNCTION("""COMPUTED_VALUE"""),10.2)</f>
        <v>10.2</v>
      </c>
    </row>
    <row r="2317">
      <c r="D2317" t="str">
        <f>IFERROR(__xludf.DUMMYFUNCTION("""COMPUTED_VALUE"""),"Winston")</f>
        <v>Winston</v>
      </c>
      <c r="E2317" t="str">
        <f>IFERROR(__xludf.DUMMYFUNCTION("""COMPUTED_VALUE"""),"Eric")</f>
        <v>Eric</v>
      </c>
      <c r="F2317" t="str">
        <f>IFERROR(__xludf.DUMMYFUNCTION("""COMPUTED_VALUE"""),"RT")</f>
        <v>RT</v>
      </c>
      <c r="G2317">
        <f>IFERROR(__xludf.DUMMYFUNCTION("""COMPUTED_VALUE"""),11.4)</f>
        <v>11.4</v>
      </c>
    </row>
    <row r="2318">
      <c r="D2318" t="str">
        <f>IFERROR(__xludf.DUMMYFUNCTION("""COMPUTED_VALUE"""),"Winston")</f>
        <v>Winston</v>
      </c>
      <c r="E2318" t="str">
        <f>IFERROR(__xludf.DUMMYFUNCTION("""COMPUTED_VALUE"""),"Glenn")</f>
        <v>Glenn</v>
      </c>
      <c r="F2318" t="str">
        <f>IFERROR(__xludf.DUMMYFUNCTION("""COMPUTED_VALUE"""),"HB")</f>
        <v>HB</v>
      </c>
      <c r="G2318">
        <f>IFERROR(__xludf.DUMMYFUNCTION("""COMPUTED_VALUE"""),9.6)</f>
        <v>9.6</v>
      </c>
    </row>
    <row r="2319">
      <c r="D2319" t="str">
        <f>IFERROR(__xludf.DUMMYFUNCTION("""COMPUTED_VALUE"""),"Winston")</f>
        <v>Winston</v>
      </c>
      <c r="E2319" t="str">
        <f>IFERROR(__xludf.DUMMYFUNCTION("""COMPUTED_VALUE"""),"Jameis")</f>
        <v>Jameis</v>
      </c>
      <c r="F2319" t="str">
        <f>IFERROR(__xludf.DUMMYFUNCTION("""COMPUTED_VALUE"""),"QB")</f>
        <v>QB</v>
      </c>
      <c r="G2319">
        <f>IFERROR(__xludf.DUMMYFUNCTION("""COMPUTED_VALUE"""),12.299999999999999)</f>
        <v>12.3</v>
      </c>
    </row>
    <row r="2320">
      <c r="D2320" t="str">
        <f>IFERROR(__xludf.DUMMYFUNCTION("""COMPUTED_VALUE"""),"Winters")</f>
        <v>Winters</v>
      </c>
      <c r="E2320" t="str">
        <f>IFERROR(__xludf.DUMMYFUNCTION("""COMPUTED_VALUE"""),"Brian")</f>
        <v>Brian</v>
      </c>
      <c r="F2320" t="str">
        <f>IFERROR(__xludf.DUMMYFUNCTION("""COMPUTED_VALUE"""),"RG")</f>
        <v>RG</v>
      </c>
      <c r="G2320">
        <f>IFERROR(__xludf.DUMMYFUNCTION("""COMPUTED_VALUE"""),10.5)</f>
        <v>10.5</v>
      </c>
    </row>
    <row r="2321">
      <c r="D2321" t="str">
        <f>IFERROR(__xludf.DUMMYFUNCTION("""COMPUTED_VALUE"""),"Wisniewski")</f>
        <v>Wisniewski</v>
      </c>
      <c r="E2321" t="str">
        <f>IFERROR(__xludf.DUMMYFUNCTION("""COMPUTED_VALUE"""),"Stefen")</f>
        <v>Stefen</v>
      </c>
      <c r="F2321" t="str">
        <f>IFERROR(__xludf.DUMMYFUNCTION("""COMPUTED_VALUE"""),"C")</f>
        <v>C</v>
      </c>
      <c r="G2321">
        <f>IFERROR(__xludf.DUMMYFUNCTION("""COMPUTED_VALUE"""),11.85)</f>
        <v>11.85</v>
      </c>
    </row>
    <row r="2322">
      <c r="D2322" t="str">
        <f>IFERROR(__xludf.DUMMYFUNCTION("""COMPUTED_VALUE"""),"Witten")</f>
        <v>Witten</v>
      </c>
      <c r="E2322" t="str">
        <f>IFERROR(__xludf.DUMMYFUNCTION("""COMPUTED_VALUE"""),"Jason")</f>
        <v>Jason</v>
      </c>
      <c r="F2322" t="str">
        <f>IFERROR(__xludf.DUMMYFUNCTION("""COMPUTED_VALUE"""),"TE")</f>
        <v>TE</v>
      </c>
      <c r="G2322">
        <f>IFERROR(__xludf.DUMMYFUNCTION("""COMPUTED_VALUE"""),13.049999999999999)</f>
        <v>13.05</v>
      </c>
    </row>
    <row r="2323">
      <c r="D2323" t="str">
        <f>IFERROR(__xludf.DUMMYFUNCTION("""COMPUTED_VALUE"""),"Witzmann")</f>
        <v>Witzmann</v>
      </c>
      <c r="E2323" t="str">
        <f>IFERROR(__xludf.DUMMYFUNCTION("""COMPUTED_VALUE"""),"Bryan")</f>
        <v>Bryan</v>
      </c>
      <c r="F2323" t="str">
        <f>IFERROR(__xludf.DUMMYFUNCTION("""COMPUTED_VALUE"""),"LT")</f>
        <v>LT</v>
      </c>
      <c r="G2323">
        <f>IFERROR(__xludf.DUMMYFUNCTION("""COMPUTED_VALUE"""),9.9)</f>
        <v>9.9</v>
      </c>
    </row>
    <row r="2324">
      <c r="D2324" t="str">
        <f>IFERROR(__xludf.DUMMYFUNCTION("""COMPUTED_VALUE"""),"Wolfe")</f>
        <v>Wolfe</v>
      </c>
      <c r="E2324" t="str">
        <f>IFERROR(__xludf.DUMMYFUNCTION("""COMPUTED_VALUE"""),"Derek")</f>
        <v>Derek</v>
      </c>
      <c r="F2324" t="str">
        <f>IFERROR(__xludf.DUMMYFUNCTION("""COMPUTED_VALUE"""),"LE")</f>
        <v>LE</v>
      </c>
      <c r="G2324">
        <f>IFERROR(__xludf.DUMMYFUNCTION("""COMPUTED_VALUE"""),12.9)</f>
        <v>12.9</v>
      </c>
    </row>
    <row r="2325">
      <c r="D2325" t="str">
        <f>IFERROR(__xludf.DUMMYFUNCTION("""COMPUTED_VALUE"""),"Wolff")</f>
        <v>Wolff</v>
      </c>
      <c r="E2325" t="str">
        <f>IFERROR(__xludf.DUMMYFUNCTION("""COMPUTED_VALUE"""),"Earl")</f>
        <v>Earl</v>
      </c>
      <c r="F2325" t="str">
        <f>IFERROR(__xludf.DUMMYFUNCTION("""COMPUTED_VALUE"""),"FS")</f>
        <v>FS</v>
      </c>
      <c r="G2325">
        <f>IFERROR(__xludf.DUMMYFUNCTION("""COMPUTED_VALUE"""),10.2)</f>
        <v>10.2</v>
      </c>
    </row>
    <row r="2326">
      <c r="D2326" t="str">
        <f>IFERROR(__xludf.DUMMYFUNCTION("""COMPUTED_VALUE"""),"Wood")</f>
        <v>Wood</v>
      </c>
      <c r="E2326" t="str">
        <f>IFERROR(__xludf.DUMMYFUNCTION("""COMPUTED_VALUE"""),"Eric")</f>
        <v>Eric</v>
      </c>
      <c r="F2326" t="str">
        <f>IFERROR(__xludf.DUMMYFUNCTION("""COMPUTED_VALUE"""),"C")</f>
        <v>C</v>
      </c>
      <c r="G2326">
        <f>IFERROR(__xludf.DUMMYFUNCTION("""COMPUTED_VALUE"""),12.15)</f>
        <v>12.15</v>
      </c>
    </row>
    <row r="2327">
      <c r="D2327" t="str">
        <f>IFERROR(__xludf.DUMMYFUNCTION("""COMPUTED_VALUE"""),"Woodard")</f>
        <v>Woodard</v>
      </c>
      <c r="E2327" t="str">
        <f>IFERROR(__xludf.DUMMYFUNCTION("""COMPUTED_VALUE"""),"Jonathan")</f>
        <v>Jonathan</v>
      </c>
      <c r="F2327" t="str">
        <f>IFERROR(__xludf.DUMMYFUNCTION("""COMPUTED_VALUE"""),"LE")</f>
        <v>LE</v>
      </c>
      <c r="G2327">
        <f>IFERROR(__xludf.DUMMYFUNCTION("""COMPUTED_VALUE"""),9.45)</f>
        <v>9.45</v>
      </c>
    </row>
    <row r="2328">
      <c r="D2328" t="str">
        <f>IFERROR(__xludf.DUMMYFUNCTION("""COMPUTED_VALUE"""),"Woodhead")</f>
        <v>Woodhead</v>
      </c>
      <c r="E2328" t="str">
        <f>IFERROR(__xludf.DUMMYFUNCTION("""COMPUTED_VALUE"""),"Danny")</f>
        <v>Danny</v>
      </c>
      <c r="F2328" t="str">
        <f>IFERROR(__xludf.DUMMYFUNCTION("""COMPUTED_VALUE"""),"HB")</f>
        <v>HB</v>
      </c>
      <c r="G2328">
        <f>IFERROR(__xludf.DUMMYFUNCTION("""COMPUTED_VALUE"""),12.299999999999999)</f>
        <v>12.3</v>
      </c>
    </row>
    <row r="2329">
      <c r="D2329" t="str">
        <f>IFERROR(__xludf.DUMMYFUNCTION("""COMPUTED_VALUE"""),"Woods")</f>
        <v>Woods</v>
      </c>
      <c r="E2329" t="str">
        <f>IFERROR(__xludf.DUMMYFUNCTION("""COMPUTED_VALUE"""),"Al")</f>
        <v>Al</v>
      </c>
      <c r="F2329" t="str">
        <f>IFERROR(__xludf.DUMMYFUNCTION("""COMPUTED_VALUE"""),"DT")</f>
        <v>DT</v>
      </c>
      <c r="G2329">
        <f>IFERROR(__xludf.DUMMYFUNCTION("""COMPUTED_VALUE"""),11.1)</f>
        <v>11.1</v>
      </c>
    </row>
    <row r="2330">
      <c r="D2330" t="str">
        <f>IFERROR(__xludf.DUMMYFUNCTION("""COMPUTED_VALUE"""),"Woods")</f>
        <v>Woods</v>
      </c>
      <c r="E2330" t="str">
        <f>IFERROR(__xludf.DUMMYFUNCTION("""COMPUTED_VALUE"""),"Robert")</f>
        <v>Robert</v>
      </c>
      <c r="F2330" t="str">
        <f>IFERROR(__xludf.DUMMYFUNCTION("""COMPUTED_VALUE"""),"WR")</f>
        <v>WR</v>
      </c>
      <c r="G2330">
        <f>IFERROR(__xludf.DUMMYFUNCTION("""COMPUTED_VALUE"""),10.95)</f>
        <v>10.95</v>
      </c>
    </row>
    <row r="2331">
      <c r="D2331" t="str">
        <f>IFERROR(__xludf.DUMMYFUNCTION("""COMPUTED_VALUE"""),"Woodyard")</f>
        <v>Woodyard</v>
      </c>
      <c r="E2331" t="str">
        <f>IFERROR(__xludf.DUMMYFUNCTION("""COMPUTED_VALUE"""),"Wesley")</f>
        <v>Wesley</v>
      </c>
      <c r="F2331" t="str">
        <f>IFERROR(__xludf.DUMMYFUNCTION("""COMPUTED_VALUE"""),"MLB")</f>
        <v>MLB</v>
      </c>
      <c r="G2331">
        <f>IFERROR(__xludf.DUMMYFUNCTION("""COMPUTED_VALUE"""),13.049999999999999)</f>
        <v>13.05</v>
      </c>
    </row>
    <row r="2332">
      <c r="D2332" t="str">
        <f>IFERROR(__xludf.DUMMYFUNCTION("""COMPUTED_VALUE"""),"Worley")</f>
        <v>Worley</v>
      </c>
      <c r="E2332" t="str">
        <f>IFERROR(__xludf.DUMMYFUNCTION("""COMPUTED_VALUE"""),"Daryl")</f>
        <v>Daryl</v>
      </c>
      <c r="F2332" t="str">
        <f>IFERROR(__xludf.DUMMYFUNCTION("""COMPUTED_VALUE"""),"CB")</f>
        <v>CB</v>
      </c>
      <c r="G2332">
        <f>IFERROR(__xludf.DUMMYFUNCTION("""COMPUTED_VALUE"""),10.2)</f>
        <v>10.2</v>
      </c>
    </row>
    <row r="2333">
      <c r="D2333" t="str">
        <f>IFERROR(__xludf.DUMMYFUNCTION("""COMPUTED_VALUE"""),"Worrilow")</f>
        <v>Worrilow</v>
      </c>
      <c r="E2333" t="str">
        <f>IFERROR(__xludf.DUMMYFUNCTION("""COMPUTED_VALUE"""),"Paul")</f>
        <v>Paul</v>
      </c>
      <c r="F2333" t="str">
        <f>IFERROR(__xludf.DUMMYFUNCTION("""COMPUTED_VALUE"""),"MLB")</f>
        <v>MLB</v>
      </c>
      <c r="G2333">
        <f>IFERROR(__xludf.DUMMYFUNCTION("""COMPUTED_VALUE"""),11.1)</f>
        <v>11.1</v>
      </c>
    </row>
    <row r="2334">
      <c r="D2334" t="str">
        <f>IFERROR(__xludf.DUMMYFUNCTION("""COMPUTED_VALUE"""),"Worthy")</f>
        <v>Worthy</v>
      </c>
      <c r="E2334" t="str">
        <f>IFERROR(__xludf.DUMMYFUNCTION("""COMPUTED_VALUE"""),"Chandler")</f>
        <v>Chandler</v>
      </c>
      <c r="F2334" t="str">
        <f>IFERROR(__xludf.DUMMYFUNCTION("""COMPUTED_VALUE"""),"WR")</f>
        <v>WR</v>
      </c>
      <c r="G2334">
        <f>IFERROR(__xludf.DUMMYFUNCTION("""COMPUTED_VALUE"""),9.0)</f>
        <v>9</v>
      </c>
    </row>
    <row r="2335">
      <c r="D2335" t="str">
        <f>IFERROR(__xludf.DUMMYFUNCTION("""COMPUTED_VALUE"""),"Worthy")</f>
        <v>Worthy</v>
      </c>
      <c r="E2335" t="str">
        <f>IFERROR(__xludf.DUMMYFUNCTION("""COMPUTED_VALUE"""),"Jerel")</f>
        <v>Jerel</v>
      </c>
      <c r="F2335" t="str">
        <f>IFERROR(__xludf.DUMMYFUNCTION("""COMPUTED_VALUE"""),"DT")</f>
        <v>DT</v>
      </c>
      <c r="G2335">
        <f>IFERROR(__xludf.DUMMYFUNCTION("""COMPUTED_VALUE"""),10.049999999999999)</f>
        <v>10.05</v>
      </c>
    </row>
    <row r="2336">
      <c r="D2336" t="str">
        <f>IFERROR(__xludf.DUMMYFUNCTION("""COMPUTED_VALUE"""),"Wreh-Wilson")</f>
        <v>Wreh-Wilson</v>
      </c>
      <c r="E2336" t="str">
        <f>IFERROR(__xludf.DUMMYFUNCTION("""COMPUTED_VALUE"""),"Blidi")</f>
        <v>Blidi</v>
      </c>
      <c r="F2336" t="str">
        <f>IFERROR(__xludf.DUMMYFUNCTION("""COMPUTED_VALUE"""),"CB")</f>
        <v>CB</v>
      </c>
      <c r="G2336">
        <f>IFERROR(__xludf.DUMMYFUNCTION("""COMPUTED_VALUE"""),10.65)</f>
        <v>10.65</v>
      </c>
    </row>
    <row r="2337">
      <c r="D2337" t="str">
        <f>IFERROR(__xludf.DUMMYFUNCTION("""COMPUTED_VALUE"""),"Wright")</f>
        <v>Wright</v>
      </c>
      <c r="E2337" t="str">
        <f>IFERROR(__xludf.DUMMYFUNCTION("""COMPUTED_VALUE"""),"Gabe")</f>
        <v>Gabe</v>
      </c>
      <c r="F2337" t="str">
        <f>IFERROR(__xludf.DUMMYFUNCTION("""COMPUTED_VALUE"""),"DT")</f>
        <v>DT</v>
      </c>
      <c r="G2337">
        <f>IFERROR(__xludf.DUMMYFUNCTION("""COMPUTED_VALUE"""),10.35)</f>
        <v>10.35</v>
      </c>
    </row>
    <row r="2338">
      <c r="D2338" t="str">
        <f>IFERROR(__xludf.DUMMYFUNCTION("""COMPUTED_VALUE"""),"Wright")</f>
        <v>Wright</v>
      </c>
      <c r="E2338" t="str">
        <f>IFERROR(__xludf.DUMMYFUNCTION("""COMPUTED_VALUE"""),"James")</f>
        <v>James</v>
      </c>
      <c r="F2338" t="str">
        <f>IFERROR(__xludf.DUMMYFUNCTION("""COMPUTED_VALUE"""),"WR")</f>
        <v>WR</v>
      </c>
      <c r="G2338">
        <f>IFERROR(__xludf.DUMMYFUNCTION("""COMPUTED_VALUE"""),9.45)</f>
        <v>9.45</v>
      </c>
    </row>
    <row r="2339">
      <c r="D2339" t="str">
        <f>IFERROR(__xludf.DUMMYFUNCTION("""COMPUTED_VALUE"""),"Wright")</f>
        <v>Wright</v>
      </c>
      <c r="E2339" t="str">
        <f>IFERROR(__xludf.DUMMYFUNCTION("""COMPUTED_VALUE"""),"Jarius")</f>
        <v>Jarius</v>
      </c>
      <c r="F2339" t="str">
        <f>IFERROR(__xludf.DUMMYFUNCTION("""COMPUTED_VALUE"""),"WR")</f>
        <v>WR</v>
      </c>
      <c r="G2339">
        <f>IFERROR(__xludf.DUMMYFUNCTION("""COMPUTED_VALUE"""),11.25)</f>
        <v>11.25</v>
      </c>
    </row>
    <row r="2340">
      <c r="D2340" t="str">
        <f>IFERROR(__xludf.DUMMYFUNCTION("""COMPUTED_VALUE"""),"Wright")</f>
        <v>Wright</v>
      </c>
      <c r="E2340" t="str">
        <f>IFERROR(__xludf.DUMMYFUNCTION("""COMPUTED_VALUE"""),"Kendall")</f>
        <v>Kendall</v>
      </c>
      <c r="F2340" t="str">
        <f>IFERROR(__xludf.DUMMYFUNCTION("""COMPUTED_VALUE"""),"WR")</f>
        <v>WR</v>
      </c>
      <c r="G2340">
        <f>IFERROR(__xludf.DUMMYFUNCTION("""COMPUTED_VALUE"""),11.85)</f>
        <v>11.85</v>
      </c>
    </row>
    <row r="2341">
      <c r="D2341" t="str">
        <f>IFERROR(__xludf.DUMMYFUNCTION("""COMPUTED_VALUE"""),"Wright")</f>
        <v>Wright</v>
      </c>
      <c r="E2341" t="str">
        <f>IFERROR(__xludf.DUMMYFUNCTION("""COMPUTED_VALUE"""),"KJ")</f>
        <v>KJ</v>
      </c>
      <c r="F2341" t="str">
        <f>IFERROR(__xludf.DUMMYFUNCTION("""COMPUTED_VALUE"""),"ROLB")</f>
        <v>ROLB</v>
      </c>
      <c r="G2341">
        <f>IFERROR(__xludf.DUMMYFUNCTION("""COMPUTED_VALUE"""),13.2)</f>
        <v>13.2</v>
      </c>
    </row>
    <row r="2342">
      <c r="D2342" t="str">
        <f>IFERROR(__xludf.DUMMYFUNCTION("""COMPUTED_VALUE"""),"Wright")</f>
        <v>Wright</v>
      </c>
      <c r="E2342" t="str">
        <f>IFERROR(__xludf.DUMMYFUNCTION("""COMPUTED_VALUE"""),"Major")</f>
        <v>Major</v>
      </c>
      <c r="F2342" t="str">
        <f>IFERROR(__xludf.DUMMYFUNCTION("""COMPUTED_VALUE"""),"FS")</f>
        <v>FS</v>
      </c>
      <c r="G2342">
        <f>IFERROR(__xludf.DUMMYFUNCTION("""COMPUTED_VALUE"""),11.1)</f>
        <v>11.1</v>
      </c>
    </row>
    <row r="2343">
      <c r="D2343" t="str">
        <f>IFERROR(__xludf.DUMMYFUNCTION("""COMPUTED_VALUE"""),"Wright")</f>
        <v>Wright</v>
      </c>
      <c r="E2343" t="str">
        <f>IFERROR(__xludf.DUMMYFUNCTION("""COMPUTED_VALUE"""),"Shareece")</f>
        <v>Shareece</v>
      </c>
      <c r="F2343" t="str">
        <f>IFERROR(__xludf.DUMMYFUNCTION("""COMPUTED_VALUE"""),"CB")</f>
        <v>CB</v>
      </c>
      <c r="G2343">
        <f>IFERROR(__xludf.DUMMYFUNCTION("""COMPUTED_VALUE"""),10.799999999999999)</f>
        <v>10.8</v>
      </c>
    </row>
    <row r="2344">
      <c r="D2344" t="str">
        <f>IFERROR(__xludf.DUMMYFUNCTION("""COMPUTED_VALUE"""),"Wright")</f>
        <v>Wright</v>
      </c>
      <c r="E2344" t="str">
        <f>IFERROR(__xludf.DUMMYFUNCTION("""COMPUTED_VALUE"""),"Timothy")</f>
        <v>Timothy</v>
      </c>
      <c r="F2344" t="str">
        <f>IFERROR(__xludf.DUMMYFUNCTION("""COMPUTED_VALUE"""),"TE")</f>
        <v>TE</v>
      </c>
      <c r="G2344">
        <f>IFERROR(__xludf.DUMMYFUNCTION("""COMPUTED_VALUE"""),10.65)</f>
        <v>10.65</v>
      </c>
    </row>
    <row r="2345">
      <c r="D2345" t="str">
        <f>IFERROR(__xludf.DUMMYFUNCTION("""COMPUTED_VALUE"""),"Wright III")</f>
        <v>Wright III</v>
      </c>
      <c r="E2345" t="str">
        <f>IFERROR(__xludf.DUMMYFUNCTION("""COMPUTED_VALUE"""),"Scooby")</f>
        <v>Scooby</v>
      </c>
      <c r="F2345" t="str">
        <f>IFERROR(__xludf.DUMMYFUNCTION("""COMPUTED_VALUE"""),"MLB")</f>
        <v>MLB</v>
      </c>
      <c r="G2345">
        <f>IFERROR(__xludf.DUMMYFUNCTION("""COMPUTED_VALUE"""),10.2)</f>
        <v>10.2</v>
      </c>
    </row>
    <row r="2346">
      <c r="D2346" t="str">
        <f>IFERROR(__xludf.DUMMYFUNCTION("""COMPUTED_VALUE"""),"Wujciak")</f>
        <v>Wujciak</v>
      </c>
      <c r="E2346" t="str">
        <f>IFERROR(__xludf.DUMMYFUNCTION("""COMPUTED_VALUE"""),"Connor")</f>
        <v>Connor</v>
      </c>
      <c r="F2346" t="str">
        <f>IFERROR(__xludf.DUMMYFUNCTION("""COMPUTED_VALUE"""),"DT")</f>
        <v>DT</v>
      </c>
      <c r="G2346">
        <f>IFERROR(__xludf.DUMMYFUNCTION("""COMPUTED_VALUE"""),9.0)</f>
        <v>9</v>
      </c>
    </row>
    <row r="2347">
      <c r="D2347" t="str">
        <f>IFERROR(__xludf.DUMMYFUNCTION("""COMPUTED_VALUE"""),"Wynn")</f>
        <v>Wynn</v>
      </c>
      <c r="E2347" t="str">
        <f>IFERROR(__xludf.DUMMYFUNCTION("""COMPUTED_VALUE"""),"Kerry")</f>
        <v>Kerry</v>
      </c>
      <c r="F2347" t="str">
        <f>IFERROR(__xludf.DUMMYFUNCTION("""COMPUTED_VALUE"""),"LE")</f>
        <v>LE</v>
      </c>
      <c r="G2347">
        <f>IFERROR(__xludf.DUMMYFUNCTION("""COMPUTED_VALUE"""),9.75)</f>
        <v>9.75</v>
      </c>
    </row>
    <row r="2348">
      <c r="D2348" t="str">
        <f>IFERROR(__xludf.DUMMYFUNCTION("""COMPUTED_VALUE"""),"Wynn")</f>
        <v>Wynn</v>
      </c>
      <c r="E2348" t="str">
        <f>IFERROR(__xludf.DUMMYFUNCTION("""COMPUTED_VALUE"""),"Shane")</f>
        <v>Shane</v>
      </c>
      <c r="F2348" t="str">
        <f>IFERROR(__xludf.DUMMYFUNCTION("""COMPUTED_VALUE"""),"WR")</f>
        <v>WR</v>
      </c>
      <c r="G2348">
        <f>IFERROR(__xludf.DUMMYFUNCTION("""COMPUTED_VALUE"""),7.8)</f>
        <v>7.8</v>
      </c>
    </row>
    <row r="2349">
      <c r="D2349" t="str">
        <f>IFERROR(__xludf.DUMMYFUNCTION("""COMPUTED_VALUE"""),"Yanda")</f>
        <v>Yanda</v>
      </c>
      <c r="E2349" t="str">
        <f>IFERROR(__xludf.DUMMYFUNCTION("""COMPUTED_VALUE"""),"Marshal")</f>
        <v>Marshal</v>
      </c>
      <c r="F2349" t="str">
        <f>IFERROR(__xludf.DUMMYFUNCTION("""COMPUTED_VALUE"""),"RG")</f>
        <v>RG</v>
      </c>
      <c r="G2349">
        <f>IFERROR(__xludf.DUMMYFUNCTION("""COMPUTED_VALUE"""),14.549999999999999)</f>
        <v>14.55</v>
      </c>
    </row>
    <row r="2350">
      <c r="D2350" t="str">
        <f>IFERROR(__xludf.DUMMYFUNCTION("""COMPUTED_VALUE"""),"Yankey")</f>
        <v>Yankey</v>
      </c>
      <c r="E2350" t="str">
        <f>IFERROR(__xludf.DUMMYFUNCTION("""COMPUTED_VALUE"""),"David")</f>
        <v>David</v>
      </c>
      <c r="F2350" t="str">
        <f>IFERROR(__xludf.DUMMYFUNCTION("""COMPUTED_VALUE"""),"LG")</f>
        <v>LG</v>
      </c>
      <c r="G2350">
        <f>IFERROR(__xludf.DUMMYFUNCTION("""COMPUTED_VALUE"""),10.35)</f>
        <v>10.35</v>
      </c>
    </row>
    <row r="2351">
      <c r="D2351" t="str">
        <f>IFERROR(__xludf.DUMMYFUNCTION("""COMPUTED_VALUE"""),"Yarbrough")</f>
        <v>Yarbrough</v>
      </c>
      <c r="E2351" t="str">
        <f>IFERROR(__xludf.DUMMYFUNCTION("""COMPUTED_VALUE"""),"Eddie")</f>
        <v>Eddie</v>
      </c>
      <c r="F2351" t="str">
        <f>IFERROR(__xludf.DUMMYFUNCTION("""COMPUTED_VALUE"""),"RE")</f>
        <v>RE</v>
      </c>
      <c r="G2351">
        <f>IFERROR(__xludf.DUMMYFUNCTION("""COMPUTED_VALUE"""),9.299999999999999)</f>
        <v>9.3</v>
      </c>
    </row>
    <row r="2352">
      <c r="D2352" t="str">
        <f>IFERROR(__xludf.DUMMYFUNCTION("""COMPUTED_VALUE"""),"Yeldon")</f>
        <v>Yeldon</v>
      </c>
      <c r="E2352" t="str">
        <f>IFERROR(__xludf.DUMMYFUNCTION("""COMPUTED_VALUE"""),"TJ")</f>
        <v>TJ</v>
      </c>
      <c r="F2352" t="str">
        <f>IFERROR(__xludf.DUMMYFUNCTION("""COMPUTED_VALUE"""),"HB")</f>
        <v>HB</v>
      </c>
      <c r="G2352">
        <f>IFERROR(__xludf.DUMMYFUNCTION("""COMPUTED_VALUE"""),12.0)</f>
        <v>12</v>
      </c>
    </row>
    <row r="2353">
      <c r="D2353" t="str">
        <f>IFERROR(__xludf.DUMMYFUNCTION("""COMPUTED_VALUE"""),"Young")</f>
        <v>Young</v>
      </c>
      <c r="E2353" t="str">
        <f>IFERROR(__xludf.DUMMYFUNCTION("""COMPUTED_VALUE"""),"Avery")</f>
        <v>Avery</v>
      </c>
      <c r="F2353" t="str">
        <f>IFERROR(__xludf.DUMMYFUNCTION("""COMPUTED_VALUE"""),"RT")</f>
        <v>RT</v>
      </c>
      <c r="G2353">
        <f>IFERROR(__xludf.DUMMYFUNCTION("""COMPUTED_VALUE"""),9.0)</f>
        <v>9</v>
      </c>
    </row>
    <row r="2354">
      <c r="D2354" t="str">
        <f>IFERROR(__xludf.DUMMYFUNCTION("""COMPUTED_VALUE"""),"Young")</f>
        <v>Young</v>
      </c>
      <c r="E2354" t="str">
        <f>IFERROR(__xludf.DUMMYFUNCTION("""COMPUTED_VALUE"""),"Lou")</f>
        <v>Lou</v>
      </c>
      <c r="F2354" t="str">
        <f>IFERROR(__xludf.DUMMYFUNCTION("""COMPUTED_VALUE"""),"CB")</f>
        <v>CB</v>
      </c>
      <c r="G2354">
        <f>IFERROR(__xludf.DUMMYFUNCTION("""COMPUTED_VALUE"""),9.15)</f>
        <v>9.15</v>
      </c>
    </row>
    <row r="2355">
      <c r="D2355" t="str">
        <f>IFERROR(__xludf.DUMMYFUNCTION("""COMPUTED_VALUE"""),"Young")</f>
        <v>Young</v>
      </c>
      <c r="E2355" t="str">
        <f>IFERROR(__xludf.DUMMYFUNCTION("""COMPUTED_VALUE"""),"Sam")</f>
        <v>Sam</v>
      </c>
      <c r="F2355" t="str">
        <f>IFERROR(__xludf.DUMMYFUNCTION("""COMPUTED_VALUE"""),"RT")</f>
        <v>RT</v>
      </c>
      <c r="G2355">
        <f>IFERROR(__xludf.DUMMYFUNCTION("""COMPUTED_VALUE"""),10.5)</f>
        <v>10.5</v>
      </c>
    </row>
    <row r="2356">
      <c r="D2356" t="str">
        <f>IFERROR(__xludf.DUMMYFUNCTION("""COMPUTED_VALUE"""),"Young")</f>
        <v>Young</v>
      </c>
      <c r="E2356" t="str">
        <f>IFERROR(__xludf.DUMMYFUNCTION("""COMPUTED_VALUE"""),"Tavon")</f>
        <v>Tavon</v>
      </c>
      <c r="F2356" t="str">
        <f>IFERROR(__xludf.DUMMYFUNCTION("""COMPUTED_VALUE"""),"CB")</f>
        <v>CB</v>
      </c>
      <c r="G2356">
        <f>IFERROR(__xludf.DUMMYFUNCTION("""COMPUTED_VALUE"""),10.049999999999999)</f>
        <v>10.05</v>
      </c>
    </row>
    <row r="2357">
      <c r="D2357" t="str">
        <f>IFERROR(__xludf.DUMMYFUNCTION("""COMPUTED_VALUE"""),"Young")</f>
        <v>Young</v>
      </c>
      <c r="E2357" t="str">
        <f>IFERROR(__xludf.DUMMYFUNCTION("""COMPUTED_VALUE"""),"Willie")</f>
        <v>Willie</v>
      </c>
      <c r="F2357" t="str">
        <f>IFERROR(__xludf.DUMMYFUNCTION("""COMPUTED_VALUE"""),"LOLB")</f>
        <v>LOLB</v>
      </c>
      <c r="G2357">
        <f>IFERROR(__xludf.DUMMYFUNCTION("""COMPUTED_VALUE"""),12.299999999999999)</f>
        <v>12.3</v>
      </c>
    </row>
    <row r="2358">
      <c r="D2358" t="str">
        <f>IFERROR(__xludf.DUMMYFUNCTION("""COMPUTED_VALUE"""),"Zeitler")</f>
        <v>Zeitler</v>
      </c>
      <c r="E2358" t="str">
        <f>IFERROR(__xludf.DUMMYFUNCTION("""COMPUTED_VALUE"""),"Kevin")</f>
        <v>Kevin</v>
      </c>
      <c r="F2358" t="str">
        <f>IFERROR(__xludf.DUMMYFUNCTION("""COMPUTED_VALUE"""),"RG")</f>
        <v>RG</v>
      </c>
      <c r="G2358">
        <f>IFERROR(__xludf.DUMMYFUNCTION("""COMPUTED_VALUE"""),13.35)</f>
        <v>13.35</v>
      </c>
    </row>
    <row r="2359">
      <c r="D2359" t="str">
        <f>IFERROR(__xludf.DUMMYFUNCTION("""COMPUTED_VALUE"""),"Zenner")</f>
        <v>Zenner</v>
      </c>
      <c r="E2359" t="str">
        <f>IFERROR(__xludf.DUMMYFUNCTION("""COMPUTED_VALUE"""),"Zach")</f>
        <v>Zach</v>
      </c>
      <c r="F2359" t="str">
        <f>IFERROR(__xludf.DUMMYFUNCTION("""COMPUTED_VALUE"""),"HB")</f>
        <v>HB</v>
      </c>
      <c r="G2359">
        <f>IFERROR(__xludf.DUMMYFUNCTION("""COMPUTED_VALUE"""),10.35)</f>
        <v>10.35</v>
      </c>
    </row>
    <row r="2360">
      <c r="D2360" t="str">
        <f>IFERROR(__xludf.DUMMYFUNCTION("""COMPUTED_VALUE"""),"Zettel")</f>
        <v>Zettel</v>
      </c>
      <c r="E2360" t="str">
        <f>IFERROR(__xludf.DUMMYFUNCTION("""COMPUTED_VALUE"""),"Anthony")</f>
        <v>Anthony</v>
      </c>
      <c r="F2360" t="str">
        <f>IFERROR(__xludf.DUMMYFUNCTION("""COMPUTED_VALUE"""),"RE")</f>
        <v>RE</v>
      </c>
      <c r="G2360">
        <f>IFERROR(__xludf.DUMMYFUNCTION("""COMPUTED_VALUE"""),9.9)</f>
        <v>9.9</v>
      </c>
    </row>
    <row r="2361">
      <c r="D2361" t="str">
        <f>IFERROR(__xludf.DUMMYFUNCTION("""COMPUTED_VALUE"""),"Zombo")</f>
        <v>Zombo</v>
      </c>
      <c r="E2361" t="str">
        <f>IFERROR(__xludf.DUMMYFUNCTION("""COMPUTED_VALUE"""),"Frank")</f>
        <v>Frank</v>
      </c>
      <c r="F2361" t="str">
        <f>IFERROR(__xludf.DUMMYFUNCTION("""COMPUTED_VALUE"""),"LOLB")</f>
        <v>LOLB</v>
      </c>
      <c r="G2361">
        <f>IFERROR(__xludf.DUMMYFUNCTION("""COMPUTED_VALUE"""),10.65)</f>
        <v>10.65</v>
      </c>
    </row>
    <row r="2362">
      <c r="D2362" t="str">
        <f>IFERROR(__xludf.DUMMYFUNCTION("""COMPUTED_VALUE"""),"Zuerlein")</f>
        <v>Zuerlein</v>
      </c>
      <c r="E2362" t="str">
        <f>IFERROR(__xludf.DUMMYFUNCTION("""COMPUTED_VALUE"""),"Greg")</f>
        <v>Greg</v>
      </c>
      <c r="F2362" t="str">
        <f>IFERROR(__xludf.DUMMYFUNCTION("""COMPUTED_VALUE"""),"K")</f>
        <v>K</v>
      </c>
      <c r="G2362">
        <f>IFERROR(__xludf.DUMMYFUNCTION("""COMPUTED_VALUE"""),11.7)</f>
        <v>11.7</v>
      </c>
    </row>
    <row r="2363">
      <c r="D2363" t="str">
        <f>IFERROR(__xludf.DUMMYFUNCTION("""COMPUTED_VALUE"""),"Zumwalt")</f>
        <v>Zumwalt</v>
      </c>
      <c r="E2363" t="str">
        <f>IFERROR(__xludf.DUMMYFUNCTION("""COMPUTED_VALUE"""),"Jordan")</f>
        <v>Jordan</v>
      </c>
      <c r="F2363" t="str">
        <f>IFERROR(__xludf.DUMMYFUNCTION("""COMPUTED_VALUE"""),"ROLB")</f>
        <v>ROLB</v>
      </c>
      <c r="G2363">
        <f>IFERROR(__xludf.DUMMYFUNCTION("""COMPUTED_VALUE"""),9.75)</f>
        <v>9.75</v>
      </c>
    </row>
    <row r="2364">
      <c r="D2364" t="str">
        <f>IFERROR(__xludf.DUMMYFUNCTION("""COMPUTED_VALUE"""),"Zuttah")</f>
        <v>Zuttah</v>
      </c>
      <c r="E2364" t="str">
        <f>IFERROR(__xludf.DUMMYFUNCTION("""COMPUTED_VALUE"""),"Jeremy")</f>
        <v>Jeremy</v>
      </c>
      <c r="F2364" t="str">
        <f>IFERROR(__xludf.DUMMYFUNCTION("""COMPUTED_VALUE"""),"C")</f>
        <v>C</v>
      </c>
      <c r="G2364">
        <f>IFERROR(__xludf.DUMMYFUNCTION("""COMPUTED_VALUE"""),12.15)</f>
        <v>12.15</v>
      </c>
    </row>
    <row r="2365">
      <c r="D2365" t="str">
        <f>IFERROR(__xludf.DUMMYFUNCTION("""COMPUTED_VALUE"""),"Abbrederis")</f>
        <v>Abbrederis</v>
      </c>
      <c r="E2365" t="str">
        <f>IFERROR(__xludf.DUMMYFUNCTION("""COMPUTED_VALUE"""),"Jared")</f>
        <v>Jared</v>
      </c>
      <c r="F2365" t="str">
        <f>IFERROR(__xludf.DUMMYFUNCTION("""COMPUTED_VALUE"""),"WR")</f>
        <v>WR</v>
      </c>
      <c r="G2365">
        <f>IFERROR(__xludf.DUMMYFUNCTION("""COMPUTED_VALUE"""),13.8)</f>
        <v>13.8</v>
      </c>
    </row>
    <row r="2366">
      <c r="D2366" t="str">
        <f>IFERROR(__xludf.DUMMYFUNCTION("""COMPUTED_VALUE"""),"Abdesmad")</f>
        <v>Abdesmad</v>
      </c>
      <c r="E2366" t="str">
        <f>IFERROR(__xludf.DUMMYFUNCTION("""COMPUTED_VALUE"""),"Mehdi")</f>
        <v>Mehdi</v>
      </c>
      <c r="F2366" t="str">
        <f>IFERROR(__xludf.DUMMYFUNCTION("""COMPUTED_VALUE"""),"LE")</f>
        <v>LE</v>
      </c>
      <c r="G2366">
        <f>IFERROR(__xludf.DUMMYFUNCTION("""COMPUTED_VALUE"""),12.0)</f>
        <v>12</v>
      </c>
    </row>
    <row r="2367">
      <c r="D2367" t="str">
        <f>IFERROR(__xludf.DUMMYFUNCTION("""COMPUTED_VALUE"""),"Abdullah")</f>
        <v>Abdullah</v>
      </c>
      <c r="E2367" t="str">
        <f>IFERROR(__xludf.DUMMYFUNCTION("""COMPUTED_VALUE"""),"Ameer")</f>
        <v>Ameer</v>
      </c>
      <c r="F2367" t="str">
        <f>IFERROR(__xludf.DUMMYFUNCTION("""COMPUTED_VALUE"""),"HB")</f>
        <v>HB</v>
      </c>
      <c r="G2367">
        <f>IFERROR(__xludf.DUMMYFUNCTION("""COMPUTED_VALUE"""),15.600000000000001)</f>
        <v>15.6</v>
      </c>
    </row>
    <row r="2368">
      <c r="D2368" t="str">
        <f>IFERROR(__xludf.DUMMYFUNCTION("""COMPUTED_VALUE"""),"Aboushi")</f>
        <v>Aboushi</v>
      </c>
      <c r="E2368" t="str">
        <f>IFERROR(__xludf.DUMMYFUNCTION("""COMPUTED_VALUE"""),"Oday")</f>
        <v>Oday</v>
      </c>
      <c r="F2368" t="str">
        <f>IFERROR(__xludf.DUMMYFUNCTION("""COMPUTED_VALUE"""),"RT")</f>
        <v>RT</v>
      </c>
      <c r="G2368">
        <f>IFERROR(__xludf.DUMMYFUNCTION("""COMPUTED_VALUE"""),14.8)</f>
        <v>14.8</v>
      </c>
    </row>
    <row r="2369">
      <c r="D2369" t="str">
        <f>IFERROR(__xludf.DUMMYFUNCTION("""COMPUTED_VALUE"""),"Acho")</f>
        <v>Acho</v>
      </c>
      <c r="E2369" t="str">
        <f>IFERROR(__xludf.DUMMYFUNCTION("""COMPUTED_VALUE"""),"Sam")</f>
        <v>Sam</v>
      </c>
      <c r="F2369" t="str">
        <f>IFERROR(__xludf.DUMMYFUNCTION("""COMPUTED_VALUE"""),"ROLB")</f>
        <v>ROLB</v>
      </c>
      <c r="G2369">
        <f>IFERROR(__xludf.DUMMYFUNCTION("""COMPUTED_VALUE"""),14.8)</f>
        <v>14.8</v>
      </c>
    </row>
    <row r="2370">
      <c r="D2370" t="str">
        <f>IFERROR(__xludf.DUMMYFUNCTION("""COMPUTED_VALUE"""),"Acker")</f>
        <v>Acker</v>
      </c>
      <c r="E2370" t="str">
        <f>IFERROR(__xludf.DUMMYFUNCTION("""COMPUTED_VALUE"""),"Kenneth")</f>
        <v>Kenneth</v>
      </c>
      <c r="F2370" t="str">
        <f>IFERROR(__xludf.DUMMYFUNCTION("""COMPUTED_VALUE"""),"CB")</f>
        <v>CB</v>
      </c>
      <c r="G2370">
        <f>IFERROR(__xludf.DUMMYFUNCTION("""COMPUTED_VALUE"""),13.4)</f>
        <v>13.4</v>
      </c>
    </row>
    <row r="2371">
      <c r="D2371" t="str">
        <f>IFERROR(__xludf.DUMMYFUNCTION("""COMPUTED_VALUE"""),"Adams")</f>
        <v>Adams</v>
      </c>
      <c r="E2371" t="str">
        <f>IFERROR(__xludf.DUMMYFUNCTION("""COMPUTED_VALUE"""),"Andrew")</f>
        <v>Andrew</v>
      </c>
      <c r="F2371" t="str">
        <f>IFERROR(__xludf.DUMMYFUNCTION("""COMPUTED_VALUE"""),"FS")</f>
        <v>FS</v>
      </c>
      <c r="G2371">
        <f>IFERROR(__xludf.DUMMYFUNCTION("""COMPUTED_VALUE"""),15.600000000000001)</f>
        <v>15.6</v>
      </c>
    </row>
    <row r="2372">
      <c r="D2372" t="str">
        <f>IFERROR(__xludf.DUMMYFUNCTION("""COMPUTED_VALUE"""),"Adams")</f>
        <v>Adams</v>
      </c>
      <c r="E2372" t="str">
        <f>IFERROR(__xludf.DUMMYFUNCTION("""COMPUTED_VALUE"""),"Davante")</f>
        <v>Davante</v>
      </c>
      <c r="F2372" t="str">
        <f>IFERROR(__xludf.DUMMYFUNCTION("""COMPUTED_VALUE"""),"WR")</f>
        <v>WR</v>
      </c>
      <c r="G2372">
        <f>IFERROR(__xludf.DUMMYFUNCTION("""COMPUTED_VALUE"""),16.8)</f>
        <v>16.8</v>
      </c>
    </row>
    <row r="2373">
      <c r="D2373" t="str">
        <f>IFERROR(__xludf.DUMMYFUNCTION("""COMPUTED_VALUE"""),"Adams")</f>
        <v>Adams</v>
      </c>
      <c r="E2373" t="str">
        <f>IFERROR(__xludf.DUMMYFUNCTION("""COMPUTED_VALUE"""),"Jamal")</f>
        <v>Jamal</v>
      </c>
      <c r="F2373" t="str">
        <f>IFERROR(__xludf.DUMMYFUNCTION("""COMPUTED_VALUE"""),"SS")</f>
        <v>SS</v>
      </c>
      <c r="G2373">
        <f>IFERROR(__xludf.DUMMYFUNCTION("""COMPUTED_VALUE"""),16.2)</f>
        <v>16.2</v>
      </c>
    </row>
    <row r="2374">
      <c r="D2374" t="str">
        <f>IFERROR(__xludf.DUMMYFUNCTION("""COMPUTED_VALUE"""),"Adams")</f>
        <v>Adams</v>
      </c>
      <c r="E2374" t="str">
        <f>IFERROR(__xludf.DUMMYFUNCTION("""COMPUTED_VALUE"""),"Jeff")</f>
        <v>Jeff</v>
      </c>
      <c r="F2374" t="str">
        <f>IFERROR(__xludf.DUMMYFUNCTION("""COMPUTED_VALUE"""),"LG")</f>
        <v>LG</v>
      </c>
      <c r="G2374">
        <f>IFERROR(__xludf.DUMMYFUNCTION("""COMPUTED_VALUE"""),14.4)</f>
        <v>14.4</v>
      </c>
    </row>
    <row r="2375">
      <c r="D2375" t="str">
        <f>IFERROR(__xludf.DUMMYFUNCTION("""COMPUTED_VALUE"""),"Adams")</f>
        <v>Adams</v>
      </c>
      <c r="E2375" t="str">
        <f>IFERROR(__xludf.DUMMYFUNCTION("""COMPUTED_VALUE"""),"Jerell")</f>
        <v>Jerell</v>
      </c>
      <c r="F2375" t="str">
        <f>IFERROR(__xludf.DUMMYFUNCTION("""COMPUTED_VALUE"""),"TE")</f>
        <v>TE</v>
      </c>
      <c r="G2375">
        <f>IFERROR(__xludf.DUMMYFUNCTION("""COMPUTED_VALUE"""),13.200000000000001)</f>
        <v>13.2</v>
      </c>
    </row>
    <row r="2376">
      <c r="D2376" t="str">
        <f>IFERROR(__xludf.DUMMYFUNCTION("""COMPUTED_VALUE"""),"Adams")</f>
        <v>Adams</v>
      </c>
      <c r="E2376" t="str">
        <f>IFERROR(__xludf.DUMMYFUNCTION("""COMPUTED_VALUE"""),"Keion")</f>
        <v>Keion</v>
      </c>
      <c r="F2376" t="str">
        <f>IFERROR(__xludf.DUMMYFUNCTION("""COMPUTED_VALUE"""),"ROLB")</f>
        <v>ROLB</v>
      </c>
      <c r="G2376">
        <f>IFERROR(__xludf.DUMMYFUNCTION("""COMPUTED_VALUE"""),12.8)</f>
        <v>12.8</v>
      </c>
    </row>
    <row r="2377">
      <c r="D2377" t="str">
        <f>IFERROR(__xludf.DUMMYFUNCTION("""COMPUTED_VALUE"""),"Adams")</f>
        <v>Adams</v>
      </c>
      <c r="E2377" t="str">
        <f>IFERROR(__xludf.DUMMYFUNCTION("""COMPUTED_VALUE"""),"Mike")</f>
        <v>Mike</v>
      </c>
      <c r="F2377" t="str">
        <f>IFERROR(__xludf.DUMMYFUNCTION("""COMPUTED_VALUE"""),"FS")</f>
        <v>FS</v>
      </c>
      <c r="G2377">
        <f>IFERROR(__xludf.DUMMYFUNCTION("""COMPUTED_VALUE"""),16.2)</f>
        <v>16.2</v>
      </c>
    </row>
    <row r="2378">
      <c r="D2378" t="str">
        <f>IFERROR(__xludf.DUMMYFUNCTION("""COMPUTED_VALUE"""),"Adams")</f>
        <v>Adams</v>
      </c>
      <c r="E2378" t="str">
        <f>IFERROR(__xludf.DUMMYFUNCTION("""COMPUTED_VALUE"""),"Montravius")</f>
        <v>Montravius</v>
      </c>
      <c r="F2378" t="str">
        <f>IFERROR(__xludf.DUMMYFUNCTION("""COMPUTED_VALUE"""),"DT")</f>
        <v>DT</v>
      </c>
      <c r="G2378">
        <f>IFERROR(__xludf.DUMMYFUNCTION("""COMPUTED_VALUE"""),14.4)</f>
        <v>14.4</v>
      </c>
    </row>
    <row r="2379">
      <c r="D2379" t="str">
        <f>IFERROR(__xludf.DUMMYFUNCTION("""COMPUTED_VALUE"""),"Adams")</f>
        <v>Adams</v>
      </c>
      <c r="E2379" t="str">
        <f>IFERROR(__xludf.DUMMYFUNCTION("""COMPUTED_VALUE"""),"Rodney")</f>
        <v>Rodney</v>
      </c>
      <c r="F2379" t="str">
        <f>IFERROR(__xludf.DUMMYFUNCTION("""COMPUTED_VALUE"""),"WR")</f>
        <v>WR</v>
      </c>
      <c r="G2379">
        <f>IFERROR(__xludf.DUMMYFUNCTION("""COMPUTED_VALUE"""),13.600000000000001)</f>
        <v>13.6</v>
      </c>
    </row>
    <row r="2380">
      <c r="D2380" t="str">
        <f>IFERROR(__xludf.DUMMYFUNCTION("""COMPUTED_VALUE"""),"Adams")</f>
        <v>Adams</v>
      </c>
      <c r="E2380" t="str">
        <f>IFERROR(__xludf.DUMMYFUNCTION("""COMPUTED_VALUE"""),"Tyrell")</f>
        <v>Tyrell</v>
      </c>
      <c r="F2380" t="str">
        <f>IFERROR(__xludf.DUMMYFUNCTION("""COMPUTED_VALUE"""),"LOLB")</f>
        <v>LOLB</v>
      </c>
      <c r="G2380">
        <f>IFERROR(__xludf.DUMMYFUNCTION("""COMPUTED_VALUE"""),12.4)</f>
        <v>12.4</v>
      </c>
    </row>
    <row r="2381">
      <c r="D2381" t="str">
        <f>IFERROR(__xludf.DUMMYFUNCTION("""COMPUTED_VALUE"""),"Addae")</f>
        <v>Addae</v>
      </c>
      <c r="E2381" t="str">
        <f>IFERROR(__xludf.DUMMYFUNCTION("""COMPUTED_VALUE"""),"Jahleel")</f>
        <v>Jahleel</v>
      </c>
      <c r="F2381" t="str">
        <f>IFERROR(__xludf.DUMMYFUNCTION("""COMPUTED_VALUE"""),"SS")</f>
        <v>SS</v>
      </c>
      <c r="G2381">
        <f>IFERROR(__xludf.DUMMYFUNCTION("""COMPUTED_VALUE"""),16.6)</f>
        <v>16.6</v>
      </c>
    </row>
    <row r="2382">
      <c r="D2382" t="str">
        <f>IFERROR(__xludf.DUMMYFUNCTION("""COMPUTED_VALUE"""),"Addison")</f>
        <v>Addison</v>
      </c>
      <c r="E2382" t="str">
        <f>IFERROR(__xludf.DUMMYFUNCTION("""COMPUTED_VALUE"""),"Mario")</f>
        <v>Mario</v>
      </c>
      <c r="F2382" t="str">
        <f>IFERROR(__xludf.DUMMYFUNCTION("""COMPUTED_VALUE"""),"RE")</f>
        <v>RE</v>
      </c>
      <c r="G2382">
        <f>IFERROR(__xludf.DUMMYFUNCTION("""COMPUTED_VALUE"""),16.6)</f>
        <v>16.6</v>
      </c>
    </row>
    <row r="2383">
      <c r="D2383" t="str">
        <f>IFERROR(__xludf.DUMMYFUNCTION("""COMPUTED_VALUE"""),"Adeboyejo")</f>
        <v>Adeboyejo</v>
      </c>
      <c r="E2383" t="str">
        <f>IFERROR(__xludf.DUMMYFUNCTION("""COMPUTED_VALUE"""),"Quincy")</f>
        <v>Quincy</v>
      </c>
      <c r="F2383" t="str">
        <f>IFERROR(__xludf.DUMMYFUNCTION("""COMPUTED_VALUE"""),"WR")</f>
        <v>WR</v>
      </c>
      <c r="G2383">
        <f>IFERROR(__xludf.DUMMYFUNCTION("""COMPUTED_VALUE"""),12.4)</f>
        <v>12.4</v>
      </c>
    </row>
    <row r="2384">
      <c r="D2384" t="str">
        <f>IFERROR(__xludf.DUMMYFUNCTION("""COMPUTED_VALUE"""),"Adjei-Barimah")</f>
        <v>Adjei-Barimah</v>
      </c>
      <c r="E2384" t="str">
        <f>IFERROR(__xludf.DUMMYFUNCTION("""COMPUTED_VALUE"""),"Jude")</f>
        <v>Jude</v>
      </c>
      <c r="F2384" t="str">
        <f>IFERROR(__xludf.DUMMYFUNCTION("""COMPUTED_VALUE"""),"CB")</f>
        <v>CB</v>
      </c>
      <c r="G2384">
        <f>IFERROR(__xludf.DUMMYFUNCTION("""COMPUTED_VALUE"""),14.4)</f>
        <v>14.4</v>
      </c>
    </row>
    <row r="2385">
      <c r="D2385" t="str">
        <f>IFERROR(__xludf.DUMMYFUNCTION("""COMPUTED_VALUE"""),"Agholor")</f>
        <v>Agholor</v>
      </c>
      <c r="E2385" t="str">
        <f>IFERROR(__xludf.DUMMYFUNCTION("""COMPUTED_VALUE"""),"Nelson")</f>
        <v>Nelson</v>
      </c>
      <c r="F2385" t="str">
        <f>IFERROR(__xludf.DUMMYFUNCTION("""COMPUTED_VALUE"""),"WR")</f>
        <v>WR</v>
      </c>
      <c r="G2385">
        <f>IFERROR(__xludf.DUMMYFUNCTION("""COMPUTED_VALUE"""),14.200000000000001)</f>
        <v>14.2</v>
      </c>
    </row>
    <row r="2386">
      <c r="D2386" t="str">
        <f>IFERROR(__xludf.DUMMYFUNCTION("""COMPUTED_VALUE"""),"Agnew")</f>
        <v>Agnew</v>
      </c>
      <c r="E2386" t="str">
        <f>IFERROR(__xludf.DUMMYFUNCTION("""COMPUTED_VALUE"""),"Jamal")</f>
        <v>Jamal</v>
      </c>
      <c r="F2386" t="str">
        <f>IFERROR(__xludf.DUMMYFUNCTION("""COMPUTED_VALUE"""),"CB")</f>
        <v>CB</v>
      </c>
      <c r="G2386">
        <f>IFERROR(__xludf.DUMMYFUNCTION("""COMPUTED_VALUE"""),13.200000000000001)</f>
        <v>13.2</v>
      </c>
    </row>
    <row r="2387">
      <c r="D2387" t="str">
        <f>IFERROR(__xludf.DUMMYFUNCTION("""COMPUTED_VALUE"""),"Aguayo")</f>
        <v>Aguayo</v>
      </c>
      <c r="E2387" t="str">
        <f>IFERROR(__xludf.DUMMYFUNCTION("""COMPUTED_VALUE"""),"Roberto")</f>
        <v>Roberto</v>
      </c>
      <c r="F2387" t="str">
        <f>IFERROR(__xludf.DUMMYFUNCTION("""COMPUTED_VALUE"""),"K")</f>
        <v>K</v>
      </c>
      <c r="G2387">
        <f>IFERROR(__xludf.DUMMYFUNCTION("""COMPUTED_VALUE"""),14.600000000000001)</f>
        <v>14.6</v>
      </c>
    </row>
    <row r="2388">
      <c r="D2388" t="str">
        <f>IFERROR(__xludf.DUMMYFUNCTION("""COMPUTED_VALUE"""),"Aiken")</f>
        <v>Aiken</v>
      </c>
      <c r="E2388" t="str">
        <f>IFERROR(__xludf.DUMMYFUNCTION("""COMPUTED_VALUE"""),"Kamar")</f>
        <v>Kamar</v>
      </c>
      <c r="F2388" t="str">
        <f>IFERROR(__xludf.DUMMYFUNCTION("""COMPUTED_VALUE"""),"WR")</f>
        <v>WR</v>
      </c>
      <c r="G2388">
        <f>IFERROR(__xludf.DUMMYFUNCTION("""COMPUTED_VALUE"""),15.600000000000001)</f>
        <v>15.6</v>
      </c>
    </row>
    <row r="2389">
      <c r="D2389" t="str">
        <f>IFERROR(__xludf.DUMMYFUNCTION("""COMPUTED_VALUE"""),"Aikens")</f>
        <v>Aikens</v>
      </c>
      <c r="E2389" t="str">
        <f>IFERROR(__xludf.DUMMYFUNCTION("""COMPUTED_VALUE"""),"Walt")</f>
        <v>Walt</v>
      </c>
      <c r="F2389" t="str">
        <f>IFERROR(__xludf.DUMMYFUNCTION("""COMPUTED_VALUE"""),"FS")</f>
        <v>FS</v>
      </c>
      <c r="G2389">
        <f>IFERROR(__xludf.DUMMYFUNCTION("""COMPUTED_VALUE"""),13.8)</f>
        <v>13.8</v>
      </c>
    </row>
    <row r="2390">
      <c r="D2390" t="str">
        <f>IFERROR(__xludf.DUMMYFUNCTION("""COMPUTED_VALUE"""),"Ajayi")</f>
        <v>Ajayi</v>
      </c>
      <c r="E2390" t="str">
        <f>IFERROR(__xludf.DUMMYFUNCTION("""COMPUTED_VALUE"""),"Jay")</f>
        <v>Jay</v>
      </c>
      <c r="F2390" t="str">
        <f>IFERROR(__xludf.DUMMYFUNCTION("""COMPUTED_VALUE"""),"HB")</f>
        <v>HB</v>
      </c>
      <c r="G2390">
        <f>IFERROR(__xludf.DUMMYFUNCTION("""COMPUTED_VALUE"""),17.400000000000002)</f>
        <v>17.4</v>
      </c>
    </row>
    <row r="2391">
      <c r="D2391" t="str">
        <f>IFERROR(__xludf.DUMMYFUNCTION("""COMPUTED_VALUE"""),"Albert")</f>
        <v>Albert</v>
      </c>
      <c r="E2391" t="str">
        <f>IFERROR(__xludf.DUMMYFUNCTION("""COMPUTED_VALUE"""),"Branden")</f>
        <v>Branden</v>
      </c>
      <c r="F2391" t="str">
        <f>IFERROR(__xludf.DUMMYFUNCTION("""COMPUTED_VALUE"""),"LT")</f>
        <v>LT</v>
      </c>
      <c r="G2391">
        <f>IFERROR(__xludf.DUMMYFUNCTION("""COMPUTED_VALUE"""),14.600000000000001)</f>
        <v>14.6</v>
      </c>
    </row>
    <row r="2392">
      <c r="D2392" t="str">
        <f>IFERROR(__xludf.DUMMYFUNCTION("""COMPUTED_VALUE"""),"Albright")</f>
        <v>Albright</v>
      </c>
      <c r="E2392" t="str">
        <f>IFERROR(__xludf.DUMMYFUNCTION("""COMPUTED_VALUE"""),"Bryson")</f>
        <v>Bryson</v>
      </c>
      <c r="F2392" t="str">
        <f>IFERROR(__xludf.DUMMYFUNCTION("""COMPUTED_VALUE"""),"LOLB")</f>
        <v>LOLB</v>
      </c>
      <c r="G2392">
        <f>IFERROR(__xludf.DUMMYFUNCTION("""COMPUTED_VALUE"""),12.0)</f>
        <v>12</v>
      </c>
    </row>
    <row r="2393">
      <c r="D2393" t="str">
        <f>IFERROR(__xludf.DUMMYFUNCTION("""COMPUTED_VALUE"""),"Alexander")</f>
        <v>Alexander</v>
      </c>
      <c r="E2393" t="str">
        <f>IFERROR(__xludf.DUMMYFUNCTION("""COMPUTED_VALUE"""),"DJ")</f>
        <v>DJ</v>
      </c>
      <c r="F2393" t="str">
        <f>IFERROR(__xludf.DUMMYFUNCTION("""COMPUTED_VALUE"""),"MLB")</f>
        <v>MLB</v>
      </c>
      <c r="G2393">
        <f>IFERROR(__xludf.DUMMYFUNCTION("""COMPUTED_VALUE"""),13.200000000000001)</f>
        <v>13.2</v>
      </c>
    </row>
    <row r="2394">
      <c r="D2394" t="str">
        <f>IFERROR(__xludf.DUMMYFUNCTION("""COMPUTED_VALUE"""),"Alexander")</f>
        <v>Alexander</v>
      </c>
      <c r="E2394" t="str">
        <f>IFERROR(__xludf.DUMMYFUNCTION("""COMPUTED_VALUE"""),"Dominique")</f>
        <v>Dominique</v>
      </c>
      <c r="F2394" t="str">
        <f>IFERROR(__xludf.DUMMYFUNCTION("""COMPUTED_VALUE"""),"ROLB")</f>
        <v>ROLB</v>
      </c>
      <c r="G2394">
        <f>IFERROR(__xludf.DUMMYFUNCTION("""COMPUTED_VALUE"""),12.200000000000001)</f>
        <v>12.2</v>
      </c>
    </row>
    <row r="2395">
      <c r="D2395" t="str">
        <f>IFERROR(__xludf.DUMMYFUNCTION("""COMPUTED_VALUE"""),"Alexander")</f>
        <v>Alexander</v>
      </c>
      <c r="E2395" t="str">
        <f>IFERROR(__xludf.DUMMYFUNCTION("""COMPUTED_VALUE"""),"Kwon")</f>
        <v>Kwon</v>
      </c>
      <c r="F2395" t="str">
        <f>IFERROR(__xludf.DUMMYFUNCTION("""COMPUTED_VALUE"""),"MLB")</f>
        <v>MLB</v>
      </c>
      <c r="G2395">
        <f>IFERROR(__xludf.DUMMYFUNCTION("""COMPUTED_VALUE"""),16.0)</f>
        <v>16</v>
      </c>
    </row>
    <row r="2396">
      <c r="D2396" t="str">
        <f>IFERROR(__xludf.DUMMYFUNCTION("""COMPUTED_VALUE"""),"Alexander")</f>
        <v>Alexander</v>
      </c>
      <c r="E2396" t="str">
        <f>IFERROR(__xludf.DUMMYFUNCTION("""COMPUTED_VALUE"""),"Lorenzo")</f>
        <v>Lorenzo</v>
      </c>
      <c r="F2396" t="str">
        <f>IFERROR(__xludf.DUMMYFUNCTION("""COMPUTED_VALUE"""),"ROLB")</f>
        <v>ROLB</v>
      </c>
      <c r="G2396">
        <f>IFERROR(__xludf.DUMMYFUNCTION("""COMPUTED_VALUE"""),16.8)</f>
        <v>16.8</v>
      </c>
    </row>
    <row r="2397">
      <c r="D2397" t="str">
        <f>IFERROR(__xludf.DUMMYFUNCTION("""COMPUTED_VALUE"""),"Alexander")</f>
        <v>Alexander</v>
      </c>
      <c r="E2397" t="str">
        <f>IFERROR(__xludf.DUMMYFUNCTION("""COMPUTED_VALUE"""),"Mackensie")</f>
        <v>Mackensie</v>
      </c>
      <c r="F2397" t="str">
        <f>IFERROR(__xludf.DUMMYFUNCTION("""COMPUTED_VALUE"""),"CB")</f>
        <v>CB</v>
      </c>
      <c r="G2397">
        <f>IFERROR(__xludf.DUMMYFUNCTION("""COMPUTED_VALUE"""),14.600000000000001)</f>
        <v>14.6</v>
      </c>
    </row>
    <row r="2398">
      <c r="D2398" t="str">
        <f>IFERROR(__xludf.DUMMYFUNCTION("""COMPUTED_VALUE"""),"Alexander")</f>
        <v>Alexander</v>
      </c>
      <c r="E2398" t="str">
        <f>IFERROR(__xludf.DUMMYFUNCTION("""COMPUTED_VALUE"""),"Maurice")</f>
        <v>Maurice</v>
      </c>
      <c r="F2398" t="str">
        <f>IFERROR(__xludf.DUMMYFUNCTION("""COMPUTED_VALUE"""),"SS")</f>
        <v>SS</v>
      </c>
      <c r="G2398">
        <f>IFERROR(__xludf.DUMMYFUNCTION("""COMPUTED_VALUE"""),16.8)</f>
        <v>16.8</v>
      </c>
    </row>
    <row r="2399">
      <c r="D2399" t="str">
        <f>IFERROR(__xludf.DUMMYFUNCTION("""COMPUTED_VALUE"""),"Alexander")</f>
        <v>Alexander</v>
      </c>
      <c r="E2399" t="str">
        <f>IFERROR(__xludf.DUMMYFUNCTION("""COMPUTED_VALUE"""),"Vadal")</f>
        <v>Vadal</v>
      </c>
      <c r="F2399" t="str">
        <f>IFERROR(__xludf.DUMMYFUNCTION("""COMPUTED_VALUE"""),"RG")</f>
        <v>RG</v>
      </c>
      <c r="G2399">
        <f>IFERROR(__xludf.DUMMYFUNCTION("""COMPUTED_VALUE"""),13.4)</f>
        <v>13.4</v>
      </c>
    </row>
    <row r="2400">
      <c r="D2400" t="str">
        <f>IFERROR(__xludf.DUMMYFUNCTION("""COMPUTED_VALUE"""),"Alford")</f>
        <v>Alford</v>
      </c>
      <c r="E2400" t="str">
        <f>IFERROR(__xludf.DUMMYFUNCTION("""COMPUTED_VALUE"""),"Mario")</f>
        <v>Mario</v>
      </c>
      <c r="F2400" t="str">
        <f>IFERROR(__xludf.DUMMYFUNCTION("""COMPUTED_VALUE"""),"WR")</f>
        <v>WR</v>
      </c>
      <c r="G2400">
        <f>IFERROR(__xludf.DUMMYFUNCTION("""COMPUTED_VALUE"""),12.0)</f>
        <v>12</v>
      </c>
    </row>
    <row r="2401">
      <c r="D2401" t="str">
        <f>IFERROR(__xludf.DUMMYFUNCTION("""COMPUTED_VALUE"""),"Alford")</f>
        <v>Alford</v>
      </c>
      <c r="E2401" t="str">
        <f>IFERROR(__xludf.DUMMYFUNCTION("""COMPUTED_VALUE"""),"Robert")</f>
        <v>Robert</v>
      </c>
      <c r="F2401" t="str">
        <f>IFERROR(__xludf.DUMMYFUNCTION("""COMPUTED_VALUE"""),"CB")</f>
        <v>CB</v>
      </c>
      <c r="G2401">
        <f>IFERROR(__xludf.DUMMYFUNCTION("""COMPUTED_VALUE"""),16.0)</f>
        <v>16</v>
      </c>
    </row>
    <row r="2402">
      <c r="D2402" t="str">
        <f>IFERROR(__xludf.DUMMYFUNCTION("""COMPUTED_VALUE"""),"Allen")</f>
        <v>Allen</v>
      </c>
      <c r="E2402" t="str">
        <f>IFERROR(__xludf.DUMMYFUNCTION("""COMPUTED_VALUE"""),"Beau")</f>
        <v>Beau</v>
      </c>
      <c r="F2402" t="str">
        <f>IFERROR(__xludf.DUMMYFUNCTION("""COMPUTED_VALUE"""),"DT")</f>
        <v>DT</v>
      </c>
      <c r="G2402">
        <f>IFERROR(__xludf.DUMMYFUNCTION("""COMPUTED_VALUE"""),13.600000000000001)</f>
        <v>13.6</v>
      </c>
    </row>
    <row r="2403">
      <c r="D2403" t="str">
        <f>IFERROR(__xludf.DUMMYFUNCTION("""COMPUTED_VALUE"""),"Allen")</f>
        <v>Allen</v>
      </c>
      <c r="E2403" t="str">
        <f>IFERROR(__xludf.DUMMYFUNCTION("""COMPUTED_VALUE"""),"Brandon")</f>
        <v>Brandon</v>
      </c>
      <c r="F2403" t="str">
        <f>IFERROR(__xludf.DUMMYFUNCTION("""COMPUTED_VALUE"""),"QB")</f>
        <v>QB</v>
      </c>
      <c r="G2403">
        <f>IFERROR(__xludf.DUMMYFUNCTION("""COMPUTED_VALUE"""),12.600000000000001)</f>
        <v>12.6</v>
      </c>
    </row>
    <row r="2404">
      <c r="D2404" t="str">
        <f>IFERROR(__xludf.DUMMYFUNCTION("""COMPUTED_VALUE"""),"Allen")</f>
        <v>Allen</v>
      </c>
      <c r="E2404" t="str">
        <f>IFERROR(__xludf.DUMMYFUNCTION("""COMPUTED_VALUE"""),"Brian")</f>
        <v>Brian</v>
      </c>
      <c r="F2404" t="str">
        <f>IFERROR(__xludf.DUMMYFUNCTION("""COMPUTED_VALUE"""),"CB")</f>
        <v>CB</v>
      </c>
      <c r="G2404">
        <f>IFERROR(__xludf.DUMMYFUNCTION("""COMPUTED_VALUE"""),13.0)</f>
        <v>13</v>
      </c>
    </row>
    <row r="2405">
      <c r="D2405" t="str">
        <f>IFERROR(__xludf.DUMMYFUNCTION("""COMPUTED_VALUE"""),"Allen")</f>
        <v>Allen</v>
      </c>
      <c r="E2405" t="str">
        <f>IFERROR(__xludf.DUMMYFUNCTION("""COMPUTED_VALUE"""),"Dwayne")</f>
        <v>Dwayne</v>
      </c>
      <c r="F2405" t="str">
        <f>IFERROR(__xludf.DUMMYFUNCTION("""COMPUTED_VALUE"""),"TE")</f>
        <v>TE</v>
      </c>
      <c r="G2405">
        <f>IFERROR(__xludf.DUMMYFUNCTION("""COMPUTED_VALUE"""),16.0)</f>
        <v>16</v>
      </c>
    </row>
    <row r="2406">
      <c r="D2406" t="str">
        <f>IFERROR(__xludf.DUMMYFUNCTION("""COMPUTED_VALUE"""),"Allen")</f>
        <v>Allen</v>
      </c>
      <c r="E2406" t="str">
        <f>IFERROR(__xludf.DUMMYFUNCTION("""COMPUTED_VALUE"""),"Jack")</f>
        <v>Jack</v>
      </c>
      <c r="F2406" t="str">
        <f>IFERROR(__xludf.DUMMYFUNCTION("""COMPUTED_VALUE"""),"C")</f>
        <v>C</v>
      </c>
      <c r="G2406">
        <f>IFERROR(__xludf.DUMMYFUNCTION("""COMPUTED_VALUE"""),11.8)</f>
        <v>11.8</v>
      </c>
    </row>
    <row r="2407">
      <c r="D2407" t="str">
        <f>IFERROR(__xludf.DUMMYFUNCTION("""COMPUTED_VALUE"""),"Allen")</f>
        <v>Allen</v>
      </c>
      <c r="E2407" t="str">
        <f>IFERROR(__xludf.DUMMYFUNCTION("""COMPUTED_VALUE"""),"Javorius")</f>
        <v>Javorius</v>
      </c>
      <c r="F2407" t="str">
        <f>IFERROR(__xludf.DUMMYFUNCTION("""COMPUTED_VALUE"""),"HB")</f>
        <v>HB</v>
      </c>
      <c r="G2407">
        <f>IFERROR(__xludf.DUMMYFUNCTION("""COMPUTED_VALUE"""),14.4)</f>
        <v>14.4</v>
      </c>
    </row>
    <row r="2408">
      <c r="D2408" t="str">
        <f>IFERROR(__xludf.DUMMYFUNCTION("""COMPUTED_VALUE"""),"Allen")</f>
        <v>Allen</v>
      </c>
      <c r="E2408" t="str">
        <f>IFERROR(__xludf.DUMMYFUNCTION("""COMPUTED_VALUE"""),"Jeff")</f>
        <v>Jeff</v>
      </c>
      <c r="F2408" t="str">
        <f>IFERROR(__xludf.DUMMYFUNCTION("""COMPUTED_VALUE"""),"RG")</f>
        <v>RG</v>
      </c>
      <c r="G2408">
        <f>IFERROR(__xludf.DUMMYFUNCTION("""COMPUTED_VALUE"""),14.4)</f>
        <v>14.4</v>
      </c>
    </row>
    <row r="2409">
      <c r="D2409" t="str">
        <f>IFERROR(__xludf.DUMMYFUNCTION("""COMPUTED_VALUE"""),"Allen")</f>
        <v>Allen</v>
      </c>
      <c r="E2409" t="str">
        <f>IFERROR(__xludf.DUMMYFUNCTION("""COMPUTED_VALUE"""),"Jonathan")</f>
        <v>Jonathan</v>
      </c>
      <c r="F2409" t="str">
        <f>IFERROR(__xludf.DUMMYFUNCTION("""COMPUTED_VALUE"""),"LE")</f>
        <v>LE</v>
      </c>
      <c r="G2409">
        <f>IFERROR(__xludf.DUMMYFUNCTION("""COMPUTED_VALUE"""),14.600000000000001)</f>
        <v>14.6</v>
      </c>
    </row>
    <row r="2410">
      <c r="D2410" t="str">
        <f>IFERROR(__xludf.DUMMYFUNCTION("""COMPUTED_VALUE"""),"Allen")</f>
        <v>Allen</v>
      </c>
      <c r="E2410" t="str">
        <f>IFERROR(__xludf.DUMMYFUNCTION("""COMPUTED_VALUE"""),"Josh")</f>
        <v>Josh</v>
      </c>
      <c r="F2410" t="str">
        <f>IFERROR(__xludf.DUMMYFUNCTION("""COMPUTED_VALUE"""),"C")</f>
        <v>C</v>
      </c>
      <c r="G2410">
        <f>IFERROR(__xludf.DUMMYFUNCTION("""COMPUTED_VALUE"""),12.200000000000001)</f>
        <v>12.2</v>
      </c>
    </row>
    <row r="2411">
      <c r="D2411" t="str">
        <f>IFERROR(__xludf.DUMMYFUNCTION("""COMPUTED_VALUE"""),"Allen")</f>
        <v>Allen</v>
      </c>
      <c r="E2411" t="str">
        <f>IFERROR(__xludf.DUMMYFUNCTION("""COMPUTED_VALUE"""),"Keenan")</f>
        <v>Keenan</v>
      </c>
      <c r="F2411" t="str">
        <f>IFERROR(__xludf.DUMMYFUNCTION("""COMPUTED_VALUE"""),"WR")</f>
        <v>WR</v>
      </c>
      <c r="G2411">
        <f>IFERROR(__xludf.DUMMYFUNCTION("""COMPUTED_VALUE"""),17.8)</f>
        <v>17.8</v>
      </c>
    </row>
    <row r="2412">
      <c r="D2412" t="str">
        <f>IFERROR(__xludf.DUMMYFUNCTION("""COMPUTED_VALUE"""),"Allen")</f>
        <v>Allen</v>
      </c>
      <c r="E2412" t="str">
        <f>IFERROR(__xludf.DUMMYFUNCTION("""COMPUTED_VALUE"""),"Nate")</f>
        <v>Nate</v>
      </c>
      <c r="F2412" t="str">
        <f>IFERROR(__xludf.DUMMYFUNCTION("""COMPUTED_VALUE"""),"FS")</f>
        <v>FS</v>
      </c>
      <c r="G2412">
        <f>IFERROR(__xludf.DUMMYFUNCTION("""COMPUTED_VALUE"""),14.4)</f>
        <v>14.4</v>
      </c>
    </row>
    <row r="2413">
      <c r="D2413" t="str">
        <f>IFERROR(__xludf.DUMMYFUNCTION("""COMPUTED_VALUE"""),"Allen")</f>
        <v>Allen</v>
      </c>
      <c r="E2413" t="str">
        <f>IFERROR(__xludf.DUMMYFUNCTION("""COMPUTED_VALUE"""),"Ricardo")</f>
        <v>Ricardo</v>
      </c>
      <c r="F2413" t="str">
        <f>IFERROR(__xludf.DUMMYFUNCTION("""COMPUTED_VALUE"""),"FS")</f>
        <v>FS</v>
      </c>
      <c r="G2413">
        <f>IFERROR(__xludf.DUMMYFUNCTION("""COMPUTED_VALUE"""),16.2)</f>
        <v>16.2</v>
      </c>
    </row>
    <row r="2414">
      <c r="D2414" t="str">
        <f>IFERROR(__xludf.DUMMYFUNCTION("""COMPUTED_VALUE"""),"Allen")</f>
        <v>Allen</v>
      </c>
      <c r="E2414" t="str">
        <f>IFERROR(__xludf.DUMMYFUNCTION("""COMPUTED_VALUE"""),"Ryan")</f>
        <v>Ryan</v>
      </c>
      <c r="F2414" t="str">
        <f>IFERROR(__xludf.DUMMYFUNCTION("""COMPUTED_VALUE"""),"P")</f>
        <v>P</v>
      </c>
      <c r="G2414">
        <f>IFERROR(__xludf.DUMMYFUNCTION("""COMPUTED_VALUE"""),15.0)</f>
        <v>15</v>
      </c>
    </row>
    <row r="2415">
      <c r="D2415" t="str">
        <f>IFERROR(__xludf.DUMMYFUNCTION("""COMPUTED_VALUE"""),"Allison")</f>
        <v>Allison</v>
      </c>
      <c r="E2415" t="str">
        <f>IFERROR(__xludf.DUMMYFUNCTION("""COMPUTED_VALUE"""),"Geronimo")</f>
        <v>Geronimo</v>
      </c>
      <c r="F2415" t="str">
        <f>IFERROR(__xludf.DUMMYFUNCTION("""COMPUTED_VALUE"""),"WR")</f>
        <v>WR</v>
      </c>
      <c r="G2415">
        <f>IFERROR(__xludf.DUMMYFUNCTION("""COMPUTED_VALUE"""),13.4)</f>
        <v>13.4</v>
      </c>
    </row>
    <row r="2416">
      <c r="D2416" t="str">
        <f>IFERROR(__xludf.DUMMYFUNCTION("""COMPUTED_VALUE"""),"Alonso")</f>
        <v>Alonso</v>
      </c>
      <c r="E2416" t="str">
        <f>IFERROR(__xludf.DUMMYFUNCTION("""COMPUTED_VALUE"""),"Kiko")</f>
        <v>Kiko</v>
      </c>
      <c r="F2416" t="str">
        <f>IFERROR(__xludf.DUMMYFUNCTION("""COMPUTED_VALUE"""),"MLB")</f>
        <v>MLB</v>
      </c>
      <c r="G2416">
        <f>IFERROR(__xludf.DUMMYFUNCTION("""COMPUTED_VALUE"""),15.200000000000001)</f>
        <v>15.2</v>
      </c>
    </row>
    <row r="2417">
      <c r="D2417" t="str">
        <f>IFERROR(__xludf.DUMMYFUNCTION("""COMPUTED_VALUE"""),"Alualu")</f>
        <v>Alualu</v>
      </c>
      <c r="E2417" t="str">
        <f>IFERROR(__xludf.DUMMYFUNCTION("""COMPUTED_VALUE"""),"Tyson")</f>
        <v>Tyson</v>
      </c>
      <c r="F2417" t="str">
        <f>IFERROR(__xludf.DUMMYFUNCTION("""COMPUTED_VALUE"""),"LE")</f>
        <v>LE</v>
      </c>
      <c r="G2417">
        <f>IFERROR(__xludf.DUMMYFUNCTION("""COMPUTED_VALUE"""),14.600000000000001)</f>
        <v>14.6</v>
      </c>
    </row>
    <row r="2418">
      <c r="D2418" t="str">
        <f>IFERROR(__xludf.DUMMYFUNCTION("""COMPUTED_VALUE"""),"Amaro")</f>
        <v>Amaro</v>
      </c>
      <c r="E2418" t="str">
        <f>IFERROR(__xludf.DUMMYFUNCTION("""COMPUTED_VALUE"""),"Jace")</f>
        <v>Jace</v>
      </c>
      <c r="F2418" t="str">
        <f>IFERROR(__xludf.DUMMYFUNCTION("""COMPUTED_VALUE"""),"TE")</f>
        <v>TE</v>
      </c>
      <c r="G2418">
        <f>IFERROR(__xludf.DUMMYFUNCTION("""COMPUTED_VALUE"""),15.0)</f>
        <v>15</v>
      </c>
    </row>
    <row r="2419">
      <c r="D2419" t="str">
        <f>IFERROR(__xludf.DUMMYFUNCTION("""COMPUTED_VALUE"""),"Amendola")</f>
        <v>Amendola</v>
      </c>
      <c r="E2419" t="str">
        <f>IFERROR(__xludf.DUMMYFUNCTION("""COMPUTED_VALUE"""),"Danny")</f>
        <v>Danny</v>
      </c>
      <c r="F2419" t="str">
        <f>IFERROR(__xludf.DUMMYFUNCTION("""COMPUTED_VALUE"""),"WR")</f>
        <v>WR</v>
      </c>
      <c r="G2419">
        <f>IFERROR(__xludf.DUMMYFUNCTION("""COMPUTED_VALUE"""),15.600000000000001)</f>
        <v>15.6</v>
      </c>
    </row>
    <row r="2420">
      <c r="D2420" t="str">
        <f>IFERROR(__xludf.DUMMYFUNCTION("""COMPUTED_VALUE"""),"Amerson")</f>
        <v>Amerson</v>
      </c>
      <c r="E2420" t="str">
        <f>IFERROR(__xludf.DUMMYFUNCTION("""COMPUTED_VALUE"""),"David")</f>
        <v>David</v>
      </c>
      <c r="F2420" t="str">
        <f>IFERROR(__xludf.DUMMYFUNCTION("""COMPUTED_VALUE"""),"CB")</f>
        <v>CB</v>
      </c>
      <c r="G2420">
        <f>IFERROR(__xludf.DUMMYFUNCTION("""COMPUTED_VALUE"""),16.400000000000002)</f>
        <v>16.4</v>
      </c>
    </row>
    <row r="2421">
      <c r="D2421" t="str">
        <f>IFERROR(__xludf.DUMMYFUNCTION("""COMPUTED_VALUE"""),"Amichia")</f>
        <v>Amichia</v>
      </c>
      <c r="E2421" t="str">
        <f>IFERROR(__xludf.DUMMYFUNCTION("""COMPUTED_VALUE"""),"Kofi")</f>
        <v>Kofi</v>
      </c>
      <c r="F2421" t="str">
        <f>IFERROR(__xludf.DUMMYFUNCTION("""COMPUTED_VALUE"""),"C")</f>
        <v>C</v>
      </c>
      <c r="G2421">
        <f>IFERROR(__xludf.DUMMYFUNCTION("""COMPUTED_VALUE"""),13.200000000000001)</f>
        <v>13.2</v>
      </c>
    </row>
    <row r="2422">
      <c r="D2422" t="str">
        <f>IFERROR(__xludf.DUMMYFUNCTION("""COMPUTED_VALUE"""),"Amos")</f>
        <v>Amos</v>
      </c>
      <c r="E2422" t="str">
        <f>IFERROR(__xludf.DUMMYFUNCTION("""COMPUTED_VALUE"""),"Adrian")</f>
        <v>Adrian</v>
      </c>
      <c r="F2422" t="str">
        <f>IFERROR(__xludf.DUMMYFUNCTION("""COMPUTED_VALUE"""),"FS")</f>
        <v>FS</v>
      </c>
      <c r="G2422">
        <f>IFERROR(__xludf.DUMMYFUNCTION("""COMPUTED_VALUE"""),16.0)</f>
        <v>16</v>
      </c>
    </row>
    <row r="2423">
      <c r="D2423" t="str">
        <f>IFERROR(__xludf.DUMMYFUNCTION("""COMPUTED_VALUE"""),"Amukamara")</f>
        <v>Amukamara</v>
      </c>
      <c r="E2423" t="str">
        <f>IFERROR(__xludf.DUMMYFUNCTION("""COMPUTED_VALUE"""),"Prince")</f>
        <v>Prince</v>
      </c>
      <c r="F2423" t="str">
        <f>IFERROR(__xludf.DUMMYFUNCTION("""COMPUTED_VALUE"""),"CB")</f>
        <v>CB</v>
      </c>
      <c r="G2423">
        <f>IFERROR(__xludf.DUMMYFUNCTION("""COMPUTED_VALUE"""),16.2)</f>
        <v>16.2</v>
      </c>
    </row>
    <row r="2424">
      <c r="D2424" t="str">
        <f>IFERROR(__xludf.DUMMYFUNCTION("""COMPUTED_VALUE"""),"Anderson")</f>
        <v>Anderson</v>
      </c>
      <c r="E2424" t="str">
        <f>IFERROR(__xludf.DUMMYFUNCTION("""COMPUTED_VALUE"""),"CJ")</f>
        <v>CJ</v>
      </c>
      <c r="F2424" t="str">
        <f>IFERROR(__xludf.DUMMYFUNCTION("""COMPUTED_VALUE"""),"HB")</f>
        <v>HB</v>
      </c>
      <c r="G2424">
        <f>IFERROR(__xludf.DUMMYFUNCTION("""COMPUTED_VALUE"""),17.0)</f>
        <v>17</v>
      </c>
    </row>
    <row r="2425">
      <c r="D2425" t="str">
        <f>IFERROR(__xludf.DUMMYFUNCTION("""COMPUTED_VALUE"""),"Anderson")</f>
        <v>Anderson</v>
      </c>
      <c r="E2425" t="str">
        <f>IFERROR(__xludf.DUMMYFUNCTION("""COMPUTED_VALUE"""),"Colt")</f>
        <v>Colt</v>
      </c>
      <c r="F2425" t="str">
        <f>IFERROR(__xludf.DUMMYFUNCTION("""COMPUTED_VALUE"""),"FS")</f>
        <v>FS</v>
      </c>
      <c r="G2425">
        <f>IFERROR(__xludf.DUMMYFUNCTION("""COMPUTED_VALUE"""),13.8)</f>
        <v>13.8</v>
      </c>
    </row>
    <row r="2426">
      <c r="D2426" t="str">
        <f>IFERROR(__xludf.DUMMYFUNCTION("""COMPUTED_VALUE"""),"Anderson")</f>
        <v>Anderson</v>
      </c>
      <c r="E2426" t="str">
        <f>IFERROR(__xludf.DUMMYFUNCTION("""COMPUTED_VALUE"""),"Derek")</f>
        <v>Derek</v>
      </c>
      <c r="F2426" t="str">
        <f>IFERROR(__xludf.DUMMYFUNCTION("""COMPUTED_VALUE"""),"QB")</f>
        <v>QB</v>
      </c>
      <c r="G2426">
        <f>IFERROR(__xludf.DUMMYFUNCTION("""COMPUTED_VALUE"""),13.8)</f>
        <v>13.8</v>
      </c>
    </row>
    <row r="2427">
      <c r="D2427" t="str">
        <f>IFERROR(__xludf.DUMMYFUNCTION("""COMPUTED_VALUE"""),"Anderson")</f>
        <v>Anderson</v>
      </c>
      <c r="E2427" t="str">
        <f>IFERROR(__xludf.DUMMYFUNCTION("""COMPUTED_VALUE"""),"Dres")</f>
        <v>Dres</v>
      </c>
      <c r="F2427" t="str">
        <f>IFERROR(__xludf.DUMMYFUNCTION("""COMPUTED_VALUE"""),"WR")</f>
        <v>WR</v>
      </c>
      <c r="G2427">
        <f>IFERROR(__xludf.DUMMYFUNCTION("""COMPUTED_VALUE"""),12.4)</f>
        <v>12.4</v>
      </c>
    </row>
    <row r="2428">
      <c r="D2428" t="str">
        <f>IFERROR(__xludf.DUMMYFUNCTION("""COMPUTED_VALUE"""),"Anderson")</f>
        <v>Anderson</v>
      </c>
      <c r="E2428" t="str">
        <f>IFERROR(__xludf.DUMMYFUNCTION("""COMPUTED_VALUE"""),"Henry")</f>
        <v>Henry</v>
      </c>
      <c r="F2428" t="str">
        <f>IFERROR(__xludf.DUMMYFUNCTION("""COMPUTED_VALUE"""),"LE")</f>
        <v>LE</v>
      </c>
      <c r="G2428">
        <f>IFERROR(__xludf.DUMMYFUNCTION("""COMPUTED_VALUE"""),15.200000000000001)</f>
        <v>15.2</v>
      </c>
    </row>
    <row r="2429">
      <c r="D2429" t="str">
        <f>IFERROR(__xludf.DUMMYFUNCTION("""COMPUTED_VALUE"""),"Anderson")</f>
        <v>Anderson</v>
      </c>
      <c r="E2429" t="str">
        <f>IFERROR(__xludf.DUMMYFUNCTION("""COMPUTED_VALUE"""),"Jonathan")</f>
        <v>Jonathan</v>
      </c>
      <c r="F2429" t="str">
        <f>IFERROR(__xludf.DUMMYFUNCTION("""COMPUTED_VALUE"""),"MLB")</f>
        <v>MLB</v>
      </c>
      <c r="G2429">
        <f>IFERROR(__xludf.DUMMYFUNCTION("""COMPUTED_VALUE"""),13.200000000000001)</f>
        <v>13.2</v>
      </c>
    </row>
    <row r="2430">
      <c r="D2430" t="str">
        <f>IFERROR(__xludf.DUMMYFUNCTION("""COMPUTED_VALUE"""),"Anderson")</f>
        <v>Anderson</v>
      </c>
      <c r="E2430" t="str">
        <f>IFERROR(__xludf.DUMMYFUNCTION("""COMPUTED_VALUE"""),"Robby")</f>
        <v>Robby</v>
      </c>
      <c r="F2430" t="str">
        <f>IFERROR(__xludf.DUMMYFUNCTION("""COMPUTED_VALUE"""),"WR")</f>
        <v>WR</v>
      </c>
      <c r="G2430">
        <f>IFERROR(__xludf.DUMMYFUNCTION("""COMPUTED_VALUE"""),14.8)</f>
        <v>14.8</v>
      </c>
    </row>
    <row r="2431">
      <c r="D2431" t="str">
        <f>IFERROR(__xludf.DUMMYFUNCTION("""COMPUTED_VALUE"""),"Anderson")</f>
        <v>Anderson</v>
      </c>
      <c r="E2431" t="str">
        <f>IFERROR(__xludf.DUMMYFUNCTION("""COMPUTED_VALUE"""),"Ryan")</f>
        <v>Ryan</v>
      </c>
      <c r="F2431" t="str">
        <f>IFERROR(__xludf.DUMMYFUNCTION("""COMPUTED_VALUE"""),"LOLB")</f>
        <v>LOLB</v>
      </c>
      <c r="G2431">
        <f>IFERROR(__xludf.DUMMYFUNCTION("""COMPUTED_VALUE"""),14.600000000000001)</f>
        <v>14.6</v>
      </c>
    </row>
    <row r="2432">
      <c r="D2432" t="str">
        <f>IFERROR(__xludf.DUMMYFUNCTION("""COMPUTED_VALUE"""),"Anderson")</f>
        <v>Anderson</v>
      </c>
      <c r="E2432" t="str">
        <f>IFERROR(__xludf.DUMMYFUNCTION("""COMPUTED_VALUE"""),"Stephen")</f>
        <v>Stephen</v>
      </c>
      <c r="F2432" t="str">
        <f>IFERROR(__xludf.DUMMYFUNCTION("""COMPUTED_VALUE"""),"TE")</f>
        <v>TE</v>
      </c>
      <c r="G2432">
        <f>IFERROR(__xludf.DUMMYFUNCTION("""COMPUTED_VALUE"""),13.0)</f>
        <v>13</v>
      </c>
    </row>
    <row r="2433">
      <c r="D2433" t="str">
        <f>IFERROR(__xludf.DUMMYFUNCTION("""COMPUTED_VALUE"""),"Anderson")</f>
        <v>Anderson</v>
      </c>
      <c r="E2433" t="str">
        <f>IFERROR(__xludf.DUMMYFUNCTION("""COMPUTED_VALUE"""),"Zaire")</f>
        <v>Zaire</v>
      </c>
      <c r="F2433" t="str">
        <f>IFERROR(__xludf.DUMMYFUNCTION("""COMPUTED_VALUE"""),"MLB")</f>
        <v>MLB</v>
      </c>
      <c r="G2433">
        <f>IFERROR(__xludf.DUMMYFUNCTION("""COMPUTED_VALUE"""),12.0)</f>
        <v>12</v>
      </c>
    </row>
    <row r="2434">
      <c r="D2434" t="str">
        <f>IFERROR(__xludf.DUMMYFUNCTION("""COMPUTED_VALUE"""),"Andrews")</f>
        <v>Andrews</v>
      </c>
      <c r="E2434" t="str">
        <f>IFERROR(__xludf.DUMMYFUNCTION("""COMPUTED_VALUE"""),"David")</f>
        <v>David</v>
      </c>
      <c r="F2434" t="str">
        <f>IFERROR(__xludf.DUMMYFUNCTION("""COMPUTED_VALUE"""),"C")</f>
        <v>C</v>
      </c>
      <c r="G2434">
        <f>IFERROR(__xludf.DUMMYFUNCTION("""COMPUTED_VALUE"""),15.600000000000001)</f>
        <v>15.6</v>
      </c>
    </row>
    <row r="2435">
      <c r="D2435" t="str">
        <f>IFERROR(__xludf.DUMMYFUNCTION("""COMPUTED_VALUE"""),"Andrews")</f>
        <v>Andrews</v>
      </c>
      <c r="E2435" t="str">
        <f>IFERROR(__xludf.DUMMYFUNCTION("""COMPUTED_VALUE"""),"Josh")</f>
        <v>Josh</v>
      </c>
      <c r="F2435" t="str">
        <f>IFERROR(__xludf.DUMMYFUNCTION("""COMPUTED_VALUE"""),"C")</f>
        <v>C</v>
      </c>
      <c r="G2435">
        <f>IFERROR(__xludf.DUMMYFUNCTION("""COMPUTED_VALUE"""),12.200000000000001)</f>
        <v>12.2</v>
      </c>
    </row>
    <row r="2436">
      <c r="D2436" t="str">
        <f>IFERROR(__xludf.DUMMYFUNCTION("""COMPUTED_VALUE"""),"Anger")</f>
        <v>Anger</v>
      </c>
      <c r="E2436" t="str">
        <f>IFERROR(__xludf.DUMMYFUNCTION("""COMPUTED_VALUE"""),"Bryan")</f>
        <v>Bryan</v>
      </c>
      <c r="F2436" t="str">
        <f>IFERROR(__xludf.DUMMYFUNCTION("""COMPUTED_VALUE"""),"P")</f>
        <v>P</v>
      </c>
      <c r="G2436">
        <f>IFERROR(__xludf.DUMMYFUNCTION("""COMPUTED_VALUE"""),17.0)</f>
        <v>17</v>
      </c>
    </row>
    <row r="2437">
      <c r="D2437" t="str">
        <f>IFERROR(__xludf.DUMMYFUNCTION("""COMPUTED_VALUE"""),"Ansah")</f>
        <v>Ansah</v>
      </c>
      <c r="E2437" t="str">
        <f>IFERROR(__xludf.DUMMYFUNCTION("""COMPUTED_VALUE"""),"Ezekiel")</f>
        <v>Ezekiel</v>
      </c>
      <c r="F2437" t="str">
        <f>IFERROR(__xludf.DUMMYFUNCTION("""COMPUTED_VALUE"""),"RE")</f>
        <v>RE</v>
      </c>
      <c r="G2437">
        <f>IFERROR(__xludf.DUMMYFUNCTION("""COMPUTED_VALUE"""),16.8)</f>
        <v>16.8</v>
      </c>
    </row>
    <row r="2438">
      <c r="D2438" t="str">
        <f>IFERROR(__xludf.DUMMYFUNCTION("""COMPUTED_VALUE"""),"Anthony")</f>
        <v>Anthony</v>
      </c>
      <c r="E2438" t="str">
        <f>IFERROR(__xludf.DUMMYFUNCTION("""COMPUTED_VALUE"""),"Stephone")</f>
        <v>Stephone</v>
      </c>
      <c r="F2438" t="str">
        <f>IFERROR(__xludf.DUMMYFUNCTION("""COMPUTED_VALUE"""),"LOLB")</f>
        <v>LOLB</v>
      </c>
      <c r="G2438">
        <f>IFERROR(__xludf.DUMMYFUNCTION("""COMPUTED_VALUE"""),14.4)</f>
        <v>14.4</v>
      </c>
    </row>
    <row r="2439">
      <c r="D2439" t="str">
        <f>IFERROR(__xludf.DUMMYFUNCTION("""COMPUTED_VALUE"""),"Anzalone")</f>
        <v>Anzalone</v>
      </c>
      <c r="E2439" t="str">
        <f>IFERROR(__xludf.DUMMYFUNCTION("""COMPUTED_VALUE"""),"Alex")</f>
        <v>Alex</v>
      </c>
      <c r="F2439" t="str">
        <f>IFERROR(__xludf.DUMMYFUNCTION("""COMPUTED_VALUE"""),"ROLB")</f>
        <v>ROLB</v>
      </c>
      <c r="G2439">
        <f>IFERROR(__xludf.DUMMYFUNCTION("""COMPUTED_VALUE"""),13.600000000000001)</f>
        <v>13.6</v>
      </c>
    </row>
    <row r="2440">
      <c r="D2440" t="str">
        <f>IFERROR(__xludf.DUMMYFUNCTION("""COMPUTED_VALUE"""),"Apple")</f>
        <v>Apple</v>
      </c>
      <c r="E2440" t="str">
        <f>IFERROR(__xludf.DUMMYFUNCTION("""COMPUTED_VALUE"""),"Eli")</f>
        <v>Eli</v>
      </c>
      <c r="F2440" t="str">
        <f>IFERROR(__xludf.DUMMYFUNCTION("""COMPUTED_VALUE"""),"CB")</f>
        <v>CB</v>
      </c>
      <c r="G2440">
        <f>IFERROR(__xludf.DUMMYFUNCTION("""COMPUTED_VALUE"""),15.4)</f>
        <v>15.4</v>
      </c>
    </row>
    <row r="2441">
      <c r="D2441" t="str">
        <f>IFERROR(__xludf.DUMMYFUNCTION("""COMPUTED_VALUE"""),"Armah")</f>
        <v>Armah</v>
      </c>
      <c r="E2441" t="str">
        <f>IFERROR(__xludf.DUMMYFUNCTION("""COMPUTED_VALUE"""),"Alex")</f>
        <v>Alex</v>
      </c>
      <c r="F2441" t="str">
        <f>IFERROR(__xludf.DUMMYFUNCTION("""COMPUTED_VALUE"""),"FB")</f>
        <v>FB</v>
      </c>
      <c r="G2441">
        <f>IFERROR(__xludf.DUMMYFUNCTION("""COMPUTED_VALUE"""),14.4)</f>
        <v>14.4</v>
      </c>
    </row>
    <row r="2442">
      <c r="D2442" t="str">
        <f>IFERROR(__xludf.DUMMYFUNCTION("""COMPUTED_VALUE"""),"Armbrister")</f>
        <v>Armbrister</v>
      </c>
      <c r="E2442" t="str">
        <f>IFERROR(__xludf.DUMMYFUNCTION("""COMPUTED_VALUE"""),"Thurston")</f>
        <v>Thurston</v>
      </c>
      <c r="F2442" t="str">
        <f>IFERROR(__xludf.DUMMYFUNCTION("""COMPUTED_VALUE"""),"ROLB")</f>
        <v>ROLB</v>
      </c>
      <c r="G2442">
        <f>IFERROR(__xludf.DUMMYFUNCTION("""COMPUTED_VALUE"""),12.200000000000001)</f>
        <v>12.2</v>
      </c>
    </row>
    <row r="2443">
      <c r="D2443" t="str">
        <f>IFERROR(__xludf.DUMMYFUNCTION("""COMPUTED_VALUE"""),"Armstead")</f>
        <v>Armstead</v>
      </c>
      <c r="E2443" t="str">
        <f>IFERROR(__xludf.DUMMYFUNCTION("""COMPUTED_VALUE"""),"Arik")</f>
        <v>Arik</v>
      </c>
      <c r="F2443" t="str">
        <f>IFERROR(__xludf.DUMMYFUNCTION("""COMPUTED_VALUE"""),"RE")</f>
        <v>RE</v>
      </c>
      <c r="G2443">
        <f>IFERROR(__xludf.DUMMYFUNCTION("""COMPUTED_VALUE"""),15.0)</f>
        <v>15</v>
      </c>
    </row>
    <row r="2444">
      <c r="D2444" t="str">
        <f>IFERROR(__xludf.DUMMYFUNCTION("""COMPUTED_VALUE"""),"Armstead")</f>
        <v>Armstead</v>
      </c>
      <c r="E2444" t="str">
        <f>IFERROR(__xludf.DUMMYFUNCTION("""COMPUTED_VALUE"""),"Terron")</f>
        <v>Terron</v>
      </c>
      <c r="F2444" t="str">
        <f>IFERROR(__xludf.DUMMYFUNCTION("""COMPUTED_VALUE"""),"LT")</f>
        <v>LT</v>
      </c>
      <c r="G2444">
        <f>IFERROR(__xludf.DUMMYFUNCTION("""COMPUTED_VALUE"""),17.0)</f>
        <v>17</v>
      </c>
    </row>
    <row r="2445">
      <c r="D2445" t="str">
        <f>IFERROR(__xludf.DUMMYFUNCTION("""COMPUTED_VALUE"""),"Armstrong")</f>
        <v>Armstrong</v>
      </c>
      <c r="E2445" t="str">
        <f>IFERROR(__xludf.DUMMYFUNCTION("""COMPUTED_VALUE"""),"Ray-Ray")</f>
        <v>Ray-Ray</v>
      </c>
      <c r="F2445" t="str">
        <f>IFERROR(__xludf.DUMMYFUNCTION("""COMPUTED_VALUE"""),"LOLB")</f>
        <v>LOLB</v>
      </c>
      <c r="G2445">
        <f>IFERROR(__xludf.DUMMYFUNCTION("""COMPUTED_VALUE"""),14.600000000000001)</f>
        <v>14.6</v>
      </c>
    </row>
    <row r="2446">
      <c r="D2446" t="str">
        <f>IFERROR(__xludf.DUMMYFUNCTION("""COMPUTED_VALUE"""),"Artis-Payne")</f>
        <v>Artis-Payne</v>
      </c>
      <c r="E2446" t="str">
        <f>IFERROR(__xludf.DUMMYFUNCTION("""COMPUTED_VALUE"""),"Cameron")</f>
        <v>Cameron</v>
      </c>
      <c r="F2446" t="str">
        <f>IFERROR(__xludf.DUMMYFUNCTION("""COMPUTED_VALUE"""),"HB")</f>
        <v>HB</v>
      </c>
      <c r="G2446">
        <f>IFERROR(__xludf.DUMMYFUNCTION("""COMPUTED_VALUE"""),13.600000000000001)</f>
        <v>13.6</v>
      </c>
    </row>
    <row r="2447">
      <c r="D2447" t="str">
        <f>IFERROR(__xludf.DUMMYFUNCTION("""COMPUTED_VALUE"""),"Ash")</f>
        <v>Ash</v>
      </c>
      <c r="E2447" t="str">
        <f>IFERROR(__xludf.DUMMYFUNCTION("""COMPUTED_VALUE"""),"Richard")</f>
        <v>Richard</v>
      </c>
      <c r="F2447" t="str">
        <f>IFERROR(__xludf.DUMMYFUNCTION("""COMPUTED_VALUE"""),"DT")</f>
        <v>DT</v>
      </c>
      <c r="G2447">
        <f>IFERROR(__xludf.DUMMYFUNCTION("""COMPUTED_VALUE"""),12.600000000000001)</f>
        <v>12.6</v>
      </c>
    </row>
    <row r="2448">
      <c r="D2448" t="str">
        <f>IFERROR(__xludf.DUMMYFUNCTION("""COMPUTED_VALUE"""),"Asiata")</f>
        <v>Asiata</v>
      </c>
      <c r="E2448" t="str">
        <f>IFERROR(__xludf.DUMMYFUNCTION("""COMPUTED_VALUE"""),"Isaac")</f>
        <v>Isaac</v>
      </c>
      <c r="F2448" t="str">
        <f>IFERROR(__xludf.DUMMYFUNCTION("""COMPUTED_VALUE"""),"LG")</f>
        <v>LG</v>
      </c>
      <c r="G2448">
        <f>IFERROR(__xludf.DUMMYFUNCTION("""COMPUTED_VALUE"""),13.600000000000001)</f>
        <v>13.6</v>
      </c>
    </row>
    <row r="2449">
      <c r="D2449" t="str">
        <f>IFERROR(__xludf.DUMMYFUNCTION("""COMPUTED_VALUE"""),"Asiata")</f>
        <v>Asiata</v>
      </c>
      <c r="E2449" t="str">
        <f>IFERROR(__xludf.DUMMYFUNCTION("""COMPUTED_VALUE"""),"Matt")</f>
        <v>Matt</v>
      </c>
      <c r="F2449" t="str">
        <f>IFERROR(__xludf.DUMMYFUNCTION("""COMPUTED_VALUE"""),"HB")</f>
        <v>HB</v>
      </c>
      <c r="G2449">
        <f>IFERROR(__xludf.DUMMYFUNCTION("""COMPUTED_VALUE"""),15.0)</f>
        <v>15</v>
      </c>
    </row>
    <row r="2450">
      <c r="D2450" t="str">
        <f>IFERROR(__xludf.DUMMYFUNCTION("""COMPUTED_VALUE"""),"Atkins")</f>
        <v>Atkins</v>
      </c>
      <c r="E2450" t="str">
        <f>IFERROR(__xludf.DUMMYFUNCTION("""COMPUTED_VALUE"""),"Geno")</f>
        <v>Geno</v>
      </c>
      <c r="F2450" t="str">
        <f>IFERROR(__xludf.DUMMYFUNCTION("""COMPUTED_VALUE"""),"DT")</f>
        <v>DT</v>
      </c>
      <c r="G2450">
        <f>IFERROR(__xludf.DUMMYFUNCTION("""COMPUTED_VALUE"""),18.2)</f>
        <v>18.2</v>
      </c>
    </row>
    <row r="2451">
      <c r="D2451" t="str">
        <f>IFERROR(__xludf.DUMMYFUNCTION("""COMPUTED_VALUE"""),"Atkinson III")</f>
        <v>Atkinson III</v>
      </c>
      <c r="E2451" t="str">
        <f>IFERROR(__xludf.DUMMYFUNCTION("""COMPUTED_VALUE"""),"George")</f>
        <v>George</v>
      </c>
      <c r="F2451" t="str">
        <f>IFERROR(__xludf.DUMMYFUNCTION("""COMPUTED_VALUE"""),"HB")</f>
        <v>HB</v>
      </c>
      <c r="G2451">
        <f>IFERROR(__xludf.DUMMYFUNCTION("""COMPUTED_VALUE"""),12.600000000000001)</f>
        <v>12.6</v>
      </c>
    </row>
    <row r="2452">
      <c r="D2452" t="str">
        <f>IFERROR(__xludf.DUMMYFUNCTION("""COMPUTED_VALUE"""),"Attaochu")</f>
        <v>Attaochu</v>
      </c>
      <c r="E2452" t="str">
        <f>IFERROR(__xludf.DUMMYFUNCTION("""COMPUTED_VALUE"""),"Jeremiah")</f>
        <v>Jeremiah</v>
      </c>
      <c r="F2452" t="str">
        <f>IFERROR(__xludf.DUMMYFUNCTION("""COMPUTED_VALUE"""),"ROLB")</f>
        <v>ROLB</v>
      </c>
      <c r="G2452">
        <f>IFERROR(__xludf.DUMMYFUNCTION("""COMPUTED_VALUE"""),16.0)</f>
        <v>16</v>
      </c>
    </row>
    <row r="2453">
      <c r="D2453" t="str">
        <f>IFERROR(__xludf.DUMMYFUNCTION("""COMPUTED_VALUE"""),"Austell")</f>
        <v>Austell</v>
      </c>
      <c r="E2453" t="str">
        <f>IFERROR(__xludf.DUMMYFUNCTION("""COMPUTED_VALUE"""),"Erik")</f>
        <v>Erik</v>
      </c>
      <c r="F2453" t="str">
        <f>IFERROR(__xludf.DUMMYFUNCTION("""COMPUTED_VALUE"""),"C")</f>
        <v>C</v>
      </c>
      <c r="G2453">
        <f>IFERROR(__xludf.DUMMYFUNCTION("""COMPUTED_VALUE"""),12.0)</f>
        <v>12</v>
      </c>
    </row>
    <row r="2454">
      <c r="D2454" t="str">
        <f>IFERROR(__xludf.DUMMYFUNCTION("""COMPUTED_VALUE"""),"Austin")</f>
        <v>Austin</v>
      </c>
      <c r="E2454" t="str">
        <f>IFERROR(__xludf.DUMMYFUNCTION("""COMPUTED_VALUE"""),"Tavon")</f>
        <v>Tavon</v>
      </c>
      <c r="F2454" t="str">
        <f>IFERROR(__xludf.DUMMYFUNCTION("""COMPUTED_VALUE"""),"WR")</f>
        <v>WR</v>
      </c>
      <c r="G2454">
        <f>IFERROR(__xludf.DUMMYFUNCTION("""COMPUTED_VALUE"""),16.2)</f>
        <v>16.2</v>
      </c>
    </row>
    <row r="2455">
      <c r="D2455" t="str">
        <f>IFERROR(__xludf.DUMMYFUNCTION("""COMPUTED_VALUE"""),"Autry")</f>
        <v>Autry</v>
      </c>
      <c r="E2455" t="str">
        <f>IFERROR(__xludf.DUMMYFUNCTION("""COMPUTED_VALUE"""),"Denico")</f>
        <v>Denico</v>
      </c>
      <c r="F2455" t="str">
        <f>IFERROR(__xludf.DUMMYFUNCTION("""COMPUTED_VALUE"""),"RE")</f>
        <v>RE</v>
      </c>
      <c r="G2455">
        <f>IFERROR(__xludf.DUMMYFUNCTION("""COMPUTED_VALUE"""),13.0)</f>
        <v>13</v>
      </c>
    </row>
    <row r="2456">
      <c r="D2456" t="str">
        <f>IFERROR(__xludf.DUMMYFUNCTION("""COMPUTED_VALUE"""),"Avril")</f>
        <v>Avril</v>
      </c>
      <c r="E2456" t="str">
        <f>IFERROR(__xludf.DUMMYFUNCTION("""COMPUTED_VALUE"""),"Cliff")</f>
        <v>Cliff</v>
      </c>
      <c r="F2456" t="str">
        <f>IFERROR(__xludf.DUMMYFUNCTION("""COMPUTED_VALUE"""),"RE")</f>
        <v>RE</v>
      </c>
      <c r="G2456">
        <f>IFERROR(__xludf.DUMMYFUNCTION("""COMPUTED_VALUE"""),17.2)</f>
        <v>17.2</v>
      </c>
    </row>
    <row r="2457">
      <c r="D2457" t="str">
        <f>IFERROR(__xludf.DUMMYFUNCTION("""COMPUTED_VALUE"""),"Awuzie")</f>
        <v>Awuzie</v>
      </c>
      <c r="E2457" t="str">
        <f>IFERROR(__xludf.DUMMYFUNCTION("""COMPUTED_VALUE"""),"Chidobe")</f>
        <v>Chidobe</v>
      </c>
      <c r="F2457" t="str">
        <f>IFERROR(__xludf.DUMMYFUNCTION("""COMPUTED_VALUE"""),"CB")</f>
        <v>CB</v>
      </c>
      <c r="G2457">
        <f>IFERROR(__xludf.DUMMYFUNCTION("""COMPUTED_VALUE"""),15.200000000000001)</f>
        <v>15.2</v>
      </c>
    </row>
    <row r="2458">
      <c r="D2458" t="str">
        <f>IFERROR(__xludf.DUMMYFUNCTION("""COMPUTED_VALUE"""),"Ayers")</f>
        <v>Ayers</v>
      </c>
      <c r="E2458" t="str">
        <f>IFERROR(__xludf.DUMMYFUNCTION("""COMPUTED_VALUE"""),"Akeem")</f>
        <v>Akeem</v>
      </c>
      <c r="F2458" t="str">
        <f>IFERROR(__xludf.DUMMYFUNCTION("""COMPUTED_VALUE"""),"ROLB")</f>
        <v>ROLB</v>
      </c>
      <c r="G2458">
        <f>IFERROR(__xludf.DUMMYFUNCTION("""COMPUTED_VALUE"""),15.200000000000001)</f>
        <v>15.2</v>
      </c>
    </row>
    <row r="2459">
      <c r="D2459" t="str">
        <f>IFERROR(__xludf.DUMMYFUNCTION("""COMPUTED_VALUE"""),"Ayers")</f>
        <v>Ayers</v>
      </c>
      <c r="E2459" t="str">
        <f>IFERROR(__xludf.DUMMYFUNCTION("""COMPUTED_VALUE"""),"Demarcus")</f>
        <v>Demarcus</v>
      </c>
      <c r="F2459" t="str">
        <f>IFERROR(__xludf.DUMMYFUNCTION("""COMPUTED_VALUE"""),"WR")</f>
        <v>WR</v>
      </c>
      <c r="G2459">
        <f>IFERROR(__xludf.DUMMYFUNCTION("""COMPUTED_VALUE"""),12.4)</f>
        <v>12.4</v>
      </c>
    </row>
    <row r="2460">
      <c r="D2460" t="str">
        <f>IFERROR(__xludf.DUMMYFUNCTION("""COMPUTED_VALUE"""),"Ayers Jr")</f>
        <v>Ayers Jr</v>
      </c>
      <c r="E2460" t="str">
        <f>IFERROR(__xludf.DUMMYFUNCTION("""COMPUTED_VALUE"""),"Robert")</f>
        <v>Robert</v>
      </c>
      <c r="F2460" t="str">
        <f>IFERROR(__xludf.DUMMYFUNCTION("""COMPUTED_VALUE"""),"RE")</f>
        <v>RE</v>
      </c>
      <c r="G2460">
        <f>IFERROR(__xludf.DUMMYFUNCTION("""COMPUTED_VALUE"""),16.0)</f>
        <v>16</v>
      </c>
    </row>
    <row r="2461">
      <c r="D2461" t="str">
        <f>IFERROR(__xludf.DUMMYFUNCTION("""COMPUTED_VALUE"""),"Bademosi")</f>
        <v>Bademosi</v>
      </c>
      <c r="E2461" t="str">
        <f>IFERROR(__xludf.DUMMYFUNCTION("""COMPUTED_VALUE"""),"Johnson")</f>
        <v>Johnson</v>
      </c>
      <c r="F2461" t="str">
        <f>IFERROR(__xludf.DUMMYFUNCTION("""COMPUTED_VALUE"""),"CB")</f>
        <v>CB</v>
      </c>
      <c r="G2461">
        <f>IFERROR(__xludf.DUMMYFUNCTION("""COMPUTED_VALUE"""),13.8)</f>
        <v>13.8</v>
      </c>
    </row>
    <row r="2462">
      <c r="D2462" t="str">
        <f>IFERROR(__xludf.DUMMYFUNCTION("""COMPUTED_VALUE"""),"Bailey")</f>
        <v>Bailey</v>
      </c>
      <c r="E2462" t="str">
        <f>IFERROR(__xludf.DUMMYFUNCTION("""COMPUTED_VALUE"""),"Allen")</f>
        <v>Allen</v>
      </c>
      <c r="F2462" t="str">
        <f>IFERROR(__xludf.DUMMYFUNCTION("""COMPUTED_VALUE"""),"RE")</f>
        <v>RE</v>
      </c>
      <c r="G2462">
        <f>IFERROR(__xludf.DUMMYFUNCTION("""COMPUTED_VALUE"""),15.4)</f>
        <v>15.4</v>
      </c>
    </row>
    <row r="2463">
      <c r="D2463" t="str">
        <f>IFERROR(__xludf.DUMMYFUNCTION("""COMPUTED_VALUE"""),"Bailey")</f>
        <v>Bailey</v>
      </c>
      <c r="E2463" t="str">
        <f>IFERROR(__xludf.DUMMYFUNCTION("""COMPUTED_VALUE"""),"Dan")</f>
        <v>Dan</v>
      </c>
      <c r="F2463" t="str">
        <f>IFERROR(__xludf.DUMMYFUNCTION("""COMPUTED_VALUE"""),"K")</f>
        <v>K</v>
      </c>
      <c r="G2463">
        <f>IFERROR(__xludf.DUMMYFUNCTION("""COMPUTED_VALUE"""),16.8)</f>
        <v>16.8</v>
      </c>
    </row>
    <row r="2464">
      <c r="D2464" t="str">
        <f>IFERROR(__xludf.DUMMYFUNCTION("""COMPUTED_VALUE"""),"Bailey")</f>
        <v>Bailey</v>
      </c>
      <c r="E2464" t="str">
        <f>IFERROR(__xludf.DUMMYFUNCTION("""COMPUTED_VALUE"""),"Sterling")</f>
        <v>Sterling</v>
      </c>
      <c r="F2464" t="str">
        <f>IFERROR(__xludf.DUMMYFUNCTION("""COMPUTED_VALUE"""),"RE")</f>
        <v>RE</v>
      </c>
      <c r="G2464">
        <f>IFERROR(__xludf.DUMMYFUNCTION("""COMPUTED_VALUE"""),12.0)</f>
        <v>12</v>
      </c>
    </row>
    <row r="2465">
      <c r="D2465" t="str">
        <f>IFERROR(__xludf.DUMMYFUNCTION("""COMPUTED_VALUE"""),"Baker")</f>
        <v>Baker</v>
      </c>
      <c r="E2465" t="str">
        <f>IFERROR(__xludf.DUMMYFUNCTION("""COMPUTED_VALUE"""),"Budda")</f>
        <v>Budda</v>
      </c>
      <c r="F2465" t="str">
        <f>IFERROR(__xludf.DUMMYFUNCTION("""COMPUTED_VALUE"""),"FS")</f>
        <v>FS</v>
      </c>
      <c r="G2465">
        <f>IFERROR(__xludf.DUMMYFUNCTION("""COMPUTED_VALUE"""),14.8)</f>
        <v>14.8</v>
      </c>
    </row>
    <row r="2466">
      <c r="D2466" t="str">
        <f>IFERROR(__xludf.DUMMYFUNCTION("""COMPUTED_VALUE"""),"Baker")</f>
        <v>Baker</v>
      </c>
      <c r="E2466" t="str">
        <f>IFERROR(__xludf.DUMMYFUNCTION("""COMPUTED_VALUE"""),"Chris")</f>
        <v>Chris</v>
      </c>
      <c r="F2466" t="str">
        <f>IFERROR(__xludf.DUMMYFUNCTION("""COMPUTED_VALUE"""),"DT")</f>
        <v>DT</v>
      </c>
      <c r="G2466">
        <f>IFERROR(__xludf.DUMMYFUNCTION("""COMPUTED_VALUE"""),16.8)</f>
        <v>16.8</v>
      </c>
    </row>
    <row r="2467">
      <c r="D2467" t="str">
        <f>IFERROR(__xludf.DUMMYFUNCTION("""COMPUTED_VALUE"""),"Bakhtiari")</f>
        <v>Bakhtiari</v>
      </c>
      <c r="E2467" t="str">
        <f>IFERROR(__xludf.DUMMYFUNCTION("""COMPUTED_VALUE"""),"David")</f>
        <v>David</v>
      </c>
      <c r="F2467" t="str">
        <f>IFERROR(__xludf.DUMMYFUNCTION("""COMPUTED_VALUE"""),"LT")</f>
        <v>LT</v>
      </c>
      <c r="G2467">
        <f>IFERROR(__xludf.DUMMYFUNCTION("""COMPUTED_VALUE"""),18.2)</f>
        <v>18.2</v>
      </c>
    </row>
    <row r="2468">
      <c r="D2468" t="str">
        <f>IFERROR(__xludf.DUMMYFUNCTION("""COMPUTED_VALUE"""),"Balducci")</f>
        <v>Balducci</v>
      </c>
      <c r="E2468" t="str">
        <f>IFERROR(__xludf.DUMMYFUNCTION("""COMPUTED_VALUE"""),"Alex")</f>
        <v>Alex</v>
      </c>
      <c r="F2468" t="str">
        <f>IFERROR(__xludf.DUMMYFUNCTION("""COMPUTED_VALUE"""),"RG")</f>
        <v>RG</v>
      </c>
      <c r="G2468">
        <f>IFERROR(__xludf.DUMMYFUNCTION("""COMPUTED_VALUE"""),12.4)</f>
        <v>12.4</v>
      </c>
    </row>
    <row r="2469">
      <c r="D2469" t="str">
        <f>IFERROR(__xludf.DUMMYFUNCTION("""COMPUTED_VALUE"""),"Baldwin")</f>
        <v>Baldwin</v>
      </c>
      <c r="E2469" t="str">
        <f>IFERROR(__xludf.DUMMYFUNCTION("""COMPUTED_VALUE"""),"Doug")</f>
        <v>Doug</v>
      </c>
      <c r="F2469" t="str">
        <f>IFERROR(__xludf.DUMMYFUNCTION("""COMPUTED_VALUE"""),"WR")</f>
        <v>WR</v>
      </c>
      <c r="G2469">
        <f>IFERROR(__xludf.DUMMYFUNCTION("""COMPUTED_VALUE"""),17.8)</f>
        <v>17.8</v>
      </c>
    </row>
    <row r="2470">
      <c r="D2470" t="str">
        <f>IFERROR(__xludf.DUMMYFUNCTION("""COMPUTED_VALUE"""),"Ballentine")</f>
        <v>Ballentine</v>
      </c>
      <c r="E2470" t="str">
        <f>IFERROR(__xludf.DUMMYFUNCTION("""COMPUTED_VALUE"""),"Lonnie")</f>
        <v>Lonnie</v>
      </c>
      <c r="F2470" t="str">
        <f>IFERROR(__xludf.DUMMYFUNCTION("""COMPUTED_VALUE"""),"FS")</f>
        <v>FS</v>
      </c>
      <c r="G2470">
        <f>IFERROR(__xludf.DUMMYFUNCTION("""COMPUTED_VALUE"""),13.4)</f>
        <v>13.4</v>
      </c>
    </row>
    <row r="2471">
      <c r="D2471" t="str">
        <f>IFERROR(__xludf.DUMMYFUNCTION("""COMPUTED_VALUE"""),"Banjo")</f>
        <v>Banjo</v>
      </c>
      <c r="E2471" t="str">
        <f>IFERROR(__xludf.DUMMYFUNCTION("""COMPUTED_VALUE"""),"Chris")</f>
        <v>Chris</v>
      </c>
      <c r="F2471" t="str">
        <f>IFERROR(__xludf.DUMMYFUNCTION("""COMPUTED_VALUE"""),"SS")</f>
        <v>SS</v>
      </c>
      <c r="G2471">
        <f>IFERROR(__xludf.DUMMYFUNCTION("""COMPUTED_VALUE"""),13.200000000000001)</f>
        <v>13.2</v>
      </c>
    </row>
    <row r="2472">
      <c r="D2472" t="str">
        <f>IFERROR(__xludf.DUMMYFUNCTION("""COMPUTED_VALUE"""),"Banks")</f>
        <v>Banks</v>
      </c>
      <c r="E2472" t="str">
        <f>IFERROR(__xludf.DUMMYFUNCTION("""COMPUTED_VALUE"""),"Johnthan")</f>
        <v>Johnthan</v>
      </c>
      <c r="F2472" t="str">
        <f>IFERROR(__xludf.DUMMYFUNCTION("""COMPUTED_VALUE"""),"CB")</f>
        <v>CB</v>
      </c>
      <c r="G2472">
        <f>IFERROR(__xludf.DUMMYFUNCTION("""COMPUTED_VALUE"""),13.4)</f>
        <v>13.4</v>
      </c>
    </row>
    <row r="2473">
      <c r="D2473" t="str">
        <f>IFERROR(__xludf.DUMMYFUNCTION("""COMPUTED_VALUE"""),"Banner")</f>
        <v>Banner</v>
      </c>
      <c r="E2473" t="str">
        <f>IFERROR(__xludf.DUMMYFUNCTION("""COMPUTED_VALUE"""),"Zach")</f>
        <v>Zach</v>
      </c>
      <c r="F2473" t="str">
        <f>IFERROR(__xludf.DUMMYFUNCTION("""COMPUTED_VALUE"""),"RT")</f>
        <v>RT</v>
      </c>
      <c r="G2473">
        <f>IFERROR(__xludf.DUMMYFUNCTION("""COMPUTED_VALUE"""),14.200000000000001)</f>
        <v>14.2</v>
      </c>
    </row>
    <row r="2474">
      <c r="D2474" t="str">
        <f>IFERROR(__xludf.DUMMYFUNCTION("""COMPUTED_VALUE"""),"Banyard")</f>
        <v>Banyard</v>
      </c>
      <c r="E2474" t="str">
        <f>IFERROR(__xludf.DUMMYFUNCTION("""COMPUTED_VALUE"""),"Joe")</f>
        <v>Joe</v>
      </c>
      <c r="F2474" t="str">
        <f>IFERROR(__xludf.DUMMYFUNCTION("""COMPUTED_VALUE"""),"HB")</f>
        <v>HB</v>
      </c>
      <c r="G2474">
        <f>IFERROR(__xludf.DUMMYFUNCTION("""COMPUTED_VALUE"""),13.8)</f>
        <v>13.8</v>
      </c>
    </row>
    <row r="2475">
      <c r="D2475" t="str">
        <f>IFERROR(__xludf.DUMMYFUNCTION("""COMPUTED_VALUE"""),"Barber")</f>
        <v>Barber</v>
      </c>
      <c r="E2475" t="str">
        <f>IFERROR(__xludf.DUMMYFUNCTION("""COMPUTED_VALUE"""),"Peyton")</f>
        <v>Peyton</v>
      </c>
      <c r="F2475" t="str">
        <f>IFERROR(__xludf.DUMMYFUNCTION("""COMPUTED_VALUE"""),"HB")</f>
        <v>HB</v>
      </c>
      <c r="G2475">
        <f>IFERROR(__xludf.DUMMYFUNCTION("""COMPUTED_VALUE"""),12.200000000000001)</f>
        <v>12.2</v>
      </c>
    </row>
    <row r="2476">
      <c r="D2476" t="str">
        <f>IFERROR(__xludf.DUMMYFUNCTION("""COMPUTED_VALUE"""),"Barbre")</f>
        <v>Barbre</v>
      </c>
      <c r="E2476" t="str">
        <f>IFERROR(__xludf.DUMMYFUNCTION("""COMPUTED_VALUE"""),"Allen")</f>
        <v>Allen</v>
      </c>
      <c r="F2476" t="str">
        <f>IFERROR(__xludf.DUMMYFUNCTION("""COMPUTED_VALUE"""),"LG")</f>
        <v>LG</v>
      </c>
      <c r="G2476">
        <f>IFERROR(__xludf.DUMMYFUNCTION("""COMPUTED_VALUE"""),16.2)</f>
        <v>16.2</v>
      </c>
    </row>
    <row r="2477">
      <c r="D2477" t="str">
        <f>IFERROR(__xludf.DUMMYFUNCTION("""COMPUTED_VALUE"""),"Barclay")</f>
        <v>Barclay</v>
      </c>
      <c r="E2477" t="str">
        <f>IFERROR(__xludf.DUMMYFUNCTION("""COMPUTED_VALUE"""),"Don")</f>
        <v>Don</v>
      </c>
      <c r="F2477" t="str">
        <f>IFERROR(__xludf.DUMMYFUNCTION("""COMPUTED_VALUE"""),"RG")</f>
        <v>RG</v>
      </c>
      <c r="G2477">
        <f>IFERROR(__xludf.DUMMYFUNCTION("""COMPUTED_VALUE"""),13.4)</f>
        <v>13.4</v>
      </c>
    </row>
    <row r="2478">
      <c r="D2478" t="str">
        <f>IFERROR(__xludf.DUMMYFUNCTION("""COMPUTED_VALUE"""),"Barkley")</f>
        <v>Barkley</v>
      </c>
      <c r="E2478" t="str">
        <f>IFERROR(__xludf.DUMMYFUNCTION("""COMPUTED_VALUE"""),"Matt")</f>
        <v>Matt</v>
      </c>
      <c r="F2478" t="str">
        <f>IFERROR(__xludf.DUMMYFUNCTION("""COMPUTED_VALUE"""),"QB")</f>
        <v>QB</v>
      </c>
      <c r="G2478">
        <f>IFERROR(__xludf.DUMMYFUNCTION("""COMPUTED_VALUE"""),14.4)</f>
        <v>14.4</v>
      </c>
    </row>
    <row r="2479">
      <c r="D2479" t="str">
        <f>IFERROR(__xludf.DUMMYFUNCTION("""COMPUTED_VALUE"""),"Barksdale")</f>
        <v>Barksdale</v>
      </c>
      <c r="E2479" t="str">
        <f>IFERROR(__xludf.DUMMYFUNCTION("""COMPUTED_VALUE"""),"Joe")</f>
        <v>Joe</v>
      </c>
      <c r="F2479" t="str">
        <f>IFERROR(__xludf.DUMMYFUNCTION("""COMPUTED_VALUE"""),"RT")</f>
        <v>RT</v>
      </c>
      <c r="G2479">
        <f>IFERROR(__xludf.DUMMYFUNCTION("""COMPUTED_VALUE"""),14.4)</f>
        <v>14.4</v>
      </c>
    </row>
    <row r="2480">
      <c r="D2480" t="str">
        <f>IFERROR(__xludf.DUMMYFUNCTION("""COMPUTED_VALUE"""),"Barner")</f>
        <v>Barner</v>
      </c>
      <c r="E2480" t="str">
        <f>IFERROR(__xludf.DUMMYFUNCTION("""COMPUTED_VALUE"""),"Kenjon")</f>
        <v>Kenjon</v>
      </c>
      <c r="F2480" t="str">
        <f>IFERROR(__xludf.DUMMYFUNCTION("""COMPUTED_VALUE"""),"HB")</f>
        <v>HB</v>
      </c>
      <c r="G2480">
        <f>IFERROR(__xludf.DUMMYFUNCTION("""COMPUTED_VALUE"""),13.8)</f>
        <v>13.8</v>
      </c>
    </row>
    <row r="2481">
      <c r="D2481" t="str">
        <f>IFERROR(__xludf.DUMMYFUNCTION("""COMPUTED_VALUE"""),"Barnes")</f>
        <v>Barnes</v>
      </c>
      <c r="E2481" t="str">
        <f>IFERROR(__xludf.DUMMYFUNCTION("""COMPUTED_VALUE"""),"Adairius")</f>
        <v>Adairius</v>
      </c>
      <c r="F2481" t="str">
        <f>IFERROR(__xludf.DUMMYFUNCTION("""COMPUTED_VALUE"""),"CB")</f>
        <v>CB</v>
      </c>
      <c r="G2481">
        <f>IFERROR(__xludf.DUMMYFUNCTION("""COMPUTED_VALUE"""),12.8)</f>
        <v>12.8</v>
      </c>
    </row>
    <row r="2482">
      <c r="D2482" t="str">
        <f>IFERROR(__xludf.DUMMYFUNCTION("""COMPUTED_VALUE"""),"Barnes")</f>
        <v>Barnes</v>
      </c>
      <c r="E2482" t="str">
        <f>IFERROR(__xludf.DUMMYFUNCTION("""COMPUTED_VALUE"""),"Tavaris")</f>
        <v>Tavaris</v>
      </c>
      <c r="F2482" t="str">
        <f>IFERROR(__xludf.DUMMYFUNCTION("""COMPUTED_VALUE"""),"ROLB")</f>
        <v>ROLB</v>
      </c>
      <c r="G2482">
        <f>IFERROR(__xludf.DUMMYFUNCTION("""COMPUTED_VALUE"""),12.200000000000001)</f>
        <v>12.2</v>
      </c>
    </row>
    <row r="2483">
      <c r="D2483" t="str">
        <f>IFERROR(__xludf.DUMMYFUNCTION("""COMPUTED_VALUE"""),"Barnes")</f>
        <v>Barnes</v>
      </c>
      <c r="E2483" t="str">
        <f>IFERROR(__xludf.DUMMYFUNCTION("""COMPUTED_VALUE"""),"Tim")</f>
        <v>Tim</v>
      </c>
      <c r="F2483" t="str">
        <f>IFERROR(__xludf.DUMMYFUNCTION("""COMPUTED_VALUE"""),"C")</f>
        <v>C</v>
      </c>
      <c r="G2483">
        <f>IFERROR(__xludf.DUMMYFUNCTION("""COMPUTED_VALUE"""),14.200000000000001)</f>
        <v>14.2</v>
      </c>
    </row>
    <row r="2484">
      <c r="D2484" t="str">
        <f>IFERROR(__xludf.DUMMYFUNCTION("""COMPUTED_VALUE"""),"Barnett")</f>
        <v>Barnett</v>
      </c>
      <c r="E2484" t="str">
        <f>IFERROR(__xludf.DUMMYFUNCTION("""COMPUTED_VALUE"""),"Derek")</f>
        <v>Derek</v>
      </c>
      <c r="F2484" t="str">
        <f>IFERROR(__xludf.DUMMYFUNCTION("""COMPUTED_VALUE"""),"RE")</f>
        <v>RE</v>
      </c>
      <c r="G2484">
        <f>IFERROR(__xludf.DUMMYFUNCTION("""COMPUTED_VALUE"""),15.0)</f>
        <v>15</v>
      </c>
    </row>
    <row r="2485">
      <c r="D2485" t="str">
        <f>IFERROR(__xludf.DUMMYFUNCTION("""COMPUTED_VALUE"""),"Barr")</f>
        <v>Barr</v>
      </c>
      <c r="E2485" t="str">
        <f>IFERROR(__xludf.DUMMYFUNCTION("""COMPUTED_VALUE"""),"Anthony")</f>
        <v>Anthony</v>
      </c>
      <c r="F2485" t="str">
        <f>IFERROR(__xludf.DUMMYFUNCTION("""COMPUTED_VALUE"""),"LOLB")</f>
        <v>LOLB</v>
      </c>
      <c r="G2485">
        <f>IFERROR(__xludf.DUMMYFUNCTION("""COMPUTED_VALUE"""),15.8)</f>
        <v>15.8</v>
      </c>
    </row>
    <row r="2486">
      <c r="D2486" t="str">
        <f>IFERROR(__xludf.DUMMYFUNCTION("""COMPUTED_VALUE"""),"Barrett")</f>
        <v>Barrett</v>
      </c>
      <c r="E2486" t="str">
        <f>IFERROR(__xludf.DUMMYFUNCTION("""COMPUTED_VALUE"""),"Shaquil")</f>
        <v>Shaquil</v>
      </c>
      <c r="F2486" t="str">
        <f>IFERROR(__xludf.DUMMYFUNCTION("""COMPUTED_VALUE"""),"LOLB")</f>
        <v>LOLB</v>
      </c>
      <c r="G2486">
        <f>IFERROR(__xludf.DUMMYFUNCTION("""COMPUTED_VALUE"""),16.2)</f>
        <v>16.2</v>
      </c>
    </row>
    <row r="2487">
      <c r="D2487" t="str">
        <f>IFERROR(__xludf.DUMMYFUNCTION("""COMPUTED_VALUE"""),"Barron")</f>
        <v>Barron</v>
      </c>
      <c r="E2487" t="str">
        <f>IFERROR(__xludf.DUMMYFUNCTION("""COMPUTED_VALUE"""),"Mark")</f>
        <v>Mark</v>
      </c>
      <c r="F2487" t="str">
        <f>IFERROR(__xludf.DUMMYFUNCTION("""COMPUTED_VALUE"""),"MLB")</f>
        <v>MLB</v>
      </c>
      <c r="G2487">
        <f>IFERROR(__xludf.DUMMYFUNCTION("""COMPUTED_VALUE"""),15.4)</f>
        <v>15.4</v>
      </c>
    </row>
    <row r="2488">
      <c r="D2488" t="str">
        <f>IFERROR(__xludf.DUMMYFUNCTION("""COMPUTED_VALUE"""),"Barrow")</f>
        <v>Barrow</v>
      </c>
      <c r="E2488" t="str">
        <f>IFERROR(__xludf.DUMMYFUNCTION("""COMPUTED_VALUE"""),"Lamin")</f>
        <v>Lamin</v>
      </c>
      <c r="F2488" t="str">
        <f>IFERROR(__xludf.DUMMYFUNCTION("""COMPUTED_VALUE"""),"MLB")</f>
        <v>MLB</v>
      </c>
      <c r="G2488">
        <f>IFERROR(__xludf.DUMMYFUNCTION("""COMPUTED_VALUE"""),12.8)</f>
        <v>12.8</v>
      </c>
    </row>
    <row r="2489">
      <c r="D2489" t="str">
        <f>IFERROR(__xludf.DUMMYFUNCTION("""COMPUTED_VALUE"""),"Barth")</f>
        <v>Barth</v>
      </c>
      <c r="E2489" t="str">
        <f>IFERROR(__xludf.DUMMYFUNCTION("""COMPUTED_VALUE"""),"Connor")</f>
        <v>Connor</v>
      </c>
      <c r="F2489" t="str">
        <f>IFERROR(__xludf.DUMMYFUNCTION("""COMPUTED_VALUE"""),"K")</f>
        <v>K</v>
      </c>
      <c r="G2489">
        <f>IFERROR(__xludf.DUMMYFUNCTION("""COMPUTED_VALUE"""),15.0)</f>
        <v>15</v>
      </c>
    </row>
    <row r="2490">
      <c r="D2490" t="str">
        <f>IFERROR(__xludf.DUMMYFUNCTION("""COMPUTED_VALUE"""),"Barwin")</f>
        <v>Barwin</v>
      </c>
      <c r="E2490" t="str">
        <f>IFERROR(__xludf.DUMMYFUNCTION("""COMPUTED_VALUE"""),"Connor")</f>
        <v>Connor</v>
      </c>
      <c r="F2490" t="str">
        <f>IFERROR(__xludf.DUMMYFUNCTION("""COMPUTED_VALUE"""),"LOLB")</f>
        <v>LOLB</v>
      </c>
      <c r="G2490">
        <f>IFERROR(__xludf.DUMMYFUNCTION("""COMPUTED_VALUE"""),15.600000000000001)</f>
        <v>15.6</v>
      </c>
    </row>
    <row r="2491">
      <c r="D2491" t="str">
        <f>IFERROR(__xludf.DUMMYFUNCTION("""COMPUTED_VALUE"""),"Basham")</f>
        <v>Basham</v>
      </c>
      <c r="E2491" t="str">
        <f>IFERROR(__xludf.DUMMYFUNCTION("""COMPUTED_VALUE"""),"Tarell")</f>
        <v>Tarell</v>
      </c>
      <c r="F2491" t="str">
        <f>IFERROR(__xludf.DUMMYFUNCTION("""COMPUTED_VALUE"""),"RE")</f>
        <v>RE</v>
      </c>
      <c r="G2491">
        <f>IFERROR(__xludf.DUMMYFUNCTION("""COMPUTED_VALUE"""),14.0)</f>
        <v>14</v>
      </c>
    </row>
    <row r="2492">
      <c r="D2492" t="str">
        <f>IFERROR(__xludf.DUMMYFUNCTION("""COMPUTED_VALUE"""),"Bass")</f>
        <v>Bass</v>
      </c>
      <c r="E2492" t="str">
        <f>IFERROR(__xludf.DUMMYFUNCTION("""COMPUTED_VALUE"""),"David")</f>
        <v>David</v>
      </c>
      <c r="F2492" t="str">
        <f>IFERROR(__xludf.DUMMYFUNCTION("""COMPUTED_VALUE"""),"ROLB")</f>
        <v>ROLB</v>
      </c>
      <c r="G2492">
        <f>IFERROR(__xludf.DUMMYFUNCTION("""COMPUTED_VALUE"""),13.200000000000001)</f>
        <v>13.2</v>
      </c>
    </row>
    <row r="2493">
      <c r="D2493" t="str">
        <f>IFERROR(__xludf.DUMMYFUNCTION("""COMPUTED_VALUE"""),"Bates")</f>
        <v>Bates</v>
      </c>
      <c r="E2493" t="str">
        <f>IFERROR(__xludf.DUMMYFUNCTION("""COMPUTED_VALUE"""),"Daren")</f>
        <v>Daren</v>
      </c>
      <c r="F2493" t="str">
        <f>IFERROR(__xludf.DUMMYFUNCTION("""COMPUTED_VALUE"""),"MLB")</f>
        <v>MLB</v>
      </c>
      <c r="G2493">
        <f>IFERROR(__xludf.DUMMYFUNCTION("""COMPUTED_VALUE"""),12.4)</f>
        <v>12.4</v>
      </c>
    </row>
    <row r="2494">
      <c r="D2494" t="str">
        <f>IFERROR(__xludf.DUMMYFUNCTION("""COMPUTED_VALUE"""),"Bates")</f>
        <v>Bates</v>
      </c>
      <c r="E2494" t="str">
        <f>IFERROR(__xludf.DUMMYFUNCTION("""COMPUTED_VALUE"""),"Houston")</f>
        <v>Houston</v>
      </c>
      <c r="F2494" t="str">
        <f>IFERROR(__xludf.DUMMYFUNCTION("""COMPUTED_VALUE"""),"LOLB")</f>
        <v>LOLB</v>
      </c>
      <c r="G2494">
        <f>IFERROR(__xludf.DUMMYFUNCTION("""COMPUTED_VALUE"""),12.0)</f>
        <v>12</v>
      </c>
    </row>
    <row r="2495">
      <c r="D2495" t="str">
        <f>IFERROR(__xludf.DUMMYFUNCTION("""COMPUTED_VALUE"""),"Bates")</f>
        <v>Bates</v>
      </c>
      <c r="E2495" t="str">
        <f>IFERROR(__xludf.DUMMYFUNCTION("""COMPUTED_VALUE"""),"Trevor")</f>
        <v>Trevor</v>
      </c>
      <c r="F2495" t="str">
        <f>IFERROR(__xludf.DUMMYFUNCTION("""COMPUTED_VALUE"""),"MLB")</f>
        <v>MLB</v>
      </c>
      <c r="G2495">
        <f>IFERROR(__xludf.DUMMYFUNCTION("""COMPUTED_VALUE"""),11.4)</f>
        <v>11.4</v>
      </c>
    </row>
    <row r="2496">
      <c r="D2496" t="str">
        <f>IFERROR(__xludf.DUMMYFUNCTION("""COMPUTED_VALUE"""),"Battle")</f>
        <v>Battle</v>
      </c>
      <c r="E2496" t="str">
        <f>IFERROR(__xludf.DUMMYFUNCTION("""COMPUTED_VALUE"""),"Isaiah")</f>
        <v>Isaiah</v>
      </c>
      <c r="F2496" t="str">
        <f>IFERROR(__xludf.DUMMYFUNCTION("""COMPUTED_VALUE"""),"RT")</f>
        <v>RT</v>
      </c>
      <c r="G2496">
        <f>IFERROR(__xludf.DUMMYFUNCTION("""COMPUTED_VALUE"""),13.4)</f>
        <v>13.4</v>
      </c>
    </row>
    <row r="2497">
      <c r="D2497" t="str">
        <f>IFERROR(__xludf.DUMMYFUNCTION("""COMPUTED_VALUE"""),"Bausby")</f>
        <v>Bausby</v>
      </c>
      <c r="E2497" t="str">
        <f>IFERROR(__xludf.DUMMYFUNCTION("""COMPUTED_VALUE"""),"DeVante")</f>
        <v>DeVante</v>
      </c>
      <c r="F2497" t="str">
        <f>IFERROR(__xludf.DUMMYFUNCTION("""COMPUTED_VALUE"""),"CB")</f>
        <v>CB</v>
      </c>
      <c r="G2497">
        <f>IFERROR(__xludf.DUMMYFUNCTION("""COMPUTED_VALUE"""),12.8)</f>
        <v>12.8</v>
      </c>
    </row>
    <row r="2498">
      <c r="D2498" t="str">
        <f>IFERROR(__xludf.DUMMYFUNCTION("""COMPUTED_VALUE"""),"Beachum")</f>
        <v>Beachum</v>
      </c>
      <c r="E2498" t="str">
        <f>IFERROR(__xludf.DUMMYFUNCTION("""COMPUTED_VALUE"""),"Kelvin")</f>
        <v>Kelvin</v>
      </c>
      <c r="F2498" t="str">
        <f>IFERROR(__xludf.DUMMYFUNCTION("""COMPUTED_VALUE"""),"RT")</f>
        <v>RT</v>
      </c>
      <c r="G2498">
        <f>IFERROR(__xludf.DUMMYFUNCTION("""COMPUTED_VALUE"""),15.0)</f>
        <v>15</v>
      </c>
    </row>
    <row r="2499">
      <c r="D2499" t="str">
        <f>IFERROR(__xludf.DUMMYFUNCTION("""COMPUTED_VALUE"""),"Beadles")</f>
        <v>Beadles</v>
      </c>
      <c r="E2499" t="str">
        <f>IFERROR(__xludf.DUMMYFUNCTION("""COMPUTED_VALUE"""),"Zane")</f>
        <v>Zane</v>
      </c>
      <c r="F2499" t="str">
        <f>IFERROR(__xludf.DUMMYFUNCTION("""COMPUTED_VALUE"""),"LG")</f>
        <v>LG</v>
      </c>
      <c r="G2499">
        <f>IFERROR(__xludf.DUMMYFUNCTION("""COMPUTED_VALUE"""),14.0)</f>
        <v>14</v>
      </c>
    </row>
    <row r="2500">
      <c r="D2500" t="str">
        <f>IFERROR(__xludf.DUMMYFUNCTION("""COMPUTED_VALUE"""),"Beasley")</f>
        <v>Beasley</v>
      </c>
      <c r="E2500" t="str">
        <f>IFERROR(__xludf.DUMMYFUNCTION("""COMPUTED_VALUE"""),"Cole")</f>
        <v>Cole</v>
      </c>
      <c r="F2500" t="str">
        <f>IFERROR(__xludf.DUMMYFUNCTION("""COMPUTED_VALUE"""),"WR")</f>
        <v>WR</v>
      </c>
      <c r="G2500">
        <f>IFERROR(__xludf.DUMMYFUNCTION("""COMPUTED_VALUE"""),16.2)</f>
        <v>16.2</v>
      </c>
    </row>
    <row r="2501">
      <c r="D2501" t="str">
        <f>IFERROR(__xludf.DUMMYFUNCTION("""COMPUTED_VALUE"""),"Beasley Jr")</f>
        <v>Beasley Jr</v>
      </c>
      <c r="E2501" t="str">
        <f>IFERROR(__xludf.DUMMYFUNCTION("""COMPUTED_VALUE"""),"Vic")</f>
        <v>Vic</v>
      </c>
      <c r="F2501" t="str">
        <f>IFERROR(__xludf.DUMMYFUNCTION("""COMPUTED_VALUE"""),"LOLB")</f>
        <v>LOLB</v>
      </c>
      <c r="G2501">
        <f>IFERROR(__xludf.DUMMYFUNCTION("""COMPUTED_VALUE"""),16.6)</f>
        <v>16.6</v>
      </c>
    </row>
    <row r="2502">
      <c r="D2502" t="str">
        <f>IFERROR(__xludf.DUMMYFUNCTION("""COMPUTED_VALUE"""),"Beathard")</f>
        <v>Beathard</v>
      </c>
      <c r="E2502" t="str">
        <f>IFERROR(__xludf.DUMMYFUNCTION("""COMPUTED_VALUE"""),"CJ")</f>
        <v>CJ</v>
      </c>
      <c r="F2502" t="str">
        <f>IFERROR(__xludf.DUMMYFUNCTION("""COMPUTED_VALUE"""),"QB")</f>
        <v>QB</v>
      </c>
      <c r="G2502">
        <f>IFERROR(__xludf.DUMMYFUNCTION("""COMPUTED_VALUE"""),14.4)</f>
        <v>14.4</v>
      </c>
    </row>
    <row r="2503">
      <c r="D2503" t="str">
        <f>IFERROR(__xludf.DUMMYFUNCTION("""COMPUTED_VALUE"""),"Beavers")</f>
        <v>Beavers</v>
      </c>
      <c r="E2503" t="str">
        <f>IFERROR(__xludf.DUMMYFUNCTION("""COMPUTED_VALUE"""),"Willie")</f>
        <v>Willie</v>
      </c>
      <c r="F2503" t="str">
        <f>IFERROR(__xludf.DUMMYFUNCTION("""COMPUTED_VALUE"""),"RG")</f>
        <v>RG</v>
      </c>
      <c r="G2503">
        <f>IFERROR(__xludf.DUMMYFUNCTION("""COMPUTED_VALUE"""),13.8)</f>
        <v>13.8</v>
      </c>
    </row>
    <row r="2504">
      <c r="D2504" t="str">
        <f>IFERROR(__xludf.DUMMYFUNCTION("""COMPUTED_VALUE"""),"Beckham Jr")</f>
        <v>Beckham Jr</v>
      </c>
      <c r="E2504" t="str">
        <f>IFERROR(__xludf.DUMMYFUNCTION("""COMPUTED_VALUE"""),"Odell")</f>
        <v>Odell</v>
      </c>
      <c r="F2504" t="str">
        <f>IFERROR(__xludf.DUMMYFUNCTION("""COMPUTED_VALUE"""),"WR")</f>
        <v>WR</v>
      </c>
      <c r="G2504">
        <f>IFERROR(__xludf.DUMMYFUNCTION("""COMPUTED_VALUE"""),18.6)</f>
        <v>18.6</v>
      </c>
    </row>
    <row r="2505">
      <c r="D2505" t="str">
        <f>IFERROR(__xludf.DUMMYFUNCTION("""COMPUTED_VALUE"""),"Beckwith")</f>
        <v>Beckwith</v>
      </c>
      <c r="E2505" t="str">
        <f>IFERROR(__xludf.DUMMYFUNCTION("""COMPUTED_VALUE"""),"Kendell")</f>
        <v>Kendell</v>
      </c>
      <c r="F2505" t="str">
        <f>IFERROR(__xludf.DUMMYFUNCTION("""COMPUTED_VALUE"""),"MLB")</f>
        <v>MLB</v>
      </c>
      <c r="G2505">
        <f>IFERROR(__xludf.DUMMYFUNCTION("""COMPUTED_VALUE"""),13.8)</f>
        <v>13.8</v>
      </c>
    </row>
    <row r="2506">
      <c r="D2506" t="str">
        <f>IFERROR(__xludf.DUMMYFUNCTION("""COMPUTED_VALUE"""),"Bell")</f>
        <v>Bell</v>
      </c>
      <c r="E2506" t="str">
        <f>IFERROR(__xludf.DUMMYFUNCTION("""COMPUTED_VALUE"""),"Blake")</f>
        <v>Blake</v>
      </c>
      <c r="F2506" t="str">
        <f>IFERROR(__xludf.DUMMYFUNCTION("""COMPUTED_VALUE"""),"TE")</f>
        <v>TE</v>
      </c>
      <c r="G2506">
        <f>IFERROR(__xludf.DUMMYFUNCTION("""COMPUTED_VALUE"""),13.0)</f>
        <v>13</v>
      </c>
    </row>
    <row r="2507">
      <c r="D2507" t="str">
        <f>IFERROR(__xludf.DUMMYFUNCTION("""COMPUTED_VALUE"""),"Bell")</f>
        <v>Bell</v>
      </c>
      <c r="E2507" t="str">
        <f>IFERROR(__xludf.DUMMYFUNCTION("""COMPUTED_VALUE"""),"Byron")</f>
        <v>Byron</v>
      </c>
      <c r="F2507" t="str">
        <f>IFERROR(__xludf.DUMMYFUNCTION("""COMPUTED_VALUE"""),"RT")</f>
        <v>RT</v>
      </c>
      <c r="G2507">
        <f>IFERROR(__xludf.DUMMYFUNCTION("""COMPUTED_VALUE"""),14.200000000000001)</f>
        <v>14.2</v>
      </c>
    </row>
    <row r="2508">
      <c r="D2508" t="str">
        <f>IFERROR(__xludf.DUMMYFUNCTION("""COMPUTED_VALUE"""),"Bell")</f>
        <v>Bell</v>
      </c>
      <c r="E2508" t="str">
        <f>IFERROR(__xludf.DUMMYFUNCTION("""COMPUTED_VALUE"""),"Kenny")</f>
        <v>Kenny</v>
      </c>
      <c r="F2508" t="str">
        <f>IFERROR(__xludf.DUMMYFUNCTION("""COMPUTED_VALUE"""),"WR")</f>
        <v>WR</v>
      </c>
      <c r="G2508">
        <f>IFERROR(__xludf.DUMMYFUNCTION("""COMPUTED_VALUE"""),12.600000000000001)</f>
        <v>12.6</v>
      </c>
    </row>
    <row r="2509">
      <c r="D2509" t="str">
        <f>IFERROR(__xludf.DUMMYFUNCTION("""COMPUTED_VALUE"""),"Bell")</f>
        <v>Bell</v>
      </c>
      <c r="E2509" t="str">
        <f>IFERROR(__xludf.DUMMYFUNCTION("""COMPUTED_VALUE"""),"LeVeon")</f>
        <v>LeVeon</v>
      </c>
      <c r="F2509" t="str">
        <f>IFERROR(__xludf.DUMMYFUNCTION("""COMPUTED_VALUE"""),"HB")</f>
        <v>HB</v>
      </c>
      <c r="G2509">
        <f>IFERROR(__xludf.DUMMYFUNCTION("""COMPUTED_VALUE"""),19.400000000000002)</f>
        <v>19.4</v>
      </c>
    </row>
    <row r="2510">
      <c r="D2510" t="str">
        <f>IFERROR(__xludf.DUMMYFUNCTION("""COMPUTED_VALUE"""),"Bell")</f>
        <v>Bell</v>
      </c>
      <c r="E2510" t="str">
        <f>IFERROR(__xludf.DUMMYFUNCTION("""COMPUTED_VALUE"""),"Vonn")</f>
        <v>Vonn</v>
      </c>
      <c r="F2510" t="str">
        <f>IFERROR(__xludf.DUMMYFUNCTION("""COMPUTED_VALUE"""),"FS")</f>
        <v>FS</v>
      </c>
      <c r="G2510">
        <f>IFERROR(__xludf.DUMMYFUNCTION("""COMPUTED_VALUE"""),14.8)</f>
        <v>14.8</v>
      </c>
    </row>
    <row r="2511">
      <c r="D2511" t="str">
        <f>IFERROR(__xludf.DUMMYFUNCTION("""COMPUTED_VALUE"""),"Bellamy")</f>
        <v>Bellamy</v>
      </c>
      <c r="E2511" t="str">
        <f>IFERROR(__xludf.DUMMYFUNCTION("""COMPUTED_VALUE"""),"Joshua")</f>
        <v>Joshua</v>
      </c>
      <c r="F2511" t="str">
        <f>IFERROR(__xludf.DUMMYFUNCTION("""COMPUTED_VALUE"""),"WR")</f>
        <v>WR</v>
      </c>
      <c r="G2511">
        <f>IFERROR(__xludf.DUMMYFUNCTION("""COMPUTED_VALUE"""),14.0)</f>
        <v>14</v>
      </c>
    </row>
    <row r="2512">
      <c r="D2512" t="str">
        <f>IFERROR(__xludf.DUMMYFUNCTION("""COMPUTED_VALUE"""),"Bellore")</f>
        <v>Bellore</v>
      </c>
      <c r="E2512" t="str">
        <f>IFERROR(__xludf.DUMMYFUNCTION("""COMPUTED_VALUE"""),"Nick")</f>
        <v>Nick</v>
      </c>
      <c r="F2512" t="str">
        <f>IFERROR(__xludf.DUMMYFUNCTION("""COMPUTED_VALUE"""),"MLB")</f>
        <v>MLB</v>
      </c>
      <c r="G2512">
        <f>IFERROR(__xludf.DUMMYFUNCTION("""COMPUTED_VALUE"""),13.8)</f>
        <v>13.8</v>
      </c>
    </row>
    <row r="2513">
      <c r="D2513" t="str">
        <f>IFERROR(__xludf.DUMMYFUNCTION("""COMPUTED_VALUE"""),"Benenoch")</f>
        <v>Benenoch</v>
      </c>
      <c r="E2513" t="str">
        <f>IFERROR(__xludf.DUMMYFUNCTION("""COMPUTED_VALUE"""),"Caleb")</f>
        <v>Caleb</v>
      </c>
      <c r="F2513" t="str">
        <f>IFERROR(__xludf.DUMMYFUNCTION("""COMPUTED_VALUE"""),"RG")</f>
        <v>RG</v>
      </c>
      <c r="G2513">
        <f>IFERROR(__xludf.DUMMYFUNCTION("""COMPUTED_VALUE"""),13.200000000000001)</f>
        <v>13.2</v>
      </c>
    </row>
    <row r="2514">
      <c r="D2514" t="str">
        <f>IFERROR(__xludf.DUMMYFUNCTION("""COMPUTED_VALUE"""),"Benjamin")</f>
        <v>Benjamin</v>
      </c>
      <c r="E2514" t="str">
        <f>IFERROR(__xludf.DUMMYFUNCTION("""COMPUTED_VALUE"""),"Kelvin")</f>
        <v>Kelvin</v>
      </c>
      <c r="F2514" t="str">
        <f>IFERROR(__xludf.DUMMYFUNCTION("""COMPUTED_VALUE"""),"WR")</f>
        <v>WR</v>
      </c>
      <c r="G2514">
        <f>IFERROR(__xludf.DUMMYFUNCTION("""COMPUTED_VALUE"""),17.0)</f>
        <v>17</v>
      </c>
    </row>
    <row r="2515">
      <c r="D2515" t="str">
        <f>IFERROR(__xludf.DUMMYFUNCTION("""COMPUTED_VALUE"""),"Benjamin")</f>
        <v>Benjamin</v>
      </c>
      <c r="E2515" t="str">
        <f>IFERROR(__xludf.DUMMYFUNCTION("""COMPUTED_VALUE"""),"Travis")</f>
        <v>Travis</v>
      </c>
      <c r="F2515" t="str">
        <f>IFERROR(__xludf.DUMMYFUNCTION("""COMPUTED_VALUE"""),"WR")</f>
        <v>WR</v>
      </c>
      <c r="G2515">
        <f>IFERROR(__xludf.DUMMYFUNCTION("""COMPUTED_VALUE"""),16.0)</f>
        <v>16</v>
      </c>
    </row>
    <row r="2516">
      <c r="D2516" t="str">
        <f>IFERROR(__xludf.DUMMYFUNCTION("""COMPUTED_VALUE"""),"Benn")</f>
        <v>Benn</v>
      </c>
      <c r="E2516" t="str">
        <f>IFERROR(__xludf.DUMMYFUNCTION("""COMPUTED_VALUE"""),"Arrelious")</f>
        <v>Arrelious</v>
      </c>
      <c r="F2516" t="str">
        <f>IFERROR(__xludf.DUMMYFUNCTION("""COMPUTED_VALUE"""),"WR")</f>
        <v>WR</v>
      </c>
      <c r="G2516">
        <f>IFERROR(__xludf.DUMMYFUNCTION("""COMPUTED_VALUE"""),14.0)</f>
        <v>14</v>
      </c>
    </row>
    <row r="2517">
      <c r="D2517" t="str">
        <f>IFERROR(__xludf.DUMMYFUNCTION("""COMPUTED_VALUE"""),"Bennett")</f>
        <v>Bennett</v>
      </c>
      <c r="E2517" t="str">
        <f>IFERROR(__xludf.DUMMYFUNCTION("""COMPUTED_VALUE"""),"Martellus")</f>
        <v>Martellus</v>
      </c>
      <c r="F2517" t="str">
        <f>IFERROR(__xludf.DUMMYFUNCTION("""COMPUTED_VALUE"""),"TE")</f>
        <v>TE</v>
      </c>
      <c r="G2517">
        <f>IFERROR(__xludf.DUMMYFUNCTION("""COMPUTED_VALUE"""),17.8)</f>
        <v>17.8</v>
      </c>
    </row>
    <row r="2518">
      <c r="D2518" t="str">
        <f>IFERROR(__xludf.DUMMYFUNCTION("""COMPUTED_VALUE"""),"Bennett")</f>
        <v>Bennett</v>
      </c>
      <c r="E2518" t="str">
        <f>IFERROR(__xludf.DUMMYFUNCTION("""COMPUTED_VALUE"""),"Michael")</f>
        <v>Michael</v>
      </c>
      <c r="F2518" t="str">
        <f>IFERROR(__xludf.DUMMYFUNCTION("""COMPUTED_VALUE"""),"DT")</f>
        <v>DT</v>
      </c>
      <c r="G2518">
        <f>IFERROR(__xludf.DUMMYFUNCTION("""COMPUTED_VALUE"""),13.4)</f>
        <v>13.4</v>
      </c>
    </row>
    <row r="2519">
      <c r="D2519" t="str">
        <f>IFERROR(__xludf.DUMMYFUNCTION("""COMPUTED_VALUE"""),"Bennett")</f>
        <v>Bennett</v>
      </c>
      <c r="E2519" t="str">
        <f>IFERROR(__xludf.DUMMYFUNCTION("""COMPUTED_VALUE"""),"Michael")</f>
        <v>Michael</v>
      </c>
      <c r="F2519" t="str">
        <f>IFERROR(__xludf.DUMMYFUNCTION("""COMPUTED_VALUE"""),"LE")</f>
        <v>LE</v>
      </c>
      <c r="G2519">
        <f>IFERROR(__xludf.DUMMYFUNCTION("""COMPUTED_VALUE"""),18.0)</f>
        <v>18</v>
      </c>
    </row>
    <row r="2520">
      <c r="D2520" t="str">
        <f>IFERROR(__xludf.DUMMYFUNCTION("""COMPUTED_VALUE"""),"Benwikere")</f>
        <v>Benwikere</v>
      </c>
      <c r="E2520" t="str">
        <f>IFERROR(__xludf.DUMMYFUNCTION("""COMPUTED_VALUE"""),"Bene")</f>
        <v>Bene</v>
      </c>
      <c r="F2520" t="str">
        <f>IFERROR(__xludf.DUMMYFUNCTION("""COMPUTED_VALUE"""),"CB")</f>
        <v>CB</v>
      </c>
      <c r="G2520">
        <f>IFERROR(__xludf.DUMMYFUNCTION("""COMPUTED_VALUE"""),13.8)</f>
        <v>13.8</v>
      </c>
    </row>
    <row r="2521">
      <c r="D2521" t="str">
        <f>IFERROR(__xludf.DUMMYFUNCTION("""COMPUTED_VALUE"""),"Bercovici")</f>
        <v>Bercovici</v>
      </c>
      <c r="E2521" t="str">
        <f>IFERROR(__xludf.DUMMYFUNCTION("""COMPUTED_VALUE"""),"Mike")</f>
        <v>Mike</v>
      </c>
      <c r="F2521" t="str">
        <f>IFERROR(__xludf.DUMMYFUNCTION("""COMPUTED_VALUE"""),"QB")</f>
        <v>QB</v>
      </c>
      <c r="G2521">
        <f>IFERROR(__xludf.DUMMYFUNCTION("""COMPUTED_VALUE"""),12.200000000000001)</f>
        <v>12.2</v>
      </c>
    </row>
    <row r="2522">
      <c r="D2522" t="str">
        <f>IFERROR(__xludf.DUMMYFUNCTION("""COMPUTED_VALUE"""),"Berger")</f>
        <v>Berger</v>
      </c>
      <c r="E2522" t="str">
        <f>IFERROR(__xludf.DUMMYFUNCTION("""COMPUTED_VALUE"""),"Joe")</f>
        <v>Joe</v>
      </c>
      <c r="F2522" t="str">
        <f>IFERROR(__xludf.DUMMYFUNCTION("""COMPUTED_VALUE"""),"RG")</f>
        <v>RG</v>
      </c>
      <c r="G2522">
        <f>IFERROR(__xludf.DUMMYFUNCTION("""COMPUTED_VALUE"""),16.6)</f>
        <v>16.6</v>
      </c>
    </row>
    <row r="2523">
      <c r="D2523" t="str">
        <f>IFERROR(__xludf.DUMMYFUNCTION("""COMPUTED_VALUE"""),"Bergstrom")</f>
        <v>Bergstrom</v>
      </c>
      <c r="E2523" t="str">
        <f>IFERROR(__xludf.DUMMYFUNCTION("""COMPUTED_VALUE"""),"Tony")</f>
        <v>Tony</v>
      </c>
      <c r="F2523" t="str">
        <f>IFERROR(__xludf.DUMMYFUNCTION("""COMPUTED_VALUE"""),"C")</f>
        <v>C</v>
      </c>
      <c r="G2523">
        <f>IFERROR(__xludf.DUMMYFUNCTION("""COMPUTED_VALUE"""),13.600000000000001)</f>
        <v>13.6</v>
      </c>
    </row>
    <row r="2524">
      <c r="D2524" t="str">
        <f>IFERROR(__xludf.DUMMYFUNCTION("""COMPUTED_VALUE"""),"Berhe")</f>
        <v>Berhe</v>
      </c>
      <c r="E2524" t="str">
        <f>IFERROR(__xludf.DUMMYFUNCTION("""COMPUTED_VALUE"""),"Nat")</f>
        <v>Nat</v>
      </c>
      <c r="F2524" t="str">
        <f>IFERROR(__xludf.DUMMYFUNCTION("""COMPUTED_VALUE"""),"SS")</f>
        <v>SS</v>
      </c>
      <c r="G2524">
        <f>IFERROR(__xludf.DUMMYFUNCTION("""COMPUTED_VALUE"""),13.0)</f>
        <v>13</v>
      </c>
    </row>
    <row r="2525">
      <c r="D2525" t="str">
        <f>IFERROR(__xludf.DUMMYFUNCTION("""COMPUTED_VALUE"""),"Bernard")</f>
        <v>Bernard</v>
      </c>
      <c r="E2525" t="str">
        <f>IFERROR(__xludf.DUMMYFUNCTION("""COMPUTED_VALUE"""),"Giovani")</f>
        <v>Giovani</v>
      </c>
      <c r="F2525" t="str">
        <f>IFERROR(__xludf.DUMMYFUNCTION("""COMPUTED_VALUE"""),"HB")</f>
        <v>HB</v>
      </c>
      <c r="G2525">
        <f>IFERROR(__xludf.DUMMYFUNCTION("""COMPUTED_VALUE"""),17.2)</f>
        <v>17.2</v>
      </c>
    </row>
    <row r="2526">
      <c r="D2526" t="str">
        <f>IFERROR(__xludf.DUMMYFUNCTION("""COMPUTED_VALUE"""),"Berry")</f>
        <v>Berry</v>
      </c>
      <c r="E2526" t="str">
        <f>IFERROR(__xludf.DUMMYFUNCTION("""COMPUTED_VALUE"""),"Eric")</f>
        <v>Eric</v>
      </c>
      <c r="F2526" t="str">
        <f>IFERROR(__xludf.DUMMYFUNCTION("""COMPUTED_VALUE"""),"SS")</f>
        <v>SS</v>
      </c>
      <c r="G2526">
        <f>IFERROR(__xludf.DUMMYFUNCTION("""COMPUTED_VALUE"""),18.8)</f>
        <v>18.8</v>
      </c>
    </row>
    <row r="2527">
      <c r="D2527" t="str">
        <f>IFERROR(__xludf.DUMMYFUNCTION("""COMPUTED_VALUE"""),"Berry")</f>
        <v>Berry</v>
      </c>
      <c r="E2527" t="str">
        <f>IFERROR(__xludf.DUMMYFUNCTION("""COMPUTED_VALUE"""),"Jordan")</f>
        <v>Jordan</v>
      </c>
      <c r="F2527" t="str">
        <f>IFERROR(__xludf.DUMMYFUNCTION("""COMPUTED_VALUE"""),"P")</f>
        <v>P</v>
      </c>
      <c r="G2527">
        <f>IFERROR(__xludf.DUMMYFUNCTION("""COMPUTED_VALUE"""),15.600000000000001)</f>
        <v>15.6</v>
      </c>
    </row>
    <row r="2528">
      <c r="D2528" t="str">
        <f>IFERROR(__xludf.DUMMYFUNCTION("""COMPUTED_VALUE"""),"Bersin")</f>
        <v>Bersin</v>
      </c>
      <c r="E2528" t="str">
        <f>IFERROR(__xludf.DUMMYFUNCTION("""COMPUTED_VALUE"""),"Brenton")</f>
        <v>Brenton</v>
      </c>
      <c r="F2528" t="str">
        <f>IFERROR(__xludf.DUMMYFUNCTION("""COMPUTED_VALUE"""),"WR")</f>
        <v>WR</v>
      </c>
      <c r="G2528">
        <f>IFERROR(__xludf.DUMMYFUNCTION("""COMPUTED_VALUE"""),13.8)</f>
        <v>13.8</v>
      </c>
    </row>
    <row r="2529">
      <c r="D2529" t="str">
        <f>IFERROR(__xludf.DUMMYFUNCTION("""COMPUTED_VALUE"""),"Bethea")</f>
        <v>Bethea</v>
      </c>
      <c r="E2529" t="str">
        <f>IFERROR(__xludf.DUMMYFUNCTION("""COMPUTED_VALUE"""),"Antoine")</f>
        <v>Antoine</v>
      </c>
      <c r="F2529" t="str">
        <f>IFERROR(__xludf.DUMMYFUNCTION("""COMPUTED_VALUE"""),"SS")</f>
        <v>SS</v>
      </c>
      <c r="G2529">
        <f>IFERROR(__xludf.DUMMYFUNCTION("""COMPUTED_VALUE"""),15.0)</f>
        <v>15</v>
      </c>
    </row>
    <row r="2530">
      <c r="D2530" t="str">
        <f>IFERROR(__xludf.DUMMYFUNCTION("""COMPUTED_VALUE"""),"Bethel")</f>
        <v>Bethel</v>
      </c>
      <c r="E2530" t="str">
        <f>IFERROR(__xludf.DUMMYFUNCTION("""COMPUTED_VALUE"""),"Justin")</f>
        <v>Justin</v>
      </c>
      <c r="F2530" t="str">
        <f>IFERROR(__xludf.DUMMYFUNCTION("""COMPUTED_VALUE"""),"CB")</f>
        <v>CB</v>
      </c>
      <c r="G2530">
        <f>IFERROR(__xludf.DUMMYFUNCTION("""COMPUTED_VALUE"""),14.4)</f>
        <v>14.4</v>
      </c>
    </row>
    <row r="2531">
      <c r="D2531" t="str">
        <f>IFERROR(__xludf.DUMMYFUNCTION("""COMPUTED_VALUE"""),"Bibbs")</f>
        <v>Bibbs</v>
      </c>
      <c r="E2531" t="str">
        <f>IFERROR(__xludf.DUMMYFUNCTION("""COMPUTED_VALUE"""),"Kapri")</f>
        <v>Kapri</v>
      </c>
      <c r="F2531" t="str">
        <f>IFERROR(__xludf.DUMMYFUNCTION("""COMPUTED_VALUE"""),"HB")</f>
        <v>HB</v>
      </c>
      <c r="G2531">
        <f>IFERROR(__xludf.DUMMYFUNCTION("""COMPUTED_VALUE"""),13.600000000000001)</f>
        <v>13.6</v>
      </c>
    </row>
    <row r="2532">
      <c r="D2532" t="str">
        <f>IFERROR(__xludf.DUMMYFUNCTION("""COMPUTED_VALUE"""),"Biegel")</f>
        <v>Biegel</v>
      </c>
      <c r="E2532" t="str">
        <f>IFERROR(__xludf.DUMMYFUNCTION("""COMPUTED_VALUE"""),"Vince")</f>
        <v>Vince</v>
      </c>
      <c r="F2532" t="str">
        <f>IFERROR(__xludf.DUMMYFUNCTION("""COMPUTED_VALUE"""),"LOLB")</f>
        <v>LOLB</v>
      </c>
      <c r="G2532">
        <f>IFERROR(__xludf.DUMMYFUNCTION("""COMPUTED_VALUE"""),13.600000000000001)</f>
        <v>13.6</v>
      </c>
    </row>
    <row r="2533">
      <c r="D2533" t="str">
        <f>IFERROR(__xludf.DUMMYFUNCTION("""COMPUTED_VALUE"""),"Billings")</f>
        <v>Billings</v>
      </c>
      <c r="E2533" t="str">
        <f>IFERROR(__xludf.DUMMYFUNCTION("""COMPUTED_VALUE"""),"Andrew")</f>
        <v>Andrew</v>
      </c>
      <c r="F2533" t="str">
        <f>IFERROR(__xludf.DUMMYFUNCTION("""COMPUTED_VALUE"""),"DT")</f>
        <v>DT</v>
      </c>
      <c r="G2533">
        <f>IFERROR(__xludf.DUMMYFUNCTION("""COMPUTED_VALUE"""),13.600000000000001)</f>
        <v>13.6</v>
      </c>
    </row>
    <row r="2534">
      <c r="D2534" t="str">
        <f>IFERROR(__xludf.DUMMYFUNCTION("""COMPUTED_VALUE"""),"Billingsley")</f>
        <v>Billingsley</v>
      </c>
      <c r="E2534" t="str">
        <f>IFERROR(__xludf.DUMMYFUNCTION("""COMPUTED_VALUE"""),"Jace")</f>
        <v>Jace</v>
      </c>
      <c r="F2534" t="str">
        <f>IFERROR(__xludf.DUMMYFUNCTION("""COMPUTED_VALUE"""),"WR")</f>
        <v>WR</v>
      </c>
      <c r="G2534">
        <f>IFERROR(__xludf.DUMMYFUNCTION("""COMPUTED_VALUE"""),12.8)</f>
        <v>12.8</v>
      </c>
    </row>
    <row r="2535">
      <c r="D2535" t="str">
        <f>IFERROR(__xludf.DUMMYFUNCTION("""COMPUTED_VALUE"""),"Bishop")</f>
        <v>Bishop</v>
      </c>
      <c r="E2535" t="str">
        <f>IFERROR(__xludf.DUMMYFUNCTION("""COMPUTED_VALUE"""),"Freddie")</f>
        <v>Freddie</v>
      </c>
      <c r="F2535" t="str">
        <f>IFERROR(__xludf.DUMMYFUNCTION("""COMPUTED_VALUE"""),"LOLB")</f>
        <v>LOLB</v>
      </c>
      <c r="G2535">
        <f>IFERROR(__xludf.DUMMYFUNCTION("""COMPUTED_VALUE"""),11.8)</f>
        <v>11.8</v>
      </c>
    </row>
    <row r="2536">
      <c r="D2536" t="str">
        <f>IFERROR(__xludf.DUMMYFUNCTION("""COMPUTED_VALUE"""),"Bisnowaty")</f>
        <v>Bisnowaty</v>
      </c>
      <c r="E2536" t="str">
        <f>IFERROR(__xludf.DUMMYFUNCTION("""COMPUTED_VALUE"""),"Adam")</f>
        <v>Adam</v>
      </c>
      <c r="F2536" t="str">
        <f>IFERROR(__xludf.DUMMYFUNCTION("""COMPUTED_VALUE"""),"LT")</f>
        <v>LT</v>
      </c>
      <c r="G2536">
        <f>IFERROR(__xludf.DUMMYFUNCTION("""COMPUTED_VALUE"""),13.0)</f>
        <v>13</v>
      </c>
    </row>
    <row r="2537">
      <c r="D2537" t="str">
        <f>IFERROR(__xludf.DUMMYFUNCTION("""COMPUTED_VALUE"""),"Bitonio")</f>
        <v>Bitonio</v>
      </c>
      <c r="E2537" t="str">
        <f>IFERROR(__xludf.DUMMYFUNCTION("""COMPUTED_VALUE"""),"Joel")</f>
        <v>Joel</v>
      </c>
      <c r="F2537" t="str">
        <f>IFERROR(__xludf.DUMMYFUNCTION("""COMPUTED_VALUE"""),"LG")</f>
        <v>LG</v>
      </c>
      <c r="G2537">
        <f>IFERROR(__xludf.DUMMYFUNCTION("""COMPUTED_VALUE"""),16.8)</f>
        <v>16.8</v>
      </c>
    </row>
    <row r="2538">
      <c r="D2538" t="str">
        <f>IFERROR(__xludf.DUMMYFUNCTION("""COMPUTED_VALUE"""),"Blackmon")</f>
        <v>Blackmon</v>
      </c>
      <c r="E2538" t="str">
        <f>IFERROR(__xludf.DUMMYFUNCTION("""COMPUTED_VALUE"""),"Will")</f>
        <v>Will</v>
      </c>
      <c r="F2538" t="str">
        <f>IFERROR(__xludf.DUMMYFUNCTION("""COMPUTED_VALUE"""),"FS")</f>
        <v>FS</v>
      </c>
      <c r="G2538">
        <f>IFERROR(__xludf.DUMMYFUNCTION("""COMPUTED_VALUE"""),15.4)</f>
        <v>15.4</v>
      </c>
    </row>
    <row r="2539">
      <c r="D2539" t="str">
        <f>IFERROR(__xludf.DUMMYFUNCTION("""COMPUTED_VALUE"""),"Blackson")</f>
        <v>Blackson</v>
      </c>
      <c r="E2539" t="str">
        <f>IFERROR(__xludf.DUMMYFUNCTION("""COMPUTED_VALUE"""),"Angelo")</f>
        <v>Angelo</v>
      </c>
      <c r="F2539" t="str">
        <f>IFERROR(__xludf.DUMMYFUNCTION("""COMPUTED_VALUE"""),"LE")</f>
        <v>LE</v>
      </c>
      <c r="G2539">
        <f>IFERROR(__xludf.DUMMYFUNCTION("""COMPUTED_VALUE"""),12.600000000000001)</f>
        <v>12.6</v>
      </c>
    </row>
    <row r="2540">
      <c r="D2540" t="str">
        <f>IFERROR(__xludf.DUMMYFUNCTION("""COMPUTED_VALUE"""),"Blair III")</f>
        <v>Blair III</v>
      </c>
      <c r="E2540" t="str">
        <f>IFERROR(__xludf.DUMMYFUNCTION("""COMPUTED_VALUE"""),"Ronald")</f>
        <v>Ronald</v>
      </c>
      <c r="F2540" t="str">
        <f>IFERROR(__xludf.DUMMYFUNCTION("""COMPUTED_VALUE"""),"LE")</f>
        <v>LE</v>
      </c>
      <c r="G2540">
        <f>IFERROR(__xludf.DUMMYFUNCTION("""COMPUTED_VALUE"""),13.4)</f>
        <v>13.4</v>
      </c>
    </row>
    <row r="2541">
      <c r="D2541" t="str">
        <f>IFERROR(__xludf.DUMMYFUNCTION("""COMPUTED_VALUE"""),"Blake")</f>
        <v>Blake</v>
      </c>
      <c r="E2541" t="str">
        <f>IFERROR(__xludf.DUMMYFUNCTION("""COMPUTED_VALUE"""),"Valentino")</f>
        <v>Valentino</v>
      </c>
      <c r="F2541" t="str">
        <f>IFERROR(__xludf.DUMMYFUNCTION("""COMPUTED_VALUE"""),"CB")</f>
        <v>CB</v>
      </c>
      <c r="G2541">
        <f>IFERROR(__xludf.DUMMYFUNCTION("""COMPUTED_VALUE"""),14.4)</f>
        <v>14.4</v>
      </c>
    </row>
    <row r="2542">
      <c r="D2542" t="str">
        <f>IFERROR(__xludf.DUMMYFUNCTION("""COMPUTED_VALUE"""),"Blanton")</f>
        <v>Blanton</v>
      </c>
      <c r="E2542" t="str">
        <f>IFERROR(__xludf.DUMMYFUNCTION("""COMPUTED_VALUE"""),"Robert")</f>
        <v>Robert</v>
      </c>
      <c r="F2542" t="str">
        <f>IFERROR(__xludf.DUMMYFUNCTION("""COMPUTED_VALUE"""),"SS")</f>
        <v>SS</v>
      </c>
      <c r="G2542">
        <f>IFERROR(__xludf.DUMMYFUNCTION("""COMPUTED_VALUE"""),14.4)</f>
        <v>14.4</v>
      </c>
    </row>
    <row r="2543">
      <c r="D2543" t="str">
        <f>IFERROR(__xludf.DUMMYFUNCTION("""COMPUTED_VALUE"""),"Blount")</f>
        <v>Blount</v>
      </c>
      <c r="E2543" t="str">
        <f>IFERROR(__xludf.DUMMYFUNCTION("""COMPUTED_VALUE"""),"LeGarrette")</f>
        <v>LeGarrette</v>
      </c>
      <c r="F2543" t="str">
        <f>IFERROR(__xludf.DUMMYFUNCTION("""COMPUTED_VALUE"""),"HB")</f>
        <v>HB</v>
      </c>
      <c r="G2543">
        <f>IFERROR(__xludf.DUMMYFUNCTION("""COMPUTED_VALUE"""),17.0)</f>
        <v>17</v>
      </c>
    </row>
    <row r="2544">
      <c r="D2544" t="str">
        <f>IFERROR(__xludf.DUMMYFUNCTION("""COMPUTED_VALUE"""),"Blue")</f>
        <v>Blue</v>
      </c>
      <c r="E2544" t="str">
        <f>IFERROR(__xludf.DUMMYFUNCTION("""COMPUTED_VALUE"""),"Alfred")</f>
        <v>Alfred</v>
      </c>
      <c r="F2544" t="str">
        <f>IFERROR(__xludf.DUMMYFUNCTION("""COMPUTED_VALUE"""),"HB")</f>
        <v>HB</v>
      </c>
      <c r="G2544">
        <f>IFERROR(__xludf.DUMMYFUNCTION("""COMPUTED_VALUE"""),15.0)</f>
        <v>15</v>
      </c>
    </row>
    <row r="2545">
      <c r="D2545" t="str">
        <f>IFERROR(__xludf.DUMMYFUNCTION("""COMPUTED_VALUE"""),"Blythe")</f>
        <v>Blythe</v>
      </c>
      <c r="E2545" t="str">
        <f>IFERROR(__xludf.DUMMYFUNCTION("""COMPUTED_VALUE"""),"Austin")</f>
        <v>Austin</v>
      </c>
      <c r="F2545" t="str">
        <f>IFERROR(__xludf.DUMMYFUNCTION("""COMPUTED_VALUE"""),"C")</f>
        <v>C</v>
      </c>
      <c r="G2545">
        <f>IFERROR(__xludf.DUMMYFUNCTION("""COMPUTED_VALUE"""),12.4)</f>
        <v>12.4</v>
      </c>
    </row>
    <row r="2546">
      <c r="D2546" t="str">
        <f>IFERROR(__xludf.DUMMYFUNCTION("""COMPUTED_VALUE"""),"Boddy-Calhoun")</f>
        <v>Boddy-Calhoun</v>
      </c>
      <c r="E2546" t="str">
        <f>IFERROR(__xludf.DUMMYFUNCTION("""COMPUTED_VALUE"""),"Briean")</f>
        <v>Briean</v>
      </c>
      <c r="F2546" t="str">
        <f>IFERROR(__xludf.DUMMYFUNCTION("""COMPUTED_VALUE"""),"CB")</f>
        <v>CB</v>
      </c>
      <c r="G2546">
        <f>IFERROR(__xludf.DUMMYFUNCTION("""COMPUTED_VALUE"""),14.200000000000001)</f>
        <v>14.2</v>
      </c>
    </row>
    <row r="2547">
      <c r="D2547" t="str">
        <f>IFERROR(__xludf.DUMMYFUNCTION("""COMPUTED_VALUE"""),"Bodine")</f>
        <v>Bodine</v>
      </c>
      <c r="E2547" t="str">
        <f>IFERROR(__xludf.DUMMYFUNCTION("""COMPUTED_VALUE"""),"Russell")</f>
        <v>Russell</v>
      </c>
      <c r="F2547" t="str">
        <f>IFERROR(__xludf.DUMMYFUNCTION("""COMPUTED_VALUE"""),"C")</f>
        <v>C</v>
      </c>
      <c r="G2547">
        <f>IFERROR(__xludf.DUMMYFUNCTION("""COMPUTED_VALUE"""),15.600000000000001)</f>
        <v>15.6</v>
      </c>
    </row>
    <row r="2548">
      <c r="D2548" t="str">
        <f>IFERROR(__xludf.DUMMYFUNCTION("""COMPUTED_VALUE"""),"Boehm")</f>
        <v>Boehm</v>
      </c>
      <c r="E2548" t="str">
        <f>IFERROR(__xludf.DUMMYFUNCTION("""COMPUTED_VALUE"""),"Evan")</f>
        <v>Evan</v>
      </c>
      <c r="F2548" t="str">
        <f>IFERROR(__xludf.DUMMYFUNCTION("""COMPUTED_VALUE"""),"LG")</f>
        <v>LG</v>
      </c>
      <c r="G2548">
        <f>IFERROR(__xludf.DUMMYFUNCTION("""COMPUTED_VALUE"""),13.600000000000001)</f>
        <v>13.6</v>
      </c>
    </row>
    <row r="2549">
      <c r="D2549" t="str">
        <f>IFERROR(__xludf.DUMMYFUNCTION("""COMPUTED_VALUE"""),"Boehringer")</f>
        <v>Boehringer</v>
      </c>
      <c r="E2549" t="str">
        <f>IFERROR(__xludf.DUMMYFUNCTION("""COMPUTED_VALUE"""),"Moritz")</f>
        <v>Moritz</v>
      </c>
      <c r="F2549" t="str">
        <f>IFERROR(__xludf.DUMMYFUNCTION("""COMPUTED_VALUE"""),"WR")</f>
        <v>WR</v>
      </c>
      <c r="G2549">
        <f>IFERROR(__xludf.DUMMYFUNCTION("""COMPUTED_VALUE"""),12.4)</f>
        <v>12.4</v>
      </c>
    </row>
    <row r="2550">
      <c r="D2550" t="str">
        <f>IFERROR(__xludf.DUMMYFUNCTION("""COMPUTED_VALUE"""),"Bohanon")</f>
        <v>Bohanon</v>
      </c>
      <c r="E2550" t="str">
        <f>IFERROR(__xludf.DUMMYFUNCTION("""COMPUTED_VALUE"""),"Tommy")</f>
        <v>Tommy</v>
      </c>
      <c r="F2550" t="str">
        <f>IFERROR(__xludf.DUMMYFUNCTION("""COMPUTED_VALUE"""),"FB")</f>
        <v>FB</v>
      </c>
      <c r="G2550">
        <f>IFERROR(__xludf.DUMMYFUNCTION("""COMPUTED_VALUE"""),13.8)</f>
        <v>13.8</v>
      </c>
    </row>
    <row r="2551">
      <c r="D2551" t="str">
        <f>IFERROR(__xludf.DUMMYFUNCTION("""COMPUTED_VALUE"""),"Bolden")</f>
        <v>Bolden</v>
      </c>
      <c r="E2551" t="str">
        <f>IFERROR(__xludf.DUMMYFUNCTION("""COMPUTED_VALUE"""),"Brandon")</f>
        <v>Brandon</v>
      </c>
      <c r="F2551" t="str">
        <f>IFERROR(__xludf.DUMMYFUNCTION("""COMPUTED_VALUE"""),"HB")</f>
        <v>HB</v>
      </c>
      <c r="G2551">
        <f>IFERROR(__xludf.DUMMYFUNCTION("""COMPUTED_VALUE"""),14.4)</f>
        <v>14.4</v>
      </c>
    </row>
    <row r="2552">
      <c r="D2552" t="str">
        <f>IFERROR(__xludf.DUMMYFUNCTION("""COMPUTED_VALUE"""),"Bolden Jr")</f>
        <v>Bolden Jr</v>
      </c>
      <c r="E2552" t="str">
        <f>IFERROR(__xludf.DUMMYFUNCTION("""COMPUTED_VALUE"""),"Victor")</f>
        <v>Victor</v>
      </c>
      <c r="F2552" t="str">
        <f>IFERROR(__xludf.DUMMYFUNCTION("""COMPUTED_VALUE"""),"WR")</f>
        <v>WR</v>
      </c>
      <c r="G2552">
        <f>IFERROR(__xludf.DUMMYFUNCTION("""COMPUTED_VALUE"""),12.200000000000001)</f>
        <v>12.2</v>
      </c>
    </row>
    <row r="2553">
      <c r="D2553" t="str">
        <f>IFERROR(__xludf.DUMMYFUNCTION("""COMPUTED_VALUE"""),"Boling")</f>
        <v>Boling</v>
      </c>
      <c r="E2553" t="str">
        <f>IFERROR(__xludf.DUMMYFUNCTION("""COMPUTED_VALUE"""),"Clint")</f>
        <v>Clint</v>
      </c>
      <c r="F2553" t="str">
        <f>IFERROR(__xludf.DUMMYFUNCTION("""COMPUTED_VALUE"""),"LG")</f>
        <v>LG</v>
      </c>
      <c r="G2553">
        <f>IFERROR(__xludf.DUMMYFUNCTION("""COMPUTED_VALUE"""),15.4)</f>
        <v>15.4</v>
      </c>
    </row>
    <row r="2554">
      <c r="D2554" t="str">
        <f>IFERROR(__xludf.DUMMYFUNCTION("""COMPUTED_VALUE"""),"Bolles")</f>
        <v>Bolles</v>
      </c>
      <c r="E2554" t="str">
        <f>IFERROR(__xludf.DUMMYFUNCTION("""COMPUTED_VALUE"""),"Garett")</f>
        <v>Garett</v>
      </c>
      <c r="F2554" t="str">
        <f>IFERROR(__xludf.DUMMYFUNCTION("""COMPUTED_VALUE"""),"LT")</f>
        <v>LT</v>
      </c>
      <c r="G2554">
        <f>IFERROR(__xludf.DUMMYFUNCTION("""COMPUTED_VALUE"""),15.4)</f>
        <v>15.4</v>
      </c>
    </row>
    <row r="2555">
      <c r="D2555" t="str">
        <f>IFERROR(__xludf.DUMMYFUNCTION("""COMPUTED_VALUE"""),"Bond")</f>
        <v>Bond</v>
      </c>
      <c r="E2555" t="str">
        <f>IFERROR(__xludf.DUMMYFUNCTION("""COMPUTED_VALUE"""),"Devante")</f>
        <v>Devante</v>
      </c>
      <c r="F2555" t="str">
        <f>IFERROR(__xludf.DUMMYFUNCTION("""COMPUTED_VALUE"""),"ROLB")</f>
        <v>ROLB</v>
      </c>
      <c r="G2555">
        <f>IFERROR(__xludf.DUMMYFUNCTION("""COMPUTED_VALUE"""),12.4)</f>
        <v>12.4</v>
      </c>
    </row>
    <row r="2556">
      <c r="D2556" t="str">
        <f>IFERROR(__xludf.DUMMYFUNCTION("""COMPUTED_VALUE"""),"Booker")</f>
        <v>Booker</v>
      </c>
      <c r="E2556" t="str">
        <f>IFERROR(__xludf.DUMMYFUNCTION("""COMPUTED_VALUE"""),"Devontae")</f>
        <v>Devontae</v>
      </c>
      <c r="F2556" t="str">
        <f>IFERROR(__xludf.DUMMYFUNCTION("""COMPUTED_VALUE"""),"HB")</f>
        <v>HB</v>
      </c>
      <c r="G2556">
        <f>IFERROR(__xludf.DUMMYFUNCTION("""COMPUTED_VALUE"""),14.600000000000001)</f>
        <v>14.6</v>
      </c>
    </row>
    <row r="2557">
      <c r="D2557" t="str">
        <f>IFERROR(__xludf.DUMMYFUNCTION("""COMPUTED_VALUE"""),"Boone")</f>
        <v>Boone</v>
      </c>
      <c r="E2557" t="str">
        <f>IFERROR(__xludf.DUMMYFUNCTION("""COMPUTED_VALUE"""),"Alex")</f>
        <v>Alex</v>
      </c>
      <c r="F2557" t="str">
        <f>IFERROR(__xludf.DUMMYFUNCTION("""COMPUTED_VALUE"""),"LG")</f>
        <v>LG</v>
      </c>
      <c r="G2557">
        <f>IFERROR(__xludf.DUMMYFUNCTION("""COMPUTED_VALUE"""),15.8)</f>
        <v>15.8</v>
      </c>
    </row>
    <row r="2558">
      <c r="D2558" t="str">
        <f>IFERROR(__xludf.DUMMYFUNCTION("""COMPUTED_VALUE"""),"Bortles")</f>
        <v>Bortles</v>
      </c>
      <c r="E2558" t="str">
        <f>IFERROR(__xludf.DUMMYFUNCTION("""COMPUTED_VALUE"""),"Blake")</f>
        <v>Blake</v>
      </c>
      <c r="F2558" t="str">
        <f>IFERROR(__xludf.DUMMYFUNCTION("""COMPUTED_VALUE"""),"QB")</f>
        <v>QB</v>
      </c>
      <c r="G2558">
        <f>IFERROR(__xludf.DUMMYFUNCTION("""COMPUTED_VALUE"""),15.4)</f>
        <v>15.4</v>
      </c>
    </row>
    <row r="2559">
      <c r="D2559" t="str">
        <f>IFERROR(__xludf.DUMMYFUNCTION("""COMPUTED_VALUE"""),"Bosa")</f>
        <v>Bosa</v>
      </c>
      <c r="E2559" t="str">
        <f>IFERROR(__xludf.DUMMYFUNCTION("""COMPUTED_VALUE"""),"Joey")</f>
        <v>Joey</v>
      </c>
      <c r="F2559" t="str">
        <f>IFERROR(__xludf.DUMMYFUNCTION("""COMPUTED_VALUE"""),"LE")</f>
        <v>LE</v>
      </c>
      <c r="G2559">
        <f>IFERROR(__xludf.DUMMYFUNCTION("""COMPUTED_VALUE"""),17.6)</f>
        <v>17.6</v>
      </c>
    </row>
    <row r="2560">
      <c r="D2560" t="str">
        <f>IFERROR(__xludf.DUMMYFUNCTION("""COMPUTED_VALUE"""),"Bosher")</f>
        <v>Bosher</v>
      </c>
      <c r="E2560" t="str">
        <f>IFERROR(__xludf.DUMMYFUNCTION("""COMPUTED_VALUE"""),"Matt")</f>
        <v>Matt</v>
      </c>
      <c r="F2560" t="str">
        <f>IFERROR(__xludf.DUMMYFUNCTION("""COMPUTED_VALUE"""),"P")</f>
        <v>P</v>
      </c>
      <c r="G2560">
        <f>IFERROR(__xludf.DUMMYFUNCTION("""COMPUTED_VALUE"""),16.400000000000002)</f>
        <v>16.4</v>
      </c>
    </row>
    <row r="2561">
      <c r="D2561" t="str">
        <f>IFERROR(__xludf.DUMMYFUNCTION("""COMPUTED_VALUE"""),"Bostic")</f>
        <v>Bostic</v>
      </c>
      <c r="E2561" t="str">
        <f>IFERROR(__xludf.DUMMYFUNCTION("""COMPUTED_VALUE"""),"Jon")</f>
        <v>Jon</v>
      </c>
      <c r="F2561" t="str">
        <f>IFERROR(__xludf.DUMMYFUNCTION("""COMPUTED_VALUE"""),"MLB")</f>
        <v>MLB</v>
      </c>
      <c r="G2561">
        <f>IFERROR(__xludf.DUMMYFUNCTION("""COMPUTED_VALUE"""),13.600000000000001)</f>
        <v>13.6</v>
      </c>
    </row>
    <row r="2562">
      <c r="D2562" t="str">
        <f>IFERROR(__xludf.DUMMYFUNCTION("""COMPUTED_VALUE"""),"Boston")</f>
        <v>Boston</v>
      </c>
      <c r="E2562" t="str">
        <f>IFERROR(__xludf.DUMMYFUNCTION("""COMPUTED_VALUE"""),"Tre")</f>
        <v>Tre</v>
      </c>
      <c r="F2562" t="str">
        <f>IFERROR(__xludf.DUMMYFUNCTION("""COMPUTED_VALUE"""),"FS")</f>
        <v>FS</v>
      </c>
      <c r="G2562">
        <f>IFERROR(__xludf.DUMMYFUNCTION("""COMPUTED_VALUE"""),15.8)</f>
        <v>15.8</v>
      </c>
    </row>
    <row r="2563">
      <c r="D2563" t="str">
        <f>IFERROR(__xludf.DUMMYFUNCTION("""COMPUTED_VALUE"""),"Boswell")</f>
        <v>Boswell</v>
      </c>
      <c r="E2563" t="str">
        <f>IFERROR(__xludf.DUMMYFUNCTION("""COMPUTED_VALUE"""),"Chris")</f>
        <v>Chris</v>
      </c>
      <c r="F2563" t="str">
        <f>IFERROR(__xludf.DUMMYFUNCTION("""COMPUTED_VALUE"""),"K")</f>
        <v>K</v>
      </c>
      <c r="G2563">
        <f>IFERROR(__xludf.DUMMYFUNCTION("""COMPUTED_VALUE"""),16.400000000000002)</f>
        <v>16.4</v>
      </c>
    </row>
    <row r="2564">
      <c r="D2564" t="str">
        <f>IFERROR(__xludf.DUMMYFUNCTION("""COMPUTED_VALUE"""),"Boulware")</f>
        <v>Boulware</v>
      </c>
      <c r="E2564" t="str">
        <f>IFERROR(__xludf.DUMMYFUNCTION("""COMPUTED_VALUE"""),"Ben")</f>
        <v>Ben</v>
      </c>
      <c r="F2564" t="str">
        <f>IFERROR(__xludf.DUMMYFUNCTION("""COMPUTED_VALUE"""),"MLB")</f>
        <v>MLB</v>
      </c>
      <c r="G2564">
        <f>IFERROR(__xludf.DUMMYFUNCTION("""COMPUTED_VALUE"""),12.200000000000001)</f>
        <v>12.2</v>
      </c>
    </row>
    <row r="2565">
      <c r="D2565" t="str">
        <f>IFERROR(__xludf.DUMMYFUNCTION("""COMPUTED_VALUE"""),"Bouye")</f>
        <v>Bouye</v>
      </c>
      <c r="E2565" t="str">
        <f>IFERROR(__xludf.DUMMYFUNCTION("""COMPUTED_VALUE"""),"AJ")</f>
        <v>AJ</v>
      </c>
      <c r="F2565" t="str">
        <f>IFERROR(__xludf.DUMMYFUNCTION("""COMPUTED_VALUE"""),"CB")</f>
        <v>CB</v>
      </c>
      <c r="G2565">
        <f>IFERROR(__xludf.DUMMYFUNCTION("""COMPUTED_VALUE"""),17.6)</f>
        <v>17.6</v>
      </c>
    </row>
    <row r="2566">
      <c r="D2566" t="str">
        <f>IFERROR(__xludf.DUMMYFUNCTION("""COMPUTED_VALUE"""),"Bowanko")</f>
        <v>Bowanko</v>
      </c>
      <c r="E2566" t="str">
        <f>IFERROR(__xludf.DUMMYFUNCTION("""COMPUTED_VALUE"""),"Luke")</f>
        <v>Luke</v>
      </c>
      <c r="F2566" t="str">
        <f>IFERROR(__xludf.DUMMYFUNCTION("""COMPUTED_VALUE"""),"C")</f>
        <v>C</v>
      </c>
      <c r="G2566">
        <f>IFERROR(__xludf.DUMMYFUNCTION("""COMPUTED_VALUE"""),14.0)</f>
        <v>14</v>
      </c>
    </row>
    <row r="2567">
      <c r="D2567" t="str">
        <f>IFERROR(__xludf.DUMMYFUNCTION("""COMPUTED_VALUE"""),"Bower")</f>
        <v>Bower</v>
      </c>
      <c r="E2567" t="str">
        <f>IFERROR(__xludf.DUMMYFUNCTION("""COMPUTED_VALUE"""),"Tashawn")</f>
        <v>Tashawn</v>
      </c>
      <c r="F2567" t="str">
        <f>IFERROR(__xludf.DUMMYFUNCTION("""COMPUTED_VALUE"""),"LE")</f>
        <v>LE</v>
      </c>
      <c r="G2567">
        <f>IFERROR(__xludf.DUMMYFUNCTION("""COMPUTED_VALUE"""),12.4)</f>
        <v>12.4</v>
      </c>
    </row>
    <row r="2568">
      <c r="D2568" t="str">
        <f>IFERROR(__xludf.DUMMYFUNCTION("""COMPUTED_VALUE"""),"Bowie")</f>
        <v>Bowie</v>
      </c>
      <c r="E2568" t="str">
        <f>IFERROR(__xludf.DUMMYFUNCTION("""COMPUTED_VALUE"""),"Michael")</f>
        <v>Michael</v>
      </c>
      <c r="F2568" t="str">
        <f>IFERROR(__xludf.DUMMYFUNCTION("""COMPUTED_VALUE"""),"LT")</f>
        <v>LT</v>
      </c>
      <c r="G2568">
        <f>IFERROR(__xludf.DUMMYFUNCTION("""COMPUTED_VALUE"""),13.4)</f>
        <v>13.4</v>
      </c>
    </row>
    <row r="2569">
      <c r="D2569" t="str">
        <f>IFERROR(__xludf.DUMMYFUNCTION("""COMPUTED_VALUE"""),"Bowman")</f>
        <v>Bowman</v>
      </c>
      <c r="E2569" t="str">
        <f>IFERROR(__xludf.DUMMYFUNCTION("""COMPUTED_VALUE"""),"NaVorro")</f>
        <v>NaVorro</v>
      </c>
      <c r="F2569" t="str">
        <f>IFERROR(__xludf.DUMMYFUNCTION("""COMPUTED_VALUE"""),"MLB")</f>
        <v>MLB</v>
      </c>
      <c r="G2569">
        <f>IFERROR(__xludf.DUMMYFUNCTION("""COMPUTED_VALUE"""),17.6)</f>
        <v>17.6</v>
      </c>
    </row>
    <row r="2570">
      <c r="D2570" t="str">
        <f>IFERROR(__xludf.DUMMYFUNCTION("""COMPUTED_VALUE"""),"Bowser")</f>
        <v>Bowser</v>
      </c>
      <c r="E2570" t="str">
        <f>IFERROR(__xludf.DUMMYFUNCTION("""COMPUTED_VALUE"""),"Tyus")</f>
        <v>Tyus</v>
      </c>
      <c r="F2570" t="str">
        <f>IFERROR(__xludf.DUMMYFUNCTION("""COMPUTED_VALUE"""),"LOLB")</f>
        <v>LOLB</v>
      </c>
      <c r="G2570">
        <f>IFERROR(__xludf.DUMMYFUNCTION("""COMPUTED_VALUE"""),14.200000000000001)</f>
        <v>14.2</v>
      </c>
    </row>
    <row r="2571">
      <c r="D2571" t="str">
        <f>IFERROR(__xludf.DUMMYFUNCTION("""COMPUTED_VALUE"""),"Boyce")</f>
        <v>Boyce</v>
      </c>
      <c r="E2571" t="str">
        <f>IFERROR(__xludf.DUMMYFUNCTION("""COMPUTED_VALUE"""),"Josh")</f>
        <v>Josh</v>
      </c>
      <c r="F2571" t="str">
        <f>IFERROR(__xludf.DUMMYFUNCTION("""COMPUTED_VALUE"""),"WR")</f>
        <v>WR</v>
      </c>
      <c r="G2571">
        <f>IFERROR(__xludf.DUMMYFUNCTION("""COMPUTED_VALUE"""),12.8)</f>
        <v>12.8</v>
      </c>
    </row>
    <row r="2572">
      <c r="D2572" t="str">
        <f>IFERROR(__xludf.DUMMYFUNCTION("""COMPUTED_VALUE"""),"Boyd")</f>
        <v>Boyd</v>
      </c>
      <c r="E2572" t="str">
        <f>IFERROR(__xludf.DUMMYFUNCTION("""COMPUTED_VALUE"""),"Josh")</f>
        <v>Josh</v>
      </c>
      <c r="F2572" t="str">
        <f>IFERROR(__xludf.DUMMYFUNCTION("""COMPUTED_VALUE"""),"DT")</f>
        <v>DT</v>
      </c>
      <c r="G2572">
        <f>IFERROR(__xludf.DUMMYFUNCTION("""COMPUTED_VALUE"""),14.200000000000001)</f>
        <v>14.2</v>
      </c>
    </row>
    <row r="2573">
      <c r="D2573" t="str">
        <f>IFERROR(__xludf.DUMMYFUNCTION("""COMPUTED_VALUE"""),"Boyd")</f>
        <v>Boyd</v>
      </c>
      <c r="E2573" t="str">
        <f>IFERROR(__xludf.DUMMYFUNCTION("""COMPUTED_VALUE"""),"Tyler")</f>
        <v>Tyler</v>
      </c>
      <c r="F2573" t="str">
        <f>IFERROR(__xludf.DUMMYFUNCTION("""COMPUTED_VALUE"""),"WR")</f>
        <v>WR</v>
      </c>
      <c r="G2573">
        <f>IFERROR(__xludf.DUMMYFUNCTION("""COMPUTED_VALUE"""),14.8)</f>
        <v>14.8</v>
      </c>
    </row>
    <row r="2574">
      <c r="D2574" t="str">
        <f>IFERROR(__xludf.DUMMYFUNCTION("""COMPUTED_VALUE"""),"Boykin")</f>
        <v>Boykin</v>
      </c>
      <c r="E2574" t="str">
        <f>IFERROR(__xludf.DUMMYFUNCTION("""COMPUTED_VALUE"""),"Brandon")</f>
        <v>Brandon</v>
      </c>
      <c r="F2574" t="str">
        <f>IFERROR(__xludf.DUMMYFUNCTION("""COMPUTED_VALUE"""),"CB")</f>
        <v>CB</v>
      </c>
      <c r="G2574">
        <f>IFERROR(__xludf.DUMMYFUNCTION("""COMPUTED_VALUE"""),14.200000000000001)</f>
        <v>14.2</v>
      </c>
    </row>
    <row r="2575">
      <c r="D2575" t="str">
        <f>IFERROR(__xludf.DUMMYFUNCTION("""COMPUTED_VALUE"""),"Boykin")</f>
        <v>Boykin</v>
      </c>
      <c r="E2575" t="str">
        <f>IFERROR(__xludf.DUMMYFUNCTION("""COMPUTED_VALUE"""),"Trevone")</f>
        <v>Trevone</v>
      </c>
      <c r="F2575" t="str">
        <f>IFERROR(__xludf.DUMMYFUNCTION("""COMPUTED_VALUE"""),"QB")</f>
        <v>QB</v>
      </c>
      <c r="G2575">
        <f>IFERROR(__xludf.DUMMYFUNCTION("""COMPUTED_VALUE"""),12.8)</f>
        <v>12.8</v>
      </c>
    </row>
    <row r="2576">
      <c r="D2576" t="str">
        <f>IFERROR(__xludf.DUMMYFUNCTION("""COMPUTED_VALUE"""),"Boykins")</f>
        <v>Boykins</v>
      </c>
      <c r="E2576" t="str">
        <f>IFERROR(__xludf.DUMMYFUNCTION("""COMPUTED_VALUE"""),"Jeremy")</f>
        <v>Jeremy</v>
      </c>
      <c r="F2576" t="str">
        <f>IFERROR(__xludf.DUMMYFUNCTION("""COMPUTED_VALUE"""),"CB")</f>
        <v>CB</v>
      </c>
      <c r="G2576">
        <f>IFERROR(__xludf.DUMMYFUNCTION("""COMPUTED_VALUE"""),11.8)</f>
        <v>11.8</v>
      </c>
    </row>
    <row r="2577">
      <c r="D2577" t="str">
        <f>IFERROR(__xludf.DUMMYFUNCTION("""COMPUTED_VALUE"""),"Boyle")</f>
        <v>Boyle</v>
      </c>
      <c r="E2577" t="str">
        <f>IFERROR(__xludf.DUMMYFUNCTION("""COMPUTED_VALUE"""),"Nick")</f>
        <v>Nick</v>
      </c>
      <c r="F2577" t="str">
        <f>IFERROR(__xludf.DUMMYFUNCTION("""COMPUTED_VALUE"""),"TE")</f>
        <v>TE</v>
      </c>
      <c r="G2577">
        <f>IFERROR(__xludf.DUMMYFUNCTION("""COMPUTED_VALUE"""),15.0)</f>
        <v>15</v>
      </c>
    </row>
    <row r="2578">
      <c r="D2578" t="str">
        <f>IFERROR(__xludf.DUMMYFUNCTION("""COMPUTED_VALUE"""),"Bradberry")</f>
        <v>Bradberry</v>
      </c>
      <c r="E2578" t="str">
        <f>IFERROR(__xludf.DUMMYFUNCTION("""COMPUTED_VALUE"""),"James")</f>
        <v>James</v>
      </c>
      <c r="F2578" t="str">
        <f>IFERROR(__xludf.DUMMYFUNCTION("""COMPUTED_VALUE"""),"CB")</f>
        <v>CB</v>
      </c>
      <c r="G2578">
        <f>IFERROR(__xludf.DUMMYFUNCTION("""COMPUTED_VALUE"""),16.2)</f>
        <v>16.2</v>
      </c>
    </row>
    <row r="2579">
      <c r="D2579" t="str">
        <f>IFERROR(__xludf.DUMMYFUNCTION("""COMPUTED_VALUE"""),"Braden")</f>
        <v>Braden</v>
      </c>
      <c r="E2579" t="str">
        <f>IFERROR(__xludf.DUMMYFUNCTION("""COMPUTED_VALUE"""),"Ben")</f>
        <v>Ben</v>
      </c>
      <c r="F2579" t="str">
        <f>IFERROR(__xludf.DUMMYFUNCTION("""COMPUTED_VALUE"""),"LG")</f>
        <v>LG</v>
      </c>
      <c r="G2579">
        <f>IFERROR(__xludf.DUMMYFUNCTION("""COMPUTED_VALUE"""),12.600000000000001)</f>
        <v>12.6</v>
      </c>
    </row>
    <row r="2580">
      <c r="D2580" t="str">
        <f>IFERROR(__xludf.DUMMYFUNCTION("""COMPUTED_VALUE"""),"Bradford")</f>
        <v>Bradford</v>
      </c>
      <c r="E2580" t="str">
        <f>IFERROR(__xludf.DUMMYFUNCTION("""COMPUTED_VALUE"""),"Carl")</f>
        <v>Carl</v>
      </c>
      <c r="F2580" t="str">
        <f>IFERROR(__xludf.DUMMYFUNCTION("""COMPUTED_VALUE"""),"ROLB")</f>
        <v>ROLB</v>
      </c>
      <c r="G2580">
        <f>IFERROR(__xludf.DUMMYFUNCTION("""COMPUTED_VALUE"""),14.4)</f>
        <v>14.4</v>
      </c>
    </row>
    <row r="2581">
      <c r="D2581" t="str">
        <f>IFERROR(__xludf.DUMMYFUNCTION("""COMPUTED_VALUE"""),"Bradford")</f>
        <v>Bradford</v>
      </c>
      <c r="E2581" t="str">
        <f>IFERROR(__xludf.DUMMYFUNCTION("""COMPUTED_VALUE"""),"Sam")</f>
        <v>Sam</v>
      </c>
      <c r="F2581" t="str">
        <f>IFERROR(__xludf.DUMMYFUNCTION("""COMPUTED_VALUE"""),"QB")</f>
        <v>QB</v>
      </c>
      <c r="G2581">
        <f>IFERROR(__xludf.DUMMYFUNCTION("""COMPUTED_VALUE"""),16.6)</f>
        <v>16.6</v>
      </c>
    </row>
    <row r="2582">
      <c r="D2582" t="str">
        <f>IFERROR(__xludf.DUMMYFUNCTION("""COMPUTED_VALUE"""),"Bradham")</f>
        <v>Bradham</v>
      </c>
      <c r="E2582" t="str">
        <f>IFERROR(__xludf.DUMMYFUNCTION("""COMPUTED_VALUE"""),"Nigel")</f>
        <v>Nigel</v>
      </c>
      <c r="F2582" t="str">
        <f>IFERROR(__xludf.DUMMYFUNCTION("""COMPUTED_VALUE"""),"LOLB")</f>
        <v>LOLB</v>
      </c>
      <c r="G2582">
        <f>IFERROR(__xludf.DUMMYFUNCTION("""COMPUTED_VALUE"""),16.8)</f>
        <v>16.8</v>
      </c>
    </row>
    <row r="2583">
      <c r="D2583" t="str">
        <f>IFERROR(__xludf.DUMMYFUNCTION("""COMPUTED_VALUE"""),"Brady")</f>
        <v>Brady</v>
      </c>
      <c r="E2583" t="str">
        <f>IFERROR(__xludf.DUMMYFUNCTION("""COMPUTED_VALUE"""),"Tom")</f>
        <v>Tom</v>
      </c>
      <c r="F2583" t="str">
        <f>IFERROR(__xludf.DUMMYFUNCTION("""COMPUTED_VALUE"""),"QB")</f>
        <v>QB</v>
      </c>
      <c r="G2583">
        <f>IFERROR(__xludf.DUMMYFUNCTION("""COMPUTED_VALUE"""),19.8)</f>
        <v>19.8</v>
      </c>
    </row>
    <row r="2584">
      <c r="D2584" t="str">
        <f>IFERROR(__xludf.DUMMYFUNCTION("""COMPUTED_VALUE"""),"Branch")</f>
        <v>Branch</v>
      </c>
      <c r="E2584" t="str">
        <f>IFERROR(__xludf.DUMMYFUNCTION("""COMPUTED_VALUE"""),"Alan")</f>
        <v>Alan</v>
      </c>
      <c r="F2584" t="str">
        <f>IFERROR(__xludf.DUMMYFUNCTION("""COMPUTED_VALUE"""),"DT")</f>
        <v>DT</v>
      </c>
      <c r="G2584">
        <f>IFERROR(__xludf.DUMMYFUNCTION("""COMPUTED_VALUE"""),16.6)</f>
        <v>16.6</v>
      </c>
    </row>
    <row r="2585">
      <c r="D2585" t="str">
        <f>IFERROR(__xludf.DUMMYFUNCTION("""COMPUTED_VALUE"""),"Branch")</f>
        <v>Branch</v>
      </c>
      <c r="E2585" t="str">
        <f>IFERROR(__xludf.DUMMYFUNCTION("""COMPUTED_VALUE"""),"Andre")</f>
        <v>Andre</v>
      </c>
      <c r="F2585" t="str">
        <f>IFERROR(__xludf.DUMMYFUNCTION("""COMPUTED_VALUE"""),"LE")</f>
        <v>LE</v>
      </c>
      <c r="G2585">
        <f>IFERROR(__xludf.DUMMYFUNCTION("""COMPUTED_VALUE"""),15.600000000000001)</f>
        <v>15.6</v>
      </c>
    </row>
    <row r="2586">
      <c r="D2586" t="str">
        <f>IFERROR(__xludf.DUMMYFUNCTION("""COMPUTED_VALUE"""),"Branch")</f>
        <v>Branch</v>
      </c>
      <c r="E2586" t="str">
        <f>IFERROR(__xludf.DUMMYFUNCTION("""COMPUTED_VALUE"""),"Tyvon")</f>
        <v>Tyvon</v>
      </c>
      <c r="F2586" t="str">
        <f>IFERROR(__xludf.DUMMYFUNCTION("""COMPUTED_VALUE"""),"SS")</f>
        <v>SS</v>
      </c>
      <c r="G2586">
        <f>IFERROR(__xludf.DUMMYFUNCTION("""COMPUTED_VALUE"""),15.4)</f>
        <v>15.4</v>
      </c>
    </row>
    <row r="2587">
      <c r="D2587" t="str">
        <f>IFERROR(__xludf.DUMMYFUNCTION("""COMPUTED_VALUE"""),"Brantley")</f>
        <v>Brantley</v>
      </c>
      <c r="E2587" t="str">
        <f>IFERROR(__xludf.DUMMYFUNCTION("""COMPUTED_VALUE"""),"Caleb")</f>
        <v>Caleb</v>
      </c>
      <c r="F2587" t="str">
        <f>IFERROR(__xludf.DUMMYFUNCTION("""COMPUTED_VALUE"""),"DT")</f>
        <v>DT</v>
      </c>
      <c r="G2587">
        <f>IFERROR(__xludf.DUMMYFUNCTION("""COMPUTED_VALUE"""),14.0)</f>
        <v>14</v>
      </c>
    </row>
    <row r="2588">
      <c r="D2588" t="str">
        <f>IFERROR(__xludf.DUMMYFUNCTION("""COMPUTED_VALUE"""),"Brate")</f>
        <v>Brate</v>
      </c>
      <c r="E2588" t="str">
        <f>IFERROR(__xludf.DUMMYFUNCTION("""COMPUTED_VALUE"""),"Cameron")</f>
        <v>Cameron</v>
      </c>
      <c r="F2588" t="str">
        <f>IFERROR(__xludf.DUMMYFUNCTION("""COMPUTED_VALUE"""),"TE")</f>
        <v>TE</v>
      </c>
      <c r="G2588">
        <f>IFERROR(__xludf.DUMMYFUNCTION("""COMPUTED_VALUE"""),16.6)</f>
        <v>16.6</v>
      </c>
    </row>
    <row r="2589">
      <c r="D2589" t="str">
        <f>IFERROR(__xludf.DUMMYFUNCTION("""COMPUTED_VALUE"""),"Braverman")</f>
        <v>Braverman</v>
      </c>
      <c r="E2589" t="str">
        <f>IFERROR(__xludf.DUMMYFUNCTION("""COMPUTED_VALUE"""),"Daniel")</f>
        <v>Daniel</v>
      </c>
      <c r="F2589" t="str">
        <f>IFERROR(__xludf.DUMMYFUNCTION("""COMPUTED_VALUE"""),"WR")</f>
        <v>WR</v>
      </c>
      <c r="G2589">
        <f>IFERROR(__xludf.DUMMYFUNCTION("""COMPUTED_VALUE"""),13.0)</f>
        <v>13</v>
      </c>
    </row>
    <row r="2590">
      <c r="D2590" t="str">
        <f>IFERROR(__xludf.DUMMYFUNCTION("""COMPUTED_VALUE"""),"Bray")</f>
        <v>Bray</v>
      </c>
      <c r="E2590" t="str">
        <f>IFERROR(__xludf.DUMMYFUNCTION("""COMPUTED_VALUE"""),"Quan")</f>
        <v>Quan</v>
      </c>
      <c r="F2590" t="str">
        <f>IFERROR(__xludf.DUMMYFUNCTION("""COMPUTED_VALUE"""),"WR")</f>
        <v>WR</v>
      </c>
      <c r="G2590">
        <f>IFERROR(__xludf.DUMMYFUNCTION("""COMPUTED_VALUE"""),13.0)</f>
        <v>13</v>
      </c>
    </row>
    <row r="2591">
      <c r="D2591" t="str">
        <f>IFERROR(__xludf.DUMMYFUNCTION("""COMPUTED_VALUE"""),"Bray")</f>
        <v>Bray</v>
      </c>
      <c r="E2591" t="str">
        <f>IFERROR(__xludf.DUMMYFUNCTION("""COMPUTED_VALUE"""),"Tyler")</f>
        <v>Tyler</v>
      </c>
      <c r="F2591" t="str">
        <f>IFERROR(__xludf.DUMMYFUNCTION("""COMPUTED_VALUE"""),"QB")</f>
        <v>QB</v>
      </c>
      <c r="G2591">
        <f>IFERROR(__xludf.DUMMYFUNCTION("""COMPUTED_VALUE"""),12.0)</f>
        <v>12</v>
      </c>
    </row>
    <row r="2592">
      <c r="D2592" t="str">
        <f>IFERROR(__xludf.DUMMYFUNCTION("""COMPUTED_VALUE"""),"Breaux")</f>
        <v>Breaux</v>
      </c>
      <c r="E2592" t="str">
        <f>IFERROR(__xludf.DUMMYFUNCTION("""COMPUTED_VALUE"""),"Delvin")</f>
        <v>Delvin</v>
      </c>
      <c r="F2592" t="str">
        <f>IFERROR(__xludf.DUMMYFUNCTION("""COMPUTED_VALUE"""),"CB")</f>
        <v>CB</v>
      </c>
      <c r="G2592">
        <f>IFERROR(__xludf.DUMMYFUNCTION("""COMPUTED_VALUE"""),15.8)</f>
        <v>15.8</v>
      </c>
    </row>
    <row r="2593">
      <c r="D2593" t="str">
        <f>IFERROR(__xludf.DUMMYFUNCTION("""COMPUTED_VALUE"""),"Breeland")</f>
        <v>Breeland</v>
      </c>
      <c r="E2593" t="str">
        <f>IFERROR(__xludf.DUMMYFUNCTION("""COMPUTED_VALUE"""),"Bashaud")</f>
        <v>Bashaud</v>
      </c>
      <c r="F2593" t="str">
        <f>IFERROR(__xludf.DUMMYFUNCTION("""COMPUTED_VALUE"""),"CB")</f>
        <v>CB</v>
      </c>
      <c r="G2593">
        <f>IFERROR(__xludf.DUMMYFUNCTION("""COMPUTED_VALUE"""),15.0)</f>
        <v>15</v>
      </c>
    </row>
    <row r="2594">
      <c r="D2594" t="str">
        <f>IFERROR(__xludf.DUMMYFUNCTION("""COMPUTED_VALUE"""),"Brees")</f>
        <v>Brees</v>
      </c>
      <c r="E2594" t="str">
        <f>IFERROR(__xludf.DUMMYFUNCTION("""COMPUTED_VALUE"""),"Drew")</f>
        <v>Drew</v>
      </c>
      <c r="F2594" t="str">
        <f>IFERROR(__xludf.DUMMYFUNCTION("""COMPUTED_VALUE"""),"QB")</f>
        <v>QB</v>
      </c>
      <c r="G2594">
        <f>IFERROR(__xludf.DUMMYFUNCTION("""COMPUTED_VALUE"""),18.400000000000002)</f>
        <v>18.4</v>
      </c>
    </row>
    <row r="2595">
      <c r="D2595" t="str">
        <f>IFERROR(__xludf.DUMMYFUNCTION("""COMPUTED_VALUE"""),"Brendel")</f>
        <v>Brendel</v>
      </c>
      <c r="E2595" t="str">
        <f>IFERROR(__xludf.DUMMYFUNCTION("""COMPUTED_VALUE"""),"Jake")</f>
        <v>Jake</v>
      </c>
      <c r="F2595" t="str">
        <f>IFERROR(__xludf.DUMMYFUNCTION("""COMPUTED_VALUE"""),"C")</f>
        <v>C</v>
      </c>
      <c r="G2595">
        <f>IFERROR(__xludf.DUMMYFUNCTION("""COMPUTED_VALUE"""),12.0)</f>
        <v>12</v>
      </c>
    </row>
    <row r="2596">
      <c r="D2596" t="str">
        <f>IFERROR(__xludf.DUMMYFUNCTION("""COMPUTED_VALUE"""),"Brent")</f>
        <v>Brent</v>
      </c>
      <c r="E2596" t="str">
        <f>IFERROR(__xludf.DUMMYFUNCTION("""COMPUTED_VALUE"""),"KJ")</f>
        <v>KJ</v>
      </c>
      <c r="F2596" t="str">
        <f>IFERROR(__xludf.DUMMYFUNCTION("""COMPUTED_VALUE"""),"WR")</f>
        <v>WR</v>
      </c>
      <c r="G2596">
        <f>IFERROR(__xludf.DUMMYFUNCTION("""COMPUTED_VALUE"""),12.4)</f>
        <v>12.4</v>
      </c>
    </row>
    <row r="2597">
      <c r="D2597" t="str">
        <f>IFERROR(__xludf.DUMMYFUNCTION("""COMPUTED_VALUE"""),"Brewer")</f>
        <v>Brewer</v>
      </c>
      <c r="E2597" t="str">
        <f>IFERROR(__xludf.DUMMYFUNCTION("""COMPUTED_VALUE"""),"Aaron")</f>
        <v>Aaron</v>
      </c>
      <c r="F2597" t="str">
        <f>IFERROR(__xludf.DUMMYFUNCTION("""COMPUTED_VALUE"""),"TE")</f>
        <v>TE</v>
      </c>
      <c r="G2597">
        <f>IFERROR(__xludf.DUMMYFUNCTION("""COMPUTED_VALUE"""),9.0)</f>
        <v>9</v>
      </c>
    </row>
    <row r="2598">
      <c r="D2598" t="str">
        <f>IFERROR(__xludf.DUMMYFUNCTION("""COMPUTED_VALUE"""),"Brice")</f>
        <v>Brice</v>
      </c>
      <c r="E2598" t="str">
        <f>IFERROR(__xludf.DUMMYFUNCTION("""COMPUTED_VALUE"""),"Kentrell")</f>
        <v>Kentrell</v>
      </c>
      <c r="F2598" t="str">
        <f>IFERROR(__xludf.DUMMYFUNCTION("""COMPUTED_VALUE"""),"FS")</f>
        <v>FS</v>
      </c>
      <c r="G2598">
        <f>IFERROR(__xludf.DUMMYFUNCTION("""COMPUTED_VALUE"""),13.600000000000001)</f>
        <v>13.6</v>
      </c>
    </row>
    <row r="2599">
      <c r="D2599" t="str">
        <f>IFERROR(__xludf.DUMMYFUNCTION("""COMPUTED_VALUE"""),"Bridgewater")</f>
        <v>Bridgewater</v>
      </c>
      <c r="E2599" t="str">
        <f>IFERROR(__xludf.DUMMYFUNCTION("""COMPUTED_VALUE"""),"Teddy")</f>
        <v>Teddy</v>
      </c>
      <c r="F2599" t="str">
        <f>IFERROR(__xludf.DUMMYFUNCTION("""COMPUTED_VALUE"""),"QB")</f>
        <v>QB</v>
      </c>
      <c r="G2599">
        <f>IFERROR(__xludf.DUMMYFUNCTION("""COMPUTED_VALUE"""),15.8)</f>
        <v>15.8</v>
      </c>
    </row>
    <row r="2600">
      <c r="D2600" t="str">
        <f>IFERROR(__xludf.DUMMYFUNCTION("""COMPUTED_VALUE"""),"Brinkley")</f>
        <v>Brinkley</v>
      </c>
      <c r="E2600" t="str">
        <f>IFERROR(__xludf.DUMMYFUNCTION("""COMPUTED_VALUE"""),"Beau")</f>
        <v>Beau</v>
      </c>
      <c r="F2600" t="str">
        <f>IFERROR(__xludf.DUMMYFUNCTION("""COMPUTED_VALUE"""),"TE")</f>
        <v>TE</v>
      </c>
      <c r="G2600">
        <f>IFERROR(__xludf.DUMMYFUNCTION("""COMPUTED_VALUE"""),9.200000000000001)</f>
        <v>9.2</v>
      </c>
    </row>
    <row r="2601">
      <c r="D2601" t="str">
        <f>IFERROR(__xludf.DUMMYFUNCTION("""COMPUTED_VALUE"""),"Brissett")</f>
        <v>Brissett</v>
      </c>
      <c r="E2601" t="str">
        <f>IFERROR(__xludf.DUMMYFUNCTION("""COMPUTED_VALUE"""),"Jacoby")</f>
        <v>Jacoby</v>
      </c>
      <c r="F2601" t="str">
        <f>IFERROR(__xludf.DUMMYFUNCTION("""COMPUTED_VALUE"""),"QB")</f>
        <v>QB</v>
      </c>
      <c r="G2601">
        <f>IFERROR(__xludf.DUMMYFUNCTION("""COMPUTED_VALUE"""),14.4)</f>
        <v>14.4</v>
      </c>
    </row>
    <row r="2602">
      <c r="D2602" t="str">
        <f>IFERROR(__xludf.DUMMYFUNCTION("""COMPUTED_VALUE"""),"Britt")</f>
        <v>Britt</v>
      </c>
      <c r="E2602" t="str">
        <f>IFERROR(__xludf.DUMMYFUNCTION("""COMPUTED_VALUE"""),"Justin")</f>
        <v>Justin</v>
      </c>
      <c r="F2602" t="str">
        <f>IFERROR(__xludf.DUMMYFUNCTION("""COMPUTED_VALUE"""),"C")</f>
        <v>C</v>
      </c>
      <c r="G2602">
        <f>IFERROR(__xludf.DUMMYFUNCTION("""COMPUTED_VALUE"""),16.0)</f>
        <v>16</v>
      </c>
    </row>
    <row r="2603">
      <c r="D2603" t="str">
        <f>IFERROR(__xludf.DUMMYFUNCTION("""COMPUTED_VALUE"""),"Britt")</f>
        <v>Britt</v>
      </c>
      <c r="E2603" t="str">
        <f>IFERROR(__xludf.DUMMYFUNCTION("""COMPUTED_VALUE"""),"Kenny")</f>
        <v>Kenny</v>
      </c>
      <c r="F2603" t="str">
        <f>IFERROR(__xludf.DUMMYFUNCTION("""COMPUTED_VALUE"""),"WR")</f>
        <v>WR</v>
      </c>
      <c r="G2603">
        <f>IFERROR(__xludf.DUMMYFUNCTION("""COMPUTED_VALUE"""),16.400000000000002)</f>
        <v>16.4</v>
      </c>
    </row>
    <row r="2604">
      <c r="D2604" t="str">
        <f>IFERROR(__xludf.DUMMYFUNCTION("""COMPUTED_VALUE"""),"Brockers")</f>
        <v>Brockers</v>
      </c>
      <c r="E2604" t="str">
        <f>IFERROR(__xludf.DUMMYFUNCTION("""COMPUTED_VALUE"""),"Michael")</f>
        <v>Michael</v>
      </c>
      <c r="F2604" t="str">
        <f>IFERROR(__xludf.DUMMYFUNCTION("""COMPUTED_VALUE"""),"DT")</f>
        <v>DT</v>
      </c>
      <c r="G2604">
        <f>IFERROR(__xludf.DUMMYFUNCTION("""COMPUTED_VALUE"""),16.2)</f>
        <v>16.2</v>
      </c>
    </row>
    <row r="2605">
      <c r="D2605" t="str">
        <f>IFERROR(__xludf.DUMMYFUNCTION("""COMPUTED_VALUE"""),"Bromley")</f>
        <v>Bromley</v>
      </c>
      <c r="E2605" t="str">
        <f>IFERROR(__xludf.DUMMYFUNCTION("""COMPUTED_VALUE"""),"Jay")</f>
        <v>Jay</v>
      </c>
      <c r="F2605" t="str">
        <f>IFERROR(__xludf.DUMMYFUNCTION("""COMPUTED_VALUE"""),"DT")</f>
        <v>DT</v>
      </c>
      <c r="G2605">
        <f>IFERROR(__xludf.DUMMYFUNCTION("""COMPUTED_VALUE"""),13.4)</f>
        <v>13.4</v>
      </c>
    </row>
    <row r="2606">
      <c r="D2606" t="str">
        <f>IFERROR(__xludf.DUMMYFUNCTION("""COMPUTED_VALUE"""),"Brooks")</f>
        <v>Brooks</v>
      </c>
      <c r="E2606" t="str">
        <f>IFERROR(__xludf.DUMMYFUNCTION("""COMPUTED_VALUE"""),"Ahmad")</f>
        <v>Ahmad</v>
      </c>
      <c r="F2606" t="str">
        <f>IFERROR(__xludf.DUMMYFUNCTION("""COMPUTED_VALUE"""),"LOLB")</f>
        <v>LOLB</v>
      </c>
      <c r="G2606">
        <f>IFERROR(__xludf.DUMMYFUNCTION("""COMPUTED_VALUE"""),15.0)</f>
        <v>15</v>
      </c>
    </row>
    <row r="2607">
      <c r="D2607" t="str">
        <f>IFERROR(__xludf.DUMMYFUNCTION("""COMPUTED_VALUE"""),"Brooks")</f>
        <v>Brooks</v>
      </c>
      <c r="E2607" t="str">
        <f>IFERROR(__xludf.DUMMYFUNCTION("""COMPUTED_VALUE"""),"Brandon")</f>
        <v>Brandon</v>
      </c>
      <c r="F2607" t="str">
        <f>IFERROR(__xludf.DUMMYFUNCTION("""COMPUTED_VALUE"""),"RG")</f>
        <v>RG</v>
      </c>
      <c r="G2607">
        <f>IFERROR(__xludf.DUMMYFUNCTION("""COMPUTED_VALUE"""),17.8)</f>
        <v>17.8</v>
      </c>
    </row>
    <row r="2608">
      <c r="D2608" t="str">
        <f>IFERROR(__xludf.DUMMYFUNCTION("""COMPUTED_VALUE"""),"Brooks")</f>
        <v>Brooks</v>
      </c>
      <c r="E2608" t="str">
        <f>IFERROR(__xludf.DUMMYFUNCTION("""COMPUTED_VALUE"""),"Ron")</f>
        <v>Ron</v>
      </c>
      <c r="F2608" t="str">
        <f>IFERROR(__xludf.DUMMYFUNCTION("""COMPUTED_VALUE"""),"CB")</f>
        <v>CB</v>
      </c>
      <c r="G2608">
        <f>IFERROR(__xludf.DUMMYFUNCTION("""COMPUTED_VALUE"""),14.0)</f>
        <v>14</v>
      </c>
    </row>
    <row r="2609">
      <c r="D2609" t="str">
        <f>IFERROR(__xludf.DUMMYFUNCTION("""COMPUTED_VALUE"""),"Brooks")</f>
        <v>Brooks</v>
      </c>
      <c r="E2609" t="str">
        <f>IFERROR(__xludf.DUMMYFUNCTION("""COMPUTED_VALUE"""),"Terrence")</f>
        <v>Terrence</v>
      </c>
      <c r="F2609" t="str">
        <f>IFERROR(__xludf.DUMMYFUNCTION("""COMPUTED_VALUE"""),"SS")</f>
        <v>SS</v>
      </c>
      <c r="G2609">
        <f>IFERROR(__xludf.DUMMYFUNCTION("""COMPUTED_VALUE"""),14.0)</f>
        <v>14</v>
      </c>
    </row>
    <row r="2610">
      <c r="D2610" t="str">
        <f>IFERROR(__xludf.DUMMYFUNCTION("""COMPUTED_VALUE"""),"Brothers")</f>
        <v>Brothers</v>
      </c>
      <c r="E2610" t="str">
        <f>IFERROR(__xludf.DUMMYFUNCTION("""COMPUTED_VALUE"""),"Kentrell")</f>
        <v>Kentrell</v>
      </c>
      <c r="F2610" t="str">
        <f>IFERROR(__xludf.DUMMYFUNCTION("""COMPUTED_VALUE"""),"ROLB")</f>
        <v>ROLB</v>
      </c>
      <c r="G2610">
        <f>IFERROR(__xludf.DUMMYFUNCTION("""COMPUTED_VALUE"""),13.200000000000001)</f>
        <v>13.2</v>
      </c>
    </row>
    <row r="2611">
      <c r="D2611" t="str">
        <f>IFERROR(__xludf.DUMMYFUNCTION("""COMPUTED_VALUE"""),"Brown")</f>
        <v>Brown</v>
      </c>
      <c r="E2611" t="str">
        <f>IFERROR(__xludf.DUMMYFUNCTION("""COMPUTED_VALUE"""),"Algernon")</f>
        <v>Algernon</v>
      </c>
      <c r="F2611" t="str">
        <f>IFERROR(__xludf.DUMMYFUNCTION("""COMPUTED_VALUE"""),"FB")</f>
        <v>FB</v>
      </c>
      <c r="G2611">
        <f>IFERROR(__xludf.DUMMYFUNCTION("""COMPUTED_VALUE"""),14.600000000000001)</f>
        <v>14.6</v>
      </c>
    </row>
    <row r="2612">
      <c r="D2612" t="str">
        <f>IFERROR(__xludf.DUMMYFUNCTION("""COMPUTED_VALUE"""),"Brown")</f>
        <v>Brown</v>
      </c>
      <c r="E2612" t="str">
        <f>IFERROR(__xludf.DUMMYFUNCTION("""COMPUTED_VALUE"""),"Anthony")</f>
        <v>Anthony</v>
      </c>
      <c r="F2612" t="str">
        <f>IFERROR(__xludf.DUMMYFUNCTION("""COMPUTED_VALUE"""),"CB")</f>
        <v>CB</v>
      </c>
      <c r="G2612">
        <f>IFERROR(__xludf.DUMMYFUNCTION("""COMPUTED_VALUE"""),15.8)</f>
        <v>15.8</v>
      </c>
    </row>
    <row r="2613">
      <c r="D2613" t="str">
        <f>IFERROR(__xludf.DUMMYFUNCTION("""COMPUTED_VALUE"""),"Brown")</f>
        <v>Brown</v>
      </c>
      <c r="E2613" t="str">
        <f>IFERROR(__xludf.DUMMYFUNCTION("""COMPUTED_VALUE"""),"Antonio")</f>
        <v>Antonio</v>
      </c>
      <c r="F2613" t="str">
        <f>IFERROR(__xludf.DUMMYFUNCTION("""COMPUTED_VALUE"""),"WR")</f>
        <v>WR</v>
      </c>
      <c r="G2613">
        <f>IFERROR(__xludf.DUMMYFUNCTION("""COMPUTED_VALUE"""),19.400000000000002)</f>
        <v>19.4</v>
      </c>
    </row>
    <row r="2614">
      <c r="D2614" t="str">
        <f>IFERROR(__xludf.DUMMYFUNCTION("""COMPUTED_VALUE"""),"Brown")</f>
        <v>Brown</v>
      </c>
      <c r="E2614" t="str">
        <f>IFERROR(__xludf.DUMMYFUNCTION("""COMPUTED_VALUE"""),"Arthur")</f>
        <v>Arthur</v>
      </c>
      <c r="F2614" t="str">
        <f>IFERROR(__xludf.DUMMYFUNCTION("""COMPUTED_VALUE"""),"MLB")</f>
        <v>MLB</v>
      </c>
      <c r="G2614">
        <f>IFERROR(__xludf.DUMMYFUNCTION("""COMPUTED_VALUE"""),13.8)</f>
        <v>13.8</v>
      </c>
    </row>
    <row r="2615">
      <c r="D2615" t="str">
        <f>IFERROR(__xludf.DUMMYFUNCTION("""COMPUTED_VALUE"""),"Brown")</f>
        <v>Brown</v>
      </c>
      <c r="E2615" t="str">
        <f>IFERROR(__xludf.DUMMYFUNCTION("""COMPUTED_VALUE"""),"Blair")</f>
        <v>Blair</v>
      </c>
      <c r="F2615" t="str">
        <f>IFERROR(__xludf.DUMMYFUNCTION("""COMPUTED_VALUE"""),"LOLB")</f>
        <v>LOLB</v>
      </c>
      <c r="G2615">
        <f>IFERROR(__xludf.DUMMYFUNCTION("""COMPUTED_VALUE"""),13.600000000000001)</f>
        <v>13.6</v>
      </c>
    </row>
    <row r="2616">
      <c r="D2616" t="str">
        <f>IFERROR(__xludf.DUMMYFUNCTION("""COMPUTED_VALUE"""),"Brown")</f>
        <v>Brown</v>
      </c>
      <c r="E2616" t="str">
        <f>IFERROR(__xludf.DUMMYFUNCTION("""COMPUTED_VALUE"""),"Chris")</f>
        <v>Chris</v>
      </c>
      <c r="F2616" t="str">
        <f>IFERROR(__xludf.DUMMYFUNCTION("""COMPUTED_VALUE"""),"WR")</f>
        <v>WR</v>
      </c>
      <c r="G2616">
        <f>IFERROR(__xludf.DUMMYFUNCTION("""COMPUTED_VALUE"""),12.200000000000001)</f>
        <v>12.2</v>
      </c>
    </row>
    <row r="2617">
      <c r="D2617" t="str">
        <f>IFERROR(__xludf.DUMMYFUNCTION("""COMPUTED_VALUE"""),"Brown")</f>
        <v>Brown</v>
      </c>
      <c r="E2617" t="str">
        <f>IFERROR(__xludf.DUMMYFUNCTION("""COMPUTED_VALUE"""),"DaRon")</f>
        <v>DaRon</v>
      </c>
      <c r="F2617" t="str">
        <f>IFERROR(__xludf.DUMMYFUNCTION("""COMPUTED_VALUE"""),"WR")</f>
        <v>WR</v>
      </c>
      <c r="G2617">
        <f>IFERROR(__xludf.DUMMYFUNCTION("""COMPUTED_VALUE"""),11.4)</f>
        <v>11.4</v>
      </c>
    </row>
    <row r="2618">
      <c r="D2618" t="str">
        <f>IFERROR(__xludf.DUMMYFUNCTION("""COMPUTED_VALUE"""),"Brown")</f>
        <v>Brown</v>
      </c>
      <c r="E2618" t="str">
        <f>IFERROR(__xludf.DUMMYFUNCTION("""COMPUTED_VALUE"""),"DeAngelo")</f>
        <v>DeAngelo</v>
      </c>
      <c r="F2618" t="str">
        <f>IFERROR(__xludf.DUMMYFUNCTION("""COMPUTED_VALUE"""),"DT")</f>
        <v>DT</v>
      </c>
      <c r="G2618">
        <f>IFERROR(__xludf.DUMMYFUNCTION("""COMPUTED_VALUE"""),13.200000000000001)</f>
        <v>13.2</v>
      </c>
    </row>
    <row r="2619">
      <c r="D2619" t="str">
        <f>IFERROR(__xludf.DUMMYFUNCTION("""COMPUTED_VALUE"""),"Brown")</f>
        <v>Brown</v>
      </c>
      <c r="E2619" t="str">
        <f>IFERROR(__xludf.DUMMYFUNCTION("""COMPUTED_VALUE"""),"Donatello")</f>
        <v>Donatello</v>
      </c>
      <c r="F2619" t="str">
        <f>IFERROR(__xludf.DUMMYFUNCTION("""COMPUTED_VALUE"""),"CB")</f>
        <v>CB</v>
      </c>
      <c r="G2619">
        <f>IFERROR(__xludf.DUMMYFUNCTION("""COMPUTED_VALUE"""),12.4)</f>
        <v>12.4</v>
      </c>
    </row>
    <row r="2620">
      <c r="D2620" t="str">
        <f>IFERROR(__xludf.DUMMYFUNCTION("""COMPUTED_VALUE"""),"Brown")</f>
        <v>Brown</v>
      </c>
      <c r="E2620" t="str">
        <f>IFERROR(__xludf.DUMMYFUNCTION("""COMPUTED_VALUE"""),"Duane")</f>
        <v>Duane</v>
      </c>
      <c r="F2620" t="str">
        <f>IFERROR(__xludf.DUMMYFUNCTION("""COMPUTED_VALUE"""),"LT")</f>
        <v>LT</v>
      </c>
      <c r="G2620">
        <f>IFERROR(__xludf.DUMMYFUNCTION("""COMPUTED_VALUE"""),17.2)</f>
        <v>17.2</v>
      </c>
    </row>
    <row r="2621">
      <c r="D2621" t="str">
        <f>IFERROR(__xludf.DUMMYFUNCTION("""COMPUTED_VALUE"""),"Brown")</f>
        <v>Brown</v>
      </c>
      <c r="E2621" t="str">
        <f>IFERROR(__xludf.DUMMYFUNCTION("""COMPUTED_VALUE"""),"Fadol")</f>
        <v>Fadol</v>
      </c>
      <c r="F2621" t="str">
        <f>IFERROR(__xludf.DUMMYFUNCTION("""COMPUTED_VALUE"""),"LE")</f>
        <v>LE</v>
      </c>
      <c r="G2621">
        <f>IFERROR(__xludf.DUMMYFUNCTION("""COMPUTED_VALUE"""),12.4)</f>
        <v>12.4</v>
      </c>
    </row>
    <row r="2622">
      <c r="D2622" t="str">
        <f>IFERROR(__xludf.DUMMYFUNCTION("""COMPUTED_VALUE"""),"Brown")</f>
        <v>Brown</v>
      </c>
      <c r="E2622" t="str">
        <f>IFERROR(__xludf.DUMMYFUNCTION("""COMPUTED_VALUE"""),"Jamon")</f>
        <v>Jamon</v>
      </c>
      <c r="F2622" t="str">
        <f>IFERROR(__xludf.DUMMYFUNCTION("""COMPUTED_VALUE"""),"LG")</f>
        <v>LG</v>
      </c>
      <c r="G2622">
        <f>IFERROR(__xludf.DUMMYFUNCTION("""COMPUTED_VALUE"""),13.8)</f>
        <v>13.8</v>
      </c>
    </row>
    <row r="2623">
      <c r="D2623" t="str">
        <f>IFERROR(__xludf.DUMMYFUNCTION("""COMPUTED_VALUE"""),"Brown")</f>
        <v>Brown</v>
      </c>
      <c r="E2623" t="str">
        <f>IFERROR(__xludf.DUMMYFUNCTION("""COMPUTED_VALUE"""),"Jaron")</f>
        <v>Jaron</v>
      </c>
      <c r="F2623" t="str">
        <f>IFERROR(__xludf.DUMMYFUNCTION("""COMPUTED_VALUE"""),"WR")</f>
        <v>WR</v>
      </c>
      <c r="G2623">
        <f>IFERROR(__xludf.DUMMYFUNCTION("""COMPUTED_VALUE"""),14.8)</f>
        <v>14.8</v>
      </c>
    </row>
    <row r="2624">
      <c r="D2624" t="str">
        <f>IFERROR(__xludf.DUMMYFUNCTION("""COMPUTED_VALUE"""),"Brown")</f>
        <v>Brown</v>
      </c>
      <c r="E2624" t="str">
        <f>IFERROR(__xludf.DUMMYFUNCTION("""COMPUTED_VALUE"""),"Jatavis")</f>
        <v>Jatavis</v>
      </c>
      <c r="F2624" t="str">
        <f>IFERROR(__xludf.DUMMYFUNCTION("""COMPUTED_VALUE"""),"LOLB")</f>
        <v>LOLB</v>
      </c>
      <c r="G2624">
        <f>IFERROR(__xludf.DUMMYFUNCTION("""COMPUTED_VALUE"""),16.0)</f>
        <v>16</v>
      </c>
    </row>
    <row r="2625">
      <c r="D2625" t="str">
        <f>IFERROR(__xludf.DUMMYFUNCTION("""COMPUTED_VALUE"""),"Brown")</f>
        <v>Brown</v>
      </c>
      <c r="E2625" t="str">
        <f>IFERROR(__xludf.DUMMYFUNCTION("""COMPUTED_VALUE"""),"Jayon")</f>
        <v>Jayon</v>
      </c>
      <c r="F2625" t="str">
        <f>IFERROR(__xludf.DUMMYFUNCTION("""COMPUTED_VALUE"""),"MLB")</f>
        <v>MLB</v>
      </c>
      <c r="G2625">
        <f>IFERROR(__xludf.DUMMYFUNCTION("""COMPUTED_VALUE"""),12.8)</f>
        <v>12.8</v>
      </c>
    </row>
    <row r="2626">
      <c r="D2626" t="str">
        <f>IFERROR(__xludf.DUMMYFUNCTION("""COMPUTED_VALUE"""),"Brown")</f>
        <v>Brown</v>
      </c>
      <c r="E2626" t="str">
        <f>IFERROR(__xludf.DUMMYFUNCTION("""COMPUTED_VALUE"""),"John")</f>
        <v>John</v>
      </c>
      <c r="F2626" t="str">
        <f>IFERROR(__xludf.DUMMYFUNCTION("""COMPUTED_VALUE"""),"WR")</f>
        <v>WR</v>
      </c>
      <c r="G2626">
        <f>IFERROR(__xludf.DUMMYFUNCTION("""COMPUTED_VALUE"""),16.8)</f>
        <v>16.8</v>
      </c>
    </row>
    <row r="2627">
      <c r="D2627" t="str">
        <f>IFERROR(__xludf.DUMMYFUNCTION("""COMPUTED_VALUE"""),"Brown")</f>
        <v>Brown</v>
      </c>
      <c r="E2627" t="str">
        <f>IFERROR(__xludf.DUMMYFUNCTION("""COMPUTED_VALUE"""),"Mack")</f>
        <v>Mack</v>
      </c>
      <c r="F2627" t="str">
        <f>IFERROR(__xludf.DUMMYFUNCTION("""COMPUTED_VALUE"""),"HB")</f>
        <v>HB</v>
      </c>
      <c r="G2627">
        <f>IFERROR(__xludf.DUMMYFUNCTION("""COMPUTED_VALUE"""),13.200000000000001)</f>
        <v>13.2</v>
      </c>
    </row>
    <row r="2628">
      <c r="D2628" t="str">
        <f>IFERROR(__xludf.DUMMYFUNCTION("""COMPUTED_VALUE"""),"Brown")</f>
        <v>Brown</v>
      </c>
      <c r="E2628" t="str">
        <f>IFERROR(__xludf.DUMMYFUNCTION("""COMPUTED_VALUE"""),"Malcolm")</f>
        <v>Malcolm</v>
      </c>
      <c r="F2628" t="str">
        <f>IFERROR(__xludf.DUMMYFUNCTION("""COMPUTED_VALUE"""),"HB")</f>
        <v>HB</v>
      </c>
      <c r="G2628">
        <f>IFERROR(__xludf.DUMMYFUNCTION("""COMPUTED_VALUE"""),13.0)</f>
        <v>13</v>
      </c>
    </row>
    <row r="2629">
      <c r="D2629" t="str">
        <f>IFERROR(__xludf.DUMMYFUNCTION("""COMPUTED_VALUE"""),"Brown")</f>
        <v>Brown</v>
      </c>
      <c r="E2629" t="str">
        <f>IFERROR(__xludf.DUMMYFUNCTION("""COMPUTED_VALUE"""),"Malcom")</f>
        <v>Malcom</v>
      </c>
      <c r="F2629" t="str">
        <f>IFERROR(__xludf.DUMMYFUNCTION("""COMPUTED_VALUE"""),"DT")</f>
        <v>DT</v>
      </c>
      <c r="G2629">
        <f>IFERROR(__xludf.DUMMYFUNCTION("""COMPUTED_VALUE"""),15.600000000000001)</f>
        <v>15.6</v>
      </c>
    </row>
    <row r="2630">
      <c r="D2630" t="str">
        <f>IFERROR(__xludf.DUMMYFUNCTION("""COMPUTED_VALUE"""),"Brown")</f>
        <v>Brown</v>
      </c>
      <c r="E2630" t="str">
        <f>IFERROR(__xludf.DUMMYFUNCTION("""COMPUTED_VALUE"""),"Marlon")</f>
        <v>Marlon</v>
      </c>
      <c r="F2630" t="str">
        <f>IFERROR(__xludf.DUMMYFUNCTION("""COMPUTED_VALUE"""),"WR")</f>
        <v>WR</v>
      </c>
      <c r="G2630">
        <f>IFERROR(__xludf.DUMMYFUNCTION("""COMPUTED_VALUE"""),14.200000000000001)</f>
        <v>14.2</v>
      </c>
    </row>
    <row r="2631">
      <c r="D2631" t="str">
        <f>IFERROR(__xludf.DUMMYFUNCTION("""COMPUTED_VALUE"""),"Brown")</f>
        <v>Brown</v>
      </c>
      <c r="E2631" t="str">
        <f>IFERROR(__xludf.DUMMYFUNCTION("""COMPUTED_VALUE"""),"Noah")</f>
        <v>Noah</v>
      </c>
      <c r="F2631" t="str">
        <f>IFERROR(__xludf.DUMMYFUNCTION("""COMPUTED_VALUE"""),"WR")</f>
        <v>WR</v>
      </c>
      <c r="G2631">
        <f>IFERROR(__xludf.DUMMYFUNCTION("""COMPUTED_VALUE"""),13.4)</f>
        <v>13.4</v>
      </c>
    </row>
    <row r="2632">
      <c r="D2632" t="str">
        <f>IFERROR(__xludf.DUMMYFUNCTION("""COMPUTED_VALUE"""),"Brown")</f>
        <v>Brown</v>
      </c>
      <c r="E2632" t="str">
        <f>IFERROR(__xludf.DUMMYFUNCTION("""COMPUTED_VALUE"""),"Pharaoh")</f>
        <v>Pharaoh</v>
      </c>
      <c r="F2632" t="str">
        <f>IFERROR(__xludf.DUMMYFUNCTION("""COMPUTED_VALUE"""),"TE")</f>
        <v>TE</v>
      </c>
      <c r="G2632">
        <f>IFERROR(__xludf.DUMMYFUNCTION("""COMPUTED_VALUE"""),13.600000000000001)</f>
        <v>13.6</v>
      </c>
    </row>
    <row r="2633">
      <c r="D2633" t="str">
        <f>IFERROR(__xludf.DUMMYFUNCTION("""COMPUTED_VALUE"""),"Brown")</f>
        <v>Brown</v>
      </c>
      <c r="E2633" t="str">
        <f>IFERROR(__xludf.DUMMYFUNCTION("""COMPUTED_VALUE"""),"Philly")</f>
        <v>Philly</v>
      </c>
      <c r="F2633" t="str">
        <f>IFERROR(__xludf.DUMMYFUNCTION("""COMPUTED_VALUE"""),"WR")</f>
        <v>WR</v>
      </c>
      <c r="G2633">
        <f>IFERROR(__xludf.DUMMYFUNCTION("""COMPUTED_VALUE"""),15.4)</f>
        <v>15.4</v>
      </c>
    </row>
    <row r="2634">
      <c r="D2634" t="str">
        <f>IFERROR(__xludf.DUMMYFUNCTION("""COMPUTED_VALUE"""),"Brown")</f>
        <v>Brown</v>
      </c>
      <c r="E2634" t="str">
        <f>IFERROR(__xludf.DUMMYFUNCTION("""COMPUTED_VALUE"""),"Preston")</f>
        <v>Preston</v>
      </c>
      <c r="F2634" t="str">
        <f>IFERROR(__xludf.DUMMYFUNCTION("""COMPUTED_VALUE"""),"MLB")</f>
        <v>MLB</v>
      </c>
      <c r="G2634">
        <f>IFERROR(__xludf.DUMMYFUNCTION("""COMPUTED_VALUE"""),14.8)</f>
        <v>14.8</v>
      </c>
    </row>
    <row r="2635">
      <c r="D2635" t="str">
        <f>IFERROR(__xludf.DUMMYFUNCTION("""COMPUTED_VALUE"""),"Brown")</f>
        <v>Brown</v>
      </c>
      <c r="E2635" t="str">
        <f>IFERROR(__xludf.DUMMYFUNCTION("""COMPUTED_VALUE"""),"Ryan")</f>
        <v>Ryan</v>
      </c>
      <c r="F2635" t="str">
        <f>IFERROR(__xludf.DUMMYFUNCTION("""COMPUTED_VALUE"""),"LE")</f>
        <v>LE</v>
      </c>
      <c r="G2635">
        <f>IFERROR(__xludf.DUMMYFUNCTION("""COMPUTED_VALUE"""),11.8)</f>
        <v>11.8</v>
      </c>
    </row>
    <row r="2636">
      <c r="D2636" t="str">
        <f>IFERROR(__xludf.DUMMYFUNCTION("""COMPUTED_VALUE"""),"Brown")</f>
        <v>Brown</v>
      </c>
      <c r="E2636" t="str">
        <f>IFERROR(__xludf.DUMMYFUNCTION("""COMPUTED_VALUE"""),"Trent")</f>
        <v>Trent</v>
      </c>
      <c r="F2636" t="str">
        <f>IFERROR(__xludf.DUMMYFUNCTION("""COMPUTED_VALUE"""),"RT")</f>
        <v>RT</v>
      </c>
      <c r="G2636">
        <f>IFERROR(__xludf.DUMMYFUNCTION("""COMPUTED_VALUE"""),15.0)</f>
        <v>15</v>
      </c>
    </row>
    <row r="2637">
      <c r="D2637" t="str">
        <f>IFERROR(__xludf.DUMMYFUNCTION("""COMPUTED_VALUE"""),"Brown")</f>
        <v>Brown</v>
      </c>
      <c r="E2637" t="str">
        <f>IFERROR(__xludf.DUMMYFUNCTION("""COMPUTED_VALUE"""),"Zach")</f>
        <v>Zach</v>
      </c>
      <c r="F2637" t="str">
        <f>IFERROR(__xludf.DUMMYFUNCTION("""COMPUTED_VALUE"""),"MLB")</f>
        <v>MLB</v>
      </c>
      <c r="G2637">
        <f>IFERROR(__xludf.DUMMYFUNCTION("""COMPUTED_VALUE"""),17.0)</f>
        <v>17</v>
      </c>
    </row>
    <row r="2638">
      <c r="D2638" t="str">
        <f>IFERROR(__xludf.DUMMYFUNCTION("""COMPUTED_VALUE"""),"Brunskill")</f>
        <v>Brunskill</v>
      </c>
      <c r="E2638" t="str">
        <f>IFERROR(__xludf.DUMMYFUNCTION("""COMPUTED_VALUE"""),"Daniel")</f>
        <v>Daniel</v>
      </c>
      <c r="F2638" t="str">
        <f>IFERROR(__xludf.DUMMYFUNCTION("""COMPUTED_VALUE"""),"RT")</f>
        <v>RT</v>
      </c>
      <c r="G2638">
        <f>IFERROR(__xludf.DUMMYFUNCTION("""COMPUTED_VALUE"""),12.200000000000001)</f>
        <v>12.2</v>
      </c>
    </row>
    <row r="2639">
      <c r="D2639" t="str">
        <f>IFERROR(__xludf.DUMMYFUNCTION("""COMPUTED_VALUE"""),"Bryant")</f>
        <v>Bryant</v>
      </c>
      <c r="E2639" t="str">
        <f>IFERROR(__xludf.DUMMYFUNCTION("""COMPUTED_VALUE"""),"Armonty")</f>
        <v>Armonty</v>
      </c>
      <c r="F2639" t="str">
        <f>IFERROR(__xludf.DUMMYFUNCTION("""COMPUTED_VALUE"""),"LE")</f>
        <v>LE</v>
      </c>
      <c r="G2639">
        <f>IFERROR(__xludf.DUMMYFUNCTION("""COMPUTED_VALUE"""),14.200000000000001)</f>
        <v>14.2</v>
      </c>
    </row>
    <row r="2640">
      <c r="D2640" t="str">
        <f>IFERROR(__xludf.DUMMYFUNCTION("""COMPUTED_VALUE"""),"Bryant")</f>
        <v>Bryant</v>
      </c>
      <c r="E2640" t="str">
        <f>IFERROR(__xludf.DUMMYFUNCTION("""COMPUTED_VALUE"""),"Corbin")</f>
        <v>Corbin</v>
      </c>
      <c r="F2640" t="str">
        <f>IFERROR(__xludf.DUMMYFUNCTION("""COMPUTED_VALUE"""),"DT")</f>
        <v>DT</v>
      </c>
      <c r="G2640">
        <f>IFERROR(__xludf.DUMMYFUNCTION("""COMPUTED_VALUE"""),14.200000000000001)</f>
        <v>14.2</v>
      </c>
    </row>
    <row r="2641">
      <c r="D2641" t="str">
        <f>IFERROR(__xludf.DUMMYFUNCTION("""COMPUTED_VALUE"""),"Bryant")</f>
        <v>Bryant</v>
      </c>
      <c r="E2641" t="str">
        <f>IFERROR(__xludf.DUMMYFUNCTION("""COMPUTED_VALUE"""),"Desmond")</f>
        <v>Desmond</v>
      </c>
      <c r="F2641" t="str">
        <f>IFERROR(__xludf.DUMMYFUNCTION("""COMPUTED_VALUE"""),"DT")</f>
        <v>DT</v>
      </c>
      <c r="G2641">
        <f>IFERROR(__xludf.DUMMYFUNCTION("""COMPUTED_VALUE"""),15.8)</f>
        <v>15.8</v>
      </c>
    </row>
    <row r="2642">
      <c r="D2642" t="str">
        <f>IFERROR(__xludf.DUMMYFUNCTION("""COMPUTED_VALUE"""),"Bryant")</f>
        <v>Bryant</v>
      </c>
      <c r="E2642" t="str">
        <f>IFERROR(__xludf.DUMMYFUNCTION("""COMPUTED_VALUE"""),"Dez")</f>
        <v>Dez</v>
      </c>
      <c r="F2642" t="str">
        <f>IFERROR(__xludf.DUMMYFUNCTION("""COMPUTED_VALUE"""),"WR")</f>
        <v>WR</v>
      </c>
      <c r="G2642">
        <f>IFERROR(__xludf.DUMMYFUNCTION("""COMPUTED_VALUE"""),18.2)</f>
        <v>18.2</v>
      </c>
    </row>
    <row r="2643">
      <c r="D2643" t="str">
        <f>IFERROR(__xludf.DUMMYFUNCTION("""COMPUTED_VALUE"""),"Bryant")</f>
        <v>Bryant</v>
      </c>
      <c r="E2643" t="str">
        <f>IFERROR(__xludf.DUMMYFUNCTION("""COMPUTED_VALUE"""),"Martavis")</f>
        <v>Martavis</v>
      </c>
      <c r="F2643" t="str">
        <f>IFERROR(__xludf.DUMMYFUNCTION("""COMPUTED_VALUE"""),"WR")</f>
        <v>WR</v>
      </c>
      <c r="G2643">
        <f>IFERROR(__xludf.DUMMYFUNCTION("""COMPUTED_VALUE"""),16.0)</f>
        <v>16</v>
      </c>
    </row>
    <row r="2644">
      <c r="D2644" t="str">
        <f>IFERROR(__xludf.DUMMYFUNCTION("""COMPUTED_VALUE"""),"Bryant")</f>
        <v>Bryant</v>
      </c>
      <c r="E2644" t="str">
        <f>IFERROR(__xludf.DUMMYFUNCTION("""COMPUTED_VALUE"""),"Matt")</f>
        <v>Matt</v>
      </c>
      <c r="F2644" t="str">
        <f>IFERROR(__xludf.DUMMYFUNCTION("""COMPUTED_VALUE"""),"K")</f>
        <v>K</v>
      </c>
      <c r="G2644">
        <f>IFERROR(__xludf.DUMMYFUNCTION("""COMPUTED_VALUE"""),17.0)</f>
        <v>17</v>
      </c>
    </row>
    <row r="2645">
      <c r="D2645" t="str">
        <f>IFERROR(__xludf.DUMMYFUNCTION("""COMPUTED_VALUE"""),"Bucannon")</f>
        <v>Bucannon</v>
      </c>
      <c r="E2645" t="str">
        <f>IFERROR(__xludf.DUMMYFUNCTION("""COMPUTED_VALUE"""),"Deone")</f>
        <v>Deone</v>
      </c>
      <c r="F2645" t="str">
        <f>IFERROR(__xludf.DUMMYFUNCTION("""COMPUTED_VALUE"""),"MLB")</f>
        <v>MLB</v>
      </c>
      <c r="G2645">
        <f>IFERROR(__xludf.DUMMYFUNCTION("""COMPUTED_VALUE"""),16.0)</f>
        <v>16</v>
      </c>
    </row>
    <row r="2646">
      <c r="D2646" t="str">
        <f>IFERROR(__xludf.DUMMYFUNCTION("""COMPUTED_VALUE"""),"Buckner")</f>
        <v>Buckner</v>
      </c>
      <c r="E2646" t="str">
        <f>IFERROR(__xludf.DUMMYFUNCTION("""COMPUTED_VALUE"""),"DeForest")</f>
        <v>DeForest</v>
      </c>
      <c r="F2646" t="str">
        <f>IFERROR(__xludf.DUMMYFUNCTION("""COMPUTED_VALUE"""),"LE")</f>
        <v>LE</v>
      </c>
      <c r="G2646">
        <f>IFERROR(__xludf.DUMMYFUNCTION("""COMPUTED_VALUE"""),15.8)</f>
        <v>15.8</v>
      </c>
    </row>
    <row r="2647">
      <c r="D2647" t="str">
        <f>IFERROR(__xludf.DUMMYFUNCTION("""COMPUTED_VALUE"""),"Bulaga")</f>
        <v>Bulaga</v>
      </c>
      <c r="E2647" t="str">
        <f>IFERROR(__xludf.DUMMYFUNCTION("""COMPUTED_VALUE"""),"Bryan")</f>
        <v>Bryan</v>
      </c>
      <c r="F2647" t="str">
        <f>IFERROR(__xludf.DUMMYFUNCTION("""COMPUTED_VALUE"""),"RT")</f>
        <v>RT</v>
      </c>
      <c r="G2647">
        <f>IFERROR(__xludf.DUMMYFUNCTION("""COMPUTED_VALUE"""),17.2)</f>
        <v>17.2</v>
      </c>
    </row>
    <row r="2648">
      <c r="D2648" t="str">
        <f>IFERROR(__xludf.DUMMYFUNCTION("""COMPUTED_VALUE"""),"Bullard")</f>
        <v>Bullard</v>
      </c>
      <c r="E2648" t="str">
        <f>IFERROR(__xludf.DUMMYFUNCTION("""COMPUTED_VALUE"""),"Jonathan")</f>
        <v>Jonathan</v>
      </c>
      <c r="F2648" t="str">
        <f>IFERROR(__xludf.DUMMYFUNCTION("""COMPUTED_VALUE"""),"RE")</f>
        <v>RE</v>
      </c>
      <c r="G2648">
        <f>IFERROR(__xludf.DUMMYFUNCTION("""COMPUTED_VALUE"""),13.8)</f>
        <v>13.8</v>
      </c>
    </row>
    <row r="2649">
      <c r="D2649" t="str">
        <f>IFERROR(__xludf.DUMMYFUNCTION("""COMPUTED_VALUE"""),"Bullock")</f>
        <v>Bullock</v>
      </c>
      <c r="E2649" t="str">
        <f>IFERROR(__xludf.DUMMYFUNCTION("""COMPUTED_VALUE"""),"Randy")</f>
        <v>Randy</v>
      </c>
      <c r="F2649" t="str">
        <f>IFERROR(__xludf.DUMMYFUNCTION("""COMPUTED_VALUE"""),"K")</f>
        <v>K</v>
      </c>
      <c r="G2649">
        <f>IFERROR(__xludf.DUMMYFUNCTION("""COMPUTED_VALUE"""),14.8)</f>
        <v>14.8</v>
      </c>
    </row>
    <row r="2650">
      <c r="D2650" t="str">
        <f>IFERROR(__xludf.DUMMYFUNCTION("""COMPUTED_VALUE"""),"Bullough")</f>
        <v>Bullough</v>
      </c>
      <c r="E2650" t="str">
        <f>IFERROR(__xludf.DUMMYFUNCTION("""COMPUTED_VALUE"""),"Riley")</f>
        <v>Riley</v>
      </c>
      <c r="F2650" t="str">
        <f>IFERROR(__xludf.DUMMYFUNCTION("""COMPUTED_VALUE"""),"MLB")</f>
        <v>MLB</v>
      </c>
      <c r="G2650">
        <f>IFERROR(__xludf.DUMMYFUNCTION("""COMPUTED_VALUE"""),12.200000000000001)</f>
        <v>12.2</v>
      </c>
    </row>
    <row r="2651">
      <c r="D2651" t="str">
        <f>IFERROR(__xludf.DUMMYFUNCTION("""COMPUTED_VALUE"""),"Bundy")</f>
        <v>Bundy</v>
      </c>
      <c r="E2651" t="str">
        <f>IFERROR(__xludf.DUMMYFUNCTION("""COMPUTED_VALUE"""),"Marquis")</f>
        <v>Marquis</v>
      </c>
      <c r="F2651" t="str">
        <f>IFERROR(__xludf.DUMMYFUNCTION("""COMPUTED_VALUE"""),"WR")</f>
        <v>WR</v>
      </c>
      <c r="G2651">
        <f>IFERROR(__xludf.DUMMYFUNCTION("""COMPUTED_VALUE"""),12.4)</f>
        <v>12.4</v>
      </c>
    </row>
    <row r="2652">
      <c r="D2652" t="str">
        <f>IFERROR(__xludf.DUMMYFUNCTION("""COMPUTED_VALUE"""),"Burbridge")</f>
        <v>Burbridge</v>
      </c>
      <c r="E2652" t="str">
        <f>IFERROR(__xludf.DUMMYFUNCTION("""COMPUTED_VALUE"""),"Aaron")</f>
        <v>Aaron</v>
      </c>
      <c r="F2652" t="str">
        <f>IFERROR(__xludf.DUMMYFUNCTION("""COMPUTED_VALUE"""),"WR")</f>
        <v>WR</v>
      </c>
      <c r="G2652">
        <f>IFERROR(__xludf.DUMMYFUNCTION("""COMPUTED_VALUE"""),13.4)</f>
        <v>13.4</v>
      </c>
    </row>
    <row r="2653">
      <c r="D2653" t="str">
        <f>IFERROR(__xludf.DUMMYFUNCTION("""COMPUTED_VALUE"""),"Burfict")</f>
        <v>Burfict</v>
      </c>
      <c r="E2653" t="str">
        <f>IFERROR(__xludf.DUMMYFUNCTION("""COMPUTED_VALUE"""),"Vontaze")</f>
        <v>Vontaze</v>
      </c>
      <c r="F2653" t="str">
        <f>IFERROR(__xludf.DUMMYFUNCTION("""COMPUTED_VALUE"""),"ROLB")</f>
        <v>ROLB</v>
      </c>
      <c r="G2653">
        <f>IFERROR(__xludf.DUMMYFUNCTION("""COMPUTED_VALUE"""),17.400000000000002)</f>
        <v>17.4</v>
      </c>
    </row>
    <row r="2654">
      <c r="D2654" t="str">
        <f>IFERROR(__xludf.DUMMYFUNCTION("""COMPUTED_VALUE"""),"Burgess")</f>
        <v>Burgess</v>
      </c>
      <c r="E2654" t="str">
        <f>IFERROR(__xludf.DUMMYFUNCTION("""COMPUTED_VALUE"""),"James")</f>
        <v>James</v>
      </c>
      <c r="F2654" t="str">
        <f>IFERROR(__xludf.DUMMYFUNCTION("""COMPUTED_VALUE"""),"LOLB")</f>
        <v>LOLB</v>
      </c>
      <c r="G2654">
        <f>IFERROR(__xludf.DUMMYFUNCTION("""COMPUTED_VALUE"""),12.0)</f>
        <v>12</v>
      </c>
    </row>
    <row r="2655">
      <c r="D2655" t="str">
        <f>IFERROR(__xludf.DUMMYFUNCTION("""COMPUTED_VALUE"""),"Burkhead")</f>
        <v>Burkhead</v>
      </c>
      <c r="E2655" t="str">
        <f>IFERROR(__xludf.DUMMYFUNCTION("""COMPUTED_VALUE"""),"Rex")</f>
        <v>Rex</v>
      </c>
      <c r="F2655" t="str">
        <f>IFERROR(__xludf.DUMMYFUNCTION("""COMPUTED_VALUE"""),"HB")</f>
        <v>HB</v>
      </c>
      <c r="G2655">
        <f>IFERROR(__xludf.DUMMYFUNCTION("""COMPUTED_VALUE"""),15.200000000000001)</f>
        <v>15.2</v>
      </c>
    </row>
    <row r="2656">
      <c r="D2656" t="str">
        <f>IFERROR(__xludf.DUMMYFUNCTION("""COMPUTED_VALUE"""),"Burley")</f>
        <v>Burley</v>
      </c>
      <c r="E2656" t="str">
        <f>IFERROR(__xludf.DUMMYFUNCTION("""COMPUTED_VALUE"""),"Marcus")</f>
        <v>Marcus</v>
      </c>
      <c r="F2656" t="str">
        <f>IFERROR(__xludf.DUMMYFUNCTION("""COMPUTED_VALUE"""),"CB")</f>
        <v>CB</v>
      </c>
      <c r="G2656">
        <f>IFERROR(__xludf.DUMMYFUNCTION("""COMPUTED_VALUE"""),13.8)</f>
        <v>13.8</v>
      </c>
    </row>
    <row r="2657">
      <c r="D2657" t="str">
        <f>IFERROR(__xludf.DUMMYFUNCTION("""COMPUTED_VALUE"""),"Burnett")</f>
        <v>Burnett</v>
      </c>
      <c r="E2657" t="str">
        <f>IFERROR(__xludf.DUMMYFUNCTION("""COMPUTED_VALUE"""),"Morgan")</f>
        <v>Morgan</v>
      </c>
      <c r="F2657" t="str">
        <f>IFERROR(__xludf.DUMMYFUNCTION("""COMPUTED_VALUE"""),"SS")</f>
        <v>SS</v>
      </c>
      <c r="G2657">
        <f>IFERROR(__xludf.DUMMYFUNCTION("""COMPUTED_VALUE"""),17.2)</f>
        <v>17.2</v>
      </c>
    </row>
    <row r="2658">
      <c r="D2658" t="str">
        <f>IFERROR(__xludf.DUMMYFUNCTION("""COMPUTED_VALUE"""),"Burns")</f>
        <v>Burns</v>
      </c>
      <c r="E2658" t="str">
        <f>IFERROR(__xludf.DUMMYFUNCTION("""COMPUTED_VALUE"""),"Artie")</f>
        <v>Artie</v>
      </c>
      <c r="F2658" t="str">
        <f>IFERROR(__xludf.DUMMYFUNCTION("""COMPUTED_VALUE"""),"CB")</f>
        <v>CB</v>
      </c>
      <c r="G2658">
        <f>IFERROR(__xludf.DUMMYFUNCTION("""COMPUTED_VALUE"""),15.600000000000001)</f>
        <v>15.6</v>
      </c>
    </row>
    <row r="2659">
      <c r="D2659" t="str">
        <f>IFERROR(__xludf.DUMMYFUNCTION("""COMPUTED_VALUE"""),"Burris")</f>
        <v>Burris</v>
      </c>
      <c r="E2659" t="str">
        <f>IFERROR(__xludf.DUMMYFUNCTION("""COMPUTED_VALUE"""),"Juston")</f>
        <v>Juston</v>
      </c>
      <c r="F2659" t="str">
        <f>IFERROR(__xludf.DUMMYFUNCTION("""COMPUTED_VALUE"""),"CB")</f>
        <v>CB</v>
      </c>
      <c r="G2659">
        <f>IFERROR(__xludf.DUMMYFUNCTION("""COMPUTED_VALUE"""),13.8)</f>
        <v>13.8</v>
      </c>
    </row>
    <row r="2660">
      <c r="D2660" t="str">
        <f>IFERROR(__xludf.DUMMYFUNCTION("""COMPUTED_VALUE"""),"Burse")</f>
        <v>Burse</v>
      </c>
      <c r="E2660" t="str">
        <f>IFERROR(__xludf.DUMMYFUNCTION("""COMPUTED_VALUE"""),"Isaiah")</f>
        <v>Isaiah</v>
      </c>
      <c r="F2660" t="str">
        <f>IFERROR(__xludf.DUMMYFUNCTION("""COMPUTED_VALUE"""),"WR")</f>
        <v>WR</v>
      </c>
      <c r="G2660">
        <f>IFERROR(__xludf.DUMMYFUNCTION("""COMPUTED_VALUE"""),12.200000000000001)</f>
        <v>12.2</v>
      </c>
    </row>
    <row r="2661">
      <c r="D2661" t="str">
        <f>IFERROR(__xludf.DUMMYFUNCTION("""COMPUTED_VALUE"""),"Burton")</f>
        <v>Burton</v>
      </c>
      <c r="E2661" t="str">
        <f>IFERROR(__xludf.DUMMYFUNCTION("""COMPUTED_VALUE"""),"Trey")</f>
        <v>Trey</v>
      </c>
      <c r="F2661" t="str">
        <f>IFERROR(__xludf.DUMMYFUNCTION("""COMPUTED_VALUE"""),"TE")</f>
        <v>TE</v>
      </c>
      <c r="G2661">
        <f>IFERROR(__xludf.DUMMYFUNCTION("""COMPUTED_VALUE"""),15.8)</f>
        <v>15.8</v>
      </c>
    </row>
    <row r="2662">
      <c r="D2662" t="str">
        <f>IFERROR(__xludf.DUMMYFUNCTION("""COMPUTED_VALUE"""),"Burwell")</f>
        <v>Burwell</v>
      </c>
      <c r="E2662" t="str">
        <f>IFERROR(__xludf.DUMMYFUNCTION("""COMPUTED_VALUE"""),"Tyreek")</f>
        <v>Tyreek</v>
      </c>
      <c r="F2662" t="str">
        <f>IFERROR(__xludf.DUMMYFUNCTION("""COMPUTED_VALUE"""),"LT")</f>
        <v>LT</v>
      </c>
      <c r="G2662">
        <f>IFERROR(__xludf.DUMMYFUNCTION("""COMPUTED_VALUE"""),12.4)</f>
        <v>12.4</v>
      </c>
    </row>
    <row r="2663">
      <c r="D2663" t="str">
        <f>IFERROR(__xludf.DUMMYFUNCTION("""COMPUTED_VALUE"""),"Bush")</f>
        <v>Bush</v>
      </c>
      <c r="E2663" t="str">
        <f>IFERROR(__xludf.DUMMYFUNCTION("""COMPUTED_VALUE"""),"Deon")</f>
        <v>Deon</v>
      </c>
      <c r="F2663" t="str">
        <f>IFERROR(__xludf.DUMMYFUNCTION("""COMPUTED_VALUE"""),"SS")</f>
        <v>SS</v>
      </c>
      <c r="G2663">
        <f>IFERROR(__xludf.DUMMYFUNCTION("""COMPUTED_VALUE"""),13.200000000000001)</f>
        <v>13.2</v>
      </c>
    </row>
    <row r="2664">
      <c r="D2664" t="str">
        <f>IFERROR(__xludf.DUMMYFUNCTION("""COMPUTED_VALUE"""),"Bush")</f>
        <v>Bush</v>
      </c>
      <c r="E2664" t="str">
        <f>IFERROR(__xludf.DUMMYFUNCTION("""COMPUTED_VALUE"""),"Rafael")</f>
        <v>Rafael</v>
      </c>
      <c r="F2664" t="str">
        <f>IFERROR(__xludf.DUMMYFUNCTION("""COMPUTED_VALUE"""),"FS")</f>
        <v>FS</v>
      </c>
      <c r="G2664">
        <f>IFERROR(__xludf.DUMMYFUNCTION("""COMPUTED_VALUE"""),15.0)</f>
        <v>15</v>
      </c>
    </row>
    <row r="2665">
      <c r="D2665" t="str">
        <f>IFERROR(__xludf.DUMMYFUNCTION("""COMPUTED_VALUE"""),"Bushrod")</f>
        <v>Bushrod</v>
      </c>
      <c r="E2665" t="str">
        <f>IFERROR(__xludf.DUMMYFUNCTION("""COMPUTED_VALUE"""),"Jermon")</f>
        <v>Jermon</v>
      </c>
      <c r="F2665" t="str">
        <f>IFERROR(__xludf.DUMMYFUNCTION("""COMPUTED_VALUE"""),"RG")</f>
        <v>RG</v>
      </c>
      <c r="G2665">
        <f>IFERROR(__xludf.DUMMYFUNCTION("""COMPUTED_VALUE"""),14.4)</f>
        <v>14.4</v>
      </c>
    </row>
    <row r="2666">
      <c r="D2666" t="str">
        <f>IFERROR(__xludf.DUMMYFUNCTION("""COMPUTED_VALUE"""),"Butker")</f>
        <v>Butker</v>
      </c>
      <c r="E2666" t="str">
        <f>IFERROR(__xludf.DUMMYFUNCTION("""COMPUTED_VALUE"""),"Harrison")</f>
        <v>Harrison</v>
      </c>
      <c r="F2666" t="str">
        <f>IFERROR(__xludf.DUMMYFUNCTION("""COMPUTED_VALUE"""),"K")</f>
        <v>K</v>
      </c>
      <c r="G2666">
        <f>IFERROR(__xludf.DUMMYFUNCTION("""COMPUTED_VALUE"""),14.4)</f>
        <v>14.4</v>
      </c>
    </row>
    <row r="2667">
      <c r="D2667" t="str">
        <f>IFERROR(__xludf.DUMMYFUNCTION("""COMPUTED_VALUE"""),"Butler")</f>
        <v>Butler</v>
      </c>
      <c r="E2667" t="str">
        <f>IFERROR(__xludf.DUMMYFUNCTION("""COMPUTED_VALUE"""),"Brice")</f>
        <v>Brice</v>
      </c>
      <c r="F2667" t="str">
        <f>IFERROR(__xludf.DUMMYFUNCTION("""COMPUTED_VALUE"""),"WR")</f>
        <v>WR</v>
      </c>
      <c r="G2667">
        <f>IFERROR(__xludf.DUMMYFUNCTION("""COMPUTED_VALUE"""),14.8)</f>
        <v>14.8</v>
      </c>
    </row>
    <row r="2668">
      <c r="D2668" t="str">
        <f>IFERROR(__xludf.DUMMYFUNCTION("""COMPUTED_VALUE"""),"Butler")</f>
        <v>Butler</v>
      </c>
      <c r="E2668" t="str">
        <f>IFERROR(__xludf.DUMMYFUNCTION("""COMPUTED_VALUE"""),"Darius")</f>
        <v>Darius</v>
      </c>
      <c r="F2668" t="str">
        <f>IFERROR(__xludf.DUMMYFUNCTION("""COMPUTED_VALUE"""),"CB")</f>
        <v>CB</v>
      </c>
      <c r="G2668">
        <f>IFERROR(__xludf.DUMMYFUNCTION("""COMPUTED_VALUE"""),16.400000000000002)</f>
        <v>16.4</v>
      </c>
    </row>
    <row r="2669">
      <c r="D2669" t="str">
        <f>IFERROR(__xludf.DUMMYFUNCTION("""COMPUTED_VALUE"""),"Butler")</f>
        <v>Butler</v>
      </c>
      <c r="E2669" t="str">
        <f>IFERROR(__xludf.DUMMYFUNCTION("""COMPUTED_VALUE"""),"Jeremy")</f>
        <v>Jeremy</v>
      </c>
      <c r="F2669" t="str">
        <f>IFERROR(__xludf.DUMMYFUNCTION("""COMPUTED_VALUE"""),"WR")</f>
        <v>WR</v>
      </c>
      <c r="G2669">
        <f>IFERROR(__xludf.DUMMYFUNCTION("""COMPUTED_VALUE"""),12.600000000000001)</f>
        <v>12.6</v>
      </c>
    </row>
    <row r="2670">
      <c r="D2670" t="str">
        <f>IFERROR(__xludf.DUMMYFUNCTION("""COMPUTED_VALUE"""),"Butler")</f>
        <v>Butler</v>
      </c>
      <c r="E2670" t="str">
        <f>IFERROR(__xludf.DUMMYFUNCTION("""COMPUTED_VALUE"""),"Malcolm")</f>
        <v>Malcolm</v>
      </c>
      <c r="F2670" t="str">
        <f>IFERROR(__xludf.DUMMYFUNCTION("""COMPUTED_VALUE"""),"CB")</f>
        <v>CB</v>
      </c>
      <c r="G2670">
        <f>IFERROR(__xludf.DUMMYFUNCTION("""COMPUTED_VALUE"""),18.400000000000002)</f>
        <v>18.4</v>
      </c>
    </row>
    <row r="2671">
      <c r="D2671" t="str">
        <f>IFERROR(__xludf.DUMMYFUNCTION("""COMPUTED_VALUE"""),"Butler")</f>
        <v>Butler</v>
      </c>
      <c r="E2671" t="str">
        <f>IFERROR(__xludf.DUMMYFUNCTION("""COMPUTED_VALUE"""),"Vernon")</f>
        <v>Vernon</v>
      </c>
      <c r="F2671" t="str">
        <f>IFERROR(__xludf.DUMMYFUNCTION("""COMPUTED_VALUE"""),"DT")</f>
        <v>DT</v>
      </c>
      <c r="G2671">
        <f>IFERROR(__xludf.DUMMYFUNCTION("""COMPUTED_VALUE"""),15.0)</f>
        <v>15</v>
      </c>
    </row>
    <row r="2672">
      <c r="D2672" t="str">
        <f>IFERROR(__xludf.DUMMYFUNCTION("""COMPUTED_VALUE"""),"Butt")</f>
        <v>Butt</v>
      </c>
      <c r="E2672" t="str">
        <f>IFERROR(__xludf.DUMMYFUNCTION("""COMPUTED_VALUE"""),"Jake")</f>
        <v>Jake</v>
      </c>
      <c r="F2672" t="str">
        <f>IFERROR(__xludf.DUMMYFUNCTION("""COMPUTED_VALUE"""),"TE")</f>
        <v>TE</v>
      </c>
      <c r="G2672">
        <f>IFERROR(__xludf.DUMMYFUNCTION("""COMPUTED_VALUE"""),14.8)</f>
        <v>14.8</v>
      </c>
    </row>
    <row r="2673">
      <c r="D2673" t="str">
        <f>IFERROR(__xludf.DUMMYFUNCTION("""COMPUTED_VALUE"""),"Byard")</f>
        <v>Byard</v>
      </c>
      <c r="E2673" t="str">
        <f>IFERROR(__xludf.DUMMYFUNCTION("""COMPUTED_VALUE"""),"Kevin")</f>
        <v>Kevin</v>
      </c>
      <c r="F2673" t="str">
        <f>IFERROR(__xludf.DUMMYFUNCTION("""COMPUTED_VALUE"""),"FS")</f>
        <v>FS</v>
      </c>
      <c r="G2673">
        <f>IFERROR(__xludf.DUMMYFUNCTION("""COMPUTED_VALUE"""),15.200000000000001)</f>
        <v>15.2</v>
      </c>
    </row>
    <row r="2674">
      <c r="D2674" t="str">
        <f>IFERROR(__xludf.DUMMYFUNCTION("""COMPUTED_VALUE"""),"Byrd")</f>
        <v>Byrd</v>
      </c>
      <c r="E2674" t="str">
        <f>IFERROR(__xludf.DUMMYFUNCTION("""COMPUTED_VALUE"""),"Damiere")</f>
        <v>Damiere</v>
      </c>
      <c r="F2674" t="str">
        <f>IFERROR(__xludf.DUMMYFUNCTION("""COMPUTED_VALUE"""),"WR")</f>
        <v>WR</v>
      </c>
      <c r="G2674">
        <f>IFERROR(__xludf.DUMMYFUNCTION("""COMPUTED_VALUE"""),11.600000000000001)</f>
        <v>11.6</v>
      </c>
    </row>
    <row r="2675">
      <c r="D2675" t="str">
        <f>IFERROR(__xludf.DUMMYFUNCTION("""COMPUTED_VALUE"""),"Cadet")</f>
        <v>Cadet</v>
      </c>
      <c r="E2675" t="str">
        <f>IFERROR(__xludf.DUMMYFUNCTION("""COMPUTED_VALUE"""),"Travaris")</f>
        <v>Travaris</v>
      </c>
      <c r="F2675" t="str">
        <f>IFERROR(__xludf.DUMMYFUNCTION("""COMPUTED_VALUE"""),"HB")</f>
        <v>HB</v>
      </c>
      <c r="G2675">
        <f>IFERROR(__xludf.DUMMYFUNCTION("""COMPUTED_VALUE"""),14.0)</f>
        <v>14</v>
      </c>
    </row>
    <row r="2676">
      <c r="D2676" t="str">
        <f>IFERROR(__xludf.DUMMYFUNCTION("""COMPUTED_VALUE"""),"Caldwell")</f>
        <v>Caldwell</v>
      </c>
      <c r="E2676" t="str">
        <f>IFERROR(__xludf.DUMMYFUNCTION("""COMPUTED_VALUE"""),"Trey")</f>
        <v>Trey</v>
      </c>
      <c r="F2676" t="str">
        <f>IFERROR(__xludf.DUMMYFUNCTION("""COMPUTED_VALUE"""),"FS")</f>
        <v>FS</v>
      </c>
      <c r="G2676">
        <f>IFERROR(__xludf.DUMMYFUNCTION("""COMPUTED_VALUE"""),12.200000000000001)</f>
        <v>12.2</v>
      </c>
    </row>
    <row r="2677">
      <c r="D2677" t="str">
        <f>IFERROR(__xludf.DUMMYFUNCTION("""COMPUTED_VALUE"""),"Calhoun")</f>
        <v>Calhoun</v>
      </c>
      <c r="E2677" t="str">
        <f>IFERROR(__xludf.DUMMYFUNCTION("""COMPUTED_VALUE"""),"Shilique")</f>
        <v>Shilique</v>
      </c>
      <c r="F2677" t="str">
        <f>IFERROR(__xludf.DUMMYFUNCTION("""COMPUTED_VALUE"""),"ROLB")</f>
        <v>ROLB</v>
      </c>
      <c r="G2677">
        <f>IFERROR(__xludf.DUMMYFUNCTION("""COMPUTED_VALUE"""),13.4)</f>
        <v>13.4</v>
      </c>
    </row>
    <row r="2678">
      <c r="D2678" t="str">
        <f>IFERROR(__xludf.DUMMYFUNCTION("""COMPUTED_VALUE"""),"Calhoun")</f>
        <v>Calhoun</v>
      </c>
      <c r="E2678" t="str">
        <f>IFERROR(__xludf.DUMMYFUNCTION("""COMPUTED_VALUE"""),"Taveze")</f>
        <v>Taveze</v>
      </c>
      <c r="F2678" t="str">
        <f>IFERROR(__xludf.DUMMYFUNCTION("""COMPUTED_VALUE"""),"CB")</f>
        <v>CB</v>
      </c>
      <c r="G2678">
        <f>IFERROR(__xludf.DUMMYFUNCTION("""COMPUTED_VALUE"""),12.4)</f>
        <v>12.4</v>
      </c>
    </row>
    <row r="2679">
      <c r="D2679" t="str">
        <f>IFERROR(__xludf.DUMMYFUNCTION("""COMPUTED_VALUE"""),"Callahan")</f>
        <v>Callahan</v>
      </c>
      <c r="E2679" t="str">
        <f>IFERROR(__xludf.DUMMYFUNCTION("""COMPUTED_VALUE"""),"Bryce")</f>
        <v>Bryce</v>
      </c>
      <c r="F2679" t="str">
        <f>IFERROR(__xludf.DUMMYFUNCTION("""COMPUTED_VALUE"""),"CB")</f>
        <v>CB</v>
      </c>
      <c r="G2679">
        <f>IFERROR(__xludf.DUMMYFUNCTION("""COMPUTED_VALUE"""),15.200000000000001)</f>
        <v>15.2</v>
      </c>
    </row>
    <row r="2680">
      <c r="D2680" t="str">
        <f>IFERROR(__xludf.DUMMYFUNCTION("""COMPUTED_VALUE"""),"Callahan")</f>
        <v>Callahan</v>
      </c>
      <c r="E2680" t="str">
        <f>IFERROR(__xludf.DUMMYFUNCTION("""COMPUTED_VALUE"""),"Joe")</f>
        <v>Joe</v>
      </c>
      <c r="F2680" t="str">
        <f>IFERROR(__xludf.DUMMYFUNCTION("""COMPUTED_VALUE"""),"QB")</f>
        <v>QB</v>
      </c>
      <c r="G2680">
        <f>IFERROR(__xludf.DUMMYFUNCTION("""COMPUTED_VALUE"""),12.4)</f>
        <v>12.4</v>
      </c>
    </row>
    <row r="2681">
      <c r="D2681" t="str">
        <f>IFERROR(__xludf.DUMMYFUNCTION("""COMPUTED_VALUE"""),"Calvin")</f>
        <v>Calvin</v>
      </c>
      <c r="E2681" t="str">
        <f>IFERROR(__xludf.DUMMYFUNCTION("""COMPUTED_VALUE"""),"Johnathan")</f>
        <v>Johnathan</v>
      </c>
      <c r="F2681" t="str">
        <f>IFERROR(__xludf.DUMMYFUNCTION("""COMPUTED_VALUE"""),"LE")</f>
        <v>LE</v>
      </c>
      <c r="G2681">
        <f>IFERROR(__xludf.DUMMYFUNCTION("""COMPUTED_VALUE"""),12.200000000000001)</f>
        <v>12.2</v>
      </c>
    </row>
    <row r="2682">
      <c r="D2682" t="str">
        <f>IFERROR(__xludf.DUMMYFUNCTION("""COMPUTED_VALUE"""),"Campanaro")</f>
        <v>Campanaro</v>
      </c>
      <c r="E2682" t="str">
        <f>IFERROR(__xludf.DUMMYFUNCTION("""COMPUTED_VALUE"""),"Michael")</f>
        <v>Michael</v>
      </c>
      <c r="F2682" t="str">
        <f>IFERROR(__xludf.DUMMYFUNCTION("""COMPUTED_VALUE"""),"WR")</f>
        <v>WR</v>
      </c>
      <c r="G2682">
        <f>IFERROR(__xludf.DUMMYFUNCTION("""COMPUTED_VALUE"""),14.200000000000001)</f>
        <v>14.2</v>
      </c>
    </row>
    <row r="2683">
      <c r="D2683" t="str">
        <f>IFERROR(__xludf.DUMMYFUNCTION("""COMPUTED_VALUE"""),"Campbell")</f>
        <v>Campbell</v>
      </c>
      <c r="E2683" t="str">
        <f>IFERROR(__xludf.DUMMYFUNCTION("""COMPUTED_VALUE"""),"Calais")</f>
        <v>Calais</v>
      </c>
      <c r="F2683" t="str">
        <f>IFERROR(__xludf.DUMMYFUNCTION("""COMPUTED_VALUE"""),"RE")</f>
        <v>RE</v>
      </c>
      <c r="G2683">
        <f>IFERROR(__xludf.DUMMYFUNCTION("""COMPUTED_VALUE"""),18.2)</f>
        <v>18.2</v>
      </c>
    </row>
    <row r="2684">
      <c r="D2684" t="str">
        <f>IFERROR(__xludf.DUMMYFUNCTION("""COMPUTED_VALUE"""),"Campbell")</f>
        <v>Campbell</v>
      </c>
      <c r="E2684" t="str">
        <f>IFERROR(__xludf.DUMMYFUNCTION("""COMPUTED_VALUE"""),"DeVondre")</f>
        <v>DeVondre</v>
      </c>
      <c r="F2684" t="str">
        <f>IFERROR(__xludf.DUMMYFUNCTION("""COMPUTED_VALUE"""),"ROLB")</f>
        <v>ROLB</v>
      </c>
      <c r="G2684">
        <f>IFERROR(__xludf.DUMMYFUNCTION("""COMPUTED_VALUE"""),14.600000000000001)</f>
        <v>14.6</v>
      </c>
    </row>
    <row r="2685">
      <c r="D2685" t="str">
        <f>IFERROR(__xludf.DUMMYFUNCTION("""COMPUTED_VALUE"""),"Campbell")</f>
        <v>Campbell</v>
      </c>
      <c r="E2685" t="str">
        <f>IFERROR(__xludf.DUMMYFUNCTION("""COMPUTED_VALUE"""),"Ibraheim")</f>
        <v>Ibraheim</v>
      </c>
      <c r="F2685" t="str">
        <f>IFERROR(__xludf.DUMMYFUNCTION("""COMPUTED_VALUE"""),"SS")</f>
        <v>SS</v>
      </c>
      <c r="G2685">
        <f>IFERROR(__xludf.DUMMYFUNCTION("""COMPUTED_VALUE"""),14.0)</f>
        <v>14</v>
      </c>
    </row>
    <row r="2686">
      <c r="D2686" t="str">
        <f>IFERROR(__xludf.DUMMYFUNCTION("""COMPUTED_VALUE"""),"Canaday")</f>
        <v>Canaday</v>
      </c>
      <c r="E2686" t="str">
        <f>IFERROR(__xludf.DUMMYFUNCTION("""COMPUTED_VALUE"""),"Kameron")</f>
        <v>Kameron</v>
      </c>
      <c r="F2686" t="str">
        <f>IFERROR(__xludf.DUMMYFUNCTION("""COMPUTED_VALUE"""),"TE")</f>
        <v>TE</v>
      </c>
      <c r="G2686">
        <f>IFERROR(__xludf.DUMMYFUNCTION("""COMPUTED_VALUE"""),8.4)</f>
        <v>8.4</v>
      </c>
    </row>
    <row r="2687">
      <c r="D2687" t="str">
        <f>IFERROR(__xludf.DUMMYFUNCTION("""COMPUTED_VALUE"""),"Canady")</f>
        <v>Canady</v>
      </c>
      <c r="E2687" t="str">
        <f>IFERROR(__xludf.DUMMYFUNCTION("""COMPUTED_VALUE"""),"Maurice")</f>
        <v>Maurice</v>
      </c>
      <c r="F2687" t="str">
        <f>IFERROR(__xludf.DUMMYFUNCTION("""COMPUTED_VALUE"""),"CB")</f>
        <v>CB</v>
      </c>
      <c r="G2687">
        <f>IFERROR(__xludf.DUMMYFUNCTION("""COMPUTED_VALUE"""),12.8)</f>
        <v>12.8</v>
      </c>
    </row>
    <row r="2688">
      <c r="D2688" t="str">
        <f>IFERROR(__xludf.DUMMYFUNCTION("""COMPUTED_VALUE"""),"Cann")</f>
        <v>Cann</v>
      </c>
      <c r="E2688" t="str">
        <f>IFERROR(__xludf.DUMMYFUNCTION("""COMPUTED_VALUE"""),"AJ")</f>
        <v>AJ</v>
      </c>
      <c r="F2688" t="str">
        <f>IFERROR(__xludf.DUMMYFUNCTION("""COMPUTED_VALUE"""),"RG")</f>
        <v>RG</v>
      </c>
      <c r="G2688">
        <f>IFERROR(__xludf.DUMMYFUNCTION("""COMPUTED_VALUE"""),14.4)</f>
        <v>14.4</v>
      </c>
    </row>
    <row r="2689">
      <c r="D2689" t="str">
        <f>IFERROR(__xludf.DUMMYFUNCTION("""COMPUTED_VALUE"""),"Cannon")</f>
        <v>Cannon</v>
      </c>
      <c r="E2689" t="str">
        <f>IFERROR(__xludf.DUMMYFUNCTION("""COMPUTED_VALUE"""),"KD")</f>
        <v>KD</v>
      </c>
      <c r="F2689" t="str">
        <f>IFERROR(__xludf.DUMMYFUNCTION("""COMPUTED_VALUE"""),"WR")</f>
        <v>WR</v>
      </c>
      <c r="G2689">
        <f>IFERROR(__xludf.DUMMYFUNCTION("""COMPUTED_VALUE"""),13.0)</f>
        <v>13</v>
      </c>
    </row>
    <row r="2690">
      <c r="D2690" t="str">
        <f>IFERROR(__xludf.DUMMYFUNCTION("""COMPUTED_VALUE"""),"Cannon")</f>
        <v>Cannon</v>
      </c>
      <c r="E2690" t="str">
        <f>IFERROR(__xludf.DUMMYFUNCTION("""COMPUTED_VALUE"""),"Marcus")</f>
        <v>Marcus</v>
      </c>
      <c r="F2690" t="str">
        <f>IFERROR(__xludf.DUMMYFUNCTION("""COMPUTED_VALUE"""),"RT")</f>
        <v>RT</v>
      </c>
      <c r="G2690">
        <f>IFERROR(__xludf.DUMMYFUNCTION("""COMPUTED_VALUE"""),17.6)</f>
        <v>17.6</v>
      </c>
    </row>
    <row r="2691">
      <c r="D2691" t="str">
        <f>IFERROR(__xludf.DUMMYFUNCTION("""COMPUTED_VALUE"""),"Carder")</f>
        <v>Carder</v>
      </c>
      <c r="E2691" t="str">
        <f>IFERROR(__xludf.DUMMYFUNCTION("""COMPUTED_VALUE"""),"Tank")</f>
        <v>Tank</v>
      </c>
      <c r="F2691" t="str">
        <f>IFERROR(__xludf.DUMMYFUNCTION("""COMPUTED_VALUE"""),"MLB")</f>
        <v>MLB</v>
      </c>
      <c r="G2691">
        <f>IFERROR(__xludf.DUMMYFUNCTION("""COMPUTED_VALUE"""),13.0)</f>
        <v>13</v>
      </c>
    </row>
    <row r="2692">
      <c r="D2692" t="str">
        <f>IFERROR(__xludf.DUMMYFUNCTION("""COMPUTED_VALUE"""),"Cardona")</f>
        <v>Cardona</v>
      </c>
      <c r="E2692" t="str">
        <f>IFERROR(__xludf.DUMMYFUNCTION("""COMPUTED_VALUE"""),"Joe")</f>
        <v>Joe</v>
      </c>
      <c r="F2692" t="str">
        <f>IFERROR(__xludf.DUMMYFUNCTION("""COMPUTED_VALUE"""),"TE")</f>
        <v>TE</v>
      </c>
      <c r="G2692">
        <f>IFERROR(__xludf.DUMMYFUNCTION("""COMPUTED_VALUE"""),8.200000000000001)</f>
        <v>8.2</v>
      </c>
    </row>
    <row r="2693">
      <c r="D2693" t="str">
        <f>IFERROR(__xludf.DUMMYFUNCTION("""COMPUTED_VALUE"""),"Carey")</f>
        <v>Carey</v>
      </c>
      <c r="E2693" t="str">
        <f>IFERROR(__xludf.DUMMYFUNCTION("""COMPUTED_VALUE"""),"Don")</f>
        <v>Don</v>
      </c>
      <c r="F2693" t="str">
        <f>IFERROR(__xludf.DUMMYFUNCTION("""COMPUTED_VALUE"""),"FS")</f>
        <v>FS</v>
      </c>
      <c r="G2693">
        <f>IFERROR(__xludf.DUMMYFUNCTION("""COMPUTED_VALUE"""),14.0)</f>
        <v>14</v>
      </c>
    </row>
    <row r="2694">
      <c r="D2694" t="str">
        <f>IFERROR(__xludf.DUMMYFUNCTION("""COMPUTED_VALUE"""),"Carey")</f>
        <v>Carey</v>
      </c>
      <c r="E2694" t="str">
        <f>IFERROR(__xludf.DUMMYFUNCTION("""COMPUTED_VALUE"""),"KaDeem")</f>
        <v>KaDeem</v>
      </c>
      <c r="F2694" t="str">
        <f>IFERROR(__xludf.DUMMYFUNCTION("""COMPUTED_VALUE"""),"HB")</f>
        <v>HB</v>
      </c>
      <c r="G2694">
        <f>IFERROR(__xludf.DUMMYFUNCTION("""COMPUTED_VALUE"""),14.4)</f>
        <v>14.4</v>
      </c>
    </row>
    <row r="2695">
      <c r="D2695" t="str">
        <f>IFERROR(__xludf.DUMMYFUNCTION("""COMPUTED_VALUE"""),"Carpenter")</f>
        <v>Carpenter</v>
      </c>
      <c r="E2695" t="str">
        <f>IFERROR(__xludf.DUMMYFUNCTION("""COMPUTED_VALUE"""),"James")</f>
        <v>James</v>
      </c>
      <c r="F2695" t="str">
        <f>IFERROR(__xludf.DUMMYFUNCTION("""COMPUTED_VALUE"""),"LG")</f>
        <v>LG</v>
      </c>
      <c r="G2695">
        <f>IFERROR(__xludf.DUMMYFUNCTION("""COMPUTED_VALUE"""),16.400000000000002)</f>
        <v>16.4</v>
      </c>
    </row>
    <row r="2696">
      <c r="D2696" t="str">
        <f>IFERROR(__xludf.DUMMYFUNCTION("""COMPUTED_VALUE"""),"Carr")</f>
        <v>Carr</v>
      </c>
      <c r="E2696" t="str">
        <f>IFERROR(__xludf.DUMMYFUNCTION("""COMPUTED_VALUE"""),"Brandon")</f>
        <v>Brandon</v>
      </c>
      <c r="F2696" t="str">
        <f>IFERROR(__xludf.DUMMYFUNCTION("""COMPUTED_VALUE"""),"CB")</f>
        <v>CB</v>
      </c>
      <c r="G2696">
        <f>IFERROR(__xludf.DUMMYFUNCTION("""COMPUTED_VALUE"""),15.8)</f>
        <v>15.8</v>
      </c>
    </row>
    <row r="2697">
      <c r="D2697" t="str">
        <f>IFERROR(__xludf.DUMMYFUNCTION("""COMPUTED_VALUE"""),"Carr")</f>
        <v>Carr</v>
      </c>
      <c r="E2697" t="str">
        <f>IFERROR(__xludf.DUMMYFUNCTION("""COMPUTED_VALUE"""),"Derek")</f>
        <v>Derek</v>
      </c>
      <c r="F2697" t="str">
        <f>IFERROR(__xludf.DUMMYFUNCTION("""COMPUTED_VALUE"""),"QB")</f>
        <v>QB</v>
      </c>
      <c r="G2697">
        <f>IFERROR(__xludf.DUMMYFUNCTION("""COMPUTED_VALUE"""),17.8)</f>
        <v>17.8</v>
      </c>
    </row>
    <row r="2698">
      <c r="D2698" t="str">
        <f>IFERROR(__xludf.DUMMYFUNCTION("""COMPUTED_VALUE"""),"Carradine")</f>
        <v>Carradine</v>
      </c>
      <c r="E2698" t="str">
        <f>IFERROR(__xludf.DUMMYFUNCTION("""COMPUTED_VALUE"""),"Tank")</f>
        <v>Tank</v>
      </c>
      <c r="F2698" t="str">
        <f>IFERROR(__xludf.DUMMYFUNCTION("""COMPUTED_VALUE"""),"LE")</f>
        <v>LE</v>
      </c>
      <c r="G2698">
        <f>IFERROR(__xludf.DUMMYFUNCTION("""COMPUTED_VALUE"""),15.4)</f>
        <v>15.4</v>
      </c>
    </row>
    <row r="2699">
      <c r="D2699" t="str">
        <f>IFERROR(__xludf.DUMMYFUNCTION("""COMPUTED_VALUE"""),"Carraway")</f>
        <v>Carraway</v>
      </c>
      <c r="E2699" t="str">
        <f>IFERROR(__xludf.DUMMYFUNCTION("""COMPUTED_VALUE"""),"Josh")</f>
        <v>Josh</v>
      </c>
      <c r="F2699" t="str">
        <f>IFERROR(__xludf.DUMMYFUNCTION("""COMPUTED_VALUE"""),"ROLB")</f>
        <v>ROLB</v>
      </c>
      <c r="G2699">
        <f>IFERROR(__xludf.DUMMYFUNCTION("""COMPUTED_VALUE"""),12.8)</f>
        <v>12.8</v>
      </c>
    </row>
    <row r="2700">
      <c r="D2700" t="str">
        <f>IFERROR(__xludf.DUMMYFUNCTION("""COMPUTED_VALUE"""),"Carrell")</f>
        <v>Carrell</v>
      </c>
      <c r="E2700" t="str">
        <f>IFERROR(__xludf.DUMMYFUNCTION("""COMPUTED_VALUE"""),"Jordan")</f>
        <v>Jordan</v>
      </c>
      <c r="F2700" t="str">
        <f>IFERROR(__xludf.DUMMYFUNCTION("""COMPUTED_VALUE"""),"DT")</f>
        <v>DT</v>
      </c>
      <c r="G2700">
        <f>IFERROR(__xludf.DUMMYFUNCTION("""COMPUTED_VALUE"""),12.4)</f>
        <v>12.4</v>
      </c>
    </row>
    <row r="2701">
      <c r="D2701" t="str">
        <f>IFERROR(__xludf.DUMMYFUNCTION("""COMPUTED_VALUE"""),"Carrethers")</f>
        <v>Carrethers</v>
      </c>
      <c r="E2701" t="str">
        <f>IFERROR(__xludf.DUMMYFUNCTION("""COMPUTED_VALUE"""),"Ryan")</f>
        <v>Ryan</v>
      </c>
      <c r="F2701" t="str">
        <f>IFERROR(__xludf.DUMMYFUNCTION("""COMPUTED_VALUE"""),"DT")</f>
        <v>DT</v>
      </c>
      <c r="G2701">
        <f>IFERROR(__xludf.DUMMYFUNCTION("""COMPUTED_VALUE"""),13.600000000000001)</f>
        <v>13.6</v>
      </c>
    </row>
    <row r="2702">
      <c r="D2702" t="str">
        <f>IFERROR(__xludf.DUMMYFUNCTION("""COMPUTED_VALUE"""),"Carrie")</f>
        <v>Carrie</v>
      </c>
      <c r="E2702" t="str">
        <f>IFERROR(__xludf.DUMMYFUNCTION("""COMPUTED_VALUE"""),"TJ")</f>
        <v>TJ</v>
      </c>
      <c r="F2702" t="str">
        <f>IFERROR(__xludf.DUMMYFUNCTION("""COMPUTED_VALUE"""),"CB")</f>
        <v>CB</v>
      </c>
      <c r="G2702">
        <f>IFERROR(__xludf.DUMMYFUNCTION("""COMPUTED_VALUE"""),14.8)</f>
        <v>14.8</v>
      </c>
    </row>
    <row r="2703">
      <c r="D2703" t="str">
        <f>IFERROR(__xludf.DUMMYFUNCTION("""COMPUTED_VALUE"""),"Carrier")</f>
        <v>Carrier</v>
      </c>
      <c r="E2703" t="str">
        <f>IFERROR(__xludf.DUMMYFUNCTION("""COMPUTED_VALUE"""),"Derek")</f>
        <v>Derek</v>
      </c>
      <c r="F2703" t="str">
        <f>IFERROR(__xludf.DUMMYFUNCTION("""COMPUTED_VALUE"""),"TE")</f>
        <v>TE</v>
      </c>
      <c r="G2703">
        <f>IFERROR(__xludf.DUMMYFUNCTION("""COMPUTED_VALUE"""),14.4)</f>
        <v>14.4</v>
      </c>
    </row>
    <row r="2704">
      <c r="D2704" t="str">
        <f>IFERROR(__xludf.DUMMYFUNCTION("""COMPUTED_VALUE"""),"Carroll II")</f>
        <v>Carroll II</v>
      </c>
      <c r="E2704" t="str">
        <f>IFERROR(__xludf.DUMMYFUNCTION("""COMPUTED_VALUE"""),"Nolan")</f>
        <v>Nolan</v>
      </c>
      <c r="F2704" t="str">
        <f>IFERROR(__xludf.DUMMYFUNCTION("""COMPUTED_VALUE"""),"CB")</f>
        <v>CB</v>
      </c>
      <c r="G2704">
        <f>IFERROR(__xludf.DUMMYFUNCTION("""COMPUTED_VALUE"""),15.200000000000001)</f>
        <v>15.2</v>
      </c>
    </row>
    <row r="2705">
      <c r="D2705" t="str">
        <f>IFERROR(__xludf.DUMMYFUNCTION("""COMPUTED_VALUE"""),"Carroo")</f>
        <v>Carroo</v>
      </c>
      <c r="E2705" t="str">
        <f>IFERROR(__xludf.DUMMYFUNCTION("""COMPUTED_VALUE"""),"Leonte")</f>
        <v>Leonte</v>
      </c>
      <c r="F2705" t="str">
        <f>IFERROR(__xludf.DUMMYFUNCTION("""COMPUTED_VALUE"""),"WR")</f>
        <v>WR</v>
      </c>
      <c r="G2705">
        <f>IFERROR(__xludf.DUMMYFUNCTION("""COMPUTED_VALUE"""),13.8)</f>
        <v>13.8</v>
      </c>
    </row>
    <row r="2706">
      <c r="D2706" t="str">
        <f>IFERROR(__xludf.DUMMYFUNCTION("""COMPUTED_VALUE"""),"Carson")</f>
        <v>Carson</v>
      </c>
      <c r="E2706" t="str">
        <f>IFERROR(__xludf.DUMMYFUNCTION("""COMPUTED_VALUE"""),"Chris")</f>
        <v>Chris</v>
      </c>
      <c r="F2706" t="str">
        <f>IFERROR(__xludf.DUMMYFUNCTION("""COMPUTED_VALUE"""),"HB")</f>
        <v>HB</v>
      </c>
      <c r="G2706">
        <f>IFERROR(__xludf.DUMMYFUNCTION("""COMPUTED_VALUE"""),13.200000000000001)</f>
        <v>13.2</v>
      </c>
    </row>
    <row r="2707">
      <c r="D2707" t="str">
        <f>IFERROR(__xludf.DUMMYFUNCTION("""COMPUTED_VALUE"""),"Carter")</f>
        <v>Carter</v>
      </c>
      <c r="E2707" t="str">
        <f>IFERROR(__xludf.DUMMYFUNCTION("""COMPUTED_VALUE"""),"Alex")</f>
        <v>Alex</v>
      </c>
      <c r="F2707" t="str">
        <f>IFERROR(__xludf.DUMMYFUNCTION("""COMPUTED_VALUE"""),"CB")</f>
        <v>CB</v>
      </c>
      <c r="G2707">
        <f>IFERROR(__xludf.DUMMYFUNCTION("""COMPUTED_VALUE"""),13.4)</f>
        <v>13.4</v>
      </c>
    </row>
    <row r="2708">
      <c r="D2708" t="str">
        <f>IFERROR(__xludf.DUMMYFUNCTION("""COMPUTED_VALUE"""),"Carter")</f>
        <v>Carter</v>
      </c>
      <c r="E2708" t="str">
        <f>IFERROR(__xludf.DUMMYFUNCTION("""COMPUTED_VALUE"""),"Bruce")</f>
        <v>Bruce</v>
      </c>
      <c r="F2708" t="str">
        <f>IFERROR(__xludf.DUMMYFUNCTION("""COMPUTED_VALUE"""),"MLB")</f>
        <v>MLB</v>
      </c>
      <c r="G2708">
        <f>IFERROR(__xludf.DUMMYFUNCTION("""COMPUTED_VALUE"""),14.4)</f>
        <v>14.4</v>
      </c>
    </row>
    <row r="2709">
      <c r="D2709" t="str">
        <f>IFERROR(__xludf.DUMMYFUNCTION("""COMPUTED_VALUE"""),"Carter")</f>
        <v>Carter</v>
      </c>
      <c r="E2709" t="str">
        <f>IFERROR(__xludf.DUMMYFUNCTION("""COMPUTED_VALUE"""),"Cethan")</f>
        <v>Cethan</v>
      </c>
      <c r="F2709" t="str">
        <f>IFERROR(__xludf.DUMMYFUNCTION("""COMPUTED_VALUE"""),"TE")</f>
        <v>TE</v>
      </c>
      <c r="G2709">
        <f>IFERROR(__xludf.DUMMYFUNCTION("""COMPUTED_VALUE"""),13.4)</f>
        <v>13.4</v>
      </c>
    </row>
    <row r="2710">
      <c r="D2710" t="str">
        <f>IFERROR(__xludf.DUMMYFUNCTION("""COMPUTED_VALUE"""),"Carter")</f>
        <v>Carter</v>
      </c>
      <c r="E2710" t="str">
        <f>IFERROR(__xludf.DUMMYFUNCTION("""COMPUTED_VALUE"""),"Chris")</f>
        <v>Chris</v>
      </c>
      <c r="F2710" t="str">
        <f>IFERROR(__xludf.DUMMYFUNCTION("""COMPUTED_VALUE"""),"LOLB")</f>
        <v>LOLB</v>
      </c>
      <c r="G2710">
        <f>IFERROR(__xludf.DUMMYFUNCTION("""COMPUTED_VALUE"""),13.4)</f>
        <v>13.4</v>
      </c>
    </row>
    <row r="2711">
      <c r="D2711" t="str">
        <f>IFERROR(__xludf.DUMMYFUNCTION("""COMPUTED_VALUE"""),"Carter")</f>
        <v>Carter</v>
      </c>
      <c r="E2711" t="str">
        <f>IFERROR(__xludf.DUMMYFUNCTION("""COMPUTED_VALUE"""),"Jamal")</f>
        <v>Jamal</v>
      </c>
      <c r="F2711" t="str">
        <f>IFERROR(__xludf.DUMMYFUNCTION("""COMPUTED_VALUE"""),"FS")</f>
        <v>FS</v>
      </c>
      <c r="G2711">
        <f>IFERROR(__xludf.DUMMYFUNCTION("""COMPUTED_VALUE"""),12.4)</f>
        <v>12.4</v>
      </c>
    </row>
    <row r="2712">
      <c r="D2712" t="str">
        <f>IFERROR(__xludf.DUMMYFUNCTION("""COMPUTED_VALUE"""),"Carter")</f>
        <v>Carter</v>
      </c>
      <c r="E2712" t="str">
        <f>IFERROR(__xludf.DUMMYFUNCTION("""COMPUTED_VALUE"""),"Kyle")</f>
        <v>Kyle</v>
      </c>
      <c r="F2712" t="str">
        <f>IFERROR(__xludf.DUMMYFUNCTION("""COMPUTED_VALUE"""),"TE")</f>
        <v>TE</v>
      </c>
      <c r="G2712">
        <f>IFERROR(__xludf.DUMMYFUNCTION("""COMPUTED_VALUE"""),11.4)</f>
        <v>11.4</v>
      </c>
    </row>
    <row r="2713">
      <c r="D2713" t="str">
        <f>IFERROR(__xludf.DUMMYFUNCTION("""COMPUTED_VALUE"""),"Casey")</f>
        <v>Casey</v>
      </c>
      <c r="E2713" t="str">
        <f>IFERROR(__xludf.DUMMYFUNCTION("""COMPUTED_VALUE"""),"Jurrell")</f>
        <v>Jurrell</v>
      </c>
      <c r="F2713" t="str">
        <f>IFERROR(__xludf.DUMMYFUNCTION("""COMPUTED_VALUE"""),"RE")</f>
        <v>RE</v>
      </c>
      <c r="G2713">
        <f>IFERROR(__xludf.DUMMYFUNCTION("""COMPUTED_VALUE"""),17.2)</f>
        <v>17.2</v>
      </c>
    </row>
    <row r="2714">
      <c r="D2714" t="str">
        <f>IFERROR(__xludf.DUMMYFUNCTION("""COMPUTED_VALUE"""),"Cash")</f>
        <v>Cash</v>
      </c>
      <c r="E2714" t="str">
        <f>IFERROR(__xludf.DUMMYFUNCTION("""COMPUTED_VALUE"""),"Jeremy")</f>
        <v>Jeremy</v>
      </c>
      <c r="F2714" t="str">
        <f>IFERROR(__xludf.DUMMYFUNCTION("""COMPUTED_VALUE"""),"ROLB")</f>
        <v>ROLB</v>
      </c>
      <c r="G2714">
        <f>IFERROR(__xludf.DUMMYFUNCTION("""COMPUTED_VALUE"""),12.8)</f>
        <v>12.8</v>
      </c>
    </row>
    <row r="2715">
      <c r="D2715" t="str">
        <f>IFERROR(__xludf.DUMMYFUNCTION("""COMPUTED_VALUE"""),"Casher")</f>
        <v>Casher</v>
      </c>
      <c r="E2715" t="str">
        <f>IFERROR(__xludf.DUMMYFUNCTION("""COMPUTED_VALUE"""),"Chris")</f>
        <v>Chris</v>
      </c>
      <c r="F2715" t="str">
        <f>IFERROR(__xludf.DUMMYFUNCTION("""COMPUTED_VALUE"""),"LE")</f>
        <v>LE</v>
      </c>
      <c r="G2715">
        <f>IFERROR(__xludf.DUMMYFUNCTION("""COMPUTED_VALUE"""),12.8)</f>
        <v>12.8</v>
      </c>
    </row>
    <row r="2716">
      <c r="D2716" t="str">
        <f>IFERROR(__xludf.DUMMYFUNCTION("""COMPUTED_VALUE"""),"Casillas")</f>
        <v>Casillas</v>
      </c>
      <c r="E2716" t="str">
        <f>IFERROR(__xludf.DUMMYFUNCTION("""COMPUTED_VALUE"""),"Jonathan")</f>
        <v>Jonathan</v>
      </c>
      <c r="F2716" t="str">
        <f>IFERROR(__xludf.DUMMYFUNCTION("""COMPUTED_VALUE"""),"ROLB")</f>
        <v>ROLB</v>
      </c>
      <c r="G2716">
        <f>IFERROR(__xludf.DUMMYFUNCTION("""COMPUTED_VALUE"""),14.8)</f>
        <v>14.8</v>
      </c>
    </row>
    <row r="2717">
      <c r="D2717" t="str">
        <f>IFERROR(__xludf.DUMMYFUNCTION("""COMPUTED_VALUE"""),"Cassel")</f>
        <v>Cassel</v>
      </c>
      <c r="E2717" t="str">
        <f>IFERROR(__xludf.DUMMYFUNCTION("""COMPUTED_VALUE"""),"Matt")</f>
        <v>Matt</v>
      </c>
      <c r="F2717" t="str">
        <f>IFERROR(__xludf.DUMMYFUNCTION("""COMPUTED_VALUE"""),"QB")</f>
        <v>QB</v>
      </c>
      <c r="G2717">
        <f>IFERROR(__xludf.DUMMYFUNCTION("""COMPUTED_VALUE"""),13.8)</f>
        <v>13.8</v>
      </c>
    </row>
    <row r="2718">
      <c r="D2718" t="str">
        <f>IFERROR(__xludf.DUMMYFUNCTION("""COMPUTED_VALUE"""),"Castonzo")</f>
        <v>Castonzo</v>
      </c>
      <c r="E2718" t="str">
        <f>IFERROR(__xludf.DUMMYFUNCTION("""COMPUTED_VALUE"""),"Anthony")</f>
        <v>Anthony</v>
      </c>
      <c r="F2718" t="str">
        <f>IFERROR(__xludf.DUMMYFUNCTION("""COMPUTED_VALUE"""),"LT")</f>
        <v>LT</v>
      </c>
      <c r="G2718">
        <f>IFERROR(__xludf.DUMMYFUNCTION("""COMPUTED_VALUE"""),16.6)</f>
        <v>16.6</v>
      </c>
    </row>
    <row r="2719">
      <c r="D2719" t="str">
        <f>IFERROR(__xludf.DUMMYFUNCTION("""COMPUTED_VALUE"""),"Catanzaro")</f>
        <v>Catanzaro</v>
      </c>
      <c r="E2719" t="str">
        <f>IFERROR(__xludf.DUMMYFUNCTION("""COMPUTED_VALUE"""),"Chandler")</f>
        <v>Chandler</v>
      </c>
      <c r="F2719" t="str">
        <f>IFERROR(__xludf.DUMMYFUNCTION("""COMPUTED_VALUE"""),"K")</f>
        <v>K</v>
      </c>
      <c r="G2719">
        <f>IFERROR(__xludf.DUMMYFUNCTION("""COMPUTED_VALUE"""),15.200000000000001)</f>
        <v>15.2</v>
      </c>
    </row>
    <row r="2720">
      <c r="D2720" t="str">
        <f>IFERROR(__xludf.DUMMYFUNCTION("""COMPUTED_VALUE"""),"Celek")</f>
        <v>Celek</v>
      </c>
      <c r="E2720" t="str">
        <f>IFERROR(__xludf.DUMMYFUNCTION("""COMPUTED_VALUE"""),"Brent")</f>
        <v>Brent</v>
      </c>
      <c r="F2720" t="str">
        <f>IFERROR(__xludf.DUMMYFUNCTION("""COMPUTED_VALUE"""),"TE")</f>
        <v>TE</v>
      </c>
      <c r="G2720">
        <f>IFERROR(__xludf.DUMMYFUNCTION("""COMPUTED_VALUE"""),16.400000000000002)</f>
        <v>16.4</v>
      </c>
    </row>
    <row r="2721">
      <c r="D2721" t="str">
        <f>IFERROR(__xludf.DUMMYFUNCTION("""COMPUTED_VALUE"""),"Celek")</f>
        <v>Celek</v>
      </c>
      <c r="E2721" t="str">
        <f>IFERROR(__xludf.DUMMYFUNCTION("""COMPUTED_VALUE"""),"Garrett")</f>
        <v>Garrett</v>
      </c>
      <c r="F2721" t="str">
        <f>IFERROR(__xludf.DUMMYFUNCTION("""COMPUTED_VALUE"""),"TE")</f>
        <v>TE</v>
      </c>
      <c r="G2721">
        <f>IFERROR(__xludf.DUMMYFUNCTION("""COMPUTED_VALUE"""),14.0)</f>
        <v>14</v>
      </c>
    </row>
    <row r="2722">
      <c r="D2722" t="str">
        <f>IFERROR(__xludf.DUMMYFUNCTION("""COMPUTED_VALUE"""),"Chancellor")</f>
        <v>Chancellor</v>
      </c>
      <c r="E2722" t="str">
        <f>IFERROR(__xludf.DUMMYFUNCTION("""COMPUTED_VALUE"""),"Kam")</f>
        <v>Kam</v>
      </c>
      <c r="F2722" t="str">
        <f>IFERROR(__xludf.DUMMYFUNCTION("""COMPUTED_VALUE"""),"SS")</f>
        <v>SS</v>
      </c>
      <c r="G2722">
        <f>IFERROR(__xludf.DUMMYFUNCTION("""COMPUTED_VALUE"""),19.0)</f>
        <v>19</v>
      </c>
    </row>
    <row r="2723">
      <c r="D2723" t="str">
        <f>IFERROR(__xludf.DUMMYFUNCTION("""COMPUTED_VALUE"""),"Charles")</f>
        <v>Charles</v>
      </c>
      <c r="E2723" t="str">
        <f>IFERROR(__xludf.DUMMYFUNCTION("""COMPUTED_VALUE"""),"Jamaal")</f>
        <v>Jamaal</v>
      </c>
      <c r="F2723" t="str">
        <f>IFERROR(__xludf.DUMMYFUNCTION("""COMPUTED_VALUE"""),"HB")</f>
        <v>HB</v>
      </c>
      <c r="G2723">
        <f>IFERROR(__xludf.DUMMYFUNCTION("""COMPUTED_VALUE"""),16.8)</f>
        <v>16.8</v>
      </c>
    </row>
    <row r="2724">
      <c r="D2724" t="str">
        <f>IFERROR(__xludf.DUMMYFUNCTION("""COMPUTED_VALUE"""),"Charles")</f>
        <v>Charles</v>
      </c>
      <c r="E2724" t="str">
        <f>IFERROR(__xludf.DUMMYFUNCTION("""COMPUTED_VALUE"""),"Stefan")</f>
        <v>Stefan</v>
      </c>
      <c r="F2724" t="str">
        <f>IFERROR(__xludf.DUMMYFUNCTION("""COMPUTED_VALUE"""),"DT")</f>
        <v>DT</v>
      </c>
      <c r="G2724">
        <f>IFERROR(__xludf.DUMMYFUNCTION("""COMPUTED_VALUE"""),14.200000000000001)</f>
        <v>14.2</v>
      </c>
    </row>
    <row r="2725">
      <c r="D2725" t="str">
        <f>IFERROR(__xludf.DUMMYFUNCTION("""COMPUTED_VALUE"""),"Charlton")</f>
        <v>Charlton</v>
      </c>
      <c r="E2725" t="str">
        <f>IFERROR(__xludf.DUMMYFUNCTION("""COMPUTED_VALUE"""),"Taco")</f>
        <v>Taco</v>
      </c>
      <c r="F2725" t="str">
        <f>IFERROR(__xludf.DUMMYFUNCTION("""COMPUTED_VALUE"""),"RE")</f>
        <v>RE</v>
      </c>
      <c r="G2725">
        <f>IFERROR(__xludf.DUMMYFUNCTION("""COMPUTED_VALUE"""),15.0)</f>
        <v>15</v>
      </c>
    </row>
    <row r="2726">
      <c r="D2726" t="str">
        <f>IFERROR(__xludf.DUMMYFUNCTION("""COMPUTED_VALUE"""),"Cheek")</f>
        <v>Cheek</v>
      </c>
      <c r="E2726" t="str">
        <f>IFERROR(__xludf.DUMMYFUNCTION("""COMPUTED_VALUE"""),"Joseph")</f>
        <v>Joseph</v>
      </c>
      <c r="F2726" t="str">
        <f>IFERROR(__xludf.DUMMYFUNCTION("""COMPUTED_VALUE"""),"LG")</f>
        <v>LG</v>
      </c>
      <c r="G2726">
        <f>IFERROR(__xludf.DUMMYFUNCTION("""COMPUTED_VALUE"""),11.600000000000001)</f>
        <v>11.6</v>
      </c>
    </row>
    <row r="2727">
      <c r="D2727" t="str">
        <f>IFERROR(__xludf.DUMMYFUNCTION("""COMPUTED_VALUE"""),"Cherry")</f>
        <v>Cherry</v>
      </c>
      <c r="E2727" t="str">
        <f>IFERROR(__xludf.DUMMYFUNCTION("""COMPUTED_VALUE"""),"Don")</f>
        <v>Don</v>
      </c>
      <c r="F2727" t="str">
        <f>IFERROR(__xludf.DUMMYFUNCTION("""COMPUTED_VALUE"""),"MLB")</f>
        <v>MLB</v>
      </c>
      <c r="G2727">
        <f>IFERROR(__xludf.DUMMYFUNCTION("""COMPUTED_VALUE"""),11.4)</f>
        <v>11.4</v>
      </c>
    </row>
    <row r="2728">
      <c r="D2728" t="str">
        <f>IFERROR(__xludf.DUMMYFUNCTION("""COMPUTED_VALUE"""),"Chesson")</f>
        <v>Chesson</v>
      </c>
      <c r="E2728" t="str">
        <f>IFERROR(__xludf.DUMMYFUNCTION("""COMPUTED_VALUE"""),"Jehu")</f>
        <v>Jehu</v>
      </c>
      <c r="F2728" t="str">
        <f>IFERROR(__xludf.DUMMYFUNCTION("""COMPUTED_VALUE"""),"WR")</f>
        <v>WR</v>
      </c>
      <c r="G2728">
        <f>IFERROR(__xludf.DUMMYFUNCTION("""COMPUTED_VALUE"""),13.600000000000001)</f>
        <v>13.6</v>
      </c>
    </row>
    <row r="2729">
      <c r="D2729" t="str">
        <f>IFERROR(__xludf.DUMMYFUNCTION("""COMPUTED_VALUE"""),"Chickillo")</f>
        <v>Chickillo</v>
      </c>
      <c r="E2729" t="str">
        <f>IFERROR(__xludf.DUMMYFUNCTION("""COMPUTED_VALUE"""),"Anthony")</f>
        <v>Anthony</v>
      </c>
      <c r="F2729" t="str">
        <f>IFERROR(__xludf.DUMMYFUNCTION("""COMPUTED_VALUE"""),"LOLB")</f>
        <v>LOLB</v>
      </c>
      <c r="G2729">
        <f>IFERROR(__xludf.DUMMYFUNCTION("""COMPUTED_VALUE"""),13.200000000000001)</f>
        <v>13.2</v>
      </c>
    </row>
    <row r="2730">
      <c r="D2730" t="str">
        <f>IFERROR(__xludf.DUMMYFUNCTION("""COMPUTED_VALUE"""),"Christian")</f>
        <v>Christian</v>
      </c>
      <c r="E2730" t="str">
        <f>IFERROR(__xludf.DUMMYFUNCTION("""COMPUTED_VALUE"""),"Marqui")</f>
        <v>Marqui</v>
      </c>
      <c r="F2730" t="str">
        <f>IFERROR(__xludf.DUMMYFUNCTION("""COMPUTED_VALUE"""),"CB")</f>
        <v>CB</v>
      </c>
      <c r="G2730">
        <f>IFERROR(__xludf.DUMMYFUNCTION("""COMPUTED_VALUE"""),12.4)</f>
        <v>12.4</v>
      </c>
    </row>
    <row r="2731">
      <c r="D2731" t="str">
        <f>IFERROR(__xludf.DUMMYFUNCTION("""COMPUTED_VALUE"""),"Chung")</f>
        <v>Chung</v>
      </c>
      <c r="E2731" t="str">
        <f>IFERROR(__xludf.DUMMYFUNCTION("""COMPUTED_VALUE"""),"Patrick")</f>
        <v>Patrick</v>
      </c>
      <c r="F2731" t="str">
        <f>IFERROR(__xludf.DUMMYFUNCTION("""COMPUTED_VALUE"""),"SS")</f>
        <v>SS</v>
      </c>
      <c r="G2731">
        <f>IFERROR(__xludf.DUMMYFUNCTION("""COMPUTED_VALUE"""),15.4)</f>
        <v>15.4</v>
      </c>
    </row>
    <row r="2732">
      <c r="D2732" t="str">
        <f>IFERROR(__xludf.DUMMYFUNCTION("""COMPUTED_VALUE"""),"Church")</f>
        <v>Church</v>
      </c>
      <c r="E2732" t="str">
        <f>IFERROR(__xludf.DUMMYFUNCTION("""COMPUTED_VALUE"""),"Barry")</f>
        <v>Barry</v>
      </c>
      <c r="F2732" t="str">
        <f>IFERROR(__xludf.DUMMYFUNCTION("""COMPUTED_VALUE"""),"SS")</f>
        <v>SS</v>
      </c>
      <c r="G2732">
        <f>IFERROR(__xludf.DUMMYFUNCTION("""COMPUTED_VALUE"""),16.6)</f>
        <v>16.6</v>
      </c>
    </row>
    <row r="2733">
      <c r="D2733" t="str">
        <f>IFERROR(__xludf.DUMMYFUNCTION("""COMPUTED_VALUE"""),"Cioffi")</f>
        <v>Cioffi</v>
      </c>
      <c r="E2733" t="str">
        <f>IFERROR(__xludf.DUMMYFUNCTION("""COMPUTED_VALUE"""),"Anthony")</f>
        <v>Anthony</v>
      </c>
      <c r="F2733" t="str">
        <f>IFERROR(__xludf.DUMMYFUNCTION("""COMPUTED_VALUE"""),"CB")</f>
        <v>CB</v>
      </c>
      <c r="G2733">
        <f>IFERROR(__xludf.DUMMYFUNCTION("""COMPUTED_VALUE"""),12.0)</f>
        <v>12</v>
      </c>
    </row>
    <row r="2734">
      <c r="D2734" t="str">
        <f>IFERROR(__xludf.DUMMYFUNCTION("""COMPUTED_VALUE"""),"Claiborne")</f>
        <v>Claiborne</v>
      </c>
      <c r="E2734" t="str">
        <f>IFERROR(__xludf.DUMMYFUNCTION("""COMPUTED_VALUE"""),"Morris")</f>
        <v>Morris</v>
      </c>
      <c r="F2734" t="str">
        <f>IFERROR(__xludf.DUMMYFUNCTION("""COMPUTED_VALUE"""),"CB")</f>
        <v>CB</v>
      </c>
      <c r="G2734">
        <f>IFERROR(__xludf.DUMMYFUNCTION("""COMPUTED_VALUE"""),15.8)</f>
        <v>15.8</v>
      </c>
    </row>
    <row r="2735">
      <c r="D2735" t="str">
        <f>IFERROR(__xludf.DUMMYFUNCTION("""COMPUTED_VALUE"""),"Clark")</f>
        <v>Clark</v>
      </c>
      <c r="E2735" t="str">
        <f>IFERROR(__xludf.DUMMYFUNCTION("""COMPUTED_VALUE"""),"Chris")</f>
        <v>Chris</v>
      </c>
      <c r="F2735" t="str">
        <f>IFERROR(__xludf.DUMMYFUNCTION("""COMPUTED_VALUE"""),"RT")</f>
        <v>RT</v>
      </c>
      <c r="G2735">
        <f>IFERROR(__xludf.DUMMYFUNCTION("""COMPUTED_VALUE"""),14.4)</f>
        <v>14.4</v>
      </c>
    </row>
    <row r="2736">
      <c r="D2736" t="str">
        <f>IFERROR(__xludf.DUMMYFUNCTION("""COMPUTED_VALUE"""),"Clark")</f>
        <v>Clark</v>
      </c>
      <c r="E2736" t="str">
        <f>IFERROR(__xludf.DUMMYFUNCTION("""COMPUTED_VALUE"""),"Chuck")</f>
        <v>Chuck</v>
      </c>
      <c r="F2736" t="str">
        <f>IFERROR(__xludf.DUMMYFUNCTION("""COMPUTED_VALUE"""),"FS")</f>
        <v>FS</v>
      </c>
      <c r="G2736">
        <f>IFERROR(__xludf.DUMMYFUNCTION("""COMPUTED_VALUE"""),13.0)</f>
        <v>13</v>
      </c>
    </row>
    <row r="2737">
      <c r="D2737" t="str">
        <f>IFERROR(__xludf.DUMMYFUNCTION("""COMPUTED_VALUE"""),"Clark")</f>
        <v>Clark</v>
      </c>
      <c r="E2737" t="str">
        <f>IFERROR(__xludf.DUMMYFUNCTION("""COMPUTED_VALUE"""),"Donavon")</f>
        <v>Donavon</v>
      </c>
      <c r="F2737" t="str">
        <f>IFERROR(__xludf.DUMMYFUNCTION("""COMPUTED_VALUE"""),"RG")</f>
        <v>RG</v>
      </c>
      <c r="G2737">
        <f>IFERROR(__xludf.DUMMYFUNCTION("""COMPUTED_VALUE"""),12.600000000000001)</f>
        <v>12.6</v>
      </c>
    </row>
    <row r="2738">
      <c r="D2738" t="str">
        <f>IFERROR(__xludf.DUMMYFUNCTION("""COMPUTED_VALUE"""),"Clark")</f>
        <v>Clark</v>
      </c>
      <c r="E2738" t="str">
        <f>IFERROR(__xludf.DUMMYFUNCTION("""COMPUTED_VALUE"""),"Frank")</f>
        <v>Frank</v>
      </c>
      <c r="F2738" t="str">
        <f>IFERROR(__xludf.DUMMYFUNCTION("""COMPUTED_VALUE"""),"LE")</f>
        <v>LE</v>
      </c>
      <c r="G2738">
        <f>IFERROR(__xludf.DUMMYFUNCTION("""COMPUTED_VALUE"""),16.400000000000002)</f>
        <v>16.4</v>
      </c>
    </row>
    <row r="2739">
      <c r="D2739" t="str">
        <f>IFERROR(__xludf.DUMMYFUNCTION("""COMPUTED_VALUE"""),"Clark")</f>
        <v>Clark</v>
      </c>
      <c r="E2739" t="str">
        <f>IFERROR(__xludf.DUMMYFUNCTION("""COMPUTED_VALUE"""),"Jeremy")</f>
        <v>Jeremy</v>
      </c>
      <c r="F2739" t="str">
        <f>IFERROR(__xludf.DUMMYFUNCTION("""COMPUTED_VALUE"""),"CB")</f>
        <v>CB</v>
      </c>
      <c r="G2739">
        <f>IFERROR(__xludf.DUMMYFUNCTION("""COMPUTED_VALUE"""),12.8)</f>
        <v>12.8</v>
      </c>
    </row>
    <row r="2740">
      <c r="D2740" t="str">
        <f>IFERROR(__xludf.DUMMYFUNCTION("""COMPUTED_VALUE"""),"Clark")</f>
        <v>Clark</v>
      </c>
      <c r="E2740" t="str">
        <f>IFERROR(__xludf.DUMMYFUNCTION("""COMPUTED_VALUE"""),"Kenny")</f>
        <v>Kenny</v>
      </c>
      <c r="F2740" t="str">
        <f>IFERROR(__xludf.DUMMYFUNCTION("""COMPUTED_VALUE"""),"LE")</f>
        <v>LE</v>
      </c>
      <c r="G2740">
        <f>IFERROR(__xludf.DUMMYFUNCTION("""COMPUTED_VALUE"""),15.0)</f>
        <v>15</v>
      </c>
    </row>
    <row r="2741">
      <c r="D2741" t="str">
        <f>IFERROR(__xludf.DUMMYFUNCTION("""COMPUTED_VALUE"""),"Clark")</f>
        <v>Clark</v>
      </c>
      <c r="E2741" t="str">
        <f>IFERROR(__xludf.DUMMYFUNCTION("""COMPUTED_VALUE"""),"LeRaven")</f>
        <v>LeRaven</v>
      </c>
      <c r="F2741" t="str">
        <f>IFERROR(__xludf.DUMMYFUNCTION("""COMPUTED_VALUE"""),"LT")</f>
        <v>LT</v>
      </c>
      <c r="G2741">
        <f>IFERROR(__xludf.DUMMYFUNCTION("""COMPUTED_VALUE"""),13.200000000000001)</f>
        <v>13.2</v>
      </c>
    </row>
    <row r="2742">
      <c r="D2742" t="str">
        <f>IFERROR(__xludf.DUMMYFUNCTION("""COMPUTED_VALUE"""),"Clarke")</f>
        <v>Clarke</v>
      </c>
      <c r="E2742" t="str">
        <f>IFERROR(__xludf.DUMMYFUNCTION("""COMPUTED_VALUE"""),"Will")</f>
        <v>Will</v>
      </c>
      <c r="F2742" t="str">
        <f>IFERROR(__xludf.DUMMYFUNCTION("""COMPUTED_VALUE"""),"RE")</f>
        <v>RE</v>
      </c>
      <c r="G2742">
        <f>IFERROR(__xludf.DUMMYFUNCTION("""COMPUTED_VALUE"""),14.0)</f>
        <v>14</v>
      </c>
    </row>
    <row r="2743">
      <c r="D2743" t="str">
        <f>IFERROR(__xludf.DUMMYFUNCTION("""COMPUTED_VALUE"""),"Clay")</f>
        <v>Clay</v>
      </c>
      <c r="E2743" t="str">
        <f>IFERROR(__xludf.DUMMYFUNCTION("""COMPUTED_VALUE"""),"Charles")</f>
        <v>Charles</v>
      </c>
      <c r="F2743" t="str">
        <f>IFERROR(__xludf.DUMMYFUNCTION("""COMPUTED_VALUE"""),"TE")</f>
        <v>TE</v>
      </c>
      <c r="G2743">
        <f>IFERROR(__xludf.DUMMYFUNCTION("""COMPUTED_VALUE"""),17.2)</f>
        <v>17.2</v>
      </c>
    </row>
    <row r="2744">
      <c r="D2744" t="str">
        <f>IFERROR(__xludf.DUMMYFUNCTION("""COMPUTED_VALUE"""),"Clay")</f>
        <v>Clay</v>
      </c>
      <c r="E2744" t="str">
        <f>IFERROR(__xludf.DUMMYFUNCTION("""COMPUTED_VALUE"""),"Kaelin")</f>
        <v>Kaelin</v>
      </c>
      <c r="F2744" t="str">
        <f>IFERROR(__xludf.DUMMYFUNCTION("""COMPUTED_VALUE"""),"WR")</f>
        <v>WR</v>
      </c>
      <c r="G2744">
        <f>IFERROR(__xludf.DUMMYFUNCTION("""COMPUTED_VALUE"""),11.600000000000001)</f>
        <v>11.6</v>
      </c>
    </row>
    <row r="2745">
      <c r="D2745" t="str">
        <f>IFERROR(__xludf.DUMMYFUNCTION("""COMPUTED_VALUE"""),"Clayborn")</f>
        <v>Clayborn</v>
      </c>
      <c r="E2745" t="str">
        <f>IFERROR(__xludf.DUMMYFUNCTION("""COMPUTED_VALUE"""),"Adrian")</f>
        <v>Adrian</v>
      </c>
      <c r="F2745" t="str">
        <f>IFERROR(__xludf.DUMMYFUNCTION("""COMPUTED_VALUE"""),"LE")</f>
        <v>LE</v>
      </c>
      <c r="G2745">
        <f>IFERROR(__xludf.DUMMYFUNCTION("""COMPUTED_VALUE"""),15.4)</f>
        <v>15.4</v>
      </c>
    </row>
    <row r="2746">
      <c r="D2746" t="str">
        <f>IFERROR(__xludf.DUMMYFUNCTION("""COMPUTED_VALUE"""),"Cleary")</f>
        <v>Cleary</v>
      </c>
      <c r="E2746" t="str">
        <f>IFERROR(__xludf.DUMMYFUNCTION("""COMPUTED_VALUE"""),"Emmett")</f>
        <v>Emmett</v>
      </c>
      <c r="F2746" t="str">
        <f>IFERROR(__xludf.DUMMYFUNCTION("""COMPUTED_VALUE"""),"LT")</f>
        <v>LT</v>
      </c>
      <c r="G2746">
        <f>IFERROR(__xludf.DUMMYFUNCTION("""COMPUTED_VALUE"""),13.0)</f>
        <v>13</v>
      </c>
    </row>
    <row r="2747">
      <c r="D2747" t="str">
        <f>IFERROR(__xludf.DUMMYFUNCTION("""COMPUTED_VALUE"""),"Clemens")</f>
        <v>Clemens</v>
      </c>
      <c r="E2747" t="str">
        <f>IFERROR(__xludf.DUMMYFUNCTION("""COMPUTED_VALUE"""),"Kellen")</f>
        <v>Kellen</v>
      </c>
      <c r="F2747" t="str">
        <f>IFERROR(__xludf.DUMMYFUNCTION("""COMPUTED_VALUE"""),"QB")</f>
        <v>QB</v>
      </c>
      <c r="G2747">
        <f>IFERROR(__xludf.DUMMYFUNCTION("""COMPUTED_VALUE"""),13.4)</f>
        <v>13.4</v>
      </c>
    </row>
    <row r="2748">
      <c r="D2748" t="str">
        <f>IFERROR(__xludf.DUMMYFUNCTION("""COMPUTED_VALUE"""),"Clemmings")</f>
        <v>Clemmings</v>
      </c>
      <c r="E2748" t="str">
        <f>IFERROR(__xludf.DUMMYFUNCTION("""COMPUTED_VALUE"""),"TJ")</f>
        <v>TJ</v>
      </c>
      <c r="F2748" t="str">
        <f>IFERROR(__xludf.DUMMYFUNCTION("""COMPUTED_VALUE"""),"LT")</f>
        <v>LT</v>
      </c>
      <c r="G2748">
        <f>IFERROR(__xludf.DUMMYFUNCTION("""COMPUTED_VALUE"""),13.600000000000001)</f>
        <v>13.6</v>
      </c>
    </row>
    <row r="2749">
      <c r="D2749" t="str">
        <f>IFERROR(__xludf.DUMMYFUNCTION("""COMPUTED_VALUE"""),"Cleveland")</f>
        <v>Cleveland</v>
      </c>
      <c r="E2749" t="str">
        <f>IFERROR(__xludf.DUMMYFUNCTION("""COMPUTED_VALUE"""),"Asante")</f>
        <v>Asante</v>
      </c>
      <c r="F2749" t="str">
        <f>IFERROR(__xludf.DUMMYFUNCTION("""COMPUTED_VALUE"""),"TE")</f>
        <v>TE</v>
      </c>
      <c r="G2749">
        <f>IFERROR(__xludf.DUMMYFUNCTION("""COMPUTED_VALUE"""),13.4)</f>
        <v>13.4</v>
      </c>
    </row>
    <row r="2750">
      <c r="D2750" t="str">
        <f>IFERROR(__xludf.DUMMYFUNCTION("""COMPUTED_VALUE"""),"Cliett")</f>
        <v>Cliett</v>
      </c>
      <c r="E2750" t="str">
        <f>IFERROR(__xludf.DUMMYFUNCTION("""COMPUTED_VALUE"""),"Reshard")</f>
        <v>Reshard</v>
      </c>
      <c r="F2750" t="str">
        <f>IFERROR(__xludf.DUMMYFUNCTION("""COMPUTED_VALUE"""),"MLB")</f>
        <v>MLB</v>
      </c>
      <c r="G2750">
        <f>IFERROR(__xludf.DUMMYFUNCTION("""COMPUTED_VALUE"""),11.0)</f>
        <v>11</v>
      </c>
    </row>
    <row r="2751">
      <c r="D2751" t="str">
        <f>IFERROR(__xludf.DUMMYFUNCTION("""COMPUTED_VALUE"""),"Clinton-Dix")</f>
        <v>Clinton-Dix</v>
      </c>
      <c r="E2751" t="str">
        <f>IFERROR(__xludf.DUMMYFUNCTION("""COMPUTED_VALUE"""),"Ha Ha")</f>
        <v>Ha Ha</v>
      </c>
      <c r="F2751" t="str">
        <f>IFERROR(__xludf.DUMMYFUNCTION("""COMPUTED_VALUE"""),"FS")</f>
        <v>FS</v>
      </c>
      <c r="G2751">
        <f>IFERROR(__xludf.DUMMYFUNCTION("""COMPUTED_VALUE"""),16.400000000000002)</f>
        <v>16.4</v>
      </c>
    </row>
    <row r="2752">
      <c r="D2752" t="str">
        <f>IFERROR(__xludf.DUMMYFUNCTION("""COMPUTED_VALUE"""),"Clowney")</f>
        <v>Clowney</v>
      </c>
      <c r="E2752" t="str">
        <f>IFERROR(__xludf.DUMMYFUNCTION("""COMPUTED_VALUE"""),"Jadeveon")</f>
        <v>Jadeveon</v>
      </c>
      <c r="F2752" t="str">
        <f>IFERROR(__xludf.DUMMYFUNCTION("""COMPUTED_VALUE"""),"LOLB")</f>
        <v>LOLB</v>
      </c>
      <c r="G2752">
        <f>IFERROR(__xludf.DUMMYFUNCTION("""COMPUTED_VALUE"""),17.2)</f>
        <v>17.2</v>
      </c>
    </row>
    <row r="2753">
      <c r="D2753" t="str">
        <f>IFERROR(__xludf.DUMMYFUNCTION("""COMPUTED_VALUE"""),"Coates")</f>
        <v>Coates</v>
      </c>
      <c r="E2753" t="str">
        <f>IFERROR(__xludf.DUMMYFUNCTION("""COMPUTED_VALUE"""),"Sammie")</f>
        <v>Sammie</v>
      </c>
      <c r="F2753" t="str">
        <f>IFERROR(__xludf.DUMMYFUNCTION("""COMPUTED_VALUE"""),"WR")</f>
        <v>WR</v>
      </c>
      <c r="G2753">
        <f>IFERROR(__xludf.DUMMYFUNCTION("""COMPUTED_VALUE"""),15.0)</f>
        <v>15</v>
      </c>
    </row>
    <row r="2754">
      <c r="D2754" t="str">
        <f>IFERROR(__xludf.DUMMYFUNCTION("""COMPUTED_VALUE"""),"Cobb")</f>
        <v>Cobb</v>
      </c>
      <c r="E2754" t="str">
        <f>IFERROR(__xludf.DUMMYFUNCTION("""COMPUTED_VALUE"""),"Randall")</f>
        <v>Randall</v>
      </c>
      <c r="F2754" t="str">
        <f>IFERROR(__xludf.DUMMYFUNCTION("""COMPUTED_VALUE"""),"WR")</f>
        <v>WR</v>
      </c>
      <c r="G2754">
        <f>IFERROR(__xludf.DUMMYFUNCTION("""COMPUTED_VALUE"""),17.400000000000002)</f>
        <v>17.4</v>
      </c>
    </row>
    <row r="2755">
      <c r="D2755" t="str">
        <f>IFERROR(__xludf.DUMMYFUNCTION("""COMPUTED_VALUE"""),"Cockrell")</f>
        <v>Cockrell</v>
      </c>
      <c r="E2755" t="str">
        <f>IFERROR(__xludf.DUMMYFUNCTION("""COMPUTED_VALUE"""),"Ross")</f>
        <v>Ross</v>
      </c>
      <c r="F2755" t="str">
        <f>IFERROR(__xludf.DUMMYFUNCTION("""COMPUTED_VALUE"""),"CB")</f>
        <v>CB</v>
      </c>
      <c r="G2755">
        <f>IFERROR(__xludf.DUMMYFUNCTION("""COMPUTED_VALUE"""),16.0)</f>
        <v>16</v>
      </c>
    </row>
    <row r="2756">
      <c r="D2756" t="str">
        <f>IFERROR(__xludf.DUMMYFUNCTION("""COMPUTED_VALUE"""),"Cohen")</f>
        <v>Cohen</v>
      </c>
      <c r="E2756" t="str">
        <f>IFERROR(__xludf.DUMMYFUNCTION("""COMPUTED_VALUE"""),"Tarik")</f>
        <v>Tarik</v>
      </c>
      <c r="F2756" t="str">
        <f>IFERROR(__xludf.DUMMYFUNCTION("""COMPUTED_VALUE"""),"HB")</f>
        <v>HB</v>
      </c>
      <c r="G2756">
        <f>IFERROR(__xludf.DUMMYFUNCTION("""COMPUTED_VALUE"""),14.4)</f>
        <v>14.4</v>
      </c>
    </row>
    <row r="2757">
      <c r="D2757" t="str">
        <f>IFERROR(__xludf.DUMMYFUNCTION("""COMPUTED_VALUE"""),"Colbert")</f>
        <v>Colbert</v>
      </c>
      <c r="E2757" t="str">
        <f>IFERROR(__xludf.DUMMYFUNCTION("""COMPUTED_VALUE"""),"Adrian")</f>
        <v>Adrian</v>
      </c>
      <c r="F2757" t="str">
        <f>IFERROR(__xludf.DUMMYFUNCTION("""COMPUTED_VALUE"""),"SS")</f>
        <v>SS</v>
      </c>
      <c r="G2757">
        <f>IFERROR(__xludf.DUMMYFUNCTION("""COMPUTED_VALUE"""),12.0)</f>
        <v>12</v>
      </c>
    </row>
    <row r="2758">
      <c r="D2758" t="str">
        <f>IFERROR(__xludf.DUMMYFUNCTION("""COMPUTED_VALUE"""),"Cole")</f>
        <v>Cole</v>
      </c>
      <c r="E2758" t="str">
        <f>IFERROR(__xludf.DUMMYFUNCTION("""COMPUTED_VALUE"""),"Audie")</f>
        <v>Audie</v>
      </c>
      <c r="F2758" t="str">
        <f>IFERROR(__xludf.DUMMYFUNCTION("""COMPUTED_VALUE"""),"MLB")</f>
        <v>MLB</v>
      </c>
      <c r="G2758">
        <f>IFERROR(__xludf.DUMMYFUNCTION("""COMPUTED_VALUE"""),13.600000000000001)</f>
        <v>13.6</v>
      </c>
    </row>
    <row r="2759">
      <c r="D2759" t="str">
        <f>IFERROR(__xludf.DUMMYFUNCTION("""COMPUTED_VALUE"""),"Cole")</f>
        <v>Cole</v>
      </c>
      <c r="E2759" t="str">
        <f>IFERROR(__xludf.DUMMYFUNCTION("""COMPUTED_VALUE"""),"Dylan")</f>
        <v>Dylan</v>
      </c>
      <c r="F2759" t="str">
        <f>IFERROR(__xludf.DUMMYFUNCTION("""COMPUTED_VALUE"""),"MLB")</f>
        <v>MLB</v>
      </c>
      <c r="G2759">
        <f>IFERROR(__xludf.DUMMYFUNCTION("""COMPUTED_VALUE"""),12.200000000000001)</f>
        <v>12.2</v>
      </c>
    </row>
    <row r="2760">
      <c r="D2760" t="str">
        <f>IFERROR(__xludf.DUMMYFUNCTION("""COMPUTED_VALUE"""),"Coleman")</f>
        <v>Coleman</v>
      </c>
      <c r="E2760" t="str">
        <f>IFERROR(__xludf.DUMMYFUNCTION("""COMPUTED_VALUE"""),"Brandon")</f>
        <v>Brandon</v>
      </c>
      <c r="F2760" t="str">
        <f>IFERROR(__xludf.DUMMYFUNCTION("""COMPUTED_VALUE"""),"WR")</f>
        <v>WR</v>
      </c>
      <c r="G2760">
        <f>IFERROR(__xludf.DUMMYFUNCTION("""COMPUTED_VALUE"""),14.4)</f>
        <v>14.4</v>
      </c>
    </row>
    <row r="2761">
      <c r="D2761" t="str">
        <f>IFERROR(__xludf.DUMMYFUNCTION("""COMPUTED_VALUE"""),"Coleman")</f>
        <v>Coleman</v>
      </c>
      <c r="E2761" t="str">
        <f>IFERROR(__xludf.DUMMYFUNCTION("""COMPUTED_VALUE"""),"Corey")</f>
        <v>Corey</v>
      </c>
      <c r="F2761" t="str">
        <f>IFERROR(__xludf.DUMMYFUNCTION("""COMPUTED_VALUE"""),"WR")</f>
        <v>WR</v>
      </c>
      <c r="G2761">
        <f>IFERROR(__xludf.DUMMYFUNCTION("""COMPUTED_VALUE"""),15.600000000000001)</f>
        <v>15.6</v>
      </c>
    </row>
    <row r="2762">
      <c r="D2762" t="str">
        <f>IFERROR(__xludf.DUMMYFUNCTION("""COMPUTED_VALUE"""),"Coleman")</f>
        <v>Coleman</v>
      </c>
      <c r="E2762" t="str">
        <f>IFERROR(__xludf.DUMMYFUNCTION("""COMPUTED_VALUE"""),"Deandre")</f>
        <v>Deandre</v>
      </c>
      <c r="F2762" t="str">
        <f>IFERROR(__xludf.DUMMYFUNCTION("""COMPUTED_VALUE"""),"DT")</f>
        <v>DT</v>
      </c>
      <c r="G2762">
        <f>IFERROR(__xludf.DUMMYFUNCTION("""COMPUTED_VALUE"""),13.0)</f>
        <v>13</v>
      </c>
    </row>
    <row r="2763">
      <c r="D2763" t="str">
        <f>IFERROR(__xludf.DUMMYFUNCTION("""COMPUTED_VALUE"""),"Coleman")</f>
        <v>Coleman</v>
      </c>
      <c r="E2763" t="str">
        <f>IFERROR(__xludf.DUMMYFUNCTION("""COMPUTED_VALUE"""),"Derrick")</f>
        <v>Derrick</v>
      </c>
      <c r="F2763" t="str">
        <f>IFERROR(__xludf.DUMMYFUNCTION("""COMPUTED_VALUE"""),"FB")</f>
        <v>FB</v>
      </c>
      <c r="G2763">
        <f>IFERROR(__xludf.DUMMYFUNCTION("""COMPUTED_VALUE"""),15.0)</f>
        <v>15</v>
      </c>
    </row>
    <row r="2764">
      <c r="D2764" t="str">
        <f>IFERROR(__xludf.DUMMYFUNCTION("""COMPUTED_VALUE"""),"Coleman")</f>
        <v>Coleman</v>
      </c>
      <c r="E2764" t="str">
        <f>IFERROR(__xludf.DUMMYFUNCTION("""COMPUTED_VALUE"""),"Justin")</f>
        <v>Justin</v>
      </c>
      <c r="F2764" t="str">
        <f>IFERROR(__xludf.DUMMYFUNCTION("""COMPUTED_VALUE"""),"CB")</f>
        <v>CB</v>
      </c>
      <c r="G2764">
        <f>IFERROR(__xludf.DUMMYFUNCTION("""COMPUTED_VALUE"""),14.600000000000001)</f>
        <v>14.6</v>
      </c>
    </row>
    <row r="2765">
      <c r="D2765" t="str">
        <f>IFERROR(__xludf.DUMMYFUNCTION("""COMPUTED_VALUE"""),"Coleman")</f>
        <v>Coleman</v>
      </c>
      <c r="E2765" t="str">
        <f>IFERROR(__xludf.DUMMYFUNCTION("""COMPUTED_VALUE"""),"Kurt")</f>
        <v>Kurt</v>
      </c>
      <c r="F2765" t="str">
        <f>IFERROR(__xludf.DUMMYFUNCTION("""COMPUTED_VALUE"""),"SS")</f>
        <v>SS</v>
      </c>
      <c r="G2765">
        <f>IFERROR(__xludf.DUMMYFUNCTION("""COMPUTED_VALUE"""),15.600000000000001)</f>
        <v>15.6</v>
      </c>
    </row>
    <row r="2766">
      <c r="D2766" t="str">
        <f>IFERROR(__xludf.DUMMYFUNCTION("""COMPUTED_VALUE"""),"Coleman")</f>
        <v>Coleman</v>
      </c>
      <c r="E2766" t="str">
        <f>IFERROR(__xludf.DUMMYFUNCTION("""COMPUTED_VALUE"""),"Shon")</f>
        <v>Shon</v>
      </c>
      <c r="F2766" t="str">
        <f>IFERROR(__xludf.DUMMYFUNCTION("""COMPUTED_VALUE"""),"RT")</f>
        <v>RT</v>
      </c>
      <c r="G2766">
        <f>IFERROR(__xludf.DUMMYFUNCTION("""COMPUTED_VALUE"""),13.600000000000001)</f>
        <v>13.6</v>
      </c>
    </row>
    <row r="2767">
      <c r="D2767" t="str">
        <f>IFERROR(__xludf.DUMMYFUNCTION("""COMPUTED_VALUE"""),"Coleman")</f>
        <v>Coleman</v>
      </c>
      <c r="E2767" t="str">
        <f>IFERROR(__xludf.DUMMYFUNCTION("""COMPUTED_VALUE"""),"Tevin")</f>
        <v>Tevin</v>
      </c>
      <c r="F2767" t="str">
        <f>IFERROR(__xludf.DUMMYFUNCTION("""COMPUTED_VALUE"""),"HB")</f>
        <v>HB</v>
      </c>
      <c r="G2767">
        <f>IFERROR(__xludf.DUMMYFUNCTION("""COMPUTED_VALUE"""),17.0)</f>
        <v>17</v>
      </c>
    </row>
    <row r="2768">
      <c r="D2768" t="str">
        <f>IFERROR(__xludf.DUMMYFUNCTION("""COMPUTED_VALUE"""),"Coley")</f>
        <v>Coley</v>
      </c>
      <c r="E2768" t="str">
        <f>IFERROR(__xludf.DUMMYFUNCTION("""COMPUTED_VALUE"""),"Stacy")</f>
        <v>Stacy</v>
      </c>
      <c r="F2768" t="str">
        <f>IFERROR(__xludf.DUMMYFUNCTION("""COMPUTED_VALUE"""),"WR")</f>
        <v>WR</v>
      </c>
      <c r="G2768">
        <f>IFERROR(__xludf.DUMMYFUNCTION("""COMPUTED_VALUE"""),13.200000000000001)</f>
        <v>13.2</v>
      </c>
    </row>
    <row r="2769">
      <c r="D2769" t="str">
        <f>IFERROR(__xludf.DUMMYFUNCTION("""COMPUTED_VALUE"""),"Collins")</f>
        <v>Collins</v>
      </c>
      <c r="E2769" t="str">
        <f>IFERROR(__xludf.DUMMYFUNCTION("""COMPUTED_VALUE"""),"Alex")</f>
        <v>Alex</v>
      </c>
      <c r="F2769" t="str">
        <f>IFERROR(__xludf.DUMMYFUNCTION("""COMPUTED_VALUE"""),"HB")</f>
        <v>HB</v>
      </c>
      <c r="G2769">
        <f>IFERROR(__xludf.DUMMYFUNCTION("""COMPUTED_VALUE"""),13.4)</f>
        <v>13.4</v>
      </c>
    </row>
    <row r="2770">
      <c r="D2770" t="str">
        <f>IFERROR(__xludf.DUMMYFUNCTION("""COMPUTED_VALUE"""),"Collins")</f>
        <v>Collins</v>
      </c>
      <c r="E2770" t="str">
        <f>IFERROR(__xludf.DUMMYFUNCTION("""COMPUTED_VALUE"""),"Aviante")</f>
        <v>Aviante</v>
      </c>
      <c r="F2770" t="str">
        <f>IFERROR(__xludf.DUMMYFUNCTION("""COMPUTED_VALUE"""),"RT")</f>
        <v>RT</v>
      </c>
      <c r="G2770">
        <f>IFERROR(__xludf.DUMMYFUNCTION("""COMPUTED_VALUE"""),13.0)</f>
        <v>13</v>
      </c>
    </row>
    <row r="2771">
      <c r="D2771" t="str">
        <f>IFERROR(__xludf.DUMMYFUNCTION("""COMPUTED_VALUE"""),"Collins")</f>
        <v>Collins</v>
      </c>
      <c r="E2771" t="str">
        <f>IFERROR(__xludf.DUMMYFUNCTION("""COMPUTED_VALUE"""),"Jalen")</f>
        <v>Jalen</v>
      </c>
      <c r="F2771" t="str">
        <f>IFERROR(__xludf.DUMMYFUNCTION("""COMPUTED_VALUE"""),"CB")</f>
        <v>CB</v>
      </c>
      <c r="G2771">
        <f>IFERROR(__xludf.DUMMYFUNCTION("""COMPUTED_VALUE"""),15.8)</f>
        <v>15.8</v>
      </c>
    </row>
    <row r="2772">
      <c r="D2772" t="str">
        <f>IFERROR(__xludf.DUMMYFUNCTION("""COMPUTED_VALUE"""),"Collins")</f>
        <v>Collins</v>
      </c>
      <c r="E2772" t="str">
        <f>IFERROR(__xludf.DUMMYFUNCTION("""COMPUTED_VALUE"""),"Lael")</f>
        <v>Lael</v>
      </c>
      <c r="F2772" t="str">
        <f>IFERROR(__xludf.DUMMYFUNCTION("""COMPUTED_VALUE"""),"RT")</f>
        <v>RT</v>
      </c>
      <c r="G2772">
        <f>IFERROR(__xludf.DUMMYFUNCTION("""COMPUTED_VALUE"""),15.8)</f>
        <v>15.8</v>
      </c>
    </row>
    <row r="2773">
      <c r="D2773" t="str">
        <f>IFERROR(__xludf.DUMMYFUNCTION("""COMPUTED_VALUE"""),"Collins")</f>
        <v>Collins</v>
      </c>
      <c r="E2773" t="str">
        <f>IFERROR(__xludf.DUMMYFUNCTION("""COMPUTED_VALUE"""),"Landon")</f>
        <v>Landon</v>
      </c>
      <c r="F2773" t="str">
        <f>IFERROR(__xludf.DUMMYFUNCTION("""COMPUTED_VALUE"""),"SS")</f>
        <v>SS</v>
      </c>
      <c r="G2773">
        <f>IFERROR(__xludf.DUMMYFUNCTION("""COMPUTED_VALUE"""),18.400000000000002)</f>
        <v>18.4</v>
      </c>
    </row>
    <row r="2774">
      <c r="D2774" t="str">
        <f>IFERROR(__xludf.DUMMYFUNCTION("""COMPUTED_VALUE"""),"Collins")</f>
        <v>Collins</v>
      </c>
      <c r="E2774" t="str">
        <f>IFERROR(__xludf.DUMMYFUNCTION("""COMPUTED_VALUE"""),"Maliek")</f>
        <v>Maliek</v>
      </c>
      <c r="F2774" t="str">
        <f>IFERROR(__xludf.DUMMYFUNCTION("""COMPUTED_VALUE"""),"DT")</f>
        <v>DT</v>
      </c>
      <c r="G2774">
        <f>IFERROR(__xludf.DUMMYFUNCTION("""COMPUTED_VALUE"""),14.4)</f>
        <v>14.4</v>
      </c>
    </row>
    <row r="2775">
      <c r="D2775" t="str">
        <f>IFERROR(__xludf.DUMMYFUNCTION("""COMPUTED_VALUE"""),"Collins Sr")</f>
        <v>Collins Sr</v>
      </c>
      <c r="E2775" t="str">
        <f>IFERROR(__xludf.DUMMYFUNCTION("""COMPUTED_VALUE"""),"Jamie")</f>
        <v>Jamie</v>
      </c>
      <c r="F2775" t="str">
        <f>IFERROR(__xludf.DUMMYFUNCTION("""COMPUTED_VALUE"""),"LOLB")</f>
        <v>LOLB</v>
      </c>
      <c r="G2775">
        <f>IFERROR(__xludf.DUMMYFUNCTION("""COMPUTED_VALUE"""),17.0)</f>
        <v>17</v>
      </c>
    </row>
    <row r="2776">
      <c r="D2776" t="str">
        <f>IFERROR(__xludf.DUMMYFUNCTION("""COMPUTED_VALUE"""),"Colquitt")</f>
        <v>Colquitt</v>
      </c>
      <c r="E2776" t="str">
        <f>IFERROR(__xludf.DUMMYFUNCTION("""COMPUTED_VALUE"""),"Britton")</f>
        <v>Britton</v>
      </c>
      <c r="F2776" t="str">
        <f>IFERROR(__xludf.DUMMYFUNCTION("""COMPUTED_VALUE"""),"P")</f>
        <v>P</v>
      </c>
      <c r="G2776">
        <f>IFERROR(__xludf.DUMMYFUNCTION("""COMPUTED_VALUE"""),15.200000000000001)</f>
        <v>15.2</v>
      </c>
    </row>
    <row r="2777">
      <c r="D2777" t="str">
        <f>IFERROR(__xludf.DUMMYFUNCTION("""COMPUTED_VALUE"""),"Colquitt")</f>
        <v>Colquitt</v>
      </c>
      <c r="E2777" t="str">
        <f>IFERROR(__xludf.DUMMYFUNCTION("""COMPUTED_VALUE"""),"Dustin")</f>
        <v>Dustin</v>
      </c>
      <c r="F2777" t="str">
        <f>IFERROR(__xludf.DUMMYFUNCTION("""COMPUTED_VALUE"""),"P")</f>
        <v>P</v>
      </c>
      <c r="G2777">
        <f>IFERROR(__xludf.DUMMYFUNCTION("""COMPUTED_VALUE"""),16.2)</f>
        <v>16.2</v>
      </c>
    </row>
    <row r="2778">
      <c r="D2778" t="str">
        <f>IFERROR(__xludf.DUMMYFUNCTION("""COMPUTED_VALUE"""),"Colvin")</f>
        <v>Colvin</v>
      </c>
      <c r="E2778" t="str">
        <f>IFERROR(__xludf.DUMMYFUNCTION("""COMPUTED_VALUE"""),"Aaron")</f>
        <v>Aaron</v>
      </c>
      <c r="F2778" t="str">
        <f>IFERROR(__xludf.DUMMYFUNCTION("""COMPUTED_VALUE"""),"CB")</f>
        <v>CB</v>
      </c>
      <c r="G2778">
        <f>IFERROR(__xludf.DUMMYFUNCTION("""COMPUTED_VALUE"""),15.600000000000001)</f>
        <v>15.6</v>
      </c>
    </row>
    <row r="2779">
      <c r="D2779" t="str">
        <f>IFERROR(__xludf.DUMMYFUNCTION("""COMPUTED_VALUE"""),"Compton")</f>
        <v>Compton</v>
      </c>
      <c r="E2779" t="str">
        <f>IFERROR(__xludf.DUMMYFUNCTION("""COMPUTED_VALUE"""),"Tom")</f>
        <v>Tom</v>
      </c>
      <c r="F2779" t="str">
        <f>IFERROR(__xludf.DUMMYFUNCTION("""COMPUTED_VALUE"""),"RG")</f>
        <v>RG</v>
      </c>
      <c r="G2779">
        <f>IFERROR(__xludf.DUMMYFUNCTION("""COMPUTED_VALUE"""),14.4)</f>
        <v>14.4</v>
      </c>
    </row>
    <row r="2780">
      <c r="D2780" t="str">
        <f>IFERROR(__xludf.DUMMYFUNCTION("""COMPUTED_VALUE"""),"Compton")</f>
        <v>Compton</v>
      </c>
      <c r="E2780" t="str">
        <f>IFERROR(__xludf.DUMMYFUNCTION("""COMPUTED_VALUE"""),"Will")</f>
        <v>Will</v>
      </c>
      <c r="F2780" t="str">
        <f>IFERROR(__xludf.DUMMYFUNCTION("""COMPUTED_VALUE"""),"MLB")</f>
        <v>MLB</v>
      </c>
      <c r="G2780">
        <f>IFERROR(__xludf.DUMMYFUNCTION("""COMPUTED_VALUE"""),15.0)</f>
        <v>15</v>
      </c>
    </row>
    <row r="2781">
      <c r="D2781" t="str">
        <f>IFERROR(__xludf.DUMMYFUNCTION("""COMPUTED_VALUE"""),"Condo")</f>
        <v>Condo</v>
      </c>
      <c r="E2781" t="str">
        <f>IFERROR(__xludf.DUMMYFUNCTION("""COMPUTED_VALUE"""),"Jon")</f>
        <v>Jon</v>
      </c>
      <c r="F2781" t="str">
        <f>IFERROR(__xludf.DUMMYFUNCTION("""COMPUTED_VALUE"""),"TE")</f>
        <v>TE</v>
      </c>
      <c r="G2781">
        <f>IFERROR(__xludf.DUMMYFUNCTION("""COMPUTED_VALUE"""),8.4)</f>
        <v>8.4</v>
      </c>
    </row>
    <row r="2782">
      <c r="D2782" t="str">
        <f>IFERROR(__xludf.DUMMYFUNCTION("""COMPUTED_VALUE"""),"Conklin")</f>
        <v>Conklin</v>
      </c>
      <c r="E2782" t="str">
        <f>IFERROR(__xludf.DUMMYFUNCTION("""COMPUTED_VALUE"""),"Jack")</f>
        <v>Jack</v>
      </c>
      <c r="F2782" t="str">
        <f>IFERROR(__xludf.DUMMYFUNCTION("""COMPUTED_VALUE"""),"RT")</f>
        <v>RT</v>
      </c>
      <c r="G2782">
        <f>IFERROR(__xludf.DUMMYFUNCTION("""COMPUTED_VALUE"""),17.2)</f>
        <v>17.2</v>
      </c>
    </row>
    <row r="2783">
      <c r="D2783" t="str">
        <f>IFERROR(__xludf.DUMMYFUNCTION("""COMPUTED_VALUE"""),"Conley")</f>
        <v>Conley</v>
      </c>
      <c r="E2783" t="str">
        <f>IFERROR(__xludf.DUMMYFUNCTION("""COMPUTED_VALUE"""),"Chris")</f>
        <v>Chris</v>
      </c>
      <c r="F2783" t="str">
        <f>IFERROR(__xludf.DUMMYFUNCTION("""COMPUTED_VALUE"""),"WR")</f>
        <v>WR</v>
      </c>
      <c r="G2783">
        <f>IFERROR(__xludf.DUMMYFUNCTION("""COMPUTED_VALUE"""),15.200000000000001)</f>
        <v>15.2</v>
      </c>
    </row>
    <row r="2784">
      <c r="D2784" t="str">
        <f>IFERROR(__xludf.DUMMYFUNCTION("""COMPUTED_VALUE"""),"Conley")</f>
        <v>Conley</v>
      </c>
      <c r="E2784" t="str">
        <f>IFERROR(__xludf.DUMMYFUNCTION("""COMPUTED_VALUE"""),"Gareon")</f>
        <v>Gareon</v>
      </c>
      <c r="F2784" t="str">
        <f>IFERROR(__xludf.DUMMYFUNCTION("""COMPUTED_VALUE"""),"CB")</f>
        <v>CB</v>
      </c>
      <c r="G2784">
        <f>IFERROR(__xludf.DUMMYFUNCTION("""COMPUTED_VALUE"""),15.0)</f>
        <v>15</v>
      </c>
    </row>
    <row r="2785">
      <c r="D2785" t="str">
        <f>IFERROR(__xludf.DUMMYFUNCTION("""COMPUTED_VALUE"""),"Conner")</f>
        <v>Conner</v>
      </c>
      <c r="E2785" t="str">
        <f>IFERROR(__xludf.DUMMYFUNCTION("""COMPUTED_VALUE"""),"James")</f>
        <v>James</v>
      </c>
      <c r="F2785" t="str">
        <f>IFERROR(__xludf.DUMMYFUNCTION("""COMPUTED_VALUE"""),"HB")</f>
        <v>HB</v>
      </c>
      <c r="G2785">
        <f>IFERROR(__xludf.DUMMYFUNCTION("""COMPUTED_VALUE"""),14.200000000000001)</f>
        <v>14.2</v>
      </c>
    </row>
    <row r="2786">
      <c r="D2786" t="str">
        <f>IFERROR(__xludf.DUMMYFUNCTION("""COMPUTED_VALUE"""),"Conque")</f>
        <v>Conque</v>
      </c>
      <c r="E2786" t="str">
        <f>IFERROR(__xludf.DUMMYFUNCTION("""COMPUTED_VALUE"""),"Zach")</f>
        <v>Zach</v>
      </c>
      <c r="F2786" t="str">
        <f>IFERROR(__xludf.DUMMYFUNCTION("""COMPUTED_VALUE"""),"TE")</f>
        <v>TE</v>
      </c>
      <c r="G2786">
        <f>IFERROR(__xludf.DUMMYFUNCTION("""COMPUTED_VALUE"""),12.4)</f>
        <v>12.4</v>
      </c>
    </row>
    <row r="2787">
      <c r="D2787" t="str">
        <f>IFERROR(__xludf.DUMMYFUNCTION("""COMPUTED_VALUE"""),"Conte")</f>
        <v>Conte</v>
      </c>
      <c r="E2787" t="str">
        <f>IFERROR(__xludf.DUMMYFUNCTION("""COMPUTED_VALUE"""),"Chris")</f>
        <v>Chris</v>
      </c>
      <c r="F2787" t="str">
        <f>IFERROR(__xludf.DUMMYFUNCTION("""COMPUTED_VALUE"""),"SS")</f>
        <v>SS</v>
      </c>
      <c r="G2787">
        <f>IFERROR(__xludf.DUMMYFUNCTION("""COMPUTED_VALUE"""),14.200000000000001)</f>
        <v>14.2</v>
      </c>
    </row>
    <row r="2788">
      <c r="D2788" t="str">
        <f>IFERROR(__xludf.DUMMYFUNCTION("""COMPUTED_VALUE"""),"Cook")</f>
        <v>Cook</v>
      </c>
      <c r="E2788" t="str">
        <f>IFERROR(__xludf.DUMMYFUNCTION("""COMPUTED_VALUE"""),"Connor")</f>
        <v>Connor</v>
      </c>
      <c r="F2788" t="str">
        <f>IFERROR(__xludf.DUMMYFUNCTION("""COMPUTED_VALUE"""),"QB")</f>
        <v>QB</v>
      </c>
      <c r="G2788">
        <f>IFERROR(__xludf.DUMMYFUNCTION("""COMPUTED_VALUE"""),13.8)</f>
        <v>13.8</v>
      </c>
    </row>
    <row r="2789">
      <c r="D2789" t="str">
        <f>IFERROR(__xludf.DUMMYFUNCTION("""COMPUTED_VALUE"""),"Cook")</f>
        <v>Cook</v>
      </c>
      <c r="E2789" t="str">
        <f>IFERROR(__xludf.DUMMYFUNCTION("""COMPUTED_VALUE"""),"Dalvin")</f>
        <v>Dalvin</v>
      </c>
      <c r="F2789" t="str">
        <f>IFERROR(__xludf.DUMMYFUNCTION("""COMPUTED_VALUE"""),"HB")</f>
        <v>HB</v>
      </c>
      <c r="G2789">
        <f>IFERROR(__xludf.DUMMYFUNCTION("""COMPUTED_VALUE"""),16.0)</f>
        <v>16</v>
      </c>
    </row>
    <row r="2790">
      <c r="D2790" t="str">
        <f>IFERROR(__xludf.DUMMYFUNCTION("""COMPUTED_VALUE"""),"Cook")</f>
        <v>Cook</v>
      </c>
      <c r="E2790" t="str">
        <f>IFERROR(__xludf.DUMMYFUNCTION("""COMPUTED_VALUE"""),"Jared")</f>
        <v>Jared</v>
      </c>
      <c r="F2790" t="str">
        <f>IFERROR(__xludf.DUMMYFUNCTION("""COMPUTED_VALUE"""),"TE")</f>
        <v>TE</v>
      </c>
      <c r="G2790">
        <f>IFERROR(__xludf.DUMMYFUNCTION("""COMPUTED_VALUE"""),17.0)</f>
        <v>17</v>
      </c>
    </row>
    <row r="2791">
      <c r="D2791" t="str">
        <f>IFERROR(__xludf.DUMMYFUNCTION("""COMPUTED_VALUE"""),"Cooks")</f>
        <v>Cooks</v>
      </c>
      <c r="E2791" t="str">
        <f>IFERROR(__xludf.DUMMYFUNCTION("""COMPUTED_VALUE"""),"Brandin")</f>
        <v>Brandin</v>
      </c>
      <c r="F2791" t="str">
        <f>IFERROR(__xludf.DUMMYFUNCTION("""COMPUTED_VALUE"""),"WR")</f>
        <v>WR</v>
      </c>
      <c r="G2791">
        <f>IFERROR(__xludf.DUMMYFUNCTION("""COMPUTED_VALUE"""),17.2)</f>
        <v>17.2</v>
      </c>
    </row>
    <row r="2792">
      <c r="D2792" t="str">
        <f>IFERROR(__xludf.DUMMYFUNCTION("""COMPUTED_VALUE"""),"Cooper")</f>
        <v>Cooper</v>
      </c>
      <c r="E2792" t="str">
        <f>IFERROR(__xludf.DUMMYFUNCTION("""COMPUTED_VALUE"""),"Amari")</f>
        <v>Amari</v>
      </c>
      <c r="F2792" t="str">
        <f>IFERROR(__xludf.DUMMYFUNCTION("""COMPUTED_VALUE"""),"WR")</f>
        <v>WR</v>
      </c>
      <c r="G2792">
        <f>IFERROR(__xludf.DUMMYFUNCTION("""COMPUTED_VALUE"""),17.400000000000002)</f>
        <v>17.4</v>
      </c>
    </row>
    <row r="2793">
      <c r="D2793" t="str">
        <f>IFERROR(__xludf.DUMMYFUNCTION("""COMPUTED_VALUE"""),"Cooper")</f>
        <v>Cooper</v>
      </c>
      <c r="E2793" t="str">
        <f>IFERROR(__xludf.DUMMYFUNCTION("""COMPUTED_VALUE"""),"Ethan")</f>
        <v>Ethan</v>
      </c>
      <c r="F2793" t="str">
        <f>IFERROR(__xludf.DUMMYFUNCTION("""COMPUTED_VALUE"""),"RG")</f>
        <v>RG</v>
      </c>
      <c r="G2793">
        <f>IFERROR(__xludf.DUMMYFUNCTION("""COMPUTED_VALUE"""),12.4)</f>
        <v>12.4</v>
      </c>
    </row>
    <row r="2794">
      <c r="D2794" t="str">
        <f>IFERROR(__xludf.DUMMYFUNCTION("""COMPUTED_VALUE"""),"Cooper")</f>
        <v>Cooper</v>
      </c>
      <c r="E2794" t="str">
        <f>IFERROR(__xludf.DUMMYFUNCTION("""COMPUTED_VALUE"""),"Fahn")</f>
        <v>Fahn</v>
      </c>
      <c r="F2794" t="str">
        <f>IFERROR(__xludf.DUMMYFUNCTION("""COMPUTED_VALUE"""),"LT")</f>
        <v>LT</v>
      </c>
      <c r="G2794">
        <f>IFERROR(__xludf.DUMMYFUNCTION("""COMPUTED_VALUE"""),12.8)</f>
        <v>12.8</v>
      </c>
    </row>
    <row r="2795">
      <c r="D2795" t="str">
        <f>IFERROR(__xludf.DUMMYFUNCTION("""COMPUTED_VALUE"""),"Cooper")</f>
        <v>Cooper</v>
      </c>
      <c r="E2795" t="str">
        <f>IFERROR(__xludf.DUMMYFUNCTION("""COMPUTED_VALUE"""),"Jonathan")</f>
        <v>Jonathan</v>
      </c>
      <c r="F2795" t="str">
        <f>IFERROR(__xludf.DUMMYFUNCTION("""COMPUTED_VALUE"""),"LG")</f>
        <v>LG</v>
      </c>
      <c r="G2795">
        <f>IFERROR(__xludf.DUMMYFUNCTION("""COMPUTED_VALUE"""),15.4)</f>
        <v>15.4</v>
      </c>
    </row>
    <row r="2796">
      <c r="D2796" t="str">
        <f>IFERROR(__xludf.DUMMYFUNCTION("""COMPUTED_VALUE"""),"Cooper")</f>
        <v>Cooper</v>
      </c>
      <c r="E2796" t="str">
        <f>IFERROR(__xludf.DUMMYFUNCTION("""COMPUTED_VALUE"""),"Marcus")</f>
        <v>Marcus</v>
      </c>
      <c r="F2796" t="str">
        <f>IFERROR(__xludf.DUMMYFUNCTION("""COMPUTED_VALUE"""),"CB")</f>
        <v>CB</v>
      </c>
      <c r="G2796">
        <f>IFERROR(__xludf.DUMMYFUNCTION("""COMPUTED_VALUE"""),14.600000000000001)</f>
        <v>14.6</v>
      </c>
    </row>
    <row r="2797">
      <c r="D2797" t="str">
        <f>IFERROR(__xludf.DUMMYFUNCTION("""COMPUTED_VALUE"""),"Cooper")</f>
        <v>Cooper</v>
      </c>
      <c r="E2797" t="str">
        <f>IFERROR(__xludf.DUMMYFUNCTION("""COMPUTED_VALUE"""),"Pharoh")</f>
        <v>Pharoh</v>
      </c>
      <c r="F2797" t="str">
        <f>IFERROR(__xludf.DUMMYFUNCTION("""COMPUTED_VALUE"""),"WR")</f>
        <v>WR</v>
      </c>
      <c r="G2797">
        <f>IFERROR(__xludf.DUMMYFUNCTION("""COMPUTED_VALUE"""),12.8)</f>
        <v>12.8</v>
      </c>
    </row>
    <row r="2798">
      <c r="D2798" t="str">
        <f>IFERROR(__xludf.DUMMYFUNCTION("""COMPUTED_VALUE"""),"Cooper")</f>
        <v>Cooper</v>
      </c>
      <c r="E2798" t="str">
        <f>IFERROR(__xludf.DUMMYFUNCTION("""COMPUTED_VALUE"""),"Xavier")</f>
        <v>Xavier</v>
      </c>
      <c r="F2798" t="str">
        <f>IFERROR(__xludf.DUMMYFUNCTION("""COMPUTED_VALUE"""),"DT")</f>
        <v>DT</v>
      </c>
      <c r="G2798">
        <f>IFERROR(__xludf.DUMMYFUNCTION("""COMPUTED_VALUE"""),14.0)</f>
        <v>14</v>
      </c>
    </row>
    <row r="2799">
      <c r="D2799" t="str">
        <f>IFERROR(__xludf.DUMMYFUNCTION("""COMPUTED_VALUE"""),"Copeland")</f>
        <v>Copeland</v>
      </c>
      <c r="E2799" t="str">
        <f>IFERROR(__xludf.DUMMYFUNCTION("""COMPUTED_VALUE"""),"Brandon")</f>
        <v>Brandon</v>
      </c>
      <c r="F2799" t="str">
        <f>IFERROR(__xludf.DUMMYFUNCTION("""COMPUTED_VALUE"""),"LE")</f>
        <v>LE</v>
      </c>
      <c r="G2799">
        <f>IFERROR(__xludf.DUMMYFUNCTION("""COMPUTED_VALUE"""),13.200000000000001)</f>
        <v>13.2</v>
      </c>
    </row>
    <row r="2800">
      <c r="D2800" t="str">
        <f>IFERROR(__xludf.DUMMYFUNCTION("""COMPUTED_VALUE"""),"Core")</f>
        <v>Core</v>
      </c>
      <c r="E2800" t="str">
        <f>IFERROR(__xludf.DUMMYFUNCTION("""COMPUTED_VALUE"""),"Cody")</f>
        <v>Cody</v>
      </c>
      <c r="F2800" t="str">
        <f>IFERROR(__xludf.DUMMYFUNCTION("""COMPUTED_VALUE"""),"WR")</f>
        <v>WR</v>
      </c>
      <c r="G2800">
        <f>IFERROR(__xludf.DUMMYFUNCTION("""COMPUTED_VALUE"""),13.600000000000001)</f>
        <v>13.6</v>
      </c>
    </row>
    <row r="2801">
      <c r="D2801" t="str">
        <f>IFERROR(__xludf.DUMMYFUNCTION("""COMPUTED_VALUE"""),"Correa")</f>
        <v>Correa</v>
      </c>
      <c r="E2801" t="str">
        <f>IFERROR(__xludf.DUMMYFUNCTION("""COMPUTED_VALUE"""),"Kamalei")</f>
        <v>Kamalei</v>
      </c>
      <c r="F2801" t="str">
        <f>IFERROR(__xludf.DUMMYFUNCTION("""COMPUTED_VALUE"""),"MLB")</f>
        <v>MLB</v>
      </c>
      <c r="G2801">
        <f>IFERROR(__xludf.DUMMYFUNCTION("""COMPUTED_VALUE"""),14.200000000000001)</f>
        <v>14.2</v>
      </c>
    </row>
    <row r="2802">
      <c r="D2802" t="str">
        <f>IFERROR(__xludf.DUMMYFUNCTION("""COMPUTED_VALUE"""),"Countess")</f>
        <v>Countess</v>
      </c>
      <c r="E2802" t="str">
        <f>IFERROR(__xludf.DUMMYFUNCTION("""COMPUTED_VALUE"""),"Blake")</f>
        <v>Blake</v>
      </c>
      <c r="F2802" t="str">
        <f>IFERROR(__xludf.DUMMYFUNCTION("""COMPUTED_VALUE"""),"CB")</f>
        <v>CB</v>
      </c>
      <c r="G2802">
        <f>IFERROR(__xludf.DUMMYFUNCTION("""COMPUTED_VALUE"""),13.0)</f>
        <v>13</v>
      </c>
    </row>
    <row r="2803">
      <c r="D2803" t="str">
        <f>IFERROR(__xludf.DUMMYFUNCTION("""COMPUTED_VALUE"""),"Cousins")</f>
        <v>Cousins</v>
      </c>
      <c r="E2803" t="str">
        <f>IFERROR(__xludf.DUMMYFUNCTION("""COMPUTED_VALUE"""),"Kirk")</f>
        <v>Kirk</v>
      </c>
      <c r="F2803" t="str">
        <f>IFERROR(__xludf.DUMMYFUNCTION("""COMPUTED_VALUE"""),"QB")</f>
        <v>QB</v>
      </c>
      <c r="G2803">
        <f>IFERROR(__xludf.DUMMYFUNCTION("""COMPUTED_VALUE"""),17.0)</f>
        <v>17</v>
      </c>
    </row>
    <row r="2804">
      <c r="D2804" t="str">
        <f>IFERROR(__xludf.DUMMYFUNCTION("""COMPUTED_VALUE"""),"Covington")</f>
        <v>Covington</v>
      </c>
      <c r="E2804" t="str">
        <f>IFERROR(__xludf.DUMMYFUNCTION("""COMPUTED_VALUE"""),"Christian")</f>
        <v>Christian</v>
      </c>
      <c r="F2804" t="str">
        <f>IFERROR(__xludf.DUMMYFUNCTION("""COMPUTED_VALUE"""),"RE")</f>
        <v>RE</v>
      </c>
      <c r="G2804">
        <f>IFERROR(__xludf.DUMMYFUNCTION("""COMPUTED_VALUE"""),14.0)</f>
        <v>14</v>
      </c>
    </row>
    <row r="2805">
      <c r="D2805" t="str">
        <f>IFERROR(__xludf.DUMMYFUNCTION("""COMPUTED_VALUE"""),"Cowser")</f>
        <v>Cowser</v>
      </c>
      <c r="E2805" t="str">
        <f>IFERROR(__xludf.DUMMYFUNCTION("""COMPUTED_VALUE"""),"James")</f>
        <v>James</v>
      </c>
      <c r="F2805" t="str">
        <f>IFERROR(__xludf.DUMMYFUNCTION("""COMPUTED_VALUE"""),"ROLB")</f>
        <v>ROLB</v>
      </c>
      <c r="G2805">
        <f>IFERROR(__xludf.DUMMYFUNCTION("""COMPUTED_VALUE"""),11.8)</f>
        <v>11.8</v>
      </c>
    </row>
    <row r="2806">
      <c r="D2806" t="str">
        <f>IFERROR(__xludf.DUMMYFUNCTION("""COMPUTED_VALUE"""),"Cox")</f>
        <v>Cox</v>
      </c>
      <c r="E2806" t="str">
        <f>IFERROR(__xludf.DUMMYFUNCTION("""COMPUTED_VALUE"""),"Fletcher")</f>
        <v>Fletcher</v>
      </c>
      <c r="F2806" t="str">
        <f>IFERROR(__xludf.DUMMYFUNCTION("""COMPUTED_VALUE"""),"DT")</f>
        <v>DT</v>
      </c>
      <c r="G2806">
        <f>IFERROR(__xludf.DUMMYFUNCTION("""COMPUTED_VALUE"""),18.2)</f>
        <v>18.2</v>
      </c>
    </row>
    <row r="2807">
      <c r="D2807" t="str">
        <f>IFERROR(__xludf.DUMMYFUNCTION("""COMPUTED_VALUE"""),"Cox")</f>
        <v>Cox</v>
      </c>
      <c r="E2807" t="str">
        <f>IFERROR(__xludf.DUMMYFUNCTION("""COMPUTED_VALUE"""),"Morgan")</f>
        <v>Morgan</v>
      </c>
      <c r="F2807" t="str">
        <f>IFERROR(__xludf.DUMMYFUNCTION("""COMPUTED_VALUE"""),"TE")</f>
        <v>TE</v>
      </c>
      <c r="G2807">
        <f>IFERROR(__xludf.DUMMYFUNCTION("""COMPUTED_VALUE"""),8.0)</f>
        <v>8</v>
      </c>
    </row>
    <row r="2808">
      <c r="D2808" t="str">
        <f>IFERROR(__xludf.DUMMYFUNCTION("""COMPUTED_VALUE"""),"Cox Jr")</f>
        <v>Cox Jr</v>
      </c>
      <c r="E2808" t="str">
        <f>IFERROR(__xludf.DUMMYFUNCTION("""COMPUTED_VALUE"""),"Bryan")</f>
        <v>Bryan</v>
      </c>
      <c r="F2808" t="str">
        <f>IFERROR(__xludf.DUMMYFUNCTION("""COMPUTED_VALUE"""),"LE")</f>
        <v>LE</v>
      </c>
      <c r="G2808">
        <f>IFERROR(__xludf.DUMMYFUNCTION("""COMPUTED_VALUE"""),12.8)</f>
        <v>12.8</v>
      </c>
    </row>
    <row r="2809">
      <c r="D2809" t="str">
        <f>IFERROR(__xludf.DUMMYFUNCTION("""COMPUTED_VALUE"""),"Coyle")</f>
        <v>Coyle</v>
      </c>
      <c r="E2809" t="str">
        <f>IFERROR(__xludf.DUMMYFUNCTION("""COMPUTED_VALUE"""),"Brock")</f>
        <v>Brock</v>
      </c>
      <c r="F2809" t="str">
        <f>IFERROR(__xludf.DUMMYFUNCTION("""COMPUTED_VALUE"""),"MLB")</f>
        <v>MLB</v>
      </c>
      <c r="G2809">
        <f>IFERROR(__xludf.DUMMYFUNCTION("""COMPUTED_VALUE"""),13.600000000000001)</f>
        <v>13.6</v>
      </c>
    </row>
    <row r="2810">
      <c r="D2810" t="str">
        <f>IFERROR(__xludf.DUMMYFUNCTION("""COMPUTED_VALUE"""),"Crabtree")</f>
        <v>Crabtree</v>
      </c>
      <c r="E2810" t="str">
        <f>IFERROR(__xludf.DUMMYFUNCTION("""COMPUTED_VALUE"""),"Michael")</f>
        <v>Michael</v>
      </c>
      <c r="F2810" t="str">
        <f>IFERROR(__xludf.DUMMYFUNCTION("""COMPUTED_VALUE"""),"WR")</f>
        <v>WR</v>
      </c>
      <c r="G2810">
        <f>IFERROR(__xludf.DUMMYFUNCTION("""COMPUTED_VALUE"""),17.0)</f>
        <v>17</v>
      </c>
    </row>
    <row r="2811">
      <c r="D2811" t="str">
        <f>IFERROR(__xludf.DUMMYFUNCTION("""COMPUTED_VALUE"""),"Cravens")</f>
        <v>Cravens</v>
      </c>
      <c r="E2811" t="str">
        <f>IFERROR(__xludf.DUMMYFUNCTION("""COMPUTED_VALUE"""),"Sua")</f>
        <v>Sua</v>
      </c>
      <c r="F2811" t="str">
        <f>IFERROR(__xludf.DUMMYFUNCTION("""COMPUTED_VALUE"""),"SS")</f>
        <v>SS</v>
      </c>
      <c r="G2811">
        <f>IFERROR(__xludf.DUMMYFUNCTION("""COMPUTED_VALUE"""),16.0)</f>
        <v>16</v>
      </c>
    </row>
    <row r="2812">
      <c r="D2812" t="str">
        <f>IFERROR(__xludf.DUMMYFUNCTION("""COMPUTED_VALUE"""),"Crawford")</f>
        <v>Crawford</v>
      </c>
      <c r="E2812" t="str">
        <f>IFERROR(__xludf.DUMMYFUNCTION("""COMPUTED_VALUE"""),"Jack")</f>
        <v>Jack</v>
      </c>
      <c r="F2812" t="str">
        <f>IFERROR(__xludf.DUMMYFUNCTION("""COMPUTED_VALUE"""),"RE")</f>
        <v>RE</v>
      </c>
      <c r="G2812">
        <f>IFERROR(__xludf.DUMMYFUNCTION("""COMPUTED_VALUE"""),13.8)</f>
        <v>13.8</v>
      </c>
    </row>
    <row r="2813">
      <c r="D2813" t="str">
        <f>IFERROR(__xludf.DUMMYFUNCTION("""COMPUTED_VALUE"""),"Crawford")</f>
        <v>Crawford</v>
      </c>
      <c r="E2813" t="str">
        <f>IFERROR(__xludf.DUMMYFUNCTION("""COMPUTED_VALUE"""),"Tyrone")</f>
        <v>Tyrone</v>
      </c>
      <c r="F2813" t="str">
        <f>IFERROR(__xludf.DUMMYFUNCTION("""COMPUTED_VALUE"""),"LE")</f>
        <v>LE</v>
      </c>
      <c r="G2813">
        <f>IFERROR(__xludf.DUMMYFUNCTION("""COMPUTED_VALUE"""),15.4)</f>
        <v>15.4</v>
      </c>
    </row>
    <row r="2814">
      <c r="D2814" t="str">
        <f>IFERROR(__xludf.DUMMYFUNCTION("""COMPUTED_VALUE"""),"Crawley")</f>
        <v>Crawley</v>
      </c>
      <c r="E2814" t="str">
        <f>IFERROR(__xludf.DUMMYFUNCTION("""COMPUTED_VALUE"""),"Ken")</f>
        <v>Ken</v>
      </c>
      <c r="F2814" t="str">
        <f>IFERROR(__xludf.DUMMYFUNCTION("""COMPUTED_VALUE"""),"CB")</f>
        <v>CB</v>
      </c>
      <c r="G2814">
        <f>IFERROR(__xludf.DUMMYFUNCTION("""COMPUTED_VALUE"""),14.200000000000001)</f>
        <v>14.2</v>
      </c>
    </row>
    <row r="2815">
      <c r="D2815" t="str">
        <f>IFERROR(__xludf.DUMMYFUNCTION("""COMPUTED_VALUE"""),"Crick")</f>
        <v>Crick</v>
      </c>
      <c r="E2815" t="str">
        <f>IFERROR(__xludf.DUMMYFUNCTION("""COMPUTED_VALUE"""),"Jared")</f>
        <v>Jared</v>
      </c>
      <c r="F2815" t="str">
        <f>IFERROR(__xludf.DUMMYFUNCTION("""COMPUTED_VALUE"""),"RE")</f>
        <v>RE</v>
      </c>
      <c r="G2815">
        <f>IFERROR(__xludf.DUMMYFUNCTION("""COMPUTED_VALUE"""),14.200000000000001)</f>
        <v>14.2</v>
      </c>
    </row>
    <row r="2816">
      <c r="D2816" t="str">
        <f>IFERROR(__xludf.DUMMYFUNCTION("""COMPUTED_VALUE"""),"Cromartie")</f>
        <v>Cromartie</v>
      </c>
      <c r="E2816" t="str">
        <f>IFERROR(__xludf.DUMMYFUNCTION("""COMPUTED_VALUE"""),"Marcus")</f>
        <v>Marcus</v>
      </c>
      <c r="F2816" t="str">
        <f>IFERROR(__xludf.DUMMYFUNCTION("""COMPUTED_VALUE"""),"FS")</f>
        <v>FS</v>
      </c>
      <c r="G2816">
        <f>IFERROR(__xludf.DUMMYFUNCTION("""COMPUTED_VALUE"""),12.8)</f>
        <v>12.8</v>
      </c>
    </row>
    <row r="2817">
      <c r="D2817" t="str">
        <f>IFERROR(__xludf.DUMMYFUNCTION("""COMPUTED_VALUE"""),"Croom")</f>
        <v>Croom</v>
      </c>
      <c r="E2817" t="str">
        <f>IFERROR(__xludf.DUMMYFUNCTION("""COMPUTED_VALUE"""),"Jason")</f>
        <v>Jason</v>
      </c>
      <c r="F2817" t="str">
        <f>IFERROR(__xludf.DUMMYFUNCTION("""COMPUTED_VALUE"""),"TE")</f>
        <v>TE</v>
      </c>
      <c r="G2817">
        <f>IFERROR(__xludf.DUMMYFUNCTION("""COMPUTED_VALUE"""),13.200000000000001)</f>
        <v>13.2</v>
      </c>
    </row>
    <row r="2818">
      <c r="D2818" t="str">
        <f>IFERROR(__xludf.DUMMYFUNCTION("""COMPUTED_VALUE"""),"Crosby")</f>
        <v>Crosby</v>
      </c>
      <c r="E2818" t="str">
        <f>IFERROR(__xludf.DUMMYFUNCTION("""COMPUTED_VALUE"""),"Mason")</f>
        <v>Mason</v>
      </c>
      <c r="F2818" t="str">
        <f>IFERROR(__xludf.DUMMYFUNCTION("""COMPUTED_VALUE"""),"K")</f>
        <v>K</v>
      </c>
      <c r="G2818">
        <f>IFERROR(__xludf.DUMMYFUNCTION("""COMPUTED_VALUE"""),15.4)</f>
        <v>15.4</v>
      </c>
    </row>
    <row r="2819">
      <c r="D2819" t="str">
        <f>IFERROR(__xludf.DUMMYFUNCTION("""COMPUTED_VALUE"""),"Cross")</f>
        <v>Cross</v>
      </c>
      <c r="E2819" t="str">
        <f>IFERROR(__xludf.DUMMYFUNCTION("""COMPUTED_VALUE"""),"Alan")</f>
        <v>Alan</v>
      </c>
      <c r="F2819" t="str">
        <f>IFERROR(__xludf.DUMMYFUNCTION("""COMPUTED_VALUE"""),"FB")</f>
        <v>FB</v>
      </c>
      <c r="G2819">
        <f>IFERROR(__xludf.DUMMYFUNCTION("""COMPUTED_VALUE"""),13.600000000000001)</f>
        <v>13.6</v>
      </c>
    </row>
    <row r="2820">
      <c r="D2820" t="str">
        <f>IFERROR(__xludf.DUMMYFUNCTION("""COMPUTED_VALUE"""),"Crossan")</f>
        <v>Crossan</v>
      </c>
      <c r="E2820" t="str">
        <f>IFERROR(__xludf.DUMMYFUNCTION("""COMPUTED_VALUE"""),"Dalton")</f>
        <v>Dalton</v>
      </c>
      <c r="F2820" t="str">
        <f>IFERROR(__xludf.DUMMYFUNCTION("""COMPUTED_VALUE"""),"HB")</f>
        <v>HB</v>
      </c>
      <c r="G2820">
        <f>IFERROR(__xludf.DUMMYFUNCTION("""COMPUTED_VALUE"""),12.200000000000001)</f>
        <v>12.2</v>
      </c>
    </row>
    <row r="2821">
      <c r="D2821" t="str">
        <f>IFERROR(__xludf.DUMMYFUNCTION("""COMPUTED_VALUE"""),"Crowder")</f>
        <v>Crowder</v>
      </c>
      <c r="E2821" t="str">
        <f>IFERROR(__xludf.DUMMYFUNCTION("""COMPUTED_VALUE"""),"Jamison")</f>
        <v>Jamison</v>
      </c>
      <c r="F2821" t="str">
        <f>IFERROR(__xludf.DUMMYFUNCTION("""COMPUTED_VALUE"""),"WR")</f>
        <v>WR</v>
      </c>
      <c r="G2821">
        <f>IFERROR(__xludf.DUMMYFUNCTION("""COMPUTED_VALUE"""),16.400000000000002)</f>
        <v>16.4</v>
      </c>
    </row>
    <row r="2822">
      <c r="D2822" t="str">
        <f>IFERROR(__xludf.DUMMYFUNCTION("""COMPUTED_VALUE"""),"Crowell")</f>
        <v>Crowell</v>
      </c>
      <c r="E2822" t="str">
        <f>IFERROR(__xludf.DUMMYFUNCTION("""COMPUTED_VALUE"""),"Isaiah")</f>
        <v>Isaiah</v>
      </c>
      <c r="F2822" t="str">
        <f>IFERROR(__xludf.DUMMYFUNCTION("""COMPUTED_VALUE"""),"HB")</f>
        <v>HB</v>
      </c>
      <c r="G2822">
        <f>IFERROR(__xludf.DUMMYFUNCTION("""COMPUTED_VALUE"""),16.400000000000002)</f>
        <v>16.4</v>
      </c>
    </row>
    <row r="2823">
      <c r="D2823" t="str">
        <f>IFERROR(__xludf.DUMMYFUNCTION("""COMPUTED_VALUE"""),"Cruz")</f>
        <v>Cruz</v>
      </c>
      <c r="E2823" t="str">
        <f>IFERROR(__xludf.DUMMYFUNCTION("""COMPUTED_VALUE"""),"Victor")</f>
        <v>Victor</v>
      </c>
      <c r="F2823" t="str">
        <f>IFERROR(__xludf.DUMMYFUNCTION("""COMPUTED_VALUE"""),"WR")</f>
        <v>WR</v>
      </c>
      <c r="G2823">
        <f>IFERROR(__xludf.DUMMYFUNCTION("""COMPUTED_VALUE"""),15.4)</f>
        <v>15.4</v>
      </c>
    </row>
    <row r="2824">
      <c r="D2824" t="str">
        <f>IFERROR(__xludf.DUMMYFUNCTION("""COMPUTED_VALUE"""),"Cumberland")</f>
        <v>Cumberland</v>
      </c>
      <c r="E2824" t="str">
        <f>IFERROR(__xludf.DUMMYFUNCTION("""COMPUTED_VALUE"""),"Jeff")</f>
        <v>Jeff</v>
      </c>
      <c r="F2824" t="str">
        <f>IFERROR(__xludf.DUMMYFUNCTION("""COMPUTED_VALUE"""),"TE")</f>
        <v>TE</v>
      </c>
      <c r="G2824">
        <f>IFERROR(__xludf.DUMMYFUNCTION("""COMPUTED_VALUE"""),14.4)</f>
        <v>14.4</v>
      </c>
    </row>
    <row r="2825">
      <c r="D2825" t="str">
        <f>IFERROR(__xludf.DUMMYFUNCTION("""COMPUTED_VALUE"""),"Cunningham")</f>
        <v>Cunningham</v>
      </c>
      <c r="E2825" t="str">
        <f>IFERROR(__xludf.DUMMYFUNCTION("""COMPUTED_VALUE"""),"Jerome")</f>
        <v>Jerome</v>
      </c>
      <c r="F2825" t="str">
        <f>IFERROR(__xludf.DUMMYFUNCTION("""COMPUTED_VALUE"""),"TE")</f>
        <v>TE</v>
      </c>
      <c r="G2825">
        <f>IFERROR(__xludf.DUMMYFUNCTION("""COMPUTED_VALUE"""),13.200000000000001)</f>
        <v>13.2</v>
      </c>
    </row>
    <row r="2826">
      <c r="D2826" t="str">
        <f>IFERROR(__xludf.DUMMYFUNCTION("""COMPUTED_VALUE"""),"Cunningham")</f>
        <v>Cunningham</v>
      </c>
      <c r="E2826" t="str">
        <f>IFERROR(__xludf.DUMMYFUNCTION("""COMPUTED_VALUE"""),"Zach")</f>
        <v>Zach</v>
      </c>
      <c r="F2826" t="str">
        <f>IFERROR(__xludf.DUMMYFUNCTION("""COMPUTED_VALUE"""),"ROLB")</f>
        <v>ROLB</v>
      </c>
      <c r="G2826">
        <f>IFERROR(__xludf.DUMMYFUNCTION("""COMPUTED_VALUE"""),14.200000000000001)</f>
        <v>14.2</v>
      </c>
    </row>
    <row r="2827">
      <c r="D2827" t="str">
        <f>IFERROR(__xludf.DUMMYFUNCTION("""COMPUTED_VALUE"""),"Cunningham Jr")</f>
        <v>Cunningham Jr</v>
      </c>
      <c r="E2827" t="str">
        <f>IFERROR(__xludf.DUMMYFUNCTION("""COMPUTED_VALUE"""),"Benny")</f>
        <v>Benny</v>
      </c>
      <c r="F2827" t="str">
        <f>IFERROR(__xludf.DUMMYFUNCTION("""COMPUTED_VALUE"""),"HB")</f>
        <v>HB</v>
      </c>
      <c r="G2827">
        <f>IFERROR(__xludf.DUMMYFUNCTION("""COMPUTED_VALUE"""),14.8)</f>
        <v>14.8</v>
      </c>
    </row>
    <row r="2828">
      <c r="D2828" t="str">
        <f>IFERROR(__xludf.DUMMYFUNCTION("""COMPUTED_VALUE"""),"Curry")</f>
        <v>Curry</v>
      </c>
      <c r="E2828" t="str">
        <f>IFERROR(__xludf.DUMMYFUNCTION("""COMPUTED_VALUE"""),"Vinny")</f>
        <v>Vinny</v>
      </c>
      <c r="F2828" t="str">
        <f>IFERROR(__xludf.DUMMYFUNCTION("""COMPUTED_VALUE"""),"RE")</f>
        <v>RE</v>
      </c>
      <c r="G2828">
        <f>IFERROR(__xludf.DUMMYFUNCTION("""COMPUTED_VALUE"""),15.8)</f>
        <v>15.8</v>
      </c>
    </row>
    <row r="2829">
      <c r="D2829" t="str">
        <f>IFERROR(__xludf.DUMMYFUNCTION("""COMPUTED_VALUE"""),"Cushing")</f>
        <v>Cushing</v>
      </c>
      <c r="E2829" t="str">
        <f>IFERROR(__xludf.DUMMYFUNCTION("""COMPUTED_VALUE"""),"Brian")</f>
        <v>Brian</v>
      </c>
      <c r="F2829" t="str">
        <f>IFERROR(__xludf.DUMMYFUNCTION("""COMPUTED_VALUE"""),"MLB")</f>
        <v>MLB</v>
      </c>
      <c r="G2829">
        <f>IFERROR(__xludf.DUMMYFUNCTION("""COMPUTED_VALUE"""),15.600000000000001)</f>
        <v>15.6</v>
      </c>
    </row>
    <row r="2830">
      <c r="D2830" t="str">
        <f>IFERROR(__xludf.DUMMYFUNCTION("""COMPUTED_VALUE"""),"Cyprien")</f>
        <v>Cyprien</v>
      </c>
      <c r="E2830" t="str">
        <f>IFERROR(__xludf.DUMMYFUNCTION("""COMPUTED_VALUE"""),"Johnathan")</f>
        <v>Johnathan</v>
      </c>
      <c r="F2830" t="str">
        <f>IFERROR(__xludf.DUMMYFUNCTION("""COMPUTED_VALUE"""),"FS")</f>
        <v>FS</v>
      </c>
      <c r="G2830">
        <f>IFERROR(__xludf.DUMMYFUNCTION("""COMPUTED_VALUE"""),16.8)</f>
        <v>16.8</v>
      </c>
    </row>
    <row r="2831">
      <c r="D2831" t="str">
        <f>IFERROR(__xludf.DUMMYFUNCTION("""COMPUTED_VALUE"""),"Dahl")</f>
        <v>Dahl</v>
      </c>
      <c r="E2831" t="str">
        <f>IFERROR(__xludf.DUMMYFUNCTION("""COMPUTED_VALUE"""),"Joe")</f>
        <v>Joe</v>
      </c>
      <c r="F2831" t="str">
        <f>IFERROR(__xludf.DUMMYFUNCTION("""COMPUTED_VALUE"""),"RG")</f>
        <v>RG</v>
      </c>
      <c r="G2831">
        <f>IFERROR(__xludf.DUMMYFUNCTION("""COMPUTED_VALUE"""),13.200000000000001)</f>
        <v>13.2</v>
      </c>
    </row>
    <row r="2832">
      <c r="D2832" t="str">
        <f>IFERROR(__xludf.DUMMYFUNCTION("""COMPUTED_VALUE"""),"Dalton")</f>
        <v>Dalton</v>
      </c>
      <c r="E2832" t="str">
        <f>IFERROR(__xludf.DUMMYFUNCTION("""COMPUTED_VALUE"""),"Andy")</f>
        <v>Andy</v>
      </c>
      <c r="F2832" t="str">
        <f>IFERROR(__xludf.DUMMYFUNCTION("""COMPUTED_VALUE"""),"QB")</f>
        <v>QB</v>
      </c>
      <c r="G2832">
        <f>IFERROR(__xludf.DUMMYFUNCTION("""COMPUTED_VALUE"""),16.8)</f>
        <v>16.8</v>
      </c>
    </row>
    <row r="2833">
      <c r="D2833" t="str">
        <f>IFERROR(__xludf.DUMMYFUNCTION("""COMPUTED_VALUE"""),"Dangerfield")</f>
        <v>Dangerfield</v>
      </c>
      <c r="E2833" t="str">
        <f>IFERROR(__xludf.DUMMYFUNCTION("""COMPUTED_VALUE"""),"Jordan")</f>
        <v>Jordan</v>
      </c>
      <c r="F2833" t="str">
        <f>IFERROR(__xludf.DUMMYFUNCTION("""COMPUTED_VALUE"""),"FS")</f>
        <v>FS</v>
      </c>
      <c r="G2833">
        <f>IFERROR(__xludf.DUMMYFUNCTION("""COMPUTED_VALUE"""),14.0)</f>
        <v>14</v>
      </c>
    </row>
    <row r="2834">
      <c r="D2834" t="str">
        <f>IFERROR(__xludf.DUMMYFUNCTION("""COMPUTED_VALUE"""),"Daniel")</f>
        <v>Daniel</v>
      </c>
      <c r="E2834" t="str">
        <f>IFERROR(__xludf.DUMMYFUNCTION("""COMPUTED_VALUE"""),"Chase")</f>
        <v>Chase</v>
      </c>
      <c r="F2834" t="str">
        <f>IFERROR(__xludf.DUMMYFUNCTION("""COMPUTED_VALUE"""),"QB")</f>
        <v>QB</v>
      </c>
      <c r="G2834">
        <f>IFERROR(__xludf.DUMMYFUNCTION("""COMPUTED_VALUE"""),14.0)</f>
        <v>14</v>
      </c>
    </row>
    <row r="2835">
      <c r="D2835" t="str">
        <f>IFERROR(__xludf.DUMMYFUNCTION("""COMPUTED_VALUE"""),"Daniel")</f>
        <v>Daniel</v>
      </c>
      <c r="E2835" t="str">
        <f>IFERROR(__xludf.DUMMYFUNCTION("""COMPUTED_VALUE"""),"Robertson")</f>
        <v>Robertson</v>
      </c>
      <c r="F2835" t="str">
        <f>IFERROR(__xludf.DUMMYFUNCTION("""COMPUTED_VALUE"""),"CB")</f>
        <v>CB</v>
      </c>
      <c r="G2835">
        <f>IFERROR(__xludf.DUMMYFUNCTION("""COMPUTED_VALUE"""),12.200000000000001)</f>
        <v>12.2</v>
      </c>
    </row>
    <row r="2836">
      <c r="D2836" t="str">
        <f>IFERROR(__xludf.DUMMYFUNCTION("""COMPUTED_VALUE"""),"Daniels")</f>
        <v>Daniels</v>
      </c>
      <c r="E2836" t="str">
        <f>IFERROR(__xludf.DUMMYFUNCTION("""COMPUTED_VALUE"""),"BJ")</f>
        <v>BJ</v>
      </c>
      <c r="F2836" t="str">
        <f>IFERROR(__xludf.DUMMYFUNCTION("""COMPUTED_VALUE"""),"WR")</f>
        <v>WR</v>
      </c>
      <c r="G2836">
        <f>IFERROR(__xludf.DUMMYFUNCTION("""COMPUTED_VALUE"""),11.600000000000001)</f>
        <v>11.6</v>
      </c>
    </row>
    <row r="2837">
      <c r="D2837" t="str">
        <f>IFERROR(__xludf.DUMMYFUNCTION("""COMPUTED_VALUE"""),"Daniels")</f>
        <v>Daniels</v>
      </c>
      <c r="E2837" t="str">
        <f>IFERROR(__xludf.DUMMYFUNCTION("""COMPUTED_VALUE"""),"Mike")</f>
        <v>Mike</v>
      </c>
      <c r="F2837" t="str">
        <f>IFERROR(__xludf.DUMMYFUNCTION("""COMPUTED_VALUE"""),"RE")</f>
        <v>RE</v>
      </c>
      <c r="G2837">
        <f>IFERROR(__xludf.DUMMYFUNCTION("""COMPUTED_VALUE"""),17.400000000000002)</f>
        <v>17.4</v>
      </c>
    </row>
    <row r="2838">
      <c r="D2838" t="str">
        <f>IFERROR(__xludf.DUMMYFUNCTION("""COMPUTED_VALUE"""),"Dansby")</f>
        <v>Dansby</v>
      </c>
      <c r="E2838" t="str">
        <f>IFERROR(__xludf.DUMMYFUNCTION("""COMPUTED_VALUE"""),"Karlos")</f>
        <v>Karlos</v>
      </c>
      <c r="F2838" t="str">
        <f>IFERROR(__xludf.DUMMYFUNCTION("""COMPUTED_VALUE"""),"MLB")</f>
        <v>MLB</v>
      </c>
      <c r="G2838">
        <f>IFERROR(__xludf.DUMMYFUNCTION("""COMPUTED_VALUE"""),15.200000000000001)</f>
        <v>15.2</v>
      </c>
    </row>
    <row r="2839">
      <c r="D2839" t="str">
        <f>IFERROR(__xludf.DUMMYFUNCTION("""COMPUTED_VALUE"""),"Darboh")</f>
        <v>Darboh</v>
      </c>
      <c r="E2839" t="str">
        <f>IFERROR(__xludf.DUMMYFUNCTION("""COMPUTED_VALUE"""),"Amara")</f>
        <v>Amara</v>
      </c>
      <c r="F2839" t="str">
        <f>IFERROR(__xludf.DUMMYFUNCTION("""COMPUTED_VALUE"""),"WR")</f>
        <v>WR</v>
      </c>
      <c r="G2839">
        <f>IFERROR(__xludf.DUMMYFUNCTION("""COMPUTED_VALUE"""),14.8)</f>
        <v>14.8</v>
      </c>
    </row>
    <row r="2840">
      <c r="D2840" t="str">
        <f>IFERROR(__xludf.DUMMYFUNCTION("""COMPUTED_VALUE"""),"Darby")</f>
        <v>Darby</v>
      </c>
      <c r="E2840" t="str">
        <f>IFERROR(__xludf.DUMMYFUNCTION("""COMPUTED_VALUE"""),"Ronald")</f>
        <v>Ronald</v>
      </c>
      <c r="F2840" t="str">
        <f>IFERROR(__xludf.DUMMYFUNCTION("""COMPUTED_VALUE"""),"CB")</f>
        <v>CB</v>
      </c>
      <c r="G2840">
        <f>IFERROR(__xludf.DUMMYFUNCTION("""COMPUTED_VALUE"""),15.8)</f>
        <v>15.8</v>
      </c>
    </row>
    <row r="2841">
      <c r="D2841" t="str">
        <f>IFERROR(__xludf.DUMMYFUNCTION("""COMPUTED_VALUE"""),"Dareus")</f>
        <v>Dareus</v>
      </c>
      <c r="E2841" t="str">
        <f>IFERROR(__xludf.DUMMYFUNCTION("""COMPUTED_VALUE"""),"Marcell")</f>
        <v>Marcell</v>
      </c>
      <c r="F2841" t="str">
        <f>IFERROR(__xludf.DUMMYFUNCTION("""COMPUTED_VALUE"""),"DT")</f>
        <v>DT</v>
      </c>
      <c r="G2841">
        <f>IFERROR(__xludf.DUMMYFUNCTION("""COMPUTED_VALUE"""),17.0)</f>
        <v>17</v>
      </c>
    </row>
    <row r="2842">
      <c r="D2842" t="str">
        <f>IFERROR(__xludf.DUMMYFUNCTION("""COMPUTED_VALUE"""),"Darkwa")</f>
        <v>Darkwa</v>
      </c>
      <c r="E2842" t="str">
        <f>IFERROR(__xludf.DUMMYFUNCTION("""COMPUTED_VALUE"""),"Orleans")</f>
        <v>Orleans</v>
      </c>
      <c r="F2842" t="str">
        <f>IFERROR(__xludf.DUMMYFUNCTION("""COMPUTED_VALUE"""),"HB")</f>
        <v>HB</v>
      </c>
      <c r="G2842">
        <f>IFERROR(__xludf.DUMMYFUNCTION("""COMPUTED_VALUE"""),14.8)</f>
        <v>14.8</v>
      </c>
    </row>
    <row r="2843">
      <c r="D2843" t="str">
        <f>IFERROR(__xludf.DUMMYFUNCTION("""COMPUTED_VALUE"""),"Darr")</f>
        <v>Darr</v>
      </c>
      <c r="E2843" t="str">
        <f>IFERROR(__xludf.DUMMYFUNCTION("""COMPUTED_VALUE"""),"Matt")</f>
        <v>Matt</v>
      </c>
      <c r="F2843" t="str">
        <f>IFERROR(__xludf.DUMMYFUNCTION("""COMPUTED_VALUE"""),"P")</f>
        <v>P</v>
      </c>
      <c r="G2843">
        <f>IFERROR(__xludf.DUMMYFUNCTION("""COMPUTED_VALUE"""),15.600000000000001)</f>
        <v>15.6</v>
      </c>
    </row>
    <row r="2844">
      <c r="D2844" t="str">
        <f>IFERROR(__xludf.DUMMYFUNCTION("""COMPUTED_VALUE"""),"Davenport")</f>
        <v>Davenport</v>
      </c>
      <c r="E2844" t="str">
        <f>IFERROR(__xludf.DUMMYFUNCTION("""COMPUTED_VALUE"""),"Julien")</f>
        <v>Julien</v>
      </c>
      <c r="F2844" t="str">
        <f>IFERROR(__xludf.DUMMYFUNCTION("""COMPUTED_VALUE"""),"RT")</f>
        <v>RT</v>
      </c>
      <c r="G2844">
        <f>IFERROR(__xludf.DUMMYFUNCTION("""COMPUTED_VALUE"""),14.0)</f>
        <v>14</v>
      </c>
    </row>
    <row r="2845">
      <c r="D2845" t="str">
        <f>IFERROR(__xludf.DUMMYFUNCTION("""COMPUTED_VALUE"""),"David")</f>
        <v>David</v>
      </c>
      <c r="E2845" t="str">
        <f>IFERROR(__xludf.DUMMYFUNCTION("""COMPUTED_VALUE"""),"Lavonte")</f>
        <v>Lavonte</v>
      </c>
      <c r="F2845" t="str">
        <f>IFERROR(__xludf.DUMMYFUNCTION("""COMPUTED_VALUE"""),"ROLB")</f>
        <v>ROLB</v>
      </c>
      <c r="G2845">
        <f>IFERROR(__xludf.DUMMYFUNCTION("""COMPUTED_VALUE"""),16.8)</f>
        <v>16.8</v>
      </c>
    </row>
    <row r="2846">
      <c r="D2846" t="str">
        <f>IFERROR(__xludf.DUMMYFUNCTION("""COMPUTED_VALUE"""),"Davis")</f>
        <v>Davis</v>
      </c>
      <c r="E2846" t="str">
        <f>IFERROR(__xludf.DUMMYFUNCTION("""COMPUTED_VALUE"""),"Austin")</f>
        <v>Austin</v>
      </c>
      <c r="F2846" t="str">
        <f>IFERROR(__xludf.DUMMYFUNCTION("""COMPUTED_VALUE"""),"QB")</f>
        <v>QB</v>
      </c>
      <c r="G2846">
        <f>IFERROR(__xludf.DUMMYFUNCTION("""COMPUTED_VALUE"""),13.600000000000001)</f>
        <v>13.6</v>
      </c>
    </row>
    <row r="2847">
      <c r="D2847" t="str">
        <f>IFERROR(__xludf.DUMMYFUNCTION("""COMPUTED_VALUE"""),"Davis")</f>
        <v>Davis</v>
      </c>
      <c r="E2847" t="str">
        <f>IFERROR(__xludf.DUMMYFUNCTION("""COMPUTED_VALUE"""),"Carl")</f>
        <v>Carl</v>
      </c>
      <c r="F2847" t="str">
        <f>IFERROR(__xludf.DUMMYFUNCTION("""COMPUTED_VALUE"""),"DT")</f>
        <v>DT</v>
      </c>
      <c r="G2847">
        <f>IFERROR(__xludf.DUMMYFUNCTION("""COMPUTED_VALUE"""),13.200000000000001)</f>
        <v>13.2</v>
      </c>
    </row>
    <row r="2848">
      <c r="D2848" t="str">
        <f>IFERROR(__xludf.DUMMYFUNCTION("""COMPUTED_VALUE"""),"Davis")</f>
        <v>Davis</v>
      </c>
      <c r="E2848" t="str">
        <f>IFERROR(__xludf.DUMMYFUNCTION("""COMPUTED_VALUE"""),"Cody")</f>
        <v>Cody</v>
      </c>
      <c r="F2848" t="str">
        <f>IFERROR(__xludf.DUMMYFUNCTION("""COMPUTED_VALUE"""),"FS")</f>
        <v>FS</v>
      </c>
      <c r="G2848">
        <f>IFERROR(__xludf.DUMMYFUNCTION("""COMPUTED_VALUE"""),13.0)</f>
        <v>13</v>
      </c>
    </row>
    <row r="2849">
      <c r="D2849" t="str">
        <f>IFERROR(__xludf.DUMMYFUNCTION("""COMPUTED_VALUE"""),"Davis")</f>
        <v>Davis</v>
      </c>
      <c r="E2849" t="str">
        <f>IFERROR(__xludf.DUMMYFUNCTION("""COMPUTED_VALUE"""),"Corey")</f>
        <v>Corey</v>
      </c>
      <c r="F2849" t="str">
        <f>IFERROR(__xludf.DUMMYFUNCTION("""COMPUTED_VALUE"""),"WR")</f>
        <v>WR</v>
      </c>
      <c r="G2849">
        <f>IFERROR(__xludf.DUMMYFUNCTION("""COMPUTED_VALUE"""),15.8)</f>
        <v>15.8</v>
      </c>
    </row>
    <row r="2850">
      <c r="D2850" t="str">
        <f>IFERROR(__xludf.DUMMYFUNCTION("""COMPUTED_VALUE"""),"Davis")</f>
        <v>Davis</v>
      </c>
      <c r="E2850" t="str">
        <f>IFERROR(__xludf.DUMMYFUNCTION("""COMPUTED_VALUE"""),"Demario")</f>
        <v>Demario</v>
      </c>
      <c r="F2850" t="str">
        <f>IFERROR(__xludf.DUMMYFUNCTION("""COMPUTED_VALUE"""),"MLB")</f>
        <v>MLB</v>
      </c>
      <c r="G2850">
        <f>IFERROR(__xludf.DUMMYFUNCTION("""COMPUTED_VALUE"""),14.8)</f>
        <v>14.8</v>
      </c>
    </row>
    <row r="2851">
      <c r="D2851" t="str">
        <f>IFERROR(__xludf.DUMMYFUNCTION("""COMPUTED_VALUE"""),"Davis")</f>
        <v>Davis</v>
      </c>
      <c r="E2851" t="str">
        <f>IFERROR(__xludf.DUMMYFUNCTION("""COMPUTED_VALUE"""),"Geremy")</f>
        <v>Geremy</v>
      </c>
      <c r="F2851" t="str">
        <f>IFERROR(__xludf.DUMMYFUNCTION("""COMPUTED_VALUE"""),"WR")</f>
        <v>WR</v>
      </c>
      <c r="G2851">
        <f>IFERROR(__xludf.DUMMYFUNCTION("""COMPUTED_VALUE"""),12.8)</f>
        <v>12.8</v>
      </c>
    </row>
    <row r="2852">
      <c r="D2852" t="str">
        <f>IFERROR(__xludf.DUMMYFUNCTION("""COMPUTED_VALUE"""),"Davis")</f>
        <v>Davis</v>
      </c>
      <c r="E2852" t="str">
        <f>IFERROR(__xludf.DUMMYFUNCTION("""COMPUTED_VALUE"""),"Jarrad")</f>
        <v>Jarrad</v>
      </c>
      <c r="F2852" t="str">
        <f>IFERROR(__xludf.DUMMYFUNCTION("""COMPUTED_VALUE"""),"MLB")</f>
        <v>MLB</v>
      </c>
      <c r="G2852">
        <f>IFERROR(__xludf.DUMMYFUNCTION("""COMPUTED_VALUE"""),14.8)</f>
        <v>14.8</v>
      </c>
    </row>
    <row r="2853">
      <c r="D2853" t="str">
        <f>IFERROR(__xludf.DUMMYFUNCTION("""COMPUTED_VALUE"""),"Davis")</f>
        <v>Davis</v>
      </c>
      <c r="E2853" t="str">
        <f>IFERROR(__xludf.DUMMYFUNCTION("""COMPUTED_VALUE"""),"Justin")</f>
        <v>Justin</v>
      </c>
      <c r="F2853" t="str">
        <f>IFERROR(__xludf.DUMMYFUNCTION("""COMPUTED_VALUE"""),"HB")</f>
        <v>HB</v>
      </c>
      <c r="G2853">
        <f>IFERROR(__xludf.DUMMYFUNCTION("""COMPUTED_VALUE"""),12.8)</f>
        <v>12.8</v>
      </c>
    </row>
    <row r="2854">
      <c r="D2854" t="str">
        <f>IFERROR(__xludf.DUMMYFUNCTION("""COMPUTED_VALUE"""),"Davis")</f>
        <v>Davis</v>
      </c>
      <c r="E2854" t="str">
        <f>IFERROR(__xludf.DUMMYFUNCTION("""COMPUTED_VALUE"""),"Kevin")</f>
        <v>Kevin</v>
      </c>
      <c r="F2854" t="str">
        <f>IFERROR(__xludf.DUMMYFUNCTION("""COMPUTED_VALUE"""),"MLB")</f>
        <v>MLB</v>
      </c>
      <c r="G2854">
        <f>IFERROR(__xludf.DUMMYFUNCTION("""COMPUTED_VALUE"""),11.8)</f>
        <v>11.8</v>
      </c>
    </row>
    <row r="2855">
      <c r="D2855" t="str">
        <f>IFERROR(__xludf.DUMMYFUNCTION("""COMPUTED_VALUE"""),"Davis")</f>
        <v>Davis</v>
      </c>
      <c r="E2855" t="str">
        <f>IFERROR(__xludf.DUMMYFUNCTION("""COMPUTED_VALUE"""),"Knile")</f>
        <v>Knile</v>
      </c>
      <c r="F2855" t="str">
        <f>IFERROR(__xludf.DUMMYFUNCTION("""COMPUTED_VALUE"""),"HB")</f>
        <v>HB</v>
      </c>
      <c r="G2855">
        <f>IFERROR(__xludf.DUMMYFUNCTION("""COMPUTED_VALUE"""),14.200000000000001)</f>
        <v>14.2</v>
      </c>
    </row>
    <row r="2856">
      <c r="D2856" t="str">
        <f>IFERROR(__xludf.DUMMYFUNCTION("""COMPUTED_VALUE"""),"Davis")</f>
        <v>Davis</v>
      </c>
      <c r="E2856" t="str">
        <f>IFERROR(__xludf.DUMMYFUNCTION("""COMPUTED_VALUE"""),"Mike")</f>
        <v>Mike</v>
      </c>
      <c r="F2856" t="str">
        <f>IFERROR(__xludf.DUMMYFUNCTION("""COMPUTED_VALUE"""),"HB")</f>
        <v>HB</v>
      </c>
      <c r="G2856">
        <f>IFERROR(__xludf.DUMMYFUNCTION("""COMPUTED_VALUE"""),14.4)</f>
        <v>14.4</v>
      </c>
    </row>
    <row r="2857">
      <c r="D2857" t="str">
        <f>IFERROR(__xludf.DUMMYFUNCTION("""COMPUTED_VALUE"""),"Davis")</f>
        <v>Davis</v>
      </c>
      <c r="E2857" t="str">
        <f>IFERROR(__xludf.DUMMYFUNCTION("""COMPUTED_VALUE"""),"Robert")</f>
        <v>Robert</v>
      </c>
      <c r="F2857" t="str">
        <f>IFERROR(__xludf.DUMMYFUNCTION("""COMPUTED_VALUE"""),"WR")</f>
        <v>WR</v>
      </c>
      <c r="G2857">
        <f>IFERROR(__xludf.DUMMYFUNCTION("""COMPUTED_VALUE"""),13.0)</f>
        <v>13</v>
      </c>
    </row>
    <row r="2858">
      <c r="D2858" t="str">
        <f>IFERROR(__xludf.DUMMYFUNCTION("""COMPUTED_VALUE"""),"Davis")</f>
        <v>Davis</v>
      </c>
      <c r="E2858" t="str">
        <f>IFERROR(__xludf.DUMMYFUNCTION("""COMPUTED_VALUE"""),"Ryan")</f>
        <v>Ryan</v>
      </c>
      <c r="F2858" t="str">
        <f>IFERROR(__xludf.DUMMYFUNCTION("""COMPUTED_VALUE"""),"RE")</f>
        <v>RE</v>
      </c>
      <c r="G2858">
        <f>IFERROR(__xludf.DUMMYFUNCTION("""COMPUTED_VALUE"""),14.200000000000001)</f>
        <v>14.2</v>
      </c>
    </row>
    <row r="2859">
      <c r="D2859" t="str">
        <f>IFERROR(__xludf.DUMMYFUNCTION("""COMPUTED_VALUE"""),"Davis")</f>
        <v>Davis</v>
      </c>
      <c r="E2859" t="str">
        <f>IFERROR(__xludf.DUMMYFUNCTION("""COMPUTED_VALUE"""),"Sean")</f>
        <v>Sean</v>
      </c>
      <c r="F2859" t="str">
        <f>IFERROR(__xludf.DUMMYFUNCTION("""COMPUTED_VALUE"""),"SS")</f>
        <v>SS</v>
      </c>
      <c r="G2859">
        <f>IFERROR(__xludf.DUMMYFUNCTION("""COMPUTED_VALUE"""),14.600000000000001)</f>
        <v>14.6</v>
      </c>
    </row>
    <row r="2860">
      <c r="D2860" t="str">
        <f>IFERROR(__xludf.DUMMYFUNCTION("""COMPUTED_VALUE"""),"Davis")</f>
        <v>Davis</v>
      </c>
      <c r="E2860" t="str">
        <f>IFERROR(__xludf.DUMMYFUNCTION("""COMPUTED_VALUE"""),"Todd")</f>
        <v>Todd</v>
      </c>
      <c r="F2860" t="str">
        <f>IFERROR(__xludf.DUMMYFUNCTION("""COMPUTED_VALUE"""),"MLB")</f>
        <v>MLB</v>
      </c>
      <c r="G2860">
        <f>IFERROR(__xludf.DUMMYFUNCTION("""COMPUTED_VALUE"""),15.200000000000001)</f>
        <v>15.2</v>
      </c>
    </row>
    <row r="2861">
      <c r="D2861" t="str">
        <f>IFERROR(__xludf.DUMMYFUNCTION("""COMPUTED_VALUE"""),"Davis")</f>
        <v>Davis</v>
      </c>
      <c r="E2861" t="str">
        <f>IFERROR(__xludf.DUMMYFUNCTION("""COMPUTED_VALUE"""),"Trevor")</f>
        <v>Trevor</v>
      </c>
      <c r="F2861" t="str">
        <f>IFERROR(__xludf.DUMMYFUNCTION("""COMPUTED_VALUE"""),"WR")</f>
        <v>WR</v>
      </c>
      <c r="G2861">
        <f>IFERROR(__xludf.DUMMYFUNCTION("""COMPUTED_VALUE"""),12.8)</f>
        <v>12.8</v>
      </c>
    </row>
    <row r="2862">
      <c r="D2862" t="str">
        <f>IFERROR(__xludf.DUMMYFUNCTION("""COMPUTED_VALUE"""),"Davis")</f>
        <v>Davis</v>
      </c>
      <c r="E2862" t="str">
        <f>IFERROR(__xludf.DUMMYFUNCTION("""COMPUTED_VALUE"""),"Vernon")</f>
        <v>Vernon</v>
      </c>
      <c r="F2862" t="str">
        <f>IFERROR(__xludf.DUMMYFUNCTION("""COMPUTED_VALUE"""),"TE")</f>
        <v>TE</v>
      </c>
      <c r="G2862">
        <f>IFERROR(__xludf.DUMMYFUNCTION("""COMPUTED_VALUE"""),16.0)</f>
        <v>16</v>
      </c>
    </row>
    <row r="2863">
      <c r="D2863" t="str">
        <f>IFERROR(__xludf.DUMMYFUNCTION("""COMPUTED_VALUE"""),"Davis")</f>
        <v>Davis</v>
      </c>
      <c r="E2863" t="str">
        <f>IFERROR(__xludf.DUMMYFUNCTION("""COMPUTED_VALUE"""),"Vontae")</f>
        <v>Vontae</v>
      </c>
      <c r="F2863" t="str">
        <f>IFERROR(__xludf.DUMMYFUNCTION("""COMPUTED_VALUE"""),"CB")</f>
        <v>CB</v>
      </c>
      <c r="G2863">
        <f>IFERROR(__xludf.DUMMYFUNCTION("""COMPUTED_VALUE"""),17.2)</f>
        <v>17.2</v>
      </c>
    </row>
    <row r="2864">
      <c r="D2864" t="str">
        <f>IFERROR(__xludf.DUMMYFUNCTION("""COMPUTED_VALUE"""),"Davis")</f>
        <v>Davis</v>
      </c>
      <c r="E2864" t="str">
        <f>IFERROR(__xludf.DUMMYFUNCTION("""COMPUTED_VALUE"""),"Will")</f>
        <v>Will</v>
      </c>
      <c r="F2864" t="str">
        <f>IFERROR(__xludf.DUMMYFUNCTION("""COMPUTED_VALUE"""),"CB")</f>
        <v>CB</v>
      </c>
      <c r="G2864">
        <f>IFERROR(__xludf.DUMMYFUNCTION("""COMPUTED_VALUE"""),14.0)</f>
        <v>14</v>
      </c>
    </row>
    <row r="2865">
      <c r="D2865" t="str">
        <f>IFERROR(__xludf.DUMMYFUNCTION("""COMPUTED_VALUE"""),"Davis Sr")</f>
        <v>Davis Sr</v>
      </c>
      <c r="E2865" t="str">
        <f>IFERROR(__xludf.DUMMYFUNCTION("""COMPUTED_VALUE"""),"Thomas")</f>
        <v>Thomas</v>
      </c>
      <c r="F2865" t="str">
        <f>IFERROR(__xludf.DUMMYFUNCTION("""COMPUTED_VALUE"""),"ROLB")</f>
        <v>ROLB</v>
      </c>
      <c r="G2865">
        <f>IFERROR(__xludf.DUMMYFUNCTION("""COMPUTED_VALUE"""),17.400000000000002)</f>
        <v>17.4</v>
      </c>
    </row>
    <row r="2866">
      <c r="D2866" t="str">
        <f>IFERROR(__xludf.DUMMYFUNCTION("""COMPUTED_VALUE"""),"Davison")</f>
        <v>Davison</v>
      </c>
      <c r="E2866" t="str">
        <f>IFERROR(__xludf.DUMMYFUNCTION("""COMPUTED_VALUE"""),"Tyeler")</f>
        <v>Tyeler</v>
      </c>
      <c r="F2866" t="str">
        <f>IFERROR(__xludf.DUMMYFUNCTION("""COMPUTED_VALUE"""),"DT")</f>
        <v>DT</v>
      </c>
      <c r="G2866">
        <f>IFERROR(__xludf.DUMMYFUNCTION("""COMPUTED_VALUE"""),14.4)</f>
        <v>14.4</v>
      </c>
    </row>
    <row r="2867">
      <c r="D2867" t="str">
        <f>IFERROR(__xludf.DUMMYFUNCTION("""COMPUTED_VALUE"""),"Dawkins")</f>
        <v>Dawkins</v>
      </c>
      <c r="E2867" t="str">
        <f>IFERROR(__xludf.DUMMYFUNCTION("""COMPUTED_VALUE"""),"Dion")</f>
        <v>Dion</v>
      </c>
      <c r="F2867" t="str">
        <f>IFERROR(__xludf.DUMMYFUNCTION("""COMPUTED_VALUE"""),"RT")</f>
        <v>RT</v>
      </c>
      <c r="G2867">
        <f>IFERROR(__xludf.DUMMYFUNCTION("""COMPUTED_VALUE"""),15.200000000000001)</f>
        <v>15.2</v>
      </c>
    </row>
    <row r="2868">
      <c r="D2868" t="str">
        <f>IFERROR(__xludf.DUMMYFUNCTION("""COMPUTED_VALUE"""),"Dawson")</f>
        <v>Dawson</v>
      </c>
      <c r="E2868" t="str">
        <f>IFERROR(__xludf.DUMMYFUNCTION("""COMPUTED_VALUE"""),"Phil")</f>
        <v>Phil</v>
      </c>
      <c r="F2868" t="str">
        <f>IFERROR(__xludf.DUMMYFUNCTION("""COMPUTED_VALUE"""),"K")</f>
        <v>K</v>
      </c>
      <c r="G2868">
        <f>IFERROR(__xludf.DUMMYFUNCTION("""COMPUTED_VALUE"""),16.0)</f>
        <v>16</v>
      </c>
    </row>
    <row r="2869">
      <c r="D2869" t="str">
        <f>IFERROR(__xludf.DUMMYFUNCTION("""COMPUTED_VALUE"""),"Dawson")</f>
        <v>Dawson</v>
      </c>
      <c r="E2869" t="str">
        <f>IFERROR(__xludf.DUMMYFUNCTION("""COMPUTED_VALUE"""),"PJ")</f>
        <v>PJ</v>
      </c>
      <c r="F2869" t="str">
        <f>IFERROR(__xludf.DUMMYFUNCTION("""COMPUTED_VALUE"""),"ROLB")</f>
        <v>ROLB</v>
      </c>
      <c r="G2869">
        <f>IFERROR(__xludf.DUMMYFUNCTION("""COMPUTED_VALUE"""),14.200000000000001)</f>
        <v>14.2</v>
      </c>
    </row>
    <row r="2870">
      <c r="D2870" t="str">
        <f>IFERROR(__xludf.DUMMYFUNCTION("""COMPUTED_VALUE"""),"Day")</f>
        <v>Day</v>
      </c>
      <c r="E2870" t="str">
        <f>IFERROR(__xludf.DUMMYFUNCTION("""COMPUTED_VALUE"""),"Sheldon")</f>
        <v>Sheldon</v>
      </c>
      <c r="F2870" t="str">
        <f>IFERROR(__xludf.DUMMYFUNCTION("""COMPUTED_VALUE"""),"DT")</f>
        <v>DT</v>
      </c>
      <c r="G2870">
        <f>IFERROR(__xludf.DUMMYFUNCTION("""COMPUTED_VALUE"""),13.8)</f>
        <v>13.8</v>
      </c>
    </row>
    <row r="2871">
      <c r="D2871" t="str">
        <f>IFERROR(__xludf.DUMMYFUNCTION("""COMPUTED_VALUE"""),"Dayes")</f>
        <v>Dayes</v>
      </c>
      <c r="E2871" t="str">
        <f>IFERROR(__xludf.DUMMYFUNCTION("""COMPUTED_VALUE"""),"Matthew")</f>
        <v>Matthew</v>
      </c>
      <c r="F2871" t="str">
        <f>IFERROR(__xludf.DUMMYFUNCTION("""COMPUTED_VALUE"""),"HB")</f>
        <v>HB</v>
      </c>
      <c r="G2871">
        <f>IFERROR(__xludf.DUMMYFUNCTION("""COMPUTED_VALUE"""),12.600000000000001)</f>
        <v>12.6</v>
      </c>
    </row>
    <row r="2872">
      <c r="D2872" t="str">
        <f>IFERROR(__xludf.DUMMYFUNCTION("""COMPUTED_VALUE"""),"Dean")</f>
        <v>Dean</v>
      </c>
      <c r="E2872" t="str">
        <f>IFERROR(__xludf.DUMMYFUNCTION("""COMPUTED_VALUE"""),"David")</f>
        <v>David</v>
      </c>
      <c r="F2872" t="str">
        <f>IFERROR(__xludf.DUMMYFUNCTION("""COMPUTED_VALUE"""),"DT")</f>
        <v>DT</v>
      </c>
      <c r="G2872">
        <f>IFERROR(__xludf.DUMMYFUNCTION("""COMPUTED_VALUE"""),12.0)</f>
        <v>12</v>
      </c>
    </row>
    <row r="2873">
      <c r="D2873" t="str">
        <f>IFERROR(__xludf.DUMMYFUNCTION("""COMPUTED_VALUE"""),"DeBord")</f>
        <v>DeBord</v>
      </c>
      <c r="E2873" t="str">
        <f>IFERROR(__xludf.DUMMYFUNCTION("""COMPUTED_VALUE"""),"Clay")</f>
        <v>Clay</v>
      </c>
      <c r="F2873" t="str">
        <f>IFERROR(__xludf.DUMMYFUNCTION("""COMPUTED_VALUE"""),"LT")</f>
        <v>LT</v>
      </c>
      <c r="G2873">
        <f>IFERROR(__xludf.DUMMYFUNCTION("""COMPUTED_VALUE"""),12.0)</f>
        <v>12</v>
      </c>
    </row>
    <row r="2874">
      <c r="D2874" t="str">
        <f>IFERROR(__xludf.DUMMYFUNCTION("""COMPUTED_VALUE"""),"DeCastro")</f>
        <v>DeCastro</v>
      </c>
      <c r="E2874" t="str">
        <f>IFERROR(__xludf.DUMMYFUNCTION("""COMPUTED_VALUE"""),"David")</f>
        <v>David</v>
      </c>
      <c r="F2874" t="str">
        <f>IFERROR(__xludf.DUMMYFUNCTION("""COMPUTED_VALUE"""),"RG")</f>
        <v>RG</v>
      </c>
      <c r="G2874">
        <f>IFERROR(__xludf.DUMMYFUNCTION("""COMPUTED_VALUE"""),17.6)</f>
        <v>17.6</v>
      </c>
    </row>
    <row r="2875">
      <c r="D2875" t="str">
        <f>IFERROR(__xludf.DUMMYFUNCTION("""COMPUTED_VALUE"""),"Decker")</f>
        <v>Decker</v>
      </c>
      <c r="E2875" t="str">
        <f>IFERROR(__xludf.DUMMYFUNCTION("""COMPUTED_VALUE"""),"Eric")</f>
        <v>Eric</v>
      </c>
      <c r="F2875" t="str">
        <f>IFERROR(__xludf.DUMMYFUNCTION("""COMPUTED_VALUE"""),"WR")</f>
        <v>WR</v>
      </c>
      <c r="G2875">
        <f>IFERROR(__xludf.DUMMYFUNCTION("""COMPUTED_VALUE"""),17.2)</f>
        <v>17.2</v>
      </c>
    </row>
    <row r="2876">
      <c r="D2876" t="str">
        <f>IFERROR(__xludf.DUMMYFUNCTION("""COMPUTED_VALUE"""),"Decker")</f>
        <v>Decker</v>
      </c>
      <c r="E2876" t="str">
        <f>IFERROR(__xludf.DUMMYFUNCTION("""COMPUTED_VALUE"""),"Taylor")</f>
        <v>Taylor</v>
      </c>
      <c r="F2876" t="str">
        <f>IFERROR(__xludf.DUMMYFUNCTION("""COMPUTED_VALUE"""),"LT")</f>
        <v>LT</v>
      </c>
      <c r="G2876">
        <f>IFERROR(__xludf.DUMMYFUNCTION("""COMPUTED_VALUE"""),16.400000000000002)</f>
        <v>16.4</v>
      </c>
    </row>
    <row r="2877">
      <c r="D2877" t="str">
        <f>IFERROR(__xludf.DUMMYFUNCTION("""COMPUTED_VALUE"""),"DeCoud")</f>
        <v>DeCoud</v>
      </c>
      <c r="E2877" t="str">
        <f>IFERROR(__xludf.DUMMYFUNCTION("""COMPUTED_VALUE"""),"Treston")</f>
        <v>Treston</v>
      </c>
      <c r="F2877" t="str">
        <f>IFERROR(__xludf.DUMMYFUNCTION("""COMPUTED_VALUE"""),"CB")</f>
        <v>CB</v>
      </c>
      <c r="G2877">
        <f>IFERROR(__xludf.DUMMYFUNCTION("""COMPUTED_VALUE"""),13.200000000000001)</f>
        <v>13.2</v>
      </c>
    </row>
    <row r="2878">
      <c r="D2878" t="str">
        <f>IFERROR(__xludf.DUMMYFUNCTION("""COMPUTED_VALUE"""),"Delaire")</f>
        <v>Delaire</v>
      </c>
      <c r="E2878" t="str">
        <f>IFERROR(__xludf.DUMMYFUNCTION("""COMPUTED_VALUE"""),"Ryan")</f>
        <v>Ryan</v>
      </c>
      <c r="F2878" t="str">
        <f>IFERROR(__xludf.DUMMYFUNCTION("""COMPUTED_VALUE"""),"RE")</f>
        <v>RE</v>
      </c>
      <c r="G2878">
        <f>IFERROR(__xludf.DUMMYFUNCTION("""COMPUTED_VALUE"""),13.4)</f>
        <v>13.4</v>
      </c>
    </row>
    <row r="2879">
      <c r="D2879" t="str">
        <f>IFERROR(__xludf.DUMMYFUNCTION("""COMPUTED_VALUE"""),"Demps")</f>
        <v>Demps</v>
      </c>
      <c r="E2879" t="str">
        <f>IFERROR(__xludf.DUMMYFUNCTION("""COMPUTED_VALUE"""),"Quintin")</f>
        <v>Quintin</v>
      </c>
      <c r="F2879" t="str">
        <f>IFERROR(__xludf.DUMMYFUNCTION("""COMPUTED_VALUE"""),"SS")</f>
        <v>SS</v>
      </c>
      <c r="G2879">
        <f>IFERROR(__xludf.DUMMYFUNCTION("""COMPUTED_VALUE"""),16.0)</f>
        <v>16</v>
      </c>
    </row>
    <row r="2880">
      <c r="D2880" t="str">
        <f>IFERROR(__xludf.DUMMYFUNCTION("""COMPUTED_VALUE"""),"Dennard")</f>
        <v>Dennard</v>
      </c>
      <c r="E2880" t="str">
        <f>IFERROR(__xludf.DUMMYFUNCTION("""COMPUTED_VALUE"""),"Darqueze")</f>
        <v>Darqueze</v>
      </c>
      <c r="F2880" t="str">
        <f>IFERROR(__xludf.DUMMYFUNCTION("""COMPUTED_VALUE"""),"CB")</f>
        <v>CB</v>
      </c>
      <c r="G2880">
        <f>IFERROR(__xludf.DUMMYFUNCTION("""COMPUTED_VALUE"""),14.600000000000001)</f>
        <v>14.6</v>
      </c>
    </row>
    <row r="2881">
      <c r="D2881" t="str">
        <f>IFERROR(__xludf.DUMMYFUNCTION("""COMPUTED_VALUE"""),"Denney")</f>
        <v>Denney</v>
      </c>
      <c r="E2881" t="str">
        <f>IFERROR(__xludf.DUMMYFUNCTION("""COMPUTED_VALUE"""),"John")</f>
        <v>John</v>
      </c>
      <c r="F2881" t="str">
        <f>IFERROR(__xludf.DUMMYFUNCTION("""COMPUTED_VALUE"""),"TE")</f>
        <v>TE</v>
      </c>
      <c r="G2881">
        <f>IFERROR(__xludf.DUMMYFUNCTION("""COMPUTED_VALUE"""),9.600000000000001)</f>
        <v>9.6</v>
      </c>
    </row>
    <row r="2882">
      <c r="D2882" t="str">
        <f>IFERROR(__xludf.DUMMYFUNCTION("""COMPUTED_VALUE"""),"DeOssie")</f>
        <v>DeOssie</v>
      </c>
      <c r="E2882" t="str">
        <f>IFERROR(__xludf.DUMMYFUNCTION("""COMPUTED_VALUE"""),"Zak")</f>
        <v>Zak</v>
      </c>
      <c r="F2882" t="str">
        <f>IFERROR(__xludf.DUMMYFUNCTION("""COMPUTED_VALUE"""),"TE")</f>
        <v>TE</v>
      </c>
      <c r="G2882">
        <f>IFERROR(__xludf.DUMMYFUNCTION("""COMPUTED_VALUE"""),11.0)</f>
        <v>11</v>
      </c>
    </row>
    <row r="2883">
      <c r="D2883" t="str">
        <f>IFERROR(__xludf.DUMMYFUNCTION("""COMPUTED_VALUE"""),"Derby")</f>
        <v>Derby</v>
      </c>
      <c r="E2883" t="str">
        <f>IFERROR(__xludf.DUMMYFUNCTION("""COMPUTED_VALUE"""),"AJ")</f>
        <v>AJ</v>
      </c>
      <c r="F2883" t="str">
        <f>IFERROR(__xludf.DUMMYFUNCTION("""COMPUTED_VALUE"""),"TE")</f>
        <v>TE</v>
      </c>
      <c r="G2883">
        <f>IFERROR(__xludf.DUMMYFUNCTION("""COMPUTED_VALUE"""),14.600000000000001)</f>
        <v>14.6</v>
      </c>
    </row>
    <row r="2884">
      <c r="D2884" t="str">
        <f>IFERROR(__xludf.DUMMYFUNCTION("""COMPUTED_VALUE"""),"Desir")</f>
        <v>Desir</v>
      </c>
      <c r="E2884" t="str">
        <f>IFERROR(__xludf.DUMMYFUNCTION("""COMPUTED_VALUE"""),"Pierre")</f>
        <v>Pierre</v>
      </c>
      <c r="F2884" t="str">
        <f>IFERROR(__xludf.DUMMYFUNCTION("""COMPUTED_VALUE"""),"CB")</f>
        <v>CB</v>
      </c>
      <c r="G2884">
        <f>IFERROR(__xludf.DUMMYFUNCTION("""COMPUTED_VALUE"""),14.0)</f>
        <v>14</v>
      </c>
    </row>
    <row r="2885">
      <c r="D2885" t="str">
        <f>IFERROR(__xludf.DUMMYFUNCTION("""COMPUTED_VALUE"""),"DeValve")</f>
        <v>DeValve</v>
      </c>
      <c r="E2885" t="str">
        <f>IFERROR(__xludf.DUMMYFUNCTION("""COMPUTED_VALUE"""),"Seth")</f>
        <v>Seth</v>
      </c>
      <c r="F2885" t="str">
        <f>IFERROR(__xludf.DUMMYFUNCTION("""COMPUTED_VALUE"""),"TE")</f>
        <v>TE</v>
      </c>
      <c r="G2885">
        <f>IFERROR(__xludf.DUMMYFUNCTION("""COMPUTED_VALUE"""),13.600000000000001)</f>
        <v>13.6</v>
      </c>
    </row>
    <row r="2886">
      <c r="D2886" t="str">
        <f>IFERROR(__xludf.DUMMYFUNCTION("""COMPUTED_VALUE"""),"Develin")</f>
        <v>Develin</v>
      </c>
      <c r="E2886" t="str">
        <f>IFERROR(__xludf.DUMMYFUNCTION("""COMPUTED_VALUE"""),"James")</f>
        <v>James</v>
      </c>
      <c r="F2886" t="str">
        <f>IFERROR(__xludf.DUMMYFUNCTION("""COMPUTED_VALUE"""),"FB")</f>
        <v>FB</v>
      </c>
      <c r="G2886">
        <f>IFERROR(__xludf.DUMMYFUNCTION("""COMPUTED_VALUE"""),16.8)</f>
        <v>16.8</v>
      </c>
    </row>
    <row r="2887">
      <c r="D2887" t="str">
        <f>IFERROR(__xludf.DUMMYFUNCTION("""COMPUTED_VALUE"""),"Devey")</f>
        <v>Devey</v>
      </c>
      <c r="E2887" t="str">
        <f>IFERROR(__xludf.DUMMYFUNCTION("""COMPUTED_VALUE"""),"Jordan")</f>
        <v>Jordan</v>
      </c>
      <c r="F2887" t="str">
        <f>IFERROR(__xludf.DUMMYFUNCTION("""COMPUTED_VALUE"""),"LT")</f>
        <v>LT</v>
      </c>
      <c r="G2887">
        <f>IFERROR(__xludf.DUMMYFUNCTION("""COMPUTED_VALUE"""),12.8)</f>
        <v>12.8</v>
      </c>
    </row>
    <row r="2888">
      <c r="D2888" t="str">
        <f>IFERROR(__xludf.DUMMYFUNCTION("""COMPUTED_VALUE"""),"Dial")</f>
        <v>Dial</v>
      </c>
      <c r="E2888" t="str">
        <f>IFERROR(__xludf.DUMMYFUNCTION("""COMPUTED_VALUE"""),"Quinton")</f>
        <v>Quinton</v>
      </c>
      <c r="F2888" t="str">
        <f>IFERROR(__xludf.DUMMYFUNCTION("""COMPUTED_VALUE"""),"DT")</f>
        <v>DT</v>
      </c>
      <c r="G2888">
        <f>IFERROR(__xludf.DUMMYFUNCTION("""COMPUTED_VALUE"""),15.200000000000001)</f>
        <v>15.2</v>
      </c>
    </row>
    <row r="2889">
      <c r="D2889" t="str">
        <f>IFERROR(__xludf.DUMMYFUNCTION("""COMPUTED_VALUE"""),"Dickson")</f>
        <v>Dickson</v>
      </c>
      <c r="E2889" t="str">
        <f>IFERROR(__xludf.DUMMYFUNCTION("""COMPUTED_VALUE"""),"Ed")</f>
        <v>Ed</v>
      </c>
      <c r="F2889" t="str">
        <f>IFERROR(__xludf.DUMMYFUNCTION("""COMPUTED_VALUE"""),"TE")</f>
        <v>TE</v>
      </c>
      <c r="G2889">
        <f>IFERROR(__xludf.DUMMYFUNCTION("""COMPUTED_VALUE"""),14.0)</f>
        <v>14</v>
      </c>
    </row>
    <row r="2890">
      <c r="D2890" t="str">
        <f>IFERROR(__xludf.DUMMYFUNCTION("""COMPUTED_VALUE"""),"Dielman")</f>
        <v>Dielman</v>
      </c>
      <c r="E2890" t="str">
        <f>IFERROR(__xludf.DUMMYFUNCTION("""COMPUTED_VALUE"""),"JJ")</f>
        <v>JJ</v>
      </c>
      <c r="F2890" t="str">
        <f>IFERROR(__xludf.DUMMYFUNCTION("""COMPUTED_VALUE"""),"C")</f>
        <v>C</v>
      </c>
      <c r="G2890">
        <f>IFERROR(__xludf.DUMMYFUNCTION("""COMPUTED_VALUE"""),13.200000000000001)</f>
        <v>13.2</v>
      </c>
    </row>
    <row r="2891">
      <c r="D2891" t="str">
        <f>IFERROR(__xludf.DUMMYFUNCTION("""COMPUTED_VALUE"""),"Diggs")</f>
        <v>Diggs</v>
      </c>
      <c r="E2891" t="str">
        <f>IFERROR(__xludf.DUMMYFUNCTION("""COMPUTED_VALUE"""),"Quandre")</f>
        <v>Quandre</v>
      </c>
      <c r="F2891" t="str">
        <f>IFERROR(__xludf.DUMMYFUNCTION("""COMPUTED_VALUE"""),"CB")</f>
        <v>CB</v>
      </c>
      <c r="G2891">
        <f>IFERROR(__xludf.DUMMYFUNCTION("""COMPUTED_VALUE"""),14.200000000000001)</f>
        <v>14.2</v>
      </c>
    </row>
    <row r="2892">
      <c r="D2892" t="str">
        <f>IFERROR(__xludf.DUMMYFUNCTION("""COMPUTED_VALUE"""),"Diggs")</f>
        <v>Diggs</v>
      </c>
      <c r="E2892" t="str">
        <f>IFERROR(__xludf.DUMMYFUNCTION("""COMPUTED_VALUE"""),"Stefon")</f>
        <v>Stefon</v>
      </c>
      <c r="F2892" t="str">
        <f>IFERROR(__xludf.DUMMYFUNCTION("""COMPUTED_VALUE"""),"WR")</f>
        <v>WR</v>
      </c>
      <c r="G2892">
        <f>IFERROR(__xludf.DUMMYFUNCTION("""COMPUTED_VALUE"""),17.2)</f>
        <v>17.2</v>
      </c>
    </row>
    <row r="2893">
      <c r="D2893" t="str">
        <f>IFERROR(__xludf.DUMMYFUNCTION("""COMPUTED_VALUE"""),"Dillon")</f>
        <v>Dillon</v>
      </c>
      <c r="E2893" t="str">
        <f>IFERROR(__xludf.DUMMYFUNCTION("""COMPUTED_VALUE"""),"KJ")</f>
        <v>KJ</v>
      </c>
      <c r="F2893" t="str">
        <f>IFERROR(__xludf.DUMMYFUNCTION("""COMPUTED_VALUE"""),"SS")</f>
        <v>SS</v>
      </c>
      <c r="G2893">
        <f>IFERROR(__xludf.DUMMYFUNCTION("""COMPUTED_VALUE"""),13.0)</f>
        <v>13</v>
      </c>
    </row>
    <row r="2894">
      <c r="D2894" t="str">
        <f>IFERROR(__xludf.DUMMYFUNCTION("""COMPUTED_VALUE"""),"DiMarco")</f>
        <v>DiMarco</v>
      </c>
      <c r="E2894" t="str">
        <f>IFERROR(__xludf.DUMMYFUNCTION("""COMPUTED_VALUE"""),"Patrick")</f>
        <v>Patrick</v>
      </c>
      <c r="F2894" t="str">
        <f>IFERROR(__xludf.DUMMYFUNCTION("""COMPUTED_VALUE"""),"FB")</f>
        <v>FB</v>
      </c>
      <c r="G2894">
        <f>IFERROR(__xludf.DUMMYFUNCTION("""COMPUTED_VALUE"""),16.8)</f>
        <v>16.8</v>
      </c>
    </row>
    <row r="2895">
      <c r="D2895" t="str">
        <f>IFERROR(__xludf.DUMMYFUNCTION("""COMPUTED_VALUE"""),"Dixon")</f>
        <v>Dixon</v>
      </c>
      <c r="E2895" t="str">
        <f>IFERROR(__xludf.DUMMYFUNCTION("""COMPUTED_VALUE"""),"Brian")</f>
        <v>Brian</v>
      </c>
      <c r="F2895" t="str">
        <f>IFERROR(__xludf.DUMMYFUNCTION("""COMPUTED_VALUE"""),"CB")</f>
        <v>CB</v>
      </c>
      <c r="G2895">
        <f>IFERROR(__xludf.DUMMYFUNCTION("""COMPUTED_VALUE"""),13.0)</f>
        <v>13</v>
      </c>
    </row>
    <row r="2896">
      <c r="D2896" t="str">
        <f>IFERROR(__xludf.DUMMYFUNCTION("""COMPUTED_VALUE"""),"Dixon")</f>
        <v>Dixon</v>
      </c>
      <c r="E2896" t="str">
        <f>IFERROR(__xludf.DUMMYFUNCTION("""COMPUTED_VALUE"""),"Kenneth")</f>
        <v>Kenneth</v>
      </c>
      <c r="F2896" t="str">
        <f>IFERROR(__xludf.DUMMYFUNCTION("""COMPUTED_VALUE"""),"HB")</f>
        <v>HB</v>
      </c>
      <c r="G2896">
        <f>IFERROR(__xludf.DUMMYFUNCTION("""COMPUTED_VALUE"""),15.200000000000001)</f>
        <v>15.2</v>
      </c>
    </row>
    <row r="2897">
      <c r="D2897" t="str">
        <f>IFERROR(__xludf.DUMMYFUNCTION("""COMPUTED_VALUE"""),"Dixon")</f>
        <v>Dixon</v>
      </c>
      <c r="E2897" t="str">
        <f>IFERROR(__xludf.DUMMYFUNCTION("""COMPUTED_VALUE"""),"Riley")</f>
        <v>Riley</v>
      </c>
      <c r="F2897" t="str">
        <f>IFERROR(__xludf.DUMMYFUNCTION("""COMPUTED_VALUE"""),"P")</f>
        <v>P</v>
      </c>
      <c r="G2897">
        <f>IFERROR(__xludf.DUMMYFUNCTION("""COMPUTED_VALUE"""),14.8)</f>
        <v>14.8</v>
      </c>
    </row>
    <row r="2898">
      <c r="D2898" t="str">
        <f>IFERROR(__xludf.DUMMYFUNCTION("""COMPUTED_VALUE"""),"Dobbs")</f>
        <v>Dobbs</v>
      </c>
      <c r="E2898" t="str">
        <f>IFERROR(__xludf.DUMMYFUNCTION("""COMPUTED_VALUE"""),"Joshua")</f>
        <v>Joshua</v>
      </c>
      <c r="F2898" t="str">
        <f>IFERROR(__xludf.DUMMYFUNCTION("""COMPUTED_VALUE"""),"QB")</f>
        <v>QB</v>
      </c>
      <c r="G2898">
        <f>IFERROR(__xludf.DUMMYFUNCTION("""COMPUTED_VALUE"""),14.4)</f>
        <v>14.4</v>
      </c>
    </row>
    <row r="2899">
      <c r="D2899" t="str">
        <f>IFERROR(__xludf.DUMMYFUNCTION("""COMPUTED_VALUE"""),"Dobson")</f>
        <v>Dobson</v>
      </c>
      <c r="E2899" t="str">
        <f>IFERROR(__xludf.DUMMYFUNCTION("""COMPUTED_VALUE"""),"Aaron")</f>
        <v>Aaron</v>
      </c>
      <c r="F2899" t="str">
        <f>IFERROR(__xludf.DUMMYFUNCTION("""COMPUTED_VALUE"""),"WR")</f>
        <v>WR</v>
      </c>
      <c r="G2899">
        <f>IFERROR(__xludf.DUMMYFUNCTION("""COMPUTED_VALUE"""),14.200000000000001)</f>
        <v>14.2</v>
      </c>
    </row>
    <row r="2900">
      <c r="D2900" t="str">
        <f>IFERROR(__xludf.DUMMYFUNCTION("""COMPUTED_VALUE"""),"Doctson")</f>
        <v>Doctson</v>
      </c>
      <c r="E2900" t="str">
        <f>IFERROR(__xludf.DUMMYFUNCTION("""COMPUTED_VALUE"""),"Josh")</f>
        <v>Josh</v>
      </c>
      <c r="F2900" t="str">
        <f>IFERROR(__xludf.DUMMYFUNCTION("""COMPUTED_VALUE"""),"WR")</f>
        <v>WR</v>
      </c>
      <c r="G2900">
        <f>IFERROR(__xludf.DUMMYFUNCTION("""COMPUTED_VALUE"""),15.0)</f>
        <v>15</v>
      </c>
    </row>
    <row r="2901">
      <c r="D2901" t="str">
        <f>IFERROR(__xludf.DUMMYFUNCTION("""COMPUTED_VALUE"""),"Dodd")</f>
        <v>Dodd</v>
      </c>
      <c r="E2901" t="str">
        <f>IFERROR(__xludf.DUMMYFUNCTION("""COMPUTED_VALUE"""),"Kevin")</f>
        <v>Kevin</v>
      </c>
      <c r="F2901" t="str">
        <f>IFERROR(__xludf.DUMMYFUNCTION("""COMPUTED_VALUE"""),"ROLB")</f>
        <v>ROLB</v>
      </c>
      <c r="G2901">
        <f>IFERROR(__xludf.DUMMYFUNCTION("""COMPUTED_VALUE"""),14.600000000000001)</f>
        <v>14.6</v>
      </c>
    </row>
    <row r="2902">
      <c r="D2902" t="str">
        <f>IFERROR(__xludf.DUMMYFUNCTION("""COMPUTED_VALUE"""),"Donahue")</f>
        <v>Donahue</v>
      </c>
      <c r="E2902" t="str">
        <f>IFERROR(__xludf.DUMMYFUNCTION("""COMPUTED_VALUE"""),"Dylan")</f>
        <v>Dylan</v>
      </c>
      <c r="F2902" t="str">
        <f>IFERROR(__xludf.DUMMYFUNCTION("""COMPUTED_VALUE"""),"ROLB")</f>
        <v>ROLB</v>
      </c>
      <c r="G2902">
        <f>IFERROR(__xludf.DUMMYFUNCTION("""COMPUTED_VALUE"""),12.8)</f>
        <v>12.8</v>
      </c>
    </row>
    <row r="2903">
      <c r="D2903" t="str">
        <f>IFERROR(__xludf.DUMMYFUNCTION("""COMPUTED_VALUE"""),"Donald")</f>
        <v>Donald</v>
      </c>
      <c r="E2903" t="str">
        <f>IFERROR(__xludf.DUMMYFUNCTION("""COMPUTED_VALUE"""),"Aaron")</f>
        <v>Aaron</v>
      </c>
      <c r="F2903" t="str">
        <f>IFERROR(__xludf.DUMMYFUNCTION("""COMPUTED_VALUE"""),"RE")</f>
        <v>RE</v>
      </c>
      <c r="G2903">
        <f>IFERROR(__xludf.DUMMYFUNCTION("""COMPUTED_VALUE"""),19.8)</f>
        <v>19.8</v>
      </c>
    </row>
    <row r="2904">
      <c r="D2904" t="str">
        <f>IFERROR(__xludf.DUMMYFUNCTION("""COMPUTED_VALUE"""),"Donnal")</f>
        <v>Donnal</v>
      </c>
      <c r="E2904" t="str">
        <f>IFERROR(__xludf.DUMMYFUNCTION("""COMPUTED_VALUE"""),"Andrew")</f>
        <v>Andrew</v>
      </c>
      <c r="F2904" t="str">
        <f>IFERROR(__xludf.DUMMYFUNCTION("""COMPUTED_VALUE"""),"RG")</f>
        <v>RG</v>
      </c>
      <c r="G2904">
        <f>IFERROR(__xludf.DUMMYFUNCTION("""COMPUTED_VALUE"""),13.0)</f>
        <v>13</v>
      </c>
    </row>
    <row r="2905">
      <c r="D2905" t="str">
        <f>IFERROR(__xludf.DUMMYFUNCTION("""COMPUTED_VALUE"""),"Dora")</f>
        <v>Dora</v>
      </c>
      <c r="E2905" t="str">
        <f>IFERROR(__xludf.DUMMYFUNCTION("""COMPUTED_VALUE"""),"Vontarrius")</f>
        <v>Vontarrius</v>
      </c>
      <c r="F2905" t="str">
        <f>IFERROR(__xludf.DUMMYFUNCTION("""COMPUTED_VALUE"""),"ROLB")</f>
        <v>ROLB</v>
      </c>
      <c r="G2905">
        <f>IFERROR(__xludf.DUMMYFUNCTION("""COMPUTED_VALUE"""),11.600000000000001)</f>
        <v>11.6</v>
      </c>
    </row>
    <row r="2906">
      <c r="D2906" t="str">
        <f>IFERROR(__xludf.DUMMYFUNCTION("""COMPUTED_VALUE"""),"Dorenbos")</f>
        <v>Dorenbos</v>
      </c>
      <c r="E2906" t="str">
        <f>IFERROR(__xludf.DUMMYFUNCTION("""COMPUTED_VALUE"""),"Jon")</f>
        <v>Jon</v>
      </c>
      <c r="F2906" t="str">
        <f>IFERROR(__xludf.DUMMYFUNCTION("""COMPUTED_VALUE"""),"TE")</f>
        <v>TE</v>
      </c>
      <c r="G2906">
        <f>IFERROR(__xludf.DUMMYFUNCTION("""COMPUTED_VALUE"""),8.8)</f>
        <v>8.8</v>
      </c>
    </row>
    <row r="2907">
      <c r="D2907" t="str">
        <f>IFERROR(__xludf.DUMMYFUNCTION("""COMPUTED_VALUE"""),"Dorsett")</f>
        <v>Dorsett</v>
      </c>
      <c r="E2907" t="str">
        <f>IFERROR(__xludf.DUMMYFUNCTION("""COMPUTED_VALUE"""),"Phillip")</f>
        <v>Phillip</v>
      </c>
      <c r="F2907" t="str">
        <f>IFERROR(__xludf.DUMMYFUNCTION("""COMPUTED_VALUE"""),"WR")</f>
        <v>WR</v>
      </c>
      <c r="G2907">
        <f>IFERROR(__xludf.DUMMYFUNCTION("""COMPUTED_VALUE"""),14.600000000000001)</f>
        <v>14.6</v>
      </c>
    </row>
    <row r="2908">
      <c r="D2908" t="str">
        <f>IFERROR(__xludf.DUMMYFUNCTION("""COMPUTED_VALUE"""),"Doss")</f>
        <v>Doss</v>
      </c>
      <c r="E2908" t="str">
        <f>IFERROR(__xludf.DUMMYFUNCTION("""COMPUTED_VALUE"""),"Lorenzo")</f>
        <v>Lorenzo</v>
      </c>
      <c r="F2908" t="str">
        <f>IFERROR(__xludf.DUMMYFUNCTION("""COMPUTED_VALUE"""),"CB")</f>
        <v>CB</v>
      </c>
      <c r="G2908">
        <f>IFERROR(__xludf.DUMMYFUNCTION("""COMPUTED_VALUE"""),14.0)</f>
        <v>14</v>
      </c>
    </row>
    <row r="2909">
      <c r="D2909" t="str">
        <f>IFERROR(__xludf.DUMMYFUNCTION("""COMPUTED_VALUE"""),"Dotson")</f>
        <v>Dotson</v>
      </c>
      <c r="E2909" t="str">
        <f>IFERROR(__xludf.DUMMYFUNCTION("""COMPUTED_VALUE"""),"Demar")</f>
        <v>Demar</v>
      </c>
      <c r="F2909" t="str">
        <f>IFERROR(__xludf.DUMMYFUNCTION("""COMPUTED_VALUE"""),"RT")</f>
        <v>RT</v>
      </c>
      <c r="G2909">
        <f>IFERROR(__xludf.DUMMYFUNCTION("""COMPUTED_VALUE"""),16.0)</f>
        <v>16</v>
      </c>
    </row>
    <row r="2910">
      <c r="D2910" t="str">
        <f>IFERROR(__xludf.DUMMYFUNCTION("""COMPUTED_VALUE"""),"Doughty")</f>
        <v>Doughty</v>
      </c>
      <c r="E2910" t="str">
        <f>IFERROR(__xludf.DUMMYFUNCTION("""COMPUTED_VALUE"""),"Brandon")</f>
        <v>Brandon</v>
      </c>
      <c r="F2910" t="str">
        <f>IFERROR(__xludf.DUMMYFUNCTION("""COMPUTED_VALUE"""),"QB")</f>
        <v>QB</v>
      </c>
      <c r="G2910">
        <f>IFERROR(__xludf.DUMMYFUNCTION("""COMPUTED_VALUE"""),12.200000000000001)</f>
        <v>12.2</v>
      </c>
    </row>
    <row r="2911">
      <c r="D2911" t="str">
        <f>IFERROR(__xludf.DUMMYFUNCTION("""COMPUTED_VALUE"""),"Douglas")</f>
        <v>Douglas</v>
      </c>
      <c r="E2911" t="str">
        <f>IFERROR(__xludf.DUMMYFUNCTION("""COMPUTED_VALUE"""),"Harry")</f>
        <v>Harry</v>
      </c>
      <c r="F2911" t="str">
        <f>IFERROR(__xludf.DUMMYFUNCTION("""COMPUTED_VALUE"""),"WR")</f>
        <v>WR</v>
      </c>
      <c r="G2911">
        <f>IFERROR(__xludf.DUMMYFUNCTION("""COMPUTED_VALUE"""),14.600000000000001)</f>
        <v>14.6</v>
      </c>
    </row>
    <row r="2912">
      <c r="D2912" t="str">
        <f>IFERROR(__xludf.DUMMYFUNCTION("""COMPUTED_VALUE"""),"Douglas")</f>
        <v>Douglas</v>
      </c>
      <c r="E2912" t="str">
        <f>IFERROR(__xludf.DUMMYFUNCTION("""COMPUTED_VALUE"""),"Jamil")</f>
        <v>Jamil</v>
      </c>
      <c r="F2912" t="str">
        <f>IFERROR(__xludf.DUMMYFUNCTION("""COMPUTED_VALUE"""),"LG")</f>
        <v>LG</v>
      </c>
      <c r="G2912">
        <f>IFERROR(__xludf.DUMMYFUNCTION("""COMPUTED_VALUE"""),13.0)</f>
        <v>13</v>
      </c>
    </row>
    <row r="2913">
      <c r="D2913" t="str">
        <f>IFERROR(__xludf.DUMMYFUNCTION("""COMPUTED_VALUE"""),"Douglas")</f>
        <v>Douglas</v>
      </c>
      <c r="E2913" t="str">
        <f>IFERROR(__xludf.DUMMYFUNCTION("""COMPUTED_VALUE"""),"Rasul")</f>
        <v>Rasul</v>
      </c>
      <c r="F2913" t="str">
        <f>IFERROR(__xludf.DUMMYFUNCTION("""COMPUTED_VALUE"""),"CB")</f>
        <v>CB</v>
      </c>
      <c r="G2913">
        <f>IFERROR(__xludf.DUMMYFUNCTION("""COMPUTED_VALUE"""),13.600000000000001)</f>
        <v>13.6</v>
      </c>
    </row>
    <row r="2914">
      <c r="D2914" t="str">
        <f>IFERROR(__xludf.DUMMYFUNCTION("""COMPUTED_VALUE"""),"Doyle")</f>
        <v>Doyle</v>
      </c>
      <c r="E2914" t="str">
        <f>IFERROR(__xludf.DUMMYFUNCTION("""COMPUTED_VALUE"""),"Jack")</f>
        <v>Jack</v>
      </c>
      <c r="F2914" t="str">
        <f>IFERROR(__xludf.DUMMYFUNCTION("""COMPUTED_VALUE"""),"TE")</f>
        <v>TE</v>
      </c>
      <c r="G2914">
        <f>IFERROR(__xludf.DUMMYFUNCTION("""COMPUTED_VALUE"""),15.8)</f>
        <v>15.8</v>
      </c>
    </row>
    <row r="2915">
      <c r="D2915" t="str">
        <f>IFERROR(__xludf.DUMMYFUNCTION("""COMPUTED_VALUE"""),"Dozier")</f>
        <v>Dozier</v>
      </c>
      <c r="E2915" t="str">
        <f>IFERROR(__xludf.DUMMYFUNCTION("""COMPUTED_VALUE"""),"Dakota")</f>
        <v>Dakota</v>
      </c>
      <c r="F2915" t="str">
        <f>IFERROR(__xludf.DUMMYFUNCTION("""COMPUTED_VALUE"""),"RG")</f>
        <v>RG</v>
      </c>
      <c r="G2915">
        <f>IFERROR(__xludf.DUMMYFUNCTION("""COMPUTED_VALUE"""),14.200000000000001)</f>
        <v>14.2</v>
      </c>
    </row>
    <row r="2916">
      <c r="D2916" t="str">
        <f>IFERROR(__xludf.DUMMYFUNCTION("""COMPUTED_VALUE"""),"Drake")</f>
        <v>Drake</v>
      </c>
      <c r="E2916" t="str">
        <f>IFERROR(__xludf.DUMMYFUNCTION("""COMPUTED_VALUE"""),"Kenyan")</f>
        <v>Kenyan</v>
      </c>
      <c r="F2916" t="str">
        <f>IFERROR(__xludf.DUMMYFUNCTION("""COMPUTED_VALUE"""),"HB")</f>
        <v>HB</v>
      </c>
      <c r="G2916">
        <f>IFERROR(__xludf.DUMMYFUNCTION("""COMPUTED_VALUE"""),13.8)</f>
        <v>13.8</v>
      </c>
    </row>
    <row r="2917">
      <c r="D2917" t="str">
        <f>IFERROR(__xludf.DUMMYFUNCTION("""COMPUTED_VALUE"""),"Drango")</f>
        <v>Drango</v>
      </c>
      <c r="E2917" t="str">
        <f>IFERROR(__xludf.DUMMYFUNCTION("""COMPUTED_VALUE"""),"Spencer")</f>
        <v>Spencer</v>
      </c>
      <c r="F2917" t="str">
        <f>IFERROR(__xludf.DUMMYFUNCTION("""COMPUTED_VALUE"""),"LG")</f>
        <v>LG</v>
      </c>
      <c r="G2917">
        <f>IFERROR(__xludf.DUMMYFUNCTION("""COMPUTED_VALUE"""),14.4)</f>
        <v>14.4</v>
      </c>
    </row>
    <row r="2918">
      <c r="D2918" t="str">
        <f>IFERROR(__xludf.DUMMYFUNCTION("""COMPUTED_VALUE"""),"Draughn")</f>
        <v>Draughn</v>
      </c>
      <c r="E2918" t="str">
        <f>IFERROR(__xludf.DUMMYFUNCTION("""COMPUTED_VALUE"""),"Shaun")</f>
        <v>Shaun</v>
      </c>
      <c r="F2918" t="str">
        <f>IFERROR(__xludf.DUMMYFUNCTION("""COMPUTED_VALUE"""),"HB")</f>
        <v>HB</v>
      </c>
      <c r="G2918">
        <f>IFERROR(__xludf.DUMMYFUNCTION("""COMPUTED_VALUE"""),14.8)</f>
        <v>14.8</v>
      </c>
    </row>
    <row r="2919">
      <c r="D2919" t="str">
        <f>IFERROR(__xludf.DUMMYFUNCTION("""COMPUTED_VALUE"""),"Driskel")</f>
        <v>Driskel</v>
      </c>
      <c r="E2919" t="str">
        <f>IFERROR(__xludf.DUMMYFUNCTION("""COMPUTED_VALUE"""),"Jeff")</f>
        <v>Jeff</v>
      </c>
      <c r="F2919" t="str">
        <f>IFERROR(__xludf.DUMMYFUNCTION("""COMPUTED_VALUE"""),"QB")</f>
        <v>QB</v>
      </c>
      <c r="G2919">
        <f>IFERROR(__xludf.DUMMYFUNCTION("""COMPUTED_VALUE"""),13.0)</f>
        <v>13</v>
      </c>
    </row>
    <row r="2920">
      <c r="D2920" t="str">
        <f>IFERROR(__xludf.DUMMYFUNCTION("""COMPUTED_VALUE"""),"Drummond")</f>
        <v>Drummond</v>
      </c>
      <c r="E2920" t="str">
        <f>IFERROR(__xludf.DUMMYFUNCTION("""COMPUTED_VALUE"""),"Kurtis")</f>
        <v>Kurtis</v>
      </c>
      <c r="F2920" t="str">
        <f>IFERROR(__xludf.DUMMYFUNCTION("""COMPUTED_VALUE"""),"FS")</f>
        <v>FS</v>
      </c>
      <c r="G2920">
        <f>IFERROR(__xludf.DUMMYFUNCTION("""COMPUTED_VALUE"""),13.600000000000001)</f>
        <v>13.6</v>
      </c>
    </row>
    <row r="2921">
      <c r="D2921" t="str">
        <f>IFERROR(__xludf.DUMMYFUNCTION("""COMPUTED_VALUE"""),"Duarte")</f>
        <v>Duarte</v>
      </c>
      <c r="E2921" t="str">
        <f>IFERROR(__xludf.DUMMYFUNCTION("""COMPUTED_VALUE"""),"Thomas")</f>
        <v>Thomas</v>
      </c>
      <c r="F2921" t="str">
        <f>IFERROR(__xludf.DUMMYFUNCTION("""COMPUTED_VALUE"""),"TE")</f>
        <v>TE</v>
      </c>
      <c r="G2921">
        <f>IFERROR(__xludf.DUMMYFUNCTION("""COMPUTED_VALUE"""),12.4)</f>
        <v>12.4</v>
      </c>
    </row>
    <row r="2922">
      <c r="D2922" t="str">
        <f>IFERROR(__xludf.DUMMYFUNCTION("""COMPUTED_VALUE"""),"Ducasse")</f>
        <v>Ducasse</v>
      </c>
      <c r="E2922" t="str">
        <f>IFERROR(__xludf.DUMMYFUNCTION("""COMPUTED_VALUE"""),"Vladimir")</f>
        <v>Vladimir</v>
      </c>
      <c r="F2922" t="str">
        <f>IFERROR(__xludf.DUMMYFUNCTION("""COMPUTED_VALUE"""),"RG")</f>
        <v>RG</v>
      </c>
      <c r="G2922">
        <f>IFERROR(__xludf.DUMMYFUNCTION("""COMPUTED_VALUE"""),14.4)</f>
        <v>14.4</v>
      </c>
    </row>
    <row r="2923">
      <c r="D2923" t="str">
        <f>IFERROR(__xludf.DUMMYFUNCTION("""COMPUTED_VALUE"""),"Dumervil")</f>
        <v>Dumervil</v>
      </c>
      <c r="E2923" t="str">
        <f>IFERROR(__xludf.DUMMYFUNCTION("""COMPUTED_VALUE"""),"Elvis")</f>
        <v>Elvis</v>
      </c>
      <c r="F2923" t="str">
        <f>IFERROR(__xludf.DUMMYFUNCTION("""COMPUTED_VALUE"""),"RE")</f>
        <v>RE</v>
      </c>
      <c r="G2923">
        <f>IFERROR(__xludf.DUMMYFUNCTION("""COMPUTED_VALUE"""),16.6)</f>
        <v>16.6</v>
      </c>
    </row>
    <row r="2924">
      <c r="D2924" t="str">
        <f>IFERROR(__xludf.DUMMYFUNCTION("""COMPUTED_VALUE"""),"Dunbar")</f>
        <v>Dunbar</v>
      </c>
      <c r="E2924" t="str">
        <f>IFERROR(__xludf.DUMMYFUNCTION("""COMPUTED_VALUE"""),"Lance")</f>
        <v>Lance</v>
      </c>
      <c r="F2924" t="str">
        <f>IFERROR(__xludf.DUMMYFUNCTION("""COMPUTED_VALUE"""),"HB")</f>
        <v>HB</v>
      </c>
      <c r="G2924">
        <f>IFERROR(__xludf.DUMMYFUNCTION("""COMPUTED_VALUE"""),15.4)</f>
        <v>15.4</v>
      </c>
    </row>
    <row r="2925">
      <c r="D2925" t="str">
        <f>IFERROR(__xludf.DUMMYFUNCTION("""COMPUTED_VALUE"""),"Dunbar")</f>
        <v>Dunbar</v>
      </c>
      <c r="E2925" t="str">
        <f>IFERROR(__xludf.DUMMYFUNCTION("""COMPUTED_VALUE"""),"Quinton")</f>
        <v>Quinton</v>
      </c>
      <c r="F2925" t="str">
        <f>IFERROR(__xludf.DUMMYFUNCTION("""COMPUTED_VALUE"""),"CB")</f>
        <v>CB</v>
      </c>
      <c r="G2925">
        <f>IFERROR(__xludf.DUMMYFUNCTION("""COMPUTED_VALUE"""),14.200000000000001)</f>
        <v>14.2</v>
      </c>
    </row>
    <row r="2926">
      <c r="D2926" t="str">
        <f>IFERROR(__xludf.DUMMYFUNCTION("""COMPUTED_VALUE"""),"Dunker")</f>
        <v>Dunker</v>
      </c>
      <c r="E2926" t="str">
        <f>IFERROR(__xludf.DUMMYFUNCTION("""COMPUTED_VALUE"""),"Jessamen")</f>
        <v>Jessamen</v>
      </c>
      <c r="F2926" t="str">
        <f>IFERROR(__xludf.DUMMYFUNCTION("""COMPUTED_VALUE"""),"RG")</f>
        <v>RG</v>
      </c>
      <c r="G2926">
        <f>IFERROR(__xludf.DUMMYFUNCTION("""COMPUTED_VALUE"""),12.200000000000001)</f>
        <v>12.2</v>
      </c>
    </row>
    <row r="2927">
      <c r="D2927" t="str">
        <f>IFERROR(__xludf.DUMMYFUNCTION("""COMPUTED_VALUE"""),"Dunlap")</f>
        <v>Dunlap</v>
      </c>
      <c r="E2927" t="str">
        <f>IFERROR(__xludf.DUMMYFUNCTION("""COMPUTED_VALUE"""),"Carlos")</f>
        <v>Carlos</v>
      </c>
      <c r="F2927" t="str">
        <f>IFERROR(__xludf.DUMMYFUNCTION("""COMPUTED_VALUE"""),"LE")</f>
        <v>LE</v>
      </c>
      <c r="G2927">
        <f>IFERROR(__xludf.DUMMYFUNCTION("""COMPUTED_VALUE"""),17.2)</f>
        <v>17.2</v>
      </c>
    </row>
    <row r="2928">
      <c r="D2928" t="str">
        <f>IFERROR(__xludf.DUMMYFUNCTION("""COMPUTED_VALUE"""),"Dunn")</f>
        <v>Dunn</v>
      </c>
      <c r="E2928" t="str">
        <f>IFERROR(__xludf.DUMMYFUNCTION("""COMPUTED_VALUE"""),"Brandon")</f>
        <v>Brandon</v>
      </c>
      <c r="F2928" t="str">
        <f>IFERROR(__xludf.DUMMYFUNCTION("""COMPUTED_VALUE"""),"RE")</f>
        <v>RE</v>
      </c>
      <c r="G2928">
        <f>IFERROR(__xludf.DUMMYFUNCTION("""COMPUTED_VALUE"""),13.600000000000001)</f>
        <v>13.6</v>
      </c>
    </row>
    <row r="2929">
      <c r="D2929" t="str">
        <f>IFERROR(__xludf.DUMMYFUNCTION("""COMPUTED_VALUE"""),"Dupre")</f>
        <v>Dupre</v>
      </c>
      <c r="E2929" t="str">
        <f>IFERROR(__xludf.DUMMYFUNCTION("""COMPUTED_VALUE"""),"Malachi")</f>
        <v>Malachi</v>
      </c>
      <c r="F2929" t="str">
        <f>IFERROR(__xludf.DUMMYFUNCTION("""COMPUTED_VALUE"""),"WR")</f>
        <v>WR</v>
      </c>
      <c r="G2929">
        <f>IFERROR(__xludf.DUMMYFUNCTION("""COMPUTED_VALUE"""),13.200000000000001)</f>
        <v>13.2</v>
      </c>
    </row>
    <row r="2930">
      <c r="D2930" t="str">
        <f>IFERROR(__xludf.DUMMYFUNCTION("""COMPUTED_VALUE"""),"Dupree")</f>
        <v>Dupree</v>
      </c>
      <c r="E2930" t="str">
        <f>IFERROR(__xludf.DUMMYFUNCTION("""COMPUTED_VALUE"""),"Bud")</f>
        <v>Bud</v>
      </c>
      <c r="F2930" t="str">
        <f>IFERROR(__xludf.DUMMYFUNCTION("""COMPUTED_VALUE"""),"LOLB")</f>
        <v>LOLB</v>
      </c>
      <c r="G2930">
        <f>IFERROR(__xludf.DUMMYFUNCTION("""COMPUTED_VALUE"""),15.0)</f>
        <v>15</v>
      </c>
    </row>
    <row r="2931">
      <c r="D2931" t="str">
        <f>IFERROR(__xludf.DUMMYFUNCTION("""COMPUTED_VALUE"""),"Dural")</f>
        <v>Dural</v>
      </c>
      <c r="E2931" t="str">
        <f>IFERROR(__xludf.DUMMYFUNCTION("""COMPUTED_VALUE"""),"Travin")</f>
        <v>Travin</v>
      </c>
      <c r="F2931" t="str">
        <f>IFERROR(__xludf.DUMMYFUNCTION("""COMPUTED_VALUE"""),"WR")</f>
        <v>WR</v>
      </c>
      <c r="G2931">
        <f>IFERROR(__xludf.DUMMYFUNCTION("""COMPUTED_VALUE"""),12.600000000000001)</f>
        <v>12.6</v>
      </c>
    </row>
    <row r="2932">
      <c r="D2932" t="str">
        <f>IFERROR(__xludf.DUMMYFUNCTION("""COMPUTED_VALUE"""),"Duvernay-Tardif")</f>
        <v>Duvernay-Tardif</v>
      </c>
      <c r="E2932" t="str">
        <f>IFERROR(__xludf.DUMMYFUNCTION("""COMPUTED_VALUE"""),"Laurent")</f>
        <v>Laurent</v>
      </c>
      <c r="F2932" t="str">
        <f>IFERROR(__xludf.DUMMYFUNCTION("""COMPUTED_VALUE"""),"RG")</f>
        <v>RG</v>
      </c>
      <c r="G2932">
        <f>IFERROR(__xludf.DUMMYFUNCTION("""COMPUTED_VALUE"""),15.600000000000001)</f>
        <v>15.6</v>
      </c>
    </row>
    <row r="2933">
      <c r="D2933" t="str">
        <f>IFERROR(__xludf.DUMMYFUNCTION("""COMPUTED_VALUE"""),"Dye Jr")</f>
        <v>Dye Jr</v>
      </c>
      <c r="E2933" t="str">
        <f>IFERROR(__xludf.DUMMYFUNCTION("""COMPUTED_VALUE"""),"Donteea")</f>
        <v>Donteea</v>
      </c>
      <c r="F2933" t="str">
        <f>IFERROR(__xludf.DUMMYFUNCTION("""COMPUTED_VALUE"""),"WR")</f>
        <v>WR</v>
      </c>
      <c r="G2933">
        <f>IFERROR(__xludf.DUMMYFUNCTION("""COMPUTED_VALUE"""),12.8)</f>
        <v>12.8</v>
      </c>
    </row>
    <row r="2934">
      <c r="D2934" t="str">
        <f>IFERROR(__xludf.DUMMYFUNCTION("""COMPUTED_VALUE"""),"Dysert")</f>
        <v>Dysert</v>
      </c>
      <c r="E2934" t="str">
        <f>IFERROR(__xludf.DUMMYFUNCTION("""COMPUTED_VALUE"""),"Zac")</f>
        <v>Zac</v>
      </c>
      <c r="F2934" t="str">
        <f>IFERROR(__xludf.DUMMYFUNCTION("""COMPUTED_VALUE"""),"QB")</f>
        <v>QB</v>
      </c>
      <c r="G2934">
        <f>IFERROR(__xludf.DUMMYFUNCTION("""COMPUTED_VALUE"""),12.0)</f>
        <v>12</v>
      </c>
    </row>
    <row r="2935">
      <c r="D2935" t="str">
        <f>IFERROR(__xludf.DUMMYFUNCTION("""COMPUTED_VALUE"""),"Dzubnar")</f>
        <v>Dzubnar</v>
      </c>
      <c r="E2935" t="str">
        <f>IFERROR(__xludf.DUMMYFUNCTION("""COMPUTED_VALUE"""),"Nick")</f>
        <v>Nick</v>
      </c>
      <c r="F2935" t="str">
        <f>IFERROR(__xludf.DUMMYFUNCTION("""COMPUTED_VALUE"""),"MLB")</f>
        <v>MLB</v>
      </c>
      <c r="G2935">
        <f>IFERROR(__xludf.DUMMYFUNCTION("""COMPUTED_VALUE"""),12.4)</f>
        <v>12.4</v>
      </c>
    </row>
    <row r="2936">
      <c r="D2936" t="str">
        <f>IFERROR(__xludf.DUMMYFUNCTION("""COMPUTED_VALUE"""),"Ealy")</f>
        <v>Ealy</v>
      </c>
      <c r="E2936" t="str">
        <f>IFERROR(__xludf.DUMMYFUNCTION("""COMPUTED_VALUE"""),"Kony")</f>
        <v>Kony</v>
      </c>
      <c r="F2936" t="str">
        <f>IFERROR(__xludf.DUMMYFUNCTION("""COMPUTED_VALUE"""),"LE")</f>
        <v>LE</v>
      </c>
      <c r="G2936">
        <f>IFERROR(__xludf.DUMMYFUNCTION("""COMPUTED_VALUE"""),15.4)</f>
        <v>15.4</v>
      </c>
    </row>
    <row r="2937">
      <c r="D2937" t="str">
        <f>IFERROR(__xludf.DUMMYFUNCTION("""COMPUTED_VALUE"""),"Easley")</f>
        <v>Easley</v>
      </c>
      <c r="E2937" t="str">
        <f>IFERROR(__xludf.DUMMYFUNCTION("""COMPUTED_VALUE"""),"Dominique")</f>
        <v>Dominique</v>
      </c>
      <c r="F2937" t="str">
        <f>IFERROR(__xludf.DUMMYFUNCTION("""COMPUTED_VALUE"""),"RE")</f>
        <v>RE</v>
      </c>
      <c r="G2937">
        <f>IFERROR(__xludf.DUMMYFUNCTION("""COMPUTED_VALUE"""),15.600000000000001)</f>
        <v>15.6</v>
      </c>
    </row>
    <row r="2938">
      <c r="D2938" t="str">
        <f>IFERROR(__xludf.DUMMYFUNCTION("""COMPUTED_VALUE"""),"Easton")</f>
        <v>Easton</v>
      </c>
      <c r="E2938" t="str">
        <f>IFERROR(__xludf.DUMMYFUNCTION("""COMPUTED_VALUE"""),"Nick")</f>
        <v>Nick</v>
      </c>
      <c r="F2938" t="str">
        <f>IFERROR(__xludf.DUMMYFUNCTION("""COMPUTED_VALUE"""),"C")</f>
        <v>C</v>
      </c>
      <c r="G2938">
        <f>IFERROR(__xludf.DUMMYFUNCTION("""COMPUTED_VALUE"""),12.4)</f>
        <v>12.4</v>
      </c>
    </row>
    <row r="2939">
      <c r="D2939" t="str">
        <f>IFERROR(__xludf.DUMMYFUNCTION("""COMPUTED_VALUE"""),"Ebner")</f>
        <v>Ebner</v>
      </c>
      <c r="E2939" t="str">
        <f>IFERROR(__xludf.DUMMYFUNCTION("""COMPUTED_VALUE"""),"Nate")</f>
        <v>Nate</v>
      </c>
      <c r="F2939" t="str">
        <f>IFERROR(__xludf.DUMMYFUNCTION("""COMPUTED_VALUE"""),"FS")</f>
        <v>FS</v>
      </c>
      <c r="G2939">
        <f>IFERROR(__xludf.DUMMYFUNCTION("""COMPUTED_VALUE"""),13.0)</f>
        <v>13</v>
      </c>
    </row>
    <row r="2940">
      <c r="D2940" t="str">
        <f>IFERROR(__xludf.DUMMYFUNCTION("""COMPUTED_VALUE"""),"Ebron")</f>
        <v>Ebron</v>
      </c>
      <c r="E2940" t="str">
        <f>IFERROR(__xludf.DUMMYFUNCTION("""COMPUTED_VALUE"""),"Eric")</f>
        <v>Eric</v>
      </c>
      <c r="F2940" t="str">
        <f>IFERROR(__xludf.DUMMYFUNCTION("""COMPUTED_VALUE"""),"TE")</f>
        <v>TE</v>
      </c>
      <c r="G2940">
        <f>IFERROR(__xludf.DUMMYFUNCTION("""COMPUTED_VALUE"""),16.2)</f>
        <v>16.2</v>
      </c>
    </row>
    <row r="2941">
      <c r="D2941" t="str">
        <f>IFERROR(__xludf.DUMMYFUNCTION("""COMPUTED_VALUE"""),"Ebukam")</f>
        <v>Ebukam</v>
      </c>
      <c r="E2941" t="str">
        <f>IFERROR(__xludf.DUMMYFUNCTION("""COMPUTED_VALUE"""),"Samson")</f>
        <v>Samson</v>
      </c>
      <c r="F2941" t="str">
        <f>IFERROR(__xludf.DUMMYFUNCTION("""COMPUTED_VALUE"""),"ROLB")</f>
        <v>ROLB</v>
      </c>
      <c r="G2941">
        <f>IFERROR(__xludf.DUMMYFUNCTION("""COMPUTED_VALUE"""),13.4)</f>
        <v>13.4</v>
      </c>
    </row>
    <row r="2942">
      <c r="D2942" t="str">
        <f>IFERROR(__xludf.DUMMYFUNCTION("""COMPUTED_VALUE"""),"Edebali")</f>
        <v>Edebali</v>
      </c>
      <c r="E2942" t="str">
        <f>IFERROR(__xludf.DUMMYFUNCTION("""COMPUTED_VALUE"""),"Kasim")</f>
        <v>Kasim</v>
      </c>
      <c r="F2942" t="str">
        <f>IFERROR(__xludf.DUMMYFUNCTION("""COMPUTED_VALUE"""),"ROLB")</f>
        <v>ROLB</v>
      </c>
      <c r="G2942">
        <f>IFERROR(__xludf.DUMMYFUNCTION("""COMPUTED_VALUE"""),12.600000000000001)</f>
        <v>12.6</v>
      </c>
    </row>
    <row r="2943">
      <c r="D2943" t="str">
        <f>IFERROR(__xludf.DUMMYFUNCTION("""COMPUTED_VALUE"""),"Edelman")</f>
        <v>Edelman</v>
      </c>
      <c r="E2943" t="str">
        <f>IFERROR(__xludf.DUMMYFUNCTION("""COMPUTED_VALUE"""),"Julian")</f>
        <v>Julian</v>
      </c>
      <c r="F2943" t="str">
        <f>IFERROR(__xludf.DUMMYFUNCTION("""COMPUTED_VALUE"""),"WR")</f>
        <v>WR</v>
      </c>
      <c r="G2943">
        <f>IFERROR(__xludf.DUMMYFUNCTION("""COMPUTED_VALUE"""),17.8)</f>
        <v>17.8</v>
      </c>
    </row>
    <row r="2944">
      <c r="D2944" t="str">
        <f>IFERROR(__xludf.DUMMYFUNCTION("""COMPUTED_VALUE"""),"Edison")</f>
        <v>Edison</v>
      </c>
      <c r="E2944" t="str">
        <f>IFERROR(__xludf.DUMMYFUNCTION("""COMPUTED_VALUE"""),"Cornelius")</f>
        <v>Cornelius</v>
      </c>
      <c r="F2944" t="str">
        <f>IFERROR(__xludf.DUMMYFUNCTION("""COMPUTED_VALUE"""),"C")</f>
        <v>C</v>
      </c>
      <c r="G2944">
        <f>IFERROR(__xludf.DUMMYFUNCTION("""COMPUTED_VALUE"""),12.0)</f>
        <v>12</v>
      </c>
    </row>
    <row r="2945">
      <c r="D2945" t="str">
        <f>IFERROR(__xludf.DUMMYFUNCTION("""COMPUTED_VALUE"""),"Edwards")</f>
        <v>Edwards</v>
      </c>
      <c r="E2945" t="str">
        <f>IFERROR(__xludf.DUMMYFUNCTION("""COMPUTED_VALUE"""),"Kadeem")</f>
        <v>Kadeem</v>
      </c>
      <c r="F2945" t="str">
        <f>IFERROR(__xludf.DUMMYFUNCTION("""COMPUTED_VALUE"""),"LG")</f>
        <v>LG</v>
      </c>
      <c r="G2945">
        <f>IFERROR(__xludf.DUMMYFUNCTION("""COMPUTED_VALUE"""),12.8)</f>
        <v>12.8</v>
      </c>
    </row>
    <row r="2946">
      <c r="D2946" t="str">
        <f>IFERROR(__xludf.DUMMYFUNCTION("""COMPUTED_VALUE"""),"Edwards")</f>
        <v>Edwards</v>
      </c>
      <c r="E2946" t="str">
        <f>IFERROR(__xludf.DUMMYFUNCTION("""COMPUTED_VALUE"""),"Lachlan")</f>
        <v>Lachlan</v>
      </c>
      <c r="F2946" t="str">
        <f>IFERROR(__xludf.DUMMYFUNCTION("""COMPUTED_VALUE"""),"P")</f>
        <v>P</v>
      </c>
      <c r="G2946">
        <f>IFERROR(__xludf.DUMMYFUNCTION("""COMPUTED_VALUE"""),14.4)</f>
        <v>14.4</v>
      </c>
    </row>
    <row r="2947">
      <c r="D2947" t="str">
        <f>IFERROR(__xludf.DUMMYFUNCTION("""COMPUTED_VALUE"""),"Edwards")</f>
        <v>Edwards</v>
      </c>
      <c r="E2947" t="str">
        <f>IFERROR(__xludf.DUMMYFUNCTION("""COMPUTED_VALUE"""),"Lavar")</f>
        <v>Lavar</v>
      </c>
      <c r="F2947" t="str">
        <f>IFERROR(__xludf.DUMMYFUNCTION("""COMPUTED_VALUE"""),"ROLB")</f>
        <v>ROLB</v>
      </c>
      <c r="G2947">
        <f>IFERROR(__xludf.DUMMYFUNCTION("""COMPUTED_VALUE"""),12.8)</f>
        <v>12.8</v>
      </c>
    </row>
    <row r="2948">
      <c r="D2948" t="str">
        <f>IFERROR(__xludf.DUMMYFUNCTION("""COMPUTED_VALUE"""),"Edwards Jr")</f>
        <v>Edwards Jr</v>
      </c>
      <c r="E2948" t="str">
        <f>IFERROR(__xludf.DUMMYFUNCTION("""COMPUTED_VALUE"""),"Mario")</f>
        <v>Mario</v>
      </c>
      <c r="F2948" t="str">
        <f>IFERROR(__xludf.DUMMYFUNCTION("""COMPUTED_VALUE"""),"RE")</f>
        <v>RE</v>
      </c>
      <c r="G2948">
        <f>IFERROR(__xludf.DUMMYFUNCTION("""COMPUTED_VALUE"""),15.200000000000001)</f>
        <v>15.2</v>
      </c>
    </row>
    <row r="2949">
      <c r="D2949" t="str">
        <f>IFERROR(__xludf.DUMMYFUNCTION("""COMPUTED_VALUE"""),"Ehinger")</f>
        <v>Ehinger</v>
      </c>
      <c r="E2949" t="str">
        <f>IFERROR(__xludf.DUMMYFUNCTION("""COMPUTED_VALUE"""),"Parker")</f>
        <v>Parker</v>
      </c>
      <c r="F2949" t="str">
        <f>IFERROR(__xludf.DUMMYFUNCTION("""COMPUTED_VALUE"""),"LG")</f>
        <v>LG</v>
      </c>
      <c r="G2949">
        <f>IFERROR(__xludf.DUMMYFUNCTION("""COMPUTED_VALUE"""),13.8)</f>
        <v>13.8</v>
      </c>
    </row>
    <row r="2950">
      <c r="D2950" t="str">
        <f>IFERROR(__xludf.DUMMYFUNCTION("""COMPUTED_VALUE"""),"Eifert")</f>
        <v>Eifert</v>
      </c>
      <c r="E2950" t="str">
        <f>IFERROR(__xludf.DUMMYFUNCTION("""COMPUTED_VALUE"""),"Tyler")</f>
        <v>Tyler</v>
      </c>
      <c r="F2950" t="str">
        <f>IFERROR(__xludf.DUMMYFUNCTION("""COMPUTED_VALUE"""),"TE")</f>
        <v>TE</v>
      </c>
      <c r="G2950">
        <f>IFERROR(__xludf.DUMMYFUNCTION("""COMPUTED_VALUE"""),18.2)</f>
        <v>18.2</v>
      </c>
    </row>
    <row r="2951">
      <c r="D2951" t="str">
        <f>IFERROR(__xludf.DUMMYFUNCTION("""COMPUTED_VALUE"""),"Elder")</f>
        <v>Elder</v>
      </c>
      <c r="E2951" t="str">
        <f>IFERROR(__xludf.DUMMYFUNCTION("""COMPUTED_VALUE"""),"Corn")</f>
        <v>Corn</v>
      </c>
      <c r="F2951" t="str">
        <f>IFERROR(__xludf.DUMMYFUNCTION("""COMPUTED_VALUE"""),"CB")</f>
        <v>CB</v>
      </c>
      <c r="G2951">
        <f>IFERROR(__xludf.DUMMYFUNCTION("""COMPUTED_VALUE"""),13.8)</f>
        <v>13.8</v>
      </c>
    </row>
    <row r="2952">
      <c r="D2952" t="str">
        <f>IFERROR(__xludf.DUMMYFUNCTION("""COMPUTED_VALUE"""),"Eldrenkamp")</f>
        <v>Eldrenkamp</v>
      </c>
      <c r="E2952" t="str">
        <f>IFERROR(__xludf.DUMMYFUNCTION("""COMPUTED_VALUE"""),"Jake")</f>
        <v>Jake</v>
      </c>
      <c r="F2952" t="str">
        <f>IFERROR(__xludf.DUMMYFUNCTION("""COMPUTED_VALUE"""),"C")</f>
        <v>C</v>
      </c>
      <c r="G2952">
        <f>IFERROR(__xludf.DUMMYFUNCTION("""COMPUTED_VALUE"""),12.200000000000001)</f>
        <v>12.2</v>
      </c>
    </row>
    <row r="2953">
      <c r="D2953" t="str">
        <f>IFERROR(__xludf.DUMMYFUNCTION("""COMPUTED_VALUE"""),"Elflein")</f>
        <v>Elflein</v>
      </c>
      <c r="E2953" t="str">
        <f>IFERROR(__xludf.DUMMYFUNCTION("""COMPUTED_VALUE"""),"Pat")</f>
        <v>Pat</v>
      </c>
      <c r="F2953" t="str">
        <f>IFERROR(__xludf.DUMMYFUNCTION("""COMPUTED_VALUE"""),"C")</f>
        <v>C</v>
      </c>
      <c r="G2953">
        <f>IFERROR(__xludf.DUMMYFUNCTION("""COMPUTED_VALUE"""),14.600000000000001)</f>
        <v>14.6</v>
      </c>
    </row>
    <row r="2954">
      <c r="D2954" t="str">
        <f>IFERROR(__xludf.DUMMYFUNCTION("""COMPUTED_VALUE"""),"Eligwe")</f>
        <v>Eligwe</v>
      </c>
      <c r="E2954" t="str">
        <f>IFERROR(__xludf.DUMMYFUNCTION("""COMPUTED_VALUE"""),"Ukeme")</f>
        <v>Ukeme</v>
      </c>
      <c r="F2954" t="str">
        <f>IFERROR(__xludf.DUMMYFUNCTION("""COMPUTED_VALUE"""),"MLB")</f>
        <v>MLB</v>
      </c>
      <c r="G2954">
        <f>IFERROR(__xludf.DUMMYFUNCTION("""COMPUTED_VALUE"""),12.4)</f>
        <v>12.4</v>
      </c>
    </row>
    <row r="2955">
      <c r="D2955" t="str">
        <f>IFERROR(__xludf.DUMMYFUNCTION("""COMPUTED_VALUE"""),"Ellerbe")</f>
        <v>Ellerbe</v>
      </c>
      <c r="E2955" t="str">
        <f>IFERROR(__xludf.DUMMYFUNCTION("""COMPUTED_VALUE"""),"Dannell")</f>
        <v>Dannell</v>
      </c>
      <c r="F2955" t="str">
        <f>IFERROR(__xludf.DUMMYFUNCTION("""COMPUTED_VALUE"""),"ROLB")</f>
        <v>ROLB</v>
      </c>
      <c r="G2955">
        <f>IFERROR(__xludf.DUMMYFUNCTION("""COMPUTED_VALUE"""),15.0)</f>
        <v>15</v>
      </c>
    </row>
    <row r="2956">
      <c r="D2956" t="str">
        <f>IFERROR(__xludf.DUMMYFUNCTION("""COMPUTED_VALUE"""),"Ellington")</f>
        <v>Ellington</v>
      </c>
      <c r="E2956" t="str">
        <f>IFERROR(__xludf.DUMMYFUNCTION("""COMPUTED_VALUE"""),"Andre")</f>
        <v>Andre</v>
      </c>
      <c r="F2956" t="str">
        <f>IFERROR(__xludf.DUMMYFUNCTION("""COMPUTED_VALUE"""),"WR")</f>
        <v>WR</v>
      </c>
      <c r="G2956">
        <f>IFERROR(__xludf.DUMMYFUNCTION("""COMPUTED_VALUE"""),14.4)</f>
        <v>14.4</v>
      </c>
    </row>
    <row r="2957">
      <c r="D2957" t="str">
        <f>IFERROR(__xludf.DUMMYFUNCTION("""COMPUTED_VALUE"""),"Ellington")</f>
        <v>Ellington</v>
      </c>
      <c r="E2957" t="str">
        <f>IFERROR(__xludf.DUMMYFUNCTION("""COMPUTED_VALUE"""),"Bruce")</f>
        <v>Bruce</v>
      </c>
      <c r="F2957" t="str">
        <f>IFERROR(__xludf.DUMMYFUNCTION("""COMPUTED_VALUE"""),"WR")</f>
        <v>WR</v>
      </c>
      <c r="G2957">
        <f>IFERROR(__xludf.DUMMYFUNCTION("""COMPUTED_VALUE"""),14.200000000000001)</f>
        <v>14.2</v>
      </c>
    </row>
    <row r="2958">
      <c r="D2958" t="str">
        <f>IFERROR(__xludf.DUMMYFUNCTION("""COMPUTED_VALUE"""),"Elliott")</f>
        <v>Elliott</v>
      </c>
      <c r="E2958" t="str">
        <f>IFERROR(__xludf.DUMMYFUNCTION("""COMPUTED_VALUE"""),"DeAndre")</f>
        <v>DeAndre</v>
      </c>
      <c r="F2958" t="str">
        <f>IFERROR(__xludf.DUMMYFUNCTION("""COMPUTED_VALUE"""),"CB")</f>
        <v>CB</v>
      </c>
      <c r="G2958">
        <f>IFERROR(__xludf.DUMMYFUNCTION("""COMPUTED_VALUE"""),12.8)</f>
        <v>12.8</v>
      </c>
    </row>
    <row r="2959">
      <c r="D2959" t="str">
        <f>IFERROR(__xludf.DUMMYFUNCTION("""COMPUTED_VALUE"""),"Elliott")</f>
        <v>Elliott</v>
      </c>
      <c r="E2959" t="str">
        <f>IFERROR(__xludf.DUMMYFUNCTION("""COMPUTED_VALUE"""),"Ezekiel")</f>
        <v>Ezekiel</v>
      </c>
      <c r="F2959" t="str">
        <f>IFERROR(__xludf.DUMMYFUNCTION("""COMPUTED_VALUE"""),"HB")</f>
        <v>HB</v>
      </c>
      <c r="G2959">
        <f>IFERROR(__xludf.DUMMYFUNCTION("""COMPUTED_VALUE"""),18.0)</f>
        <v>18</v>
      </c>
    </row>
    <row r="2960">
      <c r="D2960" t="str">
        <f>IFERROR(__xludf.DUMMYFUNCTION("""COMPUTED_VALUE"""),"Elliott")</f>
        <v>Elliott</v>
      </c>
      <c r="E2960" t="str">
        <f>IFERROR(__xludf.DUMMYFUNCTION("""COMPUTED_VALUE"""),"Jake")</f>
        <v>Jake</v>
      </c>
      <c r="F2960" t="str">
        <f>IFERROR(__xludf.DUMMYFUNCTION("""COMPUTED_VALUE"""),"K")</f>
        <v>K</v>
      </c>
      <c r="G2960">
        <f>IFERROR(__xludf.DUMMYFUNCTION("""COMPUTED_VALUE"""),15.0)</f>
        <v>15</v>
      </c>
    </row>
    <row r="2961">
      <c r="D2961" t="str">
        <f>IFERROR(__xludf.DUMMYFUNCTION("""COMPUTED_VALUE"""),"Elliott")</f>
        <v>Elliott</v>
      </c>
      <c r="E2961" t="str">
        <f>IFERROR(__xludf.DUMMYFUNCTION("""COMPUTED_VALUE"""),"Javien")</f>
        <v>Javien</v>
      </c>
      <c r="F2961" t="str">
        <f>IFERROR(__xludf.DUMMYFUNCTION("""COMPUTED_VALUE"""),"CB")</f>
        <v>CB</v>
      </c>
      <c r="G2961">
        <f>IFERROR(__xludf.DUMMYFUNCTION("""COMPUTED_VALUE"""),13.600000000000001)</f>
        <v>13.6</v>
      </c>
    </row>
    <row r="2962">
      <c r="D2962" t="str">
        <f>IFERROR(__xludf.DUMMYFUNCTION("""COMPUTED_VALUE"""),"Elliott")</f>
        <v>Elliott</v>
      </c>
      <c r="E2962" t="str">
        <f>IFERROR(__xludf.DUMMYFUNCTION("""COMPUTED_VALUE"""),"Jayrone")</f>
        <v>Jayrone</v>
      </c>
      <c r="F2962" t="str">
        <f>IFERROR(__xludf.DUMMYFUNCTION("""COMPUTED_VALUE"""),"LOLB")</f>
        <v>LOLB</v>
      </c>
      <c r="G2962">
        <f>IFERROR(__xludf.DUMMYFUNCTION("""COMPUTED_VALUE"""),13.8)</f>
        <v>13.8</v>
      </c>
    </row>
    <row r="2963">
      <c r="D2963" t="str">
        <f>IFERROR(__xludf.DUMMYFUNCTION("""COMPUTED_VALUE"""),"Ellis")</f>
        <v>Ellis</v>
      </c>
      <c r="E2963" t="str">
        <f>IFERROR(__xludf.DUMMYFUNCTION("""COMPUTED_VALUE"""),"Alex")</f>
        <v>Alex</v>
      </c>
      <c r="F2963" t="str">
        <f>IFERROR(__xludf.DUMMYFUNCTION("""COMPUTED_VALUE"""),"TE")</f>
        <v>TE</v>
      </c>
      <c r="G2963">
        <f>IFERROR(__xludf.DUMMYFUNCTION("""COMPUTED_VALUE"""),12.8)</f>
        <v>12.8</v>
      </c>
    </row>
    <row r="2964">
      <c r="D2964" t="str">
        <f>IFERROR(__xludf.DUMMYFUNCTION("""COMPUTED_VALUE"""),"Ellis")</f>
        <v>Ellis</v>
      </c>
      <c r="E2964" t="str">
        <f>IFERROR(__xludf.DUMMYFUNCTION("""COMPUTED_VALUE"""),"Brooks")</f>
        <v>Brooks</v>
      </c>
      <c r="F2964" t="str">
        <f>IFERROR(__xludf.DUMMYFUNCTION("""COMPUTED_VALUE"""),"MLB")</f>
        <v>MLB</v>
      </c>
      <c r="G2964">
        <f>IFERROR(__xludf.DUMMYFUNCTION("""COMPUTED_VALUE"""),12.0)</f>
        <v>12</v>
      </c>
    </row>
    <row r="2965">
      <c r="D2965" t="str">
        <f>IFERROR(__xludf.DUMMYFUNCTION("""COMPUTED_VALUE"""),"Ellis")</f>
        <v>Ellis</v>
      </c>
      <c r="E2965" t="str">
        <f>IFERROR(__xludf.DUMMYFUNCTION("""COMPUTED_VALUE"""),"Justin")</f>
        <v>Justin</v>
      </c>
      <c r="F2965" t="str">
        <f>IFERROR(__xludf.DUMMYFUNCTION("""COMPUTED_VALUE"""),"DT")</f>
        <v>DT</v>
      </c>
      <c r="G2965">
        <f>IFERROR(__xludf.DUMMYFUNCTION("""COMPUTED_VALUE"""),14.0)</f>
        <v>14</v>
      </c>
    </row>
    <row r="2966">
      <c r="D2966" t="str">
        <f>IFERROR(__xludf.DUMMYFUNCTION("""COMPUTED_VALUE"""),"Ellison")</f>
        <v>Ellison</v>
      </c>
      <c r="E2966" t="str">
        <f>IFERROR(__xludf.DUMMYFUNCTION("""COMPUTED_VALUE"""),"Rhett")</f>
        <v>Rhett</v>
      </c>
      <c r="F2966" t="str">
        <f>IFERROR(__xludf.DUMMYFUNCTION("""COMPUTED_VALUE"""),"FB")</f>
        <v>FB</v>
      </c>
      <c r="G2966">
        <f>IFERROR(__xludf.DUMMYFUNCTION("""COMPUTED_VALUE"""),15.8)</f>
        <v>15.8</v>
      </c>
    </row>
    <row r="2967">
      <c r="D2967" t="str">
        <f>IFERROR(__xludf.DUMMYFUNCTION("""COMPUTED_VALUE"""),"Elston")</f>
        <v>Elston</v>
      </c>
      <c r="E2967" t="str">
        <f>IFERROR(__xludf.DUMMYFUNCTION("""COMPUTED_VALUE"""),"Trae")</f>
        <v>Trae</v>
      </c>
      <c r="F2967" t="str">
        <f>IFERROR(__xludf.DUMMYFUNCTION("""COMPUTED_VALUE"""),"FS")</f>
        <v>FS</v>
      </c>
      <c r="G2967">
        <f>IFERROR(__xludf.DUMMYFUNCTION("""COMPUTED_VALUE"""),12.4)</f>
        <v>12.4</v>
      </c>
    </row>
    <row r="2968">
      <c r="D2968" t="str">
        <f>IFERROR(__xludf.DUMMYFUNCTION("""COMPUTED_VALUE"""),"Eluemunor")</f>
        <v>Eluemunor</v>
      </c>
      <c r="E2968" t="str">
        <f>IFERROR(__xludf.DUMMYFUNCTION("""COMPUTED_VALUE"""),"Jermaine")</f>
        <v>Jermaine</v>
      </c>
      <c r="F2968" t="str">
        <f>IFERROR(__xludf.DUMMYFUNCTION("""COMPUTED_VALUE"""),"RG")</f>
        <v>RG</v>
      </c>
      <c r="G2968">
        <f>IFERROR(__xludf.DUMMYFUNCTION("""COMPUTED_VALUE"""),13.600000000000001)</f>
        <v>13.6</v>
      </c>
    </row>
    <row r="2969">
      <c r="D2969" t="str">
        <f>IFERROR(__xludf.DUMMYFUNCTION("""COMPUTED_VALUE"""),"Emanuel")</f>
        <v>Emanuel</v>
      </c>
      <c r="E2969" t="str">
        <f>IFERROR(__xludf.DUMMYFUNCTION("""COMPUTED_VALUE"""),"Kyle")</f>
        <v>Kyle</v>
      </c>
      <c r="F2969" t="str">
        <f>IFERROR(__xludf.DUMMYFUNCTION("""COMPUTED_VALUE"""),"LOLB")</f>
        <v>LOLB</v>
      </c>
      <c r="G2969">
        <f>IFERROR(__xludf.DUMMYFUNCTION("""COMPUTED_VALUE"""),14.8)</f>
        <v>14.8</v>
      </c>
    </row>
    <row r="2970">
      <c r="D2970" t="str">
        <f>IFERROR(__xludf.DUMMYFUNCTION("""COMPUTED_VALUE"""),"Engram")</f>
        <v>Engram</v>
      </c>
      <c r="E2970" t="str">
        <f>IFERROR(__xludf.DUMMYFUNCTION("""COMPUTED_VALUE"""),"Evan")</f>
        <v>Evan</v>
      </c>
      <c r="F2970" t="str">
        <f>IFERROR(__xludf.DUMMYFUNCTION("""COMPUTED_VALUE"""),"TE")</f>
        <v>TE</v>
      </c>
      <c r="G2970">
        <f>IFERROR(__xludf.DUMMYFUNCTION("""COMPUTED_VALUE"""),15.0)</f>
        <v>15</v>
      </c>
    </row>
    <row r="2971">
      <c r="D2971" t="str">
        <f>IFERROR(__xludf.DUMMYFUNCTION("""COMPUTED_VALUE"""),"Enunwa")</f>
        <v>Enunwa</v>
      </c>
      <c r="E2971" t="str">
        <f>IFERROR(__xludf.DUMMYFUNCTION("""COMPUTED_VALUE"""),"Quincy")</f>
        <v>Quincy</v>
      </c>
      <c r="F2971" t="str">
        <f>IFERROR(__xludf.DUMMYFUNCTION("""COMPUTED_VALUE"""),"WR")</f>
        <v>WR</v>
      </c>
      <c r="G2971">
        <f>IFERROR(__xludf.DUMMYFUNCTION("""COMPUTED_VALUE"""),15.8)</f>
        <v>15.8</v>
      </c>
    </row>
    <row r="2972">
      <c r="D2972" t="str">
        <f>IFERROR(__xludf.DUMMYFUNCTION("""COMPUTED_VALUE"""),"Erickson")</f>
        <v>Erickson</v>
      </c>
      <c r="E2972" t="str">
        <f>IFERROR(__xludf.DUMMYFUNCTION("""COMPUTED_VALUE"""),"Alex")</f>
        <v>Alex</v>
      </c>
      <c r="F2972" t="str">
        <f>IFERROR(__xludf.DUMMYFUNCTION("""COMPUTED_VALUE"""),"WR")</f>
        <v>WR</v>
      </c>
      <c r="G2972">
        <f>IFERROR(__xludf.DUMMYFUNCTION("""COMPUTED_VALUE"""),12.200000000000001)</f>
        <v>12.2</v>
      </c>
    </row>
    <row r="2973">
      <c r="D2973" t="str">
        <f>IFERROR(__xludf.DUMMYFUNCTION("""COMPUTED_VALUE"""),"Ertz")</f>
        <v>Ertz</v>
      </c>
      <c r="E2973" t="str">
        <f>IFERROR(__xludf.DUMMYFUNCTION("""COMPUTED_VALUE"""),"Zach")</f>
        <v>Zach</v>
      </c>
      <c r="F2973" t="str">
        <f>IFERROR(__xludf.DUMMYFUNCTION("""COMPUTED_VALUE"""),"TE")</f>
        <v>TE</v>
      </c>
      <c r="G2973">
        <f>IFERROR(__xludf.DUMMYFUNCTION("""COMPUTED_VALUE"""),17.0)</f>
        <v>17</v>
      </c>
    </row>
    <row r="2974">
      <c r="D2974" t="str">
        <f>IFERROR(__xludf.DUMMYFUNCTION("""COMPUTED_VALUE"""),"Ervin")</f>
        <v>Ervin</v>
      </c>
      <c r="E2974" t="str">
        <f>IFERROR(__xludf.DUMMYFUNCTION("""COMPUTED_VALUE"""),"Tyler")</f>
        <v>Tyler</v>
      </c>
      <c r="F2974" t="str">
        <f>IFERROR(__xludf.DUMMYFUNCTION("""COMPUTED_VALUE"""),"HB")</f>
        <v>HB</v>
      </c>
      <c r="G2974">
        <f>IFERROR(__xludf.DUMMYFUNCTION("""COMPUTED_VALUE"""),12.8)</f>
        <v>12.8</v>
      </c>
    </row>
    <row r="2975">
      <c r="D2975" t="str">
        <f>IFERROR(__xludf.DUMMYFUNCTION("""COMPUTED_VALUE"""),"Erving")</f>
        <v>Erving</v>
      </c>
      <c r="E2975" t="str">
        <f>IFERROR(__xludf.DUMMYFUNCTION("""COMPUTED_VALUE"""),"Cameron")</f>
        <v>Cameron</v>
      </c>
      <c r="F2975" t="str">
        <f>IFERROR(__xludf.DUMMYFUNCTION("""COMPUTED_VALUE"""),"RT")</f>
        <v>RT</v>
      </c>
      <c r="G2975">
        <f>IFERROR(__xludf.DUMMYFUNCTION("""COMPUTED_VALUE"""),14.200000000000001)</f>
        <v>14.2</v>
      </c>
    </row>
    <row r="2976">
      <c r="D2976" t="str">
        <f>IFERROR(__xludf.DUMMYFUNCTION("""COMPUTED_VALUE"""),"Escobar")</f>
        <v>Escobar</v>
      </c>
      <c r="E2976" t="str">
        <f>IFERROR(__xludf.DUMMYFUNCTION("""COMPUTED_VALUE"""),"Gavin")</f>
        <v>Gavin</v>
      </c>
      <c r="F2976" t="str">
        <f>IFERROR(__xludf.DUMMYFUNCTION("""COMPUTED_VALUE"""),"TE")</f>
        <v>TE</v>
      </c>
      <c r="G2976">
        <f>IFERROR(__xludf.DUMMYFUNCTION("""COMPUTED_VALUE"""),14.8)</f>
        <v>14.8</v>
      </c>
    </row>
    <row r="2977">
      <c r="D2977" t="str">
        <f>IFERROR(__xludf.DUMMYFUNCTION("""COMPUTED_VALUE"""),"Etta-Tawo")</f>
        <v>Etta-Tawo</v>
      </c>
      <c r="E2977" t="str">
        <f>IFERROR(__xludf.DUMMYFUNCTION("""COMPUTED_VALUE"""),"Amba")</f>
        <v>Amba</v>
      </c>
      <c r="F2977" t="str">
        <f>IFERROR(__xludf.DUMMYFUNCTION("""COMPUTED_VALUE"""),"WR")</f>
        <v>WR</v>
      </c>
      <c r="G2977">
        <f>IFERROR(__xludf.DUMMYFUNCTION("""COMPUTED_VALUE"""),12.600000000000001)</f>
        <v>12.6</v>
      </c>
    </row>
    <row r="2978">
      <c r="D2978" t="str">
        <f>IFERROR(__xludf.DUMMYFUNCTION("""COMPUTED_VALUE"""),"Eulls")</f>
        <v>Eulls</v>
      </c>
      <c r="E2978" t="str">
        <f>IFERROR(__xludf.DUMMYFUNCTION("""COMPUTED_VALUE"""),"Kaleb")</f>
        <v>Kaleb</v>
      </c>
      <c r="F2978" t="str">
        <f>IFERROR(__xludf.DUMMYFUNCTION("""COMPUTED_VALUE"""),"DT")</f>
        <v>DT</v>
      </c>
      <c r="G2978">
        <f>IFERROR(__xludf.DUMMYFUNCTION("""COMPUTED_VALUE"""),12.8)</f>
        <v>12.8</v>
      </c>
    </row>
    <row r="2979">
      <c r="D2979" t="str">
        <f>IFERROR(__xludf.DUMMYFUNCTION("""COMPUTED_VALUE"""),"Evans")</f>
        <v>Evans</v>
      </c>
      <c r="E2979" t="str">
        <f>IFERROR(__xludf.DUMMYFUNCTION("""COMPUTED_VALUE"""),"Jahri")</f>
        <v>Jahri</v>
      </c>
      <c r="F2979" t="str">
        <f>IFERROR(__xludf.DUMMYFUNCTION("""COMPUTED_VALUE"""),"RG")</f>
        <v>RG</v>
      </c>
      <c r="G2979">
        <f>IFERROR(__xludf.DUMMYFUNCTION("""COMPUTED_VALUE"""),15.200000000000001)</f>
        <v>15.2</v>
      </c>
    </row>
    <row r="2980">
      <c r="D2980" t="str">
        <f>IFERROR(__xludf.DUMMYFUNCTION("""COMPUTED_VALUE"""),"Evans")</f>
        <v>Evans</v>
      </c>
      <c r="E2980" t="str">
        <f>IFERROR(__xludf.DUMMYFUNCTION("""COMPUTED_VALUE"""),"Jordan")</f>
        <v>Jordan</v>
      </c>
      <c r="F2980" t="str">
        <f>IFERROR(__xludf.DUMMYFUNCTION("""COMPUTED_VALUE"""),"MLB")</f>
        <v>MLB</v>
      </c>
      <c r="G2980">
        <f>IFERROR(__xludf.DUMMYFUNCTION("""COMPUTED_VALUE"""),12.200000000000001)</f>
        <v>12.2</v>
      </c>
    </row>
    <row r="2981">
      <c r="D2981" t="str">
        <f>IFERROR(__xludf.DUMMYFUNCTION("""COMPUTED_VALUE"""),"Evans")</f>
        <v>Evans</v>
      </c>
      <c r="E2981" t="str">
        <f>IFERROR(__xludf.DUMMYFUNCTION("""COMPUTED_VALUE"""),"Josh")</f>
        <v>Josh</v>
      </c>
      <c r="F2981" t="str">
        <f>IFERROR(__xludf.DUMMYFUNCTION("""COMPUTED_VALUE"""),"SS")</f>
        <v>SS</v>
      </c>
      <c r="G2981">
        <f>IFERROR(__xludf.DUMMYFUNCTION("""COMPUTED_VALUE"""),13.4)</f>
        <v>13.4</v>
      </c>
    </row>
    <row r="2982">
      <c r="D2982" t="str">
        <f>IFERROR(__xludf.DUMMYFUNCTION("""COMPUTED_VALUE"""),"Evans")</f>
        <v>Evans</v>
      </c>
      <c r="E2982" t="str">
        <f>IFERROR(__xludf.DUMMYFUNCTION("""COMPUTED_VALUE"""),"Justin")</f>
        <v>Justin</v>
      </c>
      <c r="F2982" t="str">
        <f>IFERROR(__xludf.DUMMYFUNCTION("""COMPUTED_VALUE"""),"FS")</f>
        <v>FS</v>
      </c>
      <c r="G2982">
        <f>IFERROR(__xludf.DUMMYFUNCTION("""COMPUTED_VALUE"""),14.600000000000001)</f>
        <v>14.6</v>
      </c>
    </row>
    <row r="2983">
      <c r="D2983" t="str">
        <f>IFERROR(__xludf.DUMMYFUNCTION("""COMPUTED_VALUE"""),"Evans")</f>
        <v>Evans</v>
      </c>
      <c r="E2983" t="str">
        <f>IFERROR(__xludf.DUMMYFUNCTION("""COMPUTED_VALUE"""),"Marwin")</f>
        <v>Marwin</v>
      </c>
      <c r="F2983" t="str">
        <f>IFERROR(__xludf.DUMMYFUNCTION("""COMPUTED_VALUE"""),"SS")</f>
        <v>SS</v>
      </c>
      <c r="G2983">
        <f>IFERROR(__xludf.DUMMYFUNCTION("""COMPUTED_VALUE"""),12.200000000000001)</f>
        <v>12.2</v>
      </c>
    </row>
    <row r="2984">
      <c r="D2984" t="str">
        <f>IFERROR(__xludf.DUMMYFUNCTION("""COMPUTED_VALUE"""),"Evans")</f>
        <v>Evans</v>
      </c>
      <c r="E2984" t="str">
        <f>IFERROR(__xludf.DUMMYFUNCTION("""COMPUTED_VALUE"""),"Mike")</f>
        <v>Mike</v>
      </c>
      <c r="F2984" t="str">
        <f>IFERROR(__xludf.DUMMYFUNCTION("""COMPUTED_VALUE"""),"WR")</f>
        <v>WR</v>
      </c>
      <c r="G2984">
        <f>IFERROR(__xludf.DUMMYFUNCTION("""COMPUTED_VALUE"""),18.0)</f>
        <v>18</v>
      </c>
    </row>
    <row r="2985">
      <c r="D2985" t="str">
        <f>IFERROR(__xludf.DUMMYFUNCTION("""COMPUTED_VALUE"""),"Evans")</f>
        <v>Evans</v>
      </c>
      <c r="E2985" t="str">
        <f>IFERROR(__xludf.DUMMYFUNCTION("""COMPUTED_VALUE"""),"Randall")</f>
        <v>Randall</v>
      </c>
      <c r="F2985" t="str">
        <f>IFERROR(__xludf.DUMMYFUNCTION("""COMPUTED_VALUE"""),"CB")</f>
        <v>CB</v>
      </c>
      <c r="G2985">
        <f>IFERROR(__xludf.DUMMYFUNCTION("""COMPUTED_VALUE"""),13.0)</f>
        <v>13</v>
      </c>
    </row>
    <row r="2986">
      <c r="D2986" t="str">
        <f>IFERROR(__xludf.DUMMYFUNCTION("""COMPUTED_VALUE"""),"Everett")</f>
        <v>Everett</v>
      </c>
      <c r="E2986" t="str">
        <f>IFERROR(__xludf.DUMMYFUNCTION("""COMPUTED_VALUE"""),"Deshazor")</f>
        <v>Deshazor</v>
      </c>
      <c r="F2986" t="str">
        <f>IFERROR(__xludf.DUMMYFUNCTION("""COMPUTED_VALUE"""),"FS")</f>
        <v>FS</v>
      </c>
      <c r="G2986">
        <f>IFERROR(__xludf.DUMMYFUNCTION("""COMPUTED_VALUE"""),13.4)</f>
        <v>13.4</v>
      </c>
    </row>
    <row r="2987">
      <c r="D2987" t="str">
        <f>IFERROR(__xludf.DUMMYFUNCTION("""COMPUTED_VALUE"""),"Everett")</f>
        <v>Everett</v>
      </c>
      <c r="E2987" t="str">
        <f>IFERROR(__xludf.DUMMYFUNCTION("""COMPUTED_VALUE"""),"Gerald")</f>
        <v>Gerald</v>
      </c>
      <c r="F2987" t="str">
        <f>IFERROR(__xludf.DUMMYFUNCTION("""COMPUTED_VALUE"""),"TE")</f>
        <v>TE</v>
      </c>
      <c r="G2987">
        <f>IFERROR(__xludf.DUMMYFUNCTION("""COMPUTED_VALUE"""),15.0)</f>
        <v>15</v>
      </c>
    </row>
    <row r="2988">
      <c r="D2988" t="str">
        <f>IFERROR(__xludf.DUMMYFUNCTION("""COMPUTED_VALUE"""),"Exum Jr")</f>
        <v>Exum Jr</v>
      </c>
      <c r="E2988" t="str">
        <f>IFERROR(__xludf.DUMMYFUNCTION("""COMPUTED_VALUE"""),"Antone")</f>
        <v>Antone</v>
      </c>
      <c r="F2988" t="str">
        <f>IFERROR(__xludf.DUMMYFUNCTION("""COMPUTED_VALUE"""),"FS")</f>
        <v>FS</v>
      </c>
      <c r="G2988">
        <f>IFERROR(__xludf.DUMMYFUNCTION("""COMPUTED_VALUE"""),14.200000000000001)</f>
        <v>14.2</v>
      </c>
    </row>
    <row r="2989">
      <c r="D2989" t="str">
        <f>IFERROR(__xludf.DUMMYFUNCTION("""COMPUTED_VALUE"""),"Fabiano")</f>
        <v>Fabiano</v>
      </c>
      <c r="E2989" t="str">
        <f>IFERROR(__xludf.DUMMYFUNCTION("""COMPUTED_VALUE"""),"Anthony")</f>
        <v>Anthony</v>
      </c>
      <c r="F2989" t="str">
        <f>IFERROR(__xludf.DUMMYFUNCTION("""COMPUTED_VALUE"""),"C")</f>
        <v>C</v>
      </c>
      <c r="G2989">
        <f>IFERROR(__xludf.DUMMYFUNCTION("""COMPUTED_VALUE"""),12.8)</f>
        <v>12.8</v>
      </c>
    </row>
    <row r="2990">
      <c r="D2990" t="str">
        <f>IFERROR(__xludf.DUMMYFUNCTION("""COMPUTED_VALUE"""),"Fackrell")</f>
        <v>Fackrell</v>
      </c>
      <c r="E2990" t="str">
        <f>IFERROR(__xludf.DUMMYFUNCTION("""COMPUTED_VALUE"""),"Kyler")</f>
        <v>Kyler</v>
      </c>
      <c r="F2990" t="str">
        <f>IFERROR(__xludf.DUMMYFUNCTION("""COMPUTED_VALUE"""),"ROLB")</f>
        <v>ROLB</v>
      </c>
      <c r="G2990">
        <f>IFERROR(__xludf.DUMMYFUNCTION("""COMPUTED_VALUE"""),14.200000000000001)</f>
        <v>14.2</v>
      </c>
    </row>
    <row r="2991">
      <c r="D2991" t="str">
        <f>IFERROR(__xludf.DUMMYFUNCTION("""COMPUTED_VALUE"""),"Fairbairn")</f>
        <v>Fairbairn</v>
      </c>
      <c r="E2991" t="str">
        <f>IFERROR(__xludf.DUMMYFUNCTION("""COMPUTED_VALUE"""),"Kaimi")</f>
        <v>Kaimi</v>
      </c>
      <c r="F2991" t="str">
        <f>IFERROR(__xludf.DUMMYFUNCTION("""COMPUTED_VALUE"""),"K")</f>
        <v>K</v>
      </c>
      <c r="G2991">
        <f>IFERROR(__xludf.DUMMYFUNCTION("""COMPUTED_VALUE"""),14.200000000000001)</f>
        <v>14.2</v>
      </c>
    </row>
    <row r="2992">
      <c r="D2992" t="str">
        <f>IFERROR(__xludf.DUMMYFUNCTION("""COMPUTED_VALUE"""),"Fairley")</f>
        <v>Fairley</v>
      </c>
      <c r="E2992" t="str">
        <f>IFERROR(__xludf.DUMMYFUNCTION("""COMPUTED_VALUE"""),"Nick")</f>
        <v>Nick</v>
      </c>
      <c r="F2992" t="str">
        <f>IFERROR(__xludf.DUMMYFUNCTION("""COMPUTED_VALUE"""),"DT")</f>
        <v>DT</v>
      </c>
      <c r="G2992">
        <f>IFERROR(__xludf.DUMMYFUNCTION("""COMPUTED_VALUE"""),15.8)</f>
        <v>15.8</v>
      </c>
    </row>
    <row r="2993">
      <c r="D2993" t="str">
        <f>IFERROR(__xludf.DUMMYFUNCTION("""COMPUTED_VALUE"""),"Fales")</f>
        <v>Fales</v>
      </c>
      <c r="E2993" t="str">
        <f>IFERROR(__xludf.DUMMYFUNCTION("""COMPUTED_VALUE"""),"David")</f>
        <v>David</v>
      </c>
      <c r="F2993" t="str">
        <f>IFERROR(__xludf.DUMMYFUNCTION("""COMPUTED_VALUE"""),"QB")</f>
        <v>QB</v>
      </c>
      <c r="G2993">
        <f>IFERROR(__xludf.DUMMYFUNCTION("""COMPUTED_VALUE"""),12.4)</f>
        <v>12.4</v>
      </c>
    </row>
    <row r="2994">
      <c r="D2994" t="str">
        <f>IFERROR(__xludf.DUMMYFUNCTION("""COMPUTED_VALUE"""),"Fant")</f>
        <v>Fant</v>
      </c>
      <c r="E2994" t="str">
        <f>IFERROR(__xludf.DUMMYFUNCTION("""COMPUTED_VALUE"""),"George")</f>
        <v>George</v>
      </c>
      <c r="F2994" t="str">
        <f>IFERROR(__xludf.DUMMYFUNCTION("""COMPUTED_VALUE"""),"LT")</f>
        <v>LT</v>
      </c>
      <c r="G2994">
        <f>IFERROR(__xludf.DUMMYFUNCTION("""COMPUTED_VALUE"""),13.8)</f>
        <v>13.8</v>
      </c>
    </row>
    <row r="2995">
      <c r="D2995" t="str">
        <f>IFERROR(__xludf.DUMMYFUNCTION("""COMPUTED_VALUE"""),"Farley")</f>
        <v>Farley</v>
      </c>
      <c r="E2995" t="str">
        <f>IFERROR(__xludf.DUMMYFUNCTION("""COMPUTED_VALUE"""),"Matthias")</f>
        <v>Matthias</v>
      </c>
      <c r="F2995" t="str">
        <f>IFERROR(__xludf.DUMMYFUNCTION("""COMPUTED_VALUE"""),"SS")</f>
        <v>SS</v>
      </c>
      <c r="G2995">
        <f>IFERROR(__xludf.DUMMYFUNCTION("""COMPUTED_VALUE"""),12.200000000000001)</f>
        <v>12.2</v>
      </c>
    </row>
    <row r="2996">
      <c r="D2996" t="str">
        <f>IFERROR(__xludf.DUMMYFUNCTION("""COMPUTED_VALUE"""),"Farris")</f>
        <v>Farris</v>
      </c>
      <c r="E2996" t="str">
        <f>IFERROR(__xludf.DUMMYFUNCTION("""COMPUTED_VALUE"""),"Chase")</f>
        <v>Chase</v>
      </c>
      <c r="F2996" t="str">
        <f>IFERROR(__xludf.DUMMYFUNCTION("""COMPUTED_VALUE"""),"RG")</f>
        <v>RG</v>
      </c>
      <c r="G2996">
        <f>IFERROR(__xludf.DUMMYFUNCTION("""COMPUTED_VALUE"""),11.8)</f>
        <v>11.8</v>
      </c>
    </row>
    <row r="2997">
      <c r="D2997" t="str">
        <f>IFERROR(__xludf.DUMMYFUNCTION("""COMPUTED_VALUE"""),"Farrow")</f>
        <v>Farrow</v>
      </c>
      <c r="E2997" t="str">
        <f>IFERROR(__xludf.DUMMYFUNCTION("""COMPUTED_VALUE"""),"Kenneth")</f>
        <v>Kenneth</v>
      </c>
      <c r="F2997" t="str">
        <f>IFERROR(__xludf.DUMMYFUNCTION("""COMPUTED_VALUE"""),"HB")</f>
        <v>HB</v>
      </c>
      <c r="G2997">
        <f>IFERROR(__xludf.DUMMYFUNCTION("""COMPUTED_VALUE"""),11.4)</f>
        <v>11.4</v>
      </c>
    </row>
    <row r="2998">
      <c r="D2998" t="str">
        <f>IFERROR(__xludf.DUMMYFUNCTION("""COMPUTED_VALUE"""),"Fasano")</f>
        <v>Fasano</v>
      </c>
      <c r="E2998" t="str">
        <f>IFERROR(__xludf.DUMMYFUNCTION("""COMPUTED_VALUE"""),"Anthony")</f>
        <v>Anthony</v>
      </c>
      <c r="F2998" t="str">
        <f>IFERROR(__xludf.DUMMYFUNCTION("""COMPUTED_VALUE"""),"TE")</f>
        <v>TE</v>
      </c>
      <c r="G2998">
        <f>IFERROR(__xludf.DUMMYFUNCTION("""COMPUTED_VALUE"""),16.6)</f>
        <v>16.6</v>
      </c>
    </row>
    <row r="2999">
      <c r="D2999" t="str">
        <f>IFERROR(__xludf.DUMMYFUNCTION("""COMPUTED_VALUE"""),"Fede")</f>
        <v>Fede</v>
      </c>
      <c r="E2999" t="str">
        <f>IFERROR(__xludf.DUMMYFUNCTION("""COMPUTED_VALUE"""),"Terrence")</f>
        <v>Terrence</v>
      </c>
      <c r="F2999" t="str">
        <f>IFERROR(__xludf.DUMMYFUNCTION("""COMPUTED_VALUE"""),"LE")</f>
        <v>LE</v>
      </c>
      <c r="G2999">
        <f>IFERROR(__xludf.DUMMYFUNCTION("""COMPUTED_VALUE"""),13.4)</f>
        <v>13.4</v>
      </c>
    </row>
    <row r="3000">
      <c r="D3000" t="str">
        <f>IFERROR(__xludf.DUMMYFUNCTION("""COMPUTED_VALUE"""),"Feeney")</f>
        <v>Feeney</v>
      </c>
      <c r="E3000" t="str">
        <f>IFERROR(__xludf.DUMMYFUNCTION("""COMPUTED_VALUE"""),"Dan")</f>
        <v>Dan</v>
      </c>
      <c r="F3000" t="str">
        <f>IFERROR(__xludf.DUMMYFUNCTION("""COMPUTED_VALUE"""),"RG")</f>
        <v>RG</v>
      </c>
      <c r="G3000">
        <f>IFERROR(__xludf.DUMMYFUNCTION("""COMPUTED_VALUE"""),15.200000000000001)</f>
        <v>15.2</v>
      </c>
    </row>
    <row r="3001">
      <c r="D3001" t="str">
        <f>IFERROR(__xludf.DUMMYFUNCTION("""COMPUTED_VALUE"""),"Feiler")</f>
        <v>Feiler</v>
      </c>
      <c r="E3001" t="str">
        <f>IFERROR(__xludf.DUMMYFUNCTION("""COMPUTED_VALUE"""),"Matt")</f>
        <v>Matt</v>
      </c>
      <c r="F3001" t="str">
        <f>IFERROR(__xludf.DUMMYFUNCTION("""COMPUTED_VALUE"""),"LT")</f>
        <v>LT</v>
      </c>
      <c r="G3001">
        <f>IFERROR(__xludf.DUMMYFUNCTION("""COMPUTED_VALUE"""),13.200000000000001)</f>
        <v>13.2</v>
      </c>
    </row>
    <row r="3002">
      <c r="D3002" t="str">
        <f>IFERROR(__xludf.DUMMYFUNCTION("""COMPUTED_VALUE"""),"Fejedelem")</f>
        <v>Fejedelem</v>
      </c>
      <c r="E3002" t="str">
        <f>IFERROR(__xludf.DUMMYFUNCTION("""COMPUTED_VALUE"""),"Clayton")</f>
        <v>Clayton</v>
      </c>
      <c r="F3002" t="str">
        <f>IFERROR(__xludf.DUMMYFUNCTION("""COMPUTED_VALUE"""),"SS")</f>
        <v>SS</v>
      </c>
      <c r="G3002">
        <f>IFERROR(__xludf.DUMMYFUNCTION("""COMPUTED_VALUE"""),12.600000000000001)</f>
        <v>12.6</v>
      </c>
    </row>
    <row r="3003">
      <c r="D3003" t="str">
        <f>IFERROR(__xludf.DUMMYFUNCTION("""COMPUTED_VALUE"""),"Feliciano")</f>
        <v>Feliciano</v>
      </c>
      <c r="E3003" t="str">
        <f>IFERROR(__xludf.DUMMYFUNCTION("""COMPUTED_VALUE"""),"Jon")</f>
        <v>Jon</v>
      </c>
      <c r="F3003" t="str">
        <f>IFERROR(__xludf.DUMMYFUNCTION("""COMPUTED_VALUE"""),"C")</f>
        <v>C</v>
      </c>
      <c r="G3003">
        <f>IFERROR(__xludf.DUMMYFUNCTION("""COMPUTED_VALUE"""),12.600000000000001)</f>
        <v>12.6</v>
      </c>
    </row>
    <row r="3004">
      <c r="D3004" t="str">
        <f>IFERROR(__xludf.DUMMYFUNCTION("""COMPUTED_VALUE"""),"Fells")</f>
        <v>Fells</v>
      </c>
      <c r="E3004" t="str">
        <f>IFERROR(__xludf.DUMMYFUNCTION("""COMPUTED_VALUE"""),"Darren")</f>
        <v>Darren</v>
      </c>
      <c r="F3004" t="str">
        <f>IFERROR(__xludf.DUMMYFUNCTION("""COMPUTED_VALUE"""),"TE")</f>
        <v>TE</v>
      </c>
      <c r="G3004">
        <f>IFERROR(__xludf.DUMMYFUNCTION("""COMPUTED_VALUE"""),14.8)</f>
        <v>14.8</v>
      </c>
    </row>
    <row r="3005">
      <c r="D3005" t="str">
        <f>IFERROR(__xludf.DUMMYFUNCTION("""COMPUTED_VALUE"""),"Ferentz")</f>
        <v>Ferentz</v>
      </c>
      <c r="E3005" t="str">
        <f>IFERROR(__xludf.DUMMYFUNCTION("""COMPUTED_VALUE"""),"James")</f>
        <v>James</v>
      </c>
      <c r="F3005" t="str">
        <f>IFERROR(__xludf.DUMMYFUNCTION("""COMPUTED_VALUE"""),"C")</f>
        <v>C</v>
      </c>
      <c r="G3005">
        <f>IFERROR(__xludf.DUMMYFUNCTION("""COMPUTED_VALUE"""),12.600000000000001)</f>
        <v>12.6</v>
      </c>
    </row>
    <row r="3006">
      <c r="D3006" t="str">
        <f>IFERROR(__xludf.DUMMYFUNCTION("""COMPUTED_VALUE"""),"Ferguson")</f>
        <v>Ferguson</v>
      </c>
      <c r="E3006" t="str">
        <f>IFERROR(__xludf.DUMMYFUNCTION("""COMPUTED_VALUE"""),"Ego")</f>
        <v>Ego</v>
      </c>
      <c r="F3006" t="str">
        <f>IFERROR(__xludf.DUMMYFUNCTION("""COMPUTED_VALUE"""),"RE")</f>
        <v>RE</v>
      </c>
      <c r="G3006">
        <f>IFERROR(__xludf.DUMMYFUNCTION("""COMPUTED_VALUE"""),13.4)</f>
        <v>13.4</v>
      </c>
    </row>
    <row r="3007">
      <c r="D3007" t="str">
        <f>IFERROR(__xludf.DUMMYFUNCTION("""COMPUTED_VALUE"""),"Ferguson")</f>
        <v>Ferguson</v>
      </c>
      <c r="E3007" t="str">
        <f>IFERROR(__xludf.DUMMYFUNCTION("""COMPUTED_VALUE"""),"Josh")</f>
        <v>Josh</v>
      </c>
      <c r="F3007" t="str">
        <f>IFERROR(__xludf.DUMMYFUNCTION("""COMPUTED_VALUE"""),"HB")</f>
        <v>HB</v>
      </c>
      <c r="G3007">
        <f>IFERROR(__xludf.DUMMYFUNCTION("""COMPUTED_VALUE"""),12.200000000000001)</f>
        <v>12.2</v>
      </c>
    </row>
    <row r="3008">
      <c r="D3008" t="str">
        <f>IFERROR(__xludf.DUMMYFUNCTION("""COMPUTED_VALUE"""),"Fiedorowicz")</f>
        <v>Fiedorowicz</v>
      </c>
      <c r="E3008" t="str">
        <f>IFERROR(__xludf.DUMMYFUNCTION("""COMPUTED_VALUE"""),"CJ")</f>
        <v>CJ</v>
      </c>
      <c r="F3008" t="str">
        <f>IFERROR(__xludf.DUMMYFUNCTION("""COMPUTED_VALUE"""),"TE")</f>
        <v>TE</v>
      </c>
      <c r="G3008">
        <f>IFERROR(__xludf.DUMMYFUNCTION("""COMPUTED_VALUE"""),16.2)</f>
        <v>16.2</v>
      </c>
    </row>
    <row r="3009">
      <c r="D3009" t="str">
        <f>IFERROR(__xludf.DUMMYFUNCTION("""COMPUTED_VALUE"""),"Finney")</f>
        <v>Finney</v>
      </c>
      <c r="E3009" t="str">
        <f>IFERROR(__xludf.DUMMYFUNCTION("""COMPUTED_VALUE"""),"BJ")</f>
        <v>BJ</v>
      </c>
      <c r="F3009" t="str">
        <f>IFERROR(__xludf.DUMMYFUNCTION("""COMPUTED_VALUE"""),"LG")</f>
        <v>LG</v>
      </c>
      <c r="G3009">
        <f>IFERROR(__xludf.DUMMYFUNCTION("""COMPUTED_VALUE"""),14.600000000000001)</f>
        <v>14.6</v>
      </c>
    </row>
    <row r="3010">
      <c r="D3010" t="str">
        <f>IFERROR(__xludf.DUMMYFUNCTION("""COMPUTED_VALUE"""),"Fisher")</f>
        <v>Fisher</v>
      </c>
      <c r="E3010" t="str">
        <f>IFERROR(__xludf.DUMMYFUNCTION("""COMPUTED_VALUE"""),"Eric")</f>
        <v>Eric</v>
      </c>
      <c r="F3010" t="str">
        <f>IFERROR(__xludf.DUMMYFUNCTION("""COMPUTED_VALUE"""),"LT")</f>
        <v>LT</v>
      </c>
      <c r="G3010">
        <f>IFERROR(__xludf.DUMMYFUNCTION("""COMPUTED_VALUE"""),15.200000000000001)</f>
        <v>15.2</v>
      </c>
    </row>
    <row r="3011">
      <c r="D3011" t="str">
        <f>IFERROR(__xludf.DUMMYFUNCTION("""COMPUTED_VALUE"""),"Fisher")</f>
        <v>Fisher</v>
      </c>
      <c r="E3011" t="str">
        <f>IFERROR(__xludf.DUMMYFUNCTION("""COMPUTED_VALUE"""),"Jake")</f>
        <v>Jake</v>
      </c>
      <c r="F3011" t="str">
        <f>IFERROR(__xludf.DUMMYFUNCTION("""COMPUTED_VALUE"""),"LT")</f>
        <v>LT</v>
      </c>
      <c r="G3011">
        <f>IFERROR(__xludf.DUMMYFUNCTION("""COMPUTED_VALUE"""),14.0)</f>
        <v>14</v>
      </c>
    </row>
    <row r="3012">
      <c r="D3012" t="str">
        <f>IFERROR(__xludf.DUMMYFUNCTION("""COMPUTED_VALUE"""),"Fitzgerald")</f>
        <v>Fitzgerald</v>
      </c>
      <c r="E3012" t="str">
        <f>IFERROR(__xludf.DUMMYFUNCTION("""COMPUTED_VALUE"""),"Larry")</f>
        <v>Larry</v>
      </c>
      <c r="F3012" t="str">
        <f>IFERROR(__xludf.DUMMYFUNCTION("""COMPUTED_VALUE"""),"WR")</f>
        <v>WR</v>
      </c>
      <c r="G3012">
        <f>IFERROR(__xludf.DUMMYFUNCTION("""COMPUTED_VALUE"""),18.0)</f>
        <v>18</v>
      </c>
    </row>
    <row r="3013">
      <c r="D3013" t="str">
        <f>IFERROR(__xludf.DUMMYFUNCTION("""COMPUTED_VALUE"""),"Fitzpatrick")</f>
        <v>Fitzpatrick</v>
      </c>
      <c r="E3013" t="str">
        <f>IFERROR(__xludf.DUMMYFUNCTION("""COMPUTED_VALUE"""),"Ryan")</f>
        <v>Ryan</v>
      </c>
      <c r="F3013" t="str">
        <f>IFERROR(__xludf.DUMMYFUNCTION("""COMPUTED_VALUE"""),"QB")</f>
        <v>QB</v>
      </c>
      <c r="G3013">
        <f>IFERROR(__xludf.DUMMYFUNCTION("""COMPUTED_VALUE"""),13.8)</f>
        <v>13.8</v>
      </c>
    </row>
    <row r="3014">
      <c r="D3014" t="str">
        <f>IFERROR(__xludf.DUMMYFUNCTION("""COMPUTED_VALUE"""),"Flacco")</f>
        <v>Flacco</v>
      </c>
      <c r="E3014" t="str">
        <f>IFERROR(__xludf.DUMMYFUNCTION("""COMPUTED_VALUE"""),"Joe")</f>
        <v>Joe</v>
      </c>
      <c r="F3014" t="str">
        <f>IFERROR(__xludf.DUMMYFUNCTION("""COMPUTED_VALUE"""),"QB")</f>
        <v>QB</v>
      </c>
      <c r="G3014">
        <f>IFERROR(__xludf.DUMMYFUNCTION("""COMPUTED_VALUE"""),16.2)</f>
        <v>16.2</v>
      </c>
    </row>
    <row r="3015">
      <c r="D3015" t="str">
        <f>IFERROR(__xludf.DUMMYFUNCTION("""COMPUTED_VALUE"""),"Fleener")</f>
        <v>Fleener</v>
      </c>
      <c r="E3015" t="str">
        <f>IFERROR(__xludf.DUMMYFUNCTION("""COMPUTED_VALUE"""),"Coby")</f>
        <v>Coby</v>
      </c>
      <c r="F3015" t="str">
        <f>IFERROR(__xludf.DUMMYFUNCTION("""COMPUTED_VALUE"""),"TE")</f>
        <v>TE</v>
      </c>
      <c r="G3015">
        <f>IFERROR(__xludf.DUMMYFUNCTION("""COMPUTED_VALUE"""),16.0)</f>
        <v>16</v>
      </c>
    </row>
    <row r="3016">
      <c r="D3016" t="str">
        <f>IFERROR(__xludf.DUMMYFUNCTION("""COMPUTED_VALUE"""),"Fleming")</f>
        <v>Fleming</v>
      </c>
      <c r="E3016" t="str">
        <f>IFERROR(__xludf.DUMMYFUNCTION("""COMPUTED_VALUE"""),"Cameron")</f>
        <v>Cameron</v>
      </c>
      <c r="F3016" t="str">
        <f>IFERROR(__xludf.DUMMYFUNCTION("""COMPUTED_VALUE"""),"RT")</f>
        <v>RT</v>
      </c>
      <c r="G3016">
        <f>IFERROR(__xludf.DUMMYFUNCTION("""COMPUTED_VALUE"""),14.200000000000001)</f>
        <v>14.2</v>
      </c>
    </row>
    <row r="3017">
      <c r="D3017" t="str">
        <f>IFERROR(__xludf.DUMMYFUNCTION("""COMPUTED_VALUE"""),"Flowers")</f>
        <v>Flowers</v>
      </c>
      <c r="E3017" t="str">
        <f>IFERROR(__xludf.DUMMYFUNCTION("""COMPUTED_VALUE"""),"Ereck")</f>
        <v>Ereck</v>
      </c>
      <c r="F3017" t="str">
        <f>IFERROR(__xludf.DUMMYFUNCTION("""COMPUTED_VALUE"""),"LT")</f>
        <v>LT</v>
      </c>
      <c r="G3017">
        <f>IFERROR(__xludf.DUMMYFUNCTION("""COMPUTED_VALUE"""),14.200000000000001)</f>
        <v>14.2</v>
      </c>
    </row>
    <row r="3018">
      <c r="D3018" t="str">
        <f>IFERROR(__xludf.DUMMYFUNCTION("""COMPUTED_VALUE"""),"Flowers")</f>
        <v>Flowers</v>
      </c>
      <c r="E3018" t="str">
        <f>IFERROR(__xludf.DUMMYFUNCTION("""COMPUTED_VALUE"""),"Marquis")</f>
        <v>Marquis</v>
      </c>
      <c r="F3018" t="str">
        <f>IFERROR(__xludf.DUMMYFUNCTION("""COMPUTED_VALUE"""),"LOLB")</f>
        <v>LOLB</v>
      </c>
      <c r="G3018">
        <f>IFERROR(__xludf.DUMMYFUNCTION("""COMPUTED_VALUE"""),12.600000000000001)</f>
        <v>12.6</v>
      </c>
    </row>
    <row r="3019">
      <c r="D3019" t="str">
        <f>IFERROR(__xludf.DUMMYFUNCTION("""COMPUTED_VALUE"""),"Flowers")</f>
        <v>Flowers</v>
      </c>
      <c r="E3019" t="str">
        <f>IFERROR(__xludf.DUMMYFUNCTION("""COMPUTED_VALUE"""),"Trey")</f>
        <v>Trey</v>
      </c>
      <c r="F3019" t="str">
        <f>IFERROR(__xludf.DUMMYFUNCTION("""COMPUTED_VALUE"""),"RE")</f>
        <v>RE</v>
      </c>
      <c r="G3019">
        <f>IFERROR(__xludf.DUMMYFUNCTION("""COMPUTED_VALUE"""),16.400000000000002)</f>
        <v>16.4</v>
      </c>
    </row>
    <row r="3020">
      <c r="D3020" t="str">
        <f>IFERROR(__xludf.DUMMYFUNCTION("""COMPUTED_VALUE"""),"Floyd")</f>
        <v>Floyd</v>
      </c>
      <c r="E3020" t="str">
        <f>IFERROR(__xludf.DUMMYFUNCTION("""COMPUTED_VALUE"""),"Leonard")</f>
        <v>Leonard</v>
      </c>
      <c r="F3020" t="str">
        <f>IFERROR(__xludf.DUMMYFUNCTION("""COMPUTED_VALUE"""),"LOLB")</f>
        <v>LOLB</v>
      </c>
      <c r="G3020">
        <f>IFERROR(__xludf.DUMMYFUNCTION("""COMPUTED_VALUE"""),15.4)</f>
        <v>15.4</v>
      </c>
    </row>
    <row r="3021">
      <c r="D3021" t="str">
        <f>IFERROR(__xludf.DUMMYFUNCTION("""COMPUTED_VALUE"""),"Floyd")</f>
        <v>Floyd</v>
      </c>
      <c r="E3021" t="str">
        <f>IFERROR(__xludf.DUMMYFUNCTION("""COMPUTED_VALUE"""),"Michael")</f>
        <v>Michael</v>
      </c>
      <c r="F3021" t="str">
        <f>IFERROR(__xludf.DUMMYFUNCTION("""COMPUTED_VALUE"""),"WR")</f>
        <v>WR</v>
      </c>
      <c r="G3021">
        <f>IFERROR(__xludf.DUMMYFUNCTION("""COMPUTED_VALUE"""),15.0)</f>
        <v>15</v>
      </c>
    </row>
    <row r="3022">
      <c r="D3022" t="str">
        <f>IFERROR(__xludf.DUMMYFUNCTION("""COMPUTED_VALUE"""),"Floyd")</f>
        <v>Floyd</v>
      </c>
      <c r="E3022" t="str">
        <f>IFERROR(__xludf.DUMMYFUNCTION("""COMPUTED_VALUE"""),"Sharrif")</f>
        <v>Sharrif</v>
      </c>
      <c r="F3022" t="str">
        <f>IFERROR(__xludf.DUMMYFUNCTION("""COMPUTED_VALUE"""),"DT")</f>
        <v>DT</v>
      </c>
      <c r="G3022">
        <f>IFERROR(__xludf.DUMMYFUNCTION("""COMPUTED_VALUE"""),16.6)</f>
        <v>16.6</v>
      </c>
    </row>
    <row r="3023">
      <c r="D3023" t="str">
        <f>IFERROR(__xludf.DUMMYFUNCTION("""COMPUTED_VALUE"""),"Fluellen")</f>
        <v>Fluellen</v>
      </c>
      <c r="E3023" t="str">
        <f>IFERROR(__xludf.DUMMYFUNCTION("""COMPUTED_VALUE"""),"David")</f>
        <v>David</v>
      </c>
      <c r="F3023" t="str">
        <f>IFERROR(__xludf.DUMMYFUNCTION("""COMPUTED_VALUE"""),"HB")</f>
        <v>HB</v>
      </c>
      <c r="G3023">
        <f>IFERROR(__xludf.DUMMYFUNCTION("""COMPUTED_VALUE"""),12.200000000000001)</f>
        <v>12.2</v>
      </c>
    </row>
    <row r="3024">
      <c r="D3024" t="str">
        <f>IFERROR(__xludf.DUMMYFUNCTION("""COMPUTED_VALUE"""),"Fluker")</f>
        <v>Fluker</v>
      </c>
      <c r="E3024" t="str">
        <f>IFERROR(__xludf.DUMMYFUNCTION("""COMPUTED_VALUE"""),"DJ")</f>
        <v>DJ</v>
      </c>
      <c r="F3024" t="str">
        <f>IFERROR(__xludf.DUMMYFUNCTION("""COMPUTED_VALUE"""),"RT")</f>
        <v>RT</v>
      </c>
      <c r="G3024">
        <f>IFERROR(__xludf.DUMMYFUNCTION("""COMPUTED_VALUE"""),15.0)</f>
        <v>15</v>
      </c>
    </row>
    <row r="3025">
      <c r="D3025" t="str">
        <f>IFERROR(__xludf.DUMMYFUNCTION("""COMPUTED_VALUE"""),"Foles")</f>
        <v>Foles</v>
      </c>
      <c r="E3025" t="str">
        <f>IFERROR(__xludf.DUMMYFUNCTION("""COMPUTED_VALUE"""),"Nick")</f>
        <v>Nick</v>
      </c>
      <c r="F3025" t="str">
        <f>IFERROR(__xludf.DUMMYFUNCTION("""COMPUTED_VALUE"""),"QB")</f>
        <v>QB</v>
      </c>
      <c r="G3025">
        <f>IFERROR(__xludf.DUMMYFUNCTION("""COMPUTED_VALUE"""),14.200000000000001)</f>
        <v>14.2</v>
      </c>
    </row>
    <row r="3026">
      <c r="D3026" t="str">
        <f>IFERROR(__xludf.DUMMYFUNCTION("""COMPUTED_VALUE"""),"Folk")</f>
        <v>Folk</v>
      </c>
      <c r="E3026" t="str">
        <f>IFERROR(__xludf.DUMMYFUNCTION("""COMPUTED_VALUE"""),"Nick")</f>
        <v>Nick</v>
      </c>
      <c r="F3026" t="str">
        <f>IFERROR(__xludf.DUMMYFUNCTION("""COMPUTED_VALUE"""),"K")</f>
        <v>K</v>
      </c>
      <c r="G3026">
        <f>IFERROR(__xludf.DUMMYFUNCTION("""COMPUTED_VALUE"""),15.600000000000001)</f>
        <v>15.6</v>
      </c>
    </row>
    <row r="3027">
      <c r="D3027" t="str">
        <f>IFERROR(__xludf.DUMMYFUNCTION("""COMPUTED_VALUE"""),"Forbath")</f>
        <v>Forbath</v>
      </c>
      <c r="E3027" t="str">
        <f>IFERROR(__xludf.DUMMYFUNCTION("""COMPUTED_VALUE"""),"Kai")</f>
        <v>Kai</v>
      </c>
      <c r="F3027" t="str">
        <f>IFERROR(__xludf.DUMMYFUNCTION("""COMPUTED_VALUE"""),"K")</f>
        <v>K</v>
      </c>
      <c r="G3027">
        <f>IFERROR(__xludf.DUMMYFUNCTION("""COMPUTED_VALUE"""),15.4)</f>
        <v>15.4</v>
      </c>
    </row>
    <row r="3028">
      <c r="D3028" t="str">
        <f>IFERROR(__xludf.DUMMYFUNCTION("""COMPUTED_VALUE"""),"Ford")</f>
        <v>Ford</v>
      </c>
      <c r="E3028" t="str">
        <f>IFERROR(__xludf.DUMMYFUNCTION("""COMPUTED_VALUE"""),"Dee")</f>
        <v>Dee</v>
      </c>
      <c r="F3028" t="str">
        <f>IFERROR(__xludf.DUMMYFUNCTION("""COMPUTED_VALUE"""),"ROLB")</f>
        <v>ROLB</v>
      </c>
      <c r="G3028">
        <f>IFERROR(__xludf.DUMMYFUNCTION("""COMPUTED_VALUE"""),15.600000000000001)</f>
        <v>15.6</v>
      </c>
    </row>
    <row r="3029">
      <c r="D3029" t="str">
        <f>IFERROR(__xludf.DUMMYFUNCTION("""COMPUTED_VALUE"""),"Ford")</f>
        <v>Ford</v>
      </c>
      <c r="E3029" t="str">
        <f>IFERROR(__xludf.DUMMYFUNCTION("""COMPUTED_VALUE"""),"Isaiah")</f>
        <v>Isaiah</v>
      </c>
      <c r="F3029" t="str">
        <f>IFERROR(__xludf.DUMMYFUNCTION("""COMPUTED_VALUE"""),"WR")</f>
        <v>WR</v>
      </c>
      <c r="G3029">
        <f>IFERROR(__xludf.DUMMYFUNCTION("""COMPUTED_VALUE"""),13.4)</f>
        <v>13.4</v>
      </c>
    </row>
    <row r="3030">
      <c r="D3030" t="str">
        <f>IFERROR(__xludf.DUMMYFUNCTION("""COMPUTED_VALUE"""),"Ford")</f>
        <v>Ford</v>
      </c>
      <c r="E3030" t="str">
        <f>IFERROR(__xludf.DUMMYFUNCTION("""COMPUTED_VALUE"""),"Rudy")</f>
        <v>Rudy</v>
      </c>
      <c r="F3030" t="str">
        <f>IFERROR(__xludf.DUMMYFUNCTION("""COMPUTED_VALUE"""),"SS")</f>
        <v>SS</v>
      </c>
      <c r="G3030">
        <f>IFERROR(__xludf.DUMMYFUNCTION("""COMPUTED_VALUE"""),13.4)</f>
        <v>13.4</v>
      </c>
    </row>
    <row r="3031">
      <c r="D3031" t="str">
        <f>IFERROR(__xludf.DUMMYFUNCTION("""COMPUTED_VALUE"""),"Foreman")</f>
        <v>Foreman</v>
      </c>
      <c r="E3031" t="str">
        <f>IFERROR(__xludf.DUMMYFUNCTION("""COMPUTED_VALUE"""),"DOnta")</f>
        <v>DOnta</v>
      </c>
      <c r="F3031" t="str">
        <f>IFERROR(__xludf.DUMMYFUNCTION("""COMPUTED_VALUE"""),"HB")</f>
        <v>HB</v>
      </c>
      <c r="G3031">
        <f>IFERROR(__xludf.DUMMYFUNCTION("""COMPUTED_VALUE"""),14.200000000000001)</f>
        <v>14.2</v>
      </c>
    </row>
    <row r="3032">
      <c r="D3032" t="str">
        <f>IFERROR(__xludf.DUMMYFUNCTION("""COMPUTED_VALUE"""),"Forrest")</f>
        <v>Forrest</v>
      </c>
      <c r="E3032" t="str">
        <f>IFERROR(__xludf.DUMMYFUNCTION("""COMPUTED_VALUE"""),"Josh")</f>
        <v>Josh</v>
      </c>
      <c r="F3032" t="str">
        <f>IFERROR(__xludf.DUMMYFUNCTION("""COMPUTED_VALUE"""),"LOLB")</f>
        <v>LOLB</v>
      </c>
      <c r="G3032">
        <f>IFERROR(__xludf.DUMMYFUNCTION("""COMPUTED_VALUE"""),12.600000000000001)</f>
        <v>12.6</v>
      </c>
    </row>
    <row r="3033">
      <c r="D3033" t="str">
        <f>IFERROR(__xludf.DUMMYFUNCTION("""COMPUTED_VALUE"""),"Fort")</f>
        <v>Fort</v>
      </c>
      <c r="E3033" t="str">
        <f>IFERROR(__xludf.DUMMYFUNCTION("""COMPUTED_VALUE"""),"LJ")</f>
        <v>LJ</v>
      </c>
      <c r="F3033" t="str">
        <f>IFERROR(__xludf.DUMMYFUNCTION("""COMPUTED_VALUE"""),"MLB")</f>
        <v>MLB</v>
      </c>
      <c r="G3033">
        <f>IFERROR(__xludf.DUMMYFUNCTION("""COMPUTED_VALUE"""),13.200000000000001)</f>
        <v>13.2</v>
      </c>
    </row>
    <row r="3034">
      <c r="D3034" t="str">
        <f>IFERROR(__xludf.DUMMYFUNCTION("""COMPUTED_VALUE"""),"Forte")</f>
        <v>Forte</v>
      </c>
      <c r="E3034" t="str">
        <f>IFERROR(__xludf.DUMMYFUNCTION("""COMPUTED_VALUE"""),"Matt")</f>
        <v>Matt</v>
      </c>
      <c r="F3034" t="str">
        <f>IFERROR(__xludf.DUMMYFUNCTION("""COMPUTED_VALUE"""),"HB")</f>
        <v>HB</v>
      </c>
      <c r="G3034">
        <f>IFERROR(__xludf.DUMMYFUNCTION("""COMPUTED_VALUE"""),16.8)</f>
        <v>16.8</v>
      </c>
    </row>
    <row r="3035">
      <c r="D3035" t="str">
        <f>IFERROR(__xludf.DUMMYFUNCTION("""COMPUTED_VALUE"""),"Foster")</f>
        <v>Foster</v>
      </c>
      <c r="E3035" t="str">
        <f>IFERROR(__xludf.DUMMYFUNCTION("""COMPUTED_VALUE"""),"DJ")</f>
        <v>DJ</v>
      </c>
      <c r="F3035" t="str">
        <f>IFERROR(__xludf.DUMMYFUNCTION("""COMPUTED_VALUE"""),"HB")</f>
        <v>HB</v>
      </c>
      <c r="G3035">
        <f>IFERROR(__xludf.DUMMYFUNCTION("""COMPUTED_VALUE"""),12.600000000000001)</f>
        <v>12.6</v>
      </c>
    </row>
    <row r="3036">
      <c r="D3036" t="str">
        <f>IFERROR(__xludf.DUMMYFUNCTION("""COMPUTED_VALUE"""),"Foster")</f>
        <v>Foster</v>
      </c>
      <c r="E3036" t="str">
        <f>IFERROR(__xludf.DUMMYFUNCTION("""COMPUTED_VALUE"""),"Mason")</f>
        <v>Mason</v>
      </c>
      <c r="F3036" t="str">
        <f>IFERROR(__xludf.DUMMYFUNCTION("""COMPUTED_VALUE"""),"MLB")</f>
        <v>MLB</v>
      </c>
      <c r="G3036">
        <f>IFERROR(__xludf.DUMMYFUNCTION("""COMPUTED_VALUE"""),16.6)</f>
        <v>16.6</v>
      </c>
    </row>
    <row r="3037">
      <c r="D3037" t="str">
        <f>IFERROR(__xludf.DUMMYFUNCTION("""COMPUTED_VALUE"""),"Foster")</f>
        <v>Foster</v>
      </c>
      <c r="E3037" t="str">
        <f>IFERROR(__xludf.DUMMYFUNCTION("""COMPUTED_VALUE"""),"Ramon")</f>
        <v>Ramon</v>
      </c>
      <c r="F3037" t="str">
        <f>IFERROR(__xludf.DUMMYFUNCTION("""COMPUTED_VALUE"""),"LG")</f>
        <v>LG</v>
      </c>
      <c r="G3037">
        <f>IFERROR(__xludf.DUMMYFUNCTION("""COMPUTED_VALUE"""),17.6)</f>
        <v>17.6</v>
      </c>
    </row>
    <row r="3038">
      <c r="D3038" t="str">
        <f>IFERROR(__xludf.DUMMYFUNCTION("""COMPUTED_VALUE"""),"Foster")</f>
        <v>Foster</v>
      </c>
      <c r="E3038" t="str">
        <f>IFERROR(__xludf.DUMMYFUNCTION("""COMPUTED_VALUE"""),"Reuben")</f>
        <v>Reuben</v>
      </c>
      <c r="F3038" t="str">
        <f>IFERROR(__xludf.DUMMYFUNCTION("""COMPUTED_VALUE"""),"MLB")</f>
        <v>MLB</v>
      </c>
      <c r="G3038">
        <f>IFERROR(__xludf.DUMMYFUNCTION("""COMPUTED_VALUE"""),15.200000000000001)</f>
        <v>15.2</v>
      </c>
    </row>
    <row r="3039">
      <c r="D3039" t="str">
        <f>IFERROR(__xludf.DUMMYFUNCTION("""COMPUTED_VALUE"""),"Fournette")</f>
        <v>Fournette</v>
      </c>
      <c r="E3039" t="str">
        <f>IFERROR(__xludf.DUMMYFUNCTION("""COMPUTED_VALUE"""),"Leonard")</f>
        <v>Leonard</v>
      </c>
      <c r="F3039" t="str">
        <f>IFERROR(__xludf.DUMMYFUNCTION("""COMPUTED_VALUE"""),"HB")</f>
        <v>HB</v>
      </c>
      <c r="G3039">
        <f>IFERROR(__xludf.DUMMYFUNCTION("""COMPUTED_VALUE"""),16.2)</f>
        <v>16.2</v>
      </c>
    </row>
    <row r="3040">
      <c r="D3040" t="str">
        <f>IFERROR(__xludf.DUMMYFUNCTION("""COMPUTED_VALUE"""),"Fowler")</f>
        <v>Fowler</v>
      </c>
      <c r="E3040" t="str">
        <f>IFERROR(__xludf.DUMMYFUNCTION("""COMPUTED_VALUE"""),"Jalston")</f>
        <v>Jalston</v>
      </c>
      <c r="F3040" t="str">
        <f>IFERROR(__xludf.DUMMYFUNCTION("""COMPUTED_VALUE"""),"FB")</f>
        <v>FB</v>
      </c>
      <c r="G3040">
        <f>IFERROR(__xludf.DUMMYFUNCTION("""COMPUTED_VALUE"""),15.600000000000001)</f>
        <v>15.6</v>
      </c>
    </row>
    <row r="3041">
      <c r="D3041" t="str">
        <f>IFERROR(__xludf.DUMMYFUNCTION("""COMPUTED_VALUE"""),"Fowler III")</f>
        <v>Fowler III</v>
      </c>
      <c r="E3041" t="str">
        <f>IFERROR(__xludf.DUMMYFUNCTION("""COMPUTED_VALUE"""),"Bennie")</f>
        <v>Bennie</v>
      </c>
      <c r="F3041" t="str">
        <f>IFERROR(__xludf.DUMMYFUNCTION("""COMPUTED_VALUE"""),"WR")</f>
        <v>WR</v>
      </c>
      <c r="G3041">
        <f>IFERROR(__xludf.DUMMYFUNCTION("""COMPUTED_VALUE"""),14.200000000000001)</f>
        <v>14.2</v>
      </c>
    </row>
    <row r="3042">
      <c r="D3042" t="str">
        <f>IFERROR(__xludf.DUMMYFUNCTION("""COMPUTED_VALUE"""),"Fowler Jr")</f>
        <v>Fowler Jr</v>
      </c>
      <c r="E3042" t="str">
        <f>IFERROR(__xludf.DUMMYFUNCTION("""COMPUTED_VALUE"""),"Dante")</f>
        <v>Dante</v>
      </c>
      <c r="F3042" t="str">
        <f>IFERROR(__xludf.DUMMYFUNCTION("""COMPUTED_VALUE"""),"LE")</f>
        <v>LE</v>
      </c>
      <c r="G3042">
        <f>IFERROR(__xludf.DUMMYFUNCTION("""COMPUTED_VALUE"""),15.200000000000001)</f>
        <v>15.2</v>
      </c>
    </row>
    <row r="3043">
      <c r="D3043" t="str">
        <f>IFERROR(__xludf.DUMMYFUNCTION("""COMPUTED_VALUE"""),"Fox")</f>
        <v>Fox</v>
      </c>
      <c r="E3043" t="str">
        <f>IFERROR(__xludf.DUMMYFUNCTION("""COMPUTED_VALUE"""),"Morgan")</f>
        <v>Morgan</v>
      </c>
      <c r="F3043" t="str">
        <f>IFERROR(__xludf.DUMMYFUNCTION("""COMPUTED_VALUE"""),"RE")</f>
        <v>RE</v>
      </c>
      <c r="G3043">
        <f>IFERROR(__xludf.DUMMYFUNCTION("""COMPUTED_VALUE"""),13.200000000000001)</f>
        <v>13.2</v>
      </c>
    </row>
    <row r="3044">
      <c r="D3044" t="str">
        <f>IFERROR(__xludf.DUMMYFUNCTION("""COMPUTED_VALUE"""),"France")</f>
        <v>France</v>
      </c>
      <c r="E3044" t="str">
        <f>IFERROR(__xludf.DUMMYFUNCTION("""COMPUTED_VALUE"""),"Dan")</f>
        <v>Dan</v>
      </c>
      <c r="F3044" t="str">
        <f>IFERROR(__xludf.DUMMYFUNCTION("""COMPUTED_VALUE"""),"LT")</f>
        <v>LT</v>
      </c>
      <c r="G3044">
        <f>IFERROR(__xludf.DUMMYFUNCTION("""COMPUTED_VALUE"""),13.200000000000001)</f>
        <v>13.2</v>
      </c>
    </row>
    <row r="3045">
      <c r="D3045" t="str">
        <f>IFERROR(__xludf.DUMMYFUNCTION("""COMPUTED_VALUE"""),"Francis")</f>
        <v>Francis</v>
      </c>
      <c r="E3045" t="str">
        <f>IFERROR(__xludf.DUMMYFUNCTION("""COMPUTED_VALUE"""),"AJ")</f>
        <v>AJ</v>
      </c>
      <c r="F3045" t="str">
        <f>IFERROR(__xludf.DUMMYFUNCTION("""COMPUTED_VALUE"""),"RE")</f>
        <v>RE</v>
      </c>
      <c r="G3045">
        <f>IFERROR(__xludf.DUMMYFUNCTION("""COMPUTED_VALUE"""),11.0)</f>
        <v>11</v>
      </c>
    </row>
    <row r="3046">
      <c r="D3046" t="str">
        <f>IFERROR(__xludf.DUMMYFUNCTION("""COMPUTED_VALUE"""),"Franks")</f>
        <v>Franks</v>
      </c>
      <c r="E3046" t="str">
        <f>IFERROR(__xludf.DUMMYFUNCTION("""COMPUTED_VALUE"""),"Andrew")</f>
        <v>Andrew</v>
      </c>
      <c r="F3046" t="str">
        <f>IFERROR(__xludf.DUMMYFUNCTION("""COMPUTED_VALUE"""),"K")</f>
        <v>K</v>
      </c>
      <c r="G3046">
        <f>IFERROR(__xludf.DUMMYFUNCTION("""COMPUTED_VALUE"""),15.0)</f>
        <v>15</v>
      </c>
    </row>
    <row r="3047">
      <c r="D3047" t="str">
        <f>IFERROR(__xludf.DUMMYFUNCTION("""COMPUTED_VALUE"""),"Frazier")</f>
        <v>Frazier</v>
      </c>
      <c r="E3047" t="str">
        <f>IFERROR(__xludf.DUMMYFUNCTION("""COMPUTED_VALUE"""),"Kavon")</f>
        <v>Kavon</v>
      </c>
      <c r="F3047" t="str">
        <f>IFERROR(__xludf.DUMMYFUNCTION("""COMPUTED_VALUE"""),"SS")</f>
        <v>SS</v>
      </c>
      <c r="G3047">
        <f>IFERROR(__xludf.DUMMYFUNCTION("""COMPUTED_VALUE"""),13.0)</f>
        <v>13</v>
      </c>
    </row>
    <row r="3048">
      <c r="D3048" t="str">
        <f>IFERROR(__xludf.DUMMYFUNCTION("""COMPUTED_VALUE"""),"Frazier")</f>
        <v>Frazier</v>
      </c>
      <c r="E3048" t="str">
        <f>IFERROR(__xludf.DUMMYFUNCTION("""COMPUTED_VALUE"""),"Mose")</f>
        <v>Mose</v>
      </c>
      <c r="F3048" t="str">
        <f>IFERROR(__xludf.DUMMYFUNCTION("""COMPUTED_VALUE"""),"WR")</f>
        <v>WR</v>
      </c>
      <c r="G3048">
        <f>IFERROR(__xludf.DUMMYFUNCTION("""COMPUTED_VALUE"""),12.600000000000001)</f>
        <v>12.6</v>
      </c>
    </row>
    <row r="3049">
      <c r="D3049" t="str">
        <f>IFERROR(__xludf.DUMMYFUNCTION("""COMPUTED_VALUE"""),"Frederick")</f>
        <v>Frederick</v>
      </c>
      <c r="E3049" t="str">
        <f>IFERROR(__xludf.DUMMYFUNCTION("""COMPUTED_VALUE"""),"Travis")</f>
        <v>Travis</v>
      </c>
      <c r="F3049" t="str">
        <f>IFERROR(__xludf.DUMMYFUNCTION("""COMPUTED_VALUE"""),"C")</f>
        <v>C</v>
      </c>
      <c r="G3049">
        <f>IFERROR(__xludf.DUMMYFUNCTION("""COMPUTED_VALUE"""),18.6)</f>
        <v>18.6</v>
      </c>
    </row>
    <row r="3050">
      <c r="D3050" t="str">
        <f>IFERROR(__xludf.DUMMYFUNCTION("""COMPUTED_VALUE"""),"Freeman")</f>
        <v>Freeman</v>
      </c>
      <c r="E3050" t="str">
        <f>IFERROR(__xludf.DUMMYFUNCTION("""COMPUTED_VALUE"""),"Devonta")</f>
        <v>Devonta</v>
      </c>
      <c r="F3050" t="str">
        <f>IFERROR(__xludf.DUMMYFUNCTION("""COMPUTED_VALUE"""),"HB")</f>
        <v>HB</v>
      </c>
      <c r="G3050">
        <f>IFERROR(__xludf.DUMMYFUNCTION("""COMPUTED_VALUE"""),17.8)</f>
        <v>17.8</v>
      </c>
    </row>
    <row r="3051">
      <c r="D3051" t="str">
        <f>IFERROR(__xludf.DUMMYFUNCTION("""COMPUTED_VALUE"""),"Freeman")</f>
        <v>Freeman</v>
      </c>
      <c r="E3051" t="str">
        <f>IFERROR(__xludf.DUMMYFUNCTION("""COMPUTED_VALUE"""),"Jerrell")</f>
        <v>Jerrell</v>
      </c>
      <c r="F3051" t="str">
        <f>IFERROR(__xludf.DUMMYFUNCTION("""COMPUTED_VALUE"""),"MLB")</f>
        <v>MLB</v>
      </c>
      <c r="G3051">
        <f>IFERROR(__xludf.DUMMYFUNCTION("""COMPUTED_VALUE"""),17.6)</f>
        <v>17.6</v>
      </c>
    </row>
    <row r="3052">
      <c r="D3052" t="str">
        <f>IFERROR(__xludf.DUMMYFUNCTION("""COMPUTED_VALUE"""),"Freeny")</f>
        <v>Freeny</v>
      </c>
      <c r="E3052" t="str">
        <f>IFERROR(__xludf.DUMMYFUNCTION("""COMPUTED_VALUE"""),"Jonathan")</f>
        <v>Jonathan</v>
      </c>
      <c r="F3052" t="str">
        <f>IFERROR(__xludf.DUMMYFUNCTION("""COMPUTED_VALUE"""),"ROLB")</f>
        <v>ROLB</v>
      </c>
      <c r="G3052">
        <f>IFERROR(__xludf.DUMMYFUNCTION("""COMPUTED_VALUE"""),14.600000000000001)</f>
        <v>14.6</v>
      </c>
    </row>
    <row r="3053">
      <c r="D3053" t="str">
        <f>IFERROR(__xludf.DUMMYFUNCTION("""COMPUTED_VALUE"""),"Frese")</f>
        <v>Frese</v>
      </c>
      <c r="E3053" t="str">
        <f>IFERROR(__xludf.DUMMYFUNCTION("""COMPUTED_VALUE"""),"Nolan")</f>
        <v>Nolan</v>
      </c>
      <c r="F3053" t="str">
        <f>IFERROR(__xludf.DUMMYFUNCTION("""COMPUTED_VALUE"""),"TE")</f>
        <v>TE</v>
      </c>
      <c r="G3053">
        <f>IFERROR(__xludf.DUMMYFUNCTION("""COMPUTED_VALUE"""),7.800000000000001)</f>
        <v>7.8</v>
      </c>
    </row>
    <row r="3054">
      <c r="D3054" t="str">
        <f>IFERROR(__xludf.DUMMYFUNCTION("""COMPUTED_VALUE"""),"Friend")</f>
        <v>Friend</v>
      </c>
      <c r="E3054" t="str">
        <f>IFERROR(__xludf.DUMMYFUNCTION("""COMPUTED_VALUE"""),"Kyle")</f>
        <v>Kyle</v>
      </c>
      <c r="F3054" t="str">
        <f>IFERROR(__xludf.DUMMYFUNCTION("""COMPUTED_VALUE"""),"C")</f>
        <v>C</v>
      </c>
      <c r="G3054">
        <f>IFERROR(__xludf.DUMMYFUNCTION("""COMPUTED_VALUE"""),12.4)</f>
        <v>12.4</v>
      </c>
    </row>
    <row r="3055">
      <c r="D3055" t="str">
        <f>IFERROR(__xludf.DUMMYFUNCTION("""COMPUTED_VALUE"""),"Fua")</f>
        <v>Fua</v>
      </c>
      <c r="E3055" t="str">
        <f>IFERROR(__xludf.DUMMYFUNCTION("""COMPUTED_VALUE"""),"Alani")</f>
        <v>Alani</v>
      </c>
      <c r="F3055" t="str">
        <f>IFERROR(__xludf.DUMMYFUNCTION("""COMPUTED_VALUE"""),"LOLB")</f>
        <v>LOLB</v>
      </c>
      <c r="G3055">
        <f>IFERROR(__xludf.DUMMYFUNCTION("""COMPUTED_VALUE"""),12.600000000000001)</f>
        <v>12.6</v>
      </c>
    </row>
    <row r="3056">
      <c r="D3056" t="str">
        <f>IFERROR(__xludf.DUMMYFUNCTION("""COMPUTED_VALUE"""),"Fuller")</f>
        <v>Fuller</v>
      </c>
      <c r="E3056" t="str">
        <f>IFERROR(__xludf.DUMMYFUNCTION("""COMPUTED_VALUE"""),"Corey")</f>
        <v>Corey</v>
      </c>
      <c r="F3056" t="str">
        <f>IFERROR(__xludf.DUMMYFUNCTION("""COMPUTED_VALUE"""),"WR")</f>
        <v>WR</v>
      </c>
      <c r="G3056">
        <f>IFERROR(__xludf.DUMMYFUNCTION("""COMPUTED_VALUE"""),14.0)</f>
        <v>14</v>
      </c>
    </row>
    <row r="3057">
      <c r="D3057" t="str">
        <f>IFERROR(__xludf.DUMMYFUNCTION("""COMPUTED_VALUE"""),"Fuller")</f>
        <v>Fuller</v>
      </c>
      <c r="E3057" t="str">
        <f>IFERROR(__xludf.DUMMYFUNCTION("""COMPUTED_VALUE"""),"Devin")</f>
        <v>Devin</v>
      </c>
      <c r="F3057" t="str">
        <f>IFERROR(__xludf.DUMMYFUNCTION("""COMPUTED_VALUE"""),"WR")</f>
        <v>WR</v>
      </c>
      <c r="G3057">
        <f>IFERROR(__xludf.DUMMYFUNCTION("""COMPUTED_VALUE"""),12.4)</f>
        <v>12.4</v>
      </c>
    </row>
    <row r="3058">
      <c r="D3058" t="str">
        <f>IFERROR(__xludf.DUMMYFUNCTION("""COMPUTED_VALUE"""),"Fuller")</f>
        <v>Fuller</v>
      </c>
      <c r="E3058" t="str">
        <f>IFERROR(__xludf.DUMMYFUNCTION("""COMPUTED_VALUE"""),"Kendall")</f>
        <v>Kendall</v>
      </c>
      <c r="F3058" t="str">
        <f>IFERROR(__xludf.DUMMYFUNCTION("""COMPUTED_VALUE"""),"CB")</f>
        <v>CB</v>
      </c>
      <c r="G3058">
        <f>IFERROR(__xludf.DUMMYFUNCTION("""COMPUTED_VALUE"""),14.600000000000001)</f>
        <v>14.6</v>
      </c>
    </row>
    <row r="3059">
      <c r="D3059" t="str">
        <f>IFERROR(__xludf.DUMMYFUNCTION("""COMPUTED_VALUE"""),"Fuller")</f>
        <v>Fuller</v>
      </c>
      <c r="E3059" t="str">
        <f>IFERROR(__xludf.DUMMYFUNCTION("""COMPUTED_VALUE"""),"Kyle")</f>
        <v>Kyle</v>
      </c>
      <c r="F3059" t="str">
        <f>IFERROR(__xludf.DUMMYFUNCTION("""COMPUTED_VALUE"""),"CB")</f>
        <v>CB</v>
      </c>
      <c r="G3059">
        <f>IFERROR(__xludf.DUMMYFUNCTION("""COMPUTED_VALUE"""),16.0)</f>
        <v>16</v>
      </c>
    </row>
    <row r="3060">
      <c r="D3060" t="str">
        <f>IFERROR(__xludf.DUMMYFUNCTION("""COMPUTED_VALUE"""),"Fuller")</f>
        <v>Fuller</v>
      </c>
      <c r="E3060" t="str">
        <f>IFERROR(__xludf.DUMMYFUNCTION("""COMPUTED_VALUE"""),"Kyle")</f>
        <v>Kyle</v>
      </c>
      <c r="F3060" t="str">
        <f>IFERROR(__xludf.DUMMYFUNCTION("""COMPUTED_VALUE"""),"C")</f>
        <v>C</v>
      </c>
      <c r="G3060">
        <f>IFERROR(__xludf.DUMMYFUNCTION("""COMPUTED_VALUE"""),12.4)</f>
        <v>12.4</v>
      </c>
    </row>
    <row r="3061">
      <c r="D3061" t="str">
        <f>IFERROR(__xludf.DUMMYFUNCTION("""COMPUTED_VALUE"""),"Fuller V")</f>
        <v>Fuller V</v>
      </c>
      <c r="E3061" t="str">
        <f>IFERROR(__xludf.DUMMYFUNCTION("""COMPUTED_VALUE"""),"Will")</f>
        <v>Will</v>
      </c>
      <c r="F3061" t="str">
        <f>IFERROR(__xludf.DUMMYFUNCTION("""COMPUTED_VALUE"""),"WR")</f>
        <v>WR</v>
      </c>
      <c r="G3061">
        <f>IFERROR(__xludf.DUMMYFUNCTION("""COMPUTED_VALUE"""),15.200000000000001)</f>
        <v>15.2</v>
      </c>
    </row>
    <row r="3062">
      <c r="D3062" t="str">
        <f>IFERROR(__xludf.DUMMYFUNCTION("""COMPUTED_VALUE"""),"Fulton")</f>
        <v>Fulton</v>
      </c>
      <c r="E3062" t="str">
        <f>IFERROR(__xludf.DUMMYFUNCTION("""COMPUTED_VALUE"""),"Zach")</f>
        <v>Zach</v>
      </c>
      <c r="F3062" t="str">
        <f>IFERROR(__xludf.DUMMYFUNCTION("""COMPUTED_VALUE"""),"C")</f>
        <v>C</v>
      </c>
      <c r="G3062">
        <f>IFERROR(__xludf.DUMMYFUNCTION("""COMPUTED_VALUE"""),14.8)</f>
        <v>14.8</v>
      </c>
    </row>
    <row r="3063">
      <c r="D3063" t="str">
        <f>IFERROR(__xludf.DUMMYFUNCTION("""COMPUTED_VALUE"""),"Funchess")</f>
        <v>Funchess</v>
      </c>
      <c r="E3063" t="str">
        <f>IFERROR(__xludf.DUMMYFUNCTION("""COMPUTED_VALUE"""),"Devin")</f>
        <v>Devin</v>
      </c>
      <c r="F3063" t="str">
        <f>IFERROR(__xludf.DUMMYFUNCTION("""COMPUTED_VALUE"""),"WR")</f>
        <v>WR</v>
      </c>
      <c r="G3063">
        <f>IFERROR(__xludf.DUMMYFUNCTION("""COMPUTED_VALUE"""),15.200000000000001)</f>
        <v>15.2</v>
      </c>
    </row>
    <row r="3064">
      <c r="D3064" t="str">
        <f>IFERROR(__xludf.DUMMYFUNCTION("""COMPUTED_VALUE"""),"Fusco")</f>
        <v>Fusco</v>
      </c>
      <c r="E3064" t="str">
        <f>IFERROR(__xludf.DUMMYFUNCTION("""COMPUTED_VALUE"""),"Brandon")</f>
        <v>Brandon</v>
      </c>
      <c r="F3064" t="str">
        <f>IFERROR(__xludf.DUMMYFUNCTION("""COMPUTED_VALUE"""),"LG")</f>
        <v>LG</v>
      </c>
      <c r="G3064">
        <f>IFERROR(__xludf.DUMMYFUNCTION("""COMPUTED_VALUE"""),14.0)</f>
        <v>14</v>
      </c>
    </row>
    <row r="3065">
      <c r="D3065" t="str">
        <f>IFERROR(__xludf.DUMMYFUNCTION("""COMPUTED_VALUE"""),"Gabbert")</f>
        <v>Gabbert</v>
      </c>
      <c r="E3065" t="str">
        <f>IFERROR(__xludf.DUMMYFUNCTION("""COMPUTED_VALUE"""),"Blaine")</f>
        <v>Blaine</v>
      </c>
      <c r="F3065" t="str">
        <f>IFERROR(__xludf.DUMMYFUNCTION("""COMPUTED_VALUE"""),"QB")</f>
        <v>QB</v>
      </c>
      <c r="G3065">
        <f>IFERROR(__xludf.DUMMYFUNCTION("""COMPUTED_VALUE"""),14.4)</f>
        <v>14.4</v>
      </c>
    </row>
    <row r="3066">
      <c r="D3066" t="str">
        <f>IFERROR(__xludf.DUMMYFUNCTION("""COMPUTED_VALUE"""),"Gabriel")</f>
        <v>Gabriel</v>
      </c>
      <c r="E3066" t="str">
        <f>IFERROR(__xludf.DUMMYFUNCTION("""COMPUTED_VALUE"""),"Taylor")</f>
        <v>Taylor</v>
      </c>
      <c r="F3066" t="str">
        <f>IFERROR(__xludf.DUMMYFUNCTION("""COMPUTED_VALUE"""),"WR")</f>
        <v>WR</v>
      </c>
      <c r="G3066">
        <f>IFERROR(__xludf.DUMMYFUNCTION("""COMPUTED_VALUE"""),15.8)</f>
        <v>15.8</v>
      </c>
    </row>
    <row r="3067">
      <c r="D3067" t="str">
        <f>IFERROR(__xludf.DUMMYFUNCTION("""COMPUTED_VALUE"""),"Gafford")</f>
        <v>Gafford</v>
      </c>
      <c r="E3067" t="str">
        <f>IFERROR(__xludf.DUMMYFUNCTION("""COMPUTED_VALUE"""),"Thomas")</f>
        <v>Thomas</v>
      </c>
      <c r="F3067" t="str">
        <f>IFERROR(__xludf.DUMMYFUNCTION("""COMPUTED_VALUE"""),"TE")</f>
        <v>TE</v>
      </c>
      <c r="G3067">
        <f>IFERROR(__xludf.DUMMYFUNCTION("""COMPUTED_VALUE"""),12.4)</f>
        <v>12.4</v>
      </c>
    </row>
    <row r="3068">
      <c r="D3068" t="str">
        <f>IFERROR(__xludf.DUMMYFUNCTION("""COMPUTED_VALUE"""),"Gaines")</f>
        <v>Gaines</v>
      </c>
      <c r="E3068" t="str">
        <f>IFERROR(__xludf.DUMMYFUNCTION("""COMPUTED_VALUE"""),"EJ")</f>
        <v>EJ</v>
      </c>
      <c r="F3068" t="str">
        <f>IFERROR(__xludf.DUMMYFUNCTION("""COMPUTED_VALUE"""),"CB")</f>
        <v>CB</v>
      </c>
      <c r="G3068">
        <f>IFERROR(__xludf.DUMMYFUNCTION("""COMPUTED_VALUE"""),14.8)</f>
        <v>14.8</v>
      </c>
    </row>
    <row r="3069">
      <c r="D3069" t="str">
        <f>IFERROR(__xludf.DUMMYFUNCTION("""COMPUTED_VALUE"""),"Gaines")</f>
        <v>Gaines</v>
      </c>
      <c r="E3069" t="str">
        <f>IFERROR(__xludf.DUMMYFUNCTION("""COMPUTED_VALUE"""),"Phillip")</f>
        <v>Phillip</v>
      </c>
      <c r="F3069" t="str">
        <f>IFERROR(__xludf.DUMMYFUNCTION("""COMPUTED_VALUE"""),"CB")</f>
        <v>CB</v>
      </c>
      <c r="G3069">
        <f>IFERROR(__xludf.DUMMYFUNCTION("""COMPUTED_VALUE"""),14.200000000000001)</f>
        <v>14.2</v>
      </c>
    </row>
    <row r="3070">
      <c r="D3070" t="str">
        <f>IFERROR(__xludf.DUMMYFUNCTION("""COMPUTED_VALUE"""),"Galette")</f>
        <v>Galette</v>
      </c>
      <c r="E3070" t="str">
        <f>IFERROR(__xludf.DUMMYFUNCTION("""COMPUTED_VALUE"""),"Junior")</f>
        <v>Junior</v>
      </c>
      <c r="F3070" t="str">
        <f>IFERROR(__xludf.DUMMYFUNCTION("""COMPUTED_VALUE"""),"LOLB")</f>
        <v>LOLB</v>
      </c>
      <c r="G3070">
        <f>IFERROR(__xludf.DUMMYFUNCTION("""COMPUTED_VALUE"""),15.200000000000001)</f>
        <v>15.2</v>
      </c>
    </row>
    <row r="3071">
      <c r="D3071" t="str">
        <f>IFERROR(__xludf.DUMMYFUNCTION("""COMPUTED_VALUE"""),"Gallman")</f>
        <v>Gallman</v>
      </c>
      <c r="E3071" t="str">
        <f>IFERROR(__xludf.DUMMYFUNCTION("""COMPUTED_VALUE"""),"Wayne")</f>
        <v>Wayne</v>
      </c>
      <c r="F3071" t="str">
        <f>IFERROR(__xludf.DUMMYFUNCTION("""COMPUTED_VALUE"""),"HB")</f>
        <v>HB</v>
      </c>
      <c r="G3071">
        <f>IFERROR(__xludf.DUMMYFUNCTION("""COMPUTED_VALUE"""),14.600000000000001)</f>
        <v>14.6</v>
      </c>
    </row>
    <row r="3072">
      <c r="D3072" t="str">
        <f>IFERROR(__xludf.DUMMYFUNCTION("""COMPUTED_VALUE"""),"Gano")</f>
        <v>Gano</v>
      </c>
      <c r="E3072" t="str">
        <f>IFERROR(__xludf.DUMMYFUNCTION("""COMPUTED_VALUE"""),"Graham")</f>
        <v>Graham</v>
      </c>
      <c r="F3072" t="str">
        <f>IFERROR(__xludf.DUMMYFUNCTION("""COMPUTED_VALUE"""),"K")</f>
        <v>K</v>
      </c>
      <c r="G3072">
        <f>IFERROR(__xludf.DUMMYFUNCTION("""COMPUTED_VALUE"""),15.200000000000001)</f>
        <v>15.2</v>
      </c>
    </row>
    <row r="3073">
      <c r="D3073" t="str">
        <f>IFERROR(__xludf.DUMMYFUNCTION("""COMPUTED_VALUE"""),"Garcia")</f>
        <v>Garcia</v>
      </c>
      <c r="E3073" t="str">
        <f>IFERROR(__xludf.DUMMYFUNCTION("""COMPUTED_VALUE"""),"Antonio")</f>
        <v>Antonio</v>
      </c>
      <c r="F3073" t="str">
        <f>IFERROR(__xludf.DUMMYFUNCTION("""COMPUTED_VALUE"""),"LT")</f>
        <v>LT</v>
      </c>
      <c r="G3073">
        <f>IFERROR(__xludf.DUMMYFUNCTION("""COMPUTED_VALUE"""),14.200000000000001)</f>
        <v>14.2</v>
      </c>
    </row>
    <row r="3074">
      <c r="D3074" t="str">
        <f>IFERROR(__xludf.DUMMYFUNCTION("""COMPUTED_VALUE"""),"Garcia")</f>
        <v>Garcia</v>
      </c>
      <c r="E3074" t="str">
        <f>IFERROR(__xludf.DUMMYFUNCTION("""COMPUTED_VALUE"""),"Max")</f>
        <v>Max</v>
      </c>
      <c r="F3074" t="str">
        <f>IFERROR(__xludf.DUMMYFUNCTION("""COMPUTED_VALUE"""),"LG")</f>
        <v>LG</v>
      </c>
      <c r="G3074">
        <f>IFERROR(__xludf.DUMMYFUNCTION("""COMPUTED_VALUE"""),14.8)</f>
        <v>14.8</v>
      </c>
    </row>
    <row r="3075">
      <c r="D3075" t="str">
        <f>IFERROR(__xludf.DUMMYFUNCTION("""COMPUTED_VALUE"""),"Garcon")</f>
        <v>Garcon</v>
      </c>
      <c r="E3075" t="str">
        <f>IFERROR(__xludf.DUMMYFUNCTION("""COMPUTED_VALUE"""),"Pierre")</f>
        <v>Pierre</v>
      </c>
      <c r="F3075" t="str">
        <f>IFERROR(__xludf.DUMMYFUNCTION("""COMPUTED_VALUE"""),"WR")</f>
        <v>WR</v>
      </c>
      <c r="G3075">
        <f>IFERROR(__xludf.DUMMYFUNCTION("""COMPUTED_VALUE"""),17.0)</f>
        <v>17</v>
      </c>
    </row>
    <row r="3076">
      <c r="D3076" t="str">
        <f>IFERROR(__xludf.DUMMYFUNCTION("""COMPUTED_VALUE"""),"Garland")</f>
        <v>Garland</v>
      </c>
      <c r="E3076" t="str">
        <f>IFERROR(__xludf.DUMMYFUNCTION("""COMPUTED_VALUE"""),"Ben")</f>
        <v>Ben</v>
      </c>
      <c r="F3076" t="str">
        <f>IFERROR(__xludf.DUMMYFUNCTION("""COMPUTED_VALUE"""),"C")</f>
        <v>C</v>
      </c>
      <c r="G3076">
        <f>IFERROR(__xludf.DUMMYFUNCTION("""COMPUTED_VALUE"""),13.200000000000001)</f>
        <v>13.2</v>
      </c>
    </row>
    <row r="3077">
      <c r="D3077" t="str">
        <f>IFERROR(__xludf.DUMMYFUNCTION("""COMPUTED_VALUE"""),"Garnett")</f>
        <v>Garnett</v>
      </c>
      <c r="E3077" t="str">
        <f>IFERROR(__xludf.DUMMYFUNCTION("""COMPUTED_VALUE"""),"Joshua")</f>
        <v>Joshua</v>
      </c>
      <c r="F3077" t="str">
        <f>IFERROR(__xludf.DUMMYFUNCTION("""COMPUTED_VALUE"""),"RG")</f>
        <v>RG</v>
      </c>
      <c r="G3077">
        <f>IFERROR(__xludf.DUMMYFUNCTION("""COMPUTED_VALUE"""),13.8)</f>
        <v>13.8</v>
      </c>
    </row>
    <row r="3078">
      <c r="D3078" t="str">
        <f>IFERROR(__xludf.DUMMYFUNCTION("""COMPUTED_VALUE"""),"Garoppolo")</f>
        <v>Garoppolo</v>
      </c>
      <c r="E3078" t="str">
        <f>IFERROR(__xludf.DUMMYFUNCTION("""COMPUTED_VALUE"""),"Jimmy")</f>
        <v>Jimmy</v>
      </c>
      <c r="F3078" t="str">
        <f>IFERROR(__xludf.DUMMYFUNCTION("""COMPUTED_VALUE"""),"QB")</f>
        <v>QB</v>
      </c>
      <c r="G3078">
        <f>IFERROR(__xludf.DUMMYFUNCTION("""COMPUTED_VALUE"""),15.4)</f>
        <v>15.4</v>
      </c>
    </row>
    <row r="3079">
      <c r="D3079" t="str">
        <f>IFERROR(__xludf.DUMMYFUNCTION("""COMPUTED_VALUE"""),"Garrett")</f>
        <v>Garrett</v>
      </c>
      <c r="E3079" t="str">
        <f>IFERROR(__xludf.DUMMYFUNCTION("""COMPUTED_VALUE"""),"Keyarris")</f>
        <v>Keyarris</v>
      </c>
      <c r="F3079" t="str">
        <f>IFERROR(__xludf.DUMMYFUNCTION("""COMPUTED_VALUE"""),"WR")</f>
        <v>WR</v>
      </c>
      <c r="G3079">
        <f>IFERROR(__xludf.DUMMYFUNCTION("""COMPUTED_VALUE"""),12.0)</f>
        <v>12</v>
      </c>
    </row>
    <row r="3080">
      <c r="D3080" t="str">
        <f>IFERROR(__xludf.DUMMYFUNCTION("""COMPUTED_VALUE"""),"Garrett")</f>
        <v>Garrett</v>
      </c>
      <c r="E3080" t="str">
        <f>IFERROR(__xludf.DUMMYFUNCTION("""COMPUTED_VALUE"""),"Myles")</f>
        <v>Myles</v>
      </c>
      <c r="F3080" t="str">
        <f>IFERROR(__xludf.DUMMYFUNCTION("""COMPUTED_VALUE"""),"RE")</f>
        <v>RE</v>
      </c>
      <c r="G3080">
        <f>IFERROR(__xludf.DUMMYFUNCTION("""COMPUTED_VALUE"""),16.6)</f>
        <v>16.6</v>
      </c>
    </row>
    <row r="3081">
      <c r="D3081" t="str">
        <f>IFERROR(__xludf.DUMMYFUNCTION("""COMPUTED_VALUE"""),"Garvin")</f>
        <v>Garvin</v>
      </c>
      <c r="E3081" t="str">
        <f>IFERROR(__xludf.DUMMYFUNCTION("""COMPUTED_VALUE"""),"Terence")</f>
        <v>Terence</v>
      </c>
      <c r="F3081" t="str">
        <f>IFERROR(__xludf.DUMMYFUNCTION("""COMPUTED_VALUE"""),"MLB")</f>
        <v>MLB</v>
      </c>
      <c r="G3081">
        <f>IFERROR(__xludf.DUMMYFUNCTION("""COMPUTED_VALUE"""),12.600000000000001)</f>
        <v>12.6</v>
      </c>
    </row>
    <row r="3082">
      <c r="D3082" t="str">
        <f>IFERROR(__xludf.DUMMYFUNCTION("""COMPUTED_VALUE"""),"Gary")</f>
        <v>Gary</v>
      </c>
      <c r="E3082" t="str">
        <f>IFERROR(__xludf.DUMMYFUNCTION("""COMPUTED_VALUE"""),"Shamiel")</f>
        <v>Shamiel</v>
      </c>
      <c r="F3082" t="str">
        <f>IFERROR(__xludf.DUMMYFUNCTION("""COMPUTED_VALUE"""),"SS")</f>
        <v>SS</v>
      </c>
      <c r="G3082">
        <f>IFERROR(__xludf.DUMMYFUNCTION("""COMPUTED_VALUE"""),12.200000000000001)</f>
        <v>12.2</v>
      </c>
    </row>
    <row r="3083">
      <c r="D3083" t="str">
        <f>IFERROR(__xludf.DUMMYFUNCTION("""COMPUTED_VALUE"""),"Gaston")</f>
        <v>Gaston</v>
      </c>
      <c r="E3083" t="str">
        <f>IFERROR(__xludf.DUMMYFUNCTION("""COMPUTED_VALUE"""),"Bruce")</f>
        <v>Bruce</v>
      </c>
      <c r="F3083" t="str">
        <f>IFERROR(__xludf.DUMMYFUNCTION("""COMPUTED_VALUE"""),"DT")</f>
        <v>DT</v>
      </c>
      <c r="G3083">
        <f>IFERROR(__xludf.DUMMYFUNCTION("""COMPUTED_VALUE"""),13.600000000000001)</f>
        <v>13.6</v>
      </c>
    </row>
    <row r="3084">
      <c r="D3084" t="str">
        <f>IFERROR(__xludf.DUMMYFUNCTION("""COMPUTED_VALUE"""),"Gates")</f>
        <v>Gates</v>
      </c>
      <c r="E3084" t="str">
        <f>IFERROR(__xludf.DUMMYFUNCTION("""COMPUTED_VALUE"""),"Antonio")</f>
        <v>Antonio</v>
      </c>
      <c r="F3084" t="str">
        <f>IFERROR(__xludf.DUMMYFUNCTION("""COMPUTED_VALUE"""),"TE")</f>
        <v>TE</v>
      </c>
      <c r="G3084">
        <f>IFERROR(__xludf.DUMMYFUNCTION("""COMPUTED_VALUE"""),17.400000000000002)</f>
        <v>17.4</v>
      </c>
    </row>
    <row r="3085">
      <c r="D3085" t="str">
        <f>IFERROR(__xludf.DUMMYFUNCTION("""COMPUTED_VALUE"""),"Gathers")</f>
        <v>Gathers</v>
      </c>
      <c r="E3085" t="str">
        <f>IFERROR(__xludf.DUMMYFUNCTION("""COMPUTED_VALUE"""),"Rico")</f>
        <v>Rico</v>
      </c>
      <c r="F3085" t="str">
        <f>IFERROR(__xludf.DUMMYFUNCTION("""COMPUTED_VALUE"""),"TE")</f>
        <v>TE</v>
      </c>
      <c r="G3085">
        <f>IFERROR(__xludf.DUMMYFUNCTION("""COMPUTED_VALUE"""),13.4)</f>
        <v>13.4</v>
      </c>
    </row>
    <row r="3086">
      <c r="D3086" t="str">
        <f>IFERROR(__xludf.DUMMYFUNCTION("""COMPUTED_VALUE"""),"Gause")</f>
        <v>Gause</v>
      </c>
      <c r="E3086" t="str">
        <f>IFERROR(__xludf.DUMMYFUNCTION("""COMPUTED_VALUE"""),"Quentin")</f>
        <v>Quentin</v>
      </c>
      <c r="F3086" t="str">
        <f>IFERROR(__xludf.DUMMYFUNCTION("""COMPUTED_VALUE"""),"ROLB")</f>
        <v>ROLB</v>
      </c>
      <c r="G3086">
        <f>IFERROR(__xludf.DUMMYFUNCTION("""COMPUTED_VALUE"""),11.4)</f>
        <v>11.4</v>
      </c>
    </row>
    <row r="3087">
      <c r="D3087" t="str">
        <f>IFERROR(__xludf.DUMMYFUNCTION("""COMPUTED_VALUE"""),"Gay")</f>
        <v>Gay</v>
      </c>
      <c r="E3087" t="str">
        <f>IFERROR(__xludf.DUMMYFUNCTION("""COMPUTED_VALUE"""),"Jordan")</f>
        <v>Jordan</v>
      </c>
      <c r="F3087" t="str">
        <f>IFERROR(__xludf.DUMMYFUNCTION("""COMPUTED_VALUE"""),"K")</f>
        <v>K</v>
      </c>
      <c r="G3087">
        <f>IFERROR(__xludf.DUMMYFUNCTION("""COMPUTED_VALUE"""),14.0)</f>
        <v>14</v>
      </c>
    </row>
    <row r="3088">
      <c r="D3088" t="str">
        <f>IFERROR(__xludf.DUMMYFUNCTION("""COMPUTED_VALUE"""),"Gay")</f>
        <v>Gay</v>
      </c>
      <c r="E3088" t="str">
        <f>IFERROR(__xludf.DUMMYFUNCTION("""COMPUTED_VALUE"""),"William")</f>
        <v>William</v>
      </c>
      <c r="F3088" t="str">
        <f>IFERROR(__xludf.DUMMYFUNCTION("""COMPUTED_VALUE"""),"CB")</f>
        <v>CB</v>
      </c>
      <c r="G3088">
        <f>IFERROR(__xludf.DUMMYFUNCTION("""COMPUTED_VALUE"""),16.8)</f>
        <v>16.8</v>
      </c>
    </row>
    <row r="3089">
      <c r="D3089" t="str">
        <f>IFERROR(__xludf.DUMMYFUNCTION("""COMPUTED_VALUE"""),"Geathers")</f>
        <v>Geathers</v>
      </c>
      <c r="E3089" t="str">
        <f>IFERROR(__xludf.DUMMYFUNCTION("""COMPUTED_VALUE"""),"Clayton")</f>
        <v>Clayton</v>
      </c>
      <c r="F3089" t="str">
        <f>IFERROR(__xludf.DUMMYFUNCTION("""COMPUTED_VALUE"""),"SS")</f>
        <v>SS</v>
      </c>
      <c r="G3089">
        <f>IFERROR(__xludf.DUMMYFUNCTION("""COMPUTED_VALUE"""),16.2)</f>
        <v>16.2</v>
      </c>
    </row>
    <row r="3090">
      <c r="D3090" t="str">
        <f>IFERROR(__xludf.DUMMYFUNCTION("""COMPUTED_VALUE"""),"Gedeon")</f>
        <v>Gedeon</v>
      </c>
      <c r="E3090" t="str">
        <f>IFERROR(__xludf.DUMMYFUNCTION("""COMPUTED_VALUE"""),"Ben")</f>
        <v>Ben</v>
      </c>
      <c r="F3090" t="str">
        <f>IFERROR(__xludf.DUMMYFUNCTION("""COMPUTED_VALUE"""),"MLB")</f>
        <v>MLB</v>
      </c>
      <c r="G3090">
        <f>IFERROR(__xludf.DUMMYFUNCTION("""COMPUTED_VALUE"""),13.0)</f>
        <v>13</v>
      </c>
    </row>
    <row r="3091">
      <c r="D3091" t="str">
        <f>IFERROR(__xludf.DUMMYFUNCTION("""COMPUTED_VALUE"""),"Gennesy")</f>
        <v>Gennesy</v>
      </c>
      <c r="E3091" t="str">
        <f>IFERROR(__xludf.DUMMYFUNCTION("""COMPUTED_VALUE"""),"Avery")</f>
        <v>Avery</v>
      </c>
      <c r="F3091" t="str">
        <f>IFERROR(__xludf.DUMMYFUNCTION("""COMPUTED_VALUE"""),"RG")</f>
        <v>RG</v>
      </c>
      <c r="G3091">
        <f>IFERROR(__xludf.DUMMYFUNCTION("""COMPUTED_VALUE"""),12.4)</f>
        <v>12.4</v>
      </c>
    </row>
    <row r="3092">
      <c r="D3092" t="str">
        <f>IFERROR(__xludf.DUMMYFUNCTION("""COMPUTED_VALUE"""),"George")</f>
        <v>George</v>
      </c>
      <c r="E3092" t="str">
        <f>IFERROR(__xludf.DUMMYFUNCTION("""COMPUTED_VALUE"""),"Jeremiah")</f>
        <v>Jeremiah</v>
      </c>
      <c r="F3092" t="str">
        <f>IFERROR(__xludf.DUMMYFUNCTION("""COMPUTED_VALUE"""),"MLB")</f>
        <v>MLB</v>
      </c>
      <c r="G3092">
        <f>IFERROR(__xludf.DUMMYFUNCTION("""COMPUTED_VALUE"""),13.200000000000001)</f>
        <v>13.2</v>
      </c>
    </row>
    <row r="3093">
      <c r="D3093" t="str">
        <f>IFERROR(__xludf.DUMMYFUNCTION("""COMPUTED_VALUE"""),"Gerry")</f>
        <v>Gerry</v>
      </c>
      <c r="E3093" t="str">
        <f>IFERROR(__xludf.DUMMYFUNCTION("""COMPUTED_VALUE"""),"Nathan")</f>
        <v>Nathan</v>
      </c>
      <c r="F3093" t="str">
        <f>IFERROR(__xludf.DUMMYFUNCTION("""COMPUTED_VALUE"""),"ROLB")</f>
        <v>ROLB</v>
      </c>
      <c r="G3093">
        <f>IFERROR(__xludf.DUMMYFUNCTION("""COMPUTED_VALUE"""),12.200000000000001)</f>
        <v>12.2</v>
      </c>
    </row>
    <row r="3094">
      <c r="D3094" t="str">
        <f>IFERROR(__xludf.DUMMYFUNCTION("""COMPUTED_VALUE"""),"Gettis")</f>
        <v>Gettis</v>
      </c>
      <c r="E3094" t="str">
        <f>IFERROR(__xludf.DUMMYFUNCTION("""COMPUTED_VALUE"""),"Adam")</f>
        <v>Adam</v>
      </c>
      <c r="F3094" t="str">
        <f>IFERROR(__xludf.DUMMYFUNCTION("""COMPUTED_VALUE"""),"LG")</f>
        <v>LG</v>
      </c>
      <c r="G3094">
        <f>IFERROR(__xludf.DUMMYFUNCTION("""COMPUTED_VALUE"""),13.4)</f>
        <v>13.4</v>
      </c>
    </row>
    <row r="3095">
      <c r="D3095" t="str">
        <f>IFERROR(__xludf.DUMMYFUNCTION("""COMPUTED_VALUE"""),"Gholston")</f>
        <v>Gholston</v>
      </c>
      <c r="E3095" t="str">
        <f>IFERROR(__xludf.DUMMYFUNCTION("""COMPUTED_VALUE"""),"William")</f>
        <v>William</v>
      </c>
      <c r="F3095" t="str">
        <f>IFERROR(__xludf.DUMMYFUNCTION("""COMPUTED_VALUE"""),"LE")</f>
        <v>LE</v>
      </c>
      <c r="G3095">
        <f>IFERROR(__xludf.DUMMYFUNCTION("""COMPUTED_VALUE"""),15.200000000000001)</f>
        <v>15.2</v>
      </c>
    </row>
    <row r="3096">
      <c r="D3096" t="str">
        <f>IFERROR(__xludf.DUMMYFUNCTION("""COMPUTED_VALUE"""),"Giacomini")</f>
        <v>Giacomini</v>
      </c>
      <c r="E3096" t="str">
        <f>IFERROR(__xludf.DUMMYFUNCTION("""COMPUTED_VALUE"""),"Breno")</f>
        <v>Breno</v>
      </c>
      <c r="F3096" t="str">
        <f>IFERROR(__xludf.DUMMYFUNCTION("""COMPUTED_VALUE"""),"RT")</f>
        <v>RT</v>
      </c>
      <c r="G3096">
        <f>IFERROR(__xludf.DUMMYFUNCTION("""COMPUTED_VALUE"""),13.8)</f>
        <v>13.8</v>
      </c>
    </row>
    <row r="3097">
      <c r="D3097" t="str">
        <f>IFERROR(__xludf.DUMMYFUNCTION("""COMPUTED_VALUE"""),"Gibson")</f>
        <v>Gibson</v>
      </c>
      <c r="E3097" t="str">
        <f>IFERROR(__xludf.DUMMYFUNCTION("""COMPUTED_VALUE"""),"Laurence")</f>
        <v>Laurence</v>
      </c>
      <c r="F3097" t="str">
        <f>IFERROR(__xludf.DUMMYFUNCTION("""COMPUTED_VALUE"""),"LT")</f>
        <v>LT</v>
      </c>
      <c r="G3097">
        <f>IFERROR(__xludf.DUMMYFUNCTION("""COMPUTED_VALUE"""),12.8)</f>
        <v>12.8</v>
      </c>
    </row>
    <row r="3098">
      <c r="D3098" t="str">
        <f>IFERROR(__xludf.DUMMYFUNCTION("""COMPUTED_VALUE"""),"Gibson")</f>
        <v>Gibson</v>
      </c>
      <c r="E3098" t="str">
        <f>IFERROR(__xludf.DUMMYFUNCTION("""COMPUTED_VALUE"""),"Shelton")</f>
        <v>Shelton</v>
      </c>
      <c r="F3098" t="str">
        <f>IFERROR(__xludf.DUMMYFUNCTION("""COMPUTED_VALUE"""),"WR")</f>
        <v>WR</v>
      </c>
      <c r="G3098">
        <f>IFERROR(__xludf.DUMMYFUNCTION("""COMPUTED_VALUE"""),13.4)</f>
        <v>13.4</v>
      </c>
    </row>
    <row r="3099">
      <c r="D3099" t="str">
        <f>IFERROR(__xludf.DUMMYFUNCTION("""COMPUTED_VALUE"""),"Gilberry")</f>
        <v>Gilberry</v>
      </c>
      <c r="E3099" t="str">
        <f>IFERROR(__xludf.DUMMYFUNCTION("""COMPUTED_VALUE"""),"Wallace")</f>
        <v>Wallace</v>
      </c>
      <c r="F3099" t="str">
        <f>IFERROR(__xludf.DUMMYFUNCTION("""COMPUTED_VALUE"""),"RE")</f>
        <v>RE</v>
      </c>
      <c r="G3099">
        <f>IFERROR(__xludf.DUMMYFUNCTION("""COMPUTED_VALUE"""),14.0)</f>
        <v>14</v>
      </c>
    </row>
    <row r="3100">
      <c r="D3100" t="str">
        <f>IFERROR(__xludf.DUMMYFUNCTION("""COMPUTED_VALUE"""),"Gilbert")</f>
        <v>Gilbert</v>
      </c>
      <c r="E3100" t="str">
        <f>IFERROR(__xludf.DUMMYFUNCTION("""COMPUTED_VALUE"""),"Garrett")</f>
        <v>Garrett</v>
      </c>
      <c r="F3100" t="str">
        <f>IFERROR(__xludf.DUMMYFUNCTION("""COMPUTED_VALUE"""),"QB")</f>
        <v>QB</v>
      </c>
      <c r="G3100">
        <f>IFERROR(__xludf.DUMMYFUNCTION("""COMPUTED_VALUE"""),11.8)</f>
        <v>11.8</v>
      </c>
    </row>
    <row r="3101">
      <c r="D3101" t="str">
        <f>IFERROR(__xludf.DUMMYFUNCTION("""COMPUTED_VALUE"""),"Gilbert")</f>
        <v>Gilbert</v>
      </c>
      <c r="E3101" t="str">
        <f>IFERROR(__xludf.DUMMYFUNCTION("""COMPUTED_VALUE"""),"Marcus")</f>
        <v>Marcus</v>
      </c>
      <c r="F3101" t="str">
        <f>IFERROR(__xludf.DUMMYFUNCTION("""COMPUTED_VALUE"""),"RT")</f>
        <v>RT</v>
      </c>
      <c r="G3101">
        <f>IFERROR(__xludf.DUMMYFUNCTION("""COMPUTED_VALUE"""),17.6)</f>
        <v>17.6</v>
      </c>
    </row>
    <row r="3102">
      <c r="D3102" t="str">
        <f>IFERROR(__xludf.DUMMYFUNCTION("""COMPUTED_VALUE"""),"Gilbert")</f>
        <v>Gilbert</v>
      </c>
      <c r="E3102" t="str">
        <f>IFERROR(__xludf.DUMMYFUNCTION("""COMPUTED_VALUE"""),"Reggie")</f>
        <v>Reggie</v>
      </c>
      <c r="F3102" t="str">
        <f>IFERROR(__xludf.DUMMYFUNCTION("""COMPUTED_VALUE"""),"LE")</f>
        <v>LE</v>
      </c>
      <c r="G3102">
        <f>IFERROR(__xludf.DUMMYFUNCTION("""COMPUTED_VALUE"""),12.200000000000001)</f>
        <v>12.2</v>
      </c>
    </row>
    <row r="3103">
      <c r="D3103" t="str">
        <f>IFERROR(__xludf.DUMMYFUNCTION("""COMPUTED_VALUE"""),"Gilliam")</f>
        <v>Gilliam</v>
      </c>
      <c r="E3103" t="str">
        <f>IFERROR(__xludf.DUMMYFUNCTION("""COMPUTED_VALUE"""),"Garry")</f>
        <v>Garry</v>
      </c>
      <c r="F3103" t="str">
        <f>IFERROR(__xludf.DUMMYFUNCTION("""COMPUTED_VALUE"""),"RT")</f>
        <v>RT</v>
      </c>
      <c r="G3103">
        <f>IFERROR(__xludf.DUMMYFUNCTION("""COMPUTED_VALUE"""),14.200000000000001)</f>
        <v>14.2</v>
      </c>
    </row>
    <row r="3104">
      <c r="D3104" t="str">
        <f>IFERROR(__xludf.DUMMYFUNCTION("""COMPUTED_VALUE"""),"Gillislee")</f>
        <v>Gillislee</v>
      </c>
      <c r="E3104" t="str">
        <f>IFERROR(__xludf.DUMMYFUNCTION("""COMPUTED_VALUE"""),"Mike")</f>
        <v>Mike</v>
      </c>
      <c r="F3104" t="str">
        <f>IFERROR(__xludf.DUMMYFUNCTION("""COMPUTED_VALUE"""),"HB")</f>
        <v>HB</v>
      </c>
      <c r="G3104">
        <f>IFERROR(__xludf.DUMMYFUNCTION("""COMPUTED_VALUE"""),15.4)</f>
        <v>15.4</v>
      </c>
    </row>
    <row r="3105">
      <c r="D3105" t="str">
        <f>IFERROR(__xludf.DUMMYFUNCTION("""COMPUTED_VALUE"""),"Gillmore")</f>
        <v>Gillmore</v>
      </c>
      <c r="E3105" t="str">
        <f>IFERROR(__xludf.DUMMYFUNCTION("""COMPUTED_VALUE"""),"Crockett")</f>
        <v>Crockett</v>
      </c>
      <c r="F3105" t="str">
        <f>IFERROR(__xludf.DUMMYFUNCTION("""COMPUTED_VALUE"""),"TE")</f>
        <v>TE</v>
      </c>
      <c r="G3105">
        <f>IFERROR(__xludf.DUMMYFUNCTION("""COMPUTED_VALUE"""),15.4)</f>
        <v>15.4</v>
      </c>
    </row>
    <row r="3106">
      <c r="D3106" t="str">
        <f>IFERROR(__xludf.DUMMYFUNCTION("""COMPUTED_VALUE"""),"Gilmore")</f>
        <v>Gilmore</v>
      </c>
      <c r="E3106" t="str">
        <f>IFERROR(__xludf.DUMMYFUNCTION("""COMPUTED_VALUE"""),"Stephon")</f>
        <v>Stephon</v>
      </c>
      <c r="F3106" t="str">
        <f>IFERROR(__xludf.DUMMYFUNCTION("""COMPUTED_VALUE"""),"CB")</f>
        <v>CB</v>
      </c>
      <c r="G3106">
        <f>IFERROR(__xludf.DUMMYFUNCTION("""COMPUTED_VALUE"""),16.6)</f>
        <v>16.6</v>
      </c>
    </row>
    <row r="3107">
      <c r="D3107" t="str">
        <f>IFERROR(__xludf.DUMMYFUNCTION("""COMPUTED_VALUE"""),"Ginn Jr")</f>
        <v>Ginn Jr</v>
      </c>
      <c r="E3107" t="str">
        <f>IFERROR(__xludf.DUMMYFUNCTION("""COMPUTED_VALUE"""),"Ted")</f>
        <v>Ted</v>
      </c>
      <c r="F3107" t="str">
        <f>IFERROR(__xludf.DUMMYFUNCTION("""COMPUTED_VALUE"""),"WR")</f>
        <v>WR</v>
      </c>
      <c r="G3107">
        <f>IFERROR(__xludf.DUMMYFUNCTION("""COMPUTED_VALUE"""),15.8)</f>
        <v>15.8</v>
      </c>
    </row>
    <row r="3108">
      <c r="D3108" t="str">
        <f>IFERROR(__xludf.DUMMYFUNCTION("""COMPUTED_VALUE"""),"Gipson")</f>
        <v>Gipson</v>
      </c>
      <c r="E3108" t="str">
        <f>IFERROR(__xludf.DUMMYFUNCTION("""COMPUTED_VALUE"""),"Tashaun")</f>
        <v>Tashaun</v>
      </c>
      <c r="F3108" t="str">
        <f>IFERROR(__xludf.DUMMYFUNCTION("""COMPUTED_VALUE"""),"FS")</f>
        <v>FS</v>
      </c>
      <c r="G3108">
        <f>IFERROR(__xludf.DUMMYFUNCTION("""COMPUTED_VALUE"""),15.0)</f>
        <v>15</v>
      </c>
    </row>
    <row r="3109">
      <c r="D3109" t="str">
        <f>IFERROR(__xludf.DUMMYFUNCTION("""COMPUTED_VALUE"""),"Glanton")</f>
        <v>Glanton</v>
      </c>
      <c r="E3109" t="str">
        <f>IFERROR(__xludf.DUMMYFUNCTION("""COMPUTED_VALUE"""),"Adarius")</f>
        <v>Adarius</v>
      </c>
      <c r="F3109" t="str">
        <f>IFERROR(__xludf.DUMMYFUNCTION("""COMPUTED_VALUE"""),"ROLB")</f>
        <v>ROLB</v>
      </c>
      <c r="G3109">
        <f>IFERROR(__xludf.DUMMYFUNCTION("""COMPUTED_VALUE"""),13.0)</f>
        <v>13</v>
      </c>
    </row>
    <row r="3110">
      <c r="D3110" t="str">
        <f>IFERROR(__xludf.DUMMYFUNCTION("""COMPUTED_VALUE"""),"Glasgow")</f>
        <v>Glasgow</v>
      </c>
      <c r="E3110" t="str">
        <f>IFERROR(__xludf.DUMMYFUNCTION("""COMPUTED_VALUE"""),"Graham")</f>
        <v>Graham</v>
      </c>
      <c r="F3110" t="str">
        <f>IFERROR(__xludf.DUMMYFUNCTION("""COMPUTED_VALUE"""),"LG")</f>
        <v>LG</v>
      </c>
      <c r="G3110">
        <f>IFERROR(__xludf.DUMMYFUNCTION("""COMPUTED_VALUE"""),13.8)</f>
        <v>13.8</v>
      </c>
    </row>
    <row r="3111">
      <c r="D3111" t="str">
        <f>IFERROR(__xludf.DUMMYFUNCTION("""COMPUTED_VALUE"""),"Glasgow")</f>
        <v>Glasgow</v>
      </c>
      <c r="E3111" t="str">
        <f>IFERROR(__xludf.DUMMYFUNCTION("""COMPUTED_VALUE"""),"Ryan")</f>
        <v>Ryan</v>
      </c>
      <c r="F3111" t="str">
        <f>IFERROR(__xludf.DUMMYFUNCTION("""COMPUTED_VALUE"""),"DT")</f>
        <v>DT</v>
      </c>
      <c r="G3111">
        <f>IFERROR(__xludf.DUMMYFUNCTION("""COMPUTED_VALUE"""),13.600000000000001)</f>
        <v>13.6</v>
      </c>
    </row>
    <row r="3112">
      <c r="D3112" t="str">
        <f>IFERROR(__xludf.DUMMYFUNCTION("""COMPUTED_VALUE"""),"Glenn")</f>
        <v>Glenn</v>
      </c>
      <c r="E3112" t="str">
        <f>IFERROR(__xludf.DUMMYFUNCTION("""COMPUTED_VALUE"""),"Cordy")</f>
        <v>Cordy</v>
      </c>
      <c r="F3112" t="str">
        <f>IFERROR(__xludf.DUMMYFUNCTION("""COMPUTED_VALUE"""),"LT")</f>
        <v>LT</v>
      </c>
      <c r="G3112">
        <f>IFERROR(__xludf.DUMMYFUNCTION("""COMPUTED_VALUE"""),16.8)</f>
        <v>16.8</v>
      </c>
    </row>
    <row r="3113">
      <c r="D3113" t="str">
        <f>IFERROR(__xludf.DUMMYFUNCTION("""COMPUTED_VALUE"""),"Glennon")</f>
        <v>Glennon</v>
      </c>
      <c r="E3113" t="str">
        <f>IFERROR(__xludf.DUMMYFUNCTION("""COMPUTED_VALUE"""),"Mike")</f>
        <v>Mike</v>
      </c>
      <c r="F3113" t="str">
        <f>IFERROR(__xludf.DUMMYFUNCTION("""COMPUTED_VALUE"""),"QB")</f>
        <v>QB</v>
      </c>
      <c r="G3113">
        <f>IFERROR(__xludf.DUMMYFUNCTION("""COMPUTED_VALUE"""),14.8)</f>
        <v>14.8</v>
      </c>
    </row>
    <row r="3114">
      <c r="D3114" t="str">
        <f>IFERROR(__xludf.DUMMYFUNCTION("""COMPUTED_VALUE"""),"Glowinski")</f>
        <v>Glowinski</v>
      </c>
      <c r="E3114" t="str">
        <f>IFERROR(__xludf.DUMMYFUNCTION("""COMPUTED_VALUE"""),"Mark")</f>
        <v>Mark</v>
      </c>
      <c r="F3114" t="str">
        <f>IFERROR(__xludf.DUMMYFUNCTION("""COMPUTED_VALUE"""),"LG")</f>
        <v>LG</v>
      </c>
      <c r="G3114">
        <f>IFERROR(__xludf.DUMMYFUNCTION("""COMPUTED_VALUE"""),14.200000000000001)</f>
        <v>14.2</v>
      </c>
    </row>
    <row r="3115">
      <c r="D3115" t="str">
        <f>IFERROR(__xludf.DUMMYFUNCTION("""COMPUTED_VALUE"""),"Godchaux")</f>
        <v>Godchaux</v>
      </c>
      <c r="E3115" t="str">
        <f>IFERROR(__xludf.DUMMYFUNCTION("""COMPUTED_VALUE"""),"Davon")</f>
        <v>Davon</v>
      </c>
      <c r="F3115" t="str">
        <f>IFERROR(__xludf.DUMMYFUNCTION("""COMPUTED_VALUE"""),"DT")</f>
        <v>DT</v>
      </c>
      <c r="G3115">
        <f>IFERROR(__xludf.DUMMYFUNCTION("""COMPUTED_VALUE"""),13.0)</f>
        <v>13</v>
      </c>
    </row>
    <row r="3116">
      <c r="D3116" t="str">
        <f>IFERROR(__xludf.DUMMYFUNCTION("""COMPUTED_VALUE"""),"Godwin")</f>
        <v>Godwin</v>
      </c>
      <c r="E3116" t="str">
        <f>IFERROR(__xludf.DUMMYFUNCTION("""COMPUTED_VALUE"""),"Chris")</f>
        <v>Chris</v>
      </c>
      <c r="F3116" t="str">
        <f>IFERROR(__xludf.DUMMYFUNCTION("""COMPUTED_VALUE"""),"WR")</f>
        <v>WR</v>
      </c>
      <c r="G3116">
        <f>IFERROR(__xludf.DUMMYFUNCTION("""COMPUTED_VALUE"""),15.0)</f>
        <v>15</v>
      </c>
    </row>
    <row r="3117">
      <c r="D3117" t="str">
        <f>IFERROR(__xludf.DUMMYFUNCTION("""COMPUTED_VALUE"""),"Goff")</f>
        <v>Goff</v>
      </c>
      <c r="E3117" t="str">
        <f>IFERROR(__xludf.DUMMYFUNCTION("""COMPUTED_VALUE"""),"Jared")</f>
        <v>Jared</v>
      </c>
      <c r="F3117" t="str">
        <f>IFERROR(__xludf.DUMMYFUNCTION("""COMPUTED_VALUE"""),"QB")</f>
        <v>QB</v>
      </c>
      <c r="G3117">
        <f>IFERROR(__xludf.DUMMYFUNCTION("""COMPUTED_VALUE"""),14.600000000000001)</f>
        <v>14.6</v>
      </c>
    </row>
    <row r="3118">
      <c r="D3118" t="str">
        <f>IFERROR(__xludf.DUMMYFUNCTION("""COMPUTED_VALUE"""),"Golden")</f>
        <v>Golden</v>
      </c>
      <c r="E3118" t="str">
        <f>IFERROR(__xludf.DUMMYFUNCTION("""COMPUTED_VALUE"""),"Brittan")</f>
        <v>Brittan</v>
      </c>
      <c r="F3118" t="str">
        <f>IFERROR(__xludf.DUMMYFUNCTION("""COMPUTED_VALUE"""),"WR")</f>
        <v>WR</v>
      </c>
      <c r="G3118">
        <f>IFERROR(__xludf.DUMMYFUNCTION("""COMPUTED_VALUE"""),12.600000000000001)</f>
        <v>12.6</v>
      </c>
    </row>
    <row r="3119">
      <c r="D3119" t="str">
        <f>IFERROR(__xludf.DUMMYFUNCTION("""COMPUTED_VALUE"""),"Golden")</f>
        <v>Golden</v>
      </c>
      <c r="E3119" t="str">
        <f>IFERROR(__xludf.DUMMYFUNCTION("""COMPUTED_VALUE"""),"Markus")</f>
        <v>Markus</v>
      </c>
      <c r="F3119" t="str">
        <f>IFERROR(__xludf.DUMMYFUNCTION("""COMPUTED_VALUE"""),"LOLB")</f>
        <v>LOLB</v>
      </c>
      <c r="G3119">
        <f>IFERROR(__xludf.DUMMYFUNCTION("""COMPUTED_VALUE"""),16.400000000000002)</f>
        <v>16.4</v>
      </c>
    </row>
    <row r="3120">
      <c r="D3120" t="str">
        <f>IFERROR(__xludf.DUMMYFUNCTION("""COMPUTED_VALUE"""),"Golden")</f>
        <v>Golden</v>
      </c>
      <c r="E3120" t="str">
        <f>IFERROR(__xludf.DUMMYFUNCTION("""COMPUTED_VALUE"""),"Robert")</f>
        <v>Robert</v>
      </c>
      <c r="F3120" t="str">
        <f>IFERROR(__xludf.DUMMYFUNCTION("""COMPUTED_VALUE"""),"FS")</f>
        <v>FS</v>
      </c>
      <c r="G3120">
        <f>IFERROR(__xludf.DUMMYFUNCTION("""COMPUTED_VALUE"""),14.0)</f>
        <v>14</v>
      </c>
    </row>
    <row r="3121">
      <c r="D3121" t="str">
        <f>IFERROR(__xludf.DUMMYFUNCTION("""COMPUTED_VALUE"""),"Goldman")</f>
        <v>Goldman</v>
      </c>
      <c r="E3121" t="str">
        <f>IFERROR(__xludf.DUMMYFUNCTION("""COMPUTED_VALUE"""),"Eddie")</f>
        <v>Eddie</v>
      </c>
      <c r="F3121" t="str">
        <f>IFERROR(__xludf.DUMMYFUNCTION("""COMPUTED_VALUE"""),"DT")</f>
        <v>DT</v>
      </c>
      <c r="G3121">
        <f>IFERROR(__xludf.DUMMYFUNCTION("""COMPUTED_VALUE"""),16.2)</f>
        <v>16.2</v>
      </c>
    </row>
    <row r="3122">
      <c r="D3122" t="str">
        <f>IFERROR(__xludf.DUMMYFUNCTION("""COMPUTED_VALUE"""),"Golladay")</f>
        <v>Golladay</v>
      </c>
      <c r="E3122" t="str">
        <f>IFERROR(__xludf.DUMMYFUNCTION("""COMPUTED_VALUE"""),"Kenny")</f>
        <v>Kenny</v>
      </c>
      <c r="F3122" t="str">
        <f>IFERROR(__xludf.DUMMYFUNCTION("""COMPUTED_VALUE"""),"WR")</f>
        <v>WR</v>
      </c>
      <c r="G3122">
        <f>IFERROR(__xludf.DUMMYFUNCTION("""COMPUTED_VALUE"""),14.8)</f>
        <v>14.8</v>
      </c>
    </row>
    <row r="3123">
      <c r="D3123" t="str">
        <f>IFERROR(__xludf.DUMMYFUNCTION("""COMPUTED_VALUE"""),"Golson")</f>
        <v>Golson</v>
      </c>
      <c r="E3123" t="str">
        <f>IFERROR(__xludf.DUMMYFUNCTION("""COMPUTED_VALUE"""),"Senquez")</f>
        <v>Senquez</v>
      </c>
      <c r="F3123" t="str">
        <f>IFERROR(__xludf.DUMMYFUNCTION("""COMPUTED_VALUE"""),"CB")</f>
        <v>CB</v>
      </c>
      <c r="G3123">
        <f>IFERROR(__xludf.DUMMYFUNCTION("""COMPUTED_VALUE"""),14.4)</f>
        <v>14.4</v>
      </c>
    </row>
    <row r="3124">
      <c r="D3124" t="str">
        <f>IFERROR(__xludf.DUMMYFUNCTION("""COMPUTED_VALUE"""),"Gonzalez")</f>
        <v>Gonzalez</v>
      </c>
      <c r="E3124" t="str">
        <f>IFERROR(__xludf.DUMMYFUNCTION("""COMPUTED_VALUE"""),"Zane")</f>
        <v>Zane</v>
      </c>
      <c r="F3124" t="str">
        <f>IFERROR(__xludf.DUMMYFUNCTION("""COMPUTED_VALUE"""),"K")</f>
        <v>K</v>
      </c>
      <c r="G3124">
        <f>IFERROR(__xludf.DUMMYFUNCTION("""COMPUTED_VALUE"""),14.600000000000001)</f>
        <v>14.6</v>
      </c>
    </row>
    <row r="3125">
      <c r="D3125" t="str">
        <f>IFERROR(__xludf.DUMMYFUNCTION("""COMPUTED_VALUE"""),"Good")</f>
        <v>Good</v>
      </c>
      <c r="E3125" t="str">
        <f>IFERROR(__xludf.DUMMYFUNCTION("""COMPUTED_VALUE"""),"Denzelle")</f>
        <v>Denzelle</v>
      </c>
      <c r="F3125" t="str">
        <f>IFERROR(__xludf.DUMMYFUNCTION("""COMPUTED_VALUE"""),"RG")</f>
        <v>RG</v>
      </c>
      <c r="G3125">
        <f>IFERROR(__xludf.DUMMYFUNCTION("""COMPUTED_VALUE"""),13.8)</f>
        <v>13.8</v>
      </c>
    </row>
    <row r="3126">
      <c r="D3126" t="str">
        <f>IFERROR(__xludf.DUMMYFUNCTION("""COMPUTED_VALUE"""),"Goode")</f>
        <v>Goode</v>
      </c>
      <c r="E3126" t="str">
        <f>IFERROR(__xludf.DUMMYFUNCTION("""COMPUTED_VALUE"""),"Najee")</f>
        <v>Najee</v>
      </c>
      <c r="F3126" t="str">
        <f>IFERROR(__xludf.DUMMYFUNCTION("""COMPUTED_VALUE"""),"LOLB")</f>
        <v>LOLB</v>
      </c>
      <c r="G3126">
        <f>IFERROR(__xludf.DUMMYFUNCTION("""COMPUTED_VALUE"""),13.200000000000001)</f>
        <v>13.2</v>
      </c>
    </row>
    <row r="3127">
      <c r="D3127" t="str">
        <f>IFERROR(__xludf.DUMMYFUNCTION("""COMPUTED_VALUE"""),"Gooden")</f>
        <v>Gooden</v>
      </c>
      <c r="E3127" t="str">
        <f>IFERROR(__xludf.DUMMYFUNCTION("""COMPUTED_VALUE"""),"Zaviar")</f>
        <v>Zaviar</v>
      </c>
      <c r="F3127" t="str">
        <f>IFERROR(__xludf.DUMMYFUNCTION("""COMPUTED_VALUE"""),"MLB")</f>
        <v>MLB</v>
      </c>
      <c r="G3127">
        <f>IFERROR(__xludf.DUMMYFUNCTION("""COMPUTED_VALUE"""),13.0)</f>
        <v>13</v>
      </c>
    </row>
    <row r="3128">
      <c r="D3128" t="str">
        <f>IFERROR(__xludf.DUMMYFUNCTION("""COMPUTED_VALUE"""),"Goodman")</f>
        <v>Goodman</v>
      </c>
      <c r="E3128" t="str">
        <f>IFERROR(__xludf.DUMMYFUNCTION("""COMPUTED_VALUE"""),"Malliciah")</f>
        <v>Malliciah</v>
      </c>
      <c r="F3128" t="str">
        <f>IFERROR(__xludf.DUMMYFUNCTION("""COMPUTED_VALUE"""),"RE")</f>
        <v>RE</v>
      </c>
      <c r="G3128">
        <f>IFERROR(__xludf.DUMMYFUNCTION("""COMPUTED_VALUE"""),13.600000000000001)</f>
        <v>13.6</v>
      </c>
    </row>
    <row r="3129">
      <c r="D3129" t="str">
        <f>IFERROR(__xludf.DUMMYFUNCTION("""COMPUTED_VALUE"""),"Goodson")</f>
        <v>Goodson</v>
      </c>
      <c r="E3129" t="str">
        <f>IFERROR(__xludf.DUMMYFUNCTION("""COMPUTED_VALUE"""),"BJ")</f>
        <v>BJ</v>
      </c>
      <c r="F3129" t="str">
        <f>IFERROR(__xludf.DUMMYFUNCTION("""COMPUTED_VALUE"""),"MLB")</f>
        <v>MLB</v>
      </c>
      <c r="G3129">
        <f>IFERROR(__xludf.DUMMYFUNCTION("""COMPUTED_VALUE"""),13.0)</f>
        <v>13</v>
      </c>
    </row>
    <row r="3130">
      <c r="D3130" t="str">
        <f>IFERROR(__xludf.DUMMYFUNCTION("""COMPUTED_VALUE"""),"Goodson")</f>
        <v>Goodson</v>
      </c>
      <c r="E3130" t="str">
        <f>IFERROR(__xludf.DUMMYFUNCTION("""COMPUTED_VALUE"""),"Demetri")</f>
        <v>Demetri</v>
      </c>
      <c r="F3130" t="str">
        <f>IFERROR(__xludf.DUMMYFUNCTION("""COMPUTED_VALUE"""),"CB")</f>
        <v>CB</v>
      </c>
      <c r="G3130">
        <f>IFERROR(__xludf.DUMMYFUNCTION("""COMPUTED_VALUE"""),13.600000000000001)</f>
        <v>13.6</v>
      </c>
    </row>
    <row r="3131">
      <c r="D3131" t="str">
        <f>IFERROR(__xludf.DUMMYFUNCTION("""COMPUTED_VALUE"""),"Goodwin")</f>
        <v>Goodwin</v>
      </c>
      <c r="E3131" t="str">
        <f>IFERROR(__xludf.DUMMYFUNCTION("""COMPUTED_VALUE"""),"CJ")</f>
        <v>CJ</v>
      </c>
      <c r="F3131" t="str">
        <f>IFERROR(__xludf.DUMMYFUNCTION("""COMPUTED_VALUE"""),"CB")</f>
        <v>CB</v>
      </c>
      <c r="G3131">
        <f>IFERROR(__xludf.DUMMYFUNCTION("""COMPUTED_VALUE"""),13.600000000000001)</f>
        <v>13.6</v>
      </c>
    </row>
    <row r="3132">
      <c r="D3132" t="str">
        <f>IFERROR(__xludf.DUMMYFUNCTION("""COMPUTED_VALUE"""),"Goodwin")</f>
        <v>Goodwin</v>
      </c>
      <c r="E3132" t="str">
        <f>IFERROR(__xludf.DUMMYFUNCTION("""COMPUTED_VALUE"""),"Marquise")</f>
        <v>Marquise</v>
      </c>
      <c r="F3132" t="str">
        <f>IFERROR(__xludf.DUMMYFUNCTION("""COMPUTED_VALUE"""),"WR")</f>
        <v>WR</v>
      </c>
      <c r="G3132">
        <f>IFERROR(__xludf.DUMMYFUNCTION("""COMPUTED_VALUE"""),14.600000000000001)</f>
        <v>14.6</v>
      </c>
    </row>
    <row r="3133">
      <c r="D3133" t="str">
        <f>IFERROR(__xludf.DUMMYFUNCTION("""COMPUTED_VALUE"""),"Gordon")</f>
        <v>Gordon</v>
      </c>
      <c r="E3133" t="str">
        <f>IFERROR(__xludf.DUMMYFUNCTION("""COMPUTED_VALUE"""),"Dillon")</f>
        <v>Dillon</v>
      </c>
      <c r="F3133" t="str">
        <f>IFERROR(__xludf.DUMMYFUNCTION("""COMPUTED_VALUE"""),"LT")</f>
        <v>LT</v>
      </c>
      <c r="G3133">
        <f>IFERROR(__xludf.DUMMYFUNCTION("""COMPUTED_VALUE"""),12.8)</f>
        <v>12.8</v>
      </c>
    </row>
    <row r="3134">
      <c r="D3134" t="str">
        <f>IFERROR(__xludf.DUMMYFUNCTION("""COMPUTED_VALUE"""),"Gordon")</f>
        <v>Gordon</v>
      </c>
      <c r="E3134" t="str">
        <f>IFERROR(__xludf.DUMMYFUNCTION("""COMPUTED_VALUE"""),"Josh")</f>
        <v>Josh</v>
      </c>
      <c r="F3134" t="str">
        <f>IFERROR(__xludf.DUMMYFUNCTION("""COMPUTED_VALUE"""),"WR")</f>
        <v>WR</v>
      </c>
      <c r="G3134">
        <f>IFERROR(__xludf.DUMMYFUNCTION("""COMPUTED_VALUE"""),15.600000000000001)</f>
        <v>15.6</v>
      </c>
    </row>
    <row r="3135">
      <c r="D3135" t="str">
        <f>IFERROR(__xludf.DUMMYFUNCTION("""COMPUTED_VALUE"""),"Gordon")</f>
        <v>Gordon</v>
      </c>
      <c r="E3135" t="str">
        <f>IFERROR(__xludf.DUMMYFUNCTION("""COMPUTED_VALUE"""),"Melvin")</f>
        <v>Melvin</v>
      </c>
      <c r="F3135" t="str">
        <f>IFERROR(__xludf.DUMMYFUNCTION("""COMPUTED_VALUE"""),"HB")</f>
        <v>HB</v>
      </c>
      <c r="G3135">
        <f>IFERROR(__xludf.DUMMYFUNCTION("""COMPUTED_VALUE"""),17.400000000000002)</f>
        <v>17.4</v>
      </c>
    </row>
    <row r="3136">
      <c r="D3136" t="str">
        <f>IFERROR(__xludf.DUMMYFUNCTION("""COMPUTED_VALUE"""),"Gore")</f>
        <v>Gore</v>
      </c>
      <c r="E3136" t="str">
        <f>IFERROR(__xludf.DUMMYFUNCTION("""COMPUTED_VALUE"""),"Frank")</f>
        <v>Frank</v>
      </c>
      <c r="F3136" t="str">
        <f>IFERROR(__xludf.DUMMYFUNCTION("""COMPUTED_VALUE"""),"HB")</f>
        <v>HB</v>
      </c>
      <c r="G3136">
        <f>IFERROR(__xludf.DUMMYFUNCTION("""COMPUTED_VALUE"""),16.6)</f>
        <v>16.6</v>
      </c>
    </row>
    <row r="3137">
      <c r="D3137" t="str">
        <f>IFERROR(__xludf.DUMMYFUNCTION("""COMPUTED_VALUE"""),"Gostkowski")</f>
        <v>Gostkowski</v>
      </c>
      <c r="E3137" t="str">
        <f>IFERROR(__xludf.DUMMYFUNCTION("""COMPUTED_VALUE"""),"Stephen")</f>
        <v>Stephen</v>
      </c>
      <c r="F3137" t="str">
        <f>IFERROR(__xludf.DUMMYFUNCTION("""COMPUTED_VALUE"""),"K")</f>
        <v>K</v>
      </c>
      <c r="G3137">
        <f>IFERROR(__xludf.DUMMYFUNCTION("""COMPUTED_VALUE"""),15.200000000000001)</f>
        <v>15.2</v>
      </c>
    </row>
    <row r="3138">
      <c r="D3138" t="str">
        <f>IFERROR(__xludf.DUMMYFUNCTION("""COMPUTED_VALUE"""),"Gotsis")</f>
        <v>Gotsis</v>
      </c>
      <c r="E3138" t="str">
        <f>IFERROR(__xludf.DUMMYFUNCTION("""COMPUTED_VALUE"""),"Adam")</f>
        <v>Adam</v>
      </c>
      <c r="F3138" t="str">
        <f>IFERROR(__xludf.DUMMYFUNCTION("""COMPUTED_VALUE"""),"RE")</f>
        <v>RE</v>
      </c>
      <c r="G3138">
        <f>IFERROR(__xludf.DUMMYFUNCTION("""COMPUTED_VALUE"""),13.200000000000001)</f>
        <v>13.2</v>
      </c>
    </row>
    <row r="3139">
      <c r="D3139" t="str">
        <f>IFERROR(__xludf.DUMMYFUNCTION("""COMPUTED_VALUE"""),"Gould")</f>
        <v>Gould</v>
      </c>
      <c r="E3139" t="str">
        <f>IFERROR(__xludf.DUMMYFUNCTION("""COMPUTED_VALUE"""),"Robbie")</f>
        <v>Robbie</v>
      </c>
      <c r="F3139" t="str">
        <f>IFERROR(__xludf.DUMMYFUNCTION("""COMPUTED_VALUE"""),"K")</f>
        <v>K</v>
      </c>
      <c r="G3139">
        <f>IFERROR(__xludf.DUMMYFUNCTION("""COMPUTED_VALUE"""),15.200000000000001)</f>
        <v>15.2</v>
      </c>
    </row>
    <row r="3140">
      <c r="D3140" t="str">
        <f>IFERROR(__xludf.DUMMYFUNCTION("""COMPUTED_VALUE"""),"Gradkowski")</f>
        <v>Gradkowski</v>
      </c>
      <c r="E3140" t="str">
        <f>IFERROR(__xludf.DUMMYFUNCTION("""COMPUTED_VALUE"""),"Gino")</f>
        <v>Gino</v>
      </c>
      <c r="F3140" t="str">
        <f>IFERROR(__xludf.DUMMYFUNCTION("""COMPUTED_VALUE"""),"C")</f>
        <v>C</v>
      </c>
      <c r="G3140">
        <f>IFERROR(__xludf.DUMMYFUNCTION("""COMPUTED_VALUE"""),14.200000000000001)</f>
        <v>14.2</v>
      </c>
    </row>
    <row r="3141">
      <c r="D3141" t="str">
        <f>IFERROR(__xludf.DUMMYFUNCTION("""COMPUTED_VALUE"""),"Graf")</f>
        <v>Graf</v>
      </c>
      <c r="E3141" t="str">
        <f>IFERROR(__xludf.DUMMYFUNCTION("""COMPUTED_VALUE"""),"Kevin")</f>
        <v>Kevin</v>
      </c>
      <c r="F3141" t="str">
        <f>IFERROR(__xludf.DUMMYFUNCTION("""COMPUTED_VALUE"""),"LT")</f>
        <v>LT</v>
      </c>
      <c r="G3141">
        <f>IFERROR(__xludf.DUMMYFUNCTION("""COMPUTED_VALUE"""),12.8)</f>
        <v>12.8</v>
      </c>
    </row>
    <row r="3142">
      <c r="D3142" t="str">
        <f>IFERROR(__xludf.DUMMYFUNCTION("""COMPUTED_VALUE"""),"Graham")</f>
        <v>Graham</v>
      </c>
      <c r="E3142" t="str">
        <f>IFERROR(__xludf.DUMMYFUNCTION("""COMPUTED_VALUE"""),"Brandon")</f>
        <v>Brandon</v>
      </c>
      <c r="F3142" t="str">
        <f>IFERROR(__xludf.DUMMYFUNCTION("""COMPUTED_VALUE"""),"RE")</f>
        <v>RE</v>
      </c>
      <c r="G3142">
        <f>IFERROR(__xludf.DUMMYFUNCTION("""COMPUTED_VALUE"""),19.0)</f>
        <v>19</v>
      </c>
    </row>
    <row r="3143">
      <c r="D3143" t="str">
        <f>IFERROR(__xludf.DUMMYFUNCTION("""COMPUTED_VALUE"""),"Graham")</f>
        <v>Graham</v>
      </c>
      <c r="E3143" t="str">
        <f>IFERROR(__xludf.DUMMYFUNCTION("""COMPUTED_VALUE"""),"Jimmy")</f>
        <v>Jimmy</v>
      </c>
      <c r="F3143" t="str">
        <f>IFERROR(__xludf.DUMMYFUNCTION("""COMPUTED_VALUE"""),"TE")</f>
        <v>TE</v>
      </c>
      <c r="G3143">
        <f>IFERROR(__xludf.DUMMYFUNCTION("""COMPUTED_VALUE"""),18.6)</f>
        <v>18.6</v>
      </c>
    </row>
    <row r="3144">
      <c r="D3144" t="str">
        <f>IFERROR(__xludf.DUMMYFUNCTION("""COMPUTED_VALUE"""),"Grant")</f>
        <v>Grant</v>
      </c>
      <c r="E3144" t="str">
        <f>IFERROR(__xludf.DUMMYFUNCTION("""COMPUTED_VALUE"""),"Corey")</f>
        <v>Corey</v>
      </c>
      <c r="F3144" t="str">
        <f>IFERROR(__xludf.DUMMYFUNCTION("""COMPUTED_VALUE"""),"HB")</f>
        <v>HB</v>
      </c>
      <c r="G3144">
        <f>IFERROR(__xludf.DUMMYFUNCTION("""COMPUTED_VALUE"""),13.0)</f>
        <v>13</v>
      </c>
    </row>
    <row r="3145">
      <c r="D3145" t="str">
        <f>IFERROR(__xludf.DUMMYFUNCTION("""COMPUTED_VALUE"""),"Grant")</f>
        <v>Grant</v>
      </c>
      <c r="E3145" t="str">
        <f>IFERROR(__xludf.DUMMYFUNCTION("""COMPUTED_VALUE"""),"Curtis")</f>
        <v>Curtis</v>
      </c>
      <c r="F3145" t="str">
        <f>IFERROR(__xludf.DUMMYFUNCTION("""COMPUTED_VALUE"""),"MLB")</f>
        <v>MLB</v>
      </c>
      <c r="G3145">
        <f>IFERROR(__xludf.DUMMYFUNCTION("""COMPUTED_VALUE"""),12.0)</f>
        <v>12</v>
      </c>
    </row>
    <row r="3146">
      <c r="D3146" t="str">
        <f>IFERROR(__xludf.DUMMYFUNCTION("""COMPUTED_VALUE"""),"Grant")</f>
        <v>Grant</v>
      </c>
      <c r="E3146" t="str">
        <f>IFERROR(__xludf.DUMMYFUNCTION("""COMPUTED_VALUE"""),"Doran")</f>
        <v>Doran</v>
      </c>
      <c r="F3146" t="str">
        <f>IFERROR(__xludf.DUMMYFUNCTION("""COMPUTED_VALUE"""),"CB")</f>
        <v>CB</v>
      </c>
      <c r="G3146">
        <f>IFERROR(__xludf.DUMMYFUNCTION("""COMPUTED_VALUE"""),13.200000000000001)</f>
        <v>13.2</v>
      </c>
    </row>
    <row r="3147">
      <c r="D3147" t="str">
        <f>IFERROR(__xludf.DUMMYFUNCTION("""COMPUTED_VALUE"""),"Grant")</f>
        <v>Grant</v>
      </c>
      <c r="E3147" t="str">
        <f>IFERROR(__xludf.DUMMYFUNCTION("""COMPUTED_VALUE"""),"Jakeem")</f>
        <v>Jakeem</v>
      </c>
      <c r="F3147" t="str">
        <f>IFERROR(__xludf.DUMMYFUNCTION("""COMPUTED_VALUE"""),"WR")</f>
        <v>WR</v>
      </c>
      <c r="G3147">
        <f>IFERROR(__xludf.DUMMYFUNCTION("""COMPUTED_VALUE"""),13.4)</f>
        <v>13.4</v>
      </c>
    </row>
    <row r="3148">
      <c r="D3148" t="str">
        <f>IFERROR(__xludf.DUMMYFUNCTION("""COMPUTED_VALUE"""),"Grant")</f>
        <v>Grant</v>
      </c>
      <c r="E3148" t="str">
        <f>IFERROR(__xludf.DUMMYFUNCTION("""COMPUTED_VALUE"""),"Ryan")</f>
        <v>Ryan</v>
      </c>
      <c r="F3148" t="str">
        <f>IFERROR(__xludf.DUMMYFUNCTION("""COMPUTED_VALUE"""),"WR")</f>
        <v>WR</v>
      </c>
      <c r="G3148">
        <f>IFERROR(__xludf.DUMMYFUNCTION("""COMPUTED_VALUE"""),13.4)</f>
        <v>13.4</v>
      </c>
    </row>
    <row r="3149">
      <c r="D3149" t="str">
        <f>IFERROR(__xludf.DUMMYFUNCTION("""COMPUTED_VALUE"""),"Grasu")</f>
        <v>Grasu</v>
      </c>
      <c r="E3149" t="str">
        <f>IFERROR(__xludf.DUMMYFUNCTION("""COMPUTED_VALUE"""),"Hroniss")</f>
        <v>Hroniss</v>
      </c>
      <c r="F3149" t="str">
        <f>IFERROR(__xludf.DUMMYFUNCTION("""COMPUTED_VALUE"""),"C")</f>
        <v>C</v>
      </c>
      <c r="G3149">
        <f>IFERROR(__xludf.DUMMYFUNCTION("""COMPUTED_VALUE"""),13.8)</f>
        <v>13.8</v>
      </c>
    </row>
    <row r="3150">
      <c r="D3150" t="str">
        <f>IFERROR(__xludf.DUMMYFUNCTION("""COMPUTED_VALUE"""),"Gratz")</f>
        <v>Gratz</v>
      </c>
      <c r="E3150" t="str">
        <f>IFERROR(__xludf.DUMMYFUNCTION("""COMPUTED_VALUE"""),"Dwayne")</f>
        <v>Dwayne</v>
      </c>
      <c r="F3150" t="str">
        <f>IFERROR(__xludf.DUMMYFUNCTION("""COMPUTED_VALUE"""),"CB")</f>
        <v>CB</v>
      </c>
      <c r="G3150">
        <f>IFERROR(__xludf.DUMMYFUNCTION("""COMPUTED_VALUE"""),14.200000000000001)</f>
        <v>14.2</v>
      </c>
    </row>
    <row r="3151">
      <c r="D3151" t="str">
        <f>IFERROR(__xludf.DUMMYFUNCTION("""COMPUTED_VALUE"""),"Gray")</f>
        <v>Gray</v>
      </c>
      <c r="E3151" t="str">
        <f>IFERROR(__xludf.DUMMYFUNCTION("""COMPUTED_VALUE"""),"MarQueis")</f>
        <v>MarQueis</v>
      </c>
      <c r="F3151" t="str">
        <f>IFERROR(__xludf.DUMMYFUNCTION("""COMPUTED_VALUE"""),"TE")</f>
        <v>TE</v>
      </c>
      <c r="G3151">
        <f>IFERROR(__xludf.DUMMYFUNCTION("""COMPUTED_VALUE"""),13.8)</f>
        <v>13.8</v>
      </c>
    </row>
    <row r="3152">
      <c r="D3152" t="str">
        <f>IFERROR(__xludf.DUMMYFUNCTION("""COMPUTED_VALUE"""),"Grayson")</f>
        <v>Grayson</v>
      </c>
      <c r="E3152" t="str">
        <f>IFERROR(__xludf.DUMMYFUNCTION("""COMPUTED_VALUE"""),"Garrett")</f>
        <v>Garrett</v>
      </c>
      <c r="F3152" t="str">
        <f>IFERROR(__xludf.DUMMYFUNCTION("""COMPUTED_VALUE"""),"QB")</f>
        <v>QB</v>
      </c>
      <c r="G3152">
        <f>IFERROR(__xludf.DUMMYFUNCTION("""COMPUTED_VALUE"""),12.4)</f>
        <v>12.4</v>
      </c>
    </row>
    <row r="3153">
      <c r="D3153" t="str">
        <f>IFERROR(__xludf.DUMMYFUNCTION("""COMPUTED_VALUE"""),"Greco")</f>
        <v>Greco</v>
      </c>
      <c r="E3153" t="str">
        <f>IFERROR(__xludf.DUMMYFUNCTION("""COMPUTED_VALUE"""),"John")</f>
        <v>John</v>
      </c>
      <c r="F3153" t="str">
        <f>IFERROR(__xludf.DUMMYFUNCTION("""COMPUTED_VALUE"""),"RG")</f>
        <v>RG</v>
      </c>
      <c r="G3153">
        <f>IFERROR(__xludf.DUMMYFUNCTION("""COMPUTED_VALUE"""),16.400000000000002)</f>
        <v>16.4</v>
      </c>
    </row>
    <row r="3154">
      <c r="D3154" t="str">
        <f>IFERROR(__xludf.DUMMYFUNCTION("""COMPUTED_VALUE"""),"Green")</f>
        <v>Green</v>
      </c>
      <c r="E3154" t="str">
        <f>IFERROR(__xludf.DUMMYFUNCTION("""COMPUTED_VALUE"""),"AJ")</f>
        <v>AJ</v>
      </c>
      <c r="F3154" t="str">
        <f>IFERROR(__xludf.DUMMYFUNCTION("""COMPUTED_VALUE"""),"WR")</f>
        <v>WR</v>
      </c>
      <c r="G3154">
        <f>IFERROR(__xludf.DUMMYFUNCTION("""COMPUTED_VALUE"""),18.8)</f>
        <v>18.8</v>
      </c>
    </row>
    <row r="3155">
      <c r="D3155" t="str">
        <f>IFERROR(__xludf.DUMMYFUNCTION("""COMPUTED_VALUE"""),"Green")</f>
        <v>Green</v>
      </c>
      <c r="E3155" t="str">
        <f>IFERROR(__xludf.DUMMYFUNCTION("""COMPUTED_VALUE"""),"Chaz")</f>
        <v>Chaz</v>
      </c>
      <c r="F3155" t="str">
        <f>IFERROR(__xludf.DUMMYFUNCTION("""COMPUTED_VALUE"""),"RT")</f>
        <v>RT</v>
      </c>
      <c r="G3155">
        <f>IFERROR(__xludf.DUMMYFUNCTION("""COMPUTED_VALUE"""),14.0)</f>
        <v>14</v>
      </c>
    </row>
    <row r="3156">
      <c r="D3156" t="str">
        <f>IFERROR(__xludf.DUMMYFUNCTION("""COMPUTED_VALUE"""),"Green")</f>
        <v>Green</v>
      </c>
      <c r="E3156" t="str">
        <f>IFERROR(__xludf.DUMMYFUNCTION("""COMPUTED_VALUE"""),"TJ")</f>
        <v>TJ</v>
      </c>
      <c r="F3156" t="str">
        <f>IFERROR(__xludf.DUMMYFUNCTION("""COMPUTED_VALUE"""),"FS")</f>
        <v>FS</v>
      </c>
      <c r="G3156">
        <f>IFERROR(__xludf.DUMMYFUNCTION("""COMPUTED_VALUE"""),13.600000000000001)</f>
        <v>13.6</v>
      </c>
    </row>
    <row r="3157">
      <c r="D3157" t="str">
        <f>IFERROR(__xludf.DUMMYFUNCTION("""COMPUTED_VALUE"""),"Green")</f>
        <v>Green</v>
      </c>
      <c r="E3157" t="str">
        <f>IFERROR(__xludf.DUMMYFUNCTION("""COMPUTED_VALUE"""),"Virgil")</f>
        <v>Virgil</v>
      </c>
      <c r="F3157" t="str">
        <f>IFERROR(__xludf.DUMMYFUNCTION("""COMPUTED_VALUE"""),"TE")</f>
        <v>TE</v>
      </c>
      <c r="G3157">
        <f>IFERROR(__xludf.DUMMYFUNCTION("""COMPUTED_VALUE"""),16.2)</f>
        <v>16.2</v>
      </c>
    </row>
    <row r="3158">
      <c r="D3158" t="str">
        <f>IFERROR(__xludf.DUMMYFUNCTION("""COMPUTED_VALUE"""),"Greene")</f>
        <v>Greene</v>
      </c>
      <c r="E3158" t="str">
        <f>IFERROR(__xludf.DUMMYFUNCTION("""COMPUTED_VALUE"""),"Darrell")</f>
        <v>Darrell</v>
      </c>
      <c r="F3158" t="str">
        <f>IFERROR(__xludf.DUMMYFUNCTION("""COMPUTED_VALUE"""),"RG")</f>
        <v>RG</v>
      </c>
      <c r="G3158">
        <f>IFERROR(__xludf.DUMMYFUNCTION("""COMPUTED_VALUE"""),12.200000000000001)</f>
        <v>12.2</v>
      </c>
    </row>
    <row r="3159">
      <c r="D3159" t="str">
        <f>IFERROR(__xludf.DUMMYFUNCTION("""COMPUTED_VALUE"""),"Greene Sr")</f>
        <v>Greene Sr</v>
      </c>
      <c r="E3159" t="str">
        <f>IFERROR(__xludf.DUMMYFUNCTION("""COMPUTED_VALUE"""),"Rashad")</f>
        <v>Rashad</v>
      </c>
      <c r="F3159" t="str">
        <f>IFERROR(__xludf.DUMMYFUNCTION("""COMPUTED_VALUE"""),"WR")</f>
        <v>WR</v>
      </c>
      <c r="G3159">
        <f>IFERROR(__xludf.DUMMYFUNCTION("""COMPUTED_VALUE"""),14.200000000000001)</f>
        <v>14.2</v>
      </c>
    </row>
    <row r="3160">
      <c r="D3160" t="str">
        <f>IFERROR(__xludf.DUMMYFUNCTION("""COMPUTED_VALUE"""),"Gregory")</f>
        <v>Gregory</v>
      </c>
      <c r="E3160" t="str">
        <f>IFERROR(__xludf.DUMMYFUNCTION("""COMPUTED_VALUE"""),"Randy")</f>
        <v>Randy</v>
      </c>
      <c r="F3160" t="str">
        <f>IFERROR(__xludf.DUMMYFUNCTION("""COMPUTED_VALUE"""),"RE")</f>
        <v>RE</v>
      </c>
      <c r="G3160">
        <f>IFERROR(__xludf.DUMMYFUNCTION("""COMPUTED_VALUE"""),14.8)</f>
        <v>14.8</v>
      </c>
    </row>
    <row r="3161">
      <c r="D3161" t="str">
        <f>IFERROR(__xludf.DUMMYFUNCTION("""COMPUTED_VALUE"""),"Gresham")</f>
        <v>Gresham</v>
      </c>
      <c r="E3161" t="str">
        <f>IFERROR(__xludf.DUMMYFUNCTION("""COMPUTED_VALUE"""),"Jermaine")</f>
        <v>Jermaine</v>
      </c>
      <c r="F3161" t="str">
        <f>IFERROR(__xludf.DUMMYFUNCTION("""COMPUTED_VALUE"""),"TE")</f>
        <v>TE</v>
      </c>
      <c r="G3161">
        <f>IFERROR(__xludf.DUMMYFUNCTION("""COMPUTED_VALUE"""),15.4)</f>
        <v>15.4</v>
      </c>
    </row>
    <row r="3162">
      <c r="D3162" t="str">
        <f>IFERROR(__xludf.DUMMYFUNCTION("""COMPUTED_VALUE"""),"Griffen")</f>
        <v>Griffen</v>
      </c>
      <c r="E3162" t="str">
        <f>IFERROR(__xludf.DUMMYFUNCTION("""COMPUTED_VALUE"""),"Everson")</f>
        <v>Everson</v>
      </c>
      <c r="F3162" t="str">
        <f>IFERROR(__xludf.DUMMYFUNCTION("""COMPUTED_VALUE"""),"RE")</f>
        <v>RE</v>
      </c>
      <c r="G3162">
        <f>IFERROR(__xludf.DUMMYFUNCTION("""COMPUTED_VALUE"""),17.2)</f>
        <v>17.2</v>
      </c>
    </row>
    <row r="3163">
      <c r="D3163" t="str">
        <f>IFERROR(__xludf.DUMMYFUNCTION("""COMPUTED_VALUE"""),"Griffin")</f>
        <v>Griffin</v>
      </c>
      <c r="E3163" t="str">
        <f>IFERROR(__xludf.DUMMYFUNCTION("""COMPUTED_VALUE"""),"Ryan")</f>
        <v>Ryan</v>
      </c>
      <c r="F3163" t="str">
        <f>IFERROR(__xludf.DUMMYFUNCTION("""COMPUTED_VALUE"""),"QB")</f>
        <v>QB</v>
      </c>
      <c r="G3163">
        <f>IFERROR(__xludf.DUMMYFUNCTION("""COMPUTED_VALUE"""),12.200000000000001)</f>
        <v>12.2</v>
      </c>
    </row>
    <row r="3164">
      <c r="D3164" t="str">
        <f>IFERROR(__xludf.DUMMYFUNCTION("""COMPUTED_VALUE"""),"Griffin")</f>
        <v>Griffin</v>
      </c>
      <c r="E3164" t="str">
        <f>IFERROR(__xludf.DUMMYFUNCTION("""COMPUTED_VALUE"""),"Ryan")</f>
        <v>Ryan</v>
      </c>
      <c r="F3164" t="str">
        <f>IFERROR(__xludf.DUMMYFUNCTION("""COMPUTED_VALUE"""),"TE")</f>
        <v>TE</v>
      </c>
      <c r="G3164">
        <f>IFERROR(__xludf.DUMMYFUNCTION("""COMPUTED_VALUE"""),14.4)</f>
        <v>14.4</v>
      </c>
    </row>
    <row r="3165">
      <c r="D3165" t="str">
        <f>IFERROR(__xludf.DUMMYFUNCTION("""COMPUTED_VALUE"""),"Griffin")</f>
        <v>Griffin</v>
      </c>
      <c r="E3165" t="str">
        <f>IFERROR(__xludf.DUMMYFUNCTION("""COMPUTED_VALUE"""),"Shaquill")</f>
        <v>Shaquill</v>
      </c>
      <c r="F3165" t="str">
        <f>IFERROR(__xludf.DUMMYFUNCTION("""COMPUTED_VALUE"""),"CB")</f>
        <v>CB</v>
      </c>
      <c r="G3165">
        <f>IFERROR(__xludf.DUMMYFUNCTION("""COMPUTED_VALUE"""),14.0)</f>
        <v>14</v>
      </c>
    </row>
    <row r="3166">
      <c r="D3166" t="str">
        <f>IFERROR(__xludf.DUMMYFUNCTION("""COMPUTED_VALUE"""),"Grigsby")</f>
        <v>Grigsby</v>
      </c>
      <c r="E3166" t="str">
        <f>IFERROR(__xludf.DUMMYFUNCTION("""COMPUTED_VALUE"""),"Nic")</f>
        <v>Nic</v>
      </c>
      <c r="F3166" t="str">
        <f>IFERROR(__xludf.DUMMYFUNCTION("""COMPUTED_VALUE"""),"LOLB")</f>
        <v>LOLB</v>
      </c>
      <c r="G3166">
        <f>IFERROR(__xludf.DUMMYFUNCTION("""COMPUTED_VALUE"""),12.4)</f>
        <v>12.4</v>
      </c>
    </row>
    <row r="3167">
      <c r="D3167" t="str">
        <f>IFERROR(__xludf.DUMMYFUNCTION("""COMPUTED_VALUE"""),"Grimble")</f>
        <v>Grimble</v>
      </c>
      <c r="E3167" t="str">
        <f>IFERROR(__xludf.DUMMYFUNCTION("""COMPUTED_VALUE"""),"Xavier")</f>
        <v>Xavier</v>
      </c>
      <c r="F3167" t="str">
        <f>IFERROR(__xludf.DUMMYFUNCTION("""COMPUTED_VALUE"""),"TE")</f>
        <v>TE</v>
      </c>
      <c r="G3167">
        <f>IFERROR(__xludf.DUMMYFUNCTION("""COMPUTED_VALUE"""),13.8)</f>
        <v>13.8</v>
      </c>
    </row>
    <row r="3168">
      <c r="D3168" t="str">
        <f>IFERROR(__xludf.DUMMYFUNCTION("""COMPUTED_VALUE"""),"Grimes")</f>
        <v>Grimes</v>
      </c>
      <c r="E3168" t="str">
        <f>IFERROR(__xludf.DUMMYFUNCTION("""COMPUTED_VALUE"""),"Brent")</f>
        <v>Brent</v>
      </c>
      <c r="F3168" t="str">
        <f>IFERROR(__xludf.DUMMYFUNCTION("""COMPUTED_VALUE"""),"CB")</f>
        <v>CB</v>
      </c>
      <c r="G3168">
        <f>IFERROR(__xludf.DUMMYFUNCTION("""COMPUTED_VALUE"""),17.6)</f>
        <v>17.6</v>
      </c>
    </row>
    <row r="3169">
      <c r="D3169" t="str">
        <f>IFERROR(__xludf.DUMMYFUNCTION("""COMPUTED_VALUE"""),"Grissom")</f>
        <v>Grissom</v>
      </c>
      <c r="E3169" t="str">
        <f>IFERROR(__xludf.DUMMYFUNCTION("""COMPUTED_VALUE"""),"Geneo")</f>
        <v>Geneo</v>
      </c>
      <c r="F3169" t="str">
        <f>IFERROR(__xludf.DUMMYFUNCTION("""COMPUTED_VALUE"""),"LE")</f>
        <v>LE</v>
      </c>
      <c r="G3169">
        <f>IFERROR(__xludf.DUMMYFUNCTION("""COMPUTED_VALUE"""),12.600000000000001)</f>
        <v>12.6</v>
      </c>
    </row>
    <row r="3170">
      <c r="D3170" t="str">
        <f>IFERROR(__xludf.DUMMYFUNCTION("""COMPUTED_VALUE"""),"Gronkowski")</f>
        <v>Gronkowski</v>
      </c>
      <c r="E3170" t="str">
        <f>IFERROR(__xludf.DUMMYFUNCTION("""COMPUTED_VALUE"""),"Glenn")</f>
        <v>Glenn</v>
      </c>
      <c r="F3170" t="str">
        <f>IFERROR(__xludf.DUMMYFUNCTION("""COMPUTED_VALUE"""),"FB")</f>
        <v>FB</v>
      </c>
      <c r="G3170">
        <f>IFERROR(__xludf.DUMMYFUNCTION("""COMPUTED_VALUE"""),13.4)</f>
        <v>13.4</v>
      </c>
    </row>
    <row r="3171">
      <c r="D3171" t="str">
        <f>IFERROR(__xludf.DUMMYFUNCTION("""COMPUTED_VALUE"""),"Gronkowski")</f>
        <v>Gronkowski</v>
      </c>
      <c r="E3171" t="str">
        <f>IFERROR(__xludf.DUMMYFUNCTION("""COMPUTED_VALUE"""),"Rob")</f>
        <v>Rob</v>
      </c>
      <c r="F3171" t="str">
        <f>IFERROR(__xludf.DUMMYFUNCTION("""COMPUTED_VALUE"""),"TE")</f>
        <v>TE</v>
      </c>
      <c r="G3171">
        <f>IFERROR(__xludf.DUMMYFUNCTION("""COMPUTED_VALUE"""),19.6)</f>
        <v>19.6</v>
      </c>
    </row>
    <row r="3172">
      <c r="D3172" t="str">
        <f>IFERROR(__xludf.DUMMYFUNCTION("""COMPUTED_VALUE"""),"Groy")</f>
        <v>Groy</v>
      </c>
      <c r="E3172" t="str">
        <f>IFERROR(__xludf.DUMMYFUNCTION("""COMPUTED_VALUE"""),"Ryan")</f>
        <v>Ryan</v>
      </c>
      <c r="F3172" t="str">
        <f>IFERROR(__xludf.DUMMYFUNCTION("""COMPUTED_VALUE"""),"LG")</f>
        <v>LG</v>
      </c>
      <c r="G3172">
        <f>IFERROR(__xludf.DUMMYFUNCTION("""COMPUTED_VALUE"""),14.4)</f>
        <v>14.4</v>
      </c>
    </row>
    <row r="3173">
      <c r="D3173" t="str">
        <f>IFERROR(__xludf.DUMMYFUNCTION("""COMPUTED_VALUE"""),"Grugier-Hill")</f>
        <v>Grugier-Hill</v>
      </c>
      <c r="E3173" t="str">
        <f>IFERROR(__xludf.DUMMYFUNCTION("""COMPUTED_VALUE"""),"Kamu")</f>
        <v>Kamu</v>
      </c>
      <c r="F3173" t="str">
        <f>IFERROR(__xludf.DUMMYFUNCTION("""COMPUTED_VALUE"""),"ROLB")</f>
        <v>ROLB</v>
      </c>
      <c r="G3173">
        <f>IFERROR(__xludf.DUMMYFUNCTION("""COMPUTED_VALUE"""),12.600000000000001)</f>
        <v>12.6</v>
      </c>
    </row>
    <row r="3174">
      <c r="D3174" t="str">
        <f>IFERROR(__xludf.DUMMYFUNCTION("""COMPUTED_VALUE"""),"Grymes")</f>
        <v>Grymes</v>
      </c>
      <c r="E3174" t="str">
        <f>IFERROR(__xludf.DUMMYFUNCTION("""COMPUTED_VALUE"""),"Aaron")</f>
        <v>Aaron</v>
      </c>
      <c r="F3174" t="str">
        <f>IFERROR(__xludf.DUMMYFUNCTION("""COMPUTED_VALUE"""),"CB")</f>
        <v>CB</v>
      </c>
      <c r="G3174">
        <f>IFERROR(__xludf.DUMMYFUNCTION("""COMPUTED_VALUE"""),12.4)</f>
        <v>12.4</v>
      </c>
    </row>
    <row r="3175">
      <c r="D3175" t="str">
        <f>IFERROR(__xludf.DUMMYFUNCTION("""COMPUTED_VALUE"""),"Guion")</f>
        <v>Guion</v>
      </c>
      <c r="E3175" t="str">
        <f>IFERROR(__xludf.DUMMYFUNCTION("""COMPUTED_VALUE"""),"Letroy")</f>
        <v>Letroy</v>
      </c>
      <c r="F3175" t="str">
        <f>IFERROR(__xludf.DUMMYFUNCTION("""COMPUTED_VALUE"""),"DT")</f>
        <v>DT</v>
      </c>
      <c r="G3175">
        <f>IFERROR(__xludf.DUMMYFUNCTION("""COMPUTED_VALUE"""),14.8)</f>
        <v>14.8</v>
      </c>
    </row>
    <row r="3176">
      <c r="D3176" t="str">
        <f>IFERROR(__xludf.DUMMYFUNCTION("""COMPUTED_VALUE"""),"Gunter")</f>
        <v>Gunter</v>
      </c>
      <c r="E3176" t="str">
        <f>IFERROR(__xludf.DUMMYFUNCTION("""COMPUTED_VALUE"""),"LaDarius")</f>
        <v>LaDarius</v>
      </c>
      <c r="F3176" t="str">
        <f>IFERROR(__xludf.DUMMYFUNCTION("""COMPUTED_VALUE"""),"CB")</f>
        <v>CB</v>
      </c>
      <c r="G3176">
        <f>IFERROR(__xludf.DUMMYFUNCTION("""COMPUTED_VALUE"""),14.4)</f>
        <v>14.4</v>
      </c>
    </row>
    <row r="3177">
      <c r="D3177" t="str">
        <f>IFERROR(__xludf.DUMMYFUNCTION("""COMPUTED_VALUE"""),"Gunter")</f>
        <v>Gunter</v>
      </c>
      <c r="E3177" t="str">
        <f>IFERROR(__xludf.DUMMYFUNCTION("""COMPUTED_VALUE"""),"Rodney")</f>
        <v>Rodney</v>
      </c>
      <c r="F3177" t="str">
        <f>IFERROR(__xludf.DUMMYFUNCTION("""COMPUTED_VALUE"""),"RE")</f>
        <v>RE</v>
      </c>
      <c r="G3177">
        <f>IFERROR(__xludf.DUMMYFUNCTION("""COMPUTED_VALUE"""),13.0)</f>
        <v>13</v>
      </c>
    </row>
    <row r="3178">
      <c r="D3178" t="str">
        <f>IFERROR(__xludf.DUMMYFUNCTION("""COMPUTED_VALUE"""),"Gurley II")</f>
        <v>Gurley II</v>
      </c>
      <c r="E3178" t="str">
        <f>IFERROR(__xludf.DUMMYFUNCTION("""COMPUTED_VALUE"""),"Todd")</f>
        <v>Todd</v>
      </c>
      <c r="F3178" t="str">
        <f>IFERROR(__xludf.DUMMYFUNCTION("""COMPUTED_VALUE"""),"HB")</f>
        <v>HB</v>
      </c>
      <c r="G3178">
        <f>IFERROR(__xludf.DUMMYFUNCTION("""COMPUTED_VALUE"""),17.0)</f>
        <v>17</v>
      </c>
    </row>
    <row r="3179">
      <c r="D3179" t="str">
        <f>IFERROR(__xludf.DUMMYFUNCTION("""COMPUTED_VALUE"""),"Guy")</f>
        <v>Guy</v>
      </c>
      <c r="E3179" t="str">
        <f>IFERROR(__xludf.DUMMYFUNCTION("""COMPUTED_VALUE"""),"Lawrence")</f>
        <v>Lawrence</v>
      </c>
      <c r="F3179" t="str">
        <f>IFERROR(__xludf.DUMMYFUNCTION("""COMPUTED_VALUE"""),"RE")</f>
        <v>RE</v>
      </c>
      <c r="G3179">
        <f>IFERROR(__xludf.DUMMYFUNCTION("""COMPUTED_VALUE"""),15.0)</f>
        <v>15</v>
      </c>
    </row>
    <row r="3180">
      <c r="D3180" t="str">
        <f>IFERROR(__xludf.DUMMYFUNCTION("""COMPUTED_VALUE"""),"Gwacham")</f>
        <v>Gwacham</v>
      </c>
      <c r="E3180" t="str">
        <f>IFERROR(__xludf.DUMMYFUNCTION("""COMPUTED_VALUE"""),"Obum")</f>
        <v>Obum</v>
      </c>
      <c r="F3180" t="str">
        <f>IFERROR(__xludf.DUMMYFUNCTION("""COMPUTED_VALUE"""),"LE")</f>
        <v>LE</v>
      </c>
      <c r="G3180">
        <f>IFERROR(__xludf.DUMMYFUNCTION("""COMPUTED_VALUE"""),12.4)</f>
        <v>12.4</v>
      </c>
    </row>
    <row r="3181">
      <c r="D3181" t="str">
        <f>IFERROR(__xludf.DUMMYFUNCTION("""COMPUTED_VALUE"""),"Hackenberg")</f>
        <v>Hackenberg</v>
      </c>
      <c r="E3181" t="str">
        <f>IFERROR(__xludf.DUMMYFUNCTION("""COMPUTED_VALUE"""),"Christian")</f>
        <v>Christian</v>
      </c>
      <c r="F3181" t="str">
        <f>IFERROR(__xludf.DUMMYFUNCTION("""COMPUTED_VALUE"""),"QB")</f>
        <v>QB</v>
      </c>
      <c r="G3181">
        <f>IFERROR(__xludf.DUMMYFUNCTION("""COMPUTED_VALUE"""),13.200000000000001)</f>
        <v>13.2</v>
      </c>
    </row>
    <row r="3182">
      <c r="D3182" t="str">
        <f>IFERROR(__xludf.DUMMYFUNCTION("""COMPUTED_VALUE"""),"Haden")</f>
        <v>Haden</v>
      </c>
      <c r="E3182" t="str">
        <f>IFERROR(__xludf.DUMMYFUNCTION("""COMPUTED_VALUE"""),"Joe")</f>
        <v>Joe</v>
      </c>
      <c r="F3182" t="str">
        <f>IFERROR(__xludf.DUMMYFUNCTION("""COMPUTED_VALUE"""),"CB")</f>
        <v>CB</v>
      </c>
      <c r="G3182">
        <f>IFERROR(__xludf.DUMMYFUNCTION("""COMPUTED_VALUE"""),16.2)</f>
        <v>16.2</v>
      </c>
    </row>
    <row r="3183">
      <c r="D3183" t="str">
        <f>IFERROR(__xludf.DUMMYFUNCTION("""COMPUTED_VALUE"""),"Haeg")</f>
        <v>Haeg</v>
      </c>
      <c r="E3183" t="str">
        <f>IFERROR(__xludf.DUMMYFUNCTION("""COMPUTED_VALUE"""),"Joe")</f>
        <v>Joe</v>
      </c>
      <c r="F3183" t="str">
        <f>IFERROR(__xludf.DUMMYFUNCTION("""COMPUTED_VALUE"""),"RT")</f>
        <v>RT</v>
      </c>
      <c r="G3183">
        <f>IFERROR(__xludf.DUMMYFUNCTION("""COMPUTED_VALUE"""),14.4)</f>
        <v>14.4</v>
      </c>
    </row>
    <row r="3184">
      <c r="D3184" t="str">
        <f>IFERROR(__xludf.DUMMYFUNCTION("""COMPUTED_VALUE"""),"Hageman")</f>
        <v>Hageman</v>
      </c>
      <c r="E3184" t="str">
        <f>IFERROR(__xludf.DUMMYFUNCTION("""COMPUTED_VALUE"""),"RaShede")</f>
        <v>RaShede</v>
      </c>
      <c r="F3184" t="str">
        <f>IFERROR(__xludf.DUMMYFUNCTION("""COMPUTED_VALUE"""),"RE")</f>
        <v>RE</v>
      </c>
      <c r="G3184">
        <f>IFERROR(__xludf.DUMMYFUNCTION("""COMPUTED_VALUE"""),15.0)</f>
        <v>15</v>
      </c>
    </row>
    <row r="3185">
      <c r="D3185" t="str">
        <f>IFERROR(__xludf.DUMMYFUNCTION("""COMPUTED_VALUE"""),"Hager")</f>
        <v>Hager</v>
      </c>
      <c r="E3185" t="str">
        <f>IFERROR(__xludf.DUMMYFUNCTION("""COMPUTED_VALUE"""),"Bryce")</f>
        <v>Bryce</v>
      </c>
      <c r="F3185" t="str">
        <f>IFERROR(__xludf.DUMMYFUNCTION("""COMPUTED_VALUE"""),"MLB")</f>
        <v>MLB</v>
      </c>
      <c r="G3185">
        <f>IFERROR(__xludf.DUMMYFUNCTION("""COMPUTED_VALUE"""),12.0)</f>
        <v>12</v>
      </c>
    </row>
    <row r="3186">
      <c r="D3186" t="str">
        <f>IFERROR(__xludf.DUMMYFUNCTION("""COMPUTED_VALUE"""),"Hairston")</f>
        <v>Hairston</v>
      </c>
      <c r="E3186" t="str">
        <f>IFERROR(__xludf.DUMMYFUNCTION("""COMPUTED_VALUE"""),"Chris")</f>
        <v>Chris</v>
      </c>
      <c r="F3186" t="str">
        <f>IFERROR(__xludf.DUMMYFUNCTION("""COMPUTED_VALUE"""),"RT")</f>
        <v>RT</v>
      </c>
      <c r="G3186">
        <f>IFERROR(__xludf.DUMMYFUNCTION("""COMPUTED_VALUE"""),14.200000000000001)</f>
        <v>14.2</v>
      </c>
    </row>
    <row r="3187">
      <c r="D3187" t="str">
        <f>IFERROR(__xludf.DUMMYFUNCTION("""COMPUTED_VALUE"""),"Hairston")</f>
        <v>Hairston</v>
      </c>
      <c r="E3187" t="str">
        <f>IFERROR(__xludf.DUMMYFUNCTION("""COMPUTED_VALUE"""),"Nate")</f>
        <v>Nate</v>
      </c>
      <c r="F3187" t="str">
        <f>IFERROR(__xludf.DUMMYFUNCTION("""COMPUTED_VALUE"""),"CB")</f>
        <v>CB</v>
      </c>
      <c r="G3187">
        <f>IFERROR(__xludf.DUMMYFUNCTION("""COMPUTED_VALUE"""),12.8)</f>
        <v>12.8</v>
      </c>
    </row>
    <row r="3188">
      <c r="D3188" t="str">
        <f>IFERROR(__xludf.DUMMYFUNCTION("""COMPUTED_VALUE"""),"Hal")</f>
        <v>Hal</v>
      </c>
      <c r="E3188" t="str">
        <f>IFERROR(__xludf.DUMMYFUNCTION("""COMPUTED_VALUE"""),"Andre")</f>
        <v>Andre</v>
      </c>
      <c r="F3188" t="str">
        <f>IFERROR(__xludf.DUMMYFUNCTION("""COMPUTED_VALUE"""),"FS")</f>
        <v>FS</v>
      </c>
      <c r="G3188">
        <f>IFERROR(__xludf.DUMMYFUNCTION("""COMPUTED_VALUE"""),14.8)</f>
        <v>14.8</v>
      </c>
    </row>
    <row r="3189">
      <c r="D3189" t="str">
        <f>IFERROR(__xludf.DUMMYFUNCTION("""COMPUTED_VALUE"""),"Halapio")</f>
        <v>Halapio</v>
      </c>
      <c r="E3189" t="str">
        <f>IFERROR(__xludf.DUMMYFUNCTION("""COMPUTED_VALUE"""),"Jon")</f>
        <v>Jon</v>
      </c>
      <c r="F3189" t="str">
        <f>IFERROR(__xludf.DUMMYFUNCTION("""COMPUTED_VALUE"""),"RG")</f>
        <v>RG</v>
      </c>
      <c r="G3189">
        <f>IFERROR(__xludf.DUMMYFUNCTION("""COMPUTED_VALUE"""),12.4)</f>
        <v>12.4</v>
      </c>
    </row>
    <row r="3190">
      <c r="D3190" t="str">
        <f>IFERROR(__xludf.DUMMYFUNCTION("""COMPUTED_VALUE"""),"Hali")</f>
        <v>Hali</v>
      </c>
      <c r="E3190" t="str">
        <f>IFERROR(__xludf.DUMMYFUNCTION("""COMPUTED_VALUE"""),"Tamba")</f>
        <v>Tamba</v>
      </c>
      <c r="F3190" t="str">
        <f>IFERROR(__xludf.DUMMYFUNCTION("""COMPUTED_VALUE"""),"ROLB")</f>
        <v>ROLB</v>
      </c>
      <c r="G3190">
        <f>IFERROR(__xludf.DUMMYFUNCTION("""COMPUTED_VALUE"""),16.400000000000002)</f>
        <v>16.4</v>
      </c>
    </row>
    <row r="3191">
      <c r="D3191" t="str">
        <f>IFERROR(__xludf.DUMMYFUNCTION("""COMPUTED_VALUE"""),"Hall")</f>
        <v>Hall</v>
      </c>
      <c r="E3191" t="str">
        <f>IFERROR(__xludf.DUMMYFUNCTION("""COMPUTED_VALUE"""),"Daeshon")</f>
        <v>Daeshon</v>
      </c>
      <c r="F3191" t="str">
        <f>IFERROR(__xludf.DUMMYFUNCTION("""COMPUTED_VALUE"""),"RE")</f>
        <v>RE</v>
      </c>
      <c r="G3191">
        <f>IFERROR(__xludf.DUMMYFUNCTION("""COMPUTED_VALUE"""),13.8)</f>
        <v>13.8</v>
      </c>
    </row>
    <row r="3192">
      <c r="D3192" t="str">
        <f>IFERROR(__xludf.DUMMYFUNCTION("""COMPUTED_VALUE"""),"Hall")</f>
        <v>Hall</v>
      </c>
      <c r="E3192" t="str">
        <f>IFERROR(__xludf.DUMMYFUNCTION("""COMPUTED_VALUE"""),"DeAngelo")</f>
        <v>DeAngelo</v>
      </c>
      <c r="F3192" t="str">
        <f>IFERROR(__xludf.DUMMYFUNCTION("""COMPUTED_VALUE"""),"FS")</f>
        <v>FS</v>
      </c>
      <c r="G3192">
        <f>IFERROR(__xludf.DUMMYFUNCTION("""COMPUTED_VALUE"""),15.8)</f>
        <v>15.8</v>
      </c>
    </row>
    <row r="3193">
      <c r="D3193" t="str">
        <f>IFERROR(__xludf.DUMMYFUNCTION("""COMPUTED_VALUE"""),"Hall")</f>
        <v>Hall</v>
      </c>
      <c r="E3193" t="str">
        <f>IFERROR(__xludf.DUMMYFUNCTION("""COMPUTED_VALUE"""),"Deiondre")</f>
        <v>Deiondre</v>
      </c>
      <c r="F3193" t="str">
        <f>IFERROR(__xludf.DUMMYFUNCTION("""COMPUTED_VALUE"""),"CB")</f>
        <v>CB</v>
      </c>
      <c r="G3193">
        <f>IFERROR(__xludf.DUMMYFUNCTION("""COMPUTED_VALUE"""),13.0)</f>
        <v>13</v>
      </c>
    </row>
    <row r="3194">
      <c r="D3194" t="str">
        <f>IFERROR(__xludf.DUMMYFUNCTION("""COMPUTED_VALUE"""),"Hall")</f>
        <v>Hall</v>
      </c>
      <c r="E3194" t="str">
        <f>IFERROR(__xludf.DUMMYFUNCTION("""COMPUTED_VALUE"""),"Rannell")</f>
        <v>Rannell</v>
      </c>
      <c r="F3194" t="str">
        <f>IFERROR(__xludf.DUMMYFUNCTION("""COMPUTED_VALUE"""),"WR")</f>
        <v>WR</v>
      </c>
      <c r="G3194">
        <f>IFERROR(__xludf.DUMMYFUNCTION("""COMPUTED_VALUE"""),12.4)</f>
        <v>12.4</v>
      </c>
    </row>
    <row r="3195">
      <c r="D3195" t="str">
        <f>IFERROR(__xludf.DUMMYFUNCTION("""COMPUTED_VALUE"""),"Hamilton")</f>
        <v>Hamilton</v>
      </c>
      <c r="E3195" t="str">
        <f>IFERROR(__xludf.DUMMYFUNCTION("""COMPUTED_VALUE"""),"Antonio")</f>
        <v>Antonio</v>
      </c>
      <c r="F3195" t="str">
        <f>IFERROR(__xludf.DUMMYFUNCTION("""COMPUTED_VALUE"""),"CB")</f>
        <v>CB</v>
      </c>
      <c r="G3195">
        <f>IFERROR(__xludf.DUMMYFUNCTION("""COMPUTED_VALUE"""),12.200000000000001)</f>
        <v>12.2</v>
      </c>
    </row>
    <row r="3196">
      <c r="D3196" t="str">
        <f>IFERROR(__xludf.DUMMYFUNCTION("""COMPUTED_VALUE"""),"Hamilton")</f>
        <v>Hamilton</v>
      </c>
      <c r="E3196" t="str">
        <f>IFERROR(__xludf.DUMMYFUNCTION("""COMPUTED_VALUE"""),"Cobi")</f>
        <v>Cobi</v>
      </c>
      <c r="F3196" t="str">
        <f>IFERROR(__xludf.DUMMYFUNCTION("""COMPUTED_VALUE"""),"WR")</f>
        <v>WR</v>
      </c>
      <c r="G3196">
        <f>IFERROR(__xludf.DUMMYFUNCTION("""COMPUTED_VALUE"""),13.600000000000001)</f>
        <v>13.6</v>
      </c>
    </row>
    <row r="3197">
      <c r="D3197" t="str">
        <f>IFERROR(__xludf.DUMMYFUNCTION("""COMPUTED_VALUE"""),"Hamilton")</f>
        <v>Hamilton</v>
      </c>
      <c r="E3197" t="str">
        <f>IFERROR(__xludf.DUMMYFUNCTION("""COMPUTED_VALUE"""),"Justin")</f>
        <v>Justin</v>
      </c>
      <c r="F3197" t="str">
        <f>IFERROR(__xludf.DUMMYFUNCTION("""COMPUTED_VALUE"""),"DT")</f>
        <v>DT</v>
      </c>
      <c r="G3197">
        <f>IFERROR(__xludf.DUMMYFUNCTION("""COMPUTED_VALUE"""),12.8)</f>
        <v>12.8</v>
      </c>
    </row>
    <row r="3198">
      <c r="D3198" t="str">
        <f>IFERROR(__xludf.DUMMYFUNCTION("""COMPUTED_VALUE"""),"Hamilton")</f>
        <v>Hamilton</v>
      </c>
      <c r="E3198" t="str">
        <f>IFERROR(__xludf.DUMMYFUNCTION("""COMPUTED_VALUE"""),"Woodrow")</f>
        <v>Woodrow</v>
      </c>
      <c r="F3198" t="str">
        <f>IFERROR(__xludf.DUMMYFUNCTION("""COMPUTED_VALUE"""),"DT")</f>
        <v>DT</v>
      </c>
      <c r="G3198">
        <f>IFERROR(__xludf.DUMMYFUNCTION("""COMPUTED_VALUE"""),13.0)</f>
        <v>13</v>
      </c>
    </row>
    <row r="3199">
      <c r="D3199" t="str">
        <f>IFERROR(__xludf.DUMMYFUNCTION("""COMPUTED_VALUE"""),"Hamlett")</f>
        <v>Hamlett</v>
      </c>
      <c r="E3199" t="str">
        <f>IFERROR(__xludf.DUMMYFUNCTION("""COMPUTED_VALUE"""),"Connor")</f>
        <v>Connor</v>
      </c>
      <c r="F3199" t="str">
        <f>IFERROR(__xludf.DUMMYFUNCTION("""COMPUTED_VALUE"""),"TE")</f>
        <v>TE</v>
      </c>
      <c r="G3199">
        <f>IFERROR(__xludf.DUMMYFUNCTION("""COMPUTED_VALUE"""),12.8)</f>
        <v>12.8</v>
      </c>
    </row>
    <row r="3200">
      <c r="D3200" t="str">
        <f>IFERROR(__xludf.DUMMYFUNCTION("""COMPUTED_VALUE"""),"Hammond")</f>
        <v>Hammond</v>
      </c>
      <c r="E3200" t="str">
        <f>IFERROR(__xludf.DUMMYFUNCTION("""COMPUTED_VALUE"""),"Frankie")</f>
        <v>Frankie</v>
      </c>
      <c r="F3200" t="str">
        <f>IFERROR(__xludf.DUMMYFUNCTION("""COMPUTED_VALUE"""),"WR")</f>
        <v>WR</v>
      </c>
      <c r="G3200">
        <f>IFERROR(__xludf.DUMMYFUNCTION("""COMPUTED_VALUE"""),12.600000000000001)</f>
        <v>12.6</v>
      </c>
    </row>
    <row r="3201">
      <c r="D3201" t="str">
        <f>IFERROR(__xludf.DUMMYFUNCTION("""COMPUTED_VALUE"""),"Hankins")</f>
        <v>Hankins</v>
      </c>
      <c r="E3201" t="str">
        <f>IFERROR(__xludf.DUMMYFUNCTION("""COMPUTED_VALUE"""),"Johnathan")</f>
        <v>Johnathan</v>
      </c>
      <c r="F3201" t="str">
        <f>IFERROR(__xludf.DUMMYFUNCTION("""COMPUTED_VALUE"""),"DT")</f>
        <v>DT</v>
      </c>
      <c r="G3201">
        <f>IFERROR(__xludf.DUMMYFUNCTION("""COMPUTED_VALUE"""),15.200000000000001)</f>
        <v>15.2</v>
      </c>
    </row>
    <row r="3202">
      <c r="D3202" t="str">
        <f>IFERROR(__xludf.DUMMYFUNCTION("""COMPUTED_VALUE"""),"Hanna")</f>
        <v>Hanna</v>
      </c>
      <c r="E3202" t="str">
        <f>IFERROR(__xludf.DUMMYFUNCTION("""COMPUTED_VALUE"""),"James")</f>
        <v>James</v>
      </c>
      <c r="F3202" t="str">
        <f>IFERROR(__xludf.DUMMYFUNCTION("""COMPUTED_VALUE"""),"TE")</f>
        <v>TE</v>
      </c>
      <c r="G3202">
        <f>IFERROR(__xludf.DUMMYFUNCTION("""COMPUTED_VALUE"""),14.600000000000001)</f>
        <v>14.6</v>
      </c>
    </row>
    <row r="3203">
      <c r="D3203" t="str">
        <f>IFERROR(__xludf.DUMMYFUNCTION("""COMPUTED_VALUE"""),"Hansen")</f>
        <v>Hansen</v>
      </c>
      <c r="E3203" t="str">
        <f>IFERROR(__xludf.DUMMYFUNCTION("""COMPUTED_VALUE"""),"Chad")</f>
        <v>Chad</v>
      </c>
      <c r="F3203" t="str">
        <f>IFERROR(__xludf.DUMMYFUNCTION("""COMPUTED_VALUE"""),"WR")</f>
        <v>WR</v>
      </c>
      <c r="G3203">
        <f>IFERROR(__xludf.DUMMYFUNCTION("""COMPUTED_VALUE"""),14.0)</f>
        <v>14</v>
      </c>
    </row>
    <row r="3204">
      <c r="D3204" t="str">
        <f>IFERROR(__xludf.DUMMYFUNCTION("""COMPUTED_VALUE"""),"Hardison")</f>
        <v>Hardison</v>
      </c>
      <c r="E3204" t="str">
        <f>IFERROR(__xludf.DUMMYFUNCTION("""COMPUTED_VALUE"""),"Marcus")</f>
        <v>Marcus</v>
      </c>
      <c r="F3204" t="str">
        <f>IFERROR(__xludf.DUMMYFUNCTION("""COMPUTED_VALUE"""),"DT")</f>
        <v>DT</v>
      </c>
      <c r="G3204">
        <f>IFERROR(__xludf.DUMMYFUNCTION("""COMPUTED_VALUE"""),12.0)</f>
        <v>12</v>
      </c>
    </row>
    <row r="3205">
      <c r="D3205" t="str">
        <f>IFERROR(__xludf.DUMMYFUNCTION("""COMPUTED_VALUE"""),"Hardy")</f>
        <v>Hardy</v>
      </c>
      <c r="E3205" t="str">
        <f>IFERROR(__xludf.DUMMYFUNCTION("""COMPUTED_VALUE"""),"Justin")</f>
        <v>Justin</v>
      </c>
      <c r="F3205" t="str">
        <f>IFERROR(__xludf.DUMMYFUNCTION("""COMPUTED_VALUE"""),"WR")</f>
        <v>WR</v>
      </c>
      <c r="G3205">
        <f>IFERROR(__xludf.DUMMYFUNCTION("""COMPUTED_VALUE"""),14.600000000000001)</f>
        <v>14.6</v>
      </c>
    </row>
    <row r="3206">
      <c r="D3206" t="str">
        <f>IFERROR(__xludf.DUMMYFUNCTION("""COMPUTED_VALUE"""),"Hargrave")</f>
        <v>Hargrave</v>
      </c>
      <c r="E3206" t="str">
        <f>IFERROR(__xludf.DUMMYFUNCTION("""COMPUTED_VALUE"""),"Javon")</f>
        <v>Javon</v>
      </c>
      <c r="F3206" t="str">
        <f>IFERROR(__xludf.DUMMYFUNCTION("""COMPUTED_VALUE"""),"DT")</f>
        <v>DT</v>
      </c>
      <c r="G3206">
        <f>IFERROR(__xludf.DUMMYFUNCTION("""COMPUTED_VALUE"""),14.600000000000001)</f>
        <v>14.6</v>
      </c>
    </row>
    <row r="3207">
      <c r="D3207" t="str">
        <f>IFERROR(__xludf.DUMMYFUNCTION("""COMPUTED_VALUE"""),"Hargreaves III")</f>
        <v>Hargreaves III</v>
      </c>
      <c r="E3207" t="str">
        <f>IFERROR(__xludf.DUMMYFUNCTION("""COMPUTED_VALUE"""),"Vernon")</f>
        <v>Vernon</v>
      </c>
      <c r="F3207" t="str">
        <f>IFERROR(__xludf.DUMMYFUNCTION("""COMPUTED_VALUE"""),"CB")</f>
        <v>CB</v>
      </c>
      <c r="G3207">
        <f>IFERROR(__xludf.DUMMYFUNCTION("""COMPUTED_VALUE"""),15.0)</f>
        <v>15</v>
      </c>
    </row>
    <row r="3208">
      <c r="D3208" t="str">
        <f>IFERROR(__xludf.DUMMYFUNCTION("""COMPUTED_VALUE"""),"Harkey")</f>
        <v>Harkey</v>
      </c>
      <c r="E3208" t="str">
        <f>IFERROR(__xludf.DUMMYFUNCTION("""COMPUTED_VALUE"""),"Cory")</f>
        <v>Cory</v>
      </c>
      <c r="F3208" t="str">
        <f>IFERROR(__xludf.DUMMYFUNCTION("""COMPUTED_VALUE"""),"FB")</f>
        <v>FB</v>
      </c>
      <c r="G3208">
        <f>IFERROR(__xludf.DUMMYFUNCTION("""COMPUTED_VALUE"""),15.600000000000001)</f>
        <v>15.6</v>
      </c>
    </row>
    <row r="3209">
      <c r="D3209" t="str">
        <f>IFERROR(__xludf.DUMMYFUNCTION("""COMPUTED_VALUE"""),"Harlow")</f>
        <v>Harlow</v>
      </c>
      <c r="E3209" t="str">
        <f>IFERROR(__xludf.DUMMYFUNCTION("""COMPUTED_VALUE"""),"Sean")</f>
        <v>Sean</v>
      </c>
      <c r="F3209" t="str">
        <f>IFERROR(__xludf.DUMMYFUNCTION("""COMPUTED_VALUE"""),"LG")</f>
        <v>LG</v>
      </c>
      <c r="G3209">
        <f>IFERROR(__xludf.DUMMYFUNCTION("""COMPUTED_VALUE"""),14.0)</f>
        <v>14</v>
      </c>
    </row>
    <row r="3210">
      <c r="D3210" t="str">
        <f>IFERROR(__xludf.DUMMYFUNCTION("""COMPUTED_VALUE"""),"Harmon")</f>
        <v>Harmon</v>
      </c>
      <c r="E3210" t="str">
        <f>IFERROR(__xludf.DUMMYFUNCTION("""COMPUTED_VALUE"""),"Duron")</f>
        <v>Duron</v>
      </c>
      <c r="F3210" t="str">
        <f>IFERROR(__xludf.DUMMYFUNCTION("""COMPUTED_VALUE"""),"SS")</f>
        <v>SS</v>
      </c>
      <c r="G3210">
        <f>IFERROR(__xludf.DUMMYFUNCTION("""COMPUTED_VALUE"""),15.4)</f>
        <v>15.4</v>
      </c>
    </row>
    <row r="3211">
      <c r="D3211" t="str">
        <f>IFERROR(__xludf.DUMMYFUNCTION("""COMPUTED_VALUE"""),"Harold")</f>
        <v>Harold</v>
      </c>
      <c r="E3211" t="str">
        <f>IFERROR(__xludf.DUMMYFUNCTION("""COMPUTED_VALUE"""),"Eli")</f>
        <v>Eli</v>
      </c>
      <c r="F3211" t="str">
        <f>IFERROR(__xludf.DUMMYFUNCTION("""COMPUTED_VALUE"""),"LOLB")</f>
        <v>LOLB</v>
      </c>
      <c r="G3211">
        <f>IFERROR(__xludf.DUMMYFUNCTION("""COMPUTED_VALUE"""),13.8)</f>
        <v>13.8</v>
      </c>
    </row>
    <row r="3212">
      <c r="D3212" t="str">
        <f>IFERROR(__xludf.DUMMYFUNCTION("""COMPUTED_VALUE"""),"Harris")</f>
        <v>Harris</v>
      </c>
      <c r="E3212" t="str">
        <f>IFERROR(__xludf.DUMMYFUNCTION("""COMPUTED_VALUE"""),"Anthony")</f>
        <v>Anthony</v>
      </c>
      <c r="F3212" t="str">
        <f>IFERROR(__xludf.DUMMYFUNCTION("""COMPUTED_VALUE"""),"FS")</f>
        <v>FS</v>
      </c>
      <c r="G3212">
        <f>IFERROR(__xludf.DUMMYFUNCTION("""COMPUTED_VALUE"""),13.4)</f>
        <v>13.4</v>
      </c>
    </row>
    <row r="3213">
      <c r="D3213" t="str">
        <f>IFERROR(__xludf.DUMMYFUNCTION("""COMPUTED_VALUE"""),"Harris")</f>
        <v>Harris</v>
      </c>
      <c r="E3213" t="str">
        <f>IFERROR(__xludf.DUMMYFUNCTION("""COMPUTED_VALUE"""),"Charles")</f>
        <v>Charles</v>
      </c>
      <c r="F3213" t="str">
        <f>IFERROR(__xludf.DUMMYFUNCTION("""COMPUTED_VALUE"""),"RE")</f>
        <v>RE</v>
      </c>
      <c r="G3213">
        <f>IFERROR(__xludf.DUMMYFUNCTION("""COMPUTED_VALUE"""),14.600000000000001)</f>
        <v>14.6</v>
      </c>
    </row>
    <row r="3214">
      <c r="D3214" t="str">
        <f>IFERROR(__xludf.DUMMYFUNCTION("""COMPUTED_VALUE"""),"Harris")</f>
        <v>Harris</v>
      </c>
      <c r="E3214" t="str">
        <f>IFERROR(__xludf.DUMMYFUNCTION("""COMPUTED_VALUE"""),"Clark")</f>
        <v>Clark</v>
      </c>
      <c r="F3214" t="str">
        <f>IFERROR(__xludf.DUMMYFUNCTION("""COMPUTED_VALUE"""),"TE")</f>
        <v>TE</v>
      </c>
      <c r="G3214">
        <f>IFERROR(__xludf.DUMMYFUNCTION("""COMPUTED_VALUE"""),11.200000000000001)</f>
        <v>11.2</v>
      </c>
    </row>
    <row r="3215">
      <c r="D3215" t="str">
        <f>IFERROR(__xludf.DUMMYFUNCTION("""COMPUTED_VALUE"""),"Harris")</f>
        <v>Harris</v>
      </c>
      <c r="E3215" t="str">
        <f>IFERROR(__xludf.DUMMYFUNCTION("""COMPUTED_VALUE"""),"David")</f>
        <v>David</v>
      </c>
      <c r="F3215" t="str">
        <f>IFERROR(__xludf.DUMMYFUNCTION("""COMPUTED_VALUE"""),"MLB")</f>
        <v>MLB</v>
      </c>
      <c r="G3215">
        <f>IFERROR(__xludf.DUMMYFUNCTION("""COMPUTED_VALUE"""),16.2)</f>
        <v>16.2</v>
      </c>
    </row>
    <row r="3216">
      <c r="D3216" t="str">
        <f>IFERROR(__xludf.DUMMYFUNCTION("""COMPUTED_VALUE"""),"Harris")</f>
        <v>Harris</v>
      </c>
      <c r="E3216" t="str">
        <f>IFERROR(__xludf.DUMMYFUNCTION("""COMPUTED_VALUE"""),"Demetrius")</f>
        <v>Demetrius</v>
      </c>
      <c r="F3216" t="str">
        <f>IFERROR(__xludf.DUMMYFUNCTION("""COMPUTED_VALUE"""),"TE")</f>
        <v>TE</v>
      </c>
      <c r="G3216">
        <f>IFERROR(__xludf.DUMMYFUNCTION("""COMPUTED_VALUE"""),14.0)</f>
        <v>14</v>
      </c>
    </row>
    <row r="3217">
      <c r="D3217" t="str">
        <f>IFERROR(__xludf.DUMMYFUNCTION("""COMPUTED_VALUE"""),"Harris")</f>
        <v>Harris</v>
      </c>
      <c r="E3217" t="str">
        <f>IFERROR(__xludf.DUMMYFUNCTION("""COMPUTED_VALUE"""),"DeVante")</f>
        <v>DeVante</v>
      </c>
      <c r="F3217" t="str">
        <f>IFERROR(__xludf.DUMMYFUNCTION("""COMPUTED_VALUE"""),"CB")</f>
        <v>CB</v>
      </c>
      <c r="G3217">
        <f>IFERROR(__xludf.DUMMYFUNCTION("""COMPUTED_VALUE"""),12.600000000000001)</f>
        <v>12.6</v>
      </c>
    </row>
    <row r="3218">
      <c r="D3218" t="str">
        <f>IFERROR(__xludf.DUMMYFUNCTION("""COMPUTED_VALUE"""),"Harris")</f>
        <v>Harris</v>
      </c>
      <c r="E3218" t="str">
        <f>IFERROR(__xludf.DUMMYFUNCTION("""COMPUTED_VALUE"""),"Dwayne")</f>
        <v>Dwayne</v>
      </c>
      <c r="F3218" t="str">
        <f>IFERROR(__xludf.DUMMYFUNCTION("""COMPUTED_VALUE"""),"WR")</f>
        <v>WR</v>
      </c>
      <c r="G3218">
        <f>IFERROR(__xludf.DUMMYFUNCTION("""COMPUTED_VALUE"""),14.200000000000001)</f>
        <v>14.2</v>
      </c>
    </row>
    <row r="3219">
      <c r="D3219" t="str">
        <f>IFERROR(__xludf.DUMMYFUNCTION("""COMPUTED_VALUE"""),"Harris")</f>
        <v>Harris</v>
      </c>
      <c r="E3219" t="str">
        <f>IFERROR(__xludf.DUMMYFUNCTION("""COMPUTED_VALUE"""),"Erik")</f>
        <v>Erik</v>
      </c>
      <c r="F3219" t="str">
        <f>IFERROR(__xludf.DUMMYFUNCTION("""COMPUTED_VALUE"""),"SS")</f>
        <v>SS</v>
      </c>
      <c r="G3219">
        <f>IFERROR(__xludf.DUMMYFUNCTION("""COMPUTED_VALUE"""),12.600000000000001)</f>
        <v>12.6</v>
      </c>
    </row>
    <row r="3220">
      <c r="D3220" t="str">
        <f>IFERROR(__xludf.DUMMYFUNCTION("""COMPUTED_VALUE"""),"Harris")</f>
        <v>Harris</v>
      </c>
      <c r="E3220" t="str">
        <f>IFERROR(__xludf.DUMMYFUNCTION("""COMPUTED_VALUE"""),"Josh")</f>
        <v>Josh</v>
      </c>
      <c r="F3220" t="str">
        <f>IFERROR(__xludf.DUMMYFUNCTION("""COMPUTED_VALUE"""),"TE")</f>
        <v>TE</v>
      </c>
      <c r="G3220">
        <f>IFERROR(__xludf.DUMMYFUNCTION("""COMPUTED_VALUE"""),10.8)</f>
        <v>10.8</v>
      </c>
    </row>
    <row r="3221">
      <c r="D3221" t="str">
        <f>IFERROR(__xludf.DUMMYFUNCTION("""COMPUTED_VALUE"""),"Harris")</f>
        <v>Harris</v>
      </c>
      <c r="E3221" t="str">
        <f>IFERROR(__xludf.DUMMYFUNCTION("""COMPUTED_VALUE"""),"Maurice")</f>
        <v>Maurice</v>
      </c>
      <c r="F3221" t="str">
        <f>IFERROR(__xludf.DUMMYFUNCTION("""COMPUTED_VALUE"""),"WR")</f>
        <v>WR</v>
      </c>
      <c r="G3221">
        <f>IFERROR(__xludf.DUMMYFUNCTION("""COMPUTED_VALUE"""),12.600000000000001)</f>
        <v>12.6</v>
      </c>
    </row>
    <row r="3222">
      <c r="D3222" t="str">
        <f>IFERROR(__xludf.DUMMYFUNCTION("""COMPUTED_VALUE"""),"Harris")</f>
        <v>Harris</v>
      </c>
      <c r="E3222" t="str">
        <f>IFERROR(__xludf.DUMMYFUNCTION("""COMPUTED_VALUE"""),"Najee")</f>
        <v>Najee</v>
      </c>
      <c r="F3222" t="str">
        <f>IFERROR(__xludf.DUMMYFUNCTION("""COMPUTED_VALUE"""),"MLB")</f>
        <v>MLB</v>
      </c>
      <c r="G3222">
        <f>IFERROR(__xludf.DUMMYFUNCTION("""COMPUTED_VALUE"""),12.0)</f>
        <v>12</v>
      </c>
    </row>
    <row r="3223">
      <c r="D3223" t="str">
        <f>IFERROR(__xludf.DUMMYFUNCTION("""COMPUTED_VALUE"""),"Harris")</f>
        <v>Harris</v>
      </c>
      <c r="E3223" t="str">
        <f>IFERROR(__xludf.DUMMYFUNCTION("""COMPUTED_VALUE"""),"Shelby")</f>
        <v>Shelby</v>
      </c>
      <c r="F3223" t="str">
        <f>IFERROR(__xludf.DUMMYFUNCTION("""COMPUTED_VALUE"""),"RE")</f>
        <v>RE</v>
      </c>
      <c r="G3223">
        <f>IFERROR(__xludf.DUMMYFUNCTION("""COMPUTED_VALUE"""),13.200000000000001)</f>
        <v>13.2</v>
      </c>
    </row>
    <row r="3224">
      <c r="D3224" t="str">
        <f>IFERROR(__xludf.DUMMYFUNCTION("""COMPUTED_VALUE"""),"Harris Jr")</f>
        <v>Harris Jr</v>
      </c>
      <c r="E3224" t="str">
        <f>IFERROR(__xludf.DUMMYFUNCTION("""COMPUTED_VALUE"""),"Chris")</f>
        <v>Chris</v>
      </c>
      <c r="F3224" t="str">
        <f>IFERROR(__xludf.DUMMYFUNCTION("""COMPUTED_VALUE"""),"CB")</f>
        <v>CB</v>
      </c>
      <c r="G3224">
        <f>IFERROR(__xludf.DUMMYFUNCTION("""COMPUTED_VALUE"""),18.8)</f>
        <v>18.8</v>
      </c>
    </row>
    <row r="3225">
      <c r="D3225" t="str">
        <f>IFERROR(__xludf.DUMMYFUNCTION("""COMPUTED_VALUE"""),"Harrison")</f>
        <v>Harrison</v>
      </c>
      <c r="E3225" t="str">
        <f>IFERROR(__xludf.DUMMYFUNCTION("""COMPUTED_VALUE"""),"Damon")</f>
        <v>Damon</v>
      </c>
      <c r="F3225" t="str">
        <f>IFERROR(__xludf.DUMMYFUNCTION("""COMPUTED_VALUE"""),"DT")</f>
        <v>DT</v>
      </c>
      <c r="G3225">
        <f>IFERROR(__xludf.DUMMYFUNCTION("""COMPUTED_VALUE"""),17.8)</f>
        <v>17.8</v>
      </c>
    </row>
    <row r="3226">
      <c r="D3226" t="str">
        <f>IFERROR(__xludf.DUMMYFUNCTION("""COMPUTED_VALUE"""),"Harrison")</f>
        <v>Harrison</v>
      </c>
      <c r="E3226" t="str">
        <f>IFERROR(__xludf.DUMMYFUNCTION("""COMPUTED_VALUE"""),"James")</f>
        <v>James</v>
      </c>
      <c r="F3226" t="str">
        <f>IFERROR(__xludf.DUMMYFUNCTION("""COMPUTED_VALUE"""),"ROLB")</f>
        <v>ROLB</v>
      </c>
      <c r="G3226">
        <f>IFERROR(__xludf.DUMMYFUNCTION("""COMPUTED_VALUE"""),17.2)</f>
        <v>17.2</v>
      </c>
    </row>
    <row r="3227">
      <c r="D3227" t="str">
        <f>IFERROR(__xludf.DUMMYFUNCTION("""COMPUTED_VALUE"""),"Harrison")</f>
        <v>Harrison</v>
      </c>
      <c r="E3227" t="str">
        <f>IFERROR(__xludf.DUMMYFUNCTION("""COMPUTED_VALUE"""),"Jarvis")</f>
        <v>Jarvis</v>
      </c>
      <c r="F3227" t="str">
        <f>IFERROR(__xludf.DUMMYFUNCTION("""COMPUTED_VALUE"""),"RG")</f>
        <v>RG</v>
      </c>
      <c r="G3227">
        <f>IFERROR(__xludf.DUMMYFUNCTION("""COMPUTED_VALUE"""),13.200000000000001)</f>
        <v>13.2</v>
      </c>
    </row>
    <row r="3228">
      <c r="D3228" t="str">
        <f>IFERROR(__xludf.DUMMYFUNCTION("""COMPUTED_VALUE"""),"Harrison")</f>
        <v>Harrison</v>
      </c>
      <c r="E3228" t="str">
        <f>IFERROR(__xludf.DUMMYFUNCTION("""COMPUTED_VALUE"""),"Jonotthan")</f>
        <v>Jonotthan</v>
      </c>
      <c r="F3228" t="str">
        <f>IFERROR(__xludf.DUMMYFUNCTION("""COMPUTED_VALUE"""),"C")</f>
        <v>C</v>
      </c>
      <c r="G3228">
        <f>IFERROR(__xludf.DUMMYFUNCTION("""COMPUTED_VALUE"""),13.8)</f>
        <v>13.8</v>
      </c>
    </row>
    <row r="3229">
      <c r="D3229" t="str">
        <f>IFERROR(__xludf.DUMMYFUNCTION("""COMPUTED_VALUE"""),"Hart")</f>
        <v>Hart</v>
      </c>
      <c r="E3229" t="str">
        <f>IFERROR(__xludf.DUMMYFUNCTION("""COMPUTED_VALUE"""),"Bobby")</f>
        <v>Bobby</v>
      </c>
      <c r="F3229" t="str">
        <f>IFERROR(__xludf.DUMMYFUNCTION("""COMPUTED_VALUE"""),"RT")</f>
        <v>RT</v>
      </c>
      <c r="G3229">
        <f>IFERROR(__xludf.DUMMYFUNCTION("""COMPUTED_VALUE"""),14.0)</f>
        <v>14</v>
      </c>
    </row>
    <row r="3230">
      <c r="D3230" t="str">
        <f>IFERROR(__xludf.DUMMYFUNCTION("""COMPUTED_VALUE"""),"Hart")</f>
        <v>Hart</v>
      </c>
      <c r="E3230" t="str">
        <f>IFERROR(__xludf.DUMMYFUNCTION("""COMPUTED_VALUE"""),"Derek")</f>
        <v>Derek</v>
      </c>
      <c r="F3230" t="str">
        <f>IFERROR(__xludf.DUMMYFUNCTION("""COMPUTED_VALUE"""),"TE")</f>
        <v>TE</v>
      </c>
      <c r="G3230">
        <f>IFERROR(__xludf.DUMMYFUNCTION("""COMPUTED_VALUE"""),8.8)</f>
        <v>8.8</v>
      </c>
    </row>
    <row r="3231">
      <c r="D3231" t="str">
        <f>IFERROR(__xludf.DUMMYFUNCTION("""COMPUTED_VALUE"""),"Hart")</f>
        <v>Hart</v>
      </c>
      <c r="E3231" t="str">
        <f>IFERROR(__xludf.DUMMYFUNCTION("""COMPUTED_VALUE"""),"Taylor")</f>
        <v>Taylor</v>
      </c>
      <c r="F3231" t="str">
        <f>IFERROR(__xludf.DUMMYFUNCTION("""COMPUTED_VALUE"""),"RT")</f>
        <v>RT</v>
      </c>
      <c r="G3231">
        <f>IFERROR(__xludf.DUMMYFUNCTION("""COMPUTED_VALUE"""),13.8)</f>
        <v>13.8</v>
      </c>
    </row>
    <row r="3232">
      <c r="D3232" t="str">
        <f>IFERROR(__xludf.DUMMYFUNCTION("""COMPUTED_VALUE"""),"Harvey-Clemons")</f>
        <v>Harvey-Clemons</v>
      </c>
      <c r="E3232" t="str">
        <f>IFERROR(__xludf.DUMMYFUNCTION("""COMPUTED_VALUE"""),"Josh")</f>
        <v>Josh</v>
      </c>
      <c r="F3232" t="str">
        <f>IFERROR(__xludf.DUMMYFUNCTION("""COMPUTED_VALUE"""),"MLB")</f>
        <v>MLB</v>
      </c>
      <c r="G3232">
        <f>IFERROR(__xludf.DUMMYFUNCTION("""COMPUTED_VALUE"""),12.8)</f>
        <v>12.8</v>
      </c>
    </row>
    <row r="3233">
      <c r="D3233" t="str">
        <f>IFERROR(__xludf.DUMMYFUNCTION("""COMPUTED_VALUE"""),"Hatcher")</f>
        <v>Hatcher</v>
      </c>
      <c r="E3233" t="str">
        <f>IFERROR(__xludf.DUMMYFUNCTION("""COMPUTED_VALUE"""),"Keon")</f>
        <v>Keon</v>
      </c>
      <c r="F3233" t="str">
        <f>IFERROR(__xludf.DUMMYFUNCTION("""COMPUTED_VALUE"""),"WR")</f>
        <v>WR</v>
      </c>
      <c r="G3233">
        <f>IFERROR(__xludf.DUMMYFUNCTION("""COMPUTED_VALUE"""),12.4)</f>
        <v>12.4</v>
      </c>
    </row>
    <row r="3234">
      <c r="D3234" t="str">
        <f>IFERROR(__xludf.DUMMYFUNCTION("""COMPUTED_VALUE"""),"Hauschka")</f>
        <v>Hauschka</v>
      </c>
      <c r="E3234" t="str">
        <f>IFERROR(__xludf.DUMMYFUNCTION("""COMPUTED_VALUE"""),"Steven")</f>
        <v>Steven</v>
      </c>
      <c r="F3234" t="str">
        <f>IFERROR(__xludf.DUMMYFUNCTION("""COMPUTED_VALUE"""),"K")</f>
        <v>K</v>
      </c>
      <c r="G3234">
        <f>IFERROR(__xludf.DUMMYFUNCTION("""COMPUTED_VALUE"""),15.200000000000001)</f>
        <v>15.2</v>
      </c>
    </row>
    <row r="3235">
      <c r="D3235" t="str">
        <f>IFERROR(__xludf.DUMMYFUNCTION("""COMPUTED_VALUE"""),"Havenstein")</f>
        <v>Havenstein</v>
      </c>
      <c r="E3235" t="str">
        <f>IFERROR(__xludf.DUMMYFUNCTION("""COMPUTED_VALUE"""),"Rob")</f>
        <v>Rob</v>
      </c>
      <c r="F3235" t="str">
        <f>IFERROR(__xludf.DUMMYFUNCTION("""COMPUTED_VALUE"""),"RT")</f>
        <v>RT</v>
      </c>
      <c r="G3235">
        <f>IFERROR(__xludf.DUMMYFUNCTION("""COMPUTED_VALUE"""),15.4)</f>
        <v>15.4</v>
      </c>
    </row>
    <row r="3236">
      <c r="D3236" t="str">
        <f>IFERROR(__xludf.DUMMYFUNCTION("""COMPUTED_VALUE"""),"Hawkins")</f>
        <v>Hawkins</v>
      </c>
      <c r="E3236" t="str">
        <f>IFERROR(__xludf.DUMMYFUNCTION("""COMPUTED_VALUE"""),"Andrew")</f>
        <v>Andrew</v>
      </c>
      <c r="F3236" t="str">
        <f>IFERROR(__xludf.DUMMYFUNCTION("""COMPUTED_VALUE"""),"WR")</f>
        <v>WR</v>
      </c>
      <c r="G3236">
        <f>IFERROR(__xludf.DUMMYFUNCTION("""COMPUTED_VALUE"""),14.8)</f>
        <v>14.8</v>
      </c>
    </row>
    <row r="3237">
      <c r="D3237" t="str">
        <f>IFERROR(__xludf.DUMMYFUNCTION("""COMPUTED_VALUE"""),"Hawkins")</f>
        <v>Hawkins</v>
      </c>
      <c r="E3237" t="str">
        <f>IFERROR(__xludf.DUMMYFUNCTION("""COMPUTED_VALUE"""),"Donald")</f>
        <v>Donald</v>
      </c>
      <c r="F3237" t="str">
        <f>IFERROR(__xludf.DUMMYFUNCTION("""COMPUTED_VALUE"""),"RG")</f>
        <v>RG</v>
      </c>
      <c r="G3237">
        <f>IFERROR(__xludf.DUMMYFUNCTION("""COMPUTED_VALUE"""),12.0)</f>
        <v>12</v>
      </c>
    </row>
    <row r="3238">
      <c r="D3238" t="str">
        <f>IFERROR(__xludf.DUMMYFUNCTION("""COMPUTED_VALUE"""),"Hawkins")</f>
        <v>Hawkins</v>
      </c>
      <c r="E3238" t="str">
        <f>IFERROR(__xludf.DUMMYFUNCTION("""COMPUTED_VALUE"""),"Jerald")</f>
        <v>Jerald</v>
      </c>
      <c r="F3238" t="str">
        <f>IFERROR(__xludf.DUMMYFUNCTION("""COMPUTED_VALUE"""),"LG")</f>
        <v>LG</v>
      </c>
      <c r="G3238">
        <f>IFERROR(__xludf.DUMMYFUNCTION("""COMPUTED_VALUE"""),13.200000000000001)</f>
        <v>13.2</v>
      </c>
    </row>
    <row r="3239">
      <c r="D3239" t="str">
        <f>IFERROR(__xludf.DUMMYFUNCTION("""COMPUTED_VALUE"""),"Hawkins")</f>
        <v>Hawkins</v>
      </c>
      <c r="E3239" t="str">
        <f>IFERROR(__xludf.DUMMYFUNCTION("""COMPUTED_VALUE"""),"Josh")</f>
        <v>Josh</v>
      </c>
      <c r="F3239" t="str">
        <f>IFERROR(__xludf.DUMMYFUNCTION("""COMPUTED_VALUE"""),"CB")</f>
        <v>CB</v>
      </c>
      <c r="G3239">
        <f>IFERROR(__xludf.DUMMYFUNCTION("""COMPUTED_VALUE"""),12.200000000000001)</f>
        <v>12.2</v>
      </c>
    </row>
    <row r="3240">
      <c r="D3240" t="str">
        <f>IFERROR(__xludf.DUMMYFUNCTION("""COMPUTED_VALUE"""),"Hawley")</f>
        <v>Hawley</v>
      </c>
      <c r="E3240" t="str">
        <f>IFERROR(__xludf.DUMMYFUNCTION("""COMPUTED_VALUE"""),"Joe")</f>
        <v>Joe</v>
      </c>
      <c r="F3240" t="str">
        <f>IFERROR(__xludf.DUMMYFUNCTION("""COMPUTED_VALUE"""),"C")</f>
        <v>C</v>
      </c>
      <c r="G3240">
        <f>IFERROR(__xludf.DUMMYFUNCTION("""COMPUTED_VALUE"""),14.8)</f>
        <v>14.8</v>
      </c>
    </row>
    <row r="3241">
      <c r="D3241" t="str">
        <f>IFERROR(__xludf.DUMMYFUNCTION("""COMPUTED_VALUE"""),"Hayden")</f>
        <v>Hayden</v>
      </c>
      <c r="E3241" t="str">
        <f>IFERROR(__xludf.DUMMYFUNCTION("""COMPUTED_VALUE"""),"DJ")</f>
        <v>DJ</v>
      </c>
      <c r="F3241" t="str">
        <f>IFERROR(__xludf.DUMMYFUNCTION("""COMPUTED_VALUE"""),"CB")</f>
        <v>CB</v>
      </c>
      <c r="G3241">
        <f>IFERROR(__xludf.DUMMYFUNCTION("""COMPUTED_VALUE"""),14.8)</f>
        <v>14.8</v>
      </c>
    </row>
    <row r="3242">
      <c r="D3242" t="str">
        <f>IFERROR(__xludf.DUMMYFUNCTION("""COMPUTED_VALUE"""),"Hayes")</f>
        <v>Hayes</v>
      </c>
      <c r="E3242" t="str">
        <f>IFERROR(__xludf.DUMMYFUNCTION("""COMPUTED_VALUE"""),"William")</f>
        <v>William</v>
      </c>
      <c r="F3242" t="str">
        <f>IFERROR(__xludf.DUMMYFUNCTION("""COMPUTED_VALUE"""),"RE")</f>
        <v>RE</v>
      </c>
      <c r="G3242">
        <f>IFERROR(__xludf.DUMMYFUNCTION("""COMPUTED_VALUE"""),16.6)</f>
        <v>16.6</v>
      </c>
    </row>
    <row r="3243">
      <c r="D3243" t="str">
        <f>IFERROR(__xludf.DUMMYFUNCTION("""COMPUTED_VALUE"""),"Hayward")</f>
        <v>Hayward</v>
      </c>
      <c r="E3243" t="str">
        <f>IFERROR(__xludf.DUMMYFUNCTION("""COMPUTED_VALUE"""),"Casey")</f>
        <v>Casey</v>
      </c>
      <c r="F3243" t="str">
        <f>IFERROR(__xludf.DUMMYFUNCTION("""COMPUTED_VALUE"""),"CB")</f>
        <v>CB</v>
      </c>
      <c r="G3243">
        <f>IFERROR(__xludf.DUMMYFUNCTION("""COMPUTED_VALUE"""),17.2)</f>
        <v>17.2</v>
      </c>
    </row>
    <row r="3244">
      <c r="D3244" t="str">
        <f>IFERROR(__xludf.DUMMYFUNCTION("""COMPUTED_VALUE"""),"Hazel")</f>
        <v>Hazel</v>
      </c>
      <c r="E3244" t="str">
        <f>IFERROR(__xludf.DUMMYFUNCTION("""COMPUTED_VALUE"""),"Matt")</f>
        <v>Matt</v>
      </c>
      <c r="F3244" t="str">
        <f>IFERROR(__xludf.DUMMYFUNCTION("""COMPUTED_VALUE"""),"WR")</f>
        <v>WR</v>
      </c>
      <c r="G3244">
        <f>IFERROR(__xludf.DUMMYFUNCTION("""COMPUTED_VALUE"""),12.8)</f>
        <v>12.8</v>
      </c>
    </row>
    <row r="3245">
      <c r="D3245" t="str">
        <f>IFERROR(__xludf.DUMMYFUNCTION("""COMPUTED_VALUE"""),"Heath")</f>
        <v>Heath</v>
      </c>
      <c r="E3245" t="str">
        <f>IFERROR(__xludf.DUMMYFUNCTION("""COMPUTED_VALUE"""),"Jeff")</f>
        <v>Jeff</v>
      </c>
      <c r="F3245" t="str">
        <f>IFERROR(__xludf.DUMMYFUNCTION("""COMPUTED_VALUE"""),"FS")</f>
        <v>FS</v>
      </c>
      <c r="G3245">
        <f>IFERROR(__xludf.DUMMYFUNCTION("""COMPUTED_VALUE"""),15.0)</f>
        <v>15</v>
      </c>
    </row>
    <row r="3246">
      <c r="D3246" t="str">
        <f>IFERROR(__xludf.DUMMYFUNCTION("""COMPUTED_VALUE"""),"Heath")</f>
        <v>Heath</v>
      </c>
      <c r="E3246" t="str">
        <f>IFERROR(__xludf.DUMMYFUNCTION("""COMPUTED_VALUE"""),"Joel")</f>
        <v>Joel</v>
      </c>
      <c r="F3246" t="str">
        <f>IFERROR(__xludf.DUMMYFUNCTION("""COMPUTED_VALUE"""),"LE")</f>
        <v>LE</v>
      </c>
      <c r="G3246">
        <f>IFERROR(__xludf.DUMMYFUNCTION("""COMPUTED_VALUE"""),13.0)</f>
        <v>13</v>
      </c>
    </row>
    <row r="3247">
      <c r="D3247" t="str">
        <f>IFERROR(__xludf.DUMMYFUNCTION("""COMPUTED_VALUE"""),"Heeney")</f>
        <v>Heeney</v>
      </c>
      <c r="E3247" t="str">
        <f>IFERROR(__xludf.DUMMYFUNCTION("""COMPUTED_VALUE"""),"Ben")</f>
        <v>Ben</v>
      </c>
      <c r="F3247" t="str">
        <f>IFERROR(__xludf.DUMMYFUNCTION("""COMPUTED_VALUE"""),"MLB")</f>
        <v>MLB</v>
      </c>
      <c r="G3247">
        <f>IFERROR(__xludf.DUMMYFUNCTION("""COMPUTED_VALUE"""),13.200000000000001)</f>
        <v>13.2</v>
      </c>
    </row>
    <row r="3248">
      <c r="D3248" t="str">
        <f>IFERROR(__xludf.DUMMYFUNCTION("""COMPUTED_VALUE"""),"Heinicke")</f>
        <v>Heinicke</v>
      </c>
      <c r="E3248" t="str">
        <f>IFERROR(__xludf.DUMMYFUNCTION("""COMPUTED_VALUE"""),"Taylor")</f>
        <v>Taylor</v>
      </c>
      <c r="F3248" t="str">
        <f>IFERROR(__xludf.DUMMYFUNCTION("""COMPUTED_VALUE"""),"QB")</f>
        <v>QB</v>
      </c>
      <c r="G3248">
        <f>IFERROR(__xludf.DUMMYFUNCTION("""COMPUTED_VALUE"""),11.600000000000001)</f>
        <v>11.6</v>
      </c>
    </row>
    <row r="3249">
      <c r="D3249" t="str">
        <f>IFERROR(__xludf.DUMMYFUNCTION("""COMPUTED_VALUE"""),"Hekker")</f>
        <v>Hekker</v>
      </c>
      <c r="E3249" t="str">
        <f>IFERROR(__xludf.DUMMYFUNCTION("""COMPUTED_VALUE"""),"Johnny")</f>
        <v>Johnny</v>
      </c>
      <c r="F3249" t="str">
        <f>IFERROR(__xludf.DUMMYFUNCTION("""COMPUTED_VALUE"""),"P")</f>
        <v>P</v>
      </c>
      <c r="G3249">
        <f>IFERROR(__xludf.DUMMYFUNCTION("""COMPUTED_VALUE"""),17.2)</f>
        <v>17.2</v>
      </c>
    </row>
    <row r="3250">
      <c r="D3250" t="str">
        <f>IFERROR(__xludf.DUMMYFUNCTION("""COMPUTED_VALUE"""),"Helfet")</f>
        <v>Helfet</v>
      </c>
      <c r="E3250" t="str">
        <f>IFERROR(__xludf.DUMMYFUNCTION("""COMPUTED_VALUE"""),"Cooper")</f>
        <v>Cooper</v>
      </c>
      <c r="F3250" t="str">
        <f>IFERROR(__xludf.DUMMYFUNCTION("""COMPUTED_VALUE"""),"TE")</f>
        <v>TE</v>
      </c>
      <c r="G3250">
        <f>IFERROR(__xludf.DUMMYFUNCTION("""COMPUTED_VALUE"""),13.8)</f>
        <v>13.8</v>
      </c>
    </row>
    <row r="3251">
      <c r="D3251" t="str">
        <f>IFERROR(__xludf.DUMMYFUNCTION("""COMPUTED_VALUE"""),"Hemingway")</f>
        <v>Hemingway</v>
      </c>
      <c r="E3251" t="str">
        <f>IFERROR(__xludf.DUMMYFUNCTION("""COMPUTED_VALUE"""),"Temarrick")</f>
        <v>Temarrick</v>
      </c>
      <c r="F3251" t="str">
        <f>IFERROR(__xludf.DUMMYFUNCTION("""COMPUTED_VALUE"""),"TE")</f>
        <v>TE</v>
      </c>
      <c r="G3251">
        <f>IFERROR(__xludf.DUMMYFUNCTION("""COMPUTED_VALUE"""),12.4)</f>
        <v>12.4</v>
      </c>
    </row>
    <row r="3252">
      <c r="D3252" t="str">
        <f>IFERROR(__xludf.DUMMYFUNCTION("""COMPUTED_VALUE"""),"Henderson")</f>
        <v>Henderson</v>
      </c>
      <c r="E3252" t="str">
        <f>IFERROR(__xludf.DUMMYFUNCTION("""COMPUTED_VALUE"""),"Carlos")</f>
        <v>Carlos</v>
      </c>
      <c r="F3252" t="str">
        <f>IFERROR(__xludf.DUMMYFUNCTION("""COMPUTED_VALUE"""),"WR")</f>
        <v>WR</v>
      </c>
      <c r="G3252">
        <f>IFERROR(__xludf.DUMMYFUNCTION("""COMPUTED_VALUE"""),15.200000000000001)</f>
        <v>15.2</v>
      </c>
    </row>
    <row r="3253">
      <c r="D3253" t="str">
        <f>IFERROR(__xludf.DUMMYFUNCTION("""COMPUTED_VALUE"""),"Henderson")</f>
        <v>Henderson</v>
      </c>
      <c r="E3253" t="str">
        <f>IFERROR(__xludf.DUMMYFUNCTION("""COMPUTED_VALUE"""),"DeAngelo")</f>
        <v>DeAngelo</v>
      </c>
      <c r="F3253" t="str">
        <f>IFERROR(__xludf.DUMMYFUNCTION("""COMPUTED_VALUE"""),"HB")</f>
        <v>HB</v>
      </c>
      <c r="G3253">
        <f>IFERROR(__xludf.DUMMYFUNCTION("""COMPUTED_VALUE"""),13.600000000000001)</f>
        <v>13.6</v>
      </c>
    </row>
    <row r="3254">
      <c r="D3254" t="str">
        <f>IFERROR(__xludf.DUMMYFUNCTION("""COMPUTED_VALUE"""),"Henderson")</f>
        <v>Henderson</v>
      </c>
      <c r="E3254" t="str">
        <f>IFERROR(__xludf.DUMMYFUNCTION("""COMPUTED_VALUE"""),"Seantrel")</f>
        <v>Seantrel</v>
      </c>
      <c r="F3254" t="str">
        <f>IFERROR(__xludf.DUMMYFUNCTION("""COMPUTED_VALUE"""),"RT")</f>
        <v>RT</v>
      </c>
      <c r="G3254">
        <f>IFERROR(__xludf.DUMMYFUNCTION("""COMPUTED_VALUE"""),14.200000000000001)</f>
        <v>14.2</v>
      </c>
    </row>
    <row r="3255">
      <c r="D3255" t="str">
        <f>IFERROR(__xludf.DUMMYFUNCTION("""COMPUTED_VALUE"""),"Hendrickson")</f>
        <v>Hendrickson</v>
      </c>
      <c r="E3255" t="str">
        <f>IFERROR(__xludf.DUMMYFUNCTION("""COMPUTED_VALUE"""),"Trey")</f>
        <v>Trey</v>
      </c>
      <c r="F3255" t="str">
        <f>IFERROR(__xludf.DUMMYFUNCTION("""COMPUTED_VALUE"""),"LE")</f>
        <v>LE</v>
      </c>
      <c r="G3255">
        <f>IFERROR(__xludf.DUMMYFUNCTION("""COMPUTED_VALUE"""),13.8)</f>
        <v>13.8</v>
      </c>
    </row>
    <row r="3256">
      <c r="D3256" t="str">
        <f>IFERROR(__xludf.DUMMYFUNCTION("""COMPUTED_VALUE"""),"Hendy")</f>
        <v>Hendy</v>
      </c>
      <c r="E3256" t="str">
        <f>IFERROR(__xludf.DUMMYFUNCTION("""COMPUTED_VALUE"""),"AJ")</f>
        <v>AJ</v>
      </c>
      <c r="F3256" t="str">
        <f>IFERROR(__xludf.DUMMYFUNCTION("""COMPUTED_VALUE"""),"SS")</f>
        <v>SS</v>
      </c>
      <c r="G3256">
        <f>IFERROR(__xludf.DUMMYFUNCTION("""COMPUTED_VALUE"""),12.0)</f>
        <v>12</v>
      </c>
    </row>
    <row r="3257">
      <c r="D3257" t="str">
        <f>IFERROR(__xludf.DUMMYFUNCTION("""COMPUTED_VALUE"""),"Henne")</f>
        <v>Henne</v>
      </c>
      <c r="E3257" t="str">
        <f>IFERROR(__xludf.DUMMYFUNCTION("""COMPUTED_VALUE"""),"Chad")</f>
        <v>Chad</v>
      </c>
      <c r="F3257" t="str">
        <f>IFERROR(__xludf.DUMMYFUNCTION("""COMPUTED_VALUE"""),"QB")</f>
        <v>QB</v>
      </c>
      <c r="G3257">
        <f>IFERROR(__xludf.DUMMYFUNCTION("""COMPUTED_VALUE"""),13.4)</f>
        <v>13.4</v>
      </c>
    </row>
    <row r="3258">
      <c r="D3258" t="str">
        <f>IFERROR(__xludf.DUMMYFUNCTION("""COMPUTED_VALUE"""),"Hennessy")</f>
        <v>Hennessy</v>
      </c>
      <c r="E3258" t="str">
        <f>IFERROR(__xludf.DUMMYFUNCTION("""COMPUTED_VALUE"""),"Thomas")</f>
        <v>Thomas</v>
      </c>
      <c r="F3258" t="str">
        <f>IFERROR(__xludf.DUMMYFUNCTION("""COMPUTED_VALUE"""),"TE")</f>
        <v>TE</v>
      </c>
      <c r="G3258">
        <f>IFERROR(__xludf.DUMMYFUNCTION("""COMPUTED_VALUE"""),8.6)</f>
        <v>8.6</v>
      </c>
    </row>
    <row r="3259">
      <c r="D3259" t="str">
        <f>IFERROR(__xludf.DUMMYFUNCTION("""COMPUTED_VALUE"""),"Henry")</f>
        <v>Henry</v>
      </c>
      <c r="E3259" t="str">
        <f>IFERROR(__xludf.DUMMYFUNCTION("""COMPUTED_VALUE"""),"Derrick")</f>
        <v>Derrick</v>
      </c>
      <c r="F3259" t="str">
        <f>IFERROR(__xludf.DUMMYFUNCTION("""COMPUTED_VALUE"""),"HB")</f>
        <v>HB</v>
      </c>
      <c r="G3259">
        <f>IFERROR(__xludf.DUMMYFUNCTION("""COMPUTED_VALUE"""),15.8)</f>
        <v>15.8</v>
      </c>
    </row>
    <row r="3260">
      <c r="D3260" t="str">
        <f>IFERROR(__xludf.DUMMYFUNCTION("""COMPUTED_VALUE"""),"Henry")</f>
        <v>Henry</v>
      </c>
      <c r="E3260" t="str">
        <f>IFERROR(__xludf.DUMMYFUNCTION("""COMPUTED_VALUE"""),"Hunter")</f>
        <v>Hunter</v>
      </c>
      <c r="F3260" t="str">
        <f>IFERROR(__xludf.DUMMYFUNCTION("""COMPUTED_VALUE"""),"TE")</f>
        <v>TE</v>
      </c>
      <c r="G3260">
        <f>IFERROR(__xludf.DUMMYFUNCTION("""COMPUTED_VALUE"""),16.400000000000002)</f>
        <v>16.4</v>
      </c>
    </row>
    <row r="3261">
      <c r="D3261" t="str">
        <f>IFERROR(__xludf.DUMMYFUNCTION("""COMPUTED_VALUE"""),"Henry")</f>
        <v>Henry</v>
      </c>
      <c r="E3261" t="str">
        <f>IFERROR(__xludf.DUMMYFUNCTION("""COMPUTED_VALUE"""),"Willie")</f>
        <v>Willie</v>
      </c>
      <c r="F3261" t="str">
        <f>IFERROR(__xludf.DUMMYFUNCTION("""COMPUTED_VALUE"""),"LE")</f>
        <v>LE</v>
      </c>
      <c r="G3261">
        <f>IFERROR(__xludf.DUMMYFUNCTION("""COMPUTED_VALUE"""),13.200000000000001)</f>
        <v>13.2</v>
      </c>
    </row>
    <row r="3262">
      <c r="D3262" t="str">
        <f>IFERROR(__xludf.DUMMYFUNCTION("""COMPUTED_VALUE"""),"Herzlich")</f>
        <v>Herzlich</v>
      </c>
      <c r="E3262" t="str">
        <f>IFERROR(__xludf.DUMMYFUNCTION("""COMPUTED_VALUE"""),"Mark")</f>
        <v>Mark</v>
      </c>
      <c r="F3262" t="str">
        <f>IFERROR(__xludf.DUMMYFUNCTION("""COMPUTED_VALUE"""),"LOLB")</f>
        <v>LOLB</v>
      </c>
      <c r="G3262">
        <f>IFERROR(__xludf.DUMMYFUNCTION("""COMPUTED_VALUE"""),13.600000000000001)</f>
        <v>13.6</v>
      </c>
    </row>
    <row r="3263">
      <c r="D3263" t="str">
        <f>IFERROR(__xludf.DUMMYFUNCTION("""COMPUTED_VALUE"""),"Hester")</f>
        <v>Hester</v>
      </c>
      <c r="E3263" t="str">
        <f>IFERROR(__xludf.DUMMYFUNCTION("""COMPUTED_VALUE"""),"Treyvon")</f>
        <v>Treyvon</v>
      </c>
      <c r="F3263" t="str">
        <f>IFERROR(__xludf.DUMMYFUNCTION("""COMPUTED_VALUE"""),"DT")</f>
        <v>DT</v>
      </c>
      <c r="G3263">
        <f>IFERROR(__xludf.DUMMYFUNCTION("""COMPUTED_VALUE"""),13.0)</f>
        <v>13</v>
      </c>
    </row>
    <row r="3264">
      <c r="D3264" t="str">
        <f>IFERROR(__xludf.DUMMYFUNCTION("""COMPUTED_VALUE"""),"Heuerman")</f>
        <v>Heuerman</v>
      </c>
      <c r="E3264" t="str">
        <f>IFERROR(__xludf.DUMMYFUNCTION("""COMPUTED_VALUE"""),"Jeff")</f>
        <v>Jeff</v>
      </c>
      <c r="F3264" t="str">
        <f>IFERROR(__xludf.DUMMYFUNCTION("""COMPUTED_VALUE"""),"TE")</f>
        <v>TE</v>
      </c>
      <c r="G3264">
        <f>IFERROR(__xludf.DUMMYFUNCTION("""COMPUTED_VALUE"""),14.8)</f>
        <v>14.8</v>
      </c>
    </row>
    <row r="3265">
      <c r="D3265" t="str">
        <f>IFERROR(__xludf.DUMMYFUNCTION("""COMPUTED_VALUE"""),"Hewitt")</f>
        <v>Hewitt</v>
      </c>
      <c r="E3265" t="str">
        <f>IFERROR(__xludf.DUMMYFUNCTION("""COMPUTED_VALUE"""),"Neville")</f>
        <v>Neville</v>
      </c>
      <c r="F3265" t="str">
        <f>IFERROR(__xludf.DUMMYFUNCTION("""COMPUTED_VALUE"""),"ROLB")</f>
        <v>ROLB</v>
      </c>
      <c r="G3265">
        <f>IFERROR(__xludf.DUMMYFUNCTION("""COMPUTED_VALUE"""),14.0)</f>
        <v>14</v>
      </c>
    </row>
    <row r="3266">
      <c r="D3266" t="str">
        <f>IFERROR(__xludf.DUMMYFUNCTION("""COMPUTED_VALUE"""),"Hewitt")</f>
        <v>Hewitt</v>
      </c>
      <c r="E3266" t="str">
        <f>IFERROR(__xludf.DUMMYFUNCTION("""COMPUTED_VALUE"""),"Ryan")</f>
        <v>Ryan</v>
      </c>
      <c r="F3266" t="str">
        <f>IFERROR(__xludf.DUMMYFUNCTION("""COMPUTED_VALUE"""),"FB")</f>
        <v>FB</v>
      </c>
      <c r="G3266">
        <f>IFERROR(__xludf.DUMMYFUNCTION("""COMPUTED_VALUE"""),15.600000000000001)</f>
        <v>15.6</v>
      </c>
    </row>
    <row r="3267">
      <c r="D3267" t="str">
        <f>IFERROR(__xludf.DUMMYFUNCTION("""COMPUTED_VALUE"""),"Heyward")</f>
        <v>Heyward</v>
      </c>
      <c r="E3267" t="str">
        <f>IFERROR(__xludf.DUMMYFUNCTION("""COMPUTED_VALUE"""),"Cameron")</f>
        <v>Cameron</v>
      </c>
      <c r="F3267" t="str">
        <f>IFERROR(__xludf.DUMMYFUNCTION("""COMPUTED_VALUE"""),"LE")</f>
        <v>LE</v>
      </c>
      <c r="G3267">
        <f>IFERROR(__xludf.DUMMYFUNCTION("""COMPUTED_VALUE"""),16.2)</f>
        <v>16.2</v>
      </c>
    </row>
    <row r="3268">
      <c r="D3268" t="str">
        <f>IFERROR(__xludf.DUMMYFUNCTION("""COMPUTED_VALUE"""),"Heyward-Bey")</f>
        <v>Heyward-Bey</v>
      </c>
      <c r="E3268" t="str">
        <f>IFERROR(__xludf.DUMMYFUNCTION("""COMPUTED_VALUE"""),"Darrius")</f>
        <v>Darrius</v>
      </c>
      <c r="F3268" t="str">
        <f>IFERROR(__xludf.DUMMYFUNCTION("""COMPUTED_VALUE"""),"WR")</f>
        <v>WR</v>
      </c>
      <c r="G3268">
        <f>IFERROR(__xludf.DUMMYFUNCTION("""COMPUTED_VALUE"""),14.4)</f>
        <v>14.4</v>
      </c>
    </row>
    <row r="3269">
      <c r="D3269" t="str">
        <f>IFERROR(__xludf.DUMMYFUNCTION("""COMPUTED_VALUE"""),"Hicks")</f>
        <v>Hicks</v>
      </c>
      <c r="E3269" t="str">
        <f>IFERROR(__xludf.DUMMYFUNCTION("""COMPUTED_VALUE"""),"Akiem")</f>
        <v>Akiem</v>
      </c>
      <c r="F3269" t="str">
        <f>IFERROR(__xludf.DUMMYFUNCTION("""COMPUTED_VALUE"""),"LE")</f>
        <v>LE</v>
      </c>
      <c r="G3269">
        <f>IFERROR(__xludf.DUMMYFUNCTION("""COMPUTED_VALUE"""),16.6)</f>
        <v>16.6</v>
      </c>
    </row>
    <row r="3270">
      <c r="D3270" t="str">
        <f>IFERROR(__xludf.DUMMYFUNCTION("""COMPUTED_VALUE"""),"Hicks")</f>
        <v>Hicks</v>
      </c>
      <c r="E3270" t="str">
        <f>IFERROR(__xludf.DUMMYFUNCTION("""COMPUTED_VALUE"""),"Jordan")</f>
        <v>Jordan</v>
      </c>
      <c r="F3270" t="str">
        <f>IFERROR(__xludf.DUMMYFUNCTION("""COMPUTED_VALUE"""),"MLB")</f>
        <v>MLB</v>
      </c>
      <c r="G3270">
        <f>IFERROR(__xludf.DUMMYFUNCTION("""COMPUTED_VALUE"""),17.0)</f>
        <v>17</v>
      </c>
    </row>
    <row r="3271">
      <c r="D3271" t="str">
        <f>IFERROR(__xludf.DUMMYFUNCTION("""COMPUTED_VALUE"""),"Higbee")</f>
        <v>Higbee</v>
      </c>
      <c r="E3271" t="str">
        <f>IFERROR(__xludf.DUMMYFUNCTION("""COMPUTED_VALUE"""),"Tyler")</f>
        <v>Tyler</v>
      </c>
      <c r="F3271" t="str">
        <f>IFERROR(__xludf.DUMMYFUNCTION("""COMPUTED_VALUE"""),"TE")</f>
        <v>TE</v>
      </c>
      <c r="G3271">
        <f>IFERROR(__xludf.DUMMYFUNCTION("""COMPUTED_VALUE"""),14.0)</f>
        <v>14</v>
      </c>
    </row>
    <row r="3272">
      <c r="D3272" t="str">
        <f>IFERROR(__xludf.DUMMYFUNCTION("""COMPUTED_VALUE"""),"Higgins")</f>
        <v>Higgins</v>
      </c>
      <c r="E3272" t="str">
        <f>IFERROR(__xludf.DUMMYFUNCTION("""COMPUTED_VALUE"""),"Rashard")</f>
        <v>Rashard</v>
      </c>
      <c r="F3272" t="str">
        <f>IFERROR(__xludf.DUMMYFUNCTION("""COMPUTED_VALUE"""),"WR")</f>
        <v>WR</v>
      </c>
      <c r="G3272">
        <f>IFERROR(__xludf.DUMMYFUNCTION("""COMPUTED_VALUE"""),13.0)</f>
        <v>13</v>
      </c>
    </row>
    <row r="3273">
      <c r="D3273" t="str">
        <f>IFERROR(__xludf.DUMMYFUNCTION("""COMPUTED_VALUE"""),"Hightower")</f>
        <v>Hightower</v>
      </c>
      <c r="E3273" t="str">
        <f>IFERROR(__xludf.DUMMYFUNCTION("""COMPUTED_VALUE"""),"Donta")</f>
        <v>Donta</v>
      </c>
      <c r="F3273" t="str">
        <f>IFERROR(__xludf.DUMMYFUNCTION("""COMPUTED_VALUE"""),"MLB")</f>
        <v>MLB</v>
      </c>
      <c r="G3273">
        <f>IFERROR(__xludf.DUMMYFUNCTION("""COMPUTED_VALUE"""),17.8)</f>
        <v>17.8</v>
      </c>
    </row>
    <row r="3274">
      <c r="D3274" t="str">
        <f>IFERROR(__xludf.DUMMYFUNCTION("""COMPUTED_VALUE"""),"Hightower")</f>
        <v>Hightower</v>
      </c>
      <c r="E3274" t="str">
        <f>IFERROR(__xludf.DUMMYFUNCTION("""COMPUTED_VALUE"""),"Tim")</f>
        <v>Tim</v>
      </c>
      <c r="F3274" t="str">
        <f>IFERROR(__xludf.DUMMYFUNCTION("""COMPUTED_VALUE"""),"HB")</f>
        <v>HB</v>
      </c>
      <c r="G3274">
        <f>IFERROR(__xludf.DUMMYFUNCTION("""COMPUTED_VALUE"""),16.0)</f>
        <v>16</v>
      </c>
    </row>
    <row r="3275">
      <c r="D3275" t="str">
        <f>IFERROR(__xludf.DUMMYFUNCTION("""COMPUTED_VALUE"""),"Hikutini")</f>
        <v>Hikutini</v>
      </c>
      <c r="E3275" t="str">
        <f>IFERROR(__xludf.DUMMYFUNCTION("""COMPUTED_VALUE"""),"Cole")</f>
        <v>Cole</v>
      </c>
      <c r="F3275" t="str">
        <f>IFERROR(__xludf.DUMMYFUNCTION("""COMPUTED_VALUE"""),"TE")</f>
        <v>TE</v>
      </c>
      <c r="G3275">
        <f>IFERROR(__xludf.DUMMYFUNCTION("""COMPUTED_VALUE"""),13.4)</f>
        <v>13.4</v>
      </c>
    </row>
    <row r="3276">
      <c r="D3276" t="str">
        <f>IFERROR(__xludf.DUMMYFUNCTION("""COMPUTED_VALUE"""),"Hill")</f>
        <v>Hill</v>
      </c>
      <c r="E3276" t="str">
        <f>IFERROR(__xludf.DUMMYFUNCTION("""COMPUTED_VALUE"""),"Brian")</f>
        <v>Brian</v>
      </c>
      <c r="F3276" t="str">
        <f>IFERROR(__xludf.DUMMYFUNCTION("""COMPUTED_VALUE"""),"HB")</f>
        <v>HB</v>
      </c>
      <c r="G3276">
        <f>IFERROR(__xludf.DUMMYFUNCTION("""COMPUTED_VALUE"""),14.4)</f>
        <v>14.4</v>
      </c>
    </row>
    <row r="3277">
      <c r="D3277" t="str">
        <f>IFERROR(__xludf.DUMMYFUNCTION("""COMPUTED_VALUE"""),"Hill")</f>
        <v>Hill</v>
      </c>
      <c r="E3277" t="str">
        <f>IFERROR(__xludf.DUMMYFUNCTION("""COMPUTED_VALUE"""),"Delano")</f>
        <v>Delano</v>
      </c>
      <c r="F3277" t="str">
        <f>IFERROR(__xludf.DUMMYFUNCTION("""COMPUTED_VALUE"""),"FS")</f>
        <v>FS</v>
      </c>
      <c r="G3277">
        <f>IFERROR(__xludf.DUMMYFUNCTION("""COMPUTED_VALUE"""),13.600000000000001)</f>
        <v>13.6</v>
      </c>
    </row>
    <row r="3278">
      <c r="D3278" t="str">
        <f>IFERROR(__xludf.DUMMYFUNCTION("""COMPUTED_VALUE"""),"Hill")</f>
        <v>Hill</v>
      </c>
      <c r="E3278" t="str">
        <f>IFERROR(__xludf.DUMMYFUNCTION("""COMPUTED_VALUE"""),"Jeremy")</f>
        <v>Jeremy</v>
      </c>
      <c r="F3278" t="str">
        <f>IFERROR(__xludf.DUMMYFUNCTION("""COMPUTED_VALUE"""),"HB")</f>
        <v>HB</v>
      </c>
      <c r="G3278">
        <f>IFERROR(__xludf.DUMMYFUNCTION("""COMPUTED_VALUE"""),16.400000000000002)</f>
        <v>16.4</v>
      </c>
    </row>
    <row r="3279">
      <c r="D3279" t="str">
        <f>IFERROR(__xludf.DUMMYFUNCTION("""COMPUTED_VALUE"""),"Hill")</f>
        <v>Hill</v>
      </c>
      <c r="E3279" t="str">
        <f>IFERROR(__xludf.DUMMYFUNCTION("""COMPUTED_VALUE"""),"Jordan")</f>
        <v>Jordan</v>
      </c>
      <c r="F3279" t="str">
        <f>IFERROR(__xludf.DUMMYFUNCTION("""COMPUTED_VALUE"""),"DT")</f>
        <v>DT</v>
      </c>
      <c r="G3279">
        <f>IFERROR(__xludf.DUMMYFUNCTION("""COMPUTED_VALUE"""),14.4)</f>
        <v>14.4</v>
      </c>
    </row>
    <row r="3280">
      <c r="D3280" t="str">
        <f>IFERROR(__xludf.DUMMYFUNCTION("""COMPUTED_VALUE"""),"Hill")</f>
        <v>Hill</v>
      </c>
      <c r="E3280" t="str">
        <f>IFERROR(__xludf.DUMMYFUNCTION("""COMPUTED_VALUE"""),"Josh")</f>
        <v>Josh</v>
      </c>
      <c r="F3280" t="str">
        <f>IFERROR(__xludf.DUMMYFUNCTION("""COMPUTED_VALUE"""),"TE")</f>
        <v>TE</v>
      </c>
      <c r="G3280">
        <f>IFERROR(__xludf.DUMMYFUNCTION("""COMPUTED_VALUE"""),14.8)</f>
        <v>14.8</v>
      </c>
    </row>
    <row r="3281">
      <c r="D3281" t="str">
        <f>IFERROR(__xludf.DUMMYFUNCTION("""COMPUTED_VALUE"""),"Hill")</f>
        <v>Hill</v>
      </c>
      <c r="E3281" t="str">
        <f>IFERROR(__xludf.DUMMYFUNCTION("""COMPUTED_VALUE"""),"Rashod")</f>
        <v>Rashod</v>
      </c>
      <c r="F3281" t="str">
        <f>IFERROR(__xludf.DUMMYFUNCTION("""COMPUTED_VALUE"""),"LT")</f>
        <v>LT</v>
      </c>
      <c r="G3281">
        <f>IFERROR(__xludf.DUMMYFUNCTION("""COMPUTED_VALUE"""),12.8)</f>
        <v>12.8</v>
      </c>
    </row>
    <row r="3282">
      <c r="D3282" t="str">
        <f>IFERROR(__xludf.DUMMYFUNCTION("""COMPUTED_VALUE"""),"Hill")</f>
        <v>Hill</v>
      </c>
      <c r="E3282" t="str">
        <f>IFERROR(__xludf.DUMMYFUNCTION("""COMPUTED_VALUE"""),"Shaq")</f>
        <v>Shaq</v>
      </c>
      <c r="F3282" t="str">
        <f>IFERROR(__xludf.DUMMYFUNCTION("""COMPUTED_VALUE"""),"WR")</f>
        <v>WR</v>
      </c>
      <c r="G3282">
        <f>IFERROR(__xludf.DUMMYFUNCTION("""COMPUTED_VALUE"""),12.8)</f>
        <v>12.8</v>
      </c>
    </row>
    <row r="3283">
      <c r="D3283" t="str">
        <f>IFERROR(__xludf.DUMMYFUNCTION("""COMPUTED_VALUE"""),"Hill")</f>
        <v>Hill</v>
      </c>
      <c r="E3283" t="str">
        <f>IFERROR(__xludf.DUMMYFUNCTION("""COMPUTED_VALUE"""),"Taysom")</f>
        <v>Taysom</v>
      </c>
      <c r="F3283" t="str">
        <f>IFERROR(__xludf.DUMMYFUNCTION("""COMPUTED_VALUE"""),"QB")</f>
        <v>QB</v>
      </c>
      <c r="G3283">
        <f>IFERROR(__xludf.DUMMYFUNCTION("""COMPUTED_VALUE"""),12.0)</f>
        <v>12</v>
      </c>
    </row>
    <row r="3284">
      <c r="D3284" t="str">
        <f>IFERROR(__xludf.DUMMYFUNCTION("""COMPUTED_VALUE"""),"Hill")</f>
        <v>Hill</v>
      </c>
      <c r="E3284" t="str">
        <f>IFERROR(__xludf.DUMMYFUNCTION("""COMPUTED_VALUE"""),"Troy")</f>
        <v>Troy</v>
      </c>
      <c r="F3284" t="str">
        <f>IFERROR(__xludf.DUMMYFUNCTION("""COMPUTED_VALUE"""),"CB")</f>
        <v>CB</v>
      </c>
      <c r="G3284">
        <f>IFERROR(__xludf.DUMMYFUNCTION("""COMPUTED_VALUE"""),13.200000000000001)</f>
        <v>13.2</v>
      </c>
    </row>
    <row r="3285">
      <c r="D3285" t="str">
        <f>IFERROR(__xludf.DUMMYFUNCTION("""COMPUTED_VALUE"""),"Hill")</f>
        <v>Hill</v>
      </c>
      <c r="E3285" t="str">
        <f>IFERROR(__xludf.DUMMYFUNCTION("""COMPUTED_VALUE"""),"Tyreek")</f>
        <v>Tyreek</v>
      </c>
      <c r="F3285" t="str">
        <f>IFERROR(__xludf.DUMMYFUNCTION("""COMPUTED_VALUE"""),"WR")</f>
        <v>WR</v>
      </c>
      <c r="G3285">
        <f>IFERROR(__xludf.DUMMYFUNCTION("""COMPUTED_VALUE"""),16.6)</f>
        <v>16.6</v>
      </c>
    </row>
    <row r="3286">
      <c r="D3286" t="str">
        <f>IFERROR(__xludf.DUMMYFUNCTION("""COMPUTED_VALUE"""),"Hillary")</f>
        <v>Hillary</v>
      </c>
      <c r="E3286" t="str">
        <f>IFERROR(__xludf.DUMMYFUNCTION("""COMPUTED_VALUE"""),"Darius")</f>
        <v>Darius</v>
      </c>
      <c r="F3286" t="str">
        <f>IFERROR(__xludf.DUMMYFUNCTION("""COMPUTED_VALUE"""),"CB")</f>
        <v>CB</v>
      </c>
      <c r="G3286">
        <f>IFERROR(__xludf.DUMMYFUNCTION("""COMPUTED_VALUE"""),12.200000000000001)</f>
        <v>12.2</v>
      </c>
    </row>
    <row r="3287">
      <c r="D3287" t="str">
        <f>IFERROR(__xludf.DUMMYFUNCTION("""COMPUTED_VALUE"""),"Hilton")</f>
        <v>Hilton</v>
      </c>
      <c r="E3287" t="str">
        <f>IFERROR(__xludf.DUMMYFUNCTION("""COMPUTED_VALUE"""),"TY")</f>
        <v>TY</v>
      </c>
      <c r="F3287" t="str">
        <f>IFERROR(__xludf.DUMMYFUNCTION("""COMPUTED_VALUE"""),"WR")</f>
        <v>WR</v>
      </c>
      <c r="G3287">
        <f>IFERROR(__xludf.DUMMYFUNCTION("""COMPUTED_VALUE"""),17.6)</f>
        <v>17.6</v>
      </c>
    </row>
    <row r="3288">
      <c r="D3288" t="str">
        <f>IFERROR(__xludf.DUMMYFUNCTION("""COMPUTED_VALUE"""),"Hitchens")</f>
        <v>Hitchens</v>
      </c>
      <c r="E3288" t="str">
        <f>IFERROR(__xludf.DUMMYFUNCTION("""COMPUTED_VALUE"""),"Anthony")</f>
        <v>Anthony</v>
      </c>
      <c r="F3288" t="str">
        <f>IFERROR(__xludf.DUMMYFUNCTION("""COMPUTED_VALUE"""),"MLB")</f>
        <v>MLB</v>
      </c>
      <c r="G3288">
        <f>IFERROR(__xludf.DUMMYFUNCTION("""COMPUTED_VALUE"""),14.8)</f>
        <v>14.8</v>
      </c>
    </row>
    <row r="3289">
      <c r="D3289" t="str">
        <f>IFERROR(__xludf.DUMMYFUNCTION("""COMPUTED_VALUE"""),"Hodges")</f>
        <v>Hodges</v>
      </c>
      <c r="E3289" t="str">
        <f>IFERROR(__xludf.DUMMYFUNCTION("""COMPUTED_VALUE"""),"Bucky")</f>
        <v>Bucky</v>
      </c>
      <c r="F3289" t="str">
        <f>IFERROR(__xludf.DUMMYFUNCTION("""COMPUTED_VALUE"""),"TE")</f>
        <v>TE</v>
      </c>
      <c r="G3289">
        <f>IFERROR(__xludf.DUMMYFUNCTION("""COMPUTED_VALUE"""),14.200000000000001)</f>
        <v>14.2</v>
      </c>
    </row>
    <row r="3290">
      <c r="D3290" t="str">
        <f>IFERROR(__xludf.DUMMYFUNCTION("""COMPUTED_VALUE"""),"Hodges Jr")</f>
        <v>Hodges Jr</v>
      </c>
      <c r="E3290" t="str">
        <f>IFERROR(__xludf.DUMMYFUNCTION("""COMPUTED_VALUE"""),"Gerald")</f>
        <v>Gerald</v>
      </c>
      <c r="F3290" t="str">
        <f>IFERROR(__xludf.DUMMYFUNCTION("""COMPUTED_VALUE"""),"LOLB")</f>
        <v>LOLB</v>
      </c>
      <c r="G3290">
        <f>IFERROR(__xludf.DUMMYFUNCTION("""COMPUTED_VALUE"""),15.8)</f>
        <v>15.8</v>
      </c>
    </row>
    <row r="3291">
      <c r="D3291" t="str">
        <f>IFERROR(__xludf.DUMMYFUNCTION("""COMPUTED_VALUE"""),"Hogan")</f>
        <v>Hogan</v>
      </c>
      <c r="E3291" t="str">
        <f>IFERROR(__xludf.DUMMYFUNCTION("""COMPUTED_VALUE"""),"Chris")</f>
        <v>Chris</v>
      </c>
      <c r="F3291" t="str">
        <f>IFERROR(__xludf.DUMMYFUNCTION("""COMPUTED_VALUE"""),"WR")</f>
        <v>WR</v>
      </c>
      <c r="G3291">
        <f>IFERROR(__xludf.DUMMYFUNCTION("""COMPUTED_VALUE"""),16.6)</f>
        <v>16.6</v>
      </c>
    </row>
    <row r="3292">
      <c r="D3292" t="str">
        <f>IFERROR(__xludf.DUMMYFUNCTION("""COMPUTED_VALUE"""),"Hogan")</f>
        <v>Hogan</v>
      </c>
      <c r="E3292" t="str">
        <f>IFERROR(__xludf.DUMMYFUNCTION("""COMPUTED_VALUE"""),"Kevin")</f>
        <v>Kevin</v>
      </c>
      <c r="F3292" t="str">
        <f>IFERROR(__xludf.DUMMYFUNCTION("""COMPUTED_VALUE"""),"QB")</f>
        <v>QB</v>
      </c>
      <c r="G3292">
        <f>IFERROR(__xludf.DUMMYFUNCTION("""COMPUTED_VALUE"""),13.200000000000001)</f>
        <v>13.2</v>
      </c>
    </row>
    <row r="3293">
      <c r="D3293" t="str">
        <f>IFERROR(__xludf.DUMMYFUNCTION("""COMPUTED_VALUE"""),"Hogan")</f>
        <v>Hogan</v>
      </c>
      <c r="E3293" t="str">
        <f>IFERROR(__xludf.DUMMYFUNCTION("""COMPUTED_VALUE"""),"Krishawn")</f>
        <v>Krishawn</v>
      </c>
      <c r="F3293" t="str">
        <f>IFERROR(__xludf.DUMMYFUNCTION("""COMPUTED_VALUE"""),"WR")</f>
        <v>WR</v>
      </c>
      <c r="G3293">
        <f>IFERROR(__xludf.DUMMYFUNCTION("""COMPUTED_VALUE"""),12.200000000000001)</f>
        <v>12.2</v>
      </c>
    </row>
    <row r="3294">
      <c r="D3294" t="str">
        <f>IFERROR(__xludf.DUMMYFUNCTION("""COMPUTED_VALUE"""),"Holba")</f>
        <v>Holba</v>
      </c>
      <c r="E3294" t="str">
        <f>IFERROR(__xludf.DUMMYFUNCTION("""COMPUTED_VALUE"""),"Colin")</f>
        <v>Colin</v>
      </c>
      <c r="F3294" t="str">
        <f>IFERROR(__xludf.DUMMYFUNCTION("""COMPUTED_VALUE"""),"TE")</f>
        <v>TE</v>
      </c>
      <c r="G3294">
        <f>IFERROR(__xludf.DUMMYFUNCTION("""COMPUTED_VALUE"""),9.4)</f>
        <v>9.4</v>
      </c>
    </row>
    <row r="3295">
      <c r="D3295" t="str">
        <f>IFERROR(__xludf.DUMMYFUNCTION("""COMPUTED_VALUE"""),"Holden")</f>
        <v>Holden</v>
      </c>
      <c r="E3295" t="str">
        <f>IFERROR(__xludf.DUMMYFUNCTION("""COMPUTED_VALUE"""),"Will")</f>
        <v>Will</v>
      </c>
      <c r="F3295" t="str">
        <f>IFERROR(__xludf.DUMMYFUNCTION("""COMPUTED_VALUE"""),"LT")</f>
        <v>LT</v>
      </c>
      <c r="G3295">
        <f>IFERROR(__xludf.DUMMYFUNCTION("""COMPUTED_VALUE"""),13.600000000000001)</f>
        <v>13.6</v>
      </c>
    </row>
    <row r="3296">
      <c r="D3296" t="str">
        <f>IFERROR(__xludf.DUMMYFUNCTION("""COMPUTED_VALUE"""),"Hollins")</f>
        <v>Hollins</v>
      </c>
      <c r="E3296" t="str">
        <f>IFERROR(__xludf.DUMMYFUNCTION("""COMPUTED_VALUE"""),"Mack")</f>
        <v>Mack</v>
      </c>
      <c r="F3296" t="str">
        <f>IFERROR(__xludf.DUMMYFUNCTION("""COMPUTED_VALUE"""),"WR")</f>
        <v>WR</v>
      </c>
      <c r="G3296">
        <f>IFERROR(__xludf.DUMMYFUNCTION("""COMPUTED_VALUE"""),13.8)</f>
        <v>13.8</v>
      </c>
    </row>
    <row r="3297">
      <c r="D3297" t="str">
        <f>IFERROR(__xludf.DUMMYFUNCTION("""COMPUTED_VALUE"""),"Holmes")</f>
        <v>Holmes</v>
      </c>
      <c r="E3297" t="str">
        <f>IFERROR(__xludf.DUMMYFUNCTION("""COMPUTED_VALUE"""),"Andre")</f>
        <v>Andre</v>
      </c>
      <c r="F3297" t="str">
        <f>IFERROR(__xludf.DUMMYFUNCTION("""COMPUTED_VALUE"""),"WR")</f>
        <v>WR</v>
      </c>
      <c r="G3297">
        <f>IFERROR(__xludf.DUMMYFUNCTION("""COMPUTED_VALUE"""),15.200000000000001)</f>
        <v>15.2</v>
      </c>
    </row>
    <row r="3298">
      <c r="D3298" t="str">
        <f>IFERROR(__xludf.DUMMYFUNCTION("""COMPUTED_VALUE"""),"Holmes")</f>
        <v>Holmes</v>
      </c>
      <c r="E3298" t="str">
        <f>IFERROR(__xludf.DUMMYFUNCTION("""COMPUTED_VALUE"""),"Gabe")</f>
        <v>Gabe</v>
      </c>
      <c r="F3298" t="str">
        <f>IFERROR(__xludf.DUMMYFUNCTION("""COMPUTED_VALUE"""),"TE")</f>
        <v>TE</v>
      </c>
      <c r="G3298">
        <f>IFERROR(__xludf.DUMMYFUNCTION("""COMPUTED_VALUE"""),12.200000000000001)</f>
        <v>12.2</v>
      </c>
    </row>
    <row r="3299">
      <c r="D3299" t="str">
        <f>IFERROR(__xludf.DUMMYFUNCTION("""COMPUTED_VALUE"""),"Holmes")</f>
        <v>Holmes</v>
      </c>
      <c r="E3299" t="str">
        <f>IFERROR(__xludf.DUMMYFUNCTION("""COMPUTED_VALUE"""),"Tyrone")</f>
        <v>Tyrone</v>
      </c>
      <c r="F3299" t="str">
        <f>IFERROR(__xludf.DUMMYFUNCTION("""COMPUTED_VALUE"""),"LE")</f>
        <v>LE</v>
      </c>
      <c r="G3299">
        <f>IFERROR(__xludf.DUMMYFUNCTION("""COMPUTED_VALUE"""),13.8)</f>
        <v>13.8</v>
      </c>
    </row>
    <row r="3300">
      <c r="D3300" t="str">
        <f>IFERROR(__xludf.DUMMYFUNCTION("""COMPUTED_VALUE"""),"Holsey")</f>
        <v>Holsey</v>
      </c>
      <c r="E3300" t="str">
        <f>IFERROR(__xludf.DUMMYFUNCTION("""COMPUTED_VALUE"""),"Joshua")</f>
        <v>Joshua</v>
      </c>
      <c r="F3300" t="str">
        <f>IFERROR(__xludf.DUMMYFUNCTION("""COMPUTED_VALUE"""),"CB")</f>
        <v>CB</v>
      </c>
      <c r="G3300">
        <f>IFERROR(__xludf.DUMMYFUNCTION("""COMPUTED_VALUE"""),12.8)</f>
        <v>12.8</v>
      </c>
    </row>
    <row r="3301">
      <c r="D3301" t="str">
        <f>IFERROR(__xludf.DUMMYFUNCTION("""COMPUTED_VALUE"""),"Holton")</f>
        <v>Holton</v>
      </c>
      <c r="E3301" t="str">
        <f>IFERROR(__xludf.DUMMYFUNCTION("""COMPUTED_VALUE"""),"Johnny")</f>
        <v>Johnny</v>
      </c>
      <c r="F3301" t="str">
        <f>IFERROR(__xludf.DUMMYFUNCTION("""COMPUTED_VALUE"""),"WR")</f>
        <v>WR</v>
      </c>
      <c r="G3301">
        <f>IFERROR(__xludf.DUMMYFUNCTION("""COMPUTED_VALUE"""),12.8)</f>
        <v>12.8</v>
      </c>
    </row>
    <row r="3302">
      <c r="D3302" t="str">
        <f>IFERROR(__xludf.DUMMYFUNCTION("""COMPUTED_VALUE"""),"Hood")</f>
        <v>Hood</v>
      </c>
      <c r="E3302" t="str">
        <f>IFERROR(__xludf.DUMMYFUNCTION("""COMPUTED_VALUE"""),"Elijah")</f>
        <v>Elijah</v>
      </c>
      <c r="F3302" t="str">
        <f>IFERROR(__xludf.DUMMYFUNCTION("""COMPUTED_VALUE"""),"HB")</f>
        <v>HB</v>
      </c>
      <c r="G3302">
        <f>IFERROR(__xludf.DUMMYFUNCTION("""COMPUTED_VALUE"""),13.0)</f>
        <v>13</v>
      </c>
    </row>
    <row r="3303">
      <c r="D3303" t="str">
        <f>IFERROR(__xludf.DUMMYFUNCTION("""COMPUTED_VALUE"""),"Hood")</f>
        <v>Hood</v>
      </c>
      <c r="E3303" t="str">
        <f>IFERROR(__xludf.DUMMYFUNCTION("""COMPUTED_VALUE"""),"Ziggy")</f>
        <v>Ziggy</v>
      </c>
      <c r="F3303" t="str">
        <f>IFERROR(__xludf.DUMMYFUNCTION("""COMPUTED_VALUE"""),"DT")</f>
        <v>DT</v>
      </c>
      <c r="G3303">
        <f>IFERROR(__xludf.DUMMYFUNCTION("""COMPUTED_VALUE"""),14.4)</f>
        <v>14.4</v>
      </c>
    </row>
    <row r="3304">
      <c r="D3304" t="str">
        <f>IFERROR(__xludf.DUMMYFUNCTION("""COMPUTED_VALUE"""),"Hooker")</f>
        <v>Hooker</v>
      </c>
      <c r="E3304" t="str">
        <f>IFERROR(__xludf.DUMMYFUNCTION("""COMPUTED_VALUE"""),"Malik")</f>
        <v>Malik</v>
      </c>
      <c r="F3304" t="str">
        <f>IFERROR(__xludf.DUMMYFUNCTION("""COMPUTED_VALUE"""),"FS")</f>
        <v>FS</v>
      </c>
      <c r="G3304">
        <f>IFERROR(__xludf.DUMMYFUNCTION("""COMPUTED_VALUE"""),15.200000000000001)</f>
        <v>15.2</v>
      </c>
    </row>
    <row r="3305">
      <c r="D3305" t="str">
        <f>IFERROR(__xludf.DUMMYFUNCTION("""COMPUTED_VALUE"""),"Hooks")</f>
        <v>Hooks</v>
      </c>
      <c r="E3305" t="str">
        <f>IFERROR(__xludf.DUMMYFUNCTION("""COMPUTED_VALUE"""),"Lavon")</f>
        <v>Lavon</v>
      </c>
      <c r="F3305" t="str">
        <f>IFERROR(__xludf.DUMMYFUNCTION("""COMPUTED_VALUE"""),"LE")</f>
        <v>LE</v>
      </c>
      <c r="G3305">
        <f>IFERROR(__xludf.DUMMYFUNCTION("""COMPUTED_VALUE"""),12.0)</f>
        <v>12</v>
      </c>
    </row>
    <row r="3306">
      <c r="D3306" t="str">
        <f>IFERROR(__xludf.DUMMYFUNCTION("""COMPUTED_VALUE"""),"Hoomanawanui")</f>
        <v>Hoomanawanui</v>
      </c>
      <c r="E3306" t="str">
        <f>IFERROR(__xludf.DUMMYFUNCTION("""COMPUTED_VALUE"""),"Michael")</f>
        <v>Michael</v>
      </c>
      <c r="F3306" t="str">
        <f>IFERROR(__xludf.DUMMYFUNCTION("""COMPUTED_VALUE"""),"TE")</f>
        <v>TE</v>
      </c>
      <c r="G3306">
        <f>IFERROR(__xludf.DUMMYFUNCTION("""COMPUTED_VALUE"""),14.8)</f>
        <v>14.8</v>
      </c>
    </row>
    <row r="3307">
      <c r="D3307" t="str">
        <f>IFERROR(__xludf.DUMMYFUNCTION("""COMPUTED_VALUE"""),"Hooper")</f>
        <v>Hooper</v>
      </c>
      <c r="E3307" t="str">
        <f>IFERROR(__xludf.DUMMYFUNCTION("""COMPUTED_VALUE"""),"Austin")</f>
        <v>Austin</v>
      </c>
      <c r="F3307" t="str">
        <f>IFERROR(__xludf.DUMMYFUNCTION("""COMPUTED_VALUE"""),"TE")</f>
        <v>TE</v>
      </c>
      <c r="G3307">
        <f>IFERROR(__xludf.DUMMYFUNCTION("""COMPUTED_VALUE"""),15.4)</f>
        <v>15.4</v>
      </c>
    </row>
    <row r="3308">
      <c r="D3308" t="str">
        <f>IFERROR(__xludf.DUMMYFUNCTION("""COMPUTED_VALUE"""),"Hopkins")</f>
        <v>Hopkins</v>
      </c>
      <c r="E3308" t="str">
        <f>IFERROR(__xludf.DUMMYFUNCTION("""COMPUTED_VALUE"""),"DeAndre")</f>
        <v>DeAndre</v>
      </c>
      <c r="F3308" t="str">
        <f>IFERROR(__xludf.DUMMYFUNCTION("""COMPUTED_VALUE"""),"WR")</f>
        <v>WR</v>
      </c>
      <c r="G3308">
        <f>IFERROR(__xludf.DUMMYFUNCTION("""COMPUTED_VALUE"""),18.2)</f>
        <v>18.2</v>
      </c>
    </row>
    <row r="3309">
      <c r="D3309" t="str">
        <f>IFERROR(__xludf.DUMMYFUNCTION("""COMPUTED_VALUE"""),"Hopkins")</f>
        <v>Hopkins</v>
      </c>
      <c r="E3309" t="str">
        <f>IFERROR(__xludf.DUMMYFUNCTION("""COMPUTED_VALUE"""),"Dustin")</f>
        <v>Dustin</v>
      </c>
      <c r="F3309" t="str">
        <f>IFERROR(__xludf.DUMMYFUNCTION("""COMPUTED_VALUE"""),"K")</f>
        <v>K</v>
      </c>
      <c r="G3309">
        <f>IFERROR(__xludf.DUMMYFUNCTION("""COMPUTED_VALUE"""),14.8)</f>
        <v>14.8</v>
      </c>
    </row>
    <row r="3310">
      <c r="D3310" t="str">
        <f>IFERROR(__xludf.DUMMYFUNCTION("""COMPUTED_VALUE"""),"Hopkins")</f>
        <v>Hopkins</v>
      </c>
      <c r="E3310" t="str">
        <f>IFERROR(__xludf.DUMMYFUNCTION("""COMPUTED_VALUE"""),"Trey")</f>
        <v>Trey</v>
      </c>
      <c r="F3310" t="str">
        <f>IFERROR(__xludf.DUMMYFUNCTION("""COMPUTED_VALUE"""),"LG")</f>
        <v>LG</v>
      </c>
      <c r="G3310">
        <f>IFERROR(__xludf.DUMMYFUNCTION("""COMPUTED_VALUE"""),13.200000000000001)</f>
        <v>13.2</v>
      </c>
    </row>
    <row r="3311">
      <c r="D3311" t="str">
        <f>IFERROR(__xludf.DUMMYFUNCTION("""COMPUTED_VALUE"""),"Horton")</f>
        <v>Horton</v>
      </c>
      <c r="E3311" t="str">
        <f>IFERROR(__xludf.DUMMYFUNCTION("""COMPUTED_VALUE"""),"Wes")</f>
        <v>Wes</v>
      </c>
      <c r="F3311" t="str">
        <f>IFERROR(__xludf.DUMMYFUNCTION("""COMPUTED_VALUE"""),"RE")</f>
        <v>RE</v>
      </c>
      <c r="G3311">
        <f>IFERROR(__xludf.DUMMYFUNCTION("""COMPUTED_VALUE"""),14.4)</f>
        <v>14.4</v>
      </c>
    </row>
    <row r="3312">
      <c r="D3312" t="str">
        <f>IFERROR(__xludf.DUMMYFUNCTION("""COMPUTED_VALUE"""),"House")</f>
        <v>House</v>
      </c>
      <c r="E3312" t="str">
        <f>IFERROR(__xludf.DUMMYFUNCTION("""COMPUTED_VALUE"""),"Davon")</f>
        <v>Davon</v>
      </c>
      <c r="F3312" t="str">
        <f>IFERROR(__xludf.DUMMYFUNCTION("""COMPUTED_VALUE"""),"CB")</f>
        <v>CB</v>
      </c>
      <c r="G3312">
        <f>IFERROR(__xludf.DUMMYFUNCTION("""COMPUTED_VALUE"""),14.8)</f>
        <v>14.8</v>
      </c>
    </row>
    <row r="3313">
      <c r="D3313" t="str">
        <f>IFERROR(__xludf.DUMMYFUNCTION("""COMPUTED_VALUE"""),"Houston")</f>
        <v>Houston</v>
      </c>
      <c r="E3313" t="str">
        <f>IFERROR(__xludf.DUMMYFUNCTION("""COMPUTED_VALUE"""),"Justin")</f>
        <v>Justin</v>
      </c>
      <c r="F3313" t="str">
        <f>IFERROR(__xludf.DUMMYFUNCTION("""COMPUTED_VALUE"""),"LOLB")</f>
        <v>LOLB</v>
      </c>
      <c r="G3313">
        <f>IFERROR(__xludf.DUMMYFUNCTION("""COMPUTED_VALUE"""),18.6)</f>
        <v>18.6</v>
      </c>
    </row>
    <row r="3314">
      <c r="D3314" t="str">
        <f>IFERROR(__xludf.DUMMYFUNCTION("""COMPUTED_VALUE"""),"Houston")</f>
        <v>Houston</v>
      </c>
      <c r="E3314" t="str">
        <f>IFERROR(__xludf.DUMMYFUNCTION("""COMPUTED_VALUE"""),"Lamarr")</f>
        <v>Lamarr</v>
      </c>
      <c r="F3314" t="str">
        <f>IFERROR(__xludf.DUMMYFUNCTION("""COMPUTED_VALUE"""),"ROLB")</f>
        <v>ROLB</v>
      </c>
      <c r="G3314">
        <f>IFERROR(__xludf.DUMMYFUNCTION("""COMPUTED_VALUE"""),16.0)</f>
        <v>16</v>
      </c>
    </row>
    <row r="3315">
      <c r="D3315" t="str">
        <f>IFERROR(__xludf.DUMMYFUNCTION("""COMPUTED_VALUE"""),"Houston-Carson")</f>
        <v>Houston-Carson</v>
      </c>
      <c r="E3315" t="str">
        <f>IFERROR(__xludf.DUMMYFUNCTION("""COMPUTED_VALUE"""),"DeAndre")</f>
        <v>DeAndre</v>
      </c>
      <c r="F3315" t="str">
        <f>IFERROR(__xludf.DUMMYFUNCTION("""COMPUTED_VALUE"""),"FS")</f>
        <v>FS</v>
      </c>
      <c r="G3315">
        <f>IFERROR(__xludf.DUMMYFUNCTION("""COMPUTED_VALUE"""),13.200000000000001)</f>
        <v>13.2</v>
      </c>
    </row>
    <row r="3316">
      <c r="D3316" t="str">
        <f>IFERROR(__xludf.DUMMYFUNCTION("""COMPUTED_VALUE"""),"Howard")</f>
        <v>Howard</v>
      </c>
      <c r="E3316" t="str">
        <f>IFERROR(__xludf.DUMMYFUNCTION("""COMPUTED_VALUE"""),"Austin")</f>
        <v>Austin</v>
      </c>
      <c r="F3316" t="str">
        <f>IFERROR(__xludf.DUMMYFUNCTION("""COMPUTED_VALUE"""),"RT")</f>
        <v>RT</v>
      </c>
      <c r="G3316">
        <f>IFERROR(__xludf.DUMMYFUNCTION("""COMPUTED_VALUE"""),14.4)</f>
        <v>14.4</v>
      </c>
    </row>
    <row r="3317">
      <c r="D3317" t="str">
        <f>IFERROR(__xludf.DUMMYFUNCTION("""COMPUTED_VALUE"""),"Howard")</f>
        <v>Howard</v>
      </c>
      <c r="E3317" t="str">
        <f>IFERROR(__xludf.DUMMYFUNCTION("""COMPUTED_VALUE"""),"Bug")</f>
        <v>Bug</v>
      </c>
      <c r="F3317" t="str">
        <f>IFERROR(__xludf.DUMMYFUNCTION("""COMPUTED_VALUE"""),"WR")</f>
        <v>WR</v>
      </c>
      <c r="G3317">
        <f>IFERROR(__xludf.DUMMYFUNCTION("""COMPUTED_VALUE"""),12.8)</f>
        <v>12.8</v>
      </c>
    </row>
    <row r="3318">
      <c r="D3318" t="str">
        <f>IFERROR(__xludf.DUMMYFUNCTION("""COMPUTED_VALUE"""),"Howard")</f>
        <v>Howard</v>
      </c>
      <c r="E3318" t="str">
        <f>IFERROR(__xludf.DUMMYFUNCTION("""COMPUTED_VALUE"""),"Jaye")</f>
        <v>Jaye</v>
      </c>
      <c r="F3318" t="str">
        <f>IFERROR(__xludf.DUMMYFUNCTION("""COMPUTED_VALUE"""),"RE")</f>
        <v>RE</v>
      </c>
      <c r="G3318">
        <f>IFERROR(__xludf.DUMMYFUNCTION("""COMPUTED_VALUE"""),15.200000000000001)</f>
        <v>15.2</v>
      </c>
    </row>
    <row r="3319">
      <c r="D3319" t="str">
        <f>IFERROR(__xludf.DUMMYFUNCTION("""COMPUTED_VALUE"""),"Howard")</f>
        <v>Howard</v>
      </c>
      <c r="E3319" t="str">
        <f>IFERROR(__xludf.DUMMYFUNCTION("""COMPUTED_VALUE"""),"Jordan")</f>
        <v>Jordan</v>
      </c>
      <c r="F3319" t="str">
        <f>IFERROR(__xludf.DUMMYFUNCTION("""COMPUTED_VALUE"""),"HB")</f>
        <v>HB</v>
      </c>
      <c r="G3319">
        <f>IFERROR(__xludf.DUMMYFUNCTION("""COMPUTED_VALUE"""),17.0)</f>
        <v>17</v>
      </c>
    </row>
    <row r="3320">
      <c r="D3320" t="str">
        <f>IFERROR(__xludf.DUMMYFUNCTION("""COMPUTED_VALUE"""),"Howard")</f>
        <v>Howard</v>
      </c>
      <c r="E3320" t="str">
        <f>IFERROR(__xludf.DUMMYFUNCTION("""COMPUTED_VALUE"""),"OJ")</f>
        <v>OJ</v>
      </c>
      <c r="F3320" t="str">
        <f>IFERROR(__xludf.DUMMYFUNCTION("""COMPUTED_VALUE"""),"TE")</f>
        <v>TE</v>
      </c>
      <c r="G3320">
        <f>IFERROR(__xludf.DUMMYFUNCTION("""COMPUTED_VALUE"""),16.400000000000002)</f>
        <v>16.4</v>
      </c>
    </row>
    <row r="3321">
      <c r="D3321" t="str">
        <f>IFERROR(__xludf.DUMMYFUNCTION("""COMPUTED_VALUE"""),"Howard")</f>
        <v>Howard</v>
      </c>
      <c r="E3321" t="str">
        <f>IFERROR(__xludf.DUMMYFUNCTION("""COMPUTED_VALUE"""),"Tracy")</f>
        <v>Tracy</v>
      </c>
      <c r="F3321" t="str">
        <f>IFERROR(__xludf.DUMMYFUNCTION("""COMPUTED_VALUE"""),"CB")</f>
        <v>CB</v>
      </c>
      <c r="G3321">
        <f>IFERROR(__xludf.DUMMYFUNCTION("""COMPUTED_VALUE"""),12.600000000000001)</f>
        <v>12.6</v>
      </c>
    </row>
    <row r="3322">
      <c r="D3322" t="str">
        <f>IFERROR(__xludf.DUMMYFUNCTION("""COMPUTED_VALUE"""),"Howard")</f>
        <v>Howard</v>
      </c>
      <c r="E3322" t="str">
        <f>IFERROR(__xludf.DUMMYFUNCTION("""COMPUTED_VALUE"""),"Xavien")</f>
        <v>Xavien</v>
      </c>
      <c r="F3322" t="str">
        <f>IFERROR(__xludf.DUMMYFUNCTION("""COMPUTED_VALUE"""),"CB")</f>
        <v>CB</v>
      </c>
      <c r="G3322">
        <f>IFERROR(__xludf.DUMMYFUNCTION("""COMPUTED_VALUE"""),14.8)</f>
        <v>14.8</v>
      </c>
    </row>
    <row r="3323">
      <c r="D3323" t="str">
        <f>IFERROR(__xludf.DUMMYFUNCTION("""COMPUTED_VALUE"""),"Howsare")</f>
        <v>Howsare</v>
      </c>
      <c r="E3323" t="str">
        <f>IFERROR(__xludf.DUMMYFUNCTION("""COMPUTED_VALUE"""),"Julian")</f>
        <v>Julian</v>
      </c>
      <c r="F3323" t="str">
        <f>IFERROR(__xludf.DUMMYFUNCTION("""COMPUTED_VALUE"""),"FB")</f>
        <v>FB</v>
      </c>
      <c r="G3323">
        <f>IFERROR(__xludf.DUMMYFUNCTION("""COMPUTED_VALUE"""),12.600000000000001)</f>
        <v>12.6</v>
      </c>
    </row>
    <row r="3324">
      <c r="D3324" t="str">
        <f>IFERROR(__xludf.DUMMYFUNCTION("""COMPUTED_VALUE"""),"Hoyer")</f>
        <v>Hoyer</v>
      </c>
      <c r="E3324" t="str">
        <f>IFERROR(__xludf.DUMMYFUNCTION("""COMPUTED_VALUE"""),"Brian")</f>
        <v>Brian</v>
      </c>
      <c r="F3324" t="str">
        <f>IFERROR(__xludf.DUMMYFUNCTION("""COMPUTED_VALUE"""),"QB")</f>
        <v>QB</v>
      </c>
      <c r="G3324">
        <f>IFERROR(__xludf.DUMMYFUNCTION("""COMPUTED_VALUE"""),15.0)</f>
        <v>15</v>
      </c>
    </row>
    <row r="3325">
      <c r="D3325" t="str">
        <f>IFERROR(__xludf.DUMMYFUNCTION("""COMPUTED_VALUE"""),"Hubbard")</f>
        <v>Hubbard</v>
      </c>
      <c r="E3325" t="str">
        <f>IFERROR(__xludf.DUMMYFUNCTION("""COMPUTED_VALUE"""),"Chris")</f>
        <v>Chris</v>
      </c>
      <c r="F3325" t="str">
        <f>IFERROR(__xludf.DUMMYFUNCTION("""COMPUTED_VALUE"""),"RT")</f>
        <v>RT</v>
      </c>
      <c r="G3325">
        <f>IFERROR(__xludf.DUMMYFUNCTION("""COMPUTED_VALUE"""),14.200000000000001)</f>
        <v>14.2</v>
      </c>
    </row>
    <row r="3326">
      <c r="D3326" t="str">
        <f>IFERROR(__xludf.DUMMYFUNCTION("""COMPUTED_VALUE"""),"Huber")</f>
        <v>Huber</v>
      </c>
      <c r="E3326" t="str">
        <f>IFERROR(__xludf.DUMMYFUNCTION("""COMPUTED_VALUE"""),"Kevin")</f>
        <v>Kevin</v>
      </c>
      <c r="F3326" t="str">
        <f>IFERROR(__xludf.DUMMYFUNCTION("""COMPUTED_VALUE"""),"P")</f>
        <v>P</v>
      </c>
      <c r="G3326">
        <f>IFERROR(__xludf.DUMMYFUNCTION("""COMPUTED_VALUE"""),14.4)</f>
        <v>14.4</v>
      </c>
    </row>
    <row r="3327">
      <c r="D3327" t="str">
        <f>IFERROR(__xludf.DUMMYFUNCTION("""COMPUTED_VALUE"""),"Hubert")</f>
        <v>Hubert</v>
      </c>
      <c r="E3327" t="str">
        <f>IFERROR(__xludf.DUMMYFUNCTION("""COMPUTED_VALUE"""),"Chris")</f>
        <v>Chris</v>
      </c>
      <c r="F3327" t="str">
        <f>IFERROR(__xludf.DUMMYFUNCTION("""COMPUTED_VALUE"""),"WR")</f>
        <v>WR</v>
      </c>
      <c r="G3327">
        <f>IFERROR(__xludf.DUMMYFUNCTION("""COMPUTED_VALUE"""),12.0)</f>
        <v>12</v>
      </c>
    </row>
    <row r="3328">
      <c r="D3328" t="str">
        <f>IFERROR(__xludf.DUMMYFUNCTION("""COMPUTED_VALUE"""),"Hudson")</f>
        <v>Hudson</v>
      </c>
      <c r="E3328" t="str">
        <f>IFERROR(__xludf.DUMMYFUNCTION("""COMPUTED_VALUE"""),"Rodney")</f>
        <v>Rodney</v>
      </c>
      <c r="F3328" t="str">
        <f>IFERROR(__xludf.DUMMYFUNCTION("""COMPUTED_VALUE"""),"C")</f>
        <v>C</v>
      </c>
      <c r="G3328">
        <f>IFERROR(__xludf.DUMMYFUNCTION("""COMPUTED_VALUE"""),18.0)</f>
        <v>18</v>
      </c>
    </row>
    <row r="3329">
      <c r="D3329" t="str">
        <f>IFERROR(__xludf.DUMMYFUNCTION("""COMPUTED_VALUE"""),"Huff")</f>
        <v>Huff</v>
      </c>
      <c r="E3329" t="str">
        <f>IFERROR(__xludf.DUMMYFUNCTION("""COMPUTED_VALUE"""),"Josh")</f>
        <v>Josh</v>
      </c>
      <c r="F3329" t="str">
        <f>IFERROR(__xludf.DUMMYFUNCTION("""COMPUTED_VALUE"""),"WR")</f>
        <v>WR</v>
      </c>
      <c r="G3329">
        <f>IFERROR(__xludf.DUMMYFUNCTION("""COMPUTED_VALUE"""),14.200000000000001)</f>
        <v>14.2</v>
      </c>
    </row>
    <row r="3330">
      <c r="D3330" t="str">
        <f>IFERROR(__xludf.DUMMYFUNCTION("""COMPUTED_VALUE"""),"Hughes")</f>
        <v>Hughes</v>
      </c>
      <c r="E3330" t="str">
        <f>IFERROR(__xludf.DUMMYFUNCTION("""COMPUTED_VALUE"""),"Jerry")</f>
        <v>Jerry</v>
      </c>
      <c r="F3330" t="str">
        <f>IFERROR(__xludf.DUMMYFUNCTION("""COMPUTED_VALUE"""),"RE")</f>
        <v>RE</v>
      </c>
      <c r="G3330">
        <f>IFERROR(__xludf.DUMMYFUNCTION("""COMPUTED_VALUE"""),16.2)</f>
        <v>16.2</v>
      </c>
    </row>
    <row r="3331">
      <c r="D3331" t="str">
        <f>IFERROR(__xludf.DUMMYFUNCTION("""COMPUTED_VALUE"""),"Hughes")</f>
        <v>Hughes</v>
      </c>
      <c r="E3331" t="str">
        <f>IFERROR(__xludf.DUMMYFUNCTION("""COMPUTED_VALUE"""),"Montori")</f>
        <v>Montori</v>
      </c>
      <c r="F3331" t="str">
        <f>IFERROR(__xludf.DUMMYFUNCTION("""COMPUTED_VALUE"""),"DT")</f>
        <v>DT</v>
      </c>
      <c r="G3331">
        <f>IFERROR(__xludf.DUMMYFUNCTION("""COMPUTED_VALUE"""),13.0)</f>
        <v>13</v>
      </c>
    </row>
    <row r="3332">
      <c r="D3332" t="str">
        <f>IFERROR(__xludf.DUMMYFUNCTION("""COMPUTED_VALUE"""),"Hughlett")</f>
        <v>Hughlett</v>
      </c>
      <c r="E3332" t="str">
        <f>IFERROR(__xludf.DUMMYFUNCTION("""COMPUTED_VALUE"""),"Charley")</f>
        <v>Charley</v>
      </c>
      <c r="F3332" t="str">
        <f>IFERROR(__xludf.DUMMYFUNCTION("""COMPUTED_VALUE"""),"TE")</f>
        <v>TE</v>
      </c>
      <c r="G3332">
        <f>IFERROR(__xludf.DUMMYFUNCTION("""COMPUTED_VALUE"""),10.200000000000001)</f>
        <v>10.2</v>
      </c>
    </row>
    <row r="3333">
      <c r="D3333" t="str">
        <f>IFERROR(__xludf.DUMMYFUNCTION("""COMPUTED_VALUE"""),"Hull")</f>
        <v>Hull</v>
      </c>
      <c r="E3333" t="str">
        <f>IFERROR(__xludf.DUMMYFUNCTION("""COMPUTED_VALUE"""),"Mike")</f>
        <v>Mike</v>
      </c>
      <c r="F3333" t="str">
        <f>IFERROR(__xludf.DUMMYFUNCTION("""COMPUTED_VALUE"""),"MLB")</f>
        <v>MLB</v>
      </c>
      <c r="G3333">
        <f>IFERROR(__xludf.DUMMYFUNCTION("""COMPUTED_VALUE"""),12.600000000000001)</f>
        <v>12.6</v>
      </c>
    </row>
    <row r="3334">
      <c r="D3334" t="str">
        <f>IFERROR(__xludf.DUMMYFUNCTION("""COMPUTED_VALUE"""),"Humber")</f>
        <v>Humber</v>
      </c>
      <c r="E3334" t="str">
        <f>IFERROR(__xludf.DUMMYFUNCTION("""COMPUTED_VALUE"""),"Ramon")</f>
        <v>Ramon</v>
      </c>
      <c r="F3334" t="str">
        <f>IFERROR(__xludf.DUMMYFUNCTION("""COMPUTED_VALUE"""),"LOLB")</f>
        <v>LOLB</v>
      </c>
      <c r="G3334">
        <f>IFERROR(__xludf.DUMMYFUNCTION("""COMPUTED_VALUE"""),13.8)</f>
        <v>13.8</v>
      </c>
    </row>
    <row r="3335">
      <c r="D3335" t="str">
        <f>IFERROR(__xludf.DUMMYFUNCTION("""COMPUTED_VALUE"""),"Humphrey")</f>
        <v>Humphrey</v>
      </c>
      <c r="E3335" t="str">
        <f>IFERROR(__xludf.DUMMYFUNCTION("""COMPUTED_VALUE"""),"Marlon")</f>
        <v>Marlon</v>
      </c>
      <c r="F3335" t="str">
        <f>IFERROR(__xludf.DUMMYFUNCTION("""COMPUTED_VALUE"""),"CB")</f>
        <v>CB</v>
      </c>
      <c r="G3335">
        <f>IFERROR(__xludf.DUMMYFUNCTION("""COMPUTED_VALUE"""),15.0)</f>
        <v>15</v>
      </c>
    </row>
    <row r="3336">
      <c r="D3336" t="str">
        <f>IFERROR(__xludf.DUMMYFUNCTION("""COMPUTED_VALUE"""),"Humphries")</f>
        <v>Humphries</v>
      </c>
      <c r="E3336" t="str">
        <f>IFERROR(__xludf.DUMMYFUNCTION("""COMPUTED_VALUE"""),"Adam")</f>
        <v>Adam</v>
      </c>
      <c r="F3336" t="str">
        <f>IFERROR(__xludf.DUMMYFUNCTION("""COMPUTED_VALUE"""),"WR")</f>
        <v>WR</v>
      </c>
      <c r="G3336">
        <f>IFERROR(__xludf.DUMMYFUNCTION("""COMPUTED_VALUE"""),15.200000000000001)</f>
        <v>15.2</v>
      </c>
    </row>
    <row r="3337">
      <c r="D3337" t="str">
        <f>IFERROR(__xludf.DUMMYFUNCTION("""COMPUTED_VALUE"""),"Humphries")</f>
        <v>Humphries</v>
      </c>
      <c r="E3337" t="str">
        <f>IFERROR(__xludf.DUMMYFUNCTION("""COMPUTED_VALUE"""),"DJ")</f>
        <v>DJ</v>
      </c>
      <c r="F3337" t="str">
        <f>IFERROR(__xludf.DUMMYFUNCTION("""COMPUTED_VALUE"""),"LT")</f>
        <v>LT</v>
      </c>
      <c r="G3337">
        <f>IFERROR(__xludf.DUMMYFUNCTION("""COMPUTED_VALUE"""),14.200000000000001)</f>
        <v>14.2</v>
      </c>
    </row>
    <row r="3338">
      <c r="D3338" t="str">
        <f>IFERROR(__xludf.DUMMYFUNCTION("""COMPUTED_VALUE"""),"Hundley")</f>
        <v>Hundley</v>
      </c>
      <c r="E3338" t="str">
        <f>IFERROR(__xludf.DUMMYFUNCTION("""COMPUTED_VALUE"""),"Brett")</f>
        <v>Brett</v>
      </c>
      <c r="F3338" t="str">
        <f>IFERROR(__xludf.DUMMYFUNCTION("""COMPUTED_VALUE"""),"QB")</f>
        <v>QB</v>
      </c>
      <c r="G3338">
        <f>IFERROR(__xludf.DUMMYFUNCTION("""COMPUTED_VALUE"""),13.8)</f>
        <v>13.8</v>
      </c>
    </row>
    <row r="3339">
      <c r="D3339" t="str">
        <f>IFERROR(__xludf.DUMMYFUNCTION("""COMPUTED_VALUE"""),"Hunt")</f>
        <v>Hunt</v>
      </c>
      <c r="E3339" t="str">
        <f>IFERROR(__xludf.DUMMYFUNCTION("""COMPUTED_VALUE"""),"Akeem")</f>
        <v>Akeem</v>
      </c>
      <c r="F3339" t="str">
        <f>IFERROR(__xludf.DUMMYFUNCTION("""COMPUTED_VALUE"""),"HB")</f>
        <v>HB</v>
      </c>
      <c r="G3339">
        <f>IFERROR(__xludf.DUMMYFUNCTION("""COMPUTED_VALUE"""),13.8)</f>
        <v>13.8</v>
      </c>
    </row>
    <row r="3340">
      <c r="D3340" t="str">
        <f>IFERROR(__xludf.DUMMYFUNCTION("""COMPUTED_VALUE"""),"Hunt")</f>
        <v>Hunt</v>
      </c>
      <c r="E3340" t="str">
        <f>IFERROR(__xludf.DUMMYFUNCTION("""COMPUTED_VALUE"""),"Joey")</f>
        <v>Joey</v>
      </c>
      <c r="F3340" t="str">
        <f>IFERROR(__xludf.DUMMYFUNCTION("""COMPUTED_VALUE"""),"C")</f>
        <v>C</v>
      </c>
      <c r="G3340">
        <f>IFERROR(__xludf.DUMMYFUNCTION("""COMPUTED_VALUE"""),14.0)</f>
        <v>14</v>
      </c>
    </row>
    <row r="3341">
      <c r="D3341" t="str">
        <f>IFERROR(__xludf.DUMMYFUNCTION("""COMPUTED_VALUE"""),"Hunt")</f>
        <v>Hunt</v>
      </c>
      <c r="E3341" t="str">
        <f>IFERROR(__xludf.DUMMYFUNCTION("""COMPUTED_VALUE"""),"Kareem")</f>
        <v>Kareem</v>
      </c>
      <c r="F3341" t="str">
        <f>IFERROR(__xludf.DUMMYFUNCTION("""COMPUTED_VALUE"""),"HB")</f>
        <v>HB</v>
      </c>
      <c r="G3341">
        <f>IFERROR(__xludf.DUMMYFUNCTION("""COMPUTED_VALUE"""),15.0)</f>
        <v>15</v>
      </c>
    </row>
    <row r="3342">
      <c r="D3342" t="str">
        <f>IFERROR(__xludf.DUMMYFUNCTION("""COMPUTED_VALUE"""),"Hunt")</f>
        <v>Hunt</v>
      </c>
      <c r="E3342" t="str">
        <f>IFERROR(__xludf.DUMMYFUNCTION("""COMPUTED_VALUE"""),"Margus")</f>
        <v>Margus</v>
      </c>
      <c r="F3342" t="str">
        <f>IFERROR(__xludf.DUMMYFUNCTION("""COMPUTED_VALUE"""),"RE")</f>
        <v>RE</v>
      </c>
      <c r="G3342">
        <f>IFERROR(__xludf.DUMMYFUNCTION("""COMPUTED_VALUE"""),14.0)</f>
        <v>14</v>
      </c>
    </row>
    <row r="3343">
      <c r="D3343" t="str">
        <f>IFERROR(__xludf.DUMMYFUNCTION("""COMPUTED_VALUE"""),"Hunter")</f>
        <v>Hunter</v>
      </c>
      <c r="E3343" t="str">
        <f>IFERROR(__xludf.DUMMYFUNCTION("""COMPUTED_VALUE"""),"Danielle")</f>
        <v>Danielle</v>
      </c>
      <c r="F3343" t="str">
        <f>IFERROR(__xludf.DUMMYFUNCTION("""COMPUTED_VALUE"""),"LE")</f>
        <v>LE</v>
      </c>
      <c r="G3343">
        <f>IFERROR(__xludf.DUMMYFUNCTION("""COMPUTED_VALUE"""),17.2)</f>
        <v>17.2</v>
      </c>
    </row>
    <row r="3344">
      <c r="D3344" t="str">
        <f>IFERROR(__xludf.DUMMYFUNCTION("""COMPUTED_VALUE"""),"Hunter")</f>
        <v>Hunter</v>
      </c>
      <c r="E3344" t="str">
        <f>IFERROR(__xludf.DUMMYFUNCTION("""COMPUTED_VALUE"""),"Justin")</f>
        <v>Justin</v>
      </c>
      <c r="F3344" t="str">
        <f>IFERROR(__xludf.DUMMYFUNCTION("""COMPUTED_VALUE"""),"WR")</f>
        <v>WR</v>
      </c>
      <c r="G3344">
        <f>IFERROR(__xludf.DUMMYFUNCTION("""COMPUTED_VALUE"""),14.200000000000001)</f>
        <v>14.2</v>
      </c>
    </row>
    <row r="3345">
      <c r="D3345" t="str">
        <f>IFERROR(__xludf.DUMMYFUNCTION("""COMPUTED_VALUE"""),"Hunter")</f>
        <v>Hunter</v>
      </c>
      <c r="E3345" t="str">
        <f>IFERROR(__xludf.DUMMYFUNCTION("""COMPUTED_VALUE"""),"Michael")</f>
        <v>Michael</v>
      </c>
      <c r="F3345" t="str">
        <f>IFERROR(__xludf.DUMMYFUNCTION("""COMPUTED_VALUE"""),"CB")</f>
        <v>CB</v>
      </c>
      <c r="G3345">
        <f>IFERROR(__xludf.DUMMYFUNCTION("""COMPUTED_VALUE"""),12.200000000000001)</f>
        <v>12.2</v>
      </c>
    </row>
    <row r="3346">
      <c r="D3346" t="str">
        <f>IFERROR(__xludf.DUMMYFUNCTION("""COMPUTED_VALUE"""),"Hurns")</f>
        <v>Hurns</v>
      </c>
      <c r="E3346" t="str">
        <f>IFERROR(__xludf.DUMMYFUNCTION("""COMPUTED_VALUE"""),"Allen")</f>
        <v>Allen</v>
      </c>
      <c r="F3346" t="str">
        <f>IFERROR(__xludf.DUMMYFUNCTION("""COMPUTED_VALUE"""),"WR")</f>
        <v>WR</v>
      </c>
      <c r="G3346">
        <f>IFERROR(__xludf.DUMMYFUNCTION("""COMPUTED_VALUE"""),16.2)</f>
        <v>16.2</v>
      </c>
    </row>
    <row r="3347">
      <c r="D3347" t="str">
        <f>IFERROR(__xludf.DUMMYFUNCTION("""COMPUTED_VALUE"""),"Hurst")</f>
        <v>Hurst</v>
      </c>
      <c r="E3347" t="str">
        <f>IFERROR(__xludf.DUMMYFUNCTION("""COMPUTED_VALUE"""),"Demontre")</f>
        <v>Demontre</v>
      </c>
      <c r="F3347" t="str">
        <f>IFERROR(__xludf.DUMMYFUNCTION("""COMPUTED_VALUE"""),"FS")</f>
        <v>FS</v>
      </c>
      <c r="G3347">
        <f>IFERROR(__xludf.DUMMYFUNCTION("""COMPUTED_VALUE"""),13.200000000000001)</f>
        <v>13.2</v>
      </c>
    </row>
    <row r="3348">
      <c r="D3348" t="str">
        <f>IFERROR(__xludf.DUMMYFUNCTION("""COMPUTED_VALUE"""),"Hurst")</f>
        <v>Hurst</v>
      </c>
      <c r="E3348" t="str">
        <f>IFERROR(__xludf.DUMMYFUNCTION("""COMPUTED_VALUE"""),"James")</f>
        <v>James</v>
      </c>
      <c r="F3348" t="str">
        <f>IFERROR(__xludf.DUMMYFUNCTION("""COMPUTED_VALUE"""),"RT")</f>
        <v>RT</v>
      </c>
      <c r="G3348">
        <f>IFERROR(__xludf.DUMMYFUNCTION("""COMPUTED_VALUE"""),13.8)</f>
        <v>13.8</v>
      </c>
    </row>
    <row r="3349">
      <c r="D3349" t="str">
        <f>IFERROR(__xludf.DUMMYFUNCTION("""COMPUTED_VALUE"""),"Hyde")</f>
        <v>Hyde</v>
      </c>
      <c r="E3349" t="str">
        <f>IFERROR(__xludf.DUMMYFUNCTION("""COMPUTED_VALUE"""),"Carlos")</f>
        <v>Carlos</v>
      </c>
      <c r="F3349" t="str">
        <f>IFERROR(__xludf.DUMMYFUNCTION("""COMPUTED_VALUE"""),"HB")</f>
        <v>HB</v>
      </c>
      <c r="G3349">
        <f>IFERROR(__xludf.DUMMYFUNCTION("""COMPUTED_VALUE"""),16.6)</f>
        <v>16.6</v>
      </c>
    </row>
    <row r="3350">
      <c r="D3350" t="str">
        <f>IFERROR(__xludf.DUMMYFUNCTION("""COMPUTED_VALUE"""),"Hyde")</f>
        <v>Hyde</v>
      </c>
      <c r="E3350" t="str">
        <f>IFERROR(__xludf.DUMMYFUNCTION("""COMPUTED_VALUE"""),"Micah")</f>
        <v>Micah</v>
      </c>
      <c r="F3350" t="str">
        <f>IFERROR(__xludf.DUMMYFUNCTION("""COMPUTED_VALUE"""),"SS")</f>
        <v>SS</v>
      </c>
      <c r="G3350">
        <f>IFERROR(__xludf.DUMMYFUNCTION("""COMPUTED_VALUE"""),15.200000000000001)</f>
        <v>15.2</v>
      </c>
    </row>
    <row r="3351">
      <c r="D3351" t="str">
        <f>IFERROR(__xludf.DUMMYFUNCTION("""COMPUTED_VALUE"""),"Hyder Jr")</f>
        <v>Hyder Jr</v>
      </c>
      <c r="E3351" t="str">
        <f>IFERROR(__xludf.DUMMYFUNCTION("""COMPUTED_VALUE"""),"Kerry")</f>
        <v>Kerry</v>
      </c>
      <c r="F3351" t="str">
        <f>IFERROR(__xludf.DUMMYFUNCTION("""COMPUTED_VALUE"""),"LE")</f>
        <v>LE</v>
      </c>
      <c r="G3351">
        <f>IFERROR(__xludf.DUMMYFUNCTION("""COMPUTED_VALUE"""),15.600000000000001)</f>
        <v>15.6</v>
      </c>
    </row>
    <row r="3352">
      <c r="D3352" t="str">
        <f>IFERROR(__xludf.DUMMYFUNCTION("""COMPUTED_VALUE"""),"Ifedi")</f>
        <v>Ifedi</v>
      </c>
      <c r="E3352" t="str">
        <f>IFERROR(__xludf.DUMMYFUNCTION("""COMPUTED_VALUE"""),"Germain")</f>
        <v>Germain</v>
      </c>
      <c r="F3352" t="str">
        <f>IFERROR(__xludf.DUMMYFUNCTION("""COMPUTED_VALUE"""),"RT")</f>
        <v>RT</v>
      </c>
      <c r="G3352">
        <f>IFERROR(__xludf.DUMMYFUNCTION("""COMPUTED_VALUE"""),14.600000000000001)</f>
        <v>14.6</v>
      </c>
    </row>
    <row r="3353">
      <c r="D3353" t="str">
        <f>IFERROR(__xludf.DUMMYFUNCTION("""COMPUTED_VALUE"""),"Ifedi")</f>
        <v>Ifedi</v>
      </c>
      <c r="E3353" t="str">
        <f>IFERROR(__xludf.DUMMYFUNCTION("""COMPUTED_VALUE"""),"Martin")</f>
        <v>Martin</v>
      </c>
      <c r="F3353" t="str">
        <f>IFERROR(__xludf.DUMMYFUNCTION("""COMPUTED_VALUE"""),"RE")</f>
        <v>RE</v>
      </c>
      <c r="G3353">
        <f>IFERROR(__xludf.DUMMYFUNCTION("""COMPUTED_VALUE"""),12.0)</f>
        <v>12</v>
      </c>
    </row>
    <row r="3354">
      <c r="D3354" t="str">
        <f>IFERROR(__xludf.DUMMYFUNCTION("""COMPUTED_VALUE"""),"Ihenacho")</f>
        <v>Ihenacho</v>
      </c>
      <c r="E3354" t="str">
        <f>IFERROR(__xludf.DUMMYFUNCTION("""COMPUTED_VALUE"""),"Duke")</f>
        <v>Duke</v>
      </c>
      <c r="F3354" t="str">
        <f>IFERROR(__xludf.DUMMYFUNCTION("""COMPUTED_VALUE"""),"SS")</f>
        <v>SS</v>
      </c>
      <c r="G3354">
        <f>IFERROR(__xludf.DUMMYFUNCTION("""COMPUTED_VALUE"""),15.0)</f>
        <v>15</v>
      </c>
    </row>
    <row r="3355">
      <c r="D3355" t="str">
        <f>IFERROR(__xludf.DUMMYFUNCTION("""COMPUTED_VALUE"""),"Ijalana")</f>
        <v>Ijalana</v>
      </c>
      <c r="E3355" t="str">
        <f>IFERROR(__xludf.DUMMYFUNCTION("""COMPUTED_VALUE"""),"Ben")</f>
        <v>Ben</v>
      </c>
      <c r="F3355" t="str">
        <f>IFERROR(__xludf.DUMMYFUNCTION("""COMPUTED_VALUE"""),"LT")</f>
        <v>LT</v>
      </c>
      <c r="G3355">
        <f>IFERROR(__xludf.DUMMYFUNCTION("""COMPUTED_VALUE"""),13.200000000000001)</f>
        <v>13.2</v>
      </c>
    </row>
    <row r="3356">
      <c r="D3356" t="str">
        <f>IFERROR(__xludf.DUMMYFUNCTION("""COMPUTED_VALUE"""),"Ikard")</f>
        <v>Ikard</v>
      </c>
      <c r="E3356" t="str">
        <f>IFERROR(__xludf.DUMMYFUNCTION("""COMPUTED_VALUE"""),"Gabe")</f>
        <v>Gabe</v>
      </c>
      <c r="F3356" t="str">
        <f>IFERROR(__xludf.DUMMYFUNCTION("""COMPUTED_VALUE"""),"C")</f>
        <v>C</v>
      </c>
      <c r="G3356">
        <f>IFERROR(__xludf.DUMMYFUNCTION("""COMPUTED_VALUE"""),13.0)</f>
        <v>13</v>
      </c>
    </row>
    <row r="3357">
      <c r="D3357" t="str">
        <f>IFERROR(__xludf.DUMMYFUNCTION("""COMPUTED_VALUE"""),"Iloka")</f>
        <v>Iloka</v>
      </c>
      <c r="E3357" t="str">
        <f>IFERROR(__xludf.DUMMYFUNCTION("""COMPUTED_VALUE"""),"George")</f>
        <v>George</v>
      </c>
      <c r="F3357" t="str">
        <f>IFERROR(__xludf.DUMMYFUNCTION("""COMPUTED_VALUE"""),"FS")</f>
        <v>FS</v>
      </c>
      <c r="G3357">
        <f>IFERROR(__xludf.DUMMYFUNCTION("""COMPUTED_VALUE"""),15.0)</f>
        <v>15</v>
      </c>
    </row>
    <row r="3358">
      <c r="D3358" t="str">
        <f>IFERROR(__xludf.DUMMYFUNCTION("""COMPUTED_VALUE"""),"Incognito")</f>
        <v>Incognito</v>
      </c>
      <c r="E3358" t="str">
        <f>IFERROR(__xludf.DUMMYFUNCTION("""COMPUTED_VALUE"""),"Richie")</f>
        <v>Richie</v>
      </c>
      <c r="F3358" t="str">
        <f>IFERROR(__xludf.DUMMYFUNCTION("""COMPUTED_VALUE"""),"LG")</f>
        <v>LG</v>
      </c>
      <c r="G3358">
        <f>IFERROR(__xludf.DUMMYFUNCTION("""COMPUTED_VALUE"""),17.6)</f>
        <v>17.6</v>
      </c>
    </row>
    <row r="3359">
      <c r="D3359" t="str">
        <f>IFERROR(__xludf.DUMMYFUNCTION("""COMPUTED_VALUE"""),"Ingram")</f>
        <v>Ingram</v>
      </c>
      <c r="E3359" t="str">
        <f>IFERROR(__xludf.DUMMYFUNCTION("""COMPUTED_VALUE"""),"Mark")</f>
        <v>Mark</v>
      </c>
      <c r="F3359" t="str">
        <f>IFERROR(__xludf.DUMMYFUNCTION("""COMPUTED_VALUE"""),"HB")</f>
        <v>HB</v>
      </c>
      <c r="G3359">
        <f>IFERROR(__xludf.DUMMYFUNCTION("""COMPUTED_VALUE"""),16.8)</f>
        <v>16.8</v>
      </c>
    </row>
    <row r="3360">
      <c r="D3360" t="str">
        <f>IFERROR(__xludf.DUMMYFUNCTION("""COMPUTED_VALUE"""),"Ingram")</f>
        <v>Ingram</v>
      </c>
      <c r="E3360" t="str">
        <f>IFERROR(__xludf.DUMMYFUNCTION("""COMPUTED_VALUE"""),"Melvin")</f>
        <v>Melvin</v>
      </c>
      <c r="F3360" t="str">
        <f>IFERROR(__xludf.DUMMYFUNCTION("""COMPUTED_VALUE"""),"RE")</f>
        <v>RE</v>
      </c>
      <c r="G3360">
        <f>IFERROR(__xludf.DUMMYFUNCTION("""COMPUTED_VALUE"""),17.8)</f>
        <v>17.8</v>
      </c>
    </row>
    <row r="3361">
      <c r="D3361" t="str">
        <f>IFERROR(__xludf.DUMMYFUNCTION("""COMPUTED_VALUE"""),"Inman")</f>
        <v>Inman</v>
      </c>
      <c r="E3361" t="str">
        <f>IFERROR(__xludf.DUMMYFUNCTION("""COMPUTED_VALUE"""),"Dontrelle")</f>
        <v>Dontrelle</v>
      </c>
      <c r="F3361" t="str">
        <f>IFERROR(__xludf.DUMMYFUNCTION("""COMPUTED_VALUE"""),"WR")</f>
        <v>WR</v>
      </c>
      <c r="G3361">
        <f>IFERROR(__xludf.DUMMYFUNCTION("""COMPUTED_VALUE"""),15.200000000000001)</f>
        <v>15.2</v>
      </c>
    </row>
    <row r="3362">
      <c r="D3362" t="str">
        <f>IFERROR(__xludf.DUMMYFUNCTION("""COMPUTED_VALUE"""),"Ioannidis")</f>
        <v>Ioannidis</v>
      </c>
      <c r="E3362" t="str">
        <f>IFERROR(__xludf.DUMMYFUNCTION("""COMPUTED_VALUE"""),"Matthew")</f>
        <v>Matthew</v>
      </c>
      <c r="F3362" t="str">
        <f>IFERROR(__xludf.DUMMYFUNCTION("""COMPUTED_VALUE"""),"RE")</f>
        <v>RE</v>
      </c>
      <c r="G3362">
        <f>IFERROR(__xludf.DUMMYFUNCTION("""COMPUTED_VALUE"""),13.200000000000001)</f>
        <v>13.2</v>
      </c>
    </row>
    <row r="3363">
      <c r="D3363" t="str">
        <f>IFERROR(__xludf.DUMMYFUNCTION("""COMPUTED_VALUE"""),"Irvin")</f>
        <v>Irvin</v>
      </c>
      <c r="E3363" t="str">
        <f>IFERROR(__xludf.DUMMYFUNCTION("""COMPUTED_VALUE"""),"Bruce")</f>
        <v>Bruce</v>
      </c>
      <c r="F3363" t="str">
        <f>IFERROR(__xludf.DUMMYFUNCTION("""COMPUTED_VALUE"""),"ROLB")</f>
        <v>ROLB</v>
      </c>
      <c r="G3363">
        <f>IFERROR(__xludf.DUMMYFUNCTION("""COMPUTED_VALUE"""),16.8)</f>
        <v>16.8</v>
      </c>
    </row>
    <row r="3364">
      <c r="D3364" t="str">
        <f>IFERROR(__xludf.DUMMYFUNCTION("""COMPUTED_VALUE"""),"Irving")</f>
        <v>Irving</v>
      </c>
      <c r="E3364" t="str">
        <f>IFERROR(__xludf.DUMMYFUNCTION("""COMPUTED_VALUE"""),"David")</f>
        <v>David</v>
      </c>
      <c r="F3364" t="str">
        <f>IFERROR(__xludf.DUMMYFUNCTION("""COMPUTED_VALUE"""),"LE")</f>
        <v>LE</v>
      </c>
      <c r="G3364">
        <f>IFERROR(__xludf.DUMMYFUNCTION("""COMPUTED_VALUE"""),15.8)</f>
        <v>15.8</v>
      </c>
    </row>
    <row r="3365">
      <c r="D3365" t="str">
        <f>IFERROR(__xludf.DUMMYFUNCTION("""COMPUTED_VALUE"""),"Ishmael")</f>
        <v>Ishmael</v>
      </c>
      <c r="E3365" t="str">
        <f>IFERROR(__xludf.DUMMYFUNCTION("""COMPUTED_VALUE"""),"Kemal")</f>
        <v>Kemal</v>
      </c>
      <c r="F3365" t="str">
        <f>IFERROR(__xludf.DUMMYFUNCTION("""COMPUTED_VALUE"""),"SS")</f>
        <v>SS</v>
      </c>
      <c r="G3365">
        <f>IFERROR(__xludf.DUMMYFUNCTION("""COMPUTED_VALUE"""),15.0)</f>
        <v>15</v>
      </c>
    </row>
    <row r="3366">
      <c r="D3366" t="str">
        <f>IFERROR(__xludf.DUMMYFUNCTION("""COMPUTED_VALUE"""),"Isidora")</f>
        <v>Isidora</v>
      </c>
      <c r="E3366" t="str">
        <f>IFERROR(__xludf.DUMMYFUNCTION("""COMPUTED_VALUE"""),"Danny")</f>
        <v>Danny</v>
      </c>
      <c r="F3366" t="str">
        <f>IFERROR(__xludf.DUMMYFUNCTION("""COMPUTED_VALUE"""),"RG")</f>
        <v>RG</v>
      </c>
      <c r="G3366">
        <f>IFERROR(__xludf.DUMMYFUNCTION("""COMPUTED_VALUE"""),13.600000000000001)</f>
        <v>13.6</v>
      </c>
    </row>
    <row r="3367">
      <c r="D3367" t="str">
        <f>IFERROR(__xludf.DUMMYFUNCTION("""COMPUTED_VALUE"""),"Iupati")</f>
        <v>Iupati</v>
      </c>
      <c r="E3367" t="str">
        <f>IFERROR(__xludf.DUMMYFUNCTION("""COMPUTED_VALUE"""),"Mike")</f>
        <v>Mike</v>
      </c>
      <c r="F3367" t="str">
        <f>IFERROR(__xludf.DUMMYFUNCTION("""COMPUTED_VALUE"""),"LG")</f>
        <v>LG</v>
      </c>
      <c r="G3367">
        <f>IFERROR(__xludf.DUMMYFUNCTION("""COMPUTED_VALUE"""),15.4)</f>
        <v>15.4</v>
      </c>
    </row>
    <row r="3368">
      <c r="D3368" t="str">
        <f>IFERROR(__xludf.DUMMYFUNCTION("""COMPUTED_VALUE"""),"Ivie IV")</f>
        <v>Ivie IV</v>
      </c>
      <c r="E3368" t="str">
        <f>IFERROR(__xludf.DUMMYFUNCTION("""COMPUTED_VALUE"""),"Joey")</f>
        <v>Joey</v>
      </c>
      <c r="F3368" t="str">
        <f>IFERROR(__xludf.DUMMYFUNCTION("""COMPUTED_VALUE"""),"DT")</f>
        <v>DT</v>
      </c>
      <c r="G3368">
        <f>IFERROR(__xludf.DUMMYFUNCTION("""COMPUTED_VALUE"""),12.8)</f>
        <v>12.8</v>
      </c>
    </row>
    <row r="3369">
      <c r="D3369" t="str">
        <f>IFERROR(__xludf.DUMMYFUNCTION("""COMPUTED_VALUE"""),"Ivory")</f>
        <v>Ivory</v>
      </c>
      <c r="E3369" t="str">
        <f>IFERROR(__xludf.DUMMYFUNCTION("""COMPUTED_VALUE"""),"Chris")</f>
        <v>Chris</v>
      </c>
      <c r="F3369" t="str">
        <f>IFERROR(__xludf.DUMMYFUNCTION("""COMPUTED_VALUE"""),"HB")</f>
        <v>HB</v>
      </c>
      <c r="G3369">
        <f>IFERROR(__xludf.DUMMYFUNCTION("""COMPUTED_VALUE"""),16.0)</f>
        <v>16</v>
      </c>
    </row>
    <row r="3370">
      <c r="D3370" t="str">
        <f>IFERROR(__xludf.DUMMYFUNCTION("""COMPUTED_VALUE"""),"Iworah")</f>
        <v>Iworah</v>
      </c>
      <c r="E3370" t="str">
        <f>IFERROR(__xludf.DUMMYFUNCTION("""COMPUTED_VALUE"""),"Prince")</f>
        <v>Prince</v>
      </c>
      <c r="F3370" t="str">
        <f>IFERROR(__xludf.DUMMYFUNCTION("""COMPUTED_VALUE"""),"CB")</f>
        <v>CB</v>
      </c>
      <c r="G3370">
        <f>IFERROR(__xludf.DUMMYFUNCTION("""COMPUTED_VALUE"""),12.4)</f>
        <v>12.4</v>
      </c>
    </row>
    <row r="3371">
      <c r="D3371" t="str">
        <f>IFERROR(__xludf.DUMMYFUNCTION("""COMPUTED_VALUE"""),"Jack")</f>
        <v>Jack</v>
      </c>
      <c r="E3371" t="str">
        <f>IFERROR(__xludf.DUMMYFUNCTION("""COMPUTED_VALUE"""),"Myles")</f>
        <v>Myles</v>
      </c>
      <c r="F3371" t="str">
        <f>IFERROR(__xludf.DUMMYFUNCTION("""COMPUTED_VALUE"""),"MLB")</f>
        <v>MLB</v>
      </c>
      <c r="G3371">
        <f>IFERROR(__xludf.DUMMYFUNCTION("""COMPUTED_VALUE"""),15.0)</f>
        <v>15</v>
      </c>
    </row>
    <row r="3372">
      <c r="D3372" t="str">
        <f>IFERROR(__xludf.DUMMYFUNCTION("""COMPUTED_VALUE"""),"Jackson")</f>
        <v>Jackson</v>
      </c>
      <c r="E3372" t="str">
        <f>IFERROR(__xludf.DUMMYFUNCTION("""COMPUTED_VALUE"""),"Adoree")</f>
        <v>Adoree</v>
      </c>
      <c r="F3372" t="str">
        <f>IFERROR(__xludf.DUMMYFUNCTION("""COMPUTED_VALUE"""),"CB")</f>
        <v>CB</v>
      </c>
      <c r="G3372">
        <f>IFERROR(__xludf.DUMMYFUNCTION("""COMPUTED_VALUE"""),14.8)</f>
        <v>14.8</v>
      </c>
    </row>
    <row r="3373">
      <c r="D3373" t="str">
        <f>IFERROR(__xludf.DUMMYFUNCTION("""COMPUTED_VALUE"""),"Jackson")</f>
        <v>Jackson</v>
      </c>
      <c r="E3373" t="str">
        <f>IFERROR(__xludf.DUMMYFUNCTION("""COMPUTED_VALUE"""),"Branden")</f>
        <v>Branden</v>
      </c>
      <c r="F3373" t="str">
        <f>IFERROR(__xludf.DUMMYFUNCTION("""COMPUTED_VALUE"""),"RE")</f>
        <v>RE</v>
      </c>
      <c r="G3373">
        <f>IFERROR(__xludf.DUMMYFUNCTION("""COMPUTED_VALUE"""),12.200000000000001)</f>
        <v>12.2</v>
      </c>
    </row>
    <row r="3374">
      <c r="D3374" t="str">
        <f>IFERROR(__xludf.DUMMYFUNCTION("""COMPUTED_VALUE"""),"Jackson")</f>
        <v>Jackson</v>
      </c>
      <c r="E3374" t="str">
        <f>IFERROR(__xludf.DUMMYFUNCTION("""COMPUTED_VALUE"""),"DeSean")</f>
        <v>DeSean</v>
      </c>
      <c r="F3374" t="str">
        <f>IFERROR(__xludf.DUMMYFUNCTION("""COMPUTED_VALUE"""),"WR")</f>
        <v>WR</v>
      </c>
      <c r="G3374">
        <f>IFERROR(__xludf.DUMMYFUNCTION("""COMPUTED_VALUE"""),17.400000000000002)</f>
        <v>17.4</v>
      </c>
    </row>
    <row r="3375">
      <c r="D3375" t="str">
        <f>IFERROR(__xludf.DUMMYFUNCTION("""COMPUTED_VALUE"""),"Jackson")</f>
        <v>Jackson</v>
      </c>
      <c r="E3375" t="str">
        <f>IFERROR(__xludf.DUMMYFUNCTION("""COMPUTED_VALUE"""),"Eddie")</f>
        <v>Eddie</v>
      </c>
      <c r="F3375" t="str">
        <f>IFERROR(__xludf.DUMMYFUNCTION("""COMPUTED_VALUE"""),"SS")</f>
        <v>SS</v>
      </c>
      <c r="G3375">
        <f>IFERROR(__xludf.DUMMYFUNCTION("""COMPUTED_VALUE"""),14.200000000000001)</f>
        <v>14.2</v>
      </c>
    </row>
    <row r="3376">
      <c r="D3376" t="str">
        <f>IFERROR(__xludf.DUMMYFUNCTION("""COMPUTED_VALUE"""),"Jackson")</f>
        <v>Jackson</v>
      </c>
      <c r="E3376" t="str">
        <f>IFERROR(__xludf.DUMMYFUNCTION("""COMPUTED_VALUE"""),"Edwin")</f>
        <v>Edwin</v>
      </c>
      <c r="F3376" t="str">
        <f>IFERROR(__xludf.DUMMYFUNCTION("""COMPUTED_VALUE"""),"MLB")</f>
        <v>MLB</v>
      </c>
      <c r="G3376">
        <f>IFERROR(__xludf.DUMMYFUNCTION("""COMPUTED_VALUE"""),13.0)</f>
        <v>13</v>
      </c>
    </row>
    <row r="3377">
      <c r="D3377" t="str">
        <f>IFERROR(__xludf.DUMMYFUNCTION("""COMPUTED_VALUE"""),"Jackson")</f>
        <v>Jackson</v>
      </c>
      <c r="E3377" t="str">
        <f>IFERROR(__xludf.DUMMYFUNCTION("""COMPUTED_VALUE"""),"Gabe")</f>
        <v>Gabe</v>
      </c>
      <c r="F3377" t="str">
        <f>IFERROR(__xludf.DUMMYFUNCTION("""COMPUTED_VALUE"""),"RG")</f>
        <v>RG</v>
      </c>
      <c r="G3377">
        <f>IFERROR(__xludf.DUMMYFUNCTION("""COMPUTED_VALUE"""),16.8)</f>
        <v>16.8</v>
      </c>
    </row>
    <row r="3378">
      <c r="D3378" t="str">
        <f>IFERROR(__xludf.DUMMYFUNCTION("""COMPUTED_VALUE"""),"Jackson")</f>
        <v>Jackson</v>
      </c>
      <c r="E3378" t="str">
        <f>IFERROR(__xludf.DUMMYFUNCTION("""COMPUTED_VALUE"""),"Kareem")</f>
        <v>Kareem</v>
      </c>
      <c r="F3378" t="str">
        <f>IFERROR(__xludf.DUMMYFUNCTION("""COMPUTED_VALUE"""),"CB")</f>
        <v>CB</v>
      </c>
      <c r="G3378">
        <f>IFERROR(__xludf.DUMMYFUNCTION("""COMPUTED_VALUE"""),15.600000000000001)</f>
        <v>15.6</v>
      </c>
    </row>
    <row r="3379">
      <c r="D3379" t="str">
        <f>IFERROR(__xludf.DUMMYFUNCTION("""COMPUTED_VALUE"""),"Jackson")</f>
        <v>Jackson</v>
      </c>
      <c r="E3379" t="str">
        <f>IFERROR(__xludf.DUMMYFUNCTION("""COMPUTED_VALUE"""),"Malik")</f>
        <v>Malik</v>
      </c>
      <c r="F3379" t="str">
        <f>IFERROR(__xludf.DUMMYFUNCTION("""COMPUTED_VALUE"""),"DT")</f>
        <v>DT</v>
      </c>
      <c r="G3379">
        <f>IFERROR(__xludf.DUMMYFUNCTION("""COMPUTED_VALUE"""),16.6)</f>
        <v>16.6</v>
      </c>
    </row>
    <row r="3380">
      <c r="D3380" t="str">
        <f>IFERROR(__xludf.DUMMYFUNCTION("""COMPUTED_VALUE"""),"Jackson III")</f>
        <v>Jackson III</v>
      </c>
      <c r="E3380" t="str">
        <f>IFERROR(__xludf.DUMMYFUNCTION("""COMPUTED_VALUE"""),"William")</f>
        <v>William</v>
      </c>
      <c r="F3380" t="str">
        <f>IFERROR(__xludf.DUMMYFUNCTION("""COMPUTED_VALUE"""),"CB")</f>
        <v>CB</v>
      </c>
      <c r="G3380">
        <f>IFERROR(__xludf.DUMMYFUNCTION("""COMPUTED_VALUE"""),14.600000000000001)</f>
        <v>14.6</v>
      </c>
    </row>
    <row r="3381">
      <c r="D3381" t="str">
        <f>IFERROR(__xludf.DUMMYFUNCTION("""COMPUTED_VALUE"""),"Jacobs")</f>
        <v>Jacobs</v>
      </c>
      <c r="E3381" t="str">
        <f>IFERROR(__xludf.DUMMYFUNCTION("""COMPUTED_VALUE"""),"Ben")</f>
        <v>Ben</v>
      </c>
      <c r="F3381" t="str">
        <f>IFERROR(__xludf.DUMMYFUNCTION("""COMPUTED_VALUE"""),"MLB")</f>
        <v>MLB</v>
      </c>
      <c r="G3381">
        <f>IFERROR(__xludf.DUMMYFUNCTION("""COMPUTED_VALUE"""),12.600000000000001)</f>
        <v>12.6</v>
      </c>
    </row>
    <row r="3382">
      <c r="D3382" t="str">
        <f>IFERROR(__xludf.DUMMYFUNCTION("""COMPUTED_VALUE"""),"James")</f>
        <v>James</v>
      </c>
      <c r="E3382" t="str">
        <f>IFERROR(__xludf.DUMMYFUNCTION("""COMPUTED_VALUE"""),"Cory")</f>
        <v>Cory</v>
      </c>
      <c r="F3382" t="str">
        <f>IFERROR(__xludf.DUMMYFUNCTION("""COMPUTED_VALUE"""),"MLB")</f>
        <v>MLB</v>
      </c>
      <c r="G3382">
        <f>IFERROR(__xludf.DUMMYFUNCTION("""COMPUTED_VALUE"""),13.200000000000001)</f>
        <v>13.2</v>
      </c>
    </row>
    <row r="3383">
      <c r="D3383" t="str">
        <f>IFERROR(__xludf.DUMMYFUNCTION("""COMPUTED_VALUE"""),"James")</f>
        <v>James</v>
      </c>
      <c r="E3383" t="str">
        <f>IFERROR(__xludf.DUMMYFUNCTION("""COMPUTED_VALUE"""),"JaWuan")</f>
        <v>JaWuan</v>
      </c>
      <c r="F3383" t="str">
        <f>IFERROR(__xludf.DUMMYFUNCTION("""COMPUTED_VALUE"""),"RT")</f>
        <v>RT</v>
      </c>
      <c r="G3383">
        <f>IFERROR(__xludf.DUMMYFUNCTION("""COMPUTED_VALUE"""),15.600000000000001)</f>
        <v>15.6</v>
      </c>
    </row>
    <row r="3384">
      <c r="D3384" t="str">
        <f>IFERROR(__xludf.DUMMYFUNCTION("""COMPUTED_VALUE"""),"James")</f>
        <v>James</v>
      </c>
      <c r="E3384" t="str">
        <f>IFERROR(__xludf.DUMMYFUNCTION("""COMPUTED_VALUE"""),"Jesse")</f>
        <v>Jesse</v>
      </c>
      <c r="F3384" t="str">
        <f>IFERROR(__xludf.DUMMYFUNCTION("""COMPUTED_VALUE"""),"TE")</f>
        <v>TE</v>
      </c>
      <c r="G3384">
        <f>IFERROR(__xludf.DUMMYFUNCTION("""COMPUTED_VALUE"""),15.600000000000001)</f>
        <v>15.6</v>
      </c>
    </row>
    <row r="3385">
      <c r="D3385" t="str">
        <f>IFERROR(__xludf.DUMMYFUNCTION("""COMPUTED_VALUE"""),"James II")</f>
        <v>James II</v>
      </c>
      <c r="E3385" t="str">
        <f>IFERROR(__xludf.DUMMYFUNCTION("""COMPUTED_VALUE"""),"Charles")</f>
        <v>Charles</v>
      </c>
      <c r="F3385" t="str">
        <f>IFERROR(__xludf.DUMMYFUNCTION("""COMPUTED_VALUE"""),"CB")</f>
        <v>CB</v>
      </c>
      <c r="G3385">
        <f>IFERROR(__xludf.DUMMYFUNCTION("""COMPUTED_VALUE"""),14.0)</f>
        <v>14</v>
      </c>
    </row>
    <row r="3386">
      <c r="D3386" t="str">
        <f>IFERROR(__xludf.DUMMYFUNCTION("""COMPUTED_VALUE"""),"Janikowski")</f>
        <v>Janikowski</v>
      </c>
      <c r="E3386" t="str">
        <f>IFERROR(__xludf.DUMMYFUNCTION("""COMPUTED_VALUE"""),"Sebastian")</f>
        <v>Sebastian</v>
      </c>
      <c r="F3386" t="str">
        <f>IFERROR(__xludf.DUMMYFUNCTION("""COMPUTED_VALUE"""),"K")</f>
        <v>K</v>
      </c>
      <c r="G3386">
        <f>IFERROR(__xludf.DUMMYFUNCTION("""COMPUTED_VALUE"""),16.0)</f>
        <v>16</v>
      </c>
    </row>
    <row r="3387">
      <c r="D3387" t="str">
        <f>IFERROR(__xludf.DUMMYFUNCTION("""COMPUTED_VALUE"""),"Janis")</f>
        <v>Janis</v>
      </c>
      <c r="E3387" t="str">
        <f>IFERROR(__xludf.DUMMYFUNCTION("""COMPUTED_VALUE"""),"Jeff")</f>
        <v>Jeff</v>
      </c>
      <c r="F3387" t="str">
        <f>IFERROR(__xludf.DUMMYFUNCTION("""COMPUTED_VALUE"""),"WR")</f>
        <v>WR</v>
      </c>
      <c r="G3387">
        <f>IFERROR(__xludf.DUMMYFUNCTION("""COMPUTED_VALUE"""),13.600000000000001)</f>
        <v>13.6</v>
      </c>
    </row>
    <row r="3388">
      <c r="D3388" t="str">
        <f>IFERROR(__xludf.DUMMYFUNCTION("""COMPUTED_VALUE"""),"Janovich")</f>
        <v>Janovich</v>
      </c>
      <c r="E3388" t="str">
        <f>IFERROR(__xludf.DUMMYFUNCTION("""COMPUTED_VALUE"""),"Andy")</f>
        <v>Andy</v>
      </c>
      <c r="F3388" t="str">
        <f>IFERROR(__xludf.DUMMYFUNCTION("""COMPUTED_VALUE"""),"FB")</f>
        <v>FB</v>
      </c>
      <c r="G3388">
        <f>IFERROR(__xludf.DUMMYFUNCTION("""COMPUTED_VALUE"""),16.400000000000002)</f>
        <v>16.4</v>
      </c>
    </row>
    <row r="3389">
      <c r="D3389" t="str">
        <f>IFERROR(__xludf.DUMMYFUNCTION("""COMPUTED_VALUE"""),"Jansen")</f>
        <v>Jansen</v>
      </c>
      <c r="E3389" t="str">
        <f>IFERROR(__xludf.DUMMYFUNCTION("""COMPUTED_VALUE"""),"JJ")</f>
        <v>JJ</v>
      </c>
      <c r="F3389" t="str">
        <f>IFERROR(__xludf.DUMMYFUNCTION("""COMPUTED_VALUE"""),"TE")</f>
        <v>TE</v>
      </c>
      <c r="G3389">
        <f>IFERROR(__xludf.DUMMYFUNCTION("""COMPUTED_VALUE"""),8.8)</f>
        <v>8.8</v>
      </c>
    </row>
    <row r="3390">
      <c r="D3390" t="str">
        <f>IFERROR(__xludf.DUMMYFUNCTION("""COMPUTED_VALUE"""),"Jarrett")</f>
        <v>Jarrett</v>
      </c>
      <c r="E3390" t="str">
        <f>IFERROR(__xludf.DUMMYFUNCTION("""COMPUTED_VALUE"""),"Grady")</f>
        <v>Grady</v>
      </c>
      <c r="F3390" t="str">
        <f>IFERROR(__xludf.DUMMYFUNCTION("""COMPUTED_VALUE"""),"DT")</f>
        <v>DT</v>
      </c>
      <c r="G3390">
        <f>IFERROR(__xludf.DUMMYFUNCTION("""COMPUTED_VALUE"""),16.400000000000002)</f>
        <v>16.4</v>
      </c>
    </row>
    <row r="3391">
      <c r="D3391" t="str">
        <f>IFERROR(__xludf.DUMMYFUNCTION("""COMPUTED_VALUE"""),"Jarwin")</f>
        <v>Jarwin</v>
      </c>
      <c r="E3391" t="str">
        <f>IFERROR(__xludf.DUMMYFUNCTION("""COMPUTED_VALUE"""),"Blake")</f>
        <v>Blake</v>
      </c>
      <c r="F3391" t="str">
        <f>IFERROR(__xludf.DUMMYFUNCTION("""COMPUTED_VALUE"""),"TE")</f>
        <v>TE</v>
      </c>
      <c r="G3391">
        <f>IFERROR(__xludf.DUMMYFUNCTION("""COMPUTED_VALUE"""),13.4)</f>
        <v>13.4</v>
      </c>
    </row>
    <row r="3392">
      <c r="D3392" t="str">
        <f>IFERROR(__xludf.DUMMYFUNCTION("""COMPUTED_VALUE"""),"Jean Francois")</f>
        <v>Jean Francois</v>
      </c>
      <c r="E3392" t="str">
        <f>IFERROR(__xludf.DUMMYFUNCTION("""COMPUTED_VALUE"""),"Ricky")</f>
        <v>Ricky</v>
      </c>
      <c r="F3392" t="str">
        <f>IFERROR(__xludf.DUMMYFUNCTION("""COMPUTED_VALUE"""),"RE")</f>
        <v>RE</v>
      </c>
      <c r="G3392">
        <f>IFERROR(__xludf.DUMMYFUNCTION("""COMPUTED_VALUE"""),14.600000000000001)</f>
        <v>14.6</v>
      </c>
    </row>
    <row r="3393">
      <c r="D3393" t="str">
        <f>IFERROR(__xludf.DUMMYFUNCTION("""COMPUTED_VALUE"""),"Jefferson")</f>
        <v>Jefferson</v>
      </c>
      <c r="E3393" t="str">
        <f>IFERROR(__xludf.DUMMYFUNCTION("""COMPUTED_VALUE"""),"AJ")</f>
        <v>AJ</v>
      </c>
      <c r="F3393" t="str">
        <f>IFERROR(__xludf.DUMMYFUNCTION("""COMPUTED_VALUE"""),"LE")</f>
        <v>LE</v>
      </c>
      <c r="G3393">
        <f>IFERROR(__xludf.DUMMYFUNCTION("""COMPUTED_VALUE"""),12.600000000000001)</f>
        <v>12.6</v>
      </c>
    </row>
    <row r="3394">
      <c r="D3394" t="str">
        <f>IFERROR(__xludf.DUMMYFUNCTION("""COMPUTED_VALUE"""),"Jefferson")</f>
        <v>Jefferson</v>
      </c>
      <c r="E3394" t="str">
        <f>IFERROR(__xludf.DUMMYFUNCTION("""COMPUTED_VALUE"""),"Quinton")</f>
        <v>Quinton</v>
      </c>
      <c r="F3394" t="str">
        <f>IFERROR(__xludf.DUMMYFUNCTION("""COMPUTED_VALUE"""),"LE")</f>
        <v>LE</v>
      </c>
      <c r="G3394">
        <f>IFERROR(__xludf.DUMMYFUNCTION("""COMPUTED_VALUE"""),13.0)</f>
        <v>13</v>
      </c>
    </row>
    <row r="3395">
      <c r="D3395" t="str">
        <f>IFERROR(__xludf.DUMMYFUNCTION("""COMPUTED_VALUE"""),"Jefferson")</f>
        <v>Jefferson</v>
      </c>
      <c r="E3395" t="str">
        <f>IFERROR(__xludf.DUMMYFUNCTION("""COMPUTED_VALUE"""),"Tony")</f>
        <v>Tony</v>
      </c>
      <c r="F3395" t="str">
        <f>IFERROR(__xludf.DUMMYFUNCTION("""COMPUTED_VALUE"""),"SS")</f>
        <v>SS</v>
      </c>
      <c r="G3395">
        <f>IFERROR(__xludf.DUMMYFUNCTION("""COMPUTED_VALUE"""),17.6)</f>
        <v>17.6</v>
      </c>
    </row>
    <row r="3396">
      <c r="D3396" t="str">
        <f>IFERROR(__xludf.DUMMYFUNCTION("""COMPUTED_VALUE"""),"Jeffery")</f>
        <v>Jeffery</v>
      </c>
      <c r="E3396" t="str">
        <f>IFERROR(__xludf.DUMMYFUNCTION("""COMPUTED_VALUE"""),"Alshon")</f>
        <v>Alshon</v>
      </c>
      <c r="F3396" t="str">
        <f>IFERROR(__xludf.DUMMYFUNCTION("""COMPUTED_VALUE"""),"WR")</f>
        <v>WR</v>
      </c>
      <c r="G3396">
        <f>IFERROR(__xludf.DUMMYFUNCTION("""COMPUTED_VALUE"""),17.400000000000002)</f>
        <v>17.4</v>
      </c>
    </row>
    <row r="3397">
      <c r="D3397" t="str">
        <f>IFERROR(__xludf.DUMMYFUNCTION("""COMPUTED_VALUE"""),"Jenkins")</f>
        <v>Jenkins</v>
      </c>
      <c r="E3397" t="str">
        <f>IFERROR(__xludf.DUMMYFUNCTION("""COMPUTED_VALUE"""),"Janoris")</f>
        <v>Janoris</v>
      </c>
      <c r="F3397" t="str">
        <f>IFERROR(__xludf.DUMMYFUNCTION("""COMPUTED_VALUE"""),"CB")</f>
        <v>CB</v>
      </c>
      <c r="G3397">
        <f>IFERROR(__xludf.DUMMYFUNCTION("""COMPUTED_VALUE"""),17.8)</f>
        <v>17.8</v>
      </c>
    </row>
    <row r="3398">
      <c r="D3398" t="str">
        <f>IFERROR(__xludf.DUMMYFUNCTION("""COMPUTED_VALUE"""),"Jenkins")</f>
        <v>Jenkins</v>
      </c>
      <c r="E3398" t="str">
        <f>IFERROR(__xludf.DUMMYFUNCTION("""COMPUTED_VALUE"""),"Jarvis")</f>
        <v>Jarvis</v>
      </c>
      <c r="F3398" t="str">
        <f>IFERROR(__xludf.DUMMYFUNCTION("""COMPUTED_VALUE"""),"RE")</f>
        <v>RE</v>
      </c>
      <c r="G3398">
        <f>IFERROR(__xludf.DUMMYFUNCTION("""COMPUTED_VALUE"""),13.600000000000001)</f>
        <v>13.6</v>
      </c>
    </row>
    <row r="3399">
      <c r="D3399" t="str">
        <f>IFERROR(__xludf.DUMMYFUNCTION("""COMPUTED_VALUE"""),"Jenkins")</f>
        <v>Jenkins</v>
      </c>
      <c r="E3399" t="str">
        <f>IFERROR(__xludf.DUMMYFUNCTION("""COMPUTED_VALUE"""),"Jelani")</f>
        <v>Jelani</v>
      </c>
      <c r="F3399" t="str">
        <f>IFERROR(__xludf.DUMMYFUNCTION("""COMPUTED_VALUE"""),"LOLB")</f>
        <v>LOLB</v>
      </c>
      <c r="G3399">
        <f>IFERROR(__xludf.DUMMYFUNCTION("""COMPUTED_VALUE"""),14.200000000000001)</f>
        <v>14.2</v>
      </c>
    </row>
    <row r="3400">
      <c r="D3400" t="str">
        <f>IFERROR(__xludf.DUMMYFUNCTION("""COMPUTED_VALUE"""),"Jenkins")</f>
        <v>Jenkins</v>
      </c>
      <c r="E3400" t="str">
        <f>IFERROR(__xludf.DUMMYFUNCTION("""COMPUTED_VALUE"""),"John")</f>
        <v>John</v>
      </c>
      <c r="F3400" t="str">
        <f>IFERROR(__xludf.DUMMYFUNCTION("""COMPUTED_VALUE"""),"LE")</f>
        <v>LE</v>
      </c>
      <c r="G3400">
        <f>IFERROR(__xludf.DUMMYFUNCTION("""COMPUTED_VALUE"""),13.0)</f>
        <v>13</v>
      </c>
    </row>
    <row r="3401">
      <c r="D3401" t="str">
        <f>IFERROR(__xludf.DUMMYFUNCTION("""COMPUTED_VALUE"""),"Jenkins")</f>
        <v>Jenkins</v>
      </c>
      <c r="E3401" t="str">
        <f>IFERROR(__xludf.DUMMYFUNCTION("""COMPUTED_VALUE"""),"Jordan")</f>
        <v>Jordan</v>
      </c>
      <c r="F3401" t="str">
        <f>IFERROR(__xludf.DUMMYFUNCTION("""COMPUTED_VALUE"""),"LOLB")</f>
        <v>LOLB</v>
      </c>
      <c r="G3401">
        <f>IFERROR(__xludf.DUMMYFUNCTION("""COMPUTED_VALUE"""),13.8)</f>
        <v>13.8</v>
      </c>
    </row>
    <row r="3402">
      <c r="D3402" t="str">
        <f>IFERROR(__xludf.DUMMYFUNCTION("""COMPUTED_VALUE"""),"Jenkins")</f>
        <v>Jenkins</v>
      </c>
      <c r="E3402" t="str">
        <f>IFERROR(__xludf.DUMMYFUNCTION("""COMPUTED_VALUE"""),"Malcolm")</f>
        <v>Malcolm</v>
      </c>
      <c r="F3402" t="str">
        <f>IFERROR(__xludf.DUMMYFUNCTION("""COMPUTED_VALUE"""),"SS")</f>
        <v>SS</v>
      </c>
      <c r="G3402">
        <f>IFERROR(__xludf.DUMMYFUNCTION("""COMPUTED_VALUE"""),17.0)</f>
        <v>17</v>
      </c>
    </row>
    <row r="3403">
      <c r="D3403" t="str">
        <f>IFERROR(__xludf.DUMMYFUNCTION("""COMPUTED_VALUE"""),"Jenkins")</f>
        <v>Jenkins</v>
      </c>
      <c r="E3403" t="str">
        <f>IFERROR(__xludf.DUMMYFUNCTION("""COMPUTED_VALUE"""),"Rayshawn")</f>
        <v>Rayshawn</v>
      </c>
      <c r="F3403" t="str">
        <f>IFERROR(__xludf.DUMMYFUNCTION("""COMPUTED_VALUE"""),"FS")</f>
        <v>FS</v>
      </c>
      <c r="G3403">
        <f>IFERROR(__xludf.DUMMYFUNCTION("""COMPUTED_VALUE"""),14.0)</f>
        <v>14</v>
      </c>
    </row>
    <row r="3404">
      <c r="D3404" t="str">
        <f>IFERROR(__xludf.DUMMYFUNCTION("""COMPUTED_VALUE"""),"Jenkins")</f>
        <v>Jenkins</v>
      </c>
      <c r="E3404" t="str">
        <f>IFERROR(__xludf.DUMMYFUNCTION("""COMPUTED_VALUE"""),"Shaneil")</f>
        <v>Shaneil</v>
      </c>
      <c r="F3404" t="str">
        <f>IFERROR(__xludf.DUMMYFUNCTION("""COMPUTED_VALUE"""),"RE")</f>
        <v>RE</v>
      </c>
      <c r="G3404">
        <f>IFERROR(__xludf.DUMMYFUNCTION("""COMPUTED_VALUE"""),12.4)</f>
        <v>12.4</v>
      </c>
    </row>
    <row r="3405">
      <c r="D3405" t="str">
        <f>IFERROR(__xludf.DUMMYFUNCTION("""COMPUTED_VALUE"""),"Jennings")</f>
        <v>Jennings</v>
      </c>
      <c r="E3405" t="str">
        <f>IFERROR(__xludf.DUMMYFUNCTION("""COMPUTED_VALUE"""),"Darius")</f>
        <v>Darius</v>
      </c>
      <c r="F3405" t="str">
        <f>IFERROR(__xludf.DUMMYFUNCTION("""COMPUTED_VALUE"""),"WR")</f>
        <v>WR</v>
      </c>
      <c r="G3405">
        <f>IFERROR(__xludf.DUMMYFUNCTION("""COMPUTED_VALUE"""),12.200000000000001)</f>
        <v>12.2</v>
      </c>
    </row>
    <row r="3406">
      <c r="D3406" t="str">
        <f>IFERROR(__xludf.DUMMYFUNCTION("""COMPUTED_VALUE"""),"Jensen")</f>
        <v>Jensen</v>
      </c>
      <c r="E3406" t="str">
        <f>IFERROR(__xludf.DUMMYFUNCTION("""COMPUTED_VALUE"""),"Ryan")</f>
        <v>Ryan</v>
      </c>
      <c r="F3406" t="str">
        <f>IFERROR(__xludf.DUMMYFUNCTION("""COMPUTED_VALUE"""),"C")</f>
        <v>C</v>
      </c>
      <c r="G3406">
        <f>IFERROR(__xludf.DUMMYFUNCTION("""COMPUTED_VALUE"""),14.200000000000001)</f>
        <v>14.2</v>
      </c>
    </row>
    <row r="3407">
      <c r="D3407" t="str">
        <f>IFERROR(__xludf.DUMMYFUNCTION("""COMPUTED_VALUE"""),"Jernigan")</f>
        <v>Jernigan</v>
      </c>
      <c r="E3407" t="str">
        <f>IFERROR(__xludf.DUMMYFUNCTION("""COMPUTED_VALUE"""),"Tim")</f>
        <v>Tim</v>
      </c>
      <c r="F3407" t="str">
        <f>IFERROR(__xludf.DUMMYFUNCTION("""COMPUTED_VALUE"""),"DT")</f>
        <v>DT</v>
      </c>
      <c r="G3407">
        <f>IFERROR(__xludf.DUMMYFUNCTION("""COMPUTED_VALUE"""),16.2)</f>
        <v>16.2</v>
      </c>
    </row>
    <row r="3408">
      <c r="D3408" t="str">
        <f>IFERROR(__xludf.DUMMYFUNCTION("""COMPUTED_VALUE"""),"Jerome")</f>
        <v>Jerome</v>
      </c>
      <c r="E3408" t="str">
        <f>IFERROR(__xludf.DUMMYFUNCTION("""COMPUTED_VALUE"""),"Lorenzo")</f>
        <v>Lorenzo</v>
      </c>
      <c r="F3408" t="str">
        <f>IFERROR(__xludf.DUMMYFUNCTION("""COMPUTED_VALUE"""),"FS")</f>
        <v>FS</v>
      </c>
      <c r="G3408">
        <f>IFERROR(__xludf.DUMMYFUNCTION("""COMPUTED_VALUE"""),12.600000000000001)</f>
        <v>12.6</v>
      </c>
    </row>
    <row r="3409">
      <c r="D3409" t="str">
        <f>IFERROR(__xludf.DUMMYFUNCTION("""COMPUTED_VALUE"""),"Jerry")</f>
        <v>Jerry</v>
      </c>
      <c r="E3409" t="str">
        <f>IFERROR(__xludf.DUMMYFUNCTION("""COMPUTED_VALUE"""),"John")</f>
        <v>John</v>
      </c>
      <c r="F3409" t="str">
        <f>IFERROR(__xludf.DUMMYFUNCTION("""COMPUTED_VALUE"""),"RG")</f>
        <v>RG</v>
      </c>
      <c r="G3409">
        <f>IFERROR(__xludf.DUMMYFUNCTION("""COMPUTED_VALUE"""),15.4)</f>
        <v>15.4</v>
      </c>
    </row>
    <row r="3410">
      <c r="D3410" t="str">
        <f>IFERROR(__xludf.DUMMYFUNCTION("""COMPUTED_VALUE"""),"Jeter")</f>
        <v>Jeter</v>
      </c>
      <c r="E3410" t="str">
        <f>IFERROR(__xludf.DUMMYFUNCTION("""COMPUTED_VALUE"""),"Colin")</f>
        <v>Colin</v>
      </c>
      <c r="F3410" t="str">
        <f>IFERROR(__xludf.DUMMYFUNCTION("""COMPUTED_VALUE"""),"TE")</f>
        <v>TE</v>
      </c>
      <c r="G3410">
        <f>IFERROR(__xludf.DUMMYFUNCTION("""COMPUTED_VALUE"""),13.4)</f>
        <v>13.4</v>
      </c>
    </row>
    <row r="3411">
      <c r="D3411" t="str">
        <f>IFERROR(__xludf.DUMMYFUNCTION("""COMPUTED_VALUE"""),"Joeckel")</f>
        <v>Joeckel</v>
      </c>
      <c r="E3411" t="str">
        <f>IFERROR(__xludf.DUMMYFUNCTION("""COMPUTED_VALUE"""),"Luke")</f>
        <v>Luke</v>
      </c>
      <c r="F3411" t="str">
        <f>IFERROR(__xludf.DUMMYFUNCTION("""COMPUTED_VALUE"""),"RG")</f>
        <v>RG</v>
      </c>
      <c r="G3411">
        <f>IFERROR(__xludf.DUMMYFUNCTION("""COMPUTED_VALUE"""),15.0)</f>
        <v>15</v>
      </c>
    </row>
    <row r="3412">
      <c r="D3412" t="str">
        <f>IFERROR(__xludf.DUMMYFUNCTION("""COMPUTED_VALUE"""),"John")</f>
        <v>John</v>
      </c>
      <c r="E3412" t="str">
        <f>IFERROR(__xludf.DUMMYFUNCTION("""COMPUTED_VALUE"""),"Ulrick")</f>
        <v>Ulrick</v>
      </c>
      <c r="F3412" t="str">
        <f>IFERROR(__xludf.DUMMYFUNCTION("""COMPUTED_VALUE"""),"RT")</f>
        <v>RT</v>
      </c>
      <c r="G3412">
        <f>IFERROR(__xludf.DUMMYFUNCTION("""COMPUTED_VALUE"""),13.8)</f>
        <v>13.8</v>
      </c>
    </row>
    <row r="3413">
      <c r="D3413" t="str">
        <f>IFERROR(__xludf.DUMMYFUNCTION("""COMPUTED_VALUE"""),"Johnson")</f>
        <v>Johnson</v>
      </c>
      <c r="E3413" t="str">
        <f>IFERROR(__xludf.DUMMYFUNCTION("""COMPUTED_VALUE"""),"Anthony")</f>
        <v>Anthony</v>
      </c>
      <c r="F3413" t="str">
        <f>IFERROR(__xludf.DUMMYFUNCTION("""COMPUTED_VALUE"""),"LE")</f>
        <v>LE</v>
      </c>
      <c r="G3413">
        <f>IFERROR(__xludf.DUMMYFUNCTION("""COMPUTED_VALUE"""),12.4)</f>
        <v>12.4</v>
      </c>
    </row>
    <row r="3414">
      <c r="D3414" t="str">
        <f>IFERROR(__xludf.DUMMYFUNCTION("""COMPUTED_VALUE"""),"Johnson")</f>
        <v>Johnson</v>
      </c>
      <c r="E3414" t="str">
        <f>IFERROR(__xludf.DUMMYFUNCTION("""COMPUTED_VALUE"""),"Austin")</f>
        <v>Austin</v>
      </c>
      <c r="F3414" t="str">
        <f>IFERROR(__xludf.DUMMYFUNCTION("""COMPUTED_VALUE"""),"DT")</f>
        <v>DT</v>
      </c>
      <c r="G3414">
        <f>IFERROR(__xludf.DUMMYFUNCTION("""COMPUTED_VALUE"""),14.0)</f>
        <v>14</v>
      </c>
    </row>
    <row r="3415">
      <c r="D3415" t="str">
        <f>IFERROR(__xludf.DUMMYFUNCTION("""COMPUTED_VALUE"""),"Johnson")</f>
        <v>Johnson</v>
      </c>
      <c r="E3415" t="str">
        <f>IFERROR(__xludf.DUMMYFUNCTION("""COMPUTED_VALUE"""),"Austin")</f>
        <v>Austin</v>
      </c>
      <c r="F3415" t="str">
        <f>IFERROR(__xludf.DUMMYFUNCTION("""COMPUTED_VALUE"""),"FB")</f>
        <v>FB</v>
      </c>
      <c r="G3415">
        <f>IFERROR(__xludf.DUMMYFUNCTION("""COMPUTED_VALUE"""),13.600000000000001)</f>
        <v>13.6</v>
      </c>
    </row>
    <row r="3416">
      <c r="D3416" t="str">
        <f>IFERROR(__xludf.DUMMYFUNCTION("""COMPUTED_VALUE"""),"Johnson")</f>
        <v>Johnson</v>
      </c>
      <c r="E3416" t="str">
        <f>IFERROR(__xludf.DUMMYFUNCTION("""COMPUTED_VALUE"""),"Cam")</f>
        <v>Cam</v>
      </c>
      <c r="F3416" t="str">
        <f>IFERROR(__xludf.DUMMYFUNCTION("""COMPUTED_VALUE"""),"RE")</f>
        <v>RE</v>
      </c>
      <c r="G3416">
        <f>IFERROR(__xludf.DUMMYFUNCTION("""COMPUTED_VALUE"""),14.200000000000001)</f>
        <v>14.2</v>
      </c>
    </row>
    <row r="3417">
      <c r="D3417" t="str">
        <f>IFERROR(__xludf.DUMMYFUNCTION("""COMPUTED_VALUE"""),"Johnson")</f>
        <v>Johnson</v>
      </c>
      <c r="E3417" t="str">
        <f>IFERROR(__xludf.DUMMYFUNCTION("""COMPUTED_VALUE"""),"Charles")</f>
        <v>Charles</v>
      </c>
      <c r="F3417" t="str">
        <f>IFERROR(__xludf.DUMMYFUNCTION("""COMPUTED_VALUE"""),"WR")</f>
        <v>WR</v>
      </c>
      <c r="G3417">
        <f>IFERROR(__xludf.DUMMYFUNCTION("""COMPUTED_VALUE"""),14.600000000000001)</f>
        <v>14.6</v>
      </c>
    </row>
    <row r="3418">
      <c r="D3418" t="str">
        <f>IFERROR(__xludf.DUMMYFUNCTION("""COMPUTED_VALUE"""),"Johnson")</f>
        <v>Johnson</v>
      </c>
      <c r="E3418" t="str">
        <f>IFERROR(__xludf.DUMMYFUNCTION("""COMPUTED_VALUE"""),"Charles")</f>
        <v>Charles</v>
      </c>
      <c r="F3418" t="str">
        <f>IFERROR(__xludf.DUMMYFUNCTION("""COMPUTED_VALUE"""),"LE")</f>
        <v>LE</v>
      </c>
      <c r="G3418">
        <f>IFERROR(__xludf.DUMMYFUNCTION("""COMPUTED_VALUE"""),16.6)</f>
        <v>16.6</v>
      </c>
    </row>
    <row r="3419">
      <c r="D3419" t="str">
        <f>IFERROR(__xludf.DUMMYFUNCTION("""COMPUTED_VALUE"""),"Johnson")</f>
        <v>Johnson</v>
      </c>
      <c r="E3419" t="str">
        <f>IFERROR(__xludf.DUMMYFUNCTION("""COMPUTED_VALUE"""),"David")</f>
        <v>David</v>
      </c>
      <c r="F3419" t="str">
        <f>IFERROR(__xludf.DUMMYFUNCTION("""COMPUTED_VALUE"""),"HB")</f>
        <v>HB</v>
      </c>
      <c r="G3419">
        <f>IFERROR(__xludf.DUMMYFUNCTION("""COMPUTED_VALUE"""),18.8)</f>
        <v>18.8</v>
      </c>
    </row>
    <row r="3420">
      <c r="D3420" t="str">
        <f>IFERROR(__xludf.DUMMYFUNCTION("""COMPUTED_VALUE"""),"Johnson")</f>
        <v>Johnson</v>
      </c>
      <c r="E3420" t="str">
        <f>IFERROR(__xludf.DUMMYFUNCTION("""COMPUTED_VALUE"""),"David")</f>
        <v>David</v>
      </c>
      <c r="F3420" t="str">
        <f>IFERROR(__xludf.DUMMYFUNCTION("""COMPUTED_VALUE"""),"TE")</f>
        <v>TE</v>
      </c>
      <c r="G3420">
        <f>IFERROR(__xludf.DUMMYFUNCTION("""COMPUTED_VALUE"""),12.8)</f>
        <v>12.8</v>
      </c>
    </row>
    <row r="3421">
      <c r="D3421" t="str">
        <f>IFERROR(__xludf.DUMMYFUNCTION("""COMPUTED_VALUE"""),"Johnson")</f>
        <v>Johnson</v>
      </c>
      <c r="E3421" t="str">
        <f>IFERROR(__xludf.DUMMYFUNCTION("""COMPUTED_VALUE"""),"Denzel")</f>
        <v>Denzel</v>
      </c>
      <c r="F3421" t="str">
        <f>IFERROR(__xludf.DUMMYFUNCTION("""COMPUTED_VALUE"""),"SS")</f>
        <v>SS</v>
      </c>
      <c r="G3421">
        <f>IFERROR(__xludf.DUMMYFUNCTION("""COMPUTED_VALUE"""),12.200000000000001)</f>
        <v>12.2</v>
      </c>
    </row>
    <row r="3422">
      <c r="D3422" t="str">
        <f>IFERROR(__xludf.DUMMYFUNCTION("""COMPUTED_VALUE"""),"Johnson")</f>
        <v>Johnson</v>
      </c>
      <c r="E3422" t="str">
        <f>IFERROR(__xludf.DUMMYFUNCTION("""COMPUTED_VALUE"""),"Derrick")</f>
        <v>Derrick</v>
      </c>
      <c r="F3422" t="str">
        <f>IFERROR(__xludf.DUMMYFUNCTION("""COMPUTED_VALUE"""),"MLB")</f>
        <v>MLB</v>
      </c>
      <c r="G3422">
        <f>IFERROR(__xludf.DUMMYFUNCTION("""COMPUTED_VALUE"""),16.6)</f>
        <v>16.6</v>
      </c>
    </row>
    <row r="3423">
      <c r="D3423" t="str">
        <f>IFERROR(__xludf.DUMMYFUNCTION("""COMPUTED_VALUE"""),"Johnson")</f>
        <v>Johnson</v>
      </c>
      <c r="E3423" t="str">
        <f>IFERROR(__xludf.DUMMYFUNCTION("""COMPUTED_VALUE"""),"Dontae")</f>
        <v>Dontae</v>
      </c>
      <c r="F3423" t="str">
        <f>IFERROR(__xludf.DUMMYFUNCTION("""COMPUTED_VALUE"""),"CB")</f>
        <v>CB</v>
      </c>
      <c r="G3423">
        <f>IFERROR(__xludf.DUMMYFUNCTION("""COMPUTED_VALUE"""),13.8)</f>
        <v>13.8</v>
      </c>
    </row>
    <row r="3424">
      <c r="D3424" t="str">
        <f>IFERROR(__xludf.DUMMYFUNCTION("""COMPUTED_VALUE"""),"Johnson")</f>
        <v>Johnson</v>
      </c>
      <c r="E3424" t="str">
        <f>IFERROR(__xludf.DUMMYFUNCTION("""COMPUTED_VALUE"""),"Dorian")</f>
        <v>Dorian</v>
      </c>
      <c r="F3424" t="str">
        <f>IFERROR(__xludf.DUMMYFUNCTION("""COMPUTED_VALUE"""),"RG")</f>
        <v>RG</v>
      </c>
      <c r="G3424">
        <f>IFERROR(__xludf.DUMMYFUNCTION("""COMPUTED_VALUE"""),14.200000000000001)</f>
        <v>14.2</v>
      </c>
    </row>
    <row r="3425">
      <c r="D3425" t="str">
        <f>IFERROR(__xludf.DUMMYFUNCTION("""COMPUTED_VALUE"""),"Johnson")</f>
        <v>Johnson</v>
      </c>
      <c r="E3425" t="str">
        <f>IFERROR(__xludf.DUMMYFUNCTION("""COMPUTED_VALUE"""),"George")</f>
        <v>George</v>
      </c>
      <c r="F3425" t="str">
        <f>IFERROR(__xludf.DUMMYFUNCTION("""COMPUTED_VALUE"""),"LE")</f>
        <v>LE</v>
      </c>
      <c r="G3425">
        <f>IFERROR(__xludf.DUMMYFUNCTION("""COMPUTED_VALUE"""),14.200000000000001)</f>
        <v>14.2</v>
      </c>
    </row>
    <row r="3426">
      <c r="D3426" t="str">
        <f>IFERROR(__xludf.DUMMYFUNCTION("""COMPUTED_VALUE"""),"Johnson")</f>
        <v>Johnson</v>
      </c>
      <c r="E3426" t="str">
        <f>IFERROR(__xludf.DUMMYFUNCTION("""COMPUTED_VALUE"""),"Isaiah")</f>
        <v>Isaiah</v>
      </c>
      <c r="F3426" t="str">
        <f>IFERROR(__xludf.DUMMYFUNCTION("""COMPUTED_VALUE"""),"SS")</f>
        <v>SS</v>
      </c>
      <c r="G3426">
        <f>IFERROR(__xludf.DUMMYFUNCTION("""COMPUTED_VALUE"""),12.0)</f>
        <v>12</v>
      </c>
    </row>
    <row r="3427">
      <c r="D3427" t="str">
        <f>IFERROR(__xludf.DUMMYFUNCTION("""COMPUTED_VALUE"""),"Johnson")</f>
        <v>Johnson</v>
      </c>
      <c r="E3427" t="str">
        <f>IFERROR(__xludf.DUMMYFUNCTION("""COMPUTED_VALUE"""),"Jadar")</f>
        <v>Jadar</v>
      </c>
      <c r="F3427" t="str">
        <f>IFERROR(__xludf.DUMMYFUNCTION("""COMPUTED_VALUE"""),"FS")</f>
        <v>FS</v>
      </c>
      <c r="G3427">
        <f>IFERROR(__xludf.DUMMYFUNCTION("""COMPUTED_VALUE"""),11.600000000000001)</f>
        <v>11.6</v>
      </c>
    </row>
    <row r="3428">
      <c r="D3428" t="str">
        <f>IFERROR(__xludf.DUMMYFUNCTION("""COMPUTED_VALUE"""),"Johnson")</f>
        <v>Johnson</v>
      </c>
      <c r="E3428" t="str">
        <f>IFERROR(__xludf.DUMMYFUNCTION("""COMPUTED_VALUE"""),"Jaleel")</f>
        <v>Jaleel</v>
      </c>
      <c r="F3428" t="str">
        <f>IFERROR(__xludf.DUMMYFUNCTION("""COMPUTED_VALUE"""),"DT")</f>
        <v>DT</v>
      </c>
      <c r="G3428">
        <f>IFERROR(__xludf.DUMMYFUNCTION("""COMPUTED_VALUE"""),13.8)</f>
        <v>13.8</v>
      </c>
    </row>
    <row r="3429">
      <c r="D3429" t="str">
        <f>IFERROR(__xludf.DUMMYFUNCTION("""COMPUTED_VALUE"""),"Johnson")</f>
        <v>Johnson</v>
      </c>
      <c r="E3429" t="str">
        <f>IFERROR(__xludf.DUMMYFUNCTION("""COMPUTED_VALUE"""),"John")</f>
        <v>John</v>
      </c>
      <c r="F3429" t="str">
        <f>IFERROR(__xludf.DUMMYFUNCTION("""COMPUTED_VALUE"""),"FS")</f>
        <v>FS</v>
      </c>
      <c r="G3429">
        <f>IFERROR(__xludf.DUMMYFUNCTION("""COMPUTED_VALUE"""),14.8)</f>
        <v>14.8</v>
      </c>
    </row>
    <row r="3430">
      <c r="D3430" t="str">
        <f>IFERROR(__xludf.DUMMYFUNCTION("""COMPUTED_VALUE"""),"Johnson")</f>
        <v>Johnson</v>
      </c>
      <c r="E3430" t="str">
        <f>IFERROR(__xludf.DUMMYFUNCTION("""COMPUTED_VALUE"""),"Jordan")</f>
        <v>Jordan</v>
      </c>
      <c r="F3430" t="str">
        <f>IFERROR(__xludf.DUMMYFUNCTION("""COMPUTED_VALUE"""),"HB")</f>
        <v>HB</v>
      </c>
      <c r="G3430">
        <f>IFERROR(__xludf.DUMMYFUNCTION("""COMPUTED_VALUE"""),12.8)</f>
        <v>12.8</v>
      </c>
    </row>
    <row r="3431">
      <c r="D3431" t="str">
        <f>IFERROR(__xludf.DUMMYFUNCTION("""COMPUTED_VALUE"""),"Johnson")</f>
        <v>Johnson</v>
      </c>
      <c r="E3431" t="str">
        <f>IFERROR(__xludf.DUMMYFUNCTION("""COMPUTED_VALUE"""),"Josh")</f>
        <v>Josh</v>
      </c>
      <c r="F3431" t="str">
        <f>IFERROR(__xludf.DUMMYFUNCTION("""COMPUTED_VALUE"""),"CB")</f>
        <v>CB</v>
      </c>
      <c r="G3431">
        <f>IFERROR(__xludf.DUMMYFUNCTION("""COMPUTED_VALUE"""),13.200000000000001)</f>
        <v>13.2</v>
      </c>
    </row>
    <row r="3432">
      <c r="D3432" t="str">
        <f>IFERROR(__xludf.DUMMYFUNCTION("""COMPUTED_VALUE"""),"Johnson")</f>
        <v>Johnson</v>
      </c>
      <c r="E3432" t="str">
        <f>IFERROR(__xludf.DUMMYFUNCTION("""COMPUTED_VALUE"""),"Josh")</f>
        <v>Josh</v>
      </c>
      <c r="F3432" t="str">
        <f>IFERROR(__xludf.DUMMYFUNCTION("""COMPUTED_VALUE"""),"QB")</f>
        <v>QB</v>
      </c>
      <c r="G3432">
        <f>IFERROR(__xludf.DUMMYFUNCTION("""COMPUTED_VALUE"""),12.600000000000001)</f>
        <v>12.6</v>
      </c>
    </row>
    <row r="3433">
      <c r="D3433" t="str">
        <f>IFERROR(__xludf.DUMMYFUNCTION("""COMPUTED_VALUE"""),"Johnson")</f>
        <v>Johnson</v>
      </c>
      <c r="E3433" t="str">
        <f>IFERROR(__xludf.DUMMYFUNCTION("""COMPUTED_VALUE"""),"Kaleb")</f>
        <v>Kaleb</v>
      </c>
      <c r="F3433" t="str">
        <f>IFERROR(__xludf.DUMMYFUNCTION("""COMPUTED_VALUE"""),"RG")</f>
        <v>RG</v>
      </c>
      <c r="G3433">
        <f>IFERROR(__xludf.DUMMYFUNCTION("""COMPUTED_VALUE"""),13.4)</f>
        <v>13.4</v>
      </c>
    </row>
    <row r="3434">
      <c r="D3434" t="str">
        <f>IFERROR(__xludf.DUMMYFUNCTION("""COMPUTED_VALUE"""),"Johnson")</f>
        <v>Johnson</v>
      </c>
      <c r="E3434" t="str">
        <f>IFERROR(__xludf.DUMMYFUNCTION("""COMPUTED_VALUE"""),"Kevin")</f>
        <v>Kevin</v>
      </c>
      <c r="F3434" t="str">
        <f>IFERROR(__xludf.DUMMYFUNCTION("""COMPUTED_VALUE"""),"CB")</f>
        <v>CB</v>
      </c>
      <c r="G3434">
        <f>IFERROR(__xludf.DUMMYFUNCTION("""COMPUTED_VALUE"""),16.0)</f>
        <v>16</v>
      </c>
    </row>
    <row r="3435">
      <c r="D3435" t="str">
        <f>IFERROR(__xludf.DUMMYFUNCTION("""COMPUTED_VALUE"""),"Johnson")</f>
        <v>Johnson</v>
      </c>
      <c r="E3435" t="str">
        <f>IFERROR(__xludf.DUMMYFUNCTION("""COMPUTED_VALUE"""),"Lane")</f>
        <v>Lane</v>
      </c>
      <c r="F3435" t="str">
        <f>IFERROR(__xludf.DUMMYFUNCTION("""COMPUTED_VALUE"""),"RT")</f>
        <v>RT</v>
      </c>
      <c r="G3435">
        <f>IFERROR(__xludf.DUMMYFUNCTION("""COMPUTED_VALUE"""),18.0)</f>
        <v>18</v>
      </c>
    </row>
    <row r="3436">
      <c r="D3436" t="str">
        <f>IFERROR(__xludf.DUMMYFUNCTION("""COMPUTED_VALUE"""),"Johnson")</f>
        <v>Johnson</v>
      </c>
      <c r="E3436" t="str">
        <f>IFERROR(__xludf.DUMMYFUNCTION("""COMPUTED_VALUE"""),"Leonard")</f>
        <v>Leonard</v>
      </c>
      <c r="F3436" t="str">
        <f>IFERROR(__xludf.DUMMYFUNCTION("""COMPUTED_VALUE"""),"CB")</f>
        <v>CB</v>
      </c>
      <c r="G3436">
        <f>IFERROR(__xludf.DUMMYFUNCTION("""COMPUTED_VALUE"""),14.200000000000001)</f>
        <v>14.2</v>
      </c>
    </row>
    <row r="3437">
      <c r="D3437" t="str">
        <f>IFERROR(__xludf.DUMMYFUNCTION("""COMPUTED_VALUE"""),"Johnson")</f>
        <v>Johnson</v>
      </c>
      <c r="E3437" t="str">
        <f>IFERROR(__xludf.DUMMYFUNCTION("""COMPUTED_VALUE"""),"Michael")</f>
        <v>Michael</v>
      </c>
      <c r="F3437" t="str">
        <f>IFERROR(__xludf.DUMMYFUNCTION("""COMPUTED_VALUE"""),"RE")</f>
        <v>RE</v>
      </c>
      <c r="G3437">
        <f>IFERROR(__xludf.DUMMYFUNCTION("""COMPUTED_VALUE"""),15.200000000000001)</f>
        <v>15.2</v>
      </c>
    </row>
    <row r="3438">
      <c r="D3438" t="str">
        <f>IFERROR(__xludf.DUMMYFUNCTION("""COMPUTED_VALUE"""),"Johnson")</f>
        <v>Johnson</v>
      </c>
      <c r="E3438" t="str">
        <f>IFERROR(__xludf.DUMMYFUNCTION("""COMPUTED_VALUE"""),"Rod")</f>
        <v>Rod</v>
      </c>
      <c r="F3438" t="str">
        <f>IFERROR(__xludf.DUMMYFUNCTION("""COMPUTED_VALUE"""),"LT")</f>
        <v>LT</v>
      </c>
      <c r="G3438">
        <f>IFERROR(__xludf.DUMMYFUNCTION("""COMPUTED_VALUE"""),14.0)</f>
        <v>14</v>
      </c>
    </row>
    <row r="3439">
      <c r="D3439" t="str">
        <f>IFERROR(__xludf.DUMMYFUNCTION("""COMPUTED_VALUE"""),"Johnson")</f>
        <v>Johnson</v>
      </c>
      <c r="E3439" t="str">
        <f>IFERROR(__xludf.DUMMYFUNCTION("""COMPUTED_VALUE"""),"Steven")</f>
        <v>Steven</v>
      </c>
      <c r="F3439" t="str">
        <f>IFERROR(__xludf.DUMMYFUNCTION("""COMPUTED_VALUE"""),"MLB")</f>
        <v>MLB</v>
      </c>
      <c r="G3439">
        <f>IFERROR(__xludf.DUMMYFUNCTION("""COMPUTED_VALUE"""),13.8)</f>
        <v>13.8</v>
      </c>
    </row>
    <row r="3440">
      <c r="D3440" t="str">
        <f>IFERROR(__xludf.DUMMYFUNCTION("""COMPUTED_VALUE"""),"Johnson")</f>
        <v>Johnson</v>
      </c>
      <c r="E3440" t="str">
        <f>IFERROR(__xludf.DUMMYFUNCTION("""COMPUTED_VALUE"""),"Storm")</f>
        <v>Storm</v>
      </c>
      <c r="F3440" t="str">
        <f>IFERROR(__xludf.DUMMYFUNCTION("""COMPUTED_VALUE"""),"HB")</f>
        <v>HB</v>
      </c>
      <c r="G3440">
        <f>IFERROR(__xludf.DUMMYFUNCTION("""COMPUTED_VALUE"""),13.4)</f>
        <v>13.4</v>
      </c>
    </row>
    <row r="3441">
      <c r="D3441" t="str">
        <f>IFERROR(__xludf.DUMMYFUNCTION("""COMPUTED_VALUE"""),"Johnson")</f>
        <v>Johnson</v>
      </c>
      <c r="E3441" t="str">
        <f>IFERROR(__xludf.DUMMYFUNCTION("""COMPUTED_VALUE"""),"TJ")</f>
        <v>TJ</v>
      </c>
      <c r="F3441" t="str">
        <f>IFERROR(__xludf.DUMMYFUNCTION("""COMPUTED_VALUE"""),"C")</f>
        <v>C</v>
      </c>
      <c r="G3441">
        <f>IFERROR(__xludf.DUMMYFUNCTION("""COMPUTED_VALUE"""),13.4)</f>
        <v>13.4</v>
      </c>
    </row>
    <row r="3442">
      <c r="D3442" t="str">
        <f>IFERROR(__xludf.DUMMYFUNCTION("""COMPUTED_VALUE"""),"Johnson")</f>
        <v>Johnson</v>
      </c>
      <c r="E3442" t="str">
        <f>IFERROR(__xludf.DUMMYFUNCTION("""COMPUTED_VALUE"""),"Tom")</f>
        <v>Tom</v>
      </c>
      <c r="F3442" t="str">
        <f>IFERROR(__xludf.DUMMYFUNCTION("""COMPUTED_VALUE"""),"DT")</f>
        <v>DT</v>
      </c>
      <c r="G3442">
        <f>IFERROR(__xludf.DUMMYFUNCTION("""COMPUTED_VALUE"""),14.200000000000001)</f>
        <v>14.2</v>
      </c>
    </row>
    <row r="3443">
      <c r="D3443" t="str">
        <f>IFERROR(__xludf.DUMMYFUNCTION("""COMPUTED_VALUE"""),"Johnson")</f>
        <v>Johnson</v>
      </c>
      <c r="E3443" t="str">
        <f>IFERROR(__xludf.DUMMYFUNCTION("""COMPUTED_VALUE"""),"Trumaine")</f>
        <v>Trumaine</v>
      </c>
      <c r="F3443" t="str">
        <f>IFERROR(__xludf.DUMMYFUNCTION("""COMPUTED_VALUE"""),"CB")</f>
        <v>CB</v>
      </c>
      <c r="G3443">
        <f>IFERROR(__xludf.DUMMYFUNCTION("""COMPUTED_VALUE"""),16.400000000000002)</f>
        <v>16.4</v>
      </c>
    </row>
    <row r="3444">
      <c r="D3444" t="str">
        <f>IFERROR(__xludf.DUMMYFUNCTION("""COMPUTED_VALUE"""),"Johnson")</f>
        <v>Johnson</v>
      </c>
      <c r="E3444" t="str">
        <f>IFERROR(__xludf.DUMMYFUNCTION("""COMPUTED_VALUE"""),"Wesley")</f>
        <v>Wesley</v>
      </c>
      <c r="F3444" t="str">
        <f>IFERROR(__xludf.DUMMYFUNCTION("""COMPUTED_VALUE"""),"C")</f>
        <v>C</v>
      </c>
      <c r="G3444">
        <f>IFERROR(__xludf.DUMMYFUNCTION("""COMPUTED_VALUE"""),14.0)</f>
        <v>14</v>
      </c>
    </row>
    <row r="3445">
      <c r="D3445" t="str">
        <f>IFERROR(__xludf.DUMMYFUNCTION("""COMPUTED_VALUE"""),"Johnson Jr")</f>
        <v>Johnson Jr</v>
      </c>
      <c r="E3445" t="str">
        <f>IFERROR(__xludf.DUMMYFUNCTION("""COMPUTED_VALUE"""),"Duke")</f>
        <v>Duke</v>
      </c>
      <c r="F3445" t="str">
        <f>IFERROR(__xludf.DUMMYFUNCTION("""COMPUTED_VALUE"""),"HB")</f>
        <v>HB</v>
      </c>
      <c r="G3445">
        <f>IFERROR(__xludf.DUMMYFUNCTION("""COMPUTED_VALUE"""),16.0)</f>
        <v>16</v>
      </c>
    </row>
    <row r="3446">
      <c r="D3446" t="str">
        <f>IFERROR(__xludf.DUMMYFUNCTION("""COMPUTED_VALUE"""),"Jones")</f>
        <v>Jones</v>
      </c>
      <c r="E3446" t="str">
        <f>IFERROR(__xludf.DUMMYFUNCTION("""COMPUTED_VALUE"""),"Aaron")</f>
        <v>Aaron</v>
      </c>
      <c r="F3446" t="str">
        <f>IFERROR(__xludf.DUMMYFUNCTION("""COMPUTED_VALUE"""),"HB")</f>
        <v>HB</v>
      </c>
      <c r="G3446">
        <f>IFERROR(__xludf.DUMMYFUNCTION("""COMPUTED_VALUE"""),14.0)</f>
        <v>14</v>
      </c>
    </row>
    <row r="3447">
      <c r="D3447" t="str">
        <f>IFERROR(__xludf.DUMMYFUNCTION("""COMPUTED_VALUE"""),"Jones")</f>
        <v>Jones</v>
      </c>
      <c r="E3447" t="str">
        <f>IFERROR(__xludf.DUMMYFUNCTION("""COMPUTED_VALUE"""),"Abry")</f>
        <v>Abry</v>
      </c>
      <c r="F3447" t="str">
        <f>IFERROR(__xludf.DUMMYFUNCTION("""COMPUTED_VALUE"""),"DT")</f>
        <v>DT</v>
      </c>
      <c r="G3447">
        <f>IFERROR(__xludf.DUMMYFUNCTION("""COMPUTED_VALUE"""),16.0)</f>
        <v>16</v>
      </c>
    </row>
    <row r="3448">
      <c r="D3448" t="str">
        <f>IFERROR(__xludf.DUMMYFUNCTION("""COMPUTED_VALUE"""),"Jones")</f>
        <v>Jones</v>
      </c>
      <c r="E3448" t="str">
        <f>IFERROR(__xludf.DUMMYFUNCTION("""COMPUTED_VALUE"""),"Adam")</f>
        <v>Adam</v>
      </c>
      <c r="F3448" t="str">
        <f>IFERROR(__xludf.DUMMYFUNCTION("""COMPUTED_VALUE"""),"CB")</f>
        <v>CB</v>
      </c>
      <c r="G3448">
        <f>IFERROR(__xludf.DUMMYFUNCTION("""COMPUTED_VALUE"""),16.2)</f>
        <v>16.2</v>
      </c>
    </row>
    <row r="3449">
      <c r="D3449" t="str">
        <f>IFERROR(__xludf.DUMMYFUNCTION("""COMPUTED_VALUE"""),"Jones")</f>
        <v>Jones</v>
      </c>
      <c r="E3449" t="str">
        <f>IFERROR(__xludf.DUMMYFUNCTION("""COMPUTED_VALUE"""),"Andy")</f>
        <v>Andy</v>
      </c>
      <c r="F3449" t="str">
        <f>IFERROR(__xludf.DUMMYFUNCTION("""COMPUTED_VALUE"""),"WR")</f>
        <v>WR</v>
      </c>
      <c r="G3449">
        <f>IFERROR(__xludf.DUMMYFUNCTION("""COMPUTED_VALUE"""),12.8)</f>
        <v>12.8</v>
      </c>
    </row>
    <row r="3450">
      <c r="D3450" t="str">
        <f>IFERROR(__xludf.DUMMYFUNCTION("""COMPUTED_VALUE"""),"Jones")</f>
        <v>Jones</v>
      </c>
      <c r="E3450" t="str">
        <f>IFERROR(__xludf.DUMMYFUNCTION("""COMPUTED_VALUE"""),"Ben")</f>
        <v>Ben</v>
      </c>
      <c r="F3450" t="str">
        <f>IFERROR(__xludf.DUMMYFUNCTION("""COMPUTED_VALUE"""),"C")</f>
        <v>C</v>
      </c>
      <c r="G3450">
        <f>IFERROR(__xludf.DUMMYFUNCTION("""COMPUTED_VALUE"""),16.6)</f>
        <v>16.6</v>
      </c>
    </row>
    <row r="3451">
      <c r="D3451" t="str">
        <f>IFERROR(__xludf.DUMMYFUNCTION("""COMPUTED_VALUE"""),"Jones")</f>
        <v>Jones</v>
      </c>
      <c r="E3451" t="str">
        <f>IFERROR(__xludf.DUMMYFUNCTION("""COMPUTED_VALUE"""),"Brett")</f>
        <v>Brett</v>
      </c>
      <c r="F3451" t="str">
        <f>IFERROR(__xludf.DUMMYFUNCTION("""COMPUTED_VALUE"""),"C")</f>
        <v>C</v>
      </c>
      <c r="G3451">
        <f>IFERROR(__xludf.DUMMYFUNCTION("""COMPUTED_VALUE"""),12.8)</f>
        <v>12.8</v>
      </c>
    </row>
    <row r="3452">
      <c r="D3452" t="str">
        <f>IFERROR(__xludf.DUMMYFUNCTION("""COMPUTED_VALUE"""),"Jones")</f>
        <v>Jones</v>
      </c>
      <c r="E3452" t="str">
        <f>IFERROR(__xludf.DUMMYFUNCTION("""COMPUTED_VALUE"""),"Byron")</f>
        <v>Byron</v>
      </c>
      <c r="F3452" t="str">
        <f>IFERROR(__xludf.DUMMYFUNCTION("""COMPUTED_VALUE"""),"FS")</f>
        <v>FS</v>
      </c>
      <c r="G3452">
        <f>IFERROR(__xludf.DUMMYFUNCTION("""COMPUTED_VALUE"""),16.8)</f>
        <v>16.8</v>
      </c>
    </row>
    <row r="3453">
      <c r="D3453" t="str">
        <f>IFERROR(__xludf.DUMMYFUNCTION("""COMPUTED_VALUE"""),"Jones")</f>
        <v>Jones</v>
      </c>
      <c r="E3453" t="str">
        <f>IFERROR(__xludf.DUMMYFUNCTION("""COMPUTED_VALUE"""),"Cardale")</f>
        <v>Cardale</v>
      </c>
      <c r="F3453" t="str">
        <f>IFERROR(__xludf.DUMMYFUNCTION("""COMPUTED_VALUE"""),"QB")</f>
        <v>QB</v>
      </c>
      <c r="G3453">
        <f>IFERROR(__xludf.DUMMYFUNCTION("""COMPUTED_VALUE"""),13.200000000000001)</f>
        <v>13.2</v>
      </c>
    </row>
    <row r="3454">
      <c r="D3454" t="str">
        <f>IFERROR(__xludf.DUMMYFUNCTION("""COMPUTED_VALUE"""),"Jones")</f>
        <v>Jones</v>
      </c>
      <c r="E3454" t="str">
        <f>IFERROR(__xludf.DUMMYFUNCTION("""COMPUTED_VALUE"""),"Chandler")</f>
        <v>Chandler</v>
      </c>
      <c r="F3454" t="str">
        <f>IFERROR(__xludf.DUMMYFUNCTION("""COMPUTED_VALUE"""),"ROLB")</f>
        <v>ROLB</v>
      </c>
      <c r="G3454">
        <f>IFERROR(__xludf.DUMMYFUNCTION("""COMPUTED_VALUE"""),17.6)</f>
        <v>17.6</v>
      </c>
    </row>
    <row r="3455">
      <c r="D3455" t="str">
        <f>IFERROR(__xludf.DUMMYFUNCTION("""COMPUTED_VALUE"""),"Jones")</f>
        <v>Jones</v>
      </c>
      <c r="E3455" t="str">
        <f>IFERROR(__xludf.DUMMYFUNCTION("""COMPUTED_VALUE"""),"Chris")</f>
        <v>Chris</v>
      </c>
      <c r="F3455" t="str">
        <f>IFERROR(__xludf.DUMMYFUNCTION("""COMPUTED_VALUE"""),"RE")</f>
        <v>RE</v>
      </c>
      <c r="G3455">
        <f>IFERROR(__xludf.DUMMYFUNCTION("""COMPUTED_VALUE"""),12.200000000000001)</f>
        <v>12.2</v>
      </c>
    </row>
    <row r="3456">
      <c r="D3456" t="str">
        <f>IFERROR(__xludf.DUMMYFUNCTION("""COMPUTED_VALUE"""),"Jones")</f>
        <v>Jones</v>
      </c>
      <c r="E3456" t="str">
        <f>IFERROR(__xludf.DUMMYFUNCTION("""COMPUTED_VALUE"""),"Chris")</f>
        <v>Chris</v>
      </c>
      <c r="F3456" t="str">
        <f>IFERROR(__xludf.DUMMYFUNCTION("""COMPUTED_VALUE"""),"RE")</f>
        <v>RE</v>
      </c>
      <c r="G3456">
        <f>IFERROR(__xludf.DUMMYFUNCTION("""COMPUTED_VALUE"""),16.8)</f>
        <v>16.8</v>
      </c>
    </row>
    <row r="3457">
      <c r="D3457" t="str">
        <f>IFERROR(__xludf.DUMMYFUNCTION("""COMPUTED_VALUE"""),"Jones")</f>
        <v>Jones</v>
      </c>
      <c r="E3457" t="str">
        <f>IFERROR(__xludf.DUMMYFUNCTION("""COMPUTED_VALUE"""),"Chris")</f>
        <v>Chris</v>
      </c>
      <c r="F3457" t="str">
        <f>IFERROR(__xludf.DUMMYFUNCTION("""COMPUTED_VALUE"""),"P")</f>
        <v>P</v>
      </c>
      <c r="G3457">
        <f>IFERROR(__xludf.DUMMYFUNCTION("""COMPUTED_VALUE"""),16.6)</f>
        <v>16.6</v>
      </c>
    </row>
    <row r="3458">
      <c r="D3458" t="str">
        <f>IFERROR(__xludf.DUMMYFUNCTION("""COMPUTED_VALUE"""),"Jones")</f>
        <v>Jones</v>
      </c>
      <c r="E3458" t="str">
        <f>IFERROR(__xludf.DUMMYFUNCTION("""COMPUTED_VALUE"""),"Christian")</f>
        <v>Christian</v>
      </c>
      <c r="F3458" t="str">
        <f>IFERROR(__xludf.DUMMYFUNCTION("""COMPUTED_VALUE"""),"LOLB")</f>
        <v>LOLB</v>
      </c>
      <c r="G3458">
        <f>IFERROR(__xludf.DUMMYFUNCTION("""COMPUTED_VALUE"""),14.600000000000001)</f>
        <v>14.6</v>
      </c>
    </row>
    <row r="3459">
      <c r="D3459" t="str">
        <f>IFERROR(__xludf.DUMMYFUNCTION("""COMPUTED_VALUE"""),"Jones")</f>
        <v>Jones</v>
      </c>
      <c r="E3459" t="str">
        <f>IFERROR(__xludf.DUMMYFUNCTION("""COMPUTED_VALUE"""),"Colin")</f>
        <v>Colin</v>
      </c>
      <c r="F3459" t="str">
        <f>IFERROR(__xludf.DUMMYFUNCTION("""COMPUTED_VALUE"""),"FS")</f>
        <v>FS</v>
      </c>
      <c r="G3459">
        <f>IFERROR(__xludf.DUMMYFUNCTION("""COMPUTED_VALUE"""),13.0)</f>
        <v>13</v>
      </c>
    </row>
    <row r="3460">
      <c r="D3460" t="str">
        <f>IFERROR(__xludf.DUMMYFUNCTION("""COMPUTED_VALUE"""),"Jones")</f>
        <v>Jones</v>
      </c>
      <c r="E3460" t="str">
        <f>IFERROR(__xludf.DUMMYFUNCTION("""COMPUTED_VALUE"""),"Cyrus")</f>
        <v>Cyrus</v>
      </c>
      <c r="F3460" t="str">
        <f>IFERROR(__xludf.DUMMYFUNCTION("""COMPUTED_VALUE"""),"CB")</f>
        <v>CB</v>
      </c>
      <c r="G3460">
        <f>IFERROR(__xludf.DUMMYFUNCTION("""COMPUTED_VALUE"""),13.8)</f>
        <v>13.8</v>
      </c>
    </row>
    <row r="3461">
      <c r="D3461" t="str">
        <f>IFERROR(__xludf.DUMMYFUNCTION("""COMPUTED_VALUE"""),"Jones")</f>
        <v>Jones</v>
      </c>
      <c r="E3461" t="str">
        <f>IFERROR(__xludf.DUMMYFUNCTION("""COMPUTED_VALUE"""),"DaQuan")</f>
        <v>DaQuan</v>
      </c>
      <c r="F3461" t="str">
        <f>IFERROR(__xludf.DUMMYFUNCTION("""COMPUTED_VALUE"""),"LE")</f>
        <v>LE</v>
      </c>
      <c r="G3461">
        <f>IFERROR(__xludf.DUMMYFUNCTION("""COMPUTED_VALUE"""),15.600000000000001)</f>
        <v>15.6</v>
      </c>
    </row>
    <row r="3462">
      <c r="D3462" t="str">
        <f>IFERROR(__xludf.DUMMYFUNCTION("""COMPUTED_VALUE"""),"Jones")</f>
        <v>Jones</v>
      </c>
      <c r="E3462" t="str">
        <f>IFERROR(__xludf.DUMMYFUNCTION("""COMPUTED_VALUE"""),"Datone")</f>
        <v>Datone</v>
      </c>
      <c r="F3462" t="str">
        <f>IFERROR(__xludf.DUMMYFUNCTION("""COMPUTED_VALUE"""),"RE")</f>
        <v>RE</v>
      </c>
      <c r="G3462">
        <f>IFERROR(__xludf.DUMMYFUNCTION("""COMPUTED_VALUE"""),15.200000000000001)</f>
        <v>15.2</v>
      </c>
    </row>
    <row r="3463">
      <c r="D3463" t="str">
        <f>IFERROR(__xludf.DUMMYFUNCTION("""COMPUTED_VALUE"""),"Jones")</f>
        <v>Jones</v>
      </c>
      <c r="E3463" t="str">
        <f>IFERROR(__xludf.DUMMYFUNCTION("""COMPUTED_VALUE"""),"Deion")</f>
        <v>Deion</v>
      </c>
      <c r="F3463" t="str">
        <f>IFERROR(__xludf.DUMMYFUNCTION("""COMPUTED_VALUE"""),"MLB")</f>
        <v>MLB</v>
      </c>
      <c r="G3463">
        <f>IFERROR(__xludf.DUMMYFUNCTION("""COMPUTED_VALUE"""),16.2)</f>
        <v>16.2</v>
      </c>
    </row>
    <row r="3464">
      <c r="D3464" t="str">
        <f>IFERROR(__xludf.DUMMYFUNCTION("""COMPUTED_VALUE"""),"Jones")</f>
        <v>Jones</v>
      </c>
      <c r="E3464" t="str">
        <f>IFERROR(__xludf.DUMMYFUNCTION("""COMPUTED_VALUE"""),"Derrick")</f>
        <v>Derrick</v>
      </c>
      <c r="F3464" t="str">
        <f>IFERROR(__xludf.DUMMYFUNCTION("""COMPUTED_VALUE"""),"CB")</f>
        <v>CB</v>
      </c>
      <c r="G3464">
        <f>IFERROR(__xludf.DUMMYFUNCTION("""COMPUTED_VALUE"""),12.600000000000001)</f>
        <v>12.6</v>
      </c>
    </row>
    <row r="3465">
      <c r="D3465" t="str">
        <f>IFERROR(__xludf.DUMMYFUNCTION("""COMPUTED_VALUE"""),"Jones")</f>
        <v>Jones</v>
      </c>
      <c r="E3465" t="str">
        <f>IFERROR(__xludf.DUMMYFUNCTION("""COMPUTED_VALUE"""),"DJ")</f>
        <v>DJ</v>
      </c>
      <c r="F3465" t="str">
        <f>IFERROR(__xludf.DUMMYFUNCTION("""COMPUTED_VALUE"""),"DT")</f>
        <v>DT</v>
      </c>
      <c r="G3465">
        <f>IFERROR(__xludf.DUMMYFUNCTION("""COMPUTED_VALUE"""),12.8)</f>
        <v>12.8</v>
      </c>
    </row>
    <row r="3466">
      <c r="D3466" t="str">
        <f>IFERROR(__xludf.DUMMYFUNCTION("""COMPUTED_VALUE"""),"Jones")</f>
        <v>Jones</v>
      </c>
      <c r="E3466" t="str">
        <f>IFERROR(__xludf.DUMMYFUNCTION("""COMPUTED_VALUE"""),"Don")</f>
        <v>Don</v>
      </c>
      <c r="F3466" t="str">
        <f>IFERROR(__xludf.DUMMYFUNCTION("""COMPUTED_VALUE"""),"FS")</f>
        <v>FS</v>
      </c>
      <c r="G3466">
        <f>IFERROR(__xludf.DUMMYFUNCTION("""COMPUTED_VALUE"""),13.8)</f>
        <v>13.8</v>
      </c>
    </row>
    <row r="3467">
      <c r="D3467" t="str">
        <f>IFERROR(__xludf.DUMMYFUNCTION("""COMPUTED_VALUE"""),"Jones")</f>
        <v>Jones</v>
      </c>
      <c r="E3467" t="str">
        <f>IFERROR(__xludf.DUMMYFUNCTION("""COMPUTED_VALUE"""),"Donnie")</f>
        <v>Donnie</v>
      </c>
      <c r="F3467" t="str">
        <f>IFERROR(__xludf.DUMMYFUNCTION("""COMPUTED_VALUE"""),"P")</f>
        <v>P</v>
      </c>
      <c r="G3467">
        <f>IFERROR(__xludf.DUMMYFUNCTION("""COMPUTED_VALUE"""),15.200000000000001)</f>
        <v>15.2</v>
      </c>
    </row>
    <row r="3468">
      <c r="D3468" t="str">
        <f>IFERROR(__xludf.DUMMYFUNCTION("""COMPUTED_VALUE"""),"Jones")</f>
        <v>Jones</v>
      </c>
      <c r="E3468" t="str">
        <f>IFERROR(__xludf.DUMMYFUNCTION("""COMPUTED_VALUE"""),"Jamaal")</f>
        <v>Jamaal</v>
      </c>
      <c r="F3468" t="str">
        <f>IFERROR(__xludf.DUMMYFUNCTION("""COMPUTED_VALUE"""),"WR")</f>
        <v>WR</v>
      </c>
      <c r="G3468">
        <f>IFERROR(__xludf.DUMMYFUNCTION("""COMPUTED_VALUE"""),12.200000000000001)</f>
        <v>12.2</v>
      </c>
    </row>
    <row r="3469">
      <c r="D3469" t="str">
        <f>IFERROR(__xludf.DUMMYFUNCTION("""COMPUTED_VALUE"""),"Jones")</f>
        <v>Jones</v>
      </c>
      <c r="E3469" t="str">
        <f>IFERROR(__xludf.DUMMYFUNCTION("""COMPUTED_VALUE"""),"Jarron")</f>
        <v>Jarron</v>
      </c>
      <c r="F3469" t="str">
        <f>IFERROR(__xludf.DUMMYFUNCTION("""COMPUTED_VALUE"""),"DT")</f>
        <v>DT</v>
      </c>
      <c r="G3469">
        <f>IFERROR(__xludf.DUMMYFUNCTION("""COMPUTED_VALUE"""),12.8)</f>
        <v>12.8</v>
      </c>
    </row>
    <row r="3470">
      <c r="D3470" t="str">
        <f>IFERROR(__xludf.DUMMYFUNCTION("""COMPUTED_VALUE"""),"Jones")</f>
        <v>Jones</v>
      </c>
      <c r="E3470" t="str">
        <f>IFERROR(__xludf.DUMMYFUNCTION("""COMPUTED_VALUE"""),"Jarvis")</f>
        <v>Jarvis</v>
      </c>
      <c r="F3470" t="str">
        <f>IFERROR(__xludf.DUMMYFUNCTION("""COMPUTED_VALUE"""),"ROLB")</f>
        <v>ROLB</v>
      </c>
      <c r="G3470">
        <f>IFERROR(__xludf.DUMMYFUNCTION("""COMPUTED_VALUE"""),15.200000000000001)</f>
        <v>15.2</v>
      </c>
    </row>
    <row r="3471">
      <c r="D3471" t="str">
        <f>IFERROR(__xludf.DUMMYFUNCTION("""COMPUTED_VALUE"""),"Jones")</f>
        <v>Jones</v>
      </c>
      <c r="E3471" t="str">
        <f>IFERROR(__xludf.DUMMYFUNCTION("""COMPUTED_VALUE"""),"Jonathan")</f>
        <v>Jonathan</v>
      </c>
      <c r="F3471" t="str">
        <f>IFERROR(__xludf.DUMMYFUNCTION("""COMPUTED_VALUE"""),"CB")</f>
        <v>CB</v>
      </c>
      <c r="G3471">
        <f>IFERROR(__xludf.DUMMYFUNCTION("""COMPUTED_VALUE"""),12.4)</f>
        <v>12.4</v>
      </c>
    </row>
    <row r="3472">
      <c r="D3472" t="str">
        <f>IFERROR(__xludf.DUMMYFUNCTION("""COMPUTED_VALUE"""),"Jones")</f>
        <v>Jones</v>
      </c>
      <c r="E3472" t="str">
        <f>IFERROR(__xludf.DUMMYFUNCTION("""COMPUTED_VALUE"""),"Josh")</f>
        <v>Josh</v>
      </c>
      <c r="F3472" t="str">
        <f>IFERROR(__xludf.DUMMYFUNCTION("""COMPUTED_VALUE"""),"FS")</f>
        <v>FS</v>
      </c>
      <c r="G3472">
        <f>IFERROR(__xludf.DUMMYFUNCTION("""COMPUTED_VALUE"""),14.8)</f>
        <v>14.8</v>
      </c>
    </row>
    <row r="3473">
      <c r="D3473" t="str">
        <f>IFERROR(__xludf.DUMMYFUNCTION("""COMPUTED_VALUE"""),"Jones")</f>
        <v>Jones</v>
      </c>
      <c r="E3473" t="str">
        <f>IFERROR(__xludf.DUMMYFUNCTION("""COMPUTED_VALUE"""),"Julio")</f>
        <v>Julio</v>
      </c>
      <c r="F3473" t="str">
        <f>IFERROR(__xludf.DUMMYFUNCTION("""COMPUTED_VALUE"""),"WR")</f>
        <v>WR</v>
      </c>
      <c r="G3473">
        <f>IFERROR(__xludf.DUMMYFUNCTION("""COMPUTED_VALUE"""),19.6)</f>
        <v>19.6</v>
      </c>
    </row>
    <row r="3474">
      <c r="D3474" t="str">
        <f>IFERROR(__xludf.DUMMYFUNCTION("""COMPUTED_VALUE"""),"Jones")</f>
        <v>Jones</v>
      </c>
      <c r="E3474" t="str">
        <f>IFERROR(__xludf.DUMMYFUNCTION("""COMPUTED_VALUE"""),"Landry")</f>
        <v>Landry</v>
      </c>
      <c r="F3474" t="str">
        <f>IFERROR(__xludf.DUMMYFUNCTION("""COMPUTED_VALUE"""),"QB")</f>
        <v>QB</v>
      </c>
      <c r="G3474">
        <f>IFERROR(__xludf.DUMMYFUNCTION("""COMPUTED_VALUE"""),13.200000000000001)</f>
        <v>13.2</v>
      </c>
    </row>
    <row r="3475">
      <c r="D3475" t="str">
        <f>IFERROR(__xludf.DUMMYFUNCTION("""COMPUTED_VALUE"""),"Jones")</f>
        <v>Jones</v>
      </c>
      <c r="E3475" t="str">
        <f>IFERROR(__xludf.DUMMYFUNCTION("""COMPUTED_VALUE"""),"Matt")</f>
        <v>Matt</v>
      </c>
      <c r="F3475" t="str">
        <f>IFERROR(__xludf.DUMMYFUNCTION("""COMPUTED_VALUE"""),"HB")</f>
        <v>HB</v>
      </c>
      <c r="G3475">
        <f>IFERROR(__xludf.DUMMYFUNCTION("""COMPUTED_VALUE"""),13.8)</f>
        <v>13.8</v>
      </c>
    </row>
    <row r="3476">
      <c r="D3476" t="str">
        <f>IFERROR(__xludf.DUMMYFUNCTION("""COMPUTED_VALUE"""),"Jones")</f>
        <v>Jones</v>
      </c>
      <c r="E3476" t="str">
        <f>IFERROR(__xludf.DUMMYFUNCTION("""COMPUTED_VALUE"""),"Nazair")</f>
        <v>Nazair</v>
      </c>
      <c r="F3476" t="str">
        <f>IFERROR(__xludf.DUMMYFUNCTION("""COMPUTED_VALUE"""),"DT")</f>
        <v>DT</v>
      </c>
      <c r="G3476">
        <f>IFERROR(__xludf.DUMMYFUNCTION("""COMPUTED_VALUE"""),14.200000000000001)</f>
        <v>14.2</v>
      </c>
    </row>
    <row r="3477">
      <c r="D3477" t="str">
        <f>IFERROR(__xludf.DUMMYFUNCTION("""COMPUTED_VALUE"""),"Jones")</f>
        <v>Jones</v>
      </c>
      <c r="E3477" t="str">
        <f>IFERROR(__xludf.DUMMYFUNCTION("""COMPUTED_VALUE"""),"Reshad")</f>
        <v>Reshad</v>
      </c>
      <c r="F3477" t="str">
        <f>IFERROR(__xludf.DUMMYFUNCTION("""COMPUTED_VALUE"""),"SS")</f>
        <v>SS</v>
      </c>
      <c r="G3477">
        <f>IFERROR(__xludf.DUMMYFUNCTION("""COMPUTED_VALUE"""),18.2)</f>
        <v>18.2</v>
      </c>
    </row>
    <row r="3478">
      <c r="D3478" t="str">
        <f>IFERROR(__xludf.DUMMYFUNCTION("""COMPUTED_VALUE"""),"Jones")</f>
        <v>Jones</v>
      </c>
      <c r="E3478" t="str">
        <f>IFERROR(__xludf.DUMMYFUNCTION("""COMPUTED_VALUE"""),"Seantavius")</f>
        <v>Seantavius</v>
      </c>
      <c r="F3478" t="str">
        <f>IFERROR(__xludf.DUMMYFUNCTION("""COMPUTED_VALUE"""),"WR")</f>
        <v>WR</v>
      </c>
      <c r="G3478">
        <f>IFERROR(__xludf.DUMMYFUNCTION("""COMPUTED_VALUE"""),12.200000000000001)</f>
        <v>12.2</v>
      </c>
    </row>
    <row r="3479">
      <c r="D3479" t="str">
        <f>IFERROR(__xludf.DUMMYFUNCTION("""COMPUTED_VALUE"""),"Jones")</f>
        <v>Jones</v>
      </c>
      <c r="E3479" t="str">
        <f>IFERROR(__xludf.DUMMYFUNCTION("""COMPUTED_VALUE"""),"Taiwan")</f>
        <v>Taiwan</v>
      </c>
      <c r="F3479" t="str">
        <f>IFERROR(__xludf.DUMMYFUNCTION("""COMPUTED_VALUE"""),"HB")</f>
        <v>HB</v>
      </c>
      <c r="G3479">
        <f>IFERROR(__xludf.DUMMYFUNCTION("""COMPUTED_VALUE"""),14.4)</f>
        <v>14.4</v>
      </c>
    </row>
    <row r="3480">
      <c r="D3480" t="str">
        <f>IFERROR(__xludf.DUMMYFUNCTION("""COMPUTED_VALUE"""),"Jones")</f>
        <v>Jones</v>
      </c>
      <c r="E3480" t="str">
        <f>IFERROR(__xludf.DUMMYFUNCTION("""COMPUTED_VALUE"""),"TJ")</f>
        <v>TJ</v>
      </c>
      <c r="F3480" t="str">
        <f>IFERROR(__xludf.DUMMYFUNCTION("""COMPUTED_VALUE"""),"WR")</f>
        <v>WR</v>
      </c>
      <c r="G3480">
        <f>IFERROR(__xludf.DUMMYFUNCTION("""COMPUTED_VALUE"""),13.8)</f>
        <v>13.8</v>
      </c>
    </row>
    <row r="3481">
      <c r="D3481" t="str">
        <f>IFERROR(__xludf.DUMMYFUNCTION("""COMPUTED_VALUE"""),"Jones")</f>
        <v>Jones</v>
      </c>
      <c r="E3481" t="str">
        <f>IFERROR(__xludf.DUMMYFUNCTION("""COMPUTED_VALUE"""),"Zay")</f>
        <v>Zay</v>
      </c>
      <c r="F3481" t="str">
        <f>IFERROR(__xludf.DUMMYFUNCTION("""COMPUTED_VALUE"""),"WR")</f>
        <v>WR</v>
      </c>
      <c r="G3481">
        <f>IFERROR(__xludf.DUMMYFUNCTION("""COMPUTED_VALUE"""),14.8)</f>
        <v>14.8</v>
      </c>
    </row>
    <row r="3482">
      <c r="D3482" t="str">
        <f>IFERROR(__xludf.DUMMYFUNCTION("""COMPUTED_VALUE"""),"Jones IV")</f>
        <v>Jones IV</v>
      </c>
      <c r="E3482" t="str">
        <f>IFERROR(__xludf.DUMMYFUNCTION("""COMPUTED_VALUE"""),"Sidney")</f>
        <v>Sidney</v>
      </c>
      <c r="F3482" t="str">
        <f>IFERROR(__xludf.DUMMYFUNCTION("""COMPUTED_VALUE"""),"CB")</f>
        <v>CB</v>
      </c>
      <c r="G3482">
        <f>IFERROR(__xludf.DUMMYFUNCTION("""COMPUTED_VALUE"""),14.8)</f>
        <v>14.8</v>
      </c>
    </row>
    <row r="3483">
      <c r="D3483" t="str">
        <f>IFERROR(__xludf.DUMMYFUNCTION("""COMPUTED_VALUE"""),"Jones Jr")</f>
        <v>Jones Jr</v>
      </c>
      <c r="E3483" t="str">
        <f>IFERROR(__xludf.DUMMYFUNCTION("""COMPUTED_VALUE"""),"Marvin")</f>
        <v>Marvin</v>
      </c>
      <c r="F3483" t="str">
        <f>IFERROR(__xludf.DUMMYFUNCTION("""COMPUTED_VALUE"""),"WR")</f>
        <v>WR</v>
      </c>
      <c r="G3483">
        <f>IFERROR(__xludf.DUMMYFUNCTION("""COMPUTED_VALUE"""),16.8)</f>
        <v>16.8</v>
      </c>
    </row>
    <row r="3484">
      <c r="D3484" t="str">
        <f>IFERROR(__xludf.DUMMYFUNCTION("""COMPUTED_VALUE"""),"Jones-Quartey")</f>
        <v>Jones-Quartey</v>
      </c>
      <c r="E3484" t="str">
        <f>IFERROR(__xludf.DUMMYFUNCTION("""COMPUTED_VALUE"""),"Harold")</f>
        <v>Harold</v>
      </c>
      <c r="F3484" t="str">
        <f>IFERROR(__xludf.DUMMYFUNCTION("""COMPUTED_VALUE"""),"SS")</f>
        <v>SS</v>
      </c>
      <c r="G3484">
        <f>IFERROR(__xludf.DUMMYFUNCTION("""COMPUTED_VALUE"""),14.4)</f>
        <v>14.4</v>
      </c>
    </row>
    <row r="3485">
      <c r="D3485" t="str">
        <f>IFERROR(__xludf.DUMMYFUNCTION("""COMPUTED_VALUE"""),"Jordan")</f>
        <v>Jordan</v>
      </c>
      <c r="E3485" t="str">
        <f>IFERROR(__xludf.DUMMYFUNCTION("""COMPUTED_VALUE"""),"Cameron")</f>
        <v>Cameron</v>
      </c>
      <c r="F3485" t="str">
        <f>IFERROR(__xludf.DUMMYFUNCTION("""COMPUTED_VALUE"""),"RE")</f>
        <v>RE</v>
      </c>
      <c r="G3485">
        <f>IFERROR(__xludf.DUMMYFUNCTION("""COMPUTED_VALUE"""),18.400000000000002)</f>
        <v>18.4</v>
      </c>
    </row>
    <row r="3486">
      <c r="D3486" t="str">
        <f>IFERROR(__xludf.DUMMYFUNCTION("""COMPUTED_VALUE"""),"Jordan")</f>
        <v>Jordan</v>
      </c>
      <c r="E3486" t="str">
        <f>IFERROR(__xludf.DUMMYFUNCTION("""COMPUTED_VALUE"""),"Dion")</f>
        <v>Dion</v>
      </c>
      <c r="F3486" t="str">
        <f>IFERROR(__xludf.DUMMYFUNCTION("""COMPUTED_VALUE"""),"RE")</f>
        <v>RE</v>
      </c>
      <c r="G3486">
        <f>IFERROR(__xludf.DUMMYFUNCTION("""COMPUTED_VALUE"""),13.600000000000001)</f>
        <v>13.6</v>
      </c>
    </row>
    <row r="3487">
      <c r="D3487" t="str">
        <f>IFERROR(__xludf.DUMMYFUNCTION("""COMPUTED_VALUE"""),"Jordan")</f>
        <v>Jordan</v>
      </c>
      <c r="E3487" t="str">
        <f>IFERROR(__xludf.DUMMYFUNCTION("""COMPUTED_VALUE"""),"Mike")</f>
        <v>Mike</v>
      </c>
      <c r="F3487" t="str">
        <f>IFERROR(__xludf.DUMMYFUNCTION("""COMPUTED_VALUE"""),"CB")</f>
        <v>CB</v>
      </c>
      <c r="G3487">
        <f>IFERROR(__xludf.DUMMYFUNCTION("""COMPUTED_VALUE"""),13.200000000000001)</f>
        <v>13.2</v>
      </c>
    </row>
    <row r="3488">
      <c r="D3488" t="str">
        <f>IFERROR(__xludf.DUMMYFUNCTION("""COMPUTED_VALUE"""),"Joseph")</f>
        <v>Joseph</v>
      </c>
      <c r="E3488" t="str">
        <f>IFERROR(__xludf.DUMMYFUNCTION("""COMPUTED_VALUE"""),"Johnathan")</f>
        <v>Johnathan</v>
      </c>
      <c r="F3488" t="str">
        <f>IFERROR(__xludf.DUMMYFUNCTION("""COMPUTED_VALUE"""),"CB")</f>
        <v>CB</v>
      </c>
      <c r="G3488">
        <f>IFERROR(__xludf.DUMMYFUNCTION("""COMPUTED_VALUE"""),16.6)</f>
        <v>16.6</v>
      </c>
    </row>
    <row r="3489">
      <c r="D3489" t="str">
        <f>IFERROR(__xludf.DUMMYFUNCTION("""COMPUTED_VALUE"""),"Joseph")</f>
        <v>Joseph</v>
      </c>
      <c r="E3489" t="str">
        <f>IFERROR(__xludf.DUMMYFUNCTION("""COMPUTED_VALUE"""),"Karl")</f>
        <v>Karl</v>
      </c>
      <c r="F3489" t="str">
        <f>IFERROR(__xludf.DUMMYFUNCTION("""COMPUTED_VALUE"""),"SS")</f>
        <v>SS</v>
      </c>
      <c r="G3489">
        <f>IFERROR(__xludf.DUMMYFUNCTION("""COMPUTED_VALUE"""),16.2)</f>
        <v>16.2</v>
      </c>
    </row>
    <row r="3490">
      <c r="D3490" t="str">
        <f>IFERROR(__xludf.DUMMYFUNCTION("""COMPUTED_VALUE"""),"Joseph")</f>
        <v>Joseph</v>
      </c>
      <c r="E3490" t="str">
        <f>IFERROR(__xludf.DUMMYFUNCTION("""COMPUTED_VALUE"""),"Linval")</f>
        <v>Linval</v>
      </c>
      <c r="F3490" t="str">
        <f>IFERROR(__xludf.DUMMYFUNCTION("""COMPUTED_VALUE"""),"DT")</f>
        <v>DT</v>
      </c>
      <c r="G3490">
        <f>IFERROR(__xludf.DUMMYFUNCTION("""COMPUTED_VALUE"""),17.2)</f>
        <v>17.2</v>
      </c>
    </row>
    <row r="3491">
      <c r="D3491" t="str">
        <f>IFERROR(__xludf.DUMMYFUNCTION("""COMPUTED_VALUE"""),"Joyner")</f>
        <v>Joyner</v>
      </c>
      <c r="E3491" t="str">
        <f>IFERROR(__xludf.DUMMYFUNCTION("""COMPUTED_VALUE"""),"Lamarcus")</f>
        <v>Lamarcus</v>
      </c>
      <c r="F3491" t="str">
        <f>IFERROR(__xludf.DUMMYFUNCTION("""COMPUTED_VALUE"""),"FS")</f>
        <v>FS</v>
      </c>
      <c r="G3491">
        <f>IFERROR(__xludf.DUMMYFUNCTION("""COMPUTED_VALUE"""),16.400000000000002)</f>
        <v>16.4</v>
      </c>
    </row>
    <row r="3492">
      <c r="D3492" t="str">
        <f>IFERROR(__xludf.DUMMYFUNCTION("""COMPUTED_VALUE"""),"Judon")</f>
        <v>Judon</v>
      </c>
      <c r="E3492" t="str">
        <f>IFERROR(__xludf.DUMMYFUNCTION("""COMPUTED_VALUE"""),"Matthew")</f>
        <v>Matthew</v>
      </c>
      <c r="F3492" t="str">
        <f>IFERROR(__xludf.DUMMYFUNCTION("""COMPUTED_VALUE"""),"ROLB")</f>
        <v>ROLB</v>
      </c>
      <c r="G3492">
        <f>IFERROR(__xludf.DUMMYFUNCTION("""COMPUTED_VALUE"""),14.0)</f>
        <v>14</v>
      </c>
    </row>
    <row r="3493">
      <c r="D3493" t="str">
        <f>IFERROR(__xludf.DUMMYFUNCTION("""COMPUTED_VALUE"""),"Juszczyk")</f>
        <v>Juszczyk</v>
      </c>
      <c r="E3493" t="str">
        <f>IFERROR(__xludf.DUMMYFUNCTION("""COMPUTED_VALUE"""),"Kyle")</f>
        <v>Kyle</v>
      </c>
      <c r="F3493" t="str">
        <f>IFERROR(__xludf.DUMMYFUNCTION("""COMPUTED_VALUE"""),"FB")</f>
        <v>FB</v>
      </c>
      <c r="G3493">
        <f>IFERROR(__xludf.DUMMYFUNCTION("""COMPUTED_VALUE"""),18.2)</f>
        <v>18.2</v>
      </c>
    </row>
    <row r="3494">
      <c r="D3494" t="str">
        <f>IFERROR(__xludf.DUMMYFUNCTION("""COMPUTED_VALUE"""),"Kaaya")</f>
        <v>Kaaya</v>
      </c>
      <c r="E3494" t="str">
        <f>IFERROR(__xludf.DUMMYFUNCTION("""COMPUTED_VALUE"""),"Brad")</f>
        <v>Brad</v>
      </c>
      <c r="F3494" t="str">
        <f>IFERROR(__xludf.DUMMYFUNCTION("""COMPUTED_VALUE"""),"QB")</f>
        <v>QB</v>
      </c>
      <c r="G3494">
        <f>IFERROR(__xludf.DUMMYFUNCTION("""COMPUTED_VALUE"""),12.8)</f>
        <v>12.8</v>
      </c>
    </row>
    <row r="3495">
      <c r="D3495" t="str">
        <f>IFERROR(__xludf.DUMMYFUNCTION("""COMPUTED_VALUE"""),"Kalil")</f>
        <v>Kalil</v>
      </c>
      <c r="E3495" t="str">
        <f>IFERROR(__xludf.DUMMYFUNCTION("""COMPUTED_VALUE"""),"Matt")</f>
        <v>Matt</v>
      </c>
      <c r="F3495" t="str">
        <f>IFERROR(__xludf.DUMMYFUNCTION("""COMPUTED_VALUE"""),"LT")</f>
        <v>LT</v>
      </c>
      <c r="G3495">
        <f>IFERROR(__xludf.DUMMYFUNCTION("""COMPUTED_VALUE"""),15.600000000000001)</f>
        <v>15.6</v>
      </c>
    </row>
    <row r="3496">
      <c r="D3496" t="str">
        <f>IFERROR(__xludf.DUMMYFUNCTION("""COMPUTED_VALUE"""),"Kalil")</f>
        <v>Kalil</v>
      </c>
      <c r="E3496" t="str">
        <f>IFERROR(__xludf.DUMMYFUNCTION("""COMPUTED_VALUE"""),"Ryan")</f>
        <v>Ryan</v>
      </c>
      <c r="F3496" t="str">
        <f>IFERROR(__xludf.DUMMYFUNCTION("""COMPUTED_VALUE"""),"C")</f>
        <v>C</v>
      </c>
      <c r="G3496">
        <f>IFERROR(__xludf.DUMMYFUNCTION("""COMPUTED_VALUE"""),16.2)</f>
        <v>16.2</v>
      </c>
    </row>
    <row r="3497">
      <c r="D3497" t="str">
        <f>IFERROR(__xludf.DUMMYFUNCTION("""COMPUTED_VALUE"""),"Kallon")</f>
        <v>Kallon</v>
      </c>
      <c r="E3497" t="str">
        <f>IFERROR(__xludf.DUMMYFUNCTION("""COMPUTED_VALUE"""),"Francis")</f>
        <v>Francis</v>
      </c>
      <c r="F3497" t="str">
        <f>IFERROR(__xludf.DUMMYFUNCTION("""COMPUTED_VALUE"""),"RE")</f>
        <v>RE</v>
      </c>
      <c r="G3497">
        <f>IFERROR(__xludf.DUMMYFUNCTION("""COMPUTED_VALUE"""),12.200000000000001)</f>
        <v>12.2</v>
      </c>
    </row>
    <row r="3498">
      <c r="D3498" t="str">
        <f>IFERROR(__xludf.DUMMYFUNCTION("""COMPUTED_VALUE"""),"Kamalu")</f>
        <v>Kamalu</v>
      </c>
      <c r="E3498" t="str">
        <f>IFERROR(__xludf.DUMMYFUNCTION("""COMPUTED_VALUE"""),"Ufomba")</f>
        <v>Ufomba</v>
      </c>
      <c r="F3498" t="str">
        <f>IFERROR(__xludf.DUMMYFUNCTION("""COMPUTED_VALUE"""),"LE")</f>
        <v>LE</v>
      </c>
      <c r="G3498">
        <f>IFERROR(__xludf.DUMMYFUNCTION("""COMPUTED_VALUE"""),12.200000000000001)</f>
        <v>12.2</v>
      </c>
    </row>
    <row r="3499">
      <c r="D3499" t="str">
        <f>IFERROR(__xludf.DUMMYFUNCTION("""COMPUTED_VALUE"""),"Kamara")</f>
        <v>Kamara</v>
      </c>
      <c r="E3499" t="str">
        <f>IFERROR(__xludf.DUMMYFUNCTION("""COMPUTED_VALUE"""),"Alvin")</f>
        <v>Alvin</v>
      </c>
      <c r="F3499" t="str">
        <f>IFERROR(__xludf.DUMMYFUNCTION("""COMPUTED_VALUE"""),"HB")</f>
        <v>HB</v>
      </c>
      <c r="G3499">
        <f>IFERROR(__xludf.DUMMYFUNCTION("""COMPUTED_VALUE"""),15.200000000000001)</f>
        <v>15.2</v>
      </c>
    </row>
    <row r="3500">
      <c r="D3500" t="str">
        <f>IFERROR(__xludf.DUMMYFUNCTION("""COMPUTED_VALUE"""),"Karras")</f>
        <v>Karras</v>
      </c>
      <c r="E3500" t="str">
        <f>IFERROR(__xludf.DUMMYFUNCTION("""COMPUTED_VALUE"""),"Ted")</f>
        <v>Ted</v>
      </c>
      <c r="F3500" t="str">
        <f>IFERROR(__xludf.DUMMYFUNCTION("""COMPUTED_VALUE"""),"C")</f>
        <v>C</v>
      </c>
      <c r="G3500">
        <f>IFERROR(__xludf.DUMMYFUNCTION("""COMPUTED_VALUE"""),13.0)</f>
        <v>13</v>
      </c>
    </row>
    <row r="3501">
      <c r="D3501" t="str">
        <f>IFERROR(__xludf.DUMMYFUNCTION("""COMPUTED_VALUE"""),"Kaser")</f>
        <v>Kaser</v>
      </c>
      <c r="E3501" t="str">
        <f>IFERROR(__xludf.DUMMYFUNCTION("""COMPUTED_VALUE"""),"Drew")</f>
        <v>Drew</v>
      </c>
      <c r="F3501" t="str">
        <f>IFERROR(__xludf.DUMMYFUNCTION("""COMPUTED_VALUE"""),"P")</f>
        <v>P</v>
      </c>
      <c r="G3501">
        <f>IFERROR(__xludf.DUMMYFUNCTION("""COMPUTED_VALUE"""),14.4)</f>
        <v>14.4</v>
      </c>
    </row>
    <row r="3502">
      <c r="D3502" t="str">
        <f>IFERROR(__xludf.DUMMYFUNCTION("""COMPUTED_VALUE"""),"Kaufusi")</f>
        <v>Kaufusi</v>
      </c>
      <c r="E3502" t="str">
        <f>IFERROR(__xludf.DUMMYFUNCTION("""COMPUTED_VALUE"""),"Bronson")</f>
        <v>Bronson</v>
      </c>
      <c r="F3502" t="str">
        <f>IFERROR(__xludf.DUMMYFUNCTION("""COMPUTED_VALUE"""),"RE")</f>
        <v>RE</v>
      </c>
      <c r="G3502">
        <f>IFERROR(__xludf.DUMMYFUNCTION("""COMPUTED_VALUE"""),13.8)</f>
        <v>13.8</v>
      </c>
    </row>
    <row r="3503">
      <c r="D3503" t="str">
        <f>IFERROR(__xludf.DUMMYFUNCTION("""COMPUTED_VALUE"""),"Kazee")</f>
        <v>Kazee</v>
      </c>
      <c r="E3503" t="str">
        <f>IFERROR(__xludf.DUMMYFUNCTION("""COMPUTED_VALUE"""),"Damontae")</f>
        <v>Damontae</v>
      </c>
      <c r="F3503" t="str">
        <f>IFERROR(__xludf.DUMMYFUNCTION("""COMPUTED_VALUE"""),"CB")</f>
        <v>CB</v>
      </c>
      <c r="G3503">
        <f>IFERROR(__xludf.DUMMYFUNCTION("""COMPUTED_VALUE"""),13.600000000000001)</f>
        <v>13.6</v>
      </c>
    </row>
    <row r="3504">
      <c r="D3504" t="str">
        <f>IFERROR(__xludf.DUMMYFUNCTION("""COMPUTED_VALUE"""),"Kearse")</f>
        <v>Kearse</v>
      </c>
      <c r="E3504" t="str">
        <f>IFERROR(__xludf.DUMMYFUNCTION("""COMPUTED_VALUE"""),"Jayron")</f>
        <v>Jayron</v>
      </c>
      <c r="F3504" t="str">
        <f>IFERROR(__xludf.DUMMYFUNCTION("""COMPUTED_VALUE"""),"SS")</f>
        <v>SS</v>
      </c>
      <c r="G3504">
        <f>IFERROR(__xludf.DUMMYFUNCTION("""COMPUTED_VALUE"""),12.8)</f>
        <v>12.8</v>
      </c>
    </row>
    <row r="3505">
      <c r="D3505" t="str">
        <f>IFERROR(__xludf.DUMMYFUNCTION("""COMPUTED_VALUE"""),"Kearse")</f>
        <v>Kearse</v>
      </c>
      <c r="E3505" t="str">
        <f>IFERROR(__xludf.DUMMYFUNCTION("""COMPUTED_VALUE"""),"Jermaine")</f>
        <v>Jermaine</v>
      </c>
      <c r="F3505" t="str">
        <f>IFERROR(__xludf.DUMMYFUNCTION("""COMPUTED_VALUE"""),"WR")</f>
        <v>WR</v>
      </c>
      <c r="G3505">
        <f>IFERROR(__xludf.DUMMYFUNCTION("""COMPUTED_VALUE"""),16.0)</f>
        <v>16</v>
      </c>
    </row>
    <row r="3506">
      <c r="D3506" t="str">
        <f>IFERROR(__xludf.DUMMYFUNCTION("""COMPUTED_VALUE"""),"Keenum")</f>
        <v>Keenum</v>
      </c>
      <c r="E3506" t="str">
        <f>IFERROR(__xludf.DUMMYFUNCTION("""COMPUTED_VALUE"""),"Case")</f>
        <v>Case</v>
      </c>
      <c r="F3506" t="str">
        <f>IFERROR(__xludf.DUMMYFUNCTION("""COMPUTED_VALUE"""),"QB")</f>
        <v>QB</v>
      </c>
      <c r="G3506">
        <f>IFERROR(__xludf.DUMMYFUNCTION("""COMPUTED_VALUE"""),14.600000000000001)</f>
        <v>14.6</v>
      </c>
    </row>
    <row r="3507">
      <c r="D3507" t="str">
        <f>IFERROR(__xludf.DUMMYFUNCTION("""COMPUTED_VALUE"""),"Kelce")</f>
        <v>Kelce</v>
      </c>
      <c r="E3507" t="str">
        <f>IFERROR(__xludf.DUMMYFUNCTION("""COMPUTED_VALUE"""),"Jason")</f>
        <v>Jason</v>
      </c>
      <c r="F3507" t="str">
        <f>IFERROR(__xludf.DUMMYFUNCTION("""COMPUTED_VALUE"""),"C")</f>
        <v>C</v>
      </c>
      <c r="G3507">
        <f>IFERROR(__xludf.DUMMYFUNCTION("""COMPUTED_VALUE"""),15.200000000000001)</f>
        <v>15.2</v>
      </c>
    </row>
    <row r="3508">
      <c r="D3508" t="str">
        <f>IFERROR(__xludf.DUMMYFUNCTION("""COMPUTED_VALUE"""),"Kelce")</f>
        <v>Kelce</v>
      </c>
      <c r="E3508" t="str">
        <f>IFERROR(__xludf.DUMMYFUNCTION("""COMPUTED_VALUE"""),"Travis")</f>
        <v>Travis</v>
      </c>
      <c r="F3508" t="str">
        <f>IFERROR(__xludf.DUMMYFUNCTION("""COMPUTED_VALUE"""),"TE")</f>
        <v>TE</v>
      </c>
      <c r="G3508">
        <f>IFERROR(__xludf.DUMMYFUNCTION("""COMPUTED_VALUE"""),18.8)</f>
        <v>18.8</v>
      </c>
    </row>
    <row r="3509">
      <c r="D3509" t="str">
        <f>IFERROR(__xludf.DUMMYFUNCTION("""COMPUTED_VALUE"""),"Kelemete")</f>
        <v>Kelemete</v>
      </c>
      <c r="E3509" t="str">
        <f>IFERROR(__xludf.DUMMYFUNCTION("""COMPUTED_VALUE"""),"Senio")</f>
        <v>Senio</v>
      </c>
      <c r="F3509" t="str">
        <f>IFERROR(__xludf.DUMMYFUNCTION("""COMPUTED_VALUE"""),"C")</f>
        <v>C</v>
      </c>
      <c r="G3509">
        <f>IFERROR(__xludf.DUMMYFUNCTION("""COMPUTED_VALUE"""),13.8)</f>
        <v>13.8</v>
      </c>
    </row>
    <row r="3510">
      <c r="D3510" t="str">
        <f>IFERROR(__xludf.DUMMYFUNCTION("""COMPUTED_VALUE"""),"Kelley")</f>
        <v>Kelley</v>
      </c>
      <c r="E3510" t="str">
        <f>IFERROR(__xludf.DUMMYFUNCTION("""COMPUTED_VALUE"""),"Robert")</f>
        <v>Robert</v>
      </c>
      <c r="F3510" t="str">
        <f>IFERROR(__xludf.DUMMYFUNCTION("""COMPUTED_VALUE"""),"HB")</f>
        <v>HB</v>
      </c>
      <c r="G3510">
        <f>IFERROR(__xludf.DUMMYFUNCTION("""COMPUTED_VALUE"""),15.600000000000001)</f>
        <v>15.6</v>
      </c>
    </row>
    <row r="3511">
      <c r="D3511" t="str">
        <f>IFERROR(__xludf.DUMMYFUNCTION("""COMPUTED_VALUE"""),"Kelly")</f>
        <v>Kelly</v>
      </c>
      <c r="E3511" t="str">
        <f>IFERROR(__xludf.DUMMYFUNCTION("""COMPUTED_VALUE"""),"Chad")</f>
        <v>Chad</v>
      </c>
      <c r="F3511" t="str">
        <f>IFERROR(__xludf.DUMMYFUNCTION("""COMPUTED_VALUE"""),"QB")</f>
        <v>QB</v>
      </c>
      <c r="G3511">
        <f>IFERROR(__xludf.DUMMYFUNCTION("""COMPUTED_VALUE"""),13.600000000000001)</f>
        <v>13.6</v>
      </c>
    </row>
    <row r="3512">
      <c r="D3512" t="str">
        <f>IFERROR(__xludf.DUMMYFUNCTION("""COMPUTED_VALUE"""),"Kelly")</f>
        <v>Kelly</v>
      </c>
      <c r="E3512" t="str">
        <f>IFERROR(__xludf.DUMMYFUNCTION("""COMPUTED_VALUE"""),"Dennis")</f>
        <v>Dennis</v>
      </c>
      <c r="F3512" t="str">
        <f>IFERROR(__xludf.DUMMYFUNCTION("""COMPUTED_VALUE"""),"LT")</f>
        <v>LT</v>
      </c>
      <c r="G3512">
        <f>IFERROR(__xludf.DUMMYFUNCTION("""COMPUTED_VALUE"""),13.600000000000001)</f>
        <v>13.6</v>
      </c>
    </row>
    <row r="3513">
      <c r="D3513" t="str">
        <f>IFERROR(__xludf.DUMMYFUNCTION("""COMPUTED_VALUE"""),"Kelly")</f>
        <v>Kelly</v>
      </c>
      <c r="E3513" t="str">
        <f>IFERROR(__xludf.DUMMYFUNCTION("""COMPUTED_VALUE"""),"Ryan")</f>
        <v>Ryan</v>
      </c>
      <c r="F3513" t="str">
        <f>IFERROR(__xludf.DUMMYFUNCTION("""COMPUTED_VALUE"""),"C")</f>
        <v>C</v>
      </c>
      <c r="G3513">
        <f>IFERROR(__xludf.DUMMYFUNCTION("""COMPUTED_VALUE"""),15.8)</f>
        <v>15.8</v>
      </c>
    </row>
    <row r="3514">
      <c r="D3514" t="str">
        <f>IFERROR(__xludf.DUMMYFUNCTION("""COMPUTED_VALUE"""),"Kelsey Jr")</f>
        <v>Kelsey Jr</v>
      </c>
      <c r="E3514" t="str">
        <f>IFERROR(__xludf.DUMMYFUNCTION("""COMPUTED_VALUE"""),"Keith")</f>
        <v>Keith</v>
      </c>
      <c r="F3514" t="str">
        <f>IFERROR(__xludf.DUMMYFUNCTION("""COMPUTED_VALUE"""),"MLB")</f>
        <v>MLB</v>
      </c>
      <c r="G3514">
        <f>IFERROR(__xludf.DUMMYFUNCTION("""COMPUTED_VALUE"""),12.0)</f>
        <v>12</v>
      </c>
    </row>
    <row r="3515">
      <c r="D3515" t="str">
        <f>IFERROR(__xludf.DUMMYFUNCTION("""COMPUTED_VALUE"""),"Kendricks")</f>
        <v>Kendricks</v>
      </c>
      <c r="E3515" t="str">
        <f>IFERROR(__xludf.DUMMYFUNCTION("""COMPUTED_VALUE"""),"Eric")</f>
        <v>Eric</v>
      </c>
      <c r="F3515" t="str">
        <f>IFERROR(__xludf.DUMMYFUNCTION("""COMPUTED_VALUE"""),"MLB")</f>
        <v>MLB</v>
      </c>
      <c r="G3515">
        <f>IFERROR(__xludf.DUMMYFUNCTION("""COMPUTED_VALUE"""),16.0)</f>
        <v>16</v>
      </c>
    </row>
    <row r="3516">
      <c r="D3516" t="str">
        <f>IFERROR(__xludf.DUMMYFUNCTION("""COMPUTED_VALUE"""),"Kendricks")</f>
        <v>Kendricks</v>
      </c>
      <c r="E3516" t="str">
        <f>IFERROR(__xludf.DUMMYFUNCTION("""COMPUTED_VALUE"""),"Lance")</f>
        <v>Lance</v>
      </c>
      <c r="F3516" t="str">
        <f>IFERROR(__xludf.DUMMYFUNCTION("""COMPUTED_VALUE"""),"TE")</f>
        <v>TE</v>
      </c>
      <c r="G3516">
        <f>IFERROR(__xludf.DUMMYFUNCTION("""COMPUTED_VALUE"""),14.8)</f>
        <v>14.8</v>
      </c>
    </row>
    <row r="3517">
      <c r="D3517" t="str">
        <f>IFERROR(__xludf.DUMMYFUNCTION("""COMPUTED_VALUE"""),"Kendricks")</f>
        <v>Kendricks</v>
      </c>
      <c r="E3517" t="str">
        <f>IFERROR(__xludf.DUMMYFUNCTION("""COMPUTED_VALUE"""),"Mychal")</f>
        <v>Mychal</v>
      </c>
      <c r="F3517" t="str">
        <f>IFERROR(__xludf.DUMMYFUNCTION("""COMPUTED_VALUE"""),"ROLB")</f>
        <v>ROLB</v>
      </c>
      <c r="G3517">
        <f>IFERROR(__xludf.DUMMYFUNCTION("""COMPUTED_VALUE"""),15.4)</f>
        <v>15.4</v>
      </c>
    </row>
    <row r="3518">
      <c r="D3518" t="str">
        <f>IFERROR(__xludf.DUMMYFUNCTION("""COMPUTED_VALUE"""),"Kennard")</f>
        <v>Kennard</v>
      </c>
      <c r="E3518" t="str">
        <f>IFERROR(__xludf.DUMMYFUNCTION("""COMPUTED_VALUE"""),"Devon")</f>
        <v>Devon</v>
      </c>
      <c r="F3518" t="str">
        <f>IFERROR(__xludf.DUMMYFUNCTION("""COMPUTED_VALUE"""),"LOLB")</f>
        <v>LOLB</v>
      </c>
      <c r="G3518">
        <f>IFERROR(__xludf.DUMMYFUNCTION("""COMPUTED_VALUE"""),16.0)</f>
        <v>16</v>
      </c>
    </row>
    <row r="3519">
      <c r="D3519" t="str">
        <f>IFERROR(__xludf.DUMMYFUNCTION("""COMPUTED_VALUE"""),"Kerin")</f>
        <v>Kerin</v>
      </c>
      <c r="E3519" t="str">
        <f>IFERROR(__xludf.DUMMYFUNCTION("""COMPUTED_VALUE"""),"Zac")</f>
        <v>Zac</v>
      </c>
      <c r="F3519" t="str">
        <f>IFERROR(__xludf.DUMMYFUNCTION("""COMPUTED_VALUE"""),"LG")</f>
        <v>LG</v>
      </c>
      <c r="G3519">
        <f>IFERROR(__xludf.DUMMYFUNCTION("""COMPUTED_VALUE"""),12.4)</f>
        <v>12.4</v>
      </c>
    </row>
    <row r="3520">
      <c r="D3520" t="str">
        <f>IFERROR(__xludf.DUMMYFUNCTION("""COMPUTED_VALUE"""),"Kerley")</f>
        <v>Kerley</v>
      </c>
      <c r="E3520" t="str">
        <f>IFERROR(__xludf.DUMMYFUNCTION("""COMPUTED_VALUE"""),"Jeremy")</f>
        <v>Jeremy</v>
      </c>
      <c r="F3520" t="str">
        <f>IFERROR(__xludf.DUMMYFUNCTION("""COMPUTED_VALUE"""),"WR")</f>
        <v>WR</v>
      </c>
      <c r="G3520">
        <f>IFERROR(__xludf.DUMMYFUNCTION("""COMPUTED_VALUE"""),15.4)</f>
        <v>15.4</v>
      </c>
    </row>
    <row r="3521">
      <c r="D3521" t="str">
        <f>IFERROR(__xludf.DUMMYFUNCTION("""COMPUTED_VALUE"""),"Kern")</f>
        <v>Kern</v>
      </c>
      <c r="E3521" t="str">
        <f>IFERROR(__xludf.DUMMYFUNCTION("""COMPUTED_VALUE"""),"Brett")</f>
        <v>Brett</v>
      </c>
      <c r="F3521" t="str">
        <f>IFERROR(__xludf.DUMMYFUNCTION("""COMPUTED_VALUE"""),"P")</f>
        <v>P</v>
      </c>
      <c r="G3521">
        <f>IFERROR(__xludf.DUMMYFUNCTION("""COMPUTED_VALUE"""),15.600000000000001)</f>
        <v>15.6</v>
      </c>
    </row>
    <row r="3522">
      <c r="D3522" t="str">
        <f>IFERROR(__xludf.DUMMYFUNCTION("""COMPUTED_VALUE"""),"Kerr")</f>
        <v>Kerr</v>
      </c>
      <c r="E3522" t="str">
        <f>IFERROR(__xludf.DUMMYFUNCTION("""COMPUTED_VALUE"""),"Zach")</f>
        <v>Zach</v>
      </c>
      <c r="F3522" t="str">
        <f>IFERROR(__xludf.DUMMYFUNCTION("""COMPUTED_VALUE"""),"LE")</f>
        <v>LE</v>
      </c>
      <c r="G3522">
        <f>IFERROR(__xludf.DUMMYFUNCTION("""COMPUTED_VALUE"""),14.200000000000001)</f>
        <v>14.2</v>
      </c>
    </row>
    <row r="3523">
      <c r="D3523" t="str">
        <f>IFERROR(__xludf.DUMMYFUNCTION("""COMPUTED_VALUE"""),"Kerridge")</f>
        <v>Kerridge</v>
      </c>
      <c r="E3523" t="str">
        <f>IFERROR(__xludf.DUMMYFUNCTION("""COMPUTED_VALUE"""),"Joe")</f>
        <v>Joe</v>
      </c>
      <c r="F3523" t="str">
        <f>IFERROR(__xludf.DUMMYFUNCTION("""COMPUTED_VALUE"""),"FB")</f>
        <v>FB</v>
      </c>
      <c r="G3523">
        <f>IFERROR(__xludf.DUMMYFUNCTION("""COMPUTED_VALUE"""),12.600000000000001)</f>
        <v>12.6</v>
      </c>
    </row>
    <row r="3524">
      <c r="D3524" t="str">
        <f>IFERROR(__xludf.DUMMYFUNCTION("""COMPUTED_VALUE"""),"Kerrigan")</f>
        <v>Kerrigan</v>
      </c>
      <c r="E3524" t="str">
        <f>IFERROR(__xludf.DUMMYFUNCTION("""COMPUTED_VALUE"""),"Ryan")</f>
        <v>Ryan</v>
      </c>
      <c r="F3524" t="str">
        <f>IFERROR(__xludf.DUMMYFUNCTION("""COMPUTED_VALUE"""),"LOLB")</f>
        <v>LOLB</v>
      </c>
      <c r="G3524">
        <f>IFERROR(__xludf.DUMMYFUNCTION("""COMPUTED_VALUE"""),17.2)</f>
        <v>17.2</v>
      </c>
    </row>
    <row r="3525">
      <c r="D3525" t="str">
        <f>IFERROR(__xludf.DUMMYFUNCTION("""COMPUTED_VALUE"""),"Kessler")</f>
        <v>Kessler</v>
      </c>
      <c r="E3525" t="str">
        <f>IFERROR(__xludf.DUMMYFUNCTION("""COMPUTED_VALUE"""),"Cody")</f>
        <v>Cody</v>
      </c>
      <c r="F3525" t="str">
        <f>IFERROR(__xludf.DUMMYFUNCTION("""COMPUTED_VALUE"""),"QB")</f>
        <v>QB</v>
      </c>
      <c r="G3525">
        <f>IFERROR(__xludf.DUMMYFUNCTION("""COMPUTED_VALUE"""),15.0)</f>
        <v>15</v>
      </c>
    </row>
    <row r="3526">
      <c r="D3526" t="str">
        <f>IFERROR(__xludf.DUMMYFUNCTION("""COMPUTED_VALUE"""),"Keyes")</f>
        <v>Keyes</v>
      </c>
      <c r="E3526" t="str">
        <f>IFERROR(__xludf.DUMMYFUNCTION("""COMPUTED_VALUE"""),"Josh")</f>
        <v>Josh</v>
      </c>
      <c r="F3526" t="str">
        <f>IFERROR(__xludf.DUMMYFUNCTION("""COMPUTED_VALUE"""),"ROLB")</f>
        <v>ROLB</v>
      </c>
      <c r="G3526">
        <f>IFERROR(__xludf.DUMMYFUNCTION("""COMPUTED_VALUE"""),12.4)</f>
        <v>12.4</v>
      </c>
    </row>
    <row r="3527">
      <c r="D3527" t="str">
        <f>IFERROR(__xludf.DUMMYFUNCTION("""COMPUTED_VALUE"""),"Kidder")</f>
        <v>Kidder</v>
      </c>
      <c r="E3527" t="str">
        <f>IFERROR(__xludf.DUMMYFUNCTION("""COMPUTED_VALUE"""),"Caleb")</f>
        <v>Caleb</v>
      </c>
      <c r="F3527" t="str">
        <f>IFERROR(__xludf.DUMMYFUNCTION("""COMPUTED_VALUE"""),"LE")</f>
        <v>LE</v>
      </c>
      <c r="G3527">
        <f>IFERROR(__xludf.DUMMYFUNCTION("""COMPUTED_VALUE"""),12.8)</f>
        <v>12.8</v>
      </c>
    </row>
    <row r="3528">
      <c r="D3528" t="str">
        <f>IFERROR(__xludf.DUMMYFUNCTION("""COMPUTED_VALUE"""),"Kikaha")</f>
        <v>Kikaha</v>
      </c>
      <c r="E3528" t="str">
        <f>IFERROR(__xludf.DUMMYFUNCTION("""COMPUTED_VALUE"""),"Hauoli")</f>
        <v>Hauoli</v>
      </c>
      <c r="F3528" t="str">
        <f>IFERROR(__xludf.DUMMYFUNCTION("""COMPUTED_VALUE"""),"LOLB")</f>
        <v>LOLB</v>
      </c>
      <c r="G3528">
        <f>IFERROR(__xludf.DUMMYFUNCTION("""COMPUTED_VALUE"""),14.600000000000001)</f>
        <v>14.6</v>
      </c>
    </row>
    <row r="3529">
      <c r="D3529" t="str">
        <f>IFERROR(__xludf.DUMMYFUNCTION("""COMPUTED_VALUE"""),"Kilgo")</f>
        <v>Kilgo</v>
      </c>
      <c r="E3529" t="str">
        <f>IFERROR(__xludf.DUMMYFUNCTION("""COMPUTED_VALUE"""),"Darius")</f>
        <v>Darius</v>
      </c>
      <c r="F3529" t="str">
        <f>IFERROR(__xludf.DUMMYFUNCTION("""COMPUTED_VALUE"""),"DT")</f>
        <v>DT</v>
      </c>
      <c r="G3529">
        <f>IFERROR(__xludf.DUMMYFUNCTION("""COMPUTED_VALUE"""),12.4)</f>
        <v>12.4</v>
      </c>
    </row>
    <row r="3530">
      <c r="D3530" t="str">
        <f>IFERROR(__xludf.DUMMYFUNCTION("""COMPUTED_VALUE"""),"Kilgore")</f>
        <v>Kilgore</v>
      </c>
      <c r="E3530" t="str">
        <f>IFERROR(__xludf.DUMMYFUNCTION("""COMPUTED_VALUE"""),"Daniel")</f>
        <v>Daniel</v>
      </c>
      <c r="F3530" t="str">
        <f>IFERROR(__xludf.DUMMYFUNCTION("""COMPUTED_VALUE"""),"C")</f>
        <v>C</v>
      </c>
      <c r="G3530">
        <f>IFERROR(__xludf.DUMMYFUNCTION("""COMPUTED_VALUE"""),14.200000000000001)</f>
        <v>14.2</v>
      </c>
    </row>
    <row r="3531">
      <c r="D3531" t="str">
        <f>IFERROR(__xludf.DUMMYFUNCTION("""COMPUTED_VALUE"""),"Killebrew")</f>
        <v>Killebrew</v>
      </c>
      <c r="E3531" t="str">
        <f>IFERROR(__xludf.DUMMYFUNCTION("""COMPUTED_VALUE"""),"Miles")</f>
        <v>Miles</v>
      </c>
      <c r="F3531" t="str">
        <f>IFERROR(__xludf.DUMMYFUNCTION("""COMPUTED_VALUE"""),"SS")</f>
        <v>SS</v>
      </c>
      <c r="G3531">
        <f>IFERROR(__xludf.DUMMYFUNCTION("""COMPUTED_VALUE"""),13.4)</f>
        <v>13.4</v>
      </c>
    </row>
    <row r="3532">
      <c r="D3532" t="str">
        <f>IFERROR(__xludf.DUMMYFUNCTION("""COMPUTED_VALUE"""),"Kindred")</f>
        <v>Kindred</v>
      </c>
      <c r="E3532" t="str">
        <f>IFERROR(__xludf.DUMMYFUNCTION("""COMPUTED_VALUE"""),"Derrick")</f>
        <v>Derrick</v>
      </c>
      <c r="F3532" t="str">
        <f>IFERROR(__xludf.DUMMYFUNCTION("""COMPUTED_VALUE"""),"SS")</f>
        <v>SS</v>
      </c>
      <c r="G3532">
        <f>IFERROR(__xludf.DUMMYFUNCTION("""COMPUTED_VALUE"""),13.200000000000001)</f>
        <v>13.2</v>
      </c>
    </row>
    <row r="3533">
      <c r="D3533" t="str">
        <f>IFERROR(__xludf.DUMMYFUNCTION("""COMPUTED_VALUE"""),"King")</f>
        <v>King</v>
      </c>
      <c r="E3533" t="str">
        <f>IFERROR(__xludf.DUMMYFUNCTION("""COMPUTED_VALUE"""),"Akeem")</f>
        <v>Akeem</v>
      </c>
      <c r="F3533" t="str">
        <f>IFERROR(__xludf.DUMMYFUNCTION("""COMPUTED_VALUE"""),"FS")</f>
        <v>FS</v>
      </c>
      <c r="G3533">
        <f>IFERROR(__xludf.DUMMYFUNCTION("""COMPUTED_VALUE"""),11.4)</f>
        <v>11.4</v>
      </c>
    </row>
    <row r="3534">
      <c r="D3534" t="str">
        <f>IFERROR(__xludf.DUMMYFUNCTION("""COMPUTED_VALUE"""),"King")</f>
        <v>King</v>
      </c>
      <c r="E3534" t="str">
        <f>IFERROR(__xludf.DUMMYFUNCTION("""COMPUTED_VALUE"""),"Brandon")</f>
        <v>Brandon</v>
      </c>
      <c r="F3534" t="str">
        <f>IFERROR(__xludf.DUMMYFUNCTION("""COMPUTED_VALUE"""),"FS")</f>
        <v>FS</v>
      </c>
      <c r="G3534">
        <f>IFERROR(__xludf.DUMMYFUNCTION("""COMPUTED_VALUE"""),12.4)</f>
        <v>12.4</v>
      </c>
    </row>
    <row r="3535">
      <c r="D3535" t="str">
        <f>IFERROR(__xludf.DUMMYFUNCTION("""COMPUTED_VALUE"""),"King")</f>
        <v>King</v>
      </c>
      <c r="E3535" t="str">
        <f>IFERROR(__xludf.DUMMYFUNCTION("""COMPUTED_VALUE"""),"David")</f>
        <v>David</v>
      </c>
      <c r="F3535" t="str">
        <f>IFERROR(__xludf.DUMMYFUNCTION("""COMPUTED_VALUE"""),"LE")</f>
        <v>LE</v>
      </c>
      <c r="G3535">
        <f>IFERROR(__xludf.DUMMYFUNCTION("""COMPUTED_VALUE"""),12.8)</f>
        <v>12.8</v>
      </c>
    </row>
    <row r="3536">
      <c r="D3536" t="str">
        <f>IFERROR(__xludf.DUMMYFUNCTION("""COMPUTED_VALUE"""),"King")</f>
        <v>King</v>
      </c>
      <c r="E3536" t="str">
        <f>IFERROR(__xludf.DUMMYFUNCTION("""COMPUTED_VALUE"""),"Desmond")</f>
        <v>Desmond</v>
      </c>
      <c r="F3536" t="str">
        <f>IFERROR(__xludf.DUMMYFUNCTION("""COMPUTED_VALUE"""),"SS")</f>
        <v>SS</v>
      </c>
      <c r="G3536">
        <f>IFERROR(__xludf.DUMMYFUNCTION("""COMPUTED_VALUE"""),13.4)</f>
        <v>13.4</v>
      </c>
    </row>
    <row r="3537">
      <c r="D3537" t="str">
        <f>IFERROR(__xludf.DUMMYFUNCTION("""COMPUTED_VALUE"""),"King")</f>
        <v>King</v>
      </c>
      <c r="E3537" t="str">
        <f>IFERROR(__xludf.DUMMYFUNCTION("""COMPUTED_VALUE"""),"Kevin")</f>
        <v>Kevin</v>
      </c>
      <c r="F3537" t="str">
        <f>IFERROR(__xludf.DUMMYFUNCTION("""COMPUTED_VALUE"""),"CB")</f>
        <v>CB</v>
      </c>
      <c r="G3537">
        <f>IFERROR(__xludf.DUMMYFUNCTION("""COMPUTED_VALUE"""),14.200000000000001)</f>
        <v>14.2</v>
      </c>
    </row>
    <row r="3538">
      <c r="D3538" t="str">
        <f>IFERROR(__xludf.DUMMYFUNCTION("""COMPUTED_VALUE"""),"King")</f>
        <v>King</v>
      </c>
      <c r="E3538" t="str">
        <f>IFERROR(__xludf.DUMMYFUNCTION("""COMPUTED_VALUE"""),"Marquette")</f>
        <v>Marquette</v>
      </c>
      <c r="F3538" t="str">
        <f>IFERROR(__xludf.DUMMYFUNCTION("""COMPUTED_VALUE"""),"P")</f>
        <v>P</v>
      </c>
      <c r="G3538">
        <f>IFERROR(__xludf.DUMMYFUNCTION("""COMPUTED_VALUE"""),17.0)</f>
        <v>17</v>
      </c>
    </row>
    <row r="3539">
      <c r="D3539" t="str">
        <f>IFERROR(__xludf.DUMMYFUNCTION("""COMPUTED_VALUE"""),"King")</f>
        <v>King</v>
      </c>
      <c r="E3539" t="str">
        <f>IFERROR(__xludf.DUMMYFUNCTION("""COMPUTED_VALUE"""),"Tavarres")</f>
        <v>Tavarres</v>
      </c>
      <c r="F3539" t="str">
        <f>IFERROR(__xludf.DUMMYFUNCTION("""COMPUTED_VALUE"""),"WR")</f>
        <v>WR</v>
      </c>
      <c r="G3539">
        <f>IFERROR(__xludf.DUMMYFUNCTION("""COMPUTED_VALUE"""),13.4)</f>
        <v>13.4</v>
      </c>
    </row>
    <row r="3540">
      <c r="D3540" t="str">
        <f>IFERROR(__xludf.DUMMYFUNCTION("""COMPUTED_VALUE"""),"Kirkland")</f>
        <v>Kirkland</v>
      </c>
      <c r="E3540" t="str">
        <f>IFERROR(__xludf.DUMMYFUNCTION("""COMPUTED_VALUE"""),"Denver")</f>
        <v>Denver</v>
      </c>
      <c r="F3540" t="str">
        <f>IFERROR(__xludf.DUMMYFUNCTION("""COMPUTED_VALUE"""),"LT")</f>
        <v>LT</v>
      </c>
      <c r="G3540">
        <f>IFERROR(__xludf.DUMMYFUNCTION("""COMPUTED_VALUE"""),13.8)</f>
        <v>13.8</v>
      </c>
    </row>
    <row r="3541">
      <c r="D3541" t="str">
        <f>IFERROR(__xludf.DUMMYFUNCTION("""COMPUTED_VALUE"""),"Kirkpatrick")</f>
        <v>Kirkpatrick</v>
      </c>
      <c r="E3541" t="str">
        <f>IFERROR(__xludf.DUMMYFUNCTION("""COMPUTED_VALUE"""),"Dre")</f>
        <v>Dre</v>
      </c>
      <c r="F3541" t="str">
        <f>IFERROR(__xludf.DUMMYFUNCTION("""COMPUTED_VALUE"""),"CB")</f>
        <v>CB</v>
      </c>
      <c r="G3541">
        <f>IFERROR(__xludf.DUMMYFUNCTION("""COMPUTED_VALUE"""),15.600000000000001)</f>
        <v>15.6</v>
      </c>
    </row>
    <row r="3542">
      <c r="D3542" t="str">
        <f>IFERROR(__xludf.DUMMYFUNCTION("""COMPUTED_VALUE"""),"Kirksey")</f>
        <v>Kirksey</v>
      </c>
      <c r="E3542" t="str">
        <f>IFERROR(__xludf.DUMMYFUNCTION("""COMPUTED_VALUE"""),"Christian")</f>
        <v>Christian</v>
      </c>
      <c r="F3542" t="str">
        <f>IFERROR(__xludf.DUMMYFUNCTION("""COMPUTED_VALUE"""),"MLB")</f>
        <v>MLB</v>
      </c>
      <c r="G3542">
        <f>IFERROR(__xludf.DUMMYFUNCTION("""COMPUTED_VALUE"""),16.400000000000002)</f>
        <v>16.4</v>
      </c>
    </row>
    <row r="3543">
      <c r="D3543" t="str">
        <f>IFERROR(__xludf.DUMMYFUNCTION("""COMPUTED_VALUE"""),"Kittle")</f>
        <v>Kittle</v>
      </c>
      <c r="E3543" t="str">
        <f>IFERROR(__xludf.DUMMYFUNCTION("""COMPUTED_VALUE"""),"George")</f>
        <v>George</v>
      </c>
      <c r="F3543" t="str">
        <f>IFERROR(__xludf.DUMMYFUNCTION("""COMPUTED_VALUE"""),"TE")</f>
        <v>TE</v>
      </c>
      <c r="G3543">
        <f>IFERROR(__xludf.DUMMYFUNCTION("""COMPUTED_VALUE"""),14.4)</f>
        <v>14.4</v>
      </c>
    </row>
    <row r="3544">
      <c r="D3544" t="str">
        <f>IFERROR(__xludf.DUMMYFUNCTION("""COMPUTED_VALUE"""),"Kizer")</f>
        <v>Kizer</v>
      </c>
      <c r="E3544" t="str">
        <f>IFERROR(__xludf.DUMMYFUNCTION("""COMPUTED_VALUE"""),"DeShone")</f>
        <v>DeShone</v>
      </c>
      <c r="F3544" t="str">
        <f>IFERROR(__xludf.DUMMYFUNCTION("""COMPUTED_VALUE"""),"QB")</f>
        <v>QB</v>
      </c>
      <c r="G3544">
        <f>IFERROR(__xludf.DUMMYFUNCTION("""COMPUTED_VALUE"""),15.0)</f>
        <v>15</v>
      </c>
    </row>
    <row r="3545">
      <c r="D3545" t="str">
        <f>IFERROR(__xludf.DUMMYFUNCTION("""COMPUTED_VALUE"""),"Klein")</f>
        <v>Klein</v>
      </c>
      <c r="E3545" t="str">
        <f>IFERROR(__xludf.DUMMYFUNCTION("""COMPUTED_VALUE"""),"AJ")</f>
        <v>AJ</v>
      </c>
      <c r="F3545" t="str">
        <f>IFERROR(__xludf.DUMMYFUNCTION("""COMPUTED_VALUE"""),"MLB")</f>
        <v>MLB</v>
      </c>
      <c r="G3545">
        <f>IFERROR(__xludf.DUMMYFUNCTION("""COMPUTED_VALUE"""),14.4)</f>
        <v>14.4</v>
      </c>
    </row>
    <row r="3546">
      <c r="D3546" t="str">
        <f>IFERROR(__xludf.DUMMYFUNCTION("""COMPUTED_VALUE"""),"Kline")</f>
        <v>Kline</v>
      </c>
      <c r="E3546" t="str">
        <f>IFERROR(__xludf.DUMMYFUNCTION("""COMPUTED_VALUE"""),"Josh")</f>
        <v>Josh</v>
      </c>
      <c r="F3546" t="str">
        <f>IFERROR(__xludf.DUMMYFUNCTION("""COMPUTED_VALUE"""),"RG")</f>
        <v>RG</v>
      </c>
      <c r="G3546">
        <f>IFERROR(__xludf.DUMMYFUNCTION("""COMPUTED_VALUE"""),16.0)</f>
        <v>16</v>
      </c>
    </row>
    <row r="3547">
      <c r="D3547" t="str">
        <f>IFERROR(__xludf.DUMMYFUNCTION("""COMPUTED_VALUE"""),"Klug")</f>
        <v>Klug</v>
      </c>
      <c r="E3547" t="str">
        <f>IFERROR(__xludf.DUMMYFUNCTION("""COMPUTED_VALUE"""),"Karl")</f>
        <v>Karl</v>
      </c>
      <c r="F3547" t="str">
        <f>IFERROR(__xludf.DUMMYFUNCTION("""COMPUTED_VALUE"""),"RE")</f>
        <v>RE</v>
      </c>
      <c r="G3547">
        <f>IFERROR(__xludf.DUMMYFUNCTION("""COMPUTED_VALUE"""),16.0)</f>
        <v>16</v>
      </c>
    </row>
    <row r="3548">
      <c r="D3548" t="str">
        <f>IFERROR(__xludf.DUMMYFUNCTION("""COMPUTED_VALUE"""),"Koch")</f>
        <v>Koch</v>
      </c>
      <c r="E3548" t="str">
        <f>IFERROR(__xludf.DUMMYFUNCTION("""COMPUTED_VALUE"""),"Sam")</f>
        <v>Sam</v>
      </c>
      <c r="F3548" t="str">
        <f>IFERROR(__xludf.DUMMYFUNCTION("""COMPUTED_VALUE"""),"P")</f>
        <v>P</v>
      </c>
      <c r="G3548">
        <f>IFERROR(__xludf.DUMMYFUNCTION("""COMPUTED_VALUE"""),16.8)</f>
        <v>16.8</v>
      </c>
    </row>
    <row r="3549">
      <c r="D3549" t="str">
        <f>IFERROR(__xludf.DUMMYFUNCTION("""COMPUTED_VALUE"""),"Kouandjio")</f>
        <v>Kouandjio</v>
      </c>
      <c r="E3549" t="str">
        <f>IFERROR(__xludf.DUMMYFUNCTION("""COMPUTED_VALUE"""),"Arie")</f>
        <v>Arie</v>
      </c>
      <c r="F3549" t="str">
        <f>IFERROR(__xludf.DUMMYFUNCTION("""COMPUTED_VALUE"""),"RG")</f>
        <v>RG</v>
      </c>
      <c r="G3549">
        <f>IFERROR(__xludf.DUMMYFUNCTION("""COMPUTED_VALUE"""),12.600000000000001)</f>
        <v>12.6</v>
      </c>
    </row>
    <row r="3550">
      <c r="D3550" t="str">
        <f>IFERROR(__xludf.DUMMYFUNCTION("""COMPUTED_VALUE"""),"Kouandjio")</f>
        <v>Kouandjio</v>
      </c>
      <c r="E3550" t="str">
        <f>IFERROR(__xludf.DUMMYFUNCTION("""COMPUTED_VALUE"""),"Cyrus")</f>
        <v>Cyrus</v>
      </c>
      <c r="F3550" t="str">
        <f>IFERROR(__xludf.DUMMYFUNCTION("""COMPUTED_VALUE"""),"LT")</f>
        <v>LT</v>
      </c>
      <c r="G3550">
        <f>IFERROR(__xludf.DUMMYFUNCTION("""COMPUTED_VALUE"""),14.4)</f>
        <v>14.4</v>
      </c>
    </row>
    <row r="3551">
      <c r="D3551" t="str">
        <f>IFERROR(__xludf.DUMMYFUNCTION("""COMPUTED_VALUE"""),"Koyack")</f>
        <v>Koyack</v>
      </c>
      <c r="E3551" t="str">
        <f>IFERROR(__xludf.DUMMYFUNCTION("""COMPUTED_VALUE"""),"Ben")</f>
        <v>Ben</v>
      </c>
      <c r="F3551" t="str">
        <f>IFERROR(__xludf.DUMMYFUNCTION("""COMPUTED_VALUE"""),"TE")</f>
        <v>TE</v>
      </c>
      <c r="G3551">
        <f>IFERROR(__xludf.DUMMYFUNCTION("""COMPUTED_VALUE"""),13.200000000000001)</f>
        <v>13.2</v>
      </c>
    </row>
    <row r="3552">
      <c r="D3552" t="str">
        <f>IFERROR(__xludf.DUMMYFUNCTION("""COMPUTED_VALUE"""),"Kpassagnon")</f>
        <v>Kpassagnon</v>
      </c>
      <c r="E3552" t="str">
        <f>IFERROR(__xludf.DUMMYFUNCTION("""COMPUTED_VALUE"""),"Tanoh")</f>
        <v>Tanoh</v>
      </c>
      <c r="F3552" t="str">
        <f>IFERROR(__xludf.DUMMYFUNCTION("""COMPUTED_VALUE"""),"LE")</f>
        <v>LE</v>
      </c>
      <c r="G3552">
        <f>IFERROR(__xludf.DUMMYFUNCTION("""COMPUTED_VALUE"""),13.8)</f>
        <v>13.8</v>
      </c>
    </row>
    <row r="3553">
      <c r="D3553" t="str">
        <f>IFERROR(__xludf.DUMMYFUNCTION("""COMPUTED_VALUE"""),"Krause")</f>
        <v>Krause</v>
      </c>
      <c r="E3553" t="str">
        <f>IFERROR(__xludf.DUMMYFUNCTION("""COMPUTED_VALUE"""),"Jonathan")</f>
        <v>Jonathan</v>
      </c>
      <c r="F3553" t="str">
        <f>IFERROR(__xludf.DUMMYFUNCTION("""COMPUTED_VALUE"""),"WR")</f>
        <v>WR</v>
      </c>
      <c r="G3553">
        <f>IFERROR(__xludf.DUMMYFUNCTION("""COMPUTED_VALUE"""),11.600000000000001)</f>
        <v>11.6</v>
      </c>
    </row>
    <row r="3554">
      <c r="D3554" t="str">
        <f>IFERROR(__xludf.DUMMYFUNCTION("""COMPUTED_VALUE"""),"Kreiter")</f>
        <v>Kreiter</v>
      </c>
      <c r="E3554" t="str">
        <f>IFERROR(__xludf.DUMMYFUNCTION("""COMPUTED_VALUE"""),"Casey")</f>
        <v>Casey</v>
      </c>
      <c r="F3554" t="str">
        <f>IFERROR(__xludf.DUMMYFUNCTION("""COMPUTED_VALUE"""),"TE")</f>
        <v>TE</v>
      </c>
      <c r="G3554">
        <f>IFERROR(__xludf.DUMMYFUNCTION("""COMPUTED_VALUE"""),8.200000000000001)</f>
        <v>8.2</v>
      </c>
    </row>
    <row r="3555">
      <c r="D3555" t="str">
        <f>IFERROR(__xludf.DUMMYFUNCTION("""COMPUTED_VALUE"""),"Krieger-Coble")</f>
        <v>Krieger-Coble</v>
      </c>
      <c r="E3555" t="str">
        <f>IFERROR(__xludf.DUMMYFUNCTION("""COMPUTED_VALUE"""),"Henry")</f>
        <v>Henry</v>
      </c>
      <c r="F3555" t="str">
        <f>IFERROR(__xludf.DUMMYFUNCTION("""COMPUTED_VALUE"""),"TE")</f>
        <v>TE</v>
      </c>
      <c r="G3555">
        <f>IFERROR(__xludf.DUMMYFUNCTION("""COMPUTED_VALUE"""),12.200000000000001)</f>
        <v>12.2</v>
      </c>
    </row>
    <row r="3556">
      <c r="D3556" t="str">
        <f>IFERROR(__xludf.DUMMYFUNCTION("""COMPUTED_VALUE"""),"Kroft")</f>
        <v>Kroft</v>
      </c>
      <c r="E3556" t="str">
        <f>IFERROR(__xludf.DUMMYFUNCTION("""COMPUTED_VALUE"""),"Tyler")</f>
        <v>Tyler</v>
      </c>
      <c r="F3556" t="str">
        <f>IFERROR(__xludf.DUMMYFUNCTION("""COMPUTED_VALUE"""),"TE")</f>
        <v>TE</v>
      </c>
      <c r="G3556">
        <f>IFERROR(__xludf.DUMMYFUNCTION("""COMPUTED_VALUE"""),13.8)</f>
        <v>13.8</v>
      </c>
    </row>
    <row r="3557">
      <c r="D3557" t="str">
        <f>IFERROR(__xludf.DUMMYFUNCTION("""COMPUTED_VALUE"""),"Kuechly")</f>
        <v>Kuechly</v>
      </c>
      <c r="E3557" t="str">
        <f>IFERROR(__xludf.DUMMYFUNCTION("""COMPUTED_VALUE"""),"Luke")</f>
        <v>Luke</v>
      </c>
      <c r="F3557" t="str">
        <f>IFERROR(__xludf.DUMMYFUNCTION("""COMPUTED_VALUE"""),"MLB")</f>
        <v>MLB</v>
      </c>
      <c r="G3557">
        <f>IFERROR(__xludf.DUMMYFUNCTION("""COMPUTED_VALUE"""),19.6)</f>
        <v>19.6</v>
      </c>
    </row>
    <row r="3558">
      <c r="D3558" t="str">
        <f>IFERROR(__xludf.DUMMYFUNCTION("""COMPUTED_VALUE"""),"Kuhn")</f>
        <v>Kuhn</v>
      </c>
      <c r="E3558" t="str">
        <f>IFERROR(__xludf.DUMMYFUNCTION("""COMPUTED_VALUE"""),"John")</f>
        <v>John</v>
      </c>
      <c r="F3558" t="str">
        <f>IFERROR(__xludf.DUMMYFUNCTION("""COMPUTED_VALUE"""),"FB")</f>
        <v>FB</v>
      </c>
      <c r="G3558">
        <f>IFERROR(__xludf.DUMMYFUNCTION("""COMPUTED_VALUE"""),16.0)</f>
        <v>16</v>
      </c>
    </row>
    <row r="3559">
      <c r="D3559" t="str">
        <f>IFERROR(__xludf.DUMMYFUNCTION("""COMPUTED_VALUE"""),"Kupp")</f>
        <v>Kupp</v>
      </c>
      <c r="E3559" t="str">
        <f>IFERROR(__xludf.DUMMYFUNCTION("""COMPUTED_VALUE"""),"Cooper")</f>
        <v>Cooper</v>
      </c>
      <c r="F3559" t="str">
        <f>IFERROR(__xludf.DUMMYFUNCTION("""COMPUTED_VALUE"""),"WR")</f>
        <v>WR</v>
      </c>
      <c r="G3559">
        <f>IFERROR(__xludf.DUMMYFUNCTION("""COMPUTED_VALUE"""),14.8)</f>
        <v>14.8</v>
      </c>
    </row>
    <row r="3560">
      <c r="D3560" t="str">
        <f>IFERROR(__xludf.DUMMYFUNCTION("""COMPUTED_VALUE"""),"Kush")</f>
        <v>Kush</v>
      </c>
      <c r="E3560" t="str">
        <f>IFERROR(__xludf.DUMMYFUNCTION("""COMPUTED_VALUE"""),"Eric")</f>
        <v>Eric</v>
      </c>
      <c r="F3560" t="str">
        <f>IFERROR(__xludf.DUMMYFUNCTION("""COMPUTED_VALUE"""),"C")</f>
        <v>C</v>
      </c>
      <c r="G3560">
        <f>IFERROR(__xludf.DUMMYFUNCTION("""COMPUTED_VALUE"""),13.8)</f>
        <v>13.8</v>
      </c>
    </row>
    <row r="3561">
      <c r="D3561" t="str">
        <f>IFERROR(__xludf.DUMMYFUNCTION("""COMPUTED_VALUE"""),"Kwiatkoski")</f>
        <v>Kwiatkoski</v>
      </c>
      <c r="E3561" t="str">
        <f>IFERROR(__xludf.DUMMYFUNCTION("""COMPUTED_VALUE"""),"Nick")</f>
        <v>Nick</v>
      </c>
      <c r="F3561" t="str">
        <f>IFERROR(__xludf.DUMMYFUNCTION("""COMPUTED_VALUE"""),"MLB")</f>
        <v>MLB</v>
      </c>
      <c r="G3561">
        <f>IFERROR(__xludf.DUMMYFUNCTION("""COMPUTED_VALUE"""),15.0)</f>
        <v>15</v>
      </c>
    </row>
    <row r="3562">
      <c r="D3562" t="str">
        <f>IFERROR(__xludf.DUMMYFUNCTION("""COMPUTED_VALUE"""),"LaCosse")</f>
        <v>LaCosse</v>
      </c>
      <c r="E3562" t="str">
        <f>IFERROR(__xludf.DUMMYFUNCTION("""COMPUTED_VALUE"""),"Matt")</f>
        <v>Matt</v>
      </c>
      <c r="F3562" t="str">
        <f>IFERROR(__xludf.DUMMYFUNCTION("""COMPUTED_VALUE"""),"TE")</f>
        <v>TE</v>
      </c>
      <c r="G3562">
        <f>IFERROR(__xludf.DUMMYFUNCTION("""COMPUTED_VALUE"""),13.200000000000001)</f>
        <v>13.2</v>
      </c>
    </row>
    <row r="3563">
      <c r="D3563" t="str">
        <f>IFERROR(__xludf.DUMMYFUNCTION("""COMPUTED_VALUE"""),"Lacy")</f>
        <v>Lacy</v>
      </c>
      <c r="E3563" t="str">
        <f>IFERROR(__xludf.DUMMYFUNCTION("""COMPUTED_VALUE"""),"Eddie")</f>
        <v>Eddie</v>
      </c>
      <c r="F3563" t="str">
        <f>IFERROR(__xludf.DUMMYFUNCTION("""COMPUTED_VALUE"""),"HB")</f>
        <v>HB</v>
      </c>
      <c r="G3563">
        <f>IFERROR(__xludf.DUMMYFUNCTION("""COMPUTED_VALUE"""),16.400000000000002)</f>
        <v>16.4</v>
      </c>
    </row>
    <row r="3564">
      <c r="D3564" t="str">
        <f>IFERROR(__xludf.DUMMYFUNCTION("""COMPUTED_VALUE"""),"LaDouceur")</f>
        <v>LaDouceur</v>
      </c>
      <c r="E3564" t="str">
        <f>IFERROR(__xludf.DUMMYFUNCTION("""COMPUTED_VALUE"""),"LP")</f>
        <v>LP</v>
      </c>
      <c r="F3564" t="str">
        <f>IFERROR(__xludf.DUMMYFUNCTION("""COMPUTED_VALUE"""),"TE")</f>
        <v>TE</v>
      </c>
      <c r="G3564">
        <f>IFERROR(__xludf.DUMMYFUNCTION("""COMPUTED_VALUE"""),9.600000000000001)</f>
        <v>9.6</v>
      </c>
    </row>
    <row r="3565">
      <c r="D3565" t="str">
        <f>IFERROR(__xludf.DUMMYFUNCTION("""COMPUTED_VALUE"""),"LaFell")</f>
        <v>LaFell</v>
      </c>
      <c r="E3565" t="str">
        <f>IFERROR(__xludf.DUMMYFUNCTION("""COMPUTED_VALUE"""),"Brandon")</f>
        <v>Brandon</v>
      </c>
      <c r="F3565" t="str">
        <f>IFERROR(__xludf.DUMMYFUNCTION("""COMPUTED_VALUE"""),"WR")</f>
        <v>WR</v>
      </c>
      <c r="G3565">
        <f>IFERROR(__xludf.DUMMYFUNCTION("""COMPUTED_VALUE"""),16.400000000000002)</f>
        <v>16.4</v>
      </c>
    </row>
    <row r="3566">
      <c r="D3566" t="str">
        <f>IFERROR(__xludf.DUMMYFUNCTION("""COMPUTED_VALUE"""),"Lambert")</f>
        <v>Lambert</v>
      </c>
      <c r="E3566" t="str">
        <f>IFERROR(__xludf.DUMMYFUNCTION("""COMPUTED_VALUE"""),"DaVonte")</f>
        <v>DaVonte</v>
      </c>
      <c r="F3566" t="str">
        <f>IFERROR(__xludf.DUMMYFUNCTION("""COMPUTED_VALUE"""),"DT")</f>
        <v>DT</v>
      </c>
      <c r="G3566">
        <f>IFERROR(__xludf.DUMMYFUNCTION("""COMPUTED_VALUE"""),12.8)</f>
        <v>12.8</v>
      </c>
    </row>
    <row r="3567">
      <c r="D3567" t="str">
        <f>IFERROR(__xludf.DUMMYFUNCTION("""COMPUTED_VALUE"""),"Lambo")</f>
        <v>Lambo</v>
      </c>
      <c r="E3567" t="str">
        <f>IFERROR(__xludf.DUMMYFUNCTION("""COMPUTED_VALUE"""),"Josh")</f>
        <v>Josh</v>
      </c>
      <c r="F3567" t="str">
        <f>IFERROR(__xludf.DUMMYFUNCTION("""COMPUTED_VALUE"""),"K")</f>
        <v>K</v>
      </c>
      <c r="G3567">
        <f>IFERROR(__xludf.DUMMYFUNCTION("""COMPUTED_VALUE"""),15.200000000000001)</f>
        <v>15.2</v>
      </c>
    </row>
    <row r="3568">
      <c r="D3568" t="str">
        <f>IFERROR(__xludf.DUMMYFUNCTION("""COMPUTED_VALUE"""),"Lamm")</f>
        <v>Lamm</v>
      </c>
      <c r="E3568" t="str">
        <f>IFERROR(__xludf.DUMMYFUNCTION("""COMPUTED_VALUE"""),"Kendall")</f>
        <v>Kendall</v>
      </c>
      <c r="F3568" t="str">
        <f>IFERROR(__xludf.DUMMYFUNCTION("""COMPUTED_VALUE"""),"LT")</f>
        <v>LT</v>
      </c>
      <c r="G3568">
        <f>IFERROR(__xludf.DUMMYFUNCTION("""COMPUTED_VALUE"""),13.200000000000001)</f>
        <v>13.2</v>
      </c>
    </row>
    <row r="3569">
      <c r="D3569" t="str">
        <f>IFERROR(__xludf.DUMMYFUNCTION("""COMPUTED_VALUE"""),"Lamp")</f>
        <v>Lamp</v>
      </c>
      <c r="E3569" t="str">
        <f>IFERROR(__xludf.DUMMYFUNCTION("""COMPUTED_VALUE"""),"Forrest")</f>
        <v>Forrest</v>
      </c>
      <c r="F3569" t="str">
        <f>IFERROR(__xludf.DUMMYFUNCTION("""COMPUTED_VALUE"""),"LG")</f>
        <v>LG</v>
      </c>
      <c r="G3569">
        <f>IFERROR(__xludf.DUMMYFUNCTION("""COMPUTED_VALUE"""),15.8)</f>
        <v>15.8</v>
      </c>
    </row>
    <row r="3570">
      <c r="D3570" t="str">
        <f>IFERROR(__xludf.DUMMYFUNCTION("""COMPUTED_VALUE"""),"Lampman")</f>
        <v>Lampman</v>
      </c>
      <c r="E3570" t="str">
        <f>IFERROR(__xludf.DUMMYFUNCTION("""COMPUTED_VALUE"""),"Jake")</f>
        <v>Jake</v>
      </c>
      <c r="F3570" t="str">
        <f>IFERROR(__xludf.DUMMYFUNCTION("""COMPUTED_VALUE"""),"WR")</f>
        <v>WR</v>
      </c>
      <c r="G3570">
        <f>IFERROR(__xludf.DUMMYFUNCTION("""COMPUTED_VALUE"""),12.200000000000001)</f>
        <v>12.2</v>
      </c>
    </row>
    <row r="3571">
      <c r="D3571" t="str">
        <f>IFERROR(__xludf.DUMMYFUNCTION("""COMPUTED_VALUE"""),"Lamur")</f>
        <v>Lamur</v>
      </c>
      <c r="E3571" t="str">
        <f>IFERROR(__xludf.DUMMYFUNCTION("""COMPUTED_VALUE"""),"Emmanuel")</f>
        <v>Emmanuel</v>
      </c>
      <c r="F3571" t="str">
        <f>IFERROR(__xludf.DUMMYFUNCTION("""COMPUTED_VALUE"""),"ROLB")</f>
        <v>ROLB</v>
      </c>
      <c r="G3571">
        <f>IFERROR(__xludf.DUMMYFUNCTION("""COMPUTED_VALUE"""),14.4)</f>
        <v>14.4</v>
      </c>
    </row>
    <row r="3572">
      <c r="D3572" t="str">
        <f>IFERROR(__xludf.DUMMYFUNCTION("""COMPUTED_VALUE"""),"Landrum")</f>
        <v>Landrum</v>
      </c>
      <c r="E3572" t="str">
        <f>IFERROR(__xludf.DUMMYFUNCTION("""COMPUTED_VALUE"""),"Chris")</f>
        <v>Chris</v>
      </c>
      <c r="F3572" t="str">
        <f>IFERROR(__xludf.DUMMYFUNCTION("""COMPUTED_VALUE"""),"ROLB")</f>
        <v>ROLB</v>
      </c>
      <c r="G3572">
        <f>IFERROR(__xludf.DUMMYFUNCTION("""COMPUTED_VALUE"""),11.4)</f>
        <v>11.4</v>
      </c>
    </row>
    <row r="3573">
      <c r="D3573" t="str">
        <f>IFERROR(__xludf.DUMMYFUNCTION("""COMPUTED_VALUE"""),"Landry")</f>
        <v>Landry</v>
      </c>
      <c r="E3573" t="str">
        <f>IFERROR(__xludf.DUMMYFUNCTION("""COMPUTED_VALUE"""),"Jarvis")</f>
        <v>Jarvis</v>
      </c>
      <c r="F3573" t="str">
        <f>IFERROR(__xludf.DUMMYFUNCTION("""COMPUTED_VALUE"""),"WR")</f>
        <v>WR</v>
      </c>
      <c r="G3573">
        <f>IFERROR(__xludf.DUMMYFUNCTION("""COMPUTED_VALUE"""),17.6)</f>
        <v>17.6</v>
      </c>
    </row>
    <row r="3574">
      <c r="D3574" t="str">
        <f>IFERROR(__xludf.DUMMYFUNCTION("""COMPUTED_VALUE"""),"Lane")</f>
        <v>Lane</v>
      </c>
      <c r="E3574" t="str">
        <f>IFERROR(__xludf.DUMMYFUNCTION("""COMPUTED_VALUE"""),"Jeremy")</f>
        <v>Jeremy</v>
      </c>
      <c r="F3574" t="str">
        <f>IFERROR(__xludf.DUMMYFUNCTION("""COMPUTED_VALUE"""),"CB")</f>
        <v>CB</v>
      </c>
      <c r="G3574">
        <f>IFERROR(__xludf.DUMMYFUNCTION("""COMPUTED_VALUE"""),15.200000000000001)</f>
        <v>15.2</v>
      </c>
    </row>
    <row r="3575">
      <c r="D3575" t="str">
        <f>IFERROR(__xludf.DUMMYFUNCTION("""COMPUTED_VALUE"""),"Lang")</f>
        <v>Lang</v>
      </c>
      <c r="E3575" t="str">
        <f>IFERROR(__xludf.DUMMYFUNCTION("""COMPUTED_VALUE"""),"TJ")</f>
        <v>TJ</v>
      </c>
      <c r="F3575" t="str">
        <f>IFERROR(__xludf.DUMMYFUNCTION("""COMPUTED_VALUE"""),"RG")</f>
        <v>RG</v>
      </c>
      <c r="G3575">
        <f>IFERROR(__xludf.DUMMYFUNCTION("""COMPUTED_VALUE"""),17.400000000000002)</f>
        <v>17.4</v>
      </c>
    </row>
    <row r="3576">
      <c r="D3576" t="str">
        <f>IFERROR(__xludf.DUMMYFUNCTION("""COMPUTED_VALUE"""),"Langford")</f>
        <v>Langford</v>
      </c>
      <c r="E3576" t="str">
        <f>IFERROR(__xludf.DUMMYFUNCTION("""COMPUTED_VALUE"""),"Jeremy")</f>
        <v>Jeremy</v>
      </c>
      <c r="F3576" t="str">
        <f>IFERROR(__xludf.DUMMYFUNCTION("""COMPUTED_VALUE"""),"HB")</f>
        <v>HB</v>
      </c>
      <c r="G3576">
        <f>IFERROR(__xludf.DUMMYFUNCTION("""COMPUTED_VALUE"""),14.8)</f>
        <v>14.8</v>
      </c>
    </row>
    <row r="3577">
      <c r="D3577" t="str">
        <f>IFERROR(__xludf.DUMMYFUNCTION("""COMPUTED_VALUE"""),"Langford")</f>
        <v>Langford</v>
      </c>
      <c r="E3577" t="str">
        <f>IFERROR(__xludf.DUMMYFUNCTION("""COMPUTED_VALUE"""),"Kendall")</f>
        <v>Kendall</v>
      </c>
      <c r="F3577" t="str">
        <f>IFERROR(__xludf.DUMMYFUNCTION("""COMPUTED_VALUE"""),"LE")</f>
        <v>LE</v>
      </c>
      <c r="G3577">
        <f>IFERROR(__xludf.DUMMYFUNCTION("""COMPUTED_VALUE"""),14.8)</f>
        <v>14.8</v>
      </c>
    </row>
    <row r="3578">
      <c r="D3578" t="str">
        <f>IFERROR(__xludf.DUMMYFUNCTION("""COMPUTED_VALUE"""),"Langi")</f>
        <v>Langi</v>
      </c>
      <c r="E3578" t="str">
        <f>IFERROR(__xludf.DUMMYFUNCTION("""COMPUTED_VALUE"""),"Harvey")</f>
        <v>Harvey</v>
      </c>
      <c r="F3578" t="str">
        <f>IFERROR(__xludf.DUMMYFUNCTION("""COMPUTED_VALUE"""),"MLB")</f>
        <v>MLB</v>
      </c>
      <c r="G3578">
        <f>IFERROR(__xludf.DUMMYFUNCTION("""COMPUTED_VALUE"""),11.8)</f>
        <v>11.8</v>
      </c>
    </row>
    <row r="3579">
      <c r="D3579" t="str">
        <f>IFERROR(__xludf.DUMMYFUNCTION("""COMPUTED_VALUE"""),"Langley")</f>
        <v>Langley</v>
      </c>
      <c r="E3579" t="str">
        <f>IFERROR(__xludf.DUMMYFUNCTION("""COMPUTED_VALUE"""),"Brendan")</f>
        <v>Brendan</v>
      </c>
      <c r="F3579" t="str">
        <f>IFERROR(__xludf.DUMMYFUNCTION("""COMPUTED_VALUE"""),"CB")</f>
        <v>CB</v>
      </c>
      <c r="G3579">
        <f>IFERROR(__xludf.DUMMYFUNCTION("""COMPUTED_VALUE"""),13.600000000000001)</f>
        <v>13.6</v>
      </c>
    </row>
    <row r="3580">
      <c r="D3580" t="str">
        <f>IFERROR(__xludf.DUMMYFUNCTION("""COMPUTED_VALUE"""),"Lanier II")</f>
        <v>Lanier II</v>
      </c>
      <c r="E3580" t="str">
        <f>IFERROR(__xludf.DUMMYFUNCTION("""COMPUTED_VALUE"""),"Anthony")</f>
        <v>Anthony</v>
      </c>
      <c r="F3580" t="str">
        <f>IFERROR(__xludf.DUMMYFUNCTION("""COMPUTED_VALUE"""),"LE")</f>
        <v>LE</v>
      </c>
      <c r="G3580">
        <f>IFERROR(__xludf.DUMMYFUNCTION("""COMPUTED_VALUE"""),12.200000000000001)</f>
        <v>12.2</v>
      </c>
    </row>
    <row r="3581">
      <c r="D3581" t="str">
        <f>IFERROR(__xludf.DUMMYFUNCTION("""COMPUTED_VALUE"""),"LARey")</f>
        <v>LARey</v>
      </c>
      <c r="E3581" t="str">
        <f>IFERROR(__xludf.DUMMYFUNCTION("""COMPUTED_VALUE"""),"Jalen")</f>
        <v>Jalen</v>
      </c>
      <c r="F3581" t="str">
        <f>IFERROR(__xludf.DUMMYFUNCTION("""COMPUTED_VALUE"""),"CB")</f>
        <v>CB</v>
      </c>
      <c r="G3581">
        <f>IFERROR(__xludf.DUMMYFUNCTION("""COMPUTED_VALUE"""),17.2)</f>
        <v>17.2</v>
      </c>
    </row>
    <row r="3582">
      <c r="D3582" t="str">
        <f>IFERROR(__xludf.DUMMYFUNCTION("""COMPUTED_VALUE"""),"Larsen")</f>
        <v>Larsen</v>
      </c>
      <c r="E3582" t="str">
        <f>IFERROR(__xludf.DUMMYFUNCTION("""COMPUTED_VALUE"""),"Ted")</f>
        <v>Ted</v>
      </c>
      <c r="F3582" t="str">
        <f>IFERROR(__xludf.DUMMYFUNCTION("""COMPUTED_VALUE"""),"LG")</f>
        <v>LG</v>
      </c>
      <c r="G3582">
        <f>IFERROR(__xludf.DUMMYFUNCTION("""COMPUTED_VALUE"""),13.8)</f>
        <v>13.8</v>
      </c>
    </row>
    <row r="3583">
      <c r="D3583" t="str">
        <f>IFERROR(__xludf.DUMMYFUNCTION("""COMPUTED_VALUE"""),"Larsen")</f>
        <v>Larsen</v>
      </c>
      <c r="E3583" t="str">
        <f>IFERROR(__xludf.DUMMYFUNCTION("""COMPUTED_VALUE"""),"Tyler")</f>
        <v>Tyler</v>
      </c>
      <c r="F3583" t="str">
        <f>IFERROR(__xludf.DUMMYFUNCTION("""COMPUTED_VALUE"""),"C")</f>
        <v>C</v>
      </c>
      <c r="G3583">
        <f>IFERROR(__xludf.DUMMYFUNCTION("""COMPUTED_VALUE"""),13.4)</f>
        <v>13.4</v>
      </c>
    </row>
    <row r="3584">
      <c r="D3584" t="str">
        <f>IFERROR(__xludf.DUMMYFUNCTION("""COMPUTED_VALUE"""),"Lasco")</f>
        <v>Lasco</v>
      </c>
      <c r="E3584" t="str">
        <f>IFERROR(__xludf.DUMMYFUNCTION("""COMPUTED_VALUE"""),"Daniel")</f>
        <v>Daniel</v>
      </c>
      <c r="F3584" t="str">
        <f>IFERROR(__xludf.DUMMYFUNCTION("""COMPUTED_VALUE"""),"HB")</f>
        <v>HB</v>
      </c>
      <c r="G3584">
        <f>IFERROR(__xludf.DUMMYFUNCTION("""COMPUTED_VALUE"""),12.600000000000001)</f>
        <v>12.6</v>
      </c>
    </row>
    <row r="3585">
      <c r="D3585" t="str">
        <f>IFERROR(__xludf.DUMMYFUNCTION("""COMPUTED_VALUE"""),"Latham")</f>
        <v>Latham</v>
      </c>
      <c r="E3585" t="str">
        <f>IFERROR(__xludf.DUMMYFUNCTION("""COMPUTED_VALUE"""),"Darius")</f>
        <v>Darius</v>
      </c>
      <c r="F3585" t="str">
        <f>IFERROR(__xludf.DUMMYFUNCTION("""COMPUTED_VALUE"""),"LE")</f>
        <v>LE</v>
      </c>
      <c r="G3585">
        <f>IFERROR(__xludf.DUMMYFUNCTION("""COMPUTED_VALUE"""),12.0)</f>
        <v>12</v>
      </c>
    </row>
    <row r="3586">
      <c r="D3586" t="str">
        <f>IFERROR(__xludf.DUMMYFUNCTION("""COMPUTED_VALUE"""),"Latimer")</f>
        <v>Latimer</v>
      </c>
      <c r="E3586" t="str">
        <f>IFERROR(__xludf.DUMMYFUNCTION("""COMPUTED_VALUE"""),"Cody")</f>
        <v>Cody</v>
      </c>
      <c r="F3586" t="str">
        <f>IFERROR(__xludf.DUMMYFUNCTION("""COMPUTED_VALUE"""),"WR")</f>
        <v>WR</v>
      </c>
      <c r="G3586">
        <f>IFERROR(__xludf.DUMMYFUNCTION("""COMPUTED_VALUE"""),13.600000000000001)</f>
        <v>13.6</v>
      </c>
    </row>
    <row r="3587">
      <c r="D3587" t="str">
        <f>IFERROR(__xludf.DUMMYFUNCTION("""COMPUTED_VALUE"""),"Lattimore")</f>
        <v>Lattimore</v>
      </c>
      <c r="E3587" t="str">
        <f>IFERROR(__xludf.DUMMYFUNCTION("""COMPUTED_VALUE"""),"Marshon")</f>
        <v>Marshon</v>
      </c>
      <c r="F3587" t="str">
        <f>IFERROR(__xludf.DUMMYFUNCTION("""COMPUTED_VALUE"""),"CB")</f>
        <v>CB</v>
      </c>
      <c r="G3587">
        <f>IFERROR(__xludf.DUMMYFUNCTION("""COMPUTED_VALUE"""),15.200000000000001)</f>
        <v>15.2</v>
      </c>
    </row>
    <row r="3588">
      <c r="D3588" t="str">
        <f>IFERROR(__xludf.DUMMYFUNCTION("""COMPUTED_VALUE"""),"Lauvao")</f>
        <v>Lauvao</v>
      </c>
      <c r="E3588" t="str">
        <f>IFERROR(__xludf.DUMMYFUNCTION("""COMPUTED_VALUE"""),"Shawn")</f>
        <v>Shawn</v>
      </c>
      <c r="F3588" t="str">
        <f>IFERROR(__xludf.DUMMYFUNCTION("""COMPUTED_VALUE"""),"LG")</f>
        <v>LG</v>
      </c>
      <c r="G3588">
        <f>IFERROR(__xludf.DUMMYFUNCTION("""COMPUTED_VALUE"""),14.200000000000001)</f>
        <v>14.2</v>
      </c>
    </row>
    <row r="3589">
      <c r="D3589" t="str">
        <f>IFERROR(__xludf.DUMMYFUNCTION("""COMPUTED_VALUE"""),"Lawler")</f>
        <v>Lawler</v>
      </c>
      <c r="E3589" t="str">
        <f>IFERROR(__xludf.DUMMYFUNCTION("""COMPUTED_VALUE"""),"Kenny")</f>
        <v>Kenny</v>
      </c>
      <c r="F3589" t="str">
        <f>IFERROR(__xludf.DUMMYFUNCTION("""COMPUTED_VALUE"""),"WR")</f>
        <v>WR</v>
      </c>
      <c r="G3589">
        <f>IFERROR(__xludf.DUMMYFUNCTION("""COMPUTED_VALUE"""),13.200000000000001)</f>
        <v>13.2</v>
      </c>
    </row>
    <row r="3590">
      <c r="D3590" t="str">
        <f>IFERROR(__xludf.DUMMYFUNCTION("""COMPUTED_VALUE"""),"Lawrence")</f>
        <v>Lawrence</v>
      </c>
      <c r="E3590" t="str">
        <f>IFERROR(__xludf.DUMMYFUNCTION("""COMPUTED_VALUE"""),"DeMarcus")</f>
        <v>DeMarcus</v>
      </c>
      <c r="F3590" t="str">
        <f>IFERROR(__xludf.DUMMYFUNCTION("""COMPUTED_VALUE"""),"RE")</f>
        <v>RE</v>
      </c>
      <c r="G3590">
        <f>IFERROR(__xludf.DUMMYFUNCTION("""COMPUTED_VALUE"""),15.8)</f>
        <v>15.8</v>
      </c>
    </row>
    <row r="3591">
      <c r="D3591" t="str">
        <f>IFERROR(__xludf.DUMMYFUNCTION("""COMPUTED_VALUE"""),"Lawrence-Stample")</f>
        <v>Lawrence-Stample</v>
      </c>
      <c r="E3591" t="str">
        <f>IFERROR(__xludf.DUMMYFUNCTION("""COMPUTED_VALUE"""),"Nile")</f>
        <v>Nile</v>
      </c>
      <c r="F3591" t="str">
        <f>IFERROR(__xludf.DUMMYFUNCTION("""COMPUTED_VALUE"""),"DT")</f>
        <v>DT</v>
      </c>
      <c r="G3591">
        <f>IFERROR(__xludf.DUMMYFUNCTION("""COMPUTED_VALUE"""),14.0)</f>
        <v>14</v>
      </c>
    </row>
    <row r="3592">
      <c r="D3592" t="str">
        <f>IFERROR(__xludf.DUMMYFUNCTION("""COMPUTED_VALUE"""),"Lawson")</f>
        <v>Lawson</v>
      </c>
      <c r="E3592" t="str">
        <f>IFERROR(__xludf.DUMMYFUNCTION("""COMPUTED_VALUE"""),"Carl")</f>
        <v>Carl</v>
      </c>
      <c r="F3592" t="str">
        <f>IFERROR(__xludf.DUMMYFUNCTION("""COMPUTED_VALUE"""),"LOLB")</f>
        <v>LOLB</v>
      </c>
      <c r="G3592">
        <f>IFERROR(__xludf.DUMMYFUNCTION("""COMPUTED_VALUE"""),13.200000000000001)</f>
        <v>13.2</v>
      </c>
    </row>
    <row r="3593">
      <c r="D3593" t="str">
        <f>IFERROR(__xludf.DUMMYFUNCTION("""COMPUTED_VALUE"""),"Lawson")</f>
        <v>Lawson</v>
      </c>
      <c r="E3593" t="str">
        <f>IFERROR(__xludf.DUMMYFUNCTION("""COMPUTED_VALUE"""),"Nevin")</f>
        <v>Nevin</v>
      </c>
      <c r="F3593" t="str">
        <f>IFERROR(__xludf.DUMMYFUNCTION("""COMPUTED_VALUE"""),"CB")</f>
        <v>CB</v>
      </c>
      <c r="G3593">
        <f>IFERROR(__xludf.DUMMYFUNCTION("""COMPUTED_VALUE"""),16.0)</f>
        <v>16</v>
      </c>
    </row>
    <row r="3594">
      <c r="D3594" t="str">
        <f>IFERROR(__xludf.DUMMYFUNCTION("""COMPUTED_VALUE"""),"Lawson")</f>
        <v>Lawson</v>
      </c>
      <c r="E3594" t="str">
        <f>IFERROR(__xludf.DUMMYFUNCTION("""COMPUTED_VALUE"""),"Shaq")</f>
        <v>Shaq</v>
      </c>
      <c r="F3594" t="str">
        <f>IFERROR(__xludf.DUMMYFUNCTION("""COMPUTED_VALUE"""),"LE")</f>
        <v>LE</v>
      </c>
      <c r="G3594">
        <f>IFERROR(__xludf.DUMMYFUNCTION("""COMPUTED_VALUE"""),15.200000000000001)</f>
        <v>15.2</v>
      </c>
    </row>
    <row r="3595">
      <c r="D3595" t="str">
        <f>IFERROR(__xludf.DUMMYFUNCTION("""COMPUTED_VALUE"""),"Leary")</f>
        <v>Leary</v>
      </c>
      <c r="E3595" t="str">
        <f>IFERROR(__xludf.DUMMYFUNCTION("""COMPUTED_VALUE"""),"Ronald")</f>
        <v>Ronald</v>
      </c>
      <c r="F3595" t="str">
        <f>IFERROR(__xludf.DUMMYFUNCTION("""COMPUTED_VALUE"""),"RG")</f>
        <v>RG</v>
      </c>
      <c r="G3595">
        <f>IFERROR(__xludf.DUMMYFUNCTION("""COMPUTED_VALUE"""),16.6)</f>
        <v>16.6</v>
      </c>
    </row>
    <row r="3596">
      <c r="D3596" t="str">
        <f>IFERROR(__xludf.DUMMYFUNCTION("""COMPUTED_VALUE"""),"LeBlanc")</f>
        <v>LeBlanc</v>
      </c>
      <c r="E3596" t="str">
        <f>IFERROR(__xludf.DUMMYFUNCTION("""COMPUTED_VALUE"""),"CreVon")</f>
        <v>CreVon</v>
      </c>
      <c r="F3596" t="str">
        <f>IFERROR(__xludf.DUMMYFUNCTION("""COMPUTED_VALUE"""),"CB")</f>
        <v>CB</v>
      </c>
      <c r="G3596">
        <f>IFERROR(__xludf.DUMMYFUNCTION("""COMPUTED_VALUE"""),14.200000000000001)</f>
        <v>14.2</v>
      </c>
    </row>
    <row r="3597">
      <c r="D3597" t="str">
        <f>IFERROR(__xludf.DUMMYFUNCTION("""COMPUTED_VALUE"""),"Lechler")</f>
        <v>Lechler</v>
      </c>
      <c r="E3597" t="str">
        <f>IFERROR(__xludf.DUMMYFUNCTION("""COMPUTED_VALUE"""),"Shane")</f>
        <v>Shane</v>
      </c>
      <c r="F3597" t="str">
        <f>IFERROR(__xludf.DUMMYFUNCTION("""COMPUTED_VALUE"""),"P")</f>
        <v>P</v>
      </c>
      <c r="G3597">
        <f>IFERROR(__xludf.DUMMYFUNCTION("""COMPUTED_VALUE"""),16.0)</f>
        <v>16</v>
      </c>
    </row>
    <row r="3598">
      <c r="D3598" t="str">
        <f>IFERROR(__xludf.DUMMYFUNCTION("""COMPUTED_VALUE"""),"Ledbetter")</f>
        <v>Ledbetter</v>
      </c>
      <c r="E3598" t="str">
        <f>IFERROR(__xludf.DUMMYFUNCTION("""COMPUTED_VALUE"""),"Jeremiah")</f>
        <v>Jeremiah</v>
      </c>
      <c r="F3598" t="str">
        <f>IFERROR(__xludf.DUMMYFUNCTION("""COMPUTED_VALUE"""),"DT")</f>
        <v>DT</v>
      </c>
      <c r="G3598">
        <f>IFERROR(__xludf.DUMMYFUNCTION("""COMPUTED_VALUE"""),12.600000000000001)</f>
        <v>12.6</v>
      </c>
    </row>
    <row r="3599">
      <c r="D3599" t="str">
        <f>IFERROR(__xludf.DUMMYFUNCTION("""COMPUTED_VALUE"""),"Lee")</f>
        <v>Lee</v>
      </c>
      <c r="E3599" t="str">
        <f>IFERROR(__xludf.DUMMYFUNCTION("""COMPUTED_VALUE"""),"Andy")</f>
        <v>Andy</v>
      </c>
      <c r="F3599" t="str">
        <f>IFERROR(__xludf.DUMMYFUNCTION("""COMPUTED_VALUE"""),"P")</f>
        <v>P</v>
      </c>
      <c r="G3599">
        <f>IFERROR(__xludf.DUMMYFUNCTION("""COMPUTED_VALUE"""),15.8)</f>
        <v>15.8</v>
      </c>
    </row>
    <row r="3600">
      <c r="D3600" t="str">
        <f>IFERROR(__xludf.DUMMYFUNCTION("""COMPUTED_VALUE"""),"Lee")</f>
        <v>Lee</v>
      </c>
      <c r="E3600" t="str">
        <f>IFERROR(__xludf.DUMMYFUNCTION("""COMPUTED_VALUE"""),"Darron")</f>
        <v>Darron</v>
      </c>
      <c r="F3600" t="str">
        <f>IFERROR(__xludf.DUMMYFUNCTION("""COMPUTED_VALUE"""),"MLB")</f>
        <v>MLB</v>
      </c>
      <c r="G3600">
        <f>IFERROR(__xludf.DUMMYFUNCTION("""COMPUTED_VALUE"""),14.4)</f>
        <v>14.4</v>
      </c>
    </row>
    <row r="3601">
      <c r="D3601" t="str">
        <f>IFERROR(__xludf.DUMMYFUNCTION("""COMPUTED_VALUE"""),"Lee")</f>
        <v>Lee</v>
      </c>
      <c r="E3601" t="str">
        <f>IFERROR(__xludf.DUMMYFUNCTION("""COMPUTED_VALUE"""),"Elijah")</f>
        <v>Elijah</v>
      </c>
      <c r="F3601" t="str">
        <f>IFERROR(__xludf.DUMMYFUNCTION("""COMPUTED_VALUE"""),"ROLB")</f>
        <v>ROLB</v>
      </c>
      <c r="G3601">
        <f>IFERROR(__xludf.DUMMYFUNCTION("""COMPUTED_VALUE"""),13.0)</f>
        <v>13</v>
      </c>
    </row>
    <row r="3602">
      <c r="D3602" t="str">
        <f>IFERROR(__xludf.DUMMYFUNCTION("""COMPUTED_VALUE"""),"Lee")</f>
        <v>Lee</v>
      </c>
      <c r="E3602" t="str">
        <f>IFERROR(__xludf.DUMMYFUNCTION("""COMPUTED_VALUE"""),"Khari")</f>
        <v>Khari</v>
      </c>
      <c r="F3602" t="str">
        <f>IFERROR(__xludf.DUMMYFUNCTION("""COMPUTED_VALUE"""),"TE")</f>
        <v>TE</v>
      </c>
      <c r="G3602">
        <f>IFERROR(__xludf.DUMMYFUNCTION("""COMPUTED_VALUE"""),14.4)</f>
        <v>14.4</v>
      </c>
    </row>
    <row r="3603">
      <c r="D3603" t="str">
        <f>IFERROR(__xludf.DUMMYFUNCTION("""COMPUTED_VALUE"""),"Lee")</f>
        <v>Lee</v>
      </c>
      <c r="E3603" t="str">
        <f>IFERROR(__xludf.DUMMYFUNCTION("""COMPUTED_VALUE"""),"Marqise")</f>
        <v>Marqise</v>
      </c>
      <c r="F3603" t="str">
        <f>IFERROR(__xludf.DUMMYFUNCTION("""COMPUTED_VALUE"""),"WR")</f>
        <v>WR</v>
      </c>
      <c r="G3603">
        <f>IFERROR(__xludf.DUMMYFUNCTION("""COMPUTED_VALUE"""),16.0)</f>
        <v>16</v>
      </c>
    </row>
    <row r="3604">
      <c r="D3604" t="str">
        <f>IFERROR(__xludf.DUMMYFUNCTION("""COMPUTED_VALUE"""),"Lee")</f>
        <v>Lee</v>
      </c>
      <c r="E3604" t="str">
        <f>IFERROR(__xludf.DUMMYFUNCTION("""COMPUTED_VALUE"""),"Marquel")</f>
        <v>Marquel</v>
      </c>
      <c r="F3604" t="str">
        <f>IFERROR(__xludf.DUMMYFUNCTION("""COMPUTED_VALUE"""),"MLB")</f>
        <v>MLB</v>
      </c>
      <c r="G3604">
        <f>IFERROR(__xludf.DUMMYFUNCTION("""COMPUTED_VALUE"""),12.600000000000001)</f>
        <v>12.6</v>
      </c>
    </row>
    <row r="3605">
      <c r="D3605" t="str">
        <f>IFERROR(__xludf.DUMMYFUNCTION("""COMPUTED_VALUE"""),"Lee")</f>
        <v>Lee</v>
      </c>
      <c r="E3605" t="str">
        <f>IFERROR(__xludf.DUMMYFUNCTION("""COMPUTED_VALUE"""),"Sean")</f>
        <v>Sean</v>
      </c>
      <c r="F3605" t="str">
        <f>IFERROR(__xludf.DUMMYFUNCTION("""COMPUTED_VALUE"""),"ROLB")</f>
        <v>ROLB</v>
      </c>
      <c r="G3605">
        <f>IFERROR(__xludf.DUMMYFUNCTION("""COMPUTED_VALUE"""),18.2)</f>
        <v>18.2</v>
      </c>
    </row>
    <row r="3606">
      <c r="D3606" t="str">
        <f>IFERROR(__xludf.DUMMYFUNCTION("""COMPUTED_VALUE"""),"Leff")</f>
        <v>Leff</v>
      </c>
      <c r="E3606" t="str">
        <f>IFERROR(__xludf.DUMMYFUNCTION("""COMPUTED_VALUE"""),"Robert")</f>
        <v>Robert</v>
      </c>
      <c r="F3606" t="str">
        <f>IFERROR(__xludf.DUMMYFUNCTION("""COMPUTED_VALUE"""),"RT")</f>
        <v>RT</v>
      </c>
      <c r="G3606">
        <f>IFERROR(__xludf.DUMMYFUNCTION("""COMPUTED_VALUE"""),12.600000000000001)</f>
        <v>12.6</v>
      </c>
    </row>
    <row r="3607">
      <c r="D3607" t="str">
        <f>IFERROR(__xludf.DUMMYFUNCTION("""COMPUTED_VALUE"""),"Leggett")</f>
        <v>Leggett</v>
      </c>
      <c r="E3607" t="str">
        <f>IFERROR(__xludf.DUMMYFUNCTION("""COMPUTED_VALUE"""),"Jordan")</f>
        <v>Jordan</v>
      </c>
      <c r="F3607" t="str">
        <f>IFERROR(__xludf.DUMMYFUNCTION("""COMPUTED_VALUE"""),"TE")</f>
        <v>TE</v>
      </c>
      <c r="G3607">
        <f>IFERROR(__xludf.DUMMYFUNCTION("""COMPUTED_VALUE"""),14.4)</f>
        <v>14.4</v>
      </c>
    </row>
    <row r="3608">
      <c r="D3608" t="str">
        <f>IFERROR(__xludf.DUMMYFUNCTION("""COMPUTED_VALUE"""),"Lelito")</f>
        <v>Lelito</v>
      </c>
      <c r="E3608" t="str">
        <f>IFERROR(__xludf.DUMMYFUNCTION("""COMPUTED_VALUE"""),"Tim")</f>
        <v>Tim</v>
      </c>
      <c r="F3608" t="str">
        <f>IFERROR(__xludf.DUMMYFUNCTION("""COMPUTED_VALUE"""),"C")</f>
        <v>C</v>
      </c>
      <c r="G3608">
        <f>IFERROR(__xludf.DUMMYFUNCTION("""COMPUTED_VALUE"""),14.0)</f>
        <v>14</v>
      </c>
    </row>
    <row r="3609">
      <c r="D3609" t="str">
        <f>IFERROR(__xludf.DUMMYFUNCTION("""COMPUTED_VALUE"""),"Lemonier")</f>
        <v>Lemonier</v>
      </c>
      <c r="E3609" t="str">
        <f>IFERROR(__xludf.DUMMYFUNCTION("""COMPUTED_VALUE"""),"Corey")</f>
        <v>Corey</v>
      </c>
      <c r="F3609" t="str">
        <f>IFERROR(__xludf.DUMMYFUNCTION("""COMPUTED_VALUE"""),"LOLB")</f>
        <v>LOLB</v>
      </c>
      <c r="G3609">
        <f>IFERROR(__xludf.DUMMYFUNCTION("""COMPUTED_VALUE"""),13.0)</f>
        <v>13</v>
      </c>
    </row>
    <row r="3610">
      <c r="D3610" t="str">
        <f>IFERROR(__xludf.DUMMYFUNCTION("""COMPUTED_VALUE"""),"Lengel")</f>
        <v>Lengel</v>
      </c>
      <c r="E3610" t="str">
        <f>IFERROR(__xludf.DUMMYFUNCTION("""COMPUTED_VALUE"""),"Matt")</f>
        <v>Matt</v>
      </c>
      <c r="F3610" t="str">
        <f>IFERROR(__xludf.DUMMYFUNCTION("""COMPUTED_VALUE"""),"TE")</f>
        <v>TE</v>
      </c>
      <c r="G3610">
        <f>IFERROR(__xludf.DUMMYFUNCTION("""COMPUTED_VALUE"""),13.8)</f>
        <v>13.8</v>
      </c>
    </row>
    <row r="3611">
      <c r="D3611" t="str">
        <f>IFERROR(__xludf.DUMMYFUNCTION("""COMPUTED_VALUE"""),"Leno Jr")</f>
        <v>Leno Jr</v>
      </c>
      <c r="E3611" t="str">
        <f>IFERROR(__xludf.DUMMYFUNCTION("""COMPUTED_VALUE"""),"Charles")</f>
        <v>Charles</v>
      </c>
      <c r="F3611" t="str">
        <f>IFERROR(__xludf.DUMMYFUNCTION("""COMPUTED_VALUE"""),"LT")</f>
        <v>LT</v>
      </c>
      <c r="G3611">
        <f>IFERROR(__xludf.DUMMYFUNCTION("""COMPUTED_VALUE"""),14.600000000000001)</f>
        <v>14.6</v>
      </c>
    </row>
    <row r="3612">
      <c r="D3612" t="str">
        <f>IFERROR(__xludf.DUMMYFUNCTION("""COMPUTED_VALUE"""),"LeRibeus")</f>
        <v>LeRibeus</v>
      </c>
      <c r="E3612" t="str">
        <f>IFERROR(__xludf.DUMMYFUNCTION("""COMPUTED_VALUE"""),"Josh")</f>
        <v>Josh</v>
      </c>
      <c r="F3612" t="str">
        <f>IFERROR(__xludf.DUMMYFUNCTION("""COMPUTED_VALUE"""),"LG")</f>
        <v>LG</v>
      </c>
      <c r="G3612">
        <f>IFERROR(__xludf.DUMMYFUNCTION("""COMPUTED_VALUE"""),13.8)</f>
        <v>13.8</v>
      </c>
    </row>
    <row r="3613">
      <c r="D3613" t="str">
        <f>IFERROR(__xludf.DUMMYFUNCTION("""COMPUTED_VALUE"""),"Levin")</f>
        <v>Levin</v>
      </c>
      <c r="E3613" t="str">
        <f>IFERROR(__xludf.DUMMYFUNCTION("""COMPUTED_VALUE"""),"Corey")</f>
        <v>Corey</v>
      </c>
      <c r="F3613" t="str">
        <f>IFERROR(__xludf.DUMMYFUNCTION("""COMPUTED_VALUE"""),"RG")</f>
        <v>RG</v>
      </c>
      <c r="G3613">
        <f>IFERROR(__xludf.DUMMYFUNCTION("""COMPUTED_VALUE"""),13.4)</f>
        <v>13.4</v>
      </c>
    </row>
    <row r="3614">
      <c r="D3614" t="str">
        <f>IFERROR(__xludf.DUMMYFUNCTION("""COMPUTED_VALUE"""),"Levine Sr")</f>
        <v>Levine Sr</v>
      </c>
      <c r="E3614" t="str">
        <f>IFERROR(__xludf.DUMMYFUNCTION("""COMPUTED_VALUE"""),"Anthony")</f>
        <v>Anthony</v>
      </c>
      <c r="F3614" t="str">
        <f>IFERROR(__xludf.DUMMYFUNCTION("""COMPUTED_VALUE"""),"SS")</f>
        <v>SS</v>
      </c>
      <c r="G3614">
        <f>IFERROR(__xludf.DUMMYFUNCTION("""COMPUTED_VALUE"""),14.0)</f>
        <v>14</v>
      </c>
    </row>
    <row r="3615">
      <c r="D3615" t="str">
        <f>IFERROR(__xludf.DUMMYFUNCTION("""COMPUTED_VALUE"""),"Levitre")</f>
        <v>Levitre</v>
      </c>
      <c r="E3615" t="str">
        <f>IFERROR(__xludf.DUMMYFUNCTION("""COMPUTED_VALUE"""),"Andy")</f>
        <v>Andy</v>
      </c>
      <c r="F3615" t="str">
        <f>IFERROR(__xludf.DUMMYFUNCTION("""COMPUTED_VALUE"""),"LG")</f>
        <v>LG</v>
      </c>
      <c r="G3615">
        <f>IFERROR(__xludf.DUMMYFUNCTION("""COMPUTED_VALUE"""),16.8)</f>
        <v>16.8</v>
      </c>
    </row>
    <row r="3616">
      <c r="D3616" t="str">
        <f>IFERROR(__xludf.DUMMYFUNCTION("""COMPUTED_VALUE"""),"Lewan")</f>
        <v>Lewan</v>
      </c>
      <c r="E3616" t="str">
        <f>IFERROR(__xludf.DUMMYFUNCTION("""COMPUTED_VALUE"""),"Taylor")</f>
        <v>Taylor</v>
      </c>
      <c r="F3616" t="str">
        <f>IFERROR(__xludf.DUMMYFUNCTION("""COMPUTED_VALUE"""),"LT")</f>
        <v>LT</v>
      </c>
      <c r="G3616">
        <f>IFERROR(__xludf.DUMMYFUNCTION("""COMPUTED_VALUE"""),17.6)</f>
        <v>17.6</v>
      </c>
    </row>
    <row r="3617">
      <c r="D3617" t="str">
        <f>IFERROR(__xludf.DUMMYFUNCTION("""COMPUTED_VALUE"""),"Lewis")</f>
        <v>Lewis</v>
      </c>
      <c r="E3617" t="str">
        <f>IFERROR(__xludf.DUMMYFUNCTION("""COMPUTED_VALUE"""),"Alex")</f>
        <v>Alex</v>
      </c>
      <c r="F3617" t="str">
        <f>IFERROR(__xludf.DUMMYFUNCTION("""COMPUTED_VALUE"""),"LG")</f>
        <v>LG</v>
      </c>
      <c r="G3617">
        <f>IFERROR(__xludf.DUMMYFUNCTION("""COMPUTED_VALUE"""),14.0)</f>
        <v>14</v>
      </c>
    </row>
    <row r="3618">
      <c r="D3618" t="str">
        <f>IFERROR(__xludf.DUMMYFUNCTION("""COMPUTED_VALUE"""),"Lewis")</f>
        <v>Lewis</v>
      </c>
      <c r="E3618" t="str">
        <f>IFERROR(__xludf.DUMMYFUNCTION("""COMPUTED_VALUE"""),"Dezmin")</f>
        <v>Dezmin</v>
      </c>
      <c r="F3618" t="str">
        <f>IFERROR(__xludf.DUMMYFUNCTION("""COMPUTED_VALUE"""),"WR")</f>
        <v>WR</v>
      </c>
      <c r="G3618">
        <f>IFERROR(__xludf.DUMMYFUNCTION("""COMPUTED_VALUE"""),13.0)</f>
        <v>13</v>
      </c>
    </row>
    <row r="3619">
      <c r="D3619" t="str">
        <f>IFERROR(__xludf.DUMMYFUNCTION("""COMPUTED_VALUE"""),"Lewis")</f>
        <v>Lewis</v>
      </c>
      <c r="E3619" t="str">
        <f>IFERROR(__xludf.DUMMYFUNCTION("""COMPUTED_VALUE"""),"Dion")</f>
        <v>Dion</v>
      </c>
      <c r="F3619" t="str">
        <f>IFERROR(__xludf.DUMMYFUNCTION("""COMPUTED_VALUE"""),"HB")</f>
        <v>HB</v>
      </c>
      <c r="G3619">
        <f>IFERROR(__xludf.DUMMYFUNCTION("""COMPUTED_VALUE"""),16.400000000000002)</f>
        <v>16.4</v>
      </c>
    </row>
    <row r="3620">
      <c r="D3620" t="str">
        <f>IFERROR(__xludf.DUMMYFUNCTION("""COMPUTED_VALUE"""),"Lewis")</f>
        <v>Lewis</v>
      </c>
      <c r="E3620" t="str">
        <f>IFERROR(__xludf.DUMMYFUNCTION("""COMPUTED_VALUE"""),"Jourdan")</f>
        <v>Jourdan</v>
      </c>
      <c r="F3620" t="str">
        <f>IFERROR(__xludf.DUMMYFUNCTION("""COMPUTED_VALUE"""),"CB")</f>
        <v>CB</v>
      </c>
      <c r="G3620">
        <f>IFERROR(__xludf.DUMMYFUNCTION("""COMPUTED_VALUE"""),15.0)</f>
        <v>15</v>
      </c>
    </row>
    <row r="3621">
      <c r="D3621" t="str">
        <f>IFERROR(__xludf.DUMMYFUNCTION("""COMPUTED_VALUE"""),"Lewis")</f>
        <v>Lewis</v>
      </c>
      <c r="E3621" t="str">
        <f>IFERROR(__xludf.DUMMYFUNCTION("""COMPUTED_VALUE"""),"LaTroy")</f>
        <v>LaTroy</v>
      </c>
      <c r="F3621" t="str">
        <f>IFERROR(__xludf.DUMMYFUNCTION("""COMPUTED_VALUE"""),"LOLB")</f>
        <v>LOLB</v>
      </c>
      <c r="G3621">
        <f>IFERROR(__xludf.DUMMYFUNCTION("""COMPUTED_VALUE"""),12.4)</f>
        <v>12.4</v>
      </c>
    </row>
    <row r="3622">
      <c r="D3622" t="str">
        <f>IFERROR(__xludf.DUMMYFUNCTION("""COMPUTED_VALUE"""),"Lewis")</f>
        <v>Lewis</v>
      </c>
      <c r="E3622" t="str">
        <f>IFERROR(__xludf.DUMMYFUNCTION("""COMPUTED_VALUE"""),"Marcedes")</f>
        <v>Marcedes</v>
      </c>
      <c r="F3622" t="str">
        <f>IFERROR(__xludf.DUMMYFUNCTION("""COMPUTED_VALUE"""),"TE")</f>
        <v>TE</v>
      </c>
      <c r="G3622">
        <f>IFERROR(__xludf.DUMMYFUNCTION("""COMPUTED_VALUE"""),15.4)</f>
        <v>15.4</v>
      </c>
    </row>
    <row r="3623">
      <c r="D3623" t="str">
        <f>IFERROR(__xludf.DUMMYFUNCTION("""COMPUTED_VALUE"""),"Lewis")</f>
        <v>Lewis</v>
      </c>
      <c r="E3623" t="str">
        <f>IFERROR(__xludf.DUMMYFUNCTION("""COMPUTED_VALUE"""),"Marquavius")</f>
        <v>Marquavius</v>
      </c>
      <c r="F3623" t="str">
        <f>IFERROR(__xludf.DUMMYFUNCTION("""COMPUTED_VALUE"""),"RE")</f>
        <v>RE</v>
      </c>
      <c r="G3623">
        <f>IFERROR(__xludf.DUMMYFUNCTION("""COMPUTED_VALUE"""),12.200000000000001)</f>
        <v>12.2</v>
      </c>
    </row>
    <row r="3624">
      <c r="D3624" t="str">
        <f>IFERROR(__xludf.DUMMYFUNCTION("""COMPUTED_VALUE"""),"Lewis")</f>
        <v>Lewis</v>
      </c>
      <c r="E3624" t="str">
        <f>IFERROR(__xludf.DUMMYFUNCTION("""COMPUTED_VALUE"""),"Patrick")</f>
        <v>Patrick</v>
      </c>
      <c r="F3624" t="str">
        <f>IFERROR(__xludf.DUMMYFUNCTION("""COMPUTED_VALUE"""),"C")</f>
        <v>C</v>
      </c>
      <c r="G3624">
        <f>IFERROR(__xludf.DUMMYFUNCTION("""COMPUTED_VALUE"""),14.0)</f>
        <v>14</v>
      </c>
    </row>
    <row r="3625">
      <c r="D3625" t="str">
        <f>IFERROR(__xludf.DUMMYFUNCTION("""COMPUTED_VALUE"""),"Lewis")</f>
        <v>Lewis</v>
      </c>
      <c r="E3625" t="str">
        <f>IFERROR(__xludf.DUMMYFUNCTION("""COMPUTED_VALUE"""),"Tommylee")</f>
        <v>Tommylee</v>
      </c>
      <c r="F3625" t="str">
        <f>IFERROR(__xludf.DUMMYFUNCTION("""COMPUTED_VALUE"""),"WR")</f>
        <v>WR</v>
      </c>
      <c r="G3625">
        <f>IFERROR(__xludf.DUMMYFUNCTION("""COMPUTED_VALUE"""),12.4)</f>
        <v>12.4</v>
      </c>
    </row>
    <row r="3626">
      <c r="D3626" t="str">
        <f>IFERROR(__xludf.DUMMYFUNCTION("""COMPUTED_VALUE"""),"Lewis Jr")</f>
        <v>Lewis Jr</v>
      </c>
      <c r="E3626" t="str">
        <f>IFERROR(__xludf.DUMMYFUNCTION("""COMPUTED_VALUE"""),"Roger")</f>
        <v>Roger</v>
      </c>
      <c r="F3626" t="str">
        <f>IFERROR(__xludf.DUMMYFUNCTION("""COMPUTED_VALUE"""),"WR")</f>
        <v>WR</v>
      </c>
      <c r="G3626">
        <f>IFERROR(__xludf.DUMMYFUNCTION("""COMPUTED_VALUE"""),13.4)</f>
        <v>13.4</v>
      </c>
    </row>
    <row r="3627">
      <c r="D3627" t="str">
        <f>IFERROR(__xludf.DUMMYFUNCTION("""COMPUTED_VALUE"""),"Lewis-Harris")</f>
        <v>Lewis-Harris</v>
      </c>
      <c r="E3627" t="str">
        <f>IFERROR(__xludf.DUMMYFUNCTION("""COMPUTED_VALUE"""),"Chris")</f>
        <v>Chris</v>
      </c>
      <c r="F3627" t="str">
        <f>IFERROR(__xludf.DUMMYFUNCTION("""COMPUTED_VALUE"""),"CB")</f>
        <v>CB</v>
      </c>
      <c r="G3627">
        <f>IFERROR(__xludf.DUMMYFUNCTION("""COMPUTED_VALUE"""),13.600000000000001)</f>
        <v>13.6</v>
      </c>
    </row>
    <row r="3628">
      <c r="D3628" t="str">
        <f>IFERROR(__xludf.DUMMYFUNCTION("""COMPUTED_VALUE"""),"Lewis-Moore")</f>
        <v>Lewis-Moore</v>
      </c>
      <c r="E3628" t="str">
        <f>IFERROR(__xludf.DUMMYFUNCTION("""COMPUTED_VALUE"""),"Kapron")</f>
        <v>Kapron</v>
      </c>
      <c r="F3628" t="str">
        <f>IFERROR(__xludf.DUMMYFUNCTION("""COMPUTED_VALUE"""),"LE")</f>
        <v>LE</v>
      </c>
      <c r="G3628">
        <f>IFERROR(__xludf.DUMMYFUNCTION("""COMPUTED_VALUE"""),12.200000000000001)</f>
        <v>12.2</v>
      </c>
    </row>
    <row r="3629">
      <c r="D3629" t="str">
        <f>IFERROR(__xludf.DUMMYFUNCTION("""COMPUTED_VALUE"""),"Liedtke")</f>
        <v>Liedtke</v>
      </c>
      <c r="E3629" t="str">
        <f>IFERROR(__xludf.DUMMYFUNCTION("""COMPUTED_VALUE"""),"Mike")</f>
        <v>Mike</v>
      </c>
      <c r="F3629" t="str">
        <f>IFERROR(__xludf.DUMMYFUNCTION("""COMPUTED_VALUE"""),"LG")</f>
        <v>LG</v>
      </c>
      <c r="G3629">
        <f>IFERROR(__xludf.DUMMYFUNCTION("""COMPUTED_VALUE"""),13.0)</f>
        <v>13</v>
      </c>
    </row>
    <row r="3630">
      <c r="D3630" t="str">
        <f>IFERROR(__xludf.DUMMYFUNCTION("""COMPUTED_VALUE"""),"Linder")</f>
        <v>Linder</v>
      </c>
      <c r="E3630" t="str">
        <f>IFERROR(__xludf.DUMMYFUNCTION("""COMPUTED_VALUE"""),"Brandon")</f>
        <v>Brandon</v>
      </c>
      <c r="F3630" t="str">
        <f>IFERROR(__xludf.DUMMYFUNCTION("""COMPUTED_VALUE"""),"C")</f>
        <v>C</v>
      </c>
      <c r="G3630">
        <f>IFERROR(__xludf.DUMMYFUNCTION("""COMPUTED_VALUE"""),17.0)</f>
        <v>17</v>
      </c>
    </row>
    <row r="3631">
      <c r="D3631" t="str">
        <f>IFERROR(__xludf.DUMMYFUNCTION("""COMPUTED_VALUE"""),"Linsley")</f>
        <v>Linsley</v>
      </c>
      <c r="E3631" t="str">
        <f>IFERROR(__xludf.DUMMYFUNCTION("""COMPUTED_VALUE"""),"Corey")</f>
        <v>Corey</v>
      </c>
      <c r="F3631" t="str">
        <f>IFERROR(__xludf.DUMMYFUNCTION("""COMPUTED_VALUE"""),"C")</f>
        <v>C</v>
      </c>
      <c r="G3631">
        <f>IFERROR(__xludf.DUMMYFUNCTION("""COMPUTED_VALUE"""),16.400000000000002)</f>
        <v>16.4</v>
      </c>
    </row>
    <row r="3632">
      <c r="D3632" t="str">
        <f>IFERROR(__xludf.DUMMYFUNCTION("""COMPUTED_VALUE"""),"Lippett")</f>
        <v>Lippett</v>
      </c>
      <c r="E3632" t="str">
        <f>IFERROR(__xludf.DUMMYFUNCTION("""COMPUTED_VALUE"""),"Tony")</f>
        <v>Tony</v>
      </c>
      <c r="F3632" t="str">
        <f>IFERROR(__xludf.DUMMYFUNCTION("""COMPUTED_VALUE"""),"CB")</f>
        <v>CB</v>
      </c>
      <c r="G3632">
        <f>IFERROR(__xludf.DUMMYFUNCTION("""COMPUTED_VALUE"""),15.200000000000001)</f>
        <v>15.2</v>
      </c>
    </row>
    <row r="3633">
      <c r="D3633" t="str">
        <f>IFERROR(__xludf.DUMMYFUNCTION("""COMPUTED_VALUE"""),"Littleton")</f>
        <v>Littleton</v>
      </c>
      <c r="E3633" t="str">
        <f>IFERROR(__xludf.DUMMYFUNCTION("""COMPUTED_VALUE"""),"Cory")</f>
        <v>Cory</v>
      </c>
      <c r="F3633" t="str">
        <f>IFERROR(__xludf.DUMMYFUNCTION("""COMPUTED_VALUE"""),"ROLB")</f>
        <v>ROLB</v>
      </c>
      <c r="G3633">
        <f>IFERROR(__xludf.DUMMYFUNCTION("""COMPUTED_VALUE"""),12.4)</f>
        <v>12.4</v>
      </c>
    </row>
    <row r="3634">
      <c r="D3634" t="str">
        <f>IFERROR(__xludf.DUMMYFUNCTION("""COMPUTED_VALUE"""),"Liuget")</f>
        <v>Liuget</v>
      </c>
      <c r="E3634" t="str">
        <f>IFERROR(__xludf.DUMMYFUNCTION("""COMPUTED_VALUE"""),"Corey")</f>
        <v>Corey</v>
      </c>
      <c r="F3634" t="str">
        <f>IFERROR(__xludf.DUMMYFUNCTION("""COMPUTED_VALUE"""),"DT")</f>
        <v>DT</v>
      </c>
      <c r="G3634">
        <f>IFERROR(__xludf.DUMMYFUNCTION("""COMPUTED_VALUE"""),16.0)</f>
        <v>16</v>
      </c>
    </row>
    <row r="3635">
      <c r="D3635" t="str">
        <f>IFERROR(__xludf.DUMMYFUNCTION("""COMPUTED_VALUE"""),"Locke")</f>
        <v>Locke</v>
      </c>
      <c r="E3635" t="str">
        <f>IFERROR(__xludf.DUMMYFUNCTION("""COMPUTED_VALUE"""),"Jeff")</f>
        <v>Jeff</v>
      </c>
      <c r="F3635" t="str">
        <f>IFERROR(__xludf.DUMMYFUNCTION("""COMPUTED_VALUE"""),"P")</f>
        <v>P</v>
      </c>
      <c r="G3635">
        <f>IFERROR(__xludf.DUMMYFUNCTION("""COMPUTED_VALUE"""),15.0)</f>
        <v>15</v>
      </c>
    </row>
    <row r="3636">
      <c r="D3636" t="str">
        <f>IFERROR(__xludf.DUMMYFUNCTION("""COMPUTED_VALUE"""),"Lockett")</f>
        <v>Lockett</v>
      </c>
      <c r="E3636" t="str">
        <f>IFERROR(__xludf.DUMMYFUNCTION("""COMPUTED_VALUE"""),"Tyler")</f>
        <v>Tyler</v>
      </c>
      <c r="F3636" t="str">
        <f>IFERROR(__xludf.DUMMYFUNCTION("""COMPUTED_VALUE"""),"WR")</f>
        <v>WR</v>
      </c>
      <c r="G3636">
        <f>IFERROR(__xludf.DUMMYFUNCTION("""COMPUTED_VALUE"""),16.0)</f>
        <v>16</v>
      </c>
    </row>
    <row r="3637">
      <c r="D3637" t="str">
        <f>IFERROR(__xludf.DUMMYFUNCTION("""COMPUTED_VALUE"""),"Logan")</f>
        <v>Logan</v>
      </c>
      <c r="E3637" t="str">
        <f>IFERROR(__xludf.DUMMYFUNCTION("""COMPUTED_VALUE"""),"Bennie")</f>
        <v>Bennie</v>
      </c>
      <c r="F3637" t="str">
        <f>IFERROR(__xludf.DUMMYFUNCTION("""COMPUTED_VALUE"""),"DT")</f>
        <v>DT</v>
      </c>
      <c r="G3637">
        <f>IFERROR(__xludf.DUMMYFUNCTION("""COMPUTED_VALUE"""),15.600000000000001)</f>
        <v>15.6</v>
      </c>
    </row>
    <row r="3638">
      <c r="D3638" t="str">
        <f>IFERROR(__xludf.DUMMYFUNCTION("""COMPUTED_VALUE"""),"Logan")</f>
        <v>Logan</v>
      </c>
      <c r="E3638" t="str">
        <f>IFERROR(__xludf.DUMMYFUNCTION("""COMPUTED_VALUE"""),"TJ")</f>
        <v>TJ</v>
      </c>
      <c r="F3638" t="str">
        <f>IFERROR(__xludf.DUMMYFUNCTION("""COMPUTED_VALUE"""),"HB")</f>
        <v>HB</v>
      </c>
      <c r="G3638">
        <f>IFERROR(__xludf.DUMMYFUNCTION("""COMPUTED_VALUE"""),13.8)</f>
        <v>13.8</v>
      </c>
    </row>
    <row r="3639">
      <c r="D3639" t="str">
        <f>IFERROR(__xludf.DUMMYFUNCTION("""COMPUTED_VALUE"""),"Long")</f>
        <v>Long</v>
      </c>
      <c r="E3639" t="str">
        <f>IFERROR(__xludf.DUMMYFUNCTION("""COMPUTED_VALUE"""),"Chris")</f>
        <v>Chris</v>
      </c>
      <c r="F3639" t="str">
        <f>IFERROR(__xludf.DUMMYFUNCTION("""COMPUTED_VALUE"""),"LE")</f>
        <v>LE</v>
      </c>
      <c r="G3639">
        <f>IFERROR(__xludf.DUMMYFUNCTION("""COMPUTED_VALUE"""),16.0)</f>
        <v>16</v>
      </c>
    </row>
    <row r="3640">
      <c r="D3640" t="str">
        <f>IFERROR(__xludf.DUMMYFUNCTION("""COMPUTED_VALUE"""),"Long")</f>
        <v>Long</v>
      </c>
      <c r="E3640" t="str">
        <f>IFERROR(__xludf.DUMMYFUNCTION("""COMPUTED_VALUE"""),"Kyle")</f>
        <v>Kyle</v>
      </c>
      <c r="F3640" t="str">
        <f>IFERROR(__xludf.DUMMYFUNCTION("""COMPUTED_VALUE"""),"RG")</f>
        <v>RG</v>
      </c>
      <c r="G3640">
        <f>IFERROR(__xludf.DUMMYFUNCTION("""COMPUTED_VALUE"""),16.0)</f>
        <v>16</v>
      </c>
    </row>
    <row r="3641">
      <c r="D3641" t="str">
        <f>IFERROR(__xludf.DUMMYFUNCTION("""COMPUTED_VALUE"""),"Long")</f>
        <v>Long</v>
      </c>
      <c r="E3641" t="str">
        <f>IFERROR(__xludf.DUMMYFUNCTION("""COMPUTED_VALUE"""),"Spencer")</f>
        <v>Spencer</v>
      </c>
      <c r="F3641" t="str">
        <f>IFERROR(__xludf.DUMMYFUNCTION("""COMPUTED_VALUE"""),"C")</f>
        <v>C</v>
      </c>
      <c r="G3641">
        <f>IFERROR(__xludf.DUMMYFUNCTION("""COMPUTED_VALUE"""),15.600000000000001)</f>
        <v>15.6</v>
      </c>
    </row>
    <row r="3642">
      <c r="D3642" t="str">
        <f>IFERROR(__xludf.DUMMYFUNCTION("""COMPUTED_VALUE"""),"Longa")</f>
        <v>Longa</v>
      </c>
      <c r="E3642" t="str">
        <f>IFERROR(__xludf.DUMMYFUNCTION("""COMPUTED_VALUE"""),"Steve")</f>
        <v>Steve</v>
      </c>
      <c r="F3642" t="str">
        <f>IFERROR(__xludf.DUMMYFUNCTION("""COMPUTED_VALUE"""),"ROLB")</f>
        <v>ROLB</v>
      </c>
      <c r="G3642">
        <f>IFERROR(__xludf.DUMMYFUNCTION("""COMPUTED_VALUE"""),12.4)</f>
        <v>12.4</v>
      </c>
    </row>
    <row r="3643">
      <c r="D3643" t="str">
        <f>IFERROR(__xludf.DUMMYFUNCTION("""COMPUTED_VALUE"""),"Longacre")</f>
        <v>Longacre</v>
      </c>
      <c r="E3643" t="str">
        <f>IFERROR(__xludf.DUMMYFUNCTION("""COMPUTED_VALUE"""),"Matt")</f>
        <v>Matt</v>
      </c>
      <c r="F3643" t="str">
        <f>IFERROR(__xludf.DUMMYFUNCTION("""COMPUTED_VALUE"""),"LE")</f>
        <v>LE</v>
      </c>
      <c r="G3643">
        <f>IFERROR(__xludf.DUMMYFUNCTION("""COMPUTED_VALUE"""),12.600000000000001)</f>
        <v>12.6</v>
      </c>
    </row>
    <row r="3644">
      <c r="D3644" t="str">
        <f>IFERROR(__xludf.DUMMYFUNCTION("""COMPUTED_VALUE"""),"Looney")</f>
        <v>Looney</v>
      </c>
      <c r="E3644" t="str">
        <f>IFERROR(__xludf.DUMMYFUNCTION("""COMPUTED_VALUE"""),"Joe")</f>
        <v>Joe</v>
      </c>
      <c r="F3644" t="str">
        <f>IFERROR(__xludf.DUMMYFUNCTION("""COMPUTED_VALUE"""),"C")</f>
        <v>C</v>
      </c>
      <c r="G3644">
        <f>IFERROR(__xludf.DUMMYFUNCTION("""COMPUTED_VALUE"""),13.200000000000001)</f>
        <v>13.2</v>
      </c>
    </row>
    <row r="3645">
      <c r="D3645" t="str">
        <f>IFERROR(__xludf.DUMMYFUNCTION("""COMPUTED_VALUE"""),"Lotulelei")</f>
        <v>Lotulelei</v>
      </c>
      <c r="E3645" t="str">
        <f>IFERROR(__xludf.DUMMYFUNCTION("""COMPUTED_VALUE"""),"John")</f>
        <v>John</v>
      </c>
      <c r="F3645" t="str">
        <f>IFERROR(__xludf.DUMMYFUNCTION("""COMPUTED_VALUE"""),"ROLB")</f>
        <v>ROLB</v>
      </c>
      <c r="G3645">
        <f>IFERROR(__xludf.DUMMYFUNCTION("""COMPUTED_VALUE"""),13.0)</f>
        <v>13</v>
      </c>
    </row>
    <row r="3646">
      <c r="D3646" t="str">
        <f>IFERROR(__xludf.DUMMYFUNCTION("""COMPUTED_VALUE"""),"Lotulelei")</f>
        <v>Lotulelei</v>
      </c>
      <c r="E3646" t="str">
        <f>IFERROR(__xludf.DUMMYFUNCTION("""COMPUTED_VALUE"""),"Star")</f>
        <v>Star</v>
      </c>
      <c r="F3646" t="str">
        <f>IFERROR(__xludf.DUMMYFUNCTION("""COMPUTED_VALUE"""),"DT")</f>
        <v>DT</v>
      </c>
      <c r="G3646">
        <f>IFERROR(__xludf.DUMMYFUNCTION("""COMPUTED_VALUE"""),15.0)</f>
        <v>15</v>
      </c>
    </row>
    <row r="3647">
      <c r="D3647" t="str">
        <f>IFERROR(__xludf.DUMMYFUNCTION("""COMPUTED_VALUE"""),"Louis")</f>
        <v>Louis</v>
      </c>
      <c r="E3647" t="str">
        <f>IFERROR(__xludf.DUMMYFUNCTION("""COMPUTED_VALUE"""),"Lamar")</f>
        <v>Lamar</v>
      </c>
      <c r="F3647" t="str">
        <f>IFERROR(__xludf.DUMMYFUNCTION("""COMPUTED_VALUE"""),"MLB")</f>
        <v>MLB</v>
      </c>
      <c r="G3647">
        <f>IFERROR(__xludf.DUMMYFUNCTION("""COMPUTED_VALUE"""),10.8)</f>
        <v>10.8</v>
      </c>
    </row>
    <row r="3648">
      <c r="D3648" t="str">
        <f>IFERROR(__xludf.DUMMYFUNCTION("""COMPUTED_VALUE"""),"Louis")</f>
        <v>Louis</v>
      </c>
      <c r="E3648" t="str">
        <f>IFERROR(__xludf.DUMMYFUNCTION("""COMPUTED_VALUE"""),"Ricardo")</f>
        <v>Ricardo</v>
      </c>
      <c r="F3648" t="str">
        <f>IFERROR(__xludf.DUMMYFUNCTION("""COMPUTED_VALUE"""),"WR")</f>
        <v>WR</v>
      </c>
      <c r="G3648">
        <f>IFERROR(__xludf.DUMMYFUNCTION("""COMPUTED_VALUE"""),13.200000000000001)</f>
        <v>13.2</v>
      </c>
    </row>
    <row r="3649">
      <c r="D3649" t="str">
        <f>IFERROR(__xludf.DUMMYFUNCTION("""COMPUTED_VALUE"""),"Lovato")</f>
        <v>Lovato</v>
      </c>
      <c r="E3649" t="str">
        <f>IFERROR(__xludf.DUMMYFUNCTION("""COMPUTED_VALUE"""),"Rick")</f>
        <v>Rick</v>
      </c>
      <c r="F3649" t="str">
        <f>IFERROR(__xludf.DUMMYFUNCTION("""COMPUTED_VALUE"""),"TE")</f>
        <v>TE</v>
      </c>
      <c r="G3649">
        <f>IFERROR(__xludf.DUMMYFUNCTION("""COMPUTED_VALUE"""),8.4)</f>
        <v>8.4</v>
      </c>
    </row>
    <row r="3650">
      <c r="D3650" t="str">
        <f>IFERROR(__xludf.DUMMYFUNCTION("""COMPUTED_VALUE"""),"Love")</f>
        <v>Love</v>
      </c>
      <c r="E3650" t="str">
        <f>IFERROR(__xludf.DUMMYFUNCTION("""COMPUTED_VALUE"""),"Kyle")</f>
        <v>Kyle</v>
      </c>
      <c r="F3650" t="str">
        <f>IFERROR(__xludf.DUMMYFUNCTION("""COMPUTED_VALUE"""),"DT")</f>
        <v>DT</v>
      </c>
      <c r="G3650">
        <f>IFERROR(__xludf.DUMMYFUNCTION("""COMPUTED_VALUE"""),14.4)</f>
        <v>14.4</v>
      </c>
    </row>
    <row r="3651">
      <c r="D3651" t="str">
        <f>IFERROR(__xludf.DUMMYFUNCTION("""COMPUTED_VALUE"""),"Lowery")</f>
        <v>Lowery</v>
      </c>
      <c r="E3651" t="str">
        <f>IFERROR(__xludf.DUMMYFUNCTION("""COMPUTED_VALUE"""),"Dwight")</f>
        <v>Dwight</v>
      </c>
      <c r="F3651" t="str">
        <f>IFERROR(__xludf.DUMMYFUNCTION("""COMPUTED_VALUE"""),"FS")</f>
        <v>FS</v>
      </c>
      <c r="G3651">
        <f>IFERROR(__xludf.DUMMYFUNCTION("""COMPUTED_VALUE"""),16.2)</f>
        <v>16.2</v>
      </c>
    </row>
    <row r="3652">
      <c r="D3652" t="str">
        <f>IFERROR(__xludf.DUMMYFUNCTION("""COMPUTED_VALUE"""),"Lowry")</f>
        <v>Lowry</v>
      </c>
      <c r="E3652" t="str">
        <f>IFERROR(__xludf.DUMMYFUNCTION("""COMPUTED_VALUE"""),"Dean")</f>
        <v>Dean</v>
      </c>
      <c r="F3652" t="str">
        <f>IFERROR(__xludf.DUMMYFUNCTION("""COMPUTED_VALUE"""),"LE")</f>
        <v>LE</v>
      </c>
      <c r="G3652">
        <f>IFERROR(__xludf.DUMMYFUNCTION("""COMPUTED_VALUE"""),13.4)</f>
        <v>13.4</v>
      </c>
    </row>
    <row r="3653">
      <c r="D3653" t="str">
        <f>IFERROR(__xludf.DUMMYFUNCTION("""COMPUTED_VALUE"""),"Luani")</f>
        <v>Luani</v>
      </c>
      <c r="E3653" t="str">
        <f>IFERROR(__xludf.DUMMYFUNCTION("""COMPUTED_VALUE"""),"Shalom")</f>
        <v>Shalom</v>
      </c>
      <c r="F3653" t="str">
        <f>IFERROR(__xludf.DUMMYFUNCTION("""COMPUTED_VALUE"""),"SS")</f>
        <v>SS</v>
      </c>
      <c r="G3653">
        <f>IFERROR(__xludf.DUMMYFUNCTION("""COMPUTED_VALUE"""),12.600000000000001)</f>
        <v>12.6</v>
      </c>
    </row>
    <row r="3654">
      <c r="D3654" t="str">
        <f>IFERROR(__xludf.DUMMYFUNCTION("""COMPUTED_VALUE"""),"Lucas")</f>
        <v>Lucas</v>
      </c>
      <c r="E3654" t="str">
        <f>IFERROR(__xludf.DUMMYFUNCTION("""COMPUTED_VALUE"""),"Cornelius")</f>
        <v>Cornelius</v>
      </c>
      <c r="F3654" t="str">
        <f>IFERROR(__xludf.DUMMYFUNCTION("""COMPUTED_VALUE"""),"RT")</f>
        <v>RT</v>
      </c>
      <c r="G3654">
        <f>IFERROR(__xludf.DUMMYFUNCTION("""COMPUTED_VALUE"""),13.8)</f>
        <v>13.8</v>
      </c>
    </row>
    <row r="3655">
      <c r="D3655" t="str">
        <f>IFERROR(__xludf.DUMMYFUNCTION("""COMPUTED_VALUE"""),"Lucas")</f>
        <v>Lucas</v>
      </c>
      <c r="E3655" t="str">
        <f>IFERROR(__xludf.DUMMYFUNCTION("""COMPUTED_VALUE"""),"Jordan")</f>
        <v>Jordan</v>
      </c>
      <c r="F3655" t="str">
        <f>IFERROR(__xludf.DUMMYFUNCTION("""COMPUTED_VALUE"""),"CB")</f>
        <v>CB</v>
      </c>
      <c r="G3655">
        <f>IFERROR(__xludf.DUMMYFUNCTION("""COMPUTED_VALUE"""),12.600000000000001)</f>
        <v>12.6</v>
      </c>
    </row>
    <row r="3656">
      <c r="D3656" t="str">
        <f>IFERROR(__xludf.DUMMYFUNCTION("""COMPUTED_VALUE"""),"Lucien")</f>
        <v>Lucien</v>
      </c>
      <c r="E3656" t="str">
        <f>IFERROR(__xludf.DUMMYFUNCTION("""COMPUTED_VALUE"""),"Devin")</f>
        <v>Devin</v>
      </c>
      <c r="F3656" t="str">
        <f>IFERROR(__xludf.DUMMYFUNCTION("""COMPUTED_VALUE"""),"WR")</f>
        <v>WR</v>
      </c>
      <c r="G3656">
        <f>IFERROR(__xludf.DUMMYFUNCTION("""COMPUTED_VALUE"""),12.600000000000001)</f>
        <v>12.6</v>
      </c>
    </row>
    <row r="3657">
      <c r="D3657" t="str">
        <f>IFERROR(__xludf.DUMMYFUNCTION("""COMPUTED_VALUE"""),"Luck")</f>
        <v>Luck</v>
      </c>
      <c r="E3657" t="str">
        <f>IFERROR(__xludf.DUMMYFUNCTION("""COMPUTED_VALUE"""),"Andrew")</f>
        <v>Andrew</v>
      </c>
      <c r="F3657" t="str">
        <f>IFERROR(__xludf.DUMMYFUNCTION("""COMPUTED_VALUE"""),"QB")</f>
        <v>QB</v>
      </c>
      <c r="G3657">
        <f>IFERROR(__xludf.DUMMYFUNCTION("""COMPUTED_VALUE"""),18.0)</f>
        <v>18</v>
      </c>
    </row>
    <row r="3658">
      <c r="D3658" t="str">
        <f>IFERROR(__xludf.DUMMYFUNCTION("""COMPUTED_VALUE"""),"Lunt")</f>
        <v>Lunt</v>
      </c>
      <c r="E3658" t="str">
        <f>IFERROR(__xludf.DUMMYFUNCTION("""COMPUTED_VALUE"""),"Wes")</f>
        <v>Wes</v>
      </c>
      <c r="F3658" t="str">
        <f>IFERROR(__xludf.DUMMYFUNCTION("""COMPUTED_VALUE"""),"QB")</f>
        <v>QB</v>
      </c>
      <c r="G3658">
        <f>IFERROR(__xludf.DUMMYFUNCTION("""COMPUTED_VALUE"""),10.8)</f>
        <v>10.8</v>
      </c>
    </row>
    <row r="3659">
      <c r="D3659" t="str">
        <f>IFERROR(__xludf.DUMMYFUNCTION("""COMPUTED_VALUE"""),"Lutz")</f>
        <v>Lutz</v>
      </c>
      <c r="E3659" t="str">
        <f>IFERROR(__xludf.DUMMYFUNCTION("""COMPUTED_VALUE"""),"Wil")</f>
        <v>Wil</v>
      </c>
      <c r="F3659" t="str">
        <f>IFERROR(__xludf.DUMMYFUNCTION("""COMPUTED_VALUE"""),"K")</f>
        <v>K</v>
      </c>
      <c r="G3659">
        <f>IFERROR(__xludf.DUMMYFUNCTION("""COMPUTED_VALUE"""),15.8)</f>
        <v>15.8</v>
      </c>
    </row>
    <row r="3660">
      <c r="D3660" t="str">
        <f>IFERROR(__xludf.DUMMYFUNCTION("""COMPUTED_VALUE"""),"Lynch")</f>
        <v>Lynch</v>
      </c>
      <c r="E3660" t="str">
        <f>IFERROR(__xludf.DUMMYFUNCTION("""COMPUTED_VALUE"""),"Aaron")</f>
        <v>Aaron</v>
      </c>
      <c r="F3660" t="str">
        <f>IFERROR(__xludf.DUMMYFUNCTION("""COMPUTED_VALUE"""),"RE")</f>
        <v>RE</v>
      </c>
      <c r="G3660">
        <f>IFERROR(__xludf.DUMMYFUNCTION("""COMPUTED_VALUE"""),15.200000000000001)</f>
        <v>15.2</v>
      </c>
    </row>
    <row r="3661">
      <c r="D3661" t="str">
        <f>IFERROR(__xludf.DUMMYFUNCTION("""COMPUTED_VALUE"""),"Lynch")</f>
        <v>Lynch</v>
      </c>
      <c r="E3661" t="str">
        <f>IFERROR(__xludf.DUMMYFUNCTION("""COMPUTED_VALUE"""),"Cameron")</f>
        <v>Cameron</v>
      </c>
      <c r="F3661" t="str">
        <f>IFERROR(__xludf.DUMMYFUNCTION("""COMPUTED_VALUE"""),"LOLB")</f>
        <v>LOLB</v>
      </c>
      <c r="G3661">
        <f>IFERROR(__xludf.DUMMYFUNCTION("""COMPUTED_VALUE"""),12.4)</f>
        <v>12.4</v>
      </c>
    </row>
    <row r="3662">
      <c r="D3662" t="str">
        <f>IFERROR(__xludf.DUMMYFUNCTION("""COMPUTED_VALUE"""),"Lynch")</f>
        <v>Lynch</v>
      </c>
      <c r="E3662" t="str">
        <f>IFERROR(__xludf.DUMMYFUNCTION("""COMPUTED_VALUE"""),"Marshawn")</f>
        <v>Marshawn</v>
      </c>
      <c r="F3662" t="str">
        <f>IFERROR(__xludf.DUMMYFUNCTION("""COMPUTED_VALUE"""),"HB")</f>
        <v>HB</v>
      </c>
      <c r="G3662">
        <f>IFERROR(__xludf.DUMMYFUNCTION("""COMPUTED_VALUE"""),17.0)</f>
        <v>17</v>
      </c>
    </row>
    <row r="3663">
      <c r="D3663" t="str">
        <f>IFERROR(__xludf.DUMMYFUNCTION("""COMPUTED_VALUE"""),"Lynch")</f>
        <v>Lynch</v>
      </c>
      <c r="E3663" t="str">
        <f>IFERROR(__xludf.DUMMYFUNCTION("""COMPUTED_VALUE"""),"Paxton")</f>
        <v>Paxton</v>
      </c>
      <c r="F3663" t="str">
        <f>IFERROR(__xludf.DUMMYFUNCTION("""COMPUTED_VALUE"""),"QB")</f>
        <v>QB</v>
      </c>
      <c r="G3663">
        <f>IFERROR(__xludf.DUMMYFUNCTION("""COMPUTED_VALUE"""),14.4)</f>
        <v>14.4</v>
      </c>
    </row>
    <row r="3664">
      <c r="D3664" t="str">
        <f>IFERROR(__xludf.DUMMYFUNCTION("""COMPUTED_VALUE"""),"Mack")</f>
        <v>Mack</v>
      </c>
      <c r="E3664" t="str">
        <f>IFERROR(__xludf.DUMMYFUNCTION("""COMPUTED_VALUE"""),"Alex")</f>
        <v>Alex</v>
      </c>
      <c r="F3664" t="str">
        <f>IFERROR(__xludf.DUMMYFUNCTION("""COMPUTED_VALUE"""),"C")</f>
        <v>C</v>
      </c>
      <c r="G3664">
        <f>IFERROR(__xludf.DUMMYFUNCTION("""COMPUTED_VALUE"""),18.2)</f>
        <v>18.2</v>
      </c>
    </row>
    <row r="3665">
      <c r="D3665" t="str">
        <f>IFERROR(__xludf.DUMMYFUNCTION("""COMPUTED_VALUE"""),"Mack")</f>
        <v>Mack</v>
      </c>
      <c r="E3665" t="str">
        <f>IFERROR(__xludf.DUMMYFUNCTION("""COMPUTED_VALUE"""),"Khalil")</f>
        <v>Khalil</v>
      </c>
      <c r="F3665" t="str">
        <f>IFERROR(__xludf.DUMMYFUNCTION("""COMPUTED_VALUE"""),"LOLB")</f>
        <v>LOLB</v>
      </c>
      <c r="G3665">
        <f>IFERROR(__xludf.DUMMYFUNCTION("""COMPUTED_VALUE"""),19.400000000000002)</f>
        <v>19.4</v>
      </c>
    </row>
    <row r="3666">
      <c r="D3666" t="str">
        <f>IFERROR(__xludf.DUMMYFUNCTION("""COMPUTED_VALUE"""),"Mack")</f>
        <v>Mack</v>
      </c>
      <c r="E3666" t="str">
        <f>IFERROR(__xludf.DUMMYFUNCTION("""COMPUTED_VALUE"""),"Marlon")</f>
        <v>Marlon</v>
      </c>
      <c r="F3666" t="str">
        <f>IFERROR(__xludf.DUMMYFUNCTION("""COMPUTED_VALUE"""),"HB")</f>
        <v>HB</v>
      </c>
      <c r="G3666">
        <f>IFERROR(__xludf.DUMMYFUNCTION("""COMPUTED_VALUE"""),14.4)</f>
        <v>14.4</v>
      </c>
    </row>
    <row r="3667">
      <c r="D3667" t="str">
        <f>IFERROR(__xludf.DUMMYFUNCTION("""COMPUTED_VALUE"""),"Maclin")</f>
        <v>Maclin</v>
      </c>
      <c r="E3667" t="str">
        <f>IFERROR(__xludf.DUMMYFUNCTION("""COMPUTED_VALUE"""),"Jeremy")</f>
        <v>Jeremy</v>
      </c>
      <c r="F3667" t="str">
        <f>IFERROR(__xludf.DUMMYFUNCTION("""COMPUTED_VALUE"""),"WR")</f>
        <v>WR</v>
      </c>
      <c r="G3667">
        <f>IFERROR(__xludf.DUMMYFUNCTION("""COMPUTED_VALUE"""),16.6)</f>
        <v>16.6</v>
      </c>
    </row>
    <row r="3668">
      <c r="D3668" t="str">
        <f>IFERROR(__xludf.DUMMYFUNCTION("""COMPUTED_VALUE"""),"Magee")</f>
        <v>Magee</v>
      </c>
      <c r="E3668" t="str">
        <f>IFERROR(__xludf.DUMMYFUNCTION("""COMPUTED_VALUE"""),"Josh")</f>
        <v>Josh</v>
      </c>
      <c r="F3668" t="str">
        <f>IFERROR(__xludf.DUMMYFUNCTION("""COMPUTED_VALUE"""),"WR")</f>
        <v>WR</v>
      </c>
      <c r="G3668">
        <f>IFERROR(__xludf.DUMMYFUNCTION("""COMPUTED_VALUE"""),11.4)</f>
        <v>11.4</v>
      </c>
    </row>
    <row r="3669">
      <c r="D3669" t="str">
        <f>IFERROR(__xludf.DUMMYFUNCTION("""COMPUTED_VALUE"""),"Magee")</f>
        <v>Magee</v>
      </c>
      <c r="E3669" t="str">
        <f>IFERROR(__xludf.DUMMYFUNCTION("""COMPUTED_VALUE"""),"Terrence")</f>
        <v>Terrence</v>
      </c>
      <c r="F3669" t="str">
        <f>IFERROR(__xludf.DUMMYFUNCTION("""COMPUTED_VALUE"""),"HB")</f>
        <v>HB</v>
      </c>
      <c r="G3669">
        <f>IFERROR(__xludf.DUMMYFUNCTION("""COMPUTED_VALUE"""),12.8)</f>
        <v>12.8</v>
      </c>
    </row>
    <row r="3670">
      <c r="D3670" t="str">
        <f>IFERROR(__xludf.DUMMYFUNCTION("""COMPUTED_VALUE"""),"Mager")</f>
        <v>Mager</v>
      </c>
      <c r="E3670" t="str">
        <f>IFERROR(__xludf.DUMMYFUNCTION("""COMPUTED_VALUE"""),"Craig")</f>
        <v>Craig</v>
      </c>
      <c r="F3670" t="str">
        <f>IFERROR(__xludf.DUMMYFUNCTION("""COMPUTED_VALUE"""),"CB")</f>
        <v>CB</v>
      </c>
      <c r="G3670">
        <f>IFERROR(__xludf.DUMMYFUNCTION("""COMPUTED_VALUE"""),14.4)</f>
        <v>14.4</v>
      </c>
    </row>
    <row r="3671">
      <c r="D3671" t="str">
        <f>IFERROR(__xludf.DUMMYFUNCTION("""COMPUTED_VALUE"""),"Mahomes II")</f>
        <v>Mahomes II</v>
      </c>
      <c r="E3671" t="str">
        <f>IFERROR(__xludf.DUMMYFUNCTION("""COMPUTED_VALUE"""),"Patrick")</f>
        <v>Patrick</v>
      </c>
      <c r="F3671" t="str">
        <f>IFERROR(__xludf.DUMMYFUNCTION("""COMPUTED_VALUE"""),"QB")</f>
        <v>QB</v>
      </c>
      <c r="G3671">
        <f>IFERROR(__xludf.DUMMYFUNCTION("""COMPUTED_VALUE"""),15.200000000000001)</f>
        <v>15.2</v>
      </c>
    </row>
    <row r="3672">
      <c r="D3672" t="str">
        <f>IFERROR(__xludf.DUMMYFUNCTION("""COMPUTED_VALUE"""),"Malleck")</f>
        <v>Malleck</v>
      </c>
      <c r="E3672" t="str">
        <f>IFERROR(__xludf.DUMMYFUNCTION("""COMPUTED_VALUE"""),"Ryan")</f>
        <v>Ryan</v>
      </c>
      <c r="F3672" t="str">
        <f>IFERROR(__xludf.DUMMYFUNCTION("""COMPUTED_VALUE"""),"TE")</f>
        <v>TE</v>
      </c>
      <c r="G3672">
        <f>IFERROR(__xludf.DUMMYFUNCTION("""COMPUTED_VALUE"""),12.4)</f>
        <v>12.4</v>
      </c>
    </row>
    <row r="3673">
      <c r="D3673" t="str">
        <f>IFERROR(__xludf.DUMMYFUNCTION("""COMPUTED_VALUE"""),"Mallett")</f>
        <v>Mallett</v>
      </c>
      <c r="E3673" t="str">
        <f>IFERROR(__xludf.DUMMYFUNCTION("""COMPUTED_VALUE"""),"Ryan")</f>
        <v>Ryan</v>
      </c>
      <c r="F3673" t="str">
        <f>IFERROR(__xludf.DUMMYFUNCTION("""COMPUTED_VALUE"""),"QB")</f>
        <v>QB</v>
      </c>
      <c r="G3673">
        <f>IFERROR(__xludf.DUMMYFUNCTION("""COMPUTED_VALUE"""),13.200000000000001)</f>
        <v>13.2</v>
      </c>
    </row>
    <row r="3674">
      <c r="D3674" t="str">
        <f>IFERROR(__xludf.DUMMYFUNCTION("""COMPUTED_VALUE"""),"Malone")</f>
        <v>Malone</v>
      </c>
      <c r="E3674" t="str">
        <f>IFERROR(__xludf.DUMMYFUNCTION("""COMPUTED_VALUE"""),"Josh")</f>
        <v>Josh</v>
      </c>
      <c r="F3674" t="str">
        <f>IFERROR(__xludf.DUMMYFUNCTION("""COMPUTED_VALUE"""),"WR")</f>
        <v>WR</v>
      </c>
      <c r="G3674">
        <f>IFERROR(__xludf.DUMMYFUNCTION("""COMPUTED_VALUE"""),13.600000000000001)</f>
        <v>13.6</v>
      </c>
    </row>
    <row r="3675">
      <c r="D3675" t="str">
        <f>IFERROR(__xludf.DUMMYFUNCTION("""COMPUTED_VALUE"""),"Mancz")</f>
        <v>Mancz</v>
      </c>
      <c r="E3675" t="str">
        <f>IFERROR(__xludf.DUMMYFUNCTION("""COMPUTED_VALUE"""),"Greg")</f>
        <v>Greg</v>
      </c>
      <c r="F3675" t="str">
        <f>IFERROR(__xludf.DUMMYFUNCTION("""COMPUTED_VALUE"""),"C")</f>
        <v>C</v>
      </c>
      <c r="G3675">
        <f>IFERROR(__xludf.DUMMYFUNCTION("""COMPUTED_VALUE"""),15.600000000000001)</f>
        <v>15.6</v>
      </c>
    </row>
    <row r="3676">
      <c r="D3676" t="str">
        <f>IFERROR(__xludf.DUMMYFUNCTION("""COMPUTED_VALUE"""),"Manhertz")</f>
        <v>Manhertz</v>
      </c>
      <c r="E3676" t="str">
        <f>IFERROR(__xludf.DUMMYFUNCTION("""COMPUTED_VALUE"""),"Chris")</f>
        <v>Chris</v>
      </c>
      <c r="F3676" t="str">
        <f>IFERROR(__xludf.DUMMYFUNCTION("""COMPUTED_VALUE"""),"TE")</f>
        <v>TE</v>
      </c>
      <c r="G3676">
        <f>IFERROR(__xludf.DUMMYFUNCTION("""COMPUTED_VALUE"""),12.4)</f>
        <v>12.4</v>
      </c>
    </row>
    <row r="3677">
      <c r="D3677" t="str">
        <f>IFERROR(__xludf.DUMMYFUNCTION("""COMPUTED_VALUE"""),"Manning")</f>
        <v>Manning</v>
      </c>
      <c r="E3677" t="str">
        <f>IFERROR(__xludf.DUMMYFUNCTION("""COMPUTED_VALUE"""),"Eli")</f>
        <v>Eli</v>
      </c>
      <c r="F3677" t="str">
        <f>IFERROR(__xludf.DUMMYFUNCTION("""COMPUTED_VALUE"""),"QB")</f>
        <v>QB</v>
      </c>
      <c r="G3677">
        <f>IFERROR(__xludf.DUMMYFUNCTION("""COMPUTED_VALUE"""),16.0)</f>
        <v>16</v>
      </c>
    </row>
    <row r="3678">
      <c r="D3678" t="str">
        <f>IFERROR(__xludf.DUMMYFUNCTION("""COMPUTED_VALUE"""),"Mannion")</f>
        <v>Mannion</v>
      </c>
      <c r="E3678" t="str">
        <f>IFERROR(__xludf.DUMMYFUNCTION("""COMPUTED_VALUE"""),"Sean")</f>
        <v>Sean</v>
      </c>
      <c r="F3678" t="str">
        <f>IFERROR(__xludf.DUMMYFUNCTION("""COMPUTED_VALUE"""),"QB")</f>
        <v>QB</v>
      </c>
      <c r="G3678">
        <f>IFERROR(__xludf.DUMMYFUNCTION("""COMPUTED_VALUE"""),12.200000000000001)</f>
        <v>12.2</v>
      </c>
    </row>
    <row r="3679">
      <c r="D3679" t="str">
        <f>IFERROR(__xludf.DUMMYFUNCTION("""COMPUTED_VALUE"""),"Manuel")</f>
        <v>Manuel</v>
      </c>
      <c r="E3679" t="str">
        <f>IFERROR(__xludf.DUMMYFUNCTION("""COMPUTED_VALUE"""),"EJ")</f>
        <v>EJ</v>
      </c>
      <c r="F3679" t="str">
        <f>IFERROR(__xludf.DUMMYFUNCTION("""COMPUTED_VALUE"""),"QB")</f>
        <v>QB</v>
      </c>
      <c r="G3679">
        <f>IFERROR(__xludf.DUMMYFUNCTION("""COMPUTED_VALUE"""),14.0)</f>
        <v>14</v>
      </c>
    </row>
    <row r="3680">
      <c r="D3680" t="str">
        <f>IFERROR(__xludf.DUMMYFUNCTION("""COMPUTED_VALUE"""),"Maragos")</f>
        <v>Maragos</v>
      </c>
      <c r="E3680" t="str">
        <f>IFERROR(__xludf.DUMMYFUNCTION("""COMPUTED_VALUE"""),"Chris")</f>
        <v>Chris</v>
      </c>
      <c r="F3680" t="str">
        <f>IFERROR(__xludf.DUMMYFUNCTION("""COMPUTED_VALUE"""),"FS")</f>
        <v>FS</v>
      </c>
      <c r="G3680">
        <f>IFERROR(__xludf.DUMMYFUNCTION("""COMPUTED_VALUE"""),14.0)</f>
        <v>14</v>
      </c>
    </row>
    <row r="3681">
      <c r="D3681" t="str">
        <f>IFERROR(__xludf.DUMMYFUNCTION("""COMPUTED_VALUE"""),"March-Lillard")</f>
        <v>March-Lillard</v>
      </c>
      <c r="E3681" t="str">
        <f>IFERROR(__xludf.DUMMYFUNCTION("""COMPUTED_VALUE"""),"Justin")</f>
        <v>Justin</v>
      </c>
      <c r="F3681" t="str">
        <f>IFERROR(__xludf.DUMMYFUNCTION("""COMPUTED_VALUE"""),"MLB")</f>
        <v>MLB</v>
      </c>
      <c r="G3681">
        <f>IFERROR(__xludf.DUMMYFUNCTION("""COMPUTED_VALUE"""),14.4)</f>
        <v>14.4</v>
      </c>
    </row>
    <row r="3682">
      <c r="D3682" t="str">
        <f>IFERROR(__xludf.DUMMYFUNCTION("""COMPUTED_VALUE"""),"Mariota")</f>
        <v>Mariota</v>
      </c>
      <c r="E3682" t="str">
        <f>IFERROR(__xludf.DUMMYFUNCTION("""COMPUTED_VALUE"""),"Marcus")</f>
        <v>Marcus</v>
      </c>
      <c r="F3682" t="str">
        <f>IFERROR(__xludf.DUMMYFUNCTION("""COMPUTED_VALUE"""),"QB")</f>
        <v>QB</v>
      </c>
      <c r="G3682">
        <f>IFERROR(__xludf.DUMMYFUNCTION("""COMPUTED_VALUE"""),16.0)</f>
        <v>16</v>
      </c>
    </row>
    <row r="3683">
      <c r="D3683" t="str">
        <f>IFERROR(__xludf.DUMMYFUNCTION("""COMPUTED_VALUE"""),"Marlowe")</f>
        <v>Marlowe</v>
      </c>
      <c r="E3683" t="str">
        <f>IFERROR(__xludf.DUMMYFUNCTION("""COMPUTED_VALUE"""),"Dean")</f>
        <v>Dean</v>
      </c>
      <c r="F3683" t="str">
        <f>IFERROR(__xludf.DUMMYFUNCTION("""COMPUTED_VALUE"""),"SS")</f>
        <v>SS</v>
      </c>
      <c r="G3683">
        <f>IFERROR(__xludf.DUMMYFUNCTION("""COMPUTED_VALUE"""),13.0)</f>
        <v>13</v>
      </c>
    </row>
    <row r="3684">
      <c r="D3684" t="str">
        <f>IFERROR(__xludf.DUMMYFUNCTION("""COMPUTED_VALUE"""),"Marpet")</f>
        <v>Marpet</v>
      </c>
      <c r="E3684" t="str">
        <f>IFERROR(__xludf.DUMMYFUNCTION("""COMPUTED_VALUE"""),"Ali")</f>
        <v>Ali</v>
      </c>
      <c r="F3684" t="str">
        <f>IFERROR(__xludf.DUMMYFUNCTION("""COMPUTED_VALUE"""),"RG")</f>
        <v>RG</v>
      </c>
      <c r="G3684">
        <f>IFERROR(__xludf.DUMMYFUNCTION("""COMPUTED_VALUE"""),17.0)</f>
        <v>17</v>
      </c>
    </row>
    <row r="3685">
      <c r="D3685" t="str">
        <f>IFERROR(__xludf.DUMMYFUNCTION("""COMPUTED_VALUE"""),"Marquez")</f>
        <v>Marquez</v>
      </c>
      <c r="E3685" t="str">
        <f>IFERROR(__xludf.DUMMYFUNCTION("""COMPUTED_VALUE"""),"Bradley")</f>
        <v>Bradley</v>
      </c>
      <c r="F3685" t="str">
        <f>IFERROR(__xludf.DUMMYFUNCTION("""COMPUTED_VALUE"""),"WR")</f>
        <v>WR</v>
      </c>
      <c r="G3685">
        <f>IFERROR(__xludf.DUMMYFUNCTION("""COMPUTED_VALUE"""),12.8)</f>
        <v>12.8</v>
      </c>
    </row>
    <row r="3686">
      <c r="D3686" t="str">
        <f>IFERROR(__xludf.DUMMYFUNCTION("""COMPUTED_VALUE"""),"Marsh")</f>
        <v>Marsh</v>
      </c>
      <c r="E3686" t="str">
        <f>IFERROR(__xludf.DUMMYFUNCTION("""COMPUTED_VALUE"""),"Cassius")</f>
        <v>Cassius</v>
      </c>
      <c r="F3686" t="str">
        <f>IFERROR(__xludf.DUMMYFUNCTION("""COMPUTED_VALUE"""),"LOLB")</f>
        <v>LOLB</v>
      </c>
      <c r="G3686">
        <f>IFERROR(__xludf.DUMMYFUNCTION("""COMPUTED_VALUE"""),13.600000000000001)</f>
        <v>13.6</v>
      </c>
    </row>
    <row r="3687">
      <c r="D3687" t="str">
        <f>IFERROR(__xludf.DUMMYFUNCTION("""COMPUTED_VALUE"""),"Marshall")</f>
        <v>Marshall</v>
      </c>
      <c r="E3687" t="str">
        <f>IFERROR(__xludf.DUMMYFUNCTION("""COMPUTED_VALUE"""),"Brandon")</f>
        <v>Brandon</v>
      </c>
      <c r="F3687" t="str">
        <f>IFERROR(__xludf.DUMMYFUNCTION("""COMPUTED_VALUE"""),"MLB")</f>
        <v>MLB</v>
      </c>
      <c r="G3687">
        <f>IFERROR(__xludf.DUMMYFUNCTION("""COMPUTED_VALUE"""),17.2)</f>
        <v>17.2</v>
      </c>
    </row>
    <row r="3688">
      <c r="D3688" t="str">
        <f>IFERROR(__xludf.DUMMYFUNCTION("""COMPUTED_VALUE"""),"Marshall")</f>
        <v>Marshall</v>
      </c>
      <c r="E3688" t="str">
        <f>IFERROR(__xludf.DUMMYFUNCTION("""COMPUTED_VALUE"""),"Brandon")</f>
        <v>Brandon</v>
      </c>
      <c r="F3688" t="str">
        <f>IFERROR(__xludf.DUMMYFUNCTION("""COMPUTED_VALUE"""),"WR")</f>
        <v>WR</v>
      </c>
      <c r="G3688">
        <f>IFERROR(__xludf.DUMMYFUNCTION("""COMPUTED_VALUE"""),17.0)</f>
        <v>17</v>
      </c>
    </row>
    <row r="3689">
      <c r="D3689" t="str">
        <f>IFERROR(__xludf.DUMMYFUNCTION("""COMPUTED_VALUE"""),"Marshall")</f>
        <v>Marshall</v>
      </c>
      <c r="E3689" t="str">
        <f>IFERROR(__xludf.DUMMYFUNCTION("""COMPUTED_VALUE"""),"Byron")</f>
        <v>Byron</v>
      </c>
      <c r="F3689" t="str">
        <f>IFERROR(__xludf.DUMMYFUNCTION("""COMPUTED_VALUE"""),"WR")</f>
        <v>WR</v>
      </c>
      <c r="G3689">
        <f>IFERROR(__xludf.DUMMYFUNCTION("""COMPUTED_VALUE"""),10.8)</f>
        <v>10.8</v>
      </c>
    </row>
    <row r="3690">
      <c r="D3690" t="str">
        <f>IFERROR(__xludf.DUMMYFUNCTION("""COMPUTED_VALUE"""),"Marshall")</f>
        <v>Marshall</v>
      </c>
      <c r="E3690" t="str">
        <f>IFERROR(__xludf.DUMMYFUNCTION("""COMPUTED_VALUE"""),"Jalin")</f>
        <v>Jalin</v>
      </c>
      <c r="F3690" t="str">
        <f>IFERROR(__xludf.DUMMYFUNCTION("""COMPUTED_VALUE"""),"WR")</f>
        <v>WR</v>
      </c>
      <c r="G3690">
        <f>IFERROR(__xludf.DUMMYFUNCTION("""COMPUTED_VALUE"""),13.8)</f>
        <v>13.8</v>
      </c>
    </row>
    <row r="3691">
      <c r="D3691" t="str">
        <f>IFERROR(__xludf.DUMMYFUNCTION("""COMPUTED_VALUE"""),"Marshall")</f>
        <v>Marshall</v>
      </c>
      <c r="E3691" t="str">
        <f>IFERROR(__xludf.DUMMYFUNCTION("""COMPUTED_VALUE"""),"Keith")</f>
        <v>Keith</v>
      </c>
      <c r="F3691" t="str">
        <f>IFERROR(__xludf.DUMMYFUNCTION("""COMPUTED_VALUE"""),"HB")</f>
        <v>HB</v>
      </c>
      <c r="G3691">
        <f>IFERROR(__xludf.DUMMYFUNCTION("""COMPUTED_VALUE"""),13.4)</f>
        <v>13.4</v>
      </c>
    </row>
    <row r="3692">
      <c r="D3692" t="str">
        <f>IFERROR(__xludf.DUMMYFUNCTION("""COMPUTED_VALUE"""),"Martin")</f>
        <v>Martin</v>
      </c>
      <c r="E3692" t="str">
        <f>IFERROR(__xludf.DUMMYFUNCTION("""COMPUTED_VALUE"""),"Doug")</f>
        <v>Doug</v>
      </c>
      <c r="F3692" t="str">
        <f>IFERROR(__xludf.DUMMYFUNCTION("""COMPUTED_VALUE"""),"HB")</f>
        <v>HB</v>
      </c>
      <c r="G3692">
        <f>IFERROR(__xludf.DUMMYFUNCTION("""COMPUTED_VALUE"""),16.6)</f>
        <v>16.6</v>
      </c>
    </row>
    <row r="3693">
      <c r="D3693" t="str">
        <f>IFERROR(__xludf.DUMMYFUNCTION("""COMPUTED_VALUE"""),"Martin")</f>
        <v>Martin</v>
      </c>
      <c r="E3693" t="str">
        <f>IFERROR(__xludf.DUMMYFUNCTION("""COMPUTED_VALUE"""),"Gabe")</f>
        <v>Gabe</v>
      </c>
      <c r="F3693" t="str">
        <f>IFERROR(__xludf.DUMMYFUNCTION("""COMPUTED_VALUE"""),"MLB")</f>
        <v>MLB</v>
      </c>
      <c r="G3693">
        <f>IFERROR(__xludf.DUMMYFUNCTION("""COMPUTED_VALUE"""),11.600000000000001)</f>
        <v>11.6</v>
      </c>
    </row>
    <row r="3694">
      <c r="D3694" t="str">
        <f>IFERROR(__xludf.DUMMYFUNCTION("""COMPUTED_VALUE"""),"Martin")</f>
        <v>Martin</v>
      </c>
      <c r="E3694" t="str">
        <f>IFERROR(__xludf.DUMMYFUNCTION("""COMPUTED_VALUE"""),"Josh")</f>
        <v>Josh</v>
      </c>
      <c r="F3694" t="str">
        <f>IFERROR(__xludf.DUMMYFUNCTION("""COMPUTED_VALUE"""),"ROLB")</f>
        <v>ROLB</v>
      </c>
      <c r="G3694">
        <f>IFERROR(__xludf.DUMMYFUNCTION("""COMPUTED_VALUE"""),13.600000000000001)</f>
        <v>13.6</v>
      </c>
    </row>
    <row r="3695">
      <c r="D3695" t="str">
        <f>IFERROR(__xludf.DUMMYFUNCTION("""COMPUTED_VALUE"""),"Martin")</f>
        <v>Martin</v>
      </c>
      <c r="E3695" t="str">
        <f>IFERROR(__xludf.DUMMYFUNCTION("""COMPUTED_VALUE"""),"Kareem")</f>
        <v>Kareem</v>
      </c>
      <c r="F3695" t="str">
        <f>IFERROR(__xludf.DUMMYFUNCTION("""COMPUTED_VALUE"""),"LOLB")</f>
        <v>LOLB</v>
      </c>
      <c r="G3695">
        <f>IFERROR(__xludf.DUMMYFUNCTION("""COMPUTED_VALUE"""),12.600000000000001)</f>
        <v>12.6</v>
      </c>
    </row>
    <row r="3696">
      <c r="D3696" t="str">
        <f>IFERROR(__xludf.DUMMYFUNCTION("""COMPUTED_VALUE"""),"Martin")</f>
        <v>Martin</v>
      </c>
      <c r="E3696" t="str">
        <f>IFERROR(__xludf.DUMMYFUNCTION("""COMPUTED_VALUE"""),"Keshawn")</f>
        <v>Keshawn</v>
      </c>
      <c r="F3696" t="str">
        <f>IFERROR(__xludf.DUMMYFUNCTION("""COMPUTED_VALUE"""),"WR")</f>
        <v>WR</v>
      </c>
      <c r="G3696">
        <f>IFERROR(__xludf.DUMMYFUNCTION("""COMPUTED_VALUE"""),13.200000000000001)</f>
        <v>13.2</v>
      </c>
    </row>
    <row r="3697">
      <c r="D3697" t="str">
        <f>IFERROR(__xludf.DUMMYFUNCTION("""COMPUTED_VALUE"""),"Martin")</f>
        <v>Martin</v>
      </c>
      <c r="E3697" t="str">
        <f>IFERROR(__xludf.DUMMYFUNCTION("""COMPUTED_VALUE"""),"Marcus")</f>
        <v>Marcus</v>
      </c>
      <c r="F3697" t="str">
        <f>IFERROR(__xludf.DUMMYFUNCTION("""COMPUTED_VALUE"""),"C")</f>
        <v>C</v>
      </c>
      <c r="G3697">
        <f>IFERROR(__xludf.DUMMYFUNCTION("""COMPUTED_VALUE"""),13.600000000000001)</f>
        <v>13.6</v>
      </c>
    </row>
    <row r="3698">
      <c r="D3698" t="str">
        <f>IFERROR(__xludf.DUMMYFUNCTION("""COMPUTED_VALUE"""),"Martin")</f>
        <v>Martin</v>
      </c>
      <c r="E3698" t="str">
        <f>IFERROR(__xludf.DUMMYFUNCTION("""COMPUTED_VALUE"""),"Nick")</f>
        <v>Nick</v>
      </c>
      <c r="F3698" t="str">
        <f>IFERROR(__xludf.DUMMYFUNCTION("""COMPUTED_VALUE"""),"C")</f>
        <v>C</v>
      </c>
      <c r="G3698">
        <f>IFERROR(__xludf.DUMMYFUNCTION("""COMPUTED_VALUE"""),14.8)</f>
        <v>14.8</v>
      </c>
    </row>
    <row r="3699">
      <c r="D3699" t="str">
        <f>IFERROR(__xludf.DUMMYFUNCTION("""COMPUTED_VALUE"""),"Martin")</f>
        <v>Martin</v>
      </c>
      <c r="E3699" t="str">
        <f>IFERROR(__xludf.DUMMYFUNCTION("""COMPUTED_VALUE"""),"Sam")</f>
        <v>Sam</v>
      </c>
      <c r="F3699" t="str">
        <f>IFERROR(__xludf.DUMMYFUNCTION("""COMPUTED_VALUE"""),"P")</f>
        <v>P</v>
      </c>
      <c r="G3699">
        <f>IFERROR(__xludf.DUMMYFUNCTION("""COMPUTED_VALUE"""),16.2)</f>
        <v>16.2</v>
      </c>
    </row>
    <row r="3700">
      <c r="D3700" t="str">
        <f>IFERROR(__xludf.DUMMYFUNCTION("""COMPUTED_VALUE"""),"Martin")</f>
        <v>Martin</v>
      </c>
      <c r="E3700" t="str">
        <f>IFERROR(__xludf.DUMMYFUNCTION("""COMPUTED_VALUE"""),"Zack")</f>
        <v>Zack</v>
      </c>
      <c r="F3700" t="str">
        <f>IFERROR(__xludf.DUMMYFUNCTION("""COMPUTED_VALUE"""),"RG")</f>
        <v>RG</v>
      </c>
      <c r="G3700">
        <f>IFERROR(__xludf.DUMMYFUNCTION("""COMPUTED_VALUE"""),19.0)</f>
        <v>19</v>
      </c>
    </row>
    <row r="3701">
      <c r="D3701" t="str">
        <f>IFERROR(__xludf.DUMMYFUNCTION("""COMPUTED_VALUE"""),"Martin Jr")</f>
        <v>Martin Jr</v>
      </c>
      <c r="E3701" t="str">
        <f>IFERROR(__xludf.DUMMYFUNCTION("""COMPUTED_VALUE"""),"Ronald")</f>
        <v>Ronald</v>
      </c>
      <c r="F3701" t="str">
        <f>IFERROR(__xludf.DUMMYFUNCTION("""COMPUTED_VALUE"""),"FS")</f>
        <v>FS</v>
      </c>
      <c r="G3701">
        <f>IFERROR(__xludf.DUMMYFUNCTION("""COMPUTED_VALUE"""),12.600000000000001)</f>
        <v>12.6</v>
      </c>
    </row>
    <row r="3702">
      <c r="D3702" t="str">
        <f>IFERROR(__xludf.DUMMYFUNCTION("""COMPUTED_VALUE"""),"Martinez")</f>
        <v>Martinez</v>
      </c>
      <c r="E3702" t="str">
        <f>IFERROR(__xludf.DUMMYFUNCTION("""COMPUTED_VALUE"""),"Blake")</f>
        <v>Blake</v>
      </c>
      <c r="F3702" t="str">
        <f>IFERROR(__xludf.DUMMYFUNCTION("""COMPUTED_VALUE"""),"MLB")</f>
        <v>MLB</v>
      </c>
      <c r="G3702">
        <f>IFERROR(__xludf.DUMMYFUNCTION("""COMPUTED_VALUE"""),14.8)</f>
        <v>14.8</v>
      </c>
    </row>
    <row r="3703">
      <c r="D3703" t="str">
        <f>IFERROR(__xludf.DUMMYFUNCTION("""COMPUTED_VALUE"""),"Martino")</f>
        <v>Martino</v>
      </c>
      <c r="E3703" t="str">
        <f>IFERROR(__xludf.DUMMYFUNCTION("""COMPUTED_VALUE"""),"Freddie")</f>
        <v>Freddie</v>
      </c>
      <c r="F3703" t="str">
        <f>IFERROR(__xludf.DUMMYFUNCTION("""COMPUTED_VALUE"""),"WR")</f>
        <v>WR</v>
      </c>
      <c r="G3703">
        <f>IFERROR(__xludf.DUMMYFUNCTION("""COMPUTED_VALUE"""),12.4)</f>
        <v>12.4</v>
      </c>
    </row>
    <row r="3704">
      <c r="D3704" t="str">
        <f>IFERROR(__xludf.DUMMYFUNCTION("""COMPUTED_VALUE"""),"Mason")</f>
        <v>Mason</v>
      </c>
      <c r="E3704" t="str">
        <f>IFERROR(__xludf.DUMMYFUNCTION("""COMPUTED_VALUE"""),"Shaq")</f>
        <v>Shaq</v>
      </c>
      <c r="F3704" t="str">
        <f>IFERROR(__xludf.DUMMYFUNCTION("""COMPUTED_VALUE"""),"RG")</f>
        <v>RG</v>
      </c>
      <c r="G3704">
        <f>IFERROR(__xludf.DUMMYFUNCTION("""COMPUTED_VALUE"""),17.0)</f>
        <v>17</v>
      </c>
    </row>
    <row r="3705">
      <c r="D3705" t="str">
        <f>IFERROR(__xludf.DUMMYFUNCTION("""COMPUTED_VALUE"""),"Massie")</f>
        <v>Massie</v>
      </c>
      <c r="E3705" t="str">
        <f>IFERROR(__xludf.DUMMYFUNCTION("""COMPUTED_VALUE"""),"Bobby")</f>
        <v>Bobby</v>
      </c>
      <c r="F3705" t="str">
        <f>IFERROR(__xludf.DUMMYFUNCTION("""COMPUTED_VALUE"""),"RT")</f>
        <v>RT</v>
      </c>
      <c r="G3705">
        <f>IFERROR(__xludf.DUMMYFUNCTION("""COMPUTED_VALUE"""),14.600000000000001)</f>
        <v>14.6</v>
      </c>
    </row>
    <row r="3706">
      <c r="D3706" t="str">
        <f>IFERROR(__xludf.DUMMYFUNCTION("""COMPUTED_VALUE"""),"Matakevich")</f>
        <v>Matakevich</v>
      </c>
      <c r="E3706" t="str">
        <f>IFERROR(__xludf.DUMMYFUNCTION("""COMPUTED_VALUE"""),"Tyler")</f>
        <v>Tyler</v>
      </c>
      <c r="F3706" t="str">
        <f>IFERROR(__xludf.DUMMYFUNCTION("""COMPUTED_VALUE"""),"MLB")</f>
        <v>MLB</v>
      </c>
      <c r="G3706">
        <f>IFERROR(__xludf.DUMMYFUNCTION("""COMPUTED_VALUE"""),12.8)</f>
        <v>12.8</v>
      </c>
    </row>
    <row r="3707">
      <c r="D3707" t="str">
        <f>IFERROR(__xludf.DUMMYFUNCTION("""COMPUTED_VALUE"""),"Mathews")</f>
        <v>Mathews</v>
      </c>
      <c r="E3707" t="str">
        <f>IFERROR(__xludf.DUMMYFUNCTION("""COMPUTED_VALUE"""),"Mitch")</f>
        <v>Mitch</v>
      </c>
      <c r="F3707" t="str">
        <f>IFERROR(__xludf.DUMMYFUNCTION("""COMPUTED_VALUE"""),"WR")</f>
        <v>WR</v>
      </c>
      <c r="G3707">
        <f>IFERROR(__xludf.DUMMYFUNCTION("""COMPUTED_VALUE"""),12.0)</f>
        <v>12</v>
      </c>
    </row>
    <row r="3708">
      <c r="D3708" t="str">
        <f>IFERROR(__xludf.DUMMYFUNCTION("""COMPUTED_VALUE"""),"Mathews")</f>
        <v>Mathews</v>
      </c>
      <c r="E3708" t="str">
        <f>IFERROR(__xludf.DUMMYFUNCTION("""COMPUTED_VALUE"""),"Ryan")</f>
        <v>Ryan</v>
      </c>
      <c r="F3708" t="str">
        <f>IFERROR(__xludf.DUMMYFUNCTION("""COMPUTED_VALUE"""),"HB")</f>
        <v>HB</v>
      </c>
      <c r="G3708">
        <f>IFERROR(__xludf.DUMMYFUNCTION("""COMPUTED_VALUE"""),16.400000000000002)</f>
        <v>16.4</v>
      </c>
    </row>
    <row r="3709">
      <c r="D3709" t="str">
        <f>IFERROR(__xludf.DUMMYFUNCTION("""COMPUTED_VALUE"""),"Mathieu")</f>
        <v>Mathieu</v>
      </c>
      <c r="E3709" t="str">
        <f>IFERROR(__xludf.DUMMYFUNCTION("""COMPUTED_VALUE"""),"Tyrann")</f>
        <v>Tyrann</v>
      </c>
      <c r="F3709" t="str">
        <f>IFERROR(__xludf.DUMMYFUNCTION("""COMPUTED_VALUE"""),"FS")</f>
        <v>FS</v>
      </c>
      <c r="G3709">
        <f>IFERROR(__xludf.DUMMYFUNCTION("""COMPUTED_VALUE"""),17.400000000000002)</f>
        <v>17.4</v>
      </c>
    </row>
    <row r="3710">
      <c r="D3710" t="str">
        <f>IFERROR(__xludf.DUMMYFUNCTION("""COMPUTED_VALUE"""),"Matias")</f>
        <v>Matias</v>
      </c>
      <c r="E3710" t="str">
        <f>IFERROR(__xludf.DUMMYFUNCTION("""COMPUTED_VALUE"""),"Josue")</f>
        <v>Josue</v>
      </c>
      <c r="F3710" t="str">
        <f>IFERROR(__xludf.DUMMYFUNCTION("""COMPUTED_VALUE"""),"RG")</f>
        <v>RG</v>
      </c>
      <c r="G3710">
        <f>IFERROR(__xludf.DUMMYFUNCTION("""COMPUTED_VALUE"""),12.200000000000001)</f>
        <v>12.2</v>
      </c>
    </row>
    <row r="3711">
      <c r="D3711" t="str">
        <f>IFERROR(__xludf.DUMMYFUNCTION("""COMPUTED_VALUE"""),"Matthews")</f>
        <v>Matthews</v>
      </c>
      <c r="E3711" t="str">
        <f>IFERROR(__xludf.DUMMYFUNCTION("""COMPUTED_VALUE"""),"Chris")</f>
        <v>Chris</v>
      </c>
      <c r="F3711" t="str">
        <f>IFERROR(__xludf.DUMMYFUNCTION("""COMPUTED_VALUE"""),"WR")</f>
        <v>WR</v>
      </c>
      <c r="G3711">
        <f>IFERROR(__xludf.DUMMYFUNCTION("""COMPUTED_VALUE"""),13.600000000000001)</f>
        <v>13.6</v>
      </c>
    </row>
    <row r="3712">
      <c r="D3712" t="str">
        <f>IFERROR(__xludf.DUMMYFUNCTION("""COMPUTED_VALUE"""),"Matthews")</f>
        <v>Matthews</v>
      </c>
      <c r="E3712" t="str">
        <f>IFERROR(__xludf.DUMMYFUNCTION("""COMPUTED_VALUE"""),"Clay")</f>
        <v>Clay</v>
      </c>
      <c r="F3712" t="str">
        <f>IFERROR(__xludf.DUMMYFUNCTION("""COMPUTED_VALUE"""),"ROLB")</f>
        <v>ROLB</v>
      </c>
      <c r="G3712">
        <f>IFERROR(__xludf.DUMMYFUNCTION("""COMPUTED_VALUE"""),16.400000000000002)</f>
        <v>16.4</v>
      </c>
    </row>
    <row r="3713">
      <c r="D3713" t="str">
        <f>IFERROR(__xludf.DUMMYFUNCTION("""COMPUTED_VALUE"""),"Matthews")</f>
        <v>Matthews</v>
      </c>
      <c r="E3713" t="str">
        <f>IFERROR(__xludf.DUMMYFUNCTION("""COMPUTED_VALUE"""),"Jake")</f>
        <v>Jake</v>
      </c>
      <c r="F3713" t="str">
        <f>IFERROR(__xludf.DUMMYFUNCTION("""COMPUTED_VALUE"""),"LT")</f>
        <v>LT</v>
      </c>
      <c r="G3713">
        <f>IFERROR(__xludf.DUMMYFUNCTION("""COMPUTED_VALUE"""),15.4)</f>
        <v>15.4</v>
      </c>
    </row>
    <row r="3714">
      <c r="D3714" t="str">
        <f>IFERROR(__xludf.DUMMYFUNCTION("""COMPUTED_VALUE"""),"Matthews")</f>
        <v>Matthews</v>
      </c>
      <c r="E3714" t="str">
        <f>IFERROR(__xludf.DUMMYFUNCTION("""COMPUTED_VALUE"""),"Jordan")</f>
        <v>Jordan</v>
      </c>
      <c r="F3714" t="str">
        <f>IFERROR(__xludf.DUMMYFUNCTION("""COMPUTED_VALUE"""),"WR")</f>
        <v>WR</v>
      </c>
      <c r="G3714">
        <f>IFERROR(__xludf.DUMMYFUNCTION("""COMPUTED_VALUE"""),16.2)</f>
        <v>16.2</v>
      </c>
    </row>
    <row r="3715">
      <c r="D3715" t="str">
        <f>IFERROR(__xludf.DUMMYFUNCTION("""COMPUTED_VALUE"""),"Matthews")</f>
        <v>Matthews</v>
      </c>
      <c r="E3715" t="str">
        <f>IFERROR(__xludf.DUMMYFUNCTION("""COMPUTED_VALUE"""),"Rishard")</f>
        <v>Rishard</v>
      </c>
      <c r="F3715" t="str">
        <f>IFERROR(__xludf.DUMMYFUNCTION("""COMPUTED_VALUE"""),"WR")</f>
        <v>WR</v>
      </c>
      <c r="G3715">
        <f>IFERROR(__xludf.DUMMYFUNCTION("""COMPUTED_VALUE"""),16.400000000000002)</f>
        <v>16.4</v>
      </c>
    </row>
    <row r="3716">
      <c r="D3716" t="str">
        <f>IFERROR(__xludf.DUMMYFUNCTION("""COMPUTED_VALUE"""),"Mauga")</f>
        <v>Mauga</v>
      </c>
      <c r="E3716" t="str">
        <f>IFERROR(__xludf.DUMMYFUNCTION("""COMPUTED_VALUE"""),"Josh")</f>
        <v>Josh</v>
      </c>
      <c r="F3716" t="str">
        <f>IFERROR(__xludf.DUMMYFUNCTION("""COMPUTED_VALUE"""),"MLB")</f>
        <v>MLB</v>
      </c>
      <c r="G3716">
        <f>IFERROR(__xludf.DUMMYFUNCTION("""COMPUTED_VALUE"""),14.600000000000001)</f>
        <v>14.6</v>
      </c>
    </row>
    <row r="3717">
      <c r="D3717" t="str">
        <f>IFERROR(__xludf.DUMMYFUNCTION("""COMPUTED_VALUE"""),"Mauger")</f>
        <v>Mauger</v>
      </c>
      <c r="E3717" t="str">
        <f>IFERROR(__xludf.DUMMYFUNCTION("""COMPUTED_VALUE"""),"Quincy")</f>
        <v>Quincy</v>
      </c>
      <c r="F3717" t="str">
        <f>IFERROR(__xludf.DUMMYFUNCTION("""COMPUTED_VALUE"""),"SS")</f>
        <v>SS</v>
      </c>
      <c r="G3717">
        <f>IFERROR(__xludf.DUMMYFUNCTION("""COMPUTED_VALUE"""),12.0)</f>
        <v>12</v>
      </c>
    </row>
    <row r="3718">
      <c r="D3718" t="str">
        <f>IFERROR(__xludf.DUMMYFUNCTION("""COMPUTED_VALUE"""),"Mauldin IV")</f>
        <v>Mauldin IV</v>
      </c>
      <c r="E3718" t="str">
        <f>IFERROR(__xludf.DUMMYFUNCTION("""COMPUTED_VALUE"""),"Lorenzo")</f>
        <v>Lorenzo</v>
      </c>
      <c r="F3718" t="str">
        <f>IFERROR(__xludf.DUMMYFUNCTION("""COMPUTED_VALUE"""),"ROLB")</f>
        <v>ROLB</v>
      </c>
      <c r="G3718">
        <f>IFERROR(__xludf.DUMMYFUNCTION("""COMPUTED_VALUE"""),14.4)</f>
        <v>14.4</v>
      </c>
    </row>
    <row r="3719">
      <c r="D3719" t="str">
        <f>IFERROR(__xludf.DUMMYFUNCTION("""COMPUTED_VALUE"""),"Maulet")</f>
        <v>Maulet</v>
      </c>
      <c r="E3719" t="str">
        <f>IFERROR(__xludf.DUMMYFUNCTION("""COMPUTED_VALUE"""),"Arthur")</f>
        <v>Arthur</v>
      </c>
      <c r="F3719" t="str">
        <f>IFERROR(__xludf.DUMMYFUNCTION("""COMPUTED_VALUE"""),"CB")</f>
        <v>CB</v>
      </c>
      <c r="G3719">
        <f>IFERROR(__xludf.DUMMYFUNCTION("""COMPUTED_VALUE"""),12.200000000000001)</f>
        <v>12.2</v>
      </c>
    </row>
    <row r="3720">
      <c r="D3720" t="str">
        <f>IFERROR(__xludf.DUMMYFUNCTION("""COMPUTED_VALUE"""),"Mauro")</f>
        <v>Mauro</v>
      </c>
      <c r="E3720" t="str">
        <f>IFERROR(__xludf.DUMMYFUNCTION("""COMPUTED_VALUE"""),"Josh")</f>
        <v>Josh</v>
      </c>
      <c r="F3720" t="str">
        <f>IFERROR(__xludf.DUMMYFUNCTION("""COMPUTED_VALUE"""),"RE")</f>
        <v>RE</v>
      </c>
      <c r="G3720">
        <f>IFERROR(__xludf.DUMMYFUNCTION("""COMPUTED_VALUE"""),13.200000000000001)</f>
        <v>13.2</v>
      </c>
    </row>
    <row r="3721">
      <c r="D3721" t="str">
        <f>IFERROR(__xludf.DUMMYFUNCTION("""COMPUTED_VALUE"""),"Maxey")</f>
        <v>Maxey</v>
      </c>
      <c r="E3721" t="str">
        <f>IFERROR(__xludf.DUMMYFUNCTION("""COMPUTED_VALUE"""),"Johnny")</f>
        <v>Johnny</v>
      </c>
      <c r="F3721" t="str">
        <f>IFERROR(__xludf.DUMMYFUNCTION("""COMPUTED_VALUE"""),"DT")</f>
        <v>DT</v>
      </c>
      <c r="G3721">
        <f>IFERROR(__xludf.DUMMYFUNCTION("""COMPUTED_VALUE"""),12.200000000000001)</f>
        <v>12.2</v>
      </c>
    </row>
    <row r="3722">
      <c r="D3722" t="str">
        <f>IFERROR(__xludf.DUMMYFUNCTION("""COMPUTED_VALUE"""),"Maxwell")</f>
        <v>Maxwell</v>
      </c>
      <c r="E3722" t="str">
        <f>IFERROR(__xludf.DUMMYFUNCTION("""COMPUTED_VALUE"""),"Byron")</f>
        <v>Byron</v>
      </c>
      <c r="F3722" t="str">
        <f>IFERROR(__xludf.DUMMYFUNCTION("""COMPUTED_VALUE"""),"CB")</f>
        <v>CB</v>
      </c>
      <c r="G3722">
        <f>IFERROR(__xludf.DUMMYFUNCTION("""COMPUTED_VALUE"""),17.0)</f>
        <v>17</v>
      </c>
    </row>
    <row r="3723">
      <c r="D3723" t="str">
        <f>IFERROR(__xludf.DUMMYFUNCTION("""COMPUTED_VALUE"""),"Maye")</f>
        <v>Maye</v>
      </c>
      <c r="E3723" t="str">
        <f>IFERROR(__xludf.DUMMYFUNCTION("""COMPUTED_VALUE"""),"Marcus")</f>
        <v>Marcus</v>
      </c>
      <c r="F3723" t="str">
        <f>IFERROR(__xludf.DUMMYFUNCTION("""COMPUTED_VALUE"""),"SS")</f>
        <v>SS</v>
      </c>
      <c r="G3723">
        <f>IFERROR(__xludf.DUMMYFUNCTION("""COMPUTED_VALUE"""),14.8)</f>
        <v>14.8</v>
      </c>
    </row>
    <row r="3724">
      <c r="D3724" t="str">
        <f>IFERROR(__xludf.DUMMYFUNCTION("""COMPUTED_VALUE"""),"Mayle")</f>
        <v>Mayle</v>
      </c>
      <c r="E3724" t="str">
        <f>IFERROR(__xludf.DUMMYFUNCTION("""COMPUTED_VALUE"""),"Vince")</f>
        <v>Vince</v>
      </c>
      <c r="F3724" t="str">
        <f>IFERROR(__xludf.DUMMYFUNCTION("""COMPUTED_VALUE"""),"WR")</f>
        <v>WR</v>
      </c>
      <c r="G3724">
        <f>IFERROR(__xludf.DUMMYFUNCTION("""COMPUTED_VALUE"""),13.200000000000001)</f>
        <v>13.2</v>
      </c>
    </row>
    <row r="3725">
      <c r="D3725" t="str">
        <f>IFERROR(__xludf.DUMMYFUNCTION("""COMPUTED_VALUE"""),"Mayo")</f>
        <v>Mayo</v>
      </c>
      <c r="E3725" t="str">
        <f>IFERROR(__xludf.DUMMYFUNCTION("""COMPUTED_VALUE"""),"David")</f>
        <v>David</v>
      </c>
      <c r="F3725" t="str">
        <f>IFERROR(__xludf.DUMMYFUNCTION("""COMPUTED_VALUE"""),"ROLB")</f>
        <v>ROLB</v>
      </c>
      <c r="G3725">
        <f>IFERROR(__xludf.DUMMYFUNCTION("""COMPUTED_VALUE"""),13.200000000000001)</f>
        <v>13.2</v>
      </c>
    </row>
    <row r="3726">
      <c r="D3726" t="str">
        <f>IFERROR(__xludf.DUMMYFUNCTION("""COMPUTED_VALUE"""),"Mayowa")</f>
        <v>Mayowa</v>
      </c>
      <c r="E3726" t="str">
        <f>IFERROR(__xludf.DUMMYFUNCTION("""COMPUTED_VALUE"""),"Benson")</f>
        <v>Benson</v>
      </c>
      <c r="F3726" t="str">
        <f>IFERROR(__xludf.DUMMYFUNCTION("""COMPUTED_VALUE"""),"RE")</f>
        <v>RE</v>
      </c>
      <c r="G3726">
        <f>IFERROR(__xludf.DUMMYFUNCTION("""COMPUTED_VALUE"""),14.8)</f>
        <v>14.8</v>
      </c>
    </row>
    <row r="3727">
      <c r="D3727" t="str">
        <f>IFERROR(__xludf.DUMMYFUNCTION("""COMPUTED_VALUE"""),"Mays")</f>
        <v>Mays</v>
      </c>
      <c r="E3727" t="str">
        <f>IFERROR(__xludf.DUMMYFUNCTION("""COMPUTED_VALUE"""),"Devante")</f>
        <v>Devante</v>
      </c>
      <c r="F3727" t="str">
        <f>IFERROR(__xludf.DUMMYFUNCTION("""COMPUTED_VALUE"""),"HB")</f>
        <v>HB</v>
      </c>
      <c r="G3727">
        <f>IFERROR(__xludf.DUMMYFUNCTION("""COMPUTED_VALUE"""),13.200000000000001)</f>
        <v>13.2</v>
      </c>
    </row>
    <row r="3728">
      <c r="D3728" t="str">
        <f>IFERROR(__xludf.DUMMYFUNCTION("""COMPUTED_VALUE"""),"Mbu")</f>
        <v>Mbu</v>
      </c>
      <c r="E3728" t="str">
        <f>IFERROR(__xludf.DUMMYFUNCTION("""COMPUTED_VALUE"""),"Joey")</f>
        <v>Joey</v>
      </c>
      <c r="F3728" t="str">
        <f>IFERROR(__xludf.DUMMYFUNCTION("""COMPUTED_VALUE"""),"DT")</f>
        <v>DT</v>
      </c>
      <c r="G3728">
        <f>IFERROR(__xludf.DUMMYFUNCTION("""COMPUTED_VALUE"""),12.0)</f>
        <v>12</v>
      </c>
    </row>
    <row r="3729">
      <c r="D3729" t="str">
        <f>IFERROR(__xludf.DUMMYFUNCTION("""COMPUTED_VALUE"""),"McBride")</f>
        <v>McBride</v>
      </c>
      <c r="E3729" t="str">
        <f>IFERROR(__xludf.DUMMYFUNCTION("""COMPUTED_VALUE"""),"Tre")</f>
        <v>Tre</v>
      </c>
      <c r="F3729" t="str">
        <f>IFERROR(__xludf.DUMMYFUNCTION("""COMPUTED_VALUE"""),"WR")</f>
        <v>WR</v>
      </c>
      <c r="G3729">
        <f>IFERROR(__xludf.DUMMYFUNCTION("""COMPUTED_VALUE"""),13.0)</f>
        <v>13</v>
      </c>
    </row>
    <row r="3730">
      <c r="D3730" t="str">
        <f>IFERROR(__xludf.DUMMYFUNCTION("""COMPUTED_VALUE"""),"McCaffrey")</f>
        <v>McCaffrey</v>
      </c>
      <c r="E3730" t="str">
        <f>IFERROR(__xludf.DUMMYFUNCTION("""COMPUTED_VALUE"""),"Christian")</f>
        <v>Christian</v>
      </c>
      <c r="F3730" t="str">
        <f>IFERROR(__xludf.DUMMYFUNCTION("""COMPUTED_VALUE"""),"HB")</f>
        <v>HB</v>
      </c>
      <c r="G3730">
        <f>IFERROR(__xludf.DUMMYFUNCTION("""COMPUTED_VALUE"""),16.2)</f>
        <v>16.2</v>
      </c>
    </row>
    <row r="3731">
      <c r="D3731" t="str">
        <f>IFERROR(__xludf.DUMMYFUNCTION("""COMPUTED_VALUE"""),"McCaffrey")</f>
        <v>McCaffrey</v>
      </c>
      <c r="E3731" t="str">
        <f>IFERROR(__xludf.DUMMYFUNCTION("""COMPUTED_VALUE"""),"Max")</f>
        <v>Max</v>
      </c>
      <c r="F3731" t="str">
        <f>IFERROR(__xludf.DUMMYFUNCTION("""COMPUTED_VALUE"""),"WR")</f>
        <v>WR</v>
      </c>
      <c r="G3731">
        <f>IFERROR(__xludf.DUMMYFUNCTION("""COMPUTED_VALUE"""),12.4)</f>
        <v>12.4</v>
      </c>
    </row>
    <row r="3732">
      <c r="D3732" t="str">
        <f>IFERROR(__xludf.DUMMYFUNCTION("""COMPUTED_VALUE"""),"McCain")</f>
        <v>McCain</v>
      </c>
      <c r="E3732" t="str">
        <f>IFERROR(__xludf.DUMMYFUNCTION("""COMPUTED_VALUE"""),"Bobby")</f>
        <v>Bobby</v>
      </c>
      <c r="F3732" t="str">
        <f>IFERROR(__xludf.DUMMYFUNCTION("""COMPUTED_VALUE"""),"CB")</f>
        <v>CB</v>
      </c>
      <c r="G3732">
        <f>IFERROR(__xludf.DUMMYFUNCTION("""COMPUTED_VALUE"""),14.8)</f>
        <v>14.8</v>
      </c>
    </row>
    <row r="3733">
      <c r="D3733" t="str">
        <f>IFERROR(__xludf.DUMMYFUNCTION("""COMPUTED_VALUE"""),"McCain")</f>
        <v>McCain</v>
      </c>
      <c r="E3733" t="str">
        <f>IFERROR(__xludf.DUMMYFUNCTION("""COMPUTED_VALUE"""),"Brice")</f>
        <v>Brice</v>
      </c>
      <c r="F3733" t="str">
        <f>IFERROR(__xludf.DUMMYFUNCTION("""COMPUTED_VALUE"""),"CB")</f>
        <v>CB</v>
      </c>
      <c r="G3733">
        <f>IFERROR(__xludf.DUMMYFUNCTION("""COMPUTED_VALUE"""),15.600000000000001)</f>
        <v>15.6</v>
      </c>
    </row>
    <row r="3734">
      <c r="D3734" t="str">
        <f>IFERROR(__xludf.DUMMYFUNCTION("""COMPUTED_VALUE"""),"McCain")</f>
        <v>McCain</v>
      </c>
      <c r="E3734" t="str">
        <f>IFERROR(__xludf.DUMMYFUNCTION("""COMPUTED_VALUE"""),"Chris")</f>
        <v>Chris</v>
      </c>
      <c r="F3734" t="str">
        <f>IFERROR(__xludf.DUMMYFUNCTION("""COMPUTED_VALUE"""),"LOLB")</f>
        <v>LOLB</v>
      </c>
      <c r="G3734">
        <f>IFERROR(__xludf.DUMMYFUNCTION("""COMPUTED_VALUE"""),13.600000000000001)</f>
        <v>13.6</v>
      </c>
    </row>
    <row r="3735">
      <c r="D3735" t="str">
        <f>IFERROR(__xludf.DUMMYFUNCTION("""COMPUTED_VALUE"""),"McCalister")</f>
        <v>McCalister</v>
      </c>
      <c r="E3735" t="str">
        <f>IFERROR(__xludf.DUMMYFUNCTION("""COMPUTED_VALUE"""),"Alex")</f>
        <v>Alex</v>
      </c>
      <c r="F3735" t="str">
        <f>IFERROR(__xludf.DUMMYFUNCTION("""COMPUTED_VALUE"""),"LE")</f>
        <v>LE</v>
      </c>
      <c r="G3735">
        <f>IFERROR(__xludf.DUMMYFUNCTION("""COMPUTED_VALUE"""),12.0)</f>
        <v>12</v>
      </c>
    </row>
    <row r="3736">
      <c r="D3736" t="str">
        <f>IFERROR(__xludf.DUMMYFUNCTION("""COMPUTED_VALUE"""),"McCants")</f>
        <v>McCants</v>
      </c>
      <c r="E3736" t="str">
        <f>IFERROR(__xludf.DUMMYFUNCTION("""COMPUTED_VALUE"""),"Matthew")</f>
        <v>Matthew</v>
      </c>
      <c r="F3736" t="str">
        <f>IFERROR(__xludf.DUMMYFUNCTION("""COMPUTED_VALUE"""),"LT")</f>
        <v>LT</v>
      </c>
      <c r="G3736">
        <f>IFERROR(__xludf.DUMMYFUNCTION("""COMPUTED_VALUE"""),14.200000000000001)</f>
        <v>14.2</v>
      </c>
    </row>
    <row r="3737">
      <c r="D3737" t="str">
        <f>IFERROR(__xludf.DUMMYFUNCTION("""COMPUTED_VALUE"""),"McCarron")</f>
        <v>McCarron</v>
      </c>
      <c r="E3737" t="str">
        <f>IFERROR(__xludf.DUMMYFUNCTION("""COMPUTED_VALUE"""),"AJ")</f>
        <v>AJ</v>
      </c>
      <c r="F3737" t="str">
        <f>IFERROR(__xludf.DUMMYFUNCTION("""COMPUTED_VALUE"""),"QB")</f>
        <v>QB</v>
      </c>
      <c r="G3737">
        <f>IFERROR(__xludf.DUMMYFUNCTION("""COMPUTED_VALUE"""),14.600000000000001)</f>
        <v>14.6</v>
      </c>
    </row>
    <row r="3738">
      <c r="D3738" t="str">
        <f>IFERROR(__xludf.DUMMYFUNCTION("""COMPUTED_VALUE"""),"McCarron")</f>
        <v>McCarron</v>
      </c>
      <c r="E3738" t="str">
        <f>IFERROR(__xludf.DUMMYFUNCTION("""COMPUTED_VALUE"""),"Riley")</f>
        <v>Riley</v>
      </c>
      <c r="F3738" t="str">
        <f>IFERROR(__xludf.DUMMYFUNCTION("""COMPUTED_VALUE"""),"WR")</f>
        <v>WR</v>
      </c>
      <c r="G3738">
        <f>IFERROR(__xludf.DUMMYFUNCTION("""COMPUTED_VALUE"""),12.8)</f>
        <v>12.8</v>
      </c>
    </row>
    <row r="3739">
      <c r="D3739" t="str">
        <f>IFERROR(__xludf.DUMMYFUNCTION("""COMPUTED_VALUE"""),"McCaskill")</f>
        <v>McCaskill</v>
      </c>
      <c r="E3739" t="str">
        <f>IFERROR(__xludf.DUMMYFUNCTION("""COMPUTED_VALUE"""),"Sam")</f>
        <v>Sam</v>
      </c>
      <c r="F3739" t="str">
        <f>IFERROR(__xludf.DUMMYFUNCTION("""COMPUTED_VALUE"""),"LE")</f>
        <v>LE</v>
      </c>
      <c r="G3739">
        <f>IFERROR(__xludf.DUMMYFUNCTION("""COMPUTED_VALUE"""),12.600000000000001)</f>
        <v>12.6</v>
      </c>
    </row>
    <row r="3740">
      <c r="D3740" t="str">
        <f>IFERROR(__xludf.DUMMYFUNCTION("""COMPUTED_VALUE"""),"McClain")</f>
        <v>McClain</v>
      </c>
      <c r="E3740" t="str">
        <f>IFERROR(__xludf.DUMMYFUNCTION("""COMPUTED_VALUE"""),"Robert")</f>
        <v>Robert</v>
      </c>
      <c r="F3740" t="str">
        <f>IFERROR(__xludf.DUMMYFUNCTION("""COMPUTED_VALUE"""),"CB")</f>
        <v>CB</v>
      </c>
      <c r="G3740">
        <f>IFERROR(__xludf.DUMMYFUNCTION("""COMPUTED_VALUE"""),13.8)</f>
        <v>13.8</v>
      </c>
    </row>
    <row r="3741">
      <c r="D3741" t="str">
        <f>IFERROR(__xludf.DUMMYFUNCTION("""COMPUTED_VALUE"""),"McClain")</f>
        <v>McClain</v>
      </c>
      <c r="E3741" t="str">
        <f>IFERROR(__xludf.DUMMYFUNCTION("""COMPUTED_VALUE"""),"Terrell")</f>
        <v>Terrell</v>
      </c>
      <c r="F3741" t="str">
        <f>IFERROR(__xludf.DUMMYFUNCTION("""COMPUTED_VALUE"""),"RE")</f>
        <v>RE</v>
      </c>
      <c r="G3741">
        <f>IFERROR(__xludf.DUMMYFUNCTION("""COMPUTED_VALUE"""),14.600000000000001)</f>
        <v>14.6</v>
      </c>
    </row>
    <row r="3742">
      <c r="D3742" t="str">
        <f>IFERROR(__xludf.DUMMYFUNCTION("""COMPUTED_VALUE"""),"McClellan")</f>
        <v>McClellan</v>
      </c>
      <c r="E3742" t="str">
        <f>IFERROR(__xludf.DUMMYFUNCTION("""COMPUTED_VALUE"""),"Albert")</f>
        <v>Albert</v>
      </c>
      <c r="F3742" t="str">
        <f>IFERROR(__xludf.DUMMYFUNCTION("""COMPUTED_VALUE"""),"LOLB")</f>
        <v>LOLB</v>
      </c>
      <c r="G3742">
        <f>IFERROR(__xludf.DUMMYFUNCTION("""COMPUTED_VALUE"""),14.0)</f>
        <v>14</v>
      </c>
    </row>
    <row r="3743">
      <c r="D3743" t="str">
        <f>IFERROR(__xludf.DUMMYFUNCTION("""COMPUTED_VALUE"""),"McClellin")</f>
        <v>McClellin</v>
      </c>
      <c r="E3743" t="str">
        <f>IFERROR(__xludf.DUMMYFUNCTION("""COMPUTED_VALUE"""),"Shea")</f>
        <v>Shea</v>
      </c>
      <c r="F3743" t="str">
        <f>IFERROR(__xludf.DUMMYFUNCTION("""COMPUTED_VALUE"""),"LOLB")</f>
        <v>LOLB</v>
      </c>
      <c r="G3743">
        <f>IFERROR(__xludf.DUMMYFUNCTION("""COMPUTED_VALUE"""),14.8)</f>
        <v>14.8</v>
      </c>
    </row>
    <row r="3744">
      <c r="D3744" t="str">
        <f>IFERROR(__xludf.DUMMYFUNCTION("""COMPUTED_VALUE"""),"McCoil")</f>
        <v>McCoil</v>
      </c>
      <c r="E3744" t="str">
        <f>IFERROR(__xludf.DUMMYFUNCTION("""COMPUTED_VALUE"""),"Dexter")</f>
        <v>Dexter</v>
      </c>
      <c r="F3744" t="str">
        <f>IFERROR(__xludf.DUMMYFUNCTION("""COMPUTED_VALUE"""),"FS")</f>
        <v>FS</v>
      </c>
      <c r="G3744">
        <f>IFERROR(__xludf.DUMMYFUNCTION("""COMPUTED_VALUE"""),13.4)</f>
        <v>13.4</v>
      </c>
    </row>
    <row r="3745">
      <c r="D3745" t="str">
        <f>IFERROR(__xludf.DUMMYFUNCTION("""COMPUTED_VALUE"""),"McCourty")</f>
        <v>McCourty</v>
      </c>
      <c r="E3745" t="str">
        <f>IFERROR(__xludf.DUMMYFUNCTION("""COMPUTED_VALUE"""),"Devin")</f>
        <v>Devin</v>
      </c>
      <c r="F3745" t="str">
        <f>IFERROR(__xludf.DUMMYFUNCTION("""COMPUTED_VALUE"""),"FS")</f>
        <v>FS</v>
      </c>
      <c r="G3745">
        <f>IFERROR(__xludf.DUMMYFUNCTION("""COMPUTED_VALUE"""),18.400000000000002)</f>
        <v>18.4</v>
      </c>
    </row>
    <row r="3746">
      <c r="D3746" t="str">
        <f>IFERROR(__xludf.DUMMYFUNCTION("""COMPUTED_VALUE"""),"McCourty")</f>
        <v>McCourty</v>
      </c>
      <c r="E3746" t="str">
        <f>IFERROR(__xludf.DUMMYFUNCTION("""COMPUTED_VALUE"""),"Jason")</f>
        <v>Jason</v>
      </c>
      <c r="F3746" t="str">
        <f>IFERROR(__xludf.DUMMYFUNCTION("""COMPUTED_VALUE"""),"CB")</f>
        <v>CB</v>
      </c>
      <c r="G3746">
        <f>IFERROR(__xludf.DUMMYFUNCTION("""COMPUTED_VALUE"""),16.2)</f>
        <v>16.2</v>
      </c>
    </row>
    <row r="3747">
      <c r="D3747" t="str">
        <f>IFERROR(__xludf.DUMMYFUNCTION("""COMPUTED_VALUE"""),"McCown")</f>
        <v>McCown</v>
      </c>
      <c r="E3747" t="str">
        <f>IFERROR(__xludf.DUMMYFUNCTION("""COMPUTED_VALUE"""),"Josh")</f>
        <v>Josh</v>
      </c>
      <c r="F3747" t="str">
        <f>IFERROR(__xludf.DUMMYFUNCTION("""COMPUTED_VALUE"""),"QB")</f>
        <v>QB</v>
      </c>
      <c r="G3747">
        <f>IFERROR(__xludf.DUMMYFUNCTION("""COMPUTED_VALUE"""),14.600000000000001)</f>
        <v>14.6</v>
      </c>
    </row>
    <row r="3748">
      <c r="D3748" t="str">
        <f>IFERROR(__xludf.DUMMYFUNCTION("""COMPUTED_VALUE"""),"McCoy")</f>
        <v>McCoy</v>
      </c>
      <c r="E3748" t="str">
        <f>IFERROR(__xludf.DUMMYFUNCTION("""COMPUTED_VALUE"""),"Colt")</f>
        <v>Colt</v>
      </c>
      <c r="F3748" t="str">
        <f>IFERROR(__xludf.DUMMYFUNCTION("""COMPUTED_VALUE"""),"QB")</f>
        <v>QB</v>
      </c>
      <c r="G3748">
        <f>IFERROR(__xludf.DUMMYFUNCTION("""COMPUTED_VALUE"""),13.4)</f>
        <v>13.4</v>
      </c>
    </row>
    <row r="3749">
      <c r="D3749" t="str">
        <f>IFERROR(__xludf.DUMMYFUNCTION("""COMPUTED_VALUE"""),"McCoy")</f>
        <v>McCoy</v>
      </c>
      <c r="E3749" t="str">
        <f>IFERROR(__xludf.DUMMYFUNCTION("""COMPUTED_VALUE"""),"Gerald")</f>
        <v>Gerald</v>
      </c>
      <c r="F3749" t="str">
        <f>IFERROR(__xludf.DUMMYFUNCTION("""COMPUTED_VALUE"""),"DT")</f>
        <v>DT</v>
      </c>
      <c r="G3749">
        <f>IFERROR(__xludf.DUMMYFUNCTION("""COMPUTED_VALUE"""),18.0)</f>
        <v>18</v>
      </c>
    </row>
    <row r="3750">
      <c r="D3750" t="str">
        <f>IFERROR(__xludf.DUMMYFUNCTION("""COMPUTED_VALUE"""),"McCoy")</f>
        <v>McCoy</v>
      </c>
      <c r="E3750" t="str">
        <f>IFERROR(__xludf.DUMMYFUNCTION("""COMPUTED_VALUE"""),"LeSean")</f>
        <v>LeSean</v>
      </c>
      <c r="F3750" t="str">
        <f>IFERROR(__xludf.DUMMYFUNCTION("""COMPUTED_VALUE"""),"HB")</f>
        <v>HB</v>
      </c>
      <c r="G3750">
        <f>IFERROR(__xludf.DUMMYFUNCTION("""COMPUTED_VALUE"""),18.400000000000002)</f>
        <v>18.4</v>
      </c>
    </row>
    <row r="3751">
      <c r="D3751" t="str">
        <f>IFERROR(__xludf.DUMMYFUNCTION("""COMPUTED_VALUE"""),"McCray")</f>
        <v>McCray</v>
      </c>
      <c r="E3751" t="str">
        <f>IFERROR(__xludf.DUMMYFUNCTION("""COMPUTED_VALUE"""),"Justin")</f>
        <v>Justin</v>
      </c>
      <c r="F3751" t="str">
        <f>IFERROR(__xludf.DUMMYFUNCTION("""COMPUTED_VALUE"""),"RG")</f>
        <v>RG</v>
      </c>
      <c r="G3751">
        <f>IFERROR(__xludf.DUMMYFUNCTION("""COMPUTED_VALUE"""),13.4)</f>
        <v>13.4</v>
      </c>
    </row>
    <row r="3752">
      <c r="D3752" t="str">
        <f>IFERROR(__xludf.DUMMYFUNCTION("""COMPUTED_VALUE"""),"McCray")</f>
        <v>McCray</v>
      </c>
      <c r="E3752" t="str">
        <f>IFERROR(__xludf.DUMMYFUNCTION("""COMPUTED_VALUE"""),"Lerentee")</f>
        <v>Lerentee</v>
      </c>
      <c r="F3752" t="str">
        <f>IFERROR(__xludf.DUMMYFUNCTION("""COMPUTED_VALUE"""),"ROLB")</f>
        <v>ROLB</v>
      </c>
      <c r="G3752">
        <f>IFERROR(__xludf.DUMMYFUNCTION("""COMPUTED_VALUE"""),14.4)</f>
        <v>14.4</v>
      </c>
    </row>
    <row r="3753">
      <c r="D3753" t="str">
        <f>IFERROR(__xludf.DUMMYFUNCTION("""COMPUTED_VALUE"""),"McCullers")</f>
        <v>McCullers</v>
      </c>
      <c r="E3753" t="str">
        <f>IFERROR(__xludf.DUMMYFUNCTION("""COMPUTED_VALUE"""),"Daniel")</f>
        <v>Daniel</v>
      </c>
      <c r="F3753" t="str">
        <f>IFERROR(__xludf.DUMMYFUNCTION("""COMPUTED_VALUE"""),"DT")</f>
        <v>DT</v>
      </c>
      <c r="G3753">
        <f>IFERROR(__xludf.DUMMYFUNCTION("""COMPUTED_VALUE"""),13.8)</f>
        <v>13.8</v>
      </c>
    </row>
    <row r="3754">
      <c r="D3754" t="str">
        <f>IFERROR(__xludf.DUMMYFUNCTION("""COMPUTED_VALUE"""),"McDaniel")</f>
        <v>McDaniel</v>
      </c>
      <c r="E3754" t="str">
        <f>IFERROR(__xludf.DUMMYFUNCTION("""COMPUTED_VALUE"""),"Tony")</f>
        <v>Tony</v>
      </c>
      <c r="F3754" t="str">
        <f>IFERROR(__xludf.DUMMYFUNCTION("""COMPUTED_VALUE"""),"DT")</f>
        <v>DT</v>
      </c>
      <c r="G3754">
        <f>IFERROR(__xludf.DUMMYFUNCTION("""COMPUTED_VALUE"""),14.600000000000001)</f>
        <v>14.6</v>
      </c>
    </row>
    <row r="3755">
      <c r="D3755" t="str">
        <f>IFERROR(__xludf.DUMMYFUNCTION("""COMPUTED_VALUE"""),"McDermott")</f>
        <v>McDermott</v>
      </c>
      <c r="E3755" t="str">
        <f>IFERROR(__xludf.DUMMYFUNCTION("""COMPUTED_VALUE"""),"Conor")</f>
        <v>Conor</v>
      </c>
      <c r="F3755" t="str">
        <f>IFERROR(__xludf.DUMMYFUNCTION("""COMPUTED_VALUE"""),"RT")</f>
        <v>RT</v>
      </c>
      <c r="G3755">
        <f>IFERROR(__xludf.DUMMYFUNCTION("""COMPUTED_VALUE"""),13.4)</f>
        <v>13.4</v>
      </c>
    </row>
    <row r="3756">
      <c r="D3756" t="str">
        <f>IFERROR(__xludf.DUMMYFUNCTION("""COMPUTED_VALUE"""),"McDermott")</f>
        <v>McDermott</v>
      </c>
      <c r="E3756" t="str">
        <f>IFERROR(__xludf.DUMMYFUNCTION("""COMPUTED_VALUE"""),"Kevin")</f>
        <v>Kevin</v>
      </c>
      <c r="F3756" t="str">
        <f>IFERROR(__xludf.DUMMYFUNCTION("""COMPUTED_VALUE"""),"TE")</f>
        <v>TE</v>
      </c>
      <c r="G3756">
        <f>IFERROR(__xludf.DUMMYFUNCTION("""COMPUTED_VALUE"""),10.0)</f>
        <v>10</v>
      </c>
    </row>
    <row r="3757">
      <c r="D3757" t="str">
        <f>IFERROR(__xludf.DUMMYFUNCTION("""COMPUTED_VALUE"""),"McDonald")</f>
        <v>McDonald</v>
      </c>
      <c r="E3757" t="str">
        <f>IFERROR(__xludf.DUMMYFUNCTION("""COMPUTED_VALUE"""),"Clinton")</f>
        <v>Clinton</v>
      </c>
      <c r="F3757" t="str">
        <f>IFERROR(__xludf.DUMMYFUNCTION("""COMPUTED_VALUE"""),"DT")</f>
        <v>DT</v>
      </c>
      <c r="G3757">
        <f>IFERROR(__xludf.DUMMYFUNCTION("""COMPUTED_VALUE"""),15.0)</f>
        <v>15</v>
      </c>
    </row>
    <row r="3758">
      <c r="D3758" t="str">
        <f>IFERROR(__xludf.DUMMYFUNCTION("""COMPUTED_VALUE"""),"McDonald")</f>
        <v>McDonald</v>
      </c>
      <c r="E3758" t="str">
        <f>IFERROR(__xludf.DUMMYFUNCTION("""COMPUTED_VALUE"""),"Dewey")</f>
        <v>Dewey</v>
      </c>
      <c r="F3758" t="str">
        <f>IFERROR(__xludf.DUMMYFUNCTION("""COMPUTED_VALUE"""),"ROLB")</f>
        <v>ROLB</v>
      </c>
      <c r="G3758">
        <f>IFERROR(__xludf.DUMMYFUNCTION("""COMPUTED_VALUE"""),11.8)</f>
        <v>11.8</v>
      </c>
    </row>
    <row r="3759">
      <c r="D3759" t="str">
        <f>IFERROR(__xludf.DUMMYFUNCTION("""COMPUTED_VALUE"""),"McDonald")</f>
        <v>McDonald</v>
      </c>
      <c r="E3759" t="str">
        <f>IFERROR(__xludf.DUMMYFUNCTION("""COMPUTED_VALUE"""),"Dexter")</f>
        <v>Dexter</v>
      </c>
      <c r="F3759" t="str">
        <f>IFERROR(__xludf.DUMMYFUNCTION("""COMPUTED_VALUE"""),"CB")</f>
        <v>CB</v>
      </c>
      <c r="G3759">
        <f>IFERROR(__xludf.DUMMYFUNCTION("""COMPUTED_VALUE"""),12.0)</f>
        <v>12</v>
      </c>
    </row>
    <row r="3760">
      <c r="D3760" t="str">
        <f>IFERROR(__xludf.DUMMYFUNCTION("""COMPUTED_VALUE"""),"McDonald")</f>
        <v>McDonald</v>
      </c>
      <c r="E3760" t="str">
        <f>IFERROR(__xludf.DUMMYFUNCTION("""COMPUTED_VALUE"""),"Vance")</f>
        <v>Vance</v>
      </c>
      <c r="F3760" t="str">
        <f>IFERROR(__xludf.DUMMYFUNCTION("""COMPUTED_VALUE"""),"TE")</f>
        <v>TE</v>
      </c>
      <c r="G3760">
        <f>IFERROR(__xludf.DUMMYFUNCTION("""COMPUTED_VALUE"""),15.4)</f>
        <v>15.4</v>
      </c>
    </row>
    <row r="3761">
      <c r="D3761" t="str">
        <f>IFERROR(__xludf.DUMMYFUNCTION("""COMPUTED_VALUE"""),"McDonald Jr")</f>
        <v>McDonald Jr</v>
      </c>
      <c r="E3761" t="str">
        <f>IFERROR(__xludf.DUMMYFUNCTION("""COMPUTED_VALUE"""),"TJ")</f>
        <v>TJ</v>
      </c>
      <c r="F3761" t="str">
        <f>IFERROR(__xludf.DUMMYFUNCTION("""COMPUTED_VALUE"""),"SS")</f>
        <v>SS</v>
      </c>
      <c r="G3761">
        <f>IFERROR(__xludf.DUMMYFUNCTION("""COMPUTED_VALUE"""),15.200000000000001)</f>
        <v>15.2</v>
      </c>
    </row>
    <row r="3762">
      <c r="D3762" t="str">
        <f>IFERROR(__xludf.DUMMYFUNCTION("""COMPUTED_VALUE"""),"McDougald")</f>
        <v>McDougald</v>
      </c>
      <c r="E3762" t="str">
        <f>IFERROR(__xludf.DUMMYFUNCTION("""COMPUTED_VALUE"""),"Bradley")</f>
        <v>Bradley</v>
      </c>
      <c r="F3762" t="str">
        <f>IFERROR(__xludf.DUMMYFUNCTION("""COMPUTED_VALUE"""),"FS")</f>
        <v>FS</v>
      </c>
      <c r="G3762">
        <f>IFERROR(__xludf.DUMMYFUNCTION("""COMPUTED_VALUE"""),15.600000000000001)</f>
        <v>15.6</v>
      </c>
    </row>
    <row r="3763">
      <c r="D3763" t="str">
        <f>IFERROR(__xludf.DUMMYFUNCTION("""COMPUTED_VALUE"""),"McDougle")</f>
        <v>McDougle</v>
      </c>
      <c r="E3763" t="str">
        <f>IFERROR(__xludf.DUMMYFUNCTION("""COMPUTED_VALUE"""),"Dexter")</f>
        <v>Dexter</v>
      </c>
      <c r="F3763" t="str">
        <f>IFERROR(__xludf.DUMMYFUNCTION("""COMPUTED_VALUE"""),"CB")</f>
        <v>CB</v>
      </c>
      <c r="G3763">
        <f>IFERROR(__xludf.DUMMYFUNCTION("""COMPUTED_VALUE"""),13.4)</f>
        <v>13.4</v>
      </c>
    </row>
    <row r="3764">
      <c r="D3764" t="str">
        <f>IFERROR(__xludf.DUMMYFUNCTION("""COMPUTED_VALUE"""),"McDowell")</f>
        <v>McDowell</v>
      </c>
      <c r="E3764" t="str">
        <f>IFERROR(__xludf.DUMMYFUNCTION("""COMPUTED_VALUE"""),"Malik")</f>
        <v>Malik</v>
      </c>
      <c r="F3764" t="str">
        <f>IFERROR(__xludf.DUMMYFUNCTION("""COMPUTED_VALUE"""),"DT")</f>
        <v>DT</v>
      </c>
      <c r="G3764">
        <f>IFERROR(__xludf.DUMMYFUNCTION("""COMPUTED_VALUE"""),14.8)</f>
        <v>14.8</v>
      </c>
    </row>
    <row r="3765">
      <c r="D3765" t="str">
        <f>IFERROR(__xludf.DUMMYFUNCTION("""COMPUTED_VALUE"""),"McEvoy")</f>
        <v>McEvoy</v>
      </c>
      <c r="E3765" t="str">
        <f>IFERROR(__xludf.DUMMYFUNCTION("""COMPUTED_VALUE"""),"Tanner")</f>
        <v>Tanner</v>
      </c>
      <c r="F3765" t="str">
        <f>IFERROR(__xludf.DUMMYFUNCTION("""COMPUTED_VALUE"""),"WR")</f>
        <v>WR</v>
      </c>
      <c r="G3765">
        <f>IFERROR(__xludf.DUMMYFUNCTION("""COMPUTED_VALUE"""),13.4)</f>
        <v>13.4</v>
      </c>
    </row>
    <row r="3766">
      <c r="D3766" t="str">
        <f>IFERROR(__xludf.DUMMYFUNCTION("""COMPUTED_VALUE"""),"McFadden")</f>
        <v>McFadden</v>
      </c>
      <c r="E3766" t="str">
        <f>IFERROR(__xludf.DUMMYFUNCTION("""COMPUTED_VALUE"""),"Darren")</f>
        <v>Darren</v>
      </c>
      <c r="F3766" t="str">
        <f>IFERROR(__xludf.DUMMYFUNCTION("""COMPUTED_VALUE"""),"HB")</f>
        <v>HB</v>
      </c>
      <c r="G3766">
        <f>IFERROR(__xludf.DUMMYFUNCTION("""COMPUTED_VALUE"""),15.4)</f>
        <v>15.4</v>
      </c>
    </row>
    <row r="3767">
      <c r="D3767" t="str">
        <f>IFERROR(__xludf.DUMMYFUNCTION("""COMPUTED_VALUE"""),"McFadden")</f>
        <v>McFadden</v>
      </c>
      <c r="E3767" t="str">
        <f>IFERROR(__xludf.DUMMYFUNCTION("""COMPUTED_VALUE"""),"Leon")</f>
        <v>Leon</v>
      </c>
      <c r="F3767" t="str">
        <f>IFERROR(__xludf.DUMMYFUNCTION("""COMPUTED_VALUE"""),"CB")</f>
        <v>CB</v>
      </c>
      <c r="G3767">
        <f>IFERROR(__xludf.DUMMYFUNCTION("""COMPUTED_VALUE"""),14.0)</f>
        <v>14</v>
      </c>
    </row>
    <row r="3768">
      <c r="D3768" t="str">
        <f>IFERROR(__xludf.DUMMYFUNCTION("""COMPUTED_VALUE"""),"McGee")</f>
        <v>McGee</v>
      </c>
      <c r="E3768" t="str">
        <f>IFERROR(__xludf.DUMMYFUNCTION("""COMPUTED_VALUE"""),"Stacy")</f>
        <v>Stacy</v>
      </c>
      <c r="F3768" t="str">
        <f>IFERROR(__xludf.DUMMYFUNCTION("""COMPUTED_VALUE"""),"LE")</f>
        <v>LE</v>
      </c>
      <c r="G3768">
        <f>IFERROR(__xludf.DUMMYFUNCTION("""COMPUTED_VALUE"""),14.0)</f>
        <v>14</v>
      </c>
    </row>
    <row r="3769">
      <c r="D3769" t="str">
        <f>IFERROR(__xludf.DUMMYFUNCTION("""COMPUTED_VALUE"""),"McGill")</f>
        <v>McGill</v>
      </c>
      <c r="E3769" t="str">
        <f>IFERROR(__xludf.DUMMYFUNCTION("""COMPUTED_VALUE"""),"TY")</f>
        <v>TY</v>
      </c>
      <c r="F3769" t="str">
        <f>IFERROR(__xludf.DUMMYFUNCTION("""COMPUTED_VALUE"""),"DT")</f>
        <v>DT</v>
      </c>
      <c r="G3769">
        <f>IFERROR(__xludf.DUMMYFUNCTION("""COMPUTED_VALUE"""),14.600000000000001)</f>
        <v>14.6</v>
      </c>
    </row>
    <row r="3770">
      <c r="D3770" t="str">
        <f>IFERROR(__xludf.DUMMYFUNCTION("""COMPUTED_VALUE"""),"McGill II")</f>
        <v>McGill II</v>
      </c>
      <c r="E3770" t="str">
        <f>IFERROR(__xludf.DUMMYFUNCTION("""COMPUTED_VALUE"""),"Keith")</f>
        <v>Keith</v>
      </c>
      <c r="F3770" t="str">
        <f>IFERROR(__xludf.DUMMYFUNCTION("""COMPUTED_VALUE"""),"SS")</f>
        <v>SS</v>
      </c>
      <c r="G3770">
        <f>IFERROR(__xludf.DUMMYFUNCTION("""COMPUTED_VALUE"""),13.200000000000001)</f>
        <v>13.2</v>
      </c>
    </row>
    <row r="3771">
      <c r="D3771" t="str">
        <f>IFERROR(__xludf.DUMMYFUNCTION("""COMPUTED_VALUE"""),"McGloin")</f>
        <v>McGloin</v>
      </c>
      <c r="E3771" t="str">
        <f>IFERROR(__xludf.DUMMYFUNCTION("""COMPUTED_VALUE"""),"Matt")</f>
        <v>Matt</v>
      </c>
      <c r="F3771" t="str">
        <f>IFERROR(__xludf.DUMMYFUNCTION("""COMPUTED_VALUE"""),"QB")</f>
        <v>QB</v>
      </c>
      <c r="G3771">
        <f>IFERROR(__xludf.DUMMYFUNCTION("""COMPUTED_VALUE"""),13.4)</f>
        <v>13.4</v>
      </c>
    </row>
    <row r="3772">
      <c r="D3772" t="str">
        <f>IFERROR(__xludf.DUMMYFUNCTION("""COMPUTED_VALUE"""),"McGovern")</f>
        <v>McGovern</v>
      </c>
      <c r="E3772" t="str">
        <f>IFERROR(__xludf.DUMMYFUNCTION("""COMPUTED_VALUE"""),"Connor")</f>
        <v>Connor</v>
      </c>
      <c r="F3772" t="str">
        <f>IFERROR(__xludf.DUMMYFUNCTION("""COMPUTED_VALUE"""),"LG")</f>
        <v>LG</v>
      </c>
      <c r="G3772">
        <f>IFERROR(__xludf.DUMMYFUNCTION("""COMPUTED_VALUE"""),13.200000000000001)</f>
        <v>13.2</v>
      </c>
    </row>
    <row r="3773">
      <c r="D3773" t="str">
        <f>IFERROR(__xludf.DUMMYFUNCTION("""COMPUTED_VALUE"""),"McGrath")</f>
        <v>McGrath</v>
      </c>
      <c r="E3773" t="str">
        <f>IFERROR(__xludf.DUMMYFUNCTION("""COMPUTED_VALUE"""),"Sean")</f>
        <v>Sean</v>
      </c>
      <c r="F3773" t="str">
        <f>IFERROR(__xludf.DUMMYFUNCTION("""COMPUTED_VALUE"""),"TE")</f>
        <v>TE</v>
      </c>
      <c r="G3773">
        <f>IFERROR(__xludf.DUMMYFUNCTION("""COMPUTED_VALUE"""),13.4)</f>
        <v>13.4</v>
      </c>
    </row>
    <row r="3774">
      <c r="D3774" t="str">
        <f>IFERROR(__xludf.DUMMYFUNCTION("""COMPUTED_VALUE"""),"McGuire")</f>
        <v>McGuire</v>
      </c>
      <c r="E3774" t="str">
        <f>IFERROR(__xludf.DUMMYFUNCTION("""COMPUTED_VALUE"""),"Elijah")</f>
        <v>Elijah</v>
      </c>
      <c r="F3774" t="str">
        <f>IFERROR(__xludf.DUMMYFUNCTION("""COMPUTED_VALUE"""),"HB")</f>
        <v>HB</v>
      </c>
      <c r="G3774">
        <f>IFERROR(__xludf.DUMMYFUNCTION("""COMPUTED_VALUE"""),14.0)</f>
        <v>14</v>
      </c>
    </row>
    <row r="3775">
      <c r="D3775" t="str">
        <f>IFERROR(__xludf.DUMMYFUNCTION("""COMPUTED_VALUE"""),"McKenzie")</f>
        <v>McKenzie</v>
      </c>
      <c r="E3775" t="str">
        <f>IFERROR(__xludf.DUMMYFUNCTION("""COMPUTED_VALUE"""),"Isaiah")</f>
        <v>Isaiah</v>
      </c>
      <c r="F3775" t="str">
        <f>IFERROR(__xludf.DUMMYFUNCTION("""COMPUTED_VALUE"""),"WR")</f>
        <v>WR</v>
      </c>
      <c r="G3775">
        <f>IFERROR(__xludf.DUMMYFUNCTION("""COMPUTED_VALUE"""),13.4)</f>
        <v>13.4</v>
      </c>
    </row>
    <row r="3776">
      <c r="D3776" t="str">
        <f>IFERROR(__xludf.DUMMYFUNCTION("""COMPUTED_VALUE"""),"McKinley")</f>
        <v>McKinley</v>
      </c>
      <c r="E3776" t="str">
        <f>IFERROR(__xludf.DUMMYFUNCTION("""COMPUTED_VALUE"""),"Takkarist")</f>
        <v>Takkarist</v>
      </c>
      <c r="F3776" t="str">
        <f>IFERROR(__xludf.DUMMYFUNCTION("""COMPUTED_VALUE"""),"LE")</f>
        <v>LE</v>
      </c>
      <c r="G3776">
        <f>IFERROR(__xludf.DUMMYFUNCTION("""COMPUTED_VALUE"""),15.0)</f>
        <v>15</v>
      </c>
    </row>
    <row r="3777">
      <c r="D3777" t="str">
        <f>IFERROR(__xludf.DUMMYFUNCTION("""COMPUTED_VALUE"""),"McKinney")</f>
        <v>McKinney</v>
      </c>
      <c r="E3777" t="str">
        <f>IFERROR(__xludf.DUMMYFUNCTION("""COMPUTED_VALUE"""),"Benardrick")</f>
        <v>Benardrick</v>
      </c>
      <c r="F3777" t="str">
        <f>IFERROR(__xludf.DUMMYFUNCTION("""COMPUTED_VALUE"""),"MLB")</f>
        <v>MLB</v>
      </c>
      <c r="G3777">
        <f>IFERROR(__xludf.DUMMYFUNCTION("""COMPUTED_VALUE"""),16.400000000000002)</f>
        <v>16.4</v>
      </c>
    </row>
    <row r="3778">
      <c r="D3778" t="str">
        <f>IFERROR(__xludf.DUMMYFUNCTION("""COMPUTED_VALUE"""),"McKinnon")</f>
        <v>McKinnon</v>
      </c>
      <c r="E3778" t="str">
        <f>IFERROR(__xludf.DUMMYFUNCTION("""COMPUTED_VALUE"""),"Jerick")</f>
        <v>Jerick</v>
      </c>
      <c r="F3778" t="str">
        <f>IFERROR(__xludf.DUMMYFUNCTION("""COMPUTED_VALUE"""),"HB")</f>
        <v>HB</v>
      </c>
      <c r="G3778">
        <f>IFERROR(__xludf.DUMMYFUNCTION("""COMPUTED_VALUE"""),16.0)</f>
        <v>16</v>
      </c>
    </row>
    <row r="3779">
      <c r="D3779" t="str">
        <f>IFERROR(__xludf.DUMMYFUNCTION("""COMPUTED_VALUE"""),"McKissic")</f>
        <v>McKissic</v>
      </c>
      <c r="E3779" t="str">
        <f>IFERROR(__xludf.DUMMYFUNCTION("""COMPUTED_VALUE"""),"JD")</f>
        <v>JD</v>
      </c>
      <c r="F3779" t="str">
        <f>IFERROR(__xludf.DUMMYFUNCTION("""COMPUTED_VALUE"""),"HB")</f>
        <v>HB</v>
      </c>
      <c r="G3779">
        <f>IFERROR(__xludf.DUMMYFUNCTION("""COMPUTED_VALUE"""),12.600000000000001)</f>
        <v>12.6</v>
      </c>
    </row>
    <row r="3780">
      <c r="D3780" t="str">
        <f>IFERROR(__xludf.DUMMYFUNCTION("""COMPUTED_VALUE"""),"McLendon")</f>
        <v>McLendon</v>
      </c>
      <c r="E3780" t="str">
        <f>IFERROR(__xludf.DUMMYFUNCTION("""COMPUTED_VALUE"""),"Steve")</f>
        <v>Steve</v>
      </c>
      <c r="F3780" t="str">
        <f>IFERROR(__xludf.DUMMYFUNCTION("""COMPUTED_VALUE"""),"DT")</f>
        <v>DT</v>
      </c>
      <c r="G3780">
        <f>IFERROR(__xludf.DUMMYFUNCTION("""COMPUTED_VALUE"""),15.0)</f>
        <v>15</v>
      </c>
    </row>
    <row r="3781">
      <c r="D3781" t="str">
        <f>IFERROR(__xludf.DUMMYFUNCTION("""COMPUTED_VALUE"""),"McLeod Jr")</f>
        <v>McLeod Jr</v>
      </c>
      <c r="E3781" t="str">
        <f>IFERROR(__xludf.DUMMYFUNCTION("""COMPUTED_VALUE"""),"Rodney")</f>
        <v>Rodney</v>
      </c>
      <c r="F3781" t="str">
        <f>IFERROR(__xludf.DUMMYFUNCTION("""COMPUTED_VALUE"""),"FS")</f>
        <v>FS</v>
      </c>
      <c r="G3781">
        <f>IFERROR(__xludf.DUMMYFUNCTION("""COMPUTED_VALUE"""),16.0)</f>
        <v>16</v>
      </c>
    </row>
    <row r="3782">
      <c r="D3782" t="str">
        <f>IFERROR(__xludf.DUMMYFUNCTION("""COMPUTED_VALUE"""),"McManis")</f>
        <v>McManis</v>
      </c>
      <c r="E3782" t="str">
        <f>IFERROR(__xludf.DUMMYFUNCTION("""COMPUTED_VALUE"""),"Sherrick")</f>
        <v>Sherrick</v>
      </c>
      <c r="F3782" t="str">
        <f>IFERROR(__xludf.DUMMYFUNCTION("""COMPUTED_VALUE"""),"CB")</f>
        <v>CB</v>
      </c>
      <c r="G3782">
        <f>IFERROR(__xludf.DUMMYFUNCTION("""COMPUTED_VALUE"""),13.0)</f>
        <v>13</v>
      </c>
    </row>
    <row r="3783">
      <c r="D3783" t="str">
        <f>IFERROR(__xludf.DUMMYFUNCTION("""COMPUTED_VALUE"""),"McManus")</f>
        <v>McManus</v>
      </c>
      <c r="E3783" t="str">
        <f>IFERROR(__xludf.DUMMYFUNCTION("""COMPUTED_VALUE"""),"Brandon")</f>
        <v>Brandon</v>
      </c>
      <c r="F3783" t="str">
        <f>IFERROR(__xludf.DUMMYFUNCTION("""COMPUTED_VALUE"""),"K")</f>
        <v>K</v>
      </c>
      <c r="G3783">
        <f>IFERROR(__xludf.DUMMYFUNCTION("""COMPUTED_VALUE"""),16.0)</f>
        <v>16</v>
      </c>
    </row>
    <row r="3784">
      <c r="D3784" t="str">
        <f>IFERROR(__xludf.DUMMYFUNCTION("""COMPUTED_VALUE"""),"McMillan")</f>
        <v>McMillan</v>
      </c>
      <c r="E3784" t="str">
        <f>IFERROR(__xludf.DUMMYFUNCTION("""COMPUTED_VALUE"""),"Raekwon")</f>
        <v>Raekwon</v>
      </c>
      <c r="F3784" t="str">
        <f>IFERROR(__xludf.DUMMYFUNCTION("""COMPUTED_VALUE"""),"ROLB")</f>
        <v>ROLB</v>
      </c>
      <c r="G3784">
        <f>IFERROR(__xludf.DUMMYFUNCTION("""COMPUTED_VALUE"""),14.4)</f>
        <v>14.4</v>
      </c>
    </row>
    <row r="3785">
      <c r="D3785" t="str">
        <f>IFERROR(__xludf.DUMMYFUNCTION("""COMPUTED_VALUE"""),"McNary")</f>
        <v>McNary</v>
      </c>
      <c r="E3785" t="str">
        <f>IFERROR(__xludf.DUMMYFUNCTION("""COMPUTED_VALUE"""),"Josh")</f>
        <v>Josh</v>
      </c>
      <c r="F3785" t="str">
        <f>IFERROR(__xludf.DUMMYFUNCTION("""COMPUTED_VALUE"""),"ROLB")</f>
        <v>ROLB</v>
      </c>
      <c r="G3785">
        <f>IFERROR(__xludf.DUMMYFUNCTION("""COMPUTED_VALUE"""),13.8)</f>
        <v>13.8</v>
      </c>
    </row>
    <row r="3786">
      <c r="D3786" t="str">
        <f>IFERROR(__xludf.DUMMYFUNCTION("""COMPUTED_VALUE"""),"McNichols")</f>
        <v>McNichols</v>
      </c>
      <c r="E3786" t="str">
        <f>IFERROR(__xludf.DUMMYFUNCTION("""COMPUTED_VALUE"""),"Jeremy")</f>
        <v>Jeremy</v>
      </c>
      <c r="F3786" t="str">
        <f>IFERROR(__xludf.DUMMYFUNCTION("""COMPUTED_VALUE"""),"HB")</f>
        <v>HB</v>
      </c>
      <c r="G3786">
        <f>IFERROR(__xludf.DUMMYFUNCTION("""COMPUTED_VALUE"""),14.200000000000001)</f>
        <v>14.2</v>
      </c>
    </row>
    <row r="3787">
      <c r="D3787" t="str">
        <f>IFERROR(__xludf.DUMMYFUNCTION("""COMPUTED_VALUE"""),"McPhee")</f>
        <v>McPhee</v>
      </c>
      <c r="E3787" t="str">
        <f>IFERROR(__xludf.DUMMYFUNCTION("""COMPUTED_VALUE"""),"Pernell")</f>
        <v>Pernell</v>
      </c>
      <c r="F3787" t="str">
        <f>IFERROR(__xludf.DUMMYFUNCTION("""COMPUTED_VALUE"""),"LOLB")</f>
        <v>LOLB</v>
      </c>
      <c r="G3787">
        <f>IFERROR(__xludf.DUMMYFUNCTION("""COMPUTED_VALUE"""),16.8)</f>
        <v>16.8</v>
      </c>
    </row>
    <row r="3788">
      <c r="D3788" t="str">
        <f>IFERROR(__xludf.DUMMYFUNCTION("""COMPUTED_VALUE"""),"McQuaide")</f>
        <v>McQuaide</v>
      </c>
      <c r="E3788" t="str">
        <f>IFERROR(__xludf.DUMMYFUNCTION("""COMPUTED_VALUE"""),"Jake")</f>
        <v>Jake</v>
      </c>
      <c r="F3788" t="str">
        <f>IFERROR(__xludf.DUMMYFUNCTION("""COMPUTED_VALUE"""),"TE")</f>
        <v>TE</v>
      </c>
      <c r="G3788">
        <f>IFERROR(__xludf.DUMMYFUNCTION("""COMPUTED_VALUE"""),8.8)</f>
        <v>8.8</v>
      </c>
    </row>
    <row r="3789">
      <c r="D3789" t="str">
        <f>IFERROR(__xludf.DUMMYFUNCTION("""COMPUTED_VALUE"""),"McQuay III")</f>
        <v>McQuay III</v>
      </c>
      <c r="E3789" t="str">
        <f>IFERROR(__xludf.DUMMYFUNCTION("""COMPUTED_VALUE"""),"Leon")</f>
        <v>Leon</v>
      </c>
      <c r="F3789" t="str">
        <f>IFERROR(__xludf.DUMMYFUNCTION("""COMPUTED_VALUE"""),"SS")</f>
        <v>SS</v>
      </c>
      <c r="G3789">
        <f>IFERROR(__xludf.DUMMYFUNCTION("""COMPUTED_VALUE"""),12.200000000000001)</f>
        <v>12.2</v>
      </c>
    </row>
    <row r="3790">
      <c r="D3790" t="str">
        <f>IFERROR(__xludf.DUMMYFUNCTION("""COMPUTED_VALUE"""),"McRoberts")</f>
        <v>McRoberts</v>
      </c>
      <c r="E3790" t="str">
        <f>IFERROR(__xludf.DUMMYFUNCTION("""COMPUTED_VALUE"""),"Paul")</f>
        <v>Paul</v>
      </c>
      <c r="F3790" t="str">
        <f>IFERROR(__xludf.DUMMYFUNCTION("""COMPUTED_VALUE"""),"WR")</f>
        <v>WR</v>
      </c>
      <c r="G3790">
        <f>IFERROR(__xludf.DUMMYFUNCTION("""COMPUTED_VALUE"""),12.4)</f>
        <v>12.4</v>
      </c>
    </row>
    <row r="3791">
      <c r="D3791" t="str">
        <f>IFERROR(__xludf.DUMMYFUNCTION("""COMPUTED_VALUE"""),"Means")</f>
        <v>Means</v>
      </c>
      <c r="E3791" t="str">
        <f>IFERROR(__xludf.DUMMYFUNCTION("""COMPUTED_VALUE"""),"Steven")</f>
        <v>Steven</v>
      </c>
      <c r="F3791" t="str">
        <f>IFERROR(__xludf.DUMMYFUNCTION("""COMPUTED_VALUE"""),"LE")</f>
        <v>LE</v>
      </c>
      <c r="G3791">
        <f>IFERROR(__xludf.DUMMYFUNCTION("""COMPUTED_VALUE"""),13.600000000000001)</f>
        <v>13.6</v>
      </c>
    </row>
    <row r="3792">
      <c r="D3792" t="str">
        <f>IFERROR(__xludf.DUMMYFUNCTION("""COMPUTED_VALUE"""),"Mebane")</f>
        <v>Mebane</v>
      </c>
      <c r="E3792" t="str">
        <f>IFERROR(__xludf.DUMMYFUNCTION("""COMPUTED_VALUE"""),"Brandon")</f>
        <v>Brandon</v>
      </c>
      <c r="F3792" t="str">
        <f>IFERROR(__xludf.DUMMYFUNCTION("""COMPUTED_VALUE"""),"DT")</f>
        <v>DT</v>
      </c>
      <c r="G3792">
        <f>IFERROR(__xludf.DUMMYFUNCTION("""COMPUTED_VALUE"""),16.400000000000002)</f>
        <v>16.4</v>
      </c>
    </row>
    <row r="3793">
      <c r="D3793" t="str">
        <f>IFERROR(__xludf.DUMMYFUNCTION("""COMPUTED_VALUE"""),"Meder")</f>
        <v>Meder</v>
      </c>
      <c r="E3793" t="str">
        <f>IFERROR(__xludf.DUMMYFUNCTION("""COMPUTED_VALUE"""),"Jamie")</f>
        <v>Jamie</v>
      </c>
      <c r="F3793" t="str">
        <f>IFERROR(__xludf.DUMMYFUNCTION("""COMPUTED_VALUE"""),"DT")</f>
        <v>DT</v>
      </c>
      <c r="G3793">
        <f>IFERROR(__xludf.DUMMYFUNCTION("""COMPUTED_VALUE"""),14.4)</f>
        <v>14.4</v>
      </c>
    </row>
    <row r="3794">
      <c r="D3794" t="str">
        <f>IFERROR(__xludf.DUMMYFUNCTION("""COMPUTED_VALUE"""),"Melifonwu")</f>
        <v>Melifonwu</v>
      </c>
      <c r="E3794" t="str">
        <f>IFERROR(__xludf.DUMMYFUNCTION("""COMPUTED_VALUE"""),"Obi")</f>
        <v>Obi</v>
      </c>
      <c r="F3794" t="str">
        <f>IFERROR(__xludf.DUMMYFUNCTION("""COMPUTED_VALUE"""),"FS")</f>
        <v>FS</v>
      </c>
      <c r="G3794">
        <f>IFERROR(__xludf.DUMMYFUNCTION("""COMPUTED_VALUE"""),15.0)</f>
        <v>15</v>
      </c>
    </row>
    <row r="3795">
      <c r="D3795" t="str">
        <f>IFERROR(__xludf.DUMMYFUNCTION("""COMPUTED_VALUE"""),"Melvin")</f>
        <v>Melvin</v>
      </c>
      <c r="E3795" t="str">
        <f>IFERROR(__xludf.DUMMYFUNCTION("""COMPUTED_VALUE"""),"Rashaan")</f>
        <v>Rashaan</v>
      </c>
      <c r="F3795" t="str">
        <f>IFERROR(__xludf.DUMMYFUNCTION("""COMPUTED_VALUE"""),"CB")</f>
        <v>CB</v>
      </c>
      <c r="G3795">
        <f>IFERROR(__xludf.DUMMYFUNCTION("""COMPUTED_VALUE"""),14.4)</f>
        <v>14.4</v>
      </c>
    </row>
    <row r="3796">
      <c r="D3796" t="str">
        <f>IFERROR(__xludf.DUMMYFUNCTION("""COMPUTED_VALUE"""),"Mercilus")</f>
        <v>Mercilus</v>
      </c>
      <c r="E3796" t="str">
        <f>IFERROR(__xludf.DUMMYFUNCTION("""COMPUTED_VALUE"""),"Whitney")</f>
        <v>Whitney</v>
      </c>
      <c r="F3796" t="str">
        <f>IFERROR(__xludf.DUMMYFUNCTION("""COMPUTED_VALUE"""),"ROLB")</f>
        <v>ROLB</v>
      </c>
      <c r="G3796">
        <f>IFERROR(__xludf.DUMMYFUNCTION("""COMPUTED_VALUE"""),17.400000000000002)</f>
        <v>17.4</v>
      </c>
    </row>
    <row r="3797">
      <c r="D3797" t="str">
        <f>IFERROR(__xludf.DUMMYFUNCTION("""COMPUTED_VALUE"""),"Meredith")</f>
        <v>Meredith</v>
      </c>
      <c r="E3797" t="str">
        <f>IFERROR(__xludf.DUMMYFUNCTION("""COMPUTED_VALUE"""),"Cameron")</f>
        <v>Cameron</v>
      </c>
      <c r="F3797" t="str">
        <f>IFERROR(__xludf.DUMMYFUNCTION("""COMPUTED_VALUE"""),"WR")</f>
        <v>WR</v>
      </c>
      <c r="G3797">
        <f>IFERROR(__xludf.DUMMYFUNCTION("""COMPUTED_VALUE"""),16.6)</f>
        <v>16.6</v>
      </c>
    </row>
    <row r="3798">
      <c r="D3798" t="str">
        <f>IFERROR(__xludf.DUMMYFUNCTION("""COMPUTED_VALUE"""),"Mewhort")</f>
        <v>Mewhort</v>
      </c>
      <c r="E3798" t="str">
        <f>IFERROR(__xludf.DUMMYFUNCTION("""COMPUTED_VALUE"""),"Jack")</f>
        <v>Jack</v>
      </c>
      <c r="F3798" t="str">
        <f>IFERROR(__xludf.DUMMYFUNCTION("""COMPUTED_VALUE"""),"LG")</f>
        <v>LG</v>
      </c>
      <c r="G3798">
        <f>IFERROR(__xludf.DUMMYFUNCTION("""COMPUTED_VALUE"""),16.400000000000002)</f>
        <v>16.4</v>
      </c>
    </row>
    <row r="3799">
      <c r="D3799" t="str">
        <f>IFERROR(__xludf.DUMMYFUNCTION("""COMPUTED_VALUE"""),"Michael")</f>
        <v>Michael</v>
      </c>
      <c r="E3799" t="str">
        <f>IFERROR(__xludf.DUMMYFUNCTION("""COMPUTED_VALUE"""),"Christine")</f>
        <v>Christine</v>
      </c>
      <c r="F3799" t="str">
        <f>IFERROR(__xludf.DUMMYFUNCTION("""COMPUTED_VALUE"""),"HB")</f>
        <v>HB</v>
      </c>
      <c r="G3799">
        <f>IFERROR(__xludf.DUMMYFUNCTION("""COMPUTED_VALUE"""),15.0)</f>
        <v>15</v>
      </c>
    </row>
    <row r="3800">
      <c r="D3800" t="str">
        <f>IFERROR(__xludf.DUMMYFUNCTION("""COMPUTED_VALUE"""),"Middleton")</f>
        <v>Middleton</v>
      </c>
      <c r="E3800" t="str">
        <f>IFERROR(__xludf.DUMMYFUNCTION("""COMPUTED_VALUE"""),"Doug")</f>
        <v>Doug</v>
      </c>
      <c r="F3800" t="str">
        <f>IFERROR(__xludf.DUMMYFUNCTION("""COMPUTED_VALUE"""),"SS")</f>
        <v>SS</v>
      </c>
      <c r="G3800">
        <f>IFERROR(__xludf.DUMMYFUNCTION("""COMPUTED_VALUE"""),12.0)</f>
        <v>12</v>
      </c>
    </row>
    <row r="3801">
      <c r="D3801" t="str">
        <f>IFERROR(__xludf.DUMMYFUNCTION("""COMPUTED_VALUE"""),"Mihalik")</f>
        <v>Mihalik</v>
      </c>
      <c r="E3801" t="str">
        <f>IFERROR(__xludf.DUMMYFUNCTION("""COMPUTED_VALUE"""),"Brian")</f>
        <v>Brian</v>
      </c>
      <c r="F3801" t="str">
        <f>IFERROR(__xludf.DUMMYFUNCTION("""COMPUTED_VALUE"""),"RT")</f>
        <v>RT</v>
      </c>
      <c r="G3801">
        <f>IFERROR(__xludf.DUMMYFUNCTION("""COMPUTED_VALUE"""),13.0)</f>
        <v>13</v>
      </c>
    </row>
    <row r="3802">
      <c r="D3802" t="str">
        <f>IFERROR(__xludf.DUMMYFUNCTION("""COMPUTED_VALUE"""),"Milano")</f>
        <v>Milano</v>
      </c>
      <c r="E3802" t="str">
        <f>IFERROR(__xludf.DUMMYFUNCTION("""COMPUTED_VALUE"""),"Matt")</f>
        <v>Matt</v>
      </c>
      <c r="F3802" t="str">
        <f>IFERROR(__xludf.DUMMYFUNCTION("""COMPUTED_VALUE"""),"MLB")</f>
        <v>MLB</v>
      </c>
      <c r="G3802">
        <f>IFERROR(__xludf.DUMMYFUNCTION("""COMPUTED_VALUE"""),13.0)</f>
        <v>13</v>
      </c>
    </row>
    <row r="3803">
      <c r="D3803" t="str">
        <f>IFERROR(__xludf.DUMMYFUNCTION("""COMPUTED_VALUE"""),"Miles")</f>
        <v>Miles</v>
      </c>
      <c r="E3803" t="str">
        <f>IFERROR(__xludf.DUMMYFUNCTION("""COMPUTED_VALUE"""),"Rontez")</f>
        <v>Rontez</v>
      </c>
      <c r="F3803" t="str">
        <f>IFERROR(__xludf.DUMMYFUNCTION("""COMPUTED_VALUE"""),"FS")</f>
        <v>FS</v>
      </c>
      <c r="G3803">
        <f>IFERROR(__xludf.DUMMYFUNCTION("""COMPUTED_VALUE"""),14.4)</f>
        <v>14.4</v>
      </c>
    </row>
    <row r="3804">
      <c r="D3804" t="str">
        <f>IFERROR(__xludf.DUMMYFUNCTION("""COMPUTED_VALUE"""),"Miller")</f>
        <v>Miller</v>
      </c>
      <c r="E3804" t="str">
        <f>IFERROR(__xludf.DUMMYFUNCTION("""COMPUTED_VALUE"""),"Braxton")</f>
        <v>Braxton</v>
      </c>
      <c r="F3804" t="str">
        <f>IFERROR(__xludf.DUMMYFUNCTION("""COMPUTED_VALUE"""),"WR")</f>
        <v>WR</v>
      </c>
      <c r="G3804">
        <f>IFERROR(__xludf.DUMMYFUNCTION("""COMPUTED_VALUE"""),14.600000000000001)</f>
        <v>14.6</v>
      </c>
    </row>
    <row r="3805">
      <c r="D3805" t="str">
        <f>IFERROR(__xludf.DUMMYFUNCTION("""COMPUTED_VALUE"""),"Miller")</f>
        <v>Miller</v>
      </c>
      <c r="E3805" t="str">
        <f>IFERROR(__xludf.DUMMYFUNCTION("""COMPUTED_VALUE"""),"Harlan")</f>
        <v>Harlan</v>
      </c>
      <c r="F3805" t="str">
        <f>IFERROR(__xludf.DUMMYFUNCTION("""COMPUTED_VALUE"""),"CB")</f>
        <v>CB</v>
      </c>
      <c r="G3805">
        <f>IFERROR(__xludf.DUMMYFUNCTION("""COMPUTED_VALUE"""),13.200000000000001)</f>
        <v>13.2</v>
      </c>
    </row>
    <row r="3806">
      <c r="D3806" t="str">
        <f>IFERROR(__xludf.DUMMYFUNCTION("""COMPUTED_VALUE"""),"Miller")</f>
        <v>Miller</v>
      </c>
      <c r="E3806" t="str">
        <f>IFERROR(__xludf.DUMMYFUNCTION("""COMPUTED_VALUE"""),"John")</f>
        <v>John</v>
      </c>
      <c r="F3806" t="str">
        <f>IFERROR(__xludf.DUMMYFUNCTION("""COMPUTED_VALUE"""),"RG")</f>
        <v>RG</v>
      </c>
      <c r="G3806">
        <f>IFERROR(__xludf.DUMMYFUNCTION("""COMPUTED_VALUE"""),15.200000000000001)</f>
        <v>15.2</v>
      </c>
    </row>
    <row r="3807">
      <c r="D3807" t="str">
        <f>IFERROR(__xludf.DUMMYFUNCTION("""COMPUTED_VALUE"""),"Miller")</f>
        <v>Miller</v>
      </c>
      <c r="E3807" t="str">
        <f>IFERROR(__xludf.DUMMYFUNCTION("""COMPUTED_VALUE"""),"Lamar")</f>
        <v>Lamar</v>
      </c>
      <c r="F3807" t="str">
        <f>IFERROR(__xludf.DUMMYFUNCTION("""COMPUTED_VALUE"""),"HB")</f>
        <v>HB</v>
      </c>
      <c r="G3807">
        <f>IFERROR(__xludf.DUMMYFUNCTION("""COMPUTED_VALUE"""),17.0)</f>
        <v>17</v>
      </c>
    </row>
    <row r="3808">
      <c r="D3808" t="str">
        <f>IFERROR(__xludf.DUMMYFUNCTION("""COMPUTED_VALUE"""),"Miller")</f>
        <v>Miller</v>
      </c>
      <c r="E3808" t="str">
        <f>IFERROR(__xludf.DUMMYFUNCTION("""COMPUTED_VALUE"""),"Von")</f>
        <v>Von</v>
      </c>
      <c r="F3808" t="str">
        <f>IFERROR(__xludf.DUMMYFUNCTION("""COMPUTED_VALUE"""),"LOLB")</f>
        <v>LOLB</v>
      </c>
      <c r="G3808">
        <f>IFERROR(__xludf.DUMMYFUNCTION("""COMPUTED_VALUE"""),19.8)</f>
        <v>19.8</v>
      </c>
    </row>
    <row r="3809">
      <c r="D3809" t="str">
        <f>IFERROR(__xludf.DUMMYFUNCTION("""COMPUTED_VALUE"""),"Miller")</f>
        <v>Miller</v>
      </c>
      <c r="E3809" t="str">
        <f>IFERROR(__xludf.DUMMYFUNCTION("""COMPUTED_VALUE"""),"Zach")</f>
        <v>Zach</v>
      </c>
      <c r="F3809" t="str">
        <f>IFERROR(__xludf.DUMMYFUNCTION("""COMPUTED_VALUE"""),"TE")</f>
        <v>TE</v>
      </c>
      <c r="G3809">
        <f>IFERROR(__xludf.DUMMYFUNCTION("""COMPUTED_VALUE"""),17.2)</f>
        <v>17.2</v>
      </c>
    </row>
    <row r="3810">
      <c r="D3810" t="str">
        <f>IFERROR(__xludf.DUMMYFUNCTION("""COMPUTED_VALUE"""),"Mills")</f>
        <v>Mills</v>
      </c>
      <c r="E3810" t="str">
        <f>IFERROR(__xludf.DUMMYFUNCTION("""COMPUTED_VALUE"""),"Jalen")</f>
        <v>Jalen</v>
      </c>
      <c r="F3810" t="str">
        <f>IFERROR(__xludf.DUMMYFUNCTION("""COMPUTED_VALUE"""),"CB")</f>
        <v>CB</v>
      </c>
      <c r="G3810">
        <f>IFERROR(__xludf.DUMMYFUNCTION("""COMPUTED_VALUE"""),14.0)</f>
        <v>14</v>
      </c>
    </row>
    <row r="3811">
      <c r="D3811" t="str">
        <f>IFERROR(__xludf.DUMMYFUNCTION("""COMPUTED_VALUE"""),"Mills")</f>
        <v>Mills</v>
      </c>
      <c r="E3811" t="str">
        <f>IFERROR(__xludf.DUMMYFUNCTION("""COMPUTED_VALUE"""),"Jordan")</f>
        <v>Jordan</v>
      </c>
      <c r="F3811" t="str">
        <f>IFERROR(__xludf.DUMMYFUNCTION("""COMPUTED_VALUE"""),"RT")</f>
        <v>RT</v>
      </c>
      <c r="G3811">
        <f>IFERROR(__xludf.DUMMYFUNCTION("""COMPUTED_VALUE"""),14.4)</f>
        <v>14.4</v>
      </c>
    </row>
    <row r="3812">
      <c r="D3812" t="str">
        <f>IFERROR(__xludf.DUMMYFUNCTION("""COMPUTED_VALUE"""),"Milton")</f>
        <v>Milton</v>
      </c>
      <c r="E3812" t="str">
        <f>IFERROR(__xludf.DUMMYFUNCTION("""COMPUTED_VALUE"""),"Chris")</f>
        <v>Chris</v>
      </c>
      <c r="F3812" t="str">
        <f>IFERROR(__xludf.DUMMYFUNCTION("""COMPUTED_VALUE"""),"CB")</f>
        <v>CB</v>
      </c>
      <c r="G3812">
        <f>IFERROR(__xludf.DUMMYFUNCTION("""COMPUTED_VALUE"""),12.8)</f>
        <v>12.8</v>
      </c>
    </row>
    <row r="3813">
      <c r="D3813" t="str">
        <f>IFERROR(__xludf.DUMMYFUNCTION("""COMPUTED_VALUE"""),"Milton")</f>
        <v>Milton</v>
      </c>
      <c r="E3813" t="str">
        <f>IFERROR(__xludf.DUMMYFUNCTION("""COMPUTED_VALUE"""),"Keavon")</f>
        <v>Keavon</v>
      </c>
      <c r="F3813" t="str">
        <f>IFERROR(__xludf.DUMMYFUNCTION("""COMPUTED_VALUE"""),"RT")</f>
        <v>RT</v>
      </c>
      <c r="G3813">
        <f>IFERROR(__xludf.DUMMYFUNCTION("""COMPUTED_VALUE"""),12.8)</f>
        <v>12.8</v>
      </c>
    </row>
    <row r="3814">
      <c r="D3814" t="str">
        <f>IFERROR(__xludf.DUMMYFUNCTION("""COMPUTED_VALUE"""),"Mingo")</f>
        <v>Mingo</v>
      </c>
      <c r="E3814" t="str">
        <f>IFERROR(__xludf.DUMMYFUNCTION("""COMPUTED_VALUE"""),"Barkevious")</f>
        <v>Barkevious</v>
      </c>
      <c r="F3814" t="str">
        <f>IFERROR(__xludf.DUMMYFUNCTION("""COMPUTED_VALUE"""),"ROLB")</f>
        <v>ROLB</v>
      </c>
      <c r="G3814">
        <f>IFERROR(__xludf.DUMMYFUNCTION("""COMPUTED_VALUE"""),15.600000000000001)</f>
        <v>15.6</v>
      </c>
    </row>
    <row r="3815">
      <c r="D3815" t="str">
        <f>IFERROR(__xludf.DUMMYFUNCTION("""COMPUTED_VALUE"""),"Minter")</f>
        <v>Minter</v>
      </c>
      <c r="E3815" t="str">
        <f>IFERROR(__xludf.DUMMYFUNCTION("""COMPUTED_VALUE"""),"Kevin")</f>
        <v>Kevin</v>
      </c>
      <c r="F3815" t="str">
        <f>IFERROR(__xludf.DUMMYFUNCTION("""COMPUTED_VALUE"""),"MLB")</f>
        <v>MLB</v>
      </c>
      <c r="G3815">
        <f>IFERROR(__xludf.DUMMYFUNCTION("""COMPUTED_VALUE"""),15.600000000000001)</f>
        <v>15.6</v>
      </c>
    </row>
    <row r="3816">
      <c r="D3816" t="str">
        <f>IFERROR(__xludf.DUMMYFUNCTION("""COMPUTED_VALUE"""),"Misi")</f>
        <v>Misi</v>
      </c>
      <c r="E3816" t="str">
        <f>IFERROR(__xludf.DUMMYFUNCTION("""COMPUTED_VALUE"""),"Koa")</f>
        <v>Koa</v>
      </c>
      <c r="F3816" t="str">
        <f>IFERROR(__xludf.DUMMYFUNCTION("""COMPUTED_VALUE"""),"LOLB")</f>
        <v>LOLB</v>
      </c>
      <c r="G3816">
        <f>IFERROR(__xludf.DUMMYFUNCTION("""COMPUTED_VALUE"""),16.400000000000002)</f>
        <v>16.4</v>
      </c>
    </row>
    <row r="3817">
      <c r="D3817" t="str">
        <f>IFERROR(__xludf.DUMMYFUNCTION("""COMPUTED_VALUE"""),"Mitchel")</f>
        <v>Mitchel</v>
      </c>
      <c r="E3817" t="str">
        <f>IFERROR(__xludf.DUMMYFUNCTION("""COMPUTED_VALUE"""),"Tevin")</f>
        <v>Tevin</v>
      </c>
      <c r="F3817" t="str">
        <f>IFERROR(__xludf.DUMMYFUNCTION("""COMPUTED_VALUE"""),"CB")</f>
        <v>CB</v>
      </c>
      <c r="G3817">
        <f>IFERROR(__xludf.DUMMYFUNCTION("""COMPUTED_VALUE"""),13.0)</f>
        <v>13</v>
      </c>
    </row>
    <row r="3818">
      <c r="D3818" t="str">
        <f>IFERROR(__xludf.DUMMYFUNCTION("""COMPUTED_VALUE"""),"Mitchell")</f>
        <v>Mitchell</v>
      </c>
      <c r="E3818" t="str">
        <f>IFERROR(__xludf.DUMMYFUNCTION("""COMPUTED_VALUE"""),"Earl")</f>
        <v>Earl</v>
      </c>
      <c r="F3818" t="str">
        <f>IFERROR(__xludf.DUMMYFUNCTION("""COMPUTED_VALUE"""),"DT")</f>
        <v>DT</v>
      </c>
      <c r="G3818">
        <f>IFERROR(__xludf.DUMMYFUNCTION("""COMPUTED_VALUE"""),14.4)</f>
        <v>14.4</v>
      </c>
    </row>
    <row r="3819">
      <c r="D3819" t="str">
        <f>IFERROR(__xludf.DUMMYFUNCTION("""COMPUTED_VALUE"""),"Mitchell")</f>
        <v>Mitchell</v>
      </c>
      <c r="E3819" t="str">
        <f>IFERROR(__xludf.DUMMYFUNCTION("""COMPUTED_VALUE"""),"Malcolm")</f>
        <v>Malcolm</v>
      </c>
      <c r="F3819" t="str">
        <f>IFERROR(__xludf.DUMMYFUNCTION("""COMPUTED_VALUE"""),"WR")</f>
        <v>WR</v>
      </c>
      <c r="G3819">
        <f>IFERROR(__xludf.DUMMYFUNCTION("""COMPUTED_VALUE"""),15.200000000000001)</f>
        <v>15.2</v>
      </c>
    </row>
    <row r="3820">
      <c r="D3820" t="str">
        <f>IFERROR(__xludf.DUMMYFUNCTION("""COMPUTED_VALUE"""),"Mitchell")</f>
        <v>Mitchell</v>
      </c>
      <c r="E3820" t="str">
        <f>IFERROR(__xludf.DUMMYFUNCTION("""COMPUTED_VALUE"""),"Mike")</f>
        <v>Mike</v>
      </c>
      <c r="F3820" t="str">
        <f>IFERROR(__xludf.DUMMYFUNCTION("""COMPUTED_VALUE"""),"FS")</f>
        <v>FS</v>
      </c>
      <c r="G3820">
        <f>IFERROR(__xludf.DUMMYFUNCTION("""COMPUTED_VALUE"""),16.2)</f>
        <v>16.2</v>
      </c>
    </row>
    <row r="3821">
      <c r="D3821" t="str">
        <f>IFERROR(__xludf.DUMMYFUNCTION("""COMPUTED_VALUE"""),"Mitchell")</f>
        <v>Mitchell</v>
      </c>
      <c r="E3821" t="str">
        <f>IFERROR(__xludf.DUMMYFUNCTION("""COMPUTED_VALUE"""),"Terrance")</f>
        <v>Terrance</v>
      </c>
      <c r="F3821" t="str">
        <f>IFERROR(__xludf.DUMMYFUNCTION("""COMPUTED_VALUE"""),"CB")</f>
        <v>CB</v>
      </c>
      <c r="G3821">
        <f>IFERROR(__xludf.DUMMYFUNCTION("""COMPUTED_VALUE"""),15.8)</f>
        <v>15.8</v>
      </c>
    </row>
    <row r="3822">
      <c r="D3822" t="str">
        <f>IFERROR(__xludf.DUMMYFUNCTION("""COMPUTED_VALUE"""),"Mixon")</f>
        <v>Mixon</v>
      </c>
      <c r="E3822" t="str">
        <f>IFERROR(__xludf.DUMMYFUNCTION("""COMPUTED_VALUE"""),"Joe")</f>
        <v>Joe</v>
      </c>
      <c r="F3822" t="str">
        <f>IFERROR(__xludf.DUMMYFUNCTION("""COMPUTED_VALUE"""),"HB")</f>
        <v>HB</v>
      </c>
      <c r="G3822">
        <f>IFERROR(__xludf.DUMMYFUNCTION("""COMPUTED_VALUE"""),15.8)</f>
        <v>15.8</v>
      </c>
    </row>
    <row r="3823">
      <c r="D3823" t="str">
        <f>IFERROR(__xludf.DUMMYFUNCTION("""COMPUTED_VALUE"""),"Mizzell")</f>
        <v>Mizzell</v>
      </c>
      <c r="E3823" t="str">
        <f>IFERROR(__xludf.DUMMYFUNCTION("""COMPUTED_VALUE"""),"Taquan")</f>
        <v>Taquan</v>
      </c>
      <c r="F3823" t="str">
        <f>IFERROR(__xludf.DUMMYFUNCTION("""COMPUTED_VALUE"""),"HB")</f>
        <v>HB</v>
      </c>
      <c r="G3823">
        <f>IFERROR(__xludf.DUMMYFUNCTION("""COMPUTED_VALUE"""),12.4)</f>
        <v>12.4</v>
      </c>
    </row>
    <row r="3824">
      <c r="D3824" t="str">
        <f>IFERROR(__xludf.DUMMYFUNCTION("""COMPUTED_VALUE"""),"Moats")</f>
        <v>Moats</v>
      </c>
      <c r="E3824" t="str">
        <f>IFERROR(__xludf.DUMMYFUNCTION("""COMPUTED_VALUE"""),"Arthur")</f>
        <v>Arthur</v>
      </c>
      <c r="F3824" t="str">
        <f>IFERROR(__xludf.DUMMYFUNCTION("""COMPUTED_VALUE"""),"LOLB")</f>
        <v>LOLB</v>
      </c>
      <c r="G3824">
        <f>IFERROR(__xludf.DUMMYFUNCTION("""COMPUTED_VALUE"""),14.8)</f>
        <v>14.8</v>
      </c>
    </row>
    <row r="3825">
      <c r="D3825" t="str">
        <f>IFERROR(__xludf.DUMMYFUNCTION("""COMPUTED_VALUE"""),"Momah")</f>
        <v>Momah</v>
      </c>
      <c r="E3825" t="str">
        <f>IFERROR(__xludf.DUMMYFUNCTION("""COMPUTED_VALUE"""),"Ifeanyi")</f>
        <v>Ifeanyi</v>
      </c>
      <c r="F3825" t="str">
        <f>IFERROR(__xludf.DUMMYFUNCTION("""COMPUTED_VALUE"""),"TE")</f>
        <v>TE</v>
      </c>
      <c r="G3825">
        <f>IFERROR(__xludf.DUMMYFUNCTION("""COMPUTED_VALUE"""),13.200000000000001)</f>
        <v>13.2</v>
      </c>
    </row>
    <row r="3826">
      <c r="D3826" t="str">
        <f>IFERROR(__xludf.DUMMYFUNCTION("""COMPUTED_VALUE"""),"Moncrief")</f>
        <v>Moncrief</v>
      </c>
      <c r="E3826" t="str">
        <f>IFERROR(__xludf.DUMMYFUNCTION("""COMPUTED_VALUE"""),"Donte")</f>
        <v>Donte</v>
      </c>
      <c r="F3826" t="str">
        <f>IFERROR(__xludf.DUMMYFUNCTION("""COMPUTED_VALUE"""),"WR")</f>
        <v>WR</v>
      </c>
      <c r="G3826">
        <f>IFERROR(__xludf.DUMMYFUNCTION("""COMPUTED_VALUE"""),16.0)</f>
        <v>16</v>
      </c>
    </row>
    <row r="3827">
      <c r="D3827" t="str">
        <f>IFERROR(__xludf.DUMMYFUNCTION("""COMPUTED_VALUE"""),"Montgomery")</f>
        <v>Montgomery</v>
      </c>
      <c r="E3827" t="str">
        <f>IFERROR(__xludf.DUMMYFUNCTION("""COMPUTED_VALUE"""),"Ty")</f>
        <v>Ty</v>
      </c>
      <c r="F3827" t="str">
        <f>IFERROR(__xludf.DUMMYFUNCTION("""COMPUTED_VALUE"""),"HB")</f>
        <v>HB</v>
      </c>
      <c r="G3827">
        <f>IFERROR(__xludf.DUMMYFUNCTION("""COMPUTED_VALUE"""),16.6)</f>
        <v>16.6</v>
      </c>
    </row>
    <row r="3828">
      <c r="D3828" t="str">
        <f>IFERROR(__xludf.DUMMYFUNCTION("""COMPUTED_VALUE"""),"Moore")</f>
        <v>Moore</v>
      </c>
      <c r="E3828" t="str">
        <f>IFERROR(__xludf.DUMMYFUNCTION("""COMPUTED_VALUE"""),"Chris")</f>
        <v>Chris</v>
      </c>
      <c r="F3828" t="str">
        <f>IFERROR(__xludf.DUMMYFUNCTION("""COMPUTED_VALUE"""),"WR")</f>
        <v>WR</v>
      </c>
      <c r="G3828">
        <f>IFERROR(__xludf.DUMMYFUNCTION("""COMPUTED_VALUE"""),13.0)</f>
        <v>13</v>
      </c>
    </row>
    <row r="3829">
      <c r="D3829" t="str">
        <f>IFERROR(__xludf.DUMMYFUNCTION("""COMPUTED_VALUE"""),"Moore")</f>
        <v>Moore</v>
      </c>
      <c r="E3829" t="str">
        <f>IFERROR(__xludf.DUMMYFUNCTION("""COMPUTED_VALUE"""),"Corey")</f>
        <v>Corey</v>
      </c>
      <c r="F3829" t="str">
        <f>IFERROR(__xludf.DUMMYFUNCTION("""COMPUTED_VALUE"""),"FS")</f>
        <v>FS</v>
      </c>
      <c r="G3829">
        <f>IFERROR(__xludf.DUMMYFUNCTION("""COMPUTED_VALUE"""),14.0)</f>
        <v>14</v>
      </c>
    </row>
    <row r="3830">
      <c r="D3830" t="str">
        <f>IFERROR(__xludf.DUMMYFUNCTION("""COMPUTED_VALUE"""),"Moore")</f>
        <v>Moore</v>
      </c>
      <c r="E3830" t="str">
        <f>IFERROR(__xludf.DUMMYFUNCTION("""COMPUTED_VALUE"""),"Damontre")</f>
        <v>Damontre</v>
      </c>
      <c r="F3830" t="str">
        <f>IFERROR(__xludf.DUMMYFUNCTION("""COMPUTED_VALUE"""),"RE")</f>
        <v>RE</v>
      </c>
      <c r="G3830">
        <f>IFERROR(__xludf.DUMMYFUNCTION("""COMPUTED_VALUE"""),14.0)</f>
        <v>14</v>
      </c>
    </row>
    <row r="3831">
      <c r="D3831" t="str">
        <f>IFERROR(__xludf.DUMMYFUNCTION("""COMPUTED_VALUE"""),"Moore")</f>
        <v>Moore</v>
      </c>
      <c r="E3831" t="str">
        <f>IFERROR(__xludf.DUMMYFUNCTION("""COMPUTED_VALUE"""),"David")</f>
        <v>David</v>
      </c>
      <c r="F3831" t="str">
        <f>IFERROR(__xludf.DUMMYFUNCTION("""COMPUTED_VALUE"""),"WR")</f>
        <v>WR</v>
      </c>
      <c r="G3831">
        <f>IFERROR(__xludf.DUMMYFUNCTION("""COMPUTED_VALUE"""),13.200000000000001)</f>
        <v>13.2</v>
      </c>
    </row>
    <row r="3832">
      <c r="D3832" t="str">
        <f>IFERROR(__xludf.DUMMYFUNCTION("""COMPUTED_VALUE"""),"Moore")</f>
        <v>Moore</v>
      </c>
      <c r="E3832" t="str">
        <f>IFERROR(__xludf.DUMMYFUNCTION("""COMPUTED_VALUE"""),"Kellen")</f>
        <v>Kellen</v>
      </c>
      <c r="F3832" t="str">
        <f>IFERROR(__xludf.DUMMYFUNCTION("""COMPUTED_VALUE"""),"QB")</f>
        <v>QB</v>
      </c>
      <c r="G3832">
        <f>IFERROR(__xludf.DUMMYFUNCTION("""COMPUTED_VALUE"""),13.4)</f>
        <v>13.4</v>
      </c>
    </row>
    <row r="3833">
      <c r="D3833" t="str">
        <f>IFERROR(__xludf.DUMMYFUNCTION("""COMPUTED_VALUE"""),"Moore")</f>
        <v>Moore</v>
      </c>
      <c r="E3833" t="str">
        <f>IFERROR(__xludf.DUMMYFUNCTION("""COMPUTED_VALUE"""),"Matt")</f>
        <v>Matt</v>
      </c>
      <c r="F3833" t="str">
        <f>IFERROR(__xludf.DUMMYFUNCTION("""COMPUTED_VALUE"""),"QB")</f>
        <v>QB</v>
      </c>
      <c r="G3833">
        <f>IFERROR(__xludf.DUMMYFUNCTION("""COMPUTED_VALUE"""),14.200000000000001)</f>
        <v>14.2</v>
      </c>
    </row>
    <row r="3834">
      <c r="D3834" t="str">
        <f>IFERROR(__xludf.DUMMYFUNCTION("""COMPUTED_VALUE"""),"Moore")</f>
        <v>Moore</v>
      </c>
      <c r="E3834" t="str">
        <f>IFERROR(__xludf.DUMMYFUNCTION("""COMPUTED_VALUE"""),"Sio")</f>
        <v>Sio</v>
      </c>
      <c r="F3834" t="str">
        <f>IFERROR(__xludf.DUMMYFUNCTION("""COMPUTED_VALUE"""),"MLB")</f>
        <v>MLB</v>
      </c>
      <c r="G3834">
        <f>IFERROR(__xludf.DUMMYFUNCTION("""COMPUTED_VALUE"""),15.0)</f>
        <v>15</v>
      </c>
    </row>
    <row r="3835">
      <c r="D3835" t="str">
        <f>IFERROR(__xludf.DUMMYFUNCTION("""COMPUTED_VALUE"""),"Moore")</f>
        <v>Moore</v>
      </c>
      <c r="E3835" t="str">
        <f>IFERROR(__xludf.DUMMYFUNCTION("""COMPUTED_VALUE"""),"Sterling")</f>
        <v>Sterling</v>
      </c>
      <c r="F3835" t="str">
        <f>IFERROR(__xludf.DUMMYFUNCTION("""COMPUTED_VALUE"""),"CB")</f>
        <v>CB</v>
      </c>
      <c r="G3835">
        <f>IFERROR(__xludf.DUMMYFUNCTION("""COMPUTED_VALUE"""),15.200000000000001)</f>
        <v>15.2</v>
      </c>
    </row>
    <row r="3836">
      <c r="D3836" t="str">
        <f>IFERROR(__xludf.DUMMYFUNCTION("""COMPUTED_VALUE"""),"Moore")</f>
        <v>Moore</v>
      </c>
      <c r="E3836" t="str">
        <f>IFERROR(__xludf.DUMMYFUNCTION("""COMPUTED_VALUE"""),"Steven")</f>
        <v>Steven</v>
      </c>
      <c r="F3836" t="str">
        <f>IFERROR(__xludf.DUMMYFUNCTION("""COMPUTED_VALUE"""),"RT")</f>
        <v>RT</v>
      </c>
      <c r="G3836">
        <f>IFERROR(__xludf.DUMMYFUNCTION("""COMPUTED_VALUE"""),12.600000000000001)</f>
        <v>12.6</v>
      </c>
    </row>
    <row r="3837">
      <c r="D3837" t="str">
        <f>IFERROR(__xludf.DUMMYFUNCTION("""COMPUTED_VALUE"""),"Moore")</f>
        <v>Moore</v>
      </c>
      <c r="E3837" t="str">
        <f>IFERROR(__xludf.DUMMYFUNCTION("""COMPUTED_VALUE"""),"Zach")</f>
        <v>Zach</v>
      </c>
      <c r="F3837" t="str">
        <f>IFERROR(__xludf.DUMMYFUNCTION("""COMPUTED_VALUE"""),"LE")</f>
        <v>LE</v>
      </c>
      <c r="G3837">
        <f>IFERROR(__xludf.DUMMYFUNCTION("""COMPUTED_VALUE"""),12.8)</f>
        <v>12.8</v>
      </c>
    </row>
    <row r="3838">
      <c r="D3838" t="str">
        <f>IFERROR(__xludf.DUMMYFUNCTION("""COMPUTED_VALUE"""),"Moreau")</f>
        <v>Moreau</v>
      </c>
      <c r="E3838" t="str">
        <f>IFERROR(__xludf.DUMMYFUNCTION("""COMPUTED_VALUE"""),"Fabian")</f>
        <v>Fabian</v>
      </c>
      <c r="F3838" t="str">
        <f>IFERROR(__xludf.DUMMYFUNCTION("""COMPUTED_VALUE"""),"CB")</f>
        <v>CB</v>
      </c>
      <c r="G3838">
        <f>IFERROR(__xludf.DUMMYFUNCTION("""COMPUTED_VALUE"""),14.0)</f>
        <v>14</v>
      </c>
    </row>
    <row r="3839">
      <c r="D3839" t="str">
        <f>IFERROR(__xludf.DUMMYFUNCTION("""COMPUTED_VALUE"""),"Morgan")</f>
        <v>Morgan</v>
      </c>
      <c r="E3839" t="str">
        <f>IFERROR(__xludf.DUMMYFUNCTION("""COMPUTED_VALUE"""),"Derrick")</f>
        <v>Derrick</v>
      </c>
      <c r="F3839" t="str">
        <f>IFERROR(__xludf.DUMMYFUNCTION("""COMPUTED_VALUE"""),"LOLB")</f>
        <v>LOLB</v>
      </c>
      <c r="G3839">
        <f>IFERROR(__xludf.DUMMYFUNCTION("""COMPUTED_VALUE"""),15.8)</f>
        <v>15.8</v>
      </c>
    </row>
    <row r="3840">
      <c r="D3840" t="str">
        <f>IFERROR(__xludf.DUMMYFUNCTION("""COMPUTED_VALUE"""),"Morgan")</f>
        <v>Morgan</v>
      </c>
      <c r="E3840" t="str">
        <f>IFERROR(__xludf.DUMMYFUNCTION("""COMPUTED_VALUE"""),"Jordan")</f>
        <v>Jordan</v>
      </c>
      <c r="F3840" t="str">
        <f>IFERROR(__xludf.DUMMYFUNCTION("""COMPUTED_VALUE"""),"LG")</f>
        <v>LG</v>
      </c>
      <c r="G3840">
        <f>IFERROR(__xludf.DUMMYFUNCTION("""COMPUTED_VALUE"""),13.600000000000001)</f>
        <v>13.6</v>
      </c>
    </row>
    <row r="3841">
      <c r="D3841" t="str">
        <f>IFERROR(__xludf.DUMMYFUNCTION("""COMPUTED_VALUE"""),"Morgan II")</f>
        <v>Morgan II</v>
      </c>
      <c r="E3841" t="str">
        <f>IFERROR(__xludf.DUMMYFUNCTION("""COMPUTED_VALUE"""),"David")</f>
        <v>David</v>
      </c>
      <c r="F3841" t="str">
        <f>IFERROR(__xludf.DUMMYFUNCTION("""COMPUTED_VALUE"""),"TE")</f>
        <v>TE</v>
      </c>
      <c r="G3841">
        <f>IFERROR(__xludf.DUMMYFUNCTION("""COMPUTED_VALUE"""),13.4)</f>
        <v>13.4</v>
      </c>
    </row>
    <row r="3842">
      <c r="D3842" t="str">
        <f>IFERROR(__xludf.DUMMYFUNCTION("""COMPUTED_VALUE"""),"Morris")</f>
        <v>Morris</v>
      </c>
      <c r="E3842" t="str">
        <f>IFERROR(__xludf.DUMMYFUNCTION("""COMPUTED_VALUE"""),"Alfred")</f>
        <v>Alfred</v>
      </c>
      <c r="F3842" t="str">
        <f>IFERROR(__xludf.DUMMYFUNCTION("""COMPUTED_VALUE"""),"HB")</f>
        <v>HB</v>
      </c>
      <c r="G3842">
        <f>IFERROR(__xludf.DUMMYFUNCTION("""COMPUTED_VALUE"""),15.0)</f>
        <v>15</v>
      </c>
    </row>
    <row r="3843">
      <c r="D3843" t="str">
        <f>IFERROR(__xludf.DUMMYFUNCTION("""COMPUTED_VALUE"""),"Morris")</f>
        <v>Morris</v>
      </c>
      <c r="E3843" t="str">
        <f>IFERROR(__xludf.DUMMYFUNCTION("""COMPUTED_VALUE"""),"Darryl")</f>
        <v>Darryl</v>
      </c>
      <c r="F3843" t="str">
        <f>IFERROR(__xludf.DUMMYFUNCTION("""COMPUTED_VALUE"""),"CB")</f>
        <v>CB</v>
      </c>
      <c r="G3843">
        <f>IFERROR(__xludf.DUMMYFUNCTION("""COMPUTED_VALUE"""),14.4)</f>
        <v>14.4</v>
      </c>
    </row>
    <row r="3844">
      <c r="D3844" t="str">
        <f>IFERROR(__xludf.DUMMYFUNCTION("""COMPUTED_VALUE"""),"Morris")</f>
        <v>Morris</v>
      </c>
      <c r="E3844" t="str">
        <f>IFERROR(__xludf.DUMMYFUNCTION("""COMPUTED_VALUE"""),"Stephen")</f>
        <v>Stephen</v>
      </c>
      <c r="F3844" t="str">
        <f>IFERROR(__xludf.DUMMYFUNCTION("""COMPUTED_VALUE"""),"QB")</f>
        <v>QB</v>
      </c>
      <c r="G3844">
        <f>IFERROR(__xludf.DUMMYFUNCTION("""COMPUTED_VALUE"""),12.200000000000001)</f>
        <v>12.2</v>
      </c>
    </row>
    <row r="3845">
      <c r="D3845" t="str">
        <f>IFERROR(__xludf.DUMMYFUNCTION("""COMPUTED_VALUE"""),"Morrison")</f>
        <v>Morrison</v>
      </c>
      <c r="E3845" t="str">
        <f>IFERROR(__xludf.DUMMYFUNCTION("""COMPUTED_VALUE"""),"Antonio")</f>
        <v>Antonio</v>
      </c>
      <c r="F3845" t="str">
        <f>IFERROR(__xludf.DUMMYFUNCTION("""COMPUTED_VALUE"""),"MLB")</f>
        <v>MLB</v>
      </c>
      <c r="G3845">
        <f>IFERROR(__xludf.DUMMYFUNCTION("""COMPUTED_VALUE"""),13.600000000000001)</f>
        <v>13.6</v>
      </c>
    </row>
    <row r="3846">
      <c r="D3846" t="str">
        <f>IFERROR(__xludf.DUMMYFUNCTION("""COMPUTED_VALUE"""),"Morse")</f>
        <v>Morse</v>
      </c>
      <c r="E3846" t="str">
        <f>IFERROR(__xludf.DUMMYFUNCTION("""COMPUTED_VALUE"""),"Mitch")</f>
        <v>Mitch</v>
      </c>
      <c r="F3846" t="str">
        <f>IFERROR(__xludf.DUMMYFUNCTION("""COMPUTED_VALUE"""),"C")</f>
        <v>C</v>
      </c>
      <c r="G3846">
        <f>IFERROR(__xludf.DUMMYFUNCTION("""COMPUTED_VALUE"""),16.0)</f>
        <v>16</v>
      </c>
    </row>
    <row r="3847">
      <c r="D3847" t="str">
        <f>IFERROR(__xludf.DUMMYFUNCTION("""COMPUTED_VALUE"""),"Morstead")</f>
        <v>Morstead</v>
      </c>
      <c r="E3847" t="str">
        <f>IFERROR(__xludf.DUMMYFUNCTION("""COMPUTED_VALUE"""),"Thomas")</f>
        <v>Thomas</v>
      </c>
      <c r="F3847" t="str">
        <f>IFERROR(__xludf.DUMMYFUNCTION("""COMPUTED_VALUE"""),"P")</f>
        <v>P</v>
      </c>
      <c r="G3847">
        <f>IFERROR(__xludf.DUMMYFUNCTION("""COMPUTED_VALUE"""),16.8)</f>
        <v>16.8</v>
      </c>
    </row>
    <row r="3848">
      <c r="D3848" t="str">
        <f>IFERROR(__xludf.DUMMYFUNCTION("""COMPUTED_VALUE"""),"Moses")</f>
        <v>Moses</v>
      </c>
      <c r="E3848" t="str">
        <f>IFERROR(__xludf.DUMMYFUNCTION("""COMPUTED_VALUE"""),"Morgan")</f>
        <v>Morgan</v>
      </c>
      <c r="F3848" t="str">
        <f>IFERROR(__xludf.DUMMYFUNCTION("""COMPUTED_VALUE"""),"RT")</f>
        <v>RT</v>
      </c>
      <c r="G3848">
        <f>IFERROR(__xludf.DUMMYFUNCTION("""COMPUTED_VALUE"""),17.0)</f>
        <v>17</v>
      </c>
    </row>
    <row r="3849">
      <c r="D3849" t="str">
        <f>IFERROR(__xludf.DUMMYFUNCTION("""COMPUTED_VALUE"""),"Mosley")</f>
        <v>Mosley</v>
      </c>
      <c r="E3849" t="str">
        <f>IFERROR(__xludf.DUMMYFUNCTION("""COMPUTED_VALUE"""),"CJ")</f>
        <v>CJ</v>
      </c>
      <c r="F3849" t="str">
        <f>IFERROR(__xludf.DUMMYFUNCTION("""COMPUTED_VALUE"""),"MLB")</f>
        <v>MLB</v>
      </c>
      <c r="G3849">
        <f>IFERROR(__xludf.DUMMYFUNCTION("""COMPUTED_VALUE"""),17.8)</f>
        <v>17.8</v>
      </c>
    </row>
    <row r="3850">
      <c r="D3850" t="str">
        <f>IFERROR(__xludf.DUMMYFUNCTION("""COMPUTED_VALUE"""),"Moss")</f>
        <v>Moss</v>
      </c>
      <c r="E3850" t="str">
        <f>IFERROR(__xludf.DUMMYFUNCTION("""COMPUTED_VALUE"""),"Avery")</f>
        <v>Avery</v>
      </c>
      <c r="F3850" t="str">
        <f>IFERROR(__xludf.DUMMYFUNCTION("""COMPUTED_VALUE"""),"RE")</f>
        <v>RE</v>
      </c>
      <c r="G3850">
        <f>IFERROR(__xludf.DUMMYFUNCTION("""COMPUTED_VALUE"""),13.200000000000001)</f>
        <v>13.2</v>
      </c>
    </row>
    <row r="3851">
      <c r="D3851" t="str">
        <f>IFERROR(__xludf.DUMMYFUNCTION("""COMPUTED_VALUE"""),"Mostert")</f>
        <v>Mostert</v>
      </c>
      <c r="E3851" t="str">
        <f>IFERROR(__xludf.DUMMYFUNCTION("""COMPUTED_VALUE"""),"Raheem")</f>
        <v>Raheem</v>
      </c>
      <c r="F3851" t="str">
        <f>IFERROR(__xludf.DUMMYFUNCTION("""COMPUTED_VALUE"""),"HB")</f>
        <v>HB</v>
      </c>
      <c r="G3851">
        <f>IFERROR(__xludf.DUMMYFUNCTION("""COMPUTED_VALUE"""),12.0)</f>
        <v>12</v>
      </c>
    </row>
    <row r="3852">
      <c r="D3852" t="str">
        <f>IFERROR(__xludf.DUMMYFUNCTION("""COMPUTED_VALUE"""),"Moton")</f>
        <v>Moton</v>
      </c>
      <c r="E3852" t="str">
        <f>IFERROR(__xludf.DUMMYFUNCTION("""COMPUTED_VALUE"""),"Taylor")</f>
        <v>Taylor</v>
      </c>
      <c r="F3852" t="str">
        <f>IFERROR(__xludf.DUMMYFUNCTION("""COMPUTED_VALUE"""),"RG")</f>
        <v>RG</v>
      </c>
      <c r="G3852">
        <f>IFERROR(__xludf.DUMMYFUNCTION("""COMPUTED_VALUE"""),14.600000000000001)</f>
        <v>14.6</v>
      </c>
    </row>
    <row r="3853">
      <c r="D3853" t="str">
        <f>IFERROR(__xludf.DUMMYFUNCTION("""COMPUTED_VALUE"""),"Mount")</f>
        <v>Mount</v>
      </c>
      <c r="E3853" t="str">
        <f>IFERROR(__xludf.DUMMYFUNCTION("""COMPUTED_VALUE"""),"Deiontrez")</f>
        <v>Deiontrez</v>
      </c>
      <c r="F3853" t="str">
        <f>IFERROR(__xludf.DUMMYFUNCTION("""COMPUTED_VALUE"""),"LOLB")</f>
        <v>LOLB</v>
      </c>
      <c r="G3853">
        <f>IFERROR(__xludf.DUMMYFUNCTION("""COMPUTED_VALUE"""),12.600000000000001)</f>
        <v>12.6</v>
      </c>
    </row>
    <row r="3854">
      <c r="D3854" t="str">
        <f>IFERROR(__xludf.DUMMYFUNCTION("""COMPUTED_VALUE"""),"Muhammad")</f>
        <v>Muhammad</v>
      </c>
      <c r="E3854" t="str">
        <f>IFERROR(__xludf.DUMMYFUNCTION("""COMPUTED_VALUE"""),"Al-Quadin")</f>
        <v>Al-Quadin</v>
      </c>
      <c r="F3854" t="str">
        <f>IFERROR(__xludf.DUMMYFUNCTION("""COMPUTED_VALUE"""),"RE")</f>
        <v>RE</v>
      </c>
      <c r="G3854">
        <f>IFERROR(__xludf.DUMMYFUNCTION("""COMPUTED_VALUE"""),13.0)</f>
        <v>13</v>
      </c>
    </row>
    <row r="3855">
      <c r="D3855" t="str">
        <f>IFERROR(__xludf.DUMMYFUNCTION("""COMPUTED_VALUE"""),"Muhammad")</f>
        <v>Muhammad</v>
      </c>
      <c r="E3855" t="str">
        <f>IFERROR(__xludf.DUMMYFUNCTION("""COMPUTED_VALUE"""),"Khalfani")</f>
        <v>Khalfani</v>
      </c>
      <c r="F3855" t="str">
        <f>IFERROR(__xludf.DUMMYFUNCTION("""COMPUTED_VALUE"""),"HB")</f>
        <v>HB</v>
      </c>
      <c r="G3855">
        <f>IFERROR(__xludf.DUMMYFUNCTION("""COMPUTED_VALUE"""),13.4)</f>
        <v>13.4</v>
      </c>
    </row>
    <row r="3856">
      <c r="D3856" t="str">
        <f>IFERROR(__xludf.DUMMYFUNCTION("""COMPUTED_VALUE"""),"Muhlbach")</f>
        <v>Muhlbach</v>
      </c>
      <c r="E3856" t="str">
        <f>IFERROR(__xludf.DUMMYFUNCTION("""COMPUTED_VALUE"""),"Don")</f>
        <v>Don</v>
      </c>
      <c r="F3856" t="str">
        <f>IFERROR(__xludf.DUMMYFUNCTION("""COMPUTED_VALUE"""),"TE")</f>
        <v>TE</v>
      </c>
      <c r="G3856">
        <f>IFERROR(__xludf.DUMMYFUNCTION("""COMPUTED_VALUE"""),9.8)</f>
        <v>9.8</v>
      </c>
    </row>
    <row r="3857">
      <c r="D3857" t="str">
        <f>IFERROR(__xludf.DUMMYFUNCTION("""COMPUTED_VALUE"""),"Munnerlyn")</f>
        <v>Munnerlyn</v>
      </c>
      <c r="E3857" t="str">
        <f>IFERROR(__xludf.DUMMYFUNCTION("""COMPUTED_VALUE"""),"Captain")</f>
        <v>Captain</v>
      </c>
      <c r="F3857" t="str">
        <f>IFERROR(__xludf.DUMMYFUNCTION("""COMPUTED_VALUE"""),"CB")</f>
        <v>CB</v>
      </c>
      <c r="G3857">
        <f>IFERROR(__xludf.DUMMYFUNCTION("""COMPUTED_VALUE"""),16.0)</f>
        <v>16</v>
      </c>
    </row>
    <row r="3858">
      <c r="D3858" t="str">
        <f>IFERROR(__xludf.DUMMYFUNCTION("""COMPUTED_VALUE"""),"Munyer")</f>
        <v>Munyer</v>
      </c>
      <c r="E3858" t="str">
        <f>IFERROR(__xludf.DUMMYFUNCTION("""COMPUTED_VALUE"""),"Daniel")</f>
        <v>Daniel</v>
      </c>
      <c r="F3858" t="str">
        <f>IFERROR(__xludf.DUMMYFUNCTION("""COMPUTED_VALUE"""),"LG")</f>
        <v>LG</v>
      </c>
      <c r="G3858">
        <f>IFERROR(__xludf.DUMMYFUNCTION("""COMPUTED_VALUE"""),12.600000000000001)</f>
        <v>12.6</v>
      </c>
    </row>
    <row r="3859">
      <c r="D3859" t="str">
        <f>IFERROR(__xludf.DUMMYFUNCTION("""COMPUTED_VALUE"""),"Murphy")</f>
        <v>Murphy</v>
      </c>
      <c r="E3859" t="str">
        <f>IFERROR(__xludf.DUMMYFUNCTION("""COMPUTED_VALUE"""),"Kyle")</f>
        <v>Kyle</v>
      </c>
      <c r="F3859" t="str">
        <f>IFERROR(__xludf.DUMMYFUNCTION("""COMPUTED_VALUE"""),"RT")</f>
        <v>RT</v>
      </c>
      <c r="G3859">
        <f>IFERROR(__xludf.DUMMYFUNCTION("""COMPUTED_VALUE"""),13.200000000000001)</f>
        <v>13.2</v>
      </c>
    </row>
    <row r="3860">
      <c r="D3860" t="str">
        <f>IFERROR(__xludf.DUMMYFUNCTION("""COMPUTED_VALUE"""),"Murphy")</f>
        <v>Murphy</v>
      </c>
      <c r="E3860" t="str">
        <f>IFERROR(__xludf.DUMMYFUNCTION("""COMPUTED_VALUE"""),"Marcus")</f>
        <v>Marcus</v>
      </c>
      <c r="F3860" t="str">
        <f>IFERROR(__xludf.DUMMYFUNCTION("""COMPUTED_VALUE"""),"HB")</f>
        <v>HB</v>
      </c>
      <c r="G3860">
        <f>IFERROR(__xludf.DUMMYFUNCTION("""COMPUTED_VALUE"""),13.0)</f>
        <v>13</v>
      </c>
    </row>
    <row r="3861">
      <c r="D3861" t="str">
        <f>IFERROR(__xludf.DUMMYFUNCTION("""COMPUTED_VALUE"""),"Murphy")</f>
        <v>Murphy</v>
      </c>
      <c r="E3861" t="str">
        <f>IFERROR(__xludf.DUMMYFUNCTION("""COMPUTED_VALUE"""),"Pace")</f>
        <v>Pace</v>
      </c>
      <c r="F3861" t="str">
        <f>IFERROR(__xludf.DUMMYFUNCTION("""COMPUTED_VALUE"""),"LT")</f>
        <v>LT</v>
      </c>
      <c r="G3861">
        <f>IFERROR(__xludf.DUMMYFUNCTION("""COMPUTED_VALUE"""),12.4)</f>
        <v>12.4</v>
      </c>
    </row>
    <row r="3862">
      <c r="D3862" t="str">
        <f>IFERROR(__xludf.DUMMYFUNCTION("""COMPUTED_VALUE"""),"Murphy")</f>
        <v>Murphy</v>
      </c>
      <c r="E3862" t="str">
        <f>IFERROR(__xludf.DUMMYFUNCTION("""COMPUTED_VALUE"""),"Ryan")</f>
        <v>Ryan</v>
      </c>
      <c r="F3862" t="str">
        <f>IFERROR(__xludf.DUMMYFUNCTION("""COMPUTED_VALUE"""),"SS")</f>
        <v>SS</v>
      </c>
      <c r="G3862">
        <f>IFERROR(__xludf.DUMMYFUNCTION("""COMPUTED_VALUE"""),13.4)</f>
        <v>13.4</v>
      </c>
    </row>
    <row r="3863">
      <c r="D3863" t="str">
        <f>IFERROR(__xludf.DUMMYFUNCTION("""COMPUTED_VALUE"""),"Murphy")</f>
        <v>Murphy</v>
      </c>
      <c r="E3863" t="str">
        <f>IFERROR(__xludf.DUMMYFUNCTION("""COMPUTED_VALUE"""),"Trent")</f>
        <v>Trent</v>
      </c>
      <c r="F3863" t="str">
        <f>IFERROR(__xludf.DUMMYFUNCTION("""COMPUTED_VALUE"""),"ROLB")</f>
        <v>ROLB</v>
      </c>
      <c r="G3863">
        <f>IFERROR(__xludf.DUMMYFUNCTION("""COMPUTED_VALUE"""),16.2)</f>
        <v>16.2</v>
      </c>
    </row>
    <row r="3864">
      <c r="D3864" t="str">
        <f>IFERROR(__xludf.DUMMYFUNCTION("""COMPUTED_VALUE"""),"Murray")</f>
        <v>Murray</v>
      </c>
      <c r="E3864" t="str">
        <f>IFERROR(__xludf.DUMMYFUNCTION("""COMPUTED_VALUE"""),"DeMarco")</f>
        <v>DeMarco</v>
      </c>
      <c r="F3864" t="str">
        <f>IFERROR(__xludf.DUMMYFUNCTION("""COMPUTED_VALUE"""),"HB")</f>
        <v>HB</v>
      </c>
      <c r="G3864">
        <f>IFERROR(__xludf.DUMMYFUNCTION("""COMPUTED_VALUE"""),18.2)</f>
        <v>18.2</v>
      </c>
    </row>
    <row r="3865">
      <c r="D3865" t="str">
        <f>IFERROR(__xludf.DUMMYFUNCTION("""COMPUTED_VALUE"""),"Murray")</f>
        <v>Murray</v>
      </c>
      <c r="E3865" t="str">
        <f>IFERROR(__xludf.DUMMYFUNCTION("""COMPUTED_VALUE"""),"Eric")</f>
        <v>Eric</v>
      </c>
      <c r="F3865" t="str">
        <f>IFERROR(__xludf.DUMMYFUNCTION("""COMPUTED_VALUE"""),"FS")</f>
        <v>FS</v>
      </c>
      <c r="G3865">
        <f>IFERROR(__xludf.DUMMYFUNCTION("""COMPUTED_VALUE"""),14.0)</f>
        <v>14</v>
      </c>
    </row>
    <row r="3866">
      <c r="D3866" t="str">
        <f>IFERROR(__xludf.DUMMYFUNCTION("""COMPUTED_VALUE"""),"Murray")</f>
        <v>Murray</v>
      </c>
      <c r="E3866" t="str">
        <f>IFERROR(__xludf.DUMMYFUNCTION("""COMPUTED_VALUE"""),"Justin")</f>
        <v>Justin</v>
      </c>
      <c r="F3866" t="str">
        <f>IFERROR(__xludf.DUMMYFUNCTION("""COMPUTED_VALUE"""),"RT")</f>
        <v>RT</v>
      </c>
      <c r="G3866">
        <f>IFERROR(__xludf.DUMMYFUNCTION("""COMPUTED_VALUE"""),12.4)</f>
        <v>12.4</v>
      </c>
    </row>
    <row r="3867">
      <c r="D3867" t="str">
        <f>IFERROR(__xludf.DUMMYFUNCTION("""COMPUTED_VALUE"""),"Murray")</f>
        <v>Murray</v>
      </c>
      <c r="E3867" t="str">
        <f>IFERROR(__xludf.DUMMYFUNCTION("""COMPUTED_VALUE"""),"Latavius")</f>
        <v>Latavius</v>
      </c>
      <c r="F3867" t="str">
        <f>IFERROR(__xludf.DUMMYFUNCTION("""COMPUTED_VALUE"""),"HB")</f>
        <v>HB</v>
      </c>
      <c r="G3867">
        <f>IFERROR(__xludf.DUMMYFUNCTION("""COMPUTED_VALUE"""),16.8)</f>
        <v>16.8</v>
      </c>
    </row>
    <row r="3868">
      <c r="D3868" t="str">
        <f>IFERROR(__xludf.DUMMYFUNCTION("""COMPUTED_VALUE"""),"Myers")</f>
        <v>Myers</v>
      </c>
      <c r="E3868" t="str">
        <f>IFERROR(__xludf.DUMMYFUNCTION("""COMPUTED_VALUE"""),"Jason")</f>
        <v>Jason</v>
      </c>
      <c r="F3868" t="str">
        <f>IFERROR(__xludf.DUMMYFUNCTION("""COMPUTED_VALUE"""),"K")</f>
        <v>K</v>
      </c>
      <c r="G3868">
        <f>IFERROR(__xludf.DUMMYFUNCTION("""COMPUTED_VALUE"""),15.600000000000001)</f>
        <v>15.6</v>
      </c>
    </row>
    <row r="3869">
      <c r="D3869" t="str">
        <f>IFERROR(__xludf.DUMMYFUNCTION("""COMPUTED_VALUE"""),"Myers Jr")</f>
        <v>Myers Jr</v>
      </c>
      <c r="E3869" t="str">
        <f>IFERROR(__xludf.DUMMYFUNCTION("""COMPUTED_VALUE"""),"Robert")</f>
        <v>Robert</v>
      </c>
      <c r="F3869" t="str">
        <f>IFERROR(__xludf.DUMMYFUNCTION("""COMPUTED_VALUE"""),"LT")</f>
        <v>LT</v>
      </c>
      <c r="G3869">
        <f>IFERROR(__xludf.DUMMYFUNCTION("""COMPUTED_VALUE"""),12.200000000000001)</f>
        <v>12.2</v>
      </c>
    </row>
    <row r="3870">
      <c r="D3870" t="str">
        <f>IFERROR(__xludf.DUMMYFUNCTION("""COMPUTED_VALUE"""),"Myrick")</f>
        <v>Myrick</v>
      </c>
      <c r="E3870" t="str">
        <f>IFERROR(__xludf.DUMMYFUNCTION("""COMPUTED_VALUE"""),"Jalen")</f>
        <v>Jalen</v>
      </c>
      <c r="F3870" t="str">
        <f>IFERROR(__xludf.DUMMYFUNCTION("""COMPUTED_VALUE"""),"CB")</f>
        <v>CB</v>
      </c>
      <c r="G3870">
        <f>IFERROR(__xludf.DUMMYFUNCTION("""COMPUTED_VALUE"""),13.4)</f>
        <v>13.4</v>
      </c>
    </row>
    <row r="3871">
      <c r="D3871" t="str">
        <f>IFERROR(__xludf.DUMMYFUNCTION("""COMPUTED_VALUE"""),"Nassib")</f>
        <v>Nassib</v>
      </c>
      <c r="E3871" t="str">
        <f>IFERROR(__xludf.DUMMYFUNCTION("""COMPUTED_VALUE"""),"Carl")</f>
        <v>Carl</v>
      </c>
      <c r="F3871" t="str">
        <f>IFERROR(__xludf.DUMMYFUNCTION("""COMPUTED_VALUE"""),"RE")</f>
        <v>RE</v>
      </c>
      <c r="G3871">
        <f>IFERROR(__xludf.DUMMYFUNCTION("""COMPUTED_VALUE"""),14.200000000000001)</f>
        <v>14.2</v>
      </c>
    </row>
    <row r="3872">
      <c r="D3872" t="str">
        <f>IFERROR(__xludf.DUMMYFUNCTION("""COMPUTED_VALUE"""),"Natson")</f>
        <v>Natson</v>
      </c>
      <c r="E3872" t="str">
        <f>IFERROR(__xludf.DUMMYFUNCTION("""COMPUTED_VALUE"""),"JoJo")</f>
        <v>JoJo</v>
      </c>
      <c r="F3872" t="str">
        <f>IFERROR(__xludf.DUMMYFUNCTION("""COMPUTED_VALUE"""),"WR")</f>
        <v>WR</v>
      </c>
      <c r="G3872">
        <f>IFERROR(__xludf.DUMMYFUNCTION("""COMPUTED_VALUE"""),11.8)</f>
        <v>11.8</v>
      </c>
    </row>
    <row r="3873">
      <c r="D3873" t="str">
        <f>IFERROR(__xludf.DUMMYFUNCTION("""COMPUTED_VALUE"""),"Neal")</f>
        <v>Neal</v>
      </c>
      <c r="E3873" t="str">
        <f>IFERROR(__xludf.DUMMYFUNCTION("""COMPUTED_VALUE"""),"Keanu")</f>
        <v>Keanu</v>
      </c>
      <c r="F3873" t="str">
        <f>IFERROR(__xludf.DUMMYFUNCTION("""COMPUTED_VALUE"""),"SS")</f>
        <v>SS</v>
      </c>
      <c r="G3873">
        <f>IFERROR(__xludf.DUMMYFUNCTION("""COMPUTED_VALUE"""),16.6)</f>
        <v>16.6</v>
      </c>
    </row>
    <row r="3874">
      <c r="D3874" t="str">
        <f>IFERROR(__xludf.DUMMYFUNCTION("""COMPUTED_VALUE"""),"Neal")</f>
        <v>Neal</v>
      </c>
      <c r="E3874" t="str">
        <f>IFERROR(__xludf.DUMMYFUNCTION("""COMPUTED_VALUE"""),"Lewis")</f>
        <v>Lewis</v>
      </c>
      <c r="F3874" t="str">
        <f>IFERROR(__xludf.DUMMYFUNCTION("""COMPUTED_VALUE"""),"LE")</f>
        <v>LE</v>
      </c>
      <c r="G3874">
        <f>IFERROR(__xludf.DUMMYFUNCTION("""COMPUTED_VALUE"""),12.600000000000001)</f>
        <v>12.6</v>
      </c>
    </row>
    <row r="3875">
      <c r="D3875" t="str">
        <f>IFERROR(__xludf.DUMMYFUNCTION("""COMPUTED_VALUE"""),"Neasman")</f>
        <v>Neasman</v>
      </c>
      <c r="E3875" t="str">
        <f>IFERROR(__xludf.DUMMYFUNCTION("""COMPUTED_VALUE"""),"Sharrod")</f>
        <v>Sharrod</v>
      </c>
      <c r="F3875" t="str">
        <f>IFERROR(__xludf.DUMMYFUNCTION("""COMPUTED_VALUE"""),"SS")</f>
        <v>SS</v>
      </c>
      <c r="G3875">
        <f>IFERROR(__xludf.DUMMYFUNCTION("""COMPUTED_VALUE"""),12.200000000000001)</f>
        <v>12.2</v>
      </c>
    </row>
    <row r="3876">
      <c r="D3876" t="str">
        <f>IFERROR(__xludf.DUMMYFUNCTION("""COMPUTED_VALUE"""),"Nelson")</f>
        <v>Nelson</v>
      </c>
      <c r="E3876" t="str">
        <f>IFERROR(__xludf.DUMMYFUNCTION("""COMPUTED_VALUE"""),"Corey")</f>
        <v>Corey</v>
      </c>
      <c r="F3876" t="str">
        <f>IFERROR(__xludf.DUMMYFUNCTION("""COMPUTED_VALUE"""),"MLB")</f>
        <v>MLB</v>
      </c>
      <c r="G3876">
        <f>IFERROR(__xludf.DUMMYFUNCTION("""COMPUTED_VALUE"""),13.200000000000001)</f>
        <v>13.2</v>
      </c>
    </row>
    <row r="3877">
      <c r="D3877" t="str">
        <f>IFERROR(__xludf.DUMMYFUNCTION("""COMPUTED_VALUE"""),"Nelson")</f>
        <v>Nelson</v>
      </c>
      <c r="E3877" t="str">
        <f>IFERROR(__xludf.DUMMYFUNCTION("""COMPUTED_VALUE"""),"JJ")</f>
        <v>JJ</v>
      </c>
      <c r="F3877" t="str">
        <f>IFERROR(__xludf.DUMMYFUNCTION("""COMPUTED_VALUE"""),"WR")</f>
        <v>WR</v>
      </c>
      <c r="G3877">
        <f>IFERROR(__xludf.DUMMYFUNCTION("""COMPUTED_VALUE"""),14.600000000000001)</f>
        <v>14.6</v>
      </c>
    </row>
    <row r="3878">
      <c r="D3878" t="str">
        <f>IFERROR(__xludf.DUMMYFUNCTION("""COMPUTED_VALUE"""),"Nelson")</f>
        <v>Nelson</v>
      </c>
      <c r="E3878" t="str">
        <f>IFERROR(__xludf.DUMMYFUNCTION("""COMPUTED_VALUE"""),"Jordy")</f>
        <v>Jordy</v>
      </c>
      <c r="F3878" t="str">
        <f>IFERROR(__xludf.DUMMYFUNCTION("""COMPUTED_VALUE"""),"WR")</f>
        <v>WR</v>
      </c>
      <c r="G3878">
        <f>IFERROR(__xludf.DUMMYFUNCTION("""COMPUTED_VALUE"""),18.2)</f>
        <v>18.2</v>
      </c>
    </row>
    <row r="3879">
      <c r="D3879" t="str">
        <f>IFERROR(__xludf.DUMMYFUNCTION("""COMPUTED_VALUE"""),"Nelson")</f>
        <v>Nelson</v>
      </c>
      <c r="E3879" t="str">
        <f>IFERROR(__xludf.DUMMYFUNCTION("""COMPUTED_VALUE"""),"Kyle")</f>
        <v>Kyle</v>
      </c>
      <c r="F3879" t="str">
        <f>IFERROR(__xludf.DUMMYFUNCTION("""COMPUTED_VALUE"""),"TE")</f>
        <v>TE</v>
      </c>
      <c r="G3879">
        <f>IFERROR(__xludf.DUMMYFUNCTION("""COMPUTED_VALUE"""),8.8)</f>
        <v>8.8</v>
      </c>
    </row>
    <row r="3880">
      <c r="D3880" t="str">
        <f>IFERROR(__xludf.DUMMYFUNCTION("""COMPUTED_VALUE"""),"Nelson")</f>
        <v>Nelson</v>
      </c>
      <c r="E3880" t="str">
        <f>IFERROR(__xludf.DUMMYFUNCTION("""COMPUTED_VALUE"""),"Reggie")</f>
        <v>Reggie</v>
      </c>
      <c r="F3880" t="str">
        <f>IFERROR(__xludf.DUMMYFUNCTION("""COMPUTED_VALUE"""),"FS")</f>
        <v>FS</v>
      </c>
      <c r="G3880">
        <f>IFERROR(__xludf.DUMMYFUNCTION("""COMPUTED_VALUE"""),15.8)</f>
        <v>15.8</v>
      </c>
    </row>
    <row r="3881">
      <c r="D3881" t="str">
        <f>IFERROR(__xludf.DUMMYFUNCTION("""COMPUTED_VALUE"""),"Nelson")</f>
        <v>Nelson</v>
      </c>
      <c r="E3881" t="str">
        <f>IFERROR(__xludf.DUMMYFUNCTION("""COMPUTED_VALUE"""),"Steven")</f>
        <v>Steven</v>
      </c>
      <c r="F3881" t="str">
        <f>IFERROR(__xludf.DUMMYFUNCTION("""COMPUTED_VALUE"""),"CB")</f>
        <v>CB</v>
      </c>
      <c r="G3881">
        <f>IFERROR(__xludf.DUMMYFUNCTION("""COMPUTED_VALUE"""),14.8)</f>
        <v>14.8</v>
      </c>
    </row>
    <row r="3882">
      <c r="D3882" t="str">
        <f>IFERROR(__xludf.DUMMYFUNCTION("""COMPUTED_VALUE"""),"Nelson Jr")</f>
        <v>Nelson Jr</v>
      </c>
      <c r="E3882" t="str">
        <f>IFERROR(__xludf.DUMMYFUNCTION("""COMPUTED_VALUE"""),"Robert")</f>
        <v>Robert</v>
      </c>
      <c r="F3882" t="str">
        <f>IFERROR(__xludf.DUMMYFUNCTION("""COMPUTED_VALUE"""),"CB")</f>
        <v>CB</v>
      </c>
      <c r="G3882">
        <f>IFERROR(__xludf.DUMMYFUNCTION("""COMPUTED_VALUE"""),13.8)</f>
        <v>13.8</v>
      </c>
    </row>
    <row r="3883">
      <c r="D3883" t="str">
        <f>IFERROR(__xludf.DUMMYFUNCTION("""COMPUTED_VALUE"""),"Nembot")</f>
        <v>Nembot</v>
      </c>
      <c r="E3883" t="str">
        <f>IFERROR(__xludf.DUMMYFUNCTION("""COMPUTED_VALUE"""),"Stephane")</f>
        <v>Stephane</v>
      </c>
      <c r="F3883" t="str">
        <f>IFERROR(__xludf.DUMMYFUNCTION("""COMPUTED_VALUE"""),"LT")</f>
        <v>LT</v>
      </c>
      <c r="G3883">
        <f>IFERROR(__xludf.DUMMYFUNCTION("""COMPUTED_VALUE"""),11.8)</f>
        <v>11.8</v>
      </c>
    </row>
    <row r="3884">
      <c r="D3884" t="str">
        <f>IFERROR(__xludf.DUMMYFUNCTION("""COMPUTED_VALUE"""),"Newhouse")</f>
        <v>Newhouse</v>
      </c>
      <c r="E3884" t="str">
        <f>IFERROR(__xludf.DUMMYFUNCTION("""COMPUTED_VALUE"""),"Marshall")</f>
        <v>Marshall</v>
      </c>
      <c r="F3884" t="str">
        <f>IFERROR(__xludf.DUMMYFUNCTION("""COMPUTED_VALUE"""),"RT")</f>
        <v>RT</v>
      </c>
      <c r="G3884">
        <f>IFERROR(__xludf.DUMMYFUNCTION("""COMPUTED_VALUE"""),14.200000000000001)</f>
        <v>14.2</v>
      </c>
    </row>
    <row r="3885">
      <c r="D3885" t="str">
        <f>IFERROR(__xludf.DUMMYFUNCTION("""COMPUTED_VALUE"""),"Newman")</f>
        <v>Newman</v>
      </c>
      <c r="E3885" t="str">
        <f>IFERROR(__xludf.DUMMYFUNCTION("""COMPUTED_VALUE"""),"Terence")</f>
        <v>Terence</v>
      </c>
      <c r="F3885" t="str">
        <f>IFERROR(__xludf.DUMMYFUNCTION("""COMPUTED_VALUE"""),"CB")</f>
        <v>CB</v>
      </c>
      <c r="G3885">
        <f>IFERROR(__xludf.DUMMYFUNCTION("""COMPUTED_VALUE"""),17.0)</f>
        <v>17</v>
      </c>
    </row>
    <row r="3886">
      <c r="D3886" t="str">
        <f>IFERROR(__xludf.DUMMYFUNCTION("""COMPUTED_VALUE"""),"Newton")</f>
        <v>Newton</v>
      </c>
      <c r="E3886" t="str">
        <f>IFERROR(__xludf.DUMMYFUNCTION("""COMPUTED_VALUE"""),"Cam")</f>
        <v>Cam</v>
      </c>
      <c r="F3886" t="str">
        <f>IFERROR(__xludf.DUMMYFUNCTION("""COMPUTED_VALUE"""),"QB")</f>
        <v>QB</v>
      </c>
      <c r="G3886">
        <f>IFERROR(__xludf.DUMMYFUNCTION("""COMPUTED_VALUE"""),17.6)</f>
        <v>17.6</v>
      </c>
    </row>
    <row r="3887">
      <c r="D3887" t="str">
        <f>IFERROR(__xludf.DUMMYFUNCTION("""COMPUTED_VALUE"""),"Newton")</f>
        <v>Newton</v>
      </c>
      <c r="E3887" t="str">
        <f>IFERROR(__xludf.DUMMYFUNCTION("""COMPUTED_VALUE"""),"Derek")</f>
        <v>Derek</v>
      </c>
      <c r="F3887" t="str">
        <f>IFERROR(__xludf.DUMMYFUNCTION("""COMPUTED_VALUE"""),"RT")</f>
        <v>RT</v>
      </c>
      <c r="G3887">
        <f>IFERROR(__xludf.DUMMYFUNCTION("""COMPUTED_VALUE"""),15.600000000000001)</f>
        <v>15.6</v>
      </c>
    </row>
    <row r="3888">
      <c r="D3888" t="str">
        <f>IFERROR(__xludf.DUMMYFUNCTION("""COMPUTED_VALUE"""),"Ngakoue")</f>
        <v>Ngakoue</v>
      </c>
      <c r="E3888" t="str">
        <f>IFERROR(__xludf.DUMMYFUNCTION("""COMPUTED_VALUE"""),"Yannick")</f>
        <v>Yannick</v>
      </c>
      <c r="F3888" t="str">
        <f>IFERROR(__xludf.DUMMYFUNCTION("""COMPUTED_VALUE"""),"LE")</f>
        <v>LE</v>
      </c>
      <c r="G3888">
        <f>IFERROR(__xludf.DUMMYFUNCTION("""COMPUTED_VALUE"""),15.4)</f>
        <v>15.4</v>
      </c>
    </row>
    <row r="3889">
      <c r="D3889" t="str">
        <f>IFERROR(__xludf.DUMMYFUNCTION("""COMPUTED_VALUE"""),"Ngata")</f>
        <v>Ngata</v>
      </c>
      <c r="E3889" t="str">
        <f>IFERROR(__xludf.DUMMYFUNCTION("""COMPUTED_VALUE"""),"Haloti")</f>
        <v>Haloti</v>
      </c>
      <c r="F3889" t="str">
        <f>IFERROR(__xludf.DUMMYFUNCTION("""COMPUTED_VALUE"""),"DT")</f>
        <v>DT</v>
      </c>
      <c r="G3889">
        <f>IFERROR(__xludf.DUMMYFUNCTION("""COMPUTED_VALUE"""),15.600000000000001)</f>
        <v>15.6</v>
      </c>
    </row>
    <row r="3890">
      <c r="D3890" t="str">
        <f>IFERROR(__xludf.DUMMYFUNCTION("""COMPUTED_VALUE"""),"Nicholson")</f>
        <v>Nicholson</v>
      </c>
      <c r="E3890" t="str">
        <f>IFERROR(__xludf.DUMMYFUNCTION("""COMPUTED_VALUE"""),"Montae")</f>
        <v>Montae</v>
      </c>
      <c r="F3890" t="str">
        <f>IFERROR(__xludf.DUMMYFUNCTION("""COMPUTED_VALUE"""),"SS")</f>
        <v>SS</v>
      </c>
      <c r="G3890">
        <f>IFERROR(__xludf.DUMMYFUNCTION("""COMPUTED_VALUE"""),13.600000000000001)</f>
        <v>13.6</v>
      </c>
    </row>
    <row r="3891">
      <c r="D3891" t="str">
        <f>IFERROR(__xludf.DUMMYFUNCTION("""COMPUTED_VALUE"""),"Nickerson")</f>
        <v>Nickerson</v>
      </c>
      <c r="E3891" t="str">
        <f>IFERROR(__xludf.DUMMYFUNCTION("""COMPUTED_VALUE"""),"Hardy")</f>
        <v>Hardy</v>
      </c>
      <c r="F3891" t="str">
        <f>IFERROR(__xludf.DUMMYFUNCTION("""COMPUTED_VALUE"""),"MLB")</f>
        <v>MLB</v>
      </c>
      <c r="G3891">
        <f>IFERROR(__xludf.DUMMYFUNCTION("""COMPUTED_VALUE"""),12.4)</f>
        <v>12.4</v>
      </c>
    </row>
    <row r="3892">
      <c r="D3892" t="str">
        <f>IFERROR(__xludf.DUMMYFUNCTION("""COMPUTED_VALUE"""),"Nicolas")</f>
        <v>Nicolas</v>
      </c>
      <c r="E3892" t="str">
        <f>IFERROR(__xludf.DUMMYFUNCTION("""COMPUTED_VALUE"""),"Dadi")</f>
        <v>Dadi</v>
      </c>
      <c r="F3892" t="str">
        <f>IFERROR(__xludf.DUMMYFUNCTION("""COMPUTED_VALUE"""),"LOLB")</f>
        <v>LOLB</v>
      </c>
      <c r="G3892">
        <f>IFERROR(__xludf.DUMMYFUNCTION("""COMPUTED_VALUE"""),13.4)</f>
        <v>13.4</v>
      </c>
    </row>
    <row r="3893">
      <c r="D3893" t="str">
        <f>IFERROR(__xludf.DUMMYFUNCTION("""COMPUTED_VALUE"""),"Niklas")</f>
        <v>Niklas</v>
      </c>
      <c r="E3893" t="str">
        <f>IFERROR(__xludf.DUMMYFUNCTION("""COMPUTED_VALUE"""),"Troy")</f>
        <v>Troy</v>
      </c>
      <c r="F3893" t="str">
        <f>IFERROR(__xludf.DUMMYFUNCTION("""COMPUTED_VALUE"""),"TE")</f>
        <v>TE</v>
      </c>
      <c r="G3893">
        <f>IFERROR(__xludf.DUMMYFUNCTION("""COMPUTED_VALUE"""),14.8)</f>
        <v>14.8</v>
      </c>
    </row>
    <row r="3894">
      <c r="D3894" t="str">
        <f>IFERROR(__xludf.DUMMYFUNCTION("""COMPUTED_VALUE"""),"Ninkovich")</f>
        <v>Ninkovich</v>
      </c>
      <c r="E3894" t="str">
        <f>IFERROR(__xludf.DUMMYFUNCTION("""COMPUTED_VALUE"""),"Rob")</f>
        <v>Rob</v>
      </c>
      <c r="F3894" t="str">
        <f>IFERROR(__xludf.DUMMYFUNCTION("""COMPUTED_VALUE"""),"ROLB")</f>
        <v>ROLB</v>
      </c>
      <c r="G3894">
        <f>IFERROR(__xludf.DUMMYFUNCTION("""COMPUTED_VALUE"""),15.600000000000001)</f>
        <v>15.6</v>
      </c>
    </row>
    <row r="3895">
      <c r="D3895" t="str">
        <f>IFERROR(__xludf.DUMMYFUNCTION("""COMPUTED_VALUE"""),"Nix")</f>
        <v>Nix</v>
      </c>
      <c r="E3895" t="str">
        <f>IFERROR(__xludf.DUMMYFUNCTION("""COMPUTED_VALUE"""),"Roosevelt")</f>
        <v>Roosevelt</v>
      </c>
      <c r="F3895" t="str">
        <f>IFERROR(__xludf.DUMMYFUNCTION("""COMPUTED_VALUE"""),"FB")</f>
        <v>FB</v>
      </c>
      <c r="G3895">
        <f>IFERROR(__xludf.DUMMYFUNCTION("""COMPUTED_VALUE"""),16.0)</f>
        <v>16</v>
      </c>
    </row>
    <row r="3896">
      <c r="D3896" t="str">
        <f>IFERROR(__xludf.DUMMYFUNCTION("""COMPUTED_VALUE"""),"Nixon")</f>
        <v>Nixon</v>
      </c>
      <c r="E3896" t="str">
        <f>IFERROR(__xludf.DUMMYFUNCTION("""COMPUTED_VALUE"""),"Taurean")</f>
        <v>Taurean</v>
      </c>
      <c r="F3896" t="str">
        <f>IFERROR(__xludf.DUMMYFUNCTION("""COMPUTED_VALUE"""),"CB")</f>
        <v>CB</v>
      </c>
      <c r="G3896">
        <f>IFERROR(__xludf.DUMMYFUNCTION("""COMPUTED_VALUE"""),12.200000000000001)</f>
        <v>12.2</v>
      </c>
    </row>
    <row r="3897">
      <c r="D3897" t="str">
        <f>IFERROR(__xludf.DUMMYFUNCTION("""COMPUTED_VALUE"""),"Njoku")</f>
        <v>Njoku</v>
      </c>
      <c r="E3897" t="str">
        <f>IFERROR(__xludf.DUMMYFUNCTION("""COMPUTED_VALUE"""),"David")</f>
        <v>David</v>
      </c>
      <c r="F3897" t="str">
        <f>IFERROR(__xludf.DUMMYFUNCTION("""COMPUTED_VALUE"""),"TE")</f>
        <v>TE</v>
      </c>
      <c r="G3897">
        <f>IFERROR(__xludf.DUMMYFUNCTION("""COMPUTED_VALUE"""),15.600000000000001)</f>
        <v>15.6</v>
      </c>
    </row>
    <row r="3898">
      <c r="D3898" t="str">
        <f>IFERROR(__xludf.DUMMYFUNCTION("""COMPUTED_VALUE"""),"Nkemdiche")</f>
        <v>Nkemdiche</v>
      </c>
      <c r="E3898" t="str">
        <f>IFERROR(__xludf.DUMMYFUNCTION("""COMPUTED_VALUE"""),"Robert")</f>
        <v>Robert</v>
      </c>
      <c r="F3898" t="str">
        <f>IFERROR(__xludf.DUMMYFUNCTION("""COMPUTED_VALUE"""),"LE")</f>
        <v>LE</v>
      </c>
      <c r="G3898">
        <f>IFERROR(__xludf.DUMMYFUNCTION("""COMPUTED_VALUE"""),15.200000000000001)</f>
        <v>15.2</v>
      </c>
    </row>
    <row r="3899">
      <c r="D3899" t="str">
        <f>IFERROR(__xludf.DUMMYFUNCTION("""COMPUTED_VALUE"""),"Norman")</f>
        <v>Norman</v>
      </c>
      <c r="E3899" t="str">
        <f>IFERROR(__xludf.DUMMYFUNCTION("""COMPUTED_VALUE"""),"Josh")</f>
        <v>Josh</v>
      </c>
      <c r="F3899" t="str">
        <f>IFERROR(__xludf.DUMMYFUNCTION("""COMPUTED_VALUE"""),"CB")</f>
        <v>CB</v>
      </c>
      <c r="G3899">
        <f>IFERROR(__xludf.DUMMYFUNCTION("""COMPUTED_VALUE"""),18.0)</f>
        <v>18</v>
      </c>
    </row>
    <row r="3900">
      <c r="D3900" t="str">
        <f>IFERROR(__xludf.DUMMYFUNCTION("""COMPUTED_VALUE"""),"Norris")</f>
        <v>Norris</v>
      </c>
      <c r="E3900" t="str">
        <f>IFERROR(__xludf.DUMMYFUNCTION("""COMPUTED_VALUE"""),"Jared")</f>
        <v>Jared</v>
      </c>
      <c r="F3900" t="str">
        <f>IFERROR(__xludf.DUMMYFUNCTION("""COMPUTED_VALUE"""),"LOLB")</f>
        <v>LOLB</v>
      </c>
      <c r="G3900">
        <f>IFERROR(__xludf.DUMMYFUNCTION("""COMPUTED_VALUE"""),12.0)</f>
        <v>12</v>
      </c>
    </row>
    <row r="3901">
      <c r="D3901" t="str">
        <f>IFERROR(__xludf.DUMMYFUNCTION("""COMPUTED_VALUE"""),"Nortman")</f>
        <v>Nortman</v>
      </c>
      <c r="E3901" t="str">
        <f>IFERROR(__xludf.DUMMYFUNCTION("""COMPUTED_VALUE"""),"Brad")</f>
        <v>Brad</v>
      </c>
      <c r="F3901" t="str">
        <f>IFERROR(__xludf.DUMMYFUNCTION("""COMPUTED_VALUE"""),"P")</f>
        <v>P</v>
      </c>
      <c r="G3901">
        <f>IFERROR(__xludf.DUMMYFUNCTION("""COMPUTED_VALUE"""),15.4)</f>
        <v>15.4</v>
      </c>
    </row>
    <row r="3902">
      <c r="D3902" t="str">
        <f>IFERROR(__xludf.DUMMYFUNCTION("""COMPUTED_VALUE"""),"Norwell")</f>
        <v>Norwell</v>
      </c>
      <c r="E3902" t="str">
        <f>IFERROR(__xludf.DUMMYFUNCTION("""COMPUTED_VALUE"""),"Andrew")</f>
        <v>Andrew</v>
      </c>
      <c r="F3902" t="str">
        <f>IFERROR(__xludf.DUMMYFUNCTION("""COMPUTED_VALUE"""),"LG")</f>
        <v>LG</v>
      </c>
      <c r="G3902">
        <f>IFERROR(__xludf.DUMMYFUNCTION("""COMPUTED_VALUE"""),16.8)</f>
        <v>16.8</v>
      </c>
    </row>
    <row r="3903">
      <c r="D3903" t="str">
        <f>IFERROR(__xludf.DUMMYFUNCTION("""COMPUTED_VALUE"""),"Norwood")</f>
        <v>Norwood</v>
      </c>
      <c r="E3903" t="str">
        <f>IFERROR(__xludf.DUMMYFUNCTION("""COMPUTED_VALUE"""),"Kevin")</f>
        <v>Kevin</v>
      </c>
      <c r="F3903" t="str">
        <f>IFERROR(__xludf.DUMMYFUNCTION("""COMPUTED_VALUE"""),"WR")</f>
        <v>WR</v>
      </c>
      <c r="G3903">
        <f>IFERROR(__xludf.DUMMYFUNCTION("""COMPUTED_VALUE"""),13.600000000000001)</f>
        <v>13.6</v>
      </c>
    </row>
    <row r="3904">
      <c r="D3904" t="str">
        <f>IFERROR(__xludf.DUMMYFUNCTION("""COMPUTED_VALUE"""),"Novak")</f>
        <v>Novak</v>
      </c>
      <c r="E3904" t="str">
        <f>IFERROR(__xludf.DUMMYFUNCTION("""COMPUTED_VALUE"""),"Nick")</f>
        <v>Nick</v>
      </c>
      <c r="F3904" t="str">
        <f>IFERROR(__xludf.DUMMYFUNCTION("""COMPUTED_VALUE"""),"K")</f>
        <v>K</v>
      </c>
      <c r="G3904">
        <f>IFERROR(__xludf.DUMMYFUNCTION("""COMPUTED_VALUE"""),15.8)</f>
        <v>15.8</v>
      </c>
    </row>
    <row r="3905">
      <c r="D3905" t="str">
        <f>IFERROR(__xludf.DUMMYFUNCTION("""COMPUTED_VALUE"""),"Nsekhe")</f>
        <v>Nsekhe</v>
      </c>
      <c r="E3905" t="str">
        <f>IFERROR(__xludf.DUMMYFUNCTION("""COMPUTED_VALUE"""),"Ty")</f>
        <v>Ty</v>
      </c>
      <c r="F3905" t="str">
        <f>IFERROR(__xludf.DUMMYFUNCTION("""COMPUTED_VALUE"""),"LT")</f>
        <v>LT</v>
      </c>
      <c r="G3905">
        <f>IFERROR(__xludf.DUMMYFUNCTION("""COMPUTED_VALUE"""),14.8)</f>
        <v>14.8</v>
      </c>
    </row>
    <row r="3906">
      <c r="D3906" t="str">
        <f>IFERROR(__xludf.DUMMYFUNCTION("""COMPUTED_VALUE"""),"Nunez-Roches")</f>
        <v>Nunez-Roches</v>
      </c>
      <c r="E3906" t="str">
        <f>IFERROR(__xludf.DUMMYFUNCTION("""COMPUTED_VALUE"""),"Rakeem")</f>
        <v>Rakeem</v>
      </c>
      <c r="F3906" t="str">
        <f>IFERROR(__xludf.DUMMYFUNCTION("""COMPUTED_VALUE"""),"LE")</f>
        <v>LE</v>
      </c>
      <c r="G3906">
        <f>IFERROR(__xludf.DUMMYFUNCTION("""COMPUTED_VALUE"""),13.0)</f>
        <v>13</v>
      </c>
    </row>
    <row r="3907">
      <c r="D3907" t="str">
        <f>IFERROR(__xludf.DUMMYFUNCTION("""COMPUTED_VALUE"""),"Nwachukwu")</f>
        <v>Nwachukwu</v>
      </c>
      <c r="E3907" t="str">
        <f>IFERROR(__xludf.DUMMYFUNCTION("""COMPUTED_VALUE"""),"Noble")</f>
        <v>Noble</v>
      </c>
      <c r="F3907" t="str">
        <f>IFERROR(__xludf.DUMMYFUNCTION("""COMPUTED_VALUE"""),"RE")</f>
        <v>RE</v>
      </c>
      <c r="G3907">
        <f>IFERROR(__xludf.DUMMYFUNCTION("""COMPUTED_VALUE"""),12.4)</f>
        <v>12.4</v>
      </c>
    </row>
    <row r="3908">
      <c r="D3908" t="str">
        <f>IFERROR(__xludf.DUMMYFUNCTION("""COMPUTED_VALUE"""),"Nwachukwu")</f>
        <v>Nwachukwu</v>
      </c>
      <c r="E3908" t="str">
        <f>IFERROR(__xludf.DUMMYFUNCTION("""COMPUTED_VALUE"""),"Uzoma")</f>
        <v>Uzoma</v>
      </c>
      <c r="F3908" t="str">
        <f>IFERROR(__xludf.DUMMYFUNCTION("""COMPUTED_VALUE"""),"WR")</f>
        <v>WR</v>
      </c>
      <c r="G3908">
        <f>IFERROR(__xludf.DUMMYFUNCTION("""COMPUTED_VALUE"""),12.8)</f>
        <v>12.8</v>
      </c>
    </row>
    <row r="3909">
      <c r="D3909" t="str">
        <f>IFERROR(__xludf.DUMMYFUNCTION("""COMPUTED_VALUE"""),"Nzeocha")</f>
        <v>Nzeocha</v>
      </c>
      <c r="E3909" t="str">
        <f>IFERROR(__xludf.DUMMYFUNCTION("""COMPUTED_VALUE"""),"Mark")</f>
        <v>Mark</v>
      </c>
      <c r="F3909" t="str">
        <f>IFERROR(__xludf.DUMMYFUNCTION("""COMPUTED_VALUE"""),"MLB")</f>
        <v>MLB</v>
      </c>
      <c r="G3909">
        <f>IFERROR(__xludf.DUMMYFUNCTION("""COMPUTED_VALUE"""),12.8)</f>
        <v>12.8</v>
      </c>
    </row>
    <row r="3910">
      <c r="D3910" t="str">
        <f>IFERROR(__xludf.DUMMYFUNCTION("""COMPUTED_VALUE"""),"Ochi")</f>
        <v>Ochi</v>
      </c>
      <c r="E3910" t="str">
        <f>IFERROR(__xludf.DUMMYFUNCTION("""COMPUTED_VALUE"""),"Victor")</f>
        <v>Victor</v>
      </c>
      <c r="F3910" t="str">
        <f>IFERROR(__xludf.DUMMYFUNCTION("""COMPUTED_VALUE"""),"LOLB")</f>
        <v>LOLB</v>
      </c>
      <c r="G3910">
        <f>IFERROR(__xludf.DUMMYFUNCTION("""COMPUTED_VALUE"""),12.200000000000001)</f>
        <v>12.2</v>
      </c>
    </row>
    <row r="3911">
      <c r="D3911" t="str">
        <f>IFERROR(__xludf.DUMMYFUNCTION("""COMPUTED_VALUE"""),"OConnor")</f>
        <v>OConnor</v>
      </c>
      <c r="E3911" t="str">
        <f>IFERROR(__xludf.DUMMYFUNCTION("""COMPUTED_VALUE"""),"Pat")</f>
        <v>Pat</v>
      </c>
      <c r="F3911" t="str">
        <f>IFERROR(__xludf.DUMMYFUNCTION("""COMPUTED_VALUE"""),"LE")</f>
        <v>LE</v>
      </c>
      <c r="G3911">
        <f>IFERROR(__xludf.DUMMYFUNCTION("""COMPUTED_VALUE"""),12.8)</f>
        <v>12.8</v>
      </c>
    </row>
    <row r="3912">
      <c r="D3912" t="str">
        <f>IFERROR(__xludf.DUMMYFUNCTION("""COMPUTED_VALUE"""),"Odenigbo")</f>
        <v>Odenigbo</v>
      </c>
      <c r="E3912" t="str">
        <f>IFERROR(__xludf.DUMMYFUNCTION("""COMPUTED_VALUE"""),"Ifeadi")</f>
        <v>Ifeadi</v>
      </c>
      <c r="F3912" t="str">
        <f>IFERROR(__xludf.DUMMYFUNCTION("""COMPUTED_VALUE"""),"RE")</f>
        <v>RE</v>
      </c>
      <c r="G3912">
        <f>IFERROR(__xludf.DUMMYFUNCTION("""COMPUTED_VALUE"""),13.0)</f>
        <v>13</v>
      </c>
    </row>
    <row r="3913">
      <c r="D3913" t="str">
        <f>IFERROR(__xludf.DUMMYFUNCTION("""COMPUTED_VALUE"""),"Odhiambo")</f>
        <v>Odhiambo</v>
      </c>
      <c r="E3913" t="str">
        <f>IFERROR(__xludf.DUMMYFUNCTION("""COMPUTED_VALUE"""),"Rees")</f>
        <v>Rees</v>
      </c>
      <c r="F3913" t="str">
        <f>IFERROR(__xludf.DUMMYFUNCTION("""COMPUTED_VALUE"""),"RG")</f>
        <v>RG</v>
      </c>
      <c r="G3913">
        <f>IFERROR(__xludf.DUMMYFUNCTION("""COMPUTED_VALUE"""),13.200000000000001)</f>
        <v>13.2</v>
      </c>
    </row>
    <row r="3914">
      <c r="D3914" t="str">
        <f>IFERROR(__xludf.DUMMYFUNCTION("""COMPUTED_VALUE"""),"Odighizuwa")</f>
        <v>Odighizuwa</v>
      </c>
      <c r="E3914" t="str">
        <f>IFERROR(__xludf.DUMMYFUNCTION("""COMPUTED_VALUE"""),"Owa")</f>
        <v>Owa</v>
      </c>
      <c r="F3914" t="str">
        <f>IFERROR(__xludf.DUMMYFUNCTION("""COMPUTED_VALUE"""),"RE")</f>
        <v>RE</v>
      </c>
      <c r="G3914">
        <f>IFERROR(__xludf.DUMMYFUNCTION("""COMPUTED_VALUE"""),13.4)</f>
        <v>13.4</v>
      </c>
    </row>
    <row r="3915">
      <c r="D3915" t="str">
        <f>IFERROR(__xludf.DUMMYFUNCTION("""COMPUTED_VALUE"""),"Odom")</f>
        <v>Odom</v>
      </c>
      <c r="E3915" t="str">
        <f>IFERROR(__xludf.DUMMYFUNCTION("""COMPUTED_VALUE"""),"Chris")</f>
        <v>Chris</v>
      </c>
      <c r="F3915" t="str">
        <f>IFERROR(__xludf.DUMMYFUNCTION("""COMPUTED_VALUE"""),"RE")</f>
        <v>RE</v>
      </c>
      <c r="G3915">
        <f>IFERROR(__xludf.DUMMYFUNCTION("""COMPUTED_VALUE"""),12.4)</f>
        <v>12.4</v>
      </c>
    </row>
    <row r="3916">
      <c r="D3916" t="str">
        <f>IFERROR(__xludf.DUMMYFUNCTION("""COMPUTED_VALUE"""),"ODonnell")</f>
        <v>ODonnell</v>
      </c>
      <c r="E3916" t="str">
        <f>IFERROR(__xludf.DUMMYFUNCTION("""COMPUTED_VALUE"""),"Pat")</f>
        <v>Pat</v>
      </c>
      <c r="F3916" t="str">
        <f>IFERROR(__xludf.DUMMYFUNCTION("""COMPUTED_VALUE"""),"P")</f>
        <v>P</v>
      </c>
      <c r="G3916">
        <f>IFERROR(__xludf.DUMMYFUNCTION("""COMPUTED_VALUE"""),15.8)</f>
        <v>15.8</v>
      </c>
    </row>
    <row r="3917">
      <c r="D3917" t="str">
        <f>IFERROR(__xludf.DUMMYFUNCTION("""COMPUTED_VALUE"""),"Ogbah")</f>
        <v>Ogbah</v>
      </c>
      <c r="E3917" t="str">
        <f>IFERROR(__xludf.DUMMYFUNCTION("""COMPUTED_VALUE"""),"Emmanuel")</f>
        <v>Emmanuel</v>
      </c>
      <c r="F3917" t="str">
        <f>IFERROR(__xludf.DUMMYFUNCTION("""COMPUTED_VALUE"""),"LE")</f>
        <v>LE</v>
      </c>
      <c r="G3917">
        <f>IFERROR(__xludf.DUMMYFUNCTION("""COMPUTED_VALUE"""),14.8)</f>
        <v>14.8</v>
      </c>
    </row>
    <row r="3918">
      <c r="D3918" t="str">
        <f>IFERROR(__xludf.DUMMYFUNCTION("""COMPUTED_VALUE"""),"Ogbuehi")</f>
        <v>Ogbuehi</v>
      </c>
      <c r="E3918" t="str">
        <f>IFERROR(__xludf.DUMMYFUNCTION("""COMPUTED_VALUE"""),"Cedric")</f>
        <v>Cedric</v>
      </c>
      <c r="F3918" t="str">
        <f>IFERROR(__xludf.DUMMYFUNCTION("""COMPUTED_VALUE"""),"RT")</f>
        <v>RT</v>
      </c>
      <c r="G3918">
        <f>IFERROR(__xludf.DUMMYFUNCTION("""COMPUTED_VALUE"""),14.4)</f>
        <v>14.4</v>
      </c>
    </row>
    <row r="3919">
      <c r="D3919" t="str">
        <f>IFERROR(__xludf.DUMMYFUNCTION("""COMPUTED_VALUE"""),"Ogletree")</f>
        <v>Ogletree</v>
      </c>
      <c r="E3919" t="str">
        <f>IFERROR(__xludf.DUMMYFUNCTION("""COMPUTED_VALUE"""),"Alec")</f>
        <v>Alec</v>
      </c>
      <c r="F3919" t="str">
        <f>IFERROR(__xludf.DUMMYFUNCTION("""COMPUTED_VALUE"""),"MLB")</f>
        <v>MLB</v>
      </c>
      <c r="G3919">
        <f>IFERROR(__xludf.DUMMYFUNCTION("""COMPUTED_VALUE"""),15.4)</f>
        <v>15.4</v>
      </c>
    </row>
    <row r="3920">
      <c r="D3920" t="str">
        <f>IFERROR(__xludf.DUMMYFUNCTION("""COMPUTED_VALUE"""),"Ogunbowale")</f>
        <v>Ogunbowale</v>
      </c>
      <c r="E3920" t="str">
        <f>IFERROR(__xludf.DUMMYFUNCTION("""COMPUTED_VALUE"""),"Dare")</f>
        <v>Dare</v>
      </c>
      <c r="F3920" t="str">
        <f>IFERROR(__xludf.DUMMYFUNCTION("""COMPUTED_VALUE"""),"HB")</f>
        <v>HB</v>
      </c>
      <c r="G3920">
        <f>IFERROR(__xludf.DUMMYFUNCTION("""COMPUTED_VALUE"""),13.0)</f>
        <v>13</v>
      </c>
    </row>
    <row r="3921">
      <c r="D3921" t="str">
        <f>IFERROR(__xludf.DUMMYFUNCTION("""COMPUTED_VALUE"""),"Ogunjobi")</f>
        <v>Ogunjobi</v>
      </c>
      <c r="E3921" t="str">
        <f>IFERROR(__xludf.DUMMYFUNCTION("""COMPUTED_VALUE"""),"Larry")</f>
        <v>Larry</v>
      </c>
      <c r="F3921" t="str">
        <f>IFERROR(__xludf.DUMMYFUNCTION("""COMPUTED_VALUE"""),"DT")</f>
        <v>DT</v>
      </c>
      <c r="G3921">
        <f>IFERROR(__xludf.DUMMYFUNCTION("""COMPUTED_VALUE"""),13.8)</f>
        <v>13.8</v>
      </c>
    </row>
    <row r="3922">
      <c r="D3922" t="str">
        <f>IFERROR(__xludf.DUMMYFUNCTION("""COMPUTED_VALUE"""),"Oher")</f>
        <v>Oher</v>
      </c>
      <c r="E3922" t="str">
        <f>IFERROR(__xludf.DUMMYFUNCTION("""COMPUTED_VALUE"""),"Michael")</f>
        <v>Michael</v>
      </c>
      <c r="F3922" t="str">
        <f>IFERROR(__xludf.DUMMYFUNCTION("""COMPUTED_VALUE"""),"RT")</f>
        <v>RT</v>
      </c>
      <c r="G3922">
        <f>IFERROR(__xludf.DUMMYFUNCTION("""COMPUTED_VALUE"""),14.8)</f>
        <v>14.8</v>
      </c>
    </row>
    <row r="3923">
      <c r="D3923" t="str">
        <f>IFERROR(__xludf.DUMMYFUNCTION("""COMPUTED_VALUE"""),"Okafor")</f>
        <v>Okafor</v>
      </c>
      <c r="E3923" t="str">
        <f>IFERROR(__xludf.DUMMYFUNCTION("""COMPUTED_VALUE"""),"Alex")</f>
        <v>Alex</v>
      </c>
      <c r="F3923" t="str">
        <f>IFERROR(__xludf.DUMMYFUNCTION("""COMPUTED_VALUE"""),"LE")</f>
        <v>LE</v>
      </c>
      <c r="G3923">
        <f>IFERROR(__xludf.DUMMYFUNCTION("""COMPUTED_VALUE"""),14.4)</f>
        <v>14.4</v>
      </c>
    </row>
    <row r="3924">
      <c r="D3924" t="str">
        <f>IFERROR(__xludf.DUMMYFUNCTION("""COMPUTED_VALUE"""),"Okine")</f>
        <v>Okine</v>
      </c>
      <c r="E3924" t="str">
        <f>IFERROR(__xludf.DUMMYFUNCTION("""COMPUTED_VALUE"""),"Earl")</f>
        <v>Earl</v>
      </c>
      <c r="F3924" t="str">
        <f>IFERROR(__xludf.DUMMYFUNCTION("""COMPUTED_VALUE"""),"LE")</f>
        <v>LE</v>
      </c>
      <c r="G3924">
        <f>IFERROR(__xludf.DUMMYFUNCTION("""COMPUTED_VALUE"""),11.4)</f>
        <v>11.4</v>
      </c>
    </row>
    <row r="3925">
      <c r="D3925" t="str">
        <f>IFERROR(__xludf.DUMMYFUNCTION("""COMPUTED_VALUE"""),"Okoye")</f>
        <v>Okoye</v>
      </c>
      <c r="E3925" t="str">
        <f>IFERROR(__xludf.DUMMYFUNCTION("""COMPUTED_VALUE"""),"Lawrence")</f>
        <v>Lawrence</v>
      </c>
      <c r="F3925" t="str">
        <f>IFERROR(__xludf.DUMMYFUNCTION("""COMPUTED_VALUE"""),"RE")</f>
        <v>RE</v>
      </c>
      <c r="G3925">
        <f>IFERROR(__xludf.DUMMYFUNCTION("""COMPUTED_VALUE"""),11.200000000000001)</f>
        <v>11.2</v>
      </c>
    </row>
    <row r="3926">
      <c r="D3926" t="str">
        <f>IFERROR(__xludf.DUMMYFUNCTION("""COMPUTED_VALUE"""),"Okung")</f>
        <v>Okung</v>
      </c>
      <c r="E3926" t="str">
        <f>IFERROR(__xludf.DUMMYFUNCTION("""COMPUTED_VALUE"""),"Russell")</f>
        <v>Russell</v>
      </c>
      <c r="F3926" t="str">
        <f>IFERROR(__xludf.DUMMYFUNCTION("""COMPUTED_VALUE"""),"LT")</f>
        <v>LT</v>
      </c>
      <c r="G3926">
        <f>IFERROR(__xludf.DUMMYFUNCTION("""COMPUTED_VALUE"""),14.600000000000001)</f>
        <v>14.6</v>
      </c>
    </row>
    <row r="3927">
      <c r="D3927" t="str">
        <f>IFERROR(__xludf.DUMMYFUNCTION("""COMPUTED_VALUE"""),"Okwara")</f>
        <v>Okwara</v>
      </c>
      <c r="E3927" t="str">
        <f>IFERROR(__xludf.DUMMYFUNCTION("""COMPUTED_VALUE"""),"Romeo")</f>
        <v>Romeo</v>
      </c>
      <c r="F3927" t="str">
        <f>IFERROR(__xludf.DUMMYFUNCTION("""COMPUTED_VALUE"""),"LE")</f>
        <v>LE</v>
      </c>
      <c r="G3927">
        <f>IFERROR(__xludf.DUMMYFUNCTION("""COMPUTED_VALUE"""),14.0)</f>
        <v>14</v>
      </c>
    </row>
    <row r="3928">
      <c r="D3928" t="str">
        <f>IFERROR(__xludf.DUMMYFUNCTION("""COMPUTED_VALUE"""),"Ola")</f>
        <v>Ola</v>
      </c>
      <c r="E3928" t="str">
        <f>IFERROR(__xludf.DUMMYFUNCTION("""COMPUTED_VALUE"""),"Michael")</f>
        <v>Michael</v>
      </c>
      <c r="F3928" t="str">
        <f>IFERROR(__xludf.DUMMYFUNCTION("""COMPUTED_VALUE"""),"RG")</f>
        <v>RG</v>
      </c>
      <c r="G3928">
        <f>IFERROR(__xludf.DUMMYFUNCTION("""COMPUTED_VALUE"""),13.4)</f>
        <v>13.4</v>
      </c>
    </row>
    <row r="3929">
      <c r="D3929" t="str">
        <f>IFERROR(__xludf.DUMMYFUNCTION("""COMPUTED_VALUE"""),"Olatoye")</f>
        <v>Olatoye</v>
      </c>
      <c r="E3929" t="str">
        <f>IFERROR(__xludf.DUMMYFUNCTION("""COMPUTED_VALUE"""),"Deji")</f>
        <v>Deji</v>
      </c>
      <c r="F3929" t="str">
        <f>IFERROR(__xludf.DUMMYFUNCTION("""COMPUTED_VALUE"""),"CB")</f>
        <v>CB</v>
      </c>
      <c r="G3929">
        <f>IFERROR(__xludf.DUMMYFUNCTION("""COMPUTED_VALUE"""),13.200000000000001)</f>
        <v>13.2</v>
      </c>
    </row>
    <row r="3930">
      <c r="D3930" t="str">
        <f>IFERROR(__xludf.DUMMYFUNCTION("""COMPUTED_VALUE"""),"Olawale")</f>
        <v>Olawale</v>
      </c>
      <c r="E3930" t="str">
        <f>IFERROR(__xludf.DUMMYFUNCTION("""COMPUTED_VALUE"""),"Jamize")</f>
        <v>Jamize</v>
      </c>
      <c r="F3930" t="str">
        <f>IFERROR(__xludf.DUMMYFUNCTION("""COMPUTED_VALUE"""),"FB")</f>
        <v>FB</v>
      </c>
      <c r="G3930">
        <f>IFERROR(__xludf.DUMMYFUNCTION("""COMPUTED_VALUE"""),14.4)</f>
        <v>14.4</v>
      </c>
    </row>
    <row r="3931">
      <c r="D3931" t="str">
        <f>IFERROR(__xludf.DUMMYFUNCTION("""COMPUTED_VALUE"""),"OLeary")</f>
        <v>OLeary</v>
      </c>
      <c r="E3931" t="str">
        <f>IFERROR(__xludf.DUMMYFUNCTION("""COMPUTED_VALUE"""),"Nick")</f>
        <v>Nick</v>
      </c>
      <c r="F3931" t="str">
        <f>IFERROR(__xludf.DUMMYFUNCTION("""COMPUTED_VALUE"""),"TE")</f>
        <v>TE</v>
      </c>
      <c r="G3931">
        <f>IFERROR(__xludf.DUMMYFUNCTION("""COMPUTED_VALUE"""),15.200000000000001)</f>
        <v>15.2</v>
      </c>
    </row>
    <row r="3932">
      <c r="D3932" t="str">
        <f>IFERROR(__xludf.DUMMYFUNCTION("""COMPUTED_VALUE"""),"Oliver")</f>
        <v>Oliver</v>
      </c>
      <c r="E3932" t="str">
        <f>IFERROR(__xludf.DUMMYFUNCTION("""COMPUTED_VALUE"""),"Branden")</f>
        <v>Branden</v>
      </c>
      <c r="F3932" t="str">
        <f>IFERROR(__xludf.DUMMYFUNCTION("""COMPUTED_VALUE"""),"HB")</f>
        <v>HB</v>
      </c>
      <c r="G3932">
        <f>IFERROR(__xludf.DUMMYFUNCTION("""COMPUTED_VALUE"""),15.8)</f>
        <v>15.8</v>
      </c>
    </row>
    <row r="3933">
      <c r="D3933" t="str">
        <f>IFERROR(__xludf.DUMMYFUNCTION("""COMPUTED_VALUE"""),"Olsen")</f>
        <v>Olsen</v>
      </c>
      <c r="E3933" t="str">
        <f>IFERROR(__xludf.DUMMYFUNCTION("""COMPUTED_VALUE"""),"Greg")</f>
        <v>Greg</v>
      </c>
      <c r="F3933" t="str">
        <f>IFERROR(__xludf.DUMMYFUNCTION("""COMPUTED_VALUE"""),"TE")</f>
        <v>TE</v>
      </c>
      <c r="G3933">
        <f>IFERROR(__xludf.DUMMYFUNCTION("""COMPUTED_VALUE"""),18.400000000000002)</f>
        <v>18.4</v>
      </c>
    </row>
    <row r="3934">
      <c r="D3934" t="str">
        <f>IFERROR(__xludf.DUMMYFUNCTION("""COMPUTED_VALUE"""),"OMalley")</f>
        <v>OMalley</v>
      </c>
      <c r="E3934" t="str">
        <f>IFERROR(__xludf.DUMMYFUNCTION("""COMPUTED_VALUE"""),"Ryan")</f>
        <v>Ryan</v>
      </c>
      <c r="F3934" t="str">
        <f>IFERROR(__xludf.DUMMYFUNCTION("""COMPUTED_VALUE"""),"TE")</f>
        <v>TE</v>
      </c>
      <c r="G3934">
        <f>IFERROR(__xludf.DUMMYFUNCTION("""COMPUTED_VALUE"""),13.4)</f>
        <v>13.4</v>
      </c>
    </row>
    <row r="3935">
      <c r="D3935" t="str">
        <f>IFERROR(__xludf.DUMMYFUNCTION("""COMPUTED_VALUE"""),"Omameh")</f>
        <v>Omameh</v>
      </c>
      <c r="E3935" t="str">
        <f>IFERROR(__xludf.DUMMYFUNCTION("""COMPUTED_VALUE"""),"Patrick")</f>
        <v>Patrick</v>
      </c>
      <c r="F3935" t="str">
        <f>IFERROR(__xludf.DUMMYFUNCTION("""COMPUTED_VALUE"""),"LG")</f>
        <v>LG</v>
      </c>
      <c r="G3935">
        <f>IFERROR(__xludf.DUMMYFUNCTION("""COMPUTED_VALUE"""),15.200000000000001)</f>
        <v>15.2</v>
      </c>
    </row>
    <row r="3936">
      <c r="D3936" t="str">
        <f>IFERROR(__xludf.DUMMYFUNCTION("""COMPUTED_VALUE"""),"Onwuasor")</f>
        <v>Onwuasor</v>
      </c>
      <c r="E3936" t="str">
        <f>IFERROR(__xludf.DUMMYFUNCTION("""COMPUTED_VALUE"""),"Patrick")</f>
        <v>Patrick</v>
      </c>
      <c r="F3936" t="str">
        <f>IFERROR(__xludf.DUMMYFUNCTION("""COMPUTED_VALUE"""),"MLB")</f>
        <v>MLB</v>
      </c>
      <c r="G3936">
        <f>IFERROR(__xludf.DUMMYFUNCTION("""COMPUTED_VALUE"""),12.0)</f>
        <v>12</v>
      </c>
    </row>
    <row r="3937">
      <c r="D3937" t="str">
        <f>IFERROR(__xludf.DUMMYFUNCTION("""COMPUTED_VALUE"""),"Onyemata")</f>
        <v>Onyemata</v>
      </c>
      <c r="E3937" t="str">
        <f>IFERROR(__xludf.DUMMYFUNCTION("""COMPUTED_VALUE"""),"David")</f>
        <v>David</v>
      </c>
      <c r="F3937" t="str">
        <f>IFERROR(__xludf.DUMMYFUNCTION("""COMPUTED_VALUE"""),"DT")</f>
        <v>DT</v>
      </c>
      <c r="G3937">
        <f>IFERROR(__xludf.DUMMYFUNCTION("""COMPUTED_VALUE"""),14.4)</f>
        <v>14.4</v>
      </c>
    </row>
    <row r="3938">
      <c r="D3938" t="str">
        <f>IFERROR(__xludf.DUMMYFUNCTION("""COMPUTED_VALUE"""),"Orakpo")</f>
        <v>Orakpo</v>
      </c>
      <c r="E3938" t="str">
        <f>IFERROR(__xludf.DUMMYFUNCTION("""COMPUTED_VALUE"""),"Brian")</f>
        <v>Brian</v>
      </c>
      <c r="F3938" t="str">
        <f>IFERROR(__xludf.DUMMYFUNCTION("""COMPUTED_VALUE"""),"ROLB")</f>
        <v>ROLB</v>
      </c>
      <c r="G3938">
        <f>IFERROR(__xludf.DUMMYFUNCTION("""COMPUTED_VALUE"""),17.0)</f>
        <v>17</v>
      </c>
    </row>
    <row r="3939">
      <c r="D3939" t="str">
        <f>IFERROR(__xludf.DUMMYFUNCTION("""COMPUTED_VALUE"""),"Orchard")</f>
        <v>Orchard</v>
      </c>
      <c r="E3939" t="str">
        <f>IFERROR(__xludf.DUMMYFUNCTION("""COMPUTED_VALUE"""),"Nate")</f>
        <v>Nate</v>
      </c>
      <c r="F3939" t="str">
        <f>IFERROR(__xludf.DUMMYFUNCTION("""COMPUTED_VALUE"""),"LE")</f>
        <v>LE</v>
      </c>
      <c r="G3939">
        <f>IFERROR(__xludf.DUMMYFUNCTION("""COMPUTED_VALUE"""),13.8)</f>
        <v>13.8</v>
      </c>
    </row>
    <row r="3940">
      <c r="D3940" t="str">
        <f>IFERROR(__xludf.DUMMYFUNCTION("""COMPUTED_VALUE"""),"Orndoff")</f>
        <v>Orndoff</v>
      </c>
      <c r="E3940" t="str">
        <f>IFERROR(__xludf.DUMMYFUNCTION("""COMPUTED_VALUE"""),"Scott")</f>
        <v>Scott</v>
      </c>
      <c r="F3940" t="str">
        <f>IFERROR(__xludf.DUMMYFUNCTION("""COMPUTED_VALUE"""),"TE")</f>
        <v>TE</v>
      </c>
      <c r="G3940">
        <f>IFERROR(__xludf.DUMMYFUNCTION("""COMPUTED_VALUE"""),13.0)</f>
        <v>13</v>
      </c>
    </row>
    <row r="3941">
      <c r="D3941" t="str">
        <f>IFERROR(__xludf.DUMMYFUNCTION("""COMPUTED_VALUE"""),"Ortiz")</f>
        <v>Ortiz</v>
      </c>
      <c r="E3941" t="str">
        <f>IFERROR(__xludf.DUMMYFUNCTION("""COMPUTED_VALUE"""),"Ricky")</f>
        <v>Ricky</v>
      </c>
      <c r="F3941" t="str">
        <f>IFERROR(__xludf.DUMMYFUNCTION("""COMPUTED_VALUE"""),"FB")</f>
        <v>FB</v>
      </c>
      <c r="G3941">
        <f>IFERROR(__xludf.DUMMYFUNCTION("""COMPUTED_VALUE"""),13.8)</f>
        <v>13.8</v>
      </c>
    </row>
    <row r="3942">
      <c r="D3942" t="str">
        <f>IFERROR(__xludf.DUMMYFUNCTION("""COMPUTED_VALUE"""),"Osemele")</f>
        <v>Osemele</v>
      </c>
      <c r="E3942" t="str">
        <f>IFERROR(__xludf.DUMMYFUNCTION("""COMPUTED_VALUE"""),"Kelechi")</f>
        <v>Kelechi</v>
      </c>
      <c r="F3942" t="str">
        <f>IFERROR(__xludf.DUMMYFUNCTION("""COMPUTED_VALUE"""),"LG")</f>
        <v>LG</v>
      </c>
      <c r="G3942">
        <f>IFERROR(__xludf.DUMMYFUNCTION("""COMPUTED_VALUE"""),18.400000000000002)</f>
        <v>18.4</v>
      </c>
    </row>
    <row r="3943">
      <c r="D3943" t="str">
        <f>IFERROR(__xludf.DUMMYFUNCTION("""COMPUTED_VALUE"""),"OShaughnessy")</f>
        <v>OShaughnessy</v>
      </c>
      <c r="E3943" t="str">
        <f>IFERROR(__xludf.DUMMYFUNCTION("""COMPUTED_VALUE"""),"James")</f>
        <v>James</v>
      </c>
      <c r="F3943" t="str">
        <f>IFERROR(__xludf.DUMMYFUNCTION("""COMPUTED_VALUE"""),"TE")</f>
        <v>TE</v>
      </c>
      <c r="G3943">
        <f>IFERROR(__xludf.DUMMYFUNCTION("""COMPUTED_VALUE"""),13.4)</f>
        <v>13.4</v>
      </c>
    </row>
    <row r="3944">
      <c r="D3944" t="str">
        <f>IFERROR(__xludf.DUMMYFUNCTION("""COMPUTED_VALUE"""),"Osweiler")</f>
        <v>Osweiler</v>
      </c>
      <c r="E3944" t="str">
        <f>IFERROR(__xludf.DUMMYFUNCTION("""COMPUTED_VALUE"""),"Brock")</f>
        <v>Brock</v>
      </c>
      <c r="F3944" t="str">
        <f>IFERROR(__xludf.DUMMYFUNCTION("""COMPUTED_VALUE"""),"QB")</f>
        <v>QB</v>
      </c>
      <c r="G3944">
        <f>IFERROR(__xludf.DUMMYFUNCTION("""COMPUTED_VALUE"""),15.0)</f>
        <v>15</v>
      </c>
    </row>
    <row r="3945">
      <c r="D3945" t="str">
        <f>IFERROR(__xludf.DUMMYFUNCTION("""COMPUTED_VALUE"""),"Ott")</f>
        <v>Ott</v>
      </c>
      <c r="E3945" t="str">
        <f>IFERROR(__xludf.DUMMYFUNCTION("""COMPUTED_VALUE"""),"Tyler")</f>
        <v>Tyler</v>
      </c>
      <c r="F3945" t="str">
        <f>IFERROR(__xludf.DUMMYFUNCTION("""COMPUTED_VALUE"""),"TE")</f>
        <v>TE</v>
      </c>
      <c r="G3945">
        <f>IFERROR(__xludf.DUMMYFUNCTION("""COMPUTED_VALUE"""),9.4)</f>
        <v>9.4</v>
      </c>
    </row>
    <row r="3946">
      <c r="D3946" t="str">
        <f>IFERROR(__xludf.DUMMYFUNCTION("""COMPUTED_VALUE"""),"Paea")</f>
        <v>Paea</v>
      </c>
      <c r="E3946" t="str">
        <f>IFERROR(__xludf.DUMMYFUNCTION("""COMPUTED_VALUE"""),"Stephen")</f>
        <v>Stephen</v>
      </c>
      <c r="F3946" t="str">
        <f>IFERROR(__xludf.DUMMYFUNCTION("""COMPUTED_VALUE"""),"DT")</f>
        <v>DT</v>
      </c>
      <c r="G3946">
        <f>IFERROR(__xludf.DUMMYFUNCTION("""COMPUTED_VALUE"""),15.8)</f>
        <v>15.8</v>
      </c>
    </row>
    <row r="3947">
      <c r="D3947" t="str">
        <f>IFERROR(__xludf.DUMMYFUNCTION("""COMPUTED_VALUE"""),"Painter")</f>
        <v>Painter</v>
      </c>
      <c r="E3947" t="str">
        <f>IFERROR(__xludf.DUMMYFUNCTION("""COMPUTED_VALUE"""),"Vinston")</f>
        <v>Vinston</v>
      </c>
      <c r="F3947" t="str">
        <f>IFERROR(__xludf.DUMMYFUNCTION("""COMPUTED_VALUE"""),"RT")</f>
        <v>RT</v>
      </c>
      <c r="G3947">
        <f>IFERROR(__xludf.DUMMYFUNCTION("""COMPUTED_VALUE"""),13.200000000000001)</f>
        <v>13.2</v>
      </c>
    </row>
    <row r="3948">
      <c r="D3948" t="str">
        <f>IFERROR(__xludf.DUMMYFUNCTION("""COMPUTED_VALUE"""),"Palardy")</f>
        <v>Palardy</v>
      </c>
      <c r="E3948" t="str">
        <f>IFERROR(__xludf.DUMMYFUNCTION("""COMPUTED_VALUE"""),"Michael")</f>
        <v>Michael</v>
      </c>
      <c r="F3948" t="str">
        <f>IFERROR(__xludf.DUMMYFUNCTION("""COMPUTED_VALUE"""),"P")</f>
        <v>P</v>
      </c>
      <c r="G3948">
        <f>IFERROR(__xludf.DUMMYFUNCTION("""COMPUTED_VALUE"""),14.8)</f>
        <v>14.8</v>
      </c>
    </row>
    <row r="3949">
      <c r="D3949" t="str">
        <f>IFERROR(__xludf.DUMMYFUNCTION("""COMPUTED_VALUE"""),"Palepoi")</f>
        <v>Palepoi</v>
      </c>
      <c r="E3949" t="str">
        <f>IFERROR(__xludf.DUMMYFUNCTION("""COMPUTED_VALUE"""),"Tenny")</f>
        <v>Tenny</v>
      </c>
      <c r="F3949" t="str">
        <f>IFERROR(__xludf.DUMMYFUNCTION("""COMPUTED_VALUE"""),"RE")</f>
        <v>RE</v>
      </c>
      <c r="G3949">
        <f>IFERROR(__xludf.DUMMYFUNCTION("""COMPUTED_VALUE"""),13.600000000000001)</f>
        <v>13.6</v>
      </c>
    </row>
    <row r="3950">
      <c r="D3950" t="str">
        <f>IFERROR(__xludf.DUMMYFUNCTION("""COMPUTED_VALUE"""),"Palmer")</f>
        <v>Palmer</v>
      </c>
      <c r="E3950" t="str">
        <f>IFERROR(__xludf.DUMMYFUNCTION("""COMPUTED_VALUE"""),"Carson")</f>
        <v>Carson</v>
      </c>
      <c r="F3950" t="str">
        <f>IFERROR(__xludf.DUMMYFUNCTION("""COMPUTED_VALUE"""),"QB")</f>
        <v>QB</v>
      </c>
      <c r="G3950">
        <f>IFERROR(__xludf.DUMMYFUNCTION("""COMPUTED_VALUE"""),16.6)</f>
        <v>16.6</v>
      </c>
    </row>
    <row r="3951">
      <c r="D3951" t="str">
        <f>IFERROR(__xludf.DUMMYFUNCTION("""COMPUTED_VALUE"""),"Palmer")</f>
        <v>Palmer</v>
      </c>
      <c r="E3951" t="str">
        <f>IFERROR(__xludf.DUMMYFUNCTION("""COMPUTED_VALUE"""),"Nate")</f>
        <v>Nate</v>
      </c>
      <c r="F3951" t="str">
        <f>IFERROR(__xludf.DUMMYFUNCTION("""COMPUTED_VALUE"""),"MLB")</f>
        <v>MLB</v>
      </c>
      <c r="G3951">
        <f>IFERROR(__xludf.DUMMYFUNCTION("""COMPUTED_VALUE"""),13.200000000000001)</f>
        <v>13.2</v>
      </c>
    </row>
    <row r="3952">
      <c r="D3952" t="str">
        <f>IFERROR(__xludf.DUMMYFUNCTION("""COMPUTED_VALUE"""),"Pamphile")</f>
        <v>Pamphile</v>
      </c>
      <c r="E3952" t="str">
        <f>IFERROR(__xludf.DUMMYFUNCTION("""COMPUTED_VALUE"""),"Kevin")</f>
        <v>Kevin</v>
      </c>
      <c r="F3952" t="str">
        <f>IFERROR(__xludf.DUMMYFUNCTION("""COMPUTED_VALUE"""),"LG")</f>
        <v>LG</v>
      </c>
      <c r="G3952">
        <f>IFERROR(__xludf.DUMMYFUNCTION("""COMPUTED_VALUE"""),14.0)</f>
        <v>14</v>
      </c>
    </row>
    <row r="3953">
      <c r="D3953" t="str">
        <f>IFERROR(__xludf.DUMMYFUNCTION("""COMPUTED_VALUE"""),"Pankey")</f>
        <v>Pankey</v>
      </c>
      <c r="E3953" t="str">
        <f>IFERROR(__xludf.DUMMYFUNCTION("""COMPUTED_VALUE"""),"Adam")</f>
        <v>Adam</v>
      </c>
      <c r="F3953" t="str">
        <f>IFERROR(__xludf.DUMMYFUNCTION("""COMPUTED_VALUE"""),"LG")</f>
        <v>LG</v>
      </c>
      <c r="G3953">
        <f>IFERROR(__xludf.DUMMYFUNCTION("""COMPUTED_VALUE"""),12.200000000000001)</f>
        <v>12.2</v>
      </c>
    </row>
    <row r="3954">
      <c r="D3954" t="str">
        <f>IFERROR(__xludf.DUMMYFUNCTION("""COMPUTED_VALUE"""),"Pantale")</f>
        <v>Pantale</v>
      </c>
      <c r="E3954" t="str">
        <f>IFERROR(__xludf.DUMMYFUNCTION("""COMPUTED_VALUE"""),"Chris")</f>
        <v>Chris</v>
      </c>
      <c r="F3954" t="str">
        <f>IFERROR(__xludf.DUMMYFUNCTION("""COMPUTED_VALUE"""),"TE")</f>
        <v>TE</v>
      </c>
      <c r="G3954">
        <f>IFERROR(__xludf.DUMMYFUNCTION("""COMPUTED_VALUE"""),12.600000000000001)</f>
        <v>12.6</v>
      </c>
    </row>
    <row r="3955">
      <c r="D3955" t="str">
        <f>IFERROR(__xludf.DUMMYFUNCTION("""COMPUTED_VALUE"""),"Paradis")</f>
        <v>Paradis</v>
      </c>
      <c r="E3955" t="str">
        <f>IFERROR(__xludf.DUMMYFUNCTION("""COMPUTED_VALUE"""),"Matt")</f>
        <v>Matt</v>
      </c>
      <c r="F3955" t="str">
        <f>IFERROR(__xludf.DUMMYFUNCTION("""COMPUTED_VALUE"""),"C")</f>
        <v>C</v>
      </c>
      <c r="G3955">
        <f>IFERROR(__xludf.DUMMYFUNCTION("""COMPUTED_VALUE"""),17.6)</f>
        <v>17.6</v>
      </c>
    </row>
    <row r="3956">
      <c r="D3956" t="str">
        <f>IFERROR(__xludf.DUMMYFUNCTION("""COMPUTED_VALUE"""),"Parker")</f>
        <v>Parker</v>
      </c>
      <c r="E3956" t="str">
        <f>IFERROR(__xludf.DUMMYFUNCTION("""COMPUTED_VALUE"""),"Brian")</f>
        <v>Brian</v>
      </c>
      <c r="F3956" t="str">
        <f>IFERROR(__xludf.DUMMYFUNCTION("""COMPUTED_VALUE"""),"TE")</f>
        <v>TE</v>
      </c>
      <c r="G3956">
        <f>IFERROR(__xludf.DUMMYFUNCTION("""COMPUTED_VALUE"""),13.0)</f>
        <v>13</v>
      </c>
    </row>
    <row r="3957">
      <c r="D3957" t="str">
        <f>IFERROR(__xludf.DUMMYFUNCTION("""COMPUTED_VALUE"""),"Parker")</f>
        <v>Parker</v>
      </c>
      <c r="E3957" t="str">
        <f>IFERROR(__xludf.DUMMYFUNCTION("""COMPUTED_VALUE"""),"DeVante")</f>
        <v>DeVante</v>
      </c>
      <c r="F3957" t="str">
        <f>IFERROR(__xludf.DUMMYFUNCTION("""COMPUTED_VALUE"""),"WR")</f>
        <v>WR</v>
      </c>
      <c r="G3957">
        <f>IFERROR(__xludf.DUMMYFUNCTION("""COMPUTED_VALUE"""),16.2)</f>
        <v>16.2</v>
      </c>
    </row>
    <row r="3958">
      <c r="D3958" t="str">
        <f>IFERROR(__xludf.DUMMYFUNCTION("""COMPUTED_VALUE"""),"Parker")</f>
        <v>Parker</v>
      </c>
      <c r="E3958" t="str">
        <f>IFERROR(__xludf.DUMMYFUNCTION("""COMPUTED_VALUE"""),"Ron")</f>
        <v>Ron</v>
      </c>
      <c r="F3958" t="str">
        <f>IFERROR(__xludf.DUMMYFUNCTION("""COMPUTED_VALUE"""),"FS")</f>
        <v>FS</v>
      </c>
      <c r="G3958">
        <f>IFERROR(__xludf.DUMMYFUNCTION("""COMPUTED_VALUE"""),17.0)</f>
        <v>17</v>
      </c>
    </row>
    <row r="3959">
      <c r="D3959" t="str">
        <f>IFERROR(__xludf.DUMMYFUNCTION("""COMPUTED_VALUE"""),"Parkey")</f>
        <v>Parkey</v>
      </c>
      <c r="E3959" t="str">
        <f>IFERROR(__xludf.DUMMYFUNCTION("""COMPUTED_VALUE"""),"Cody")</f>
        <v>Cody</v>
      </c>
      <c r="F3959" t="str">
        <f>IFERROR(__xludf.DUMMYFUNCTION("""COMPUTED_VALUE"""),"K")</f>
        <v>K</v>
      </c>
      <c r="G3959">
        <f>IFERROR(__xludf.DUMMYFUNCTION("""COMPUTED_VALUE"""),14.8)</f>
        <v>14.8</v>
      </c>
    </row>
    <row r="3960">
      <c r="D3960" t="str">
        <f>IFERROR(__xludf.DUMMYFUNCTION("""COMPUTED_VALUE"""),"Parks")</f>
        <v>Parks</v>
      </c>
      <c r="E3960" t="str">
        <f>IFERROR(__xludf.DUMMYFUNCTION("""COMPUTED_VALUE"""),"Will")</f>
        <v>Will</v>
      </c>
      <c r="F3960" t="str">
        <f>IFERROR(__xludf.DUMMYFUNCTION("""COMPUTED_VALUE"""),"SS")</f>
        <v>SS</v>
      </c>
      <c r="G3960">
        <f>IFERROR(__xludf.DUMMYFUNCTION("""COMPUTED_VALUE"""),13.8)</f>
        <v>13.8</v>
      </c>
    </row>
    <row r="3961">
      <c r="D3961" t="str">
        <f>IFERROR(__xludf.DUMMYFUNCTION("""COMPUTED_VALUE"""),"Parnell")</f>
        <v>Parnell</v>
      </c>
      <c r="E3961" t="str">
        <f>IFERROR(__xludf.DUMMYFUNCTION("""COMPUTED_VALUE"""),"Jermey")</f>
        <v>Jermey</v>
      </c>
      <c r="F3961" t="str">
        <f>IFERROR(__xludf.DUMMYFUNCTION("""COMPUTED_VALUE"""),"RT")</f>
        <v>RT</v>
      </c>
      <c r="G3961">
        <f>IFERROR(__xludf.DUMMYFUNCTION("""COMPUTED_VALUE"""),15.4)</f>
        <v>15.4</v>
      </c>
    </row>
    <row r="3962">
      <c r="D3962" t="str">
        <f>IFERROR(__xludf.DUMMYFUNCTION("""COMPUTED_VALUE"""),"Parry")</f>
        <v>Parry</v>
      </c>
      <c r="E3962" t="str">
        <f>IFERROR(__xludf.DUMMYFUNCTION("""COMPUTED_VALUE"""),"David")</f>
        <v>David</v>
      </c>
      <c r="F3962" t="str">
        <f>IFERROR(__xludf.DUMMYFUNCTION("""COMPUTED_VALUE"""),"DT")</f>
        <v>DT</v>
      </c>
      <c r="G3962">
        <f>IFERROR(__xludf.DUMMYFUNCTION("""COMPUTED_VALUE"""),14.0)</f>
        <v>14</v>
      </c>
    </row>
    <row r="3963">
      <c r="D3963" t="str">
        <f>IFERROR(__xludf.DUMMYFUNCTION("""COMPUTED_VALUE"""),"Patmon")</f>
        <v>Patmon</v>
      </c>
      <c r="E3963" t="str">
        <f>IFERROR(__xludf.DUMMYFUNCTION("""COMPUTED_VALUE"""),"Tyler")</f>
        <v>Tyler</v>
      </c>
      <c r="F3963" t="str">
        <f>IFERROR(__xludf.DUMMYFUNCTION("""COMPUTED_VALUE"""),"CB")</f>
        <v>CB</v>
      </c>
      <c r="G3963">
        <f>IFERROR(__xludf.DUMMYFUNCTION("""COMPUTED_VALUE"""),13.8)</f>
        <v>13.8</v>
      </c>
    </row>
    <row r="3964">
      <c r="D3964" t="str">
        <f>IFERROR(__xludf.DUMMYFUNCTION("""COMPUTED_VALUE"""),"Patrick")</f>
        <v>Patrick</v>
      </c>
      <c r="E3964" t="str">
        <f>IFERROR(__xludf.DUMMYFUNCTION("""COMPUTED_VALUE"""),"Ronald")</f>
        <v>Ronald</v>
      </c>
      <c r="F3964" t="str">
        <f>IFERROR(__xludf.DUMMYFUNCTION("""COMPUTED_VALUE"""),"C")</f>
        <v>C</v>
      </c>
      <c r="G3964">
        <f>IFERROR(__xludf.DUMMYFUNCTION("""COMPUTED_VALUE"""),12.4)</f>
        <v>12.4</v>
      </c>
    </row>
    <row r="3965">
      <c r="D3965" t="str">
        <f>IFERROR(__xludf.DUMMYFUNCTION("""COMPUTED_VALUE"""),"Patrick")</f>
        <v>Patrick</v>
      </c>
      <c r="E3965" t="str">
        <f>IFERROR(__xludf.DUMMYFUNCTION("""COMPUTED_VALUE"""),"Tim")</f>
        <v>Tim</v>
      </c>
      <c r="F3965" t="str">
        <f>IFERROR(__xludf.DUMMYFUNCTION("""COMPUTED_VALUE"""),"WR")</f>
        <v>WR</v>
      </c>
      <c r="G3965">
        <f>IFERROR(__xludf.DUMMYFUNCTION("""COMPUTED_VALUE"""),12.600000000000001)</f>
        <v>12.6</v>
      </c>
    </row>
    <row r="3966">
      <c r="D3966" t="str">
        <f>IFERROR(__xludf.DUMMYFUNCTION("""COMPUTED_VALUE"""),"Patterson")</f>
        <v>Patterson</v>
      </c>
      <c r="E3966" t="str">
        <f>IFERROR(__xludf.DUMMYFUNCTION("""COMPUTED_VALUE"""),"Cordarrelle")</f>
        <v>Cordarrelle</v>
      </c>
      <c r="F3966" t="str">
        <f>IFERROR(__xludf.DUMMYFUNCTION("""COMPUTED_VALUE"""),"WR")</f>
        <v>WR</v>
      </c>
      <c r="G3966">
        <f>IFERROR(__xludf.DUMMYFUNCTION("""COMPUTED_VALUE"""),15.600000000000001)</f>
        <v>15.6</v>
      </c>
    </row>
    <row r="3967">
      <c r="D3967" t="str">
        <f>IFERROR(__xludf.DUMMYFUNCTION("""COMPUTED_VALUE"""),"Paul")</f>
        <v>Paul</v>
      </c>
      <c r="E3967" t="str">
        <f>IFERROR(__xludf.DUMMYFUNCTION("""COMPUTED_VALUE"""),"Niles")</f>
        <v>Niles</v>
      </c>
      <c r="F3967" t="str">
        <f>IFERROR(__xludf.DUMMYFUNCTION("""COMPUTED_VALUE"""),"TE")</f>
        <v>TE</v>
      </c>
      <c r="G3967">
        <f>IFERROR(__xludf.DUMMYFUNCTION("""COMPUTED_VALUE"""),15.0)</f>
        <v>15</v>
      </c>
    </row>
    <row r="3968">
      <c r="D3968" t="str">
        <f>IFERROR(__xludf.DUMMYFUNCTION("""COMPUTED_VALUE"""),"Paulsen")</f>
        <v>Paulsen</v>
      </c>
      <c r="E3968" t="str">
        <f>IFERROR(__xludf.DUMMYFUNCTION("""COMPUTED_VALUE"""),"Logan")</f>
        <v>Logan</v>
      </c>
      <c r="F3968" t="str">
        <f>IFERROR(__xludf.DUMMYFUNCTION("""COMPUTED_VALUE"""),"TE")</f>
        <v>TE</v>
      </c>
      <c r="G3968">
        <f>IFERROR(__xludf.DUMMYFUNCTION("""COMPUTED_VALUE"""),14.0)</f>
        <v>14</v>
      </c>
    </row>
    <row r="3969">
      <c r="D3969" t="str">
        <f>IFERROR(__xludf.DUMMYFUNCTION("""COMPUTED_VALUE"""),"Payne")</f>
        <v>Payne</v>
      </c>
      <c r="E3969" t="str">
        <f>IFERROR(__xludf.DUMMYFUNCTION("""COMPUTED_VALUE"""),"Donald")</f>
        <v>Donald</v>
      </c>
      <c r="F3969" t="str">
        <f>IFERROR(__xludf.DUMMYFUNCTION("""COMPUTED_VALUE"""),"LOLB")</f>
        <v>LOLB</v>
      </c>
      <c r="G3969">
        <f>IFERROR(__xludf.DUMMYFUNCTION("""COMPUTED_VALUE"""),11.8)</f>
        <v>11.8</v>
      </c>
    </row>
    <row r="3970">
      <c r="D3970" t="str">
        <f>IFERROR(__xludf.DUMMYFUNCTION("""COMPUTED_VALUE"""),"Paysinger")</f>
        <v>Paysinger</v>
      </c>
      <c r="E3970" t="str">
        <f>IFERROR(__xludf.DUMMYFUNCTION("""COMPUTED_VALUE"""),"Spencer")</f>
        <v>Spencer</v>
      </c>
      <c r="F3970" t="str">
        <f>IFERROR(__xludf.DUMMYFUNCTION("""COMPUTED_VALUE"""),"MLB")</f>
        <v>MLB</v>
      </c>
      <c r="G3970">
        <f>IFERROR(__xludf.DUMMYFUNCTION("""COMPUTED_VALUE"""),14.600000000000001)</f>
        <v>14.6</v>
      </c>
    </row>
    <row r="3971">
      <c r="D3971" t="str">
        <f>IFERROR(__xludf.DUMMYFUNCTION("""COMPUTED_VALUE"""),"Payton")</f>
        <v>Payton</v>
      </c>
      <c r="E3971" t="str">
        <f>IFERROR(__xludf.DUMMYFUNCTION("""COMPUTED_VALUE"""),"Jordan")</f>
        <v>Jordan</v>
      </c>
      <c r="F3971" t="str">
        <f>IFERROR(__xludf.DUMMYFUNCTION("""COMPUTED_VALUE"""),"WR")</f>
        <v>WR</v>
      </c>
      <c r="G3971">
        <f>IFERROR(__xludf.DUMMYFUNCTION("""COMPUTED_VALUE"""),12.8)</f>
        <v>12.8</v>
      </c>
    </row>
    <row r="3972">
      <c r="D3972" t="str">
        <f>IFERROR(__xludf.DUMMYFUNCTION("""COMPUTED_VALUE"""),"Peake")</f>
        <v>Peake</v>
      </c>
      <c r="E3972" t="str">
        <f>IFERROR(__xludf.DUMMYFUNCTION("""COMPUTED_VALUE"""),"Charone")</f>
        <v>Charone</v>
      </c>
      <c r="F3972" t="str">
        <f>IFERROR(__xludf.DUMMYFUNCTION("""COMPUTED_VALUE"""),"WR")</f>
        <v>WR</v>
      </c>
      <c r="G3972">
        <f>IFERROR(__xludf.DUMMYFUNCTION("""COMPUTED_VALUE"""),13.200000000000001)</f>
        <v>13.2</v>
      </c>
    </row>
    <row r="3973">
      <c r="D3973" t="str">
        <f>IFERROR(__xludf.DUMMYFUNCTION("""COMPUTED_VALUE"""),"Peat")</f>
        <v>Peat</v>
      </c>
      <c r="E3973" t="str">
        <f>IFERROR(__xludf.DUMMYFUNCTION("""COMPUTED_VALUE"""),"Andrus")</f>
        <v>Andrus</v>
      </c>
      <c r="F3973" t="str">
        <f>IFERROR(__xludf.DUMMYFUNCTION("""COMPUTED_VALUE"""),"LG")</f>
        <v>LG</v>
      </c>
      <c r="G3973">
        <f>IFERROR(__xludf.DUMMYFUNCTION("""COMPUTED_VALUE"""),14.8)</f>
        <v>14.8</v>
      </c>
    </row>
    <row r="3974">
      <c r="D3974" t="str">
        <f>IFERROR(__xludf.DUMMYFUNCTION("""COMPUTED_VALUE"""),"Peck")</f>
        <v>Peck</v>
      </c>
      <c r="E3974" t="str">
        <f>IFERROR(__xludf.DUMMYFUNCTION("""COMPUTED_VALUE"""),"Aaron")</f>
        <v>Aaron</v>
      </c>
      <c r="F3974" t="str">
        <f>IFERROR(__xludf.DUMMYFUNCTION("""COMPUTED_VALUE"""),"TE")</f>
        <v>TE</v>
      </c>
      <c r="G3974">
        <f>IFERROR(__xludf.DUMMYFUNCTION("""COMPUTED_VALUE"""),13.200000000000001)</f>
        <v>13.2</v>
      </c>
    </row>
    <row r="3975">
      <c r="D3975" t="str">
        <f>IFERROR(__xludf.DUMMYFUNCTION("""COMPUTED_VALUE"""),"Peerman")</f>
        <v>Peerman</v>
      </c>
      <c r="E3975" t="str">
        <f>IFERROR(__xludf.DUMMYFUNCTION("""COMPUTED_VALUE"""),"Cedric")</f>
        <v>Cedric</v>
      </c>
      <c r="F3975" t="str">
        <f>IFERROR(__xludf.DUMMYFUNCTION("""COMPUTED_VALUE"""),"HB")</f>
        <v>HB</v>
      </c>
      <c r="G3975">
        <f>IFERROR(__xludf.DUMMYFUNCTION("""COMPUTED_VALUE"""),14.200000000000001)</f>
        <v>14.2</v>
      </c>
    </row>
    <row r="3976">
      <c r="D3976" t="str">
        <f>IFERROR(__xludf.DUMMYFUNCTION("""COMPUTED_VALUE"""),"Peko")</f>
        <v>Peko</v>
      </c>
      <c r="E3976" t="str">
        <f>IFERROR(__xludf.DUMMYFUNCTION("""COMPUTED_VALUE"""),"Domata")</f>
        <v>Domata</v>
      </c>
      <c r="F3976" t="str">
        <f>IFERROR(__xludf.DUMMYFUNCTION("""COMPUTED_VALUE"""),"DT")</f>
        <v>DT</v>
      </c>
      <c r="G3976">
        <f>IFERROR(__xludf.DUMMYFUNCTION("""COMPUTED_VALUE"""),14.8)</f>
        <v>14.8</v>
      </c>
    </row>
    <row r="3977">
      <c r="D3977" t="str">
        <f>IFERROR(__xludf.DUMMYFUNCTION("""COMPUTED_VALUE"""),"Peko")</f>
        <v>Peko</v>
      </c>
      <c r="E3977" t="str">
        <f>IFERROR(__xludf.DUMMYFUNCTION("""COMPUTED_VALUE"""),"Kyle")</f>
        <v>Kyle</v>
      </c>
      <c r="F3977" t="str">
        <f>IFERROR(__xludf.DUMMYFUNCTION("""COMPUTED_VALUE"""),"DT")</f>
        <v>DT</v>
      </c>
      <c r="G3977">
        <f>IFERROR(__xludf.DUMMYFUNCTION("""COMPUTED_VALUE"""),12.8)</f>
        <v>12.8</v>
      </c>
    </row>
    <row r="3978">
      <c r="D3978" t="str">
        <f>IFERROR(__xludf.DUMMYFUNCTION("""COMPUTED_VALUE"""),"Penn")</f>
        <v>Penn</v>
      </c>
      <c r="E3978" t="str">
        <f>IFERROR(__xludf.DUMMYFUNCTION("""COMPUTED_VALUE"""),"Donald")</f>
        <v>Donald</v>
      </c>
      <c r="F3978" t="str">
        <f>IFERROR(__xludf.DUMMYFUNCTION("""COMPUTED_VALUE"""),"LT")</f>
        <v>LT</v>
      </c>
      <c r="G3978">
        <f>IFERROR(__xludf.DUMMYFUNCTION("""COMPUTED_VALUE"""),17.8)</f>
        <v>17.8</v>
      </c>
    </row>
    <row r="3979">
      <c r="D3979" t="str">
        <f>IFERROR(__xludf.DUMMYFUNCTION("""COMPUTED_VALUE"""),"Pennel")</f>
        <v>Pennel</v>
      </c>
      <c r="E3979" t="str">
        <f>IFERROR(__xludf.DUMMYFUNCTION("""COMPUTED_VALUE"""),"Mike")</f>
        <v>Mike</v>
      </c>
      <c r="F3979" t="str">
        <f>IFERROR(__xludf.DUMMYFUNCTION("""COMPUTED_VALUE"""),"RE")</f>
        <v>RE</v>
      </c>
      <c r="G3979">
        <f>IFERROR(__xludf.DUMMYFUNCTION("""COMPUTED_VALUE"""),13.4)</f>
        <v>13.4</v>
      </c>
    </row>
    <row r="3980">
      <c r="D3980" t="str">
        <f>IFERROR(__xludf.DUMMYFUNCTION("""COMPUTED_VALUE"""),"Penton")</f>
        <v>Penton</v>
      </c>
      <c r="E3980" t="str">
        <f>IFERROR(__xludf.DUMMYFUNCTION("""COMPUTED_VALUE"""),"Aarion")</f>
        <v>Aarion</v>
      </c>
      <c r="F3980" t="str">
        <f>IFERROR(__xludf.DUMMYFUNCTION("""COMPUTED_VALUE"""),"CB")</f>
        <v>CB</v>
      </c>
      <c r="G3980">
        <f>IFERROR(__xludf.DUMMYFUNCTION("""COMPUTED_VALUE"""),12.200000000000001)</f>
        <v>12.2</v>
      </c>
    </row>
    <row r="3981">
      <c r="D3981" t="str">
        <f>IFERROR(__xludf.DUMMYFUNCTION("""COMPUTED_VALUE"""),"Peppers")</f>
        <v>Peppers</v>
      </c>
      <c r="E3981" t="str">
        <f>IFERROR(__xludf.DUMMYFUNCTION("""COMPUTED_VALUE"""),"Jabrill")</f>
        <v>Jabrill</v>
      </c>
      <c r="F3981" t="str">
        <f>IFERROR(__xludf.DUMMYFUNCTION("""COMPUTED_VALUE"""),"SS")</f>
        <v>SS</v>
      </c>
      <c r="G3981">
        <f>IFERROR(__xludf.DUMMYFUNCTION("""COMPUTED_VALUE"""),15.200000000000001)</f>
        <v>15.2</v>
      </c>
    </row>
    <row r="3982">
      <c r="D3982" t="str">
        <f>IFERROR(__xludf.DUMMYFUNCTION("""COMPUTED_VALUE"""),"Peppers")</f>
        <v>Peppers</v>
      </c>
      <c r="E3982" t="str">
        <f>IFERROR(__xludf.DUMMYFUNCTION("""COMPUTED_VALUE"""),"Julius")</f>
        <v>Julius</v>
      </c>
      <c r="F3982" t="str">
        <f>IFERROR(__xludf.DUMMYFUNCTION("""COMPUTED_VALUE"""),"RE")</f>
        <v>RE</v>
      </c>
      <c r="G3982">
        <f>IFERROR(__xludf.DUMMYFUNCTION("""COMPUTED_VALUE"""),16.6)</f>
        <v>16.6</v>
      </c>
    </row>
    <row r="3983">
      <c r="D3983" t="str">
        <f>IFERROR(__xludf.DUMMYFUNCTION("""COMPUTED_VALUE"""),"Perine")</f>
        <v>Perine</v>
      </c>
      <c r="E3983" t="str">
        <f>IFERROR(__xludf.DUMMYFUNCTION("""COMPUTED_VALUE"""),"Samaje")</f>
        <v>Samaje</v>
      </c>
      <c r="F3983" t="str">
        <f>IFERROR(__xludf.DUMMYFUNCTION("""COMPUTED_VALUE"""),"HB")</f>
        <v>HB</v>
      </c>
      <c r="G3983">
        <f>IFERROR(__xludf.DUMMYFUNCTION("""COMPUTED_VALUE"""),14.4)</f>
        <v>14.4</v>
      </c>
    </row>
    <row r="3984">
      <c r="D3984" t="str">
        <f>IFERROR(__xludf.DUMMYFUNCTION("""COMPUTED_VALUE"""),"Perkins")</f>
        <v>Perkins</v>
      </c>
      <c r="E3984" t="str">
        <f>IFERROR(__xludf.DUMMYFUNCTION("""COMPUTED_VALUE"""),"Joshua")</f>
        <v>Joshua</v>
      </c>
      <c r="F3984" t="str">
        <f>IFERROR(__xludf.DUMMYFUNCTION("""COMPUTED_VALUE"""),"TE")</f>
        <v>TE</v>
      </c>
      <c r="G3984">
        <f>IFERROR(__xludf.DUMMYFUNCTION("""COMPUTED_VALUE"""),12.8)</f>
        <v>12.8</v>
      </c>
    </row>
    <row r="3985">
      <c r="D3985" t="str">
        <f>IFERROR(__xludf.DUMMYFUNCTION("""COMPUTED_VALUE"""),"Perkins")</f>
        <v>Perkins</v>
      </c>
      <c r="E3985" t="str">
        <f>IFERROR(__xludf.DUMMYFUNCTION("""COMPUTED_VALUE"""),"Paul")</f>
        <v>Paul</v>
      </c>
      <c r="F3985" t="str">
        <f>IFERROR(__xludf.DUMMYFUNCTION("""COMPUTED_VALUE"""),"HB")</f>
        <v>HB</v>
      </c>
      <c r="G3985">
        <f>IFERROR(__xludf.DUMMYFUNCTION("""COMPUTED_VALUE"""),15.4)</f>
        <v>15.4</v>
      </c>
    </row>
    <row r="3986">
      <c r="D3986" t="str">
        <f>IFERROR(__xludf.DUMMYFUNCTION("""COMPUTED_VALUE"""),"Perriman")</f>
        <v>Perriman</v>
      </c>
      <c r="E3986" t="str">
        <f>IFERROR(__xludf.DUMMYFUNCTION("""COMPUTED_VALUE"""),"Breshad")</f>
        <v>Breshad</v>
      </c>
      <c r="F3986" t="str">
        <f>IFERROR(__xludf.DUMMYFUNCTION("""COMPUTED_VALUE"""),"WR")</f>
        <v>WR</v>
      </c>
      <c r="G3986">
        <f>IFERROR(__xludf.DUMMYFUNCTION("""COMPUTED_VALUE"""),14.8)</f>
        <v>14.8</v>
      </c>
    </row>
    <row r="3987">
      <c r="D3987" t="str">
        <f>IFERROR(__xludf.DUMMYFUNCTION("""COMPUTED_VALUE"""),"Perry")</f>
        <v>Perry</v>
      </c>
      <c r="E3987" t="str">
        <f>IFERROR(__xludf.DUMMYFUNCTION("""COMPUTED_VALUE"""),"Joshua")</f>
        <v>Joshua</v>
      </c>
      <c r="F3987" t="str">
        <f>IFERROR(__xludf.DUMMYFUNCTION("""COMPUTED_VALUE"""),"ROLB")</f>
        <v>ROLB</v>
      </c>
      <c r="G3987">
        <f>IFERROR(__xludf.DUMMYFUNCTION("""COMPUTED_VALUE"""),13.600000000000001)</f>
        <v>13.6</v>
      </c>
    </row>
    <row r="3988">
      <c r="D3988" t="str">
        <f>IFERROR(__xludf.DUMMYFUNCTION("""COMPUTED_VALUE"""),"Perry")</f>
        <v>Perry</v>
      </c>
      <c r="E3988" t="str">
        <f>IFERROR(__xludf.DUMMYFUNCTION("""COMPUTED_VALUE"""),"Nick")</f>
        <v>Nick</v>
      </c>
      <c r="F3988" t="str">
        <f>IFERROR(__xludf.DUMMYFUNCTION("""COMPUTED_VALUE"""),"LOLB")</f>
        <v>LOLB</v>
      </c>
      <c r="G3988">
        <f>IFERROR(__xludf.DUMMYFUNCTION("""COMPUTED_VALUE"""),16.8)</f>
        <v>16.8</v>
      </c>
    </row>
    <row r="3989">
      <c r="D3989" t="str">
        <f>IFERROR(__xludf.DUMMYFUNCTION("""COMPUTED_VALUE"""),"Perry")</f>
        <v>Perry</v>
      </c>
      <c r="E3989" t="str">
        <f>IFERROR(__xludf.DUMMYFUNCTION("""COMPUTED_VALUE"""),"Senorise")</f>
        <v>Senorise</v>
      </c>
      <c r="F3989" t="str">
        <f>IFERROR(__xludf.DUMMYFUNCTION("""COMPUTED_VALUE"""),"HB")</f>
        <v>HB</v>
      </c>
      <c r="G3989">
        <f>IFERROR(__xludf.DUMMYFUNCTION("""COMPUTED_VALUE"""),12.4)</f>
        <v>12.4</v>
      </c>
    </row>
    <row r="3990">
      <c r="D3990" t="str">
        <f>IFERROR(__xludf.DUMMYFUNCTION("""COMPUTED_VALUE"""),"Perryman")</f>
        <v>Perryman</v>
      </c>
      <c r="E3990" t="str">
        <f>IFERROR(__xludf.DUMMYFUNCTION("""COMPUTED_VALUE"""),"Denzel")</f>
        <v>Denzel</v>
      </c>
      <c r="F3990" t="str">
        <f>IFERROR(__xludf.DUMMYFUNCTION("""COMPUTED_VALUE"""),"MLB")</f>
        <v>MLB</v>
      </c>
      <c r="G3990">
        <f>IFERROR(__xludf.DUMMYFUNCTION("""COMPUTED_VALUE"""),15.200000000000001)</f>
        <v>15.2</v>
      </c>
    </row>
    <row r="3991">
      <c r="D3991" t="str">
        <f>IFERROR(__xludf.DUMMYFUNCTION("""COMPUTED_VALUE"""),"Person")</f>
        <v>Person</v>
      </c>
      <c r="E3991" t="str">
        <f>IFERROR(__xludf.DUMMYFUNCTION("""COMPUTED_VALUE"""),"Mike")</f>
        <v>Mike</v>
      </c>
      <c r="F3991" t="str">
        <f>IFERROR(__xludf.DUMMYFUNCTION("""COMPUTED_VALUE"""),"LG")</f>
        <v>LG</v>
      </c>
      <c r="G3991">
        <f>IFERROR(__xludf.DUMMYFUNCTION("""COMPUTED_VALUE"""),13.8)</f>
        <v>13.8</v>
      </c>
    </row>
    <row r="3992">
      <c r="D3992" t="str">
        <f>IFERROR(__xludf.DUMMYFUNCTION("""COMPUTED_VALUE"""),"Peterman")</f>
        <v>Peterman</v>
      </c>
      <c r="E3992" t="str">
        <f>IFERROR(__xludf.DUMMYFUNCTION("""COMPUTED_VALUE"""),"Nathan")</f>
        <v>Nathan</v>
      </c>
      <c r="F3992" t="str">
        <f>IFERROR(__xludf.DUMMYFUNCTION("""COMPUTED_VALUE"""),"QB")</f>
        <v>QB</v>
      </c>
      <c r="G3992">
        <f>IFERROR(__xludf.DUMMYFUNCTION("""COMPUTED_VALUE"""),14.4)</f>
        <v>14.4</v>
      </c>
    </row>
    <row r="3993">
      <c r="D3993" t="str">
        <f>IFERROR(__xludf.DUMMYFUNCTION("""COMPUTED_VALUE"""),"Peters")</f>
        <v>Peters</v>
      </c>
      <c r="E3993" t="str">
        <f>IFERROR(__xludf.DUMMYFUNCTION("""COMPUTED_VALUE"""),"Brian")</f>
        <v>Brian</v>
      </c>
      <c r="F3993" t="str">
        <f>IFERROR(__xludf.DUMMYFUNCTION("""COMPUTED_VALUE"""),"MLB")</f>
        <v>MLB</v>
      </c>
      <c r="G3993">
        <f>IFERROR(__xludf.DUMMYFUNCTION("""COMPUTED_VALUE"""),12.200000000000001)</f>
        <v>12.2</v>
      </c>
    </row>
    <row r="3994">
      <c r="D3994" t="str">
        <f>IFERROR(__xludf.DUMMYFUNCTION("""COMPUTED_VALUE"""),"Peters")</f>
        <v>Peters</v>
      </c>
      <c r="E3994" t="str">
        <f>IFERROR(__xludf.DUMMYFUNCTION("""COMPUTED_VALUE"""),"Corey")</f>
        <v>Corey</v>
      </c>
      <c r="F3994" t="str">
        <f>IFERROR(__xludf.DUMMYFUNCTION("""COMPUTED_VALUE"""),"DT")</f>
        <v>DT</v>
      </c>
      <c r="G3994">
        <f>IFERROR(__xludf.DUMMYFUNCTION("""COMPUTED_VALUE"""),14.8)</f>
        <v>14.8</v>
      </c>
    </row>
    <row r="3995">
      <c r="D3995" t="str">
        <f>IFERROR(__xludf.DUMMYFUNCTION("""COMPUTED_VALUE"""),"Peters")</f>
        <v>Peters</v>
      </c>
      <c r="E3995" t="str">
        <f>IFERROR(__xludf.DUMMYFUNCTION("""COMPUTED_VALUE"""),"Jason")</f>
        <v>Jason</v>
      </c>
      <c r="F3995" t="str">
        <f>IFERROR(__xludf.DUMMYFUNCTION("""COMPUTED_VALUE"""),"LT")</f>
        <v>LT</v>
      </c>
      <c r="G3995">
        <f>IFERROR(__xludf.DUMMYFUNCTION("""COMPUTED_VALUE"""),17.400000000000002)</f>
        <v>17.4</v>
      </c>
    </row>
    <row r="3996">
      <c r="D3996" t="str">
        <f>IFERROR(__xludf.DUMMYFUNCTION("""COMPUTED_VALUE"""),"Peters")</f>
        <v>Peters</v>
      </c>
      <c r="E3996" t="str">
        <f>IFERROR(__xludf.DUMMYFUNCTION("""COMPUTED_VALUE"""),"Marcus")</f>
        <v>Marcus</v>
      </c>
      <c r="F3996" t="str">
        <f>IFERROR(__xludf.DUMMYFUNCTION("""COMPUTED_VALUE"""),"CB")</f>
        <v>CB</v>
      </c>
      <c r="G3996">
        <f>IFERROR(__xludf.DUMMYFUNCTION("""COMPUTED_VALUE"""),17.6)</f>
        <v>17.6</v>
      </c>
    </row>
    <row r="3997">
      <c r="D3997" t="str">
        <f>IFERROR(__xludf.DUMMYFUNCTION("""COMPUTED_VALUE"""),"Peterson")</f>
        <v>Peterson</v>
      </c>
      <c r="E3997" t="str">
        <f>IFERROR(__xludf.DUMMYFUNCTION("""COMPUTED_VALUE"""),"Adrian")</f>
        <v>Adrian</v>
      </c>
      <c r="F3997" t="str">
        <f>IFERROR(__xludf.DUMMYFUNCTION("""COMPUTED_VALUE"""),"HB")</f>
        <v>HB</v>
      </c>
      <c r="G3997">
        <f>IFERROR(__xludf.DUMMYFUNCTION("""COMPUTED_VALUE"""),16.8)</f>
        <v>16.8</v>
      </c>
    </row>
    <row r="3998">
      <c r="D3998" t="str">
        <f>IFERROR(__xludf.DUMMYFUNCTION("""COMPUTED_VALUE"""),"Peterson")</f>
        <v>Peterson</v>
      </c>
      <c r="E3998" t="str">
        <f>IFERROR(__xludf.DUMMYFUNCTION("""COMPUTED_VALUE"""),"Patrick")</f>
        <v>Patrick</v>
      </c>
      <c r="F3998" t="str">
        <f>IFERROR(__xludf.DUMMYFUNCTION("""COMPUTED_VALUE"""),"CB")</f>
        <v>CB</v>
      </c>
      <c r="G3998">
        <f>IFERROR(__xludf.DUMMYFUNCTION("""COMPUTED_VALUE"""),18.2)</f>
        <v>18.2</v>
      </c>
    </row>
    <row r="3999">
      <c r="D3999" t="str">
        <f>IFERROR(__xludf.DUMMYFUNCTION("""COMPUTED_VALUE"""),"Petty")</f>
        <v>Petty</v>
      </c>
      <c r="E3999" t="str">
        <f>IFERROR(__xludf.DUMMYFUNCTION("""COMPUTED_VALUE"""),"Bryce")</f>
        <v>Bryce</v>
      </c>
      <c r="F3999" t="str">
        <f>IFERROR(__xludf.DUMMYFUNCTION("""COMPUTED_VALUE"""),"QB")</f>
        <v>QB</v>
      </c>
      <c r="G3999">
        <f>IFERROR(__xludf.DUMMYFUNCTION("""COMPUTED_VALUE"""),13.8)</f>
        <v>13.8</v>
      </c>
    </row>
    <row r="4000">
      <c r="D4000" t="str">
        <f>IFERROR(__xludf.DUMMYFUNCTION("""COMPUTED_VALUE"""),"Phillips")</f>
        <v>Phillips</v>
      </c>
      <c r="E4000" t="str">
        <f>IFERROR(__xludf.DUMMYFUNCTION("""COMPUTED_VALUE"""),"Adrian")</f>
        <v>Adrian</v>
      </c>
      <c r="F4000" t="str">
        <f>IFERROR(__xludf.DUMMYFUNCTION("""COMPUTED_VALUE"""),"FS")</f>
        <v>FS</v>
      </c>
      <c r="G4000">
        <f>IFERROR(__xludf.DUMMYFUNCTION("""COMPUTED_VALUE"""),13.4)</f>
        <v>13.4</v>
      </c>
    </row>
    <row r="4001">
      <c r="D4001" t="str">
        <f>IFERROR(__xludf.DUMMYFUNCTION("""COMPUTED_VALUE"""),"Phillips")</f>
        <v>Phillips</v>
      </c>
      <c r="E4001" t="str">
        <f>IFERROR(__xludf.DUMMYFUNCTION("""COMPUTED_VALUE"""),"Carroll")</f>
        <v>Carroll</v>
      </c>
      <c r="F4001" t="str">
        <f>IFERROR(__xludf.DUMMYFUNCTION("""COMPUTED_VALUE"""),"LE")</f>
        <v>LE</v>
      </c>
      <c r="G4001">
        <f>IFERROR(__xludf.DUMMYFUNCTION("""COMPUTED_VALUE"""),12.0)</f>
        <v>12</v>
      </c>
    </row>
    <row r="4002">
      <c r="D4002" t="str">
        <f>IFERROR(__xludf.DUMMYFUNCTION("""COMPUTED_VALUE"""),"Phillips")</f>
        <v>Phillips</v>
      </c>
      <c r="E4002" t="str">
        <f>IFERROR(__xludf.DUMMYFUNCTION("""COMPUTED_VALUE"""),"Dashaun")</f>
        <v>Dashaun</v>
      </c>
      <c r="F4002" t="str">
        <f>IFERROR(__xludf.DUMMYFUNCTION("""COMPUTED_VALUE"""),"CB")</f>
        <v>CB</v>
      </c>
      <c r="G4002">
        <f>IFERROR(__xludf.DUMMYFUNCTION("""COMPUTED_VALUE"""),13.4)</f>
        <v>13.4</v>
      </c>
    </row>
    <row r="4003">
      <c r="D4003" t="str">
        <f>IFERROR(__xludf.DUMMYFUNCTION("""COMPUTED_VALUE"""),"Phillips")</f>
        <v>Phillips</v>
      </c>
      <c r="E4003" t="str">
        <f>IFERROR(__xludf.DUMMYFUNCTION("""COMPUTED_VALUE"""),"John")</f>
        <v>John</v>
      </c>
      <c r="F4003" t="str">
        <f>IFERROR(__xludf.DUMMYFUNCTION("""COMPUTED_VALUE"""),"TE")</f>
        <v>TE</v>
      </c>
      <c r="G4003">
        <f>IFERROR(__xludf.DUMMYFUNCTION("""COMPUTED_VALUE"""),14.200000000000001)</f>
        <v>14.2</v>
      </c>
    </row>
    <row r="4004">
      <c r="D4004" t="str">
        <f>IFERROR(__xludf.DUMMYFUNCTION("""COMPUTED_VALUE"""),"Phillips")</f>
        <v>Phillips</v>
      </c>
      <c r="E4004" t="str">
        <f>IFERROR(__xludf.DUMMYFUNCTION("""COMPUTED_VALUE"""),"Jordan")</f>
        <v>Jordan</v>
      </c>
      <c r="F4004" t="str">
        <f>IFERROR(__xludf.DUMMYFUNCTION("""COMPUTED_VALUE"""),"DT")</f>
        <v>DT</v>
      </c>
      <c r="G4004">
        <f>IFERROR(__xludf.DUMMYFUNCTION("""COMPUTED_VALUE"""),15.200000000000001)</f>
        <v>15.2</v>
      </c>
    </row>
    <row r="4005">
      <c r="D4005" t="str">
        <f>IFERROR(__xludf.DUMMYFUNCTION("""COMPUTED_VALUE"""),"Philon")</f>
        <v>Philon</v>
      </c>
      <c r="E4005" t="str">
        <f>IFERROR(__xludf.DUMMYFUNCTION("""COMPUTED_VALUE"""),"Darius")</f>
        <v>Darius</v>
      </c>
      <c r="F4005" t="str">
        <f>IFERROR(__xludf.DUMMYFUNCTION("""COMPUTED_VALUE"""),"LE")</f>
        <v>LE</v>
      </c>
      <c r="G4005">
        <f>IFERROR(__xludf.DUMMYFUNCTION("""COMPUTED_VALUE"""),13.200000000000001)</f>
        <v>13.2</v>
      </c>
    </row>
    <row r="4006">
      <c r="D4006" t="str">
        <f>IFERROR(__xludf.DUMMYFUNCTION("""COMPUTED_VALUE"""),"Pierce")</f>
        <v>Pierce</v>
      </c>
      <c r="E4006" t="str">
        <f>IFERROR(__xludf.DUMMYFUNCTION("""COMPUTED_VALUE"""),"Bernard")</f>
        <v>Bernard</v>
      </c>
      <c r="F4006" t="str">
        <f>IFERROR(__xludf.DUMMYFUNCTION("""COMPUTED_VALUE"""),"HB")</f>
        <v>HB</v>
      </c>
      <c r="G4006">
        <f>IFERROR(__xludf.DUMMYFUNCTION("""COMPUTED_VALUE"""),13.8)</f>
        <v>13.8</v>
      </c>
    </row>
    <row r="4007">
      <c r="D4007" t="str">
        <f>IFERROR(__xludf.DUMMYFUNCTION("""COMPUTED_VALUE"""),"Pierce")</f>
        <v>Pierce</v>
      </c>
      <c r="E4007" t="str">
        <f>IFERROR(__xludf.DUMMYFUNCTION("""COMPUTED_VALUE"""),"Michael")</f>
        <v>Michael</v>
      </c>
      <c r="F4007" t="str">
        <f>IFERROR(__xludf.DUMMYFUNCTION("""COMPUTED_VALUE"""),"DT")</f>
        <v>DT</v>
      </c>
      <c r="G4007">
        <f>IFERROR(__xludf.DUMMYFUNCTION("""COMPUTED_VALUE"""),15.8)</f>
        <v>15.8</v>
      </c>
    </row>
    <row r="4008">
      <c r="D4008" t="str">
        <f>IFERROR(__xludf.DUMMYFUNCTION("""COMPUTED_VALUE"""),"Pierre")</f>
        <v>Pierre</v>
      </c>
      <c r="E4008" t="str">
        <f>IFERROR(__xludf.DUMMYFUNCTION("""COMPUTED_VALUE"""),"Olsen")</f>
        <v>Olsen</v>
      </c>
      <c r="F4008" t="str">
        <f>IFERROR(__xludf.DUMMYFUNCTION("""COMPUTED_VALUE"""),"DT")</f>
        <v>DT</v>
      </c>
      <c r="G4008">
        <f>IFERROR(__xludf.DUMMYFUNCTION("""COMPUTED_VALUE"""),11.8)</f>
        <v>11.8</v>
      </c>
    </row>
    <row r="4009">
      <c r="D4009" t="str">
        <f>IFERROR(__xludf.DUMMYFUNCTION("""COMPUTED_VALUE"""),"Pierre-Louis")</f>
        <v>Pierre-Louis</v>
      </c>
      <c r="E4009" t="str">
        <f>IFERROR(__xludf.DUMMYFUNCTION("""COMPUTED_VALUE"""),"Kevin")</f>
        <v>Kevin</v>
      </c>
      <c r="F4009" t="str">
        <f>IFERROR(__xludf.DUMMYFUNCTION("""COMPUTED_VALUE"""),"ROLB")</f>
        <v>ROLB</v>
      </c>
      <c r="G4009">
        <f>IFERROR(__xludf.DUMMYFUNCTION("""COMPUTED_VALUE"""),14.0)</f>
        <v>14</v>
      </c>
    </row>
    <row r="4010">
      <c r="D4010" t="str">
        <f>IFERROR(__xludf.DUMMYFUNCTION("""COMPUTED_VALUE"""),"Pierre-Paul")</f>
        <v>Pierre-Paul</v>
      </c>
      <c r="E4010" t="str">
        <f>IFERROR(__xludf.DUMMYFUNCTION("""COMPUTED_VALUE"""),"Jason")</f>
        <v>Jason</v>
      </c>
      <c r="F4010" t="str">
        <f>IFERROR(__xludf.DUMMYFUNCTION("""COMPUTED_VALUE"""),"LE")</f>
        <v>LE</v>
      </c>
      <c r="G4010">
        <f>IFERROR(__xludf.DUMMYFUNCTION("""COMPUTED_VALUE"""),17.6)</f>
        <v>17.6</v>
      </c>
    </row>
    <row r="4011">
      <c r="D4011" t="str">
        <f>IFERROR(__xludf.DUMMYFUNCTION("""COMPUTED_VALUE"""),"Pinion")</f>
        <v>Pinion</v>
      </c>
      <c r="E4011" t="str">
        <f>IFERROR(__xludf.DUMMYFUNCTION("""COMPUTED_VALUE"""),"Bradley")</f>
        <v>Bradley</v>
      </c>
      <c r="F4011" t="str">
        <f>IFERROR(__xludf.DUMMYFUNCTION("""COMPUTED_VALUE"""),"P")</f>
        <v>P</v>
      </c>
      <c r="G4011">
        <f>IFERROR(__xludf.DUMMYFUNCTION("""COMPUTED_VALUE"""),14.600000000000001)</f>
        <v>14.6</v>
      </c>
    </row>
    <row r="4012">
      <c r="D4012" t="str">
        <f>IFERROR(__xludf.DUMMYFUNCTION("""COMPUTED_VALUE"""),"Pinkins")</f>
        <v>Pinkins</v>
      </c>
      <c r="E4012" t="str">
        <f>IFERROR(__xludf.DUMMYFUNCTION("""COMPUTED_VALUE"""),"Eric")</f>
        <v>Eric</v>
      </c>
      <c r="F4012" t="str">
        <f>IFERROR(__xludf.DUMMYFUNCTION("""COMPUTED_VALUE"""),"ROLB")</f>
        <v>ROLB</v>
      </c>
      <c r="G4012">
        <f>IFERROR(__xludf.DUMMYFUNCTION("""COMPUTED_VALUE"""),11.600000000000001)</f>
        <v>11.6</v>
      </c>
    </row>
    <row r="4013">
      <c r="D4013" t="str">
        <f>IFERROR(__xludf.DUMMYFUNCTION("""COMPUTED_VALUE"""),"Pitts")</f>
        <v>Pitts</v>
      </c>
      <c r="E4013" t="str">
        <f>IFERROR(__xludf.DUMMYFUNCTION("""COMPUTED_VALUE"""),"Lafayette")</f>
        <v>Lafayette</v>
      </c>
      <c r="F4013" t="str">
        <f>IFERROR(__xludf.DUMMYFUNCTION("""COMPUTED_VALUE"""),"CB")</f>
        <v>CB</v>
      </c>
      <c r="G4013">
        <f>IFERROR(__xludf.DUMMYFUNCTION("""COMPUTED_VALUE"""),12.4)</f>
        <v>12.4</v>
      </c>
    </row>
    <row r="4014">
      <c r="D4014" t="str">
        <f>IFERROR(__xludf.DUMMYFUNCTION("""COMPUTED_VALUE"""),"Pleasant")</f>
        <v>Pleasant</v>
      </c>
      <c r="E4014" t="str">
        <f>IFERROR(__xludf.DUMMYFUNCTION("""COMPUTED_VALUE"""),"Eddie")</f>
        <v>Eddie</v>
      </c>
      <c r="F4014" t="str">
        <f>IFERROR(__xludf.DUMMYFUNCTION("""COMPUTED_VALUE"""),"SS")</f>
        <v>SS</v>
      </c>
      <c r="G4014">
        <f>IFERROR(__xludf.DUMMYFUNCTION("""COMPUTED_VALUE"""),14.8)</f>
        <v>14.8</v>
      </c>
    </row>
    <row r="4015">
      <c r="D4015" t="str">
        <f>IFERROR(__xludf.DUMMYFUNCTION("""COMPUTED_VALUE"""),"Pocic")</f>
        <v>Pocic</v>
      </c>
      <c r="E4015" t="str">
        <f>IFERROR(__xludf.DUMMYFUNCTION("""COMPUTED_VALUE"""),"Ethan")</f>
        <v>Ethan</v>
      </c>
      <c r="F4015" t="str">
        <f>IFERROR(__xludf.DUMMYFUNCTION("""COMPUTED_VALUE"""),"RT")</f>
        <v>RT</v>
      </c>
      <c r="G4015">
        <f>IFERROR(__xludf.DUMMYFUNCTION("""COMPUTED_VALUE"""),15.0)</f>
        <v>15</v>
      </c>
    </row>
    <row r="4016">
      <c r="D4016" t="str">
        <f>IFERROR(__xludf.DUMMYFUNCTION("""COMPUTED_VALUE"""),"Poe")</f>
        <v>Poe</v>
      </c>
      <c r="E4016" t="str">
        <f>IFERROR(__xludf.DUMMYFUNCTION("""COMPUTED_VALUE"""),"Dontari")</f>
        <v>Dontari</v>
      </c>
      <c r="F4016" t="str">
        <f>IFERROR(__xludf.DUMMYFUNCTION("""COMPUTED_VALUE"""),"DT")</f>
        <v>DT</v>
      </c>
      <c r="G4016">
        <f>IFERROR(__xludf.DUMMYFUNCTION("""COMPUTED_VALUE"""),15.8)</f>
        <v>15.8</v>
      </c>
    </row>
    <row r="4017">
      <c r="D4017" t="str">
        <f>IFERROR(__xludf.DUMMYFUNCTION("""COMPUTED_VALUE"""),"Poole")</f>
        <v>Poole</v>
      </c>
      <c r="E4017" t="str">
        <f>IFERROR(__xludf.DUMMYFUNCTION("""COMPUTED_VALUE"""),"Brian")</f>
        <v>Brian</v>
      </c>
      <c r="F4017" t="str">
        <f>IFERROR(__xludf.DUMMYFUNCTION("""COMPUTED_VALUE"""),"CB")</f>
        <v>CB</v>
      </c>
      <c r="G4017">
        <f>IFERROR(__xludf.DUMMYFUNCTION("""COMPUTED_VALUE"""),15.200000000000001)</f>
        <v>15.2</v>
      </c>
    </row>
    <row r="4018">
      <c r="D4018" t="str">
        <f>IFERROR(__xludf.DUMMYFUNCTION("""COMPUTED_VALUE"""),"Poole")</f>
        <v>Poole</v>
      </c>
      <c r="E4018" t="str">
        <f>IFERROR(__xludf.DUMMYFUNCTION("""COMPUTED_VALUE"""),"Terry")</f>
        <v>Terry</v>
      </c>
      <c r="F4018" t="str">
        <f>IFERROR(__xludf.DUMMYFUNCTION("""COMPUTED_VALUE"""),"LT")</f>
        <v>LT</v>
      </c>
      <c r="G4018">
        <f>IFERROR(__xludf.DUMMYFUNCTION("""COMPUTED_VALUE"""),13.0)</f>
        <v>13</v>
      </c>
    </row>
    <row r="4019">
      <c r="D4019" t="str">
        <f>IFERROR(__xludf.DUMMYFUNCTION("""COMPUTED_VALUE"""),"Pope")</f>
        <v>Pope</v>
      </c>
      <c r="E4019" t="str">
        <f>IFERROR(__xludf.DUMMYFUNCTION("""COMPUTED_VALUE"""),"Troymaine")</f>
        <v>Troymaine</v>
      </c>
      <c r="F4019" t="str">
        <f>IFERROR(__xludf.DUMMYFUNCTION("""COMPUTED_VALUE"""),"HB")</f>
        <v>HB</v>
      </c>
      <c r="G4019">
        <f>IFERROR(__xludf.DUMMYFUNCTION("""COMPUTED_VALUE"""),13.0)</f>
        <v>13</v>
      </c>
    </row>
    <row r="4020">
      <c r="D4020" t="str">
        <f>IFERROR(__xludf.DUMMYFUNCTION("""COMPUTED_VALUE"""),"Posluszny")</f>
        <v>Posluszny</v>
      </c>
      <c r="E4020" t="str">
        <f>IFERROR(__xludf.DUMMYFUNCTION("""COMPUTED_VALUE"""),"Paul")</f>
        <v>Paul</v>
      </c>
      <c r="F4020" t="str">
        <f>IFERROR(__xludf.DUMMYFUNCTION("""COMPUTED_VALUE"""),"LOLB")</f>
        <v>LOLB</v>
      </c>
      <c r="G4020">
        <f>IFERROR(__xludf.DUMMYFUNCTION("""COMPUTED_VALUE"""),17.400000000000002)</f>
        <v>17.4</v>
      </c>
    </row>
    <row r="4021">
      <c r="D4021" t="str">
        <f>IFERROR(__xludf.DUMMYFUNCTION("""COMPUTED_VALUE"""),"Pouncey")</f>
        <v>Pouncey</v>
      </c>
      <c r="E4021" t="str">
        <f>IFERROR(__xludf.DUMMYFUNCTION("""COMPUTED_VALUE"""),"Maurkice")</f>
        <v>Maurkice</v>
      </c>
      <c r="F4021" t="str">
        <f>IFERROR(__xludf.DUMMYFUNCTION("""COMPUTED_VALUE"""),"C")</f>
        <v>C</v>
      </c>
      <c r="G4021">
        <f>IFERROR(__xludf.DUMMYFUNCTION("""COMPUTED_VALUE"""),17.0)</f>
        <v>17</v>
      </c>
    </row>
    <row r="4022">
      <c r="D4022" t="str">
        <f>IFERROR(__xludf.DUMMYFUNCTION("""COMPUTED_VALUE"""),"Pouncey")</f>
        <v>Pouncey</v>
      </c>
      <c r="E4022" t="str">
        <f>IFERROR(__xludf.DUMMYFUNCTION("""COMPUTED_VALUE"""),"Mike")</f>
        <v>Mike</v>
      </c>
      <c r="F4022" t="str">
        <f>IFERROR(__xludf.DUMMYFUNCTION("""COMPUTED_VALUE"""),"C")</f>
        <v>C</v>
      </c>
      <c r="G4022">
        <f>IFERROR(__xludf.DUMMYFUNCTION("""COMPUTED_VALUE"""),15.4)</f>
        <v>15.4</v>
      </c>
    </row>
    <row r="4023">
      <c r="D4023" t="str">
        <f>IFERROR(__xludf.DUMMYFUNCTION("""COMPUTED_VALUE"""),"Poutasi")</f>
        <v>Poutasi</v>
      </c>
      <c r="E4023" t="str">
        <f>IFERROR(__xludf.DUMMYFUNCTION("""COMPUTED_VALUE"""),"Jeremiah")</f>
        <v>Jeremiah</v>
      </c>
      <c r="F4023" t="str">
        <f>IFERROR(__xludf.DUMMYFUNCTION("""COMPUTED_VALUE"""),"RG")</f>
        <v>RG</v>
      </c>
      <c r="G4023">
        <f>IFERROR(__xludf.DUMMYFUNCTION("""COMPUTED_VALUE"""),13.8)</f>
        <v>13.8</v>
      </c>
    </row>
    <row r="4024">
      <c r="D4024" t="str">
        <f>IFERROR(__xludf.DUMMYFUNCTION("""COMPUTED_VALUE"""),"Powell")</f>
        <v>Powell</v>
      </c>
      <c r="E4024" t="str">
        <f>IFERROR(__xludf.DUMMYFUNCTION("""COMPUTED_VALUE"""),"Bilal")</f>
        <v>Bilal</v>
      </c>
      <c r="F4024" t="str">
        <f>IFERROR(__xludf.DUMMYFUNCTION("""COMPUTED_VALUE"""),"HB")</f>
        <v>HB</v>
      </c>
      <c r="G4024">
        <f>IFERROR(__xludf.DUMMYFUNCTION("""COMPUTED_VALUE"""),16.2)</f>
        <v>16.2</v>
      </c>
    </row>
    <row r="4025">
      <c r="D4025" t="str">
        <f>IFERROR(__xludf.DUMMYFUNCTION("""COMPUTED_VALUE"""),"Powell")</f>
        <v>Powell</v>
      </c>
      <c r="E4025" t="str">
        <f>IFERROR(__xludf.DUMMYFUNCTION("""COMPUTED_VALUE"""),"Ronald")</f>
        <v>Ronald</v>
      </c>
      <c r="F4025" t="str">
        <f>IFERROR(__xludf.DUMMYFUNCTION("""COMPUTED_VALUE"""),"LOLB")</f>
        <v>LOLB</v>
      </c>
      <c r="G4025">
        <f>IFERROR(__xludf.DUMMYFUNCTION("""COMPUTED_VALUE"""),12.4)</f>
        <v>12.4</v>
      </c>
    </row>
    <row r="4026">
      <c r="D4026" t="str">
        <f>IFERROR(__xludf.DUMMYFUNCTION("""COMPUTED_VALUE"""),"Powell")</f>
        <v>Powell</v>
      </c>
      <c r="E4026" t="str">
        <f>IFERROR(__xludf.DUMMYFUNCTION("""COMPUTED_VALUE"""),"Tyvis")</f>
        <v>Tyvis</v>
      </c>
      <c r="F4026" t="str">
        <f>IFERROR(__xludf.DUMMYFUNCTION("""COMPUTED_VALUE"""),"SS")</f>
        <v>SS</v>
      </c>
      <c r="G4026">
        <f>IFERROR(__xludf.DUMMYFUNCTION("""COMPUTED_VALUE"""),12.0)</f>
        <v>12</v>
      </c>
    </row>
    <row r="4027">
      <c r="D4027" t="str">
        <f>IFERROR(__xludf.DUMMYFUNCTION("""COMPUTED_VALUE"""),"Powell")</f>
        <v>Powell</v>
      </c>
      <c r="E4027" t="str">
        <f>IFERROR(__xludf.DUMMYFUNCTION("""COMPUTED_VALUE"""),"Walter")</f>
        <v>Walter</v>
      </c>
      <c r="F4027" t="str">
        <f>IFERROR(__xludf.DUMMYFUNCTION("""COMPUTED_VALUE"""),"WR")</f>
        <v>WR</v>
      </c>
      <c r="G4027">
        <f>IFERROR(__xludf.DUMMYFUNCTION("""COMPUTED_VALUE"""),13.200000000000001)</f>
        <v>13.2</v>
      </c>
    </row>
    <row r="4028">
      <c r="D4028" t="str">
        <f>IFERROR(__xludf.DUMMYFUNCTION("""COMPUTED_VALUE"""),"Poyer")</f>
        <v>Poyer</v>
      </c>
      <c r="E4028" t="str">
        <f>IFERROR(__xludf.DUMMYFUNCTION("""COMPUTED_VALUE"""),"Jordan")</f>
        <v>Jordan</v>
      </c>
      <c r="F4028" t="str">
        <f>IFERROR(__xludf.DUMMYFUNCTION("""COMPUTED_VALUE"""),"FS")</f>
        <v>FS</v>
      </c>
      <c r="G4028">
        <f>IFERROR(__xludf.DUMMYFUNCTION("""COMPUTED_VALUE"""),14.0)</f>
        <v>14</v>
      </c>
    </row>
    <row r="4029">
      <c r="D4029" t="str">
        <f>IFERROR(__xludf.DUMMYFUNCTION("""COMPUTED_VALUE"""),"Prater")</f>
        <v>Prater</v>
      </c>
      <c r="E4029" t="str">
        <f>IFERROR(__xludf.DUMMYFUNCTION("""COMPUTED_VALUE"""),"Matt")</f>
        <v>Matt</v>
      </c>
      <c r="F4029" t="str">
        <f>IFERROR(__xludf.DUMMYFUNCTION("""COMPUTED_VALUE"""),"K")</f>
        <v>K</v>
      </c>
      <c r="G4029">
        <f>IFERROR(__xludf.DUMMYFUNCTION("""COMPUTED_VALUE"""),16.6)</f>
        <v>16.6</v>
      </c>
    </row>
    <row r="4030">
      <c r="D4030" t="str">
        <f>IFERROR(__xludf.DUMMYFUNCTION("""COMPUTED_VALUE"""),"Pratt")</f>
        <v>Pratt</v>
      </c>
      <c r="E4030" t="str">
        <f>IFERROR(__xludf.DUMMYFUNCTION("""COMPUTED_VALUE"""),"Dayon")</f>
        <v>Dayon</v>
      </c>
      <c r="F4030" t="str">
        <f>IFERROR(__xludf.DUMMYFUNCTION("""COMPUTED_VALUE"""),"LOLB")</f>
        <v>LOLB</v>
      </c>
      <c r="G4030">
        <f>IFERROR(__xludf.DUMMYFUNCTION("""COMPUTED_VALUE"""),12.8)</f>
        <v>12.8</v>
      </c>
    </row>
    <row r="4031">
      <c r="D4031" t="str">
        <f>IFERROR(__xludf.DUMMYFUNCTION("""COMPUTED_VALUE"""),"Prescott")</f>
        <v>Prescott</v>
      </c>
      <c r="E4031" t="str">
        <f>IFERROR(__xludf.DUMMYFUNCTION("""COMPUTED_VALUE"""),"Dak")</f>
        <v>Dak</v>
      </c>
      <c r="F4031" t="str">
        <f>IFERROR(__xludf.DUMMYFUNCTION("""COMPUTED_VALUE"""),"QB")</f>
        <v>QB</v>
      </c>
      <c r="G4031">
        <f>IFERROR(__xludf.DUMMYFUNCTION("""COMPUTED_VALUE"""),17.2)</f>
        <v>17.2</v>
      </c>
    </row>
    <row r="4032">
      <c r="D4032" t="str">
        <f>IFERROR(__xludf.DUMMYFUNCTION("""COMPUTED_VALUE"""),"Price")</f>
        <v>Price</v>
      </c>
      <c r="E4032" t="str">
        <f>IFERROR(__xludf.DUMMYFUNCTION("""COMPUTED_VALUE"""),"Brian")</f>
        <v>Brian</v>
      </c>
      <c r="F4032" t="str">
        <f>IFERROR(__xludf.DUMMYFUNCTION("""COMPUTED_VALUE"""),"RE")</f>
        <v>RE</v>
      </c>
      <c r="G4032">
        <f>IFERROR(__xludf.DUMMYFUNCTION("""COMPUTED_VALUE"""),11.4)</f>
        <v>11.4</v>
      </c>
    </row>
    <row r="4033">
      <c r="D4033" t="str">
        <f>IFERROR(__xludf.DUMMYFUNCTION("""COMPUTED_VALUE"""),"Price")</f>
        <v>Price</v>
      </c>
      <c r="E4033" t="str">
        <f>IFERROR(__xludf.DUMMYFUNCTION("""COMPUTED_VALUE"""),"Ejuan")</f>
        <v>Ejuan</v>
      </c>
      <c r="F4033" t="str">
        <f>IFERROR(__xludf.DUMMYFUNCTION("""COMPUTED_VALUE"""),"ROLB")</f>
        <v>ROLB</v>
      </c>
      <c r="G4033">
        <f>IFERROR(__xludf.DUMMYFUNCTION("""COMPUTED_VALUE"""),13.200000000000001)</f>
        <v>13.2</v>
      </c>
    </row>
    <row r="4034">
      <c r="D4034" t="str">
        <f>IFERROR(__xludf.DUMMYFUNCTION("""COMPUTED_VALUE"""),"Price")</f>
        <v>Price</v>
      </c>
      <c r="E4034" t="str">
        <f>IFERROR(__xludf.DUMMYFUNCTION("""COMPUTED_VALUE"""),"Givens")</f>
        <v>Givens</v>
      </c>
      <c r="F4034" t="str">
        <f>IFERROR(__xludf.DUMMYFUNCTION("""COMPUTED_VALUE"""),"RT")</f>
        <v>RT</v>
      </c>
      <c r="G4034">
        <f>IFERROR(__xludf.DUMMYFUNCTION("""COMPUTED_VALUE"""),12.0)</f>
        <v>12</v>
      </c>
    </row>
    <row r="4035">
      <c r="D4035" t="str">
        <f>IFERROR(__xludf.DUMMYFUNCTION("""COMPUTED_VALUE"""),"Price")</f>
        <v>Price</v>
      </c>
      <c r="E4035" t="str">
        <f>IFERROR(__xludf.DUMMYFUNCTION("""COMPUTED_VALUE"""),"Jabari")</f>
        <v>Jabari</v>
      </c>
      <c r="F4035" t="str">
        <f>IFERROR(__xludf.DUMMYFUNCTION("""COMPUTED_VALUE"""),"CB")</f>
        <v>CB</v>
      </c>
      <c r="G4035">
        <f>IFERROR(__xludf.DUMMYFUNCTION("""COMPUTED_VALUE"""),13.0)</f>
        <v>13</v>
      </c>
    </row>
    <row r="4036">
      <c r="D4036" t="str">
        <f>IFERROR(__xludf.DUMMYFUNCTION("""COMPUTED_VALUE"""),"Price")</f>
        <v>Price</v>
      </c>
      <c r="E4036" t="str">
        <f>IFERROR(__xludf.DUMMYFUNCTION("""COMPUTED_VALUE"""),"Sheldon")</f>
        <v>Sheldon</v>
      </c>
      <c r="F4036" t="str">
        <f>IFERROR(__xludf.DUMMYFUNCTION("""COMPUTED_VALUE"""),"CB")</f>
        <v>CB</v>
      </c>
      <c r="G4036">
        <f>IFERROR(__xludf.DUMMYFUNCTION("""COMPUTED_VALUE"""),12.200000000000001)</f>
        <v>12.2</v>
      </c>
    </row>
    <row r="4037">
      <c r="D4037" t="str">
        <f>IFERROR(__xludf.DUMMYFUNCTION("""COMPUTED_VALUE"""),"Prosch")</f>
        <v>Prosch</v>
      </c>
      <c r="E4037" t="str">
        <f>IFERROR(__xludf.DUMMYFUNCTION("""COMPUTED_VALUE"""),"Jay")</f>
        <v>Jay</v>
      </c>
      <c r="F4037" t="str">
        <f>IFERROR(__xludf.DUMMYFUNCTION("""COMPUTED_VALUE"""),"FB")</f>
        <v>FB</v>
      </c>
      <c r="G4037">
        <f>IFERROR(__xludf.DUMMYFUNCTION("""COMPUTED_VALUE"""),16.2)</f>
        <v>16.2</v>
      </c>
    </row>
    <row r="4038">
      <c r="D4038" t="str">
        <f>IFERROR(__xludf.DUMMYFUNCTION("""COMPUTED_VALUE"""),"Prosinski")</f>
        <v>Prosinski</v>
      </c>
      <c r="E4038" t="str">
        <f>IFERROR(__xludf.DUMMYFUNCTION("""COMPUTED_VALUE"""),"Chris")</f>
        <v>Chris</v>
      </c>
      <c r="F4038" t="str">
        <f>IFERROR(__xludf.DUMMYFUNCTION("""COMPUTED_VALUE"""),"FS")</f>
        <v>FS</v>
      </c>
      <c r="G4038">
        <f>IFERROR(__xludf.DUMMYFUNCTION("""COMPUTED_VALUE"""),14.0)</f>
        <v>14</v>
      </c>
    </row>
    <row r="4039">
      <c r="D4039" t="str">
        <f>IFERROR(__xludf.DUMMYFUNCTION("""COMPUTED_VALUE"""),"Prosise")</f>
        <v>Prosise</v>
      </c>
      <c r="E4039" t="str">
        <f>IFERROR(__xludf.DUMMYFUNCTION("""COMPUTED_VALUE"""),"CJ")</f>
        <v>CJ</v>
      </c>
      <c r="F4039" t="str">
        <f>IFERROR(__xludf.DUMMYFUNCTION("""COMPUTED_VALUE"""),"HB")</f>
        <v>HB</v>
      </c>
      <c r="G4039">
        <f>IFERROR(__xludf.DUMMYFUNCTION("""COMPUTED_VALUE"""),14.8)</f>
        <v>14.8</v>
      </c>
    </row>
    <row r="4040">
      <c r="D4040" t="str">
        <f>IFERROR(__xludf.DUMMYFUNCTION("""COMPUTED_VALUE"""),"Pruitt")</f>
        <v>Pruitt</v>
      </c>
      <c r="E4040" t="str">
        <f>IFERROR(__xludf.DUMMYFUNCTION("""COMPUTED_VALUE"""),"MyCole")</f>
        <v>MyCole</v>
      </c>
      <c r="F4040" t="str">
        <f>IFERROR(__xludf.DUMMYFUNCTION("""COMPUTED_VALUE"""),"TE")</f>
        <v>TE</v>
      </c>
      <c r="G4040">
        <f>IFERROR(__xludf.DUMMYFUNCTION("""COMPUTED_VALUE"""),14.200000000000001)</f>
        <v>14.2</v>
      </c>
    </row>
    <row r="4041">
      <c r="D4041" t="str">
        <f>IFERROR(__xludf.DUMMYFUNCTION("""COMPUTED_VALUE"""),"Pryor III")</f>
        <v>Pryor III</v>
      </c>
      <c r="E4041" t="str">
        <f>IFERROR(__xludf.DUMMYFUNCTION("""COMPUTED_VALUE"""),"Calvin")</f>
        <v>Calvin</v>
      </c>
      <c r="F4041" t="str">
        <f>IFERROR(__xludf.DUMMYFUNCTION("""COMPUTED_VALUE"""),"FS")</f>
        <v>FS</v>
      </c>
      <c r="G4041">
        <f>IFERROR(__xludf.DUMMYFUNCTION("""COMPUTED_VALUE"""),14.4)</f>
        <v>14.4</v>
      </c>
    </row>
    <row r="4042">
      <c r="D4042" t="str">
        <f>IFERROR(__xludf.DUMMYFUNCTION("""COMPUTED_VALUE"""),"Pryor Sr")</f>
        <v>Pryor Sr</v>
      </c>
      <c r="E4042" t="str">
        <f>IFERROR(__xludf.DUMMYFUNCTION("""COMPUTED_VALUE"""),"Terrelle")</f>
        <v>Terrelle</v>
      </c>
      <c r="F4042" t="str">
        <f>IFERROR(__xludf.DUMMYFUNCTION("""COMPUTED_VALUE"""),"WR")</f>
        <v>WR</v>
      </c>
      <c r="G4042">
        <f>IFERROR(__xludf.DUMMYFUNCTION("""COMPUTED_VALUE"""),16.6)</f>
        <v>16.6</v>
      </c>
    </row>
    <row r="4043">
      <c r="D4043" t="str">
        <f>IFERROR(__xludf.DUMMYFUNCTION("""COMPUTED_VALUE"""),"Pugh")</f>
        <v>Pugh</v>
      </c>
      <c r="E4043" t="str">
        <f>IFERROR(__xludf.DUMMYFUNCTION("""COMPUTED_VALUE"""),"Justin")</f>
        <v>Justin</v>
      </c>
      <c r="F4043" t="str">
        <f>IFERROR(__xludf.DUMMYFUNCTION("""COMPUTED_VALUE"""),"LG")</f>
        <v>LG</v>
      </c>
      <c r="G4043">
        <f>IFERROR(__xludf.DUMMYFUNCTION("""COMPUTED_VALUE"""),17.2)</f>
        <v>17.2</v>
      </c>
    </row>
    <row r="4044">
      <c r="D4044" t="str">
        <f>IFERROR(__xludf.DUMMYFUNCTION("""COMPUTED_VALUE"""),"Pughsley")</f>
        <v>Pughsley</v>
      </c>
      <c r="E4044" t="str">
        <f>IFERROR(__xludf.DUMMYFUNCTION("""COMPUTED_VALUE"""),"Jarrod")</f>
        <v>Jarrod</v>
      </c>
      <c r="F4044" t="str">
        <f>IFERROR(__xludf.DUMMYFUNCTION("""COMPUTED_VALUE"""),"RG")</f>
        <v>RG</v>
      </c>
      <c r="G4044">
        <f>IFERROR(__xludf.DUMMYFUNCTION("""COMPUTED_VALUE"""),12.8)</f>
        <v>12.8</v>
      </c>
    </row>
    <row r="4045">
      <c r="D4045" t="str">
        <f>IFERROR(__xludf.DUMMYFUNCTION("""COMPUTED_VALUE"""),"Pullard III")</f>
        <v>Pullard III</v>
      </c>
      <c r="E4045" t="str">
        <f>IFERROR(__xludf.DUMMYFUNCTION("""COMPUTED_VALUE"""),"Hayes")</f>
        <v>Hayes</v>
      </c>
      <c r="F4045" t="str">
        <f>IFERROR(__xludf.DUMMYFUNCTION("""COMPUTED_VALUE"""),"MLB")</f>
        <v>MLB</v>
      </c>
      <c r="G4045">
        <f>IFERROR(__xludf.DUMMYFUNCTION("""COMPUTED_VALUE"""),13.200000000000001)</f>
        <v>13.2</v>
      </c>
    </row>
    <row r="4046">
      <c r="D4046" t="str">
        <f>IFERROR(__xludf.DUMMYFUNCTION("""COMPUTED_VALUE"""),"Pulley")</f>
        <v>Pulley</v>
      </c>
      <c r="E4046" t="str">
        <f>IFERROR(__xludf.DUMMYFUNCTION("""COMPUTED_VALUE"""),"Spencer")</f>
        <v>Spencer</v>
      </c>
      <c r="F4046" t="str">
        <f>IFERROR(__xludf.DUMMYFUNCTION("""COMPUTED_VALUE"""),"RG")</f>
        <v>RG</v>
      </c>
      <c r="G4046">
        <f>IFERROR(__xludf.DUMMYFUNCTION("""COMPUTED_VALUE"""),12.4)</f>
        <v>12.4</v>
      </c>
    </row>
    <row r="4047">
      <c r="D4047" t="str">
        <f>IFERROR(__xludf.DUMMYFUNCTION("""COMPUTED_VALUE"""),"Pumphrey Jr")</f>
        <v>Pumphrey Jr</v>
      </c>
      <c r="E4047" t="str">
        <f>IFERROR(__xludf.DUMMYFUNCTION("""COMPUTED_VALUE"""),"Donnel")</f>
        <v>Donnel</v>
      </c>
      <c r="F4047" t="str">
        <f>IFERROR(__xludf.DUMMYFUNCTION("""COMPUTED_VALUE"""),"HB")</f>
        <v>HB</v>
      </c>
      <c r="G4047">
        <f>IFERROR(__xludf.DUMMYFUNCTION("""COMPUTED_VALUE"""),14.600000000000001)</f>
        <v>14.6</v>
      </c>
    </row>
    <row r="4048">
      <c r="D4048" t="str">
        <f>IFERROR(__xludf.DUMMYFUNCTION("""COMPUTED_VALUE"""),"Purcell")</f>
        <v>Purcell</v>
      </c>
      <c r="E4048" t="str">
        <f>IFERROR(__xludf.DUMMYFUNCTION("""COMPUTED_VALUE"""),"Mike")</f>
        <v>Mike</v>
      </c>
      <c r="F4048" t="str">
        <f>IFERROR(__xludf.DUMMYFUNCTION("""COMPUTED_VALUE"""),"DT")</f>
        <v>DT</v>
      </c>
      <c r="G4048">
        <f>IFERROR(__xludf.DUMMYFUNCTION("""COMPUTED_VALUE"""),13.8)</f>
        <v>13.8</v>
      </c>
    </row>
    <row r="4049">
      <c r="D4049" t="str">
        <f>IFERROR(__xludf.DUMMYFUNCTION("""COMPUTED_VALUE"""),"Purdum")</f>
        <v>Purdum</v>
      </c>
      <c r="E4049" t="str">
        <f>IFERROR(__xludf.DUMMYFUNCTION("""COMPUTED_VALUE"""),"Tanner")</f>
        <v>Tanner</v>
      </c>
      <c r="F4049" t="str">
        <f>IFERROR(__xludf.DUMMYFUNCTION("""COMPUTED_VALUE"""),"TE")</f>
        <v>TE</v>
      </c>
      <c r="G4049">
        <f>IFERROR(__xludf.DUMMYFUNCTION("""COMPUTED_VALUE"""),9.200000000000001)</f>
        <v>9.2</v>
      </c>
    </row>
    <row r="4050">
      <c r="D4050" t="str">
        <f>IFERROR(__xludf.DUMMYFUNCTION("""COMPUTED_VALUE"""),"Pyke")</f>
        <v>Pyke</v>
      </c>
      <c r="E4050" t="str">
        <f>IFERROR(__xludf.DUMMYFUNCTION("""COMPUTED_VALUE"""),"Greg")</f>
        <v>Greg</v>
      </c>
      <c r="F4050" t="str">
        <f>IFERROR(__xludf.DUMMYFUNCTION("""COMPUTED_VALUE"""),"RG")</f>
        <v>RG</v>
      </c>
      <c r="G4050">
        <f>IFERROR(__xludf.DUMMYFUNCTION("""COMPUTED_VALUE"""),12.200000000000001)</f>
        <v>12.2</v>
      </c>
    </row>
    <row r="4051">
      <c r="D4051" t="str">
        <f>IFERROR(__xludf.DUMMYFUNCTION("""COMPUTED_VALUE"""),"Qualls")</f>
        <v>Qualls</v>
      </c>
      <c r="E4051" t="str">
        <f>IFERROR(__xludf.DUMMYFUNCTION("""COMPUTED_VALUE"""),"Elijah")</f>
        <v>Elijah</v>
      </c>
      <c r="F4051" t="str">
        <f>IFERROR(__xludf.DUMMYFUNCTION("""COMPUTED_VALUE"""),"DT")</f>
        <v>DT</v>
      </c>
      <c r="G4051">
        <f>IFERROR(__xludf.DUMMYFUNCTION("""COMPUTED_VALUE"""),13.8)</f>
        <v>13.8</v>
      </c>
    </row>
    <row r="4052">
      <c r="D4052" t="str">
        <f>IFERROR(__xludf.DUMMYFUNCTION("""COMPUTED_VALUE"""),"Quessenberry")</f>
        <v>Quessenberry</v>
      </c>
      <c r="E4052" t="str">
        <f>IFERROR(__xludf.DUMMYFUNCTION("""COMPUTED_VALUE"""),"David")</f>
        <v>David</v>
      </c>
      <c r="F4052" t="str">
        <f>IFERROR(__xludf.DUMMYFUNCTION("""COMPUTED_VALUE"""),"RG")</f>
        <v>RG</v>
      </c>
      <c r="G4052">
        <f>IFERROR(__xludf.DUMMYFUNCTION("""COMPUTED_VALUE"""),13.200000000000001)</f>
        <v>13.2</v>
      </c>
    </row>
    <row r="4053">
      <c r="D4053" t="str">
        <f>IFERROR(__xludf.DUMMYFUNCTION("""COMPUTED_VALUE"""),"Quick")</f>
        <v>Quick</v>
      </c>
      <c r="E4053" t="str">
        <f>IFERROR(__xludf.DUMMYFUNCTION("""COMPUTED_VALUE"""),"Brian")</f>
        <v>Brian</v>
      </c>
      <c r="F4053" t="str">
        <f>IFERROR(__xludf.DUMMYFUNCTION("""COMPUTED_VALUE"""),"WR")</f>
        <v>WR</v>
      </c>
      <c r="G4053">
        <f>IFERROR(__xludf.DUMMYFUNCTION("""COMPUTED_VALUE"""),15.4)</f>
        <v>15.4</v>
      </c>
    </row>
    <row r="4054">
      <c r="D4054" t="str">
        <f>IFERROR(__xludf.DUMMYFUNCTION("""COMPUTED_VALUE"""),"Quigley")</f>
        <v>Quigley</v>
      </c>
      <c r="E4054" t="str">
        <f>IFERROR(__xludf.DUMMYFUNCTION("""COMPUTED_VALUE"""),"Ryan")</f>
        <v>Ryan</v>
      </c>
      <c r="F4054" t="str">
        <f>IFERROR(__xludf.DUMMYFUNCTION("""COMPUTED_VALUE"""),"P")</f>
        <v>P</v>
      </c>
      <c r="G4054">
        <f>IFERROR(__xludf.DUMMYFUNCTION("""COMPUTED_VALUE"""),15.200000000000001)</f>
        <v>15.2</v>
      </c>
    </row>
    <row r="4055">
      <c r="D4055" t="str">
        <f>IFERROR(__xludf.DUMMYFUNCTION("""COMPUTED_VALUE"""),"Quin")</f>
        <v>Quin</v>
      </c>
      <c r="E4055" t="str">
        <f>IFERROR(__xludf.DUMMYFUNCTION("""COMPUTED_VALUE"""),"Glover")</f>
        <v>Glover</v>
      </c>
      <c r="F4055" t="str">
        <f>IFERROR(__xludf.DUMMYFUNCTION("""COMPUTED_VALUE"""),"FS")</f>
        <v>FS</v>
      </c>
      <c r="G4055">
        <f>IFERROR(__xludf.DUMMYFUNCTION("""COMPUTED_VALUE"""),16.400000000000002)</f>
        <v>16.4</v>
      </c>
    </row>
    <row r="4056">
      <c r="D4056" t="str">
        <f>IFERROR(__xludf.DUMMYFUNCTION("""COMPUTED_VALUE"""),"Quinn")</f>
        <v>Quinn</v>
      </c>
      <c r="E4056" t="str">
        <f>IFERROR(__xludf.DUMMYFUNCTION("""COMPUTED_VALUE"""),"Robert")</f>
        <v>Robert</v>
      </c>
      <c r="F4056" t="str">
        <f>IFERROR(__xludf.DUMMYFUNCTION("""COMPUTED_VALUE"""),"ROLB")</f>
        <v>ROLB</v>
      </c>
      <c r="G4056">
        <f>IFERROR(__xludf.DUMMYFUNCTION("""COMPUTED_VALUE"""),16.2)</f>
        <v>16.2</v>
      </c>
    </row>
    <row r="4057">
      <c r="D4057" t="str">
        <f>IFERROR(__xludf.DUMMYFUNCTION("""COMPUTED_VALUE"""),"Qvale")</f>
        <v>Qvale</v>
      </c>
      <c r="E4057" t="str">
        <f>IFERROR(__xludf.DUMMYFUNCTION("""COMPUTED_VALUE"""),"Brent")</f>
        <v>Brent</v>
      </c>
      <c r="F4057" t="str">
        <f>IFERROR(__xludf.DUMMYFUNCTION("""COMPUTED_VALUE"""),"RT")</f>
        <v>RT</v>
      </c>
      <c r="G4057">
        <f>IFERROR(__xludf.DUMMYFUNCTION("""COMPUTED_VALUE"""),13.8)</f>
        <v>13.8</v>
      </c>
    </row>
    <row r="4058">
      <c r="D4058" t="str">
        <f>IFERROR(__xludf.DUMMYFUNCTION("""COMPUTED_VALUE"""),"Ragland")</f>
        <v>Ragland</v>
      </c>
      <c r="E4058" t="str">
        <f>IFERROR(__xludf.DUMMYFUNCTION("""COMPUTED_VALUE"""),"Reggie")</f>
        <v>Reggie</v>
      </c>
      <c r="F4058" t="str">
        <f>IFERROR(__xludf.DUMMYFUNCTION("""COMPUTED_VALUE"""),"MLB")</f>
        <v>MLB</v>
      </c>
      <c r="G4058">
        <f>IFERROR(__xludf.DUMMYFUNCTION("""COMPUTED_VALUE"""),14.600000000000001)</f>
        <v>14.6</v>
      </c>
    </row>
    <row r="4059">
      <c r="D4059" t="str">
        <f>IFERROR(__xludf.DUMMYFUNCTION("""COMPUTED_VALUE"""),"Ramczyk")</f>
        <v>Ramczyk</v>
      </c>
      <c r="E4059" t="str">
        <f>IFERROR(__xludf.DUMMYFUNCTION("""COMPUTED_VALUE"""),"Ryan")</f>
        <v>Ryan</v>
      </c>
      <c r="F4059" t="str">
        <f>IFERROR(__xludf.DUMMYFUNCTION("""COMPUTED_VALUE"""),"RT")</f>
        <v>RT</v>
      </c>
      <c r="G4059">
        <f>IFERROR(__xludf.DUMMYFUNCTION("""COMPUTED_VALUE"""),15.600000000000001)</f>
        <v>15.6</v>
      </c>
    </row>
    <row r="4060">
      <c r="D4060" t="str">
        <f>IFERROR(__xludf.DUMMYFUNCTION("""COMPUTED_VALUE"""),"Randall")</f>
        <v>Randall</v>
      </c>
      <c r="E4060" t="str">
        <f>IFERROR(__xludf.DUMMYFUNCTION("""COMPUTED_VALUE"""),"Damarious")</f>
        <v>Damarious</v>
      </c>
      <c r="F4060" t="str">
        <f>IFERROR(__xludf.DUMMYFUNCTION("""COMPUTED_VALUE"""),"CB")</f>
        <v>CB</v>
      </c>
      <c r="G4060">
        <f>IFERROR(__xludf.DUMMYFUNCTION("""COMPUTED_VALUE"""),15.4)</f>
        <v>15.4</v>
      </c>
    </row>
    <row r="4061">
      <c r="D4061" t="str">
        <f>IFERROR(__xludf.DUMMYFUNCTION("""COMPUTED_VALUE"""),"Randle")</f>
        <v>Randle</v>
      </c>
      <c r="E4061" t="str">
        <f>IFERROR(__xludf.DUMMYFUNCTION("""COMPUTED_VALUE"""),"Rueben")</f>
        <v>Rueben</v>
      </c>
      <c r="F4061" t="str">
        <f>IFERROR(__xludf.DUMMYFUNCTION("""COMPUTED_VALUE"""),"WR")</f>
        <v>WR</v>
      </c>
      <c r="G4061">
        <f>IFERROR(__xludf.DUMMYFUNCTION("""COMPUTED_VALUE"""),14.200000000000001)</f>
        <v>14.2</v>
      </c>
    </row>
    <row r="4062">
      <c r="D4062" t="str">
        <f>IFERROR(__xludf.DUMMYFUNCTION("""COMPUTED_VALUE"""),"Rankins")</f>
        <v>Rankins</v>
      </c>
      <c r="E4062" t="str">
        <f>IFERROR(__xludf.DUMMYFUNCTION("""COMPUTED_VALUE"""),"Sheldon")</f>
        <v>Sheldon</v>
      </c>
      <c r="F4062" t="str">
        <f>IFERROR(__xludf.DUMMYFUNCTION("""COMPUTED_VALUE"""),"DT")</f>
        <v>DT</v>
      </c>
      <c r="G4062">
        <f>IFERROR(__xludf.DUMMYFUNCTION("""COMPUTED_VALUE"""),15.600000000000001)</f>
        <v>15.6</v>
      </c>
    </row>
    <row r="4063">
      <c r="D4063" t="str">
        <f>IFERROR(__xludf.DUMMYFUNCTION("""COMPUTED_VALUE"""),"Rawls")</f>
        <v>Rawls</v>
      </c>
      <c r="E4063" t="str">
        <f>IFERROR(__xludf.DUMMYFUNCTION("""COMPUTED_VALUE"""),"Thomas")</f>
        <v>Thomas</v>
      </c>
      <c r="F4063" t="str">
        <f>IFERROR(__xludf.DUMMYFUNCTION("""COMPUTED_VALUE"""),"HB")</f>
        <v>HB</v>
      </c>
      <c r="G4063">
        <f>IFERROR(__xludf.DUMMYFUNCTION("""COMPUTED_VALUE"""),16.6)</f>
        <v>16.6</v>
      </c>
    </row>
    <row r="4064">
      <c r="D4064" t="str">
        <f>IFERROR(__xludf.DUMMYFUNCTION("""COMPUTED_VALUE"""),"Ray")</f>
        <v>Ray</v>
      </c>
      <c r="E4064" t="str">
        <f>IFERROR(__xludf.DUMMYFUNCTION("""COMPUTED_VALUE"""),"Shane")</f>
        <v>Shane</v>
      </c>
      <c r="F4064" t="str">
        <f>IFERROR(__xludf.DUMMYFUNCTION("""COMPUTED_VALUE"""),"ROLB")</f>
        <v>ROLB</v>
      </c>
      <c r="G4064">
        <f>IFERROR(__xludf.DUMMYFUNCTION("""COMPUTED_VALUE"""),15.8)</f>
        <v>15.8</v>
      </c>
    </row>
    <row r="4065">
      <c r="D4065" t="str">
        <f>IFERROR(__xludf.DUMMYFUNCTION("""COMPUTED_VALUE"""),"Raymond")</f>
        <v>Raymond</v>
      </c>
      <c r="E4065" t="str">
        <f>IFERROR(__xludf.DUMMYFUNCTION("""COMPUTED_VALUE"""),"Kalif")</f>
        <v>Kalif</v>
      </c>
      <c r="F4065" t="str">
        <f>IFERROR(__xludf.DUMMYFUNCTION("""COMPUTED_VALUE"""),"WR")</f>
        <v>WR</v>
      </c>
      <c r="G4065">
        <f>IFERROR(__xludf.DUMMYFUNCTION("""COMPUTED_VALUE"""),12.8)</f>
        <v>12.8</v>
      </c>
    </row>
    <row r="4066">
      <c r="D4066" t="str">
        <f>IFERROR(__xludf.DUMMYFUNCTION("""COMPUTED_VALUE"""),"Reader")</f>
        <v>Reader</v>
      </c>
      <c r="E4066" t="str">
        <f>IFERROR(__xludf.DUMMYFUNCTION("""COMPUTED_VALUE"""),"DJ")</f>
        <v>DJ</v>
      </c>
      <c r="F4066" t="str">
        <f>IFERROR(__xludf.DUMMYFUNCTION("""COMPUTED_VALUE"""),"DT")</f>
        <v>DT</v>
      </c>
      <c r="G4066">
        <f>IFERROR(__xludf.DUMMYFUNCTION("""COMPUTED_VALUE"""),13.4)</f>
        <v>13.4</v>
      </c>
    </row>
    <row r="4067">
      <c r="D4067" t="str">
        <f>IFERROR(__xludf.DUMMYFUNCTION("""COMPUTED_VALUE"""),"Reaser")</f>
        <v>Reaser</v>
      </c>
      <c r="E4067" t="str">
        <f>IFERROR(__xludf.DUMMYFUNCTION("""COMPUTED_VALUE"""),"Keith")</f>
        <v>Keith</v>
      </c>
      <c r="F4067" t="str">
        <f>IFERROR(__xludf.DUMMYFUNCTION("""COMPUTED_VALUE"""),"CB")</f>
        <v>CB</v>
      </c>
      <c r="G4067">
        <f>IFERROR(__xludf.DUMMYFUNCTION("""COMPUTED_VALUE"""),14.200000000000001)</f>
        <v>14.2</v>
      </c>
    </row>
    <row r="4068">
      <c r="D4068" t="str">
        <f>IFERROR(__xludf.DUMMYFUNCTION("""COMPUTED_VALUE"""),"Reddick")</f>
        <v>Reddick</v>
      </c>
      <c r="E4068" t="str">
        <f>IFERROR(__xludf.DUMMYFUNCTION("""COMPUTED_VALUE"""),"Haason")</f>
        <v>Haason</v>
      </c>
      <c r="F4068" t="str">
        <f>IFERROR(__xludf.DUMMYFUNCTION("""COMPUTED_VALUE"""),"MLB")</f>
        <v>MLB</v>
      </c>
      <c r="G4068">
        <f>IFERROR(__xludf.DUMMYFUNCTION("""COMPUTED_VALUE"""),14.600000000000001)</f>
        <v>14.6</v>
      </c>
    </row>
    <row r="4069">
      <c r="D4069" t="str">
        <f>IFERROR(__xludf.DUMMYFUNCTION("""COMPUTED_VALUE"""),"Redfern")</f>
        <v>Redfern</v>
      </c>
      <c r="E4069" t="str">
        <f>IFERROR(__xludf.DUMMYFUNCTION("""COMPUTED_VALUE"""),"Kasey")</f>
        <v>Kasey</v>
      </c>
      <c r="F4069" t="str">
        <f>IFERROR(__xludf.DUMMYFUNCTION("""COMPUTED_VALUE"""),"P")</f>
        <v>P</v>
      </c>
      <c r="G4069">
        <f>IFERROR(__xludf.DUMMYFUNCTION("""COMPUTED_VALUE"""),13.8)</f>
        <v>13.8</v>
      </c>
    </row>
    <row r="4070">
      <c r="D4070" t="str">
        <f>IFERROR(__xludf.DUMMYFUNCTION("""COMPUTED_VALUE"""),"Redmond")</f>
        <v>Redmond</v>
      </c>
      <c r="E4070" t="str">
        <f>IFERROR(__xludf.DUMMYFUNCTION("""COMPUTED_VALUE"""),"Alex")</f>
        <v>Alex</v>
      </c>
      <c r="F4070" t="str">
        <f>IFERROR(__xludf.DUMMYFUNCTION("""COMPUTED_VALUE"""),"RG")</f>
        <v>RG</v>
      </c>
      <c r="G4070">
        <f>IFERROR(__xludf.DUMMYFUNCTION("""COMPUTED_VALUE"""),11.600000000000001)</f>
        <v>11.6</v>
      </c>
    </row>
    <row r="4071">
      <c r="D4071" t="str">
        <f>IFERROR(__xludf.DUMMYFUNCTION("""COMPUTED_VALUE"""),"Redmond")</f>
        <v>Redmond</v>
      </c>
      <c r="E4071" t="str">
        <f>IFERROR(__xludf.DUMMYFUNCTION("""COMPUTED_VALUE"""),"Will")</f>
        <v>Will</v>
      </c>
      <c r="F4071" t="str">
        <f>IFERROR(__xludf.DUMMYFUNCTION("""COMPUTED_VALUE"""),"CB")</f>
        <v>CB</v>
      </c>
      <c r="G4071">
        <f>IFERROR(__xludf.DUMMYFUNCTION("""COMPUTED_VALUE"""),13.4)</f>
        <v>13.4</v>
      </c>
    </row>
    <row r="4072">
      <c r="D4072" t="str">
        <f>IFERROR(__xludf.DUMMYFUNCTION("""COMPUTED_VALUE"""),"Reed")</f>
        <v>Reed</v>
      </c>
      <c r="E4072" t="str">
        <f>IFERROR(__xludf.DUMMYFUNCTION("""COMPUTED_VALUE"""),"Brooks")</f>
        <v>Brooks</v>
      </c>
      <c r="F4072" t="str">
        <f>IFERROR(__xludf.DUMMYFUNCTION("""COMPUTED_VALUE"""),"LE")</f>
        <v>LE</v>
      </c>
      <c r="G4072">
        <f>IFERROR(__xludf.DUMMYFUNCTION("""COMPUTED_VALUE"""),15.200000000000001)</f>
        <v>15.2</v>
      </c>
    </row>
    <row r="4073">
      <c r="D4073" t="str">
        <f>IFERROR(__xludf.DUMMYFUNCTION("""COMPUTED_VALUE"""),"Reed")</f>
        <v>Reed</v>
      </c>
      <c r="E4073" t="str">
        <f>IFERROR(__xludf.DUMMYFUNCTION("""COMPUTED_VALUE"""),"Chris")</f>
        <v>Chris</v>
      </c>
      <c r="F4073" t="str">
        <f>IFERROR(__xludf.DUMMYFUNCTION("""COMPUTED_VALUE"""),"RG")</f>
        <v>RG</v>
      </c>
      <c r="G4073">
        <f>IFERROR(__xludf.DUMMYFUNCTION("""COMPUTED_VALUE"""),13.600000000000001)</f>
        <v>13.6</v>
      </c>
    </row>
    <row r="4074">
      <c r="D4074" t="str">
        <f>IFERROR(__xludf.DUMMYFUNCTION("""COMPUTED_VALUE"""),"Reed")</f>
        <v>Reed</v>
      </c>
      <c r="E4074" t="str">
        <f>IFERROR(__xludf.DUMMYFUNCTION("""COMPUTED_VALUE"""),"Jarran")</f>
        <v>Jarran</v>
      </c>
      <c r="F4074" t="str">
        <f>IFERROR(__xludf.DUMMYFUNCTION("""COMPUTED_VALUE"""),"DT")</f>
        <v>DT</v>
      </c>
      <c r="G4074">
        <f>IFERROR(__xludf.DUMMYFUNCTION("""COMPUTED_VALUE"""),14.600000000000001)</f>
        <v>14.6</v>
      </c>
    </row>
    <row r="4075">
      <c r="D4075" t="str">
        <f>IFERROR(__xludf.DUMMYFUNCTION("""COMPUTED_VALUE"""),"Reed")</f>
        <v>Reed</v>
      </c>
      <c r="E4075" t="str">
        <f>IFERROR(__xludf.DUMMYFUNCTION("""COMPUTED_VALUE"""),"Jordan")</f>
        <v>Jordan</v>
      </c>
      <c r="F4075" t="str">
        <f>IFERROR(__xludf.DUMMYFUNCTION("""COMPUTED_VALUE"""),"TE")</f>
        <v>TE</v>
      </c>
      <c r="G4075">
        <f>IFERROR(__xludf.DUMMYFUNCTION("""COMPUTED_VALUE"""),18.2)</f>
        <v>18.2</v>
      </c>
    </row>
    <row r="4076">
      <c r="D4076" t="str">
        <f>IFERROR(__xludf.DUMMYFUNCTION("""COMPUTED_VALUE"""),"Reed")</f>
        <v>Reed</v>
      </c>
      <c r="E4076" t="str">
        <f>IFERROR(__xludf.DUMMYFUNCTION("""COMPUTED_VALUE"""),"Kalan")</f>
        <v>Kalan</v>
      </c>
      <c r="F4076" t="str">
        <f>IFERROR(__xludf.DUMMYFUNCTION("""COMPUTED_VALUE"""),"CB")</f>
        <v>CB</v>
      </c>
      <c r="G4076">
        <f>IFERROR(__xludf.DUMMYFUNCTION("""COMPUTED_VALUE"""),12.8)</f>
        <v>12.8</v>
      </c>
    </row>
    <row r="4077">
      <c r="D4077" t="str">
        <f>IFERROR(__xludf.DUMMYFUNCTION("""COMPUTED_VALUE"""),"Reed")</f>
        <v>Reed</v>
      </c>
      <c r="E4077" t="str">
        <f>IFERROR(__xludf.DUMMYFUNCTION("""COMPUTED_VALUE"""),"Trovon")</f>
        <v>Trovon</v>
      </c>
      <c r="F4077" t="str">
        <f>IFERROR(__xludf.DUMMYFUNCTION("""COMPUTED_VALUE"""),"CB")</f>
        <v>CB</v>
      </c>
      <c r="G4077">
        <f>IFERROR(__xludf.DUMMYFUNCTION("""COMPUTED_VALUE"""),13.200000000000001)</f>
        <v>13.2</v>
      </c>
    </row>
    <row r="4078">
      <c r="D4078" t="str">
        <f>IFERROR(__xludf.DUMMYFUNCTION("""COMPUTED_VALUE"""),"Reedy")</f>
        <v>Reedy</v>
      </c>
      <c r="E4078" t="str">
        <f>IFERROR(__xludf.DUMMYFUNCTION("""COMPUTED_VALUE"""),"Bernard")</f>
        <v>Bernard</v>
      </c>
      <c r="F4078" t="str">
        <f>IFERROR(__xludf.DUMMYFUNCTION("""COMPUTED_VALUE"""),"WR")</f>
        <v>WR</v>
      </c>
      <c r="G4078">
        <f>IFERROR(__xludf.DUMMYFUNCTION("""COMPUTED_VALUE"""),12.0)</f>
        <v>12</v>
      </c>
    </row>
    <row r="4079">
      <c r="D4079" t="str">
        <f>IFERROR(__xludf.DUMMYFUNCTION("""COMPUTED_VALUE"""),"Reeves-Maybin")</f>
        <v>Reeves-Maybin</v>
      </c>
      <c r="E4079" t="str">
        <f>IFERROR(__xludf.DUMMYFUNCTION("""COMPUTED_VALUE"""),"Jalen")</f>
        <v>Jalen</v>
      </c>
      <c r="F4079" t="str">
        <f>IFERROR(__xludf.DUMMYFUNCTION("""COMPUTED_VALUE"""),"LOLB")</f>
        <v>LOLB</v>
      </c>
      <c r="G4079">
        <f>IFERROR(__xludf.DUMMYFUNCTION("""COMPUTED_VALUE"""),13.4)</f>
        <v>13.4</v>
      </c>
    </row>
    <row r="4080">
      <c r="D4080" t="str">
        <f>IFERROR(__xludf.DUMMYFUNCTION("""COMPUTED_VALUE"""),"Reid")</f>
        <v>Reid</v>
      </c>
      <c r="E4080" t="str">
        <f>IFERROR(__xludf.DUMMYFUNCTION("""COMPUTED_VALUE"""),"Caraun")</f>
        <v>Caraun</v>
      </c>
      <c r="F4080" t="str">
        <f>IFERROR(__xludf.DUMMYFUNCTION("""COMPUTED_VALUE"""),"LE")</f>
        <v>LE</v>
      </c>
      <c r="G4080">
        <f>IFERROR(__xludf.DUMMYFUNCTION("""COMPUTED_VALUE"""),13.600000000000001)</f>
        <v>13.6</v>
      </c>
    </row>
    <row r="4081">
      <c r="D4081" t="str">
        <f>IFERROR(__xludf.DUMMYFUNCTION("""COMPUTED_VALUE"""),"Reid")</f>
        <v>Reid</v>
      </c>
      <c r="E4081" t="str">
        <f>IFERROR(__xludf.DUMMYFUNCTION("""COMPUTED_VALUE"""),"Eric")</f>
        <v>Eric</v>
      </c>
      <c r="F4081" t="str">
        <f>IFERROR(__xludf.DUMMYFUNCTION("""COMPUTED_VALUE"""),"SS")</f>
        <v>SS</v>
      </c>
      <c r="G4081">
        <f>IFERROR(__xludf.DUMMYFUNCTION("""COMPUTED_VALUE"""),15.4)</f>
        <v>15.4</v>
      </c>
    </row>
    <row r="4082">
      <c r="D4082" t="str">
        <f>IFERROR(__xludf.DUMMYFUNCTION("""COMPUTED_VALUE"""),"Reid")</f>
        <v>Reid</v>
      </c>
      <c r="E4082" t="str">
        <f>IFERROR(__xludf.DUMMYFUNCTION("""COMPUTED_VALUE"""),"Jah")</f>
        <v>Jah</v>
      </c>
      <c r="F4082" t="str">
        <f>IFERROR(__xludf.DUMMYFUNCTION("""COMPUTED_VALUE"""),"RT")</f>
        <v>RT</v>
      </c>
      <c r="G4082">
        <f>IFERROR(__xludf.DUMMYFUNCTION("""COMPUTED_VALUE"""),14.600000000000001)</f>
        <v>14.6</v>
      </c>
    </row>
    <row r="4083">
      <c r="D4083" t="str">
        <f>IFERROR(__xludf.DUMMYFUNCTION("""COMPUTED_VALUE"""),"Reiff")</f>
        <v>Reiff</v>
      </c>
      <c r="E4083" t="str">
        <f>IFERROR(__xludf.DUMMYFUNCTION("""COMPUTED_VALUE"""),"Riley")</f>
        <v>Riley</v>
      </c>
      <c r="F4083" t="str">
        <f>IFERROR(__xludf.DUMMYFUNCTION("""COMPUTED_VALUE"""),"LT")</f>
        <v>LT</v>
      </c>
      <c r="G4083">
        <f>IFERROR(__xludf.DUMMYFUNCTION("""COMPUTED_VALUE"""),14.200000000000001)</f>
        <v>14.2</v>
      </c>
    </row>
    <row r="4084">
      <c r="D4084" t="str">
        <f>IFERROR(__xludf.DUMMYFUNCTION("""COMPUTED_VALUE"""),"Reilly")</f>
        <v>Reilly</v>
      </c>
      <c r="E4084" t="str">
        <f>IFERROR(__xludf.DUMMYFUNCTION("""COMPUTED_VALUE"""),"Trevor")</f>
        <v>Trevor</v>
      </c>
      <c r="F4084" t="str">
        <f>IFERROR(__xludf.DUMMYFUNCTION("""COMPUTED_VALUE"""),"LOLB")</f>
        <v>LOLB</v>
      </c>
      <c r="G4084">
        <f>IFERROR(__xludf.DUMMYFUNCTION("""COMPUTED_VALUE"""),13.4)</f>
        <v>13.4</v>
      </c>
    </row>
    <row r="4085">
      <c r="D4085" t="str">
        <f>IFERROR(__xludf.DUMMYFUNCTION("""COMPUTED_VALUE"""),"Remmers")</f>
        <v>Remmers</v>
      </c>
      <c r="E4085" t="str">
        <f>IFERROR(__xludf.DUMMYFUNCTION("""COMPUTED_VALUE"""),"Mike")</f>
        <v>Mike</v>
      </c>
      <c r="F4085" t="str">
        <f>IFERROR(__xludf.DUMMYFUNCTION("""COMPUTED_VALUE"""),"RT")</f>
        <v>RT</v>
      </c>
      <c r="G4085">
        <f>IFERROR(__xludf.DUMMYFUNCTION("""COMPUTED_VALUE"""),14.600000000000001)</f>
        <v>14.6</v>
      </c>
    </row>
    <row r="4086">
      <c r="D4086" t="str">
        <f>IFERROR(__xludf.DUMMYFUNCTION("""COMPUTED_VALUE"""),"Renew")</f>
        <v>Renew</v>
      </c>
      <c r="E4086" t="str">
        <f>IFERROR(__xludf.DUMMYFUNCTION("""COMPUTED_VALUE"""),"Tyler")</f>
        <v>Tyler</v>
      </c>
      <c r="F4086" t="str">
        <f>IFERROR(__xludf.DUMMYFUNCTION("""COMPUTED_VALUE"""),"FB")</f>
        <v>FB</v>
      </c>
      <c r="G4086">
        <f>IFERROR(__xludf.DUMMYFUNCTION("""COMPUTED_VALUE"""),14.0)</f>
        <v>14</v>
      </c>
    </row>
    <row r="4087">
      <c r="D4087" t="str">
        <f>IFERROR(__xludf.DUMMYFUNCTION("""COMPUTED_VALUE"""),"Rey")</f>
        <v>Rey</v>
      </c>
      <c r="E4087" t="str">
        <f>IFERROR(__xludf.DUMMYFUNCTION("""COMPUTED_VALUE"""),"Vincent")</f>
        <v>Vincent</v>
      </c>
      <c r="F4087" t="str">
        <f>IFERROR(__xludf.DUMMYFUNCTION("""COMPUTED_VALUE"""),"MLB")</f>
        <v>MLB</v>
      </c>
      <c r="G4087">
        <f>IFERROR(__xludf.DUMMYFUNCTION("""COMPUTED_VALUE"""),16.0)</f>
        <v>16</v>
      </c>
    </row>
    <row r="4088">
      <c r="D4088" t="str">
        <f>IFERROR(__xludf.DUMMYFUNCTION("""COMPUTED_VALUE"""),"Reynolds")</f>
        <v>Reynolds</v>
      </c>
      <c r="E4088" t="str">
        <f>IFERROR(__xludf.DUMMYFUNCTION("""COMPUTED_VALUE"""),"Josh")</f>
        <v>Josh</v>
      </c>
      <c r="F4088" t="str">
        <f>IFERROR(__xludf.DUMMYFUNCTION("""COMPUTED_VALUE"""),"WR")</f>
        <v>WR</v>
      </c>
      <c r="G4088">
        <f>IFERROR(__xludf.DUMMYFUNCTION("""COMPUTED_VALUE"""),14.4)</f>
        <v>14.4</v>
      </c>
    </row>
    <row r="4089">
      <c r="D4089" t="str">
        <f>IFERROR(__xludf.DUMMYFUNCTION("""COMPUTED_VALUE"""),"Reynolds")</f>
        <v>Reynolds</v>
      </c>
      <c r="E4089" t="str">
        <f>IFERROR(__xludf.DUMMYFUNCTION("""COMPUTED_VALUE"""),"Keenan")</f>
        <v>Keenan</v>
      </c>
      <c r="F4089" t="str">
        <f>IFERROR(__xludf.DUMMYFUNCTION("""COMPUTED_VALUE"""),"WR")</f>
        <v>WR</v>
      </c>
      <c r="G4089">
        <f>IFERROR(__xludf.DUMMYFUNCTION("""COMPUTED_VALUE"""),12.200000000000001)</f>
        <v>12.2</v>
      </c>
    </row>
    <row r="4090">
      <c r="D4090" t="str">
        <f>IFERROR(__xludf.DUMMYFUNCTION("""COMPUTED_VALUE"""),"Reynolds")</f>
        <v>Reynolds</v>
      </c>
      <c r="E4090" t="str">
        <f>IFERROR(__xludf.DUMMYFUNCTION("""COMPUTED_VALUE"""),"LaRoy")</f>
        <v>LaRoy</v>
      </c>
      <c r="F4090" t="str">
        <f>IFERROR(__xludf.DUMMYFUNCTION("""COMPUTED_VALUE"""),"MLB")</f>
        <v>MLB</v>
      </c>
      <c r="G4090">
        <f>IFERROR(__xludf.DUMMYFUNCTION("""COMPUTED_VALUE"""),13.4)</f>
        <v>13.4</v>
      </c>
    </row>
    <row r="4091">
      <c r="D4091" t="str">
        <f>IFERROR(__xludf.DUMMYFUNCTION("""COMPUTED_VALUE"""),"Reynolds")</f>
        <v>Reynolds</v>
      </c>
      <c r="E4091" t="str">
        <f>IFERROR(__xludf.DUMMYFUNCTION("""COMPUTED_VALUE"""),"Taylor")</f>
        <v>Taylor</v>
      </c>
      <c r="F4091" t="str">
        <f>IFERROR(__xludf.DUMMYFUNCTION("""COMPUTED_VALUE"""),"CB")</f>
        <v>CB</v>
      </c>
      <c r="G4091">
        <f>IFERROR(__xludf.DUMMYFUNCTION("""COMPUTED_VALUE"""),11.600000000000001)</f>
        <v>11.6</v>
      </c>
    </row>
    <row r="4092">
      <c r="D4092" t="str">
        <f>IFERROR(__xludf.DUMMYFUNCTION("""COMPUTED_VALUE"""),"Reynolds II")</f>
        <v>Reynolds II</v>
      </c>
      <c r="E4092" t="str">
        <f>IFERROR(__xludf.DUMMYFUNCTION("""COMPUTED_VALUE"""),"Ed")</f>
        <v>Ed</v>
      </c>
      <c r="F4092" t="str">
        <f>IFERROR(__xludf.DUMMYFUNCTION("""COMPUTED_VALUE"""),"FS")</f>
        <v>FS</v>
      </c>
      <c r="G4092">
        <f>IFERROR(__xludf.DUMMYFUNCTION("""COMPUTED_VALUE"""),13.600000000000001)</f>
        <v>13.6</v>
      </c>
    </row>
    <row r="4093">
      <c r="D4093" t="str">
        <f>IFERROR(__xludf.DUMMYFUNCTION("""COMPUTED_VALUE"""),"Rhodes")</f>
        <v>Rhodes</v>
      </c>
      <c r="E4093" t="str">
        <f>IFERROR(__xludf.DUMMYFUNCTION("""COMPUTED_VALUE"""),"Luke")</f>
        <v>Luke</v>
      </c>
      <c r="F4093" t="str">
        <f>IFERROR(__xludf.DUMMYFUNCTION("""COMPUTED_VALUE"""),"MLB")</f>
        <v>MLB</v>
      </c>
      <c r="G4093">
        <f>IFERROR(__xludf.DUMMYFUNCTION("""COMPUTED_VALUE"""),11.600000000000001)</f>
        <v>11.6</v>
      </c>
    </row>
    <row r="4094">
      <c r="D4094" t="str">
        <f>IFERROR(__xludf.DUMMYFUNCTION("""COMPUTED_VALUE"""),"Rhodes")</f>
        <v>Rhodes</v>
      </c>
      <c r="E4094" t="str">
        <f>IFERROR(__xludf.DUMMYFUNCTION("""COMPUTED_VALUE"""),"Xavier")</f>
        <v>Xavier</v>
      </c>
      <c r="F4094" t="str">
        <f>IFERROR(__xludf.DUMMYFUNCTION("""COMPUTED_VALUE"""),"CB")</f>
        <v>CB</v>
      </c>
      <c r="G4094">
        <f>IFERROR(__xludf.DUMMYFUNCTION("""COMPUTED_VALUE"""),17.6)</f>
        <v>17.6</v>
      </c>
    </row>
    <row r="4095">
      <c r="D4095" t="str">
        <f>IFERROR(__xludf.DUMMYFUNCTION("""COMPUTED_VALUE"""),"Rice")</f>
        <v>Rice</v>
      </c>
      <c r="E4095" t="str">
        <f>IFERROR(__xludf.DUMMYFUNCTION("""COMPUTED_VALUE"""),"Denzel")</f>
        <v>Denzel</v>
      </c>
      <c r="F4095" t="str">
        <f>IFERROR(__xludf.DUMMYFUNCTION("""COMPUTED_VALUE"""),"CB")</f>
        <v>CB</v>
      </c>
      <c r="G4095">
        <f>IFERROR(__xludf.DUMMYFUNCTION("""COMPUTED_VALUE"""),12.4)</f>
        <v>12.4</v>
      </c>
    </row>
    <row r="4096">
      <c r="D4096" t="str">
        <f>IFERROR(__xludf.DUMMYFUNCTION("""COMPUTED_VALUE"""),"Richard")</f>
        <v>Richard</v>
      </c>
      <c r="E4096" t="str">
        <f>IFERROR(__xludf.DUMMYFUNCTION("""COMPUTED_VALUE"""),"Jalen")</f>
        <v>Jalen</v>
      </c>
      <c r="F4096" t="str">
        <f>IFERROR(__xludf.DUMMYFUNCTION("""COMPUTED_VALUE"""),"HB")</f>
        <v>HB</v>
      </c>
      <c r="G4096">
        <f>IFERROR(__xludf.DUMMYFUNCTION("""COMPUTED_VALUE"""),15.4)</f>
        <v>15.4</v>
      </c>
    </row>
    <row r="4097">
      <c r="D4097" t="str">
        <f>IFERROR(__xludf.DUMMYFUNCTION("""COMPUTED_VALUE"""),"Richards")</f>
        <v>Richards</v>
      </c>
      <c r="E4097" t="str">
        <f>IFERROR(__xludf.DUMMYFUNCTION("""COMPUTED_VALUE"""),"Jordan")</f>
        <v>Jordan</v>
      </c>
      <c r="F4097" t="str">
        <f>IFERROR(__xludf.DUMMYFUNCTION("""COMPUTED_VALUE"""),"SS")</f>
        <v>SS</v>
      </c>
      <c r="G4097">
        <f>IFERROR(__xludf.DUMMYFUNCTION("""COMPUTED_VALUE"""),13.4)</f>
        <v>13.4</v>
      </c>
    </row>
    <row r="4098">
      <c r="D4098" t="str">
        <f>IFERROR(__xludf.DUMMYFUNCTION("""COMPUTED_VALUE"""),"Richardson")</f>
        <v>Richardson</v>
      </c>
      <c r="E4098" t="str">
        <f>IFERROR(__xludf.DUMMYFUNCTION("""COMPUTED_VALUE"""),"Cyril")</f>
        <v>Cyril</v>
      </c>
      <c r="F4098" t="str">
        <f>IFERROR(__xludf.DUMMYFUNCTION("""COMPUTED_VALUE"""),"LG")</f>
        <v>LG</v>
      </c>
      <c r="G4098">
        <f>IFERROR(__xludf.DUMMYFUNCTION("""COMPUTED_VALUE"""),12.600000000000001)</f>
        <v>12.6</v>
      </c>
    </row>
    <row r="4099">
      <c r="D4099" t="str">
        <f>IFERROR(__xludf.DUMMYFUNCTION("""COMPUTED_VALUE"""),"Richardson")</f>
        <v>Richardson</v>
      </c>
      <c r="E4099" t="str">
        <f>IFERROR(__xludf.DUMMYFUNCTION("""COMPUTED_VALUE"""),"Paul")</f>
        <v>Paul</v>
      </c>
      <c r="F4099" t="str">
        <f>IFERROR(__xludf.DUMMYFUNCTION("""COMPUTED_VALUE"""),"WR")</f>
        <v>WR</v>
      </c>
      <c r="G4099">
        <f>IFERROR(__xludf.DUMMYFUNCTION("""COMPUTED_VALUE"""),15.0)</f>
        <v>15</v>
      </c>
    </row>
    <row r="4100">
      <c r="D4100" t="str">
        <f>IFERROR(__xludf.DUMMYFUNCTION("""COMPUTED_VALUE"""),"Richardson")</f>
        <v>Richardson</v>
      </c>
      <c r="E4100" t="str">
        <f>IFERROR(__xludf.DUMMYFUNCTION("""COMPUTED_VALUE"""),"Sheldon")</f>
        <v>Sheldon</v>
      </c>
      <c r="F4100" t="str">
        <f>IFERROR(__xludf.DUMMYFUNCTION("""COMPUTED_VALUE"""),"ROLB")</f>
        <v>ROLB</v>
      </c>
      <c r="G4100">
        <f>IFERROR(__xludf.DUMMYFUNCTION("""COMPUTED_VALUE"""),16.2)</f>
        <v>16.2</v>
      </c>
    </row>
    <row r="4101">
      <c r="D4101" t="str">
        <f>IFERROR(__xludf.DUMMYFUNCTION("""COMPUTED_VALUE"""),"Richburg")</f>
        <v>Richburg</v>
      </c>
      <c r="E4101" t="str">
        <f>IFERROR(__xludf.DUMMYFUNCTION("""COMPUTED_VALUE"""),"Weston")</f>
        <v>Weston</v>
      </c>
      <c r="F4101" t="str">
        <f>IFERROR(__xludf.DUMMYFUNCTION("""COMPUTED_VALUE"""),"C")</f>
        <v>C</v>
      </c>
      <c r="G4101">
        <f>IFERROR(__xludf.DUMMYFUNCTION("""COMPUTED_VALUE"""),17.2)</f>
        <v>17.2</v>
      </c>
    </row>
    <row r="4102">
      <c r="D4102" t="str">
        <f>IFERROR(__xludf.DUMMYFUNCTION("""COMPUTED_VALUE"""),"Riddick")</f>
        <v>Riddick</v>
      </c>
      <c r="E4102" t="str">
        <f>IFERROR(__xludf.DUMMYFUNCTION("""COMPUTED_VALUE"""),"Theo")</f>
        <v>Theo</v>
      </c>
      <c r="F4102" t="str">
        <f>IFERROR(__xludf.DUMMYFUNCTION("""COMPUTED_VALUE"""),"HB")</f>
        <v>HB</v>
      </c>
      <c r="G4102">
        <f>IFERROR(__xludf.DUMMYFUNCTION("""COMPUTED_VALUE"""),16.400000000000002)</f>
        <v>16.4</v>
      </c>
    </row>
    <row r="4103">
      <c r="D4103" t="str">
        <f>IFERROR(__xludf.DUMMYFUNCTION("""COMPUTED_VALUE"""),"Ridgeway")</f>
        <v>Ridgeway</v>
      </c>
      <c r="E4103" t="str">
        <f>IFERROR(__xludf.DUMMYFUNCTION("""COMPUTED_VALUE"""),"Hassan")</f>
        <v>Hassan</v>
      </c>
      <c r="F4103" t="str">
        <f>IFERROR(__xludf.DUMMYFUNCTION("""COMPUTED_VALUE"""),"LE")</f>
        <v>LE</v>
      </c>
      <c r="G4103">
        <f>IFERROR(__xludf.DUMMYFUNCTION("""COMPUTED_VALUE"""),13.8)</f>
        <v>13.8</v>
      </c>
    </row>
    <row r="4104">
      <c r="D4104" t="str">
        <f>IFERROR(__xludf.DUMMYFUNCTION("""COMPUTED_VALUE"""),"Riggs")</f>
        <v>Riggs</v>
      </c>
      <c r="E4104" t="str">
        <f>IFERROR(__xludf.DUMMYFUNCTION("""COMPUTED_VALUE"""),"Cody")</f>
        <v>Cody</v>
      </c>
      <c r="F4104" t="str">
        <f>IFERROR(__xludf.DUMMYFUNCTION("""COMPUTED_VALUE"""),"CB")</f>
        <v>CB</v>
      </c>
      <c r="G4104">
        <f>IFERROR(__xludf.DUMMYFUNCTION("""COMPUTED_VALUE"""),14.200000000000001)</f>
        <v>14.2</v>
      </c>
    </row>
    <row r="4105">
      <c r="D4105" t="str">
        <f>IFERROR(__xludf.DUMMYFUNCTION("""COMPUTED_VALUE"""),"Riley")</f>
        <v>Riley</v>
      </c>
      <c r="E4105" t="str">
        <f>IFERROR(__xludf.DUMMYFUNCTION("""COMPUTED_VALUE"""),"Curtis")</f>
        <v>Curtis</v>
      </c>
      <c r="F4105" t="str">
        <f>IFERROR(__xludf.DUMMYFUNCTION("""COMPUTED_VALUE"""),"FS")</f>
        <v>FS</v>
      </c>
      <c r="G4105">
        <f>IFERROR(__xludf.DUMMYFUNCTION("""COMPUTED_VALUE"""),12.200000000000001)</f>
        <v>12.2</v>
      </c>
    </row>
    <row r="4106">
      <c r="D4106" t="str">
        <f>IFERROR(__xludf.DUMMYFUNCTION("""COMPUTED_VALUE"""),"Riley")</f>
        <v>Riley</v>
      </c>
      <c r="E4106" t="str">
        <f>IFERROR(__xludf.DUMMYFUNCTION("""COMPUTED_VALUE"""),"Duke")</f>
        <v>Duke</v>
      </c>
      <c r="F4106" t="str">
        <f>IFERROR(__xludf.DUMMYFUNCTION("""COMPUTED_VALUE"""),"ROLB")</f>
        <v>ROLB</v>
      </c>
      <c r="G4106">
        <f>IFERROR(__xludf.DUMMYFUNCTION("""COMPUTED_VALUE"""),14.200000000000001)</f>
        <v>14.2</v>
      </c>
    </row>
    <row r="4107">
      <c r="D4107" t="str">
        <f>IFERROR(__xludf.DUMMYFUNCTION("""COMPUTED_VALUE"""),"Ringo")</f>
        <v>Ringo</v>
      </c>
      <c r="E4107" t="str">
        <f>IFERROR(__xludf.DUMMYFUNCTION("""COMPUTED_VALUE"""),"Christian")</f>
        <v>Christian</v>
      </c>
      <c r="F4107" t="str">
        <f>IFERROR(__xludf.DUMMYFUNCTION("""COMPUTED_VALUE"""),"DT")</f>
        <v>DT</v>
      </c>
      <c r="G4107">
        <f>IFERROR(__xludf.DUMMYFUNCTION("""COMPUTED_VALUE"""),13.200000000000001)</f>
        <v>13.2</v>
      </c>
    </row>
    <row r="4108">
      <c r="D4108" t="str">
        <f>IFERROR(__xludf.DUMMYFUNCTION("""COMPUTED_VALUE"""),"Ripkowski")</f>
        <v>Ripkowski</v>
      </c>
      <c r="E4108" t="str">
        <f>IFERROR(__xludf.DUMMYFUNCTION("""COMPUTED_VALUE"""),"Aaron")</f>
        <v>Aaron</v>
      </c>
      <c r="F4108" t="str">
        <f>IFERROR(__xludf.DUMMYFUNCTION("""COMPUTED_VALUE"""),"FB")</f>
        <v>FB</v>
      </c>
      <c r="G4108">
        <f>IFERROR(__xludf.DUMMYFUNCTION("""COMPUTED_VALUE"""),16.6)</f>
        <v>16.6</v>
      </c>
    </row>
    <row r="4109">
      <c r="D4109" t="str">
        <f>IFERROR(__xludf.DUMMYFUNCTION("""COMPUTED_VALUE"""),"Rivera")</f>
        <v>Rivera</v>
      </c>
      <c r="E4109" t="str">
        <f>IFERROR(__xludf.DUMMYFUNCTION("""COMPUTED_VALUE"""),"Mychal")</f>
        <v>Mychal</v>
      </c>
      <c r="F4109" t="str">
        <f>IFERROR(__xludf.DUMMYFUNCTION("""COMPUTED_VALUE"""),"TE")</f>
        <v>TE</v>
      </c>
      <c r="G4109">
        <f>IFERROR(__xludf.DUMMYFUNCTION("""COMPUTED_VALUE"""),14.600000000000001)</f>
        <v>14.6</v>
      </c>
    </row>
    <row r="4110">
      <c r="D4110" t="str">
        <f>IFERROR(__xludf.DUMMYFUNCTION("""COMPUTED_VALUE"""),"Rivers")</f>
        <v>Rivers</v>
      </c>
      <c r="E4110" t="str">
        <f>IFERROR(__xludf.DUMMYFUNCTION("""COMPUTED_VALUE"""),"Derek")</f>
        <v>Derek</v>
      </c>
      <c r="F4110" t="str">
        <f>IFERROR(__xludf.DUMMYFUNCTION("""COMPUTED_VALUE"""),"ROLB")</f>
        <v>ROLB</v>
      </c>
      <c r="G4110">
        <f>IFERROR(__xludf.DUMMYFUNCTION("""COMPUTED_VALUE"""),14.4)</f>
        <v>14.4</v>
      </c>
    </row>
    <row r="4111">
      <c r="D4111" t="str">
        <f>IFERROR(__xludf.DUMMYFUNCTION("""COMPUTED_VALUE"""),"Rivers")</f>
        <v>Rivers</v>
      </c>
      <c r="E4111" t="str">
        <f>IFERROR(__xludf.DUMMYFUNCTION("""COMPUTED_VALUE"""),"Philip")</f>
        <v>Philip</v>
      </c>
      <c r="F4111" t="str">
        <f>IFERROR(__xludf.DUMMYFUNCTION("""COMPUTED_VALUE"""),"QB")</f>
        <v>QB</v>
      </c>
      <c r="G4111">
        <f>IFERROR(__xludf.DUMMYFUNCTION("""COMPUTED_VALUE"""),16.8)</f>
        <v>16.8</v>
      </c>
    </row>
    <row r="4112">
      <c r="D4112" t="str">
        <f>IFERROR(__xludf.DUMMYFUNCTION("""COMPUTED_VALUE"""),"Roberson")</f>
        <v>Roberson</v>
      </c>
      <c r="E4112" t="str">
        <f>IFERROR(__xludf.DUMMYFUNCTION("""COMPUTED_VALUE"""),"Marcus")</f>
        <v>Marcus</v>
      </c>
      <c r="F4112" t="str">
        <f>IFERROR(__xludf.DUMMYFUNCTION("""COMPUTED_VALUE"""),"CB")</f>
        <v>CB</v>
      </c>
      <c r="G4112">
        <f>IFERROR(__xludf.DUMMYFUNCTION("""COMPUTED_VALUE"""),13.600000000000001)</f>
        <v>13.6</v>
      </c>
    </row>
    <row r="4113">
      <c r="D4113" t="str">
        <f>IFERROR(__xludf.DUMMYFUNCTION("""COMPUTED_VALUE"""),"Roberts")</f>
        <v>Roberts</v>
      </c>
      <c r="E4113" t="str">
        <f>IFERROR(__xludf.DUMMYFUNCTION("""COMPUTED_VALUE"""),"Andre")</f>
        <v>Andre</v>
      </c>
      <c r="F4113" t="str">
        <f>IFERROR(__xludf.DUMMYFUNCTION("""COMPUTED_VALUE"""),"WR")</f>
        <v>WR</v>
      </c>
      <c r="G4113">
        <f>IFERROR(__xludf.DUMMYFUNCTION("""COMPUTED_VALUE"""),14.4)</f>
        <v>14.4</v>
      </c>
    </row>
    <row r="4114">
      <c r="D4114" t="str">
        <f>IFERROR(__xludf.DUMMYFUNCTION("""COMPUTED_VALUE"""),"Roberts")</f>
        <v>Roberts</v>
      </c>
      <c r="E4114" t="str">
        <f>IFERROR(__xludf.DUMMYFUNCTION("""COMPUTED_VALUE"""),"Darryl")</f>
        <v>Darryl</v>
      </c>
      <c r="F4114" t="str">
        <f>IFERROR(__xludf.DUMMYFUNCTION("""COMPUTED_VALUE"""),"CB")</f>
        <v>CB</v>
      </c>
      <c r="G4114">
        <f>IFERROR(__xludf.DUMMYFUNCTION("""COMPUTED_VALUE"""),13.600000000000001)</f>
        <v>13.6</v>
      </c>
    </row>
    <row r="4115">
      <c r="D4115" t="str">
        <f>IFERROR(__xludf.DUMMYFUNCTION("""COMPUTED_VALUE"""),"Roberts")</f>
        <v>Roberts</v>
      </c>
      <c r="E4115" t="str">
        <f>IFERROR(__xludf.DUMMYFUNCTION("""COMPUTED_VALUE"""),"Elandon")</f>
        <v>Elandon</v>
      </c>
      <c r="F4115" t="str">
        <f>IFERROR(__xludf.DUMMYFUNCTION("""COMPUTED_VALUE"""),"LOLB")</f>
        <v>LOLB</v>
      </c>
      <c r="G4115">
        <f>IFERROR(__xludf.DUMMYFUNCTION("""COMPUTED_VALUE"""),15.0)</f>
        <v>15</v>
      </c>
    </row>
    <row r="4116">
      <c r="D4116" t="str">
        <f>IFERROR(__xludf.DUMMYFUNCTION("""COMPUTED_VALUE"""),"Roberts")</f>
        <v>Roberts</v>
      </c>
      <c r="E4116" t="str">
        <f>IFERROR(__xludf.DUMMYFUNCTION("""COMPUTED_VALUE"""),"Michael")</f>
        <v>Michael</v>
      </c>
      <c r="F4116" t="str">
        <f>IFERROR(__xludf.DUMMYFUNCTION("""COMPUTED_VALUE"""),"TE")</f>
        <v>TE</v>
      </c>
      <c r="G4116">
        <f>IFERROR(__xludf.DUMMYFUNCTION("""COMPUTED_VALUE"""),14.200000000000001)</f>
        <v>14.2</v>
      </c>
    </row>
    <row r="4117">
      <c r="D4117" t="str">
        <f>IFERROR(__xludf.DUMMYFUNCTION("""COMPUTED_VALUE"""),"Roberts")</f>
        <v>Roberts</v>
      </c>
      <c r="E4117" t="str">
        <f>IFERROR(__xludf.DUMMYFUNCTION("""COMPUTED_VALUE"""),"Seth")</f>
        <v>Seth</v>
      </c>
      <c r="F4117" t="str">
        <f>IFERROR(__xludf.DUMMYFUNCTION("""COMPUTED_VALUE"""),"WR")</f>
        <v>WR</v>
      </c>
      <c r="G4117">
        <f>IFERROR(__xludf.DUMMYFUNCTION("""COMPUTED_VALUE"""),14.600000000000001)</f>
        <v>14.6</v>
      </c>
    </row>
    <row r="4118">
      <c r="D4118" t="str">
        <f>IFERROR(__xludf.DUMMYFUNCTION("""COMPUTED_VALUE"""),"Robertson")</f>
        <v>Robertson</v>
      </c>
      <c r="E4118" t="str">
        <f>IFERROR(__xludf.DUMMYFUNCTION("""COMPUTED_VALUE"""),"Craig")</f>
        <v>Craig</v>
      </c>
      <c r="F4118" t="str">
        <f>IFERROR(__xludf.DUMMYFUNCTION("""COMPUTED_VALUE"""),"MLB")</f>
        <v>MLB</v>
      </c>
      <c r="G4118">
        <f>IFERROR(__xludf.DUMMYFUNCTION("""COMPUTED_VALUE"""),15.4)</f>
        <v>15.4</v>
      </c>
    </row>
    <row r="4119">
      <c r="D4119" t="str">
        <f>IFERROR(__xludf.DUMMYFUNCTION("""COMPUTED_VALUE"""),"Robertson-Harris")</f>
        <v>Robertson-Harris</v>
      </c>
      <c r="E4119" t="str">
        <f>IFERROR(__xludf.DUMMYFUNCTION("""COMPUTED_VALUE"""),"Roy")</f>
        <v>Roy</v>
      </c>
      <c r="F4119" t="str">
        <f>IFERROR(__xludf.DUMMYFUNCTION("""COMPUTED_VALUE"""),"LOLB")</f>
        <v>LOLB</v>
      </c>
      <c r="G4119">
        <f>IFERROR(__xludf.DUMMYFUNCTION("""COMPUTED_VALUE"""),12.0)</f>
        <v>12</v>
      </c>
    </row>
    <row r="4120">
      <c r="D4120" t="str">
        <f>IFERROR(__xludf.DUMMYFUNCTION("""COMPUTED_VALUE"""),"Robey-Coleman")</f>
        <v>Robey-Coleman</v>
      </c>
      <c r="E4120" t="str">
        <f>IFERROR(__xludf.DUMMYFUNCTION("""COMPUTED_VALUE"""),"Nickell")</f>
        <v>Nickell</v>
      </c>
      <c r="F4120" t="str">
        <f>IFERROR(__xludf.DUMMYFUNCTION("""COMPUTED_VALUE"""),"CB")</f>
        <v>CB</v>
      </c>
      <c r="G4120">
        <f>IFERROR(__xludf.DUMMYFUNCTION("""COMPUTED_VALUE"""),15.8)</f>
        <v>15.8</v>
      </c>
    </row>
    <row r="4121">
      <c r="D4121" t="str">
        <f>IFERROR(__xludf.DUMMYFUNCTION("""COMPUTED_VALUE"""),"Robinson")</f>
        <v>Robinson</v>
      </c>
      <c r="E4121" t="str">
        <f>IFERROR(__xludf.DUMMYFUNCTION("""COMPUTED_VALUE"""),"Aldrick")</f>
        <v>Aldrick</v>
      </c>
      <c r="F4121" t="str">
        <f>IFERROR(__xludf.DUMMYFUNCTION("""COMPUTED_VALUE"""),"WR")</f>
        <v>WR</v>
      </c>
      <c r="G4121">
        <f>IFERROR(__xludf.DUMMYFUNCTION("""COMPUTED_VALUE"""),14.4)</f>
        <v>14.4</v>
      </c>
    </row>
    <row r="4122">
      <c r="D4122" t="str">
        <f>IFERROR(__xludf.DUMMYFUNCTION("""COMPUTED_VALUE"""),"Robinson")</f>
        <v>Robinson</v>
      </c>
      <c r="E4122" t="str">
        <f>IFERROR(__xludf.DUMMYFUNCTION("""COMPUTED_VALUE"""),"Allen")</f>
        <v>Allen</v>
      </c>
      <c r="F4122" t="str">
        <f>IFERROR(__xludf.DUMMYFUNCTION("""COMPUTED_VALUE"""),"WR")</f>
        <v>WR</v>
      </c>
      <c r="G4122">
        <f>IFERROR(__xludf.DUMMYFUNCTION("""COMPUTED_VALUE"""),17.400000000000002)</f>
        <v>17.4</v>
      </c>
    </row>
    <row r="4123">
      <c r="D4123" t="str">
        <f>IFERROR(__xludf.DUMMYFUNCTION("""COMPUTED_VALUE"""),"Robinson")</f>
        <v>Robinson</v>
      </c>
      <c r="E4123" t="str">
        <f>IFERROR(__xludf.DUMMYFUNCTION("""COMPUTED_VALUE"""),"AShawn")</f>
        <v>AShawn</v>
      </c>
      <c r="F4123" t="str">
        <f>IFERROR(__xludf.DUMMYFUNCTION("""COMPUTED_VALUE"""),"DT")</f>
        <v>DT</v>
      </c>
      <c r="G4123">
        <f>IFERROR(__xludf.DUMMYFUNCTION("""COMPUTED_VALUE"""),14.4)</f>
        <v>14.4</v>
      </c>
    </row>
    <row r="4124">
      <c r="D4124" t="str">
        <f>IFERROR(__xludf.DUMMYFUNCTION("""COMPUTED_VALUE"""),"Robinson")</f>
        <v>Robinson</v>
      </c>
      <c r="E4124" t="str">
        <f>IFERROR(__xludf.DUMMYFUNCTION("""COMPUTED_VALUE"""),"Cam")</f>
        <v>Cam</v>
      </c>
      <c r="F4124" t="str">
        <f>IFERROR(__xludf.DUMMYFUNCTION("""COMPUTED_VALUE"""),"LT")</f>
        <v>LT</v>
      </c>
      <c r="G4124">
        <f>IFERROR(__xludf.DUMMYFUNCTION("""COMPUTED_VALUE"""),15.200000000000001)</f>
        <v>15.2</v>
      </c>
    </row>
    <row r="4125">
      <c r="D4125" t="str">
        <f>IFERROR(__xludf.DUMMYFUNCTION("""COMPUTED_VALUE"""),"Robinson")</f>
        <v>Robinson</v>
      </c>
      <c r="E4125" t="str">
        <f>IFERROR(__xludf.DUMMYFUNCTION("""COMPUTED_VALUE"""),"Corey")</f>
        <v>Corey</v>
      </c>
      <c r="F4125" t="str">
        <f>IFERROR(__xludf.DUMMYFUNCTION("""COMPUTED_VALUE"""),"LT")</f>
        <v>LT</v>
      </c>
      <c r="G4125">
        <f>IFERROR(__xludf.DUMMYFUNCTION("""COMPUTED_VALUE"""),14.0)</f>
        <v>14</v>
      </c>
    </row>
    <row r="4126">
      <c r="D4126" t="str">
        <f>IFERROR(__xludf.DUMMYFUNCTION("""COMPUTED_VALUE"""),"Robinson")</f>
        <v>Robinson</v>
      </c>
      <c r="E4126" t="str">
        <f>IFERROR(__xludf.DUMMYFUNCTION("""COMPUTED_VALUE"""),"Demarcus")</f>
        <v>Demarcus</v>
      </c>
      <c r="F4126" t="str">
        <f>IFERROR(__xludf.DUMMYFUNCTION("""COMPUTED_VALUE"""),"WR")</f>
        <v>WR</v>
      </c>
      <c r="G4126">
        <f>IFERROR(__xludf.DUMMYFUNCTION("""COMPUTED_VALUE"""),13.0)</f>
        <v>13</v>
      </c>
    </row>
    <row r="4127">
      <c r="D4127" t="str">
        <f>IFERROR(__xludf.DUMMYFUNCTION("""COMPUTED_VALUE"""),"Robinson")</f>
        <v>Robinson</v>
      </c>
      <c r="E4127" t="str">
        <f>IFERROR(__xludf.DUMMYFUNCTION("""COMPUTED_VALUE"""),"Edmond")</f>
        <v>Edmond</v>
      </c>
      <c r="F4127" t="str">
        <f>IFERROR(__xludf.DUMMYFUNCTION("""COMPUTED_VALUE"""),"LOLB")</f>
        <v>LOLB</v>
      </c>
      <c r="G4127">
        <f>IFERROR(__xludf.DUMMYFUNCTION("""COMPUTED_VALUE"""),11.200000000000001)</f>
        <v>11.2</v>
      </c>
    </row>
    <row r="4128">
      <c r="D4128" t="str">
        <f>IFERROR(__xludf.DUMMYFUNCTION("""COMPUTED_VALUE"""),"Robinson")</f>
        <v>Robinson</v>
      </c>
      <c r="E4128" t="str">
        <f>IFERROR(__xludf.DUMMYFUNCTION("""COMPUTED_VALUE"""),"Ezra")</f>
        <v>Ezra</v>
      </c>
      <c r="F4128" t="str">
        <f>IFERROR(__xludf.DUMMYFUNCTION("""COMPUTED_VALUE"""),"CB")</f>
        <v>CB</v>
      </c>
      <c r="G4128">
        <f>IFERROR(__xludf.DUMMYFUNCTION("""COMPUTED_VALUE"""),12.4)</f>
        <v>12.4</v>
      </c>
    </row>
    <row r="4129">
      <c r="D4129" t="str">
        <f>IFERROR(__xludf.DUMMYFUNCTION("""COMPUTED_VALUE"""),"Robinson")</f>
        <v>Robinson</v>
      </c>
      <c r="E4129" t="str">
        <f>IFERROR(__xludf.DUMMYFUNCTION("""COMPUTED_VALUE"""),"Greg")</f>
        <v>Greg</v>
      </c>
      <c r="F4129" t="str">
        <f>IFERROR(__xludf.DUMMYFUNCTION("""COMPUTED_VALUE"""),"LT")</f>
        <v>LT</v>
      </c>
      <c r="G4129">
        <f>IFERROR(__xludf.DUMMYFUNCTION("""COMPUTED_VALUE"""),14.200000000000001)</f>
        <v>14.2</v>
      </c>
    </row>
    <row r="4130">
      <c r="D4130" t="str">
        <f>IFERROR(__xludf.DUMMYFUNCTION("""COMPUTED_VALUE"""),"Robinson")</f>
        <v>Robinson</v>
      </c>
      <c r="E4130" t="str">
        <f>IFERROR(__xludf.DUMMYFUNCTION("""COMPUTED_VALUE"""),"Josh")</f>
        <v>Josh</v>
      </c>
      <c r="F4130" t="str">
        <f>IFERROR(__xludf.DUMMYFUNCTION("""COMPUTED_VALUE"""),"CB")</f>
        <v>CB</v>
      </c>
      <c r="G4130">
        <f>IFERROR(__xludf.DUMMYFUNCTION("""COMPUTED_VALUE"""),14.4)</f>
        <v>14.4</v>
      </c>
    </row>
    <row r="4131">
      <c r="D4131" t="str">
        <f>IFERROR(__xludf.DUMMYFUNCTION("""COMPUTED_VALUE"""),"Robinson")</f>
        <v>Robinson</v>
      </c>
      <c r="E4131" t="str">
        <f>IFERROR(__xludf.DUMMYFUNCTION("""COMPUTED_VALUE"""),"Keenan")</f>
        <v>Keenan</v>
      </c>
      <c r="F4131" t="str">
        <f>IFERROR(__xludf.DUMMYFUNCTION("""COMPUTED_VALUE"""),"MLB")</f>
        <v>MLB</v>
      </c>
      <c r="G4131">
        <f>IFERROR(__xludf.DUMMYFUNCTION("""COMPUTED_VALUE"""),14.4)</f>
        <v>14.4</v>
      </c>
    </row>
    <row r="4132">
      <c r="D4132" t="str">
        <f>IFERROR(__xludf.DUMMYFUNCTION("""COMPUTED_VALUE"""),"Robinson")</f>
        <v>Robinson</v>
      </c>
      <c r="E4132" t="str">
        <f>IFERROR(__xludf.DUMMYFUNCTION("""COMPUTED_VALUE"""),"Patrick")</f>
        <v>Patrick</v>
      </c>
      <c r="F4132" t="str">
        <f>IFERROR(__xludf.DUMMYFUNCTION("""COMPUTED_VALUE"""),"CB")</f>
        <v>CB</v>
      </c>
      <c r="G4132">
        <f>IFERROR(__xludf.DUMMYFUNCTION("""COMPUTED_VALUE"""),15.4)</f>
        <v>15.4</v>
      </c>
    </row>
    <row r="4133">
      <c r="D4133" t="str">
        <f>IFERROR(__xludf.DUMMYFUNCTION("""COMPUTED_VALUE"""),"Robinson")</f>
        <v>Robinson</v>
      </c>
      <c r="E4133" t="str">
        <f>IFERROR(__xludf.DUMMYFUNCTION("""COMPUTED_VALUE"""),"Rashard")</f>
        <v>Rashard</v>
      </c>
      <c r="F4133" t="str">
        <f>IFERROR(__xludf.DUMMYFUNCTION("""COMPUTED_VALUE"""),"CB")</f>
        <v>CB</v>
      </c>
      <c r="G4133">
        <f>IFERROR(__xludf.DUMMYFUNCTION("""COMPUTED_VALUE"""),15.200000000000001)</f>
        <v>15.2</v>
      </c>
    </row>
    <row r="4134">
      <c r="D4134" t="str">
        <f>IFERROR(__xludf.DUMMYFUNCTION("""COMPUTED_VALUE"""),"Robinson")</f>
        <v>Robinson</v>
      </c>
      <c r="E4134" t="str">
        <f>IFERROR(__xludf.DUMMYFUNCTION("""COMPUTED_VALUE"""),"Trevor")</f>
        <v>Trevor</v>
      </c>
      <c r="F4134" t="str">
        <f>IFERROR(__xludf.DUMMYFUNCTION("""COMPUTED_VALUE"""),"C")</f>
        <v>C</v>
      </c>
      <c r="G4134">
        <f>IFERROR(__xludf.DUMMYFUNCTION("""COMPUTED_VALUE"""),12.8)</f>
        <v>12.8</v>
      </c>
    </row>
    <row r="4135">
      <c r="D4135" t="str">
        <f>IFERROR(__xludf.DUMMYFUNCTION("""COMPUTED_VALUE"""),"Robison")</f>
        <v>Robison</v>
      </c>
      <c r="E4135" t="str">
        <f>IFERROR(__xludf.DUMMYFUNCTION("""COMPUTED_VALUE"""),"Brian")</f>
        <v>Brian</v>
      </c>
      <c r="F4135" t="str">
        <f>IFERROR(__xludf.DUMMYFUNCTION("""COMPUTED_VALUE"""),"LE")</f>
        <v>LE</v>
      </c>
      <c r="G4135">
        <f>IFERROR(__xludf.DUMMYFUNCTION("""COMPUTED_VALUE"""),16.0)</f>
        <v>16</v>
      </c>
    </row>
    <row r="4136">
      <c r="D4136" t="str">
        <f>IFERROR(__xludf.DUMMYFUNCTION("""COMPUTED_VALUE"""),"Roby")</f>
        <v>Roby</v>
      </c>
      <c r="E4136" t="str">
        <f>IFERROR(__xludf.DUMMYFUNCTION("""COMPUTED_VALUE"""),"Bradley")</f>
        <v>Bradley</v>
      </c>
      <c r="F4136" t="str">
        <f>IFERROR(__xludf.DUMMYFUNCTION("""COMPUTED_VALUE"""),"CB")</f>
        <v>CB</v>
      </c>
      <c r="G4136">
        <f>IFERROR(__xludf.DUMMYFUNCTION("""COMPUTED_VALUE"""),15.4)</f>
        <v>15.4</v>
      </c>
    </row>
    <row r="4137">
      <c r="D4137" t="str">
        <f>IFERROR(__xludf.DUMMYFUNCTION("""COMPUTED_VALUE"""),"Rochell")</f>
        <v>Rochell</v>
      </c>
      <c r="E4137" t="str">
        <f>IFERROR(__xludf.DUMMYFUNCTION("""COMPUTED_VALUE"""),"Isaac")</f>
        <v>Isaac</v>
      </c>
      <c r="F4137" t="str">
        <f>IFERROR(__xludf.DUMMYFUNCTION("""COMPUTED_VALUE"""),"DT")</f>
        <v>DT</v>
      </c>
      <c r="G4137">
        <f>IFERROR(__xludf.DUMMYFUNCTION("""COMPUTED_VALUE"""),13.600000000000001)</f>
        <v>13.6</v>
      </c>
    </row>
    <row r="4138">
      <c r="D4138" t="str">
        <f>IFERROR(__xludf.DUMMYFUNCTION("""COMPUTED_VALUE"""),"Rodgers")</f>
        <v>Rodgers</v>
      </c>
      <c r="E4138" t="str">
        <f>IFERROR(__xludf.DUMMYFUNCTION("""COMPUTED_VALUE"""),"Aaron")</f>
        <v>Aaron</v>
      </c>
      <c r="F4138" t="str">
        <f>IFERROR(__xludf.DUMMYFUNCTION("""COMPUTED_VALUE"""),"QB")</f>
        <v>QB</v>
      </c>
      <c r="G4138">
        <f>IFERROR(__xludf.DUMMYFUNCTION("""COMPUTED_VALUE"""),19.6)</f>
        <v>19.6</v>
      </c>
    </row>
    <row r="4139">
      <c r="D4139" t="str">
        <f>IFERROR(__xludf.DUMMYFUNCTION("""COMPUTED_VALUE"""),"Rodgers")</f>
        <v>Rodgers</v>
      </c>
      <c r="E4139" t="str">
        <f>IFERROR(__xludf.DUMMYFUNCTION("""COMPUTED_VALUE"""),"Jacquizz")</f>
        <v>Jacquizz</v>
      </c>
      <c r="F4139" t="str">
        <f>IFERROR(__xludf.DUMMYFUNCTION("""COMPUTED_VALUE"""),"HB")</f>
        <v>HB</v>
      </c>
      <c r="G4139">
        <f>IFERROR(__xludf.DUMMYFUNCTION("""COMPUTED_VALUE"""),15.600000000000001)</f>
        <v>15.6</v>
      </c>
    </row>
    <row r="4140">
      <c r="D4140" t="str">
        <f>IFERROR(__xludf.DUMMYFUNCTION("""COMPUTED_VALUE"""),"Rodgers")</f>
        <v>Rodgers</v>
      </c>
      <c r="E4140" t="str">
        <f>IFERROR(__xludf.DUMMYFUNCTION("""COMPUTED_VALUE"""),"Jake")</f>
        <v>Jake</v>
      </c>
      <c r="F4140" t="str">
        <f>IFERROR(__xludf.DUMMYFUNCTION("""COMPUTED_VALUE"""),"LT")</f>
        <v>LT</v>
      </c>
      <c r="G4140">
        <f>IFERROR(__xludf.DUMMYFUNCTION("""COMPUTED_VALUE"""),13.0)</f>
        <v>13</v>
      </c>
    </row>
    <row r="4141">
      <c r="D4141" t="str">
        <f>IFERROR(__xludf.DUMMYFUNCTION("""COMPUTED_VALUE"""),"Rodgers")</f>
        <v>Rodgers</v>
      </c>
      <c r="E4141" t="str">
        <f>IFERROR(__xludf.DUMMYFUNCTION("""COMPUTED_VALUE"""),"Richard")</f>
        <v>Richard</v>
      </c>
      <c r="F4141" t="str">
        <f>IFERROR(__xludf.DUMMYFUNCTION("""COMPUTED_VALUE"""),"TE")</f>
        <v>TE</v>
      </c>
      <c r="G4141">
        <f>IFERROR(__xludf.DUMMYFUNCTION("""COMPUTED_VALUE"""),15.600000000000001)</f>
        <v>15.6</v>
      </c>
    </row>
    <row r="4142">
      <c r="D4142" t="str">
        <f>IFERROR(__xludf.DUMMYFUNCTION("""COMPUTED_VALUE"""),"Rodgers-Cromartie")</f>
        <v>Rodgers-Cromartie</v>
      </c>
      <c r="E4142" t="str">
        <f>IFERROR(__xludf.DUMMYFUNCTION("""COMPUTED_VALUE"""),"Dominique")</f>
        <v>Dominique</v>
      </c>
      <c r="F4142" t="str">
        <f>IFERROR(__xludf.DUMMYFUNCTION("""COMPUTED_VALUE"""),"CB")</f>
        <v>CB</v>
      </c>
      <c r="G4142">
        <f>IFERROR(__xludf.DUMMYFUNCTION("""COMPUTED_VALUE"""),17.8)</f>
        <v>17.8</v>
      </c>
    </row>
    <row r="4143">
      <c r="D4143" t="str">
        <f>IFERROR(__xludf.DUMMYFUNCTION("""COMPUTED_VALUE"""),"Roethlisberger")</f>
        <v>Roethlisberger</v>
      </c>
      <c r="E4143" t="str">
        <f>IFERROR(__xludf.DUMMYFUNCTION("""COMPUTED_VALUE"""),"Ben")</f>
        <v>Ben</v>
      </c>
      <c r="F4143" t="str">
        <f>IFERROR(__xludf.DUMMYFUNCTION("""COMPUTED_VALUE"""),"QB")</f>
        <v>QB</v>
      </c>
      <c r="G4143">
        <f>IFERROR(__xludf.DUMMYFUNCTION("""COMPUTED_VALUE"""),18.2)</f>
        <v>18.2</v>
      </c>
    </row>
    <row r="4144">
      <c r="D4144" t="str">
        <f>IFERROR(__xludf.DUMMYFUNCTION("""COMPUTED_VALUE"""),"Rogers")</f>
        <v>Rogers</v>
      </c>
      <c r="E4144" t="str">
        <f>IFERROR(__xludf.DUMMYFUNCTION("""COMPUTED_VALUE"""),"Chester")</f>
        <v>Chester</v>
      </c>
      <c r="F4144" t="str">
        <f>IFERROR(__xludf.DUMMYFUNCTION("""COMPUTED_VALUE"""),"WR")</f>
        <v>WR</v>
      </c>
      <c r="G4144">
        <f>IFERROR(__xludf.DUMMYFUNCTION("""COMPUTED_VALUE"""),13.4)</f>
        <v>13.4</v>
      </c>
    </row>
    <row r="4145">
      <c r="D4145" t="str">
        <f>IFERROR(__xludf.DUMMYFUNCTION("""COMPUTED_VALUE"""),"Rogers")</f>
        <v>Rogers</v>
      </c>
      <c r="E4145" t="str">
        <f>IFERROR(__xludf.DUMMYFUNCTION("""COMPUTED_VALUE"""),"Eli")</f>
        <v>Eli</v>
      </c>
      <c r="F4145" t="str">
        <f>IFERROR(__xludf.DUMMYFUNCTION("""COMPUTED_VALUE"""),"WR")</f>
        <v>WR</v>
      </c>
      <c r="G4145">
        <f>IFERROR(__xludf.DUMMYFUNCTION("""COMPUTED_VALUE"""),15.200000000000001)</f>
        <v>15.2</v>
      </c>
    </row>
    <row r="4146">
      <c r="D4146" t="str">
        <f>IFERROR(__xludf.DUMMYFUNCTION("""COMPUTED_VALUE"""),"Rogers")</f>
        <v>Rogers</v>
      </c>
      <c r="E4146" t="str">
        <f>IFERROR(__xludf.DUMMYFUNCTION("""COMPUTED_VALUE"""),"Sam")</f>
        <v>Sam</v>
      </c>
      <c r="F4146" t="str">
        <f>IFERROR(__xludf.DUMMYFUNCTION("""COMPUTED_VALUE"""),"FB")</f>
        <v>FB</v>
      </c>
      <c r="G4146">
        <f>IFERROR(__xludf.DUMMYFUNCTION("""COMPUTED_VALUE"""),13.600000000000001)</f>
        <v>13.6</v>
      </c>
    </row>
    <row r="4147">
      <c r="D4147" t="str">
        <f>IFERROR(__xludf.DUMMYFUNCTION("""COMPUTED_VALUE"""),"Rolle")</f>
        <v>Rolle</v>
      </c>
      <c r="E4147" t="str">
        <f>IFERROR(__xludf.DUMMYFUNCTION("""COMPUTED_VALUE"""),"Jumal")</f>
        <v>Jumal</v>
      </c>
      <c r="F4147" t="str">
        <f>IFERROR(__xludf.DUMMYFUNCTION("""COMPUTED_VALUE"""),"CB")</f>
        <v>CB</v>
      </c>
      <c r="G4147">
        <f>IFERROR(__xludf.DUMMYFUNCTION("""COMPUTED_VALUE"""),13.600000000000001)</f>
        <v>13.6</v>
      </c>
    </row>
    <row r="4148">
      <c r="D4148" t="str">
        <f>IFERROR(__xludf.DUMMYFUNCTION("""COMPUTED_VALUE"""),"Rollins")</f>
        <v>Rollins</v>
      </c>
      <c r="E4148" t="str">
        <f>IFERROR(__xludf.DUMMYFUNCTION("""COMPUTED_VALUE"""),"Quinten")</f>
        <v>Quinten</v>
      </c>
      <c r="F4148" t="str">
        <f>IFERROR(__xludf.DUMMYFUNCTION("""COMPUTED_VALUE"""),"CB")</f>
        <v>CB</v>
      </c>
      <c r="G4148">
        <f>IFERROR(__xludf.DUMMYFUNCTION("""COMPUTED_VALUE"""),14.600000000000001)</f>
        <v>14.6</v>
      </c>
    </row>
    <row r="4149">
      <c r="D4149" t="str">
        <f>IFERROR(__xludf.DUMMYFUNCTION("""COMPUTED_VALUE"""),"Roos")</f>
        <v>Roos</v>
      </c>
      <c r="E4149" t="str">
        <f>IFERROR(__xludf.DUMMYFUNCTION("""COMPUTED_VALUE"""),"Jordan")</f>
        <v>Jordan</v>
      </c>
      <c r="F4149" t="str">
        <f>IFERROR(__xludf.DUMMYFUNCTION("""COMPUTED_VALUE"""),"LG")</f>
        <v>LG</v>
      </c>
      <c r="G4149">
        <f>IFERROR(__xludf.DUMMYFUNCTION("""COMPUTED_VALUE"""),12.8)</f>
        <v>12.8</v>
      </c>
    </row>
    <row r="4150">
      <c r="D4150" t="str">
        <f>IFERROR(__xludf.DUMMYFUNCTION("""COMPUTED_VALUE"""),"Rosas")</f>
        <v>Rosas</v>
      </c>
      <c r="E4150" t="str">
        <f>IFERROR(__xludf.DUMMYFUNCTION("""COMPUTED_VALUE"""),"Aldrick")</f>
        <v>Aldrick</v>
      </c>
      <c r="F4150" t="str">
        <f>IFERROR(__xludf.DUMMYFUNCTION("""COMPUTED_VALUE"""),"K")</f>
        <v>K</v>
      </c>
      <c r="G4150">
        <f>IFERROR(__xludf.DUMMYFUNCTION("""COMPUTED_VALUE"""),14.200000000000001)</f>
        <v>14.2</v>
      </c>
    </row>
    <row r="4151">
      <c r="D4151" t="str">
        <f>IFERROR(__xludf.DUMMYFUNCTION("""COMPUTED_VALUE"""),"Ross")</f>
        <v>Ross</v>
      </c>
      <c r="E4151" t="str">
        <f>IFERROR(__xludf.DUMMYFUNCTION("""COMPUTED_VALUE"""),"Jeremy")</f>
        <v>Jeremy</v>
      </c>
      <c r="F4151" t="str">
        <f>IFERROR(__xludf.DUMMYFUNCTION("""COMPUTED_VALUE"""),"WR")</f>
        <v>WR</v>
      </c>
      <c r="G4151">
        <f>IFERROR(__xludf.DUMMYFUNCTION("""COMPUTED_VALUE"""),13.4)</f>
        <v>13.4</v>
      </c>
    </row>
    <row r="4152">
      <c r="D4152" t="str">
        <f>IFERROR(__xludf.DUMMYFUNCTION("""COMPUTED_VALUE"""),"Ross")</f>
        <v>Ross</v>
      </c>
      <c r="E4152" t="str">
        <f>IFERROR(__xludf.DUMMYFUNCTION("""COMPUTED_VALUE"""),"John")</f>
        <v>John</v>
      </c>
      <c r="F4152" t="str">
        <f>IFERROR(__xludf.DUMMYFUNCTION("""COMPUTED_VALUE"""),"WR")</f>
        <v>WR</v>
      </c>
      <c r="G4152">
        <f>IFERROR(__xludf.DUMMYFUNCTION("""COMPUTED_VALUE"""),15.4)</f>
        <v>15.4</v>
      </c>
    </row>
    <row r="4153">
      <c r="D4153" t="str">
        <f>IFERROR(__xludf.DUMMYFUNCTION("""COMPUTED_VALUE"""),"Ross")</f>
        <v>Ross</v>
      </c>
      <c r="E4153" t="str">
        <f>IFERROR(__xludf.DUMMYFUNCTION("""COMPUTED_VALUE"""),"Rashad")</f>
        <v>Rashad</v>
      </c>
      <c r="F4153" t="str">
        <f>IFERROR(__xludf.DUMMYFUNCTION("""COMPUTED_VALUE"""),"WR")</f>
        <v>WR</v>
      </c>
      <c r="G4153">
        <f>IFERROR(__xludf.DUMMYFUNCTION("""COMPUTED_VALUE"""),13.200000000000001)</f>
        <v>13.2</v>
      </c>
    </row>
    <row r="4154">
      <c r="D4154" t="str">
        <f>IFERROR(__xludf.DUMMYFUNCTION("""COMPUTED_VALUE"""),"Roullier")</f>
        <v>Roullier</v>
      </c>
      <c r="E4154" t="str">
        <f>IFERROR(__xludf.DUMMYFUNCTION("""COMPUTED_VALUE"""),"Chase")</f>
        <v>Chase</v>
      </c>
      <c r="F4154" t="str">
        <f>IFERROR(__xludf.DUMMYFUNCTION("""COMPUTED_VALUE"""),"C")</f>
        <v>C</v>
      </c>
      <c r="G4154">
        <f>IFERROR(__xludf.DUMMYFUNCTION("""COMPUTED_VALUE"""),12.600000000000001)</f>
        <v>12.6</v>
      </c>
    </row>
    <row r="4155">
      <c r="D4155" t="str">
        <f>IFERROR(__xludf.DUMMYFUNCTION("""COMPUTED_VALUE"""),"Rowe")</f>
        <v>Rowe</v>
      </c>
      <c r="E4155" t="str">
        <f>IFERROR(__xludf.DUMMYFUNCTION("""COMPUTED_VALUE"""),"Eric")</f>
        <v>Eric</v>
      </c>
      <c r="F4155" t="str">
        <f>IFERROR(__xludf.DUMMYFUNCTION("""COMPUTED_VALUE"""),"CB")</f>
        <v>CB</v>
      </c>
      <c r="G4155">
        <f>IFERROR(__xludf.DUMMYFUNCTION("""COMPUTED_VALUE"""),15.200000000000001)</f>
        <v>15.2</v>
      </c>
    </row>
    <row r="4156">
      <c r="D4156" t="str">
        <f>IFERROR(__xludf.DUMMYFUNCTION("""COMPUTED_VALUE"""),"Rubin")</f>
        <v>Rubin</v>
      </c>
      <c r="E4156" t="str">
        <f>IFERROR(__xludf.DUMMYFUNCTION("""COMPUTED_VALUE"""),"Ahtyba")</f>
        <v>Ahtyba</v>
      </c>
      <c r="F4156" t="str">
        <f>IFERROR(__xludf.DUMMYFUNCTION("""COMPUTED_VALUE"""),"DT")</f>
        <v>DT</v>
      </c>
      <c r="G4156">
        <f>IFERROR(__xludf.DUMMYFUNCTION("""COMPUTED_VALUE"""),14.8)</f>
        <v>14.8</v>
      </c>
    </row>
    <row r="4157">
      <c r="D4157" t="str">
        <f>IFERROR(__xludf.DUMMYFUNCTION("""COMPUTED_VALUE"""),"Rucker")</f>
        <v>Rucker</v>
      </c>
      <c r="E4157" t="str">
        <f>IFERROR(__xludf.DUMMYFUNCTION("""COMPUTED_VALUE"""),"Frostee")</f>
        <v>Frostee</v>
      </c>
      <c r="F4157" t="str">
        <f>IFERROR(__xludf.DUMMYFUNCTION("""COMPUTED_VALUE"""),"RE")</f>
        <v>RE</v>
      </c>
      <c r="G4157">
        <f>IFERROR(__xludf.DUMMYFUNCTION("""COMPUTED_VALUE"""),14.4)</f>
        <v>14.4</v>
      </c>
    </row>
    <row r="4158">
      <c r="D4158" t="str">
        <f>IFERROR(__xludf.DUMMYFUNCTION("""COMPUTED_VALUE"""),"Rudock")</f>
        <v>Rudock</v>
      </c>
      <c r="E4158" t="str">
        <f>IFERROR(__xludf.DUMMYFUNCTION("""COMPUTED_VALUE"""),"Jake")</f>
        <v>Jake</v>
      </c>
      <c r="F4158" t="str">
        <f>IFERROR(__xludf.DUMMYFUNCTION("""COMPUTED_VALUE"""),"QB")</f>
        <v>QB</v>
      </c>
      <c r="G4158">
        <f>IFERROR(__xludf.DUMMYFUNCTION("""COMPUTED_VALUE"""),12.600000000000001)</f>
        <v>12.6</v>
      </c>
    </row>
    <row r="4159">
      <c r="D4159" t="str">
        <f>IFERROR(__xludf.DUMMYFUNCTION("""COMPUTED_VALUE"""),"Rudolph")</f>
        <v>Rudolph</v>
      </c>
      <c r="E4159" t="str">
        <f>IFERROR(__xludf.DUMMYFUNCTION("""COMPUTED_VALUE"""),"Kyle")</f>
        <v>Kyle</v>
      </c>
      <c r="F4159" t="str">
        <f>IFERROR(__xludf.DUMMYFUNCTION("""COMPUTED_VALUE"""),"TE")</f>
        <v>TE</v>
      </c>
      <c r="G4159">
        <f>IFERROR(__xludf.DUMMYFUNCTION("""COMPUTED_VALUE"""),17.0)</f>
        <v>17</v>
      </c>
    </row>
    <row r="4160">
      <c r="D4160" t="str">
        <f>IFERROR(__xludf.DUMMYFUNCTION("""COMPUTED_VALUE"""),"Rudolph")</f>
        <v>Rudolph</v>
      </c>
      <c r="E4160" t="str">
        <f>IFERROR(__xludf.DUMMYFUNCTION("""COMPUTED_VALUE"""),"Travis")</f>
        <v>Travis</v>
      </c>
      <c r="F4160" t="str">
        <f>IFERROR(__xludf.DUMMYFUNCTION("""COMPUTED_VALUE"""),"WR")</f>
        <v>WR</v>
      </c>
      <c r="G4160">
        <f>IFERROR(__xludf.DUMMYFUNCTION("""COMPUTED_VALUE"""),13.200000000000001)</f>
        <v>13.2</v>
      </c>
    </row>
    <row r="4161">
      <c r="D4161" t="str">
        <f>IFERROR(__xludf.DUMMYFUNCTION("""COMPUTED_VALUE"""),"Rush")</f>
        <v>Rush</v>
      </c>
      <c r="E4161" t="str">
        <f>IFERROR(__xludf.DUMMYFUNCTION("""COMPUTED_VALUE"""),"Marcus")</f>
        <v>Marcus</v>
      </c>
      <c r="F4161" t="str">
        <f>IFERROR(__xludf.DUMMYFUNCTION("""COMPUTED_VALUE"""),"ROLB")</f>
        <v>ROLB</v>
      </c>
      <c r="G4161">
        <f>IFERROR(__xludf.DUMMYFUNCTION("""COMPUTED_VALUE"""),12.600000000000001)</f>
        <v>12.6</v>
      </c>
    </row>
    <row r="4162">
      <c r="D4162" t="str">
        <f>IFERROR(__xludf.DUMMYFUNCTION("""COMPUTED_VALUE"""),"Russell")</f>
        <v>Russell</v>
      </c>
      <c r="E4162" t="str">
        <f>IFERROR(__xludf.DUMMYFUNCTION("""COMPUTED_VALUE"""),"Alonzo")</f>
        <v>Alonzo</v>
      </c>
      <c r="F4162" t="str">
        <f>IFERROR(__xludf.DUMMYFUNCTION("""COMPUTED_VALUE"""),"WR")</f>
        <v>WR</v>
      </c>
      <c r="G4162">
        <f>IFERROR(__xludf.DUMMYFUNCTION("""COMPUTED_VALUE"""),12.4)</f>
        <v>12.4</v>
      </c>
    </row>
    <row r="4163">
      <c r="D4163" t="str">
        <f>IFERROR(__xludf.DUMMYFUNCTION("""COMPUTED_VALUE"""),"Russell")</f>
        <v>Russell</v>
      </c>
      <c r="E4163" t="str">
        <f>IFERROR(__xludf.DUMMYFUNCTION("""COMPUTED_VALUE"""),"KeiVarae")</f>
        <v>KeiVarae</v>
      </c>
      <c r="F4163" t="str">
        <f>IFERROR(__xludf.DUMMYFUNCTION("""COMPUTED_VALUE"""),"CB")</f>
        <v>CB</v>
      </c>
      <c r="G4163">
        <f>IFERROR(__xludf.DUMMYFUNCTION("""COMPUTED_VALUE"""),13.8)</f>
        <v>13.8</v>
      </c>
    </row>
    <row r="4164">
      <c r="D4164" t="str">
        <f>IFERROR(__xludf.DUMMYFUNCTION("""COMPUTED_VALUE"""),"Russell")</f>
        <v>Russell</v>
      </c>
      <c r="E4164" t="str">
        <f>IFERROR(__xludf.DUMMYFUNCTION("""COMPUTED_VALUE"""),"Ryan")</f>
        <v>Ryan</v>
      </c>
      <c r="F4164" t="str">
        <f>IFERROR(__xludf.DUMMYFUNCTION("""COMPUTED_VALUE"""),"RE")</f>
        <v>RE</v>
      </c>
      <c r="G4164">
        <f>IFERROR(__xludf.DUMMYFUNCTION("""COMPUTED_VALUE"""),13.0)</f>
        <v>13</v>
      </c>
    </row>
    <row r="4165">
      <c r="D4165" t="str">
        <f>IFERROR(__xludf.DUMMYFUNCTION("""COMPUTED_VALUE"""),"Ryan")</f>
        <v>Ryan</v>
      </c>
      <c r="E4165" t="str">
        <f>IFERROR(__xludf.DUMMYFUNCTION("""COMPUTED_VALUE"""),"Jake")</f>
        <v>Jake</v>
      </c>
      <c r="F4165" t="str">
        <f>IFERROR(__xludf.DUMMYFUNCTION("""COMPUTED_VALUE"""),"MLB")</f>
        <v>MLB</v>
      </c>
      <c r="G4165">
        <f>IFERROR(__xludf.DUMMYFUNCTION("""COMPUTED_VALUE"""),15.200000000000001)</f>
        <v>15.2</v>
      </c>
    </row>
    <row r="4166">
      <c r="D4166" t="str">
        <f>IFERROR(__xludf.DUMMYFUNCTION("""COMPUTED_VALUE"""),"Ryan")</f>
        <v>Ryan</v>
      </c>
      <c r="E4166" t="str">
        <f>IFERROR(__xludf.DUMMYFUNCTION("""COMPUTED_VALUE"""),"Jon")</f>
        <v>Jon</v>
      </c>
      <c r="F4166" t="str">
        <f>IFERROR(__xludf.DUMMYFUNCTION("""COMPUTED_VALUE"""),"P")</f>
        <v>P</v>
      </c>
      <c r="G4166">
        <f>IFERROR(__xludf.DUMMYFUNCTION("""COMPUTED_VALUE"""),15.4)</f>
        <v>15.4</v>
      </c>
    </row>
    <row r="4167">
      <c r="D4167" t="str">
        <f>IFERROR(__xludf.DUMMYFUNCTION("""COMPUTED_VALUE"""),"Ryan")</f>
        <v>Ryan</v>
      </c>
      <c r="E4167" t="str">
        <f>IFERROR(__xludf.DUMMYFUNCTION("""COMPUTED_VALUE"""),"Logan")</f>
        <v>Logan</v>
      </c>
      <c r="F4167" t="str">
        <f>IFERROR(__xludf.DUMMYFUNCTION("""COMPUTED_VALUE"""),"CB")</f>
        <v>CB</v>
      </c>
      <c r="G4167">
        <f>IFERROR(__xludf.DUMMYFUNCTION("""COMPUTED_VALUE"""),17.2)</f>
        <v>17.2</v>
      </c>
    </row>
    <row r="4168">
      <c r="D4168" t="str">
        <f>IFERROR(__xludf.DUMMYFUNCTION("""COMPUTED_VALUE"""),"Ryan")</f>
        <v>Ryan</v>
      </c>
      <c r="E4168" t="str">
        <f>IFERROR(__xludf.DUMMYFUNCTION("""COMPUTED_VALUE"""),"Matt")</f>
        <v>Matt</v>
      </c>
      <c r="F4168" t="str">
        <f>IFERROR(__xludf.DUMMYFUNCTION("""COMPUTED_VALUE"""),"QB")</f>
        <v>QB</v>
      </c>
      <c r="G4168">
        <f>IFERROR(__xludf.DUMMYFUNCTION("""COMPUTED_VALUE"""),19.200000000000003)</f>
        <v>19.2</v>
      </c>
    </row>
    <row r="4169">
      <c r="D4169" t="str">
        <f>IFERROR(__xludf.DUMMYFUNCTION("""COMPUTED_VALUE"""),"Saffold III")</f>
        <v>Saffold III</v>
      </c>
      <c r="E4169" t="str">
        <f>IFERROR(__xludf.DUMMYFUNCTION("""COMPUTED_VALUE"""),"Rodger")</f>
        <v>Rodger</v>
      </c>
      <c r="F4169" t="str">
        <f>IFERROR(__xludf.DUMMYFUNCTION("""COMPUTED_VALUE"""),"LG")</f>
        <v>LG</v>
      </c>
      <c r="G4169">
        <f>IFERROR(__xludf.DUMMYFUNCTION("""COMPUTED_VALUE"""),15.8)</f>
        <v>15.8</v>
      </c>
    </row>
    <row r="4170">
      <c r="D4170" t="str">
        <f>IFERROR(__xludf.DUMMYFUNCTION("""COMPUTED_VALUE"""),"Sambrailo")</f>
        <v>Sambrailo</v>
      </c>
      <c r="E4170" t="str">
        <f>IFERROR(__xludf.DUMMYFUNCTION("""COMPUTED_VALUE"""),"Ty")</f>
        <v>Ty</v>
      </c>
      <c r="F4170" t="str">
        <f>IFERROR(__xludf.DUMMYFUNCTION("""COMPUTED_VALUE"""),"RT")</f>
        <v>RT</v>
      </c>
      <c r="G4170">
        <f>IFERROR(__xludf.DUMMYFUNCTION("""COMPUTED_VALUE"""),14.0)</f>
        <v>14</v>
      </c>
    </row>
    <row r="4171">
      <c r="D4171" t="str">
        <f>IFERROR(__xludf.DUMMYFUNCTION("""COMPUTED_VALUE"""),"Sample")</f>
        <v>Sample</v>
      </c>
      <c r="E4171" t="str">
        <f>IFERROR(__xludf.DUMMYFUNCTION("""COMPUTED_VALUE"""),"James")</f>
        <v>James</v>
      </c>
      <c r="F4171" t="str">
        <f>IFERROR(__xludf.DUMMYFUNCTION("""COMPUTED_VALUE"""),"SS")</f>
        <v>SS</v>
      </c>
      <c r="G4171">
        <f>IFERROR(__xludf.DUMMYFUNCTION("""COMPUTED_VALUE"""),13.4)</f>
        <v>13.4</v>
      </c>
    </row>
    <row r="4172">
      <c r="D4172" t="str">
        <f>IFERROR(__xludf.DUMMYFUNCTION("""COMPUTED_VALUE"""),"Samuel")</f>
        <v>Samuel</v>
      </c>
      <c r="E4172" t="str">
        <f>IFERROR(__xludf.DUMMYFUNCTION("""COMPUTED_VALUE"""),"Curtis")</f>
        <v>Curtis</v>
      </c>
      <c r="F4172" t="str">
        <f>IFERROR(__xludf.DUMMYFUNCTION("""COMPUTED_VALUE"""),"WR")</f>
        <v>WR</v>
      </c>
      <c r="G4172">
        <f>IFERROR(__xludf.DUMMYFUNCTION("""COMPUTED_VALUE"""),14.600000000000001)</f>
        <v>14.6</v>
      </c>
    </row>
    <row r="4173">
      <c r="D4173" t="str">
        <f>IFERROR(__xludf.DUMMYFUNCTION("""COMPUTED_VALUE"""),"Sanborn")</f>
        <v>Sanborn</v>
      </c>
      <c r="E4173" t="str">
        <f>IFERROR(__xludf.DUMMYFUNCTION("""COMPUTED_VALUE"""),"Garrison")</f>
        <v>Garrison</v>
      </c>
      <c r="F4173" t="str">
        <f>IFERROR(__xludf.DUMMYFUNCTION("""COMPUTED_VALUE"""),"C")</f>
        <v>C</v>
      </c>
      <c r="G4173">
        <f>IFERROR(__xludf.DUMMYFUNCTION("""COMPUTED_VALUE"""),10.8)</f>
        <v>10.8</v>
      </c>
    </row>
    <row r="4174">
      <c r="D4174" t="str">
        <f>IFERROR(__xludf.DUMMYFUNCTION("""COMPUTED_VALUE"""),"Sanchez")</f>
        <v>Sanchez</v>
      </c>
      <c r="E4174" t="str">
        <f>IFERROR(__xludf.DUMMYFUNCTION("""COMPUTED_VALUE"""),"Mark")</f>
        <v>Mark</v>
      </c>
      <c r="F4174" t="str">
        <f>IFERROR(__xludf.DUMMYFUNCTION("""COMPUTED_VALUE"""),"QB")</f>
        <v>QB</v>
      </c>
      <c r="G4174">
        <f>IFERROR(__xludf.DUMMYFUNCTION("""COMPUTED_VALUE"""),13.4)</f>
        <v>13.4</v>
      </c>
    </row>
    <row r="4175">
      <c r="D4175" t="str">
        <f>IFERROR(__xludf.DUMMYFUNCTION("""COMPUTED_VALUE"""),"Sanchez")</f>
        <v>Sanchez</v>
      </c>
      <c r="E4175" t="str">
        <f>IFERROR(__xludf.DUMMYFUNCTION("""COMPUTED_VALUE"""),"Zack")</f>
        <v>Zack</v>
      </c>
      <c r="F4175" t="str">
        <f>IFERROR(__xludf.DUMMYFUNCTION("""COMPUTED_VALUE"""),"CB")</f>
        <v>CB</v>
      </c>
      <c r="G4175">
        <f>IFERROR(__xludf.DUMMYFUNCTION("""COMPUTED_VALUE"""),13.4)</f>
        <v>13.4</v>
      </c>
    </row>
    <row r="4176">
      <c r="D4176" t="str">
        <f>IFERROR(__xludf.DUMMYFUNCTION("""COMPUTED_VALUE"""),"Sanders")</f>
        <v>Sanders</v>
      </c>
      <c r="E4176" t="str">
        <f>IFERROR(__xludf.DUMMYFUNCTION("""COMPUTED_VALUE"""),"Emmanuel")</f>
        <v>Emmanuel</v>
      </c>
      <c r="F4176" t="str">
        <f>IFERROR(__xludf.DUMMYFUNCTION("""COMPUTED_VALUE"""),"WR")</f>
        <v>WR</v>
      </c>
      <c r="G4176">
        <f>IFERROR(__xludf.DUMMYFUNCTION("""COMPUTED_VALUE"""),17.8)</f>
        <v>17.8</v>
      </c>
    </row>
    <row r="4177">
      <c r="D4177" t="str">
        <f>IFERROR(__xludf.DUMMYFUNCTION("""COMPUTED_VALUE"""),"Sandland")</f>
        <v>Sandland</v>
      </c>
      <c r="E4177" t="str">
        <f>IFERROR(__xludf.DUMMYFUNCTION("""COMPUTED_VALUE"""),"Beau")</f>
        <v>Beau</v>
      </c>
      <c r="F4177" t="str">
        <f>IFERROR(__xludf.DUMMYFUNCTION("""COMPUTED_VALUE"""),"TE")</f>
        <v>TE</v>
      </c>
      <c r="G4177">
        <f>IFERROR(__xludf.DUMMYFUNCTION("""COMPUTED_VALUE"""),13.0)</f>
        <v>13</v>
      </c>
    </row>
    <row r="4178">
      <c r="D4178" t="str">
        <f>IFERROR(__xludf.DUMMYFUNCTION("""COMPUTED_VALUE"""),"Sankey")</f>
        <v>Sankey</v>
      </c>
      <c r="E4178" t="str">
        <f>IFERROR(__xludf.DUMMYFUNCTION("""COMPUTED_VALUE"""),"Bishop")</f>
        <v>Bishop</v>
      </c>
      <c r="F4178" t="str">
        <f>IFERROR(__xludf.DUMMYFUNCTION("""COMPUTED_VALUE"""),"HB")</f>
        <v>HB</v>
      </c>
      <c r="G4178">
        <f>IFERROR(__xludf.DUMMYFUNCTION("""COMPUTED_VALUE"""),14.4)</f>
        <v>14.4</v>
      </c>
    </row>
    <row r="4179">
      <c r="D4179" t="str">
        <f>IFERROR(__xludf.DUMMYFUNCTION("""COMPUTED_VALUE"""),"Santos")</f>
        <v>Santos</v>
      </c>
      <c r="E4179" t="str">
        <f>IFERROR(__xludf.DUMMYFUNCTION("""COMPUTED_VALUE"""),"Cairo")</f>
        <v>Cairo</v>
      </c>
      <c r="F4179" t="str">
        <f>IFERROR(__xludf.DUMMYFUNCTION("""COMPUTED_VALUE"""),"K")</f>
        <v>K</v>
      </c>
      <c r="G4179">
        <f>IFERROR(__xludf.DUMMYFUNCTION("""COMPUTED_VALUE"""),15.8)</f>
        <v>15.8</v>
      </c>
    </row>
    <row r="4180">
      <c r="D4180" t="str">
        <f>IFERROR(__xludf.DUMMYFUNCTION("""COMPUTED_VALUE"""),"Sanu Sr")</f>
        <v>Sanu Sr</v>
      </c>
      <c r="E4180" t="str">
        <f>IFERROR(__xludf.DUMMYFUNCTION("""COMPUTED_VALUE"""),"Mohamed")</f>
        <v>Mohamed</v>
      </c>
      <c r="F4180" t="str">
        <f>IFERROR(__xludf.DUMMYFUNCTION("""COMPUTED_VALUE"""),"WR")</f>
        <v>WR</v>
      </c>
      <c r="G4180">
        <f>IFERROR(__xludf.DUMMYFUNCTION("""COMPUTED_VALUE"""),16.400000000000002)</f>
        <v>16.4</v>
      </c>
    </row>
    <row r="4181">
      <c r="D4181" t="str">
        <f>IFERROR(__xludf.DUMMYFUNCTION("""COMPUTED_VALUE"""),"Saubert")</f>
        <v>Saubert</v>
      </c>
      <c r="E4181" t="str">
        <f>IFERROR(__xludf.DUMMYFUNCTION("""COMPUTED_VALUE"""),"Eric")</f>
        <v>Eric</v>
      </c>
      <c r="F4181" t="str">
        <f>IFERROR(__xludf.DUMMYFUNCTION("""COMPUTED_VALUE"""),"TE")</f>
        <v>TE</v>
      </c>
      <c r="G4181">
        <f>IFERROR(__xludf.DUMMYFUNCTION("""COMPUTED_VALUE"""),14.0)</f>
        <v>14</v>
      </c>
    </row>
    <row r="4182">
      <c r="D4182" t="str">
        <f>IFERROR(__xludf.DUMMYFUNCTION("""COMPUTED_VALUE"""),"Savage")</f>
        <v>Savage</v>
      </c>
      <c r="E4182" t="str">
        <f>IFERROR(__xludf.DUMMYFUNCTION("""COMPUTED_VALUE"""),"Tom")</f>
        <v>Tom</v>
      </c>
      <c r="F4182" t="str">
        <f>IFERROR(__xludf.DUMMYFUNCTION("""COMPUTED_VALUE"""),"QB")</f>
        <v>QB</v>
      </c>
      <c r="G4182">
        <f>IFERROR(__xludf.DUMMYFUNCTION("""COMPUTED_VALUE"""),14.4)</f>
        <v>14.4</v>
      </c>
    </row>
    <row r="4183">
      <c r="D4183" t="str">
        <f>IFERROR(__xludf.DUMMYFUNCTION("""COMPUTED_VALUE"""),"Saxton")</f>
        <v>Saxton</v>
      </c>
      <c r="E4183" t="str">
        <f>IFERROR(__xludf.DUMMYFUNCTION("""COMPUTED_VALUE"""),"Wes")</f>
        <v>Wes</v>
      </c>
      <c r="F4183" t="str">
        <f>IFERROR(__xludf.DUMMYFUNCTION("""COMPUTED_VALUE"""),"TE")</f>
        <v>TE</v>
      </c>
      <c r="G4183">
        <f>IFERROR(__xludf.DUMMYFUNCTION("""COMPUTED_VALUE"""),12.4)</f>
        <v>12.4</v>
      </c>
    </row>
    <row r="4184">
      <c r="D4184" t="str">
        <f>IFERROR(__xludf.DUMMYFUNCTION("""COMPUTED_VALUE"""),"Sayles")</f>
        <v>Sayles</v>
      </c>
      <c r="E4184" t="str">
        <f>IFERROR(__xludf.DUMMYFUNCTION("""COMPUTED_VALUE"""),"Casey")</f>
        <v>Casey</v>
      </c>
      <c r="F4184" t="str">
        <f>IFERROR(__xludf.DUMMYFUNCTION("""COMPUTED_VALUE"""),"DT")</f>
        <v>DT</v>
      </c>
      <c r="G4184">
        <f>IFERROR(__xludf.DUMMYFUNCTION("""COMPUTED_VALUE"""),12.8)</f>
        <v>12.8</v>
      </c>
    </row>
    <row r="4185">
      <c r="D4185" t="str">
        <f>IFERROR(__xludf.DUMMYFUNCTION("""COMPUTED_VALUE"""),"Scales")</f>
        <v>Scales</v>
      </c>
      <c r="E4185" t="str">
        <f>IFERROR(__xludf.DUMMYFUNCTION("""COMPUTED_VALUE"""),"Patrick")</f>
        <v>Patrick</v>
      </c>
      <c r="F4185" t="str">
        <f>IFERROR(__xludf.DUMMYFUNCTION("""COMPUTED_VALUE"""),"TE")</f>
        <v>TE</v>
      </c>
      <c r="G4185">
        <f>IFERROR(__xludf.DUMMYFUNCTION("""COMPUTED_VALUE"""),8.200000000000001)</f>
        <v>8.2</v>
      </c>
    </row>
    <row r="4186">
      <c r="D4186" t="str">
        <f>IFERROR(__xludf.DUMMYFUNCTION("""COMPUTED_VALUE"""),"Scandrick")</f>
        <v>Scandrick</v>
      </c>
      <c r="E4186" t="str">
        <f>IFERROR(__xludf.DUMMYFUNCTION("""COMPUTED_VALUE"""),"Orlando")</f>
        <v>Orlando</v>
      </c>
      <c r="F4186" t="str">
        <f>IFERROR(__xludf.DUMMYFUNCTION("""COMPUTED_VALUE"""),"CB")</f>
        <v>CB</v>
      </c>
      <c r="G4186">
        <f>IFERROR(__xludf.DUMMYFUNCTION("""COMPUTED_VALUE"""),16.6)</f>
        <v>16.6</v>
      </c>
    </row>
    <row r="4187">
      <c r="D4187" t="str">
        <f>IFERROR(__xludf.DUMMYFUNCTION("""COMPUTED_VALUE"""),"Scarlett")</f>
        <v>Scarlett</v>
      </c>
      <c r="E4187" t="str">
        <f>IFERROR(__xludf.DUMMYFUNCTION("""COMPUTED_VALUE"""),"Brennan")</f>
        <v>Brennan</v>
      </c>
      <c r="F4187" t="str">
        <f>IFERROR(__xludf.DUMMYFUNCTION("""COMPUTED_VALUE"""),"LOLB")</f>
        <v>LOLB</v>
      </c>
      <c r="G4187">
        <f>IFERROR(__xludf.DUMMYFUNCTION("""COMPUTED_VALUE"""),13.200000000000001)</f>
        <v>13.2</v>
      </c>
    </row>
    <row r="4188">
      <c r="D4188" t="str">
        <f>IFERROR(__xludf.DUMMYFUNCTION("""COMPUTED_VALUE"""),"Schaub")</f>
        <v>Schaub</v>
      </c>
      <c r="E4188" t="str">
        <f>IFERROR(__xludf.DUMMYFUNCTION("""COMPUTED_VALUE"""),"Matt")</f>
        <v>Matt</v>
      </c>
      <c r="F4188" t="str">
        <f>IFERROR(__xludf.DUMMYFUNCTION("""COMPUTED_VALUE"""),"QB")</f>
        <v>QB</v>
      </c>
      <c r="G4188">
        <f>IFERROR(__xludf.DUMMYFUNCTION("""COMPUTED_VALUE"""),13.8)</f>
        <v>13.8</v>
      </c>
    </row>
    <row r="4189">
      <c r="D4189" t="str">
        <f>IFERROR(__xludf.DUMMYFUNCTION("""COMPUTED_VALUE"""),"Scherff")</f>
        <v>Scherff</v>
      </c>
      <c r="E4189" t="str">
        <f>IFERROR(__xludf.DUMMYFUNCTION("""COMPUTED_VALUE"""),"Brandon")</f>
        <v>Brandon</v>
      </c>
      <c r="F4189" t="str">
        <f>IFERROR(__xludf.DUMMYFUNCTION("""COMPUTED_VALUE"""),"RG")</f>
        <v>RG</v>
      </c>
      <c r="G4189">
        <f>IFERROR(__xludf.DUMMYFUNCTION("""COMPUTED_VALUE"""),17.2)</f>
        <v>17.2</v>
      </c>
    </row>
    <row r="4190">
      <c r="D4190" t="str">
        <f>IFERROR(__xludf.DUMMYFUNCTION("""COMPUTED_VALUE"""),"Schmidt")</f>
        <v>Schmidt</v>
      </c>
      <c r="E4190" t="str">
        <f>IFERROR(__xludf.DUMMYFUNCTION("""COMPUTED_VALUE"""),"Colton")</f>
        <v>Colton</v>
      </c>
      <c r="F4190" t="str">
        <f>IFERROR(__xludf.DUMMYFUNCTION("""COMPUTED_VALUE"""),"P")</f>
        <v>P</v>
      </c>
      <c r="G4190">
        <f>IFERROR(__xludf.DUMMYFUNCTION("""COMPUTED_VALUE"""),14.600000000000001)</f>
        <v>14.6</v>
      </c>
    </row>
    <row r="4191">
      <c r="D4191" t="str">
        <f>IFERROR(__xludf.DUMMYFUNCTION("""COMPUTED_VALUE"""),"Schobert")</f>
        <v>Schobert</v>
      </c>
      <c r="E4191" t="str">
        <f>IFERROR(__xludf.DUMMYFUNCTION("""COMPUTED_VALUE"""),"Joe")</f>
        <v>Joe</v>
      </c>
      <c r="F4191" t="str">
        <f>IFERROR(__xludf.DUMMYFUNCTION("""COMPUTED_VALUE"""),"ROLB")</f>
        <v>ROLB</v>
      </c>
      <c r="G4191">
        <f>IFERROR(__xludf.DUMMYFUNCTION("""COMPUTED_VALUE"""),13.8)</f>
        <v>13.8</v>
      </c>
    </row>
    <row r="4192">
      <c r="D4192" t="str">
        <f>IFERROR(__xludf.DUMMYFUNCTION("""COMPUTED_VALUE"""),"Schofield")</f>
        <v>Schofield</v>
      </c>
      <c r="E4192" t="str">
        <f>IFERROR(__xludf.DUMMYFUNCTION("""COMPUTED_VALUE"""),"Michael")</f>
        <v>Michael</v>
      </c>
      <c r="F4192" t="str">
        <f>IFERROR(__xludf.DUMMYFUNCTION("""COMPUTED_VALUE"""),"RG")</f>
        <v>RG</v>
      </c>
      <c r="G4192">
        <f>IFERROR(__xludf.DUMMYFUNCTION("""COMPUTED_VALUE"""),14.4)</f>
        <v>14.4</v>
      </c>
    </row>
    <row r="4193">
      <c r="D4193" t="str">
        <f>IFERROR(__xludf.DUMMYFUNCTION("""COMPUTED_VALUE"""),"Schraeder")</f>
        <v>Schraeder</v>
      </c>
      <c r="E4193" t="str">
        <f>IFERROR(__xludf.DUMMYFUNCTION("""COMPUTED_VALUE"""),"Ryan")</f>
        <v>Ryan</v>
      </c>
      <c r="F4193" t="str">
        <f>IFERROR(__xludf.DUMMYFUNCTION("""COMPUTED_VALUE"""),"RT")</f>
        <v>RT</v>
      </c>
      <c r="G4193">
        <f>IFERROR(__xludf.DUMMYFUNCTION("""COMPUTED_VALUE"""),17.400000000000002)</f>
        <v>17.4</v>
      </c>
    </row>
    <row r="4194">
      <c r="D4194" t="str">
        <f>IFERROR(__xludf.DUMMYFUNCTION("""COMPUTED_VALUE"""),"Schreck")</f>
        <v>Schreck</v>
      </c>
      <c r="E4194" t="str">
        <f>IFERROR(__xludf.DUMMYFUNCTION("""COMPUTED_VALUE"""),"Mason")</f>
        <v>Mason</v>
      </c>
      <c r="F4194" t="str">
        <f>IFERROR(__xludf.DUMMYFUNCTION("""COMPUTED_VALUE"""),"TE")</f>
        <v>TE</v>
      </c>
      <c r="G4194">
        <f>IFERROR(__xludf.DUMMYFUNCTION("""COMPUTED_VALUE"""),13.600000000000001)</f>
        <v>13.6</v>
      </c>
    </row>
    <row r="4195">
      <c r="D4195" t="str">
        <f>IFERROR(__xludf.DUMMYFUNCTION("""COMPUTED_VALUE"""),"Schwartz")</f>
        <v>Schwartz</v>
      </c>
      <c r="E4195" t="str">
        <f>IFERROR(__xludf.DUMMYFUNCTION("""COMPUTED_VALUE"""),"Mitchell")</f>
        <v>Mitchell</v>
      </c>
      <c r="F4195" t="str">
        <f>IFERROR(__xludf.DUMMYFUNCTION("""COMPUTED_VALUE"""),"RT")</f>
        <v>RT</v>
      </c>
      <c r="G4195">
        <f>IFERROR(__xludf.DUMMYFUNCTION("""COMPUTED_VALUE"""),16.2)</f>
        <v>16.2</v>
      </c>
    </row>
    <row r="4196">
      <c r="D4196" t="str">
        <f>IFERROR(__xludf.DUMMYFUNCTION("""COMPUTED_VALUE"""),"Schweitzer")</f>
        <v>Schweitzer</v>
      </c>
      <c r="E4196" t="str">
        <f>IFERROR(__xludf.DUMMYFUNCTION("""COMPUTED_VALUE"""),"Wes")</f>
        <v>Wes</v>
      </c>
      <c r="F4196" t="str">
        <f>IFERROR(__xludf.DUMMYFUNCTION("""COMPUTED_VALUE"""),"RG")</f>
        <v>RG</v>
      </c>
      <c r="G4196">
        <f>IFERROR(__xludf.DUMMYFUNCTION("""COMPUTED_VALUE"""),12.8)</f>
        <v>12.8</v>
      </c>
    </row>
    <row r="4197">
      <c r="D4197" t="str">
        <f>IFERROR(__xludf.DUMMYFUNCTION("""COMPUTED_VALUE"""),"Schwenke")</f>
        <v>Schwenke</v>
      </c>
      <c r="E4197" t="str">
        <f>IFERROR(__xludf.DUMMYFUNCTION("""COMPUTED_VALUE"""),"Brian")</f>
        <v>Brian</v>
      </c>
      <c r="F4197" t="str">
        <f>IFERROR(__xludf.DUMMYFUNCTION("""COMPUTED_VALUE"""),"RG")</f>
        <v>RG</v>
      </c>
      <c r="G4197">
        <f>IFERROR(__xludf.DUMMYFUNCTION("""COMPUTED_VALUE"""),14.8)</f>
        <v>14.8</v>
      </c>
    </row>
    <row r="4198">
      <c r="D4198" t="str">
        <f>IFERROR(__xludf.DUMMYFUNCTION("""COMPUTED_VALUE"""),"Scott")</f>
        <v>Scott</v>
      </c>
      <c r="E4198" t="str">
        <f>IFERROR(__xludf.DUMMYFUNCTION("""COMPUTED_VALUE"""),"Artavis")</f>
        <v>Artavis</v>
      </c>
      <c r="F4198" t="str">
        <f>IFERROR(__xludf.DUMMYFUNCTION("""COMPUTED_VALUE"""),"WR")</f>
        <v>WR</v>
      </c>
      <c r="G4198">
        <f>IFERROR(__xludf.DUMMYFUNCTION("""COMPUTED_VALUE"""),12.8)</f>
        <v>12.8</v>
      </c>
    </row>
    <row r="4199">
      <c r="D4199" t="str">
        <f>IFERROR(__xludf.DUMMYFUNCTION("""COMPUTED_VALUE"""),"Scott")</f>
        <v>Scott</v>
      </c>
      <c r="E4199" t="str">
        <f>IFERROR(__xludf.DUMMYFUNCTION("""COMPUTED_VALUE"""),"Chris")</f>
        <v>Chris</v>
      </c>
      <c r="F4199" t="str">
        <f>IFERROR(__xludf.DUMMYFUNCTION("""COMPUTED_VALUE"""),"RG")</f>
        <v>RG</v>
      </c>
      <c r="G4199">
        <f>IFERROR(__xludf.DUMMYFUNCTION("""COMPUTED_VALUE"""),14.0)</f>
        <v>14</v>
      </c>
    </row>
    <row r="4200">
      <c r="D4200" t="str">
        <f>IFERROR(__xludf.DUMMYFUNCTION("""COMPUTED_VALUE"""),"Scott")</f>
        <v>Scott</v>
      </c>
      <c r="E4200" t="str">
        <f>IFERROR(__xludf.DUMMYFUNCTION("""COMPUTED_VALUE"""),"Rashawn")</f>
        <v>Rashawn</v>
      </c>
      <c r="F4200" t="str">
        <f>IFERROR(__xludf.DUMMYFUNCTION("""COMPUTED_VALUE"""),"WR")</f>
        <v>WR</v>
      </c>
      <c r="G4200">
        <f>IFERROR(__xludf.DUMMYFUNCTION("""COMPUTED_VALUE"""),12.600000000000001)</f>
        <v>12.6</v>
      </c>
    </row>
    <row r="4201">
      <c r="D4201" t="str">
        <f>IFERROR(__xludf.DUMMYFUNCTION("""COMPUTED_VALUE"""),"Seals-Jones")</f>
        <v>Seals-Jones</v>
      </c>
      <c r="E4201" t="str">
        <f>IFERROR(__xludf.DUMMYFUNCTION("""COMPUTED_VALUE"""),"Ricky")</f>
        <v>Ricky</v>
      </c>
      <c r="F4201" t="str">
        <f>IFERROR(__xludf.DUMMYFUNCTION("""COMPUTED_VALUE"""),"TE")</f>
        <v>TE</v>
      </c>
      <c r="G4201">
        <f>IFERROR(__xludf.DUMMYFUNCTION("""COMPUTED_VALUE"""),12.8)</f>
        <v>12.8</v>
      </c>
    </row>
    <row r="4202">
      <c r="D4202" t="str">
        <f>IFERROR(__xludf.DUMMYFUNCTION("""COMPUTED_VALUE"""),"Seamster")</f>
        <v>Seamster</v>
      </c>
      <c r="E4202" t="str">
        <f>IFERROR(__xludf.DUMMYFUNCTION("""COMPUTED_VALUE"""),"Sammy")</f>
        <v>Sammy</v>
      </c>
      <c r="F4202" t="str">
        <f>IFERROR(__xludf.DUMMYFUNCTION("""COMPUTED_VALUE"""),"CB")</f>
        <v>CB</v>
      </c>
      <c r="G4202">
        <f>IFERROR(__xludf.DUMMYFUNCTION("""COMPUTED_VALUE"""),12.8)</f>
        <v>12.8</v>
      </c>
    </row>
    <row r="4203">
      <c r="D4203" t="str">
        <f>IFERROR(__xludf.DUMMYFUNCTION("""COMPUTED_VALUE"""),"Searcy")</f>
        <v>Searcy</v>
      </c>
      <c r="E4203" t="str">
        <f>IFERROR(__xludf.DUMMYFUNCTION("""COMPUTED_VALUE"""),"DaNorris")</f>
        <v>DaNorris</v>
      </c>
      <c r="F4203" t="str">
        <f>IFERROR(__xludf.DUMMYFUNCTION("""COMPUTED_VALUE"""),"SS")</f>
        <v>SS</v>
      </c>
      <c r="G4203">
        <f>IFERROR(__xludf.DUMMYFUNCTION("""COMPUTED_VALUE"""),15.200000000000001)</f>
        <v>15.2</v>
      </c>
    </row>
    <row r="4204">
      <c r="D4204" t="str">
        <f>IFERROR(__xludf.DUMMYFUNCTION("""COMPUTED_VALUE"""),"Seaton")</f>
        <v>Seaton</v>
      </c>
      <c r="E4204" t="str">
        <f>IFERROR(__xludf.DUMMYFUNCTION("""COMPUTED_VALUE"""),"Brad")</f>
        <v>Brad</v>
      </c>
      <c r="F4204" t="str">
        <f>IFERROR(__xludf.DUMMYFUNCTION("""COMPUTED_VALUE"""),"RT")</f>
        <v>RT</v>
      </c>
      <c r="G4204">
        <f>IFERROR(__xludf.DUMMYFUNCTION("""COMPUTED_VALUE"""),13.0)</f>
        <v>13</v>
      </c>
    </row>
    <row r="4205">
      <c r="D4205" t="str">
        <f>IFERROR(__xludf.DUMMYFUNCTION("""COMPUTED_VALUE"""),"Seau")</f>
        <v>Seau</v>
      </c>
      <c r="E4205" t="str">
        <f>IFERROR(__xludf.DUMMYFUNCTION("""COMPUTED_VALUE"""),"Ian")</f>
        <v>Ian</v>
      </c>
      <c r="F4205" t="str">
        <f>IFERROR(__xludf.DUMMYFUNCTION("""COMPUTED_VALUE"""),"ROLB")</f>
        <v>ROLB</v>
      </c>
      <c r="G4205">
        <f>IFERROR(__xludf.DUMMYFUNCTION("""COMPUTED_VALUE"""),12.200000000000001)</f>
        <v>12.2</v>
      </c>
    </row>
    <row r="4206">
      <c r="D4206" t="str">
        <f>IFERROR(__xludf.DUMMYFUNCTION("""COMPUTED_VALUE"""),"Seferian-Jenkins")</f>
        <v>Seferian-Jenkins</v>
      </c>
      <c r="E4206" t="str">
        <f>IFERROR(__xludf.DUMMYFUNCTION("""COMPUTED_VALUE"""),"Austin")</f>
        <v>Austin</v>
      </c>
      <c r="F4206" t="str">
        <f>IFERROR(__xludf.DUMMYFUNCTION("""COMPUTED_VALUE"""),"TE")</f>
        <v>TE</v>
      </c>
      <c r="G4206">
        <f>IFERROR(__xludf.DUMMYFUNCTION("""COMPUTED_VALUE"""),14.8)</f>
        <v>14.8</v>
      </c>
    </row>
    <row r="4207">
      <c r="D4207" t="str">
        <f>IFERROR(__xludf.DUMMYFUNCTION("""COMPUTED_VALUE"""),"Sendejo")</f>
        <v>Sendejo</v>
      </c>
      <c r="E4207" t="str">
        <f>IFERROR(__xludf.DUMMYFUNCTION("""COMPUTED_VALUE"""),"Andrew")</f>
        <v>Andrew</v>
      </c>
      <c r="F4207" t="str">
        <f>IFERROR(__xludf.DUMMYFUNCTION("""COMPUTED_VALUE"""),"SS")</f>
        <v>SS</v>
      </c>
      <c r="G4207">
        <f>IFERROR(__xludf.DUMMYFUNCTION("""COMPUTED_VALUE"""),15.600000000000001)</f>
        <v>15.6</v>
      </c>
    </row>
    <row r="4208">
      <c r="D4208" t="str">
        <f>IFERROR(__xludf.DUMMYFUNCTION("""COMPUTED_VALUE"""),"Senior")</f>
        <v>Senior</v>
      </c>
      <c r="E4208" t="str">
        <f>IFERROR(__xludf.DUMMYFUNCTION("""COMPUTED_VALUE"""),"Justin")</f>
        <v>Justin</v>
      </c>
      <c r="F4208" t="str">
        <f>IFERROR(__xludf.DUMMYFUNCTION("""COMPUTED_VALUE"""),"LT")</f>
        <v>LT</v>
      </c>
      <c r="G4208">
        <f>IFERROR(__xludf.DUMMYFUNCTION("""COMPUTED_VALUE"""),12.8)</f>
        <v>12.8</v>
      </c>
    </row>
    <row r="4209">
      <c r="D4209" t="str">
        <f>IFERROR(__xludf.DUMMYFUNCTION("""COMPUTED_VALUE"""),"Sensabaugh")</f>
        <v>Sensabaugh</v>
      </c>
      <c r="E4209" t="str">
        <f>IFERROR(__xludf.DUMMYFUNCTION("""COMPUTED_VALUE"""),"Coty")</f>
        <v>Coty</v>
      </c>
      <c r="F4209" t="str">
        <f>IFERROR(__xludf.DUMMYFUNCTION("""COMPUTED_VALUE"""),"CB")</f>
        <v>CB</v>
      </c>
      <c r="G4209">
        <f>IFERROR(__xludf.DUMMYFUNCTION("""COMPUTED_VALUE"""),14.200000000000001)</f>
        <v>14.2</v>
      </c>
    </row>
    <row r="4210">
      <c r="D4210" t="str">
        <f>IFERROR(__xludf.DUMMYFUNCTION("""COMPUTED_VALUE"""),"Seumalo")</f>
        <v>Seumalo</v>
      </c>
      <c r="E4210" t="str">
        <f>IFERROR(__xludf.DUMMYFUNCTION("""COMPUTED_VALUE"""),"Isaac")</f>
        <v>Isaac</v>
      </c>
      <c r="F4210" t="str">
        <f>IFERROR(__xludf.DUMMYFUNCTION("""COMPUTED_VALUE"""),"LG")</f>
        <v>LG</v>
      </c>
      <c r="G4210">
        <f>IFERROR(__xludf.DUMMYFUNCTION("""COMPUTED_VALUE"""),13.8)</f>
        <v>13.8</v>
      </c>
    </row>
    <row r="4211">
      <c r="D4211" t="str">
        <f>IFERROR(__xludf.DUMMYFUNCTION("""COMPUTED_VALUE"""),"Seymour")</f>
        <v>Seymour</v>
      </c>
      <c r="E4211" t="str">
        <f>IFERROR(__xludf.DUMMYFUNCTION("""COMPUTED_VALUE"""),"Kevon")</f>
        <v>Kevon</v>
      </c>
      <c r="F4211" t="str">
        <f>IFERROR(__xludf.DUMMYFUNCTION("""COMPUTED_VALUE"""),"CB")</f>
        <v>CB</v>
      </c>
      <c r="G4211">
        <f>IFERROR(__xludf.DUMMYFUNCTION("""COMPUTED_VALUE"""),13.200000000000001)</f>
        <v>13.2</v>
      </c>
    </row>
    <row r="4212">
      <c r="D4212" t="str">
        <f>IFERROR(__xludf.DUMMYFUNCTION("""COMPUTED_VALUE"""),"Shabazz")</f>
        <v>Shabazz</v>
      </c>
      <c r="E4212" t="str">
        <f>IFERROR(__xludf.DUMMYFUNCTION("""COMPUTED_VALUE"""),"Al-Hajj")</f>
        <v>Al-Hajj</v>
      </c>
      <c r="F4212" t="str">
        <f>IFERROR(__xludf.DUMMYFUNCTION("""COMPUTED_VALUE"""),"CB")</f>
        <v>CB</v>
      </c>
      <c r="G4212">
        <f>IFERROR(__xludf.DUMMYFUNCTION("""COMPUTED_VALUE"""),12.200000000000001)</f>
        <v>12.2</v>
      </c>
    </row>
    <row r="4213">
      <c r="D4213" t="str">
        <f>IFERROR(__xludf.DUMMYFUNCTION("""COMPUTED_VALUE"""),"Shaheen")</f>
        <v>Shaheen</v>
      </c>
      <c r="E4213" t="str">
        <f>IFERROR(__xludf.DUMMYFUNCTION("""COMPUTED_VALUE"""),"Adam")</f>
        <v>Adam</v>
      </c>
      <c r="F4213" t="str">
        <f>IFERROR(__xludf.DUMMYFUNCTION("""COMPUTED_VALUE"""),"TE")</f>
        <v>TE</v>
      </c>
      <c r="G4213">
        <f>IFERROR(__xludf.DUMMYFUNCTION("""COMPUTED_VALUE"""),15.0)</f>
        <v>15</v>
      </c>
    </row>
    <row r="4214">
      <c r="D4214" t="str">
        <f>IFERROR(__xludf.DUMMYFUNCTION("""COMPUTED_VALUE"""),"Sharpe")</f>
        <v>Sharpe</v>
      </c>
      <c r="E4214" t="str">
        <f>IFERROR(__xludf.DUMMYFUNCTION("""COMPUTED_VALUE"""),"David")</f>
        <v>David</v>
      </c>
      <c r="F4214" t="str">
        <f>IFERROR(__xludf.DUMMYFUNCTION("""COMPUTED_VALUE"""),"LT")</f>
        <v>LT</v>
      </c>
      <c r="G4214">
        <f>IFERROR(__xludf.DUMMYFUNCTION("""COMPUTED_VALUE"""),13.8)</f>
        <v>13.8</v>
      </c>
    </row>
    <row r="4215">
      <c r="D4215" t="str">
        <f>IFERROR(__xludf.DUMMYFUNCTION("""COMPUTED_VALUE"""),"Sharpe")</f>
        <v>Sharpe</v>
      </c>
      <c r="E4215" t="str">
        <f>IFERROR(__xludf.DUMMYFUNCTION("""COMPUTED_VALUE"""),"Tajae")</f>
        <v>Tajae</v>
      </c>
      <c r="F4215" t="str">
        <f>IFERROR(__xludf.DUMMYFUNCTION("""COMPUTED_VALUE"""),"WR")</f>
        <v>WR</v>
      </c>
      <c r="G4215">
        <f>IFERROR(__xludf.DUMMYFUNCTION("""COMPUTED_VALUE"""),15.200000000000001)</f>
        <v>15.2</v>
      </c>
    </row>
    <row r="4216">
      <c r="D4216" t="str">
        <f>IFERROR(__xludf.DUMMYFUNCTION("""COMPUTED_VALUE"""),"Shatley")</f>
        <v>Shatley</v>
      </c>
      <c r="E4216" t="str">
        <f>IFERROR(__xludf.DUMMYFUNCTION("""COMPUTED_VALUE"""),"Tyler")</f>
        <v>Tyler</v>
      </c>
      <c r="F4216" t="str">
        <f>IFERROR(__xludf.DUMMYFUNCTION("""COMPUTED_VALUE"""),"LG")</f>
        <v>LG</v>
      </c>
      <c r="G4216">
        <f>IFERROR(__xludf.DUMMYFUNCTION("""COMPUTED_VALUE"""),13.600000000000001)</f>
        <v>13.6</v>
      </c>
    </row>
    <row r="4217">
      <c r="D4217" t="str">
        <f>IFERROR(__xludf.DUMMYFUNCTION("""COMPUTED_VALUE"""),"Shaw")</f>
        <v>Shaw</v>
      </c>
      <c r="E4217" t="str">
        <f>IFERROR(__xludf.DUMMYFUNCTION("""COMPUTED_VALUE"""),"Connor")</f>
        <v>Connor</v>
      </c>
      <c r="F4217" t="str">
        <f>IFERROR(__xludf.DUMMYFUNCTION("""COMPUTED_VALUE"""),"QB")</f>
        <v>QB</v>
      </c>
      <c r="G4217">
        <f>IFERROR(__xludf.DUMMYFUNCTION("""COMPUTED_VALUE"""),11.4)</f>
        <v>11.4</v>
      </c>
    </row>
    <row r="4218">
      <c r="D4218" t="str">
        <f>IFERROR(__xludf.DUMMYFUNCTION("""COMPUTED_VALUE"""),"Shaw")</f>
        <v>Shaw</v>
      </c>
      <c r="E4218" t="str">
        <f>IFERROR(__xludf.DUMMYFUNCTION("""COMPUTED_VALUE"""),"Josh")</f>
        <v>Josh</v>
      </c>
      <c r="F4218" t="str">
        <f>IFERROR(__xludf.DUMMYFUNCTION("""COMPUTED_VALUE"""),"CB")</f>
        <v>CB</v>
      </c>
      <c r="G4218">
        <f>IFERROR(__xludf.DUMMYFUNCTION("""COMPUTED_VALUE"""),14.4)</f>
        <v>14.4</v>
      </c>
    </row>
    <row r="4219">
      <c r="D4219" t="str">
        <f>IFERROR(__xludf.DUMMYFUNCTION("""COMPUTED_VALUE"""),"Shazier")</f>
        <v>Shazier</v>
      </c>
      <c r="E4219" t="str">
        <f>IFERROR(__xludf.DUMMYFUNCTION("""COMPUTED_VALUE"""),"Ryan")</f>
        <v>Ryan</v>
      </c>
      <c r="F4219" t="str">
        <f>IFERROR(__xludf.DUMMYFUNCTION("""COMPUTED_VALUE"""),"MLB")</f>
        <v>MLB</v>
      </c>
      <c r="G4219">
        <f>IFERROR(__xludf.DUMMYFUNCTION("""COMPUTED_VALUE"""),16.2)</f>
        <v>16.2</v>
      </c>
    </row>
    <row r="4220">
      <c r="D4220" t="str">
        <f>IFERROR(__xludf.DUMMYFUNCTION("""COMPUTED_VALUE"""),"Shead")</f>
        <v>Shead</v>
      </c>
      <c r="E4220" t="str">
        <f>IFERROR(__xludf.DUMMYFUNCTION("""COMPUTED_VALUE"""),"DeShawn")</f>
        <v>DeShawn</v>
      </c>
      <c r="F4220" t="str">
        <f>IFERROR(__xludf.DUMMYFUNCTION("""COMPUTED_VALUE"""),"CB")</f>
        <v>CB</v>
      </c>
      <c r="G4220">
        <f>IFERROR(__xludf.DUMMYFUNCTION("""COMPUTED_VALUE"""),15.8)</f>
        <v>15.8</v>
      </c>
    </row>
    <row r="4221">
      <c r="D4221" t="str">
        <f>IFERROR(__xludf.DUMMYFUNCTION("""COMPUTED_VALUE"""),"Sheard")</f>
        <v>Sheard</v>
      </c>
      <c r="E4221" t="str">
        <f>IFERROR(__xludf.DUMMYFUNCTION("""COMPUTED_VALUE"""),"Jabaal")</f>
        <v>Jabaal</v>
      </c>
      <c r="F4221" t="str">
        <f>IFERROR(__xludf.DUMMYFUNCTION("""COMPUTED_VALUE"""),"LOLB")</f>
        <v>LOLB</v>
      </c>
      <c r="G4221">
        <f>IFERROR(__xludf.DUMMYFUNCTION("""COMPUTED_VALUE"""),15.8)</f>
        <v>15.8</v>
      </c>
    </row>
    <row r="4222">
      <c r="D4222" t="str">
        <f>IFERROR(__xludf.DUMMYFUNCTION("""COMPUTED_VALUE"""),"Shelby")</f>
        <v>Shelby</v>
      </c>
      <c r="E4222" t="str">
        <f>IFERROR(__xludf.DUMMYFUNCTION("""COMPUTED_VALUE"""),"Derrick")</f>
        <v>Derrick</v>
      </c>
      <c r="F4222" t="str">
        <f>IFERROR(__xludf.DUMMYFUNCTION("""COMPUTED_VALUE"""),"DT")</f>
        <v>DT</v>
      </c>
      <c r="G4222">
        <f>IFERROR(__xludf.DUMMYFUNCTION("""COMPUTED_VALUE"""),15.0)</f>
        <v>15</v>
      </c>
    </row>
    <row r="4223">
      <c r="D4223" t="str">
        <f>IFERROR(__xludf.DUMMYFUNCTION("""COMPUTED_VALUE"""),"Shell")</f>
        <v>Shell</v>
      </c>
      <c r="E4223" t="str">
        <f>IFERROR(__xludf.DUMMYFUNCTION("""COMPUTED_VALUE"""),"Brandon")</f>
        <v>Brandon</v>
      </c>
      <c r="F4223" t="str">
        <f>IFERROR(__xludf.DUMMYFUNCTION("""COMPUTED_VALUE"""),"RT")</f>
        <v>RT</v>
      </c>
      <c r="G4223">
        <f>IFERROR(__xludf.DUMMYFUNCTION("""COMPUTED_VALUE"""),13.8)</f>
        <v>13.8</v>
      </c>
    </row>
    <row r="4224">
      <c r="D4224" t="str">
        <f>IFERROR(__xludf.DUMMYFUNCTION("""COMPUTED_VALUE"""),"Shelton")</f>
        <v>Shelton</v>
      </c>
      <c r="E4224" t="str">
        <f>IFERROR(__xludf.DUMMYFUNCTION("""COMPUTED_VALUE"""),"Danny")</f>
        <v>Danny</v>
      </c>
      <c r="F4224" t="str">
        <f>IFERROR(__xludf.DUMMYFUNCTION("""COMPUTED_VALUE"""),"DT")</f>
        <v>DT</v>
      </c>
      <c r="G4224">
        <f>IFERROR(__xludf.DUMMYFUNCTION("""COMPUTED_VALUE"""),16.400000000000002)</f>
        <v>16.4</v>
      </c>
    </row>
    <row r="4225">
      <c r="D4225" t="str">
        <f>IFERROR(__xludf.DUMMYFUNCTION("""COMPUTED_VALUE"""),"Shelton")</f>
        <v>Shelton</v>
      </c>
      <c r="E4225" t="str">
        <f>IFERROR(__xludf.DUMMYFUNCTION("""COMPUTED_VALUE"""),"RJ")</f>
        <v>RJ</v>
      </c>
      <c r="F4225" t="str">
        <f>IFERROR(__xludf.DUMMYFUNCTION("""COMPUTED_VALUE"""),"WR")</f>
        <v>WR</v>
      </c>
      <c r="G4225">
        <f>IFERROR(__xludf.DUMMYFUNCTION("""COMPUTED_VALUE"""),12.200000000000001)</f>
        <v>12.2</v>
      </c>
    </row>
    <row r="4226">
      <c r="D4226" t="str">
        <f>IFERROR(__xludf.DUMMYFUNCTION("""COMPUTED_VALUE"""),"Shepard")</f>
        <v>Shepard</v>
      </c>
      <c r="E4226" t="str">
        <f>IFERROR(__xludf.DUMMYFUNCTION("""COMPUTED_VALUE"""),"Russell")</f>
        <v>Russell</v>
      </c>
      <c r="F4226" t="str">
        <f>IFERROR(__xludf.DUMMYFUNCTION("""COMPUTED_VALUE"""),"WR")</f>
        <v>WR</v>
      </c>
      <c r="G4226">
        <f>IFERROR(__xludf.DUMMYFUNCTION("""COMPUTED_VALUE"""),14.200000000000001)</f>
        <v>14.2</v>
      </c>
    </row>
    <row r="4227">
      <c r="D4227" t="str">
        <f>IFERROR(__xludf.DUMMYFUNCTION("""COMPUTED_VALUE"""),"Shepard")</f>
        <v>Shepard</v>
      </c>
      <c r="E4227" t="str">
        <f>IFERROR(__xludf.DUMMYFUNCTION("""COMPUTED_VALUE"""),"Sterling")</f>
        <v>Sterling</v>
      </c>
      <c r="F4227" t="str">
        <f>IFERROR(__xludf.DUMMYFUNCTION("""COMPUTED_VALUE"""),"WR")</f>
        <v>WR</v>
      </c>
      <c r="G4227">
        <f>IFERROR(__xludf.DUMMYFUNCTION("""COMPUTED_VALUE"""),16.0)</f>
        <v>16</v>
      </c>
    </row>
    <row r="4228">
      <c r="D4228" t="str">
        <f>IFERROR(__xludf.DUMMYFUNCTION("""COMPUTED_VALUE"""),"Shepherd")</f>
        <v>Shepherd</v>
      </c>
      <c r="E4228" t="str">
        <f>IFERROR(__xludf.DUMMYFUNCTION("""COMPUTED_VALUE"""),"Austin")</f>
        <v>Austin</v>
      </c>
      <c r="F4228" t="str">
        <f>IFERROR(__xludf.DUMMYFUNCTION("""COMPUTED_VALUE"""),"LG")</f>
        <v>LG</v>
      </c>
      <c r="G4228">
        <f>IFERROR(__xludf.DUMMYFUNCTION("""COMPUTED_VALUE"""),12.600000000000001)</f>
        <v>12.6</v>
      </c>
    </row>
    <row r="4229">
      <c r="D4229" t="str">
        <f>IFERROR(__xludf.DUMMYFUNCTION("""COMPUTED_VALUE"""),"Sherels")</f>
        <v>Sherels</v>
      </c>
      <c r="E4229" t="str">
        <f>IFERROR(__xludf.DUMMYFUNCTION("""COMPUTED_VALUE"""),"Marcus")</f>
        <v>Marcus</v>
      </c>
      <c r="F4229" t="str">
        <f>IFERROR(__xludf.DUMMYFUNCTION("""COMPUTED_VALUE"""),"CB")</f>
        <v>CB</v>
      </c>
      <c r="G4229">
        <f>IFERROR(__xludf.DUMMYFUNCTION("""COMPUTED_VALUE"""),14.0)</f>
        <v>14</v>
      </c>
    </row>
    <row r="4230">
      <c r="D4230" t="str">
        <f>IFERROR(__xludf.DUMMYFUNCTION("""COMPUTED_VALUE"""),"Sherman")</f>
        <v>Sherman</v>
      </c>
      <c r="E4230" t="str">
        <f>IFERROR(__xludf.DUMMYFUNCTION("""COMPUTED_VALUE"""),"Anthony")</f>
        <v>Anthony</v>
      </c>
      <c r="F4230" t="str">
        <f>IFERROR(__xludf.DUMMYFUNCTION("""COMPUTED_VALUE"""),"FB")</f>
        <v>FB</v>
      </c>
      <c r="G4230">
        <f>IFERROR(__xludf.DUMMYFUNCTION("""COMPUTED_VALUE"""),14.0)</f>
        <v>14</v>
      </c>
    </row>
    <row r="4231">
      <c r="D4231" t="str">
        <f>IFERROR(__xludf.DUMMYFUNCTION("""COMPUTED_VALUE"""),"Sherman")</f>
        <v>Sherman</v>
      </c>
      <c r="E4231" t="str">
        <f>IFERROR(__xludf.DUMMYFUNCTION("""COMPUTED_VALUE"""),"Richard")</f>
        <v>Richard</v>
      </c>
      <c r="F4231" t="str">
        <f>IFERROR(__xludf.DUMMYFUNCTION("""COMPUTED_VALUE"""),"CB")</f>
        <v>CB</v>
      </c>
      <c r="G4231">
        <f>IFERROR(__xludf.DUMMYFUNCTION("""COMPUTED_VALUE"""),18.0)</f>
        <v>18</v>
      </c>
    </row>
    <row r="4232">
      <c r="D4232" t="str">
        <f>IFERROR(__xludf.DUMMYFUNCTION("""COMPUTED_VALUE"""),"Shipley")</f>
        <v>Shipley</v>
      </c>
      <c r="E4232" t="str">
        <f>IFERROR(__xludf.DUMMYFUNCTION("""COMPUTED_VALUE"""),"AQ")</f>
        <v>AQ</v>
      </c>
      <c r="F4232" t="str">
        <f>IFERROR(__xludf.DUMMYFUNCTION("""COMPUTED_VALUE"""),"C")</f>
        <v>C</v>
      </c>
      <c r="G4232">
        <f>IFERROR(__xludf.DUMMYFUNCTION("""COMPUTED_VALUE"""),16.0)</f>
        <v>16</v>
      </c>
    </row>
    <row r="4233">
      <c r="D4233" t="str">
        <f>IFERROR(__xludf.DUMMYFUNCTION("""COMPUTED_VALUE"""),"Short")</f>
        <v>Short</v>
      </c>
      <c r="E4233" t="str">
        <f>IFERROR(__xludf.DUMMYFUNCTION("""COMPUTED_VALUE"""),"Kawann")</f>
        <v>Kawann</v>
      </c>
      <c r="F4233" t="str">
        <f>IFERROR(__xludf.DUMMYFUNCTION("""COMPUTED_VALUE"""),"DT")</f>
        <v>DT</v>
      </c>
      <c r="G4233">
        <f>IFERROR(__xludf.DUMMYFUNCTION("""COMPUTED_VALUE"""),17.6)</f>
        <v>17.6</v>
      </c>
    </row>
    <row r="4234">
      <c r="D4234" t="str">
        <f>IFERROR(__xludf.DUMMYFUNCTION("""COMPUTED_VALUE"""),"Shorts")</f>
        <v>Shorts</v>
      </c>
      <c r="E4234" t="str">
        <f>IFERROR(__xludf.DUMMYFUNCTION("""COMPUTED_VALUE"""),"Daikiel")</f>
        <v>Daikiel</v>
      </c>
      <c r="F4234" t="str">
        <f>IFERROR(__xludf.DUMMYFUNCTION("""COMPUTED_VALUE"""),"WR")</f>
        <v>WR</v>
      </c>
      <c r="G4234">
        <f>IFERROR(__xludf.DUMMYFUNCTION("""COMPUTED_VALUE"""),12.600000000000001)</f>
        <v>12.6</v>
      </c>
    </row>
    <row r="4235">
      <c r="D4235" t="str">
        <f>IFERROR(__xludf.DUMMYFUNCTION("""COMPUTED_VALUE"""),"Showers")</f>
        <v>Showers</v>
      </c>
      <c r="E4235" t="str">
        <f>IFERROR(__xludf.DUMMYFUNCTION("""COMPUTED_VALUE"""),"Jameill")</f>
        <v>Jameill</v>
      </c>
      <c r="F4235" t="str">
        <f>IFERROR(__xludf.DUMMYFUNCTION("""COMPUTED_VALUE"""),"SS")</f>
        <v>SS</v>
      </c>
      <c r="G4235">
        <f>IFERROR(__xludf.DUMMYFUNCTION("""COMPUTED_VALUE"""),11.0)</f>
        <v>11</v>
      </c>
    </row>
    <row r="4236">
      <c r="D4236" t="str">
        <f>IFERROR(__xludf.DUMMYFUNCTION("""COMPUTED_VALUE"""),"Siemian")</f>
        <v>Siemian</v>
      </c>
      <c r="E4236" t="str">
        <f>IFERROR(__xludf.DUMMYFUNCTION("""COMPUTED_VALUE"""),"Trevor")</f>
        <v>Trevor</v>
      </c>
      <c r="F4236" t="str">
        <f>IFERROR(__xludf.DUMMYFUNCTION("""COMPUTED_VALUE"""),"QB")</f>
        <v>QB</v>
      </c>
      <c r="G4236">
        <f>IFERROR(__xludf.DUMMYFUNCTION("""COMPUTED_VALUE"""),15.200000000000001)</f>
        <v>15.2</v>
      </c>
    </row>
    <row r="4237">
      <c r="D4237" t="str">
        <f>IFERROR(__xludf.DUMMYFUNCTION("""COMPUTED_VALUE"""),"Silatolu")</f>
        <v>Silatolu</v>
      </c>
      <c r="E4237" t="str">
        <f>IFERROR(__xludf.DUMMYFUNCTION("""COMPUTED_VALUE"""),"Amini")</f>
        <v>Amini</v>
      </c>
      <c r="F4237" t="str">
        <f>IFERROR(__xludf.DUMMYFUNCTION("""COMPUTED_VALUE"""),"LG")</f>
        <v>LG</v>
      </c>
      <c r="G4237">
        <f>IFERROR(__xludf.DUMMYFUNCTION("""COMPUTED_VALUE"""),14.4)</f>
        <v>14.4</v>
      </c>
    </row>
    <row r="4238">
      <c r="D4238" t="str">
        <f>IFERROR(__xludf.DUMMYFUNCTION("""COMPUTED_VALUE"""),"Silberman")</f>
        <v>Silberman</v>
      </c>
      <c r="E4238" t="str">
        <f>IFERROR(__xludf.DUMMYFUNCTION("""COMPUTED_VALUE"""),"Ian")</f>
        <v>Ian</v>
      </c>
      <c r="F4238" t="str">
        <f>IFERROR(__xludf.DUMMYFUNCTION("""COMPUTED_VALUE"""),"RT")</f>
        <v>RT</v>
      </c>
      <c r="G4238">
        <f>IFERROR(__xludf.DUMMYFUNCTION("""COMPUTED_VALUE"""),13.4)</f>
        <v>13.4</v>
      </c>
    </row>
    <row r="4239">
      <c r="D4239" t="str">
        <f>IFERROR(__xludf.DUMMYFUNCTION("""COMPUTED_VALUE"""),"Siliga")</f>
        <v>Siliga</v>
      </c>
      <c r="E4239" t="str">
        <f>IFERROR(__xludf.DUMMYFUNCTION("""COMPUTED_VALUE"""),"Sealver")</f>
        <v>Sealver</v>
      </c>
      <c r="F4239" t="str">
        <f>IFERROR(__xludf.DUMMYFUNCTION("""COMPUTED_VALUE"""),"DT")</f>
        <v>DT</v>
      </c>
      <c r="G4239">
        <f>IFERROR(__xludf.DUMMYFUNCTION("""COMPUTED_VALUE"""),14.0)</f>
        <v>14</v>
      </c>
    </row>
    <row r="4240">
      <c r="D4240" t="str">
        <f>IFERROR(__xludf.DUMMYFUNCTION("""COMPUTED_VALUE"""),"Simmons")</f>
        <v>Simmons</v>
      </c>
      <c r="E4240" t="str">
        <f>IFERROR(__xludf.DUMMYFUNCTION("""COMPUTED_VALUE"""),"Justin")</f>
        <v>Justin</v>
      </c>
      <c r="F4240" t="str">
        <f>IFERROR(__xludf.DUMMYFUNCTION("""COMPUTED_VALUE"""),"FS")</f>
        <v>FS</v>
      </c>
      <c r="G4240">
        <f>IFERROR(__xludf.DUMMYFUNCTION("""COMPUTED_VALUE"""),14.4)</f>
        <v>14.4</v>
      </c>
    </row>
    <row r="4241">
      <c r="D4241" t="str">
        <f>IFERROR(__xludf.DUMMYFUNCTION("""COMPUTED_VALUE"""),"Simms")</f>
        <v>Simms</v>
      </c>
      <c r="E4241" t="str">
        <f>IFERROR(__xludf.DUMMYFUNCTION("""COMPUTED_VALUE"""),"Matt")</f>
        <v>Matt</v>
      </c>
      <c r="F4241" t="str">
        <f>IFERROR(__xludf.DUMMYFUNCTION("""COMPUTED_VALUE"""),"QB")</f>
        <v>QB</v>
      </c>
      <c r="G4241">
        <f>IFERROR(__xludf.DUMMYFUNCTION("""COMPUTED_VALUE"""),11.600000000000001)</f>
        <v>11.6</v>
      </c>
    </row>
    <row r="4242">
      <c r="D4242" t="str">
        <f>IFERROR(__xludf.DUMMYFUNCTION("""COMPUTED_VALUE"""),"Simon")</f>
        <v>Simon</v>
      </c>
      <c r="E4242" t="str">
        <f>IFERROR(__xludf.DUMMYFUNCTION("""COMPUTED_VALUE"""),"Deon")</f>
        <v>Deon</v>
      </c>
      <c r="F4242" t="str">
        <f>IFERROR(__xludf.DUMMYFUNCTION("""COMPUTED_VALUE"""),"DT")</f>
        <v>DT</v>
      </c>
      <c r="G4242">
        <f>IFERROR(__xludf.DUMMYFUNCTION("""COMPUTED_VALUE"""),13.0)</f>
        <v>13</v>
      </c>
    </row>
    <row r="4243">
      <c r="D4243" t="str">
        <f>IFERROR(__xludf.DUMMYFUNCTION("""COMPUTED_VALUE"""),"Simon")</f>
        <v>Simon</v>
      </c>
      <c r="E4243" t="str">
        <f>IFERROR(__xludf.DUMMYFUNCTION("""COMPUTED_VALUE"""),"John")</f>
        <v>John</v>
      </c>
      <c r="F4243" t="str">
        <f>IFERROR(__xludf.DUMMYFUNCTION("""COMPUTED_VALUE"""),"ROLB")</f>
        <v>ROLB</v>
      </c>
      <c r="G4243">
        <f>IFERROR(__xludf.DUMMYFUNCTION("""COMPUTED_VALUE"""),15.8)</f>
        <v>15.8</v>
      </c>
    </row>
    <row r="4244">
      <c r="D4244" t="str">
        <f>IFERROR(__xludf.DUMMYFUNCTION("""COMPUTED_VALUE"""),"Sims")</f>
        <v>Sims</v>
      </c>
      <c r="E4244" t="str">
        <f>IFERROR(__xludf.DUMMYFUNCTION("""COMPUTED_VALUE"""),"Blake")</f>
        <v>Blake</v>
      </c>
      <c r="F4244" t="str">
        <f>IFERROR(__xludf.DUMMYFUNCTION("""COMPUTED_VALUE"""),"HB")</f>
        <v>HB</v>
      </c>
      <c r="G4244">
        <f>IFERROR(__xludf.DUMMYFUNCTION("""COMPUTED_VALUE"""),10.8)</f>
        <v>10.8</v>
      </c>
    </row>
    <row r="4245">
      <c r="D4245" t="str">
        <f>IFERROR(__xludf.DUMMYFUNCTION("""COMPUTED_VALUE"""),"Sims")</f>
        <v>Sims</v>
      </c>
      <c r="E4245" t="str">
        <f>IFERROR(__xludf.DUMMYFUNCTION("""COMPUTED_VALUE"""),"Dion")</f>
        <v>Dion</v>
      </c>
      <c r="F4245" t="str">
        <f>IFERROR(__xludf.DUMMYFUNCTION("""COMPUTED_VALUE"""),"TE")</f>
        <v>TE</v>
      </c>
      <c r="G4245">
        <f>IFERROR(__xludf.DUMMYFUNCTION("""COMPUTED_VALUE"""),15.600000000000001)</f>
        <v>15.6</v>
      </c>
    </row>
    <row r="4246">
      <c r="D4246" t="str">
        <f>IFERROR(__xludf.DUMMYFUNCTION("""COMPUTED_VALUE"""),"Sims")</f>
        <v>Sims</v>
      </c>
      <c r="E4246" t="str">
        <f>IFERROR(__xludf.DUMMYFUNCTION("""COMPUTED_VALUE"""),"LeShaun")</f>
        <v>LeShaun</v>
      </c>
      <c r="F4246" t="str">
        <f>IFERROR(__xludf.DUMMYFUNCTION("""COMPUTED_VALUE"""),"CB")</f>
        <v>CB</v>
      </c>
      <c r="G4246">
        <f>IFERROR(__xludf.DUMMYFUNCTION("""COMPUTED_VALUE"""),13.600000000000001)</f>
        <v>13.6</v>
      </c>
    </row>
    <row r="4247">
      <c r="D4247" t="str">
        <f>IFERROR(__xludf.DUMMYFUNCTION("""COMPUTED_VALUE"""),"Sims")</f>
        <v>Sims</v>
      </c>
      <c r="E4247" t="str">
        <f>IFERROR(__xludf.DUMMYFUNCTION("""COMPUTED_VALUE"""),"Pat")</f>
        <v>Pat</v>
      </c>
      <c r="F4247" t="str">
        <f>IFERROR(__xludf.DUMMYFUNCTION("""COMPUTED_VALUE"""),"DT")</f>
        <v>DT</v>
      </c>
      <c r="G4247">
        <f>IFERROR(__xludf.DUMMYFUNCTION("""COMPUTED_VALUE"""),14.4)</f>
        <v>14.4</v>
      </c>
    </row>
    <row r="4248">
      <c r="D4248" t="str">
        <f>IFERROR(__xludf.DUMMYFUNCTION("""COMPUTED_VALUE"""),"Sims III")</f>
        <v>Sims III</v>
      </c>
      <c r="E4248" t="str">
        <f>IFERROR(__xludf.DUMMYFUNCTION("""COMPUTED_VALUE"""),"Charles")</f>
        <v>Charles</v>
      </c>
      <c r="F4248" t="str">
        <f>IFERROR(__xludf.DUMMYFUNCTION("""COMPUTED_VALUE"""),"HB")</f>
        <v>HB</v>
      </c>
      <c r="G4248">
        <f>IFERROR(__xludf.DUMMYFUNCTION("""COMPUTED_VALUE"""),16.400000000000002)</f>
        <v>16.4</v>
      </c>
    </row>
    <row r="4249">
      <c r="D4249" t="str">
        <f>IFERROR(__xludf.DUMMYFUNCTION("""COMPUTED_VALUE"""),"Siragusa")</f>
        <v>Siragusa</v>
      </c>
      <c r="E4249" t="str">
        <f>IFERROR(__xludf.DUMMYFUNCTION("""COMPUTED_VALUE"""),"Nico")</f>
        <v>Nico</v>
      </c>
      <c r="F4249" t="str">
        <f>IFERROR(__xludf.DUMMYFUNCTION("""COMPUTED_VALUE"""),"LG")</f>
        <v>LG</v>
      </c>
      <c r="G4249">
        <f>IFERROR(__xludf.DUMMYFUNCTION("""COMPUTED_VALUE"""),14.200000000000001)</f>
        <v>14.2</v>
      </c>
    </row>
    <row r="4250">
      <c r="D4250" t="str">
        <f>IFERROR(__xludf.DUMMYFUNCTION("""COMPUTED_VALUE"""),"Sirles")</f>
        <v>Sirles</v>
      </c>
      <c r="E4250" t="str">
        <f>IFERROR(__xludf.DUMMYFUNCTION("""COMPUTED_VALUE"""),"Jeremiah")</f>
        <v>Jeremiah</v>
      </c>
      <c r="F4250" t="str">
        <f>IFERROR(__xludf.DUMMYFUNCTION("""COMPUTED_VALUE"""),"RT")</f>
        <v>RT</v>
      </c>
      <c r="G4250">
        <f>IFERROR(__xludf.DUMMYFUNCTION("""COMPUTED_VALUE"""),13.600000000000001)</f>
        <v>13.6</v>
      </c>
    </row>
    <row r="4251">
      <c r="D4251" t="str">
        <f>IFERROR(__xludf.DUMMYFUNCTION("""COMPUTED_VALUE"""),"Sitton")</f>
        <v>Sitton</v>
      </c>
      <c r="E4251" t="str">
        <f>IFERROR(__xludf.DUMMYFUNCTION("""COMPUTED_VALUE"""),"Josh")</f>
        <v>Josh</v>
      </c>
      <c r="F4251" t="str">
        <f>IFERROR(__xludf.DUMMYFUNCTION("""COMPUTED_VALUE"""),"LG")</f>
        <v>LG</v>
      </c>
      <c r="G4251">
        <f>IFERROR(__xludf.DUMMYFUNCTION("""COMPUTED_VALUE"""),17.8)</f>
        <v>17.8</v>
      </c>
    </row>
    <row r="4252">
      <c r="D4252" t="str">
        <f>IFERROR(__xludf.DUMMYFUNCTION("""COMPUTED_VALUE"""),"Skinner")</f>
        <v>Skinner</v>
      </c>
      <c r="E4252" t="str">
        <f>IFERROR(__xludf.DUMMYFUNCTION("""COMPUTED_VALUE"""),"Deontae")</f>
        <v>Deontae</v>
      </c>
      <c r="F4252" t="str">
        <f>IFERROR(__xludf.DUMMYFUNCTION("""COMPUTED_VALUE"""),"ROLB")</f>
        <v>ROLB</v>
      </c>
      <c r="G4252">
        <f>IFERROR(__xludf.DUMMYFUNCTION("""COMPUTED_VALUE"""),12.4)</f>
        <v>12.4</v>
      </c>
    </row>
    <row r="4253">
      <c r="D4253" t="str">
        <f>IFERROR(__xludf.DUMMYFUNCTION("""COMPUTED_VALUE"""),"Skipper")</f>
        <v>Skipper</v>
      </c>
      <c r="E4253" t="str">
        <f>IFERROR(__xludf.DUMMYFUNCTION("""COMPUTED_VALUE"""),"Dan")</f>
        <v>Dan</v>
      </c>
      <c r="F4253" t="str">
        <f>IFERROR(__xludf.DUMMYFUNCTION("""COMPUTED_VALUE"""),"RT")</f>
        <v>RT</v>
      </c>
      <c r="G4253">
        <f>IFERROR(__xludf.DUMMYFUNCTION("""COMPUTED_VALUE"""),12.4)</f>
        <v>12.4</v>
      </c>
    </row>
    <row r="4254">
      <c r="D4254" t="str">
        <f>IFERROR(__xludf.DUMMYFUNCTION("""COMPUTED_VALUE"""),"Skrine")</f>
        <v>Skrine</v>
      </c>
      <c r="E4254" t="str">
        <f>IFERROR(__xludf.DUMMYFUNCTION("""COMPUTED_VALUE"""),"Buster")</f>
        <v>Buster</v>
      </c>
      <c r="F4254" t="str">
        <f>IFERROR(__xludf.DUMMYFUNCTION("""COMPUTED_VALUE"""),"CB")</f>
        <v>CB</v>
      </c>
      <c r="G4254">
        <f>IFERROR(__xludf.DUMMYFUNCTION("""COMPUTED_VALUE"""),15.200000000000001)</f>
        <v>15.2</v>
      </c>
    </row>
    <row r="4255">
      <c r="D4255" t="str">
        <f>IFERROR(__xludf.DUMMYFUNCTION("""COMPUTED_VALUE"""),"Skuta")</f>
        <v>Skuta</v>
      </c>
      <c r="E4255" t="str">
        <f>IFERROR(__xludf.DUMMYFUNCTION("""COMPUTED_VALUE"""),"Dan")</f>
        <v>Dan</v>
      </c>
      <c r="F4255" t="str">
        <f>IFERROR(__xludf.DUMMYFUNCTION("""COMPUTED_VALUE"""),"LOLB")</f>
        <v>LOLB</v>
      </c>
      <c r="G4255">
        <f>IFERROR(__xludf.DUMMYFUNCTION("""COMPUTED_VALUE"""),14.8)</f>
        <v>14.8</v>
      </c>
    </row>
    <row r="4256">
      <c r="D4256" t="str">
        <f>IFERROR(__xludf.DUMMYFUNCTION("""COMPUTED_VALUE"""),"Slade")</f>
        <v>Slade</v>
      </c>
      <c r="E4256" t="str">
        <f>IFERROR(__xludf.DUMMYFUNCTION("""COMPUTED_VALUE"""),"Chad")</f>
        <v>Chad</v>
      </c>
      <c r="F4256" t="str">
        <f>IFERROR(__xludf.DUMMYFUNCTION("""COMPUTED_VALUE"""),"LG")</f>
        <v>LG</v>
      </c>
      <c r="G4256">
        <f>IFERROR(__xludf.DUMMYFUNCTION("""COMPUTED_VALUE"""),12.8)</f>
        <v>12.8</v>
      </c>
    </row>
    <row r="4257">
      <c r="D4257" t="str">
        <f>IFERROR(__xludf.DUMMYFUNCTION("""COMPUTED_VALUE"""),"Slater")</f>
        <v>Slater</v>
      </c>
      <c r="E4257" t="str">
        <f>IFERROR(__xludf.DUMMYFUNCTION("""COMPUTED_VALUE"""),"Matthew")</f>
        <v>Matthew</v>
      </c>
      <c r="F4257" t="str">
        <f>IFERROR(__xludf.DUMMYFUNCTION("""COMPUTED_VALUE"""),"WR")</f>
        <v>WR</v>
      </c>
      <c r="G4257">
        <f>IFERROR(__xludf.DUMMYFUNCTION("""COMPUTED_VALUE"""),13.8)</f>
        <v>13.8</v>
      </c>
    </row>
    <row r="4258">
      <c r="D4258" t="str">
        <f>IFERROR(__xludf.DUMMYFUNCTION("""COMPUTED_VALUE"""),"Slauson")</f>
        <v>Slauson</v>
      </c>
      <c r="E4258" t="str">
        <f>IFERROR(__xludf.DUMMYFUNCTION("""COMPUTED_VALUE"""),"Matt")</f>
        <v>Matt</v>
      </c>
      <c r="F4258" t="str">
        <f>IFERROR(__xludf.DUMMYFUNCTION("""COMPUTED_VALUE"""),"C")</f>
        <v>C</v>
      </c>
      <c r="G4258">
        <f>IFERROR(__xludf.DUMMYFUNCTION("""COMPUTED_VALUE"""),16.0)</f>
        <v>16</v>
      </c>
    </row>
    <row r="4259">
      <c r="D4259" t="str">
        <f>IFERROR(__xludf.DUMMYFUNCTION("""COMPUTED_VALUE"""),"Slay Jr")</f>
        <v>Slay Jr</v>
      </c>
      <c r="E4259" t="str">
        <f>IFERROR(__xludf.DUMMYFUNCTION("""COMPUTED_VALUE"""),"Darius")</f>
        <v>Darius</v>
      </c>
      <c r="F4259" t="str">
        <f>IFERROR(__xludf.DUMMYFUNCTION("""COMPUTED_VALUE"""),"CB")</f>
        <v>CB</v>
      </c>
      <c r="G4259">
        <f>IFERROR(__xludf.DUMMYFUNCTION("""COMPUTED_VALUE"""),17.8)</f>
        <v>17.8</v>
      </c>
    </row>
    <row r="4260">
      <c r="D4260" t="str">
        <f>IFERROR(__xludf.DUMMYFUNCTION("""COMPUTED_VALUE"""),"Smallwood")</f>
        <v>Smallwood</v>
      </c>
      <c r="E4260" t="str">
        <f>IFERROR(__xludf.DUMMYFUNCTION("""COMPUTED_VALUE"""),"Wendell")</f>
        <v>Wendell</v>
      </c>
      <c r="F4260" t="str">
        <f>IFERROR(__xludf.DUMMYFUNCTION("""COMPUTED_VALUE"""),"HB")</f>
        <v>HB</v>
      </c>
      <c r="G4260">
        <f>IFERROR(__xludf.DUMMYFUNCTION("""COMPUTED_VALUE"""),14.0)</f>
        <v>14</v>
      </c>
    </row>
    <row r="4261">
      <c r="D4261" t="str">
        <f>IFERROR(__xludf.DUMMYFUNCTION("""COMPUTED_VALUE"""),"Smart")</f>
        <v>Smart</v>
      </c>
      <c r="E4261" t="str">
        <f>IFERROR(__xludf.DUMMYFUNCTION("""COMPUTED_VALUE"""),"Tanzel")</f>
        <v>Tanzel</v>
      </c>
      <c r="F4261" t="str">
        <f>IFERROR(__xludf.DUMMYFUNCTION("""COMPUTED_VALUE"""),"DT")</f>
        <v>DT</v>
      </c>
      <c r="G4261">
        <f>IFERROR(__xludf.DUMMYFUNCTION("""COMPUTED_VALUE"""),12.600000000000001)</f>
        <v>12.6</v>
      </c>
    </row>
    <row r="4262">
      <c r="D4262" t="str">
        <f>IFERROR(__xludf.DUMMYFUNCTION("""COMPUTED_VALUE"""),"Smelter")</f>
        <v>Smelter</v>
      </c>
      <c r="E4262" t="str">
        <f>IFERROR(__xludf.DUMMYFUNCTION("""COMPUTED_VALUE"""),"DeAndre")</f>
        <v>DeAndre</v>
      </c>
      <c r="F4262" t="str">
        <f>IFERROR(__xludf.DUMMYFUNCTION("""COMPUTED_VALUE"""),"WR")</f>
        <v>WR</v>
      </c>
      <c r="G4262">
        <f>IFERROR(__xludf.DUMMYFUNCTION("""COMPUTED_VALUE"""),13.0)</f>
        <v>13</v>
      </c>
    </row>
    <row r="4263">
      <c r="D4263" t="str">
        <f>IFERROR(__xludf.DUMMYFUNCTION("""COMPUTED_VALUE"""),"Smith")</f>
        <v>Smith</v>
      </c>
      <c r="E4263" t="str">
        <f>IFERROR(__xludf.DUMMYFUNCTION("""COMPUTED_VALUE"""),"Aldon")</f>
        <v>Aldon</v>
      </c>
      <c r="F4263" t="str">
        <f>IFERROR(__xludf.DUMMYFUNCTION("""COMPUTED_VALUE"""),"ROLB")</f>
        <v>ROLB</v>
      </c>
      <c r="G4263">
        <f>IFERROR(__xludf.DUMMYFUNCTION("""COMPUTED_VALUE"""),17.0)</f>
        <v>17</v>
      </c>
    </row>
    <row r="4264">
      <c r="D4264" t="str">
        <f>IFERROR(__xludf.DUMMYFUNCTION("""COMPUTED_VALUE"""),"Smith")</f>
        <v>Smith</v>
      </c>
      <c r="E4264" t="str">
        <f>IFERROR(__xludf.DUMMYFUNCTION("""COMPUTED_VALUE"""),"Alex")</f>
        <v>Alex</v>
      </c>
      <c r="F4264" t="str">
        <f>IFERROR(__xludf.DUMMYFUNCTION("""COMPUTED_VALUE"""),"QB")</f>
        <v>QB</v>
      </c>
      <c r="G4264">
        <f>IFERROR(__xludf.DUMMYFUNCTION("""COMPUTED_VALUE"""),16.2)</f>
        <v>16.2</v>
      </c>
    </row>
    <row r="4265">
      <c r="D4265" t="str">
        <f>IFERROR(__xludf.DUMMYFUNCTION("""COMPUTED_VALUE"""),"Smith")</f>
        <v>Smith</v>
      </c>
      <c r="E4265" t="str">
        <f>IFERROR(__xludf.DUMMYFUNCTION("""COMPUTED_VALUE"""),"Andre")</f>
        <v>Andre</v>
      </c>
      <c r="F4265" t="str">
        <f>IFERROR(__xludf.DUMMYFUNCTION("""COMPUTED_VALUE"""),"LT")</f>
        <v>LT</v>
      </c>
      <c r="G4265">
        <f>IFERROR(__xludf.DUMMYFUNCTION("""COMPUTED_VALUE"""),14.8)</f>
        <v>14.8</v>
      </c>
    </row>
    <row r="4266">
      <c r="D4266" t="str">
        <f>IFERROR(__xludf.DUMMYFUNCTION("""COMPUTED_VALUE"""),"Smith")</f>
        <v>Smith</v>
      </c>
      <c r="E4266" t="str">
        <f>IFERROR(__xludf.DUMMYFUNCTION("""COMPUTED_VALUE"""),"Chris")</f>
        <v>Chris</v>
      </c>
      <c r="F4266" t="str">
        <f>IFERROR(__xludf.DUMMYFUNCTION("""COMPUTED_VALUE"""),"LE")</f>
        <v>LE</v>
      </c>
      <c r="G4266">
        <f>IFERROR(__xludf.DUMMYFUNCTION("""COMPUTED_VALUE"""),13.4)</f>
        <v>13.4</v>
      </c>
    </row>
    <row r="4267">
      <c r="D4267" t="str">
        <f>IFERROR(__xludf.DUMMYFUNCTION("""COMPUTED_VALUE"""),"Smith")</f>
        <v>Smith</v>
      </c>
      <c r="E4267" t="str">
        <f>IFERROR(__xludf.DUMMYFUNCTION("""COMPUTED_VALUE"""),"Derron")</f>
        <v>Derron</v>
      </c>
      <c r="F4267" t="str">
        <f>IFERROR(__xludf.DUMMYFUNCTION("""COMPUTED_VALUE"""),"FS")</f>
        <v>FS</v>
      </c>
      <c r="G4267">
        <f>IFERROR(__xludf.DUMMYFUNCTION("""COMPUTED_VALUE"""),13.0)</f>
        <v>13</v>
      </c>
    </row>
    <row r="4268">
      <c r="D4268" t="str">
        <f>IFERROR(__xludf.DUMMYFUNCTION("""COMPUTED_VALUE"""),"Smith")</f>
        <v>Smith</v>
      </c>
      <c r="E4268" t="str">
        <f>IFERROR(__xludf.DUMMYFUNCTION("""COMPUTED_VALUE"""),"DeVeon")</f>
        <v>DeVeon</v>
      </c>
      <c r="F4268" t="str">
        <f>IFERROR(__xludf.DUMMYFUNCTION("""COMPUTED_VALUE"""),"HB")</f>
        <v>HB</v>
      </c>
      <c r="G4268">
        <f>IFERROR(__xludf.DUMMYFUNCTION("""COMPUTED_VALUE"""),13.0)</f>
        <v>13</v>
      </c>
    </row>
    <row r="4269">
      <c r="D4269" t="str">
        <f>IFERROR(__xludf.DUMMYFUNCTION("""COMPUTED_VALUE"""),"Smith")</f>
        <v>Smith</v>
      </c>
      <c r="E4269" t="str">
        <f>IFERROR(__xludf.DUMMYFUNCTION("""COMPUTED_VALUE"""),"Devin")</f>
        <v>Devin</v>
      </c>
      <c r="F4269" t="str">
        <f>IFERROR(__xludf.DUMMYFUNCTION("""COMPUTED_VALUE"""),"WR")</f>
        <v>WR</v>
      </c>
      <c r="G4269">
        <f>IFERROR(__xludf.DUMMYFUNCTION("""COMPUTED_VALUE"""),14.0)</f>
        <v>14</v>
      </c>
    </row>
    <row r="4270">
      <c r="D4270" t="str">
        <f>IFERROR(__xludf.DUMMYFUNCTION("""COMPUTED_VALUE"""),"Smith")</f>
        <v>Smith</v>
      </c>
      <c r="E4270" t="str">
        <f>IFERROR(__xludf.DUMMYFUNCTION("""COMPUTED_VALUE"""),"DJoun")</f>
        <v>DJoun</v>
      </c>
      <c r="F4270" t="str">
        <f>IFERROR(__xludf.DUMMYFUNCTION("""COMPUTED_VALUE"""),"CB")</f>
        <v>CB</v>
      </c>
      <c r="G4270">
        <f>IFERROR(__xludf.DUMMYFUNCTION("""COMPUTED_VALUE"""),13.4)</f>
        <v>13.4</v>
      </c>
    </row>
    <row r="4271">
      <c r="D4271" t="str">
        <f>IFERROR(__xludf.DUMMYFUNCTION("""COMPUTED_VALUE"""),"Smith")</f>
        <v>Smith</v>
      </c>
      <c r="E4271" t="str">
        <f>IFERROR(__xludf.DUMMYFUNCTION("""COMPUTED_VALUE"""),"Donovan")</f>
        <v>Donovan</v>
      </c>
      <c r="F4271" t="str">
        <f>IFERROR(__xludf.DUMMYFUNCTION("""COMPUTED_VALUE"""),"LT")</f>
        <v>LT</v>
      </c>
      <c r="G4271">
        <f>IFERROR(__xludf.DUMMYFUNCTION("""COMPUTED_VALUE"""),14.4)</f>
        <v>14.4</v>
      </c>
    </row>
    <row r="4272">
      <c r="D4272" t="str">
        <f>IFERROR(__xludf.DUMMYFUNCTION("""COMPUTED_VALUE"""),"Smith")</f>
        <v>Smith</v>
      </c>
      <c r="E4272" t="str">
        <f>IFERROR(__xludf.DUMMYFUNCTION("""COMPUTED_VALUE"""),"Evan")</f>
        <v>Evan</v>
      </c>
      <c r="F4272" t="str">
        <f>IFERROR(__xludf.DUMMYFUNCTION("""COMPUTED_VALUE"""),"LG")</f>
        <v>LG</v>
      </c>
      <c r="G4272">
        <f>IFERROR(__xludf.DUMMYFUNCTION("""COMPUTED_VALUE"""),14.600000000000001)</f>
        <v>14.6</v>
      </c>
    </row>
    <row r="4273">
      <c r="D4273" t="str">
        <f>IFERROR(__xludf.DUMMYFUNCTION("""COMPUTED_VALUE"""),"Smith")</f>
        <v>Smith</v>
      </c>
      <c r="E4273" t="str">
        <f>IFERROR(__xludf.DUMMYFUNCTION("""COMPUTED_VALUE"""),"Garrison")</f>
        <v>Garrison</v>
      </c>
      <c r="F4273" t="str">
        <f>IFERROR(__xludf.DUMMYFUNCTION("""COMPUTED_VALUE"""),"LE")</f>
        <v>LE</v>
      </c>
      <c r="G4273">
        <f>IFERROR(__xludf.DUMMYFUNCTION("""COMPUTED_VALUE"""),12.200000000000001)</f>
        <v>12.2</v>
      </c>
    </row>
    <row r="4274">
      <c r="D4274" t="str">
        <f>IFERROR(__xludf.DUMMYFUNCTION("""COMPUTED_VALUE"""),"Smith")</f>
        <v>Smith</v>
      </c>
      <c r="E4274" t="str">
        <f>IFERROR(__xludf.DUMMYFUNCTION("""COMPUTED_VALUE"""),"Geno")</f>
        <v>Geno</v>
      </c>
      <c r="F4274" t="str">
        <f>IFERROR(__xludf.DUMMYFUNCTION("""COMPUTED_VALUE"""),"QB")</f>
        <v>QB</v>
      </c>
      <c r="G4274">
        <f>IFERROR(__xludf.DUMMYFUNCTION("""COMPUTED_VALUE"""),14.4)</f>
        <v>14.4</v>
      </c>
    </row>
    <row r="4275">
      <c r="D4275" t="str">
        <f>IFERROR(__xludf.DUMMYFUNCTION("""COMPUTED_VALUE"""),"Smith")</f>
        <v>Smith</v>
      </c>
      <c r="E4275" t="str">
        <f>IFERROR(__xludf.DUMMYFUNCTION("""COMPUTED_VALUE"""),"Harrison")</f>
        <v>Harrison</v>
      </c>
      <c r="F4275" t="str">
        <f>IFERROR(__xludf.DUMMYFUNCTION("""COMPUTED_VALUE"""),"FS")</f>
        <v>FS</v>
      </c>
      <c r="G4275">
        <f>IFERROR(__xludf.DUMMYFUNCTION("""COMPUTED_VALUE"""),18.6)</f>
        <v>18.6</v>
      </c>
    </row>
    <row r="4276">
      <c r="D4276" t="str">
        <f>IFERROR(__xludf.DUMMYFUNCTION("""COMPUTED_VALUE"""),"Smith")</f>
        <v>Smith</v>
      </c>
      <c r="E4276" t="str">
        <f>IFERROR(__xludf.DUMMYFUNCTION("""COMPUTED_VALUE"""),"Jacquies")</f>
        <v>Jacquies</v>
      </c>
      <c r="F4276" t="str">
        <f>IFERROR(__xludf.DUMMYFUNCTION("""COMPUTED_VALUE"""),"LE")</f>
        <v>LE</v>
      </c>
      <c r="G4276">
        <f>IFERROR(__xludf.DUMMYFUNCTION("""COMPUTED_VALUE"""),14.4)</f>
        <v>14.4</v>
      </c>
    </row>
    <row r="4277">
      <c r="D4277" t="str">
        <f>IFERROR(__xludf.DUMMYFUNCTION("""COMPUTED_VALUE"""),"Smith")</f>
        <v>Smith</v>
      </c>
      <c r="E4277" t="str">
        <f>IFERROR(__xludf.DUMMYFUNCTION("""COMPUTED_VALUE"""),"Jaylon")</f>
        <v>Jaylon</v>
      </c>
      <c r="F4277" t="str">
        <f>IFERROR(__xludf.DUMMYFUNCTION("""COMPUTED_VALUE"""),"MLB")</f>
        <v>MLB</v>
      </c>
      <c r="G4277">
        <f>IFERROR(__xludf.DUMMYFUNCTION("""COMPUTED_VALUE"""),15.0)</f>
        <v>15</v>
      </c>
    </row>
    <row r="4278">
      <c r="D4278" t="str">
        <f>IFERROR(__xludf.DUMMYFUNCTION("""COMPUTED_VALUE"""),"Smith")</f>
        <v>Smith</v>
      </c>
      <c r="E4278" t="str">
        <f>IFERROR(__xludf.DUMMYFUNCTION("""COMPUTED_VALUE"""),"Jimmy")</f>
        <v>Jimmy</v>
      </c>
      <c r="F4278" t="str">
        <f>IFERROR(__xludf.DUMMYFUNCTION("""COMPUTED_VALUE"""),"CB")</f>
        <v>CB</v>
      </c>
      <c r="G4278">
        <f>IFERROR(__xludf.DUMMYFUNCTION("""COMPUTED_VALUE"""),17.2)</f>
        <v>17.2</v>
      </c>
    </row>
    <row r="4279">
      <c r="D4279" t="str">
        <f>IFERROR(__xludf.DUMMYFUNCTION("""COMPUTED_VALUE"""),"Smith")</f>
        <v>Smith</v>
      </c>
      <c r="E4279" t="str">
        <f>IFERROR(__xludf.DUMMYFUNCTION("""COMPUTED_VALUE"""),"Jonnu")</f>
        <v>Jonnu</v>
      </c>
      <c r="F4279" t="str">
        <f>IFERROR(__xludf.DUMMYFUNCTION("""COMPUTED_VALUE"""),"TE")</f>
        <v>TE</v>
      </c>
      <c r="G4279">
        <f>IFERROR(__xludf.DUMMYFUNCTION("""COMPUTED_VALUE"""),14.8)</f>
        <v>14.8</v>
      </c>
    </row>
    <row r="4280">
      <c r="D4280" t="str">
        <f>IFERROR(__xludf.DUMMYFUNCTION("""COMPUTED_VALUE"""),"Smith")</f>
        <v>Smith</v>
      </c>
      <c r="E4280" t="str">
        <f>IFERROR(__xludf.DUMMYFUNCTION("""COMPUTED_VALUE"""),"Keith")</f>
        <v>Keith</v>
      </c>
      <c r="F4280" t="str">
        <f>IFERROR(__xludf.DUMMYFUNCTION("""COMPUTED_VALUE"""),"FB")</f>
        <v>FB</v>
      </c>
      <c r="G4280">
        <f>IFERROR(__xludf.DUMMYFUNCTION("""COMPUTED_VALUE"""),15.4)</f>
        <v>15.4</v>
      </c>
    </row>
    <row r="4281">
      <c r="D4281" t="str">
        <f>IFERROR(__xludf.DUMMYFUNCTION("""COMPUTED_VALUE"""),"Smith")</f>
        <v>Smith</v>
      </c>
      <c r="E4281" t="str">
        <f>IFERROR(__xludf.DUMMYFUNCTION("""COMPUTED_VALUE"""),"Lee")</f>
        <v>Lee</v>
      </c>
      <c r="F4281" t="str">
        <f>IFERROR(__xludf.DUMMYFUNCTION("""COMPUTED_VALUE"""),"TE")</f>
        <v>TE</v>
      </c>
      <c r="G4281">
        <f>IFERROR(__xludf.DUMMYFUNCTION("""COMPUTED_VALUE"""),14.8)</f>
        <v>14.8</v>
      </c>
    </row>
    <row r="4282">
      <c r="D4282" t="str">
        <f>IFERROR(__xludf.DUMMYFUNCTION("""COMPUTED_VALUE"""),"Smith")</f>
        <v>Smith</v>
      </c>
      <c r="E4282" t="str">
        <f>IFERROR(__xludf.DUMMYFUNCTION("""COMPUTED_VALUE"""),"Malcolm")</f>
        <v>Malcolm</v>
      </c>
      <c r="F4282" t="str">
        <f>IFERROR(__xludf.DUMMYFUNCTION("""COMPUTED_VALUE"""),"ROLB")</f>
        <v>ROLB</v>
      </c>
      <c r="G4282">
        <f>IFERROR(__xludf.DUMMYFUNCTION("""COMPUTED_VALUE"""),15.0)</f>
        <v>15</v>
      </c>
    </row>
    <row r="4283">
      <c r="D4283" t="str">
        <f>IFERROR(__xludf.DUMMYFUNCTION("""COMPUTED_VALUE"""),"Smith")</f>
        <v>Smith</v>
      </c>
      <c r="E4283" t="str">
        <f>IFERROR(__xludf.DUMMYFUNCTION("""COMPUTED_VALUE"""),"Malik")</f>
        <v>Malik</v>
      </c>
      <c r="F4283" t="str">
        <f>IFERROR(__xludf.DUMMYFUNCTION("""COMPUTED_VALUE"""),"SS")</f>
        <v>SS</v>
      </c>
      <c r="G4283">
        <f>IFERROR(__xludf.DUMMYFUNCTION("""COMPUTED_VALUE"""),11.8)</f>
        <v>11.8</v>
      </c>
    </row>
    <row r="4284">
      <c r="D4284" t="str">
        <f>IFERROR(__xludf.DUMMYFUNCTION("""COMPUTED_VALUE"""),"Smith")</f>
        <v>Smith</v>
      </c>
      <c r="E4284" t="str">
        <f>IFERROR(__xludf.DUMMYFUNCTION("""COMPUTED_VALUE"""),"Preston")</f>
        <v>Preston</v>
      </c>
      <c r="F4284" t="str">
        <f>IFERROR(__xludf.DUMMYFUNCTION("""COMPUTED_VALUE"""),"ROLB")</f>
        <v>ROLB</v>
      </c>
      <c r="G4284">
        <f>IFERROR(__xludf.DUMMYFUNCTION("""COMPUTED_VALUE"""),15.200000000000001)</f>
        <v>15.2</v>
      </c>
    </row>
    <row r="4285">
      <c r="D4285" t="str">
        <f>IFERROR(__xludf.DUMMYFUNCTION("""COMPUTED_VALUE"""),"Smith")</f>
        <v>Smith</v>
      </c>
      <c r="E4285" t="str">
        <f>IFERROR(__xludf.DUMMYFUNCTION("""COMPUTED_VALUE"""),"Rod")</f>
        <v>Rod</v>
      </c>
      <c r="F4285" t="str">
        <f>IFERROR(__xludf.DUMMYFUNCTION("""COMPUTED_VALUE"""),"HB")</f>
        <v>HB</v>
      </c>
      <c r="G4285">
        <f>IFERROR(__xludf.DUMMYFUNCTION("""COMPUTED_VALUE"""),12.600000000000001)</f>
        <v>12.6</v>
      </c>
    </row>
    <row r="4286">
      <c r="D4286" t="str">
        <f>IFERROR(__xludf.DUMMYFUNCTION("""COMPUTED_VALUE"""),"Smith")</f>
        <v>Smith</v>
      </c>
      <c r="E4286" t="str">
        <f>IFERROR(__xludf.DUMMYFUNCTION("""COMPUTED_VALUE"""),"Ryan")</f>
        <v>Ryan</v>
      </c>
      <c r="F4286" t="str">
        <f>IFERROR(__xludf.DUMMYFUNCTION("""COMPUTED_VALUE"""),"FS")</f>
        <v>FS</v>
      </c>
      <c r="G4286">
        <f>IFERROR(__xludf.DUMMYFUNCTION("""COMPUTED_VALUE"""),12.4)</f>
        <v>12.4</v>
      </c>
    </row>
    <row r="4287">
      <c r="D4287" t="str">
        <f>IFERROR(__xludf.DUMMYFUNCTION("""COMPUTED_VALUE"""),"Smith")</f>
        <v>Smith</v>
      </c>
      <c r="E4287" t="str">
        <f>IFERROR(__xludf.DUMMYFUNCTION("""COMPUTED_VALUE"""),"Sean")</f>
        <v>Sean</v>
      </c>
      <c r="F4287" t="str">
        <f>IFERROR(__xludf.DUMMYFUNCTION("""COMPUTED_VALUE"""),"CB")</f>
        <v>CB</v>
      </c>
      <c r="G4287">
        <f>IFERROR(__xludf.DUMMYFUNCTION("""COMPUTED_VALUE"""),17.2)</f>
        <v>17.2</v>
      </c>
    </row>
    <row r="4288">
      <c r="D4288" t="str">
        <f>IFERROR(__xludf.DUMMYFUNCTION("""COMPUTED_VALUE"""),"Smith")</f>
        <v>Smith</v>
      </c>
      <c r="E4288" t="str">
        <f>IFERROR(__xludf.DUMMYFUNCTION("""COMPUTED_VALUE"""),"Telvin")</f>
        <v>Telvin</v>
      </c>
      <c r="F4288" t="str">
        <f>IFERROR(__xludf.DUMMYFUNCTION("""COMPUTED_VALUE"""),"ROLB")</f>
        <v>ROLB</v>
      </c>
      <c r="G4288">
        <f>IFERROR(__xludf.DUMMYFUNCTION("""COMPUTED_VALUE"""),16.400000000000002)</f>
        <v>16.4</v>
      </c>
    </row>
    <row r="4289">
      <c r="D4289" t="str">
        <f>IFERROR(__xludf.DUMMYFUNCTION("""COMPUTED_VALUE"""),"Smith")</f>
        <v>Smith</v>
      </c>
      <c r="E4289" t="str">
        <f>IFERROR(__xludf.DUMMYFUNCTION("""COMPUTED_VALUE"""),"Terrance")</f>
        <v>Terrance</v>
      </c>
      <c r="F4289" t="str">
        <f>IFERROR(__xludf.DUMMYFUNCTION("""COMPUTED_VALUE"""),"MLB")</f>
        <v>MLB</v>
      </c>
      <c r="G4289">
        <f>IFERROR(__xludf.DUMMYFUNCTION("""COMPUTED_VALUE"""),12.0)</f>
        <v>12</v>
      </c>
    </row>
    <row r="4290">
      <c r="D4290" t="str">
        <f>IFERROR(__xludf.DUMMYFUNCTION("""COMPUTED_VALUE"""),"Smith")</f>
        <v>Smith</v>
      </c>
      <c r="E4290" t="str">
        <f>IFERROR(__xludf.DUMMYFUNCTION("""COMPUTED_VALUE"""),"Tevaun")</f>
        <v>Tevaun</v>
      </c>
      <c r="F4290" t="str">
        <f>IFERROR(__xludf.DUMMYFUNCTION("""COMPUTED_VALUE"""),"WR")</f>
        <v>WR</v>
      </c>
      <c r="G4290">
        <f>IFERROR(__xludf.DUMMYFUNCTION("""COMPUTED_VALUE"""),12.600000000000001)</f>
        <v>12.6</v>
      </c>
    </row>
    <row r="4291">
      <c r="D4291" t="str">
        <f>IFERROR(__xludf.DUMMYFUNCTION("""COMPUTED_VALUE"""),"Smith")</f>
        <v>Smith</v>
      </c>
      <c r="E4291" t="str">
        <f>IFERROR(__xludf.DUMMYFUNCTION("""COMPUTED_VALUE"""),"Torrey")</f>
        <v>Torrey</v>
      </c>
      <c r="F4291" t="str">
        <f>IFERROR(__xludf.DUMMYFUNCTION("""COMPUTED_VALUE"""),"WR")</f>
        <v>WR</v>
      </c>
      <c r="G4291">
        <f>IFERROR(__xludf.DUMMYFUNCTION("""COMPUTED_VALUE"""),15.600000000000001)</f>
        <v>15.6</v>
      </c>
    </row>
    <row r="4292">
      <c r="D4292" t="str">
        <f>IFERROR(__xludf.DUMMYFUNCTION("""COMPUTED_VALUE"""),"Smith")</f>
        <v>Smith</v>
      </c>
      <c r="E4292" t="str">
        <f>IFERROR(__xludf.DUMMYFUNCTION("""COMPUTED_VALUE"""),"Tyron")</f>
        <v>Tyron</v>
      </c>
      <c r="F4292" t="str">
        <f>IFERROR(__xludf.DUMMYFUNCTION("""COMPUTED_VALUE"""),"LT")</f>
        <v>LT</v>
      </c>
      <c r="G4292">
        <f>IFERROR(__xludf.DUMMYFUNCTION("""COMPUTED_VALUE"""),18.8)</f>
        <v>18.8</v>
      </c>
    </row>
    <row r="4293">
      <c r="D4293" t="str">
        <f>IFERROR(__xludf.DUMMYFUNCTION("""COMPUTED_VALUE"""),"Smith")</f>
        <v>Smith</v>
      </c>
      <c r="E4293" t="str">
        <f>IFERROR(__xludf.DUMMYFUNCTION("""COMPUTED_VALUE"""),"ZaDarius")</f>
        <v>ZaDarius</v>
      </c>
      <c r="F4293" t="str">
        <f>IFERROR(__xludf.DUMMYFUNCTION("""COMPUTED_VALUE"""),"ROLB")</f>
        <v>ROLB</v>
      </c>
      <c r="G4293">
        <f>IFERROR(__xludf.DUMMYFUNCTION("""COMPUTED_VALUE"""),14.200000000000001)</f>
        <v>14.2</v>
      </c>
    </row>
    <row r="4294">
      <c r="D4294" t="str">
        <f>IFERROR(__xludf.DUMMYFUNCTION("""COMPUTED_VALUE"""),"Smith II")</f>
        <v>Smith II</v>
      </c>
      <c r="E4294" t="str">
        <f>IFERROR(__xludf.DUMMYFUNCTION("""COMPUTED_VALUE"""),"Marcus")</f>
        <v>Marcus</v>
      </c>
      <c r="F4294" t="str">
        <f>IFERROR(__xludf.DUMMYFUNCTION("""COMPUTED_VALUE"""),"RE")</f>
        <v>RE</v>
      </c>
      <c r="G4294">
        <f>IFERROR(__xludf.DUMMYFUNCTION("""COMPUTED_VALUE"""),14.4)</f>
        <v>14.4</v>
      </c>
    </row>
    <row r="4295">
      <c r="D4295" t="str">
        <f>IFERROR(__xludf.DUMMYFUNCTION("""COMPUTED_VALUE"""),"Smith III")</f>
        <v>Smith III</v>
      </c>
      <c r="E4295" t="str">
        <f>IFERROR(__xludf.DUMMYFUNCTION("""COMPUTED_VALUE"""),"CJ")</f>
        <v>CJ</v>
      </c>
      <c r="F4295" t="str">
        <f>IFERROR(__xludf.DUMMYFUNCTION("""COMPUTED_VALUE"""),"CB")</f>
        <v>CB</v>
      </c>
      <c r="G4295">
        <f>IFERROR(__xludf.DUMMYFUNCTION("""COMPUTED_VALUE"""),12.200000000000001)</f>
        <v>12.2</v>
      </c>
    </row>
    <row r="4296">
      <c r="D4296" t="str">
        <f>IFERROR(__xludf.DUMMYFUNCTION("""COMPUTED_VALUE"""),"Smith-Schuster")</f>
        <v>Smith-Schuster</v>
      </c>
      <c r="E4296" t="str">
        <f>IFERROR(__xludf.DUMMYFUNCTION("""COMPUTED_VALUE"""),"JuJu")</f>
        <v>JuJu</v>
      </c>
      <c r="F4296" t="str">
        <f>IFERROR(__xludf.DUMMYFUNCTION("""COMPUTED_VALUE"""),"WR")</f>
        <v>WR</v>
      </c>
      <c r="G4296">
        <f>IFERROR(__xludf.DUMMYFUNCTION("""COMPUTED_VALUE"""),14.600000000000001)</f>
        <v>14.6</v>
      </c>
    </row>
    <row r="4297">
      <c r="D4297" t="str">
        <f>IFERROR(__xludf.DUMMYFUNCTION("""COMPUTED_VALUE"""),"Smoot")</f>
        <v>Smoot</v>
      </c>
      <c r="E4297" t="str">
        <f>IFERROR(__xludf.DUMMYFUNCTION("""COMPUTED_VALUE"""),"Dawuane")</f>
        <v>Dawuane</v>
      </c>
      <c r="F4297" t="str">
        <f>IFERROR(__xludf.DUMMYFUNCTION("""COMPUTED_VALUE"""),"RE")</f>
        <v>RE</v>
      </c>
      <c r="G4297">
        <f>IFERROR(__xludf.DUMMYFUNCTION("""COMPUTED_VALUE"""),14.200000000000001)</f>
        <v>14.2</v>
      </c>
    </row>
    <row r="4298">
      <c r="D4298" t="str">
        <f>IFERROR(__xludf.DUMMYFUNCTION("""COMPUTED_VALUE"""),"Snead IV")</f>
        <v>Snead IV</v>
      </c>
      <c r="E4298" t="str">
        <f>IFERROR(__xludf.DUMMYFUNCTION("""COMPUTED_VALUE"""),"Willie")</f>
        <v>Willie</v>
      </c>
      <c r="F4298" t="str">
        <f>IFERROR(__xludf.DUMMYFUNCTION("""COMPUTED_VALUE"""),"WR")</f>
        <v>WR</v>
      </c>
      <c r="G4298">
        <f>IFERROR(__xludf.DUMMYFUNCTION("""COMPUTED_VALUE"""),16.2)</f>
        <v>16.2</v>
      </c>
    </row>
    <row r="4299">
      <c r="D4299" t="str">
        <f>IFERROR(__xludf.DUMMYFUNCTION("""COMPUTED_VALUE"""),"Solder")</f>
        <v>Solder</v>
      </c>
      <c r="E4299" t="str">
        <f>IFERROR(__xludf.DUMMYFUNCTION("""COMPUTED_VALUE"""),"Nate")</f>
        <v>Nate</v>
      </c>
      <c r="F4299" t="str">
        <f>IFERROR(__xludf.DUMMYFUNCTION("""COMPUTED_VALUE"""),"LT")</f>
        <v>LT</v>
      </c>
      <c r="G4299">
        <f>IFERROR(__xludf.DUMMYFUNCTION("""COMPUTED_VALUE"""),17.400000000000002)</f>
        <v>17.4</v>
      </c>
    </row>
    <row r="4300">
      <c r="D4300" t="str">
        <f>IFERROR(__xludf.DUMMYFUNCTION("""COMPUTED_VALUE"""),"Sorensen")</f>
        <v>Sorensen</v>
      </c>
      <c r="E4300" t="str">
        <f>IFERROR(__xludf.DUMMYFUNCTION("""COMPUTED_VALUE"""),"Daniel")</f>
        <v>Daniel</v>
      </c>
      <c r="F4300" t="str">
        <f>IFERROR(__xludf.DUMMYFUNCTION("""COMPUTED_VALUE"""),"SS")</f>
        <v>SS</v>
      </c>
      <c r="G4300">
        <f>IFERROR(__xludf.DUMMYFUNCTION("""COMPUTED_VALUE"""),15.0)</f>
        <v>15</v>
      </c>
    </row>
    <row r="4301">
      <c r="D4301" t="str">
        <f>IFERROR(__xludf.DUMMYFUNCTION("""COMPUTED_VALUE"""),"Southward")</f>
        <v>Southward</v>
      </c>
      <c r="E4301" t="str">
        <f>IFERROR(__xludf.DUMMYFUNCTION("""COMPUTED_VALUE"""),"Dezmen")</f>
        <v>Dezmen</v>
      </c>
      <c r="F4301" t="str">
        <f>IFERROR(__xludf.DUMMYFUNCTION("""COMPUTED_VALUE"""),"SS")</f>
        <v>SS</v>
      </c>
      <c r="G4301">
        <f>IFERROR(__xludf.DUMMYFUNCTION("""COMPUTED_VALUE"""),13.0)</f>
        <v>13</v>
      </c>
    </row>
    <row r="4302">
      <c r="D4302" t="str">
        <f>IFERROR(__xludf.DUMMYFUNCTION("""COMPUTED_VALUE"""),"Sowell")</f>
        <v>Sowell</v>
      </c>
      <c r="E4302" t="str">
        <f>IFERROR(__xludf.DUMMYFUNCTION("""COMPUTED_VALUE"""),"Bradley")</f>
        <v>Bradley</v>
      </c>
      <c r="F4302" t="str">
        <f>IFERROR(__xludf.DUMMYFUNCTION("""COMPUTED_VALUE"""),"LT")</f>
        <v>LT</v>
      </c>
      <c r="G4302">
        <f>IFERROR(__xludf.DUMMYFUNCTION("""COMPUTED_VALUE"""),13.4)</f>
        <v>13.4</v>
      </c>
    </row>
    <row r="4303">
      <c r="D4303" t="str">
        <f>IFERROR(__xludf.DUMMYFUNCTION("""COMPUTED_VALUE"""),"Spadola")</f>
        <v>Spadola</v>
      </c>
      <c r="E4303" t="str">
        <f>IFERROR(__xludf.DUMMYFUNCTION("""COMPUTED_VALUE"""),"Ryan")</f>
        <v>Ryan</v>
      </c>
      <c r="F4303" t="str">
        <f>IFERROR(__xludf.DUMMYFUNCTION("""COMPUTED_VALUE"""),"WR")</f>
        <v>WR</v>
      </c>
      <c r="G4303">
        <f>IFERROR(__xludf.DUMMYFUNCTION("""COMPUTED_VALUE"""),12.200000000000001)</f>
        <v>12.2</v>
      </c>
    </row>
    <row r="4304">
      <c r="D4304" t="str">
        <f>IFERROR(__xludf.DUMMYFUNCTION("""COMPUTED_VALUE"""),"Spaight")</f>
        <v>Spaight</v>
      </c>
      <c r="E4304" t="str">
        <f>IFERROR(__xludf.DUMMYFUNCTION("""COMPUTED_VALUE"""),"Martrell")</f>
        <v>Martrell</v>
      </c>
      <c r="F4304" t="str">
        <f>IFERROR(__xludf.DUMMYFUNCTION("""COMPUTED_VALUE"""),"MLB")</f>
        <v>MLB</v>
      </c>
      <c r="G4304">
        <f>IFERROR(__xludf.DUMMYFUNCTION("""COMPUTED_VALUE"""),12.4)</f>
        <v>12.4</v>
      </c>
    </row>
    <row r="4305">
      <c r="D4305" t="str">
        <f>IFERROR(__xludf.DUMMYFUNCTION("""COMPUTED_VALUE"""),"Spain")</f>
        <v>Spain</v>
      </c>
      <c r="E4305" t="str">
        <f>IFERROR(__xludf.DUMMYFUNCTION("""COMPUTED_VALUE"""),"Quinton")</f>
        <v>Quinton</v>
      </c>
      <c r="F4305" t="str">
        <f>IFERROR(__xludf.DUMMYFUNCTION("""COMPUTED_VALUE"""),"LG")</f>
        <v>LG</v>
      </c>
      <c r="G4305">
        <f>IFERROR(__xludf.DUMMYFUNCTION("""COMPUTED_VALUE"""),16.2)</f>
        <v>16.2</v>
      </c>
    </row>
    <row r="4306">
      <c r="D4306" t="str">
        <f>IFERROR(__xludf.DUMMYFUNCTION("""COMPUTED_VALUE"""),"Spence")</f>
        <v>Spence</v>
      </c>
      <c r="E4306" t="str">
        <f>IFERROR(__xludf.DUMMYFUNCTION("""COMPUTED_VALUE"""),"Akeem")</f>
        <v>Akeem</v>
      </c>
      <c r="F4306" t="str">
        <f>IFERROR(__xludf.DUMMYFUNCTION("""COMPUTED_VALUE"""),"DT")</f>
        <v>DT</v>
      </c>
      <c r="G4306">
        <f>IFERROR(__xludf.DUMMYFUNCTION("""COMPUTED_VALUE"""),14.600000000000001)</f>
        <v>14.6</v>
      </c>
    </row>
    <row r="4307">
      <c r="D4307" t="str">
        <f>IFERROR(__xludf.DUMMYFUNCTION("""COMPUTED_VALUE"""),"Spence")</f>
        <v>Spence</v>
      </c>
      <c r="E4307" t="str">
        <f>IFERROR(__xludf.DUMMYFUNCTION("""COMPUTED_VALUE"""),"Noah")</f>
        <v>Noah</v>
      </c>
      <c r="F4307" t="str">
        <f>IFERROR(__xludf.DUMMYFUNCTION("""COMPUTED_VALUE"""),"RE")</f>
        <v>RE</v>
      </c>
      <c r="G4307">
        <f>IFERROR(__xludf.DUMMYFUNCTION("""COMPUTED_VALUE"""),15.0)</f>
        <v>15</v>
      </c>
    </row>
    <row r="4308">
      <c r="D4308" t="str">
        <f>IFERROR(__xludf.DUMMYFUNCTION("""COMPUTED_VALUE"""),"Spence")</f>
        <v>Spence</v>
      </c>
      <c r="E4308" t="str">
        <f>IFERROR(__xludf.DUMMYFUNCTION("""COMPUTED_VALUE"""),"Sean")</f>
        <v>Sean</v>
      </c>
      <c r="F4308" t="str">
        <f>IFERROR(__xludf.DUMMYFUNCTION("""COMPUTED_VALUE"""),"MLB")</f>
        <v>MLB</v>
      </c>
      <c r="G4308">
        <f>IFERROR(__xludf.DUMMYFUNCTION("""COMPUTED_VALUE"""),14.600000000000001)</f>
        <v>14.6</v>
      </c>
    </row>
    <row r="4309">
      <c r="D4309" t="str">
        <f>IFERROR(__xludf.DUMMYFUNCTION("""COMPUTED_VALUE"""),"Spiller")</f>
        <v>Spiller</v>
      </c>
      <c r="E4309" t="str">
        <f>IFERROR(__xludf.DUMMYFUNCTION("""COMPUTED_VALUE"""),"CJ")</f>
        <v>CJ</v>
      </c>
      <c r="F4309" t="str">
        <f>IFERROR(__xludf.DUMMYFUNCTION("""COMPUTED_VALUE"""),"HB")</f>
        <v>HB</v>
      </c>
      <c r="G4309">
        <f>IFERROR(__xludf.DUMMYFUNCTION("""COMPUTED_VALUE"""),15.200000000000001)</f>
        <v>15.2</v>
      </c>
    </row>
    <row r="4310">
      <c r="D4310" t="str">
        <f>IFERROR(__xludf.DUMMYFUNCTION("""COMPUTED_VALUE"""),"Spriggs")</f>
        <v>Spriggs</v>
      </c>
      <c r="E4310" t="str">
        <f>IFERROR(__xludf.DUMMYFUNCTION("""COMPUTED_VALUE"""),"Jason")</f>
        <v>Jason</v>
      </c>
      <c r="F4310" t="str">
        <f>IFERROR(__xludf.DUMMYFUNCTION("""COMPUTED_VALUE"""),"LT")</f>
        <v>LT</v>
      </c>
      <c r="G4310">
        <f>IFERROR(__xludf.DUMMYFUNCTION("""COMPUTED_VALUE"""),13.8)</f>
        <v>13.8</v>
      </c>
    </row>
    <row r="4311">
      <c r="D4311" t="str">
        <f>IFERROR(__xludf.DUMMYFUNCTION("""COMPUTED_VALUE"""),"Sprinkle")</f>
        <v>Sprinkle</v>
      </c>
      <c r="E4311" t="str">
        <f>IFERROR(__xludf.DUMMYFUNCTION("""COMPUTED_VALUE"""),"Jeremy")</f>
        <v>Jeremy</v>
      </c>
      <c r="F4311" t="str">
        <f>IFERROR(__xludf.DUMMYFUNCTION("""COMPUTED_VALUE"""),"TE")</f>
        <v>TE</v>
      </c>
      <c r="G4311">
        <f>IFERROR(__xludf.DUMMYFUNCTION("""COMPUTED_VALUE"""),14.200000000000001)</f>
        <v>14.2</v>
      </c>
    </row>
    <row r="4312">
      <c r="D4312" t="str">
        <f>IFERROR(__xludf.DUMMYFUNCTION("""COMPUTED_VALUE"""),"Sproles")</f>
        <v>Sproles</v>
      </c>
      <c r="E4312" t="str">
        <f>IFERROR(__xludf.DUMMYFUNCTION("""COMPUTED_VALUE"""),"Darren")</f>
        <v>Darren</v>
      </c>
      <c r="F4312" t="str">
        <f>IFERROR(__xludf.DUMMYFUNCTION("""COMPUTED_VALUE"""),"HB")</f>
        <v>HB</v>
      </c>
      <c r="G4312">
        <f>IFERROR(__xludf.DUMMYFUNCTION("""COMPUTED_VALUE"""),16.6)</f>
        <v>16.6</v>
      </c>
    </row>
    <row r="4313">
      <c r="D4313" t="str">
        <f>IFERROR(__xludf.DUMMYFUNCTION("""COMPUTED_VALUE"""),"Spruce")</f>
        <v>Spruce</v>
      </c>
      <c r="E4313" t="str">
        <f>IFERROR(__xludf.DUMMYFUNCTION("""COMPUTED_VALUE"""),"Nelson")</f>
        <v>Nelson</v>
      </c>
      <c r="F4313" t="str">
        <f>IFERROR(__xludf.DUMMYFUNCTION("""COMPUTED_VALUE"""),"WR")</f>
        <v>WR</v>
      </c>
      <c r="G4313">
        <f>IFERROR(__xludf.DUMMYFUNCTION("""COMPUTED_VALUE"""),12.8)</f>
        <v>12.8</v>
      </c>
    </row>
    <row r="4314">
      <c r="D4314" t="str">
        <f>IFERROR(__xludf.DUMMYFUNCTION("""COMPUTED_VALUE"""),"Square")</f>
        <v>Square</v>
      </c>
      <c r="E4314" t="str">
        <f>IFERROR(__xludf.DUMMYFUNCTION("""COMPUTED_VALUE"""),"Damion")</f>
        <v>Damion</v>
      </c>
      <c r="F4314" t="str">
        <f>IFERROR(__xludf.DUMMYFUNCTION("""COMPUTED_VALUE"""),"DT")</f>
        <v>DT</v>
      </c>
      <c r="G4314">
        <f>IFERROR(__xludf.DUMMYFUNCTION("""COMPUTED_VALUE"""),13.8)</f>
        <v>13.8</v>
      </c>
    </row>
    <row r="4315">
      <c r="D4315" t="str">
        <f>IFERROR(__xludf.DUMMYFUNCTION("""COMPUTED_VALUE"""),"Stafford")</f>
        <v>Stafford</v>
      </c>
      <c r="E4315" t="str">
        <f>IFERROR(__xludf.DUMMYFUNCTION("""COMPUTED_VALUE"""),"Daimion")</f>
        <v>Daimion</v>
      </c>
      <c r="F4315" t="str">
        <f>IFERROR(__xludf.DUMMYFUNCTION("""COMPUTED_VALUE"""),"SS")</f>
        <v>SS</v>
      </c>
      <c r="G4315">
        <f>IFERROR(__xludf.DUMMYFUNCTION("""COMPUTED_VALUE"""),14.0)</f>
        <v>14</v>
      </c>
    </row>
    <row r="4316">
      <c r="D4316" t="str">
        <f>IFERROR(__xludf.DUMMYFUNCTION("""COMPUTED_VALUE"""),"Stafford")</f>
        <v>Stafford</v>
      </c>
      <c r="E4316" t="str">
        <f>IFERROR(__xludf.DUMMYFUNCTION("""COMPUTED_VALUE"""),"Matthew")</f>
        <v>Matthew</v>
      </c>
      <c r="F4316" t="str">
        <f>IFERROR(__xludf.DUMMYFUNCTION("""COMPUTED_VALUE"""),"QB")</f>
        <v>QB</v>
      </c>
      <c r="G4316">
        <f>IFERROR(__xludf.DUMMYFUNCTION("""COMPUTED_VALUE"""),17.400000000000002)</f>
        <v>17.4</v>
      </c>
    </row>
    <row r="4317">
      <c r="D4317" t="str">
        <f>IFERROR(__xludf.DUMMYFUNCTION("""COMPUTED_VALUE"""),"Staley")</f>
        <v>Staley</v>
      </c>
      <c r="E4317" t="str">
        <f>IFERROR(__xludf.DUMMYFUNCTION("""COMPUTED_VALUE"""),"Joe")</f>
        <v>Joe</v>
      </c>
      <c r="F4317" t="str">
        <f>IFERROR(__xludf.DUMMYFUNCTION("""COMPUTED_VALUE"""),"LT")</f>
        <v>LT</v>
      </c>
      <c r="G4317">
        <f>IFERROR(__xludf.DUMMYFUNCTION("""COMPUTED_VALUE"""),16.2)</f>
        <v>16.2</v>
      </c>
    </row>
    <row r="4318">
      <c r="D4318" t="str">
        <f>IFERROR(__xludf.DUMMYFUNCTION("""COMPUTED_VALUE"""),"Stanford")</f>
        <v>Stanford</v>
      </c>
      <c r="E4318" t="str">
        <f>IFERROR(__xludf.DUMMYFUNCTION("""COMPUTED_VALUE"""),"Julian")</f>
        <v>Julian</v>
      </c>
      <c r="F4318" t="str">
        <f>IFERROR(__xludf.DUMMYFUNCTION("""COMPUTED_VALUE"""),"MLB")</f>
        <v>MLB</v>
      </c>
      <c r="G4318">
        <f>IFERROR(__xludf.DUMMYFUNCTION("""COMPUTED_VALUE"""),12.600000000000001)</f>
        <v>12.6</v>
      </c>
    </row>
    <row r="4319">
      <c r="D4319" t="str">
        <f>IFERROR(__xludf.DUMMYFUNCTION("""COMPUTED_VALUE"""),"Stanley")</f>
        <v>Stanley</v>
      </c>
      <c r="E4319" t="str">
        <f>IFERROR(__xludf.DUMMYFUNCTION("""COMPUTED_VALUE"""),"Ronnie")</f>
        <v>Ronnie</v>
      </c>
      <c r="F4319" t="str">
        <f>IFERROR(__xludf.DUMMYFUNCTION("""COMPUTED_VALUE"""),"LT")</f>
        <v>LT</v>
      </c>
      <c r="G4319">
        <f>IFERROR(__xludf.DUMMYFUNCTION("""COMPUTED_VALUE"""),16.0)</f>
        <v>16</v>
      </c>
    </row>
    <row r="4320">
      <c r="D4320" t="str">
        <f>IFERROR(__xludf.DUMMYFUNCTION("""COMPUTED_VALUE"""),"Stanton")</f>
        <v>Stanton</v>
      </c>
      <c r="E4320" t="str">
        <f>IFERROR(__xludf.DUMMYFUNCTION("""COMPUTED_VALUE"""),"Drew")</f>
        <v>Drew</v>
      </c>
      <c r="F4320" t="str">
        <f>IFERROR(__xludf.DUMMYFUNCTION("""COMPUTED_VALUE"""),"QB")</f>
        <v>QB</v>
      </c>
      <c r="G4320">
        <f>IFERROR(__xludf.DUMMYFUNCTION("""COMPUTED_VALUE"""),13.200000000000001)</f>
        <v>13.2</v>
      </c>
    </row>
    <row r="4321">
      <c r="D4321" t="str">
        <f>IFERROR(__xludf.DUMMYFUNCTION("""COMPUTED_VALUE"""),"Staples")</f>
        <v>Staples</v>
      </c>
      <c r="E4321" t="str">
        <f>IFERROR(__xludf.DUMMYFUNCTION("""COMPUTED_VALUE"""),"Justin")</f>
        <v>Justin</v>
      </c>
      <c r="F4321" t="str">
        <f>IFERROR(__xludf.DUMMYFUNCTION("""COMPUTED_VALUE"""),"LOLB")</f>
        <v>LOLB</v>
      </c>
      <c r="G4321">
        <f>IFERROR(__xludf.DUMMYFUNCTION("""COMPUTED_VALUE"""),11.600000000000001)</f>
        <v>11.6</v>
      </c>
    </row>
    <row r="4322">
      <c r="D4322" t="str">
        <f>IFERROR(__xludf.DUMMYFUNCTION("""COMPUTED_VALUE"""),"Staten IV")</f>
        <v>Staten IV</v>
      </c>
      <c r="E4322" t="str">
        <f>IFERROR(__xludf.DUMMYFUNCTION("""COMPUTED_VALUE"""),"Jimmy")</f>
        <v>Jimmy</v>
      </c>
      <c r="F4322" t="str">
        <f>IFERROR(__xludf.DUMMYFUNCTION("""COMPUTED_VALUE"""),"RE")</f>
        <v>RE</v>
      </c>
      <c r="G4322">
        <f>IFERROR(__xludf.DUMMYFUNCTION("""COMPUTED_VALUE"""),11.600000000000001)</f>
        <v>11.6</v>
      </c>
    </row>
    <row r="4323">
      <c r="D4323" t="str">
        <f>IFERROR(__xludf.DUMMYFUNCTION("""COMPUTED_VALUE"""),"Stave")</f>
        <v>Stave</v>
      </c>
      <c r="E4323" t="str">
        <f>IFERROR(__xludf.DUMMYFUNCTION("""COMPUTED_VALUE"""),"Joel")</f>
        <v>Joel</v>
      </c>
      <c r="F4323" t="str">
        <f>IFERROR(__xludf.DUMMYFUNCTION("""COMPUTED_VALUE"""),"QB")</f>
        <v>QB</v>
      </c>
      <c r="G4323">
        <f>IFERROR(__xludf.DUMMYFUNCTION("""COMPUTED_VALUE"""),12.4)</f>
        <v>12.4</v>
      </c>
    </row>
    <row r="4324">
      <c r="D4324" t="str">
        <f>IFERROR(__xludf.DUMMYFUNCTION("""COMPUTED_VALUE"""),"Steen")</f>
        <v>Steen</v>
      </c>
      <c r="E4324" t="str">
        <f>IFERROR(__xludf.DUMMYFUNCTION("""COMPUTED_VALUE"""),"Anthony")</f>
        <v>Anthony</v>
      </c>
      <c r="F4324" t="str">
        <f>IFERROR(__xludf.DUMMYFUNCTION("""COMPUTED_VALUE"""),"LG")</f>
        <v>LG</v>
      </c>
      <c r="G4324">
        <f>IFERROR(__xludf.DUMMYFUNCTION("""COMPUTED_VALUE"""),13.4)</f>
        <v>13.4</v>
      </c>
    </row>
    <row r="4325">
      <c r="D4325" t="str">
        <f>IFERROR(__xludf.DUMMYFUNCTION("""COMPUTED_VALUE"""),"Stephen")</f>
        <v>Stephen</v>
      </c>
      <c r="E4325" t="str">
        <f>IFERROR(__xludf.DUMMYFUNCTION("""COMPUTED_VALUE"""),"Shamar")</f>
        <v>Shamar</v>
      </c>
      <c r="F4325" t="str">
        <f>IFERROR(__xludf.DUMMYFUNCTION("""COMPUTED_VALUE"""),"DT")</f>
        <v>DT</v>
      </c>
      <c r="G4325">
        <f>IFERROR(__xludf.DUMMYFUNCTION("""COMPUTED_VALUE"""),13.0)</f>
        <v>13</v>
      </c>
    </row>
    <row r="4326">
      <c r="D4326" t="str">
        <f>IFERROR(__xludf.DUMMYFUNCTION("""COMPUTED_VALUE"""),"Stephenson")</f>
        <v>Stephenson</v>
      </c>
      <c r="E4326" t="str">
        <f>IFERROR(__xludf.DUMMYFUNCTION("""COMPUTED_VALUE"""),"Donald")</f>
        <v>Donald</v>
      </c>
      <c r="F4326" t="str">
        <f>IFERROR(__xludf.DUMMYFUNCTION("""COMPUTED_VALUE"""),"LT")</f>
        <v>LT</v>
      </c>
      <c r="G4326">
        <f>IFERROR(__xludf.DUMMYFUNCTION("""COMPUTED_VALUE"""),13.4)</f>
        <v>13.4</v>
      </c>
    </row>
    <row r="4327">
      <c r="D4327" t="str">
        <f>IFERROR(__xludf.DUMMYFUNCTION("""COMPUTED_VALUE"""),"Sterling")</f>
        <v>Sterling</v>
      </c>
      <c r="E4327" t="str">
        <f>IFERROR(__xludf.DUMMYFUNCTION("""COMPUTED_VALUE"""),"Neal")</f>
        <v>Neal</v>
      </c>
      <c r="F4327" t="str">
        <f>IFERROR(__xludf.DUMMYFUNCTION("""COMPUTED_VALUE"""),"TE")</f>
        <v>TE</v>
      </c>
      <c r="G4327">
        <f>IFERROR(__xludf.DUMMYFUNCTION("""COMPUTED_VALUE"""),13.200000000000001)</f>
        <v>13.2</v>
      </c>
    </row>
    <row r="4328">
      <c r="D4328" t="str">
        <f>IFERROR(__xludf.DUMMYFUNCTION("""COMPUTED_VALUE"""),"Sterup")</f>
        <v>Sterup</v>
      </c>
      <c r="E4328" t="str">
        <f>IFERROR(__xludf.DUMMYFUNCTION("""COMPUTED_VALUE"""),"Zach")</f>
        <v>Zach</v>
      </c>
      <c r="F4328" t="str">
        <f>IFERROR(__xludf.DUMMYFUNCTION("""COMPUTED_VALUE"""),"LT")</f>
        <v>LT</v>
      </c>
      <c r="G4328">
        <f>IFERROR(__xludf.DUMMYFUNCTION("""COMPUTED_VALUE"""),13.200000000000001)</f>
        <v>13.2</v>
      </c>
    </row>
    <row r="4329">
      <c r="D4329" t="str">
        <f>IFERROR(__xludf.DUMMYFUNCTION("""COMPUTED_VALUE"""),"Stevenson")</f>
        <v>Stevenson</v>
      </c>
      <c r="E4329" t="str">
        <f>IFERROR(__xludf.DUMMYFUNCTION("""COMPUTED_VALUE"""),"Freddie")</f>
        <v>Freddie</v>
      </c>
      <c r="F4329" t="str">
        <f>IFERROR(__xludf.DUMMYFUNCTION("""COMPUTED_VALUE"""),"FB")</f>
        <v>FB</v>
      </c>
      <c r="G4329">
        <f>IFERROR(__xludf.DUMMYFUNCTION("""COMPUTED_VALUE"""),14.600000000000001)</f>
        <v>14.6</v>
      </c>
    </row>
    <row r="4330">
      <c r="D4330" t="str">
        <f>IFERROR(__xludf.DUMMYFUNCTION("""COMPUTED_VALUE"""),"Stewart")</f>
        <v>Stewart</v>
      </c>
      <c r="E4330" t="str">
        <f>IFERROR(__xludf.DUMMYFUNCTION("""COMPUTED_VALUE"""),"ArDarius")</f>
        <v>ArDarius</v>
      </c>
      <c r="F4330" t="str">
        <f>IFERROR(__xludf.DUMMYFUNCTION("""COMPUTED_VALUE"""),"WR")</f>
        <v>WR</v>
      </c>
      <c r="G4330">
        <f>IFERROR(__xludf.DUMMYFUNCTION("""COMPUTED_VALUE"""),14.8)</f>
        <v>14.8</v>
      </c>
    </row>
    <row r="4331">
      <c r="D4331" t="str">
        <f>IFERROR(__xludf.DUMMYFUNCTION("""COMPUTED_VALUE"""),"Stewart")</f>
        <v>Stewart</v>
      </c>
      <c r="E4331" t="str">
        <f>IFERROR(__xludf.DUMMYFUNCTION("""COMPUTED_VALUE"""),"Darian")</f>
        <v>Darian</v>
      </c>
      <c r="F4331" t="str">
        <f>IFERROR(__xludf.DUMMYFUNCTION("""COMPUTED_VALUE"""),"FS")</f>
        <v>FS</v>
      </c>
      <c r="G4331">
        <f>IFERROR(__xludf.DUMMYFUNCTION("""COMPUTED_VALUE"""),16.6)</f>
        <v>16.6</v>
      </c>
    </row>
    <row r="4332">
      <c r="D4332" t="str">
        <f>IFERROR(__xludf.DUMMYFUNCTION("""COMPUTED_VALUE"""),"Stewart")</f>
        <v>Stewart</v>
      </c>
      <c r="E4332" t="str">
        <f>IFERROR(__xludf.DUMMYFUNCTION("""COMPUTED_VALUE"""),"Grover")</f>
        <v>Grover</v>
      </c>
      <c r="F4332" t="str">
        <f>IFERROR(__xludf.DUMMYFUNCTION("""COMPUTED_VALUE"""),"RE")</f>
        <v>RE</v>
      </c>
      <c r="G4332">
        <f>IFERROR(__xludf.DUMMYFUNCTION("""COMPUTED_VALUE"""),12.200000000000001)</f>
        <v>12.2</v>
      </c>
    </row>
    <row r="4333">
      <c r="D4333" t="str">
        <f>IFERROR(__xludf.DUMMYFUNCTION("""COMPUTED_VALUE"""),"Stewart")</f>
        <v>Stewart</v>
      </c>
      <c r="E4333" t="str">
        <f>IFERROR(__xludf.DUMMYFUNCTION("""COMPUTED_VALUE"""),"Jonathan")</f>
        <v>Jonathan</v>
      </c>
      <c r="F4333" t="str">
        <f>IFERROR(__xludf.DUMMYFUNCTION("""COMPUTED_VALUE"""),"HB")</f>
        <v>HB</v>
      </c>
      <c r="G4333">
        <f>IFERROR(__xludf.DUMMYFUNCTION("""COMPUTED_VALUE"""),16.8)</f>
        <v>16.8</v>
      </c>
    </row>
    <row r="4334">
      <c r="D4334" t="str">
        <f>IFERROR(__xludf.DUMMYFUNCTION("""COMPUTED_VALUE"""),"Stewart")</f>
        <v>Stewart</v>
      </c>
      <c r="E4334" t="str">
        <f>IFERROR(__xludf.DUMMYFUNCTION("""COMPUTED_VALUE"""),"Orion")</f>
        <v>Orion</v>
      </c>
      <c r="F4334" t="str">
        <f>IFERROR(__xludf.DUMMYFUNCTION("""COMPUTED_VALUE"""),"SS")</f>
        <v>SS</v>
      </c>
      <c r="G4334">
        <f>IFERROR(__xludf.DUMMYFUNCTION("""COMPUTED_VALUE"""),12.600000000000001)</f>
        <v>12.6</v>
      </c>
    </row>
    <row r="4335">
      <c r="D4335" t="str">
        <f>IFERROR(__xludf.DUMMYFUNCTION("""COMPUTED_VALUE"""),"Stills")</f>
        <v>Stills</v>
      </c>
      <c r="E4335" t="str">
        <f>IFERROR(__xludf.DUMMYFUNCTION("""COMPUTED_VALUE"""),"Kenny")</f>
        <v>Kenny</v>
      </c>
      <c r="F4335" t="str">
        <f>IFERROR(__xludf.DUMMYFUNCTION("""COMPUTED_VALUE"""),"WR")</f>
        <v>WR</v>
      </c>
      <c r="G4335">
        <f>IFERROR(__xludf.DUMMYFUNCTION("""COMPUTED_VALUE"""),16.0)</f>
        <v>16</v>
      </c>
    </row>
    <row r="4336">
      <c r="D4336" t="str">
        <f>IFERROR(__xludf.DUMMYFUNCTION("""COMPUTED_VALUE"""),"Stinson")</f>
        <v>Stinson</v>
      </c>
      <c r="E4336" t="str">
        <f>IFERROR(__xludf.DUMMYFUNCTION("""COMPUTED_VALUE"""),"Ed")</f>
        <v>Ed</v>
      </c>
      <c r="F4336" t="str">
        <f>IFERROR(__xludf.DUMMYFUNCTION("""COMPUTED_VALUE"""),"LE")</f>
        <v>LE</v>
      </c>
      <c r="G4336">
        <f>IFERROR(__xludf.DUMMYFUNCTION("""COMPUTED_VALUE"""),12.4)</f>
        <v>12.4</v>
      </c>
    </row>
    <row r="4337">
      <c r="D4337" t="str">
        <f>IFERROR(__xludf.DUMMYFUNCTION("""COMPUTED_VALUE"""),"Stocker")</f>
        <v>Stocker</v>
      </c>
      <c r="E4337" t="str">
        <f>IFERROR(__xludf.DUMMYFUNCTION("""COMPUTED_VALUE"""),"Luke")</f>
        <v>Luke</v>
      </c>
      <c r="F4337" t="str">
        <f>IFERROR(__xludf.DUMMYFUNCTION("""COMPUTED_VALUE"""),"TE")</f>
        <v>TE</v>
      </c>
      <c r="G4337">
        <f>IFERROR(__xludf.DUMMYFUNCTION("""COMPUTED_VALUE"""),13.600000000000001)</f>
        <v>13.6</v>
      </c>
    </row>
    <row r="4338">
      <c r="D4338" t="str">
        <f>IFERROR(__xludf.DUMMYFUNCTION("""COMPUTED_VALUE"""),"Stone")</f>
        <v>Stone</v>
      </c>
      <c r="E4338" t="str">
        <f>IFERROR(__xludf.DUMMYFUNCTION("""COMPUTED_VALUE"""),"James")</f>
        <v>James</v>
      </c>
      <c r="F4338" t="str">
        <f>IFERROR(__xludf.DUMMYFUNCTION("""COMPUTED_VALUE"""),"C")</f>
        <v>C</v>
      </c>
      <c r="G4338">
        <f>IFERROR(__xludf.DUMMYFUNCTION("""COMPUTED_VALUE"""),14.200000000000001)</f>
        <v>14.2</v>
      </c>
    </row>
    <row r="4339">
      <c r="D4339" t="str">
        <f>IFERROR(__xludf.DUMMYFUNCTION("""COMPUTED_VALUE"""),"Streater")</f>
        <v>Streater</v>
      </c>
      <c r="E4339" t="str">
        <f>IFERROR(__xludf.DUMMYFUNCTION("""COMPUTED_VALUE"""),"Rod")</f>
        <v>Rod</v>
      </c>
      <c r="F4339" t="str">
        <f>IFERROR(__xludf.DUMMYFUNCTION("""COMPUTED_VALUE"""),"WR")</f>
        <v>WR</v>
      </c>
      <c r="G4339">
        <f>IFERROR(__xludf.DUMMYFUNCTION("""COMPUTED_VALUE"""),14.200000000000001)</f>
        <v>14.2</v>
      </c>
    </row>
    <row r="4340">
      <c r="D4340" t="str">
        <f>IFERROR(__xludf.DUMMYFUNCTION("""COMPUTED_VALUE"""),"Street")</f>
        <v>Street</v>
      </c>
      <c r="E4340" t="str">
        <f>IFERROR(__xludf.DUMMYFUNCTION("""COMPUTED_VALUE"""),"Devin")</f>
        <v>Devin</v>
      </c>
      <c r="F4340" t="str">
        <f>IFERROR(__xludf.DUMMYFUNCTION("""COMPUTED_VALUE"""),"WR")</f>
        <v>WR</v>
      </c>
      <c r="G4340">
        <f>IFERROR(__xludf.DUMMYFUNCTION("""COMPUTED_VALUE"""),12.8)</f>
        <v>12.8</v>
      </c>
    </row>
    <row r="4341">
      <c r="D4341" t="str">
        <f>IFERROR(__xludf.DUMMYFUNCTION("""COMPUTED_VALUE"""),"Stribling")</f>
        <v>Stribling</v>
      </c>
      <c r="E4341" t="str">
        <f>IFERROR(__xludf.DUMMYFUNCTION("""COMPUTED_VALUE"""),"Channing")</f>
        <v>Channing</v>
      </c>
      <c r="F4341" t="str">
        <f>IFERROR(__xludf.DUMMYFUNCTION("""COMPUTED_VALUE"""),"CB")</f>
        <v>CB</v>
      </c>
      <c r="G4341">
        <f>IFERROR(__xludf.DUMMYFUNCTION("""COMPUTED_VALUE"""),12.4)</f>
        <v>12.4</v>
      </c>
    </row>
    <row r="4342">
      <c r="D4342" t="str">
        <f>IFERROR(__xludf.DUMMYFUNCTION("""COMPUTED_VALUE"""),"Strief")</f>
        <v>Strief</v>
      </c>
      <c r="E4342" t="str">
        <f>IFERROR(__xludf.DUMMYFUNCTION("""COMPUTED_VALUE"""),"Zach")</f>
        <v>Zach</v>
      </c>
      <c r="F4342" t="str">
        <f>IFERROR(__xludf.DUMMYFUNCTION("""COMPUTED_VALUE"""),"RT")</f>
        <v>RT</v>
      </c>
      <c r="G4342">
        <f>IFERROR(__xludf.DUMMYFUNCTION("""COMPUTED_VALUE"""),17.0)</f>
        <v>17</v>
      </c>
    </row>
    <row r="4343">
      <c r="D4343" t="str">
        <f>IFERROR(__xludf.DUMMYFUNCTION("""COMPUTED_VALUE"""),"Stringfellow")</f>
        <v>Stringfellow</v>
      </c>
      <c r="E4343" t="str">
        <f>IFERROR(__xludf.DUMMYFUNCTION("""COMPUTED_VALUE"""),"Damoreea")</f>
        <v>Damoreea</v>
      </c>
      <c r="F4343" t="str">
        <f>IFERROR(__xludf.DUMMYFUNCTION("""COMPUTED_VALUE"""),"WR")</f>
        <v>WR</v>
      </c>
      <c r="G4343">
        <f>IFERROR(__xludf.DUMMYFUNCTION("""COMPUTED_VALUE"""),12.8)</f>
        <v>12.8</v>
      </c>
    </row>
    <row r="4344">
      <c r="D4344" t="str">
        <f>IFERROR(__xludf.DUMMYFUNCTION("""COMPUTED_VALUE"""),"Strong")</f>
        <v>Strong</v>
      </c>
      <c r="E4344" t="str">
        <f>IFERROR(__xludf.DUMMYFUNCTION("""COMPUTED_VALUE"""),"Jaelen")</f>
        <v>Jaelen</v>
      </c>
      <c r="F4344" t="str">
        <f>IFERROR(__xludf.DUMMYFUNCTION("""COMPUTED_VALUE"""),"WR")</f>
        <v>WR</v>
      </c>
      <c r="G4344">
        <f>IFERROR(__xludf.DUMMYFUNCTION("""COMPUTED_VALUE"""),14.600000000000001)</f>
        <v>14.6</v>
      </c>
    </row>
    <row r="4345">
      <c r="D4345" t="str">
        <f>IFERROR(__xludf.DUMMYFUNCTION("""COMPUTED_VALUE"""),"Stuckey")</f>
        <v>Stuckey</v>
      </c>
      <c r="E4345" t="str">
        <f>IFERROR(__xludf.DUMMYFUNCTION("""COMPUTED_VALUE"""),"Darrell")</f>
        <v>Darrell</v>
      </c>
      <c r="F4345" t="str">
        <f>IFERROR(__xludf.DUMMYFUNCTION("""COMPUTED_VALUE"""),"FS")</f>
        <v>FS</v>
      </c>
      <c r="G4345">
        <f>IFERROR(__xludf.DUMMYFUNCTION("""COMPUTED_VALUE"""),14.200000000000001)</f>
        <v>14.2</v>
      </c>
    </row>
    <row r="4346">
      <c r="D4346" t="str">
        <f>IFERROR(__xludf.DUMMYFUNCTION("""COMPUTED_VALUE"""),"Stupar")</f>
        <v>Stupar</v>
      </c>
      <c r="E4346" t="str">
        <f>IFERROR(__xludf.DUMMYFUNCTION("""COMPUTED_VALUE"""),"Nathan")</f>
        <v>Nathan</v>
      </c>
      <c r="F4346" t="str">
        <f>IFERROR(__xludf.DUMMYFUNCTION("""COMPUTED_VALUE"""),"LOLB")</f>
        <v>LOLB</v>
      </c>
      <c r="G4346">
        <f>IFERROR(__xludf.DUMMYFUNCTION("""COMPUTED_VALUE"""),14.4)</f>
        <v>14.4</v>
      </c>
    </row>
    <row r="4347">
      <c r="D4347" t="str">
        <f>IFERROR(__xludf.DUMMYFUNCTION("""COMPUTED_VALUE"""),"Sturgis")</f>
        <v>Sturgis</v>
      </c>
      <c r="E4347" t="str">
        <f>IFERROR(__xludf.DUMMYFUNCTION("""COMPUTED_VALUE"""),"Caleb")</f>
        <v>Caleb</v>
      </c>
      <c r="F4347" t="str">
        <f>IFERROR(__xludf.DUMMYFUNCTION("""COMPUTED_VALUE"""),"K")</f>
        <v>K</v>
      </c>
      <c r="G4347">
        <f>IFERROR(__xludf.DUMMYFUNCTION("""COMPUTED_VALUE"""),16.0)</f>
        <v>16</v>
      </c>
    </row>
    <row r="4348">
      <c r="D4348" t="str">
        <f>IFERROR(__xludf.DUMMYFUNCTION("""COMPUTED_VALUE"""),"Sua-Filo")</f>
        <v>Sua-Filo</v>
      </c>
      <c r="E4348" t="str">
        <f>IFERROR(__xludf.DUMMYFUNCTION("""COMPUTED_VALUE"""),"Xavier")</f>
        <v>Xavier</v>
      </c>
      <c r="F4348" t="str">
        <f>IFERROR(__xludf.DUMMYFUNCTION("""COMPUTED_VALUE"""),"LG")</f>
        <v>LG</v>
      </c>
      <c r="G4348">
        <f>IFERROR(__xludf.DUMMYFUNCTION("""COMPUTED_VALUE"""),14.200000000000001)</f>
        <v>14.2</v>
      </c>
    </row>
    <row r="4349">
      <c r="D4349" t="str">
        <f>IFERROR(__xludf.DUMMYFUNCTION("""COMPUTED_VALUE"""),"Succop")</f>
        <v>Succop</v>
      </c>
      <c r="E4349" t="str">
        <f>IFERROR(__xludf.DUMMYFUNCTION("""COMPUTED_VALUE"""),"Ryan")</f>
        <v>Ryan</v>
      </c>
      <c r="F4349" t="str">
        <f>IFERROR(__xludf.DUMMYFUNCTION("""COMPUTED_VALUE"""),"K")</f>
        <v>K</v>
      </c>
      <c r="G4349">
        <f>IFERROR(__xludf.DUMMYFUNCTION("""COMPUTED_VALUE"""),16.400000000000002)</f>
        <v>16.4</v>
      </c>
    </row>
    <row r="4350">
      <c r="D4350" t="str">
        <f>IFERROR(__xludf.DUMMYFUNCTION("""COMPUTED_VALUE"""),"Sudfeld")</f>
        <v>Sudfeld</v>
      </c>
      <c r="E4350" t="str">
        <f>IFERROR(__xludf.DUMMYFUNCTION("""COMPUTED_VALUE"""),"Nate")</f>
        <v>Nate</v>
      </c>
      <c r="F4350" t="str">
        <f>IFERROR(__xludf.DUMMYFUNCTION("""COMPUTED_VALUE"""),"QB")</f>
        <v>QB</v>
      </c>
      <c r="G4350">
        <f>IFERROR(__xludf.DUMMYFUNCTION("""COMPUTED_VALUE"""),12.8)</f>
        <v>12.8</v>
      </c>
    </row>
    <row r="4351">
      <c r="D4351" t="str">
        <f>IFERROR(__xludf.DUMMYFUNCTION("""COMPUTED_VALUE"""),"Suggs")</f>
        <v>Suggs</v>
      </c>
      <c r="E4351" t="str">
        <f>IFERROR(__xludf.DUMMYFUNCTION("""COMPUTED_VALUE"""),"Terrell")</f>
        <v>Terrell</v>
      </c>
      <c r="F4351" t="str">
        <f>IFERROR(__xludf.DUMMYFUNCTION("""COMPUTED_VALUE"""),"ROLB")</f>
        <v>ROLB</v>
      </c>
      <c r="G4351">
        <f>IFERROR(__xludf.DUMMYFUNCTION("""COMPUTED_VALUE"""),17.2)</f>
        <v>17.2</v>
      </c>
    </row>
    <row r="4352">
      <c r="D4352" t="str">
        <f>IFERROR(__xludf.DUMMYFUNCTION("""COMPUTED_VALUE"""),"Suh")</f>
        <v>Suh</v>
      </c>
      <c r="E4352" t="str">
        <f>IFERROR(__xludf.DUMMYFUNCTION("""COMPUTED_VALUE"""),"Ndamukong")</f>
        <v>Ndamukong</v>
      </c>
      <c r="F4352" t="str">
        <f>IFERROR(__xludf.DUMMYFUNCTION("""COMPUTED_VALUE"""),"DT")</f>
        <v>DT</v>
      </c>
      <c r="G4352">
        <f>IFERROR(__xludf.DUMMYFUNCTION("""COMPUTED_VALUE"""),18.6)</f>
        <v>18.6</v>
      </c>
    </row>
    <row r="4353">
      <c r="D4353" t="str">
        <f>IFERROR(__xludf.DUMMYFUNCTION("""COMPUTED_VALUE"""),"Sullivan")</f>
        <v>Sullivan</v>
      </c>
      <c r="E4353" t="str">
        <f>IFERROR(__xludf.DUMMYFUNCTION("""COMPUTED_VALUE"""),"John")</f>
        <v>John</v>
      </c>
      <c r="F4353" t="str">
        <f>IFERROR(__xludf.DUMMYFUNCTION("""COMPUTED_VALUE"""),"C")</f>
        <v>C</v>
      </c>
      <c r="G4353">
        <f>IFERROR(__xludf.DUMMYFUNCTION("""COMPUTED_VALUE"""),15.200000000000001)</f>
        <v>15.2</v>
      </c>
    </row>
    <row r="4354">
      <c r="D4354" t="str">
        <f>IFERROR(__xludf.DUMMYFUNCTION("""COMPUTED_VALUE"""),"Sundberg")</f>
        <v>Sundberg</v>
      </c>
      <c r="E4354" t="str">
        <f>IFERROR(__xludf.DUMMYFUNCTION("""COMPUTED_VALUE"""),"Nick")</f>
        <v>Nick</v>
      </c>
      <c r="F4354" t="str">
        <f>IFERROR(__xludf.DUMMYFUNCTION("""COMPUTED_VALUE"""),"C")</f>
        <v>C</v>
      </c>
      <c r="G4354">
        <f>IFERROR(__xludf.DUMMYFUNCTION("""COMPUTED_VALUE"""),11.0)</f>
        <v>11</v>
      </c>
    </row>
    <row r="4355">
      <c r="D4355" t="str">
        <f>IFERROR(__xludf.DUMMYFUNCTION("""COMPUTED_VALUE"""),"Sunseri")</f>
        <v>Sunseri</v>
      </c>
      <c r="E4355" t="str">
        <f>IFERROR(__xludf.DUMMYFUNCTION("""COMPUTED_VALUE"""),"Vinnie")</f>
        <v>Vinnie</v>
      </c>
      <c r="F4355" t="str">
        <f>IFERROR(__xludf.DUMMYFUNCTION("""COMPUTED_VALUE"""),"FS")</f>
        <v>FS</v>
      </c>
      <c r="G4355">
        <f>IFERROR(__xludf.DUMMYFUNCTION("""COMPUTED_VALUE"""),12.8)</f>
        <v>12.8</v>
      </c>
    </row>
    <row r="4356">
      <c r="D4356" t="str">
        <f>IFERROR(__xludf.DUMMYFUNCTION("""COMPUTED_VALUE"""),"Supernaw")</f>
        <v>Supernaw</v>
      </c>
      <c r="E4356" t="str">
        <f>IFERROR(__xludf.DUMMYFUNCTION("""COMPUTED_VALUE"""),"Phillip")</f>
        <v>Phillip</v>
      </c>
      <c r="F4356" t="str">
        <f>IFERROR(__xludf.DUMMYFUNCTION("""COMPUTED_VALUE"""),"TE")</f>
        <v>TE</v>
      </c>
      <c r="G4356">
        <f>IFERROR(__xludf.DUMMYFUNCTION("""COMPUTED_VALUE"""),14.200000000000001)</f>
        <v>14.2</v>
      </c>
    </row>
    <row r="4357">
      <c r="D4357" t="str">
        <f>IFERROR(__xludf.DUMMYFUNCTION("""COMPUTED_VALUE"""),"Sutton")</f>
        <v>Sutton</v>
      </c>
      <c r="E4357" t="str">
        <f>IFERROR(__xludf.DUMMYFUNCTION("""COMPUTED_VALUE"""),"Cameron")</f>
        <v>Cameron</v>
      </c>
      <c r="F4357" t="str">
        <f>IFERROR(__xludf.DUMMYFUNCTION("""COMPUTED_VALUE"""),"CB")</f>
        <v>CB</v>
      </c>
      <c r="G4357">
        <f>IFERROR(__xludf.DUMMYFUNCTION("""COMPUTED_VALUE"""),13.8)</f>
        <v>13.8</v>
      </c>
    </row>
    <row r="4358">
      <c r="D4358" t="str">
        <f>IFERROR(__xludf.DUMMYFUNCTION("""COMPUTED_VALUE"""),"Sutton")</f>
        <v>Sutton</v>
      </c>
      <c r="E4358" t="str">
        <f>IFERROR(__xludf.DUMMYFUNCTION("""COMPUTED_VALUE"""),"Will")</f>
        <v>Will</v>
      </c>
      <c r="F4358" t="str">
        <f>IFERROR(__xludf.DUMMYFUNCTION("""COMPUTED_VALUE"""),"DT")</f>
        <v>DT</v>
      </c>
      <c r="G4358">
        <f>IFERROR(__xludf.DUMMYFUNCTION("""COMPUTED_VALUE"""),14.0)</f>
        <v>14</v>
      </c>
    </row>
    <row r="4359">
      <c r="D4359" t="str">
        <f>IFERROR(__xludf.DUMMYFUNCTION("""COMPUTED_VALUE"""),"Swaim")</f>
        <v>Swaim</v>
      </c>
      <c r="E4359" t="str">
        <f>IFERROR(__xludf.DUMMYFUNCTION("""COMPUTED_VALUE"""),"Geoff")</f>
        <v>Geoff</v>
      </c>
      <c r="F4359" t="str">
        <f>IFERROR(__xludf.DUMMYFUNCTION("""COMPUTED_VALUE"""),"TE")</f>
        <v>TE</v>
      </c>
      <c r="G4359">
        <f>IFERROR(__xludf.DUMMYFUNCTION("""COMPUTED_VALUE"""),14.8)</f>
        <v>14.8</v>
      </c>
    </row>
    <row r="4360">
      <c r="D4360" t="str">
        <f>IFERROR(__xludf.DUMMYFUNCTION("""COMPUTED_VALUE"""),"Swann")</f>
        <v>Swann</v>
      </c>
      <c r="E4360" t="str">
        <f>IFERROR(__xludf.DUMMYFUNCTION("""COMPUTED_VALUE"""),"Damian")</f>
        <v>Damian</v>
      </c>
      <c r="F4360" t="str">
        <f>IFERROR(__xludf.DUMMYFUNCTION("""COMPUTED_VALUE"""),"CB")</f>
        <v>CB</v>
      </c>
      <c r="G4360">
        <f>IFERROR(__xludf.DUMMYFUNCTION("""COMPUTED_VALUE"""),13.600000000000001)</f>
        <v>13.6</v>
      </c>
    </row>
    <row r="4361">
      <c r="D4361" t="str">
        <f>IFERROR(__xludf.DUMMYFUNCTION("""COMPUTED_VALUE"""),"Swanson")</f>
        <v>Swanson</v>
      </c>
      <c r="E4361" t="str">
        <f>IFERROR(__xludf.DUMMYFUNCTION("""COMPUTED_VALUE"""),"Travis")</f>
        <v>Travis</v>
      </c>
      <c r="F4361" t="str">
        <f>IFERROR(__xludf.DUMMYFUNCTION("""COMPUTED_VALUE"""),"C")</f>
        <v>C</v>
      </c>
      <c r="G4361">
        <f>IFERROR(__xludf.DUMMYFUNCTION("""COMPUTED_VALUE"""),16.2)</f>
        <v>16.2</v>
      </c>
    </row>
    <row r="4362">
      <c r="D4362" t="str">
        <f>IFERROR(__xludf.DUMMYFUNCTION("""COMPUTED_VALUE"""),"Swearinger")</f>
        <v>Swearinger</v>
      </c>
      <c r="E4362" t="str">
        <f>IFERROR(__xludf.DUMMYFUNCTION("""COMPUTED_VALUE"""),"DJ")</f>
        <v>DJ</v>
      </c>
      <c r="F4362" t="str">
        <f>IFERROR(__xludf.DUMMYFUNCTION("""COMPUTED_VALUE"""),"FS")</f>
        <v>FS</v>
      </c>
      <c r="G4362">
        <f>IFERROR(__xludf.DUMMYFUNCTION("""COMPUTED_VALUE"""),16.8)</f>
        <v>16.8</v>
      </c>
    </row>
    <row r="4363">
      <c r="D4363" t="str">
        <f>IFERROR(__xludf.DUMMYFUNCTION("""COMPUTED_VALUE"""),"Sweezy")</f>
        <v>Sweezy</v>
      </c>
      <c r="E4363" t="str">
        <f>IFERROR(__xludf.DUMMYFUNCTION("""COMPUTED_VALUE"""),"JR")</f>
        <v>JR</v>
      </c>
      <c r="F4363" t="str">
        <f>IFERROR(__xludf.DUMMYFUNCTION("""COMPUTED_VALUE"""),"LG")</f>
        <v>LG</v>
      </c>
      <c r="G4363">
        <f>IFERROR(__xludf.DUMMYFUNCTION("""COMPUTED_VALUE"""),15.4)</f>
        <v>15.4</v>
      </c>
    </row>
    <row r="4364">
      <c r="D4364" t="str">
        <f>IFERROR(__xludf.DUMMYFUNCTION("""COMPUTED_VALUE"""),"Switzer")</f>
        <v>Switzer</v>
      </c>
      <c r="E4364" t="str">
        <f>IFERROR(__xludf.DUMMYFUNCTION("""COMPUTED_VALUE"""),"Ryan")</f>
        <v>Ryan</v>
      </c>
      <c r="F4364" t="str">
        <f>IFERROR(__xludf.DUMMYFUNCTION("""COMPUTED_VALUE"""),"WR")</f>
        <v>WR</v>
      </c>
      <c r="G4364">
        <f>IFERROR(__xludf.DUMMYFUNCTION("""COMPUTED_VALUE"""),14.8)</f>
        <v>14.8</v>
      </c>
    </row>
    <row r="4365">
      <c r="D4365" t="str">
        <f>IFERROR(__xludf.DUMMYFUNCTION("""COMPUTED_VALUE"""),"Swoope")</f>
        <v>Swoope</v>
      </c>
      <c r="E4365" t="str">
        <f>IFERROR(__xludf.DUMMYFUNCTION("""COMPUTED_VALUE"""),"Erik")</f>
        <v>Erik</v>
      </c>
      <c r="F4365" t="str">
        <f>IFERROR(__xludf.DUMMYFUNCTION("""COMPUTED_VALUE"""),"TE")</f>
        <v>TE</v>
      </c>
      <c r="G4365">
        <f>IFERROR(__xludf.DUMMYFUNCTION("""COMPUTED_VALUE"""),13.200000000000001)</f>
        <v>13.2</v>
      </c>
    </row>
    <row r="4366">
      <c r="D4366" t="str">
        <f>IFERROR(__xludf.DUMMYFUNCTION("""COMPUTED_VALUE"""),"Tabor")</f>
        <v>Tabor</v>
      </c>
      <c r="E4366" t="str">
        <f>IFERROR(__xludf.DUMMYFUNCTION("""COMPUTED_VALUE"""),"Teez")</f>
        <v>Teez</v>
      </c>
      <c r="F4366" t="str">
        <f>IFERROR(__xludf.DUMMYFUNCTION("""COMPUTED_VALUE"""),"CB")</f>
        <v>CB</v>
      </c>
      <c r="G4366">
        <f>IFERROR(__xludf.DUMMYFUNCTION("""COMPUTED_VALUE"""),14.600000000000001)</f>
        <v>14.6</v>
      </c>
    </row>
    <row r="4367">
      <c r="D4367" t="str">
        <f>IFERROR(__xludf.DUMMYFUNCTION("""COMPUTED_VALUE"""),"Taliaferro")</f>
        <v>Taliaferro</v>
      </c>
      <c r="E4367" t="str">
        <f>IFERROR(__xludf.DUMMYFUNCTION("""COMPUTED_VALUE"""),"Lorenzo")</f>
        <v>Lorenzo</v>
      </c>
      <c r="F4367" t="str">
        <f>IFERROR(__xludf.DUMMYFUNCTION("""COMPUTED_VALUE"""),"HB")</f>
        <v>HB</v>
      </c>
      <c r="G4367">
        <f>IFERROR(__xludf.DUMMYFUNCTION("""COMPUTED_VALUE"""),14.0)</f>
        <v>14</v>
      </c>
    </row>
    <row r="4368">
      <c r="D4368" t="str">
        <f>IFERROR(__xludf.DUMMYFUNCTION("""COMPUTED_VALUE"""),"Talib")</f>
        <v>Talib</v>
      </c>
      <c r="E4368" t="str">
        <f>IFERROR(__xludf.DUMMYFUNCTION("""COMPUTED_VALUE"""),"Aqib")</f>
        <v>Aqib</v>
      </c>
      <c r="F4368" t="str">
        <f>IFERROR(__xludf.DUMMYFUNCTION("""COMPUTED_VALUE"""),"CB")</f>
        <v>CB</v>
      </c>
      <c r="G4368">
        <f>IFERROR(__xludf.DUMMYFUNCTION("""COMPUTED_VALUE"""),18.8)</f>
        <v>18.8</v>
      </c>
    </row>
    <row r="4369">
      <c r="D4369" t="str">
        <f>IFERROR(__xludf.DUMMYFUNCTION("""COMPUTED_VALUE"""),"Tandy")</f>
        <v>Tandy</v>
      </c>
      <c r="E4369" t="str">
        <f>IFERROR(__xludf.DUMMYFUNCTION("""COMPUTED_VALUE"""),"Keith")</f>
        <v>Keith</v>
      </c>
      <c r="F4369" t="str">
        <f>IFERROR(__xludf.DUMMYFUNCTION("""COMPUTED_VALUE"""),"SS")</f>
        <v>SS</v>
      </c>
      <c r="G4369">
        <f>IFERROR(__xludf.DUMMYFUNCTION("""COMPUTED_VALUE"""),15.200000000000001)</f>
        <v>15.2</v>
      </c>
    </row>
    <row r="4370">
      <c r="D4370" t="str">
        <f>IFERROR(__xludf.DUMMYFUNCTION("""COMPUTED_VALUE"""),"Tankersley")</f>
        <v>Tankersley</v>
      </c>
      <c r="E4370" t="str">
        <f>IFERROR(__xludf.DUMMYFUNCTION("""COMPUTED_VALUE"""),"Cordrea")</f>
        <v>Cordrea</v>
      </c>
      <c r="F4370" t="str">
        <f>IFERROR(__xludf.DUMMYFUNCTION("""COMPUTED_VALUE"""),"CB")</f>
        <v>CB</v>
      </c>
      <c r="G4370">
        <f>IFERROR(__xludf.DUMMYFUNCTION("""COMPUTED_VALUE"""),14.4)</f>
        <v>14.4</v>
      </c>
    </row>
    <row r="4371">
      <c r="D4371" t="str">
        <f>IFERROR(__xludf.DUMMYFUNCTION("""COMPUTED_VALUE"""),"Tannehill")</f>
        <v>Tannehill</v>
      </c>
      <c r="E4371" t="str">
        <f>IFERROR(__xludf.DUMMYFUNCTION("""COMPUTED_VALUE"""),"Ryan")</f>
        <v>Ryan</v>
      </c>
      <c r="F4371" t="str">
        <f>IFERROR(__xludf.DUMMYFUNCTION("""COMPUTED_VALUE"""),"QB")</f>
        <v>QB</v>
      </c>
      <c r="G4371">
        <f>IFERROR(__xludf.DUMMYFUNCTION("""COMPUTED_VALUE"""),16.6)</f>
        <v>16.6</v>
      </c>
    </row>
    <row r="4372">
      <c r="D4372" t="str">
        <f>IFERROR(__xludf.DUMMYFUNCTION("""COMPUTED_VALUE"""),"Tanney")</f>
        <v>Tanney</v>
      </c>
      <c r="E4372" t="str">
        <f>IFERROR(__xludf.DUMMYFUNCTION("""COMPUTED_VALUE"""),"Alex")</f>
        <v>Alex</v>
      </c>
      <c r="F4372" t="str">
        <f>IFERROR(__xludf.DUMMYFUNCTION("""COMPUTED_VALUE"""),"QB")</f>
        <v>QB</v>
      </c>
      <c r="G4372">
        <f>IFERROR(__xludf.DUMMYFUNCTION("""COMPUTED_VALUE"""),12.200000000000001)</f>
        <v>12.2</v>
      </c>
    </row>
    <row r="4373">
      <c r="D4373" t="str">
        <f>IFERROR(__xludf.DUMMYFUNCTION("""COMPUTED_VALUE"""),"Tapp")</f>
        <v>Tapp</v>
      </c>
      <c r="E4373" t="str">
        <f>IFERROR(__xludf.DUMMYFUNCTION("""COMPUTED_VALUE"""),"Darryl")</f>
        <v>Darryl</v>
      </c>
      <c r="F4373" t="str">
        <f>IFERROR(__xludf.DUMMYFUNCTION("""COMPUTED_VALUE"""),"RE")</f>
        <v>RE</v>
      </c>
      <c r="G4373">
        <f>IFERROR(__xludf.DUMMYFUNCTION("""COMPUTED_VALUE"""),14.4)</f>
        <v>14.4</v>
      </c>
    </row>
    <row r="4374">
      <c r="D4374" t="str">
        <f>IFERROR(__xludf.DUMMYFUNCTION("""COMPUTED_VALUE"""),"Tapper")</f>
        <v>Tapper</v>
      </c>
      <c r="E4374" t="str">
        <f>IFERROR(__xludf.DUMMYFUNCTION("""COMPUTED_VALUE"""),"Charles")</f>
        <v>Charles</v>
      </c>
      <c r="F4374" t="str">
        <f>IFERROR(__xludf.DUMMYFUNCTION("""COMPUTED_VALUE"""),"LE")</f>
        <v>LE</v>
      </c>
      <c r="G4374">
        <f>IFERROR(__xludf.DUMMYFUNCTION("""COMPUTED_VALUE"""),13.8)</f>
        <v>13.8</v>
      </c>
    </row>
    <row r="4375">
      <c r="D4375" t="str">
        <f>IFERROR(__xludf.DUMMYFUNCTION("""COMPUTED_VALUE"""),"Tartt")</f>
        <v>Tartt</v>
      </c>
      <c r="E4375" t="str">
        <f>IFERROR(__xludf.DUMMYFUNCTION("""COMPUTED_VALUE"""),"Jaquiski")</f>
        <v>Jaquiski</v>
      </c>
      <c r="F4375" t="str">
        <f>IFERROR(__xludf.DUMMYFUNCTION("""COMPUTED_VALUE"""),"SS")</f>
        <v>SS</v>
      </c>
      <c r="G4375">
        <f>IFERROR(__xludf.DUMMYFUNCTION("""COMPUTED_VALUE"""),14.4)</f>
        <v>14.4</v>
      </c>
    </row>
    <row r="4376">
      <c r="D4376" t="str">
        <f>IFERROR(__xludf.DUMMYFUNCTION("""COMPUTED_VALUE"""),"Tate")</f>
        <v>Tate</v>
      </c>
      <c r="E4376" t="str">
        <f>IFERROR(__xludf.DUMMYFUNCTION("""COMPUTED_VALUE"""),"Brandon")</f>
        <v>Brandon</v>
      </c>
      <c r="F4376" t="str">
        <f>IFERROR(__xludf.DUMMYFUNCTION("""COMPUTED_VALUE"""),"WR")</f>
        <v>WR</v>
      </c>
      <c r="G4376">
        <f>IFERROR(__xludf.DUMMYFUNCTION("""COMPUTED_VALUE"""),13.8)</f>
        <v>13.8</v>
      </c>
    </row>
    <row r="4377">
      <c r="D4377" t="str">
        <f>IFERROR(__xludf.DUMMYFUNCTION("""COMPUTED_VALUE"""),"Tate III")</f>
        <v>Tate III</v>
      </c>
      <c r="E4377" t="str">
        <f>IFERROR(__xludf.DUMMYFUNCTION("""COMPUTED_VALUE"""),"Golden")</f>
        <v>Golden</v>
      </c>
      <c r="F4377" t="str">
        <f>IFERROR(__xludf.DUMMYFUNCTION("""COMPUTED_VALUE"""),"WR")</f>
        <v>WR</v>
      </c>
      <c r="G4377">
        <f>IFERROR(__xludf.DUMMYFUNCTION("""COMPUTED_VALUE"""),17.400000000000002)</f>
        <v>17.4</v>
      </c>
    </row>
    <row r="4378">
      <c r="D4378" t="str">
        <f>IFERROR(__xludf.DUMMYFUNCTION("""COMPUTED_VALUE"""),"Taumoepenu")</f>
        <v>Taumoepenu</v>
      </c>
      <c r="E4378" t="str">
        <f>IFERROR(__xludf.DUMMYFUNCTION("""COMPUTED_VALUE"""),"Pita")</f>
        <v>Pita</v>
      </c>
      <c r="F4378" t="str">
        <f>IFERROR(__xludf.DUMMYFUNCTION("""COMPUTED_VALUE"""),"ROLB")</f>
        <v>ROLB</v>
      </c>
      <c r="G4378">
        <f>IFERROR(__xludf.DUMMYFUNCTION("""COMPUTED_VALUE"""),12.600000000000001)</f>
        <v>12.6</v>
      </c>
    </row>
    <row r="4379">
      <c r="D4379" t="str">
        <f>IFERROR(__xludf.DUMMYFUNCTION("""COMPUTED_VALUE"""),"Tautu")</f>
        <v>Tautu</v>
      </c>
      <c r="E4379" t="str">
        <f>IFERROR(__xludf.DUMMYFUNCTION("""COMPUTED_VALUE"""),"Sae")</f>
        <v>Sae</v>
      </c>
      <c r="F4379" t="str">
        <f>IFERROR(__xludf.DUMMYFUNCTION("""COMPUTED_VALUE"""),"LOLB")</f>
        <v>LOLB</v>
      </c>
      <c r="G4379">
        <f>IFERROR(__xludf.DUMMYFUNCTION("""COMPUTED_VALUE"""),12.4)</f>
        <v>12.4</v>
      </c>
    </row>
    <row r="4380">
      <c r="D4380" t="str">
        <f>IFERROR(__xludf.DUMMYFUNCTION("""COMPUTED_VALUE"""),"Tavecchio")</f>
        <v>Tavecchio</v>
      </c>
      <c r="E4380" t="str">
        <f>IFERROR(__xludf.DUMMYFUNCTION("""COMPUTED_VALUE"""),"Giorgio")</f>
        <v>Giorgio</v>
      </c>
      <c r="F4380" t="str">
        <f>IFERROR(__xludf.DUMMYFUNCTION("""COMPUTED_VALUE"""),"K")</f>
        <v>K</v>
      </c>
      <c r="G4380">
        <f>IFERROR(__xludf.DUMMYFUNCTION("""COMPUTED_VALUE"""),13.200000000000001)</f>
        <v>13.2</v>
      </c>
    </row>
    <row r="4381">
      <c r="D4381" t="str">
        <f>IFERROR(__xludf.DUMMYFUNCTION("""COMPUTED_VALUE"""),"Taylor")</f>
        <v>Taylor</v>
      </c>
      <c r="E4381" t="str">
        <f>IFERROR(__xludf.DUMMYFUNCTION("""COMPUTED_VALUE"""),"Devin")</f>
        <v>Devin</v>
      </c>
      <c r="F4381" t="str">
        <f>IFERROR(__xludf.DUMMYFUNCTION("""COMPUTED_VALUE"""),"RE")</f>
        <v>RE</v>
      </c>
      <c r="G4381">
        <f>IFERROR(__xludf.DUMMYFUNCTION("""COMPUTED_VALUE"""),14.200000000000001)</f>
        <v>14.2</v>
      </c>
    </row>
    <row r="4382">
      <c r="D4382" t="str">
        <f>IFERROR(__xludf.DUMMYFUNCTION("""COMPUTED_VALUE"""),"Taylor")</f>
        <v>Taylor</v>
      </c>
      <c r="E4382" t="str">
        <f>IFERROR(__xludf.DUMMYFUNCTION("""COMPUTED_VALUE"""),"Jamar")</f>
        <v>Jamar</v>
      </c>
      <c r="F4382" t="str">
        <f>IFERROR(__xludf.DUMMYFUNCTION("""COMPUTED_VALUE"""),"CB")</f>
        <v>CB</v>
      </c>
      <c r="G4382">
        <f>IFERROR(__xludf.DUMMYFUNCTION("""COMPUTED_VALUE"""),16.2)</f>
        <v>16.2</v>
      </c>
    </row>
    <row r="4383">
      <c r="D4383" t="str">
        <f>IFERROR(__xludf.DUMMYFUNCTION("""COMPUTED_VALUE"""),"Taylor")</f>
        <v>Taylor</v>
      </c>
      <c r="E4383" t="str">
        <f>IFERROR(__xludf.DUMMYFUNCTION("""COMPUTED_VALUE"""),"Jordan")</f>
        <v>Jordan</v>
      </c>
      <c r="F4383" t="str">
        <f>IFERROR(__xludf.DUMMYFUNCTION("""COMPUTED_VALUE"""),"WR")</f>
        <v>WR</v>
      </c>
      <c r="G4383">
        <f>IFERROR(__xludf.DUMMYFUNCTION("""COMPUTED_VALUE"""),13.0)</f>
        <v>13</v>
      </c>
    </row>
    <row r="4384">
      <c r="D4384" t="str">
        <f>IFERROR(__xludf.DUMMYFUNCTION("""COMPUTED_VALUE"""),"Taylor")</f>
        <v>Taylor</v>
      </c>
      <c r="E4384" t="str">
        <f>IFERROR(__xludf.DUMMYFUNCTION("""COMPUTED_VALUE"""),"Lane")</f>
        <v>Lane</v>
      </c>
      <c r="F4384" t="str">
        <f>IFERROR(__xludf.DUMMYFUNCTION("""COMPUTED_VALUE"""),"LG")</f>
        <v>LG</v>
      </c>
      <c r="G4384">
        <f>IFERROR(__xludf.DUMMYFUNCTION("""COMPUTED_VALUE"""),15.0)</f>
        <v>15</v>
      </c>
    </row>
    <row r="4385">
      <c r="D4385" t="str">
        <f>IFERROR(__xludf.DUMMYFUNCTION("""COMPUTED_VALUE"""),"Taylor")</f>
        <v>Taylor</v>
      </c>
      <c r="E4385" t="str">
        <f>IFERROR(__xludf.DUMMYFUNCTION("""COMPUTED_VALUE"""),"Taywan")</f>
        <v>Taywan</v>
      </c>
      <c r="F4385" t="str">
        <f>IFERROR(__xludf.DUMMYFUNCTION("""COMPUTED_VALUE"""),"WR")</f>
        <v>WR</v>
      </c>
      <c r="G4385">
        <f>IFERROR(__xludf.DUMMYFUNCTION("""COMPUTED_VALUE"""),15.4)</f>
        <v>15.4</v>
      </c>
    </row>
    <row r="4386">
      <c r="D4386" t="str">
        <f>IFERROR(__xludf.DUMMYFUNCTION("""COMPUTED_VALUE"""),"Taylor")</f>
        <v>Taylor</v>
      </c>
      <c r="E4386" t="str">
        <f>IFERROR(__xludf.DUMMYFUNCTION("""COMPUTED_VALUE"""),"Trent")</f>
        <v>Trent</v>
      </c>
      <c r="F4386" t="str">
        <f>IFERROR(__xludf.DUMMYFUNCTION("""COMPUTED_VALUE"""),"WR")</f>
        <v>WR</v>
      </c>
      <c r="G4386">
        <f>IFERROR(__xludf.DUMMYFUNCTION("""COMPUTED_VALUE"""),14.0)</f>
        <v>14</v>
      </c>
    </row>
    <row r="4387">
      <c r="D4387" t="str">
        <f>IFERROR(__xludf.DUMMYFUNCTION("""COMPUTED_VALUE"""),"Taylor")</f>
        <v>Taylor</v>
      </c>
      <c r="E4387" t="str">
        <f>IFERROR(__xludf.DUMMYFUNCTION("""COMPUTED_VALUE"""),"Tyrod")</f>
        <v>Tyrod</v>
      </c>
      <c r="F4387" t="str">
        <f>IFERROR(__xludf.DUMMYFUNCTION("""COMPUTED_VALUE"""),"QB")</f>
        <v>QB</v>
      </c>
      <c r="G4387">
        <f>IFERROR(__xludf.DUMMYFUNCTION("""COMPUTED_VALUE"""),16.400000000000002)</f>
        <v>16.4</v>
      </c>
    </row>
    <row r="4388">
      <c r="D4388" t="str">
        <f>IFERROR(__xludf.DUMMYFUNCTION("""COMPUTED_VALUE"""),"Taylor")</f>
        <v>Taylor</v>
      </c>
      <c r="E4388" t="str">
        <f>IFERROR(__xludf.DUMMYFUNCTION("""COMPUTED_VALUE"""),"Vincent")</f>
        <v>Vincent</v>
      </c>
      <c r="F4388" t="str">
        <f>IFERROR(__xludf.DUMMYFUNCTION("""COMPUTED_VALUE"""),"DT")</f>
        <v>DT</v>
      </c>
      <c r="G4388">
        <f>IFERROR(__xludf.DUMMYFUNCTION("""COMPUTED_VALUE"""),13.0)</f>
        <v>13</v>
      </c>
    </row>
    <row r="4389">
      <c r="D4389" t="str">
        <f>IFERROR(__xludf.DUMMYFUNCTION("""COMPUTED_VALUE"""),"Taylor Sr")</f>
        <v>Taylor Sr</v>
      </c>
      <c r="E4389" t="str">
        <f>IFERROR(__xludf.DUMMYFUNCTION("""COMPUTED_VALUE"""),"Phil")</f>
        <v>Phil</v>
      </c>
      <c r="F4389" t="str">
        <f>IFERROR(__xludf.DUMMYFUNCTION("""COMPUTED_VALUE"""),"DT")</f>
        <v>DT</v>
      </c>
      <c r="G4389">
        <f>IFERROR(__xludf.DUMMYFUNCTION("""COMPUTED_VALUE"""),14.200000000000001)</f>
        <v>14.2</v>
      </c>
    </row>
    <row r="4390">
      <c r="D4390" t="str">
        <f>IFERROR(__xludf.DUMMYFUNCTION("""COMPUTED_VALUE"""),"Telfer")</f>
        <v>Telfer</v>
      </c>
      <c r="E4390" t="str">
        <f>IFERROR(__xludf.DUMMYFUNCTION("""COMPUTED_VALUE"""),"Randall")</f>
        <v>Randall</v>
      </c>
      <c r="F4390" t="str">
        <f>IFERROR(__xludf.DUMMYFUNCTION("""COMPUTED_VALUE"""),"TE")</f>
        <v>TE</v>
      </c>
      <c r="G4390">
        <f>IFERROR(__xludf.DUMMYFUNCTION("""COMPUTED_VALUE"""),13.0)</f>
        <v>13</v>
      </c>
    </row>
    <row r="4391">
      <c r="D4391" t="str">
        <f>IFERROR(__xludf.DUMMYFUNCTION("""COMPUTED_VALUE"""),"Teo")</f>
        <v>Teo</v>
      </c>
      <c r="E4391" t="str">
        <f>IFERROR(__xludf.DUMMYFUNCTION("""COMPUTED_VALUE"""),"Manti")</f>
        <v>Manti</v>
      </c>
      <c r="F4391" t="str">
        <f>IFERROR(__xludf.DUMMYFUNCTION("""COMPUTED_VALUE"""),"MLB")</f>
        <v>MLB</v>
      </c>
      <c r="G4391">
        <f>IFERROR(__xludf.DUMMYFUNCTION("""COMPUTED_VALUE"""),15.0)</f>
        <v>15</v>
      </c>
    </row>
    <row r="4392">
      <c r="D4392" t="str">
        <f>IFERROR(__xludf.DUMMYFUNCTION("""COMPUTED_VALUE"""),"Terrell")</f>
        <v>Terrell</v>
      </c>
      <c r="E4392" t="str">
        <f>IFERROR(__xludf.DUMMYFUNCTION("""COMPUTED_VALUE"""),"Steven")</f>
        <v>Steven</v>
      </c>
      <c r="F4392" t="str">
        <f>IFERROR(__xludf.DUMMYFUNCTION("""COMPUTED_VALUE"""),"FS")</f>
        <v>FS</v>
      </c>
      <c r="G4392">
        <f>IFERROR(__xludf.DUMMYFUNCTION("""COMPUTED_VALUE"""),14.0)</f>
        <v>14</v>
      </c>
    </row>
    <row r="4393">
      <c r="D4393" t="str">
        <f>IFERROR(__xludf.DUMMYFUNCTION("""COMPUTED_VALUE"""),"Tevi")</f>
        <v>Tevi</v>
      </c>
      <c r="E4393" t="str">
        <f>IFERROR(__xludf.DUMMYFUNCTION("""COMPUTED_VALUE"""),"Sam")</f>
        <v>Sam</v>
      </c>
      <c r="F4393" t="str">
        <f>IFERROR(__xludf.DUMMYFUNCTION("""COMPUTED_VALUE"""),"RT")</f>
        <v>RT</v>
      </c>
      <c r="G4393">
        <f>IFERROR(__xludf.DUMMYFUNCTION("""COMPUTED_VALUE"""),13.200000000000001)</f>
        <v>13.2</v>
      </c>
    </row>
    <row r="4394">
      <c r="D4394" t="str">
        <f>IFERROR(__xludf.DUMMYFUNCTION("""COMPUTED_VALUE"""),"Therezie")</f>
        <v>Therezie</v>
      </c>
      <c r="E4394" t="str">
        <f>IFERROR(__xludf.DUMMYFUNCTION("""COMPUTED_VALUE"""),"Robenson")</f>
        <v>Robenson</v>
      </c>
      <c r="F4394" t="str">
        <f>IFERROR(__xludf.DUMMYFUNCTION("""COMPUTED_VALUE"""),"FS")</f>
        <v>FS</v>
      </c>
      <c r="G4394">
        <f>IFERROR(__xludf.DUMMYFUNCTION("""COMPUTED_VALUE"""),13.4)</f>
        <v>13.4</v>
      </c>
    </row>
    <row r="4395">
      <c r="D4395" t="str">
        <f>IFERROR(__xludf.DUMMYFUNCTION("""COMPUTED_VALUE"""),"Theus")</f>
        <v>Theus</v>
      </c>
      <c r="E4395" t="str">
        <f>IFERROR(__xludf.DUMMYFUNCTION("""COMPUTED_VALUE"""),"John")</f>
        <v>John</v>
      </c>
      <c r="F4395" t="str">
        <f>IFERROR(__xludf.DUMMYFUNCTION("""COMPUTED_VALUE"""),"RT")</f>
        <v>RT</v>
      </c>
      <c r="G4395">
        <f>IFERROR(__xludf.DUMMYFUNCTION("""COMPUTED_VALUE"""),12.8)</f>
        <v>12.8</v>
      </c>
    </row>
    <row r="4396">
      <c r="D4396" t="str">
        <f>IFERROR(__xludf.DUMMYFUNCTION("""COMPUTED_VALUE"""),"Thielen")</f>
        <v>Thielen</v>
      </c>
      <c r="E4396" t="str">
        <f>IFERROR(__xludf.DUMMYFUNCTION("""COMPUTED_VALUE"""),"Adam")</f>
        <v>Adam</v>
      </c>
      <c r="F4396" t="str">
        <f>IFERROR(__xludf.DUMMYFUNCTION("""COMPUTED_VALUE"""),"WR")</f>
        <v>WR</v>
      </c>
      <c r="G4396">
        <f>IFERROR(__xludf.DUMMYFUNCTION("""COMPUTED_VALUE"""),16.2)</f>
        <v>16.2</v>
      </c>
    </row>
    <row r="4397">
      <c r="D4397" t="str">
        <f>IFERROR(__xludf.DUMMYFUNCTION("""COMPUTED_VALUE"""),"Thomas")</f>
        <v>Thomas</v>
      </c>
      <c r="E4397" t="str">
        <f>IFERROR(__xludf.DUMMYFUNCTION("""COMPUTED_VALUE"""),"Brandon")</f>
        <v>Brandon</v>
      </c>
      <c r="F4397" t="str">
        <f>IFERROR(__xludf.DUMMYFUNCTION("""COMPUTED_VALUE"""),"LG")</f>
        <v>LG</v>
      </c>
      <c r="G4397">
        <f>IFERROR(__xludf.DUMMYFUNCTION("""COMPUTED_VALUE"""),13.4)</f>
        <v>13.4</v>
      </c>
    </row>
    <row r="4398">
      <c r="D4398" t="str">
        <f>IFERROR(__xludf.DUMMYFUNCTION("""COMPUTED_VALUE"""),"Thomas")</f>
        <v>Thomas</v>
      </c>
      <c r="E4398" t="str">
        <f>IFERROR(__xludf.DUMMYFUNCTION("""COMPUTED_VALUE"""),"Cam")</f>
        <v>Cam</v>
      </c>
      <c r="F4398" t="str">
        <f>IFERROR(__xludf.DUMMYFUNCTION("""COMPUTED_VALUE"""),"DT")</f>
        <v>DT</v>
      </c>
      <c r="G4398">
        <f>IFERROR(__xludf.DUMMYFUNCTION("""COMPUTED_VALUE"""),14.600000000000001)</f>
        <v>14.6</v>
      </c>
    </row>
    <row r="4399">
      <c r="D4399" t="str">
        <f>IFERROR(__xludf.DUMMYFUNCTION("""COMPUTED_VALUE"""),"Thomas")</f>
        <v>Thomas</v>
      </c>
      <c r="E4399" t="str">
        <f>IFERROR(__xludf.DUMMYFUNCTION("""COMPUTED_VALUE"""),"Dallas")</f>
        <v>Dallas</v>
      </c>
      <c r="F4399" t="str">
        <f>IFERROR(__xludf.DUMMYFUNCTION("""COMPUTED_VALUE"""),"RG")</f>
        <v>RG</v>
      </c>
      <c r="G4399">
        <f>IFERROR(__xludf.DUMMYFUNCTION("""COMPUTED_VALUE"""),12.8)</f>
        <v>12.8</v>
      </c>
    </row>
    <row r="4400">
      <c r="D4400" t="str">
        <f>IFERROR(__xludf.DUMMYFUNCTION("""COMPUTED_VALUE"""),"Thomas")</f>
        <v>Thomas</v>
      </c>
      <c r="E4400" t="str">
        <f>IFERROR(__xludf.DUMMYFUNCTION("""COMPUTED_VALUE"""),"DeAnthony")</f>
        <v>DeAnthony</v>
      </c>
      <c r="F4400" t="str">
        <f>IFERROR(__xludf.DUMMYFUNCTION("""COMPUTED_VALUE"""),"WR")</f>
        <v>WR</v>
      </c>
      <c r="G4400">
        <f>IFERROR(__xludf.DUMMYFUNCTION("""COMPUTED_VALUE"""),13.8)</f>
        <v>13.8</v>
      </c>
    </row>
    <row r="4401">
      <c r="D4401" t="str">
        <f>IFERROR(__xludf.DUMMYFUNCTION("""COMPUTED_VALUE"""),"Thomas")</f>
        <v>Thomas</v>
      </c>
      <c r="E4401" t="str">
        <f>IFERROR(__xludf.DUMMYFUNCTION("""COMPUTED_VALUE"""),"Demaryius")</f>
        <v>Demaryius</v>
      </c>
      <c r="F4401" t="str">
        <f>IFERROR(__xludf.DUMMYFUNCTION("""COMPUTED_VALUE"""),"WR")</f>
        <v>WR</v>
      </c>
      <c r="G4401">
        <f>IFERROR(__xludf.DUMMYFUNCTION("""COMPUTED_VALUE"""),17.400000000000002)</f>
        <v>17.4</v>
      </c>
    </row>
    <row r="4402">
      <c r="D4402" t="str">
        <f>IFERROR(__xludf.DUMMYFUNCTION("""COMPUTED_VALUE"""),"Thomas")</f>
        <v>Thomas</v>
      </c>
      <c r="E4402" t="str">
        <f>IFERROR(__xludf.DUMMYFUNCTION("""COMPUTED_VALUE"""),"Dwayne")</f>
        <v>Dwayne</v>
      </c>
      <c r="F4402" t="str">
        <f>IFERROR(__xludf.DUMMYFUNCTION("""COMPUTED_VALUE"""),"CB")</f>
        <v>CB</v>
      </c>
      <c r="G4402">
        <f>IFERROR(__xludf.DUMMYFUNCTION("""COMPUTED_VALUE"""),12.200000000000001)</f>
        <v>12.2</v>
      </c>
    </row>
    <row r="4403">
      <c r="D4403" t="str">
        <f>IFERROR(__xludf.DUMMYFUNCTION("""COMPUTED_VALUE"""),"Thomas")</f>
        <v>Thomas</v>
      </c>
      <c r="E4403" t="str">
        <f>IFERROR(__xludf.DUMMYFUNCTION("""COMPUTED_VALUE"""),"Joe")</f>
        <v>Joe</v>
      </c>
      <c r="F4403" t="str">
        <f>IFERROR(__xludf.DUMMYFUNCTION("""COMPUTED_VALUE"""),"MLB")</f>
        <v>MLB</v>
      </c>
      <c r="G4403">
        <f>IFERROR(__xludf.DUMMYFUNCTION("""COMPUTED_VALUE"""),14.200000000000001)</f>
        <v>14.2</v>
      </c>
    </row>
    <row r="4404">
      <c r="D4404" t="str">
        <f>IFERROR(__xludf.DUMMYFUNCTION("""COMPUTED_VALUE"""),"Thomas")</f>
        <v>Thomas</v>
      </c>
      <c r="E4404" t="str">
        <f>IFERROR(__xludf.DUMMYFUNCTION("""COMPUTED_VALUE"""),"Joe")</f>
        <v>Joe</v>
      </c>
      <c r="F4404" t="str">
        <f>IFERROR(__xludf.DUMMYFUNCTION("""COMPUTED_VALUE"""),"LT")</f>
        <v>LT</v>
      </c>
      <c r="G4404">
        <f>IFERROR(__xludf.DUMMYFUNCTION("""COMPUTED_VALUE"""),18.400000000000002)</f>
        <v>18.4</v>
      </c>
    </row>
    <row r="4405">
      <c r="D4405" t="str">
        <f>IFERROR(__xludf.DUMMYFUNCTION("""COMPUTED_VALUE"""),"Thomas")</f>
        <v>Thomas</v>
      </c>
      <c r="E4405" t="str">
        <f>IFERROR(__xludf.DUMMYFUNCTION("""COMPUTED_VALUE"""),"Julius")</f>
        <v>Julius</v>
      </c>
      <c r="F4405" t="str">
        <f>IFERROR(__xludf.DUMMYFUNCTION("""COMPUTED_VALUE"""),"TE")</f>
        <v>TE</v>
      </c>
      <c r="G4405">
        <f>IFERROR(__xludf.DUMMYFUNCTION("""COMPUTED_VALUE"""),16.2)</f>
        <v>16.2</v>
      </c>
    </row>
    <row r="4406">
      <c r="D4406" t="str">
        <f>IFERROR(__xludf.DUMMYFUNCTION("""COMPUTED_VALUE"""),"Thomas")</f>
        <v>Thomas</v>
      </c>
      <c r="E4406" t="str">
        <f>IFERROR(__xludf.DUMMYFUNCTION("""COMPUTED_VALUE"""),"Lawrence")</f>
        <v>Lawrence</v>
      </c>
      <c r="F4406" t="str">
        <f>IFERROR(__xludf.DUMMYFUNCTION("""COMPUTED_VALUE"""),"LE")</f>
        <v>LE</v>
      </c>
      <c r="G4406">
        <f>IFERROR(__xludf.DUMMYFUNCTION("""COMPUTED_VALUE"""),12.4)</f>
        <v>12.4</v>
      </c>
    </row>
    <row r="4407">
      <c r="D4407" t="str">
        <f>IFERROR(__xludf.DUMMYFUNCTION("""COMPUTED_VALUE"""),"Thomas")</f>
        <v>Thomas</v>
      </c>
      <c r="E4407" t="str">
        <f>IFERROR(__xludf.DUMMYFUNCTION("""COMPUTED_VALUE"""),"Logan")</f>
        <v>Logan</v>
      </c>
      <c r="F4407" t="str">
        <f>IFERROR(__xludf.DUMMYFUNCTION("""COMPUTED_VALUE"""),"TE")</f>
        <v>TE</v>
      </c>
      <c r="G4407">
        <f>IFERROR(__xludf.DUMMYFUNCTION("""COMPUTED_VALUE"""),12.0)</f>
        <v>12</v>
      </c>
    </row>
    <row r="4408">
      <c r="D4408" t="str">
        <f>IFERROR(__xludf.DUMMYFUNCTION("""COMPUTED_VALUE"""),"Thomas")</f>
        <v>Thomas</v>
      </c>
      <c r="E4408" t="str">
        <f>IFERROR(__xludf.DUMMYFUNCTION("""COMPUTED_VALUE"""),"Michael")</f>
        <v>Michael</v>
      </c>
      <c r="F4408" t="str">
        <f>IFERROR(__xludf.DUMMYFUNCTION("""COMPUTED_VALUE"""),"WR")</f>
        <v>WR</v>
      </c>
      <c r="G4408">
        <f>IFERROR(__xludf.DUMMYFUNCTION("""COMPUTED_VALUE"""),16.8)</f>
        <v>16.8</v>
      </c>
    </row>
    <row r="4409">
      <c r="D4409" t="str">
        <f>IFERROR(__xludf.DUMMYFUNCTION("""COMPUTED_VALUE"""),"Thomas")</f>
        <v>Thomas</v>
      </c>
      <c r="E4409" t="str">
        <f>IFERROR(__xludf.DUMMYFUNCTION("""COMPUTED_VALUE"""),"Michael")</f>
        <v>Michael</v>
      </c>
      <c r="F4409" t="str">
        <f>IFERROR(__xludf.DUMMYFUNCTION("""COMPUTED_VALUE"""),"FS")</f>
        <v>FS</v>
      </c>
      <c r="G4409">
        <f>IFERROR(__xludf.DUMMYFUNCTION("""COMPUTED_VALUE"""),13.600000000000001)</f>
        <v>13.6</v>
      </c>
    </row>
    <row r="4410">
      <c r="D4410" t="str">
        <f>IFERROR(__xludf.DUMMYFUNCTION("""COMPUTED_VALUE"""),"Thomas")</f>
        <v>Thomas</v>
      </c>
      <c r="E4410" t="str">
        <f>IFERROR(__xludf.DUMMYFUNCTION("""COMPUTED_VALUE"""),"Mike")</f>
        <v>Mike</v>
      </c>
      <c r="F4410" t="str">
        <f>IFERROR(__xludf.DUMMYFUNCTION("""COMPUTED_VALUE"""),"WR")</f>
        <v>WR</v>
      </c>
      <c r="G4410">
        <f>IFERROR(__xludf.DUMMYFUNCTION("""COMPUTED_VALUE"""),12.600000000000001)</f>
        <v>12.6</v>
      </c>
    </row>
    <row r="4411">
      <c r="D4411" t="str">
        <f>IFERROR(__xludf.DUMMYFUNCTION("""COMPUTED_VALUE"""),"Thomas")</f>
        <v>Thomas</v>
      </c>
      <c r="E4411" t="str">
        <f>IFERROR(__xludf.DUMMYFUNCTION("""COMPUTED_VALUE"""),"Robert")</f>
        <v>Robert</v>
      </c>
      <c r="F4411" t="str">
        <f>IFERROR(__xludf.DUMMYFUNCTION("""COMPUTED_VALUE"""),"DT")</f>
        <v>DT</v>
      </c>
      <c r="G4411">
        <f>IFERROR(__xludf.DUMMYFUNCTION("""COMPUTED_VALUE"""),12.600000000000001)</f>
        <v>12.6</v>
      </c>
    </row>
    <row r="4412">
      <c r="D4412" t="str">
        <f>IFERROR(__xludf.DUMMYFUNCTION("""COMPUTED_VALUE"""),"Thomas")</f>
        <v>Thomas</v>
      </c>
      <c r="E4412" t="str">
        <f>IFERROR(__xludf.DUMMYFUNCTION("""COMPUTED_VALUE"""),"Shamarko")</f>
        <v>Shamarko</v>
      </c>
      <c r="F4412" t="str">
        <f>IFERROR(__xludf.DUMMYFUNCTION("""COMPUTED_VALUE"""),"FS")</f>
        <v>FS</v>
      </c>
      <c r="G4412">
        <f>IFERROR(__xludf.DUMMYFUNCTION("""COMPUTED_VALUE"""),13.8)</f>
        <v>13.8</v>
      </c>
    </row>
    <row r="4413">
      <c r="D4413" t="str">
        <f>IFERROR(__xludf.DUMMYFUNCTION("""COMPUTED_VALUE"""),"Thomas")</f>
        <v>Thomas</v>
      </c>
      <c r="E4413" t="str">
        <f>IFERROR(__xludf.DUMMYFUNCTION("""COMPUTED_VALUE"""),"Solomon")</f>
        <v>Solomon</v>
      </c>
      <c r="F4413" t="str">
        <f>IFERROR(__xludf.DUMMYFUNCTION("""COMPUTED_VALUE"""),"DT")</f>
        <v>DT</v>
      </c>
      <c r="G4413">
        <f>IFERROR(__xludf.DUMMYFUNCTION("""COMPUTED_VALUE"""),15.8)</f>
        <v>15.8</v>
      </c>
    </row>
    <row r="4414">
      <c r="D4414" t="str">
        <f>IFERROR(__xludf.DUMMYFUNCTION("""COMPUTED_VALUE"""),"Thomas III")</f>
        <v>Thomas III</v>
      </c>
      <c r="E4414" t="str">
        <f>IFERROR(__xludf.DUMMYFUNCTION("""COMPUTED_VALUE"""),"Earl")</f>
        <v>Earl</v>
      </c>
      <c r="F4414" t="str">
        <f>IFERROR(__xludf.DUMMYFUNCTION("""COMPUTED_VALUE"""),"FS")</f>
        <v>FS</v>
      </c>
      <c r="G4414">
        <f>IFERROR(__xludf.DUMMYFUNCTION("""COMPUTED_VALUE"""),18.8)</f>
        <v>18.8</v>
      </c>
    </row>
    <row r="4415">
      <c r="D4415" t="str">
        <f>IFERROR(__xludf.DUMMYFUNCTION("""COMPUTED_VALUE"""),"Thomas III")</f>
        <v>Thomas III</v>
      </c>
      <c r="E4415" t="str">
        <f>IFERROR(__xludf.DUMMYFUNCTION("""COMPUTED_VALUE"""),"JT")</f>
        <v>JT</v>
      </c>
      <c r="F4415" t="str">
        <f>IFERROR(__xludf.DUMMYFUNCTION("""COMPUTED_VALUE"""),"ROLB")</f>
        <v>ROLB</v>
      </c>
      <c r="G4415">
        <f>IFERROR(__xludf.DUMMYFUNCTION("""COMPUTED_VALUE"""),14.600000000000001)</f>
        <v>14.6</v>
      </c>
    </row>
    <row r="4416">
      <c r="D4416" t="str">
        <f>IFERROR(__xludf.DUMMYFUNCTION("""COMPUTED_VALUE"""),"Thompson")</f>
        <v>Thompson</v>
      </c>
      <c r="E4416" t="str">
        <f>IFERROR(__xludf.DUMMYFUNCTION("""COMPUTED_VALUE"""),"Brandon")</f>
        <v>Brandon</v>
      </c>
      <c r="F4416" t="str">
        <f>IFERROR(__xludf.DUMMYFUNCTION("""COMPUTED_VALUE"""),"DT")</f>
        <v>DT</v>
      </c>
      <c r="G4416">
        <f>IFERROR(__xludf.DUMMYFUNCTION("""COMPUTED_VALUE"""),13.4)</f>
        <v>13.4</v>
      </c>
    </row>
    <row r="4417">
      <c r="D4417" t="str">
        <f>IFERROR(__xludf.DUMMYFUNCTION("""COMPUTED_VALUE"""),"Thompson")</f>
        <v>Thompson</v>
      </c>
      <c r="E4417" t="str">
        <f>IFERROR(__xludf.DUMMYFUNCTION("""COMPUTED_VALUE"""),"Carlos")</f>
        <v>Carlos</v>
      </c>
      <c r="F4417" t="str">
        <f>IFERROR(__xludf.DUMMYFUNCTION("""COMPUTED_VALUE"""),"LOLB")</f>
        <v>LOLB</v>
      </c>
      <c r="G4417">
        <f>IFERROR(__xludf.DUMMYFUNCTION("""COMPUTED_VALUE"""),12.4)</f>
        <v>12.4</v>
      </c>
    </row>
    <row r="4418">
      <c r="D4418" t="str">
        <f>IFERROR(__xludf.DUMMYFUNCTION("""COMPUTED_VALUE"""),"Thompson")</f>
        <v>Thompson</v>
      </c>
      <c r="E4418" t="str">
        <f>IFERROR(__xludf.DUMMYFUNCTION("""COMPUTED_VALUE"""),"Chris")</f>
        <v>Chris</v>
      </c>
      <c r="F4418" t="str">
        <f>IFERROR(__xludf.DUMMYFUNCTION("""COMPUTED_VALUE"""),"HB")</f>
        <v>HB</v>
      </c>
      <c r="G4418">
        <f>IFERROR(__xludf.DUMMYFUNCTION("""COMPUTED_VALUE"""),15.4)</f>
        <v>15.4</v>
      </c>
    </row>
    <row r="4419">
      <c r="D4419" t="str">
        <f>IFERROR(__xludf.DUMMYFUNCTION("""COMPUTED_VALUE"""),"Thompson")</f>
        <v>Thompson</v>
      </c>
      <c r="E4419" t="str">
        <f>IFERROR(__xludf.DUMMYFUNCTION("""COMPUTED_VALUE"""),"Darian")</f>
        <v>Darian</v>
      </c>
      <c r="F4419" t="str">
        <f>IFERROR(__xludf.DUMMYFUNCTION("""COMPUTED_VALUE"""),"FS")</f>
        <v>FS</v>
      </c>
      <c r="G4419">
        <f>IFERROR(__xludf.DUMMYFUNCTION("""COMPUTED_VALUE"""),13.8)</f>
        <v>13.8</v>
      </c>
    </row>
    <row r="4420">
      <c r="D4420" t="str">
        <f>IFERROR(__xludf.DUMMYFUNCTION("""COMPUTED_VALUE"""),"Thompson")</f>
        <v>Thompson</v>
      </c>
      <c r="E4420" t="str">
        <f>IFERROR(__xludf.DUMMYFUNCTION("""COMPUTED_VALUE"""),"Deonte")</f>
        <v>Deonte</v>
      </c>
      <c r="F4420" t="str">
        <f>IFERROR(__xludf.DUMMYFUNCTION("""COMPUTED_VALUE"""),"WR")</f>
        <v>WR</v>
      </c>
      <c r="G4420">
        <f>IFERROR(__xludf.DUMMYFUNCTION("""COMPUTED_VALUE"""),13.8)</f>
        <v>13.8</v>
      </c>
    </row>
    <row r="4421">
      <c r="D4421" t="str">
        <f>IFERROR(__xludf.DUMMYFUNCTION("""COMPUTED_VALUE"""),"Thompson")</f>
        <v>Thompson</v>
      </c>
      <c r="E4421" t="str">
        <f>IFERROR(__xludf.DUMMYFUNCTION("""COMPUTED_VALUE"""),"Juwan")</f>
        <v>Juwan</v>
      </c>
      <c r="F4421" t="str">
        <f>IFERROR(__xludf.DUMMYFUNCTION("""COMPUTED_VALUE"""),"HB")</f>
        <v>HB</v>
      </c>
      <c r="G4421">
        <f>IFERROR(__xludf.DUMMYFUNCTION("""COMPUTED_VALUE"""),13.8)</f>
        <v>13.8</v>
      </c>
    </row>
    <row r="4422">
      <c r="D4422" t="str">
        <f>IFERROR(__xludf.DUMMYFUNCTION("""COMPUTED_VALUE"""),"Thompson")</f>
        <v>Thompson</v>
      </c>
      <c r="E4422" t="str">
        <f>IFERROR(__xludf.DUMMYFUNCTION("""COMPUTED_VALUE"""),"Mykkele")</f>
        <v>Mykkele</v>
      </c>
      <c r="F4422" t="str">
        <f>IFERROR(__xludf.DUMMYFUNCTION("""COMPUTED_VALUE"""),"FS")</f>
        <v>FS</v>
      </c>
      <c r="G4422">
        <f>IFERROR(__xludf.DUMMYFUNCTION("""COMPUTED_VALUE"""),12.8)</f>
        <v>12.8</v>
      </c>
    </row>
    <row r="4423">
      <c r="D4423" t="str">
        <f>IFERROR(__xludf.DUMMYFUNCTION("""COMPUTED_VALUE"""),"Thompson")</f>
        <v>Thompson</v>
      </c>
      <c r="E4423" t="str">
        <f>IFERROR(__xludf.DUMMYFUNCTION("""COMPUTED_VALUE"""),"Peyton")</f>
        <v>Peyton</v>
      </c>
      <c r="F4423" t="str">
        <f>IFERROR(__xludf.DUMMYFUNCTION("""COMPUTED_VALUE"""),"FS")</f>
        <v>FS</v>
      </c>
      <c r="G4423">
        <f>IFERROR(__xludf.DUMMYFUNCTION("""COMPUTED_VALUE"""),12.4)</f>
        <v>12.4</v>
      </c>
    </row>
    <row r="4424">
      <c r="D4424" t="str">
        <f>IFERROR(__xludf.DUMMYFUNCTION("""COMPUTED_VALUE"""),"Thompson")</f>
        <v>Thompson</v>
      </c>
      <c r="E4424" t="str">
        <f>IFERROR(__xludf.DUMMYFUNCTION("""COMPUTED_VALUE"""),"Shaq")</f>
        <v>Shaq</v>
      </c>
      <c r="F4424" t="str">
        <f>IFERROR(__xludf.DUMMYFUNCTION("""COMPUTED_VALUE"""),"LOLB")</f>
        <v>LOLB</v>
      </c>
      <c r="G4424">
        <f>IFERROR(__xludf.DUMMYFUNCTION("""COMPUTED_VALUE"""),16.6)</f>
        <v>16.6</v>
      </c>
    </row>
    <row r="4425">
      <c r="D4425" t="str">
        <f>IFERROR(__xludf.DUMMYFUNCTION("""COMPUTED_VALUE"""),"Thompson")</f>
        <v>Thompson</v>
      </c>
      <c r="E4425" t="str">
        <f>IFERROR(__xludf.DUMMYFUNCTION("""COMPUTED_VALUE"""),"Tedric")</f>
        <v>Tedric</v>
      </c>
      <c r="F4425" t="str">
        <f>IFERROR(__xludf.DUMMYFUNCTION("""COMPUTED_VALUE"""),"FS")</f>
        <v>FS</v>
      </c>
      <c r="G4425">
        <f>IFERROR(__xludf.DUMMYFUNCTION("""COMPUTED_VALUE"""),14.4)</f>
        <v>14.4</v>
      </c>
    </row>
    <row r="4426">
      <c r="D4426" t="str">
        <f>IFERROR(__xludf.DUMMYFUNCTION("""COMPUTED_VALUE"""),"Thompson")</f>
        <v>Thompson</v>
      </c>
      <c r="E4426" t="str">
        <f>IFERROR(__xludf.DUMMYFUNCTION("""COMPUTED_VALUE"""),"Tyrus")</f>
        <v>Tyrus</v>
      </c>
      <c r="F4426" t="str">
        <f>IFERROR(__xludf.DUMMYFUNCTION("""COMPUTED_VALUE"""),"LT")</f>
        <v>LT</v>
      </c>
      <c r="G4426">
        <f>IFERROR(__xludf.DUMMYFUNCTION("""COMPUTED_VALUE"""),13.200000000000001)</f>
        <v>13.2</v>
      </c>
    </row>
    <row r="4427">
      <c r="D4427" t="str">
        <f>IFERROR(__xludf.DUMMYFUNCTION("""COMPUTED_VALUE"""),"Thornton")</f>
        <v>Thornton</v>
      </c>
      <c r="E4427" t="str">
        <f>IFERROR(__xludf.DUMMYFUNCTION("""COMPUTED_VALUE"""),"Cedric")</f>
        <v>Cedric</v>
      </c>
      <c r="F4427" t="str">
        <f>IFERROR(__xludf.DUMMYFUNCTION("""COMPUTED_VALUE"""),"DT")</f>
        <v>DT</v>
      </c>
      <c r="G4427">
        <f>IFERROR(__xludf.DUMMYFUNCTION("""COMPUTED_VALUE"""),14.8)</f>
        <v>14.8</v>
      </c>
    </row>
    <row r="4428">
      <c r="D4428" t="str">
        <f>IFERROR(__xludf.DUMMYFUNCTION("""COMPUTED_VALUE"""),"Thornton")</f>
        <v>Thornton</v>
      </c>
      <c r="E4428" t="str">
        <f>IFERROR(__xludf.DUMMYFUNCTION("""COMPUTED_VALUE"""),"Khyri")</f>
        <v>Khyri</v>
      </c>
      <c r="F4428" t="str">
        <f>IFERROR(__xludf.DUMMYFUNCTION("""COMPUTED_VALUE"""),"DT")</f>
        <v>DT</v>
      </c>
      <c r="G4428">
        <f>IFERROR(__xludf.DUMMYFUNCTION("""COMPUTED_VALUE"""),13.0)</f>
        <v>13</v>
      </c>
    </row>
    <row r="4429">
      <c r="D4429" t="str">
        <f>IFERROR(__xludf.DUMMYFUNCTION("""COMPUTED_VALUE"""),"Thorpe")</f>
        <v>Thorpe</v>
      </c>
      <c r="E4429" t="str">
        <f>IFERROR(__xludf.DUMMYFUNCTION("""COMPUTED_VALUE"""),"Neiko")</f>
        <v>Neiko</v>
      </c>
      <c r="F4429" t="str">
        <f>IFERROR(__xludf.DUMMYFUNCTION("""COMPUTED_VALUE"""),"CB")</f>
        <v>CB</v>
      </c>
      <c r="G4429">
        <f>IFERROR(__xludf.DUMMYFUNCTION("""COMPUTED_VALUE"""),12.8)</f>
        <v>12.8</v>
      </c>
    </row>
    <row r="4430">
      <c r="D4430" t="str">
        <f>IFERROR(__xludf.DUMMYFUNCTION("""COMPUTED_VALUE"""),"Thuney")</f>
        <v>Thuney</v>
      </c>
      <c r="E4430" t="str">
        <f>IFERROR(__xludf.DUMMYFUNCTION("""COMPUTED_VALUE"""),"Joe")</f>
        <v>Joe</v>
      </c>
      <c r="F4430" t="str">
        <f>IFERROR(__xludf.DUMMYFUNCTION("""COMPUTED_VALUE"""),"LG")</f>
        <v>LG</v>
      </c>
      <c r="G4430">
        <f>IFERROR(__xludf.DUMMYFUNCTION("""COMPUTED_VALUE"""),15.200000000000001)</f>
        <v>15.2</v>
      </c>
    </row>
    <row r="4431">
      <c r="D4431" t="str">
        <f>IFERROR(__xludf.DUMMYFUNCTION("""COMPUTED_VALUE"""),"Tialavea")</f>
        <v>Tialavea</v>
      </c>
      <c r="E4431" t="str">
        <f>IFERROR(__xludf.DUMMYFUNCTION("""COMPUTED_VALUE"""),"DJ")</f>
        <v>DJ</v>
      </c>
      <c r="F4431" t="str">
        <f>IFERROR(__xludf.DUMMYFUNCTION("""COMPUTED_VALUE"""),"TE")</f>
        <v>TE</v>
      </c>
      <c r="G4431">
        <f>IFERROR(__xludf.DUMMYFUNCTION("""COMPUTED_VALUE"""),13.200000000000001)</f>
        <v>13.2</v>
      </c>
    </row>
    <row r="4432">
      <c r="D4432" t="str">
        <f>IFERROR(__xludf.DUMMYFUNCTION("""COMPUTED_VALUE"""),"Tiller")</f>
        <v>Tiller</v>
      </c>
      <c r="E4432" t="str">
        <f>IFERROR(__xludf.DUMMYFUNCTION("""COMPUTED_VALUE"""),"Andrew")</f>
        <v>Andrew</v>
      </c>
      <c r="F4432" t="str">
        <f>IFERROR(__xludf.DUMMYFUNCTION("""COMPUTED_VALUE"""),"RG")</f>
        <v>RG</v>
      </c>
      <c r="G4432">
        <f>IFERROR(__xludf.DUMMYFUNCTION("""COMPUTED_VALUE"""),15.0)</f>
        <v>15</v>
      </c>
    </row>
    <row r="4433">
      <c r="D4433" t="str">
        <f>IFERROR(__xludf.DUMMYFUNCTION("""COMPUTED_VALUE"""),"Timmons")</f>
        <v>Timmons</v>
      </c>
      <c r="E4433" t="str">
        <f>IFERROR(__xludf.DUMMYFUNCTION("""COMPUTED_VALUE"""),"Lawrence")</f>
        <v>Lawrence</v>
      </c>
      <c r="F4433" t="str">
        <f>IFERROR(__xludf.DUMMYFUNCTION("""COMPUTED_VALUE"""),"MLB")</f>
        <v>MLB</v>
      </c>
      <c r="G4433">
        <f>IFERROR(__xludf.DUMMYFUNCTION("""COMPUTED_VALUE"""),16.0)</f>
        <v>16</v>
      </c>
    </row>
    <row r="4434">
      <c r="D4434" t="str">
        <f>IFERROR(__xludf.DUMMYFUNCTION("""COMPUTED_VALUE"""),"Timu")</f>
        <v>Timu</v>
      </c>
      <c r="E4434" t="str">
        <f>IFERROR(__xludf.DUMMYFUNCTION("""COMPUTED_VALUE"""),"John")</f>
        <v>John</v>
      </c>
      <c r="F4434" t="str">
        <f>IFERROR(__xludf.DUMMYFUNCTION("""COMPUTED_VALUE"""),"MLB")</f>
        <v>MLB</v>
      </c>
      <c r="G4434">
        <f>IFERROR(__xludf.DUMMYFUNCTION("""COMPUTED_VALUE"""),13.0)</f>
        <v>13</v>
      </c>
    </row>
    <row r="4435">
      <c r="D4435" t="str">
        <f>IFERROR(__xludf.DUMMYFUNCTION("""COMPUTED_VALUE"""),"Tinker")</f>
        <v>Tinker</v>
      </c>
      <c r="E4435" t="str">
        <f>IFERROR(__xludf.DUMMYFUNCTION("""COMPUTED_VALUE"""),"Carson")</f>
        <v>Carson</v>
      </c>
      <c r="F4435" t="str">
        <f>IFERROR(__xludf.DUMMYFUNCTION("""COMPUTED_VALUE"""),"TE")</f>
        <v>TE</v>
      </c>
      <c r="G4435">
        <f>IFERROR(__xludf.DUMMYFUNCTION("""COMPUTED_VALUE"""),9.200000000000001)</f>
        <v>9.2</v>
      </c>
    </row>
    <row r="4436">
      <c r="D4436" t="str">
        <f>IFERROR(__xludf.DUMMYFUNCTION("""COMPUTED_VALUE"""),"Tobin")</f>
        <v>Tobin</v>
      </c>
      <c r="E4436" t="str">
        <f>IFERROR(__xludf.DUMMYFUNCTION("""COMPUTED_VALUE"""),"Matt")</f>
        <v>Matt</v>
      </c>
      <c r="F4436" t="str">
        <f>IFERROR(__xludf.DUMMYFUNCTION("""COMPUTED_VALUE"""),"RG")</f>
        <v>RG</v>
      </c>
      <c r="G4436">
        <f>IFERROR(__xludf.DUMMYFUNCTION("""COMPUTED_VALUE"""),14.600000000000001)</f>
        <v>14.6</v>
      </c>
    </row>
    <row r="4437">
      <c r="D4437" t="str">
        <f>IFERROR(__xludf.DUMMYFUNCTION("""COMPUTED_VALUE"""),"Tocho")</f>
        <v>Tocho</v>
      </c>
      <c r="E4437" t="str">
        <f>IFERROR(__xludf.DUMMYFUNCTION("""COMPUTED_VALUE"""),"Jack")</f>
        <v>Jack</v>
      </c>
      <c r="F4437" t="str">
        <f>IFERROR(__xludf.DUMMYFUNCTION("""COMPUTED_VALUE"""),"SS")</f>
        <v>SS</v>
      </c>
      <c r="G4437">
        <f>IFERROR(__xludf.DUMMYFUNCTION("""COMPUTED_VALUE"""),12.600000000000001)</f>
        <v>12.6</v>
      </c>
    </row>
    <row r="4438">
      <c r="D4438" t="str">
        <f>IFERROR(__xludf.DUMMYFUNCTION("""COMPUTED_VALUE"""),"Todman")</f>
        <v>Todman</v>
      </c>
      <c r="E4438" t="str">
        <f>IFERROR(__xludf.DUMMYFUNCTION("""COMPUTED_VALUE"""),"Jordan")</f>
        <v>Jordan</v>
      </c>
      <c r="F4438" t="str">
        <f>IFERROR(__xludf.DUMMYFUNCTION("""COMPUTED_VALUE"""),"HB")</f>
        <v>HB</v>
      </c>
      <c r="G4438">
        <f>IFERROR(__xludf.DUMMYFUNCTION("""COMPUTED_VALUE"""),13.600000000000001)</f>
        <v>13.6</v>
      </c>
    </row>
    <row r="4439">
      <c r="D4439" t="str">
        <f>IFERROR(__xludf.DUMMYFUNCTION("""COMPUTED_VALUE"""),"Toilolo")</f>
        <v>Toilolo</v>
      </c>
      <c r="E4439" t="str">
        <f>IFERROR(__xludf.DUMMYFUNCTION("""COMPUTED_VALUE"""),"Levine")</f>
        <v>Levine</v>
      </c>
      <c r="F4439" t="str">
        <f>IFERROR(__xludf.DUMMYFUNCTION("""COMPUTED_VALUE"""),"TE")</f>
        <v>TE</v>
      </c>
      <c r="G4439">
        <f>IFERROR(__xludf.DUMMYFUNCTION("""COMPUTED_VALUE"""),14.0)</f>
        <v>14</v>
      </c>
    </row>
    <row r="4440">
      <c r="D4440" t="str">
        <f>IFERROR(__xludf.DUMMYFUNCTION("""COMPUTED_VALUE"""),"Tolbert")</f>
        <v>Tolbert</v>
      </c>
      <c r="E4440" t="str">
        <f>IFERROR(__xludf.DUMMYFUNCTION("""COMPUTED_VALUE"""),"Mike")</f>
        <v>Mike</v>
      </c>
      <c r="F4440" t="str">
        <f>IFERROR(__xludf.DUMMYFUNCTION("""COMPUTED_VALUE"""),"FB")</f>
        <v>FB</v>
      </c>
      <c r="G4440">
        <f>IFERROR(__xludf.DUMMYFUNCTION("""COMPUTED_VALUE"""),15.4)</f>
        <v>15.4</v>
      </c>
    </row>
    <row r="4441">
      <c r="D4441" t="str">
        <f>IFERROR(__xludf.DUMMYFUNCTION("""COMPUTED_VALUE"""),"Tolzien")</f>
        <v>Tolzien</v>
      </c>
      <c r="E4441" t="str">
        <f>IFERROR(__xludf.DUMMYFUNCTION("""COMPUTED_VALUE"""),"Scott")</f>
        <v>Scott</v>
      </c>
      <c r="F4441" t="str">
        <f>IFERROR(__xludf.DUMMYFUNCTION("""COMPUTED_VALUE"""),"QB")</f>
        <v>QB</v>
      </c>
      <c r="G4441">
        <f>IFERROR(__xludf.DUMMYFUNCTION("""COMPUTED_VALUE"""),13.200000000000001)</f>
        <v>13.2</v>
      </c>
    </row>
    <row r="4442">
      <c r="D4442" t="str">
        <f>IFERROR(__xludf.DUMMYFUNCTION("""COMPUTED_VALUE"""),"Tom")</f>
        <v>Tom</v>
      </c>
      <c r="E4442" t="str">
        <f>IFERROR(__xludf.DUMMYFUNCTION("""COMPUTED_VALUE"""),"Cameron")</f>
        <v>Cameron</v>
      </c>
      <c r="F4442" t="str">
        <f>IFERROR(__xludf.DUMMYFUNCTION("""COMPUTED_VALUE"""),"C")</f>
        <v>C</v>
      </c>
      <c r="G4442">
        <f>IFERROR(__xludf.DUMMYFUNCTION("""COMPUTED_VALUE"""),12.200000000000001)</f>
        <v>12.2</v>
      </c>
    </row>
    <row r="4443">
      <c r="D4443" t="str">
        <f>IFERROR(__xludf.DUMMYFUNCTION("""COMPUTED_VALUE"""),"Tomlinson")</f>
        <v>Tomlinson</v>
      </c>
      <c r="E4443" t="str">
        <f>IFERROR(__xludf.DUMMYFUNCTION("""COMPUTED_VALUE"""),"Dalvin")</f>
        <v>Dalvin</v>
      </c>
      <c r="F4443" t="str">
        <f>IFERROR(__xludf.DUMMYFUNCTION("""COMPUTED_VALUE"""),"DT")</f>
        <v>DT</v>
      </c>
      <c r="G4443">
        <f>IFERROR(__xludf.DUMMYFUNCTION("""COMPUTED_VALUE"""),14.200000000000001)</f>
        <v>14.2</v>
      </c>
    </row>
    <row r="4444">
      <c r="D4444" t="str">
        <f>IFERROR(__xludf.DUMMYFUNCTION("""COMPUTED_VALUE"""),"Tomlinson")</f>
        <v>Tomlinson</v>
      </c>
      <c r="E4444" t="str">
        <f>IFERROR(__xludf.DUMMYFUNCTION("""COMPUTED_VALUE"""),"Eric")</f>
        <v>Eric</v>
      </c>
      <c r="F4444" t="str">
        <f>IFERROR(__xludf.DUMMYFUNCTION("""COMPUTED_VALUE"""),"TE")</f>
        <v>TE</v>
      </c>
      <c r="G4444">
        <f>IFERROR(__xludf.DUMMYFUNCTION("""COMPUTED_VALUE"""),12.600000000000001)</f>
        <v>12.6</v>
      </c>
    </row>
    <row r="4445">
      <c r="D4445" t="str">
        <f>IFERROR(__xludf.DUMMYFUNCTION("""COMPUTED_VALUE"""),"Tomlinson")</f>
        <v>Tomlinson</v>
      </c>
      <c r="E4445" t="str">
        <f>IFERROR(__xludf.DUMMYFUNCTION("""COMPUTED_VALUE"""),"Laken")</f>
        <v>Laken</v>
      </c>
      <c r="F4445" t="str">
        <f>IFERROR(__xludf.DUMMYFUNCTION("""COMPUTED_VALUE"""),"LG")</f>
        <v>LG</v>
      </c>
      <c r="G4445">
        <f>IFERROR(__xludf.DUMMYFUNCTION("""COMPUTED_VALUE"""),14.200000000000001)</f>
        <v>14.2</v>
      </c>
    </row>
    <row r="4446">
      <c r="D4446" t="str">
        <f>IFERROR(__xludf.DUMMYFUNCTION("""COMPUTED_VALUE"""),"Toner")</f>
        <v>Toner</v>
      </c>
      <c r="E4446" t="str">
        <f>IFERROR(__xludf.DUMMYFUNCTION("""COMPUTED_VALUE"""),"Cole")</f>
        <v>Cole</v>
      </c>
      <c r="F4446" t="str">
        <f>IFERROR(__xludf.DUMMYFUNCTION("""COMPUTED_VALUE"""),"RG")</f>
        <v>RG</v>
      </c>
      <c r="G4446">
        <f>IFERROR(__xludf.DUMMYFUNCTION("""COMPUTED_VALUE"""),13.0)</f>
        <v>13</v>
      </c>
    </row>
    <row r="4447">
      <c r="D4447" t="str">
        <f>IFERROR(__xludf.DUMMYFUNCTION("""COMPUTED_VALUE"""),"Toomer")</f>
        <v>Toomer</v>
      </c>
      <c r="E4447" t="str">
        <f>IFERROR(__xludf.DUMMYFUNCTION("""COMPUTED_VALUE"""),"Korey")</f>
        <v>Korey</v>
      </c>
      <c r="F4447" t="str">
        <f>IFERROR(__xludf.DUMMYFUNCTION("""COMPUTED_VALUE"""),"MLB")</f>
        <v>MLB</v>
      </c>
      <c r="G4447">
        <f>IFERROR(__xludf.DUMMYFUNCTION("""COMPUTED_VALUE"""),15.0)</f>
        <v>15</v>
      </c>
    </row>
    <row r="4448">
      <c r="D4448" t="str">
        <f>IFERROR(__xludf.DUMMYFUNCTION("""COMPUTED_VALUE"""),"Torgersen")</f>
        <v>Torgersen</v>
      </c>
      <c r="E4448" t="str">
        <f>IFERROR(__xludf.DUMMYFUNCTION("""COMPUTED_VALUE"""),"Alek")</f>
        <v>Alek</v>
      </c>
      <c r="F4448" t="str">
        <f>IFERROR(__xludf.DUMMYFUNCTION("""COMPUTED_VALUE"""),"QB")</f>
        <v>QB</v>
      </c>
      <c r="G4448">
        <f>IFERROR(__xludf.DUMMYFUNCTION("""COMPUTED_VALUE"""),11.600000000000001)</f>
        <v>11.6</v>
      </c>
    </row>
    <row r="4449">
      <c r="D4449" t="str">
        <f>IFERROR(__xludf.DUMMYFUNCTION("""COMPUTED_VALUE"""),"Toussaint")</f>
        <v>Toussaint</v>
      </c>
      <c r="E4449" t="str">
        <f>IFERROR(__xludf.DUMMYFUNCTION("""COMPUTED_VALUE"""),"Fitzgerald")</f>
        <v>Fitzgerald</v>
      </c>
      <c r="F4449" t="str">
        <f>IFERROR(__xludf.DUMMYFUNCTION("""COMPUTED_VALUE"""),"HB")</f>
        <v>HB</v>
      </c>
      <c r="G4449">
        <f>IFERROR(__xludf.DUMMYFUNCTION("""COMPUTED_VALUE"""),13.200000000000001)</f>
        <v>13.2</v>
      </c>
    </row>
    <row r="4450">
      <c r="D4450" t="str">
        <f>IFERROR(__xludf.DUMMYFUNCTION("""COMPUTED_VALUE"""),"Towbridge")</f>
        <v>Towbridge</v>
      </c>
      <c r="E4450" t="str">
        <f>IFERROR(__xludf.DUMMYFUNCTION("""COMPUTED_VALUE"""),"Keith")</f>
        <v>Keith</v>
      </c>
      <c r="F4450" t="str">
        <f>IFERROR(__xludf.DUMMYFUNCTION("""COMPUTED_VALUE"""),"TE")</f>
        <v>TE</v>
      </c>
      <c r="G4450">
        <f>IFERROR(__xludf.DUMMYFUNCTION("""COMPUTED_VALUE"""),13.600000000000001)</f>
        <v>13.6</v>
      </c>
    </row>
    <row r="4451">
      <c r="D4451" t="str">
        <f>IFERROR(__xludf.DUMMYFUNCTION("""COMPUTED_VALUE"""),"Trail")</f>
        <v>Trail</v>
      </c>
      <c r="E4451" t="str">
        <f>IFERROR(__xludf.DUMMYFUNCTION("""COMPUTED_VALUE"""),"Lynden")</f>
        <v>Lynden</v>
      </c>
      <c r="F4451" t="str">
        <f>IFERROR(__xludf.DUMMYFUNCTION("""COMPUTED_VALUE"""),"ROLB")</f>
        <v>ROLB</v>
      </c>
      <c r="G4451">
        <f>IFERROR(__xludf.DUMMYFUNCTION("""COMPUTED_VALUE"""),11.600000000000001)</f>
        <v>11.6</v>
      </c>
    </row>
    <row r="4452">
      <c r="D4452" t="str">
        <f>IFERROR(__xludf.DUMMYFUNCTION("""COMPUTED_VALUE"""),"Travis")</f>
        <v>Travis</v>
      </c>
      <c r="E4452" t="str">
        <f>IFERROR(__xludf.DUMMYFUNCTION("""COMPUTED_VALUE"""),"Damarius")</f>
        <v>Damarius</v>
      </c>
      <c r="F4452" t="str">
        <f>IFERROR(__xludf.DUMMYFUNCTION("""COMPUTED_VALUE"""),"SS")</f>
        <v>SS</v>
      </c>
      <c r="G4452">
        <f>IFERROR(__xludf.DUMMYFUNCTION("""COMPUTED_VALUE"""),11.8)</f>
        <v>11.8</v>
      </c>
    </row>
    <row r="4453">
      <c r="D4453" t="str">
        <f>IFERROR(__xludf.DUMMYFUNCTION("""COMPUTED_VALUE"""),"Travis")</f>
        <v>Travis</v>
      </c>
      <c r="E4453" t="str">
        <f>IFERROR(__xludf.DUMMYFUNCTION("""COMPUTED_VALUE"""),"Ross")</f>
        <v>Ross</v>
      </c>
      <c r="F4453" t="str">
        <f>IFERROR(__xludf.DUMMYFUNCTION("""COMPUTED_VALUE"""),"TE")</f>
        <v>TE</v>
      </c>
      <c r="G4453">
        <f>IFERROR(__xludf.DUMMYFUNCTION("""COMPUTED_VALUE"""),11.600000000000001)</f>
        <v>11.6</v>
      </c>
    </row>
    <row r="4454">
      <c r="D4454" t="str">
        <f>IFERROR(__xludf.DUMMYFUNCTION("""COMPUTED_VALUE"""),"Trawick")</f>
        <v>Trawick</v>
      </c>
      <c r="E4454" t="str">
        <f>IFERROR(__xludf.DUMMYFUNCTION("""COMPUTED_VALUE"""),"Brynden")</f>
        <v>Brynden</v>
      </c>
      <c r="F4454" t="str">
        <f>IFERROR(__xludf.DUMMYFUNCTION("""COMPUTED_VALUE"""),"SS")</f>
        <v>SS</v>
      </c>
      <c r="G4454">
        <f>IFERROR(__xludf.DUMMYFUNCTION("""COMPUTED_VALUE"""),13.600000000000001)</f>
        <v>13.6</v>
      </c>
    </row>
    <row r="4455">
      <c r="D4455" t="str">
        <f>IFERROR(__xludf.DUMMYFUNCTION("""COMPUTED_VALUE"""),"Traylor")</f>
        <v>Traylor</v>
      </c>
      <c r="E4455" t="str">
        <f>IFERROR(__xludf.DUMMYFUNCTION("""COMPUTED_VALUE"""),"Austin")</f>
        <v>Austin</v>
      </c>
      <c r="F4455" t="str">
        <f>IFERROR(__xludf.DUMMYFUNCTION("""COMPUTED_VALUE"""),"TE")</f>
        <v>TE</v>
      </c>
      <c r="G4455">
        <f>IFERROR(__xludf.DUMMYFUNCTION("""COMPUTED_VALUE"""),12.600000000000001)</f>
        <v>12.6</v>
      </c>
    </row>
    <row r="4456">
      <c r="D4456" t="str">
        <f>IFERROR(__xludf.DUMMYFUNCTION("""COMPUTED_VALUE"""),"Treadwell")</f>
        <v>Treadwell</v>
      </c>
      <c r="E4456" t="str">
        <f>IFERROR(__xludf.DUMMYFUNCTION("""COMPUTED_VALUE"""),"Laquon")</f>
        <v>Laquon</v>
      </c>
      <c r="F4456" t="str">
        <f>IFERROR(__xludf.DUMMYFUNCTION("""COMPUTED_VALUE"""),"WR")</f>
        <v>WR</v>
      </c>
      <c r="G4456">
        <f>IFERROR(__xludf.DUMMYFUNCTION("""COMPUTED_VALUE"""),14.600000000000001)</f>
        <v>14.6</v>
      </c>
    </row>
    <row r="4457">
      <c r="D4457" t="str">
        <f>IFERROR(__xludf.DUMMYFUNCTION("""COMPUTED_VALUE"""),"Treggs")</f>
        <v>Treggs</v>
      </c>
      <c r="E4457" t="str">
        <f>IFERROR(__xludf.DUMMYFUNCTION("""COMPUTED_VALUE"""),"Bryce")</f>
        <v>Bryce</v>
      </c>
      <c r="F4457" t="str">
        <f>IFERROR(__xludf.DUMMYFUNCTION("""COMPUTED_VALUE"""),"WR")</f>
        <v>WR</v>
      </c>
      <c r="G4457">
        <f>IFERROR(__xludf.DUMMYFUNCTION("""COMPUTED_VALUE"""),12.200000000000001)</f>
        <v>12.2</v>
      </c>
    </row>
    <row r="4458">
      <c r="D4458" t="str">
        <f>IFERROR(__xludf.DUMMYFUNCTION("""COMPUTED_VALUE"""),"Tretola")</f>
        <v>Tretola</v>
      </c>
      <c r="E4458" t="str">
        <f>IFERROR(__xludf.DUMMYFUNCTION("""COMPUTED_VALUE"""),"Sebastian")</f>
        <v>Sebastian</v>
      </c>
      <c r="F4458" t="str">
        <f>IFERROR(__xludf.DUMMYFUNCTION("""COMPUTED_VALUE"""),"LG")</f>
        <v>LG</v>
      </c>
      <c r="G4458">
        <f>IFERROR(__xludf.DUMMYFUNCTION("""COMPUTED_VALUE"""),12.8)</f>
        <v>12.8</v>
      </c>
    </row>
    <row r="4459">
      <c r="D4459" t="str">
        <f>IFERROR(__xludf.DUMMYFUNCTION("""COMPUTED_VALUE"""),"Tretter")</f>
        <v>Tretter</v>
      </c>
      <c r="E4459" t="str">
        <f>IFERROR(__xludf.DUMMYFUNCTION("""COMPUTED_VALUE"""),"JC")</f>
        <v>JC</v>
      </c>
      <c r="F4459" t="str">
        <f>IFERROR(__xludf.DUMMYFUNCTION("""COMPUTED_VALUE"""),"C")</f>
        <v>C</v>
      </c>
      <c r="G4459">
        <f>IFERROR(__xludf.DUMMYFUNCTION("""COMPUTED_VALUE"""),16.8)</f>
        <v>16.8</v>
      </c>
    </row>
    <row r="4460">
      <c r="D4460" t="str">
        <f>IFERROR(__xludf.DUMMYFUNCTION("""COMPUTED_VALUE"""),"Trevathan")</f>
        <v>Trevathan</v>
      </c>
      <c r="E4460" t="str">
        <f>IFERROR(__xludf.DUMMYFUNCTION("""COMPUTED_VALUE"""),"Danny")</f>
        <v>Danny</v>
      </c>
      <c r="F4460" t="str">
        <f>IFERROR(__xludf.DUMMYFUNCTION("""COMPUTED_VALUE"""),"MLB")</f>
        <v>MLB</v>
      </c>
      <c r="G4460">
        <f>IFERROR(__xludf.DUMMYFUNCTION("""COMPUTED_VALUE"""),16.8)</f>
        <v>16.8</v>
      </c>
    </row>
    <row r="4461">
      <c r="D4461" t="str">
        <f>IFERROR(__xludf.DUMMYFUNCTION("""COMPUTED_VALUE"""),"Trinca-Pasat")</f>
        <v>Trinca-Pasat</v>
      </c>
      <c r="E4461" t="str">
        <f>IFERROR(__xludf.DUMMYFUNCTION("""COMPUTED_VALUE"""),"Louis")</f>
        <v>Louis</v>
      </c>
      <c r="F4461" t="str">
        <f>IFERROR(__xludf.DUMMYFUNCTION("""COMPUTED_VALUE"""),"DT")</f>
        <v>DT</v>
      </c>
      <c r="G4461">
        <f>IFERROR(__xludf.DUMMYFUNCTION("""COMPUTED_VALUE"""),11.600000000000001)</f>
        <v>11.6</v>
      </c>
    </row>
    <row r="4462">
      <c r="D4462" t="str">
        <f>IFERROR(__xludf.DUMMYFUNCTION("""COMPUTED_VALUE"""),"Tripp")</f>
        <v>Tripp</v>
      </c>
      <c r="E4462" t="str">
        <f>IFERROR(__xludf.DUMMYFUNCTION("""COMPUTED_VALUE"""),"Jordan")</f>
        <v>Jordan</v>
      </c>
      <c r="F4462" t="str">
        <f>IFERROR(__xludf.DUMMYFUNCTION("""COMPUTED_VALUE"""),"MLB")</f>
        <v>MLB</v>
      </c>
      <c r="G4462">
        <f>IFERROR(__xludf.DUMMYFUNCTION("""COMPUTED_VALUE"""),12.4)</f>
        <v>12.4</v>
      </c>
    </row>
    <row r="4463">
      <c r="D4463" t="str">
        <f>IFERROR(__xludf.DUMMYFUNCTION("""COMPUTED_VALUE"""),"Trubisky")</f>
        <v>Trubisky</v>
      </c>
      <c r="E4463" t="str">
        <f>IFERROR(__xludf.DUMMYFUNCTION("""COMPUTED_VALUE"""),"Mitchell")</f>
        <v>Mitchell</v>
      </c>
      <c r="F4463" t="str">
        <f>IFERROR(__xludf.DUMMYFUNCTION("""COMPUTED_VALUE"""),"QB")</f>
        <v>QB</v>
      </c>
      <c r="G4463">
        <f>IFERROR(__xludf.DUMMYFUNCTION("""COMPUTED_VALUE"""),15.4)</f>
        <v>15.4</v>
      </c>
    </row>
    <row r="4464">
      <c r="D4464" t="str">
        <f>IFERROR(__xludf.DUMMYFUNCTION("""COMPUTED_VALUE"""),"Trufant")</f>
        <v>Trufant</v>
      </c>
      <c r="E4464" t="str">
        <f>IFERROR(__xludf.DUMMYFUNCTION("""COMPUTED_VALUE"""),"Desmond")</f>
        <v>Desmond</v>
      </c>
      <c r="F4464" t="str">
        <f>IFERROR(__xludf.DUMMYFUNCTION("""COMPUTED_VALUE"""),"CB")</f>
        <v>CB</v>
      </c>
      <c r="G4464">
        <f>IFERROR(__xludf.DUMMYFUNCTION("""COMPUTED_VALUE"""),17.8)</f>
        <v>17.8</v>
      </c>
    </row>
    <row r="4465">
      <c r="D4465" t="str">
        <f>IFERROR(__xludf.DUMMYFUNCTION("""COMPUTED_VALUE"""),"Tucker")</f>
        <v>Tucker</v>
      </c>
      <c r="E4465" t="str">
        <f>IFERROR(__xludf.DUMMYFUNCTION("""COMPUTED_VALUE"""),"Justin")</f>
        <v>Justin</v>
      </c>
      <c r="F4465" t="str">
        <f>IFERROR(__xludf.DUMMYFUNCTION("""COMPUTED_VALUE"""),"K")</f>
        <v>K</v>
      </c>
      <c r="G4465">
        <f>IFERROR(__xludf.DUMMYFUNCTION("""COMPUTED_VALUE"""),17.400000000000002)</f>
        <v>17.4</v>
      </c>
    </row>
    <row r="4466">
      <c r="D4466" t="str">
        <f>IFERROR(__xludf.DUMMYFUNCTION("""COMPUTED_VALUE"""),"Tucker")</f>
        <v>Tucker</v>
      </c>
      <c r="E4466" t="str">
        <f>IFERROR(__xludf.DUMMYFUNCTION("""COMPUTED_VALUE"""),"Marcus")</f>
        <v>Marcus</v>
      </c>
      <c r="F4466" t="str">
        <f>IFERROR(__xludf.DUMMYFUNCTION("""COMPUTED_VALUE"""),"WR")</f>
        <v>WR</v>
      </c>
      <c r="G4466">
        <f>IFERROR(__xludf.DUMMYFUNCTION("""COMPUTED_VALUE"""),12.200000000000001)</f>
        <v>12.2</v>
      </c>
    </row>
    <row r="4467">
      <c r="D4467" t="str">
        <f>IFERROR(__xludf.DUMMYFUNCTION("""COMPUTED_VALUE"""),"Tuerk")</f>
        <v>Tuerk</v>
      </c>
      <c r="E4467" t="str">
        <f>IFERROR(__xludf.DUMMYFUNCTION("""COMPUTED_VALUE"""),"Max")</f>
        <v>Max</v>
      </c>
      <c r="F4467" t="str">
        <f>IFERROR(__xludf.DUMMYFUNCTION("""COMPUTED_VALUE"""),"C")</f>
        <v>C</v>
      </c>
      <c r="G4467">
        <f>IFERROR(__xludf.DUMMYFUNCTION("""COMPUTED_VALUE"""),13.4)</f>
        <v>13.4</v>
      </c>
    </row>
    <row r="4468">
      <c r="D4468" t="str">
        <f>IFERROR(__xludf.DUMMYFUNCTION("""COMPUTED_VALUE"""),"TuIkolovatu")</f>
        <v>TuIkolovatu</v>
      </c>
      <c r="E4468" t="str">
        <f>IFERROR(__xludf.DUMMYFUNCTION("""COMPUTED_VALUE"""),"Stevie")</f>
        <v>Stevie</v>
      </c>
      <c r="F4468" t="str">
        <f>IFERROR(__xludf.DUMMYFUNCTION("""COMPUTED_VALUE"""),"DT")</f>
        <v>DT</v>
      </c>
      <c r="G4468">
        <f>IFERROR(__xludf.DUMMYFUNCTION("""COMPUTED_VALUE"""),13.4)</f>
        <v>13.4</v>
      </c>
    </row>
    <row r="4469">
      <c r="D4469" t="str">
        <f>IFERROR(__xludf.DUMMYFUNCTION("""COMPUTED_VALUE"""),"Tuitt")</f>
        <v>Tuitt</v>
      </c>
      <c r="E4469" t="str">
        <f>IFERROR(__xludf.DUMMYFUNCTION("""COMPUTED_VALUE"""),"Stephon")</f>
        <v>Stephon</v>
      </c>
      <c r="F4469" t="str">
        <f>IFERROR(__xludf.DUMMYFUNCTION("""COMPUTED_VALUE"""),"RE")</f>
        <v>RE</v>
      </c>
      <c r="G4469">
        <f>IFERROR(__xludf.DUMMYFUNCTION("""COMPUTED_VALUE"""),16.6)</f>
        <v>16.6</v>
      </c>
    </row>
    <row r="4470">
      <c r="D4470" t="str">
        <f>IFERROR(__xludf.DUMMYFUNCTION("""COMPUTED_VALUE"""),"Tunsil")</f>
        <v>Tunsil</v>
      </c>
      <c r="E4470" t="str">
        <f>IFERROR(__xludf.DUMMYFUNCTION("""COMPUTED_VALUE"""),"Laremy")</f>
        <v>Laremy</v>
      </c>
      <c r="F4470" t="str">
        <f>IFERROR(__xludf.DUMMYFUNCTION("""COMPUTED_VALUE"""),"LT")</f>
        <v>LT</v>
      </c>
      <c r="G4470">
        <f>IFERROR(__xludf.DUMMYFUNCTION("""COMPUTED_VALUE"""),15.600000000000001)</f>
        <v>15.6</v>
      </c>
    </row>
    <row r="4471">
      <c r="D4471" t="str">
        <f>IFERROR(__xludf.DUMMYFUNCTION("""COMPUTED_VALUE"""),"Turbin")</f>
        <v>Turbin</v>
      </c>
      <c r="E4471" t="str">
        <f>IFERROR(__xludf.DUMMYFUNCTION("""COMPUTED_VALUE"""),"Robert")</f>
        <v>Robert</v>
      </c>
      <c r="F4471" t="str">
        <f>IFERROR(__xludf.DUMMYFUNCTION("""COMPUTED_VALUE"""),"HB")</f>
        <v>HB</v>
      </c>
      <c r="G4471">
        <f>IFERROR(__xludf.DUMMYFUNCTION("""COMPUTED_VALUE"""),15.200000000000001)</f>
        <v>15.2</v>
      </c>
    </row>
    <row r="4472">
      <c r="D4472" t="str">
        <f>IFERROR(__xludf.DUMMYFUNCTION("""COMPUTED_VALUE"""),"Turner")</f>
        <v>Turner</v>
      </c>
      <c r="E4472" t="str">
        <f>IFERROR(__xludf.DUMMYFUNCTION("""COMPUTED_VALUE"""),"Billy")</f>
        <v>Billy</v>
      </c>
      <c r="F4472" t="str">
        <f>IFERROR(__xludf.DUMMYFUNCTION("""COMPUTED_VALUE"""),"RG")</f>
        <v>RG</v>
      </c>
      <c r="G4472">
        <f>IFERROR(__xludf.DUMMYFUNCTION("""COMPUTED_VALUE"""),13.600000000000001)</f>
        <v>13.6</v>
      </c>
    </row>
    <row r="4473">
      <c r="D4473" t="str">
        <f>IFERROR(__xludf.DUMMYFUNCTION("""COMPUTED_VALUE"""),"Turner")</f>
        <v>Turner</v>
      </c>
      <c r="E4473" t="str">
        <f>IFERROR(__xludf.DUMMYFUNCTION("""COMPUTED_VALUE"""),"Landon")</f>
        <v>Landon</v>
      </c>
      <c r="F4473" t="str">
        <f>IFERROR(__xludf.DUMMYFUNCTION("""COMPUTED_VALUE"""),"RG")</f>
        <v>RG</v>
      </c>
      <c r="G4473">
        <f>IFERROR(__xludf.DUMMYFUNCTION("""COMPUTED_VALUE"""),12.0)</f>
        <v>12</v>
      </c>
    </row>
    <row r="4474">
      <c r="D4474" t="str">
        <f>IFERROR(__xludf.DUMMYFUNCTION("""COMPUTED_VALUE"""),"Turner")</f>
        <v>Turner</v>
      </c>
      <c r="E4474" t="str">
        <f>IFERROR(__xludf.DUMMYFUNCTION("""COMPUTED_VALUE"""),"Paul")</f>
        <v>Paul</v>
      </c>
      <c r="F4474" t="str">
        <f>IFERROR(__xludf.DUMMYFUNCTION("""COMPUTED_VALUE"""),"WR")</f>
        <v>WR</v>
      </c>
      <c r="G4474">
        <f>IFERROR(__xludf.DUMMYFUNCTION("""COMPUTED_VALUE"""),13.200000000000001)</f>
        <v>13.2</v>
      </c>
    </row>
    <row r="4475">
      <c r="D4475" t="str">
        <f>IFERROR(__xludf.DUMMYFUNCTION("""COMPUTED_VALUE"""),"Turner")</f>
        <v>Turner</v>
      </c>
      <c r="E4475" t="str">
        <f>IFERROR(__xludf.DUMMYFUNCTION("""COMPUTED_VALUE"""),"Trai")</f>
        <v>Trai</v>
      </c>
      <c r="F4475" t="str">
        <f>IFERROR(__xludf.DUMMYFUNCTION("""COMPUTED_VALUE"""),"RG")</f>
        <v>RG</v>
      </c>
      <c r="G4475">
        <f>IFERROR(__xludf.DUMMYFUNCTION("""COMPUTED_VALUE"""),15.4)</f>
        <v>15.4</v>
      </c>
    </row>
    <row r="4476">
      <c r="D4476" t="str">
        <f>IFERROR(__xludf.DUMMYFUNCTION("""COMPUTED_VALUE"""),"Tye")</f>
        <v>Tye</v>
      </c>
      <c r="E4476" t="str">
        <f>IFERROR(__xludf.DUMMYFUNCTION("""COMPUTED_VALUE"""),"Will")</f>
        <v>Will</v>
      </c>
      <c r="F4476" t="str">
        <f>IFERROR(__xludf.DUMMYFUNCTION("""COMPUTED_VALUE"""),"TE")</f>
        <v>TE</v>
      </c>
      <c r="G4476">
        <f>IFERROR(__xludf.DUMMYFUNCTION("""COMPUTED_VALUE"""),15.0)</f>
        <v>15</v>
      </c>
    </row>
    <row r="4477">
      <c r="D4477" t="str">
        <f>IFERROR(__xludf.DUMMYFUNCTION("""COMPUTED_VALUE"""),"Tyson")</f>
        <v>Tyson</v>
      </c>
      <c r="E4477" t="str">
        <f>IFERROR(__xludf.DUMMYFUNCTION("""COMPUTED_VALUE"""),"Michael")</f>
        <v>Michael</v>
      </c>
      <c r="F4477" t="str">
        <f>IFERROR(__xludf.DUMMYFUNCTION("""COMPUTED_VALUE"""),"SS")</f>
        <v>SS</v>
      </c>
      <c r="G4477">
        <f>IFERROR(__xludf.DUMMYFUNCTION("""COMPUTED_VALUE"""),13.0)</f>
        <v>13</v>
      </c>
    </row>
    <row r="4478">
      <c r="D4478" t="str">
        <f>IFERROR(__xludf.DUMMYFUNCTION("""COMPUTED_VALUE"""),"Ugokwe")</f>
        <v>Ugokwe</v>
      </c>
      <c r="E4478" t="str">
        <f>IFERROR(__xludf.DUMMYFUNCTION("""COMPUTED_VALUE"""),"Jerry")</f>
        <v>Jerry</v>
      </c>
      <c r="F4478" t="str">
        <f>IFERROR(__xludf.DUMMYFUNCTION("""COMPUTED_VALUE"""),"RT")</f>
        <v>RT</v>
      </c>
      <c r="G4478">
        <f>IFERROR(__xludf.DUMMYFUNCTION("""COMPUTED_VALUE"""),12.4)</f>
        <v>12.4</v>
      </c>
    </row>
    <row r="4479">
      <c r="D4479" t="str">
        <f>IFERROR(__xludf.DUMMYFUNCTION("""COMPUTED_VALUE"""),"Unger")</f>
        <v>Unger</v>
      </c>
      <c r="E4479" t="str">
        <f>IFERROR(__xludf.DUMMYFUNCTION("""COMPUTED_VALUE"""),"Max")</f>
        <v>Max</v>
      </c>
      <c r="F4479" t="str">
        <f>IFERROR(__xludf.DUMMYFUNCTION("""COMPUTED_VALUE"""),"C")</f>
        <v>C</v>
      </c>
      <c r="G4479">
        <f>IFERROR(__xludf.DUMMYFUNCTION("""COMPUTED_VALUE"""),16.8)</f>
        <v>16.8</v>
      </c>
    </row>
    <row r="4480">
      <c r="D4480" t="str">
        <f>IFERROR(__xludf.DUMMYFUNCTION("""COMPUTED_VALUE"""),"Unrein")</f>
        <v>Unrein</v>
      </c>
      <c r="E4480" t="str">
        <f>IFERROR(__xludf.DUMMYFUNCTION("""COMPUTED_VALUE"""),"Mitch")</f>
        <v>Mitch</v>
      </c>
      <c r="F4480" t="str">
        <f>IFERROR(__xludf.DUMMYFUNCTION("""COMPUTED_VALUE"""),"RE")</f>
        <v>RE</v>
      </c>
      <c r="G4480">
        <f>IFERROR(__xludf.DUMMYFUNCTION("""COMPUTED_VALUE"""),14.200000000000001)</f>
        <v>14.2</v>
      </c>
    </row>
    <row r="4481">
      <c r="D4481" t="str">
        <f>IFERROR(__xludf.DUMMYFUNCTION("""COMPUTED_VALUE"""),"Upshaw")</f>
        <v>Upshaw</v>
      </c>
      <c r="E4481" t="str">
        <f>IFERROR(__xludf.DUMMYFUNCTION("""COMPUTED_VALUE"""),"Courtney")</f>
        <v>Courtney</v>
      </c>
      <c r="F4481" t="str">
        <f>IFERROR(__xludf.DUMMYFUNCTION("""COMPUTED_VALUE"""),"DT")</f>
        <v>DT</v>
      </c>
      <c r="G4481">
        <f>IFERROR(__xludf.DUMMYFUNCTION("""COMPUTED_VALUE"""),14.600000000000001)</f>
        <v>14.6</v>
      </c>
    </row>
    <row r="4482">
      <c r="D4482" t="str">
        <f>IFERROR(__xludf.DUMMYFUNCTION("""COMPUTED_VALUE"""),"Urban")</f>
        <v>Urban</v>
      </c>
      <c r="E4482" t="str">
        <f>IFERROR(__xludf.DUMMYFUNCTION("""COMPUTED_VALUE"""),"Brent")</f>
        <v>Brent</v>
      </c>
      <c r="F4482" t="str">
        <f>IFERROR(__xludf.DUMMYFUNCTION("""COMPUTED_VALUE"""),"RE")</f>
        <v>RE</v>
      </c>
      <c r="G4482">
        <f>IFERROR(__xludf.DUMMYFUNCTION("""COMPUTED_VALUE"""),13.8)</f>
        <v>13.8</v>
      </c>
    </row>
    <row r="4483">
      <c r="D4483" t="str">
        <f>IFERROR(__xludf.DUMMYFUNCTION("""COMPUTED_VALUE"""),"Urbik")</f>
        <v>Urbik</v>
      </c>
      <c r="E4483" t="str">
        <f>IFERROR(__xludf.DUMMYFUNCTION("""COMPUTED_VALUE"""),"Kraig")</f>
        <v>Kraig</v>
      </c>
      <c r="F4483" t="str">
        <f>IFERROR(__xludf.DUMMYFUNCTION("""COMPUTED_VALUE"""),"RG")</f>
        <v>RG</v>
      </c>
      <c r="G4483">
        <f>IFERROR(__xludf.DUMMYFUNCTION("""COMPUTED_VALUE"""),13.8)</f>
        <v>13.8</v>
      </c>
    </row>
    <row r="4484">
      <c r="D4484" t="str">
        <f>IFERROR(__xludf.DUMMYFUNCTION("""COMPUTED_VALUE"""),"Urschel")</f>
        <v>Urschel</v>
      </c>
      <c r="E4484" t="str">
        <f>IFERROR(__xludf.DUMMYFUNCTION("""COMPUTED_VALUE"""),"John")</f>
        <v>John</v>
      </c>
      <c r="F4484" t="str">
        <f>IFERROR(__xludf.DUMMYFUNCTION("""COMPUTED_VALUE"""),"C")</f>
        <v>C</v>
      </c>
      <c r="G4484">
        <f>IFERROR(__xludf.DUMMYFUNCTION("""COMPUTED_VALUE"""),14.4)</f>
        <v>14.4</v>
      </c>
    </row>
    <row r="4485">
      <c r="D4485" t="str">
        <f>IFERROR(__xludf.DUMMYFUNCTION("""COMPUTED_VALUE"""),"Uzomah")</f>
        <v>Uzomah</v>
      </c>
      <c r="E4485" t="str">
        <f>IFERROR(__xludf.DUMMYFUNCTION("""COMPUTED_VALUE"""),"CJ")</f>
        <v>CJ</v>
      </c>
      <c r="F4485" t="str">
        <f>IFERROR(__xludf.DUMMYFUNCTION("""COMPUTED_VALUE"""),"TE")</f>
        <v>TE</v>
      </c>
      <c r="G4485">
        <f>IFERROR(__xludf.DUMMYFUNCTION("""COMPUTED_VALUE"""),13.8)</f>
        <v>13.8</v>
      </c>
    </row>
    <row r="4486">
      <c r="D4486" t="str">
        <f>IFERROR(__xludf.DUMMYFUNCTION("""COMPUTED_VALUE"""),"Vaccaro")</f>
        <v>Vaccaro</v>
      </c>
      <c r="E4486" t="str">
        <f>IFERROR(__xludf.DUMMYFUNCTION("""COMPUTED_VALUE"""),"Kenny")</f>
        <v>Kenny</v>
      </c>
      <c r="F4486" t="str">
        <f>IFERROR(__xludf.DUMMYFUNCTION("""COMPUTED_VALUE"""),"SS")</f>
        <v>SS</v>
      </c>
      <c r="G4486">
        <f>IFERROR(__xludf.DUMMYFUNCTION("""COMPUTED_VALUE"""),16.400000000000002)</f>
        <v>16.4</v>
      </c>
    </row>
    <row r="4487">
      <c r="D4487" t="str">
        <f>IFERROR(__xludf.DUMMYFUNCTION("""COMPUTED_VALUE"""),"Vaeao")</f>
        <v>Vaeao</v>
      </c>
      <c r="E4487" t="str">
        <f>IFERROR(__xludf.DUMMYFUNCTION("""COMPUTED_VALUE"""),"Destiny")</f>
        <v>Destiny</v>
      </c>
      <c r="F4487" t="str">
        <f>IFERROR(__xludf.DUMMYFUNCTION("""COMPUTED_VALUE"""),"DT")</f>
        <v>DT</v>
      </c>
      <c r="G4487">
        <f>IFERROR(__xludf.DUMMYFUNCTION("""COMPUTED_VALUE"""),12.8)</f>
        <v>12.8</v>
      </c>
    </row>
    <row r="4488">
      <c r="D4488" t="str">
        <f>IFERROR(__xludf.DUMMYFUNCTION("""COMPUTED_VALUE"""),"Vaitai")</f>
        <v>Vaitai</v>
      </c>
      <c r="E4488" t="str">
        <f>IFERROR(__xludf.DUMMYFUNCTION("""COMPUTED_VALUE"""),"Hal")</f>
        <v>Hal</v>
      </c>
      <c r="F4488" t="str">
        <f>IFERROR(__xludf.DUMMYFUNCTION("""COMPUTED_VALUE"""),"RT")</f>
        <v>RT</v>
      </c>
      <c r="G4488">
        <f>IFERROR(__xludf.DUMMYFUNCTION("""COMPUTED_VALUE"""),14.0)</f>
        <v>14</v>
      </c>
    </row>
    <row r="4489">
      <c r="D4489" t="str">
        <f>IFERROR(__xludf.DUMMYFUNCTION("""COMPUTED_VALUE"""),"Valentine")</f>
        <v>Valentine</v>
      </c>
      <c r="E4489" t="str">
        <f>IFERROR(__xludf.DUMMYFUNCTION("""COMPUTED_VALUE"""),"Vincent")</f>
        <v>Vincent</v>
      </c>
      <c r="F4489" t="str">
        <f>IFERROR(__xludf.DUMMYFUNCTION("""COMPUTED_VALUE"""),"DT")</f>
        <v>DT</v>
      </c>
      <c r="G4489">
        <f>IFERROR(__xludf.DUMMYFUNCTION("""COMPUTED_VALUE"""),14.0)</f>
        <v>14</v>
      </c>
    </row>
    <row r="4490">
      <c r="D4490" t="str">
        <f>IFERROR(__xludf.DUMMYFUNCTION("""COMPUTED_VALUE"""),"Vallejo")</f>
        <v>Vallejo</v>
      </c>
      <c r="E4490" t="str">
        <f>IFERROR(__xludf.DUMMYFUNCTION("""COMPUTED_VALUE"""),"Tanner")</f>
        <v>Tanner</v>
      </c>
      <c r="F4490" t="str">
        <f>IFERROR(__xludf.DUMMYFUNCTION("""COMPUTED_VALUE"""),"LOLB")</f>
        <v>LOLB</v>
      </c>
      <c r="G4490">
        <f>IFERROR(__xludf.DUMMYFUNCTION("""COMPUTED_VALUE"""),12.600000000000001)</f>
        <v>12.6</v>
      </c>
    </row>
    <row r="4491">
      <c r="D4491" t="str">
        <f>IFERROR(__xludf.DUMMYFUNCTION("""COMPUTED_VALUE"""),"Valles")</f>
        <v>Valles</v>
      </c>
      <c r="E4491" t="str">
        <f>IFERROR(__xludf.DUMMYFUNCTION("""COMPUTED_VALUE"""),"Hakeem")</f>
        <v>Hakeem</v>
      </c>
      <c r="F4491" t="str">
        <f>IFERROR(__xludf.DUMMYFUNCTION("""COMPUTED_VALUE"""),"TE")</f>
        <v>TE</v>
      </c>
      <c r="G4491">
        <f>IFERROR(__xludf.DUMMYFUNCTION("""COMPUTED_VALUE"""),12.600000000000001)</f>
        <v>12.6</v>
      </c>
    </row>
    <row r="4492">
      <c r="D4492" t="str">
        <f>IFERROR(__xludf.DUMMYFUNCTION("""COMPUTED_VALUE"""),"Valles")</f>
        <v>Valles</v>
      </c>
      <c r="E4492" t="str">
        <f>IFERROR(__xludf.DUMMYFUNCTION("""COMPUTED_VALUE"""),"Max")</f>
        <v>Max</v>
      </c>
      <c r="F4492" t="str">
        <f>IFERROR(__xludf.DUMMYFUNCTION("""COMPUTED_VALUE"""),"LE")</f>
        <v>LE</v>
      </c>
      <c r="G4492">
        <f>IFERROR(__xludf.DUMMYFUNCTION("""COMPUTED_VALUE"""),12.600000000000001)</f>
        <v>12.6</v>
      </c>
    </row>
    <row r="4493">
      <c r="D4493" t="str">
        <f>IFERROR(__xludf.DUMMYFUNCTION("""COMPUTED_VALUE"""),"Van Noy")</f>
        <v>Van Noy</v>
      </c>
      <c r="E4493" t="str">
        <f>IFERROR(__xludf.DUMMYFUNCTION("""COMPUTED_VALUE"""),"Kyle")</f>
        <v>Kyle</v>
      </c>
      <c r="F4493" t="str">
        <f>IFERROR(__xludf.DUMMYFUNCTION("""COMPUTED_VALUE"""),"MLB")</f>
        <v>MLB</v>
      </c>
      <c r="G4493">
        <f>IFERROR(__xludf.DUMMYFUNCTION("""COMPUTED_VALUE"""),14.200000000000001)</f>
        <v>14.2</v>
      </c>
    </row>
    <row r="4494">
      <c r="D4494" t="str">
        <f>IFERROR(__xludf.DUMMYFUNCTION("""COMPUTED_VALUE"""),"Vanderdoes")</f>
        <v>Vanderdoes</v>
      </c>
      <c r="E4494" t="str">
        <f>IFERROR(__xludf.DUMMYFUNCTION("""COMPUTED_VALUE"""),"Eddie")</f>
        <v>Eddie</v>
      </c>
      <c r="F4494" t="str">
        <f>IFERROR(__xludf.DUMMYFUNCTION("""COMPUTED_VALUE"""),"LE")</f>
        <v>LE</v>
      </c>
      <c r="G4494">
        <f>IFERROR(__xludf.DUMMYFUNCTION("""COMPUTED_VALUE"""),13.8)</f>
        <v>13.8</v>
      </c>
    </row>
    <row r="4495">
      <c r="D4495" t="str">
        <f>IFERROR(__xludf.DUMMYFUNCTION("""COMPUTED_VALUE"""),"Vannett")</f>
        <v>Vannett</v>
      </c>
      <c r="E4495" t="str">
        <f>IFERROR(__xludf.DUMMYFUNCTION("""COMPUTED_VALUE"""),"Nick")</f>
        <v>Nick</v>
      </c>
      <c r="F4495" t="str">
        <f>IFERROR(__xludf.DUMMYFUNCTION("""COMPUTED_VALUE"""),"TE")</f>
        <v>TE</v>
      </c>
      <c r="G4495">
        <f>IFERROR(__xludf.DUMMYFUNCTION("""COMPUTED_VALUE"""),14.0)</f>
        <v>14</v>
      </c>
    </row>
    <row r="4496">
      <c r="D4496" t="str">
        <f>IFERROR(__xludf.DUMMYFUNCTION("""COMPUTED_VALUE"""),"Vaughan")</f>
        <v>Vaughan</v>
      </c>
      <c r="E4496" t="str">
        <f>IFERROR(__xludf.DUMMYFUNCTION("""COMPUTED_VALUE"""),"Dustin")</f>
        <v>Dustin</v>
      </c>
      <c r="F4496" t="str">
        <f>IFERROR(__xludf.DUMMYFUNCTION("""COMPUTED_VALUE"""),"QB")</f>
        <v>QB</v>
      </c>
      <c r="G4496">
        <f>IFERROR(__xludf.DUMMYFUNCTION("""COMPUTED_VALUE"""),12.0)</f>
        <v>12</v>
      </c>
    </row>
    <row r="4497">
      <c r="D4497" t="str">
        <f>IFERROR(__xludf.DUMMYFUNCTION("""COMPUTED_VALUE"""),"Veldheer")</f>
        <v>Veldheer</v>
      </c>
      <c r="E4497" t="str">
        <f>IFERROR(__xludf.DUMMYFUNCTION("""COMPUTED_VALUE"""),"Jared")</f>
        <v>Jared</v>
      </c>
      <c r="F4497" t="str">
        <f>IFERROR(__xludf.DUMMYFUNCTION("""COMPUTED_VALUE"""),"RT")</f>
        <v>RT</v>
      </c>
      <c r="G4497">
        <f>IFERROR(__xludf.DUMMYFUNCTION("""COMPUTED_VALUE"""),16.8)</f>
        <v>16.8</v>
      </c>
    </row>
    <row r="4498">
      <c r="D4498" t="str">
        <f>IFERROR(__xludf.DUMMYFUNCTION("""COMPUTED_VALUE"""),"Vellano")</f>
        <v>Vellano</v>
      </c>
      <c r="E4498" t="str">
        <f>IFERROR(__xludf.DUMMYFUNCTION("""COMPUTED_VALUE"""),"Joe")</f>
        <v>Joe</v>
      </c>
      <c r="F4498" t="str">
        <f>IFERROR(__xludf.DUMMYFUNCTION("""COMPUTED_VALUE"""),"DT")</f>
        <v>DT</v>
      </c>
      <c r="G4498">
        <f>IFERROR(__xludf.DUMMYFUNCTION("""COMPUTED_VALUE"""),13.600000000000001)</f>
        <v>13.6</v>
      </c>
    </row>
    <row r="4499">
      <c r="D4499" t="str">
        <f>IFERROR(__xludf.DUMMYFUNCTION("""COMPUTED_VALUE"""),"Vereen")</f>
        <v>Vereen</v>
      </c>
      <c r="E4499" t="str">
        <f>IFERROR(__xludf.DUMMYFUNCTION("""COMPUTED_VALUE"""),"Shane")</f>
        <v>Shane</v>
      </c>
      <c r="F4499" t="str">
        <f>IFERROR(__xludf.DUMMYFUNCTION("""COMPUTED_VALUE"""),"HB")</f>
        <v>HB</v>
      </c>
      <c r="G4499">
        <f>IFERROR(__xludf.DUMMYFUNCTION("""COMPUTED_VALUE"""),16.400000000000002)</f>
        <v>16.4</v>
      </c>
    </row>
    <row r="4500">
      <c r="D4500" t="str">
        <f>IFERROR(__xludf.DUMMYFUNCTION("""COMPUTED_VALUE"""),"Vernon")</f>
        <v>Vernon</v>
      </c>
      <c r="E4500" t="str">
        <f>IFERROR(__xludf.DUMMYFUNCTION("""COMPUTED_VALUE"""),"Olivier")</f>
        <v>Olivier</v>
      </c>
      <c r="F4500" t="str">
        <f>IFERROR(__xludf.DUMMYFUNCTION("""COMPUTED_VALUE"""),"RE")</f>
        <v>RE</v>
      </c>
      <c r="G4500">
        <f>IFERROR(__xludf.DUMMYFUNCTION("""COMPUTED_VALUE"""),17.6)</f>
        <v>17.6</v>
      </c>
    </row>
    <row r="4501">
      <c r="D4501" t="str">
        <f>IFERROR(__xludf.DUMMYFUNCTION("""COMPUTED_VALUE"""),"Verrett")</f>
        <v>Verrett</v>
      </c>
      <c r="E4501" t="str">
        <f>IFERROR(__xludf.DUMMYFUNCTION("""COMPUTED_VALUE"""),"Jason")</f>
        <v>Jason</v>
      </c>
      <c r="F4501" t="str">
        <f>IFERROR(__xludf.DUMMYFUNCTION("""COMPUTED_VALUE"""),"CB")</f>
        <v>CB</v>
      </c>
      <c r="G4501">
        <f>IFERROR(__xludf.DUMMYFUNCTION("""COMPUTED_VALUE"""),17.2)</f>
        <v>17.2</v>
      </c>
    </row>
    <row r="4502">
      <c r="D4502" t="str">
        <f>IFERROR(__xludf.DUMMYFUNCTION("""COMPUTED_VALUE"""),"Vigil")</f>
        <v>Vigil</v>
      </c>
      <c r="E4502" t="str">
        <f>IFERROR(__xludf.DUMMYFUNCTION("""COMPUTED_VALUE"""),"Nick")</f>
        <v>Nick</v>
      </c>
      <c r="F4502" t="str">
        <f>IFERROR(__xludf.DUMMYFUNCTION("""COMPUTED_VALUE"""),"ROLB")</f>
        <v>ROLB</v>
      </c>
      <c r="G4502">
        <f>IFERROR(__xludf.DUMMYFUNCTION("""COMPUTED_VALUE"""),13.4)</f>
        <v>13.4</v>
      </c>
    </row>
    <row r="4503">
      <c r="D4503" t="str">
        <f>IFERROR(__xludf.DUMMYFUNCTION("""COMPUTED_VALUE"""),"Vigil")</f>
        <v>Vigil</v>
      </c>
      <c r="E4503" t="str">
        <f>IFERROR(__xludf.DUMMYFUNCTION("""COMPUTED_VALUE"""),"Zach")</f>
        <v>Zach</v>
      </c>
      <c r="F4503" t="str">
        <f>IFERROR(__xludf.DUMMYFUNCTION("""COMPUTED_VALUE"""),"LOLB")</f>
        <v>LOLB</v>
      </c>
      <c r="G4503">
        <f>IFERROR(__xludf.DUMMYFUNCTION("""COMPUTED_VALUE"""),12.4)</f>
        <v>12.4</v>
      </c>
    </row>
    <row r="4504">
      <c r="D4504" t="str">
        <f>IFERROR(__xludf.DUMMYFUNCTION("""COMPUTED_VALUE"""),"Villanueva")</f>
        <v>Villanueva</v>
      </c>
      <c r="E4504" t="str">
        <f>IFERROR(__xludf.DUMMYFUNCTION("""COMPUTED_VALUE"""),"Alejandro")</f>
        <v>Alejandro</v>
      </c>
      <c r="F4504" t="str">
        <f>IFERROR(__xludf.DUMMYFUNCTION("""COMPUTED_VALUE"""),"LT")</f>
        <v>LT</v>
      </c>
      <c r="G4504">
        <f>IFERROR(__xludf.DUMMYFUNCTION("""COMPUTED_VALUE"""),16.2)</f>
        <v>16.2</v>
      </c>
    </row>
    <row r="4505">
      <c r="D4505" t="str">
        <f>IFERROR(__xludf.DUMMYFUNCTION("""COMPUTED_VALUE"""),"Vinatieri")</f>
        <v>Vinatieri</v>
      </c>
      <c r="E4505" t="str">
        <f>IFERROR(__xludf.DUMMYFUNCTION("""COMPUTED_VALUE"""),"Adam")</f>
        <v>Adam</v>
      </c>
      <c r="F4505" t="str">
        <f>IFERROR(__xludf.DUMMYFUNCTION("""COMPUTED_VALUE"""),"K")</f>
        <v>K</v>
      </c>
      <c r="G4505">
        <f>IFERROR(__xludf.DUMMYFUNCTION("""COMPUTED_VALUE"""),16.8)</f>
        <v>16.8</v>
      </c>
    </row>
    <row r="4506">
      <c r="D4506" t="str">
        <f>IFERROR(__xludf.DUMMYFUNCTION("""COMPUTED_VALUE"""),"Virgin")</f>
        <v>Virgin</v>
      </c>
      <c r="E4506" t="str">
        <f>IFERROR(__xludf.DUMMYFUNCTION("""COMPUTED_VALUE"""),"Dee")</f>
        <v>Dee</v>
      </c>
      <c r="F4506" t="str">
        <f>IFERROR(__xludf.DUMMYFUNCTION("""COMPUTED_VALUE"""),"CB")</f>
        <v>CB</v>
      </c>
      <c r="G4506">
        <f>IFERROR(__xludf.DUMMYFUNCTION("""COMPUTED_VALUE"""),12.4)</f>
        <v>12.4</v>
      </c>
    </row>
    <row r="4507">
      <c r="D4507" t="str">
        <f>IFERROR(__xludf.DUMMYFUNCTION("""COMPUTED_VALUE"""),"Vitale")</f>
        <v>Vitale</v>
      </c>
      <c r="E4507" t="str">
        <f>IFERROR(__xludf.DUMMYFUNCTION("""COMPUTED_VALUE"""),"Danny")</f>
        <v>Danny</v>
      </c>
      <c r="F4507" t="str">
        <f>IFERROR(__xludf.DUMMYFUNCTION("""COMPUTED_VALUE"""),"FB")</f>
        <v>FB</v>
      </c>
      <c r="G4507">
        <f>IFERROR(__xludf.DUMMYFUNCTION("""COMPUTED_VALUE"""),14.0)</f>
        <v>14</v>
      </c>
    </row>
    <row r="4508">
      <c r="D4508" t="str">
        <f>IFERROR(__xludf.DUMMYFUNCTION("""COMPUTED_VALUE"""),"Vogel")</f>
        <v>Vogel</v>
      </c>
      <c r="E4508" t="str">
        <f>IFERROR(__xludf.DUMMYFUNCTION("""COMPUTED_VALUE"""),"Justin")</f>
        <v>Justin</v>
      </c>
      <c r="F4508" t="str">
        <f>IFERROR(__xludf.DUMMYFUNCTION("""COMPUTED_VALUE"""),"P")</f>
        <v>P</v>
      </c>
      <c r="G4508">
        <f>IFERROR(__xludf.DUMMYFUNCTION("""COMPUTED_VALUE"""),15.0)</f>
        <v>15</v>
      </c>
    </row>
    <row r="4509">
      <c r="D4509" t="str">
        <f>IFERROR(__xludf.DUMMYFUNCTION("""COMPUTED_VALUE"""),"Vujnovich")</f>
        <v>Vujnovich</v>
      </c>
      <c r="E4509" t="str">
        <f>IFERROR(__xludf.DUMMYFUNCTION("""COMPUTED_VALUE"""),"Jeremy")</f>
        <v>Jeremy</v>
      </c>
      <c r="F4509" t="str">
        <f>IFERROR(__xludf.DUMMYFUNCTION("""COMPUTED_VALUE"""),"RT")</f>
        <v>RT</v>
      </c>
      <c r="G4509">
        <f>IFERROR(__xludf.DUMMYFUNCTION("""COMPUTED_VALUE"""),12.8)</f>
        <v>12.8</v>
      </c>
    </row>
    <row r="4510">
      <c r="D4510" t="str">
        <f>IFERROR(__xludf.DUMMYFUNCTION("""COMPUTED_VALUE"""),"Waddle")</f>
        <v>Waddle</v>
      </c>
      <c r="E4510" t="str">
        <f>IFERROR(__xludf.DUMMYFUNCTION("""COMPUTED_VALUE"""),"LaAdrian")</f>
        <v>LaAdrian</v>
      </c>
      <c r="F4510" t="str">
        <f>IFERROR(__xludf.DUMMYFUNCTION("""COMPUTED_VALUE"""),"LT")</f>
        <v>LT</v>
      </c>
      <c r="G4510">
        <f>IFERROR(__xludf.DUMMYFUNCTION("""COMPUTED_VALUE"""),13.600000000000001)</f>
        <v>13.6</v>
      </c>
    </row>
    <row r="4511">
      <c r="D4511" t="str">
        <f>IFERROR(__xludf.DUMMYFUNCTION("""COMPUTED_VALUE"""),"Wagner")</f>
        <v>Wagner</v>
      </c>
      <c r="E4511" t="str">
        <f>IFERROR(__xludf.DUMMYFUNCTION("""COMPUTED_VALUE"""),"Bobby")</f>
        <v>Bobby</v>
      </c>
      <c r="F4511" t="str">
        <f>IFERROR(__xludf.DUMMYFUNCTION("""COMPUTED_VALUE"""),"MLB")</f>
        <v>MLB</v>
      </c>
      <c r="G4511">
        <f>IFERROR(__xludf.DUMMYFUNCTION("""COMPUTED_VALUE"""),18.6)</f>
        <v>18.6</v>
      </c>
    </row>
    <row r="4512">
      <c r="D4512" t="str">
        <f>IFERROR(__xludf.DUMMYFUNCTION("""COMPUTED_VALUE"""),"Wagner")</f>
        <v>Wagner</v>
      </c>
      <c r="E4512" t="str">
        <f>IFERROR(__xludf.DUMMYFUNCTION("""COMPUTED_VALUE"""),"Rick")</f>
        <v>Rick</v>
      </c>
      <c r="F4512" t="str">
        <f>IFERROR(__xludf.DUMMYFUNCTION("""COMPUTED_VALUE"""),"RT")</f>
        <v>RT</v>
      </c>
      <c r="G4512">
        <f>IFERROR(__xludf.DUMMYFUNCTION("""COMPUTED_VALUE"""),16.6)</f>
        <v>16.6</v>
      </c>
    </row>
    <row r="4513">
      <c r="D4513" t="str">
        <f>IFERROR(__xludf.DUMMYFUNCTION("""COMPUTED_VALUE"""),"Wake")</f>
        <v>Wake</v>
      </c>
      <c r="E4513" t="str">
        <f>IFERROR(__xludf.DUMMYFUNCTION("""COMPUTED_VALUE"""),"Cameron")</f>
        <v>Cameron</v>
      </c>
      <c r="F4513" t="str">
        <f>IFERROR(__xludf.DUMMYFUNCTION("""COMPUTED_VALUE"""),"LE")</f>
        <v>LE</v>
      </c>
      <c r="G4513">
        <f>IFERROR(__xludf.DUMMYFUNCTION("""COMPUTED_VALUE"""),17.8)</f>
        <v>17.8</v>
      </c>
    </row>
    <row r="4514">
      <c r="D4514" t="str">
        <f>IFERROR(__xludf.DUMMYFUNCTION("""COMPUTED_VALUE"""),"Walford")</f>
        <v>Walford</v>
      </c>
      <c r="E4514" t="str">
        <f>IFERROR(__xludf.DUMMYFUNCTION("""COMPUTED_VALUE"""),"Clive")</f>
        <v>Clive</v>
      </c>
      <c r="F4514" t="str">
        <f>IFERROR(__xludf.DUMMYFUNCTION("""COMPUTED_VALUE"""),"TE")</f>
        <v>TE</v>
      </c>
      <c r="G4514">
        <f>IFERROR(__xludf.DUMMYFUNCTION("""COMPUTED_VALUE"""),15.0)</f>
        <v>15</v>
      </c>
    </row>
    <row r="4515">
      <c r="D4515" t="str">
        <f>IFERROR(__xludf.DUMMYFUNCTION("""COMPUTED_VALUE"""),"Walker")</f>
        <v>Walker</v>
      </c>
      <c r="E4515" t="str">
        <f>IFERROR(__xludf.DUMMYFUNCTION("""COMPUTED_VALUE"""),"Delanie")</f>
        <v>Delanie</v>
      </c>
      <c r="F4515" t="str">
        <f>IFERROR(__xludf.DUMMYFUNCTION("""COMPUTED_VALUE"""),"TE")</f>
        <v>TE</v>
      </c>
      <c r="G4515">
        <f>IFERROR(__xludf.DUMMYFUNCTION("""COMPUTED_VALUE"""),18.6)</f>
        <v>18.6</v>
      </c>
    </row>
    <row r="4516">
      <c r="D4516" t="str">
        <f>IFERROR(__xludf.DUMMYFUNCTION("""COMPUTED_VALUE"""),"Walker")</f>
        <v>Walker</v>
      </c>
      <c r="E4516" t="str">
        <f>IFERROR(__xludf.DUMMYFUNCTION("""COMPUTED_VALUE"""),"DeMarcus")</f>
        <v>DeMarcus</v>
      </c>
      <c r="F4516" t="str">
        <f>IFERROR(__xludf.DUMMYFUNCTION("""COMPUTED_VALUE"""),"LE")</f>
        <v>LE</v>
      </c>
      <c r="G4516">
        <f>IFERROR(__xludf.DUMMYFUNCTION("""COMPUTED_VALUE"""),14.0)</f>
        <v>14</v>
      </c>
    </row>
    <row r="4517">
      <c r="D4517" t="str">
        <f>IFERROR(__xludf.DUMMYFUNCTION("""COMPUTED_VALUE"""),"Walker")</f>
        <v>Walker</v>
      </c>
      <c r="E4517" t="str">
        <f>IFERROR(__xludf.DUMMYFUNCTION("""COMPUTED_VALUE"""),"Joe")</f>
        <v>Joe</v>
      </c>
      <c r="F4517" t="str">
        <f>IFERROR(__xludf.DUMMYFUNCTION("""COMPUTED_VALUE"""),"MLB")</f>
        <v>MLB</v>
      </c>
      <c r="G4517">
        <f>IFERROR(__xludf.DUMMYFUNCTION("""COMPUTED_VALUE"""),12.0)</f>
        <v>12</v>
      </c>
    </row>
    <row r="4518">
      <c r="D4518" t="str">
        <f>IFERROR(__xludf.DUMMYFUNCTION("""COMPUTED_VALUE"""),"Walker")</f>
        <v>Walker</v>
      </c>
      <c r="E4518" t="str">
        <f>IFERROR(__xludf.DUMMYFUNCTION("""COMPUTED_VALUE"""),"Josh")</f>
        <v>Josh</v>
      </c>
      <c r="F4518" t="str">
        <f>IFERROR(__xludf.DUMMYFUNCTION("""COMPUTED_VALUE"""),"RG")</f>
        <v>RG</v>
      </c>
      <c r="G4518">
        <f>IFERROR(__xludf.DUMMYFUNCTION("""COMPUTED_VALUE"""),12.4)</f>
        <v>12.4</v>
      </c>
    </row>
    <row r="4519">
      <c r="D4519" t="str">
        <f>IFERROR(__xludf.DUMMYFUNCTION("""COMPUTED_VALUE"""),"Walker Jr")</f>
        <v>Walker Jr</v>
      </c>
      <c r="E4519" t="str">
        <f>IFERROR(__xludf.DUMMYFUNCTION("""COMPUTED_VALUE"""),"Anthony")</f>
        <v>Anthony</v>
      </c>
      <c r="F4519" t="str">
        <f>IFERROR(__xludf.DUMMYFUNCTION("""COMPUTED_VALUE"""),"MLB")</f>
        <v>MLB</v>
      </c>
      <c r="G4519">
        <f>IFERROR(__xludf.DUMMYFUNCTION("""COMPUTED_VALUE"""),13.200000000000001)</f>
        <v>13.2</v>
      </c>
    </row>
    <row r="4520">
      <c r="D4520" t="str">
        <f>IFERROR(__xludf.DUMMYFUNCTION("""COMPUTED_VALUE"""),"Wallace")</f>
        <v>Wallace</v>
      </c>
      <c r="E4520" t="str">
        <f>IFERROR(__xludf.DUMMYFUNCTION("""COMPUTED_VALUE"""),"Aaron")</f>
        <v>Aaron</v>
      </c>
      <c r="F4520" t="str">
        <f>IFERROR(__xludf.DUMMYFUNCTION("""COMPUTED_VALUE"""),"LOLB")</f>
        <v>LOLB</v>
      </c>
      <c r="G4520">
        <f>IFERROR(__xludf.DUMMYFUNCTION("""COMPUTED_VALUE"""),12.8)</f>
        <v>12.8</v>
      </c>
    </row>
    <row r="4521">
      <c r="D4521" t="str">
        <f>IFERROR(__xludf.DUMMYFUNCTION("""COMPUTED_VALUE"""),"Wallace")</f>
        <v>Wallace</v>
      </c>
      <c r="E4521" t="str">
        <f>IFERROR(__xludf.DUMMYFUNCTION("""COMPUTED_VALUE"""),"Mike")</f>
        <v>Mike</v>
      </c>
      <c r="F4521" t="str">
        <f>IFERROR(__xludf.DUMMYFUNCTION("""COMPUTED_VALUE"""),"WR")</f>
        <v>WR</v>
      </c>
      <c r="G4521">
        <f>IFERROR(__xludf.DUMMYFUNCTION("""COMPUTED_VALUE"""),16.400000000000002)</f>
        <v>16.4</v>
      </c>
    </row>
    <row r="4522">
      <c r="D4522" t="str">
        <f>IFERROR(__xludf.DUMMYFUNCTION("""COMPUTED_VALUE"""),"Waller")</f>
        <v>Waller</v>
      </c>
      <c r="E4522" t="str">
        <f>IFERROR(__xludf.DUMMYFUNCTION("""COMPUTED_VALUE"""),"Darren")</f>
        <v>Darren</v>
      </c>
      <c r="F4522" t="str">
        <f>IFERROR(__xludf.DUMMYFUNCTION("""COMPUTED_VALUE"""),"TE")</f>
        <v>TE</v>
      </c>
      <c r="G4522">
        <f>IFERROR(__xludf.DUMMYFUNCTION("""COMPUTED_VALUE"""),13.600000000000001)</f>
        <v>13.6</v>
      </c>
    </row>
    <row r="4523">
      <c r="D4523" t="str">
        <f>IFERROR(__xludf.DUMMYFUNCTION("""COMPUTED_VALUE"""),"Walsh")</f>
        <v>Walsh</v>
      </c>
      <c r="E4523" t="str">
        <f>IFERROR(__xludf.DUMMYFUNCTION("""COMPUTED_VALUE"""),"Blair")</f>
        <v>Blair</v>
      </c>
      <c r="F4523" t="str">
        <f>IFERROR(__xludf.DUMMYFUNCTION("""COMPUTED_VALUE"""),"K")</f>
        <v>K</v>
      </c>
      <c r="G4523">
        <f>IFERROR(__xludf.DUMMYFUNCTION("""COMPUTED_VALUE"""),14.4)</f>
        <v>14.4</v>
      </c>
    </row>
    <row r="4524">
      <c r="D4524" t="str">
        <f>IFERROR(__xludf.DUMMYFUNCTION("""COMPUTED_VALUE"""),"Walton")</f>
        <v>Walton</v>
      </c>
      <c r="E4524" t="str">
        <f>IFERROR(__xludf.DUMMYFUNCTION("""COMPUTED_VALUE"""),"LT")</f>
        <v>LT</v>
      </c>
      <c r="F4524" t="str">
        <f>IFERROR(__xludf.DUMMYFUNCTION("""COMPUTED_VALUE"""),"RE")</f>
        <v>RE</v>
      </c>
      <c r="G4524">
        <f>IFERROR(__xludf.DUMMYFUNCTION("""COMPUTED_VALUE"""),12.200000000000001)</f>
        <v>12.2</v>
      </c>
    </row>
    <row r="4525">
      <c r="D4525" t="str">
        <f>IFERROR(__xludf.DUMMYFUNCTION("""COMPUTED_VALUE"""),"Ward")</f>
        <v>Ward</v>
      </c>
      <c r="E4525" t="str">
        <f>IFERROR(__xludf.DUMMYFUNCTION("""COMPUTED_VALUE"""),"Channing")</f>
        <v>Channing</v>
      </c>
      <c r="F4525" t="str">
        <f>IFERROR(__xludf.DUMMYFUNCTION("""COMPUTED_VALUE"""),"LE")</f>
        <v>LE</v>
      </c>
      <c r="G4525">
        <f>IFERROR(__xludf.DUMMYFUNCTION("""COMPUTED_VALUE"""),12.0)</f>
        <v>12</v>
      </c>
    </row>
    <row r="4526">
      <c r="D4526" t="str">
        <f>IFERROR(__xludf.DUMMYFUNCTION("""COMPUTED_VALUE"""),"Ward")</f>
        <v>Ward</v>
      </c>
      <c r="E4526" t="str">
        <f>IFERROR(__xludf.DUMMYFUNCTION("""COMPUTED_VALUE"""),"Jihad")</f>
        <v>Jihad</v>
      </c>
      <c r="F4526" t="str">
        <f>IFERROR(__xludf.DUMMYFUNCTION("""COMPUTED_VALUE"""),"LE")</f>
        <v>LE</v>
      </c>
      <c r="G4526">
        <f>IFERROR(__xludf.DUMMYFUNCTION("""COMPUTED_VALUE"""),14.4)</f>
        <v>14.4</v>
      </c>
    </row>
    <row r="4527">
      <c r="D4527" t="str">
        <f>IFERROR(__xludf.DUMMYFUNCTION("""COMPUTED_VALUE"""),"Ward")</f>
        <v>Ward</v>
      </c>
      <c r="E4527" t="str">
        <f>IFERROR(__xludf.DUMMYFUNCTION("""COMPUTED_VALUE"""),"Jimmie")</f>
        <v>Jimmie</v>
      </c>
      <c r="F4527" t="str">
        <f>IFERROR(__xludf.DUMMYFUNCTION("""COMPUTED_VALUE"""),"FS")</f>
        <v>FS</v>
      </c>
      <c r="G4527">
        <f>IFERROR(__xludf.DUMMYFUNCTION("""COMPUTED_VALUE"""),16.0)</f>
        <v>16</v>
      </c>
    </row>
    <row r="4528">
      <c r="D4528" t="str">
        <f>IFERROR(__xludf.DUMMYFUNCTION("""COMPUTED_VALUE"""),"Ward")</f>
        <v>Ward</v>
      </c>
      <c r="E4528" t="str">
        <f>IFERROR(__xludf.DUMMYFUNCTION("""COMPUTED_VALUE"""),"Terron")</f>
        <v>Terron</v>
      </c>
      <c r="F4528" t="str">
        <f>IFERROR(__xludf.DUMMYFUNCTION("""COMPUTED_VALUE"""),"HB")</f>
        <v>HB</v>
      </c>
      <c r="G4528">
        <f>IFERROR(__xludf.DUMMYFUNCTION("""COMPUTED_VALUE"""),13.600000000000001)</f>
        <v>13.6</v>
      </c>
    </row>
    <row r="4529">
      <c r="D4529" t="str">
        <f>IFERROR(__xludf.DUMMYFUNCTION("""COMPUTED_VALUE"""),"Ward")</f>
        <v>Ward</v>
      </c>
      <c r="E4529" t="str">
        <f>IFERROR(__xludf.DUMMYFUNCTION("""COMPUTED_VALUE"""),"TJ")</f>
        <v>TJ</v>
      </c>
      <c r="F4529" t="str">
        <f>IFERROR(__xludf.DUMMYFUNCTION("""COMPUTED_VALUE"""),"SS")</f>
        <v>SS</v>
      </c>
      <c r="G4529">
        <f>IFERROR(__xludf.DUMMYFUNCTION("""COMPUTED_VALUE"""),16.2)</f>
        <v>16.2</v>
      </c>
    </row>
    <row r="4530">
      <c r="D4530" t="str">
        <f>IFERROR(__xludf.DUMMYFUNCTION("""COMPUTED_VALUE"""),"Ware")</f>
        <v>Ware</v>
      </c>
      <c r="E4530" t="str">
        <f>IFERROR(__xludf.DUMMYFUNCTION("""COMPUTED_VALUE"""),"Jylan")</f>
        <v>Jylan</v>
      </c>
      <c r="F4530" t="str">
        <f>IFERROR(__xludf.DUMMYFUNCTION("""COMPUTED_VALUE"""),"RT")</f>
        <v>RT</v>
      </c>
      <c r="G4530">
        <f>IFERROR(__xludf.DUMMYFUNCTION("""COMPUTED_VALUE"""),13.200000000000001)</f>
        <v>13.2</v>
      </c>
    </row>
    <row r="4531">
      <c r="D4531" t="str">
        <f>IFERROR(__xludf.DUMMYFUNCTION("""COMPUTED_VALUE"""),"Ware")</f>
        <v>Ware</v>
      </c>
      <c r="E4531" t="str">
        <f>IFERROR(__xludf.DUMMYFUNCTION("""COMPUTED_VALUE"""),"Spencer")</f>
        <v>Spencer</v>
      </c>
      <c r="F4531" t="str">
        <f>IFERROR(__xludf.DUMMYFUNCTION("""COMPUTED_VALUE"""),"HB")</f>
        <v>HB</v>
      </c>
      <c r="G4531">
        <f>IFERROR(__xludf.DUMMYFUNCTION("""COMPUTED_VALUE"""),16.400000000000002)</f>
        <v>16.4</v>
      </c>
    </row>
    <row r="4532">
      <c r="D4532" t="str">
        <f>IFERROR(__xludf.DUMMYFUNCTION("""COMPUTED_VALUE"""),"Warford")</f>
        <v>Warford</v>
      </c>
      <c r="E4532" t="str">
        <f>IFERROR(__xludf.DUMMYFUNCTION("""COMPUTED_VALUE"""),"Larry")</f>
        <v>Larry</v>
      </c>
      <c r="F4532" t="str">
        <f>IFERROR(__xludf.DUMMYFUNCTION("""COMPUTED_VALUE"""),"RG")</f>
        <v>RG</v>
      </c>
      <c r="G4532">
        <f>IFERROR(__xludf.DUMMYFUNCTION("""COMPUTED_VALUE"""),16.2)</f>
        <v>16.2</v>
      </c>
    </row>
    <row r="4533">
      <c r="D4533" t="str">
        <f>IFERROR(__xludf.DUMMYFUNCTION("""COMPUTED_VALUE"""),"Warmack")</f>
        <v>Warmack</v>
      </c>
      <c r="E4533" t="str">
        <f>IFERROR(__xludf.DUMMYFUNCTION("""COMPUTED_VALUE"""),"Chance")</f>
        <v>Chance</v>
      </c>
      <c r="F4533" t="str">
        <f>IFERROR(__xludf.DUMMYFUNCTION("""COMPUTED_VALUE"""),"LG")</f>
        <v>LG</v>
      </c>
      <c r="G4533">
        <f>IFERROR(__xludf.DUMMYFUNCTION("""COMPUTED_VALUE"""),15.200000000000001)</f>
        <v>15.2</v>
      </c>
    </row>
    <row r="4534">
      <c r="D4534" t="str">
        <f>IFERROR(__xludf.DUMMYFUNCTION("""COMPUTED_VALUE"""),"Warmsley")</f>
        <v>Warmsley</v>
      </c>
      <c r="E4534" t="str">
        <f>IFERROR(__xludf.DUMMYFUNCTION("""COMPUTED_VALUE"""),"Julius")</f>
        <v>Julius</v>
      </c>
      <c r="F4534" t="str">
        <f>IFERROR(__xludf.DUMMYFUNCTION("""COMPUTED_VALUE"""),"DT")</f>
        <v>DT</v>
      </c>
      <c r="G4534">
        <f>IFERROR(__xludf.DUMMYFUNCTION("""COMPUTED_VALUE"""),13.0)</f>
        <v>13</v>
      </c>
    </row>
    <row r="4535">
      <c r="D4535" t="str">
        <f>IFERROR(__xludf.DUMMYFUNCTION("""COMPUTED_VALUE"""),"Washington")</f>
        <v>Washington</v>
      </c>
      <c r="E4535" t="str">
        <f>IFERROR(__xludf.DUMMYFUNCTION("""COMPUTED_VALUE"""),"Adolphus")</f>
        <v>Adolphus</v>
      </c>
      <c r="F4535" t="str">
        <f>IFERROR(__xludf.DUMMYFUNCTION("""COMPUTED_VALUE"""),"DT")</f>
        <v>DT</v>
      </c>
      <c r="G4535">
        <f>IFERROR(__xludf.DUMMYFUNCTION("""COMPUTED_VALUE"""),14.200000000000001)</f>
        <v>14.2</v>
      </c>
    </row>
    <row r="4536">
      <c r="D4536" t="str">
        <f>IFERROR(__xludf.DUMMYFUNCTION("""COMPUTED_VALUE"""),"Washington")</f>
        <v>Washington</v>
      </c>
      <c r="E4536" t="str">
        <f>IFERROR(__xludf.DUMMYFUNCTION("""COMPUTED_VALUE"""),"Cornelius")</f>
        <v>Cornelius</v>
      </c>
      <c r="F4536" t="str">
        <f>IFERROR(__xludf.DUMMYFUNCTION("""COMPUTED_VALUE"""),"LE")</f>
        <v>LE</v>
      </c>
      <c r="G4536">
        <f>IFERROR(__xludf.DUMMYFUNCTION("""COMPUTED_VALUE"""),12.8)</f>
        <v>12.8</v>
      </c>
    </row>
    <row r="4537">
      <c r="D4537" t="str">
        <f>IFERROR(__xludf.DUMMYFUNCTION("""COMPUTED_VALUE"""),"Washington")</f>
        <v>Washington</v>
      </c>
      <c r="E4537" t="str">
        <f>IFERROR(__xludf.DUMMYFUNCTION("""COMPUTED_VALUE"""),"DeAndre")</f>
        <v>DeAndre</v>
      </c>
      <c r="F4537" t="str">
        <f>IFERROR(__xludf.DUMMYFUNCTION("""COMPUTED_VALUE"""),"HB")</f>
        <v>HB</v>
      </c>
      <c r="G4537">
        <f>IFERROR(__xludf.DUMMYFUNCTION("""COMPUTED_VALUE"""),14.8)</f>
        <v>14.8</v>
      </c>
    </row>
    <row r="4538">
      <c r="D4538" t="str">
        <f>IFERROR(__xludf.DUMMYFUNCTION("""COMPUTED_VALUE"""),"Washington")</f>
        <v>Washington</v>
      </c>
      <c r="E4538" t="str">
        <f>IFERROR(__xludf.DUMMYFUNCTION("""COMPUTED_VALUE"""),"Dwayne")</f>
        <v>Dwayne</v>
      </c>
      <c r="F4538" t="str">
        <f>IFERROR(__xludf.DUMMYFUNCTION("""COMPUTED_VALUE"""),"HB")</f>
        <v>HB</v>
      </c>
      <c r="G4538">
        <f>IFERROR(__xludf.DUMMYFUNCTION("""COMPUTED_VALUE"""),13.600000000000001)</f>
        <v>13.6</v>
      </c>
    </row>
    <row r="4539">
      <c r="D4539" t="str">
        <f>IFERROR(__xludf.DUMMYFUNCTION("""COMPUTED_VALUE"""),"Waters")</f>
        <v>Waters</v>
      </c>
      <c r="E4539" t="str">
        <f>IFERROR(__xludf.DUMMYFUNCTION("""COMPUTED_VALUE"""),"Herb")</f>
        <v>Herb</v>
      </c>
      <c r="F4539" t="str">
        <f>IFERROR(__xludf.DUMMYFUNCTION("""COMPUTED_VALUE"""),"CB")</f>
        <v>CB</v>
      </c>
      <c r="G4539">
        <f>IFERROR(__xludf.DUMMYFUNCTION("""COMPUTED_VALUE"""),12.4)</f>
        <v>12.4</v>
      </c>
    </row>
    <row r="4540">
      <c r="D4540" t="str">
        <f>IFERROR(__xludf.DUMMYFUNCTION("""COMPUTED_VALUE"""),"Watford")</f>
        <v>Watford</v>
      </c>
      <c r="E4540" t="str">
        <f>IFERROR(__xludf.DUMMYFUNCTION("""COMPUTED_VALUE"""),"Earl")</f>
        <v>Earl</v>
      </c>
      <c r="F4540" t="str">
        <f>IFERROR(__xludf.DUMMYFUNCTION("""COMPUTED_VALUE"""),"LG")</f>
        <v>LG</v>
      </c>
      <c r="G4540">
        <f>IFERROR(__xludf.DUMMYFUNCTION("""COMPUTED_VALUE"""),14.0)</f>
        <v>14</v>
      </c>
    </row>
    <row r="4541">
      <c r="D4541" t="str">
        <f>IFERROR(__xludf.DUMMYFUNCTION("""COMPUTED_VALUE"""),"Watkins")</f>
        <v>Watkins</v>
      </c>
      <c r="E4541" t="str">
        <f>IFERROR(__xludf.DUMMYFUNCTION("""COMPUTED_VALUE"""),"Carlos")</f>
        <v>Carlos</v>
      </c>
      <c r="F4541" t="str">
        <f>IFERROR(__xludf.DUMMYFUNCTION("""COMPUTED_VALUE"""),"DT")</f>
        <v>DT</v>
      </c>
      <c r="G4541">
        <f>IFERROR(__xludf.DUMMYFUNCTION("""COMPUTED_VALUE"""),13.600000000000001)</f>
        <v>13.6</v>
      </c>
    </row>
    <row r="4542">
      <c r="D4542" t="str">
        <f>IFERROR(__xludf.DUMMYFUNCTION("""COMPUTED_VALUE"""),"Watkins")</f>
        <v>Watkins</v>
      </c>
      <c r="E4542" t="str">
        <f>IFERROR(__xludf.DUMMYFUNCTION("""COMPUTED_VALUE"""),"Jaylen")</f>
        <v>Jaylen</v>
      </c>
      <c r="F4542" t="str">
        <f>IFERROR(__xludf.DUMMYFUNCTION("""COMPUTED_VALUE"""),"SS")</f>
        <v>SS</v>
      </c>
      <c r="G4542">
        <f>IFERROR(__xludf.DUMMYFUNCTION("""COMPUTED_VALUE"""),14.4)</f>
        <v>14.4</v>
      </c>
    </row>
    <row r="4543">
      <c r="D4543" t="str">
        <f>IFERROR(__xludf.DUMMYFUNCTION("""COMPUTED_VALUE"""),"Watkins")</f>
        <v>Watkins</v>
      </c>
      <c r="E4543" t="str">
        <f>IFERROR(__xludf.DUMMYFUNCTION("""COMPUTED_VALUE"""),"Sammy")</f>
        <v>Sammy</v>
      </c>
      <c r="F4543" t="str">
        <f>IFERROR(__xludf.DUMMYFUNCTION("""COMPUTED_VALUE"""),"WR")</f>
        <v>WR</v>
      </c>
      <c r="G4543">
        <f>IFERROR(__xludf.DUMMYFUNCTION("""COMPUTED_VALUE"""),17.2)</f>
        <v>17.2</v>
      </c>
    </row>
    <row r="4544">
      <c r="D4544" t="str">
        <f>IFERROR(__xludf.DUMMYFUNCTION("""COMPUTED_VALUE"""),"Watson")</f>
        <v>Watson</v>
      </c>
      <c r="E4544" t="str">
        <f>IFERROR(__xludf.DUMMYFUNCTION("""COMPUTED_VALUE"""),"Benjamin")</f>
        <v>Benjamin</v>
      </c>
      <c r="F4544" t="str">
        <f>IFERROR(__xludf.DUMMYFUNCTION("""COMPUTED_VALUE"""),"TE")</f>
        <v>TE</v>
      </c>
      <c r="G4544">
        <f>IFERROR(__xludf.DUMMYFUNCTION("""COMPUTED_VALUE"""),16.0)</f>
        <v>16</v>
      </c>
    </row>
    <row r="4545">
      <c r="D4545" t="str">
        <f>IFERROR(__xludf.DUMMYFUNCTION("""COMPUTED_VALUE"""),"Watson")</f>
        <v>Watson</v>
      </c>
      <c r="E4545" t="str">
        <f>IFERROR(__xludf.DUMMYFUNCTION("""COMPUTED_VALUE"""),"Dekoda")</f>
        <v>Dekoda</v>
      </c>
      <c r="F4545" t="str">
        <f>IFERROR(__xludf.DUMMYFUNCTION("""COMPUTED_VALUE"""),"ROLB")</f>
        <v>ROLB</v>
      </c>
      <c r="G4545">
        <f>IFERROR(__xludf.DUMMYFUNCTION("""COMPUTED_VALUE"""),13.600000000000001)</f>
        <v>13.6</v>
      </c>
    </row>
    <row r="4546">
      <c r="D4546" t="str">
        <f>IFERROR(__xludf.DUMMYFUNCTION("""COMPUTED_VALUE"""),"Watson")</f>
        <v>Watson</v>
      </c>
      <c r="E4546" t="str">
        <f>IFERROR(__xludf.DUMMYFUNCTION("""COMPUTED_VALUE"""),"Deshaun")</f>
        <v>Deshaun</v>
      </c>
      <c r="F4546" t="str">
        <f>IFERROR(__xludf.DUMMYFUNCTION("""COMPUTED_VALUE"""),"QB")</f>
        <v>QB</v>
      </c>
      <c r="G4546">
        <f>IFERROR(__xludf.DUMMYFUNCTION("""COMPUTED_VALUE"""),15.200000000000001)</f>
        <v>15.2</v>
      </c>
    </row>
    <row r="4547">
      <c r="D4547" t="str">
        <f>IFERROR(__xludf.DUMMYFUNCTION("""COMPUTED_VALUE"""),"Watson")</f>
        <v>Watson</v>
      </c>
      <c r="E4547" t="str">
        <f>IFERROR(__xludf.DUMMYFUNCTION("""COMPUTED_VALUE"""),"Menelik")</f>
        <v>Menelik</v>
      </c>
      <c r="F4547" t="str">
        <f>IFERROR(__xludf.DUMMYFUNCTION("""COMPUTED_VALUE"""),"RT")</f>
        <v>RT</v>
      </c>
      <c r="G4547">
        <f>IFERROR(__xludf.DUMMYFUNCTION("""COMPUTED_VALUE"""),14.600000000000001)</f>
        <v>14.6</v>
      </c>
    </row>
    <row r="4548">
      <c r="D4548" t="str">
        <f>IFERROR(__xludf.DUMMYFUNCTION("""COMPUTED_VALUE"""),"Watt")</f>
        <v>Watt</v>
      </c>
      <c r="E4548" t="str">
        <f>IFERROR(__xludf.DUMMYFUNCTION("""COMPUTED_VALUE"""),"Derek")</f>
        <v>Derek</v>
      </c>
      <c r="F4548" t="str">
        <f>IFERROR(__xludf.DUMMYFUNCTION("""COMPUTED_VALUE"""),"FB")</f>
        <v>FB</v>
      </c>
      <c r="G4548">
        <f>IFERROR(__xludf.DUMMYFUNCTION("""COMPUTED_VALUE"""),12.200000000000001)</f>
        <v>12.2</v>
      </c>
    </row>
    <row r="4549">
      <c r="D4549" t="str">
        <f>IFERROR(__xludf.DUMMYFUNCTION("""COMPUTED_VALUE"""),"Watt")</f>
        <v>Watt</v>
      </c>
      <c r="E4549" t="str">
        <f>IFERROR(__xludf.DUMMYFUNCTION("""COMPUTED_VALUE"""),"JJ")</f>
        <v>JJ</v>
      </c>
      <c r="F4549" t="str">
        <f>IFERROR(__xludf.DUMMYFUNCTION("""COMPUTED_VALUE"""),"RE")</f>
        <v>RE</v>
      </c>
      <c r="G4549">
        <f>IFERROR(__xludf.DUMMYFUNCTION("""COMPUTED_VALUE"""),19.6)</f>
        <v>19.6</v>
      </c>
    </row>
    <row r="4550">
      <c r="D4550" t="str">
        <f>IFERROR(__xludf.DUMMYFUNCTION("""COMPUTED_VALUE"""),"Watt")</f>
        <v>Watt</v>
      </c>
      <c r="E4550" t="str">
        <f>IFERROR(__xludf.DUMMYFUNCTION("""COMPUTED_VALUE"""),"TJ")</f>
        <v>TJ</v>
      </c>
      <c r="F4550" t="str">
        <f>IFERROR(__xludf.DUMMYFUNCTION("""COMPUTED_VALUE"""),"ROLB")</f>
        <v>ROLB</v>
      </c>
      <c r="G4550">
        <f>IFERROR(__xludf.DUMMYFUNCTION("""COMPUTED_VALUE"""),14.8)</f>
        <v>14.8</v>
      </c>
    </row>
    <row r="4551">
      <c r="D4551" t="str">
        <f>IFERROR(__xludf.DUMMYFUNCTION("""COMPUTED_VALUE"""),"Watts")</f>
        <v>Watts</v>
      </c>
      <c r="E4551" t="str">
        <f>IFERROR(__xludf.DUMMYFUNCTION("""COMPUTED_VALUE"""),"Brandon")</f>
        <v>Brandon</v>
      </c>
      <c r="F4551" t="str">
        <f>IFERROR(__xludf.DUMMYFUNCTION("""COMPUTED_VALUE"""),"LOLB")</f>
        <v>LOLB</v>
      </c>
      <c r="G4551">
        <f>IFERROR(__xludf.DUMMYFUNCTION("""COMPUTED_VALUE"""),12.4)</f>
        <v>12.4</v>
      </c>
    </row>
    <row r="4552">
      <c r="D4552" t="str">
        <f>IFERROR(__xludf.DUMMYFUNCTION("""COMPUTED_VALUE"""),"Watts")</f>
        <v>Watts</v>
      </c>
      <c r="E4552" t="str">
        <f>IFERROR(__xludf.DUMMYFUNCTION("""COMPUTED_VALUE"""),"Craig")</f>
        <v>Craig</v>
      </c>
      <c r="F4552" t="str">
        <f>IFERROR(__xludf.DUMMYFUNCTION("""COMPUTED_VALUE"""),"RG")</f>
        <v>RG</v>
      </c>
      <c r="G4552">
        <f>IFERROR(__xludf.DUMMYFUNCTION("""COMPUTED_VALUE"""),12.600000000000001)</f>
        <v>12.6</v>
      </c>
    </row>
    <row r="4553">
      <c r="D4553" t="str">
        <f>IFERROR(__xludf.DUMMYFUNCTION("""COMPUTED_VALUE"""),"Way")</f>
        <v>Way</v>
      </c>
      <c r="E4553" t="str">
        <f>IFERROR(__xludf.DUMMYFUNCTION("""COMPUTED_VALUE"""),"Tress")</f>
        <v>Tress</v>
      </c>
      <c r="F4553" t="str">
        <f>IFERROR(__xludf.DUMMYFUNCTION("""COMPUTED_VALUE"""),"P")</f>
        <v>P</v>
      </c>
      <c r="G4553">
        <f>IFERROR(__xludf.DUMMYFUNCTION("""COMPUTED_VALUE"""),15.8)</f>
        <v>15.8</v>
      </c>
    </row>
    <row r="4554">
      <c r="D4554" t="str">
        <f>IFERROR(__xludf.DUMMYFUNCTION("""COMPUTED_VALUE"""),"Waynes")</f>
        <v>Waynes</v>
      </c>
      <c r="E4554" t="str">
        <f>IFERROR(__xludf.DUMMYFUNCTION("""COMPUTED_VALUE"""),"Trae")</f>
        <v>Trae</v>
      </c>
      <c r="F4554" t="str">
        <f>IFERROR(__xludf.DUMMYFUNCTION("""COMPUTED_VALUE"""),"CB")</f>
        <v>CB</v>
      </c>
      <c r="G4554">
        <f>IFERROR(__xludf.DUMMYFUNCTION("""COMPUTED_VALUE"""),15.0)</f>
        <v>15</v>
      </c>
    </row>
    <row r="4555">
      <c r="D4555" t="str">
        <f>IFERROR(__xludf.DUMMYFUNCTION("""COMPUTED_VALUE"""),"Weatherly")</f>
        <v>Weatherly</v>
      </c>
      <c r="E4555" t="str">
        <f>IFERROR(__xludf.DUMMYFUNCTION("""COMPUTED_VALUE"""),"Stephen")</f>
        <v>Stephen</v>
      </c>
      <c r="F4555" t="str">
        <f>IFERROR(__xludf.DUMMYFUNCTION("""COMPUTED_VALUE"""),"RE")</f>
        <v>RE</v>
      </c>
      <c r="G4555">
        <f>IFERROR(__xludf.DUMMYFUNCTION("""COMPUTED_VALUE"""),12.8)</f>
        <v>12.8</v>
      </c>
    </row>
    <row r="4556">
      <c r="D4556" t="str">
        <f>IFERROR(__xludf.DUMMYFUNCTION("""COMPUTED_VALUE"""),"Webb")</f>
        <v>Webb</v>
      </c>
      <c r="E4556" t="str">
        <f>IFERROR(__xludf.DUMMYFUNCTION("""COMPUTED_VALUE"""),"BW")</f>
        <v>BW</v>
      </c>
      <c r="F4556" t="str">
        <f>IFERROR(__xludf.DUMMYFUNCTION("""COMPUTED_VALUE"""),"CB")</f>
        <v>CB</v>
      </c>
      <c r="G4556">
        <f>IFERROR(__xludf.DUMMYFUNCTION("""COMPUTED_VALUE"""),14.200000000000001)</f>
        <v>14.2</v>
      </c>
    </row>
    <row r="4557">
      <c r="D4557" t="str">
        <f>IFERROR(__xludf.DUMMYFUNCTION("""COMPUTED_VALUE"""),"Webb")</f>
        <v>Webb</v>
      </c>
      <c r="E4557" t="str">
        <f>IFERROR(__xludf.DUMMYFUNCTION("""COMPUTED_VALUE"""),"Davis")</f>
        <v>Davis</v>
      </c>
      <c r="F4557" t="str">
        <f>IFERROR(__xludf.DUMMYFUNCTION("""COMPUTED_VALUE"""),"QB")</f>
        <v>QB</v>
      </c>
      <c r="G4557">
        <f>IFERROR(__xludf.DUMMYFUNCTION("""COMPUTED_VALUE"""),14.600000000000001)</f>
        <v>14.6</v>
      </c>
    </row>
    <row r="4558">
      <c r="D4558" t="str">
        <f>IFERROR(__xludf.DUMMYFUNCTION("""COMPUTED_VALUE"""),"Webb")</f>
        <v>Webb</v>
      </c>
      <c r="E4558" t="str">
        <f>IFERROR(__xludf.DUMMYFUNCTION("""COMPUTED_VALUE"""),"Joe")</f>
        <v>Joe</v>
      </c>
      <c r="F4558" t="str">
        <f>IFERROR(__xludf.DUMMYFUNCTION("""COMPUTED_VALUE"""),"QB")</f>
        <v>QB</v>
      </c>
      <c r="G4558">
        <f>IFERROR(__xludf.DUMMYFUNCTION("""COMPUTED_VALUE"""),12.8)</f>
        <v>12.8</v>
      </c>
    </row>
    <row r="4559">
      <c r="D4559" t="str">
        <f>IFERROR(__xludf.DUMMYFUNCTION("""COMPUTED_VALUE"""),"Webb")</f>
        <v>Webb</v>
      </c>
      <c r="E4559" t="str">
        <f>IFERROR(__xludf.DUMMYFUNCTION("""COMPUTED_VALUE"""),"Lardarius")</f>
        <v>Lardarius</v>
      </c>
      <c r="F4559" t="str">
        <f>IFERROR(__xludf.DUMMYFUNCTION("""COMPUTED_VALUE"""),"FS")</f>
        <v>FS</v>
      </c>
      <c r="G4559">
        <f>IFERROR(__xludf.DUMMYFUNCTION("""COMPUTED_VALUE"""),16.400000000000002)</f>
        <v>16.4</v>
      </c>
    </row>
    <row r="4560">
      <c r="D4560" t="str">
        <f>IFERROR(__xludf.DUMMYFUNCTION("""COMPUTED_VALUE"""),"Webster")</f>
        <v>Webster</v>
      </c>
      <c r="E4560" t="str">
        <f>IFERROR(__xludf.DUMMYFUNCTION("""COMPUTED_VALUE"""),"Kayvon")</f>
        <v>Kayvon</v>
      </c>
      <c r="F4560" t="str">
        <f>IFERROR(__xludf.DUMMYFUNCTION("""COMPUTED_VALUE"""),"CB")</f>
        <v>CB</v>
      </c>
      <c r="G4560">
        <f>IFERROR(__xludf.DUMMYFUNCTION("""COMPUTED_VALUE"""),14.600000000000001)</f>
        <v>14.6</v>
      </c>
    </row>
    <row r="4561">
      <c r="D4561" t="str">
        <f>IFERROR(__xludf.DUMMYFUNCTION("""COMPUTED_VALUE"""),"Webster III")</f>
        <v>Webster III</v>
      </c>
      <c r="E4561" t="str">
        <f>IFERROR(__xludf.DUMMYFUNCTION("""COMPUTED_VALUE"""),"Larry")</f>
        <v>Larry</v>
      </c>
      <c r="F4561" t="str">
        <f>IFERROR(__xludf.DUMMYFUNCTION("""COMPUTED_VALUE"""),"LE")</f>
        <v>LE</v>
      </c>
      <c r="G4561">
        <f>IFERROR(__xludf.DUMMYFUNCTION("""COMPUTED_VALUE"""),13.0)</f>
        <v>13</v>
      </c>
    </row>
    <row r="4562">
      <c r="D4562" t="str">
        <f>IFERROR(__xludf.DUMMYFUNCTION("""COMPUTED_VALUE"""),"Weddle")</f>
        <v>Weddle</v>
      </c>
      <c r="E4562" t="str">
        <f>IFERROR(__xludf.DUMMYFUNCTION("""COMPUTED_VALUE"""),"Eric")</f>
        <v>Eric</v>
      </c>
      <c r="F4562" t="str">
        <f>IFERROR(__xludf.DUMMYFUNCTION("""COMPUTED_VALUE"""),"FS")</f>
        <v>FS</v>
      </c>
      <c r="G4562">
        <f>IFERROR(__xludf.DUMMYFUNCTION("""COMPUTED_VALUE"""),18.6)</f>
        <v>18.6</v>
      </c>
    </row>
    <row r="4563">
      <c r="D4563" t="str">
        <f>IFERROR(__xludf.DUMMYFUNCTION("""COMPUTED_VALUE"""),"Weeden")</f>
        <v>Weeden</v>
      </c>
      <c r="E4563" t="str">
        <f>IFERROR(__xludf.DUMMYFUNCTION("""COMPUTED_VALUE"""),"Brandon")</f>
        <v>Brandon</v>
      </c>
      <c r="F4563" t="str">
        <f>IFERROR(__xludf.DUMMYFUNCTION("""COMPUTED_VALUE"""),"QB")</f>
        <v>QB</v>
      </c>
      <c r="G4563">
        <f>IFERROR(__xludf.DUMMYFUNCTION("""COMPUTED_VALUE"""),13.600000000000001)</f>
        <v>13.6</v>
      </c>
    </row>
    <row r="4564">
      <c r="D4564" t="str">
        <f>IFERROR(__xludf.DUMMYFUNCTION("""COMPUTED_VALUE"""),"Weeks")</f>
        <v>Weeks</v>
      </c>
      <c r="E4564" t="str">
        <f>IFERROR(__xludf.DUMMYFUNCTION("""COMPUTED_VALUE"""),"Jon")</f>
        <v>Jon</v>
      </c>
      <c r="F4564" t="str">
        <f>IFERROR(__xludf.DUMMYFUNCTION("""COMPUTED_VALUE"""),"TE")</f>
        <v>TE</v>
      </c>
      <c r="G4564">
        <f>IFERROR(__xludf.DUMMYFUNCTION("""COMPUTED_VALUE"""),8.4)</f>
        <v>8.4</v>
      </c>
    </row>
    <row r="4565">
      <c r="D4565" t="str">
        <f>IFERROR(__xludf.DUMMYFUNCTION("""COMPUTED_VALUE"""),"Weems")</f>
        <v>Weems</v>
      </c>
      <c r="E4565" t="str">
        <f>IFERROR(__xludf.DUMMYFUNCTION("""COMPUTED_VALUE"""),"Eric")</f>
        <v>Eric</v>
      </c>
      <c r="F4565" t="str">
        <f>IFERROR(__xludf.DUMMYFUNCTION("""COMPUTED_VALUE"""),"WR")</f>
        <v>WR</v>
      </c>
      <c r="G4565">
        <f>IFERROR(__xludf.DUMMYFUNCTION("""COMPUTED_VALUE"""),13.8)</f>
        <v>13.8</v>
      </c>
    </row>
    <row r="4566">
      <c r="D4566" t="str">
        <f>IFERROR(__xludf.DUMMYFUNCTION("""COMPUTED_VALUE"""),"Wells")</f>
        <v>Wells</v>
      </c>
      <c r="E4566" t="str">
        <f>IFERROR(__xludf.DUMMYFUNCTION("""COMPUTED_VALUE"""),"Josh")</f>
        <v>Josh</v>
      </c>
      <c r="F4566" t="str">
        <f>IFERROR(__xludf.DUMMYFUNCTION("""COMPUTED_VALUE"""),"RT")</f>
        <v>RT</v>
      </c>
      <c r="G4566">
        <f>IFERROR(__xludf.DUMMYFUNCTION("""COMPUTED_VALUE"""),14.0)</f>
        <v>14</v>
      </c>
    </row>
    <row r="4567">
      <c r="D4567" t="str">
        <f>IFERROR(__xludf.DUMMYFUNCTION("""COMPUTED_VALUE"""),"Wentz")</f>
        <v>Wentz</v>
      </c>
      <c r="E4567" t="str">
        <f>IFERROR(__xludf.DUMMYFUNCTION("""COMPUTED_VALUE"""),"Carson")</f>
        <v>Carson</v>
      </c>
      <c r="F4567" t="str">
        <f>IFERROR(__xludf.DUMMYFUNCTION("""COMPUTED_VALUE"""),"QB")</f>
        <v>QB</v>
      </c>
      <c r="G4567">
        <f>IFERROR(__xludf.DUMMYFUNCTION("""COMPUTED_VALUE"""),15.8)</f>
        <v>15.8</v>
      </c>
    </row>
    <row r="4568">
      <c r="D4568" t="str">
        <f>IFERROR(__xludf.DUMMYFUNCTION("""COMPUTED_VALUE"""),"Wesley")</f>
        <v>Wesley</v>
      </c>
      <c r="E4568" t="str">
        <f>IFERROR(__xludf.DUMMYFUNCTION("""COMPUTED_VALUE"""),"DeOndre")</f>
        <v>DeOndre</v>
      </c>
      <c r="F4568" t="str">
        <f>IFERROR(__xludf.DUMMYFUNCTION("""COMPUTED_VALUE"""),"RT")</f>
        <v>RT</v>
      </c>
      <c r="G4568">
        <f>IFERROR(__xludf.DUMMYFUNCTION("""COMPUTED_VALUE"""),13.4)</f>
        <v>13.4</v>
      </c>
    </row>
    <row r="4569">
      <c r="D4569" t="str">
        <f>IFERROR(__xludf.DUMMYFUNCTION("""COMPUTED_VALUE"""),"West")</f>
        <v>West</v>
      </c>
      <c r="E4569" t="str">
        <f>IFERROR(__xludf.DUMMYFUNCTION("""COMPUTED_VALUE"""),"Charcandrick")</f>
        <v>Charcandrick</v>
      </c>
      <c r="F4569" t="str">
        <f>IFERROR(__xludf.DUMMYFUNCTION("""COMPUTED_VALUE"""),"HB")</f>
        <v>HB</v>
      </c>
      <c r="G4569">
        <f>IFERROR(__xludf.DUMMYFUNCTION("""COMPUTED_VALUE"""),15.200000000000001)</f>
        <v>15.2</v>
      </c>
    </row>
    <row r="4570">
      <c r="D4570" t="str">
        <f>IFERROR(__xludf.DUMMYFUNCTION("""COMPUTED_VALUE"""),"West")</f>
        <v>West</v>
      </c>
      <c r="E4570" t="str">
        <f>IFERROR(__xludf.DUMMYFUNCTION("""COMPUTED_VALUE"""),"Terrance")</f>
        <v>Terrance</v>
      </c>
      <c r="F4570" t="str">
        <f>IFERROR(__xludf.DUMMYFUNCTION("""COMPUTED_VALUE"""),"HB")</f>
        <v>HB</v>
      </c>
      <c r="G4570">
        <f>IFERROR(__xludf.DUMMYFUNCTION("""COMPUTED_VALUE"""),16.2)</f>
        <v>16.2</v>
      </c>
    </row>
    <row r="4571">
      <c r="D4571" t="str">
        <f>IFERROR(__xludf.DUMMYFUNCTION("""COMPUTED_VALUE"""),"Westbrook")</f>
        <v>Westbrook</v>
      </c>
      <c r="E4571" t="str">
        <f>IFERROR(__xludf.DUMMYFUNCTION("""COMPUTED_VALUE"""),"Dede")</f>
        <v>Dede</v>
      </c>
      <c r="F4571" t="str">
        <f>IFERROR(__xludf.DUMMYFUNCTION("""COMPUTED_VALUE"""),"WR")</f>
        <v>WR</v>
      </c>
      <c r="G4571">
        <f>IFERROR(__xludf.DUMMYFUNCTION("""COMPUTED_VALUE"""),15.0)</f>
        <v>15</v>
      </c>
    </row>
    <row r="4572">
      <c r="D4572" t="str">
        <f>IFERROR(__xludf.DUMMYFUNCTION("""COMPUTED_VALUE"""),"Westbrooks")</f>
        <v>Westbrooks</v>
      </c>
      <c r="E4572" t="str">
        <f>IFERROR(__xludf.DUMMYFUNCTION("""COMPUTED_VALUE"""),"Ethan")</f>
        <v>Ethan</v>
      </c>
      <c r="F4572" t="str">
        <f>IFERROR(__xludf.DUMMYFUNCTION("""COMPUTED_VALUE"""),"LE")</f>
        <v>LE</v>
      </c>
      <c r="G4572">
        <f>IFERROR(__xludf.DUMMYFUNCTION("""COMPUTED_VALUE"""),14.4)</f>
        <v>14.4</v>
      </c>
    </row>
    <row r="4573">
      <c r="D4573" t="str">
        <f>IFERROR(__xludf.DUMMYFUNCTION("""COMPUTED_VALUE"""),"Wester")</f>
        <v>Wester</v>
      </c>
      <c r="E4573" t="str">
        <f>IFERROR(__xludf.DUMMYFUNCTION("""COMPUTED_VALUE"""),"Leonard")</f>
        <v>Leonard</v>
      </c>
      <c r="F4573" t="str">
        <f>IFERROR(__xludf.DUMMYFUNCTION("""COMPUTED_VALUE"""),"LT")</f>
        <v>LT</v>
      </c>
      <c r="G4573">
        <f>IFERROR(__xludf.DUMMYFUNCTION("""COMPUTED_VALUE"""),12.600000000000001)</f>
        <v>12.6</v>
      </c>
    </row>
    <row r="4574">
      <c r="D4574" t="str">
        <f>IFERROR(__xludf.DUMMYFUNCTION("""COMPUTED_VALUE"""),"Westerman")</f>
        <v>Westerman</v>
      </c>
      <c r="E4574" t="str">
        <f>IFERROR(__xludf.DUMMYFUNCTION("""COMPUTED_VALUE"""),"Christian")</f>
        <v>Christian</v>
      </c>
      <c r="F4574" t="str">
        <f>IFERROR(__xludf.DUMMYFUNCTION("""COMPUTED_VALUE"""),"RG")</f>
        <v>RG</v>
      </c>
      <c r="G4574">
        <f>IFERROR(__xludf.DUMMYFUNCTION("""COMPUTED_VALUE"""),13.200000000000001)</f>
        <v>13.2</v>
      </c>
    </row>
    <row r="4575">
      <c r="D4575" t="str">
        <f>IFERROR(__xludf.DUMMYFUNCTION("""COMPUTED_VALUE"""),"Wetzel")</f>
        <v>Wetzel</v>
      </c>
      <c r="E4575" t="str">
        <f>IFERROR(__xludf.DUMMYFUNCTION("""COMPUTED_VALUE"""),"John")</f>
        <v>John</v>
      </c>
      <c r="F4575" t="str">
        <f>IFERROR(__xludf.DUMMYFUNCTION("""COMPUTED_VALUE"""),"RT")</f>
        <v>RT</v>
      </c>
      <c r="G4575">
        <f>IFERROR(__xludf.DUMMYFUNCTION("""COMPUTED_VALUE"""),13.600000000000001)</f>
        <v>13.6</v>
      </c>
    </row>
    <row r="4576">
      <c r="D4576" t="str">
        <f>IFERROR(__xludf.DUMMYFUNCTION("""COMPUTED_VALUE"""),"Wheaton")</f>
        <v>Wheaton</v>
      </c>
      <c r="E4576" t="str">
        <f>IFERROR(__xludf.DUMMYFUNCTION("""COMPUTED_VALUE"""),"Markus")</f>
        <v>Markus</v>
      </c>
      <c r="F4576" t="str">
        <f>IFERROR(__xludf.DUMMYFUNCTION("""COMPUTED_VALUE"""),"WR")</f>
        <v>WR</v>
      </c>
      <c r="G4576">
        <f>IFERROR(__xludf.DUMMYFUNCTION("""COMPUTED_VALUE"""),15.0)</f>
        <v>15</v>
      </c>
    </row>
    <row r="4577">
      <c r="D4577" t="str">
        <f>IFERROR(__xludf.DUMMYFUNCTION("""COMPUTED_VALUE"""),"White")</f>
        <v>White</v>
      </c>
      <c r="E4577" t="str">
        <f>IFERROR(__xludf.DUMMYFUNCTION("""COMPUTED_VALUE"""),"Corey")</f>
        <v>Corey</v>
      </c>
      <c r="F4577" t="str">
        <f>IFERROR(__xludf.DUMMYFUNCTION("""COMPUTED_VALUE"""),"CB")</f>
        <v>CB</v>
      </c>
      <c r="G4577">
        <f>IFERROR(__xludf.DUMMYFUNCTION("""COMPUTED_VALUE"""),14.200000000000001)</f>
        <v>14.2</v>
      </c>
    </row>
    <row r="4578">
      <c r="D4578" t="str">
        <f>IFERROR(__xludf.DUMMYFUNCTION("""COMPUTED_VALUE"""),"White")</f>
        <v>White</v>
      </c>
      <c r="E4578" t="str">
        <f>IFERROR(__xludf.DUMMYFUNCTION("""COMPUTED_VALUE"""),"DJ")</f>
        <v>DJ</v>
      </c>
      <c r="F4578" t="str">
        <f>IFERROR(__xludf.DUMMYFUNCTION("""COMPUTED_VALUE"""),"CB")</f>
        <v>CB</v>
      </c>
      <c r="G4578">
        <f>IFERROR(__xludf.DUMMYFUNCTION("""COMPUTED_VALUE"""),12.600000000000001)</f>
        <v>12.6</v>
      </c>
    </row>
    <row r="4579">
      <c r="D4579" t="str">
        <f>IFERROR(__xludf.DUMMYFUNCTION("""COMPUTED_VALUE"""),"White")</f>
        <v>White</v>
      </c>
      <c r="E4579" t="str">
        <f>IFERROR(__xludf.DUMMYFUNCTION("""COMPUTED_VALUE"""),"James")</f>
        <v>James</v>
      </c>
      <c r="F4579" t="str">
        <f>IFERROR(__xludf.DUMMYFUNCTION("""COMPUTED_VALUE"""),"HB")</f>
        <v>HB</v>
      </c>
      <c r="G4579">
        <f>IFERROR(__xludf.DUMMYFUNCTION("""COMPUTED_VALUE"""),16.2)</f>
        <v>16.2</v>
      </c>
    </row>
    <row r="4580">
      <c r="D4580" t="str">
        <f>IFERROR(__xludf.DUMMYFUNCTION("""COMPUTED_VALUE"""),"White")</f>
        <v>White</v>
      </c>
      <c r="E4580" t="str">
        <f>IFERROR(__xludf.DUMMYFUNCTION("""COMPUTED_VALUE"""),"Kevin")</f>
        <v>Kevin</v>
      </c>
      <c r="F4580" t="str">
        <f>IFERROR(__xludf.DUMMYFUNCTION("""COMPUTED_VALUE"""),"WR")</f>
        <v>WR</v>
      </c>
      <c r="G4580">
        <f>IFERROR(__xludf.DUMMYFUNCTION("""COMPUTED_VALUE"""),14.4)</f>
        <v>14.4</v>
      </c>
    </row>
    <row r="4581">
      <c r="D4581" t="str">
        <f>IFERROR(__xludf.DUMMYFUNCTION("""COMPUTED_VALUE"""),"White")</f>
        <v>White</v>
      </c>
      <c r="E4581" t="str">
        <f>IFERROR(__xludf.DUMMYFUNCTION("""COMPUTED_VALUE"""),"Marquez")</f>
        <v>Marquez</v>
      </c>
      <c r="F4581" t="str">
        <f>IFERROR(__xludf.DUMMYFUNCTION("""COMPUTED_VALUE"""),"CB")</f>
        <v>CB</v>
      </c>
      <c r="G4581">
        <f>IFERROR(__xludf.DUMMYFUNCTION("""COMPUTED_VALUE"""),13.0)</f>
        <v>13</v>
      </c>
    </row>
    <row r="4582">
      <c r="D4582" t="str">
        <f>IFERROR(__xludf.DUMMYFUNCTION("""COMPUTED_VALUE"""),"White")</f>
        <v>White</v>
      </c>
      <c r="E4582" t="str">
        <f>IFERROR(__xludf.DUMMYFUNCTION("""COMPUTED_VALUE"""),"Myles")</f>
        <v>Myles</v>
      </c>
      <c r="F4582" t="str">
        <f>IFERROR(__xludf.DUMMYFUNCTION("""COMPUTED_VALUE"""),"WR")</f>
        <v>WR</v>
      </c>
      <c r="G4582">
        <f>IFERROR(__xludf.DUMMYFUNCTION("""COMPUTED_VALUE"""),12.600000000000001)</f>
        <v>12.6</v>
      </c>
    </row>
    <row r="4583">
      <c r="D4583" t="str">
        <f>IFERROR(__xludf.DUMMYFUNCTION("""COMPUTED_VALUE"""),"White")</f>
        <v>White</v>
      </c>
      <c r="E4583" t="str">
        <f>IFERROR(__xludf.DUMMYFUNCTION("""COMPUTED_VALUE"""),"Tim")</f>
        <v>Tim</v>
      </c>
      <c r="F4583" t="str">
        <f>IFERROR(__xludf.DUMMYFUNCTION("""COMPUTED_VALUE"""),"WR")</f>
        <v>WR</v>
      </c>
      <c r="G4583">
        <f>IFERROR(__xludf.DUMMYFUNCTION("""COMPUTED_VALUE"""),11.4)</f>
        <v>11.4</v>
      </c>
    </row>
    <row r="4584">
      <c r="D4584" t="str">
        <f>IFERROR(__xludf.DUMMYFUNCTION("""COMPUTED_VALUE"""),"White")</f>
        <v>White</v>
      </c>
      <c r="E4584" t="str">
        <f>IFERROR(__xludf.DUMMYFUNCTION("""COMPUTED_VALUE"""),"TreDavious")</f>
        <v>TreDavious</v>
      </c>
      <c r="F4584" t="str">
        <f>IFERROR(__xludf.DUMMYFUNCTION("""COMPUTED_VALUE"""),"CB")</f>
        <v>CB</v>
      </c>
      <c r="G4584">
        <f>IFERROR(__xludf.DUMMYFUNCTION("""COMPUTED_VALUE"""),15.600000000000001)</f>
        <v>15.6</v>
      </c>
    </row>
    <row r="4585">
      <c r="D4585" t="str">
        <f>IFERROR(__xludf.DUMMYFUNCTION("""COMPUTED_VALUE"""),"Whitehair")</f>
        <v>Whitehair</v>
      </c>
      <c r="E4585" t="str">
        <f>IFERROR(__xludf.DUMMYFUNCTION("""COMPUTED_VALUE"""),"Cody")</f>
        <v>Cody</v>
      </c>
      <c r="F4585" t="str">
        <f>IFERROR(__xludf.DUMMYFUNCTION("""COMPUTED_VALUE"""),"C")</f>
        <v>C</v>
      </c>
      <c r="G4585">
        <f>IFERROR(__xludf.DUMMYFUNCTION("""COMPUTED_VALUE"""),17.2)</f>
        <v>17.2</v>
      </c>
    </row>
    <row r="4586">
      <c r="D4586" t="str">
        <f>IFERROR(__xludf.DUMMYFUNCTION("""COMPUTED_VALUE"""),"Whitehead")</f>
        <v>Whitehead</v>
      </c>
      <c r="E4586" t="str">
        <f>IFERROR(__xludf.DUMMYFUNCTION("""COMPUTED_VALUE"""),"Jermaine")</f>
        <v>Jermaine</v>
      </c>
      <c r="F4586" t="str">
        <f>IFERROR(__xludf.DUMMYFUNCTION("""COMPUTED_VALUE"""),"FS")</f>
        <v>FS</v>
      </c>
      <c r="G4586">
        <f>IFERROR(__xludf.DUMMYFUNCTION("""COMPUTED_VALUE"""),11.8)</f>
        <v>11.8</v>
      </c>
    </row>
    <row r="4587">
      <c r="D4587" t="str">
        <f>IFERROR(__xludf.DUMMYFUNCTION("""COMPUTED_VALUE"""),"Whitehead")</f>
        <v>Whitehead</v>
      </c>
      <c r="E4587" t="str">
        <f>IFERROR(__xludf.DUMMYFUNCTION("""COMPUTED_VALUE"""),"Lucky")</f>
        <v>Lucky</v>
      </c>
      <c r="F4587" t="str">
        <f>IFERROR(__xludf.DUMMYFUNCTION("""COMPUTED_VALUE"""),"WR")</f>
        <v>WR</v>
      </c>
      <c r="G4587">
        <f>IFERROR(__xludf.DUMMYFUNCTION("""COMPUTED_VALUE"""),14.0)</f>
        <v>14</v>
      </c>
    </row>
    <row r="4588">
      <c r="D4588" t="str">
        <f>IFERROR(__xludf.DUMMYFUNCTION("""COMPUTED_VALUE"""),"Whitehead")</f>
        <v>Whitehead</v>
      </c>
      <c r="E4588" t="str">
        <f>IFERROR(__xludf.DUMMYFUNCTION("""COMPUTED_VALUE"""),"Tahir")</f>
        <v>Tahir</v>
      </c>
      <c r="F4588" t="str">
        <f>IFERROR(__xludf.DUMMYFUNCTION("""COMPUTED_VALUE"""),"ROLB")</f>
        <v>ROLB</v>
      </c>
      <c r="G4588">
        <f>IFERROR(__xludf.DUMMYFUNCTION("""COMPUTED_VALUE"""),14.8)</f>
        <v>14.8</v>
      </c>
    </row>
    <row r="4589">
      <c r="D4589" t="str">
        <f>IFERROR(__xludf.DUMMYFUNCTION("""COMPUTED_VALUE"""),"Whittaker")</f>
        <v>Whittaker</v>
      </c>
      <c r="E4589" t="str">
        <f>IFERROR(__xludf.DUMMYFUNCTION("""COMPUTED_VALUE"""),"Fozzy")</f>
        <v>Fozzy</v>
      </c>
      <c r="F4589" t="str">
        <f>IFERROR(__xludf.DUMMYFUNCTION("""COMPUTED_VALUE"""),"HB")</f>
        <v>HB</v>
      </c>
      <c r="G4589">
        <f>IFERROR(__xludf.DUMMYFUNCTION("""COMPUTED_VALUE"""),13.8)</f>
        <v>13.8</v>
      </c>
    </row>
    <row r="4590">
      <c r="D4590" t="str">
        <f>IFERROR(__xludf.DUMMYFUNCTION("""COMPUTED_VALUE"""),"Whitworth")</f>
        <v>Whitworth</v>
      </c>
      <c r="E4590" t="str">
        <f>IFERROR(__xludf.DUMMYFUNCTION("""COMPUTED_VALUE"""),"Andrew")</f>
        <v>Andrew</v>
      </c>
      <c r="F4590" t="str">
        <f>IFERROR(__xludf.DUMMYFUNCTION("""COMPUTED_VALUE"""),"LT")</f>
        <v>LT</v>
      </c>
      <c r="G4590">
        <f>IFERROR(__xludf.DUMMYFUNCTION("""COMPUTED_VALUE"""),17.8)</f>
        <v>17.8</v>
      </c>
    </row>
    <row r="4591">
      <c r="D4591" t="str">
        <f>IFERROR(__xludf.DUMMYFUNCTION("""COMPUTED_VALUE"""),"Wichmann")</f>
        <v>Wichmann</v>
      </c>
      <c r="E4591" t="str">
        <f>IFERROR(__xludf.DUMMYFUNCTION("""COMPUTED_VALUE"""),"Cody")</f>
        <v>Cody</v>
      </c>
      <c r="F4591" t="str">
        <f>IFERROR(__xludf.DUMMYFUNCTION("""COMPUTED_VALUE"""),"RG")</f>
        <v>RG</v>
      </c>
      <c r="G4591">
        <f>IFERROR(__xludf.DUMMYFUNCTION("""COMPUTED_VALUE"""),13.8)</f>
        <v>13.8</v>
      </c>
    </row>
    <row r="4592">
      <c r="D4592" t="str">
        <f>IFERROR(__xludf.DUMMYFUNCTION("""COMPUTED_VALUE"""),"Wick")</f>
        <v>Wick</v>
      </c>
      <c r="E4592" t="str">
        <f>IFERROR(__xludf.DUMMYFUNCTION("""COMPUTED_VALUE"""),"Cole")</f>
        <v>Cole</v>
      </c>
      <c r="F4592" t="str">
        <f>IFERROR(__xludf.DUMMYFUNCTION("""COMPUTED_VALUE"""),"TE")</f>
        <v>TE</v>
      </c>
      <c r="G4592">
        <f>IFERROR(__xludf.DUMMYFUNCTION("""COMPUTED_VALUE"""),13.4)</f>
        <v>13.4</v>
      </c>
    </row>
    <row r="4593">
      <c r="D4593" t="str">
        <f>IFERROR(__xludf.DUMMYFUNCTION("""COMPUTED_VALUE"""),"Wiggins")</f>
        <v>Wiggins</v>
      </c>
      <c r="E4593" t="str">
        <f>IFERROR(__xludf.DUMMYFUNCTION("""COMPUTED_VALUE"""),"Kenny")</f>
        <v>Kenny</v>
      </c>
      <c r="F4593" t="str">
        <f>IFERROR(__xludf.DUMMYFUNCTION("""COMPUTED_VALUE"""),"LG")</f>
        <v>LG</v>
      </c>
      <c r="G4593">
        <f>IFERROR(__xludf.DUMMYFUNCTION("""COMPUTED_VALUE"""),13.200000000000001)</f>
        <v>13.2</v>
      </c>
    </row>
    <row r="4594">
      <c r="D4594" t="str">
        <f>IFERROR(__xludf.DUMMYFUNCTION("""COMPUTED_VALUE"""),"Wilber")</f>
        <v>Wilber</v>
      </c>
      <c r="E4594" t="str">
        <f>IFERROR(__xludf.DUMMYFUNCTION("""COMPUTED_VALUE"""),"Kyle")</f>
        <v>Kyle</v>
      </c>
      <c r="F4594" t="str">
        <f>IFERROR(__xludf.DUMMYFUNCTION("""COMPUTED_VALUE"""),"LOLB")</f>
        <v>LOLB</v>
      </c>
      <c r="G4594">
        <f>IFERROR(__xludf.DUMMYFUNCTION("""COMPUTED_VALUE"""),14.600000000000001)</f>
        <v>14.6</v>
      </c>
    </row>
    <row r="4595">
      <c r="D4595" t="str">
        <f>IFERROR(__xludf.DUMMYFUNCTION("""COMPUTED_VALUE"""),"Wilcox")</f>
        <v>Wilcox</v>
      </c>
      <c r="E4595" t="str">
        <f>IFERROR(__xludf.DUMMYFUNCTION("""COMPUTED_VALUE"""),"JJ")</f>
        <v>JJ</v>
      </c>
      <c r="F4595" t="str">
        <f>IFERROR(__xludf.DUMMYFUNCTION("""COMPUTED_VALUE"""),"SS")</f>
        <v>SS</v>
      </c>
      <c r="G4595">
        <f>IFERROR(__xludf.DUMMYFUNCTION("""COMPUTED_VALUE"""),16.2)</f>
        <v>16.2</v>
      </c>
    </row>
    <row r="4596">
      <c r="D4596" t="str">
        <f>IFERROR(__xludf.DUMMYFUNCTION("""COMPUTED_VALUE"""),"Wilds")</f>
        <v>Wilds</v>
      </c>
      <c r="E4596" t="str">
        <f>IFERROR(__xludf.DUMMYFUNCTION("""COMPUTED_VALUE"""),"Brandon")</f>
        <v>Brandon</v>
      </c>
      <c r="F4596" t="str">
        <f>IFERROR(__xludf.DUMMYFUNCTION("""COMPUTED_VALUE"""),"HB")</f>
        <v>HB</v>
      </c>
      <c r="G4596">
        <f>IFERROR(__xludf.DUMMYFUNCTION("""COMPUTED_VALUE"""),13.0)</f>
        <v>13</v>
      </c>
    </row>
    <row r="4597">
      <c r="D4597" t="str">
        <f>IFERROR(__xludf.DUMMYFUNCTION("""COMPUTED_VALUE"""),"Wile")</f>
        <v>Wile</v>
      </c>
      <c r="E4597" t="str">
        <f>IFERROR(__xludf.DUMMYFUNCTION("""COMPUTED_VALUE"""),"Matt")</f>
        <v>Matt</v>
      </c>
      <c r="F4597" t="str">
        <f>IFERROR(__xludf.DUMMYFUNCTION("""COMPUTED_VALUE"""),"P")</f>
        <v>P</v>
      </c>
      <c r="G4597">
        <f>IFERROR(__xludf.DUMMYFUNCTION("""COMPUTED_VALUE"""),14.0)</f>
        <v>14</v>
      </c>
    </row>
    <row r="4598">
      <c r="D4598" t="str">
        <f>IFERROR(__xludf.DUMMYFUNCTION("""COMPUTED_VALUE"""),"Wilhoite")</f>
        <v>Wilhoite</v>
      </c>
      <c r="E4598" t="str">
        <f>IFERROR(__xludf.DUMMYFUNCTION("""COMPUTED_VALUE"""),"Michael")</f>
        <v>Michael</v>
      </c>
      <c r="F4598" t="str">
        <f>IFERROR(__xludf.DUMMYFUNCTION("""COMPUTED_VALUE"""),"MLB")</f>
        <v>MLB</v>
      </c>
      <c r="G4598">
        <f>IFERROR(__xludf.DUMMYFUNCTION("""COMPUTED_VALUE"""),14.0)</f>
        <v>14</v>
      </c>
    </row>
    <row r="4599">
      <c r="D4599" t="str">
        <f>IFERROR(__xludf.DUMMYFUNCTION("""COMPUTED_VALUE"""),"Wilkerson")</f>
        <v>Wilkerson</v>
      </c>
      <c r="E4599" t="str">
        <f>IFERROR(__xludf.DUMMYFUNCTION("""COMPUTED_VALUE"""),"Muhammad")</f>
        <v>Muhammad</v>
      </c>
      <c r="F4599" t="str">
        <f>IFERROR(__xludf.DUMMYFUNCTION("""COMPUTED_VALUE"""),"RE")</f>
        <v>RE</v>
      </c>
      <c r="G4599">
        <f>IFERROR(__xludf.DUMMYFUNCTION("""COMPUTED_VALUE"""),15.8)</f>
        <v>15.8</v>
      </c>
    </row>
    <row r="4600">
      <c r="D4600" t="str">
        <f>IFERROR(__xludf.DUMMYFUNCTION("""COMPUTED_VALUE"""),"Williams")</f>
        <v>Williams</v>
      </c>
      <c r="E4600" t="str">
        <f>IFERROR(__xludf.DUMMYFUNCTION("""COMPUTED_VALUE"""),"Andre")</f>
        <v>Andre</v>
      </c>
      <c r="F4600" t="str">
        <f>IFERROR(__xludf.DUMMYFUNCTION("""COMPUTED_VALUE"""),"HB")</f>
        <v>HB</v>
      </c>
      <c r="G4600">
        <f>IFERROR(__xludf.DUMMYFUNCTION("""COMPUTED_VALUE"""),13.8)</f>
        <v>13.8</v>
      </c>
    </row>
    <row r="4601">
      <c r="D4601" t="str">
        <f>IFERROR(__xludf.DUMMYFUNCTION("""COMPUTED_VALUE"""),"Williams")</f>
        <v>Williams</v>
      </c>
      <c r="E4601" t="str">
        <f>IFERROR(__xludf.DUMMYFUNCTION("""COMPUTED_VALUE"""),"Antwione")</f>
        <v>Antwione</v>
      </c>
      <c r="F4601" t="str">
        <f>IFERROR(__xludf.DUMMYFUNCTION("""COMPUTED_VALUE"""),"LOLB")</f>
        <v>LOLB</v>
      </c>
      <c r="G4601">
        <f>IFERROR(__xludf.DUMMYFUNCTION("""COMPUTED_VALUE"""),13.0)</f>
        <v>13</v>
      </c>
    </row>
    <row r="4602">
      <c r="D4602" t="str">
        <f>IFERROR(__xludf.DUMMYFUNCTION("""COMPUTED_VALUE"""),"Williams")</f>
        <v>Williams</v>
      </c>
      <c r="E4602" t="str">
        <f>IFERROR(__xludf.DUMMYFUNCTION("""COMPUTED_VALUE"""),"Brandon")</f>
        <v>Brandon</v>
      </c>
      <c r="F4602" t="str">
        <f>IFERROR(__xludf.DUMMYFUNCTION("""COMPUTED_VALUE"""),"TE")</f>
        <v>TE</v>
      </c>
      <c r="G4602">
        <f>IFERROR(__xludf.DUMMYFUNCTION("""COMPUTED_VALUE"""),14.200000000000001)</f>
        <v>14.2</v>
      </c>
    </row>
    <row r="4603">
      <c r="D4603" t="str">
        <f>IFERROR(__xludf.DUMMYFUNCTION("""COMPUTED_VALUE"""),"Williams")</f>
        <v>Williams</v>
      </c>
      <c r="E4603" t="str">
        <f>IFERROR(__xludf.DUMMYFUNCTION("""COMPUTED_VALUE"""),"Brandon")</f>
        <v>Brandon</v>
      </c>
      <c r="F4603" t="str">
        <f>IFERROR(__xludf.DUMMYFUNCTION("""COMPUTED_VALUE"""),"DT")</f>
        <v>DT</v>
      </c>
      <c r="G4603">
        <f>IFERROR(__xludf.DUMMYFUNCTION("""COMPUTED_VALUE"""),16.400000000000002)</f>
        <v>16.4</v>
      </c>
    </row>
    <row r="4604">
      <c r="D4604" t="str">
        <f>IFERROR(__xludf.DUMMYFUNCTION("""COMPUTED_VALUE"""),"Williams")</f>
        <v>Williams</v>
      </c>
      <c r="E4604" t="str">
        <f>IFERROR(__xludf.DUMMYFUNCTION("""COMPUTED_VALUE"""),"Brandon")</f>
        <v>Brandon</v>
      </c>
      <c r="F4604" t="str">
        <f>IFERROR(__xludf.DUMMYFUNCTION("""COMPUTED_VALUE"""),"CB")</f>
        <v>CB</v>
      </c>
      <c r="G4604">
        <f>IFERROR(__xludf.DUMMYFUNCTION("""COMPUTED_VALUE"""),13.8)</f>
        <v>13.8</v>
      </c>
    </row>
    <row r="4605">
      <c r="D4605" t="str">
        <f>IFERROR(__xludf.DUMMYFUNCTION("""COMPUTED_VALUE"""),"Williams")</f>
        <v>Williams</v>
      </c>
      <c r="E4605" t="str">
        <f>IFERROR(__xludf.DUMMYFUNCTION("""COMPUTED_VALUE"""),"Chad")</f>
        <v>Chad</v>
      </c>
      <c r="F4605" t="str">
        <f>IFERROR(__xludf.DUMMYFUNCTION("""COMPUTED_VALUE"""),"WR")</f>
        <v>WR</v>
      </c>
      <c r="G4605">
        <f>IFERROR(__xludf.DUMMYFUNCTION("""COMPUTED_VALUE"""),14.4)</f>
        <v>14.4</v>
      </c>
    </row>
    <row r="4606">
      <c r="D4606" t="str">
        <f>IFERROR(__xludf.DUMMYFUNCTION("""COMPUTED_VALUE"""),"Williams")</f>
        <v>Williams</v>
      </c>
      <c r="E4606" t="str">
        <f>IFERROR(__xludf.DUMMYFUNCTION("""COMPUTED_VALUE"""),"Damien")</f>
        <v>Damien</v>
      </c>
      <c r="F4606" t="str">
        <f>IFERROR(__xludf.DUMMYFUNCTION("""COMPUTED_VALUE"""),"HB")</f>
        <v>HB</v>
      </c>
      <c r="G4606">
        <f>IFERROR(__xludf.DUMMYFUNCTION("""COMPUTED_VALUE"""),15.200000000000001)</f>
        <v>15.2</v>
      </c>
    </row>
    <row r="4607">
      <c r="D4607" t="str">
        <f>IFERROR(__xludf.DUMMYFUNCTION("""COMPUTED_VALUE"""),"Williams")</f>
        <v>Williams</v>
      </c>
      <c r="E4607" t="str">
        <f>IFERROR(__xludf.DUMMYFUNCTION("""COMPUTED_VALUE"""),"Darrell")</f>
        <v>Darrell</v>
      </c>
      <c r="F4607" t="str">
        <f>IFERROR(__xludf.DUMMYFUNCTION("""COMPUTED_VALUE"""),"RT")</f>
        <v>RT</v>
      </c>
      <c r="G4607">
        <f>IFERROR(__xludf.DUMMYFUNCTION("""COMPUTED_VALUE"""),13.200000000000001)</f>
        <v>13.2</v>
      </c>
    </row>
    <row r="4608">
      <c r="D4608" t="str">
        <f>IFERROR(__xludf.DUMMYFUNCTION("""COMPUTED_VALUE"""),"Williams")</f>
        <v>Williams</v>
      </c>
      <c r="E4608" t="str">
        <f>IFERROR(__xludf.DUMMYFUNCTION("""COMPUTED_VALUE"""),"Daryl")</f>
        <v>Daryl</v>
      </c>
      <c r="F4608" t="str">
        <f>IFERROR(__xludf.DUMMYFUNCTION("""COMPUTED_VALUE"""),"RT")</f>
        <v>RT</v>
      </c>
      <c r="G4608">
        <f>IFERROR(__xludf.DUMMYFUNCTION("""COMPUTED_VALUE"""),14.0)</f>
        <v>14</v>
      </c>
    </row>
    <row r="4609">
      <c r="D4609" t="str">
        <f>IFERROR(__xludf.DUMMYFUNCTION("""COMPUTED_VALUE"""),"Williams")</f>
        <v>Williams</v>
      </c>
      <c r="E4609" t="str">
        <f>IFERROR(__xludf.DUMMYFUNCTION("""COMPUTED_VALUE"""),"DeShawn")</f>
        <v>DeShawn</v>
      </c>
      <c r="F4609" t="str">
        <f>IFERROR(__xludf.DUMMYFUNCTION("""COMPUTED_VALUE"""),"DT")</f>
        <v>DT</v>
      </c>
      <c r="G4609">
        <f>IFERROR(__xludf.DUMMYFUNCTION("""COMPUTED_VALUE"""),12.200000000000001)</f>
        <v>12.2</v>
      </c>
    </row>
    <row r="4610">
      <c r="D4610" t="str">
        <f>IFERROR(__xludf.DUMMYFUNCTION("""COMPUTED_VALUE"""),"Williams")</f>
        <v>Williams</v>
      </c>
      <c r="E4610" t="str">
        <f>IFERROR(__xludf.DUMMYFUNCTION("""COMPUTED_VALUE"""),"Jamaal")</f>
        <v>Jamaal</v>
      </c>
      <c r="F4610" t="str">
        <f>IFERROR(__xludf.DUMMYFUNCTION("""COMPUTED_VALUE"""),"HB")</f>
        <v>HB</v>
      </c>
      <c r="G4610">
        <f>IFERROR(__xludf.DUMMYFUNCTION("""COMPUTED_VALUE"""),14.4)</f>
        <v>14.4</v>
      </c>
    </row>
    <row r="4611">
      <c r="D4611" t="str">
        <f>IFERROR(__xludf.DUMMYFUNCTION("""COMPUTED_VALUE"""),"Williams")</f>
        <v>Williams</v>
      </c>
      <c r="E4611" t="str">
        <f>IFERROR(__xludf.DUMMYFUNCTION("""COMPUTED_VALUE"""),"Joe")</f>
        <v>Joe</v>
      </c>
      <c r="F4611" t="str">
        <f>IFERROR(__xludf.DUMMYFUNCTION("""COMPUTED_VALUE"""),"HB")</f>
        <v>HB</v>
      </c>
      <c r="G4611">
        <f>IFERROR(__xludf.DUMMYFUNCTION("""COMPUTED_VALUE"""),14.4)</f>
        <v>14.4</v>
      </c>
    </row>
    <row r="4612">
      <c r="D4612" t="str">
        <f>IFERROR(__xludf.DUMMYFUNCTION("""COMPUTED_VALUE"""),"Williams")</f>
        <v>Williams</v>
      </c>
      <c r="E4612" t="str">
        <f>IFERROR(__xludf.DUMMYFUNCTION("""COMPUTED_VALUE"""),"Jonathan")</f>
        <v>Jonathan</v>
      </c>
      <c r="F4612" t="str">
        <f>IFERROR(__xludf.DUMMYFUNCTION("""COMPUTED_VALUE"""),"HB")</f>
        <v>HB</v>
      </c>
      <c r="G4612">
        <f>IFERROR(__xludf.DUMMYFUNCTION("""COMPUTED_VALUE"""),12.8)</f>
        <v>12.8</v>
      </c>
    </row>
    <row r="4613">
      <c r="D4613" t="str">
        <f>IFERROR(__xludf.DUMMYFUNCTION("""COMPUTED_VALUE"""),"Williams")</f>
        <v>Williams</v>
      </c>
      <c r="E4613" t="str">
        <f>IFERROR(__xludf.DUMMYFUNCTION("""COMPUTED_VALUE"""),"Jordan")</f>
        <v>Jordan</v>
      </c>
      <c r="F4613" t="str">
        <f>IFERROR(__xludf.DUMMYFUNCTION("""COMPUTED_VALUE"""),"DT")</f>
        <v>DT</v>
      </c>
      <c r="G4613">
        <f>IFERROR(__xludf.DUMMYFUNCTION("""COMPUTED_VALUE"""),12.0)</f>
        <v>12</v>
      </c>
    </row>
    <row r="4614">
      <c r="D4614" t="str">
        <f>IFERROR(__xludf.DUMMYFUNCTION("""COMPUTED_VALUE"""),"Williams")</f>
        <v>Williams</v>
      </c>
      <c r="E4614" t="str">
        <f>IFERROR(__xludf.DUMMYFUNCTION("""COMPUTED_VALUE"""),"Kasen")</f>
        <v>Kasen</v>
      </c>
      <c r="F4614" t="str">
        <f>IFERROR(__xludf.DUMMYFUNCTION("""COMPUTED_VALUE"""),"WR")</f>
        <v>WR</v>
      </c>
      <c r="G4614">
        <f>IFERROR(__xludf.DUMMYFUNCTION("""COMPUTED_VALUE"""),12.600000000000001)</f>
        <v>12.6</v>
      </c>
    </row>
    <row r="4615">
      <c r="D4615" t="str">
        <f>IFERROR(__xludf.DUMMYFUNCTION("""COMPUTED_VALUE"""),"Williams")</f>
        <v>Williams</v>
      </c>
      <c r="E4615" t="str">
        <f>IFERROR(__xludf.DUMMYFUNCTION("""COMPUTED_VALUE"""),"Kerwynn")</f>
        <v>Kerwynn</v>
      </c>
      <c r="F4615" t="str">
        <f>IFERROR(__xludf.DUMMYFUNCTION("""COMPUTED_VALUE"""),"HB")</f>
        <v>HB</v>
      </c>
      <c r="G4615">
        <f>IFERROR(__xludf.DUMMYFUNCTION("""COMPUTED_VALUE"""),14.600000000000001)</f>
        <v>14.6</v>
      </c>
    </row>
    <row r="4616">
      <c r="D4616" t="str">
        <f>IFERROR(__xludf.DUMMYFUNCTION("""COMPUTED_VALUE"""),"Williams")</f>
        <v>Williams</v>
      </c>
      <c r="E4616" t="str">
        <f>IFERROR(__xludf.DUMMYFUNCTION("""COMPUTED_VALUE"""),"KWaun")</f>
        <v>KWaun</v>
      </c>
      <c r="F4616" t="str">
        <f>IFERROR(__xludf.DUMMYFUNCTION("""COMPUTED_VALUE"""),"CB")</f>
        <v>CB</v>
      </c>
      <c r="G4616">
        <f>IFERROR(__xludf.DUMMYFUNCTION("""COMPUTED_VALUE"""),14.8)</f>
        <v>14.8</v>
      </c>
    </row>
    <row r="4617">
      <c r="D4617" t="str">
        <f>IFERROR(__xludf.DUMMYFUNCTION("""COMPUTED_VALUE"""),"Williams")</f>
        <v>Williams</v>
      </c>
      <c r="E4617" t="str">
        <f>IFERROR(__xludf.DUMMYFUNCTION("""COMPUTED_VALUE"""),"Kyle")</f>
        <v>Kyle</v>
      </c>
      <c r="F4617" t="str">
        <f>IFERROR(__xludf.DUMMYFUNCTION("""COMPUTED_VALUE"""),"DT")</f>
        <v>DT</v>
      </c>
      <c r="G4617">
        <f>IFERROR(__xludf.DUMMYFUNCTION("""COMPUTED_VALUE"""),17.400000000000002)</f>
        <v>17.4</v>
      </c>
    </row>
    <row r="4618">
      <c r="D4618" t="str">
        <f>IFERROR(__xludf.DUMMYFUNCTION("""COMPUTED_VALUE"""),"Williams")</f>
        <v>Williams</v>
      </c>
      <c r="E4618" t="str">
        <f>IFERROR(__xludf.DUMMYFUNCTION("""COMPUTED_VALUE"""),"Leonard")</f>
        <v>Leonard</v>
      </c>
      <c r="F4618" t="str">
        <f>IFERROR(__xludf.DUMMYFUNCTION("""COMPUTED_VALUE"""),"LE")</f>
        <v>LE</v>
      </c>
      <c r="G4618">
        <f>IFERROR(__xludf.DUMMYFUNCTION("""COMPUTED_VALUE"""),17.0)</f>
        <v>17</v>
      </c>
    </row>
    <row r="4619">
      <c r="D4619" t="str">
        <f>IFERROR(__xludf.DUMMYFUNCTION("""COMPUTED_VALUE"""),"Williams")</f>
        <v>Williams</v>
      </c>
      <c r="E4619" t="str">
        <f>IFERROR(__xludf.DUMMYFUNCTION("""COMPUTED_VALUE"""),"Marcus")</f>
        <v>Marcus</v>
      </c>
      <c r="F4619" t="str">
        <f>IFERROR(__xludf.DUMMYFUNCTION("""COMPUTED_VALUE"""),"FS")</f>
        <v>FS</v>
      </c>
      <c r="G4619">
        <f>IFERROR(__xludf.DUMMYFUNCTION("""COMPUTED_VALUE"""),15.0)</f>
        <v>15</v>
      </c>
    </row>
    <row r="4620">
      <c r="D4620" t="str">
        <f>IFERROR(__xludf.DUMMYFUNCTION("""COMPUTED_VALUE"""),"Williams")</f>
        <v>Williams</v>
      </c>
      <c r="E4620" t="str">
        <f>IFERROR(__xludf.DUMMYFUNCTION("""COMPUTED_VALUE"""),"Marcus")</f>
        <v>Marcus</v>
      </c>
      <c r="F4620" t="str">
        <f>IFERROR(__xludf.DUMMYFUNCTION("""COMPUTED_VALUE"""),"CB")</f>
        <v>CB</v>
      </c>
      <c r="G4620">
        <f>IFERROR(__xludf.DUMMYFUNCTION("""COMPUTED_VALUE"""),14.8)</f>
        <v>14.8</v>
      </c>
    </row>
    <row r="4621">
      <c r="D4621" t="str">
        <f>IFERROR(__xludf.DUMMYFUNCTION("""COMPUTED_VALUE"""),"Williams")</f>
        <v>Williams</v>
      </c>
      <c r="E4621" t="str">
        <f>IFERROR(__xludf.DUMMYFUNCTION("""COMPUTED_VALUE"""),"Marquez")</f>
        <v>Marquez</v>
      </c>
      <c r="F4621" t="str">
        <f>IFERROR(__xludf.DUMMYFUNCTION("""COMPUTED_VALUE"""),"FB")</f>
        <v>FB</v>
      </c>
      <c r="G4621">
        <f>IFERROR(__xludf.DUMMYFUNCTION("""COMPUTED_VALUE"""),13.600000000000001)</f>
        <v>13.6</v>
      </c>
    </row>
    <row r="4622">
      <c r="D4622" t="str">
        <f>IFERROR(__xludf.DUMMYFUNCTION("""COMPUTED_VALUE"""),"Williams")</f>
        <v>Williams</v>
      </c>
      <c r="E4622" t="str">
        <f>IFERROR(__xludf.DUMMYFUNCTION("""COMPUTED_VALUE"""),"Maxx")</f>
        <v>Maxx</v>
      </c>
      <c r="F4622" t="str">
        <f>IFERROR(__xludf.DUMMYFUNCTION("""COMPUTED_VALUE"""),"TE")</f>
        <v>TE</v>
      </c>
      <c r="G4622">
        <f>IFERROR(__xludf.DUMMYFUNCTION("""COMPUTED_VALUE"""),15.200000000000001)</f>
        <v>15.2</v>
      </c>
    </row>
    <row r="4623">
      <c r="D4623" t="str">
        <f>IFERROR(__xludf.DUMMYFUNCTION("""COMPUTED_VALUE"""),"Williams")</f>
        <v>Williams</v>
      </c>
      <c r="E4623" t="str">
        <f>IFERROR(__xludf.DUMMYFUNCTION("""COMPUTED_VALUE"""),"Mike")</f>
        <v>Mike</v>
      </c>
      <c r="F4623" t="str">
        <f>IFERROR(__xludf.DUMMYFUNCTION("""COMPUTED_VALUE"""),"WR")</f>
        <v>WR</v>
      </c>
      <c r="G4623">
        <f>IFERROR(__xludf.DUMMYFUNCTION("""COMPUTED_VALUE"""),15.8)</f>
        <v>15.8</v>
      </c>
    </row>
    <row r="4624">
      <c r="D4624" t="str">
        <f>IFERROR(__xludf.DUMMYFUNCTION("""COMPUTED_VALUE"""),"Williams")</f>
        <v>Williams</v>
      </c>
      <c r="E4624" t="str">
        <f>IFERROR(__xludf.DUMMYFUNCTION("""COMPUTED_VALUE"""),"Nick")</f>
        <v>Nick</v>
      </c>
      <c r="F4624" t="str">
        <f>IFERROR(__xludf.DUMMYFUNCTION("""COMPUTED_VALUE"""),"WR")</f>
        <v>WR</v>
      </c>
      <c r="G4624">
        <f>IFERROR(__xludf.DUMMYFUNCTION("""COMPUTED_VALUE"""),14.0)</f>
        <v>14</v>
      </c>
    </row>
    <row r="4625">
      <c r="D4625" t="str">
        <f>IFERROR(__xludf.DUMMYFUNCTION("""COMPUTED_VALUE"""),"Williams")</f>
        <v>Williams</v>
      </c>
      <c r="E4625" t="str">
        <f>IFERROR(__xludf.DUMMYFUNCTION("""COMPUTED_VALUE"""),"Nick")</f>
        <v>Nick</v>
      </c>
      <c r="F4625" t="str">
        <f>IFERROR(__xludf.DUMMYFUNCTION("""COMPUTED_VALUE"""),"LE")</f>
        <v>LE</v>
      </c>
      <c r="G4625">
        <f>IFERROR(__xludf.DUMMYFUNCTION("""COMPUTED_VALUE"""),13.600000000000001)</f>
        <v>13.6</v>
      </c>
    </row>
    <row r="4626">
      <c r="D4626" t="str">
        <f>IFERROR(__xludf.DUMMYFUNCTION("""COMPUTED_VALUE"""),"Williams")</f>
        <v>Williams</v>
      </c>
      <c r="E4626" t="str">
        <f>IFERROR(__xludf.DUMMYFUNCTION("""COMPUTED_VALUE"""),"PJ")</f>
        <v>PJ</v>
      </c>
      <c r="F4626" t="str">
        <f>IFERROR(__xludf.DUMMYFUNCTION("""COMPUTED_VALUE"""),"CB")</f>
        <v>CB</v>
      </c>
      <c r="G4626">
        <f>IFERROR(__xludf.DUMMYFUNCTION("""COMPUTED_VALUE"""),14.8)</f>
        <v>14.8</v>
      </c>
    </row>
    <row r="4627">
      <c r="D4627" t="str">
        <f>IFERROR(__xludf.DUMMYFUNCTION("""COMPUTED_VALUE"""),"Williams")</f>
        <v>Williams</v>
      </c>
      <c r="E4627" t="str">
        <f>IFERROR(__xludf.DUMMYFUNCTION("""COMPUTED_VALUE"""),"Shawn")</f>
        <v>Shawn</v>
      </c>
      <c r="F4627" t="str">
        <f>IFERROR(__xludf.DUMMYFUNCTION("""COMPUTED_VALUE"""),"SS")</f>
        <v>SS</v>
      </c>
      <c r="G4627">
        <f>IFERROR(__xludf.DUMMYFUNCTION("""COMPUTED_VALUE"""),16.0)</f>
        <v>16</v>
      </c>
    </row>
    <row r="4628">
      <c r="D4628" t="str">
        <f>IFERROR(__xludf.DUMMYFUNCTION("""COMPUTED_VALUE"""),"Williams")</f>
        <v>Williams</v>
      </c>
      <c r="E4628" t="str">
        <f>IFERROR(__xludf.DUMMYFUNCTION("""COMPUTED_VALUE"""),"Sylvester")</f>
        <v>Sylvester</v>
      </c>
      <c r="F4628" t="str">
        <f>IFERROR(__xludf.DUMMYFUNCTION("""COMPUTED_VALUE"""),"DT")</f>
        <v>DT</v>
      </c>
      <c r="G4628">
        <f>IFERROR(__xludf.DUMMYFUNCTION("""COMPUTED_VALUE"""),14.4)</f>
        <v>14.4</v>
      </c>
    </row>
    <row r="4629">
      <c r="D4629" t="str">
        <f>IFERROR(__xludf.DUMMYFUNCTION("""COMPUTED_VALUE"""),"Williams")</f>
        <v>Williams</v>
      </c>
      <c r="E4629" t="str">
        <f>IFERROR(__xludf.DUMMYFUNCTION("""COMPUTED_VALUE"""),"Teddy")</f>
        <v>Teddy</v>
      </c>
      <c r="F4629" t="str">
        <f>IFERROR(__xludf.DUMMYFUNCTION("""COMPUTED_VALUE"""),"CB")</f>
        <v>CB</v>
      </c>
      <c r="G4629">
        <f>IFERROR(__xludf.DUMMYFUNCTION("""COMPUTED_VALUE"""),12.4)</f>
        <v>12.4</v>
      </c>
    </row>
    <row r="4630">
      <c r="D4630" t="str">
        <f>IFERROR(__xludf.DUMMYFUNCTION("""COMPUTED_VALUE"""),"Williams")</f>
        <v>Williams</v>
      </c>
      <c r="E4630" t="str">
        <f>IFERROR(__xludf.DUMMYFUNCTION("""COMPUTED_VALUE"""),"Terrance")</f>
        <v>Terrance</v>
      </c>
      <c r="F4630" t="str">
        <f>IFERROR(__xludf.DUMMYFUNCTION("""COMPUTED_VALUE"""),"WR")</f>
        <v>WR</v>
      </c>
      <c r="G4630">
        <f>IFERROR(__xludf.DUMMYFUNCTION("""COMPUTED_VALUE"""),16.0)</f>
        <v>16</v>
      </c>
    </row>
    <row r="4631">
      <c r="D4631" t="str">
        <f>IFERROR(__xludf.DUMMYFUNCTION("""COMPUTED_VALUE"""),"Williams")</f>
        <v>Williams</v>
      </c>
      <c r="E4631" t="str">
        <f>IFERROR(__xludf.DUMMYFUNCTION("""COMPUTED_VALUE"""),"Tim")</f>
        <v>Tim</v>
      </c>
      <c r="F4631" t="str">
        <f>IFERROR(__xludf.DUMMYFUNCTION("""COMPUTED_VALUE"""),"ROLB")</f>
        <v>ROLB</v>
      </c>
      <c r="G4631">
        <f>IFERROR(__xludf.DUMMYFUNCTION("""COMPUTED_VALUE"""),14.200000000000001)</f>
        <v>14.2</v>
      </c>
    </row>
    <row r="4632">
      <c r="D4632" t="str">
        <f>IFERROR(__xludf.DUMMYFUNCTION("""COMPUTED_VALUE"""),"Williams")</f>
        <v>Williams</v>
      </c>
      <c r="E4632" t="str">
        <f>IFERROR(__xludf.DUMMYFUNCTION("""COMPUTED_VALUE"""),"Trent")</f>
        <v>Trent</v>
      </c>
      <c r="F4632" t="str">
        <f>IFERROR(__xludf.DUMMYFUNCTION("""COMPUTED_VALUE"""),"LT")</f>
        <v>LT</v>
      </c>
      <c r="G4632">
        <f>IFERROR(__xludf.DUMMYFUNCTION("""COMPUTED_VALUE"""),19.0)</f>
        <v>19</v>
      </c>
    </row>
    <row r="4633">
      <c r="D4633" t="str">
        <f>IFERROR(__xludf.DUMMYFUNCTION("""COMPUTED_VALUE"""),"Williams")</f>
        <v>Williams</v>
      </c>
      <c r="E4633" t="str">
        <f>IFERROR(__xludf.DUMMYFUNCTION("""COMPUTED_VALUE"""),"Trevor")</f>
        <v>Trevor</v>
      </c>
      <c r="F4633" t="str">
        <f>IFERROR(__xludf.DUMMYFUNCTION("""COMPUTED_VALUE"""),"CB")</f>
        <v>CB</v>
      </c>
      <c r="G4633">
        <f>IFERROR(__xludf.DUMMYFUNCTION("""COMPUTED_VALUE"""),13.200000000000001)</f>
        <v>13.2</v>
      </c>
    </row>
    <row r="4634">
      <c r="D4634" t="str">
        <f>IFERROR(__xludf.DUMMYFUNCTION("""COMPUTED_VALUE"""),"Williams")</f>
        <v>Williams</v>
      </c>
      <c r="E4634" t="str">
        <f>IFERROR(__xludf.DUMMYFUNCTION("""COMPUTED_VALUE"""),"Tyrell")</f>
        <v>Tyrell</v>
      </c>
      <c r="F4634" t="str">
        <f>IFERROR(__xludf.DUMMYFUNCTION("""COMPUTED_VALUE"""),"WR")</f>
        <v>WR</v>
      </c>
      <c r="G4634">
        <f>IFERROR(__xludf.DUMMYFUNCTION("""COMPUTED_VALUE"""),16.0)</f>
        <v>16</v>
      </c>
    </row>
    <row r="4635">
      <c r="D4635" t="str">
        <f>IFERROR(__xludf.DUMMYFUNCTION("""COMPUTED_VALUE"""),"Williams")</f>
        <v>Williams</v>
      </c>
      <c r="E4635" t="str">
        <f>IFERROR(__xludf.DUMMYFUNCTION("""COMPUTED_VALUE"""),"Vince")</f>
        <v>Vince</v>
      </c>
      <c r="F4635" t="str">
        <f>IFERROR(__xludf.DUMMYFUNCTION("""COMPUTED_VALUE"""),"MLB")</f>
        <v>MLB</v>
      </c>
      <c r="G4635">
        <f>IFERROR(__xludf.DUMMYFUNCTION("""COMPUTED_VALUE"""),14.8)</f>
        <v>14.8</v>
      </c>
    </row>
    <row r="4636">
      <c r="D4636" t="str">
        <f>IFERROR(__xludf.DUMMYFUNCTION("""COMPUTED_VALUE"""),"Williams")</f>
        <v>Williams</v>
      </c>
      <c r="E4636" t="str">
        <f>IFERROR(__xludf.DUMMYFUNCTION("""COMPUTED_VALUE"""),"Wendall")</f>
        <v>Wendall</v>
      </c>
      <c r="F4636" t="str">
        <f>IFERROR(__xludf.DUMMYFUNCTION("""COMPUTED_VALUE"""),"WR")</f>
        <v>WR</v>
      </c>
      <c r="G4636">
        <f>IFERROR(__xludf.DUMMYFUNCTION("""COMPUTED_VALUE"""),12.4)</f>
        <v>12.4</v>
      </c>
    </row>
    <row r="4637">
      <c r="D4637" t="str">
        <f>IFERROR(__xludf.DUMMYFUNCTION("""COMPUTED_VALUE"""),"Williams")</f>
        <v>Williams</v>
      </c>
      <c r="E4637" t="str">
        <f>IFERROR(__xludf.DUMMYFUNCTION("""COMPUTED_VALUE"""),"Xavier")</f>
        <v>Xavier</v>
      </c>
      <c r="F4637" t="str">
        <f>IFERROR(__xludf.DUMMYFUNCTION("""COMPUTED_VALUE"""),"DT")</f>
        <v>DT</v>
      </c>
      <c r="G4637">
        <f>IFERROR(__xludf.DUMMYFUNCTION("""COMPUTED_VALUE"""),12.0)</f>
        <v>12</v>
      </c>
    </row>
    <row r="4638">
      <c r="D4638" t="str">
        <f>IFERROR(__xludf.DUMMYFUNCTION("""COMPUTED_VALUE"""),"Williamson")</f>
        <v>Williamson</v>
      </c>
      <c r="E4638" t="str">
        <f>IFERROR(__xludf.DUMMYFUNCTION("""COMPUTED_VALUE"""),"Avery")</f>
        <v>Avery</v>
      </c>
      <c r="F4638" t="str">
        <f>IFERROR(__xludf.DUMMYFUNCTION("""COMPUTED_VALUE"""),"MLB")</f>
        <v>MLB</v>
      </c>
      <c r="G4638">
        <f>IFERROR(__xludf.DUMMYFUNCTION("""COMPUTED_VALUE"""),15.8)</f>
        <v>15.8</v>
      </c>
    </row>
    <row r="4639">
      <c r="D4639" t="str">
        <f>IFERROR(__xludf.DUMMYFUNCTION("""COMPUTED_VALUE"""),"Willis")</f>
        <v>Willis</v>
      </c>
      <c r="E4639" t="str">
        <f>IFERROR(__xludf.DUMMYFUNCTION("""COMPUTED_VALUE"""),"Jordan")</f>
        <v>Jordan</v>
      </c>
      <c r="F4639" t="str">
        <f>IFERROR(__xludf.DUMMYFUNCTION("""COMPUTED_VALUE"""),"RE")</f>
        <v>RE</v>
      </c>
      <c r="G4639">
        <f>IFERROR(__xludf.DUMMYFUNCTION("""COMPUTED_VALUE"""),15.200000000000001)</f>
        <v>15.2</v>
      </c>
    </row>
    <row r="4640">
      <c r="D4640" t="str">
        <f>IFERROR(__xludf.DUMMYFUNCTION("""COMPUTED_VALUE"""),"Willson")</f>
        <v>Willson</v>
      </c>
      <c r="E4640" t="str">
        <f>IFERROR(__xludf.DUMMYFUNCTION("""COMPUTED_VALUE"""),"Luke")</f>
        <v>Luke</v>
      </c>
      <c r="F4640" t="str">
        <f>IFERROR(__xludf.DUMMYFUNCTION("""COMPUTED_VALUE"""),"TE")</f>
        <v>TE</v>
      </c>
      <c r="G4640">
        <f>IFERROR(__xludf.DUMMYFUNCTION("""COMPUTED_VALUE"""),15.200000000000001)</f>
        <v>15.2</v>
      </c>
    </row>
    <row r="4641">
      <c r="D4641" t="str">
        <f>IFERROR(__xludf.DUMMYFUNCTION("""COMPUTED_VALUE"""),"Wilson")</f>
        <v>Wilson</v>
      </c>
      <c r="E4641" t="str">
        <f>IFERROR(__xludf.DUMMYFUNCTION("""COMPUTED_VALUE"""),"Albert")</f>
        <v>Albert</v>
      </c>
      <c r="F4641" t="str">
        <f>IFERROR(__xludf.DUMMYFUNCTION("""COMPUTED_VALUE"""),"WR")</f>
        <v>WR</v>
      </c>
      <c r="G4641">
        <f>IFERROR(__xludf.DUMMYFUNCTION("""COMPUTED_VALUE"""),14.8)</f>
        <v>14.8</v>
      </c>
    </row>
    <row r="4642">
      <c r="D4642" t="str">
        <f>IFERROR(__xludf.DUMMYFUNCTION("""COMPUTED_VALUE"""),"Wilson")</f>
        <v>Wilson</v>
      </c>
      <c r="E4642" t="str">
        <f>IFERROR(__xludf.DUMMYFUNCTION("""COMPUTED_VALUE"""),"Brandon")</f>
        <v>Brandon</v>
      </c>
      <c r="F4642" t="str">
        <f>IFERROR(__xludf.DUMMYFUNCTION("""COMPUTED_VALUE"""),"HB")</f>
        <v>HB</v>
      </c>
      <c r="G4642">
        <f>IFERROR(__xludf.DUMMYFUNCTION("""COMPUTED_VALUE"""),12.8)</f>
        <v>12.8</v>
      </c>
    </row>
    <row r="4643">
      <c r="D4643" t="str">
        <f>IFERROR(__xludf.DUMMYFUNCTION("""COMPUTED_VALUE"""),"Wilson")</f>
        <v>Wilson</v>
      </c>
      <c r="E4643" t="str">
        <f>IFERROR(__xludf.DUMMYFUNCTION("""COMPUTED_VALUE"""),"CJ")</f>
        <v>CJ</v>
      </c>
      <c r="F4643" t="str">
        <f>IFERROR(__xludf.DUMMYFUNCTION("""COMPUTED_VALUE"""),"DT")</f>
        <v>DT</v>
      </c>
      <c r="G4643">
        <f>IFERROR(__xludf.DUMMYFUNCTION("""COMPUTED_VALUE"""),14.200000000000001)</f>
        <v>14.2</v>
      </c>
    </row>
    <row r="4644">
      <c r="D4644" t="str">
        <f>IFERROR(__xludf.DUMMYFUNCTION("""COMPUTED_VALUE"""),"Wilson")</f>
        <v>Wilson</v>
      </c>
      <c r="E4644" t="str">
        <f>IFERROR(__xludf.DUMMYFUNCTION("""COMPUTED_VALUE"""),"Damien")</f>
        <v>Damien</v>
      </c>
      <c r="F4644" t="str">
        <f>IFERROR(__xludf.DUMMYFUNCTION("""COMPUTED_VALUE"""),"LOLB")</f>
        <v>LOLB</v>
      </c>
      <c r="G4644">
        <f>IFERROR(__xludf.DUMMYFUNCTION("""COMPUTED_VALUE"""),14.600000000000001)</f>
        <v>14.6</v>
      </c>
    </row>
    <row r="4645">
      <c r="D4645" t="str">
        <f>IFERROR(__xludf.DUMMYFUNCTION("""COMPUTED_VALUE"""),"Wilson")</f>
        <v>Wilson</v>
      </c>
      <c r="E4645" t="str">
        <f>IFERROR(__xludf.DUMMYFUNCTION("""COMPUTED_VALUE"""),"Eric")</f>
        <v>Eric</v>
      </c>
      <c r="F4645" t="str">
        <f>IFERROR(__xludf.DUMMYFUNCTION("""COMPUTED_VALUE"""),"LOLB")</f>
        <v>LOLB</v>
      </c>
      <c r="G4645">
        <f>IFERROR(__xludf.DUMMYFUNCTION("""COMPUTED_VALUE"""),12.200000000000001)</f>
        <v>12.2</v>
      </c>
    </row>
    <row r="4646">
      <c r="D4646" t="str">
        <f>IFERROR(__xludf.DUMMYFUNCTION("""COMPUTED_VALUE"""),"Wilson")</f>
        <v>Wilson</v>
      </c>
      <c r="E4646" t="str">
        <f>IFERROR(__xludf.DUMMYFUNCTION("""COMPUTED_VALUE"""),"Howard")</f>
        <v>Howard</v>
      </c>
      <c r="F4646" t="str">
        <f>IFERROR(__xludf.DUMMYFUNCTION("""COMPUTED_VALUE"""),"CB")</f>
        <v>CB</v>
      </c>
      <c r="G4646">
        <f>IFERROR(__xludf.DUMMYFUNCTION("""COMPUTED_VALUE"""),13.8)</f>
        <v>13.8</v>
      </c>
    </row>
    <row r="4647">
      <c r="D4647" t="str">
        <f>IFERROR(__xludf.DUMMYFUNCTION("""COMPUTED_VALUE"""),"Wilson")</f>
        <v>Wilson</v>
      </c>
      <c r="E4647" t="str">
        <f>IFERROR(__xludf.DUMMYFUNCTION("""COMPUTED_VALUE"""),"Jarrod")</f>
        <v>Jarrod</v>
      </c>
      <c r="F4647" t="str">
        <f>IFERROR(__xludf.DUMMYFUNCTION("""COMPUTED_VALUE"""),"SS")</f>
        <v>SS</v>
      </c>
      <c r="G4647">
        <f>IFERROR(__xludf.DUMMYFUNCTION("""COMPUTED_VALUE"""),12.4)</f>
        <v>12.4</v>
      </c>
    </row>
    <row r="4648">
      <c r="D4648" t="str">
        <f>IFERROR(__xludf.DUMMYFUNCTION("""COMPUTED_VALUE"""),"Wilson")</f>
        <v>Wilson</v>
      </c>
      <c r="E4648" t="str">
        <f>IFERROR(__xludf.DUMMYFUNCTION("""COMPUTED_VALUE"""),"Quincy")</f>
        <v>Quincy</v>
      </c>
      <c r="F4648" t="str">
        <f>IFERROR(__xludf.DUMMYFUNCTION("""COMPUTED_VALUE"""),"CB")</f>
        <v>CB</v>
      </c>
      <c r="G4648">
        <f>IFERROR(__xludf.DUMMYFUNCTION("""COMPUTED_VALUE"""),14.8)</f>
        <v>14.8</v>
      </c>
    </row>
    <row r="4649">
      <c r="D4649" t="str">
        <f>IFERROR(__xludf.DUMMYFUNCTION("""COMPUTED_VALUE"""),"Wilson")</f>
        <v>Wilson</v>
      </c>
      <c r="E4649" t="str">
        <f>IFERROR(__xludf.DUMMYFUNCTION("""COMPUTED_VALUE"""),"Ramik")</f>
        <v>Ramik</v>
      </c>
      <c r="F4649" t="str">
        <f>IFERROR(__xludf.DUMMYFUNCTION("""COMPUTED_VALUE"""),"MLB")</f>
        <v>MLB</v>
      </c>
      <c r="G4649">
        <f>IFERROR(__xludf.DUMMYFUNCTION("""COMPUTED_VALUE"""),15.8)</f>
        <v>15.8</v>
      </c>
    </row>
    <row r="4650">
      <c r="D4650" t="str">
        <f>IFERROR(__xludf.DUMMYFUNCTION("""COMPUTED_VALUE"""),"Wilson")</f>
        <v>Wilson</v>
      </c>
      <c r="E4650" t="str">
        <f>IFERROR(__xludf.DUMMYFUNCTION("""COMPUTED_VALUE"""),"Russell")</f>
        <v>Russell</v>
      </c>
      <c r="F4650" t="str">
        <f>IFERROR(__xludf.DUMMYFUNCTION("""COMPUTED_VALUE"""),"QB")</f>
        <v>QB</v>
      </c>
      <c r="G4650">
        <f>IFERROR(__xludf.DUMMYFUNCTION("""COMPUTED_VALUE"""),18.0)</f>
        <v>18</v>
      </c>
    </row>
    <row r="4651">
      <c r="D4651" t="str">
        <f>IFERROR(__xludf.DUMMYFUNCTION("""COMPUTED_VALUE"""),"Wilson Jr")</f>
        <v>Wilson Jr</v>
      </c>
      <c r="E4651" t="str">
        <f>IFERROR(__xludf.DUMMYFUNCTION("""COMPUTED_VALUE"""),"Bobo")</f>
        <v>Bobo</v>
      </c>
      <c r="F4651" t="str">
        <f>IFERROR(__xludf.DUMMYFUNCTION("""COMPUTED_VALUE"""),"WR")</f>
        <v>WR</v>
      </c>
      <c r="G4651">
        <f>IFERROR(__xludf.DUMMYFUNCTION("""COMPUTED_VALUE"""),12.4)</f>
        <v>12.4</v>
      </c>
    </row>
    <row r="4652">
      <c r="D4652" t="str">
        <f>IFERROR(__xludf.DUMMYFUNCTION("""COMPUTED_VALUE"""),"Wilson Sr")</f>
        <v>Wilson Sr</v>
      </c>
      <c r="E4652" t="str">
        <f>IFERROR(__xludf.DUMMYFUNCTION("""COMPUTED_VALUE"""),"Tavon")</f>
        <v>Tavon</v>
      </c>
      <c r="F4652" t="str">
        <f>IFERROR(__xludf.DUMMYFUNCTION("""COMPUTED_VALUE"""),"SS")</f>
        <v>SS</v>
      </c>
      <c r="G4652">
        <f>IFERROR(__xludf.DUMMYFUNCTION("""COMPUTED_VALUE"""),16.400000000000002)</f>
        <v>16.4</v>
      </c>
    </row>
    <row r="4653">
      <c r="D4653" t="str">
        <f>IFERROR(__xludf.DUMMYFUNCTION("""COMPUTED_VALUE"""),"Winchester")</f>
        <v>Winchester</v>
      </c>
      <c r="E4653" t="str">
        <f>IFERROR(__xludf.DUMMYFUNCTION("""COMPUTED_VALUE"""),"James")</f>
        <v>James</v>
      </c>
      <c r="F4653" t="str">
        <f>IFERROR(__xludf.DUMMYFUNCTION("""COMPUTED_VALUE"""),"TE")</f>
        <v>TE</v>
      </c>
      <c r="G4653">
        <f>IFERROR(__xludf.DUMMYFUNCTION("""COMPUTED_VALUE"""),8.6)</f>
        <v>8.6</v>
      </c>
    </row>
    <row r="4654">
      <c r="D4654" t="str">
        <f>IFERROR(__xludf.DUMMYFUNCTION("""COMPUTED_VALUE"""),"Windt")</f>
        <v>Windt</v>
      </c>
      <c r="E4654" t="str">
        <f>IFERROR(__xludf.DUMMYFUNCTION("""COMPUTED_VALUE"""),"Mike")</f>
        <v>Mike</v>
      </c>
      <c r="F4654" t="str">
        <f>IFERROR(__xludf.DUMMYFUNCTION("""COMPUTED_VALUE"""),"TE")</f>
        <v>TE</v>
      </c>
      <c r="G4654">
        <f>IFERROR(__xludf.DUMMYFUNCTION("""COMPUTED_VALUE"""),9.4)</f>
        <v>9.4</v>
      </c>
    </row>
    <row r="4655">
      <c r="D4655" t="str">
        <f>IFERROR(__xludf.DUMMYFUNCTION("""COMPUTED_VALUE"""),"Wing")</f>
        <v>Wing</v>
      </c>
      <c r="E4655" t="str">
        <f>IFERROR(__xludf.DUMMYFUNCTION("""COMPUTED_VALUE"""),"Brad")</f>
        <v>Brad</v>
      </c>
      <c r="F4655" t="str">
        <f>IFERROR(__xludf.DUMMYFUNCTION("""COMPUTED_VALUE"""),"P")</f>
        <v>P</v>
      </c>
      <c r="G4655">
        <f>IFERROR(__xludf.DUMMYFUNCTION("""COMPUTED_VALUE"""),15.4)</f>
        <v>15.4</v>
      </c>
    </row>
    <row r="4656">
      <c r="D4656" t="str">
        <f>IFERROR(__xludf.DUMMYFUNCTION("""COMPUTED_VALUE"""),"Winn")</f>
        <v>Winn</v>
      </c>
      <c r="E4656" t="str">
        <f>IFERROR(__xludf.DUMMYFUNCTION("""COMPUTED_VALUE"""),"Billy")</f>
        <v>Billy</v>
      </c>
      <c r="F4656" t="str">
        <f>IFERROR(__xludf.DUMMYFUNCTION("""COMPUTED_VALUE"""),"LE")</f>
        <v>LE</v>
      </c>
      <c r="G4656">
        <f>IFERROR(__xludf.DUMMYFUNCTION("""COMPUTED_VALUE"""),13.600000000000001)</f>
        <v>13.6</v>
      </c>
    </row>
    <row r="4657">
      <c r="D4657" t="str">
        <f>IFERROR(__xludf.DUMMYFUNCTION("""COMPUTED_VALUE"""),"Winston")</f>
        <v>Winston</v>
      </c>
      <c r="E4657" t="str">
        <f>IFERROR(__xludf.DUMMYFUNCTION("""COMPUTED_VALUE"""),"Eric")</f>
        <v>Eric</v>
      </c>
      <c r="F4657" t="str">
        <f>IFERROR(__xludf.DUMMYFUNCTION("""COMPUTED_VALUE"""),"RT")</f>
        <v>RT</v>
      </c>
      <c r="G4657">
        <f>IFERROR(__xludf.DUMMYFUNCTION("""COMPUTED_VALUE"""),14.4)</f>
        <v>14.4</v>
      </c>
    </row>
    <row r="4658">
      <c r="D4658" t="str">
        <f>IFERROR(__xludf.DUMMYFUNCTION("""COMPUTED_VALUE"""),"Winston")</f>
        <v>Winston</v>
      </c>
      <c r="E4658" t="str">
        <f>IFERROR(__xludf.DUMMYFUNCTION("""COMPUTED_VALUE"""),"Jameis")</f>
        <v>Jameis</v>
      </c>
      <c r="F4658" t="str">
        <f>IFERROR(__xludf.DUMMYFUNCTION("""COMPUTED_VALUE"""),"QB")</f>
        <v>QB</v>
      </c>
      <c r="G4658">
        <f>IFERROR(__xludf.DUMMYFUNCTION("""COMPUTED_VALUE"""),16.2)</f>
        <v>16.2</v>
      </c>
    </row>
    <row r="4659">
      <c r="D4659" t="str">
        <f>IFERROR(__xludf.DUMMYFUNCTION("""COMPUTED_VALUE"""),"Winters")</f>
        <v>Winters</v>
      </c>
      <c r="E4659" t="str">
        <f>IFERROR(__xludf.DUMMYFUNCTION("""COMPUTED_VALUE"""),"Brian")</f>
        <v>Brian</v>
      </c>
      <c r="F4659" t="str">
        <f>IFERROR(__xludf.DUMMYFUNCTION("""COMPUTED_VALUE"""),"RG")</f>
        <v>RG</v>
      </c>
      <c r="G4659">
        <f>IFERROR(__xludf.DUMMYFUNCTION("""COMPUTED_VALUE"""),15.600000000000001)</f>
        <v>15.6</v>
      </c>
    </row>
    <row r="4660">
      <c r="D4660" t="str">
        <f>IFERROR(__xludf.DUMMYFUNCTION("""COMPUTED_VALUE"""),"Wise Jr")</f>
        <v>Wise Jr</v>
      </c>
      <c r="E4660" t="str">
        <f>IFERROR(__xludf.DUMMYFUNCTION("""COMPUTED_VALUE"""),"Deatrich")</f>
        <v>Deatrich</v>
      </c>
      <c r="F4660" t="str">
        <f>IFERROR(__xludf.DUMMYFUNCTION("""COMPUTED_VALUE"""),"RE")</f>
        <v>RE</v>
      </c>
      <c r="G4660">
        <f>IFERROR(__xludf.DUMMYFUNCTION("""COMPUTED_VALUE"""),13.8)</f>
        <v>13.8</v>
      </c>
    </row>
    <row r="4661">
      <c r="D4661" t="str">
        <f>IFERROR(__xludf.DUMMYFUNCTION("""COMPUTED_VALUE"""),"Wisniewski")</f>
        <v>Wisniewski</v>
      </c>
      <c r="E4661" t="str">
        <f>IFERROR(__xludf.DUMMYFUNCTION("""COMPUTED_VALUE"""),"Stefen")</f>
        <v>Stefen</v>
      </c>
      <c r="F4661" t="str">
        <f>IFERROR(__xludf.DUMMYFUNCTION("""COMPUTED_VALUE"""),"C")</f>
        <v>C</v>
      </c>
      <c r="G4661">
        <f>IFERROR(__xludf.DUMMYFUNCTION("""COMPUTED_VALUE"""),14.600000000000001)</f>
        <v>14.6</v>
      </c>
    </row>
    <row r="4662">
      <c r="D4662" t="str">
        <f>IFERROR(__xludf.DUMMYFUNCTION("""COMPUTED_VALUE"""),"Witherspoon")</f>
        <v>Witherspoon</v>
      </c>
      <c r="E4662" t="str">
        <f>IFERROR(__xludf.DUMMYFUNCTION("""COMPUTED_VALUE"""),"Ahkello")</f>
        <v>Ahkello</v>
      </c>
      <c r="F4662" t="str">
        <f>IFERROR(__xludf.DUMMYFUNCTION("""COMPUTED_VALUE"""),"CB")</f>
        <v>CB</v>
      </c>
      <c r="G4662">
        <f>IFERROR(__xludf.DUMMYFUNCTION("""COMPUTED_VALUE"""),14.200000000000001)</f>
        <v>14.2</v>
      </c>
    </row>
    <row r="4663">
      <c r="D4663" t="str">
        <f>IFERROR(__xludf.DUMMYFUNCTION("""COMPUTED_VALUE"""),"Witten")</f>
        <v>Witten</v>
      </c>
      <c r="E4663" t="str">
        <f>IFERROR(__xludf.DUMMYFUNCTION("""COMPUTED_VALUE"""),"Jason")</f>
        <v>Jason</v>
      </c>
      <c r="F4663" t="str">
        <f>IFERROR(__xludf.DUMMYFUNCTION("""COMPUTED_VALUE"""),"TE")</f>
        <v>TE</v>
      </c>
      <c r="G4663">
        <f>IFERROR(__xludf.DUMMYFUNCTION("""COMPUTED_VALUE"""),18.0)</f>
        <v>18</v>
      </c>
    </row>
    <row r="4664">
      <c r="D4664" t="str">
        <f>IFERROR(__xludf.DUMMYFUNCTION("""COMPUTED_VALUE"""),"Witzmann")</f>
        <v>Witzmann</v>
      </c>
      <c r="E4664" t="str">
        <f>IFERROR(__xludf.DUMMYFUNCTION("""COMPUTED_VALUE"""),"Bryan")</f>
        <v>Bryan</v>
      </c>
      <c r="F4664" t="str">
        <f>IFERROR(__xludf.DUMMYFUNCTION("""COMPUTED_VALUE"""),"LT")</f>
        <v>LT</v>
      </c>
      <c r="G4664">
        <f>IFERROR(__xludf.DUMMYFUNCTION("""COMPUTED_VALUE"""),13.200000000000001)</f>
        <v>13.2</v>
      </c>
    </row>
    <row r="4665">
      <c r="D4665" t="str">
        <f>IFERROR(__xludf.DUMMYFUNCTION("""COMPUTED_VALUE"""),"Wolfe")</f>
        <v>Wolfe</v>
      </c>
      <c r="E4665" t="str">
        <f>IFERROR(__xludf.DUMMYFUNCTION("""COMPUTED_VALUE"""),"Derek")</f>
        <v>Derek</v>
      </c>
      <c r="F4665" t="str">
        <f>IFERROR(__xludf.DUMMYFUNCTION("""COMPUTED_VALUE"""),"LE")</f>
        <v>LE</v>
      </c>
      <c r="G4665">
        <f>IFERROR(__xludf.DUMMYFUNCTION("""COMPUTED_VALUE"""),16.2)</f>
        <v>16.2</v>
      </c>
    </row>
    <row r="4666">
      <c r="D4666" t="str">
        <f>IFERROR(__xludf.DUMMYFUNCTION("""COMPUTED_VALUE"""),"Wolff IV")</f>
        <v>Wolff IV</v>
      </c>
      <c r="E4666" t="str">
        <f>IFERROR(__xludf.DUMMYFUNCTION("""COMPUTED_VALUE"""),"Earl")</f>
        <v>Earl</v>
      </c>
      <c r="F4666" t="str">
        <f>IFERROR(__xludf.DUMMYFUNCTION("""COMPUTED_VALUE"""),"SS")</f>
        <v>SS</v>
      </c>
      <c r="G4666">
        <f>IFERROR(__xludf.DUMMYFUNCTION("""COMPUTED_VALUE"""),13.200000000000001)</f>
        <v>13.2</v>
      </c>
    </row>
    <row r="4667">
      <c r="D4667" t="str">
        <f>IFERROR(__xludf.DUMMYFUNCTION("""COMPUTED_VALUE"""),"Wood")</f>
        <v>Wood</v>
      </c>
      <c r="E4667" t="str">
        <f>IFERROR(__xludf.DUMMYFUNCTION("""COMPUTED_VALUE"""),"Eric")</f>
        <v>Eric</v>
      </c>
      <c r="F4667" t="str">
        <f>IFERROR(__xludf.DUMMYFUNCTION("""COMPUTED_VALUE"""),"C")</f>
        <v>C</v>
      </c>
      <c r="G4667">
        <f>IFERROR(__xludf.DUMMYFUNCTION("""COMPUTED_VALUE"""),14.600000000000001)</f>
        <v>14.6</v>
      </c>
    </row>
    <row r="4668">
      <c r="D4668" t="str">
        <f>IFERROR(__xludf.DUMMYFUNCTION("""COMPUTED_VALUE"""),"Woodard")</f>
        <v>Woodard</v>
      </c>
      <c r="E4668" t="str">
        <f>IFERROR(__xludf.DUMMYFUNCTION("""COMPUTED_VALUE"""),"Jonathan")</f>
        <v>Jonathan</v>
      </c>
      <c r="F4668" t="str">
        <f>IFERROR(__xludf.DUMMYFUNCTION("""COMPUTED_VALUE"""),"RE")</f>
        <v>RE</v>
      </c>
      <c r="G4668">
        <f>IFERROR(__xludf.DUMMYFUNCTION("""COMPUTED_VALUE"""),12.600000000000001)</f>
        <v>12.6</v>
      </c>
    </row>
    <row r="4669">
      <c r="D4669" t="str">
        <f>IFERROR(__xludf.DUMMYFUNCTION("""COMPUTED_VALUE"""),"Woodhead")</f>
        <v>Woodhead</v>
      </c>
      <c r="E4669" t="str">
        <f>IFERROR(__xludf.DUMMYFUNCTION("""COMPUTED_VALUE"""),"Danny")</f>
        <v>Danny</v>
      </c>
      <c r="F4669" t="str">
        <f>IFERROR(__xludf.DUMMYFUNCTION("""COMPUTED_VALUE"""),"HB")</f>
        <v>HB</v>
      </c>
      <c r="G4669">
        <f>IFERROR(__xludf.DUMMYFUNCTION("""COMPUTED_VALUE"""),16.400000000000002)</f>
        <v>16.4</v>
      </c>
    </row>
    <row r="4670">
      <c r="D4670" t="str">
        <f>IFERROR(__xludf.DUMMYFUNCTION("""COMPUTED_VALUE"""),"Woods")</f>
        <v>Woods</v>
      </c>
      <c r="E4670" t="str">
        <f>IFERROR(__xludf.DUMMYFUNCTION("""COMPUTED_VALUE"""),"Al")</f>
        <v>Al</v>
      </c>
      <c r="F4670" t="str">
        <f>IFERROR(__xludf.DUMMYFUNCTION("""COMPUTED_VALUE"""),"DT")</f>
        <v>DT</v>
      </c>
      <c r="G4670">
        <f>IFERROR(__xludf.DUMMYFUNCTION("""COMPUTED_VALUE"""),14.8)</f>
        <v>14.8</v>
      </c>
    </row>
    <row r="4671">
      <c r="D4671" t="str">
        <f>IFERROR(__xludf.DUMMYFUNCTION("""COMPUTED_VALUE"""),"Woods")</f>
        <v>Woods</v>
      </c>
      <c r="E4671" t="str">
        <f>IFERROR(__xludf.DUMMYFUNCTION("""COMPUTED_VALUE"""),"Robert")</f>
        <v>Robert</v>
      </c>
      <c r="F4671" t="str">
        <f>IFERROR(__xludf.DUMMYFUNCTION("""COMPUTED_VALUE"""),"WR")</f>
        <v>WR</v>
      </c>
      <c r="G4671">
        <f>IFERROR(__xludf.DUMMYFUNCTION("""COMPUTED_VALUE"""),15.600000000000001)</f>
        <v>15.6</v>
      </c>
    </row>
    <row r="4672">
      <c r="D4672" t="str">
        <f>IFERROR(__xludf.DUMMYFUNCTION("""COMPUTED_VALUE"""),"Woods")</f>
        <v>Woods</v>
      </c>
      <c r="E4672" t="str">
        <f>IFERROR(__xludf.DUMMYFUNCTION("""COMPUTED_VALUE"""),"Xavier")</f>
        <v>Xavier</v>
      </c>
      <c r="F4672" t="str">
        <f>IFERROR(__xludf.DUMMYFUNCTION("""COMPUTED_VALUE"""),"SS")</f>
        <v>SS</v>
      </c>
      <c r="G4672">
        <f>IFERROR(__xludf.DUMMYFUNCTION("""COMPUTED_VALUE"""),13.8)</f>
        <v>13.8</v>
      </c>
    </row>
    <row r="4673">
      <c r="D4673" t="str">
        <f>IFERROR(__xludf.DUMMYFUNCTION("""COMPUTED_VALUE"""),"Woodyard")</f>
        <v>Woodyard</v>
      </c>
      <c r="E4673" t="str">
        <f>IFERROR(__xludf.DUMMYFUNCTION("""COMPUTED_VALUE"""),"Wesley")</f>
        <v>Wesley</v>
      </c>
      <c r="F4673" t="str">
        <f>IFERROR(__xludf.DUMMYFUNCTION("""COMPUTED_VALUE"""),"MLB")</f>
        <v>MLB</v>
      </c>
      <c r="G4673">
        <f>IFERROR(__xludf.DUMMYFUNCTION("""COMPUTED_VALUE"""),16.400000000000002)</f>
        <v>16.4</v>
      </c>
    </row>
    <row r="4674">
      <c r="D4674" t="str">
        <f>IFERROR(__xludf.DUMMYFUNCTION("""COMPUTED_VALUE"""),"Worley")</f>
        <v>Worley</v>
      </c>
      <c r="E4674" t="str">
        <f>IFERROR(__xludf.DUMMYFUNCTION("""COMPUTED_VALUE"""),"Daryl")</f>
        <v>Daryl</v>
      </c>
      <c r="F4674" t="str">
        <f>IFERROR(__xludf.DUMMYFUNCTION("""COMPUTED_VALUE"""),"CB")</f>
        <v>CB</v>
      </c>
      <c r="G4674">
        <f>IFERROR(__xludf.DUMMYFUNCTION("""COMPUTED_VALUE"""),14.8)</f>
        <v>14.8</v>
      </c>
    </row>
    <row r="4675">
      <c r="D4675" t="str">
        <f>IFERROR(__xludf.DUMMYFUNCTION("""COMPUTED_VALUE"""),"Wormley")</f>
        <v>Wormley</v>
      </c>
      <c r="E4675" t="str">
        <f>IFERROR(__xludf.DUMMYFUNCTION("""COMPUTED_VALUE"""),"Chris")</f>
        <v>Chris</v>
      </c>
      <c r="F4675" t="str">
        <f>IFERROR(__xludf.DUMMYFUNCTION("""COMPUTED_VALUE"""),"LE")</f>
        <v>LE</v>
      </c>
      <c r="G4675">
        <f>IFERROR(__xludf.DUMMYFUNCTION("""COMPUTED_VALUE"""),14.4)</f>
        <v>14.4</v>
      </c>
    </row>
    <row r="4676">
      <c r="D4676" t="str">
        <f>IFERROR(__xludf.DUMMYFUNCTION("""COMPUTED_VALUE"""),"Worrilow")</f>
        <v>Worrilow</v>
      </c>
      <c r="E4676" t="str">
        <f>IFERROR(__xludf.DUMMYFUNCTION("""COMPUTED_VALUE"""),"Paul")</f>
        <v>Paul</v>
      </c>
      <c r="F4676" t="str">
        <f>IFERROR(__xludf.DUMMYFUNCTION("""COMPUTED_VALUE"""),"LOLB")</f>
        <v>LOLB</v>
      </c>
      <c r="G4676">
        <f>IFERROR(__xludf.DUMMYFUNCTION("""COMPUTED_VALUE"""),15.0)</f>
        <v>15</v>
      </c>
    </row>
    <row r="4677">
      <c r="D4677" t="str">
        <f>IFERROR(__xludf.DUMMYFUNCTION("""COMPUTED_VALUE"""),"Worthy")</f>
        <v>Worthy</v>
      </c>
      <c r="E4677" t="str">
        <f>IFERROR(__xludf.DUMMYFUNCTION("""COMPUTED_VALUE"""),"Jerel")</f>
        <v>Jerel</v>
      </c>
      <c r="F4677" t="str">
        <f>IFERROR(__xludf.DUMMYFUNCTION("""COMPUTED_VALUE"""),"DT")</f>
        <v>DT</v>
      </c>
      <c r="G4677">
        <f>IFERROR(__xludf.DUMMYFUNCTION("""COMPUTED_VALUE"""),14.0)</f>
        <v>14</v>
      </c>
    </row>
    <row r="4678">
      <c r="D4678" t="str">
        <f>IFERROR(__xludf.DUMMYFUNCTION("""COMPUTED_VALUE"""),"Wreh-Wilson")</f>
        <v>Wreh-Wilson</v>
      </c>
      <c r="E4678" t="str">
        <f>IFERROR(__xludf.DUMMYFUNCTION("""COMPUTED_VALUE"""),"Blidi")</f>
        <v>Blidi</v>
      </c>
      <c r="F4678" t="str">
        <f>IFERROR(__xludf.DUMMYFUNCTION("""COMPUTED_VALUE"""),"CB")</f>
        <v>CB</v>
      </c>
      <c r="G4678">
        <f>IFERROR(__xludf.DUMMYFUNCTION("""COMPUTED_VALUE"""),14.200000000000001)</f>
        <v>14.2</v>
      </c>
    </row>
    <row r="4679">
      <c r="D4679" t="str">
        <f>IFERROR(__xludf.DUMMYFUNCTION("""COMPUTED_VALUE"""),"Wright")</f>
        <v>Wright</v>
      </c>
      <c r="E4679" t="str">
        <f>IFERROR(__xludf.DUMMYFUNCTION("""COMPUTED_VALUE"""),"Gabe")</f>
        <v>Gabe</v>
      </c>
      <c r="F4679" t="str">
        <f>IFERROR(__xludf.DUMMYFUNCTION("""COMPUTED_VALUE"""),"DT")</f>
        <v>DT</v>
      </c>
      <c r="G4679">
        <f>IFERROR(__xludf.DUMMYFUNCTION("""COMPUTED_VALUE"""),14.0)</f>
        <v>14</v>
      </c>
    </row>
    <row r="4680">
      <c r="D4680" t="str">
        <f>IFERROR(__xludf.DUMMYFUNCTION("""COMPUTED_VALUE"""),"Wright")</f>
        <v>Wright</v>
      </c>
      <c r="E4680" t="str">
        <f>IFERROR(__xludf.DUMMYFUNCTION("""COMPUTED_VALUE"""),"James")</f>
        <v>James</v>
      </c>
      <c r="F4680" t="str">
        <f>IFERROR(__xludf.DUMMYFUNCTION("""COMPUTED_VALUE"""),"WR")</f>
        <v>WR</v>
      </c>
      <c r="G4680">
        <f>IFERROR(__xludf.DUMMYFUNCTION("""COMPUTED_VALUE"""),12.8)</f>
        <v>12.8</v>
      </c>
    </row>
    <row r="4681">
      <c r="D4681" t="str">
        <f>IFERROR(__xludf.DUMMYFUNCTION("""COMPUTED_VALUE"""),"Wright")</f>
        <v>Wright</v>
      </c>
      <c r="E4681" t="str">
        <f>IFERROR(__xludf.DUMMYFUNCTION("""COMPUTED_VALUE"""),"Jarius")</f>
        <v>Jarius</v>
      </c>
      <c r="F4681" t="str">
        <f>IFERROR(__xludf.DUMMYFUNCTION("""COMPUTED_VALUE"""),"WR")</f>
        <v>WR</v>
      </c>
      <c r="G4681">
        <f>IFERROR(__xludf.DUMMYFUNCTION("""COMPUTED_VALUE"""),14.600000000000001)</f>
        <v>14.6</v>
      </c>
    </row>
    <row r="4682">
      <c r="D4682" t="str">
        <f>IFERROR(__xludf.DUMMYFUNCTION("""COMPUTED_VALUE"""),"Wright")</f>
        <v>Wright</v>
      </c>
      <c r="E4682" t="str">
        <f>IFERROR(__xludf.DUMMYFUNCTION("""COMPUTED_VALUE"""),"Kendall")</f>
        <v>Kendall</v>
      </c>
      <c r="F4682" t="str">
        <f>IFERROR(__xludf.DUMMYFUNCTION("""COMPUTED_VALUE"""),"WR")</f>
        <v>WR</v>
      </c>
      <c r="G4682">
        <f>IFERROR(__xludf.DUMMYFUNCTION("""COMPUTED_VALUE"""),15.4)</f>
        <v>15.4</v>
      </c>
    </row>
    <row r="4683">
      <c r="D4683" t="str">
        <f>IFERROR(__xludf.DUMMYFUNCTION("""COMPUTED_VALUE"""),"Wright")</f>
        <v>Wright</v>
      </c>
      <c r="E4683" t="str">
        <f>IFERROR(__xludf.DUMMYFUNCTION("""COMPUTED_VALUE"""),"KJ")</f>
        <v>KJ</v>
      </c>
      <c r="F4683" t="str">
        <f>IFERROR(__xludf.DUMMYFUNCTION("""COMPUTED_VALUE"""),"ROLB")</f>
        <v>ROLB</v>
      </c>
      <c r="G4683">
        <f>IFERROR(__xludf.DUMMYFUNCTION("""COMPUTED_VALUE"""),17.400000000000002)</f>
        <v>17.4</v>
      </c>
    </row>
    <row r="4684">
      <c r="D4684" t="str">
        <f>IFERROR(__xludf.DUMMYFUNCTION("""COMPUTED_VALUE"""),"Wright")</f>
        <v>Wright</v>
      </c>
      <c r="E4684" t="str">
        <f>IFERROR(__xludf.DUMMYFUNCTION("""COMPUTED_VALUE"""),"Shareece")</f>
        <v>Shareece</v>
      </c>
      <c r="F4684" t="str">
        <f>IFERROR(__xludf.DUMMYFUNCTION("""COMPUTED_VALUE"""),"CB")</f>
        <v>CB</v>
      </c>
      <c r="G4684">
        <f>IFERROR(__xludf.DUMMYFUNCTION("""COMPUTED_VALUE"""),15.0)</f>
        <v>15</v>
      </c>
    </row>
    <row r="4685">
      <c r="D4685" t="str">
        <f>IFERROR(__xludf.DUMMYFUNCTION("""COMPUTED_VALUE"""),"Wright III")</f>
        <v>Wright III</v>
      </c>
      <c r="E4685" t="str">
        <f>IFERROR(__xludf.DUMMYFUNCTION("""COMPUTED_VALUE"""),"Scooby")</f>
        <v>Scooby</v>
      </c>
      <c r="F4685" t="str">
        <f>IFERROR(__xludf.DUMMYFUNCTION("""COMPUTED_VALUE"""),"MLB")</f>
        <v>MLB</v>
      </c>
      <c r="G4685">
        <f>IFERROR(__xludf.DUMMYFUNCTION("""COMPUTED_VALUE"""),13.8)</f>
        <v>13.8</v>
      </c>
    </row>
    <row r="4686">
      <c r="D4686" t="str">
        <f>IFERROR(__xludf.DUMMYFUNCTION("""COMPUTED_VALUE"""),"Wynn")</f>
        <v>Wynn</v>
      </c>
      <c r="E4686" t="str">
        <f>IFERROR(__xludf.DUMMYFUNCTION("""COMPUTED_VALUE"""),"Kerry")</f>
        <v>Kerry</v>
      </c>
      <c r="F4686" t="str">
        <f>IFERROR(__xludf.DUMMYFUNCTION("""COMPUTED_VALUE"""),"LE")</f>
        <v>LE</v>
      </c>
      <c r="G4686">
        <f>IFERROR(__xludf.DUMMYFUNCTION("""COMPUTED_VALUE"""),13.0)</f>
        <v>13</v>
      </c>
    </row>
    <row r="4687">
      <c r="D4687" t="str">
        <f>IFERROR(__xludf.DUMMYFUNCTION("""COMPUTED_VALUE"""),"Wynn")</f>
        <v>Wynn</v>
      </c>
      <c r="E4687" t="str">
        <f>IFERROR(__xludf.DUMMYFUNCTION("""COMPUTED_VALUE"""),"Shane")</f>
        <v>Shane</v>
      </c>
      <c r="F4687" t="str">
        <f>IFERROR(__xludf.DUMMYFUNCTION("""COMPUTED_VALUE"""),"WR")</f>
        <v>WR</v>
      </c>
      <c r="G4687">
        <f>IFERROR(__xludf.DUMMYFUNCTION("""COMPUTED_VALUE"""),11.4)</f>
        <v>11.4</v>
      </c>
    </row>
    <row r="4688">
      <c r="D4688" t="str">
        <f>IFERROR(__xludf.DUMMYFUNCTION("""COMPUTED_VALUE"""),"Yancey")</f>
        <v>Yancey</v>
      </c>
      <c r="E4688" t="str">
        <f>IFERROR(__xludf.DUMMYFUNCTION("""COMPUTED_VALUE"""),"DeAngelo")</f>
        <v>DeAngelo</v>
      </c>
      <c r="F4688" t="str">
        <f>IFERROR(__xludf.DUMMYFUNCTION("""COMPUTED_VALUE"""),"WR")</f>
        <v>WR</v>
      </c>
      <c r="G4688">
        <f>IFERROR(__xludf.DUMMYFUNCTION("""COMPUTED_VALUE"""),13.200000000000001)</f>
        <v>13.2</v>
      </c>
    </row>
    <row r="4689">
      <c r="D4689" t="str">
        <f>IFERROR(__xludf.DUMMYFUNCTION("""COMPUTED_VALUE"""),"Yanda")</f>
        <v>Yanda</v>
      </c>
      <c r="E4689" t="str">
        <f>IFERROR(__xludf.DUMMYFUNCTION("""COMPUTED_VALUE"""),"Marshal")</f>
        <v>Marshal</v>
      </c>
      <c r="F4689" t="str">
        <f>IFERROR(__xludf.DUMMYFUNCTION("""COMPUTED_VALUE"""),"RG")</f>
        <v>RG</v>
      </c>
      <c r="G4689">
        <f>IFERROR(__xludf.DUMMYFUNCTION("""COMPUTED_VALUE"""),19.200000000000003)</f>
        <v>19.2</v>
      </c>
    </row>
    <row r="4690">
      <c r="D4690" t="str">
        <f>IFERROR(__xludf.DUMMYFUNCTION("""COMPUTED_VALUE"""),"Yankey")</f>
        <v>Yankey</v>
      </c>
      <c r="E4690" t="str">
        <f>IFERROR(__xludf.DUMMYFUNCTION("""COMPUTED_VALUE"""),"David")</f>
        <v>David</v>
      </c>
      <c r="F4690" t="str">
        <f>IFERROR(__xludf.DUMMYFUNCTION("""COMPUTED_VALUE"""),"LG")</f>
        <v>LG</v>
      </c>
      <c r="G4690">
        <f>IFERROR(__xludf.DUMMYFUNCTION("""COMPUTED_VALUE"""),13.8)</f>
        <v>13.8</v>
      </c>
    </row>
    <row r="4691">
      <c r="D4691" t="str">
        <f>IFERROR(__xludf.DUMMYFUNCTION("""COMPUTED_VALUE"""),"Yarbrough")</f>
        <v>Yarbrough</v>
      </c>
      <c r="E4691" t="str">
        <f>IFERROR(__xludf.DUMMYFUNCTION("""COMPUTED_VALUE"""),"Eddie")</f>
        <v>Eddie</v>
      </c>
      <c r="F4691" t="str">
        <f>IFERROR(__xludf.DUMMYFUNCTION("""COMPUTED_VALUE"""),"LE")</f>
        <v>LE</v>
      </c>
      <c r="G4691">
        <f>IFERROR(__xludf.DUMMYFUNCTION("""COMPUTED_VALUE"""),12.600000000000001)</f>
        <v>12.6</v>
      </c>
    </row>
    <row r="4692">
      <c r="D4692" t="str">
        <f>IFERROR(__xludf.DUMMYFUNCTION("""COMPUTED_VALUE"""),"Yates")</f>
        <v>Yates</v>
      </c>
      <c r="E4692" t="str">
        <f>IFERROR(__xludf.DUMMYFUNCTION("""COMPUTED_VALUE"""),"TJ")</f>
        <v>TJ</v>
      </c>
      <c r="F4692" t="str">
        <f>IFERROR(__xludf.DUMMYFUNCTION("""COMPUTED_VALUE"""),"QB")</f>
        <v>QB</v>
      </c>
      <c r="G4692">
        <f>IFERROR(__xludf.DUMMYFUNCTION("""COMPUTED_VALUE"""),13.4)</f>
        <v>13.4</v>
      </c>
    </row>
    <row r="4693">
      <c r="D4693" t="str">
        <f>IFERROR(__xludf.DUMMYFUNCTION("""COMPUTED_VALUE"""),"Yeldon")</f>
        <v>Yeldon</v>
      </c>
      <c r="E4693" t="str">
        <f>IFERROR(__xludf.DUMMYFUNCTION("""COMPUTED_VALUE"""),"TJ")</f>
        <v>TJ</v>
      </c>
      <c r="F4693" t="str">
        <f>IFERROR(__xludf.DUMMYFUNCTION("""COMPUTED_VALUE"""),"HB")</f>
        <v>HB</v>
      </c>
      <c r="G4693">
        <f>IFERROR(__xludf.DUMMYFUNCTION("""COMPUTED_VALUE"""),15.8)</f>
        <v>15.8</v>
      </c>
    </row>
    <row r="4694">
      <c r="D4694" t="str">
        <f>IFERROR(__xludf.DUMMYFUNCTION("""COMPUTED_VALUE"""),"Young")</f>
        <v>Young</v>
      </c>
      <c r="E4694" t="str">
        <f>IFERROR(__xludf.DUMMYFUNCTION("""COMPUTED_VALUE"""),"Avery")</f>
        <v>Avery</v>
      </c>
      <c r="F4694" t="str">
        <f>IFERROR(__xludf.DUMMYFUNCTION("""COMPUTED_VALUE"""),"LT")</f>
        <v>LT</v>
      </c>
      <c r="G4694">
        <f>IFERROR(__xludf.DUMMYFUNCTION("""COMPUTED_VALUE"""),11.8)</f>
        <v>11.8</v>
      </c>
    </row>
    <row r="4695">
      <c r="D4695" t="str">
        <f>IFERROR(__xludf.DUMMYFUNCTION("""COMPUTED_VALUE"""),"Young")</f>
        <v>Young</v>
      </c>
      <c r="E4695" t="str">
        <f>IFERROR(__xludf.DUMMYFUNCTION("""COMPUTED_VALUE"""),"Darrel")</f>
        <v>Darrel</v>
      </c>
      <c r="F4695" t="str">
        <f>IFERROR(__xludf.DUMMYFUNCTION("""COMPUTED_VALUE"""),"FB")</f>
        <v>FB</v>
      </c>
      <c r="G4695">
        <f>IFERROR(__xludf.DUMMYFUNCTION("""COMPUTED_VALUE"""),14.8)</f>
        <v>14.8</v>
      </c>
    </row>
    <row r="4696">
      <c r="D4696" t="str">
        <f>IFERROR(__xludf.DUMMYFUNCTION("""COMPUTED_VALUE"""),"Young")</f>
        <v>Young</v>
      </c>
      <c r="E4696" t="str">
        <f>IFERROR(__xludf.DUMMYFUNCTION("""COMPUTED_VALUE"""),"Lou")</f>
        <v>Lou</v>
      </c>
      <c r="F4696" t="str">
        <f>IFERROR(__xludf.DUMMYFUNCTION("""COMPUTED_VALUE"""),"CB")</f>
        <v>CB</v>
      </c>
      <c r="G4696">
        <f>IFERROR(__xludf.DUMMYFUNCTION("""COMPUTED_VALUE"""),12.4)</f>
        <v>12.4</v>
      </c>
    </row>
    <row r="4697">
      <c r="D4697" t="str">
        <f>IFERROR(__xludf.DUMMYFUNCTION("""COMPUTED_VALUE"""),"Young")</f>
        <v>Young</v>
      </c>
      <c r="E4697" t="str">
        <f>IFERROR(__xludf.DUMMYFUNCTION("""COMPUTED_VALUE"""),"Sam")</f>
        <v>Sam</v>
      </c>
      <c r="F4697" t="str">
        <f>IFERROR(__xludf.DUMMYFUNCTION("""COMPUTED_VALUE"""),"RT")</f>
        <v>RT</v>
      </c>
      <c r="G4697">
        <f>IFERROR(__xludf.DUMMYFUNCTION("""COMPUTED_VALUE"""),14.0)</f>
        <v>14</v>
      </c>
    </row>
    <row r="4698">
      <c r="D4698" t="str">
        <f>IFERROR(__xludf.DUMMYFUNCTION("""COMPUTED_VALUE"""),"Young")</f>
        <v>Young</v>
      </c>
      <c r="E4698" t="str">
        <f>IFERROR(__xludf.DUMMYFUNCTION("""COMPUTED_VALUE"""),"Tavon")</f>
        <v>Tavon</v>
      </c>
      <c r="F4698" t="str">
        <f>IFERROR(__xludf.DUMMYFUNCTION("""COMPUTED_VALUE"""),"CB")</f>
        <v>CB</v>
      </c>
      <c r="G4698">
        <f>IFERROR(__xludf.DUMMYFUNCTION("""COMPUTED_VALUE"""),16.0)</f>
        <v>16</v>
      </c>
    </row>
    <row r="4699">
      <c r="D4699" t="str">
        <f>IFERROR(__xludf.DUMMYFUNCTION("""COMPUTED_VALUE"""),"Young")</f>
        <v>Young</v>
      </c>
      <c r="E4699" t="str">
        <f>IFERROR(__xludf.DUMMYFUNCTION("""COMPUTED_VALUE"""),"Willie")</f>
        <v>Willie</v>
      </c>
      <c r="F4699" t="str">
        <f>IFERROR(__xludf.DUMMYFUNCTION("""COMPUTED_VALUE"""),"ROLB")</f>
        <v>ROLB</v>
      </c>
      <c r="G4699">
        <f>IFERROR(__xludf.DUMMYFUNCTION("""COMPUTED_VALUE"""),15.8)</f>
        <v>15.8</v>
      </c>
    </row>
    <row r="4700">
      <c r="D4700" t="str">
        <f>IFERROR(__xludf.DUMMYFUNCTION("""COMPUTED_VALUE"""),"Zamora")</f>
        <v>Zamora</v>
      </c>
      <c r="E4700" t="str">
        <f>IFERROR(__xludf.DUMMYFUNCTION("""COMPUTED_VALUE"""),"Ishmael")</f>
        <v>Ishmael</v>
      </c>
      <c r="F4700" t="str">
        <f>IFERROR(__xludf.DUMMYFUNCTION("""COMPUTED_VALUE"""),"WR")</f>
        <v>WR</v>
      </c>
      <c r="G4700">
        <f>IFERROR(__xludf.DUMMYFUNCTION("""COMPUTED_VALUE"""),12.0)</f>
        <v>12</v>
      </c>
    </row>
    <row r="4701">
      <c r="D4701" t="str">
        <f>IFERROR(__xludf.DUMMYFUNCTION("""COMPUTED_VALUE"""),"Zeitler")</f>
        <v>Zeitler</v>
      </c>
      <c r="E4701" t="str">
        <f>IFERROR(__xludf.DUMMYFUNCTION("""COMPUTED_VALUE"""),"Kevin")</f>
        <v>Kevin</v>
      </c>
      <c r="F4701" t="str">
        <f>IFERROR(__xludf.DUMMYFUNCTION("""COMPUTED_VALUE"""),"RG")</f>
        <v>RG</v>
      </c>
      <c r="G4701">
        <f>IFERROR(__xludf.DUMMYFUNCTION("""COMPUTED_VALUE"""),17.6)</f>
        <v>17.6</v>
      </c>
    </row>
    <row r="4702">
      <c r="D4702" t="str">
        <f>IFERROR(__xludf.DUMMYFUNCTION("""COMPUTED_VALUE"""),"Zenner")</f>
        <v>Zenner</v>
      </c>
      <c r="E4702" t="str">
        <f>IFERROR(__xludf.DUMMYFUNCTION("""COMPUTED_VALUE"""),"Zach")</f>
        <v>Zach</v>
      </c>
      <c r="F4702" t="str">
        <f>IFERROR(__xludf.DUMMYFUNCTION("""COMPUTED_VALUE"""),"HB")</f>
        <v>HB</v>
      </c>
      <c r="G4702">
        <f>IFERROR(__xludf.DUMMYFUNCTION("""COMPUTED_VALUE"""),14.8)</f>
        <v>14.8</v>
      </c>
    </row>
    <row r="4703">
      <c r="D4703" t="str">
        <f>IFERROR(__xludf.DUMMYFUNCTION("""COMPUTED_VALUE"""),"Zettel")</f>
        <v>Zettel</v>
      </c>
      <c r="E4703" t="str">
        <f>IFERROR(__xludf.DUMMYFUNCTION("""COMPUTED_VALUE"""),"Anthony")</f>
        <v>Anthony</v>
      </c>
      <c r="F4703" t="str">
        <f>IFERROR(__xludf.DUMMYFUNCTION("""COMPUTED_VALUE"""),"RE")</f>
        <v>RE</v>
      </c>
      <c r="G4703">
        <f>IFERROR(__xludf.DUMMYFUNCTION("""COMPUTED_VALUE"""),13.8)</f>
        <v>13.8</v>
      </c>
    </row>
    <row r="4704">
      <c r="D4704" t="str">
        <f>IFERROR(__xludf.DUMMYFUNCTION("""COMPUTED_VALUE"""),"Zombo")</f>
        <v>Zombo</v>
      </c>
      <c r="E4704" t="str">
        <f>IFERROR(__xludf.DUMMYFUNCTION("""COMPUTED_VALUE"""),"Frank")</f>
        <v>Frank</v>
      </c>
      <c r="F4704" t="str">
        <f>IFERROR(__xludf.DUMMYFUNCTION("""COMPUTED_VALUE"""),"LOLB")</f>
        <v>LOLB</v>
      </c>
      <c r="G4704">
        <f>IFERROR(__xludf.DUMMYFUNCTION("""COMPUTED_VALUE"""),13.8)</f>
        <v>13.8</v>
      </c>
    </row>
    <row r="4705">
      <c r="D4705" t="str">
        <f>IFERROR(__xludf.DUMMYFUNCTION("""COMPUTED_VALUE"""),"Zuerlein")</f>
        <v>Zuerlein</v>
      </c>
      <c r="E4705" t="str">
        <f>IFERROR(__xludf.DUMMYFUNCTION("""COMPUTED_VALUE"""),"Greg")</f>
        <v>Greg</v>
      </c>
      <c r="F4705" t="str">
        <f>IFERROR(__xludf.DUMMYFUNCTION("""COMPUTED_VALUE"""),"K")</f>
        <v>K</v>
      </c>
      <c r="G4705">
        <f>IFERROR(__xludf.DUMMYFUNCTION("""COMPUTED_VALUE"""),15.8)</f>
        <v>15.8</v>
      </c>
    </row>
    <row r="4706">
      <c r="D4706" t="str">
        <f>IFERROR(__xludf.DUMMYFUNCTION("""COMPUTED_VALUE"""),"Zuttah")</f>
        <v>Zuttah</v>
      </c>
      <c r="E4706" t="str">
        <f>IFERROR(__xludf.DUMMYFUNCTION("""COMPUTED_VALUE"""),"Jeremy")</f>
        <v>Jeremy</v>
      </c>
      <c r="F4706" t="str">
        <f>IFERROR(__xludf.DUMMYFUNCTION("""COMPUTED_VALUE"""),"C")</f>
        <v>C</v>
      </c>
      <c r="G4706">
        <f>IFERROR(__xludf.DUMMYFUNCTION("""COMPUTED_VALUE"""),16.400000000000002)</f>
        <v>16.4</v>
      </c>
    </row>
    <row r="4707">
      <c r="D4707" t="str">
        <f>IFERROR(__xludf.DUMMYFUNCTION("""COMPUTED_VALUE"""),"Abdullah")</f>
        <v>Abdullah</v>
      </c>
      <c r="E4707" t="str">
        <f>IFERROR(__xludf.DUMMYFUNCTION("""COMPUTED_VALUE"""),"Ameer")</f>
        <v>Ameer</v>
      </c>
      <c r="F4707" t="str">
        <f>IFERROR(__xludf.DUMMYFUNCTION("""COMPUTED_VALUE"""),"DET")</f>
        <v>DET</v>
      </c>
      <c r="G4707">
        <f>IFERROR(__xludf.DUMMYFUNCTION("""COMPUTED_VALUE"""),19.0)</f>
        <v>19</v>
      </c>
    </row>
    <row r="4708">
      <c r="D4708" t="str">
        <f>IFERROR(__xludf.DUMMYFUNCTION("""COMPUTED_VALUE"""),"Acho")</f>
        <v>Acho</v>
      </c>
      <c r="E4708" t="str">
        <f>IFERROR(__xludf.DUMMYFUNCTION("""COMPUTED_VALUE"""),"Sam")</f>
        <v>Sam</v>
      </c>
      <c r="F4708" t="str">
        <f>IFERROR(__xludf.DUMMYFUNCTION("""COMPUTED_VALUE"""),"CHI")</f>
        <v>CHI</v>
      </c>
      <c r="G4708">
        <f>IFERROR(__xludf.DUMMYFUNCTION("""COMPUTED_VALUE"""),17.5)</f>
        <v>17.5</v>
      </c>
    </row>
    <row r="4709">
      <c r="D4709" t="str">
        <f>IFERROR(__xludf.DUMMYFUNCTION("""COMPUTED_VALUE"""),"Acker")</f>
        <v>Acker</v>
      </c>
      <c r="E4709" t="str">
        <f>IFERROR(__xludf.DUMMYFUNCTION("""COMPUTED_VALUE"""),"Kenneth")</f>
        <v>Kenneth</v>
      </c>
      <c r="F4709" t="str">
        <f>IFERROR(__xludf.DUMMYFUNCTION("""COMPUTED_VALUE"""),"FA")</f>
        <v>FA</v>
      </c>
      <c r="G4709">
        <f>IFERROR(__xludf.DUMMYFUNCTION("""COMPUTED_VALUE"""),17.5)</f>
        <v>17.5</v>
      </c>
    </row>
    <row r="4710">
      <c r="D4710" t="str">
        <f>IFERROR(__xludf.DUMMYFUNCTION("""COMPUTED_VALUE"""),"Adams")</f>
        <v>Adams</v>
      </c>
      <c r="E4710" t="str">
        <f>IFERROR(__xludf.DUMMYFUNCTION("""COMPUTED_VALUE"""),"Andrew")</f>
        <v>Andrew</v>
      </c>
      <c r="F4710" t="str">
        <f>IFERROR(__xludf.DUMMYFUNCTION("""COMPUTED_VALUE"""),"NYG")</f>
        <v>NYG</v>
      </c>
      <c r="G4710">
        <f>IFERROR(__xludf.DUMMYFUNCTION("""COMPUTED_VALUE"""),17.5)</f>
        <v>17.5</v>
      </c>
    </row>
    <row r="4711">
      <c r="D4711" t="str">
        <f>IFERROR(__xludf.DUMMYFUNCTION("""COMPUTED_VALUE"""),"Adams")</f>
        <v>Adams</v>
      </c>
      <c r="E4711" t="str">
        <f>IFERROR(__xludf.DUMMYFUNCTION("""COMPUTED_VALUE"""),"Davante")</f>
        <v>Davante</v>
      </c>
      <c r="F4711" t="str">
        <f>IFERROR(__xludf.DUMMYFUNCTION("""COMPUTED_VALUE"""),"GB")</f>
        <v>GB</v>
      </c>
      <c r="G4711">
        <f>IFERROR(__xludf.DUMMYFUNCTION("""COMPUTED_VALUE"""),21.0)</f>
        <v>21</v>
      </c>
    </row>
    <row r="4712">
      <c r="D4712" t="str">
        <f>IFERROR(__xludf.DUMMYFUNCTION("""COMPUTED_VALUE"""),"Adams")</f>
        <v>Adams</v>
      </c>
      <c r="E4712" t="str">
        <f>IFERROR(__xludf.DUMMYFUNCTION("""COMPUTED_VALUE"""),"Jamal")</f>
        <v>Jamal</v>
      </c>
      <c r="F4712" t="str">
        <f>IFERROR(__xludf.DUMMYFUNCTION("""COMPUTED_VALUE"""),"NYJ")</f>
        <v>NYJ</v>
      </c>
      <c r="G4712">
        <f>IFERROR(__xludf.DUMMYFUNCTION("""COMPUTED_VALUE"""),20.25)</f>
        <v>20.25</v>
      </c>
    </row>
    <row r="4713">
      <c r="D4713" t="str">
        <f>IFERROR(__xludf.DUMMYFUNCTION("""COMPUTED_VALUE"""),"Adams")</f>
        <v>Adams</v>
      </c>
      <c r="E4713" t="str">
        <f>IFERROR(__xludf.DUMMYFUNCTION("""COMPUTED_VALUE"""),"Jerell")</f>
        <v>Jerell</v>
      </c>
      <c r="F4713" t="str">
        <f>IFERROR(__xludf.DUMMYFUNCTION("""COMPUTED_VALUE"""),"NYG")</f>
        <v>NYG</v>
      </c>
      <c r="G4713">
        <f>IFERROR(__xludf.DUMMYFUNCTION("""COMPUTED_VALUE"""),17.0)</f>
        <v>17</v>
      </c>
    </row>
    <row r="4714">
      <c r="D4714" t="str">
        <f>IFERROR(__xludf.DUMMYFUNCTION("""COMPUTED_VALUE"""),"Adams")</f>
        <v>Adams</v>
      </c>
      <c r="E4714" t="str">
        <f>IFERROR(__xludf.DUMMYFUNCTION("""COMPUTED_VALUE"""),"Keion")</f>
        <v>Keion</v>
      </c>
      <c r="F4714" t="str">
        <f>IFERROR(__xludf.DUMMYFUNCTION("""COMPUTED_VALUE"""),"PIT")</f>
        <v>PIT</v>
      </c>
      <c r="G4714">
        <f>IFERROR(__xludf.DUMMYFUNCTION("""COMPUTED_VALUE"""),15.5)</f>
        <v>15.5</v>
      </c>
    </row>
    <row r="4715">
      <c r="D4715" t="str">
        <f>IFERROR(__xludf.DUMMYFUNCTION("""COMPUTED_VALUE"""),"Adams")</f>
        <v>Adams</v>
      </c>
      <c r="E4715" t="str">
        <f>IFERROR(__xludf.DUMMYFUNCTION("""COMPUTED_VALUE"""),"Matthew")</f>
        <v>Matthew</v>
      </c>
      <c r="F4715" t="str">
        <f>IFERROR(__xludf.DUMMYFUNCTION("""COMPUTED_VALUE"""),"IND")</f>
        <v>IND</v>
      </c>
      <c r="G4715">
        <f>IFERROR(__xludf.DUMMYFUNCTION("""COMPUTED_VALUE"""),16.5)</f>
        <v>16.5</v>
      </c>
    </row>
    <row r="4716">
      <c r="D4716" t="str">
        <f>IFERROR(__xludf.DUMMYFUNCTION("""COMPUTED_VALUE"""),"Adams")</f>
        <v>Adams</v>
      </c>
      <c r="E4716" t="str">
        <f>IFERROR(__xludf.DUMMYFUNCTION("""COMPUTED_VALUE"""),"Mike")</f>
        <v>Mike</v>
      </c>
      <c r="F4716" t="str">
        <f>IFERROR(__xludf.DUMMYFUNCTION("""COMPUTED_VALUE"""),"CAR")</f>
        <v>CAR</v>
      </c>
      <c r="G4716">
        <f>IFERROR(__xludf.DUMMYFUNCTION("""COMPUTED_VALUE"""),18.75)</f>
        <v>18.75</v>
      </c>
    </row>
    <row r="4717">
      <c r="D4717" t="str">
        <f>IFERROR(__xludf.DUMMYFUNCTION("""COMPUTED_VALUE"""),"Adams")</f>
        <v>Adams</v>
      </c>
      <c r="E4717" t="str">
        <f>IFERROR(__xludf.DUMMYFUNCTION("""COMPUTED_VALUE"""),"Montravius")</f>
        <v>Montravius</v>
      </c>
      <c r="F4717" t="str">
        <f>IFERROR(__xludf.DUMMYFUNCTION("""COMPUTED_VALUE"""),"GB")</f>
        <v>GB</v>
      </c>
      <c r="G4717">
        <f>IFERROR(__xludf.DUMMYFUNCTION("""COMPUTED_VALUE"""),17.0)</f>
        <v>17</v>
      </c>
    </row>
    <row r="4718">
      <c r="D4718" t="str">
        <f>IFERROR(__xludf.DUMMYFUNCTION("""COMPUTED_VALUE"""),"Addae")</f>
        <v>Addae</v>
      </c>
      <c r="E4718" t="str">
        <f>IFERROR(__xludf.DUMMYFUNCTION("""COMPUTED_VALUE"""),"Jahleel")</f>
        <v>Jahleel</v>
      </c>
      <c r="F4718" t="str">
        <f>IFERROR(__xludf.DUMMYFUNCTION("""COMPUTED_VALUE"""),"LAC")</f>
        <v>LAC</v>
      </c>
      <c r="G4718">
        <f>IFERROR(__xludf.DUMMYFUNCTION("""COMPUTED_VALUE"""),20.0)</f>
        <v>20</v>
      </c>
    </row>
    <row r="4719">
      <c r="D4719" t="str">
        <f>IFERROR(__xludf.DUMMYFUNCTION("""COMPUTED_VALUE"""),"Addison")</f>
        <v>Addison</v>
      </c>
      <c r="E4719" t="str">
        <f>IFERROR(__xludf.DUMMYFUNCTION("""COMPUTED_VALUE"""),"Mario")</f>
        <v>Mario</v>
      </c>
      <c r="F4719" t="str">
        <f>IFERROR(__xludf.DUMMYFUNCTION("""COMPUTED_VALUE"""),"CAR")</f>
        <v>CAR</v>
      </c>
      <c r="G4719">
        <f>IFERROR(__xludf.DUMMYFUNCTION("""COMPUTED_VALUE"""),18.75)</f>
        <v>18.75</v>
      </c>
    </row>
    <row r="4720">
      <c r="D4720" t="str">
        <f>IFERROR(__xludf.DUMMYFUNCTION("""COMPUTED_VALUE"""),"Adeboyejo")</f>
        <v>Adeboyejo</v>
      </c>
      <c r="E4720" t="str">
        <f>IFERROR(__xludf.DUMMYFUNCTION("""COMPUTED_VALUE"""),"Quincy")</f>
        <v>Quincy</v>
      </c>
      <c r="F4720" t="str">
        <f>IFERROR(__xludf.DUMMYFUNCTION("""COMPUTED_VALUE"""),"BAL")</f>
        <v>BAL</v>
      </c>
      <c r="G4720">
        <f>IFERROR(__xludf.DUMMYFUNCTION("""COMPUTED_VALUE"""),16.25)</f>
        <v>16.25</v>
      </c>
    </row>
    <row r="4721">
      <c r="D4721" t="str">
        <f>IFERROR(__xludf.DUMMYFUNCTION("""COMPUTED_VALUE"""),"Agholor")</f>
        <v>Agholor</v>
      </c>
      <c r="E4721" t="str">
        <f>IFERROR(__xludf.DUMMYFUNCTION("""COMPUTED_VALUE"""),"Nelson")</f>
        <v>Nelson</v>
      </c>
      <c r="F4721" t="str">
        <f>IFERROR(__xludf.DUMMYFUNCTION("""COMPUTED_VALUE"""),"PHI")</f>
        <v>PHI</v>
      </c>
      <c r="G4721">
        <f>IFERROR(__xludf.DUMMYFUNCTION("""COMPUTED_VALUE"""),20.25)</f>
        <v>20.25</v>
      </c>
    </row>
    <row r="4722">
      <c r="D4722" t="str">
        <f>IFERROR(__xludf.DUMMYFUNCTION("""COMPUTED_VALUE"""),"Agnew")</f>
        <v>Agnew</v>
      </c>
      <c r="E4722" t="str">
        <f>IFERROR(__xludf.DUMMYFUNCTION("""COMPUTED_VALUE"""),"Jamal")</f>
        <v>Jamal</v>
      </c>
      <c r="F4722" t="str">
        <f>IFERROR(__xludf.DUMMYFUNCTION("""COMPUTED_VALUE"""),"DET")</f>
        <v>DET</v>
      </c>
      <c r="G4722">
        <f>IFERROR(__xludf.DUMMYFUNCTION("""COMPUTED_VALUE"""),17.75)</f>
        <v>17.75</v>
      </c>
    </row>
    <row r="4723">
      <c r="D4723" t="str">
        <f>IFERROR(__xludf.DUMMYFUNCTION("""COMPUTED_VALUE"""),"Aguayo")</f>
        <v>Aguayo</v>
      </c>
      <c r="E4723" t="str">
        <f>IFERROR(__xludf.DUMMYFUNCTION("""COMPUTED_VALUE"""),"Roberto")</f>
        <v>Roberto</v>
      </c>
      <c r="F4723" t="str">
        <f>IFERROR(__xludf.DUMMYFUNCTION("""COMPUTED_VALUE"""),"LAC")</f>
        <v>LAC</v>
      </c>
      <c r="G4723">
        <f>IFERROR(__xludf.DUMMYFUNCTION("""COMPUTED_VALUE"""),18.75)</f>
        <v>18.75</v>
      </c>
    </row>
    <row r="4724">
      <c r="D4724" t="str">
        <f>IFERROR(__xludf.DUMMYFUNCTION("""COMPUTED_VALUE"""),"Agudosi")</f>
        <v>Agudosi</v>
      </c>
      <c r="E4724" t="str">
        <f>IFERROR(__xludf.DUMMYFUNCTION("""COMPUTED_VALUE"""),"Carlton")</f>
        <v>Carlton</v>
      </c>
      <c r="F4724" t="str">
        <f>IFERROR(__xludf.DUMMYFUNCTION("""COMPUTED_VALUE"""),"ARZ")</f>
        <v>ARZ</v>
      </c>
      <c r="G4724">
        <f>IFERROR(__xludf.DUMMYFUNCTION("""COMPUTED_VALUE"""),15.5)</f>
        <v>15.5</v>
      </c>
    </row>
    <row r="4725">
      <c r="D4725" t="str">
        <f>IFERROR(__xludf.DUMMYFUNCTION("""COMPUTED_VALUE"""),"Aiken")</f>
        <v>Aiken</v>
      </c>
      <c r="E4725" t="str">
        <f>IFERROR(__xludf.DUMMYFUNCTION("""COMPUTED_VALUE"""),"Kamar")</f>
        <v>Kamar</v>
      </c>
      <c r="F4725" t="str">
        <f>IFERROR(__xludf.DUMMYFUNCTION("""COMPUTED_VALUE"""),"FA")</f>
        <v>FA</v>
      </c>
      <c r="G4725">
        <f>IFERROR(__xludf.DUMMYFUNCTION("""COMPUTED_VALUE"""),15.25)</f>
        <v>15.25</v>
      </c>
    </row>
    <row r="4726">
      <c r="D4726" t="str">
        <f>IFERROR(__xludf.DUMMYFUNCTION("""COMPUTED_VALUE"""),"Aikens")</f>
        <v>Aikens</v>
      </c>
      <c r="E4726" t="str">
        <f>IFERROR(__xludf.DUMMYFUNCTION("""COMPUTED_VALUE"""),"Walt")</f>
        <v>Walt</v>
      </c>
      <c r="F4726" t="str">
        <f>IFERROR(__xludf.DUMMYFUNCTION("""COMPUTED_VALUE"""),"MIA")</f>
        <v>MIA</v>
      </c>
      <c r="G4726">
        <f>IFERROR(__xludf.DUMMYFUNCTION("""COMPUTED_VALUE"""),17.0)</f>
        <v>17</v>
      </c>
    </row>
    <row r="4727">
      <c r="D4727" t="str">
        <f>IFERROR(__xludf.DUMMYFUNCTION("""COMPUTED_VALUE"""),"Ajayi")</f>
        <v>Ajayi</v>
      </c>
      <c r="E4727" t="str">
        <f>IFERROR(__xludf.DUMMYFUNCTION("""COMPUTED_VALUE"""),"Jay")</f>
        <v>Jay</v>
      </c>
      <c r="F4727" t="str">
        <f>IFERROR(__xludf.DUMMYFUNCTION("""COMPUTED_VALUE"""),"PHI")</f>
        <v>PHI</v>
      </c>
      <c r="G4727">
        <f>IFERROR(__xludf.DUMMYFUNCTION("""COMPUTED_VALUE"""),20.75)</f>
        <v>20.75</v>
      </c>
    </row>
    <row r="4728">
      <c r="D4728" t="str">
        <f>IFERROR(__xludf.DUMMYFUNCTION("""COMPUTED_VALUE"""),"Akins")</f>
        <v>Akins</v>
      </c>
      <c r="E4728" t="str">
        <f>IFERROR(__xludf.DUMMYFUNCTION("""COMPUTED_VALUE"""),"Jordan")</f>
        <v>Jordan</v>
      </c>
      <c r="F4728" t="str">
        <f>IFERROR(__xludf.DUMMYFUNCTION("""COMPUTED_VALUE"""),"HOU")</f>
        <v>HOU</v>
      </c>
      <c r="G4728">
        <f>IFERROR(__xludf.DUMMYFUNCTION("""COMPUTED_VALUE"""),17.75)</f>
        <v>17.75</v>
      </c>
    </row>
    <row r="4729">
      <c r="D4729" t="str">
        <f>IFERROR(__xludf.DUMMYFUNCTION("""COMPUTED_VALUE"""),"Albright")</f>
        <v>Albright</v>
      </c>
      <c r="E4729" t="str">
        <f>IFERROR(__xludf.DUMMYFUNCTION("""COMPUTED_VALUE"""),"Bryson")</f>
        <v>Bryson</v>
      </c>
      <c r="F4729" t="str">
        <f>IFERROR(__xludf.DUMMYFUNCTION("""COMPUTED_VALUE"""),"ARZ")</f>
        <v>ARZ</v>
      </c>
      <c r="G4729">
        <f>IFERROR(__xludf.DUMMYFUNCTION("""COMPUTED_VALUE"""),15.75)</f>
        <v>15.75</v>
      </c>
    </row>
    <row r="4730">
      <c r="D4730" t="str">
        <f>IFERROR(__xludf.DUMMYFUNCTION("""COMPUTED_VALUE"""),"Alexander")</f>
        <v>Alexander</v>
      </c>
      <c r="E4730" t="str">
        <f>IFERROR(__xludf.DUMMYFUNCTION("""COMPUTED_VALUE"""),"DJ")</f>
        <v>DJ</v>
      </c>
      <c r="F4730" t="str">
        <f>IFERROR(__xludf.DUMMYFUNCTION("""COMPUTED_VALUE"""),"SEA")</f>
        <v>SEA</v>
      </c>
      <c r="G4730">
        <f>IFERROR(__xludf.DUMMYFUNCTION("""COMPUTED_VALUE"""),18.0)</f>
        <v>18</v>
      </c>
    </row>
    <row r="4731">
      <c r="D4731" t="str">
        <f>IFERROR(__xludf.DUMMYFUNCTION("""COMPUTED_VALUE"""),"Alexander")</f>
        <v>Alexander</v>
      </c>
      <c r="E4731" t="str">
        <f>IFERROR(__xludf.DUMMYFUNCTION("""COMPUTED_VALUE"""),"Jaire")</f>
        <v>Jaire</v>
      </c>
      <c r="F4731" t="str">
        <f>IFERROR(__xludf.DUMMYFUNCTION("""COMPUTED_VALUE"""),"GB")</f>
        <v>GB</v>
      </c>
      <c r="G4731">
        <f>IFERROR(__xludf.DUMMYFUNCTION("""COMPUTED_VALUE"""),19.25)</f>
        <v>19.25</v>
      </c>
    </row>
    <row r="4732">
      <c r="D4732" t="str">
        <f>IFERROR(__xludf.DUMMYFUNCTION("""COMPUTED_VALUE"""),"Alexander")</f>
        <v>Alexander</v>
      </c>
      <c r="E4732" t="str">
        <f>IFERROR(__xludf.DUMMYFUNCTION("""COMPUTED_VALUE"""),"Jaire")</f>
        <v>Jaire</v>
      </c>
      <c r="F4732" t="str">
        <f>IFERROR(__xludf.DUMMYFUNCTION("""COMPUTED_VALUE"""),"GB")</f>
        <v>GB</v>
      </c>
      <c r="G4732">
        <f>IFERROR(__xludf.DUMMYFUNCTION("""COMPUTED_VALUE"""),21.75)</f>
        <v>21.75</v>
      </c>
    </row>
    <row r="4733">
      <c r="D4733" t="str">
        <f>IFERROR(__xludf.DUMMYFUNCTION("""COMPUTED_VALUE"""),"Alexander")</f>
        <v>Alexander</v>
      </c>
      <c r="E4733" t="str">
        <f>IFERROR(__xludf.DUMMYFUNCTION("""COMPUTED_VALUE"""),"Kwon")</f>
        <v>Kwon</v>
      </c>
      <c r="F4733" t="str">
        <f>IFERROR(__xludf.DUMMYFUNCTION("""COMPUTED_VALUE"""),"TB")</f>
        <v>TB</v>
      </c>
      <c r="G4733">
        <f>IFERROR(__xludf.DUMMYFUNCTION("""COMPUTED_VALUE"""),20.5)</f>
        <v>20.5</v>
      </c>
    </row>
    <row r="4734">
      <c r="D4734" t="str">
        <f>IFERROR(__xludf.DUMMYFUNCTION("""COMPUTED_VALUE"""),"Alexander")</f>
        <v>Alexander</v>
      </c>
      <c r="E4734" t="str">
        <f>IFERROR(__xludf.DUMMYFUNCTION("""COMPUTED_VALUE"""),"Lorenzo")</f>
        <v>Lorenzo</v>
      </c>
      <c r="F4734" t="str">
        <f>IFERROR(__xludf.DUMMYFUNCTION("""COMPUTED_VALUE"""),"BUF")</f>
        <v>BUF</v>
      </c>
      <c r="G4734">
        <f>IFERROR(__xludf.DUMMYFUNCTION("""COMPUTED_VALUE"""),19.25)</f>
        <v>19.25</v>
      </c>
    </row>
    <row r="4735">
      <c r="D4735" t="str">
        <f>IFERROR(__xludf.DUMMYFUNCTION("""COMPUTED_VALUE"""),"Alexander")</f>
        <v>Alexander</v>
      </c>
      <c r="E4735" t="str">
        <f>IFERROR(__xludf.DUMMYFUNCTION("""COMPUTED_VALUE"""),"Mackensie")</f>
        <v>Mackensie</v>
      </c>
      <c r="F4735" t="str">
        <f>IFERROR(__xludf.DUMMYFUNCTION("""COMPUTED_VALUE"""),"MIN")</f>
        <v>MIN</v>
      </c>
      <c r="G4735">
        <f>IFERROR(__xludf.DUMMYFUNCTION("""COMPUTED_VALUE"""),17.5)</f>
        <v>17.5</v>
      </c>
    </row>
    <row r="4736">
      <c r="D4736" t="str">
        <f>IFERROR(__xludf.DUMMYFUNCTION("""COMPUTED_VALUE"""),"Alexander")</f>
        <v>Alexander</v>
      </c>
      <c r="E4736" t="str">
        <f>IFERROR(__xludf.DUMMYFUNCTION("""COMPUTED_VALUE"""),"Maurice")</f>
        <v>Maurice</v>
      </c>
      <c r="F4736" t="str">
        <f>IFERROR(__xludf.DUMMYFUNCTION("""COMPUTED_VALUE"""),"SEA")</f>
        <v>SEA</v>
      </c>
      <c r="G4736">
        <f>IFERROR(__xludf.DUMMYFUNCTION("""COMPUTED_VALUE"""),18.5)</f>
        <v>18.5</v>
      </c>
    </row>
    <row r="4737">
      <c r="D4737" t="str">
        <f>IFERROR(__xludf.DUMMYFUNCTION("""COMPUTED_VALUE"""),"Alexander")</f>
        <v>Alexander</v>
      </c>
      <c r="E4737" t="str">
        <f>IFERROR(__xludf.DUMMYFUNCTION("""COMPUTED_VALUE"""),"Vadal")</f>
        <v>Vadal</v>
      </c>
      <c r="F4737" t="str">
        <f>IFERROR(__xludf.DUMMYFUNCTION("""COMPUTED_VALUE"""),"OAK")</f>
        <v>OAK</v>
      </c>
      <c r="G4737">
        <f>IFERROR(__xludf.DUMMYFUNCTION("""COMPUTED_VALUE"""),17.5)</f>
        <v>17.5</v>
      </c>
    </row>
    <row r="4738">
      <c r="D4738" t="str">
        <f>IFERROR(__xludf.DUMMYFUNCTION("""COMPUTED_VALUE"""),"Alford")</f>
        <v>Alford</v>
      </c>
      <c r="E4738" t="str">
        <f>IFERROR(__xludf.DUMMYFUNCTION("""COMPUTED_VALUE"""),"Robert")</f>
        <v>Robert</v>
      </c>
      <c r="F4738" t="str">
        <f>IFERROR(__xludf.DUMMYFUNCTION("""COMPUTED_VALUE"""),"ATL")</f>
        <v>ATL</v>
      </c>
      <c r="G4738">
        <f>IFERROR(__xludf.DUMMYFUNCTION("""COMPUTED_VALUE"""),20.5)</f>
        <v>20.5</v>
      </c>
    </row>
    <row r="4739">
      <c r="D4739" t="str">
        <f>IFERROR(__xludf.DUMMYFUNCTION("""COMPUTED_VALUE"""),"Allen")</f>
        <v>Allen</v>
      </c>
      <c r="E4739" t="str">
        <f>IFERROR(__xludf.DUMMYFUNCTION("""COMPUTED_VALUE"""),"Beau")</f>
        <v>Beau</v>
      </c>
      <c r="F4739" t="str">
        <f>IFERROR(__xludf.DUMMYFUNCTION("""COMPUTED_VALUE"""),"TB")</f>
        <v>TB</v>
      </c>
      <c r="G4739">
        <f>IFERROR(__xludf.DUMMYFUNCTION("""COMPUTED_VALUE"""),18.5)</f>
        <v>18.5</v>
      </c>
    </row>
    <row r="4740">
      <c r="D4740" t="str">
        <f>IFERROR(__xludf.DUMMYFUNCTION("""COMPUTED_VALUE"""),"Allen")</f>
        <v>Allen</v>
      </c>
      <c r="E4740" t="str">
        <f>IFERROR(__xludf.DUMMYFUNCTION("""COMPUTED_VALUE"""),"Brandon")</f>
        <v>Brandon</v>
      </c>
      <c r="F4740" t="str">
        <f>IFERROR(__xludf.DUMMYFUNCTION("""COMPUTED_VALUE"""),"LAR")</f>
        <v>LAR</v>
      </c>
      <c r="G4740">
        <f>IFERROR(__xludf.DUMMYFUNCTION("""COMPUTED_VALUE"""),16.0)</f>
        <v>16</v>
      </c>
    </row>
    <row r="4741">
      <c r="D4741" t="str">
        <f>IFERROR(__xludf.DUMMYFUNCTION("""COMPUTED_VALUE"""),"Allen")</f>
        <v>Allen</v>
      </c>
      <c r="E4741" t="str">
        <f>IFERROR(__xludf.DUMMYFUNCTION("""COMPUTED_VALUE"""),"Brian")</f>
        <v>Brian</v>
      </c>
      <c r="F4741" t="str">
        <f>IFERROR(__xludf.DUMMYFUNCTION("""COMPUTED_VALUE"""),"PIT")</f>
        <v>PIT</v>
      </c>
      <c r="G4741">
        <f>IFERROR(__xludf.DUMMYFUNCTION("""COMPUTED_VALUE"""),17.0)</f>
        <v>17</v>
      </c>
    </row>
    <row r="4742">
      <c r="D4742" t="str">
        <f>IFERROR(__xludf.DUMMYFUNCTION("""COMPUTED_VALUE"""),"Allen")</f>
        <v>Allen</v>
      </c>
      <c r="E4742" t="str">
        <f>IFERROR(__xludf.DUMMYFUNCTION("""COMPUTED_VALUE"""),"Brian")</f>
        <v>Brian</v>
      </c>
      <c r="F4742" t="str">
        <f>IFERROR(__xludf.DUMMYFUNCTION("""COMPUTED_VALUE"""),"LAR")</f>
        <v>LAR</v>
      </c>
      <c r="G4742">
        <f>IFERROR(__xludf.DUMMYFUNCTION("""COMPUTED_VALUE"""),17.25)</f>
        <v>17.25</v>
      </c>
    </row>
    <row r="4743">
      <c r="D4743" t="str">
        <f>IFERROR(__xludf.DUMMYFUNCTION("""COMPUTED_VALUE"""),"Allen")</f>
        <v>Allen</v>
      </c>
      <c r="E4743" t="str">
        <f>IFERROR(__xludf.DUMMYFUNCTION("""COMPUTED_VALUE"""),"Chase")</f>
        <v>Chase</v>
      </c>
      <c r="F4743" t="str">
        <f>IFERROR(__xludf.DUMMYFUNCTION("""COMPUTED_VALUE"""),"MIA")</f>
        <v>MIA</v>
      </c>
      <c r="G4743">
        <f>IFERROR(__xludf.DUMMYFUNCTION("""COMPUTED_VALUE"""),18.25)</f>
        <v>18.25</v>
      </c>
    </row>
    <row r="4744">
      <c r="D4744" t="str">
        <f>IFERROR(__xludf.DUMMYFUNCTION("""COMPUTED_VALUE"""),"Allen")</f>
        <v>Allen</v>
      </c>
      <c r="E4744" t="str">
        <f>IFERROR(__xludf.DUMMYFUNCTION("""COMPUTED_VALUE"""),"Dwayne")</f>
        <v>Dwayne</v>
      </c>
      <c r="F4744" t="str">
        <f>IFERROR(__xludf.DUMMYFUNCTION("""COMPUTED_VALUE"""),"NE")</f>
        <v>NE</v>
      </c>
      <c r="G4744">
        <f>IFERROR(__xludf.DUMMYFUNCTION("""COMPUTED_VALUE"""),19.75)</f>
        <v>19.75</v>
      </c>
    </row>
    <row r="4745">
      <c r="D4745" t="str">
        <f>IFERROR(__xludf.DUMMYFUNCTION("""COMPUTED_VALUE"""),"Allen")</f>
        <v>Allen</v>
      </c>
      <c r="E4745" t="str">
        <f>IFERROR(__xludf.DUMMYFUNCTION("""COMPUTED_VALUE"""),"Javorius")</f>
        <v>Javorius</v>
      </c>
      <c r="F4745" t="str">
        <f>IFERROR(__xludf.DUMMYFUNCTION("""COMPUTED_VALUE"""),"BAL")</f>
        <v>BAL</v>
      </c>
      <c r="G4745">
        <f>IFERROR(__xludf.DUMMYFUNCTION("""COMPUTED_VALUE"""),18.5)</f>
        <v>18.5</v>
      </c>
    </row>
    <row r="4746">
      <c r="D4746" t="str">
        <f>IFERROR(__xludf.DUMMYFUNCTION("""COMPUTED_VALUE"""),"Allen")</f>
        <v>Allen</v>
      </c>
      <c r="E4746" t="str">
        <f>IFERROR(__xludf.DUMMYFUNCTION("""COMPUTED_VALUE"""),"Jeff")</f>
        <v>Jeff</v>
      </c>
      <c r="F4746" t="str">
        <f>IFERROR(__xludf.DUMMYFUNCTION("""COMPUTED_VALUE"""),"HOU")</f>
        <v>HOU</v>
      </c>
      <c r="G4746">
        <f>IFERROR(__xludf.DUMMYFUNCTION("""COMPUTED_VALUE"""),18.25)</f>
        <v>18.25</v>
      </c>
    </row>
    <row r="4747">
      <c r="D4747" t="str">
        <f>IFERROR(__xludf.DUMMYFUNCTION("""COMPUTED_VALUE"""),"Allen")</f>
        <v>Allen</v>
      </c>
      <c r="E4747" t="str">
        <f>IFERROR(__xludf.DUMMYFUNCTION("""COMPUTED_VALUE"""),"Jonathan")</f>
        <v>Jonathan</v>
      </c>
      <c r="F4747" t="str">
        <f>IFERROR(__xludf.DUMMYFUNCTION("""COMPUTED_VALUE"""),"WAS")</f>
        <v>WAS</v>
      </c>
      <c r="G4747">
        <f>IFERROR(__xludf.DUMMYFUNCTION("""COMPUTED_VALUE"""),19.25)</f>
        <v>19.25</v>
      </c>
    </row>
    <row r="4748">
      <c r="D4748" t="str">
        <f>IFERROR(__xludf.DUMMYFUNCTION("""COMPUTED_VALUE"""),"Allen")</f>
        <v>Allen</v>
      </c>
      <c r="E4748" t="str">
        <f>IFERROR(__xludf.DUMMYFUNCTION("""COMPUTED_VALUE"""),"Josh")</f>
        <v>Josh</v>
      </c>
      <c r="F4748" t="str">
        <f>IFERROR(__xludf.DUMMYFUNCTION("""COMPUTED_VALUE"""),"ARZ")</f>
        <v>ARZ</v>
      </c>
      <c r="G4748">
        <f>IFERROR(__xludf.DUMMYFUNCTION("""COMPUTED_VALUE"""),15.75)</f>
        <v>15.75</v>
      </c>
    </row>
    <row r="4749">
      <c r="D4749" t="str">
        <f>IFERROR(__xludf.DUMMYFUNCTION("""COMPUTED_VALUE"""),"Allen")</f>
        <v>Allen</v>
      </c>
      <c r="E4749" t="str">
        <f>IFERROR(__xludf.DUMMYFUNCTION("""COMPUTED_VALUE"""),"Josh")</f>
        <v>Josh</v>
      </c>
      <c r="F4749" t="str">
        <f>IFERROR(__xludf.DUMMYFUNCTION("""COMPUTED_VALUE"""),"BUF")</f>
        <v>BUF</v>
      </c>
      <c r="G4749">
        <f>IFERROR(__xludf.DUMMYFUNCTION("""COMPUTED_VALUE"""),19.0)</f>
        <v>19</v>
      </c>
    </row>
    <row r="4750">
      <c r="D4750" t="str">
        <f>IFERROR(__xludf.DUMMYFUNCTION("""COMPUTED_VALUE"""),"Allen")</f>
        <v>Allen</v>
      </c>
      <c r="E4750" t="str">
        <f>IFERROR(__xludf.DUMMYFUNCTION("""COMPUTED_VALUE"""),"Keenan")</f>
        <v>Keenan</v>
      </c>
      <c r="F4750" t="str">
        <f>IFERROR(__xludf.DUMMYFUNCTION("""COMPUTED_VALUE"""),"LAC")</f>
        <v>LAC</v>
      </c>
      <c r="G4750">
        <f>IFERROR(__xludf.DUMMYFUNCTION("""COMPUTED_VALUE"""),21.5)</f>
        <v>21.5</v>
      </c>
    </row>
    <row r="4751">
      <c r="D4751" t="str">
        <f>IFERROR(__xludf.DUMMYFUNCTION("""COMPUTED_VALUE"""),"Allen")</f>
        <v>Allen</v>
      </c>
      <c r="E4751" t="str">
        <f>IFERROR(__xludf.DUMMYFUNCTION("""COMPUTED_VALUE"""),"Marcus")</f>
        <v>Marcus</v>
      </c>
      <c r="F4751" t="str">
        <f>IFERROR(__xludf.DUMMYFUNCTION("""COMPUTED_VALUE"""),"PIT")</f>
        <v>PIT</v>
      </c>
      <c r="G4751">
        <f>IFERROR(__xludf.DUMMYFUNCTION("""COMPUTED_VALUE"""),16.75)</f>
        <v>16.75</v>
      </c>
    </row>
    <row r="4752">
      <c r="D4752" t="str">
        <f>IFERROR(__xludf.DUMMYFUNCTION("""COMPUTED_VALUE"""),"Allen")</f>
        <v>Allen</v>
      </c>
      <c r="E4752" t="str">
        <f>IFERROR(__xludf.DUMMYFUNCTION("""COMPUTED_VALUE"""),"Riitemo")</f>
        <v>Riitemo</v>
      </c>
      <c r="F4752" t="str">
        <f>IFERROR(__xludf.DUMMYFUNCTION("""COMPUTED_VALUE"""),"ATL")</f>
        <v>ATL</v>
      </c>
      <c r="G4752">
        <f>IFERROR(__xludf.DUMMYFUNCTION("""COMPUTED_VALUE"""),20.0)</f>
        <v>20</v>
      </c>
    </row>
    <row r="4753">
      <c r="D4753" t="str">
        <f>IFERROR(__xludf.DUMMYFUNCTION("""COMPUTED_VALUE"""),"Allen")</f>
        <v>Allen</v>
      </c>
      <c r="E4753" t="str">
        <f>IFERROR(__xludf.DUMMYFUNCTION("""COMPUTED_VALUE"""),"Ryan")</f>
        <v>Ryan</v>
      </c>
      <c r="F4753" t="str">
        <f>IFERROR(__xludf.DUMMYFUNCTION("""COMPUTED_VALUE"""),"NE")</f>
        <v>NE</v>
      </c>
      <c r="G4753">
        <f>IFERROR(__xludf.DUMMYFUNCTION("""COMPUTED_VALUE"""),19.75)</f>
        <v>19.75</v>
      </c>
    </row>
    <row r="4754">
      <c r="D4754" t="str">
        <f>IFERROR(__xludf.DUMMYFUNCTION("""COMPUTED_VALUE"""),"Allison")</f>
        <v>Allison</v>
      </c>
      <c r="E4754" t="str">
        <f>IFERROR(__xludf.DUMMYFUNCTION("""COMPUTED_VALUE"""),"Geronimo")</f>
        <v>Geronimo</v>
      </c>
      <c r="F4754" t="str">
        <f>IFERROR(__xludf.DUMMYFUNCTION("""COMPUTED_VALUE"""),"GB")</f>
        <v>GB</v>
      </c>
      <c r="G4754">
        <f>IFERROR(__xludf.DUMMYFUNCTION("""COMPUTED_VALUE"""),18.0)</f>
        <v>18</v>
      </c>
    </row>
    <row r="4755">
      <c r="D4755" t="str">
        <f>IFERROR(__xludf.DUMMYFUNCTION("""COMPUTED_VALUE"""),"Alonso")</f>
        <v>Alonso</v>
      </c>
      <c r="E4755" t="str">
        <f>IFERROR(__xludf.DUMMYFUNCTION("""COMPUTED_VALUE"""),"Kiko")</f>
        <v>Kiko</v>
      </c>
      <c r="F4755" t="str">
        <f>IFERROR(__xludf.DUMMYFUNCTION("""COMPUTED_VALUE"""),"MIA")</f>
        <v>MIA</v>
      </c>
      <c r="G4755">
        <f>IFERROR(__xludf.DUMMYFUNCTION("""COMPUTED_VALUE"""),18.25)</f>
        <v>18.25</v>
      </c>
    </row>
    <row r="4756">
      <c r="D4756" t="str">
        <f>IFERROR(__xludf.DUMMYFUNCTION("""COMPUTED_VALUE"""),"Alualu")</f>
        <v>Alualu</v>
      </c>
      <c r="E4756" t="str">
        <f>IFERROR(__xludf.DUMMYFUNCTION("""COMPUTED_VALUE"""),"Tyson")</f>
        <v>Tyson</v>
      </c>
      <c r="F4756" t="str">
        <f>IFERROR(__xludf.DUMMYFUNCTION("""COMPUTED_VALUE"""),"PIT")</f>
        <v>PIT</v>
      </c>
      <c r="G4756">
        <f>IFERROR(__xludf.DUMMYFUNCTION("""COMPUTED_VALUE"""),18.25)</f>
        <v>18.25</v>
      </c>
    </row>
    <row r="4757">
      <c r="D4757" t="str">
        <f>IFERROR(__xludf.DUMMYFUNCTION("""COMPUTED_VALUE"""),"Amaro")</f>
        <v>Amaro</v>
      </c>
      <c r="E4757" t="str">
        <f>IFERROR(__xludf.DUMMYFUNCTION("""COMPUTED_VALUE"""),"Jace")</f>
        <v>Jace</v>
      </c>
      <c r="F4757" t="str">
        <f>IFERROR(__xludf.DUMMYFUNCTION("""COMPUTED_VALUE"""),"KC")</f>
        <v>KC</v>
      </c>
      <c r="G4757">
        <f>IFERROR(__xludf.DUMMYFUNCTION("""COMPUTED_VALUE"""),18.5)</f>
        <v>18.5</v>
      </c>
    </row>
    <row r="4758">
      <c r="D4758" t="str">
        <f>IFERROR(__xludf.DUMMYFUNCTION("""COMPUTED_VALUE"""),"Amendola")</f>
        <v>Amendola</v>
      </c>
      <c r="E4758" t="str">
        <f>IFERROR(__xludf.DUMMYFUNCTION("""COMPUTED_VALUE"""),"Danny")</f>
        <v>Danny</v>
      </c>
      <c r="F4758" t="str">
        <f>IFERROR(__xludf.DUMMYFUNCTION("""COMPUTED_VALUE"""),"MIA")</f>
        <v>MIA</v>
      </c>
      <c r="G4758">
        <f>IFERROR(__xludf.DUMMYFUNCTION("""COMPUTED_VALUE"""),20.0)</f>
        <v>20</v>
      </c>
    </row>
    <row r="4759">
      <c r="D4759" t="str">
        <f>IFERROR(__xludf.DUMMYFUNCTION("""COMPUTED_VALUE"""),"Amerson")</f>
        <v>Amerson</v>
      </c>
      <c r="E4759" t="str">
        <f>IFERROR(__xludf.DUMMYFUNCTION("""COMPUTED_VALUE"""),"David")</f>
        <v>David</v>
      </c>
      <c r="F4759" t="str">
        <f>IFERROR(__xludf.DUMMYFUNCTION("""COMPUTED_VALUE"""),"KC")</f>
        <v>KC</v>
      </c>
      <c r="G4759">
        <f>IFERROR(__xludf.DUMMYFUNCTION("""COMPUTED_VALUE"""),19.5)</f>
        <v>19.5</v>
      </c>
    </row>
    <row r="4760">
      <c r="D4760" t="str">
        <f>IFERROR(__xludf.DUMMYFUNCTION("""COMPUTED_VALUE"""),"Amichia")</f>
        <v>Amichia</v>
      </c>
      <c r="E4760" t="str">
        <f>IFERROR(__xludf.DUMMYFUNCTION("""COMPUTED_VALUE"""),"Kofi")</f>
        <v>Kofi</v>
      </c>
      <c r="F4760" t="str">
        <f>IFERROR(__xludf.DUMMYFUNCTION("""COMPUTED_VALUE"""),"GB")</f>
        <v>GB</v>
      </c>
      <c r="G4760">
        <f>IFERROR(__xludf.DUMMYFUNCTION("""COMPUTED_VALUE"""),17.5)</f>
        <v>17.5</v>
      </c>
    </row>
    <row r="4761">
      <c r="D4761" t="str">
        <f>IFERROR(__xludf.DUMMYFUNCTION("""COMPUTED_VALUE"""),"Amos")</f>
        <v>Amos</v>
      </c>
      <c r="E4761" t="str">
        <f>IFERROR(__xludf.DUMMYFUNCTION("""COMPUTED_VALUE"""),"Adrian")</f>
        <v>Adrian</v>
      </c>
      <c r="F4761" t="str">
        <f>IFERROR(__xludf.DUMMYFUNCTION("""COMPUTED_VALUE"""),"CHI")</f>
        <v>CHI</v>
      </c>
      <c r="G4761">
        <f>IFERROR(__xludf.DUMMYFUNCTION("""COMPUTED_VALUE"""),21.0)</f>
        <v>21</v>
      </c>
    </row>
    <row r="4762">
      <c r="D4762" t="str">
        <f>IFERROR(__xludf.DUMMYFUNCTION("""COMPUTED_VALUE"""),"Amos")</f>
        <v>Amos</v>
      </c>
      <c r="E4762" t="str">
        <f>IFERROR(__xludf.DUMMYFUNCTION("""COMPUTED_VALUE"""),"Adrian")</f>
        <v>Adrian</v>
      </c>
      <c r="F4762" t="str">
        <f>IFERROR(__xludf.DUMMYFUNCTION("""COMPUTED_VALUE"""),"CHI")</f>
        <v>CHI</v>
      </c>
      <c r="G4762">
        <f>IFERROR(__xludf.DUMMYFUNCTION("""COMPUTED_VALUE"""),22.25)</f>
        <v>22.25</v>
      </c>
    </row>
    <row r="4763">
      <c r="D4763" t="str">
        <f>IFERROR(__xludf.DUMMYFUNCTION("""COMPUTED_VALUE"""),"Amukamara")</f>
        <v>Amukamara</v>
      </c>
      <c r="E4763" t="str">
        <f>IFERROR(__xludf.DUMMYFUNCTION("""COMPUTED_VALUE"""),"Prince")</f>
        <v>Prince</v>
      </c>
      <c r="F4763" t="str">
        <f>IFERROR(__xludf.DUMMYFUNCTION("""COMPUTED_VALUE"""),"CHI")</f>
        <v>CHI</v>
      </c>
      <c r="G4763">
        <f>IFERROR(__xludf.DUMMYFUNCTION("""COMPUTED_VALUE"""),19.5)</f>
        <v>19.5</v>
      </c>
    </row>
    <row r="4764">
      <c r="D4764" t="str">
        <f>IFERROR(__xludf.DUMMYFUNCTION("""COMPUTED_VALUE"""),"Anderson")</f>
        <v>Anderson</v>
      </c>
      <c r="E4764" t="str">
        <f>IFERROR(__xludf.DUMMYFUNCTION("""COMPUTED_VALUE"""),"CJ")</f>
        <v>CJ</v>
      </c>
      <c r="F4764" t="str">
        <f>IFERROR(__xludf.DUMMYFUNCTION("""COMPUTED_VALUE"""),"CAR")</f>
        <v>CAR</v>
      </c>
      <c r="G4764">
        <f>IFERROR(__xludf.DUMMYFUNCTION("""COMPUTED_VALUE"""),20.25)</f>
        <v>20.25</v>
      </c>
    </row>
    <row r="4765">
      <c r="D4765" t="str">
        <f>IFERROR(__xludf.DUMMYFUNCTION("""COMPUTED_VALUE"""),"Anderson")</f>
        <v>Anderson</v>
      </c>
      <c r="E4765" t="str">
        <f>IFERROR(__xludf.DUMMYFUNCTION("""COMPUTED_VALUE"""),"Dres")</f>
        <v>Dres</v>
      </c>
      <c r="F4765" t="str">
        <f>IFERROR(__xludf.DUMMYFUNCTION("""COMPUTED_VALUE"""),"IND")</f>
        <v>IND</v>
      </c>
      <c r="G4765">
        <f>IFERROR(__xludf.DUMMYFUNCTION("""COMPUTED_VALUE"""),16.25)</f>
        <v>16.25</v>
      </c>
    </row>
    <row r="4766">
      <c r="D4766" t="str">
        <f>IFERROR(__xludf.DUMMYFUNCTION("""COMPUTED_VALUE"""),"Anderson")</f>
        <v>Anderson</v>
      </c>
      <c r="E4766" t="str">
        <f>IFERROR(__xludf.DUMMYFUNCTION("""COMPUTED_VALUE"""),"Henry")</f>
        <v>Henry</v>
      </c>
      <c r="F4766" t="str">
        <f>IFERROR(__xludf.DUMMYFUNCTION("""COMPUTED_VALUE"""),"NYJ")</f>
        <v>NYJ</v>
      </c>
      <c r="G4766">
        <f>IFERROR(__xludf.DUMMYFUNCTION("""COMPUTED_VALUE"""),19.25)</f>
        <v>19.25</v>
      </c>
    </row>
    <row r="4767">
      <c r="D4767" t="str">
        <f>IFERROR(__xludf.DUMMYFUNCTION("""COMPUTED_VALUE"""),"Anderson")</f>
        <v>Anderson</v>
      </c>
      <c r="E4767" t="str">
        <f>IFERROR(__xludf.DUMMYFUNCTION("""COMPUTED_VALUE"""),"Jonathan")</f>
        <v>Jonathan</v>
      </c>
      <c r="F4767" t="str">
        <f>IFERROR(__xludf.DUMMYFUNCTION("""COMPUTED_VALUE"""),"CHI")</f>
        <v>CHI</v>
      </c>
      <c r="G4767">
        <f>IFERROR(__xludf.DUMMYFUNCTION("""COMPUTED_VALUE"""),16.0)</f>
        <v>16</v>
      </c>
    </row>
    <row r="4768">
      <c r="D4768" t="str">
        <f>IFERROR(__xludf.DUMMYFUNCTION("""COMPUTED_VALUE"""),"Anderson")</f>
        <v>Anderson</v>
      </c>
      <c r="E4768" t="str">
        <f>IFERROR(__xludf.DUMMYFUNCTION("""COMPUTED_VALUE"""),"Robby")</f>
        <v>Robby</v>
      </c>
      <c r="F4768" t="str">
        <f>IFERROR(__xludf.DUMMYFUNCTION("""COMPUTED_VALUE"""),"NYJ")</f>
        <v>NYJ</v>
      </c>
      <c r="G4768">
        <f>IFERROR(__xludf.DUMMYFUNCTION("""COMPUTED_VALUE"""),20.0)</f>
        <v>20</v>
      </c>
    </row>
    <row r="4769">
      <c r="D4769" t="str">
        <f>IFERROR(__xludf.DUMMYFUNCTION("""COMPUTED_VALUE"""),"Anderson")</f>
        <v>Anderson</v>
      </c>
      <c r="E4769" t="str">
        <f>IFERROR(__xludf.DUMMYFUNCTION("""COMPUTED_VALUE"""),"Ryan")</f>
        <v>Ryan</v>
      </c>
      <c r="F4769" t="str">
        <f>IFERROR(__xludf.DUMMYFUNCTION("""COMPUTED_VALUE"""),"WAS")</f>
        <v>WAS</v>
      </c>
      <c r="G4769">
        <f>IFERROR(__xludf.DUMMYFUNCTION("""COMPUTED_VALUE"""),18.75)</f>
        <v>18.75</v>
      </c>
    </row>
    <row r="4770">
      <c r="D4770" t="str">
        <f>IFERROR(__xludf.DUMMYFUNCTION("""COMPUTED_VALUE"""),"Anderson")</f>
        <v>Anderson</v>
      </c>
      <c r="E4770" t="str">
        <f>IFERROR(__xludf.DUMMYFUNCTION("""COMPUTED_VALUE"""),"Stephen")</f>
        <v>Stephen</v>
      </c>
      <c r="F4770" t="str">
        <f>IFERROR(__xludf.DUMMYFUNCTION("""COMPUTED_VALUE"""),"HOU")</f>
        <v>HOU</v>
      </c>
      <c r="G4770">
        <f>IFERROR(__xludf.DUMMYFUNCTION("""COMPUTED_VALUE"""),17.75)</f>
        <v>17.75</v>
      </c>
    </row>
    <row r="4771">
      <c r="D4771" t="str">
        <f>IFERROR(__xludf.DUMMYFUNCTION("""COMPUTED_VALUE"""),"Anderson")</f>
        <v>Anderson</v>
      </c>
      <c r="E4771" t="str">
        <f>IFERROR(__xludf.DUMMYFUNCTION("""COMPUTED_VALUE"""),"Zaire")</f>
        <v>Zaire</v>
      </c>
      <c r="F4771" t="str">
        <f>IFERROR(__xludf.DUMMYFUNCTION("""COMPUTED_VALUE"""),"DEN")</f>
        <v>DEN</v>
      </c>
      <c r="G4771">
        <f>IFERROR(__xludf.DUMMYFUNCTION("""COMPUTED_VALUE"""),16.5)</f>
        <v>16.5</v>
      </c>
    </row>
    <row r="4772">
      <c r="D4772" t="str">
        <f>IFERROR(__xludf.DUMMYFUNCTION("""COMPUTED_VALUE"""),"Andrews")</f>
        <v>Andrews</v>
      </c>
      <c r="E4772" t="str">
        <f>IFERROR(__xludf.DUMMYFUNCTION("""COMPUTED_VALUE"""),"David")</f>
        <v>David</v>
      </c>
      <c r="F4772" t="str">
        <f>IFERROR(__xludf.DUMMYFUNCTION("""COMPUTED_VALUE"""),"NE")</f>
        <v>NE</v>
      </c>
      <c r="G4772">
        <f>IFERROR(__xludf.DUMMYFUNCTION("""COMPUTED_VALUE"""),20.75)</f>
        <v>20.75</v>
      </c>
    </row>
    <row r="4773">
      <c r="D4773" t="str">
        <f>IFERROR(__xludf.DUMMYFUNCTION("""COMPUTED_VALUE"""),"Andrews")</f>
        <v>Andrews</v>
      </c>
      <c r="E4773" t="str">
        <f>IFERROR(__xludf.DUMMYFUNCTION("""COMPUTED_VALUE"""),"Josh")</f>
        <v>Josh</v>
      </c>
      <c r="F4773" t="str">
        <f>IFERROR(__xludf.DUMMYFUNCTION("""COMPUTED_VALUE"""),"MIN")</f>
        <v>MIN</v>
      </c>
      <c r="G4773">
        <f>IFERROR(__xludf.DUMMYFUNCTION("""COMPUTED_VALUE"""),16.75)</f>
        <v>16.75</v>
      </c>
    </row>
    <row r="4774">
      <c r="D4774" t="str">
        <f>IFERROR(__xludf.DUMMYFUNCTION("""COMPUTED_VALUE"""),"Andrews")</f>
        <v>Andrews</v>
      </c>
      <c r="E4774" t="str">
        <f>IFERROR(__xludf.DUMMYFUNCTION("""COMPUTED_VALUE"""),"Mark")</f>
        <v>Mark</v>
      </c>
      <c r="F4774" t="str">
        <f>IFERROR(__xludf.DUMMYFUNCTION("""COMPUTED_VALUE"""),"BAL")</f>
        <v>BAL</v>
      </c>
      <c r="G4774">
        <f>IFERROR(__xludf.DUMMYFUNCTION("""COMPUTED_VALUE"""),18.25)</f>
        <v>18.25</v>
      </c>
    </row>
    <row r="4775">
      <c r="D4775" t="str">
        <f>IFERROR(__xludf.DUMMYFUNCTION("""COMPUTED_VALUE"""),"Anger")</f>
        <v>Anger</v>
      </c>
      <c r="E4775" t="str">
        <f>IFERROR(__xludf.DUMMYFUNCTION("""COMPUTED_VALUE"""),"Bryan")</f>
        <v>Bryan</v>
      </c>
      <c r="F4775" t="str">
        <f>IFERROR(__xludf.DUMMYFUNCTION("""COMPUTED_VALUE"""),"TB")</f>
        <v>TB</v>
      </c>
      <c r="G4775">
        <f>IFERROR(__xludf.DUMMYFUNCTION("""COMPUTED_VALUE"""),20.75)</f>
        <v>20.75</v>
      </c>
    </row>
    <row r="4776">
      <c r="D4776" t="str">
        <f>IFERROR(__xludf.DUMMYFUNCTION("""COMPUTED_VALUE"""),"Ansah")</f>
        <v>Ansah</v>
      </c>
      <c r="E4776" t="str">
        <f>IFERROR(__xludf.DUMMYFUNCTION("""COMPUTED_VALUE"""),"Ezekiel")</f>
        <v>Ezekiel</v>
      </c>
      <c r="F4776" t="str">
        <f>IFERROR(__xludf.DUMMYFUNCTION("""COMPUTED_VALUE"""),"DET")</f>
        <v>DET</v>
      </c>
      <c r="G4776">
        <f>IFERROR(__xludf.DUMMYFUNCTION("""COMPUTED_VALUE"""),20.0)</f>
        <v>20</v>
      </c>
    </row>
    <row r="4777">
      <c r="D4777" t="str">
        <f>IFERROR(__xludf.DUMMYFUNCTION("""COMPUTED_VALUE"""),"Anthony")</f>
        <v>Anthony</v>
      </c>
      <c r="E4777" t="str">
        <f>IFERROR(__xludf.DUMMYFUNCTION("""COMPUTED_VALUE"""),"Stephone")</f>
        <v>Stephone</v>
      </c>
      <c r="F4777" t="str">
        <f>IFERROR(__xludf.DUMMYFUNCTION("""COMPUTED_VALUE"""),"MIA")</f>
        <v>MIA</v>
      </c>
      <c r="G4777">
        <f>IFERROR(__xludf.DUMMYFUNCTION("""COMPUTED_VALUE"""),19.0)</f>
        <v>19</v>
      </c>
    </row>
    <row r="4778">
      <c r="D4778" t="str">
        <f>IFERROR(__xludf.DUMMYFUNCTION("""COMPUTED_VALUE"""),"Anzalone")</f>
        <v>Anzalone</v>
      </c>
      <c r="E4778" t="str">
        <f>IFERROR(__xludf.DUMMYFUNCTION("""COMPUTED_VALUE"""),"Alex")</f>
        <v>Alex</v>
      </c>
      <c r="F4778" t="str">
        <f>IFERROR(__xludf.DUMMYFUNCTION("""COMPUTED_VALUE"""),"NO")</f>
        <v>NO</v>
      </c>
      <c r="G4778">
        <f>IFERROR(__xludf.DUMMYFUNCTION("""COMPUTED_VALUE"""),19.25)</f>
        <v>19.25</v>
      </c>
    </row>
    <row r="4779">
      <c r="D4779" t="str">
        <f>IFERROR(__xludf.DUMMYFUNCTION("""COMPUTED_VALUE"""),"Apke")</f>
        <v>Apke</v>
      </c>
      <c r="E4779" t="str">
        <f>IFERROR(__xludf.DUMMYFUNCTION("""COMPUTED_VALUE"""),"Troy")</f>
        <v>Troy</v>
      </c>
      <c r="F4779" t="str">
        <f>IFERROR(__xludf.DUMMYFUNCTION("""COMPUTED_VALUE"""),"WAS")</f>
        <v>WAS</v>
      </c>
      <c r="G4779">
        <f>IFERROR(__xludf.DUMMYFUNCTION("""COMPUTED_VALUE"""),17.5)</f>
        <v>17.5</v>
      </c>
    </row>
    <row r="4780">
      <c r="D4780" t="str">
        <f>IFERROR(__xludf.DUMMYFUNCTION("""COMPUTED_VALUE"""),"Apple")</f>
        <v>Apple</v>
      </c>
      <c r="E4780" t="str">
        <f>IFERROR(__xludf.DUMMYFUNCTION("""COMPUTED_VALUE"""),"Eli")</f>
        <v>Eli</v>
      </c>
      <c r="F4780" t="str">
        <f>IFERROR(__xludf.DUMMYFUNCTION("""COMPUTED_VALUE"""),"NYG")</f>
        <v>NYG</v>
      </c>
      <c r="G4780">
        <f>IFERROR(__xludf.DUMMYFUNCTION("""COMPUTED_VALUE"""),17.75)</f>
        <v>17.75</v>
      </c>
    </row>
    <row r="4781">
      <c r="D4781" t="str">
        <f>IFERROR(__xludf.DUMMYFUNCTION("""COMPUTED_VALUE"""),"Armah")</f>
        <v>Armah</v>
      </c>
      <c r="E4781" t="str">
        <f>IFERROR(__xludf.DUMMYFUNCTION("""COMPUTED_VALUE"""),"Alex")</f>
        <v>Alex</v>
      </c>
      <c r="F4781" t="str">
        <f>IFERROR(__xludf.DUMMYFUNCTION("""COMPUTED_VALUE"""),"CAR")</f>
        <v>CAR</v>
      </c>
      <c r="G4781">
        <f>IFERROR(__xludf.DUMMYFUNCTION("""COMPUTED_VALUE"""),17.0)</f>
        <v>17</v>
      </c>
    </row>
    <row r="4782">
      <c r="D4782" t="str">
        <f>IFERROR(__xludf.DUMMYFUNCTION("""COMPUTED_VALUE"""),"Armbrister")</f>
        <v>Armbrister</v>
      </c>
      <c r="E4782" t="str">
        <f>IFERROR(__xludf.DUMMYFUNCTION("""COMPUTED_VALUE"""),"Thurston")</f>
        <v>Thurston</v>
      </c>
      <c r="F4782" t="str">
        <f>IFERROR(__xludf.DUMMYFUNCTION("""COMPUTED_VALUE"""),"NYG")</f>
        <v>NYG</v>
      </c>
      <c r="G4782">
        <f>IFERROR(__xludf.DUMMYFUNCTION("""COMPUTED_VALUE"""),15.5)</f>
        <v>15.5</v>
      </c>
    </row>
    <row r="4783">
      <c r="D4783" t="str">
        <f>IFERROR(__xludf.DUMMYFUNCTION("""COMPUTED_VALUE"""),"Armstead")</f>
        <v>Armstead</v>
      </c>
      <c r="E4783" t="str">
        <f>IFERROR(__xludf.DUMMYFUNCTION("""COMPUTED_VALUE"""),"Arik")</f>
        <v>Arik</v>
      </c>
      <c r="F4783" t="str">
        <f>IFERROR(__xludf.DUMMYFUNCTION("""COMPUTED_VALUE"""),"SF")</f>
        <v>SF</v>
      </c>
      <c r="G4783">
        <f>IFERROR(__xludf.DUMMYFUNCTION("""COMPUTED_VALUE"""),19.25)</f>
        <v>19.25</v>
      </c>
    </row>
    <row r="4784">
      <c r="D4784" t="str">
        <f>IFERROR(__xludf.DUMMYFUNCTION("""COMPUTED_VALUE"""),"Armstead")</f>
        <v>Armstead</v>
      </c>
      <c r="E4784" t="str">
        <f>IFERROR(__xludf.DUMMYFUNCTION("""COMPUTED_VALUE"""),"Terron")</f>
        <v>Terron</v>
      </c>
      <c r="F4784" t="str">
        <f>IFERROR(__xludf.DUMMYFUNCTION("""COMPUTED_VALUE"""),"NO")</f>
        <v>NO</v>
      </c>
      <c r="G4784">
        <f>IFERROR(__xludf.DUMMYFUNCTION("""COMPUTED_VALUE"""),20.0)</f>
        <v>20</v>
      </c>
    </row>
    <row r="4785">
      <c r="D4785" t="str">
        <f>IFERROR(__xludf.DUMMYFUNCTION("""COMPUTED_VALUE"""),"Armstrong")</f>
        <v>Armstrong</v>
      </c>
      <c r="E4785" t="str">
        <f>IFERROR(__xludf.DUMMYFUNCTION("""COMPUTED_VALUE"""),"Cornell")</f>
        <v>Cornell</v>
      </c>
      <c r="F4785" t="str">
        <f>IFERROR(__xludf.DUMMYFUNCTION("""COMPUTED_VALUE"""),"MIA")</f>
        <v>MIA</v>
      </c>
      <c r="G4785">
        <f>IFERROR(__xludf.DUMMYFUNCTION("""COMPUTED_VALUE"""),17.0)</f>
        <v>17</v>
      </c>
    </row>
    <row r="4786">
      <c r="D4786" t="str">
        <f>IFERROR(__xludf.DUMMYFUNCTION("""COMPUTED_VALUE"""),"Armstrong")</f>
        <v>Armstrong</v>
      </c>
      <c r="E4786" t="str">
        <f>IFERROR(__xludf.DUMMYFUNCTION("""COMPUTED_VALUE"""),"Ray-Ray")</f>
        <v>Ray-Ray</v>
      </c>
      <c r="F4786" t="str">
        <f>IFERROR(__xludf.DUMMYFUNCTION("""COMPUTED_VALUE"""),"NYG")</f>
        <v>NYG</v>
      </c>
      <c r="G4786">
        <f>IFERROR(__xludf.DUMMYFUNCTION("""COMPUTED_VALUE"""),18.0)</f>
        <v>18</v>
      </c>
    </row>
    <row r="4787">
      <c r="D4787" t="str">
        <f>IFERROR(__xludf.DUMMYFUNCTION("""COMPUTED_VALUE"""),"Armstrong Jr")</f>
        <v>Armstrong Jr</v>
      </c>
      <c r="E4787" t="str">
        <f>IFERROR(__xludf.DUMMYFUNCTION("""COMPUTED_VALUE"""),"Dorance")</f>
        <v>Dorance</v>
      </c>
      <c r="F4787" t="str">
        <f>IFERROR(__xludf.DUMMYFUNCTION("""COMPUTED_VALUE"""),"DAL")</f>
        <v>DAL</v>
      </c>
      <c r="G4787">
        <f>IFERROR(__xludf.DUMMYFUNCTION("""COMPUTED_VALUE"""),17.0)</f>
        <v>17</v>
      </c>
    </row>
    <row r="4788">
      <c r="D4788" t="str">
        <f>IFERROR(__xludf.DUMMYFUNCTION("""COMPUTED_VALUE"""),"Artis-Payne")</f>
        <v>Artis-Payne</v>
      </c>
      <c r="E4788" t="str">
        <f>IFERROR(__xludf.DUMMYFUNCTION("""COMPUTED_VALUE"""),"Cameron")</f>
        <v>Cameron</v>
      </c>
      <c r="F4788" t="str">
        <f>IFERROR(__xludf.DUMMYFUNCTION("""COMPUTED_VALUE"""),"CAR")</f>
        <v>CAR</v>
      </c>
      <c r="G4788">
        <f>IFERROR(__xludf.DUMMYFUNCTION("""COMPUTED_VALUE"""),17.5)</f>
        <v>17.5</v>
      </c>
    </row>
    <row r="4789">
      <c r="D4789" t="str">
        <f>IFERROR(__xludf.DUMMYFUNCTION("""COMPUTED_VALUE"""),"Aruna")</f>
        <v>Aruna</v>
      </c>
      <c r="E4789" t="str">
        <f>IFERROR(__xludf.DUMMYFUNCTION("""COMPUTED_VALUE"""),"Ade")</f>
        <v>Ade</v>
      </c>
      <c r="F4789" t="str">
        <f>IFERROR(__xludf.DUMMYFUNCTION("""COMPUTED_VALUE"""),"MIN")</f>
        <v>MIN</v>
      </c>
      <c r="G4789">
        <f>IFERROR(__xludf.DUMMYFUNCTION("""COMPUTED_VALUE"""),16.25)</f>
        <v>16.25</v>
      </c>
    </row>
    <row r="4790">
      <c r="D4790" t="str">
        <f>IFERROR(__xludf.DUMMYFUNCTION("""COMPUTED_VALUE"""),"Ash")</f>
        <v>Ash</v>
      </c>
      <c r="E4790" t="str">
        <f>IFERROR(__xludf.DUMMYFUNCTION("""COMPUTED_VALUE"""),"Richard")</f>
        <v>Richard</v>
      </c>
      <c r="F4790" t="str">
        <f>IFERROR(__xludf.DUMMYFUNCTION("""COMPUTED_VALUE"""),"DAL")</f>
        <v>DAL</v>
      </c>
      <c r="G4790">
        <f>IFERROR(__xludf.DUMMYFUNCTION("""COMPUTED_VALUE"""),15.75)</f>
        <v>15.75</v>
      </c>
    </row>
    <row r="4791">
      <c r="D4791" t="str">
        <f>IFERROR(__xludf.DUMMYFUNCTION("""COMPUTED_VALUE"""),"Asiata")</f>
        <v>Asiata</v>
      </c>
      <c r="E4791" t="str">
        <f>IFERROR(__xludf.DUMMYFUNCTION("""COMPUTED_VALUE"""),"Isaac")</f>
        <v>Isaac</v>
      </c>
      <c r="F4791" t="str">
        <f>IFERROR(__xludf.DUMMYFUNCTION("""COMPUTED_VALUE"""),"MIA")</f>
        <v>MIA</v>
      </c>
      <c r="G4791">
        <f>IFERROR(__xludf.DUMMYFUNCTION("""COMPUTED_VALUE"""),18.0)</f>
        <v>18</v>
      </c>
    </row>
    <row r="4792">
      <c r="D4792" t="str">
        <f>IFERROR(__xludf.DUMMYFUNCTION("""COMPUTED_VALUE"""),"Ateman")</f>
        <v>Ateman</v>
      </c>
      <c r="E4792" t="str">
        <f>IFERROR(__xludf.DUMMYFUNCTION("""COMPUTED_VALUE"""),"Marcell")</f>
        <v>Marcell</v>
      </c>
      <c r="F4792" t="str">
        <f>IFERROR(__xludf.DUMMYFUNCTION("""COMPUTED_VALUE"""),"OAK")</f>
        <v>OAK</v>
      </c>
      <c r="G4792">
        <f>IFERROR(__xludf.DUMMYFUNCTION("""COMPUTED_VALUE"""),17.5)</f>
        <v>17.5</v>
      </c>
    </row>
    <row r="4793">
      <c r="D4793" t="str">
        <f>IFERROR(__xludf.DUMMYFUNCTION("""COMPUTED_VALUE"""),"Atkins")</f>
        <v>Atkins</v>
      </c>
      <c r="E4793" t="str">
        <f>IFERROR(__xludf.DUMMYFUNCTION("""COMPUTED_VALUE"""),"Geno")</f>
        <v>Geno</v>
      </c>
      <c r="F4793" t="str">
        <f>IFERROR(__xludf.DUMMYFUNCTION("""COMPUTED_VALUE"""),"CIN")</f>
        <v>CIN</v>
      </c>
      <c r="G4793">
        <f>IFERROR(__xludf.DUMMYFUNCTION("""COMPUTED_VALUE"""),21.5)</f>
        <v>21.5</v>
      </c>
    </row>
    <row r="4794">
      <c r="D4794" t="str">
        <f>IFERROR(__xludf.DUMMYFUNCTION("""COMPUTED_VALUE"""),"Atkins")</f>
        <v>Atkins</v>
      </c>
      <c r="E4794" t="str">
        <f>IFERROR(__xludf.DUMMYFUNCTION("""COMPUTED_VALUE"""),"Geno")</f>
        <v>Geno</v>
      </c>
      <c r="F4794" t="str">
        <f>IFERROR(__xludf.DUMMYFUNCTION("""COMPUTED_VALUE"""),"CIN")</f>
        <v>CIN</v>
      </c>
      <c r="G4794">
        <f>IFERROR(__xludf.DUMMYFUNCTION("""COMPUTED_VALUE"""),22.25)</f>
        <v>22.25</v>
      </c>
    </row>
    <row r="4795">
      <c r="D4795" t="str">
        <f>IFERROR(__xludf.DUMMYFUNCTION("""COMPUTED_VALUE"""),"Attaochu")</f>
        <v>Attaochu</v>
      </c>
      <c r="E4795" t="str">
        <f>IFERROR(__xludf.DUMMYFUNCTION("""COMPUTED_VALUE"""),"Jeremiah")</f>
        <v>Jeremiah</v>
      </c>
      <c r="F4795" t="str">
        <f>IFERROR(__xludf.DUMMYFUNCTION("""COMPUTED_VALUE"""),"SF")</f>
        <v>SF</v>
      </c>
      <c r="G4795">
        <f>IFERROR(__xludf.DUMMYFUNCTION("""COMPUTED_VALUE"""),18.25)</f>
        <v>18.25</v>
      </c>
    </row>
    <row r="4796">
      <c r="D4796" t="str">
        <f>IFERROR(__xludf.DUMMYFUNCTION("""COMPUTED_VALUE"""),"Auclair")</f>
        <v>Auclair</v>
      </c>
      <c r="E4796" t="str">
        <f>IFERROR(__xludf.DUMMYFUNCTION("""COMPUTED_VALUE"""),"Antony")</f>
        <v>Antony</v>
      </c>
      <c r="F4796" t="str">
        <f>IFERROR(__xludf.DUMMYFUNCTION("""COMPUTED_VALUE"""),"TB")</f>
        <v>TB</v>
      </c>
      <c r="G4796">
        <f>IFERROR(__xludf.DUMMYFUNCTION("""COMPUTED_VALUE"""),15.75)</f>
        <v>15.75</v>
      </c>
    </row>
    <row r="4797">
      <c r="D4797" t="str">
        <f>IFERROR(__xludf.DUMMYFUNCTION("""COMPUTED_VALUE"""),"Austin")</f>
        <v>Austin</v>
      </c>
      <c r="E4797" t="str">
        <f>IFERROR(__xludf.DUMMYFUNCTION("""COMPUTED_VALUE"""),"Tavon")</f>
        <v>Tavon</v>
      </c>
      <c r="F4797" t="str">
        <f>IFERROR(__xludf.DUMMYFUNCTION("""COMPUTED_VALUE"""),"DAL")</f>
        <v>DAL</v>
      </c>
      <c r="G4797">
        <f>IFERROR(__xludf.DUMMYFUNCTION("""COMPUTED_VALUE"""),18.0)</f>
        <v>18</v>
      </c>
    </row>
    <row r="4798">
      <c r="D4798" t="str">
        <f>IFERROR(__xludf.DUMMYFUNCTION("""COMPUTED_VALUE"""),"Autry")</f>
        <v>Autry</v>
      </c>
      <c r="E4798" t="str">
        <f>IFERROR(__xludf.DUMMYFUNCTION("""COMPUTED_VALUE"""),"Denico")</f>
        <v>Denico</v>
      </c>
      <c r="F4798" t="str">
        <f>IFERROR(__xludf.DUMMYFUNCTION("""COMPUTED_VALUE"""),"IND")</f>
        <v>IND</v>
      </c>
      <c r="G4798">
        <f>IFERROR(__xludf.DUMMYFUNCTION("""COMPUTED_VALUE"""),18.25)</f>
        <v>18.25</v>
      </c>
    </row>
    <row r="4799">
      <c r="D4799" t="str">
        <f>IFERROR(__xludf.DUMMYFUNCTION("""COMPUTED_VALUE"""),"Averett")</f>
        <v>Averett</v>
      </c>
      <c r="E4799" t="str">
        <f>IFERROR(__xludf.DUMMYFUNCTION("""COMPUTED_VALUE"""),"Anthony")</f>
        <v>Anthony</v>
      </c>
      <c r="F4799" t="str">
        <f>IFERROR(__xludf.DUMMYFUNCTION("""COMPUTED_VALUE"""),"BAL")</f>
        <v>BAL</v>
      </c>
      <c r="G4799">
        <f>IFERROR(__xludf.DUMMYFUNCTION("""COMPUTED_VALUE"""),17.5)</f>
        <v>17.5</v>
      </c>
    </row>
    <row r="4800">
      <c r="D4800" t="str">
        <f>IFERROR(__xludf.DUMMYFUNCTION("""COMPUTED_VALUE"""),"Avery")</f>
        <v>Avery</v>
      </c>
      <c r="E4800" t="str">
        <f>IFERROR(__xludf.DUMMYFUNCTION("""COMPUTED_VALUE"""),"Genard")</f>
        <v>Genard</v>
      </c>
      <c r="F4800" t="str">
        <f>IFERROR(__xludf.DUMMYFUNCTION("""COMPUTED_VALUE"""),"CLE")</f>
        <v>CLE</v>
      </c>
      <c r="G4800">
        <f>IFERROR(__xludf.DUMMYFUNCTION("""COMPUTED_VALUE"""),17.0)</f>
        <v>17</v>
      </c>
    </row>
    <row r="4801">
      <c r="D4801" t="str">
        <f>IFERROR(__xludf.DUMMYFUNCTION("""COMPUTED_VALUE"""),"Avril")</f>
        <v>Avril</v>
      </c>
      <c r="E4801" t="str">
        <f>IFERROR(__xludf.DUMMYFUNCTION("""COMPUTED_VALUE"""),"Cliff")</f>
        <v>Cliff</v>
      </c>
      <c r="F4801" t="str">
        <f>IFERROR(__xludf.DUMMYFUNCTION("""COMPUTED_VALUE"""),"FA")</f>
        <v>FA</v>
      </c>
      <c r="G4801">
        <f>IFERROR(__xludf.DUMMYFUNCTION("""COMPUTED_VALUE"""),15.25)</f>
        <v>15.25</v>
      </c>
    </row>
    <row r="4802">
      <c r="D4802" t="str">
        <f>IFERROR(__xludf.DUMMYFUNCTION("""COMPUTED_VALUE"""),"Awuzie")</f>
        <v>Awuzie</v>
      </c>
      <c r="E4802" t="str">
        <f>IFERROR(__xludf.DUMMYFUNCTION("""COMPUTED_VALUE"""),"Chidobe")</f>
        <v>Chidobe</v>
      </c>
      <c r="F4802" t="str">
        <f>IFERROR(__xludf.DUMMYFUNCTION("""COMPUTED_VALUE"""),"DAL")</f>
        <v>DAL</v>
      </c>
      <c r="G4802">
        <f>IFERROR(__xludf.DUMMYFUNCTION("""COMPUTED_VALUE"""),19.75)</f>
        <v>19.75</v>
      </c>
    </row>
    <row r="4803">
      <c r="D4803" t="str">
        <f>IFERROR(__xludf.DUMMYFUNCTION("""COMPUTED_VALUE"""),"Ayers")</f>
        <v>Ayers</v>
      </c>
      <c r="E4803" t="str">
        <f>IFERROR(__xludf.DUMMYFUNCTION("""COMPUTED_VALUE"""),"DeMarcus")</f>
        <v>DeMarcus</v>
      </c>
      <c r="F4803" t="str">
        <f>IFERROR(__xludf.DUMMYFUNCTION("""COMPUTED_VALUE"""),"CHI")</f>
        <v>CHI</v>
      </c>
      <c r="G4803">
        <f>IFERROR(__xludf.DUMMYFUNCTION("""COMPUTED_VALUE"""),15.75)</f>
        <v>15.75</v>
      </c>
    </row>
    <row r="4804">
      <c r="D4804" t="str">
        <f>IFERROR(__xludf.DUMMYFUNCTION("""COMPUTED_VALUE"""),"Ayers Jr")</f>
        <v>Ayers Jr</v>
      </c>
      <c r="E4804" t="str">
        <f>IFERROR(__xludf.DUMMYFUNCTION("""COMPUTED_VALUE"""),"Robert")</f>
        <v>Robert</v>
      </c>
      <c r="F4804" t="str">
        <f>IFERROR(__xludf.DUMMYFUNCTION("""COMPUTED_VALUE"""),"FA")</f>
        <v>FA</v>
      </c>
      <c r="G4804">
        <f>IFERROR(__xludf.DUMMYFUNCTION("""COMPUTED_VALUE"""),15.25)</f>
        <v>15.25</v>
      </c>
    </row>
    <row r="4805">
      <c r="D4805" t="str">
        <f>IFERROR(__xludf.DUMMYFUNCTION("""COMPUTED_VALUE"""),"Bademosi")</f>
        <v>Bademosi</v>
      </c>
      <c r="E4805" t="str">
        <f>IFERROR(__xludf.DUMMYFUNCTION("""COMPUTED_VALUE"""),"Johnson")</f>
        <v>Johnson</v>
      </c>
      <c r="F4805" t="str">
        <f>IFERROR(__xludf.DUMMYFUNCTION("""COMPUTED_VALUE"""),"HOU")</f>
        <v>HOU</v>
      </c>
      <c r="G4805">
        <f>IFERROR(__xludf.DUMMYFUNCTION("""COMPUTED_VALUE"""),17.75)</f>
        <v>17.75</v>
      </c>
    </row>
    <row r="4806">
      <c r="D4806" t="str">
        <f>IFERROR(__xludf.DUMMYFUNCTION("""COMPUTED_VALUE"""),"Bailey")</f>
        <v>Bailey</v>
      </c>
      <c r="E4806" t="str">
        <f>IFERROR(__xludf.DUMMYFUNCTION("""COMPUTED_VALUE"""),"Allen")</f>
        <v>Allen</v>
      </c>
      <c r="F4806" t="str">
        <f>IFERROR(__xludf.DUMMYFUNCTION("""COMPUTED_VALUE"""),"KC")</f>
        <v>KC</v>
      </c>
      <c r="G4806">
        <f>IFERROR(__xludf.DUMMYFUNCTION("""COMPUTED_VALUE"""),18.75)</f>
        <v>18.75</v>
      </c>
    </row>
    <row r="4807">
      <c r="D4807" t="str">
        <f>IFERROR(__xludf.DUMMYFUNCTION("""COMPUTED_VALUE"""),"Bailey")</f>
        <v>Bailey</v>
      </c>
      <c r="E4807" t="str">
        <f>IFERROR(__xludf.DUMMYFUNCTION("""COMPUTED_VALUE"""),"Champ")</f>
        <v>Champ</v>
      </c>
      <c r="F4807" t="str">
        <f>IFERROR(__xludf.DUMMYFUNCTION("""COMPUTED_VALUE"""),"WAS")</f>
        <v>WAS</v>
      </c>
      <c r="G4807">
        <f>IFERROR(__xludf.DUMMYFUNCTION("""COMPUTED_VALUE"""),21.0)</f>
        <v>21</v>
      </c>
    </row>
    <row r="4808">
      <c r="D4808" t="str">
        <f>IFERROR(__xludf.DUMMYFUNCTION("""COMPUTED_VALUE"""),"Bailey")</f>
        <v>Bailey</v>
      </c>
      <c r="E4808" t="str">
        <f>IFERROR(__xludf.DUMMYFUNCTION("""COMPUTED_VALUE"""),"Champ")</f>
        <v>Champ</v>
      </c>
      <c r="F4808" t="str">
        <f>IFERROR(__xludf.DUMMYFUNCTION("""COMPUTED_VALUE"""),"DEN")</f>
        <v>DEN</v>
      </c>
      <c r="G4808">
        <f>IFERROR(__xludf.DUMMYFUNCTION("""COMPUTED_VALUE"""),20.75)</f>
        <v>20.75</v>
      </c>
    </row>
    <row r="4809">
      <c r="D4809" t="str">
        <f>IFERROR(__xludf.DUMMYFUNCTION("""COMPUTED_VALUE"""),"Bailey")</f>
        <v>Bailey</v>
      </c>
      <c r="E4809" t="str">
        <f>IFERROR(__xludf.DUMMYFUNCTION("""COMPUTED_VALUE"""),"Champ")</f>
        <v>Champ</v>
      </c>
      <c r="F4809" t="str">
        <f>IFERROR(__xludf.DUMMYFUNCTION("""COMPUTED_VALUE"""),"DEN")</f>
        <v>DEN</v>
      </c>
      <c r="G4809">
        <f>IFERROR(__xludf.DUMMYFUNCTION("""COMPUTED_VALUE"""),21.25)</f>
        <v>21.25</v>
      </c>
    </row>
    <row r="4810">
      <c r="D4810" t="str">
        <f>IFERROR(__xludf.DUMMYFUNCTION("""COMPUTED_VALUE"""),"Bailey")</f>
        <v>Bailey</v>
      </c>
      <c r="E4810" t="str">
        <f>IFERROR(__xludf.DUMMYFUNCTION("""COMPUTED_VALUE"""),"Champ")</f>
        <v>Champ</v>
      </c>
      <c r="F4810" t="str">
        <f>IFERROR(__xludf.DUMMYFUNCTION("""COMPUTED_VALUE"""),"DEN")</f>
        <v>DEN</v>
      </c>
      <c r="G4810">
        <f>IFERROR(__xludf.DUMMYFUNCTION("""COMPUTED_VALUE"""),22.75)</f>
        <v>22.75</v>
      </c>
    </row>
    <row r="4811">
      <c r="D4811" t="str">
        <f>IFERROR(__xludf.DUMMYFUNCTION("""COMPUTED_VALUE"""),"Bailey")</f>
        <v>Bailey</v>
      </c>
      <c r="E4811" t="str">
        <f>IFERROR(__xludf.DUMMYFUNCTION("""COMPUTED_VALUE"""),"Champ")</f>
        <v>Champ</v>
      </c>
      <c r="F4811" t="str">
        <f>IFERROR(__xludf.DUMMYFUNCTION("""COMPUTED_VALUE"""),"DEN")</f>
        <v>DEN</v>
      </c>
      <c r="G4811">
        <f>IFERROR(__xludf.DUMMYFUNCTION("""COMPUTED_VALUE"""),22.25)</f>
        <v>22.25</v>
      </c>
    </row>
    <row r="4812">
      <c r="D4812" t="str">
        <f>IFERROR(__xludf.DUMMYFUNCTION("""COMPUTED_VALUE"""),"Bailey")</f>
        <v>Bailey</v>
      </c>
      <c r="E4812" t="str">
        <f>IFERROR(__xludf.DUMMYFUNCTION("""COMPUTED_VALUE"""),"Champ")</f>
        <v>Champ</v>
      </c>
      <c r="F4812" t="str">
        <f>IFERROR(__xludf.DUMMYFUNCTION("""COMPUTED_VALUE"""),"WAS")</f>
        <v>WAS</v>
      </c>
      <c r="G4812">
        <f>IFERROR(__xludf.DUMMYFUNCTION("""COMPUTED_VALUE"""),21.75)</f>
        <v>21.75</v>
      </c>
    </row>
    <row r="4813">
      <c r="D4813" t="str">
        <f>IFERROR(__xludf.DUMMYFUNCTION("""COMPUTED_VALUE"""),"Bailey")</f>
        <v>Bailey</v>
      </c>
      <c r="E4813" t="str">
        <f>IFERROR(__xludf.DUMMYFUNCTION("""COMPUTED_VALUE"""),"Dan")</f>
        <v>Dan</v>
      </c>
      <c r="F4813" t="str">
        <f>IFERROR(__xludf.DUMMYFUNCTION("""COMPUTED_VALUE"""),"DAL")</f>
        <v>DAL</v>
      </c>
      <c r="G4813">
        <f>IFERROR(__xludf.DUMMYFUNCTION("""COMPUTED_VALUE"""),19.75)</f>
        <v>19.75</v>
      </c>
    </row>
    <row r="4814">
      <c r="D4814" t="str">
        <f>IFERROR(__xludf.DUMMYFUNCTION("""COMPUTED_VALUE"""),"Baker")</f>
        <v>Baker</v>
      </c>
      <c r="E4814" t="str">
        <f>IFERROR(__xludf.DUMMYFUNCTION("""COMPUTED_VALUE"""),"Budda")</f>
        <v>Budda</v>
      </c>
      <c r="F4814" t="str">
        <f>IFERROR(__xludf.DUMMYFUNCTION("""COMPUTED_VALUE"""),"ARZ")</f>
        <v>ARZ</v>
      </c>
      <c r="G4814">
        <f>IFERROR(__xludf.DUMMYFUNCTION("""COMPUTED_VALUE"""),19.25)</f>
        <v>19.25</v>
      </c>
    </row>
    <row r="4815">
      <c r="D4815" t="str">
        <f>IFERROR(__xludf.DUMMYFUNCTION("""COMPUTED_VALUE"""),"Baker")</f>
        <v>Baker</v>
      </c>
      <c r="E4815" t="str">
        <f>IFERROR(__xludf.DUMMYFUNCTION("""COMPUTED_VALUE"""),"Chris")</f>
        <v>Chris</v>
      </c>
      <c r="F4815" t="str">
        <f>IFERROR(__xludf.DUMMYFUNCTION("""COMPUTED_VALUE"""),"CIN")</f>
        <v>CIN</v>
      </c>
      <c r="G4815">
        <f>IFERROR(__xludf.DUMMYFUNCTION("""COMPUTED_VALUE"""),18.75)</f>
        <v>18.75</v>
      </c>
    </row>
    <row r="4816">
      <c r="D4816" t="str">
        <f>IFERROR(__xludf.DUMMYFUNCTION("""COMPUTED_VALUE"""),"Baker")</f>
        <v>Baker</v>
      </c>
      <c r="E4816" t="str">
        <f>IFERROR(__xludf.DUMMYFUNCTION("""COMPUTED_VALUE"""),"Jerome")</f>
        <v>Jerome</v>
      </c>
      <c r="F4816" t="str">
        <f>IFERROR(__xludf.DUMMYFUNCTION("""COMPUTED_VALUE"""),"MIA")</f>
        <v>MIA</v>
      </c>
      <c r="G4816">
        <f>IFERROR(__xludf.DUMMYFUNCTION("""COMPUTED_VALUE"""),17.75)</f>
        <v>17.75</v>
      </c>
    </row>
    <row r="4817">
      <c r="D4817" t="str">
        <f>IFERROR(__xludf.DUMMYFUNCTION("""COMPUTED_VALUE"""),"Bakhtiari")</f>
        <v>Bakhtiari</v>
      </c>
      <c r="E4817" t="str">
        <f>IFERROR(__xludf.DUMMYFUNCTION("""COMPUTED_VALUE"""),"David")</f>
        <v>David</v>
      </c>
      <c r="F4817" t="str">
        <f>IFERROR(__xludf.DUMMYFUNCTION("""COMPUTED_VALUE"""),"GB")</f>
        <v>GB</v>
      </c>
      <c r="G4817">
        <f>IFERROR(__xludf.DUMMYFUNCTION("""COMPUTED_VALUE"""),22.75)</f>
        <v>22.75</v>
      </c>
    </row>
    <row r="4818">
      <c r="D4818" t="str">
        <f>IFERROR(__xludf.DUMMYFUNCTION("""COMPUTED_VALUE"""),"Bakhtiari")</f>
        <v>Bakhtiari</v>
      </c>
      <c r="E4818" t="str">
        <f>IFERROR(__xludf.DUMMYFUNCTION("""COMPUTED_VALUE"""),"David")</f>
        <v>David</v>
      </c>
      <c r="F4818" t="str">
        <f>IFERROR(__xludf.DUMMYFUNCTION("""COMPUTED_VALUE"""),"GB")</f>
        <v>GB</v>
      </c>
      <c r="G4818">
        <f>IFERROR(__xludf.DUMMYFUNCTION("""COMPUTED_VALUE"""),21.5)</f>
        <v>21.5</v>
      </c>
    </row>
    <row r="4819">
      <c r="D4819" t="str">
        <f>IFERROR(__xludf.DUMMYFUNCTION("""COMPUTED_VALUE"""),"Balducci")</f>
        <v>Balducci</v>
      </c>
      <c r="E4819" t="str">
        <f>IFERROR(__xludf.DUMMYFUNCTION("""COMPUTED_VALUE"""),"Alex")</f>
        <v>Alex</v>
      </c>
      <c r="F4819" t="str">
        <f>IFERROR(__xludf.DUMMYFUNCTION("""COMPUTED_VALUE"""),"WAS")</f>
        <v>WAS</v>
      </c>
      <c r="G4819">
        <f>IFERROR(__xludf.DUMMYFUNCTION("""COMPUTED_VALUE"""),16.25)</f>
        <v>16.25</v>
      </c>
    </row>
    <row r="4820">
      <c r="D4820" t="str">
        <f>IFERROR(__xludf.DUMMYFUNCTION("""COMPUTED_VALUE"""),"Baldwin")</f>
        <v>Baldwin</v>
      </c>
      <c r="E4820" t="str">
        <f>IFERROR(__xludf.DUMMYFUNCTION("""COMPUTED_VALUE"""),"Doug")</f>
        <v>Doug</v>
      </c>
      <c r="F4820" t="str">
        <f>IFERROR(__xludf.DUMMYFUNCTION("""COMPUTED_VALUE"""),"SEA")</f>
        <v>SEA</v>
      </c>
      <c r="G4820">
        <f>IFERROR(__xludf.DUMMYFUNCTION("""COMPUTED_VALUE"""),21.25)</f>
        <v>21.25</v>
      </c>
    </row>
    <row r="4821">
      <c r="D4821" t="str">
        <f>IFERROR(__xludf.DUMMYFUNCTION("""COMPUTED_VALUE"""),"Baldwin")</f>
        <v>Baldwin</v>
      </c>
      <c r="E4821" t="str">
        <f>IFERROR(__xludf.DUMMYFUNCTION("""COMPUTED_VALUE"""),"Doug")</f>
        <v>Doug</v>
      </c>
      <c r="F4821" t="str">
        <f>IFERROR(__xludf.DUMMYFUNCTION("""COMPUTED_VALUE"""),"SEA")</f>
        <v>SEA</v>
      </c>
      <c r="G4821">
        <f>IFERROR(__xludf.DUMMYFUNCTION("""COMPUTED_VALUE"""),22.0)</f>
        <v>22</v>
      </c>
    </row>
    <row r="4822">
      <c r="D4822" t="str">
        <f>IFERROR(__xludf.DUMMYFUNCTION("""COMPUTED_VALUE"""),"Ballage")</f>
        <v>Ballage</v>
      </c>
      <c r="E4822" t="str">
        <f>IFERROR(__xludf.DUMMYFUNCTION("""COMPUTED_VALUE"""),"Kalen")</f>
        <v>Kalen</v>
      </c>
      <c r="F4822" t="str">
        <f>IFERROR(__xludf.DUMMYFUNCTION("""COMPUTED_VALUE"""),"MIA")</f>
        <v>MIA</v>
      </c>
      <c r="G4822">
        <f>IFERROR(__xludf.DUMMYFUNCTION("""COMPUTED_VALUE"""),18.5)</f>
        <v>18.5</v>
      </c>
    </row>
    <row r="4823">
      <c r="D4823" t="str">
        <f>IFERROR(__xludf.DUMMYFUNCTION("""COMPUTED_VALUE"""),"Banjo")</f>
        <v>Banjo</v>
      </c>
      <c r="E4823" t="str">
        <f>IFERROR(__xludf.DUMMYFUNCTION("""COMPUTED_VALUE"""),"Chris")</f>
        <v>Chris</v>
      </c>
      <c r="F4823" t="str">
        <f>IFERROR(__xludf.DUMMYFUNCTION("""COMPUTED_VALUE"""),"NO")</f>
        <v>NO</v>
      </c>
      <c r="G4823">
        <f>IFERROR(__xludf.DUMMYFUNCTION("""COMPUTED_VALUE"""),17.25)</f>
        <v>17.25</v>
      </c>
    </row>
    <row r="4824">
      <c r="D4824" t="str">
        <f>IFERROR(__xludf.DUMMYFUNCTION("""COMPUTED_VALUE"""),"Banner")</f>
        <v>Banner</v>
      </c>
      <c r="E4824" t="str">
        <f>IFERROR(__xludf.DUMMYFUNCTION("""COMPUTED_VALUE"""),"Zach")</f>
        <v>Zach</v>
      </c>
      <c r="F4824" t="str">
        <f>IFERROR(__xludf.DUMMYFUNCTION("""COMPUTED_VALUE"""),"CAR")</f>
        <v>CAR</v>
      </c>
      <c r="G4824">
        <f>IFERROR(__xludf.DUMMYFUNCTION("""COMPUTED_VALUE"""),15.0)</f>
        <v>15</v>
      </c>
    </row>
    <row r="4825">
      <c r="D4825" t="str">
        <f>IFERROR(__xludf.DUMMYFUNCTION("""COMPUTED_VALUE"""),"Barber")</f>
        <v>Barber</v>
      </c>
      <c r="E4825" t="str">
        <f>IFERROR(__xludf.DUMMYFUNCTION("""COMPUTED_VALUE"""),"Peyton")</f>
        <v>Peyton</v>
      </c>
      <c r="F4825" t="str">
        <f>IFERROR(__xludf.DUMMYFUNCTION("""COMPUTED_VALUE"""),"TB")</f>
        <v>TB</v>
      </c>
      <c r="G4825">
        <f>IFERROR(__xludf.DUMMYFUNCTION("""COMPUTED_VALUE"""),18.0)</f>
        <v>18</v>
      </c>
    </row>
    <row r="4826">
      <c r="D4826" t="str">
        <f>IFERROR(__xludf.DUMMYFUNCTION("""COMPUTED_VALUE"""),"Barkley")</f>
        <v>Barkley</v>
      </c>
      <c r="E4826" t="str">
        <f>IFERROR(__xludf.DUMMYFUNCTION("""COMPUTED_VALUE"""),"Matt")</f>
        <v>Matt</v>
      </c>
      <c r="F4826" t="str">
        <f>IFERROR(__xludf.DUMMYFUNCTION("""COMPUTED_VALUE"""),"CIN")</f>
        <v>CIN</v>
      </c>
      <c r="G4826">
        <f>IFERROR(__xludf.DUMMYFUNCTION("""COMPUTED_VALUE"""),17.75)</f>
        <v>17.75</v>
      </c>
    </row>
    <row r="4827">
      <c r="D4827" t="str">
        <f>IFERROR(__xludf.DUMMYFUNCTION("""COMPUTED_VALUE"""),"Barkley")</f>
        <v>Barkley</v>
      </c>
      <c r="E4827" t="str">
        <f>IFERROR(__xludf.DUMMYFUNCTION("""COMPUTED_VALUE"""),"Saquon")</f>
        <v>Saquon</v>
      </c>
      <c r="F4827" t="str">
        <f>IFERROR(__xludf.DUMMYFUNCTION("""COMPUTED_VALUE"""),"NYG")</f>
        <v>NYG</v>
      </c>
      <c r="G4827">
        <f>IFERROR(__xludf.DUMMYFUNCTION("""COMPUTED_VALUE"""),19.75)</f>
        <v>19.75</v>
      </c>
    </row>
    <row r="4828">
      <c r="D4828" t="str">
        <f>IFERROR(__xludf.DUMMYFUNCTION("""COMPUTED_VALUE"""),"Barksdale")</f>
        <v>Barksdale</v>
      </c>
      <c r="E4828" t="str">
        <f>IFERROR(__xludf.DUMMYFUNCTION("""COMPUTED_VALUE"""),"Joe")</f>
        <v>Joe</v>
      </c>
      <c r="F4828" t="str">
        <f>IFERROR(__xludf.DUMMYFUNCTION("""COMPUTED_VALUE"""),"LAC")</f>
        <v>LAC</v>
      </c>
      <c r="G4828">
        <f>IFERROR(__xludf.DUMMYFUNCTION("""COMPUTED_VALUE"""),19.0)</f>
        <v>19</v>
      </c>
    </row>
    <row r="4829">
      <c r="D4829" t="str">
        <f>IFERROR(__xludf.DUMMYFUNCTION("""COMPUTED_VALUE"""),"Barner")</f>
        <v>Barner</v>
      </c>
      <c r="E4829" t="str">
        <f>IFERROR(__xludf.DUMMYFUNCTION("""COMPUTED_VALUE"""),"Kenjon")</f>
        <v>Kenjon</v>
      </c>
      <c r="F4829" t="str">
        <f>IFERROR(__xludf.DUMMYFUNCTION("""COMPUTED_VALUE"""),"CAR")</f>
        <v>CAR</v>
      </c>
      <c r="G4829">
        <f>IFERROR(__xludf.DUMMYFUNCTION("""COMPUTED_VALUE"""),17.5)</f>
        <v>17.5</v>
      </c>
    </row>
    <row r="4830">
      <c r="D4830" t="str">
        <f>IFERROR(__xludf.DUMMYFUNCTION("""COMPUTED_VALUE"""),"Barnes")</f>
        <v>Barnes</v>
      </c>
      <c r="E4830" t="str">
        <f>IFERROR(__xludf.DUMMYFUNCTION("""COMPUTED_VALUE"""),"Tavaris")</f>
        <v>Tavaris</v>
      </c>
      <c r="F4830" t="str">
        <f>IFERROR(__xludf.DUMMYFUNCTION("""COMPUTED_VALUE"""),"WAS")</f>
        <v>WAS</v>
      </c>
      <c r="G4830">
        <f>IFERROR(__xludf.DUMMYFUNCTION("""COMPUTED_VALUE"""),15.5)</f>
        <v>15.5</v>
      </c>
    </row>
    <row r="4831">
      <c r="D4831" t="str">
        <f>IFERROR(__xludf.DUMMYFUNCTION("""COMPUTED_VALUE"""),"Barnett")</f>
        <v>Barnett</v>
      </c>
      <c r="E4831" t="str">
        <f>IFERROR(__xludf.DUMMYFUNCTION("""COMPUTED_VALUE"""),"Derek")</f>
        <v>Derek</v>
      </c>
      <c r="F4831" t="str">
        <f>IFERROR(__xludf.DUMMYFUNCTION("""COMPUTED_VALUE"""),"PHI")</f>
        <v>PHI</v>
      </c>
      <c r="G4831">
        <f>IFERROR(__xludf.DUMMYFUNCTION("""COMPUTED_VALUE"""),19.5)</f>
        <v>19.5</v>
      </c>
    </row>
    <row r="4832">
      <c r="D4832" t="str">
        <f>IFERROR(__xludf.DUMMYFUNCTION("""COMPUTED_VALUE"""),"Barr")</f>
        <v>Barr</v>
      </c>
      <c r="E4832" t="str">
        <f>IFERROR(__xludf.DUMMYFUNCTION("""COMPUTED_VALUE"""),"Anthony")</f>
        <v>Anthony</v>
      </c>
      <c r="F4832" t="str">
        <f>IFERROR(__xludf.DUMMYFUNCTION("""COMPUTED_VALUE"""),"MIN")</f>
        <v>MIN</v>
      </c>
      <c r="G4832">
        <f>IFERROR(__xludf.DUMMYFUNCTION("""COMPUTED_VALUE"""),21.0)</f>
        <v>21</v>
      </c>
    </row>
    <row r="4833">
      <c r="D4833" t="str">
        <f>IFERROR(__xludf.DUMMYFUNCTION("""COMPUTED_VALUE"""),"Barrett")</f>
        <v>Barrett</v>
      </c>
      <c r="E4833" t="str">
        <f>IFERROR(__xludf.DUMMYFUNCTION("""COMPUTED_VALUE"""),"Alex")</f>
        <v>Alex</v>
      </c>
      <c r="F4833" t="str">
        <f>IFERROR(__xludf.DUMMYFUNCTION("""COMPUTED_VALUE"""),"DET")</f>
        <v>DET</v>
      </c>
      <c r="G4833">
        <f>IFERROR(__xludf.DUMMYFUNCTION("""COMPUTED_VALUE"""),16.25)</f>
        <v>16.25</v>
      </c>
    </row>
    <row r="4834">
      <c r="D4834" t="str">
        <f>IFERROR(__xludf.DUMMYFUNCTION("""COMPUTED_VALUE"""),"Barrett")</f>
        <v>Barrett</v>
      </c>
      <c r="E4834" t="str">
        <f>IFERROR(__xludf.DUMMYFUNCTION("""COMPUTED_VALUE"""),"Shaquil")</f>
        <v>Shaquil</v>
      </c>
      <c r="F4834" t="str">
        <f>IFERROR(__xludf.DUMMYFUNCTION("""COMPUTED_VALUE"""),"DEN")</f>
        <v>DEN</v>
      </c>
      <c r="G4834">
        <f>IFERROR(__xludf.DUMMYFUNCTION("""COMPUTED_VALUE"""),19.75)</f>
        <v>19.75</v>
      </c>
    </row>
    <row r="4835">
      <c r="D4835" t="str">
        <f>IFERROR(__xludf.DUMMYFUNCTION("""COMPUTED_VALUE"""),"Barron")</f>
        <v>Barron</v>
      </c>
      <c r="E4835" t="str">
        <f>IFERROR(__xludf.DUMMYFUNCTION("""COMPUTED_VALUE"""),"Mark")</f>
        <v>Mark</v>
      </c>
      <c r="F4835" t="str">
        <f>IFERROR(__xludf.DUMMYFUNCTION("""COMPUTED_VALUE"""),"LAR")</f>
        <v>LAR</v>
      </c>
      <c r="G4835">
        <f>IFERROR(__xludf.DUMMYFUNCTION("""COMPUTED_VALUE"""),20.0)</f>
        <v>20</v>
      </c>
    </row>
    <row r="4836">
      <c r="D4836" t="str">
        <f>IFERROR(__xludf.DUMMYFUNCTION("""COMPUTED_VALUE"""),"Barwin")</f>
        <v>Barwin</v>
      </c>
      <c r="E4836" t="str">
        <f>IFERROR(__xludf.DUMMYFUNCTION("""COMPUTED_VALUE"""),"Connor")</f>
        <v>Connor</v>
      </c>
      <c r="F4836" t="str">
        <f>IFERROR(__xludf.DUMMYFUNCTION("""COMPUTED_VALUE"""),"FA")</f>
        <v>FA</v>
      </c>
      <c r="G4836">
        <f>IFERROR(__xludf.DUMMYFUNCTION("""COMPUTED_VALUE"""),19.75)</f>
        <v>19.75</v>
      </c>
    </row>
    <row r="4837">
      <c r="D4837" t="str">
        <f>IFERROR(__xludf.DUMMYFUNCTION("""COMPUTED_VALUE"""),"Basham")</f>
        <v>Basham</v>
      </c>
      <c r="E4837" t="str">
        <f>IFERROR(__xludf.DUMMYFUNCTION("""COMPUTED_VALUE"""),"Tarell")</f>
        <v>Tarell</v>
      </c>
      <c r="F4837" t="str">
        <f>IFERROR(__xludf.DUMMYFUNCTION("""COMPUTED_VALUE"""),"IND")</f>
        <v>IND</v>
      </c>
      <c r="G4837">
        <f>IFERROR(__xludf.DUMMYFUNCTION("""COMPUTED_VALUE"""),17.75)</f>
        <v>17.75</v>
      </c>
    </row>
    <row r="4838">
      <c r="D4838" t="str">
        <f>IFERROR(__xludf.DUMMYFUNCTION("""COMPUTED_VALUE"""),"Bass")</f>
        <v>Bass</v>
      </c>
      <c r="E4838" t="str">
        <f>IFERROR(__xludf.DUMMYFUNCTION("""COMPUTED_VALUE"""),"David")</f>
        <v>David</v>
      </c>
      <c r="F4838" t="str">
        <f>IFERROR(__xludf.DUMMYFUNCTION("""COMPUTED_VALUE"""),"NYJ")</f>
        <v>NYJ</v>
      </c>
      <c r="G4838">
        <f>IFERROR(__xludf.DUMMYFUNCTION("""COMPUTED_VALUE"""),19.25)</f>
        <v>19.25</v>
      </c>
    </row>
    <row r="4839">
      <c r="D4839" t="str">
        <f>IFERROR(__xludf.DUMMYFUNCTION("""COMPUTED_VALUE"""),"Bates")</f>
        <v>Bates</v>
      </c>
      <c r="E4839" t="str">
        <f>IFERROR(__xludf.DUMMYFUNCTION("""COMPUTED_VALUE"""),"Daren")</f>
        <v>Daren</v>
      </c>
      <c r="F4839" t="str">
        <f>IFERROR(__xludf.DUMMYFUNCTION("""COMPUTED_VALUE"""),"TEN")</f>
        <v>TEN</v>
      </c>
      <c r="G4839">
        <f>IFERROR(__xludf.DUMMYFUNCTION("""COMPUTED_VALUE"""),17.75)</f>
        <v>17.75</v>
      </c>
    </row>
    <row r="4840">
      <c r="D4840" t="str">
        <f>IFERROR(__xludf.DUMMYFUNCTION("""COMPUTED_VALUE"""),"Bates III")</f>
        <v>Bates III</v>
      </c>
      <c r="E4840" t="str">
        <f>IFERROR(__xludf.DUMMYFUNCTION("""COMPUTED_VALUE"""),"Jessie")</f>
        <v>Jessie</v>
      </c>
      <c r="F4840" t="str">
        <f>IFERROR(__xludf.DUMMYFUNCTION("""COMPUTED_VALUE"""),"CIN")</f>
        <v>CIN</v>
      </c>
      <c r="G4840">
        <f>IFERROR(__xludf.DUMMYFUNCTION("""COMPUTED_VALUE"""),18.5)</f>
        <v>18.5</v>
      </c>
    </row>
    <row r="4841">
      <c r="D4841" t="str">
        <f>IFERROR(__xludf.DUMMYFUNCTION("""COMPUTED_VALUE"""),"Battle")</f>
        <v>Battle</v>
      </c>
      <c r="E4841" t="str">
        <f>IFERROR(__xludf.DUMMYFUNCTION("""COMPUTED_VALUE"""),"Isaiah")</f>
        <v>Isaiah</v>
      </c>
      <c r="F4841" t="str">
        <f>IFERROR(__xludf.DUMMYFUNCTION("""COMPUTED_VALUE"""),"SEA")</f>
        <v>SEA</v>
      </c>
      <c r="G4841">
        <f>IFERROR(__xludf.DUMMYFUNCTION("""COMPUTED_VALUE"""),17.25)</f>
        <v>17.25</v>
      </c>
    </row>
    <row r="4842">
      <c r="D4842" t="str">
        <f>IFERROR(__xludf.DUMMYFUNCTION("""COMPUTED_VALUE"""),"Bausby")</f>
        <v>Bausby</v>
      </c>
      <c r="E4842" t="str">
        <f>IFERROR(__xludf.DUMMYFUNCTION("""COMPUTED_VALUE"""),"DeVante")</f>
        <v>DeVante</v>
      </c>
      <c r="F4842" t="str">
        <f>IFERROR(__xludf.DUMMYFUNCTION("""COMPUTED_VALUE"""),"PHI")</f>
        <v>PHI</v>
      </c>
      <c r="G4842">
        <f>IFERROR(__xludf.DUMMYFUNCTION("""COMPUTED_VALUE"""),16.0)</f>
        <v>16</v>
      </c>
    </row>
    <row r="4843">
      <c r="D4843" t="str">
        <f>IFERROR(__xludf.DUMMYFUNCTION("""COMPUTED_VALUE"""),"Bawden")</f>
        <v>Bawden</v>
      </c>
      <c r="E4843" t="str">
        <f>IFERROR(__xludf.DUMMYFUNCTION("""COMPUTED_VALUE"""),"Nick")</f>
        <v>Nick</v>
      </c>
      <c r="F4843" t="str">
        <f>IFERROR(__xludf.DUMMYFUNCTION("""COMPUTED_VALUE"""),"DET")</f>
        <v>DET</v>
      </c>
      <c r="G4843">
        <f>IFERROR(__xludf.DUMMYFUNCTION("""COMPUTED_VALUE"""),18.0)</f>
        <v>18</v>
      </c>
    </row>
    <row r="4844">
      <c r="D4844" t="str">
        <f>IFERROR(__xludf.DUMMYFUNCTION("""COMPUTED_VALUE"""),"Baylis")</f>
        <v>Baylis</v>
      </c>
      <c r="E4844" t="str">
        <f>IFERROR(__xludf.DUMMYFUNCTION("""COMPUTED_VALUE"""),"Evan")</f>
        <v>Evan</v>
      </c>
      <c r="F4844" t="str">
        <f>IFERROR(__xludf.DUMMYFUNCTION("""COMPUTED_VALUE"""),"CAR")</f>
        <v>CAR</v>
      </c>
      <c r="G4844">
        <f>IFERROR(__xludf.DUMMYFUNCTION("""COMPUTED_VALUE"""),16.25)</f>
        <v>16.25</v>
      </c>
    </row>
    <row r="4845">
      <c r="D4845" t="str">
        <f>IFERROR(__xludf.DUMMYFUNCTION("""COMPUTED_VALUE"""),"Beachum")</f>
        <v>Beachum</v>
      </c>
      <c r="E4845" t="str">
        <f>IFERROR(__xludf.DUMMYFUNCTION("""COMPUTED_VALUE"""),"Kelvin")</f>
        <v>Kelvin</v>
      </c>
      <c r="F4845" t="str">
        <f>IFERROR(__xludf.DUMMYFUNCTION("""COMPUTED_VALUE"""),"NYJ")</f>
        <v>NYJ</v>
      </c>
      <c r="G4845">
        <f>IFERROR(__xludf.DUMMYFUNCTION("""COMPUTED_VALUE"""),19.25)</f>
        <v>19.25</v>
      </c>
    </row>
    <row r="4846">
      <c r="D4846" t="str">
        <f>IFERROR(__xludf.DUMMYFUNCTION("""COMPUTED_VALUE"""),"Beasley")</f>
        <v>Beasley</v>
      </c>
      <c r="E4846" t="str">
        <f>IFERROR(__xludf.DUMMYFUNCTION("""COMPUTED_VALUE"""),"Cole")</f>
        <v>Cole</v>
      </c>
      <c r="F4846" t="str">
        <f>IFERROR(__xludf.DUMMYFUNCTION("""COMPUTED_VALUE"""),"DAL")</f>
        <v>DAL</v>
      </c>
      <c r="G4846">
        <f>IFERROR(__xludf.DUMMYFUNCTION("""COMPUTED_VALUE"""),19.0)</f>
        <v>19</v>
      </c>
    </row>
    <row r="4847">
      <c r="D4847" t="str">
        <f>IFERROR(__xludf.DUMMYFUNCTION("""COMPUTED_VALUE"""),"Beasley Jr")</f>
        <v>Beasley Jr</v>
      </c>
      <c r="E4847" t="str">
        <f>IFERROR(__xludf.DUMMYFUNCTION("""COMPUTED_VALUE"""),"Vic")</f>
        <v>Vic</v>
      </c>
      <c r="F4847" t="str">
        <f>IFERROR(__xludf.DUMMYFUNCTION("""COMPUTED_VALUE"""),"ATL")</f>
        <v>ATL</v>
      </c>
      <c r="G4847">
        <f>IFERROR(__xludf.DUMMYFUNCTION("""COMPUTED_VALUE"""),19.5)</f>
        <v>19.5</v>
      </c>
    </row>
    <row r="4848">
      <c r="D4848" t="str">
        <f>IFERROR(__xludf.DUMMYFUNCTION("""COMPUTED_VALUE"""),"Beathard")</f>
        <v>Beathard</v>
      </c>
      <c r="E4848" t="str">
        <f>IFERROR(__xludf.DUMMYFUNCTION("""COMPUTED_VALUE"""),"CJ")</f>
        <v>CJ</v>
      </c>
      <c r="F4848" t="str">
        <f>IFERROR(__xludf.DUMMYFUNCTION("""COMPUTED_VALUE"""),"SF")</f>
        <v>SF</v>
      </c>
      <c r="G4848">
        <f>IFERROR(__xludf.DUMMYFUNCTION("""COMPUTED_VALUE"""),18.0)</f>
        <v>18</v>
      </c>
    </row>
    <row r="4849">
      <c r="D4849" t="str">
        <f>IFERROR(__xludf.DUMMYFUNCTION("""COMPUTED_VALUE"""),"Beavers")</f>
        <v>Beavers</v>
      </c>
      <c r="E4849" t="str">
        <f>IFERROR(__xludf.DUMMYFUNCTION("""COMPUTED_VALUE"""),"Willie")</f>
        <v>Willie</v>
      </c>
      <c r="F4849" t="str">
        <f>IFERROR(__xludf.DUMMYFUNCTION("""COMPUTED_VALUE"""),"SEA")</f>
        <v>SEA</v>
      </c>
      <c r="G4849">
        <f>IFERROR(__xludf.DUMMYFUNCTION("""COMPUTED_VALUE"""),18.25)</f>
        <v>18.25</v>
      </c>
    </row>
    <row r="4850">
      <c r="D4850" t="str">
        <f>IFERROR(__xludf.DUMMYFUNCTION("""COMPUTED_VALUE"""),"Beckham Jr")</f>
        <v>Beckham Jr</v>
      </c>
      <c r="E4850" t="str">
        <f>IFERROR(__xludf.DUMMYFUNCTION("""COMPUTED_VALUE"""),"Odell")</f>
        <v>Odell</v>
      </c>
      <c r="F4850" t="str">
        <f>IFERROR(__xludf.DUMMYFUNCTION("""COMPUTED_VALUE"""),"NYG")</f>
        <v>NYG</v>
      </c>
      <c r="G4850">
        <f>IFERROR(__xludf.DUMMYFUNCTION("""COMPUTED_VALUE"""),22.25)</f>
        <v>22.25</v>
      </c>
    </row>
    <row r="4851">
      <c r="D4851" t="str">
        <f>IFERROR(__xludf.DUMMYFUNCTION("""COMPUTED_VALUE"""),"Beckham Jr")</f>
        <v>Beckham Jr</v>
      </c>
      <c r="E4851" t="str">
        <f>IFERROR(__xludf.DUMMYFUNCTION("""COMPUTED_VALUE"""),"Odell")</f>
        <v>Odell</v>
      </c>
      <c r="F4851" t="str">
        <f>IFERROR(__xludf.DUMMYFUNCTION("""COMPUTED_VALUE"""),"NYG")</f>
        <v>NYG</v>
      </c>
      <c r="G4851">
        <f>IFERROR(__xludf.DUMMYFUNCTION("""COMPUTED_VALUE"""),21.75)</f>
        <v>21.75</v>
      </c>
    </row>
    <row r="4852">
      <c r="D4852" t="str">
        <f>IFERROR(__xludf.DUMMYFUNCTION("""COMPUTED_VALUE"""),"Beckwith")</f>
        <v>Beckwith</v>
      </c>
      <c r="E4852" t="str">
        <f>IFERROR(__xludf.DUMMYFUNCTION("""COMPUTED_VALUE"""),"Kendell")</f>
        <v>Kendell</v>
      </c>
      <c r="F4852" t="str">
        <f>IFERROR(__xludf.DUMMYFUNCTION("""COMPUTED_VALUE"""),"TB")</f>
        <v>TB</v>
      </c>
      <c r="G4852">
        <f>IFERROR(__xludf.DUMMYFUNCTION("""COMPUTED_VALUE"""),19.5)</f>
        <v>19.5</v>
      </c>
    </row>
    <row r="4853">
      <c r="D4853" t="str">
        <f>IFERROR(__xludf.DUMMYFUNCTION("""COMPUTED_VALUE"""),"Bell")</f>
        <v>Bell</v>
      </c>
      <c r="E4853" t="str">
        <f>IFERROR(__xludf.DUMMYFUNCTION("""COMPUTED_VALUE"""),"Blake")</f>
        <v>Blake</v>
      </c>
      <c r="F4853" t="str">
        <f>IFERROR(__xludf.DUMMYFUNCTION("""COMPUTED_VALUE"""),"MIN")</f>
        <v>MIN</v>
      </c>
      <c r="G4853">
        <f>IFERROR(__xludf.DUMMYFUNCTION("""COMPUTED_VALUE"""),16.0)</f>
        <v>16</v>
      </c>
    </row>
    <row r="4854">
      <c r="D4854" t="str">
        <f>IFERROR(__xludf.DUMMYFUNCTION("""COMPUTED_VALUE"""),"Bell")</f>
        <v>Bell</v>
      </c>
      <c r="E4854" t="str">
        <f>IFERROR(__xludf.DUMMYFUNCTION("""COMPUTED_VALUE"""),"Brandon")</f>
        <v>Brandon</v>
      </c>
      <c r="F4854" t="str">
        <f>IFERROR(__xludf.DUMMYFUNCTION("""COMPUTED_VALUE"""),"CIN")</f>
        <v>CIN</v>
      </c>
      <c r="G4854">
        <f>IFERROR(__xludf.DUMMYFUNCTION("""COMPUTED_VALUE"""),16.25)</f>
        <v>16.25</v>
      </c>
    </row>
    <row r="4855">
      <c r="D4855" t="str">
        <f>IFERROR(__xludf.DUMMYFUNCTION("""COMPUTED_VALUE"""),"Bell")</f>
        <v>Bell</v>
      </c>
      <c r="E4855" t="str">
        <f>IFERROR(__xludf.DUMMYFUNCTION("""COMPUTED_VALUE"""),"Kenny")</f>
        <v>Kenny</v>
      </c>
      <c r="F4855" t="str">
        <f>IFERROR(__xludf.DUMMYFUNCTION("""COMPUTED_VALUE"""),"DEN")</f>
        <v>DEN</v>
      </c>
      <c r="G4855">
        <f>IFERROR(__xludf.DUMMYFUNCTION("""COMPUTED_VALUE"""),16.5)</f>
        <v>16.5</v>
      </c>
    </row>
    <row r="4856">
      <c r="D4856" t="str">
        <f>IFERROR(__xludf.DUMMYFUNCTION("""COMPUTED_VALUE"""),"Bell")</f>
        <v>Bell</v>
      </c>
      <c r="E4856" t="str">
        <f>IFERROR(__xludf.DUMMYFUNCTION("""COMPUTED_VALUE"""),"LeVeon")</f>
        <v>LeVeon</v>
      </c>
      <c r="F4856" t="str">
        <f>IFERROR(__xludf.DUMMYFUNCTION("""COMPUTED_VALUE"""),"PIT")</f>
        <v>PIT</v>
      </c>
      <c r="G4856">
        <f>IFERROR(__xludf.DUMMYFUNCTION("""COMPUTED_VALUE"""),22.0)</f>
        <v>22</v>
      </c>
    </row>
    <row r="4857">
      <c r="D4857" t="str">
        <f>IFERROR(__xludf.DUMMYFUNCTION("""COMPUTED_VALUE"""),"Bell")</f>
        <v>Bell</v>
      </c>
      <c r="E4857" t="str">
        <f>IFERROR(__xludf.DUMMYFUNCTION("""COMPUTED_VALUE"""),"LeVeon")</f>
        <v>LeVeon</v>
      </c>
      <c r="F4857" t="str">
        <f>IFERROR(__xludf.DUMMYFUNCTION("""COMPUTED_VALUE"""),"PIT")</f>
        <v>PIT</v>
      </c>
      <c r="G4857">
        <f>IFERROR(__xludf.DUMMYFUNCTION("""COMPUTED_VALUE"""),23.0)</f>
        <v>23</v>
      </c>
    </row>
    <row r="4858">
      <c r="D4858" t="str">
        <f>IFERROR(__xludf.DUMMYFUNCTION("""COMPUTED_VALUE"""),"Bell")</f>
        <v>Bell</v>
      </c>
      <c r="E4858" t="str">
        <f>IFERROR(__xludf.DUMMYFUNCTION("""COMPUTED_VALUE"""),"Vonn")</f>
        <v>Vonn</v>
      </c>
      <c r="F4858" t="str">
        <f>IFERROR(__xludf.DUMMYFUNCTION("""COMPUTED_VALUE"""),"NO")</f>
        <v>NO</v>
      </c>
      <c r="G4858">
        <f>IFERROR(__xludf.DUMMYFUNCTION("""COMPUTED_VALUE"""),18.5)</f>
        <v>18.5</v>
      </c>
    </row>
    <row r="4859">
      <c r="D4859" t="str">
        <f>IFERROR(__xludf.DUMMYFUNCTION("""COMPUTED_VALUE"""),"Bellamy")</f>
        <v>Bellamy</v>
      </c>
      <c r="E4859" t="str">
        <f>IFERROR(__xludf.DUMMYFUNCTION("""COMPUTED_VALUE"""),"Josh")</f>
        <v>Josh</v>
      </c>
      <c r="F4859" t="str">
        <f>IFERROR(__xludf.DUMMYFUNCTION("""COMPUTED_VALUE"""),"CHI")</f>
        <v>CHI</v>
      </c>
      <c r="G4859">
        <f>IFERROR(__xludf.DUMMYFUNCTION("""COMPUTED_VALUE"""),18.25)</f>
        <v>18.25</v>
      </c>
    </row>
    <row r="4860">
      <c r="D4860" t="str">
        <f>IFERROR(__xludf.DUMMYFUNCTION("""COMPUTED_VALUE"""),"Bello")</f>
        <v>Bello</v>
      </c>
      <c r="E4860" t="str">
        <f>IFERROR(__xludf.DUMMYFUNCTION("""COMPUTED_VALUE"""),"BJ")</f>
        <v>BJ</v>
      </c>
      <c r="F4860" t="str">
        <f>IFERROR(__xludf.DUMMYFUNCTION("""COMPUTED_VALUE"""),"CLE")</f>
        <v>CLE</v>
      </c>
      <c r="G4860">
        <f>IFERROR(__xludf.DUMMYFUNCTION("""COMPUTED_VALUE"""),15.75)</f>
        <v>15.75</v>
      </c>
    </row>
    <row r="4861">
      <c r="D4861" t="str">
        <f>IFERROR(__xludf.DUMMYFUNCTION("""COMPUTED_VALUE"""),"Bellore")</f>
        <v>Bellore</v>
      </c>
      <c r="E4861" t="str">
        <f>IFERROR(__xludf.DUMMYFUNCTION("""COMPUTED_VALUE"""),"Nick")</f>
        <v>Nick</v>
      </c>
      <c r="F4861" t="str">
        <f>IFERROR(__xludf.DUMMYFUNCTION("""COMPUTED_VALUE"""),"DET")</f>
        <v>DET</v>
      </c>
      <c r="G4861">
        <f>IFERROR(__xludf.DUMMYFUNCTION("""COMPUTED_VALUE"""),18.75)</f>
        <v>18.75</v>
      </c>
    </row>
    <row r="4862">
      <c r="D4862" t="str">
        <f>IFERROR(__xludf.DUMMYFUNCTION("""COMPUTED_VALUE"""),"Benenoch")</f>
        <v>Benenoch</v>
      </c>
      <c r="E4862" t="str">
        <f>IFERROR(__xludf.DUMMYFUNCTION("""COMPUTED_VALUE"""),"Caleb")</f>
        <v>Caleb</v>
      </c>
      <c r="F4862" t="str">
        <f>IFERROR(__xludf.DUMMYFUNCTION("""COMPUTED_VALUE"""),"TB")</f>
        <v>TB</v>
      </c>
      <c r="G4862">
        <f>IFERROR(__xludf.DUMMYFUNCTION("""COMPUTED_VALUE"""),16.25)</f>
        <v>16.25</v>
      </c>
    </row>
    <row r="4863">
      <c r="D4863" t="str">
        <f>IFERROR(__xludf.DUMMYFUNCTION("""COMPUTED_VALUE"""),"Benjamin")</f>
        <v>Benjamin</v>
      </c>
      <c r="E4863" t="str">
        <f>IFERROR(__xludf.DUMMYFUNCTION("""COMPUTED_VALUE"""),"Kelvin")</f>
        <v>Kelvin</v>
      </c>
      <c r="F4863" t="str">
        <f>IFERROR(__xludf.DUMMYFUNCTION("""COMPUTED_VALUE"""),"BUF")</f>
        <v>BUF</v>
      </c>
      <c r="G4863">
        <f>IFERROR(__xludf.DUMMYFUNCTION("""COMPUTED_VALUE"""),20.25)</f>
        <v>20.25</v>
      </c>
    </row>
    <row r="4864">
      <c r="D4864" t="str">
        <f>IFERROR(__xludf.DUMMYFUNCTION("""COMPUTED_VALUE"""),"Benjamin")</f>
        <v>Benjamin</v>
      </c>
      <c r="E4864" t="str">
        <f>IFERROR(__xludf.DUMMYFUNCTION("""COMPUTED_VALUE"""),"Travis")</f>
        <v>Travis</v>
      </c>
      <c r="F4864" t="str">
        <f>IFERROR(__xludf.DUMMYFUNCTION("""COMPUTED_VALUE"""),"LAC")</f>
        <v>LAC</v>
      </c>
      <c r="G4864">
        <f>IFERROR(__xludf.DUMMYFUNCTION("""COMPUTED_VALUE"""),19.25)</f>
        <v>19.25</v>
      </c>
    </row>
    <row r="4865">
      <c r="D4865" t="str">
        <f>IFERROR(__xludf.DUMMYFUNCTION("""COMPUTED_VALUE"""),"Bennett")</f>
        <v>Bennett</v>
      </c>
      <c r="E4865" t="str">
        <f>IFERROR(__xludf.DUMMYFUNCTION("""COMPUTED_VALUE"""),"Michael")</f>
        <v>Michael</v>
      </c>
      <c r="F4865" t="str">
        <f>IFERROR(__xludf.DUMMYFUNCTION("""COMPUTED_VALUE"""),"PHI")</f>
        <v>PHI</v>
      </c>
      <c r="G4865">
        <f>IFERROR(__xludf.DUMMYFUNCTION("""COMPUTED_VALUE"""),20.75)</f>
        <v>20.75</v>
      </c>
    </row>
    <row r="4866">
      <c r="D4866" t="str">
        <f>IFERROR(__xludf.DUMMYFUNCTION("""COMPUTED_VALUE"""),"Bennett")</f>
        <v>Bennett</v>
      </c>
      <c r="E4866" t="str">
        <f>IFERROR(__xludf.DUMMYFUNCTION("""COMPUTED_VALUE"""),"Michael")</f>
        <v>Michael</v>
      </c>
      <c r="F4866" t="str">
        <f>IFERROR(__xludf.DUMMYFUNCTION("""COMPUTED_VALUE"""),"JAX")</f>
        <v>JAX</v>
      </c>
      <c r="G4866">
        <f>IFERROR(__xludf.DUMMYFUNCTION("""COMPUTED_VALUE"""),16.5)</f>
        <v>16.5</v>
      </c>
    </row>
    <row r="4867">
      <c r="D4867" t="str">
        <f>IFERROR(__xludf.DUMMYFUNCTION("""COMPUTED_VALUE"""),"Bentley")</f>
        <v>Bentley</v>
      </c>
      <c r="E4867" t="str">
        <f>IFERROR(__xludf.DUMMYFUNCTION("""COMPUTED_VALUE"""),"JaWhaun")</f>
        <v>JaWhaun</v>
      </c>
      <c r="F4867" t="str">
        <f>IFERROR(__xludf.DUMMYFUNCTION("""COMPUTED_VALUE"""),"NE")</f>
        <v>NE</v>
      </c>
      <c r="G4867">
        <f>IFERROR(__xludf.DUMMYFUNCTION("""COMPUTED_VALUE"""),17.5)</f>
        <v>17.5</v>
      </c>
    </row>
    <row r="4868">
      <c r="D4868" t="str">
        <f>IFERROR(__xludf.DUMMYFUNCTION("""COMPUTED_VALUE"""),"Benwikere")</f>
        <v>Benwikere</v>
      </c>
      <c r="E4868" t="str">
        <f>IFERROR(__xludf.DUMMYFUNCTION("""COMPUTED_VALUE"""),"Bene")</f>
        <v>Bene</v>
      </c>
      <c r="F4868" t="str">
        <f>IFERROR(__xludf.DUMMYFUNCTION("""COMPUTED_VALUE"""),"ARZ")</f>
        <v>ARZ</v>
      </c>
      <c r="G4868">
        <f>IFERROR(__xludf.DUMMYFUNCTION("""COMPUTED_VALUE"""),17.75)</f>
        <v>17.75</v>
      </c>
    </row>
    <row r="4869">
      <c r="D4869" t="str">
        <f>IFERROR(__xludf.DUMMYFUNCTION("""COMPUTED_VALUE"""),"Bergstrom")</f>
        <v>Bergstrom</v>
      </c>
      <c r="E4869" t="str">
        <f>IFERROR(__xludf.DUMMYFUNCTION("""COMPUTED_VALUE"""),"Tony")</f>
        <v>Tony</v>
      </c>
      <c r="F4869" t="str">
        <f>IFERROR(__xludf.DUMMYFUNCTION("""COMPUTED_VALUE"""),"WAS")</f>
        <v>WAS</v>
      </c>
      <c r="G4869">
        <f>IFERROR(__xludf.DUMMYFUNCTION("""COMPUTED_VALUE"""),16.75)</f>
        <v>16.75</v>
      </c>
    </row>
    <row r="4870">
      <c r="D4870" t="str">
        <f>IFERROR(__xludf.DUMMYFUNCTION("""COMPUTED_VALUE"""),"Berhe")</f>
        <v>Berhe</v>
      </c>
      <c r="E4870" t="str">
        <f>IFERROR(__xludf.DUMMYFUNCTION("""COMPUTED_VALUE"""),"Nat")</f>
        <v>Nat</v>
      </c>
      <c r="F4870" t="str">
        <f>IFERROR(__xludf.DUMMYFUNCTION("""COMPUTED_VALUE"""),"PIT")</f>
        <v>PIT</v>
      </c>
      <c r="G4870">
        <f>IFERROR(__xludf.DUMMYFUNCTION("""COMPUTED_VALUE"""),16.25)</f>
        <v>16.25</v>
      </c>
    </row>
    <row r="4871">
      <c r="D4871" t="str">
        <f>IFERROR(__xludf.DUMMYFUNCTION("""COMPUTED_VALUE"""),"Bernard")</f>
        <v>Bernard</v>
      </c>
      <c r="E4871" t="str">
        <f>IFERROR(__xludf.DUMMYFUNCTION("""COMPUTED_VALUE"""),"Giovani")</f>
        <v>Giovani</v>
      </c>
      <c r="F4871" t="str">
        <f>IFERROR(__xludf.DUMMYFUNCTION("""COMPUTED_VALUE"""),"CIN")</f>
        <v>CIN</v>
      </c>
      <c r="G4871">
        <f>IFERROR(__xludf.DUMMYFUNCTION("""COMPUTED_VALUE"""),19.25)</f>
        <v>19.25</v>
      </c>
    </row>
    <row r="4872">
      <c r="D4872" t="str">
        <f>IFERROR(__xludf.DUMMYFUNCTION("""COMPUTED_VALUE"""),"Berrios")</f>
        <v>Berrios</v>
      </c>
      <c r="E4872" t="str">
        <f>IFERROR(__xludf.DUMMYFUNCTION("""COMPUTED_VALUE"""),"Braxton")</f>
        <v>Braxton</v>
      </c>
      <c r="F4872" t="str">
        <f>IFERROR(__xludf.DUMMYFUNCTION("""COMPUTED_VALUE"""),"NE")</f>
        <v>NE</v>
      </c>
      <c r="G4872">
        <f>IFERROR(__xludf.DUMMYFUNCTION("""COMPUTED_VALUE"""),17.5)</f>
        <v>17.5</v>
      </c>
    </row>
    <row r="4873">
      <c r="D4873" t="str">
        <f>IFERROR(__xludf.DUMMYFUNCTION("""COMPUTED_VALUE"""),"Berry")</f>
        <v>Berry</v>
      </c>
      <c r="E4873" t="str">
        <f>IFERROR(__xludf.DUMMYFUNCTION("""COMPUTED_VALUE"""),"Eric")</f>
        <v>Eric</v>
      </c>
      <c r="F4873" t="str">
        <f>IFERROR(__xludf.DUMMYFUNCTION("""COMPUTED_VALUE"""),"KC")</f>
        <v>KC</v>
      </c>
      <c r="G4873">
        <f>IFERROR(__xludf.DUMMYFUNCTION("""COMPUTED_VALUE"""),21.75)</f>
        <v>21.75</v>
      </c>
    </row>
    <row r="4874">
      <c r="D4874" t="str">
        <f>IFERROR(__xludf.DUMMYFUNCTION("""COMPUTED_VALUE"""),"Berry")</f>
        <v>Berry</v>
      </c>
      <c r="E4874" t="str">
        <f>IFERROR(__xludf.DUMMYFUNCTION("""COMPUTED_VALUE"""),"Jordan")</f>
        <v>Jordan</v>
      </c>
      <c r="F4874" t="str">
        <f>IFERROR(__xludf.DUMMYFUNCTION("""COMPUTED_VALUE"""),"PIT")</f>
        <v>PIT</v>
      </c>
      <c r="G4874">
        <f>IFERROR(__xludf.DUMMYFUNCTION("""COMPUTED_VALUE"""),19.75)</f>
        <v>19.75</v>
      </c>
    </row>
    <row r="4875">
      <c r="D4875" t="str">
        <f>IFERROR(__xludf.DUMMYFUNCTION("""COMPUTED_VALUE"""),"Bethea")</f>
        <v>Bethea</v>
      </c>
      <c r="E4875" t="str">
        <f>IFERROR(__xludf.DUMMYFUNCTION("""COMPUTED_VALUE"""),"Antoine")</f>
        <v>Antoine</v>
      </c>
      <c r="F4875" t="str">
        <f>IFERROR(__xludf.DUMMYFUNCTION("""COMPUTED_VALUE"""),"ARZ")</f>
        <v>ARZ</v>
      </c>
      <c r="G4875">
        <f>IFERROR(__xludf.DUMMYFUNCTION("""COMPUTED_VALUE"""),19.75)</f>
        <v>19.75</v>
      </c>
    </row>
    <row r="4876">
      <c r="D4876" t="str">
        <f>IFERROR(__xludf.DUMMYFUNCTION("""COMPUTED_VALUE"""),"Bethel")</f>
        <v>Bethel</v>
      </c>
      <c r="E4876" t="str">
        <f>IFERROR(__xludf.DUMMYFUNCTION("""COMPUTED_VALUE"""),"Justin")</f>
        <v>Justin</v>
      </c>
      <c r="F4876" t="str">
        <f>IFERROR(__xludf.DUMMYFUNCTION("""COMPUTED_VALUE"""),"ATL")</f>
        <v>ATL</v>
      </c>
      <c r="G4876">
        <f>IFERROR(__xludf.DUMMYFUNCTION("""COMPUTED_VALUE"""),18.5)</f>
        <v>18.5</v>
      </c>
    </row>
    <row r="4877">
      <c r="D4877" t="str">
        <f>IFERROR(__xludf.DUMMYFUNCTION("""COMPUTED_VALUE"""),"Bibbs")</f>
        <v>Bibbs</v>
      </c>
      <c r="E4877" t="str">
        <f>IFERROR(__xludf.DUMMYFUNCTION("""COMPUTED_VALUE"""),"Kapri")</f>
        <v>Kapri</v>
      </c>
      <c r="F4877" t="str">
        <f>IFERROR(__xludf.DUMMYFUNCTION("""COMPUTED_VALUE"""),"WAS")</f>
        <v>WAS</v>
      </c>
      <c r="G4877">
        <f>IFERROR(__xludf.DUMMYFUNCTION("""COMPUTED_VALUE"""),17.5)</f>
        <v>17.5</v>
      </c>
    </row>
    <row r="4878">
      <c r="D4878" t="str">
        <f>IFERROR(__xludf.DUMMYFUNCTION("""COMPUTED_VALUE"""),"Biegel")</f>
        <v>Biegel</v>
      </c>
      <c r="E4878" t="str">
        <f>IFERROR(__xludf.DUMMYFUNCTION("""COMPUTED_VALUE"""),"Vince")</f>
        <v>Vince</v>
      </c>
      <c r="F4878" t="str">
        <f>IFERROR(__xludf.DUMMYFUNCTION("""COMPUTED_VALUE"""),"GB")</f>
        <v>GB</v>
      </c>
      <c r="G4878">
        <f>IFERROR(__xludf.DUMMYFUNCTION("""COMPUTED_VALUE"""),18.0)</f>
        <v>18</v>
      </c>
    </row>
    <row r="4879">
      <c r="D4879" t="str">
        <f>IFERROR(__xludf.DUMMYFUNCTION("""COMPUTED_VALUE"""),"Bierria")</f>
        <v>Bierria</v>
      </c>
      <c r="E4879" t="str">
        <f>IFERROR(__xludf.DUMMYFUNCTION("""COMPUTED_VALUE"""),"Keishawn")</f>
        <v>Keishawn</v>
      </c>
      <c r="F4879" t="str">
        <f>IFERROR(__xludf.DUMMYFUNCTION("""COMPUTED_VALUE"""),"DEN")</f>
        <v>DEN</v>
      </c>
      <c r="G4879">
        <f>IFERROR(__xludf.DUMMYFUNCTION("""COMPUTED_VALUE"""),16.0)</f>
        <v>16</v>
      </c>
    </row>
    <row r="4880">
      <c r="D4880" t="str">
        <f>IFERROR(__xludf.DUMMYFUNCTION("""COMPUTED_VALUE"""),"Bighill")</f>
        <v>Bighill</v>
      </c>
      <c r="E4880" t="str">
        <f>IFERROR(__xludf.DUMMYFUNCTION("""COMPUTED_VALUE"""),"Adam")</f>
        <v>Adam</v>
      </c>
      <c r="F4880" t="str">
        <f>IFERROR(__xludf.DUMMYFUNCTION("""COMPUTED_VALUE"""),"FA")</f>
        <v>FA</v>
      </c>
      <c r="G4880">
        <f>IFERROR(__xludf.DUMMYFUNCTION("""COMPUTED_VALUE"""),17.0)</f>
        <v>17</v>
      </c>
    </row>
    <row r="4881">
      <c r="D4881" t="str">
        <f>IFERROR(__xludf.DUMMYFUNCTION("""COMPUTED_VALUE"""),"Billings")</f>
        <v>Billings</v>
      </c>
      <c r="E4881" t="str">
        <f>IFERROR(__xludf.DUMMYFUNCTION("""COMPUTED_VALUE"""),"Andrew")</f>
        <v>Andrew</v>
      </c>
      <c r="F4881" t="str">
        <f>IFERROR(__xludf.DUMMYFUNCTION("""COMPUTED_VALUE"""),"CIN")</f>
        <v>CIN</v>
      </c>
      <c r="G4881">
        <f>IFERROR(__xludf.DUMMYFUNCTION("""COMPUTED_VALUE"""),17.0)</f>
        <v>17</v>
      </c>
    </row>
    <row r="4882">
      <c r="D4882" t="str">
        <f>IFERROR(__xludf.DUMMYFUNCTION("""COMPUTED_VALUE"""),"Bisnowaty")</f>
        <v>Bisnowaty</v>
      </c>
      <c r="E4882" t="str">
        <f>IFERROR(__xludf.DUMMYFUNCTION("""COMPUTED_VALUE"""),"Adam")</f>
        <v>Adam</v>
      </c>
      <c r="F4882" t="str">
        <f>IFERROR(__xludf.DUMMYFUNCTION("""COMPUTED_VALUE"""),"DET")</f>
        <v>DET</v>
      </c>
      <c r="G4882">
        <f>IFERROR(__xludf.DUMMYFUNCTION("""COMPUTED_VALUE"""),16.75)</f>
        <v>16.75</v>
      </c>
    </row>
    <row r="4883">
      <c r="D4883" t="str">
        <f>IFERROR(__xludf.DUMMYFUNCTION("""COMPUTED_VALUE"""),"Bitonio")</f>
        <v>Bitonio</v>
      </c>
      <c r="E4883" t="str">
        <f>IFERROR(__xludf.DUMMYFUNCTION("""COMPUTED_VALUE"""),"Joel")</f>
        <v>Joel</v>
      </c>
      <c r="F4883" t="str">
        <f>IFERROR(__xludf.DUMMYFUNCTION("""COMPUTED_VALUE"""),"CLE")</f>
        <v>CLE</v>
      </c>
      <c r="G4883">
        <f>IFERROR(__xludf.DUMMYFUNCTION("""COMPUTED_VALUE"""),22.0)</f>
        <v>22</v>
      </c>
    </row>
    <row r="4884">
      <c r="D4884" t="str">
        <f>IFERROR(__xludf.DUMMYFUNCTION("""COMPUTED_VALUE"""),"Bitonio")</f>
        <v>Bitonio</v>
      </c>
      <c r="E4884" t="str">
        <f>IFERROR(__xludf.DUMMYFUNCTION("""COMPUTED_VALUE"""),"Joel")</f>
        <v>Joel</v>
      </c>
      <c r="F4884" t="str">
        <f>IFERROR(__xludf.DUMMYFUNCTION("""COMPUTED_VALUE"""),"CLE")</f>
        <v>CLE</v>
      </c>
      <c r="G4884">
        <f>IFERROR(__xludf.DUMMYFUNCTION("""COMPUTED_VALUE"""),20.5)</f>
        <v>20.5</v>
      </c>
    </row>
    <row r="4885">
      <c r="D4885" t="str">
        <f>IFERROR(__xludf.DUMMYFUNCTION("""COMPUTED_VALUE"""),"Blackson")</f>
        <v>Blackson</v>
      </c>
      <c r="E4885" t="str">
        <f>IFERROR(__xludf.DUMMYFUNCTION("""COMPUTED_VALUE"""),"Angelo")</f>
        <v>Angelo</v>
      </c>
      <c r="F4885" t="str">
        <f>IFERROR(__xludf.DUMMYFUNCTION("""COMPUTED_VALUE"""),"HOU")</f>
        <v>HOU</v>
      </c>
      <c r="G4885">
        <f>IFERROR(__xludf.DUMMYFUNCTION("""COMPUTED_VALUE"""),16.25)</f>
        <v>16.25</v>
      </c>
    </row>
    <row r="4886">
      <c r="D4886" t="str">
        <f>IFERROR(__xludf.DUMMYFUNCTION("""COMPUTED_VALUE"""),"Blair III")</f>
        <v>Blair III</v>
      </c>
      <c r="E4886" t="str">
        <f>IFERROR(__xludf.DUMMYFUNCTION("""COMPUTED_VALUE"""),"Ronald")</f>
        <v>Ronald</v>
      </c>
      <c r="F4886" t="str">
        <f>IFERROR(__xludf.DUMMYFUNCTION("""COMPUTED_VALUE"""),"SF")</f>
        <v>SF</v>
      </c>
      <c r="G4886">
        <f>IFERROR(__xludf.DUMMYFUNCTION("""COMPUTED_VALUE"""),17.75)</f>
        <v>17.75</v>
      </c>
    </row>
    <row r="4887">
      <c r="D4887" t="str">
        <f>IFERROR(__xludf.DUMMYFUNCTION("""COMPUTED_VALUE"""),"Blount")</f>
        <v>Blount</v>
      </c>
      <c r="E4887" t="str">
        <f>IFERROR(__xludf.DUMMYFUNCTION("""COMPUTED_VALUE"""),"LeGarrette")</f>
        <v>LeGarrette</v>
      </c>
      <c r="F4887" t="str">
        <f>IFERROR(__xludf.DUMMYFUNCTION("""COMPUTED_VALUE"""),"DET")</f>
        <v>DET</v>
      </c>
      <c r="G4887">
        <f>IFERROR(__xludf.DUMMYFUNCTION("""COMPUTED_VALUE"""),20.25)</f>
        <v>20.25</v>
      </c>
    </row>
    <row r="4888">
      <c r="D4888" t="str">
        <f>IFERROR(__xludf.DUMMYFUNCTION("""COMPUTED_VALUE"""),"Blue")</f>
        <v>Blue</v>
      </c>
      <c r="E4888" t="str">
        <f>IFERROR(__xludf.DUMMYFUNCTION("""COMPUTED_VALUE"""),"Alfred")</f>
        <v>Alfred</v>
      </c>
      <c r="F4888" t="str">
        <f>IFERROR(__xludf.DUMMYFUNCTION("""COMPUTED_VALUE"""),"HOU")</f>
        <v>HOU</v>
      </c>
      <c r="G4888">
        <f>IFERROR(__xludf.DUMMYFUNCTION("""COMPUTED_VALUE"""),17.75)</f>
        <v>17.75</v>
      </c>
    </row>
    <row r="4889">
      <c r="D4889" t="str">
        <f>IFERROR(__xludf.DUMMYFUNCTION("""COMPUTED_VALUE"""),"Blythe")</f>
        <v>Blythe</v>
      </c>
      <c r="E4889" t="str">
        <f>IFERROR(__xludf.DUMMYFUNCTION("""COMPUTED_VALUE"""),"Austin")</f>
        <v>Austin</v>
      </c>
      <c r="F4889" t="str">
        <f>IFERROR(__xludf.DUMMYFUNCTION("""COMPUTED_VALUE"""),"LAR")</f>
        <v>LAR</v>
      </c>
      <c r="G4889">
        <f>IFERROR(__xludf.DUMMYFUNCTION("""COMPUTED_VALUE"""),16.25)</f>
        <v>16.25</v>
      </c>
    </row>
    <row r="4890">
      <c r="D4890" t="str">
        <f>IFERROR(__xludf.DUMMYFUNCTION("""COMPUTED_VALUE"""),"Boddy-Calhoun")</f>
        <v>Boddy-Calhoun</v>
      </c>
      <c r="E4890" t="str">
        <f>IFERROR(__xludf.DUMMYFUNCTION("""COMPUTED_VALUE"""),"Briean")</f>
        <v>Briean</v>
      </c>
      <c r="F4890" t="str">
        <f>IFERROR(__xludf.DUMMYFUNCTION("""COMPUTED_VALUE"""),"CLE")</f>
        <v>CLE</v>
      </c>
      <c r="G4890">
        <f>IFERROR(__xludf.DUMMYFUNCTION("""COMPUTED_VALUE"""),19.75)</f>
        <v>19.75</v>
      </c>
    </row>
    <row r="4891">
      <c r="D4891" t="str">
        <f>IFERROR(__xludf.DUMMYFUNCTION("""COMPUTED_VALUE"""),"Bodine")</f>
        <v>Bodine</v>
      </c>
      <c r="E4891" t="str">
        <f>IFERROR(__xludf.DUMMYFUNCTION("""COMPUTED_VALUE"""),"Russell")</f>
        <v>Russell</v>
      </c>
      <c r="F4891" t="str">
        <f>IFERROR(__xludf.DUMMYFUNCTION("""COMPUTED_VALUE"""),"BUF")</f>
        <v>BUF</v>
      </c>
      <c r="G4891">
        <f>IFERROR(__xludf.DUMMYFUNCTION("""COMPUTED_VALUE"""),18.5)</f>
        <v>18.5</v>
      </c>
    </row>
    <row r="4892">
      <c r="D4892" t="str">
        <f>IFERROR(__xludf.DUMMYFUNCTION("""COMPUTED_VALUE"""),"Boehm")</f>
        <v>Boehm</v>
      </c>
      <c r="E4892" t="str">
        <f>IFERROR(__xludf.DUMMYFUNCTION("""COMPUTED_VALUE"""),"Evan")</f>
        <v>Evan</v>
      </c>
      <c r="F4892" t="str">
        <f>IFERROR(__xludf.DUMMYFUNCTION("""COMPUTED_VALUE"""),"ARZ")</f>
        <v>ARZ</v>
      </c>
      <c r="G4892">
        <f>IFERROR(__xludf.DUMMYFUNCTION("""COMPUTED_VALUE"""),18.25)</f>
        <v>18.25</v>
      </c>
    </row>
    <row r="4893">
      <c r="D4893" t="str">
        <f>IFERROR(__xludf.DUMMYFUNCTION("""COMPUTED_VALUE"""),"Boehringer")</f>
        <v>Boehringer</v>
      </c>
      <c r="E4893" t="str">
        <f>IFERROR(__xludf.DUMMYFUNCTION("""COMPUTED_VALUE"""),"Moritz")</f>
        <v>Moritz</v>
      </c>
      <c r="F4893" t="str">
        <f>IFERROR(__xludf.DUMMYFUNCTION("""COMPUTED_VALUE"""),"CIN")</f>
        <v>CIN</v>
      </c>
      <c r="G4893">
        <f>IFERROR(__xludf.DUMMYFUNCTION("""COMPUTED_VALUE"""),16.25)</f>
        <v>16.25</v>
      </c>
    </row>
    <row r="4894">
      <c r="D4894" t="str">
        <f>IFERROR(__xludf.DUMMYFUNCTION("""COMPUTED_VALUE"""),"Bohanon")</f>
        <v>Bohanon</v>
      </c>
      <c r="E4894" t="str">
        <f>IFERROR(__xludf.DUMMYFUNCTION("""COMPUTED_VALUE"""),"Tommy")</f>
        <v>Tommy</v>
      </c>
      <c r="F4894" t="str">
        <f>IFERROR(__xludf.DUMMYFUNCTION("""COMPUTED_VALUE"""),"JAX")</f>
        <v>JAX</v>
      </c>
      <c r="G4894">
        <f>IFERROR(__xludf.DUMMYFUNCTION("""COMPUTED_VALUE"""),20.0)</f>
        <v>20</v>
      </c>
    </row>
    <row r="4895">
      <c r="D4895" t="str">
        <f>IFERROR(__xludf.DUMMYFUNCTION("""COMPUTED_VALUE"""),"Bohanon")</f>
        <v>Bohanon</v>
      </c>
      <c r="E4895" t="str">
        <f>IFERROR(__xludf.DUMMYFUNCTION("""COMPUTED_VALUE"""),"Tommy")</f>
        <v>Tommy</v>
      </c>
      <c r="F4895" t="str">
        <f>IFERROR(__xludf.DUMMYFUNCTION("""COMPUTED_VALUE"""),"JAX")</f>
        <v>JAX</v>
      </c>
      <c r="G4895">
        <f>IFERROR(__xludf.DUMMYFUNCTION("""COMPUTED_VALUE"""),21.75)</f>
        <v>21.75</v>
      </c>
    </row>
    <row r="4896">
      <c r="D4896" t="str">
        <f>IFERROR(__xludf.DUMMYFUNCTION("""COMPUTED_VALUE"""),"Bolden")</f>
        <v>Bolden</v>
      </c>
      <c r="E4896" t="str">
        <f>IFERROR(__xludf.DUMMYFUNCTION("""COMPUTED_VALUE"""),"Brandon")</f>
        <v>Brandon</v>
      </c>
      <c r="F4896" t="str">
        <f>IFERROR(__xludf.DUMMYFUNCTION("""COMPUTED_VALUE"""),"NE")</f>
        <v>NE</v>
      </c>
      <c r="G4896">
        <f>IFERROR(__xludf.DUMMYFUNCTION("""COMPUTED_VALUE"""),17.5)</f>
        <v>17.5</v>
      </c>
    </row>
    <row r="4897">
      <c r="D4897" t="str">
        <f>IFERROR(__xludf.DUMMYFUNCTION("""COMPUTED_VALUE"""),"Bolden Jr")</f>
        <v>Bolden Jr</v>
      </c>
      <c r="E4897" t="str">
        <f>IFERROR(__xludf.DUMMYFUNCTION("""COMPUTED_VALUE"""),"Victor")</f>
        <v>Victor</v>
      </c>
      <c r="F4897" t="str">
        <f>IFERROR(__xludf.DUMMYFUNCTION("""COMPUTED_VALUE"""),"SF")</f>
        <v>SF</v>
      </c>
      <c r="G4897">
        <f>IFERROR(__xludf.DUMMYFUNCTION("""COMPUTED_VALUE"""),16.5)</f>
        <v>16.5</v>
      </c>
    </row>
    <row r="4898">
      <c r="D4898" t="str">
        <f>IFERROR(__xludf.DUMMYFUNCTION("""COMPUTED_VALUE"""),"Boling")</f>
        <v>Boling</v>
      </c>
      <c r="E4898" t="str">
        <f>IFERROR(__xludf.DUMMYFUNCTION("""COMPUTED_VALUE"""),"Clint")</f>
        <v>Clint</v>
      </c>
      <c r="F4898" t="str">
        <f>IFERROR(__xludf.DUMMYFUNCTION("""COMPUTED_VALUE"""),"CIN")</f>
        <v>CIN</v>
      </c>
      <c r="G4898">
        <f>IFERROR(__xludf.DUMMYFUNCTION("""COMPUTED_VALUE"""),19.5)</f>
        <v>19.5</v>
      </c>
    </row>
    <row r="4899">
      <c r="D4899" t="str">
        <f>IFERROR(__xludf.DUMMYFUNCTION("""COMPUTED_VALUE"""),"Bolles")</f>
        <v>Bolles</v>
      </c>
      <c r="E4899" t="str">
        <f>IFERROR(__xludf.DUMMYFUNCTION("""COMPUTED_VALUE"""),"Garett")</f>
        <v>Garett</v>
      </c>
      <c r="F4899" t="str">
        <f>IFERROR(__xludf.DUMMYFUNCTION("""COMPUTED_VALUE"""),"DEN")</f>
        <v>DEN</v>
      </c>
      <c r="G4899">
        <f>IFERROR(__xludf.DUMMYFUNCTION("""COMPUTED_VALUE"""),18.75)</f>
        <v>18.75</v>
      </c>
    </row>
    <row r="4900">
      <c r="D4900" t="str">
        <f>IFERROR(__xludf.DUMMYFUNCTION("""COMPUTED_VALUE"""),"Bond")</f>
        <v>Bond</v>
      </c>
      <c r="E4900" t="str">
        <f>IFERROR(__xludf.DUMMYFUNCTION("""COMPUTED_VALUE"""),"Devante")</f>
        <v>Devante</v>
      </c>
      <c r="F4900" t="str">
        <f>IFERROR(__xludf.DUMMYFUNCTION("""COMPUTED_VALUE"""),"TB")</f>
        <v>TB</v>
      </c>
      <c r="G4900">
        <f>IFERROR(__xludf.DUMMYFUNCTION("""COMPUTED_VALUE"""),16.0)</f>
        <v>16</v>
      </c>
    </row>
    <row r="4901">
      <c r="D4901" t="str">
        <f>IFERROR(__xludf.DUMMYFUNCTION("""COMPUTED_VALUE"""),"Bond")</f>
        <v>Bond</v>
      </c>
      <c r="E4901" t="str">
        <f>IFERROR(__xludf.DUMMYFUNCTION("""COMPUTED_VALUE"""),"Deyshawn")</f>
        <v>Deyshawn</v>
      </c>
      <c r="F4901" t="str">
        <f>IFERROR(__xludf.DUMMYFUNCTION("""COMPUTED_VALUE"""),"IND")</f>
        <v>IND</v>
      </c>
      <c r="G4901">
        <f>IFERROR(__xludf.DUMMYFUNCTION("""COMPUTED_VALUE"""),16.75)</f>
        <v>16.75</v>
      </c>
    </row>
    <row r="4902">
      <c r="D4902" t="str">
        <f>IFERROR(__xludf.DUMMYFUNCTION("""COMPUTED_VALUE"""),"Booker")</f>
        <v>Booker</v>
      </c>
      <c r="E4902" t="str">
        <f>IFERROR(__xludf.DUMMYFUNCTION("""COMPUTED_VALUE"""),"Devontae")</f>
        <v>Devontae</v>
      </c>
      <c r="F4902" t="str">
        <f>IFERROR(__xludf.DUMMYFUNCTION("""COMPUTED_VALUE"""),"DEN")</f>
        <v>DEN</v>
      </c>
      <c r="G4902">
        <f>IFERROR(__xludf.DUMMYFUNCTION("""COMPUTED_VALUE"""),18.75)</f>
        <v>18.75</v>
      </c>
    </row>
    <row r="4903">
      <c r="D4903" t="str">
        <f>IFERROR(__xludf.DUMMYFUNCTION("""COMPUTED_VALUE"""),"Boone")</f>
        <v>Boone</v>
      </c>
      <c r="E4903" t="str">
        <f>IFERROR(__xludf.DUMMYFUNCTION("""COMPUTED_VALUE"""),"Alex")</f>
        <v>Alex</v>
      </c>
      <c r="F4903" t="str">
        <f>IFERROR(__xludf.DUMMYFUNCTION("""COMPUTED_VALUE"""),"FA")</f>
        <v>FA</v>
      </c>
      <c r="G4903">
        <f>IFERROR(__xludf.DUMMYFUNCTION("""COMPUTED_VALUE"""),15.0)</f>
        <v>15</v>
      </c>
    </row>
    <row r="4904">
      <c r="D4904" t="str">
        <f>IFERROR(__xludf.DUMMYFUNCTION("""COMPUTED_VALUE"""),"Borders")</f>
        <v>Borders</v>
      </c>
      <c r="E4904" t="str">
        <f>IFERROR(__xludf.DUMMYFUNCTION("""COMPUTED_VALUE"""),"Breon")</f>
        <v>Breon</v>
      </c>
      <c r="F4904" t="str">
        <f>IFERROR(__xludf.DUMMYFUNCTION("""COMPUTED_VALUE"""),"BUF")</f>
        <v>BUF</v>
      </c>
      <c r="G4904">
        <f>IFERROR(__xludf.DUMMYFUNCTION("""COMPUTED_VALUE"""),17.0)</f>
        <v>17</v>
      </c>
    </row>
    <row r="4905">
      <c r="D4905" t="str">
        <f>IFERROR(__xludf.DUMMYFUNCTION("""COMPUTED_VALUE"""),"Bortles")</f>
        <v>Bortles</v>
      </c>
      <c r="E4905" t="str">
        <f>IFERROR(__xludf.DUMMYFUNCTION("""COMPUTED_VALUE"""),"Blake")</f>
        <v>Blake</v>
      </c>
      <c r="F4905" t="str">
        <f>IFERROR(__xludf.DUMMYFUNCTION("""COMPUTED_VALUE"""),"JAX")</f>
        <v>JAX</v>
      </c>
      <c r="G4905">
        <f>IFERROR(__xludf.DUMMYFUNCTION("""COMPUTED_VALUE"""),20.0)</f>
        <v>20</v>
      </c>
    </row>
    <row r="4906">
      <c r="D4906" t="str">
        <f>IFERROR(__xludf.DUMMYFUNCTION("""COMPUTED_VALUE"""),"Bosa")</f>
        <v>Bosa</v>
      </c>
      <c r="E4906" t="str">
        <f>IFERROR(__xludf.DUMMYFUNCTION("""COMPUTED_VALUE"""),"Joey")</f>
        <v>Joey</v>
      </c>
      <c r="F4906" t="str">
        <f>IFERROR(__xludf.DUMMYFUNCTION("""COMPUTED_VALUE"""),"LAC")</f>
        <v>LAC</v>
      </c>
      <c r="G4906">
        <f>IFERROR(__xludf.DUMMYFUNCTION("""COMPUTED_VALUE"""),21.25)</f>
        <v>21.25</v>
      </c>
    </row>
    <row r="4907">
      <c r="D4907" t="str">
        <f>IFERROR(__xludf.DUMMYFUNCTION("""COMPUTED_VALUE"""),"Bosher")</f>
        <v>Bosher</v>
      </c>
      <c r="E4907" t="str">
        <f>IFERROR(__xludf.DUMMYFUNCTION("""COMPUTED_VALUE"""),"Matt")</f>
        <v>Matt</v>
      </c>
      <c r="F4907" t="str">
        <f>IFERROR(__xludf.DUMMYFUNCTION("""COMPUTED_VALUE"""),"ATL")</f>
        <v>ATL</v>
      </c>
      <c r="G4907">
        <f>IFERROR(__xludf.DUMMYFUNCTION("""COMPUTED_VALUE"""),20.0)</f>
        <v>20</v>
      </c>
    </row>
    <row r="4908">
      <c r="D4908" t="str">
        <f>IFERROR(__xludf.DUMMYFUNCTION("""COMPUTED_VALUE"""),"Bostic")</f>
        <v>Bostic</v>
      </c>
      <c r="E4908" t="str">
        <f>IFERROR(__xludf.DUMMYFUNCTION("""COMPUTED_VALUE"""),"Jon")</f>
        <v>Jon</v>
      </c>
      <c r="F4908" t="str">
        <f>IFERROR(__xludf.DUMMYFUNCTION("""COMPUTED_VALUE"""),"PIT")</f>
        <v>PIT</v>
      </c>
      <c r="G4908">
        <f>IFERROR(__xludf.DUMMYFUNCTION("""COMPUTED_VALUE"""),18.5)</f>
        <v>18.5</v>
      </c>
    </row>
    <row r="4909">
      <c r="D4909" t="str">
        <f>IFERROR(__xludf.DUMMYFUNCTION("""COMPUTED_VALUE"""),"Boston")</f>
        <v>Boston</v>
      </c>
      <c r="E4909" t="str">
        <f>IFERROR(__xludf.DUMMYFUNCTION("""COMPUTED_VALUE"""),"Tre")</f>
        <v>Tre</v>
      </c>
      <c r="F4909" t="str">
        <f>IFERROR(__xludf.DUMMYFUNCTION("""COMPUTED_VALUE"""),"FA")</f>
        <v>FA</v>
      </c>
      <c r="G4909">
        <f>IFERROR(__xludf.DUMMYFUNCTION("""COMPUTED_VALUE"""),20.0)</f>
        <v>20</v>
      </c>
    </row>
    <row r="4910">
      <c r="D4910" t="str">
        <f>IFERROR(__xludf.DUMMYFUNCTION("""COMPUTED_VALUE"""),"Boswell")</f>
        <v>Boswell</v>
      </c>
      <c r="E4910" t="str">
        <f>IFERROR(__xludf.DUMMYFUNCTION("""COMPUTED_VALUE"""),"Chris")</f>
        <v>Chris</v>
      </c>
      <c r="F4910" t="str">
        <f>IFERROR(__xludf.DUMMYFUNCTION("""COMPUTED_VALUE"""),"PIT")</f>
        <v>PIT</v>
      </c>
      <c r="G4910">
        <f>IFERROR(__xludf.DUMMYFUNCTION("""COMPUTED_VALUE"""),20.25)</f>
        <v>20.25</v>
      </c>
    </row>
    <row r="4911">
      <c r="D4911" t="str">
        <f>IFERROR(__xludf.DUMMYFUNCTION("""COMPUTED_VALUE"""),"Bourne")</f>
        <v>Bourne</v>
      </c>
      <c r="E4911" t="str">
        <f>IFERROR(__xludf.DUMMYFUNCTION("""COMPUTED_VALUE"""),"Kendrick")</f>
        <v>Kendrick</v>
      </c>
      <c r="F4911" t="str">
        <f>IFERROR(__xludf.DUMMYFUNCTION("""COMPUTED_VALUE"""),"SF")</f>
        <v>SF</v>
      </c>
      <c r="G4911">
        <f>IFERROR(__xludf.DUMMYFUNCTION("""COMPUTED_VALUE"""),17.5)</f>
        <v>17.5</v>
      </c>
    </row>
    <row r="4912">
      <c r="D4912" t="str">
        <f>IFERROR(__xludf.DUMMYFUNCTION("""COMPUTED_VALUE"""),"Bouye")</f>
        <v>Bouye</v>
      </c>
      <c r="E4912" t="str">
        <f>IFERROR(__xludf.DUMMYFUNCTION("""COMPUTED_VALUE"""),"AJ")</f>
        <v>AJ</v>
      </c>
      <c r="F4912" t="str">
        <f>IFERROR(__xludf.DUMMYFUNCTION("""COMPUTED_VALUE"""),"JAX")</f>
        <v>JAX</v>
      </c>
      <c r="G4912">
        <f>IFERROR(__xludf.DUMMYFUNCTION("""COMPUTED_VALUE"""),21.75)</f>
        <v>21.75</v>
      </c>
    </row>
    <row r="4913">
      <c r="D4913" t="str">
        <f>IFERROR(__xludf.DUMMYFUNCTION("""COMPUTED_VALUE"""),"Bowanko")</f>
        <v>Bowanko</v>
      </c>
      <c r="E4913" t="str">
        <f>IFERROR(__xludf.DUMMYFUNCTION("""COMPUTED_VALUE"""),"Luke")</f>
        <v>Luke</v>
      </c>
      <c r="F4913" t="str">
        <f>IFERROR(__xludf.DUMMYFUNCTION("""COMPUTED_VALUE"""),"NE")</f>
        <v>NE</v>
      </c>
      <c r="G4913">
        <f>IFERROR(__xludf.DUMMYFUNCTION("""COMPUTED_VALUE"""),17.5)</f>
        <v>17.5</v>
      </c>
    </row>
    <row r="4914">
      <c r="D4914" t="str">
        <f>IFERROR(__xludf.DUMMYFUNCTION("""COMPUTED_VALUE"""),"Bower")</f>
        <v>Bower</v>
      </c>
      <c r="E4914" t="str">
        <f>IFERROR(__xludf.DUMMYFUNCTION("""COMPUTED_VALUE"""),"Tashawn")</f>
        <v>Tashawn</v>
      </c>
      <c r="F4914" t="str">
        <f>IFERROR(__xludf.DUMMYFUNCTION("""COMPUTED_VALUE"""),"MIN")</f>
        <v>MIN</v>
      </c>
      <c r="G4914">
        <f>IFERROR(__xludf.DUMMYFUNCTION("""COMPUTED_VALUE"""),16.5)</f>
        <v>16.5</v>
      </c>
    </row>
    <row r="4915">
      <c r="D4915" t="str">
        <f>IFERROR(__xludf.DUMMYFUNCTION("""COMPUTED_VALUE"""),"Bowman")</f>
        <v>Bowman</v>
      </c>
      <c r="E4915" t="str">
        <f>IFERROR(__xludf.DUMMYFUNCTION("""COMPUTED_VALUE"""),"NaVorro")</f>
        <v>NaVorro</v>
      </c>
      <c r="F4915" t="str">
        <f>IFERROR(__xludf.DUMMYFUNCTION("""COMPUTED_VALUE"""),"FA")</f>
        <v>FA</v>
      </c>
      <c r="G4915">
        <f>IFERROR(__xludf.DUMMYFUNCTION("""COMPUTED_VALUE"""),15.25)</f>
        <v>15.25</v>
      </c>
    </row>
    <row r="4916">
      <c r="D4916" t="str">
        <f>IFERROR(__xludf.DUMMYFUNCTION("""COMPUTED_VALUE"""),"Bowser")</f>
        <v>Bowser</v>
      </c>
      <c r="E4916" t="str">
        <f>IFERROR(__xludf.DUMMYFUNCTION("""COMPUTED_VALUE"""),"Tyus")</f>
        <v>Tyus</v>
      </c>
      <c r="F4916" t="str">
        <f>IFERROR(__xludf.DUMMYFUNCTION("""COMPUTED_VALUE"""),"BAL")</f>
        <v>BAL</v>
      </c>
      <c r="G4916">
        <f>IFERROR(__xludf.DUMMYFUNCTION("""COMPUTED_VALUE"""),18.0)</f>
        <v>18</v>
      </c>
    </row>
    <row r="4917">
      <c r="D4917" t="str">
        <f>IFERROR(__xludf.DUMMYFUNCTION("""COMPUTED_VALUE"""),"Boyd")</f>
        <v>Boyd</v>
      </c>
      <c r="E4917" t="str">
        <f>IFERROR(__xludf.DUMMYFUNCTION("""COMPUTED_VALUE"""),"Tyler")</f>
        <v>Tyler</v>
      </c>
      <c r="F4917" t="str">
        <f>IFERROR(__xludf.DUMMYFUNCTION("""COMPUTED_VALUE"""),"CIN")</f>
        <v>CIN</v>
      </c>
      <c r="G4917">
        <f>IFERROR(__xludf.DUMMYFUNCTION("""COMPUTED_VALUE"""),18.5)</f>
        <v>18.5</v>
      </c>
    </row>
    <row r="4918">
      <c r="D4918" t="str">
        <f>IFERROR(__xludf.DUMMYFUNCTION("""COMPUTED_VALUE"""),"Boykins")</f>
        <v>Boykins</v>
      </c>
      <c r="E4918" t="str">
        <f>IFERROR(__xludf.DUMMYFUNCTION("""COMPUTED_VALUE"""),"Jeremy")</f>
        <v>Jeremy</v>
      </c>
      <c r="F4918" t="str">
        <f>IFERROR(__xludf.DUMMYFUNCTION("""COMPUTED_VALUE"""),"FA")</f>
        <v>FA</v>
      </c>
      <c r="G4918">
        <f>IFERROR(__xludf.DUMMYFUNCTION("""COMPUTED_VALUE"""),15.5)</f>
        <v>15.5</v>
      </c>
    </row>
    <row r="4919">
      <c r="D4919" t="str">
        <f>IFERROR(__xludf.DUMMYFUNCTION("""COMPUTED_VALUE"""),"Boyle")</f>
        <v>Boyle</v>
      </c>
      <c r="E4919" t="str">
        <f>IFERROR(__xludf.DUMMYFUNCTION("""COMPUTED_VALUE"""),"Nick")</f>
        <v>Nick</v>
      </c>
      <c r="F4919" t="str">
        <f>IFERROR(__xludf.DUMMYFUNCTION("""COMPUTED_VALUE"""),"BAL")</f>
        <v>BAL</v>
      </c>
      <c r="G4919">
        <f>IFERROR(__xludf.DUMMYFUNCTION("""COMPUTED_VALUE"""),18.5)</f>
        <v>18.5</v>
      </c>
    </row>
    <row r="4920">
      <c r="D4920" t="str">
        <f>IFERROR(__xludf.DUMMYFUNCTION("""COMPUTED_VALUE"""),"Bozeman")</f>
        <v>Bozeman</v>
      </c>
      <c r="E4920" t="str">
        <f>IFERROR(__xludf.DUMMYFUNCTION("""COMPUTED_VALUE"""),"Bradley")</f>
        <v>Bradley</v>
      </c>
      <c r="F4920" t="str">
        <f>IFERROR(__xludf.DUMMYFUNCTION("""COMPUTED_VALUE"""),"BAL")</f>
        <v>BAL</v>
      </c>
      <c r="G4920">
        <f>IFERROR(__xludf.DUMMYFUNCTION("""COMPUTED_VALUE"""),17.0)</f>
        <v>17</v>
      </c>
    </row>
    <row r="4921">
      <c r="D4921" t="str">
        <f>IFERROR(__xludf.DUMMYFUNCTION("""COMPUTED_VALUE"""),"Bradberry")</f>
        <v>Bradberry</v>
      </c>
      <c r="E4921" t="str">
        <f>IFERROR(__xludf.DUMMYFUNCTION("""COMPUTED_VALUE"""),"James")</f>
        <v>James</v>
      </c>
      <c r="F4921" t="str">
        <f>IFERROR(__xludf.DUMMYFUNCTION("""COMPUTED_VALUE"""),"CAR")</f>
        <v>CAR</v>
      </c>
      <c r="G4921">
        <f>IFERROR(__xludf.DUMMYFUNCTION("""COMPUTED_VALUE"""),19.25)</f>
        <v>19.25</v>
      </c>
    </row>
    <row r="4922">
      <c r="D4922" t="str">
        <f>IFERROR(__xludf.DUMMYFUNCTION("""COMPUTED_VALUE"""),"Braden")</f>
        <v>Braden</v>
      </c>
      <c r="E4922" t="str">
        <f>IFERROR(__xludf.DUMMYFUNCTION("""COMPUTED_VALUE"""),"Ben")</f>
        <v>Ben</v>
      </c>
      <c r="F4922" t="str">
        <f>IFERROR(__xludf.DUMMYFUNCTION("""COMPUTED_VALUE"""),"NYJ")</f>
        <v>NYJ</v>
      </c>
      <c r="G4922">
        <f>IFERROR(__xludf.DUMMYFUNCTION("""COMPUTED_VALUE"""),16.0)</f>
        <v>16</v>
      </c>
    </row>
    <row r="4923">
      <c r="D4923" t="str">
        <f>IFERROR(__xludf.DUMMYFUNCTION("""COMPUTED_VALUE"""),"Bradford")</f>
        <v>Bradford</v>
      </c>
      <c r="E4923" t="str">
        <f>IFERROR(__xludf.DUMMYFUNCTION("""COMPUTED_VALUE"""),"Sam")</f>
        <v>Sam</v>
      </c>
      <c r="F4923" t="str">
        <f>IFERROR(__xludf.DUMMYFUNCTION("""COMPUTED_VALUE"""),"ARZ")</f>
        <v>ARZ</v>
      </c>
      <c r="G4923">
        <f>IFERROR(__xludf.DUMMYFUNCTION("""COMPUTED_VALUE"""),19.5)</f>
        <v>19.5</v>
      </c>
    </row>
    <row r="4924">
      <c r="D4924" t="str">
        <f>IFERROR(__xludf.DUMMYFUNCTION("""COMPUTED_VALUE"""),"Bradham")</f>
        <v>Bradham</v>
      </c>
      <c r="E4924" t="str">
        <f>IFERROR(__xludf.DUMMYFUNCTION("""COMPUTED_VALUE"""),"Nigel")</f>
        <v>Nigel</v>
      </c>
      <c r="F4924" t="str">
        <f>IFERROR(__xludf.DUMMYFUNCTION("""COMPUTED_VALUE"""),"PHI")</f>
        <v>PHI</v>
      </c>
      <c r="G4924">
        <f>IFERROR(__xludf.DUMMYFUNCTION("""COMPUTED_VALUE"""),21.0)</f>
        <v>21</v>
      </c>
    </row>
    <row r="4925">
      <c r="D4925" t="str">
        <f>IFERROR(__xludf.DUMMYFUNCTION("""COMPUTED_VALUE"""),"Bradley")</f>
        <v>Bradley</v>
      </c>
      <c r="E4925" t="str">
        <f>IFERROR(__xludf.DUMMYFUNCTION("""COMPUTED_VALUE"""),"Bam")</f>
        <v>Bam</v>
      </c>
      <c r="F4925" t="str">
        <f>IFERROR(__xludf.DUMMYFUNCTION("""COMPUTED_VALUE"""),"BAL")</f>
        <v>BAL</v>
      </c>
      <c r="G4925">
        <f>IFERROR(__xludf.DUMMYFUNCTION("""COMPUTED_VALUE"""),17.25)</f>
        <v>17.25</v>
      </c>
    </row>
    <row r="4926">
      <c r="D4926" t="str">
        <f>IFERROR(__xludf.DUMMYFUNCTION("""COMPUTED_VALUE"""),"Brady")</f>
        <v>Brady</v>
      </c>
      <c r="E4926" t="str">
        <f>IFERROR(__xludf.DUMMYFUNCTION("""COMPUTED_VALUE"""),"Tom")</f>
        <v>Tom</v>
      </c>
      <c r="F4926" t="str">
        <f>IFERROR(__xludf.DUMMYFUNCTION("""COMPUTED_VALUE"""),"NE")</f>
        <v>NE</v>
      </c>
      <c r="G4926">
        <f>IFERROR(__xludf.DUMMYFUNCTION("""COMPUTED_VALUE"""),22.0)</f>
        <v>22</v>
      </c>
    </row>
    <row r="4927">
      <c r="D4927" t="str">
        <f>IFERROR(__xludf.DUMMYFUNCTION("""COMPUTED_VALUE"""),"Brady")</f>
        <v>Brady</v>
      </c>
      <c r="E4927" t="str">
        <f>IFERROR(__xludf.DUMMYFUNCTION("""COMPUTED_VALUE"""),"Tom")</f>
        <v>Tom</v>
      </c>
      <c r="F4927" t="str">
        <f>IFERROR(__xludf.DUMMYFUNCTION("""COMPUTED_VALUE"""),"NE")</f>
        <v>NE</v>
      </c>
      <c r="G4927">
        <f>IFERROR(__xludf.DUMMYFUNCTION("""COMPUTED_VALUE"""),23.0)</f>
        <v>23</v>
      </c>
    </row>
    <row r="4928">
      <c r="D4928" t="str">
        <f>IFERROR(__xludf.DUMMYFUNCTION("""COMPUTED_VALUE"""),"Branch")</f>
        <v>Branch</v>
      </c>
      <c r="E4928" t="str">
        <f>IFERROR(__xludf.DUMMYFUNCTION("""COMPUTED_VALUE"""),"Andre")</f>
        <v>Andre</v>
      </c>
      <c r="F4928" t="str">
        <f>IFERROR(__xludf.DUMMYFUNCTION("""COMPUTED_VALUE"""),"MIA")</f>
        <v>MIA</v>
      </c>
      <c r="G4928">
        <f>IFERROR(__xludf.DUMMYFUNCTION("""COMPUTED_VALUE"""),17.25)</f>
        <v>17.25</v>
      </c>
    </row>
    <row r="4929">
      <c r="D4929" t="str">
        <f>IFERROR(__xludf.DUMMYFUNCTION("""COMPUTED_VALUE"""),"Brantley")</f>
        <v>Brantley</v>
      </c>
      <c r="E4929" t="str">
        <f>IFERROR(__xludf.DUMMYFUNCTION("""COMPUTED_VALUE"""),"Caleb")</f>
        <v>Caleb</v>
      </c>
      <c r="F4929" t="str">
        <f>IFERROR(__xludf.DUMMYFUNCTION("""COMPUTED_VALUE"""),"CLE")</f>
        <v>CLE</v>
      </c>
      <c r="G4929">
        <f>IFERROR(__xludf.DUMMYFUNCTION("""COMPUTED_VALUE"""),17.75)</f>
        <v>17.75</v>
      </c>
    </row>
    <row r="4930">
      <c r="D4930" t="str">
        <f>IFERROR(__xludf.DUMMYFUNCTION("""COMPUTED_VALUE"""),"Brate")</f>
        <v>Brate</v>
      </c>
      <c r="E4930" t="str">
        <f>IFERROR(__xludf.DUMMYFUNCTION("""COMPUTED_VALUE"""),"Cameron")</f>
        <v>Cameron</v>
      </c>
      <c r="F4930" t="str">
        <f>IFERROR(__xludf.DUMMYFUNCTION("""COMPUTED_VALUE"""),"TB")</f>
        <v>TB</v>
      </c>
      <c r="G4930">
        <f>IFERROR(__xludf.DUMMYFUNCTION("""COMPUTED_VALUE"""),19.75)</f>
        <v>19.75</v>
      </c>
    </row>
    <row r="4931">
      <c r="D4931" t="str">
        <f>IFERROR(__xludf.DUMMYFUNCTION("""COMPUTED_VALUE"""),"Braunecker")</f>
        <v>Braunecker</v>
      </c>
      <c r="E4931" t="str">
        <f>IFERROR(__xludf.DUMMYFUNCTION("""COMPUTED_VALUE"""),"Ben")</f>
        <v>Ben</v>
      </c>
      <c r="F4931" t="str">
        <f>IFERROR(__xludf.DUMMYFUNCTION("""COMPUTED_VALUE"""),"CHI")</f>
        <v>CHI</v>
      </c>
      <c r="G4931">
        <f>IFERROR(__xludf.DUMMYFUNCTION("""COMPUTED_VALUE"""),15.75)</f>
        <v>15.75</v>
      </c>
    </row>
    <row r="4932">
      <c r="D4932" t="str">
        <f>IFERROR(__xludf.DUMMYFUNCTION("""COMPUTED_VALUE"""),"Bray")</f>
        <v>Bray</v>
      </c>
      <c r="E4932" t="str">
        <f>IFERROR(__xludf.DUMMYFUNCTION("""COMPUTED_VALUE"""),"Quan")</f>
        <v>Quan</v>
      </c>
      <c r="F4932" t="str">
        <f>IFERROR(__xludf.DUMMYFUNCTION("""COMPUTED_VALUE"""),"BUF")</f>
        <v>BUF</v>
      </c>
      <c r="G4932">
        <f>IFERROR(__xludf.DUMMYFUNCTION("""COMPUTED_VALUE"""),16.75)</f>
        <v>16.75</v>
      </c>
    </row>
    <row r="4933">
      <c r="D4933" t="str">
        <f>IFERROR(__xludf.DUMMYFUNCTION("""COMPUTED_VALUE"""),"Bray")</f>
        <v>Bray</v>
      </c>
      <c r="E4933" t="str">
        <f>IFERROR(__xludf.DUMMYFUNCTION("""COMPUTED_VALUE"""),"Tyler")</f>
        <v>Tyler</v>
      </c>
      <c r="F4933" t="str">
        <f>IFERROR(__xludf.DUMMYFUNCTION("""COMPUTED_VALUE"""),"CHI")</f>
        <v>CHI</v>
      </c>
      <c r="G4933">
        <f>IFERROR(__xludf.DUMMYFUNCTION("""COMPUTED_VALUE"""),15.75)</f>
        <v>15.75</v>
      </c>
    </row>
    <row r="4934">
      <c r="D4934" t="str">
        <f>IFERROR(__xludf.DUMMYFUNCTION("""COMPUTED_VALUE"""),"Breaux")</f>
        <v>Breaux</v>
      </c>
      <c r="E4934" t="str">
        <f>IFERROR(__xludf.DUMMYFUNCTION("""COMPUTED_VALUE"""),"Delvin")</f>
        <v>Delvin</v>
      </c>
      <c r="F4934" t="str">
        <f>IFERROR(__xludf.DUMMYFUNCTION("""COMPUTED_VALUE"""),"FA")</f>
        <v>FA</v>
      </c>
      <c r="G4934">
        <f>IFERROR(__xludf.DUMMYFUNCTION("""COMPUTED_VALUE"""),19.25)</f>
        <v>19.25</v>
      </c>
    </row>
    <row r="4935">
      <c r="D4935" t="str">
        <f>IFERROR(__xludf.DUMMYFUNCTION("""COMPUTED_VALUE"""),"Breeland")</f>
        <v>Breeland</v>
      </c>
      <c r="E4935" t="str">
        <f>IFERROR(__xludf.DUMMYFUNCTION("""COMPUTED_VALUE"""),"Bashaud")</f>
        <v>Bashaud</v>
      </c>
      <c r="F4935" t="str">
        <f>IFERROR(__xludf.DUMMYFUNCTION("""COMPUTED_VALUE"""),"FA")</f>
        <v>FA</v>
      </c>
      <c r="G4935">
        <f>IFERROR(__xludf.DUMMYFUNCTION("""COMPUTED_VALUE"""),15.25)</f>
        <v>15.25</v>
      </c>
    </row>
    <row r="4936">
      <c r="D4936" t="str">
        <f>IFERROR(__xludf.DUMMYFUNCTION("""COMPUTED_VALUE"""),"Brees")</f>
        <v>Brees</v>
      </c>
      <c r="E4936" t="str">
        <f>IFERROR(__xludf.DUMMYFUNCTION("""COMPUTED_VALUE"""),"Drew")</f>
        <v>Drew</v>
      </c>
      <c r="F4936" t="str">
        <f>IFERROR(__xludf.DUMMYFUNCTION("""COMPUTED_VALUE"""),"NO")</f>
        <v>NO</v>
      </c>
      <c r="G4936">
        <f>IFERROR(__xludf.DUMMYFUNCTION("""COMPUTED_VALUE"""),21.5)</f>
        <v>21.5</v>
      </c>
    </row>
    <row r="4937">
      <c r="D4937" t="str">
        <f>IFERROR(__xludf.DUMMYFUNCTION("""COMPUTED_VALUE"""),"Breida")</f>
        <v>Breida</v>
      </c>
      <c r="E4937" t="str">
        <f>IFERROR(__xludf.DUMMYFUNCTION("""COMPUTED_VALUE"""),"Matt")</f>
        <v>Matt</v>
      </c>
      <c r="F4937" t="str">
        <f>IFERROR(__xludf.DUMMYFUNCTION("""COMPUTED_VALUE"""),"SF")</f>
        <v>SF</v>
      </c>
      <c r="G4937">
        <f>IFERROR(__xludf.DUMMYFUNCTION("""COMPUTED_VALUE"""),18.75)</f>
        <v>18.75</v>
      </c>
    </row>
    <row r="4938">
      <c r="D4938" t="str">
        <f>IFERROR(__xludf.DUMMYFUNCTION("""COMPUTED_VALUE"""),"Brendel")</f>
        <v>Brendel</v>
      </c>
      <c r="E4938" t="str">
        <f>IFERROR(__xludf.DUMMYFUNCTION("""COMPUTED_VALUE"""),"Jake")</f>
        <v>Jake</v>
      </c>
      <c r="F4938" t="str">
        <f>IFERROR(__xludf.DUMMYFUNCTION("""COMPUTED_VALUE"""),"MIA")</f>
        <v>MIA</v>
      </c>
      <c r="G4938">
        <f>IFERROR(__xludf.DUMMYFUNCTION("""COMPUTED_VALUE"""),16.75)</f>
        <v>16.75</v>
      </c>
    </row>
    <row r="4939">
      <c r="D4939" t="str">
        <f>IFERROR(__xludf.DUMMYFUNCTION("""COMPUTED_VALUE"""),"Brent")</f>
        <v>Brent</v>
      </c>
      <c r="E4939" t="str">
        <f>IFERROR(__xludf.DUMMYFUNCTION("""COMPUTED_VALUE"""),"KJ")</f>
        <v>KJ</v>
      </c>
      <c r="F4939" t="str">
        <f>IFERROR(__xludf.DUMMYFUNCTION("""COMPUTED_VALUE"""),"IND")</f>
        <v>IND</v>
      </c>
      <c r="G4939">
        <f>IFERROR(__xludf.DUMMYFUNCTION("""COMPUTED_VALUE"""),16.5)</f>
        <v>16.5</v>
      </c>
    </row>
    <row r="4940">
      <c r="D4940" t="str">
        <f>IFERROR(__xludf.DUMMYFUNCTION("""COMPUTED_VALUE"""),"Brice")</f>
        <v>Brice</v>
      </c>
      <c r="E4940" t="str">
        <f>IFERROR(__xludf.DUMMYFUNCTION("""COMPUTED_VALUE"""),"Kentrell")</f>
        <v>Kentrell</v>
      </c>
      <c r="F4940" t="str">
        <f>IFERROR(__xludf.DUMMYFUNCTION("""COMPUTED_VALUE"""),"GB")</f>
        <v>GB</v>
      </c>
      <c r="G4940">
        <f>IFERROR(__xludf.DUMMYFUNCTION("""COMPUTED_VALUE"""),17.25)</f>
        <v>17.25</v>
      </c>
    </row>
    <row r="4941">
      <c r="D4941" t="str">
        <f>IFERROR(__xludf.DUMMYFUNCTION("""COMPUTED_VALUE"""),"Bridgewater")</f>
        <v>Bridgewater</v>
      </c>
      <c r="E4941" t="str">
        <f>IFERROR(__xludf.DUMMYFUNCTION("""COMPUTED_VALUE"""),"Teddy")</f>
        <v>Teddy</v>
      </c>
      <c r="F4941" t="str">
        <f>IFERROR(__xludf.DUMMYFUNCTION("""COMPUTED_VALUE"""),"NYJ")</f>
        <v>NYJ</v>
      </c>
      <c r="G4941">
        <f>IFERROR(__xludf.DUMMYFUNCTION("""COMPUTED_VALUE"""),19.75)</f>
        <v>19.75</v>
      </c>
    </row>
    <row r="4942">
      <c r="D4942" t="str">
        <f>IFERROR(__xludf.DUMMYFUNCTION("""COMPUTED_VALUE"""),"Brissett")</f>
        <v>Brissett</v>
      </c>
      <c r="E4942" t="str">
        <f>IFERROR(__xludf.DUMMYFUNCTION("""COMPUTED_VALUE"""),"Jacoby")</f>
        <v>Jacoby</v>
      </c>
      <c r="F4942" t="str">
        <f>IFERROR(__xludf.DUMMYFUNCTION("""COMPUTED_VALUE"""),"IND")</f>
        <v>IND</v>
      </c>
      <c r="G4942">
        <f>IFERROR(__xludf.DUMMYFUNCTION("""COMPUTED_VALUE"""),19.25)</f>
        <v>19.25</v>
      </c>
    </row>
    <row r="4943">
      <c r="D4943" t="str">
        <f>IFERROR(__xludf.DUMMYFUNCTION("""COMPUTED_VALUE"""),"Britt")</f>
        <v>Britt</v>
      </c>
      <c r="E4943" t="str">
        <f>IFERROR(__xludf.DUMMYFUNCTION("""COMPUTED_VALUE"""),"Justin")</f>
        <v>Justin</v>
      </c>
      <c r="F4943" t="str">
        <f>IFERROR(__xludf.DUMMYFUNCTION("""COMPUTED_VALUE"""),"SEA")</f>
        <v>SEA</v>
      </c>
      <c r="G4943">
        <f>IFERROR(__xludf.DUMMYFUNCTION("""COMPUTED_VALUE"""),19.5)</f>
        <v>19.5</v>
      </c>
    </row>
    <row r="4944">
      <c r="D4944" t="str">
        <f>IFERROR(__xludf.DUMMYFUNCTION("""COMPUTED_VALUE"""),"Britt")</f>
        <v>Britt</v>
      </c>
      <c r="E4944" t="str">
        <f>IFERROR(__xludf.DUMMYFUNCTION("""COMPUTED_VALUE"""),"Kenny")</f>
        <v>Kenny</v>
      </c>
      <c r="F4944" t="str">
        <f>IFERROR(__xludf.DUMMYFUNCTION("""COMPUTED_VALUE"""),"NE")</f>
        <v>NE</v>
      </c>
      <c r="G4944">
        <f>IFERROR(__xludf.DUMMYFUNCTION("""COMPUTED_VALUE"""),18.25)</f>
        <v>18.25</v>
      </c>
    </row>
    <row r="4945">
      <c r="D4945" t="str">
        <f>IFERROR(__xludf.DUMMYFUNCTION("""COMPUTED_VALUE"""),"Brock Sr")</f>
        <v>Brock Sr</v>
      </c>
      <c r="E4945" t="str">
        <f>IFERROR(__xludf.DUMMYFUNCTION("""COMPUTED_VALUE"""),"Tramaine")</f>
        <v>Tramaine</v>
      </c>
      <c r="F4945" t="str">
        <f>IFERROR(__xludf.DUMMYFUNCTION("""COMPUTED_VALUE"""),"DEN")</f>
        <v>DEN</v>
      </c>
      <c r="G4945">
        <f>IFERROR(__xludf.DUMMYFUNCTION("""COMPUTED_VALUE"""),17.5)</f>
        <v>17.5</v>
      </c>
    </row>
    <row r="4946">
      <c r="D4946" t="str">
        <f>IFERROR(__xludf.DUMMYFUNCTION("""COMPUTED_VALUE"""),"Brockers")</f>
        <v>Brockers</v>
      </c>
      <c r="E4946" t="str">
        <f>IFERROR(__xludf.DUMMYFUNCTION("""COMPUTED_VALUE"""),"Michael")</f>
        <v>Michael</v>
      </c>
      <c r="F4946" t="str">
        <f>IFERROR(__xludf.DUMMYFUNCTION("""COMPUTED_VALUE"""),"LAR")</f>
        <v>LAR</v>
      </c>
      <c r="G4946">
        <f>IFERROR(__xludf.DUMMYFUNCTION("""COMPUTED_VALUE"""),19.25)</f>
        <v>19.25</v>
      </c>
    </row>
    <row r="4947">
      <c r="D4947" t="str">
        <f>IFERROR(__xludf.DUMMYFUNCTION("""COMPUTED_VALUE"""),"Bromley")</f>
        <v>Bromley</v>
      </c>
      <c r="E4947" t="str">
        <f>IFERROR(__xludf.DUMMYFUNCTION("""COMPUTED_VALUE"""),"Jay")</f>
        <v>Jay</v>
      </c>
      <c r="F4947" t="str">
        <f>IFERROR(__xludf.DUMMYFUNCTION("""COMPUTED_VALUE"""),"NO")</f>
        <v>NO</v>
      </c>
      <c r="G4947">
        <f>IFERROR(__xludf.DUMMYFUNCTION("""COMPUTED_VALUE"""),17.75)</f>
        <v>17.75</v>
      </c>
    </row>
    <row r="4948">
      <c r="D4948" t="str">
        <f>IFERROR(__xludf.DUMMYFUNCTION("""COMPUTED_VALUE"""),"Brooks")</f>
        <v>Brooks</v>
      </c>
      <c r="E4948" t="str">
        <f>IFERROR(__xludf.DUMMYFUNCTION("""COMPUTED_VALUE"""),"Ahmad")</f>
        <v>Ahmad</v>
      </c>
      <c r="F4948" t="str">
        <f>IFERROR(__xludf.DUMMYFUNCTION("""COMPUTED_VALUE"""),"FA")</f>
        <v>FA</v>
      </c>
      <c r="G4948">
        <f>IFERROR(__xludf.DUMMYFUNCTION("""COMPUTED_VALUE"""),15.25)</f>
        <v>15.25</v>
      </c>
    </row>
    <row r="4949">
      <c r="D4949" t="str">
        <f>IFERROR(__xludf.DUMMYFUNCTION("""COMPUTED_VALUE"""),"Brooks")</f>
        <v>Brooks</v>
      </c>
      <c r="E4949" t="str">
        <f>IFERROR(__xludf.DUMMYFUNCTION("""COMPUTED_VALUE"""),"Brandon")</f>
        <v>Brandon</v>
      </c>
      <c r="F4949" t="str">
        <f>IFERROR(__xludf.DUMMYFUNCTION("""COMPUTED_VALUE"""),"PHI")</f>
        <v>PHI</v>
      </c>
      <c r="G4949">
        <f>IFERROR(__xludf.DUMMYFUNCTION("""COMPUTED_VALUE"""),21.25)</f>
        <v>21.25</v>
      </c>
    </row>
    <row r="4950">
      <c r="D4950" t="str">
        <f>IFERROR(__xludf.DUMMYFUNCTION("""COMPUTED_VALUE"""),"Brooks")</f>
        <v>Brooks</v>
      </c>
      <c r="E4950" t="str">
        <f>IFERROR(__xludf.DUMMYFUNCTION("""COMPUTED_VALUE"""),"Derrick")</f>
        <v>Derrick</v>
      </c>
      <c r="F4950" t="str">
        <f>IFERROR(__xludf.DUMMYFUNCTION("""COMPUTED_VALUE"""),"TB")</f>
        <v>TB</v>
      </c>
      <c r="G4950">
        <f>IFERROR(__xludf.DUMMYFUNCTION("""COMPUTED_VALUE"""),21.0)</f>
        <v>21</v>
      </c>
    </row>
    <row r="4951">
      <c r="D4951" t="str">
        <f>IFERROR(__xludf.DUMMYFUNCTION("""COMPUTED_VALUE"""),"Brooks")</f>
        <v>Brooks</v>
      </c>
      <c r="E4951" t="str">
        <f>IFERROR(__xludf.DUMMYFUNCTION("""COMPUTED_VALUE"""),"Derrick")</f>
        <v>Derrick</v>
      </c>
      <c r="F4951" t="str">
        <f>IFERROR(__xludf.DUMMYFUNCTION("""COMPUTED_VALUE"""),"TB")</f>
        <v>TB</v>
      </c>
      <c r="G4951">
        <f>IFERROR(__xludf.DUMMYFUNCTION("""COMPUTED_VALUE"""),20.5)</f>
        <v>20.5</v>
      </c>
    </row>
    <row r="4952">
      <c r="D4952" t="str">
        <f>IFERROR(__xludf.DUMMYFUNCTION("""COMPUTED_VALUE"""),"Brooks")</f>
        <v>Brooks</v>
      </c>
      <c r="E4952" t="str">
        <f>IFERROR(__xludf.DUMMYFUNCTION("""COMPUTED_VALUE"""),"Derrick")</f>
        <v>Derrick</v>
      </c>
      <c r="F4952" t="str">
        <f>IFERROR(__xludf.DUMMYFUNCTION("""COMPUTED_VALUE"""),"TB")</f>
        <v>TB</v>
      </c>
      <c r="G4952">
        <f>IFERROR(__xludf.DUMMYFUNCTION("""COMPUTED_VALUE"""),20.75)</f>
        <v>20.75</v>
      </c>
    </row>
    <row r="4953">
      <c r="D4953" t="str">
        <f>IFERROR(__xludf.DUMMYFUNCTION("""COMPUTED_VALUE"""),"Brooks")</f>
        <v>Brooks</v>
      </c>
      <c r="E4953" t="str">
        <f>IFERROR(__xludf.DUMMYFUNCTION("""COMPUTED_VALUE"""),"Derrick")</f>
        <v>Derrick</v>
      </c>
      <c r="F4953" t="str">
        <f>IFERROR(__xludf.DUMMYFUNCTION("""COMPUTED_VALUE"""),"TB")</f>
        <v>TB</v>
      </c>
      <c r="G4953">
        <f>IFERROR(__xludf.DUMMYFUNCTION("""COMPUTED_VALUE"""),22.0)</f>
        <v>22</v>
      </c>
    </row>
    <row r="4954">
      <c r="D4954" t="str">
        <f>IFERROR(__xludf.DUMMYFUNCTION("""COMPUTED_VALUE"""),"Brooks")</f>
        <v>Brooks</v>
      </c>
      <c r="E4954" t="str">
        <f>IFERROR(__xludf.DUMMYFUNCTION("""COMPUTED_VALUE"""),"Derrick")</f>
        <v>Derrick</v>
      </c>
      <c r="F4954" t="str">
        <f>IFERROR(__xludf.DUMMYFUNCTION("""COMPUTED_VALUE"""),"TB")</f>
        <v>TB</v>
      </c>
      <c r="G4954">
        <f>IFERROR(__xludf.DUMMYFUNCTION("""COMPUTED_VALUE"""),21.5)</f>
        <v>21.5</v>
      </c>
    </row>
    <row r="4955">
      <c r="D4955" t="str">
        <f>IFERROR(__xludf.DUMMYFUNCTION("""COMPUTED_VALUE"""),"Brooks")</f>
        <v>Brooks</v>
      </c>
      <c r="E4955" t="str">
        <f>IFERROR(__xludf.DUMMYFUNCTION("""COMPUTED_VALUE"""),"Terrence")</f>
        <v>Terrence</v>
      </c>
      <c r="F4955" t="str">
        <f>IFERROR(__xludf.DUMMYFUNCTION("""COMPUTED_VALUE"""),"NYJ")</f>
        <v>NYJ</v>
      </c>
      <c r="G4955">
        <f>IFERROR(__xludf.DUMMYFUNCTION("""COMPUTED_VALUE"""),19.0)</f>
        <v>19</v>
      </c>
    </row>
    <row r="4956">
      <c r="D4956" t="str">
        <f>IFERROR(__xludf.DUMMYFUNCTION("""COMPUTED_VALUE"""),"Brothers")</f>
        <v>Brothers</v>
      </c>
      <c r="E4956" t="str">
        <f>IFERROR(__xludf.DUMMYFUNCTION("""COMPUTED_VALUE"""),"Kentrell")</f>
        <v>Kentrell</v>
      </c>
      <c r="F4956" t="str">
        <f>IFERROR(__xludf.DUMMYFUNCTION("""COMPUTED_VALUE"""),"MIN")</f>
        <v>MIN</v>
      </c>
      <c r="G4956">
        <f>IFERROR(__xludf.DUMMYFUNCTION("""COMPUTED_VALUE"""),17.5)</f>
        <v>17.5</v>
      </c>
    </row>
    <row r="4957">
      <c r="D4957" t="str">
        <f>IFERROR(__xludf.DUMMYFUNCTION("""COMPUTED_VALUE"""),"Brown")</f>
        <v>Brown</v>
      </c>
      <c r="E4957" t="str">
        <f>IFERROR(__xludf.DUMMYFUNCTION("""COMPUTED_VALUE"""),"Andrew")</f>
        <v>Andrew</v>
      </c>
      <c r="F4957" t="str">
        <f>IFERROR(__xludf.DUMMYFUNCTION("""COMPUTED_VALUE"""),"CIN")</f>
        <v>CIN</v>
      </c>
      <c r="G4957">
        <f>IFERROR(__xludf.DUMMYFUNCTION("""COMPUTED_VALUE"""),17.5)</f>
        <v>17.5</v>
      </c>
    </row>
    <row r="4958">
      <c r="D4958" t="str">
        <f>IFERROR(__xludf.DUMMYFUNCTION("""COMPUTED_VALUE"""),"Brown")</f>
        <v>Brown</v>
      </c>
      <c r="E4958" t="str">
        <f>IFERROR(__xludf.DUMMYFUNCTION("""COMPUTED_VALUE"""),"Anthony")</f>
        <v>Anthony</v>
      </c>
      <c r="F4958" t="str">
        <f>IFERROR(__xludf.DUMMYFUNCTION("""COMPUTED_VALUE"""),"DAL")</f>
        <v>DAL</v>
      </c>
      <c r="G4958">
        <f>IFERROR(__xludf.DUMMYFUNCTION("""COMPUTED_VALUE"""),18.75)</f>
        <v>18.75</v>
      </c>
    </row>
    <row r="4959">
      <c r="D4959" t="str">
        <f>IFERROR(__xludf.DUMMYFUNCTION("""COMPUTED_VALUE"""),"Brown")</f>
        <v>Brown</v>
      </c>
      <c r="E4959" t="str">
        <f>IFERROR(__xludf.DUMMYFUNCTION("""COMPUTED_VALUE"""),"Antonio")</f>
        <v>Antonio</v>
      </c>
      <c r="F4959" t="str">
        <f>IFERROR(__xludf.DUMMYFUNCTION("""COMPUTED_VALUE"""),"PIT")</f>
        <v>PIT</v>
      </c>
      <c r="G4959">
        <f>IFERROR(__xludf.DUMMYFUNCTION("""COMPUTED_VALUE"""),22.25)</f>
        <v>22.25</v>
      </c>
    </row>
    <row r="4960">
      <c r="D4960" t="str">
        <f>IFERROR(__xludf.DUMMYFUNCTION("""COMPUTED_VALUE"""),"Brown")</f>
        <v>Brown</v>
      </c>
      <c r="E4960" t="str">
        <f>IFERROR(__xludf.DUMMYFUNCTION("""COMPUTED_VALUE"""),"Blair")</f>
        <v>Blair</v>
      </c>
      <c r="F4960" t="str">
        <f>IFERROR(__xludf.DUMMYFUNCTION("""COMPUTED_VALUE"""),"JAX")</f>
        <v>JAX</v>
      </c>
      <c r="G4960">
        <f>IFERROR(__xludf.DUMMYFUNCTION("""COMPUTED_VALUE"""),18.0)</f>
        <v>18</v>
      </c>
    </row>
    <row r="4961">
      <c r="D4961" t="str">
        <f>IFERROR(__xludf.DUMMYFUNCTION("""COMPUTED_VALUE"""),"Brown")</f>
        <v>Brown</v>
      </c>
      <c r="E4961" t="str">
        <f>IFERROR(__xludf.DUMMYFUNCTION("""COMPUTED_VALUE"""),"Daniel")</f>
        <v>Daniel</v>
      </c>
      <c r="F4961" t="str">
        <f>IFERROR(__xludf.DUMMYFUNCTION("""COMPUTED_VALUE"""),"CHI")</f>
        <v>CHI</v>
      </c>
      <c r="G4961">
        <f>IFERROR(__xludf.DUMMYFUNCTION("""COMPUTED_VALUE"""),17.5)</f>
        <v>17.5</v>
      </c>
    </row>
    <row r="4962">
      <c r="D4962" t="str">
        <f>IFERROR(__xludf.DUMMYFUNCTION("""COMPUTED_VALUE"""),"Brown")</f>
        <v>Brown</v>
      </c>
      <c r="E4962" t="str">
        <f>IFERROR(__xludf.DUMMYFUNCTION("""COMPUTED_VALUE"""),"Donatello")</f>
        <v>Donatello</v>
      </c>
      <c r="F4962" t="str">
        <f>IFERROR(__xludf.DUMMYFUNCTION("""COMPUTED_VALUE"""),"GB")</f>
        <v>GB</v>
      </c>
      <c r="G4962">
        <f>IFERROR(__xludf.DUMMYFUNCTION("""COMPUTED_VALUE"""),16.25)</f>
        <v>16.25</v>
      </c>
    </row>
    <row r="4963">
      <c r="D4963" t="str">
        <f>IFERROR(__xludf.DUMMYFUNCTION("""COMPUTED_VALUE"""),"Brown")</f>
        <v>Brown</v>
      </c>
      <c r="E4963" t="str">
        <f>IFERROR(__xludf.DUMMYFUNCTION("""COMPUTED_VALUE"""),"Duane")</f>
        <v>Duane</v>
      </c>
      <c r="F4963" t="str">
        <f>IFERROR(__xludf.DUMMYFUNCTION("""COMPUTED_VALUE"""),"SEA")</f>
        <v>SEA</v>
      </c>
      <c r="G4963">
        <f>IFERROR(__xludf.DUMMYFUNCTION("""COMPUTED_VALUE"""),20.25)</f>
        <v>20.25</v>
      </c>
    </row>
    <row r="4964">
      <c r="D4964" t="str">
        <f>IFERROR(__xludf.DUMMYFUNCTION("""COMPUTED_VALUE"""),"Brown")</f>
        <v>Brown</v>
      </c>
      <c r="E4964" t="str">
        <f>IFERROR(__xludf.DUMMYFUNCTION("""COMPUTED_VALUE"""),"Jamon")</f>
        <v>Jamon</v>
      </c>
      <c r="F4964" t="str">
        <f>IFERROR(__xludf.DUMMYFUNCTION("""COMPUTED_VALUE"""),"LAR")</f>
        <v>LAR</v>
      </c>
      <c r="G4964">
        <f>IFERROR(__xludf.DUMMYFUNCTION("""COMPUTED_VALUE"""),18.5)</f>
        <v>18.5</v>
      </c>
    </row>
    <row r="4965">
      <c r="D4965" t="str">
        <f>IFERROR(__xludf.DUMMYFUNCTION("""COMPUTED_VALUE"""),"Brown")</f>
        <v>Brown</v>
      </c>
      <c r="E4965" t="str">
        <f>IFERROR(__xludf.DUMMYFUNCTION("""COMPUTED_VALUE"""),"Jaron")</f>
        <v>Jaron</v>
      </c>
      <c r="F4965" t="str">
        <f>IFERROR(__xludf.DUMMYFUNCTION("""COMPUTED_VALUE"""),"SEA")</f>
        <v>SEA</v>
      </c>
      <c r="G4965">
        <f>IFERROR(__xludf.DUMMYFUNCTION("""COMPUTED_VALUE"""),19.0)</f>
        <v>19</v>
      </c>
    </row>
    <row r="4966">
      <c r="D4966" t="str">
        <f>IFERROR(__xludf.DUMMYFUNCTION("""COMPUTED_VALUE"""),"Brown")</f>
        <v>Brown</v>
      </c>
      <c r="E4966" t="str">
        <f>IFERROR(__xludf.DUMMYFUNCTION("""COMPUTED_VALUE"""),"Jatavis")</f>
        <v>Jatavis</v>
      </c>
      <c r="F4966" t="str">
        <f>IFERROR(__xludf.DUMMYFUNCTION("""COMPUTED_VALUE"""),"LAC")</f>
        <v>LAC</v>
      </c>
      <c r="G4966">
        <f>IFERROR(__xludf.DUMMYFUNCTION("""COMPUTED_VALUE"""),19.5)</f>
        <v>19.5</v>
      </c>
    </row>
    <row r="4967">
      <c r="D4967" t="str">
        <f>IFERROR(__xludf.DUMMYFUNCTION("""COMPUTED_VALUE"""),"Brown")</f>
        <v>Brown</v>
      </c>
      <c r="E4967" t="str">
        <f>IFERROR(__xludf.DUMMYFUNCTION("""COMPUTED_VALUE"""),"Jayon")</f>
        <v>Jayon</v>
      </c>
      <c r="F4967" t="str">
        <f>IFERROR(__xludf.DUMMYFUNCTION("""COMPUTED_VALUE"""),"TEN")</f>
        <v>TEN</v>
      </c>
      <c r="G4967">
        <f>IFERROR(__xludf.DUMMYFUNCTION("""COMPUTED_VALUE"""),18.0)</f>
        <v>18</v>
      </c>
    </row>
    <row r="4968">
      <c r="D4968" t="str">
        <f>IFERROR(__xludf.DUMMYFUNCTION("""COMPUTED_VALUE"""),"Brown")</f>
        <v>Brown</v>
      </c>
      <c r="E4968" t="str">
        <f>IFERROR(__xludf.DUMMYFUNCTION("""COMPUTED_VALUE"""),"John")</f>
        <v>John</v>
      </c>
      <c r="F4968" t="str">
        <f>IFERROR(__xludf.DUMMYFUNCTION("""COMPUTED_VALUE"""),"BAL")</f>
        <v>BAL</v>
      </c>
      <c r="G4968">
        <f>IFERROR(__xludf.DUMMYFUNCTION("""COMPUTED_VALUE"""),19.0)</f>
        <v>19</v>
      </c>
    </row>
    <row r="4969">
      <c r="D4969" t="str">
        <f>IFERROR(__xludf.DUMMYFUNCTION("""COMPUTED_VALUE"""),"Brown")</f>
        <v>Brown</v>
      </c>
      <c r="E4969" t="str">
        <f>IFERROR(__xludf.DUMMYFUNCTION("""COMPUTED_VALUE"""),"Mack")</f>
        <v>Mack</v>
      </c>
      <c r="F4969" t="str">
        <f>IFERROR(__xludf.DUMMYFUNCTION("""COMPUTED_VALUE"""),"MIN")</f>
        <v>MIN</v>
      </c>
      <c r="G4969">
        <f>IFERROR(__xludf.DUMMYFUNCTION("""COMPUTED_VALUE"""),17.25)</f>
        <v>17.25</v>
      </c>
    </row>
    <row r="4970">
      <c r="D4970" t="str">
        <f>IFERROR(__xludf.DUMMYFUNCTION("""COMPUTED_VALUE"""),"Brown")</f>
        <v>Brown</v>
      </c>
      <c r="E4970" t="str">
        <f>IFERROR(__xludf.DUMMYFUNCTION("""COMPUTED_VALUE"""),"Malcolm")</f>
        <v>Malcolm</v>
      </c>
      <c r="F4970" t="str">
        <f>IFERROR(__xludf.DUMMYFUNCTION("""COMPUTED_VALUE"""),"LAR")</f>
        <v>LAR</v>
      </c>
      <c r="G4970">
        <f>IFERROR(__xludf.DUMMYFUNCTION("""COMPUTED_VALUE"""),17.75)</f>
        <v>17.75</v>
      </c>
    </row>
    <row r="4971">
      <c r="D4971" t="str">
        <f>IFERROR(__xludf.DUMMYFUNCTION("""COMPUTED_VALUE"""),"Brown")</f>
        <v>Brown</v>
      </c>
      <c r="E4971" t="str">
        <f>IFERROR(__xludf.DUMMYFUNCTION("""COMPUTED_VALUE"""),"Malcom")</f>
        <v>Malcom</v>
      </c>
      <c r="F4971" t="str">
        <f>IFERROR(__xludf.DUMMYFUNCTION("""COMPUTED_VALUE"""),"NE")</f>
        <v>NE</v>
      </c>
      <c r="G4971">
        <f>IFERROR(__xludf.DUMMYFUNCTION("""COMPUTED_VALUE"""),19.75)</f>
        <v>19.75</v>
      </c>
    </row>
    <row r="4972">
      <c r="D4972" t="str">
        <f>IFERROR(__xludf.DUMMYFUNCTION("""COMPUTED_VALUE"""),"Brown")</f>
        <v>Brown</v>
      </c>
      <c r="E4972" t="str">
        <f>IFERROR(__xludf.DUMMYFUNCTION("""COMPUTED_VALUE"""),"Marlon")</f>
        <v>Marlon</v>
      </c>
      <c r="F4972" t="str">
        <f>IFERROR(__xludf.DUMMYFUNCTION("""COMPUTED_VALUE"""),"CHI")</f>
        <v>CHI</v>
      </c>
      <c r="G4972">
        <f>IFERROR(__xludf.DUMMYFUNCTION("""COMPUTED_VALUE"""),17.75)</f>
        <v>17.75</v>
      </c>
    </row>
    <row r="4973">
      <c r="D4973" t="str">
        <f>IFERROR(__xludf.DUMMYFUNCTION("""COMPUTED_VALUE"""),"Brown")</f>
        <v>Brown</v>
      </c>
      <c r="E4973" t="str">
        <f>IFERROR(__xludf.DUMMYFUNCTION("""COMPUTED_VALUE"""),"Noah")</f>
        <v>Noah</v>
      </c>
      <c r="F4973" t="str">
        <f>IFERROR(__xludf.DUMMYFUNCTION("""COMPUTED_VALUE"""),"DAL")</f>
        <v>DAL</v>
      </c>
      <c r="G4973">
        <f>IFERROR(__xludf.DUMMYFUNCTION("""COMPUTED_VALUE"""),17.25)</f>
        <v>17.25</v>
      </c>
    </row>
    <row r="4974">
      <c r="D4974" t="str">
        <f>IFERROR(__xludf.DUMMYFUNCTION("""COMPUTED_VALUE"""),"Brown")</f>
        <v>Brown</v>
      </c>
      <c r="E4974" t="str">
        <f>IFERROR(__xludf.DUMMYFUNCTION("""COMPUTED_VALUE"""),"Orlando")</f>
        <v>Orlando</v>
      </c>
      <c r="F4974" t="str">
        <f>IFERROR(__xludf.DUMMYFUNCTION("""COMPUTED_VALUE"""),"BAL")</f>
        <v>BAL</v>
      </c>
      <c r="G4974">
        <f>IFERROR(__xludf.DUMMYFUNCTION("""COMPUTED_VALUE"""),18.75)</f>
        <v>18.75</v>
      </c>
    </row>
    <row r="4975">
      <c r="D4975" t="str">
        <f>IFERROR(__xludf.DUMMYFUNCTION("""COMPUTED_VALUE"""),"Brown")</f>
        <v>Brown</v>
      </c>
      <c r="E4975" t="str">
        <f>IFERROR(__xludf.DUMMYFUNCTION("""COMPUTED_VALUE"""),"Pharaoh")</f>
        <v>Pharaoh</v>
      </c>
      <c r="F4975" t="str">
        <f>IFERROR(__xludf.DUMMYFUNCTION("""COMPUTED_VALUE"""),"OAK")</f>
        <v>OAK</v>
      </c>
      <c r="G4975">
        <f>IFERROR(__xludf.DUMMYFUNCTION("""COMPUTED_VALUE"""),17.0)</f>
        <v>17</v>
      </c>
    </row>
    <row r="4976">
      <c r="D4976" t="str">
        <f>IFERROR(__xludf.DUMMYFUNCTION("""COMPUTED_VALUE"""),"Brown")</f>
        <v>Brown</v>
      </c>
      <c r="E4976" t="str">
        <f>IFERROR(__xludf.DUMMYFUNCTION("""COMPUTED_VALUE"""),"Preston")</f>
        <v>Preston</v>
      </c>
      <c r="F4976" t="str">
        <f>IFERROR(__xludf.DUMMYFUNCTION("""COMPUTED_VALUE"""),"CIN")</f>
        <v>CIN</v>
      </c>
      <c r="G4976">
        <f>IFERROR(__xludf.DUMMYFUNCTION("""COMPUTED_VALUE"""),19.5)</f>
        <v>19.5</v>
      </c>
    </row>
    <row r="4977">
      <c r="D4977" t="str">
        <f>IFERROR(__xludf.DUMMYFUNCTION("""COMPUTED_VALUE"""),"Brown")</f>
        <v>Brown</v>
      </c>
      <c r="E4977" t="str">
        <f>IFERROR(__xludf.DUMMYFUNCTION("""COMPUTED_VALUE"""),"Trent")</f>
        <v>Trent</v>
      </c>
      <c r="F4977" t="str">
        <f>IFERROR(__xludf.DUMMYFUNCTION("""COMPUTED_VALUE"""),"NE")</f>
        <v>NE</v>
      </c>
      <c r="G4977">
        <f>IFERROR(__xludf.DUMMYFUNCTION("""COMPUTED_VALUE"""),19.75)</f>
        <v>19.75</v>
      </c>
    </row>
    <row r="4978">
      <c r="D4978" t="str">
        <f>IFERROR(__xludf.DUMMYFUNCTION("""COMPUTED_VALUE"""),"Brown")</f>
        <v>Brown</v>
      </c>
      <c r="E4978" t="str">
        <f>IFERROR(__xludf.DUMMYFUNCTION("""COMPUTED_VALUE"""),"Zach")</f>
        <v>Zach</v>
      </c>
      <c r="F4978" t="str">
        <f>IFERROR(__xludf.DUMMYFUNCTION("""COMPUTED_VALUE"""),"WAS")</f>
        <v>WAS</v>
      </c>
      <c r="G4978">
        <f>IFERROR(__xludf.DUMMYFUNCTION("""COMPUTED_VALUE"""),20.75)</f>
        <v>20.75</v>
      </c>
    </row>
    <row r="4979">
      <c r="D4979" t="str">
        <f>IFERROR(__xludf.DUMMYFUNCTION("""COMPUTED_VALUE"""),"Brunskill")</f>
        <v>Brunskill</v>
      </c>
      <c r="E4979" t="str">
        <f>IFERROR(__xludf.DUMMYFUNCTION("""COMPUTED_VALUE"""),"Daniel")</f>
        <v>Daniel</v>
      </c>
      <c r="F4979" t="str">
        <f>IFERROR(__xludf.DUMMYFUNCTION("""COMPUTED_VALUE"""),"ATL")</f>
        <v>ATL</v>
      </c>
      <c r="G4979">
        <f>IFERROR(__xludf.DUMMYFUNCTION("""COMPUTED_VALUE"""),15.5)</f>
        <v>15.5</v>
      </c>
    </row>
    <row r="4980">
      <c r="D4980" t="str">
        <f>IFERROR(__xludf.DUMMYFUNCTION("""COMPUTED_VALUE"""),"Bryan")</f>
        <v>Bryan</v>
      </c>
      <c r="E4980" t="str">
        <f>IFERROR(__xludf.DUMMYFUNCTION("""COMPUTED_VALUE"""),"Taven")</f>
        <v>Taven</v>
      </c>
      <c r="F4980" t="str">
        <f>IFERROR(__xludf.DUMMYFUNCTION("""COMPUTED_VALUE"""),"JAX")</f>
        <v>JAX</v>
      </c>
      <c r="G4980">
        <f>IFERROR(__xludf.DUMMYFUNCTION("""COMPUTED_VALUE"""),19.0)</f>
        <v>19</v>
      </c>
    </row>
    <row r="4981">
      <c r="D4981" t="str">
        <f>IFERROR(__xludf.DUMMYFUNCTION("""COMPUTED_VALUE"""),"Bryant")</f>
        <v>Bryant</v>
      </c>
      <c r="E4981" t="str">
        <f>IFERROR(__xludf.DUMMYFUNCTION("""COMPUTED_VALUE"""),"Dez")</f>
        <v>Dez</v>
      </c>
      <c r="F4981" t="str">
        <f>IFERROR(__xludf.DUMMYFUNCTION("""COMPUTED_VALUE"""),"FA")</f>
        <v>FA</v>
      </c>
      <c r="G4981">
        <f>IFERROR(__xludf.DUMMYFUNCTION("""COMPUTED_VALUE"""),20.25)</f>
        <v>20.25</v>
      </c>
    </row>
    <row r="4982">
      <c r="D4982" t="str">
        <f>IFERROR(__xludf.DUMMYFUNCTION("""COMPUTED_VALUE"""),"Bryant")</f>
        <v>Bryant</v>
      </c>
      <c r="E4982" t="str">
        <f>IFERROR(__xludf.DUMMYFUNCTION("""COMPUTED_VALUE"""),"Martavis")</f>
        <v>Martavis</v>
      </c>
      <c r="F4982" t="str">
        <f>IFERROR(__xludf.DUMMYFUNCTION("""COMPUTED_VALUE"""),"OAK")</f>
        <v>OAK</v>
      </c>
      <c r="G4982">
        <f>IFERROR(__xludf.DUMMYFUNCTION("""COMPUTED_VALUE"""),19.5)</f>
        <v>19.5</v>
      </c>
    </row>
    <row r="4983">
      <c r="D4983" t="str">
        <f>IFERROR(__xludf.DUMMYFUNCTION("""COMPUTED_VALUE"""),"Bryant")</f>
        <v>Bryant</v>
      </c>
      <c r="E4983" t="str">
        <f>IFERROR(__xludf.DUMMYFUNCTION("""COMPUTED_VALUE"""),"Matt")</f>
        <v>Matt</v>
      </c>
      <c r="F4983" t="str">
        <f>IFERROR(__xludf.DUMMYFUNCTION("""COMPUTED_VALUE"""),"ATL")</f>
        <v>ATL</v>
      </c>
      <c r="G4983">
        <f>IFERROR(__xludf.DUMMYFUNCTION("""COMPUTED_VALUE"""),21.75)</f>
        <v>21.75</v>
      </c>
    </row>
    <row r="4984">
      <c r="D4984" t="str">
        <f>IFERROR(__xludf.DUMMYFUNCTION("""COMPUTED_VALUE"""),"Bucannon")</f>
        <v>Bucannon</v>
      </c>
      <c r="E4984" t="str">
        <f>IFERROR(__xludf.DUMMYFUNCTION("""COMPUTED_VALUE"""),"Deone")</f>
        <v>Deone</v>
      </c>
      <c r="F4984" t="str">
        <f>IFERROR(__xludf.DUMMYFUNCTION("""COMPUTED_VALUE"""),"ARZ")</f>
        <v>ARZ</v>
      </c>
      <c r="G4984">
        <f>IFERROR(__xludf.DUMMYFUNCTION("""COMPUTED_VALUE"""),18.5)</f>
        <v>18.5</v>
      </c>
    </row>
    <row r="4985">
      <c r="D4985" t="str">
        <f>IFERROR(__xludf.DUMMYFUNCTION("""COMPUTED_VALUE"""),"Buckner")</f>
        <v>Buckner</v>
      </c>
      <c r="E4985" t="str">
        <f>IFERROR(__xludf.DUMMYFUNCTION("""COMPUTED_VALUE"""),"DeForest")</f>
        <v>DeForest</v>
      </c>
      <c r="F4985" t="str">
        <f>IFERROR(__xludf.DUMMYFUNCTION("""COMPUTED_VALUE"""),"SF")</f>
        <v>SF</v>
      </c>
      <c r="G4985">
        <f>IFERROR(__xludf.DUMMYFUNCTION("""COMPUTED_VALUE"""),20.75)</f>
        <v>20.75</v>
      </c>
    </row>
    <row r="4986">
      <c r="D4986" t="str">
        <f>IFERROR(__xludf.DUMMYFUNCTION("""COMPUTED_VALUE"""),"Bulaga")</f>
        <v>Bulaga</v>
      </c>
      <c r="E4986" t="str">
        <f>IFERROR(__xludf.DUMMYFUNCTION("""COMPUTED_VALUE"""),"Bryan")</f>
        <v>Bryan</v>
      </c>
      <c r="F4986" t="str">
        <f>IFERROR(__xludf.DUMMYFUNCTION("""COMPUTED_VALUE"""),"GB")</f>
        <v>GB</v>
      </c>
      <c r="G4986">
        <f>IFERROR(__xludf.DUMMYFUNCTION("""COMPUTED_VALUE"""),19.75)</f>
        <v>19.75</v>
      </c>
    </row>
    <row r="4987">
      <c r="D4987" t="str">
        <f>IFERROR(__xludf.DUMMYFUNCTION("""COMPUTED_VALUE"""),"Bullard")</f>
        <v>Bullard</v>
      </c>
      <c r="E4987" t="str">
        <f>IFERROR(__xludf.DUMMYFUNCTION("""COMPUTED_VALUE"""),"Jonathan")</f>
        <v>Jonathan</v>
      </c>
      <c r="F4987" t="str">
        <f>IFERROR(__xludf.DUMMYFUNCTION("""COMPUTED_VALUE"""),"CHI")</f>
        <v>CHI</v>
      </c>
      <c r="G4987">
        <f>IFERROR(__xludf.DUMMYFUNCTION("""COMPUTED_VALUE"""),18.0)</f>
        <v>18</v>
      </c>
    </row>
    <row r="4988">
      <c r="D4988" t="str">
        <f>IFERROR(__xludf.DUMMYFUNCTION("""COMPUTED_VALUE"""),"Bullock")</f>
        <v>Bullock</v>
      </c>
      <c r="E4988" t="str">
        <f>IFERROR(__xludf.DUMMYFUNCTION("""COMPUTED_VALUE"""),"Randy")</f>
        <v>Randy</v>
      </c>
      <c r="F4988" t="str">
        <f>IFERROR(__xludf.DUMMYFUNCTION("""COMPUTED_VALUE"""),"CIN")</f>
        <v>CIN</v>
      </c>
      <c r="G4988">
        <f>IFERROR(__xludf.DUMMYFUNCTION("""COMPUTED_VALUE"""),19.5)</f>
        <v>19.5</v>
      </c>
    </row>
    <row r="4989">
      <c r="D4989" t="str">
        <f>IFERROR(__xludf.DUMMYFUNCTION("""COMPUTED_VALUE"""),"Bullough")</f>
        <v>Bullough</v>
      </c>
      <c r="E4989" t="str">
        <f>IFERROR(__xludf.DUMMYFUNCTION("""COMPUTED_VALUE"""),"Riley")</f>
        <v>Riley</v>
      </c>
      <c r="F4989" t="str">
        <f>IFERROR(__xludf.DUMMYFUNCTION("""COMPUTED_VALUE"""),"TB")</f>
        <v>TB</v>
      </c>
      <c r="G4989">
        <f>IFERROR(__xludf.DUMMYFUNCTION("""COMPUTED_VALUE"""),17.25)</f>
        <v>17.25</v>
      </c>
    </row>
    <row r="4990">
      <c r="D4990" t="str">
        <f>IFERROR(__xludf.DUMMYFUNCTION("""COMPUTED_VALUE"""),"Burbridge")</f>
        <v>Burbridge</v>
      </c>
      <c r="E4990" t="str">
        <f>IFERROR(__xludf.DUMMYFUNCTION("""COMPUTED_VALUE"""),"Aaron")</f>
        <v>Aaron</v>
      </c>
      <c r="F4990" t="str">
        <f>IFERROR(__xludf.DUMMYFUNCTION("""COMPUTED_VALUE"""),"SF")</f>
        <v>SF</v>
      </c>
      <c r="G4990">
        <f>IFERROR(__xludf.DUMMYFUNCTION("""COMPUTED_VALUE"""),17.25)</f>
        <v>17.25</v>
      </c>
    </row>
    <row r="4991">
      <c r="D4991" t="str">
        <f>IFERROR(__xludf.DUMMYFUNCTION("""COMPUTED_VALUE"""),"Burfict")</f>
        <v>Burfict</v>
      </c>
      <c r="E4991" t="str">
        <f>IFERROR(__xludf.DUMMYFUNCTION("""COMPUTED_VALUE"""),"Vontaze")</f>
        <v>Vontaze</v>
      </c>
      <c r="F4991" t="str">
        <f>IFERROR(__xludf.DUMMYFUNCTION("""COMPUTED_VALUE"""),"CIN")</f>
        <v>CIN</v>
      </c>
      <c r="G4991">
        <f>IFERROR(__xludf.DUMMYFUNCTION("""COMPUTED_VALUE"""),20.5)</f>
        <v>20.5</v>
      </c>
    </row>
    <row r="4992">
      <c r="D4992" t="str">
        <f>IFERROR(__xludf.DUMMYFUNCTION("""COMPUTED_VALUE"""),"Burgess Jr")</f>
        <v>Burgess Jr</v>
      </c>
      <c r="E4992" t="str">
        <f>IFERROR(__xludf.DUMMYFUNCTION("""COMPUTED_VALUE"""),"James")</f>
        <v>James</v>
      </c>
      <c r="F4992" t="str">
        <f>IFERROR(__xludf.DUMMYFUNCTION("""COMPUTED_VALUE"""),"CLE")</f>
        <v>CLE</v>
      </c>
      <c r="G4992">
        <f>IFERROR(__xludf.DUMMYFUNCTION("""COMPUTED_VALUE"""),16.0)</f>
        <v>16</v>
      </c>
    </row>
    <row r="4993">
      <c r="D4993" t="str">
        <f>IFERROR(__xludf.DUMMYFUNCTION("""COMPUTED_VALUE"""),"Burkhead")</f>
        <v>Burkhead</v>
      </c>
      <c r="E4993" t="str">
        <f>IFERROR(__xludf.DUMMYFUNCTION("""COMPUTED_VALUE"""),"Rex")</f>
        <v>Rex</v>
      </c>
      <c r="F4993" t="str">
        <f>IFERROR(__xludf.DUMMYFUNCTION("""COMPUTED_VALUE"""),"NE")</f>
        <v>NE</v>
      </c>
      <c r="G4993">
        <f>IFERROR(__xludf.DUMMYFUNCTION("""COMPUTED_VALUE"""),19.25)</f>
        <v>19.25</v>
      </c>
    </row>
    <row r="4994">
      <c r="D4994" t="str">
        <f>IFERROR(__xludf.DUMMYFUNCTION("""COMPUTED_VALUE"""),"Burks")</f>
        <v>Burks</v>
      </c>
      <c r="E4994" t="str">
        <f>IFERROR(__xludf.DUMMYFUNCTION("""COMPUTED_VALUE"""),"Oren")</f>
        <v>Oren</v>
      </c>
      <c r="F4994" t="str">
        <f>IFERROR(__xludf.DUMMYFUNCTION("""COMPUTED_VALUE"""),"GB")</f>
        <v>GB</v>
      </c>
      <c r="G4994">
        <f>IFERROR(__xludf.DUMMYFUNCTION("""COMPUTED_VALUE"""),18.0)</f>
        <v>18</v>
      </c>
    </row>
    <row r="4995">
      <c r="D4995" t="str">
        <f>IFERROR(__xludf.DUMMYFUNCTION("""COMPUTED_VALUE"""),"Burnett")</f>
        <v>Burnett</v>
      </c>
      <c r="E4995" t="str">
        <f>IFERROR(__xludf.DUMMYFUNCTION("""COMPUTED_VALUE"""),"Morgan")</f>
        <v>Morgan</v>
      </c>
      <c r="F4995" t="str">
        <f>IFERROR(__xludf.DUMMYFUNCTION("""COMPUTED_VALUE"""),"PIT")</f>
        <v>PIT</v>
      </c>
      <c r="G4995">
        <f>IFERROR(__xludf.DUMMYFUNCTION("""COMPUTED_VALUE"""),20.25)</f>
        <v>20.25</v>
      </c>
    </row>
    <row r="4996">
      <c r="D4996" t="str">
        <f>IFERROR(__xludf.DUMMYFUNCTION("""COMPUTED_VALUE"""),"Burns")</f>
        <v>Burns</v>
      </c>
      <c r="E4996" t="str">
        <f>IFERROR(__xludf.DUMMYFUNCTION("""COMPUTED_VALUE"""),"Artie")</f>
        <v>Artie</v>
      </c>
      <c r="F4996" t="str">
        <f>IFERROR(__xludf.DUMMYFUNCTION("""COMPUTED_VALUE"""),"PIT")</f>
        <v>PIT</v>
      </c>
      <c r="G4996">
        <f>IFERROR(__xludf.DUMMYFUNCTION("""COMPUTED_VALUE"""),20.0)</f>
        <v>20</v>
      </c>
    </row>
    <row r="4997">
      <c r="D4997" t="str">
        <f>IFERROR(__xludf.DUMMYFUNCTION("""COMPUTED_VALUE"""),"Burris")</f>
        <v>Burris</v>
      </c>
      <c r="E4997" t="str">
        <f>IFERROR(__xludf.DUMMYFUNCTION("""COMPUTED_VALUE"""),"Juston")</f>
        <v>Juston</v>
      </c>
      <c r="F4997" t="str">
        <f>IFERROR(__xludf.DUMMYFUNCTION("""COMPUTED_VALUE"""),"NYJ")</f>
        <v>NYJ</v>
      </c>
      <c r="G4997">
        <f>IFERROR(__xludf.DUMMYFUNCTION("""COMPUTED_VALUE"""),16.75)</f>
        <v>16.75</v>
      </c>
    </row>
    <row r="4998">
      <c r="D4998" t="str">
        <f>IFERROR(__xludf.DUMMYFUNCTION("""COMPUTED_VALUE"""),"Burton")</f>
        <v>Burton</v>
      </c>
      <c r="E4998" t="str">
        <f>IFERROR(__xludf.DUMMYFUNCTION("""COMPUTED_VALUE"""),"Michael")</f>
        <v>Michael</v>
      </c>
      <c r="F4998" t="str">
        <f>IFERROR(__xludf.DUMMYFUNCTION("""COMPUTED_VALUE"""),"CHI")</f>
        <v>CHI</v>
      </c>
      <c r="G4998">
        <f>IFERROR(__xludf.DUMMYFUNCTION("""COMPUTED_VALUE"""),16.0)</f>
        <v>16</v>
      </c>
    </row>
    <row r="4999">
      <c r="D4999" t="str">
        <f>IFERROR(__xludf.DUMMYFUNCTION("""COMPUTED_VALUE"""),"Burton")</f>
        <v>Burton</v>
      </c>
      <c r="E4999" t="str">
        <f>IFERROR(__xludf.DUMMYFUNCTION("""COMPUTED_VALUE"""),"Trey")</f>
        <v>Trey</v>
      </c>
      <c r="F4999" t="str">
        <f>IFERROR(__xludf.DUMMYFUNCTION("""COMPUTED_VALUE"""),"CHI")</f>
        <v>CHI</v>
      </c>
      <c r="G4999">
        <f>IFERROR(__xludf.DUMMYFUNCTION("""COMPUTED_VALUE"""),19.75)</f>
        <v>19.75</v>
      </c>
    </row>
    <row r="5000">
      <c r="D5000" t="str">
        <f>IFERROR(__xludf.DUMMYFUNCTION("""COMPUTED_VALUE"""),"Burwell")</f>
        <v>Burwell</v>
      </c>
      <c r="E5000" t="str">
        <f>IFERROR(__xludf.DUMMYFUNCTION("""COMPUTED_VALUE"""),"Tyreek")</f>
        <v>Tyreek</v>
      </c>
      <c r="F5000" t="str">
        <f>IFERROR(__xludf.DUMMYFUNCTION("""COMPUTED_VALUE"""),"IND")</f>
        <v>IND</v>
      </c>
      <c r="G5000">
        <f>IFERROR(__xludf.DUMMYFUNCTION("""COMPUTED_VALUE"""),15.75)</f>
        <v>15.75</v>
      </c>
    </row>
    <row r="5001">
      <c r="D5001" t="str">
        <f>IFERROR(__xludf.DUMMYFUNCTION("""COMPUTED_VALUE"""),"Bush")</f>
        <v>Bush</v>
      </c>
      <c r="E5001" t="str">
        <f>IFERROR(__xludf.DUMMYFUNCTION("""COMPUTED_VALUE"""),"Deon")</f>
        <v>Deon</v>
      </c>
      <c r="F5001" t="str">
        <f>IFERROR(__xludf.DUMMYFUNCTION("""COMPUTED_VALUE"""),"CHI")</f>
        <v>CHI</v>
      </c>
      <c r="G5001">
        <f>IFERROR(__xludf.DUMMYFUNCTION("""COMPUTED_VALUE"""),16.0)</f>
        <v>16</v>
      </c>
    </row>
    <row r="5002">
      <c r="D5002" t="str">
        <f>IFERROR(__xludf.DUMMYFUNCTION("""COMPUTED_VALUE"""),"Bush")</f>
        <v>Bush</v>
      </c>
      <c r="E5002" t="str">
        <f>IFERROR(__xludf.DUMMYFUNCTION("""COMPUTED_VALUE"""),"Rafael")</f>
        <v>Rafael</v>
      </c>
      <c r="F5002" t="str">
        <f>IFERROR(__xludf.DUMMYFUNCTION("""COMPUTED_VALUE"""),"BUF")</f>
        <v>BUF</v>
      </c>
      <c r="G5002">
        <f>IFERROR(__xludf.DUMMYFUNCTION("""COMPUTED_VALUE"""),17.5)</f>
        <v>17.5</v>
      </c>
    </row>
    <row r="5003">
      <c r="D5003" t="str">
        <f>IFERROR(__xludf.DUMMYFUNCTION("""COMPUTED_VALUE"""),"Bushrod")</f>
        <v>Bushrod</v>
      </c>
      <c r="E5003" t="str">
        <f>IFERROR(__xludf.DUMMYFUNCTION("""COMPUTED_VALUE"""),"Jermon")</f>
        <v>Jermon</v>
      </c>
      <c r="F5003" t="str">
        <f>IFERROR(__xludf.DUMMYFUNCTION("""COMPUTED_VALUE"""),"NO")</f>
        <v>NO</v>
      </c>
      <c r="G5003">
        <f>IFERROR(__xludf.DUMMYFUNCTION("""COMPUTED_VALUE"""),18.0)</f>
        <v>18</v>
      </c>
    </row>
    <row r="5004">
      <c r="D5004" t="str">
        <f>IFERROR(__xludf.DUMMYFUNCTION("""COMPUTED_VALUE"""),"Butker")</f>
        <v>Butker</v>
      </c>
      <c r="E5004" t="str">
        <f>IFERROR(__xludf.DUMMYFUNCTION("""COMPUTED_VALUE"""),"Harrison")</f>
        <v>Harrison</v>
      </c>
      <c r="F5004" t="str">
        <f>IFERROR(__xludf.DUMMYFUNCTION("""COMPUTED_VALUE"""),"KC")</f>
        <v>KC</v>
      </c>
      <c r="G5004">
        <f>IFERROR(__xludf.DUMMYFUNCTION("""COMPUTED_VALUE"""),20.5)</f>
        <v>20.5</v>
      </c>
    </row>
    <row r="5005">
      <c r="D5005" t="str">
        <f>IFERROR(__xludf.DUMMYFUNCTION("""COMPUTED_VALUE"""),"Butler")</f>
        <v>Butler</v>
      </c>
      <c r="E5005" t="str">
        <f>IFERROR(__xludf.DUMMYFUNCTION("""COMPUTED_VALUE"""),"Adam")</f>
        <v>Adam</v>
      </c>
      <c r="F5005" t="str">
        <f>IFERROR(__xludf.DUMMYFUNCTION("""COMPUTED_VALUE"""),"NE")</f>
        <v>NE</v>
      </c>
      <c r="G5005">
        <f>IFERROR(__xludf.DUMMYFUNCTION("""COMPUTED_VALUE"""),18.0)</f>
        <v>18</v>
      </c>
    </row>
    <row r="5006">
      <c r="D5006" t="str">
        <f>IFERROR(__xludf.DUMMYFUNCTION("""COMPUTED_VALUE"""),"Butler")</f>
        <v>Butler</v>
      </c>
      <c r="E5006" t="str">
        <f>IFERROR(__xludf.DUMMYFUNCTION("""COMPUTED_VALUE"""),"Brice")</f>
        <v>Brice</v>
      </c>
      <c r="F5006" t="str">
        <f>IFERROR(__xludf.DUMMYFUNCTION("""COMPUTED_VALUE"""),"ARZ")</f>
        <v>ARZ</v>
      </c>
      <c r="G5006">
        <f>IFERROR(__xludf.DUMMYFUNCTION("""COMPUTED_VALUE"""),18.5)</f>
        <v>18.5</v>
      </c>
    </row>
    <row r="5007">
      <c r="D5007" t="str">
        <f>IFERROR(__xludf.DUMMYFUNCTION("""COMPUTED_VALUE"""),"Butler")</f>
        <v>Butler</v>
      </c>
      <c r="E5007" t="str">
        <f>IFERROR(__xludf.DUMMYFUNCTION("""COMPUTED_VALUE"""),"Malcolm")</f>
        <v>Malcolm</v>
      </c>
      <c r="F5007" t="str">
        <f>IFERROR(__xludf.DUMMYFUNCTION("""COMPUTED_VALUE"""),"TEN")</f>
        <v>TEN</v>
      </c>
      <c r="G5007">
        <f>IFERROR(__xludf.DUMMYFUNCTION("""COMPUTED_VALUE"""),21.0)</f>
        <v>21</v>
      </c>
    </row>
    <row r="5008">
      <c r="D5008" t="str">
        <f>IFERROR(__xludf.DUMMYFUNCTION("""COMPUTED_VALUE"""),"Butler Jr")</f>
        <v>Butler Jr</v>
      </c>
      <c r="E5008" t="str">
        <f>IFERROR(__xludf.DUMMYFUNCTION("""COMPUTED_VALUE"""),"Vernon")</f>
        <v>Vernon</v>
      </c>
      <c r="F5008" t="str">
        <f>IFERROR(__xludf.DUMMYFUNCTION("""COMPUTED_VALUE"""),"CAR")</f>
        <v>CAR</v>
      </c>
      <c r="G5008">
        <f>IFERROR(__xludf.DUMMYFUNCTION("""COMPUTED_VALUE"""),18.5)</f>
        <v>18.5</v>
      </c>
    </row>
    <row r="5009">
      <c r="D5009" t="str">
        <f>IFERROR(__xludf.DUMMYFUNCTION("""COMPUTED_VALUE"""),"Butt")</f>
        <v>Butt</v>
      </c>
      <c r="E5009" t="str">
        <f>IFERROR(__xludf.DUMMYFUNCTION("""COMPUTED_VALUE"""),"Jake")</f>
        <v>Jake</v>
      </c>
      <c r="F5009" t="str">
        <f>IFERROR(__xludf.DUMMYFUNCTION("""COMPUTED_VALUE"""),"DEN")</f>
        <v>DEN</v>
      </c>
      <c r="G5009">
        <f>IFERROR(__xludf.DUMMYFUNCTION("""COMPUTED_VALUE"""),18.25)</f>
        <v>18.25</v>
      </c>
    </row>
    <row r="5010">
      <c r="D5010" t="str">
        <f>IFERROR(__xludf.DUMMYFUNCTION("""COMPUTED_VALUE"""),"Byard")</f>
        <v>Byard</v>
      </c>
      <c r="E5010" t="str">
        <f>IFERROR(__xludf.DUMMYFUNCTION("""COMPUTED_VALUE"""),"Kevin")</f>
        <v>Kevin</v>
      </c>
      <c r="F5010" t="str">
        <f>IFERROR(__xludf.DUMMYFUNCTION("""COMPUTED_VALUE"""),"TEN")</f>
        <v>TEN</v>
      </c>
      <c r="G5010">
        <f>IFERROR(__xludf.DUMMYFUNCTION("""COMPUTED_VALUE"""),21.0)</f>
        <v>21</v>
      </c>
    </row>
    <row r="5011">
      <c r="D5011" t="str">
        <f>IFERROR(__xludf.DUMMYFUNCTION("""COMPUTED_VALUE"""),"Bynes")</f>
        <v>Bynes</v>
      </c>
      <c r="E5011" t="str">
        <f>IFERROR(__xludf.DUMMYFUNCTION("""COMPUTED_VALUE"""),"Josh")</f>
        <v>Josh</v>
      </c>
      <c r="F5011" t="str">
        <f>IFERROR(__xludf.DUMMYFUNCTION("""COMPUTED_VALUE"""),"ARZ")</f>
        <v>ARZ</v>
      </c>
      <c r="G5011">
        <f>IFERROR(__xludf.DUMMYFUNCTION("""COMPUTED_VALUE"""),19.0)</f>
        <v>19</v>
      </c>
    </row>
    <row r="5012">
      <c r="D5012" t="str">
        <f>IFERROR(__xludf.DUMMYFUNCTION("""COMPUTED_VALUE"""),"Byrd")</f>
        <v>Byrd</v>
      </c>
      <c r="E5012" t="str">
        <f>IFERROR(__xludf.DUMMYFUNCTION("""COMPUTED_VALUE"""),"Damiere")</f>
        <v>Damiere</v>
      </c>
      <c r="F5012" t="str">
        <f>IFERROR(__xludf.DUMMYFUNCTION("""COMPUTED_VALUE"""),"CAR")</f>
        <v>CAR</v>
      </c>
      <c r="G5012">
        <f>IFERROR(__xludf.DUMMYFUNCTION("""COMPUTED_VALUE"""),17.75)</f>
        <v>17.75</v>
      </c>
    </row>
    <row r="5013">
      <c r="D5013" t="str">
        <f>IFERROR(__xludf.DUMMYFUNCTION("""COMPUTED_VALUE"""),"Cadet")</f>
        <v>Cadet</v>
      </c>
      <c r="E5013" t="str">
        <f>IFERROR(__xludf.DUMMYFUNCTION("""COMPUTED_VALUE"""),"Travaris")</f>
        <v>Travaris</v>
      </c>
      <c r="F5013" t="str">
        <f>IFERROR(__xludf.DUMMYFUNCTION("""COMPUTED_VALUE"""),"BUF")</f>
        <v>BUF</v>
      </c>
      <c r="G5013">
        <f>IFERROR(__xludf.DUMMYFUNCTION("""COMPUTED_VALUE"""),17.75)</f>
        <v>17.75</v>
      </c>
    </row>
    <row r="5014">
      <c r="D5014" t="str">
        <f>IFERROR(__xludf.DUMMYFUNCTION("""COMPUTED_VALUE"""),"Cain")</f>
        <v>Cain</v>
      </c>
      <c r="E5014" t="str">
        <f>IFERROR(__xludf.DUMMYFUNCTION("""COMPUTED_VALUE"""),"Deon")</f>
        <v>Deon</v>
      </c>
      <c r="F5014" t="str">
        <f>IFERROR(__xludf.DUMMYFUNCTION("""COMPUTED_VALUE"""),"IND")</f>
        <v>IND</v>
      </c>
      <c r="G5014">
        <f>IFERROR(__xludf.DUMMYFUNCTION("""COMPUTED_VALUE"""),17.75)</f>
        <v>17.75</v>
      </c>
    </row>
    <row r="5015">
      <c r="D5015" t="str">
        <f>IFERROR(__xludf.DUMMYFUNCTION("""COMPUTED_VALUE"""),"Calhoun")</f>
        <v>Calhoun</v>
      </c>
      <c r="E5015" t="str">
        <f>IFERROR(__xludf.DUMMYFUNCTION("""COMPUTED_VALUE"""),"Shilique")</f>
        <v>Shilique</v>
      </c>
      <c r="F5015" t="str">
        <f>IFERROR(__xludf.DUMMYFUNCTION("""COMPUTED_VALUE"""),"OAK")</f>
        <v>OAK</v>
      </c>
      <c r="G5015">
        <f>IFERROR(__xludf.DUMMYFUNCTION("""COMPUTED_VALUE"""),17.5)</f>
        <v>17.5</v>
      </c>
    </row>
    <row r="5016">
      <c r="D5016" t="str">
        <f>IFERROR(__xludf.DUMMYFUNCTION("""COMPUTED_VALUE"""),"Calhoun")</f>
        <v>Calhoun</v>
      </c>
      <c r="E5016" t="str">
        <f>IFERROR(__xludf.DUMMYFUNCTION("""COMPUTED_VALUE"""),"Taveze")</f>
        <v>Taveze</v>
      </c>
      <c r="F5016" t="str">
        <f>IFERROR(__xludf.DUMMYFUNCTION("""COMPUTED_VALUE"""),"MIA")</f>
        <v>MIA</v>
      </c>
      <c r="G5016">
        <f>IFERROR(__xludf.DUMMYFUNCTION("""COMPUTED_VALUE"""),15.5)</f>
        <v>15.5</v>
      </c>
    </row>
    <row r="5017">
      <c r="D5017" t="str">
        <f>IFERROR(__xludf.DUMMYFUNCTION("""COMPUTED_VALUE"""),"Callahan")</f>
        <v>Callahan</v>
      </c>
      <c r="E5017" t="str">
        <f>IFERROR(__xludf.DUMMYFUNCTION("""COMPUTED_VALUE"""),"Bryce")</f>
        <v>Bryce</v>
      </c>
      <c r="F5017" t="str">
        <f>IFERROR(__xludf.DUMMYFUNCTION("""COMPUTED_VALUE"""),"CHI")</f>
        <v>CHI</v>
      </c>
      <c r="G5017">
        <f>IFERROR(__xludf.DUMMYFUNCTION("""COMPUTED_VALUE"""),19.0)</f>
        <v>19</v>
      </c>
    </row>
    <row r="5018">
      <c r="D5018" t="str">
        <f>IFERROR(__xludf.DUMMYFUNCTION("""COMPUTED_VALUE"""),"Callahan")</f>
        <v>Callahan</v>
      </c>
      <c r="E5018" t="str">
        <f>IFERROR(__xludf.DUMMYFUNCTION("""COMPUTED_VALUE"""),"Joe")</f>
        <v>Joe</v>
      </c>
      <c r="F5018" t="str">
        <f>IFERROR(__xludf.DUMMYFUNCTION("""COMPUTED_VALUE"""),"PHI")</f>
        <v>PHI</v>
      </c>
      <c r="G5018">
        <f>IFERROR(__xludf.DUMMYFUNCTION("""COMPUTED_VALUE"""),16.25)</f>
        <v>16.25</v>
      </c>
    </row>
    <row r="5019">
      <c r="D5019" t="str">
        <f>IFERROR(__xludf.DUMMYFUNCTION("""COMPUTED_VALUE"""),"Callaway")</f>
        <v>Callaway</v>
      </c>
      <c r="E5019" t="str">
        <f>IFERROR(__xludf.DUMMYFUNCTION("""COMPUTED_VALUE"""),"Antonio")</f>
        <v>Antonio</v>
      </c>
      <c r="F5019" t="str">
        <f>IFERROR(__xludf.DUMMYFUNCTION("""COMPUTED_VALUE"""),"CLE")</f>
        <v>CLE</v>
      </c>
      <c r="G5019">
        <f>IFERROR(__xludf.DUMMYFUNCTION("""COMPUTED_VALUE"""),18.0)</f>
        <v>18</v>
      </c>
    </row>
    <row r="5020">
      <c r="D5020" t="str">
        <f>IFERROR(__xludf.DUMMYFUNCTION("""COMPUTED_VALUE"""),"Calvin")</f>
        <v>Calvin</v>
      </c>
      <c r="E5020" t="str">
        <f>IFERROR(__xludf.DUMMYFUNCTION("""COMPUTED_VALUE"""),"Johnathan")</f>
        <v>Johnathan</v>
      </c>
      <c r="F5020" t="str">
        <f>IFERROR(__xludf.DUMMYFUNCTION("""COMPUTED_VALUE"""),"FA")</f>
        <v>FA</v>
      </c>
      <c r="G5020">
        <f>IFERROR(__xludf.DUMMYFUNCTION("""COMPUTED_VALUE"""),16.0)</f>
        <v>16</v>
      </c>
    </row>
    <row r="5021">
      <c r="D5021" t="str">
        <f>IFERROR(__xludf.DUMMYFUNCTION("""COMPUTED_VALUE"""),"Campanaro")</f>
        <v>Campanaro</v>
      </c>
      <c r="E5021" t="str">
        <f>IFERROR(__xludf.DUMMYFUNCTION("""COMPUTED_VALUE"""),"Michael")</f>
        <v>Michael</v>
      </c>
      <c r="F5021" t="str">
        <f>IFERROR(__xludf.DUMMYFUNCTION("""COMPUTED_VALUE"""),"TEN")</f>
        <v>TEN</v>
      </c>
      <c r="G5021">
        <f>IFERROR(__xludf.DUMMYFUNCTION("""COMPUTED_VALUE"""),17.5)</f>
        <v>17.5</v>
      </c>
    </row>
    <row r="5022">
      <c r="D5022" t="str">
        <f>IFERROR(__xludf.DUMMYFUNCTION("""COMPUTED_VALUE"""),"Campbell")</f>
        <v>Campbell</v>
      </c>
      <c r="E5022" t="str">
        <f>IFERROR(__xludf.DUMMYFUNCTION("""COMPUTED_VALUE"""),"Calais")</f>
        <v>Calais</v>
      </c>
      <c r="F5022" t="str">
        <f>IFERROR(__xludf.DUMMYFUNCTION("""COMPUTED_VALUE"""),"JAX")</f>
        <v>JAX</v>
      </c>
      <c r="G5022">
        <f>IFERROR(__xludf.DUMMYFUNCTION("""COMPUTED_VALUE"""),21.0)</f>
        <v>21</v>
      </c>
    </row>
    <row r="5023">
      <c r="D5023" t="str">
        <f>IFERROR(__xludf.DUMMYFUNCTION("""COMPUTED_VALUE"""),"Campbell")</f>
        <v>Campbell</v>
      </c>
      <c r="E5023" t="str">
        <f>IFERROR(__xludf.DUMMYFUNCTION("""COMPUTED_VALUE"""),"Christian")</f>
        <v>Christian</v>
      </c>
      <c r="F5023" t="str">
        <f>IFERROR(__xludf.DUMMYFUNCTION("""COMPUTED_VALUE"""),"ARZ")</f>
        <v>ARZ</v>
      </c>
      <c r="G5023">
        <f>IFERROR(__xludf.DUMMYFUNCTION("""COMPUTED_VALUE"""),16.75)</f>
        <v>16.75</v>
      </c>
    </row>
    <row r="5024">
      <c r="D5024" t="str">
        <f>IFERROR(__xludf.DUMMYFUNCTION("""COMPUTED_VALUE"""),"Campbell")</f>
        <v>Campbell</v>
      </c>
      <c r="E5024" t="str">
        <f>IFERROR(__xludf.DUMMYFUNCTION("""COMPUTED_VALUE"""),"DeVondre")</f>
        <v>DeVondre</v>
      </c>
      <c r="F5024" t="str">
        <f>IFERROR(__xludf.DUMMYFUNCTION("""COMPUTED_VALUE"""),"ATL")</f>
        <v>ATL</v>
      </c>
      <c r="G5024">
        <f>IFERROR(__xludf.DUMMYFUNCTION("""COMPUTED_VALUE"""),20.25)</f>
        <v>20.25</v>
      </c>
    </row>
    <row r="5025">
      <c r="D5025" t="str">
        <f>IFERROR(__xludf.DUMMYFUNCTION("""COMPUTED_VALUE"""),"Campbell")</f>
        <v>Campbell</v>
      </c>
      <c r="E5025" t="str">
        <f>IFERROR(__xludf.DUMMYFUNCTION("""COMPUTED_VALUE"""),"Ibraheim")</f>
        <v>Ibraheim</v>
      </c>
      <c r="F5025" t="str">
        <f>IFERROR(__xludf.DUMMYFUNCTION("""COMPUTED_VALUE"""),"HOU")</f>
        <v>HOU</v>
      </c>
      <c r="G5025">
        <f>IFERROR(__xludf.DUMMYFUNCTION("""COMPUTED_VALUE"""),17.75)</f>
        <v>17.75</v>
      </c>
    </row>
    <row r="5026">
      <c r="D5026" t="str">
        <f>IFERROR(__xludf.DUMMYFUNCTION("""COMPUTED_VALUE"""),"Canady")</f>
        <v>Canady</v>
      </c>
      <c r="E5026" t="str">
        <f>IFERROR(__xludf.DUMMYFUNCTION("""COMPUTED_VALUE"""),"Maurice")</f>
        <v>Maurice</v>
      </c>
      <c r="F5026" t="str">
        <f>IFERROR(__xludf.DUMMYFUNCTION("""COMPUTED_VALUE"""),"BAL")</f>
        <v>BAL</v>
      </c>
      <c r="G5026">
        <f>IFERROR(__xludf.DUMMYFUNCTION("""COMPUTED_VALUE"""),18.25)</f>
        <v>18.25</v>
      </c>
    </row>
    <row r="5027">
      <c r="D5027" t="str">
        <f>IFERROR(__xludf.DUMMYFUNCTION("""COMPUTED_VALUE"""),"Cann")</f>
        <v>Cann</v>
      </c>
      <c r="E5027" t="str">
        <f>IFERROR(__xludf.DUMMYFUNCTION("""COMPUTED_VALUE"""),"AJ")</f>
        <v>AJ</v>
      </c>
      <c r="F5027" t="str">
        <f>IFERROR(__xludf.DUMMYFUNCTION("""COMPUTED_VALUE"""),"JAX")</f>
        <v>JAX</v>
      </c>
      <c r="G5027">
        <f>IFERROR(__xludf.DUMMYFUNCTION("""COMPUTED_VALUE"""),18.75)</f>
        <v>18.75</v>
      </c>
    </row>
    <row r="5028">
      <c r="D5028" t="str">
        <f>IFERROR(__xludf.DUMMYFUNCTION("""COMPUTED_VALUE"""),"Cannon")</f>
        <v>Cannon</v>
      </c>
      <c r="E5028" t="str">
        <f>IFERROR(__xludf.DUMMYFUNCTION("""COMPUTED_VALUE"""),"KD")</f>
        <v>KD</v>
      </c>
      <c r="F5028" t="str">
        <f>IFERROR(__xludf.DUMMYFUNCTION("""COMPUTED_VALUE"""),"DAL")</f>
        <v>DAL</v>
      </c>
      <c r="G5028">
        <f>IFERROR(__xludf.DUMMYFUNCTION("""COMPUTED_VALUE"""),17.0)</f>
        <v>17</v>
      </c>
    </row>
    <row r="5029">
      <c r="D5029" t="str">
        <f>IFERROR(__xludf.DUMMYFUNCTION("""COMPUTED_VALUE"""),"Cannon")</f>
        <v>Cannon</v>
      </c>
      <c r="E5029" t="str">
        <f>IFERROR(__xludf.DUMMYFUNCTION("""COMPUTED_VALUE"""),"Marcus")</f>
        <v>Marcus</v>
      </c>
      <c r="F5029" t="str">
        <f>IFERROR(__xludf.DUMMYFUNCTION("""COMPUTED_VALUE"""),"NE")</f>
        <v>NE</v>
      </c>
      <c r="G5029">
        <f>IFERROR(__xludf.DUMMYFUNCTION("""COMPUTED_VALUE"""),20.5)</f>
        <v>20.5</v>
      </c>
    </row>
    <row r="5030">
      <c r="D5030" t="str">
        <f>IFERROR(__xludf.DUMMYFUNCTION("""COMPUTED_VALUE"""),"Cannon")</f>
        <v>Cannon</v>
      </c>
      <c r="E5030" t="str">
        <f>IFERROR(__xludf.DUMMYFUNCTION("""COMPUTED_VALUE"""),"Trenton")</f>
        <v>Trenton</v>
      </c>
      <c r="F5030" t="str">
        <f>IFERROR(__xludf.DUMMYFUNCTION("""COMPUTED_VALUE"""),"NYJ")</f>
        <v>NYJ</v>
      </c>
      <c r="G5030">
        <f>IFERROR(__xludf.DUMMYFUNCTION("""COMPUTED_VALUE"""),16.75)</f>
        <v>16.75</v>
      </c>
    </row>
    <row r="5031">
      <c r="D5031" t="str">
        <f>IFERROR(__xludf.DUMMYFUNCTION("""COMPUTED_VALUE"""),"Cantrell")</f>
        <v>Cantrell</v>
      </c>
      <c r="E5031" t="str">
        <f>IFERROR(__xludf.DUMMYFUNCTION("""COMPUTED_VALUE"""),"Dylan")</f>
        <v>Dylan</v>
      </c>
      <c r="F5031" t="str">
        <f>IFERROR(__xludf.DUMMYFUNCTION("""COMPUTED_VALUE"""),"LAC")</f>
        <v>LAC</v>
      </c>
      <c r="G5031">
        <f>IFERROR(__xludf.DUMMYFUNCTION("""COMPUTED_VALUE"""),18.5)</f>
        <v>18.5</v>
      </c>
    </row>
    <row r="5032">
      <c r="D5032" t="str">
        <f>IFERROR(__xludf.DUMMYFUNCTION("""COMPUTED_VALUE"""),"Cappa")</f>
        <v>Cappa</v>
      </c>
      <c r="E5032" t="str">
        <f>IFERROR(__xludf.DUMMYFUNCTION("""COMPUTED_VALUE"""),"Alex")</f>
        <v>Alex</v>
      </c>
      <c r="F5032" t="str">
        <f>IFERROR(__xludf.DUMMYFUNCTION("""COMPUTED_VALUE"""),"TB")</f>
        <v>TB</v>
      </c>
      <c r="G5032">
        <f>IFERROR(__xludf.DUMMYFUNCTION("""COMPUTED_VALUE"""),17.5)</f>
        <v>17.5</v>
      </c>
    </row>
    <row r="5033">
      <c r="D5033" t="str">
        <f>IFERROR(__xludf.DUMMYFUNCTION("""COMPUTED_VALUE"""),"Carder")</f>
        <v>Carder</v>
      </c>
      <c r="E5033" t="str">
        <f>IFERROR(__xludf.DUMMYFUNCTION("""COMPUTED_VALUE"""),"Tank")</f>
        <v>Tank</v>
      </c>
      <c r="F5033" t="str">
        <f>IFERROR(__xludf.DUMMYFUNCTION("""COMPUTED_VALUE"""),"FA")</f>
        <v>FA</v>
      </c>
      <c r="G5033">
        <f>IFERROR(__xludf.DUMMYFUNCTION("""COMPUTED_VALUE"""),18.0)</f>
        <v>18</v>
      </c>
    </row>
    <row r="5034">
      <c r="D5034" t="str">
        <f>IFERROR(__xludf.DUMMYFUNCTION("""COMPUTED_VALUE"""),"Carey")</f>
        <v>Carey</v>
      </c>
      <c r="E5034" t="str">
        <f>IFERROR(__xludf.DUMMYFUNCTION("""COMPUTED_VALUE"""),"Don")</f>
        <v>Don</v>
      </c>
      <c r="F5034" t="str">
        <f>IFERROR(__xludf.DUMMYFUNCTION("""COMPUTED_VALUE"""),"JAX")</f>
        <v>JAX</v>
      </c>
      <c r="G5034">
        <f>IFERROR(__xludf.DUMMYFUNCTION("""COMPUTED_VALUE"""),17.75)</f>
        <v>17.75</v>
      </c>
    </row>
    <row r="5035">
      <c r="D5035" t="str">
        <f>IFERROR(__xludf.DUMMYFUNCTION("""COMPUTED_VALUE"""),"Carlson")</f>
        <v>Carlson</v>
      </c>
      <c r="E5035" t="str">
        <f>IFERROR(__xludf.DUMMYFUNCTION("""COMPUTED_VALUE"""),"Daniel")</f>
        <v>Daniel</v>
      </c>
      <c r="F5035" t="str">
        <f>IFERROR(__xludf.DUMMYFUNCTION("""COMPUTED_VALUE"""),"MIN")</f>
        <v>MIN</v>
      </c>
      <c r="G5035">
        <f>IFERROR(__xludf.DUMMYFUNCTION("""COMPUTED_VALUE"""),19.75)</f>
        <v>19.75</v>
      </c>
    </row>
    <row r="5036">
      <c r="D5036" t="str">
        <f>IFERROR(__xludf.DUMMYFUNCTION("""COMPUTED_VALUE"""),"Carpenter")</f>
        <v>Carpenter</v>
      </c>
      <c r="E5036" t="str">
        <f>IFERROR(__xludf.DUMMYFUNCTION("""COMPUTED_VALUE"""),"James")</f>
        <v>James</v>
      </c>
      <c r="F5036" t="str">
        <f>IFERROR(__xludf.DUMMYFUNCTION("""COMPUTED_VALUE"""),"NYJ")</f>
        <v>NYJ</v>
      </c>
      <c r="G5036">
        <f>IFERROR(__xludf.DUMMYFUNCTION("""COMPUTED_VALUE"""),18.25)</f>
        <v>18.25</v>
      </c>
    </row>
    <row r="5037">
      <c r="D5037" t="str">
        <f>IFERROR(__xludf.DUMMYFUNCTION("""COMPUTED_VALUE"""),"Carr")</f>
        <v>Carr</v>
      </c>
      <c r="E5037" t="str">
        <f>IFERROR(__xludf.DUMMYFUNCTION("""COMPUTED_VALUE"""),"Austin")</f>
        <v>Austin</v>
      </c>
      <c r="F5037" t="str">
        <f>IFERROR(__xludf.DUMMYFUNCTION("""COMPUTED_VALUE"""),"NO")</f>
        <v>NO</v>
      </c>
      <c r="G5037">
        <f>IFERROR(__xludf.DUMMYFUNCTION("""COMPUTED_VALUE"""),17.0)</f>
        <v>17</v>
      </c>
    </row>
    <row r="5038">
      <c r="D5038" t="str">
        <f>IFERROR(__xludf.DUMMYFUNCTION("""COMPUTED_VALUE"""),"Carr")</f>
        <v>Carr</v>
      </c>
      <c r="E5038" t="str">
        <f>IFERROR(__xludf.DUMMYFUNCTION("""COMPUTED_VALUE"""),"Brandon")</f>
        <v>Brandon</v>
      </c>
      <c r="F5038" t="str">
        <f>IFERROR(__xludf.DUMMYFUNCTION("""COMPUTED_VALUE"""),"BAL")</f>
        <v>BAL</v>
      </c>
      <c r="G5038">
        <f>IFERROR(__xludf.DUMMYFUNCTION("""COMPUTED_VALUE"""),19.5)</f>
        <v>19.5</v>
      </c>
    </row>
    <row r="5039">
      <c r="D5039" t="str">
        <f>IFERROR(__xludf.DUMMYFUNCTION("""COMPUTED_VALUE"""),"Carr")</f>
        <v>Carr</v>
      </c>
      <c r="E5039" t="str">
        <f>IFERROR(__xludf.DUMMYFUNCTION("""COMPUTED_VALUE"""),"Derek")</f>
        <v>Derek</v>
      </c>
      <c r="F5039" t="str">
        <f>IFERROR(__xludf.DUMMYFUNCTION("""COMPUTED_VALUE"""),"OAK")</f>
        <v>OAK</v>
      </c>
      <c r="G5039">
        <f>IFERROR(__xludf.DUMMYFUNCTION("""COMPUTED_VALUE"""),20.5)</f>
        <v>20.5</v>
      </c>
    </row>
    <row r="5040">
      <c r="D5040" t="str">
        <f>IFERROR(__xludf.DUMMYFUNCTION("""COMPUTED_VALUE"""),"Carradine")</f>
        <v>Carradine</v>
      </c>
      <c r="E5040" t="str">
        <f>IFERROR(__xludf.DUMMYFUNCTION("""COMPUTED_VALUE"""),"Tank")</f>
        <v>Tank</v>
      </c>
      <c r="F5040" t="str">
        <f>IFERROR(__xludf.DUMMYFUNCTION("""COMPUTED_VALUE"""),"OAK")</f>
        <v>OAK</v>
      </c>
      <c r="G5040">
        <f>IFERROR(__xludf.DUMMYFUNCTION("""COMPUTED_VALUE"""),19.0)</f>
        <v>19</v>
      </c>
    </row>
    <row r="5041">
      <c r="D5041" t="str">
        <f>IFERROR(__xludf.DUMMYFUNCTION("""COMPUTED_VALUE"""),"Carraway")</f>
        <v>Carraway</v>
      </c>
      <c r="E5041" t="str">
        <f>IFERROR(__xludf.DUMMYFUNCTION("""COMPUTED_VALUE"""),"Josh")</f>
        <v>Josh</v>
      </c>
      <c r="F5041" t="str">
        <f>IFERROR(__xludf.DUMMYFUNCTION("""COMPUTED_VALUE"""),"TEN")</f>
        <v>TEN</v>
      </c>
      <c r="G5041">
        <f>IFERROR(__xludf.DUMMYFUNCTION("""COMPUTED_VALUE"""),15.75)</f>
        <v>15.75</v>
      </c>
    </row>
    <row r="5042">
      <c r="D5042" t="str">
        <f>IFERROR(__xludf.DUMMYFUNCTION("""COMPUTED_VALUE"""),"Carrie")</f>
        <v>Carrie</v>
      </c>
      <c r="E5042" t="str">
        <f>IFERROR(__xludf.DUMMYFUNCTION("""COMPUTED_VALUE"""),"TJ")</f>
        <v>TJ</v>
      </c>
      <c r="F5042" t="str">
        <f>IFERROR(__xludf.DUMMYFUNCTION("""COMPUTED_VALUE"""),"CLE")</f>
        <v>CLE</v>
      </c>
      <c r="G5042">
        <f>IFERROR(__xludf.DUMMYFUNCTION("""COMPUTED_VALUE"""),19.5)</f>
        <v>19.5</v>
      </c>
    </row>
    <row r="5043">
      <c r="D5043" t="str">
        <f>IFERROR(__xludf.DUMMYFUNCTION("""COMPUTED_VALUE"""),"Carrier")</f>
        <v>Carrier</v>
      </c>
      <c r="E5043" t="str">
        <f>IFERROR(__xludf.DUMMYFUNCTION("""COMPUTED_VALUE"""),"Derek")</f>
        <v>Derek</v>
      </c>
      <c r="F5043" t="str">
        <f>IFERROR(__xludf.DUMMYFUNCTION("""COMPUTED_VALUE"""),"OAK")</f>
        <v>OAK</v>
      </c>
      <c r="G5043">
        <f>IFERROR(__xludf.DUMMYFUNCTION("""COMPUTED_VALUE"""),17.25)</f>
        <v>17.25</v>
      </c>
    </row>
    <row r="5044">
      <c r="D5044" t="str">
        <f>IFERROR(__xludf.DUMMYFUNCTION("""COMPUTED_VALUE"""),"Carroo")</f>
        <v>Carroo</v>
      </c>
      <c r="E5044" t="str">
        <f>IFERROR(__xludf.DUMMYFUNCTION("""COMPUTED_VALUE"""),"Leonte")</f>
        <v>Leonte</v>
      </c>
      <c r="F5044" t="str">
        <f>IFERROR(__xludf.DUMMYFUNCTION("""COMPUTED_VALUE"""),"MIA")</f>
        <v>MIA</v>
      </c>
      <c r="G5044">
        <f>IFERROR(__xludf.DUMMYFUNCTION("""COMPUTED_VALUE"""),17.75)</f>
        <v>17.75</v>
      </c>
    </row>
    <row r="5045">
      <c r="D5045" t="str">
        <f>IFERROR(__xludf.DUMMYFUNCTION("""COMPUTED_VALUE"""),"Carson")</f>
        <v>Carson</v>
      </c>
      <c r="E5045" t="str">
        <f>IFERROR(__xludf.DUMMYFUNCTION("""COMPUTED_VALUE"""),"Chris")</f>
        <v>Chris</v>
      </c>
      <c r="F5045" t="str">
        <f>IFERROR(__xludf.DUMMYFUNCTION("""COMPUTED_VALUE"""),"SEA")</f>
        <v>SEA</v>
      </c>
      <c r="G5045">
        <f>IFERROR(__xludf.DUMMYFUNCTION("""COMPUTED_VALUE"""),19.25)</f>
        <v>19.25</v>
      </c>
    </row>
    <row r="5046">
      <c r="D5046" t="str">
        <f>IFERROR(__xludf.DUMMYFUNCTION("""COMPUTED_VALUE"""),"Carson")</f>
        <v>Carson</v>
      </c>
      <c r="E5046" t="str">
        <f>IFERROR(__xludf.DUMMYFUNCTION("""COMPUTED_VALUE"""),"Tra")</f>
        <v>Tra</v>
      </c>
      <c r="F5046" t="str">
        <f>IFERROR(__xludf.DUMMYFUNCTION("""COMPUTED_VALUE"""),"CIN")</f>
        <v>CIN</v>
      </c>
      <c r="G5046">
        <f>IFERROR(__xludf.DUMMYFUNCTION("""COMPUTED_VALUE"""),15.5)</f>
        <v>15.5</v>
      </c>
    </row>
    <row r="5047">
      <c r="D5047" t="str">
        <f>IFERROR(__xludf.DUMMYFUNCTION("""COMPUTED_VALUE"""),"Carter")</f>
        <v>Carter</v>
      </c>
      <c r="E5047" t="str">
        <f>IFERROR(__xludf.DUMMYFUNCTION("""COMPUTED_VALUE"""),"Alex")</f>
        <v>Alex</v>
      </c>
      <c r="F5047" t="str">
        <f>IFERROR(__xludf.DUMMYFUNCTION("""COMPUTED_VALUE"""),"SEA")</f>
        <v>SEA</v>
      </c>
      <c r="G5047">
        <f>IFERROR(__xludf.DUMMYFUNCTION("""COMPUTED_VALUE"""),17.25)</f>
        <v>17.25</v>
      </c>
    </row>
    <row r="5048">
      <c r="D5048" t="str">
        <f>IFERROR(__xludf.DUMMYFUNCTION("""COMPUTED_VALUE"""),"Carter")</f>
        <v>Carter</v>
      </c>
      <c r="E5048" t="str">
        <f>IFERROR(__xludf.DUMMYFUNCTION("""COMPUTED_VALUE"""),"Jamal")</f>
        <v>Jamal</v>
      </c>
      <c r="F5048" t="str">
        <f>IFERROR(__xludf.DUMMYFUNCTION("""COMPUTED_VALUE"""),"DEN")</f>
        <v>DEN</v>
      </c>
      <c r="G5048">
        <f>IFERROR(__xludf.DUMMYFUNCTION("""COMPUTED_VALUE"""),16.5)</f>
        <v>16.5</v>
      </c>
    </row>
    <row r="5049">
      <c r="D5049" t="str">
        <f>IFERROR(__xludf.DUMMYFUNCTION("""COMPUTED_VALUE"""),"Carter")</f>
        <v>Carter</v>
      </c>
      <c r="E5049" t="str">
        <f>IFERROR(__xludf.DUMMYFUNCTION("""COMPUTED_VALUE"""),"Lorenzo")</f>
        <v>Lorenzo</v>
      </c>
      <c r="F5049" t="str">
        <f>IFERROR(__xludf.DUMMYFUNCTION("""COMPUTED_VALUE"""),"NYG")</f>
        <v>NYG</v>
      </c>
      <c r="G5049">
        <f>IFERROR(__xludf.DUMMYFUNCTION("""COMPUTED_VALUE"""),18.25)</f>
        <v>18.25</v>
      </c>
    </row>
    <row r="5050">
      <c r="D5050" t="str">
        <f>IFERROR(__xludf.DUMMYFUNCTION("""COMPUTED_VALUE"""),"Carter Jr")</f>
        <v>Carter Jr</v>
      </c>
      <c r="E5050" t="str">
        <f>IFERROR(__xludf.DUMMYFUNCTION("""COMPUTED_VALUE"""),"Jermaine")</f>
        <v>Jermaine</v>
      </c>
      <c r="F5050" t="str">
        <f>IFERROR(__xludf.DUMMYFUNCTION("""COMPUTED_VALUE"""),"CAR")</f>
        <v>CAR</v>
      </c>
      <c r="G5050">
        <f>IFERROR(__xludf.DUMMYFUNCTION("""COMPUTED_VALUE"""),17.25)</f>
        <v>17.25</v>
      </c>
    </row>
    <row r="5051">
      <c r="D5051" t="str">
        <f>IFERROR(__xludf.DUMMYFUNCTION("""COMPUTED_VALUE"""),"Casey")</f>
        <v>Casey</v>
      </c>
      <c r="E5051" t="str">
        <f>IFERROR(__xludf.DUMMYFUNCTION("""COMPUTED_VALUE"""),"Jurrell")</f>
        <v>Jurrell</v>
      </c>
      <c r="F5051" t="str">
        <f>IFERROR(__xludf.DUMMYFUNCTION("""COMPUTED_VALUE"""),"TEN")</f>
        <v>TEN</v>
      </c>
      <c r="G5051">
        <f>IFERROR(__xludf.DUMMYFUNCTION("""COMPUTED_VALUE"""),21.25)</f>
        <v>21.25</v>
      </c>
    </row>
    <row r="5052">
      <c r="D5052" t="str">
        <f>IFERROR(__xludf.DUMMYFUNCTION("""COMPUTED_VALUE"""),"Cassel")</f>
        <v>Cassel</v>
      </c>
      <c r="E5052" t="str">
        <f>IFERROR(__xludf.DUMMYFUNCTION("""COMPUTED_VALUE"""),"Matt")</f>
        <v>Matt</v>
      </c>
      <c r="F5052" t="str">
        <f>IFERROR(__xludf.DUMMYFUNCTION("""COMPUTED_VALUE"""),"DET")</f>
        <v>DET</v>
      </c>
      <c r="G5052">
        <f>IFERROR(__xludf.DUMMYFUNCTION("""COMPUTED_VALUE"""),16.5)</f>
        <v>16.5</v>
      </c>
    </row>
    <row r="5053">
      <c r="D5053" t="str">
        <f>IFERROR(__xludf.DUMMYFUNCTION("""COMPUTED_VALUE"""),"Castonzo")</f>
        <v>Castonzo</v>
      </c>
      <c r="E5053" t="str">
        <f>IFERROR(__xludf.DUMMYFUNCTION("""COMPUTED_VALUE"""),"Anthony")</f>
        <v>Anthony</v>
      </c>
      <c r="F5053" t="str">
        <f>IFERROR(__xludf.DUMMYFUNCTION("""COMPUTED_VALUE"""),"IND")</f>
        <v>IND</v>
      </c>
      <c r="G5053">
        <f>IFERROR(__xludf.DUMMYFUNCTION("""COMPUTED_VALUE"""),20.25)</f>
        <v>20.25</v>
      </c>
    </row>
    <row r="5054">
      <c r="D5054" t="str">
        <f>IFERROR(__xludf.DUMMYFUNCTION("""COMPUTED_VALUE"""),"Catalina")</f>
        <v>Catalina</v>
      </c>
      <c r="E5054" t="str">
        <f>IFERROR(__xludf.DUMMYFUNCTION("""COMPUTED_VALUE"""),"Tyler")</f>
        <v>Tyler</v>
      </c>
      <c r="F5054" t="str">
        <f>IFERROR(__xludf.DUMMYFUNCTION("""COMPUTED_VALUE"""),"WAS")</f>
        <v>WAS</v>
      </c>
      <c r="G5054">
        <f>IFERROR(__xludf.DUMMYFUNCTION("""COMPUTED_VALUE"""),15.75)</f>
        <v>15.75</v>
      </c>
    </row>
    <row r="5055">
      <c r="D5055" t="str">
        <f>IFERROR(__xludf.DUMMYFUNCTION("""COMPUTED_VALUE"""),"Catanzaro")</f>
        <v>Catanzaro</v>
      </c>
      <c r="E5055" t="str">
        <f>IFERROR(__xludf.DUMMYFUNCTION("""COMPUTED_VALUE"""),"Chandler")</f>
        <v>Chandler</v>
      </c>
      <c r="F5055" t="str">
        <f>IFERROR(__xludf.DUMMYFUNCTION("""COMPUTED_VALUE"""),"TB")</f>
        <v>TB</v>
      </c>
      <c r="G5055">
        <f>IFERROR(__xludf.DUMMYFUNCTION("""COMPUTED_VALUE"""),19.5)</f>
        <v>19.5</v>
      </c>
    </row>
    <row r="5056">
      <c r="D5056" t="str">
        <f>IFERROR(__xludf.DUMMYFUNCTION("""COMPUTED_VALUE"""),"Celek")</f>
        <v>Celek</v>
      </c>
      <c r="E5056" t="str">
        <f>IFERROR(__xludf.DUMMYFUNCTION("""COMPUTED_VALUE"""),"Brent")</f>
        <v>Brent</v>
      </c>
      <c r="F5056" t="str">
        <f>IFERROR(__xludf.DUMMYFUNCTION("""COMPUTED_VALUE"""),"FA")</f>
        <v>FA</v>
      </c>
      <c r="G5056">
        <f>IFERROR(__xludf.DUMMYFUNCTION("""COMPUTED_VALUE"""),15.0)</f>
        <v>15</v>
      </c>
    </row>
    <row r="5057">
      <c r="D5057" t="str">
        <f>IFERROR(__xludf.DUMMYFUNCTION("""COMPUTED_VALUE"""),"Celek")</f>
        <v>Celek</v>
      </c>
      <c r="E5057" t="str">
        <f>IFERROR(__xludf.DUMMYFUNCTION("""COMPUTED_VALUE"""),"Garrett")</f>
        <v>Garrett</v>
      </c>
      <c r="F5057" t="str">
        <f>IFERROR(__xludf.DUMMYFUNCTION("""COMPUTED_VALUE"""),"SF")</f>
        <v>SF</v>
      </c>
      <c r="G5057">
        <f>IFERROR(__xludf.DUMMYFUNCTION("""COMPUTED_VALUE"""),18.75)</f>
        <v>18.75</v>
      </c>
    </row>
    <row r="5058">
      <c r="D5058" t="str">
        <f>IFERROR(__xludf.DUMMYFUNCTION("""COMPUTED_VALUE"""),"Chancellor")</f>
        <v>Chancellor</v>
      </c>
      <c r="E5058" t="str">
        <f>IFERROR(__xludf.DUMMYFUNCTION("""COMPUTED_VALUE"""),"Kam")</f>
        <v>Kam</v>
      </c>
      <c r="F5058" t="str">
        <f>IFERROR(__xludf.DUMMYFUNCTION("""COMPUTED_VALUE"""),"SEA")</f>
        <v>SEA</v>
      </c>
      <c r="G5058">
        <f>IFERROR(__xludf.DUMMYFUNCTION("""COMPUTED_VALUE"""),21.25)</f>
        <v>21.25</v>
      </c>
    </row>
    <row r="5059">
      <c r="D5059" t="str">
        <f>IFERROR(__xludf.DUMMYFUNCTION("""COMPUTED_VALUE"""),"Chark")</f>
        <v>Chark</v>
      </c>
      <c r="E5059" t="str">
        <f>IFERROR(__xludf.DUMMYFUNCTION("""COMPUTED_VALUE"""),"DJ")</f>
        <v>DJ</v>
      </c>
      <c r="F5059" t="str">
        <f>IFERROR(__xludf.DUMMYFUNCTION("""COMPUTED_VALUE"""),"JAX")</f>
        <v>JAX</v>
      </c>
      <c r="G5059">
        <f>IFERROR(__xludf.DUMMYFUNCTION("""COMPUTED_VALUE"""),18.5)</f>
        <v>18.5</v>
      </c>
    </row>
    <row r="5060">
      <c r="D5060" t="str">
        <f>IFERROR(__xludf.DUMMYFUNCTION("""COMPUTED_VALUE"""),"Charles")</f>
        <v>Charles</v>
      </c>
      <c r="E5060" t="str">
        <f>IFERROR(__xludf.DUMMYFUNCTION("""COMPUTED_VALUE"""),"Jamaal")</f>
        <v>Jamaal</v>
      </c>
      <c r="F5060" t="str">
        <f>IFERROR(__xludf.DUMMYFUNCTION("""COMPUTED_VALUE"""),"FA")</f>
        <v>FA</v>
      </c>
      <c r="G5060">
        <f>IFERROR(__xludf.DUMMYFUNCTION("""COMPUTED_VALUE"""),15.25)</f>
        <v>15.25</v>
      </c>
    </row>
    <row r="5061">
      <c r="D5061" t="str">
        <f>IFERROR(__xludf.DUMMYFUNCTION("""COMPUTED_VALUE"""),"Charles")</f>
        <v>Charles</v>
      </c>
      <c r="E5061" t="str">
        <f>IFERROR(__xludf.DUMMYFUNCTION("""COMPUTED_VALUE"""),"Stefan")</f>
        <v>Stefan</v>
      </c>
      <c r="F5061" t="str">
        <f>IFERROR(__xludf.DUMMYFUNCTION("""COMPUTED_VALUE"""),"KC")</f>
        <v>KC</v>
      </c>
      <c r="G5061">
        <f>IFERROR(__xludf.DUMMYFUNCTION("""COMPUTED_VALUE"""),17.0)</f>
        <v>17</v>
      </c>
    </row>
    <row r="5062">
      <c r="D5062" t="str">
        <f>IFERROR(__xludf.DUMMYFUNCTION("""COMPUTED_VALUE"""),"Charlton")</f>
        <v>Charlton</v>
      </c>
      <c r="E5062" t="str">
        <f>IFERROR(__xludf.DUMMYFUNCTION("""COMPUTED_VALUE"""),"Taco")</f>
        <v>Taco</v>
      </c>
      <c r="F5062" t="str">
        <f>IFERROR(__xludf.DUMMYFUNCTION("""COMPUTED_VALUE"""),"DAL")</f>
        <v>DAL</v>
      </c>
      <c r="G5062">
        <f>IFERROR(__xludf.DUMMYFUNCTION("""COMPUTED_VALUE"""),18.0)</f>
        <v>18</v>
      </c>
    </row>
    <row r="5063">
      <c r="D5063" t="str">
        <f>IFERROR(__xludf.DUMMYFUNCTION("""COMPUTED_VALUE"""),"Cheek")</f>
        <v>Cheek</v>
      </c>
      <c r="E5063" t="str">
        <f>IFERROR(__xludf.DUMMYFUNCTION("""COMPUTED_VALUE"""),"Joseph")</f>
        <v>Joseph</v>
      </c>
      <c r="F5063" t="str">
        <f>IFERROR(__xludf.DUMMYFUNCTION("""COMPUTED_VALUE"""),"PIT")</f>
        <v>PIT</v>
      </c>
      <c r="G5063">
        <f>IFERROR(__xludf.DUMMYFUNCTION("""COMPUTED_VALUE"""),15.5)</f>
        <v>15.5</v>
      </c>
    </row>
    <row r="5064">
      <c r="D5064" t="str">
        <f>IFERROR(__xludf.DUMMYFUNCTION("""COMPUTED_VALUE"""),"Chesson")</f>
        <v>Chesson</v>
      </c>
      <c r="E5064" t="str">
        <f>IFERROR(__xludf.DUMMYFUNCTION("""COMPUTED_VALUE"""),"Jehu")</f>
        <v>Jehu</v>
      </c>
      <c r="F5064" t="str">
        <f>IFERROR(__xludf.DUMMYFUNCTION("""COMPUTED_VALUE"""),"KC")</f>
        <v>KC</v>
      </c>
      <c r="G5064">
        <f>IFERROR(__xludf.DUMMYFUNCTION("""COMPUTED_VALUE"""),17.25)</f>
        <v>17.25</v>
      </c>
    </row>
    <row r="5065">
      <c r="D5065" t="str">
        <f>IFERROR(__xludf.DUMMYFUNCTION("""COMPUTED_VALUE"""),"Chickillo")</f>
        <v>Chickillo</v>
      </c>
      <c r="E5065" t="str">
        <f>IFERROR(__xludf.DUMMYFUNCTION("""COMPUTED_VALUE"""),"Anthony")</f>
        <v>Anthony</v>
      </c>
      <c r="F5065" t="str">
        <f>IFERROR(__xludf.DUMMYFUNCTION("""COMPUTED_VALUE"""),"PIT")</f>
        <v>PIT</v>
      </c>
      <c r="G5065">
        <f>IFERROR(__xludf.DUMMYFUNCTION("""COMPUTED_VALUE"""),16.5)</f>
        <v>16.5</v>
      </c>
    </row>
    <row r="5066">
      <c r="D5066" t="str">
        <f>IFERROR(__xludf.DUMMYFUNCTION("""COMPUTED_VALUE"""),"Christian")</f>
        <v>Christian</v>
      </c>
      <c r="E5066" t="str">
        <f>IFERROR(__xludf.DUMMYFUNCTION("""COMPUTED_VALUE"""),"Geron")</f>
        <v>Geron</v>
      </c>
      <c r="F5066" t="str">
        <f>IFERROR(__xludf.DUMMYFUNCTION("""COMPUTED_VALUE"""),"WAS")</f>
        <v>WAS</v>
      </c>
      <c r="G5066">
        <f>IFERROR(__xludf.DUMMYFUNCTION("""COMPUTED_VALUE"""),17.75)</f>
        <v>17.75</v>
      </c>
    </row>
    <row r="5067">
      <c r="D5067" t="str">
        <f>IFERROR(__xludf.DUMMYFUNCTION("""COMPUTED_VALUE"""),"Christian")</f>
        <v>Christian</v>
      </c>
      <c r="E5067" t="str">
        <f>IFERROR(__xludf.DUMMYFUNCTION("""COMPUTED_VALUE"""),"Marqui")</f>
        <v>Marqui</v>
      </c>
      <c r="F5067" t="str">
        <f>IFERROR(__xludf.DUMMYFUNCTION("""COMPUTED_VALUE"""),"LAR")</f>
        <v>LAR</v>
      </c>
      <c r="G5067">
        <f>IFERROR(__xludf.DUMMYFUNCTION("""COMPUTED_VALUE"""),16.25)</f>
        <v>16.25</v>
      </c>
    </row>
    <row r="5068">
      <c r="D5068" t="str">
        <f>IFERROR(__xludf.DUMMYFUNCTION("""COMPUTED_VALUE"""),"Chubb")</f>
        <v>Chubb</v>
      </c>
      <c r="E5068" t="str">
        <f>IFERROR(__xludf.DUMMYFUNCTION("""COMPUTED_VALUE"""),"Bradley")</f>
        <v>Bradley</v>
      </c>
      <c r="F5068" t="str">
        <f>IFERROR(__xludf.DUMMYFUNCTION("""COMPUTED_VALUE"""),"DEN")</f>
        <v>DEN</v>
      </c>
      <c r="G5068">
        <f>IFERROR(__xludf.DUMMYFUNCTION("""COMPUTED_VALUE"""),19.75)</f>
        <v>19.75</v>
      </c>
    </row>
    <row r="5069">
      <c r="D5069" t="str">
        <f>IFERROR(__xludf.DUMMYFUNCTION("""COMPUTED_VALUE"""),"Chubb")</f>
        <v>Chubb</v>
      </c>
      <c r="E5069" t="str">
        <f>IFERROR(__xludf.DUMMYFUNCTION("""COMPUTED_VALUE"""),"Nick")</f>
        <v>Nick</v>
      </c>
      <c r="F5069" t="str">
        <f>IFERROR(__xludf.DUMMYFUNCTION("""COMPUTED_VALUE"""),"CLE")</f>
        <v>CLE</v>
      </c>
      <c r="G5069">
        <f>IFERROR(__xludf.DUMMYFUNCTION("""COMPUTED_VALUE"""),19.0)</f>
        <v>19</v>
      </c>
    </row>
    <row r="5070">
      <c r="D5070" t="str">
        <f>IFERROR(__xludf.DUMMYFUNCTION("""COMPUTED_VALUE"""),"Chung")</f>
        <v>Chung</v>
      </c>
      <c r="E5070" t="str">
        <f>IFERROR(__xludf.DUMMYFUNCTION("""COMPUTED_VALUE"""),"Patrick")</f>
        <v>Patrick</v>
      </c>
      <c r="F5070" t="str">
        <f>IFERROR(__xludf.DUMMYFUNCTION("""COMPUTED_VALUE"""),"NE")</f>
        <v>NE</v>
      </c>
      <c r="G5070">
        <f>IFERROR(__xludf.DUMMYFUNCTION("""COMPUTED_VALUE"""),19.75)</f>
        <v>19.75</v>
      </c>
    </row>
    <row r="5071">
      <c r="D5071" t="str">
        <f>IFERROR(__xludf.DUMMYFUNCTION("""COMPUTED_VALUE"""),"Chung")</f>
        <v>Chung</v>
      </c>
      <c r="E5071" t="str">
        <f>IFERROR(__xludf.DUMMYFUNCTION("""COMPUTED_VALUE"""),"Patrick")</f>
        <v>Patrick</v>
      </c>
      <c r="F5071" t="str">
        <f>IFERROR(__xludf.DUMMYFUNCTION("""COMPUTED_VALUE"""),"NE")</f>
        <v>NE</v>
      </c>
      <c r="G5071">
        <f>IFERROR(__xludf.DUMMYFUNCTION("""COMPUTED_VALUE"""),21.25)</f>
        <v>21.25</v>
      </c>
    </row>
    <row r="5072">
      <c r="D5072" t="str">
        <f>IFERROR(__xludf.DUMMYFUNCTION("""COMPUTED_VALUE"""),"Church")</f>
        <v>Church</v>
      </c>
      <c r="E5072" t="str">
        <f>IFERROR(__xludf.DUMMYFUNCTION("""COMPUTED_VALUE"""),"Barry")</f>
        <v>Barry</v>
      </c>
      <c r="F5072" t="str">
        <f>IFERROR(__xludf.DUMMYFUNCTION("""COMPUTED_VALUE"""),"JAX")</f>
        <v>JAX</v>
      </c>
      <c r="G5072">
        <f>IFERROR(__xludf.DUMMYFUNCTION("""COMPUTED_VALUE"""),19.75)</f>
        <v>19.75</v>
      </c>
    </row>
    <row r="5073">
      <c r="D5073" t="str">
        <f>IFERROR(__xludf.DUMMYFUNCTION("""COMPUTED_VALUE"""),"Cichy")</f>
        <v>Cichy</v>
      </c>
      <c r="E5073" t="str">
        <f>IFERROR(__xludf.DUMMYFUNCTION("""COMPUTED_VALUE"""),"Jack")</f>
        <v>Jack</v>
      </c>
      <c r="F5073" t="str">
        <f>IFERROR(__xludf.DUMMYFUNCTION("""COMPUTED_VALUE"""),"TB")</f>
        <v>TB</v>
      </c>
      <c r="G5073">
        <f>IFERROR(__xludf.DUMMYFUNCTION("""COMPUTED_VALUE"""),17.5)</f>
        <v>17.5</v>
      </c>
    </row>
    <row r="5074">
      <c r="D5074" t="str">
        <f>IFERROR(__xludf.DUMMYFUNCTION("""COMPUTED_VALUE"""),"Claiborne")</f>
        <v>Claiborne</v>
      </c>
      <c r="E5074" t="str">
        <f>IFERROR(__xludf.DUMMYFUNCTION("""COMPUTED_VALUE"""),"Morris")</f>
        <v>Morris</v>
      </c>
      <c r="F5074" t="str">
        <f>IFERROR(__xludf.DUMMYFUNCTION("""COMPUTED_VALUE"""),"NYJ")</f>
        <v>NYJ</v>
      </c>
      <c r="G5074">
        <f>IFERROR(__xludf.DUMMYFUNCTION("""COMPUTED_VALUE"""),19.25)</f>
        <v>19.25</v>
      </c>
    </row>
    <row r="5075">
      <c r="D5075" t="str">
        <f>IFERROR(__xludf.DUMMYFUNCTION("""COMPUTED_VALUE"""),"Clapp")</f>
        <v>Clapp</v>
      </c>
      <c r="E5075" t="str">
        <f>IFERROR(__xludf.DUMMYFUNCTION("""COMPUTED_VALUE"""),"Will")</f>
        <v>Will</v>
      </c>
      <c r="F5075" t="str">
        <f>IFERROR(__xludf.DUMMYFUNCTION("""COMPUTED_VALUE"""),"NO")</f>
        <v>NO</v>
      </c>
      <c r="G5075">
        <f>IFERROR(__xludf.DUMMYFUNCTION("""COMPUTED_VALUE"""),16.5)</f>
        <v>16.5</v>
      </c>
    </row>
    <row r="5076">
      <c r="D5076" t="str">
        <f>IFERROR(__xludf.DUMMYFUNCTION("""COMPUTED_VALUE"""),"Clark")</f>
        <v>Clark</v>
      </c>
      <c r="E5076" t="str">
        <f>IFERROR(__xludf.DUMMYFUNCTION("""COMPUTED_VALUE"""),"Chuck")</f>
        <v>Chuck</v>
      </c>
      <c r="F5076" t="str">
        <f>IFERROR(__xludf.DUMMYFUNCTION("""COMPUTED_VALUE"""),"BAL")</f>
        <v>BAL</v>
      </c>
      <c r="G5076">
        <f>IFERROR(__xludf.DUMMYFUNCTION("""COMPUTED_VALUE"""),16.75)</f>
        <v>16.75</v>
      </c>
    </row>
    <row r="5077">
      <c r="D5077" t="str">
        <f>IFERROR(__xludf.DUMMYFUNCTION("""COMPUTED_VALUE"""),"Clark")</f>
        <v>Clark</v>
      </c>
      <c r="E5077" t="str">
        <f>IFERROR(__xludf.DUMMYFUNCTION("""COMPUTED_VALUE"""),"Donavon")</f>
        <v>Donavon</v>
      </c>
      <c r="F5077" t="str">
        <f>IFERROR(__xludf.DUMMYFUNCTION("""COMPUTED_VALUE"""),"LAC")</f>
        <v>LAC</v>
      </c>
      <c r="G5077">
        <f>IFERROR(__xludf.DUMMYFUNCTION("""COMPUTED_VALUE"""),16.0)</f>
        <v>16</v>
      </c>
    </row>
    <row r="5078">
      <c r="D5078" t="str">
        <f>IFERROR(__xludf.DUMMYFUNCTION("""COMPUTED_VALUE"""),"Clark")</f>
        <v>Clark</v>
      </c>
      <c r="E5078" t="str">
        <f>IFERROR(__xludf.DUMMYFUNCTION("""COMPUTED_VALUE"""),"Frank")</f>
        <v>Frank</v>
      </c>
      <c r="F5078" t="str">
        <f>IFERROR(__xludf.DUMMYFUNCTION("""COMPUTED_VALUE"""),"SEA")</f>
        <v>SEA</v>
      </c>
      <c r="G5078">
        <f>IFERROR(__xludf.DUMMYFUNCTION("""COMPUTED_VALUE"""),19.75)</f>
        <v>19.75</v>
      </c>
    </row>
    <row r="5079">
      <c r="D5079" t="str">
        <f>IFERROR(__xludf.DUMMYFUNCTION("""COMPUTED_VALUE"""),"Clark")</f>
        <v>Clark</v>
      </c>
      <c r="E5079" t="str">
        <f>IFERROR(__xludf.DUMMYFUNCTION("""COMPUTED_VALUE"""),"Jeremy")</f>
        <v>Jeremy</v>
      </c>
      <c r="F5079" t="str">
        <f>IFERROR(__xludf.DUMMYFUNCTION("""COMPUTED_VALUE"""),"NYJ")</f>
        <v>NYJ</v>
      </c>
      <c r="G5079">
        <f>IFERROR(__xludf.DUMMYFUNCTION("""COMPUTED_VALUE"""),16.5)</f>
        <v>16.5</v>
      </c>
    </row>
    <row r="5080">
      <c r="D5080" t="str">
        <f>IFERROR(__xludf.DUMMYFUNCTION("""COMPUTED_VALUE"""),"Clark")</f>
        <v>Clark</v>
      </c>
      <c r="E5080" t="str">
        <f>IFERROR(__xludf.DUMMYFUNCTION("""COMPUTED_VALUE"""),"Kenny")</f>
        <v>Kenny</v>
      </c>
      <c r="F5080" t="str">
        <f>IFERROR(__xludf.DUMMYFUNCTION("""COMPUTED_VALUE"""),"GB")</f>
        <v>GB</v>
      </c>
      <c r="G5080">
        <f>IFERROR(__xludf.DUMMYFUNCTION("""COMPUTED_VALUE"""),21.0)</f>
        <v>21</v>
      </c>
    </row>
    <row r="5081">
      <c r="D5081" t="str">
        <f>IFERROR(__xludf.DUMMYFUNCTION("""COMPUTED_VALUE"""),"Clark")</f>
        <v>Clark</v>
      </c>
      <c r="E5081" t="str">
        <f>IFERROR(__xludf.DUMMYFUNCTION("""COMPUTED_VALUE"""),"LeRaven")</f>
        <v>LeRaven</v>
      </c>
      <c r="F5081" t="str">
        <f>IFERROR(__xludf.DUMMYFUNCTION("""COMPUTED_VALUE"""),"IND")</f>
        <v>IND</v>
      </c>
      <c r="G5081">
        <f>IFERROR(__xludf.DUMMYFUNCTION("""COMPUTED_VALUE"""),16.0)</f>
        <v>16</v>
      </c>
    </row>
    <row r="5082">
      <c r="D5082" t="str">
        <f>IFERROR(__xludf.DUMMYFUNCTION("""COMPUTED_VALUE"""),"Clark")</f>
        <v>Clark</v>
      </c>
      <c r="E5082" t="str">
        <f>IFERROR(__xludf.DUMMYFUNCTION("""COMPUTED_VALUE"""),"Michael")</f>
        <v>Michael</v>
      </c>
      <c r="F5082" t="str">
        <f>IFERROR(__xludf.DUMMYFUNCTION("""COMPUTED_VALUE"""),"GB")</f>
        <v>GB</v>
      </c>
      <c r="G5082">
        <f>IFERROR(__xludf.DUMMYFUNCTION("""COMPUTED_VALUE"""),15.5)</f>
        <v>15.5</v>
      </c>
    </row>
    <row r="5083">
      <c r="D5083" t="str">
        <f>IFERROR(__xludf.DUMMYFUNCTION("""COMPUTED_VALUE"""),"Clarke Jr.")</f>
        <v>Clarke Jr.</v>
      </c>
      <c r="E5083" t="str">
        <f>IFERROR(__xludf.DUMMYFUNCTION("""COMPUTED_VALUE"""),"Will")</f>
        <v>Will</v>
      </c>
      <c r="F5083" t="str">
        <f>IFERROR(__xludf.DUMMYFUNCTION("""COMPUTED_VALUE"""),"TB")</f>
        <v>TB</v>
      </c>
      <c r="G5083">
        <f>IFERROR(__xludf.DUMMYFUNCTION("""COMPUTED_VALUE"""),16.25)</f>
        <v>16.25</v>
      </c>
    </row>
    <row r="5084">
      <c r="D5084" t="str">
        <f>IFERROR(__xludf.DUMMYFUNCTION("""COMPUTED_VALUE"""),"Clausell")</f>
        <v>Clausell</v>
      </c>
      <c r="E5084" t="str">
        <f>IFERROR(__xludf.DUMMYFUNCTION("""COMPUTED_VALUE"""),"Blaine")</f>
        <v>Blaine</v>
      </c>
      <c r="F5084" t="str">
        <f>IFERROR(__xludf.DUMMYFUNCTION("""COMPUTED_VALUE"""),"CAR")</f>
        <v>CAR</v>
      </c>
      <c r="G5084">
        <f>IFERROR(__xludf.DUMMYFUNCTION("""COMPUTED_VALUE"""),16.75)</f>
        <v>16.75</v>
      </c>
    </row>
    <row r="5085">
      <c r="D5085" t="str">
        <f>IFERROR(__xludf.DUMMYFUNCTION("""COMPUTED_VALUE"""),"Clay")</f>
        <v>Clay</v>
      </c>
      <c r="E5085" t="str">
        <f>IFERROR(__xludf.DUMMYFUNCTION("""COMPUTED_VALUE"""),"Charles")</f>
        <v>Charles</v>
      </c>
      <c r="F5085" t="str">
        <f>IFERROR(__xludf.DUMMYFUNCTION("""COMPUTED_VALUE"""),"BUF")</f>
        <v>BUF</v>
      </c>
      <c r="G5085">
        <f>IFERROR(__xludf.DUMMYFUNCTION("""COMPUTED_VALUE"""),20.5)</f>
        <v>20.5</v>
      </c>
    </row>
    <row r="5086">
      <c r="D5086" t="str">
        <f>IFERROR(__xludf.DUMMYFUNCTION("""COMPUTED_VALUE"""),"Clay")</f>
        <v>Clay</v>
      </c>
      <c r="E5086" t="str">
        <f>IFERROR(__xludf.DUMMYFUNCTION("""COMPUTED_VALUE"""),"Kaelin")</f>
        <v>Kaelin</v>
      </c>
      <c r="F5086" t="str">
        <f>IFERROR(__xludf.DUMMYFUNCTION("""COMPUTED_VALUE"""),"BUF")</f>
        <v>BUF</v>
      </c>
      <c r="G5086">
        <f>IFERROR(__xludf.DUMMYFUNCTION("""COMPUTED_VALUE"""),16.0)</f>
        <v>16</v>
      </c>
    </row>
    <row r="5087">
      <c r="D5087" t="str">
        <f>IFERROR(__xludf.DUMMYFUNCTION("""COMPUTED_VALUE"""),"Clayborn")</f>
        <v>Clayborn</v>
      </c>
      <c r="E5087" t="str">
        <f>IFERROR(__xludf.DUMMYFUNCTION("""COMPUTED_VALUE"""),"Adrian")</f>
        <v>Adrian</v>
      </c>
      <c r="F5087" t="str">
        <f>IFERROR(__xludf.DUMMYFUNCTION("""COMPUTED_VALUE"""),"NE")</f>
        <v>NE</v>
      </c>
      <c r="G5087">
        <f>IFERROR(__xludf.DUMMYFUNCTION("""COMPUTED_VALUE"""),19.5)</f>
        <v>19.5</v>
      </c>
    </row>
    <row r="5088">
      <c r="D5088" t="str">
        <f>IFERROR(__xludf.DUMMYFUNCTION("""COMPUTED_VALUE"""),"Clement")</f>
        <v>Clement</v>
      </c>
      <c r="E5088" t="str">
        <f>IFERROR(__xludf.DUMMYFUNCTION("""COMPUTED_VALUE"""),"Corey")</f>
        <v>Corey</v>
      </c>
      <c r="F5088" t="str">
        <f>IFERROR(__xludf.DUMMYFUNCTION("""COMPUTED_VALUE"""),"PHI")</f>
        <v>PHI</v>
      </c>
      <c r="G5088">
        <f>IFERROR(__xludf.DUMMYFUNCTION("""COMPUTED_VALUE"""),19.5)</f>
        <v>19.5</v>
      </c>
    </row>
    <row r="5089">
      <c r="D5089" t="str">
        <f>IFERROR(__xludf.DUMMYFUNCTION("""COMPUTED_VALUE"""),"Clemmings")</f>
        <v>Clemmings</v>
      </c>
      <c r="E5089" t="str">
        <f>IFERROR(__xludf.DUMMYFUNCTION("""COMPUTED_VALUE"""),"TJ")</f>
        <v>TJ</v>
      </c>
      <c r="F5089" t="str">
        <f>IFERROR(__xludf.DUMMYFUNCTION("""COMPUTED_VALUE"""),"WAS")</f>
        <v>WAS</v>
      </c>
      <c r="G5089">
        <f>IFERROR(__xludf.DUMMYFUNCTION("""COMPUTED_VALUE"""),18.0)</f>
        <v>18</v>
      </c>
    </row>
    <row r="5090">
      <c r="D5090" t="str">
        <f>IFERROR(__xludf.DUMMYFUNCTION("""COMPUTED_VALUE"""),"Clinton-Dix")</f>
        <v>Clinton-Dix</v>
      </c>
      <c r="E5090" t="str">
        <f>IFERROR(__xludf.DUMMYFUNCTION("""COMPUTED_VALUE"""),"Ha Ha")</f>
        <v>Ha Ha</v>
      </c>
      <c r="F5090" t="str">
        <f>IFERROR(__xludf.DUMMYFUNCTION("""COMPUTED_VALUE"""),"GB")</f>
        <v>GB</v>
      </c>
      <c r="G5090">
        <f>IFERROR(__xludf.DUMMYFUNCTION("""COMPUTED_VALUE"""),20.5)</f>
        <v>20.5</v>
      </c>
    </row>
    <row r="5091">
      <c r="D5091" t="str">
        <f>IFERROR(__xludf.DUMMYFUNCTION("""COMPUTED_VALUE"""),"Clowney")</f>
        <v>Clowney</v>
      </c>
      <c r="E5091" t="str">
        <f>IFERROR(__xludf.DUMMYFUNCTION("""COMPUTED_VALUE"""),"Jadeveon")</f>
        <v>Jadeveon</v>
      </c>
      <c r="F5091" t="str">
        <f>IFERROR(__xludf.DUMMYFUNCTION("""COMPUTED_VALUE"""),"HOU")</f>
        <v>HOU</v>
      </c>
      <c r="G5091">
        <f>IFERROR(__xludf.DUMMYFUNCTION("""COMPUTED_VALUE"""),21.75)</f>
        <v>21.75</v>
      </c>
    </row>
    <row r="5092">
      <c r="D5092" t="str">
        <f>IFERROR(__xludf.DUMMYFUNCTION("""COMPUTED_VALUE"""),"Clowney")</f>
        <v>Clowney</v>
      </c>
      <c r="E5092" t="str">
        <f>IFERROR(__xludf.DUMMYFUNCTION("""COMPUTED_VALUE"""),"Jadeveon")</f>
        <v>Jadeveon</v>
      </c>
      <c r="F5092" t="str">
        <f>IFERROR(__xludf.DUMMYFUNCTION("""COMPUTED_VALUE"""),"HOU")</f>
        <v>HOU</v>
      </c>
      <c r="G5092">
        <f>IFERROR(__xludf.DUMMYFUNCTION("""COMPUTED_VALUE"""),22.75)</f>
        <v>22.75</v>
      </c>
    </row>
    <row r="5093">
      <c r="D5093" t="str">
        <f>IFERROR(__xludf.DUMMYFUNCTION("""COMPUTED_VALUE"""),"Coates")</f>
        <v>Coates</v>
      </c>
      <c r="E5093" t="str">
        <f>IFERROR(__xludf.DUMMYFUNCTION("""COMPUTED_VALUE"""),"Sammie")</f>
        <v>Sammie</v>
      </c>
      <c r="F5093" t="str">
        <f>IFERROR(__xludf.DUMMYFUNCTION("""COMPUTED_VALUE"""),"HOU")</f>
        <v>HOU</v>
      </c>
      <c r="G5093">
        <f>IFERROR(__xludf.DUMMYFUNCTION("""COMPUTED_VALUE"""),17.5)</f>
        <v>17.5</v>
      </c>
    </row>
    <row r="5094">
      <c r="D5094" t="str">
        <f>IFERROR(__xludf.DUMMYFUNCTION("""COMPUTED_VALUE"""),"Cobb")</f>
        <v>Cobb</v>
      </c>
      <c r="E5094" t="str">
        <f>IFERROR(__xludf.DUMMYFUNCTION("""COMPUTED_VALUE"""),"Randall")</f>
        <v>Randall</v>
      </c>
      <c r="F5094" t="str">
        <f>IFERROR(__xludf.DUMMYFUNCTION("""COMPUTED_VALUE"""),"GB")</f>
        <v>GB</v>
      </c>
      <c r="G5094">
        <f>IFERROR(__xludf.DUMMYFUNCTION("""COMPUTED_VALUE"""),20.25)</f>
        <v>20.25</v>
      </c>
    </row>
    <row r="5095">
      <c r="D5095" t="str">
        <f>IFERROR(__xludf.DUMMYFUNCTION("""COMPUTED_VALUE"""),"Cockrell")</f>
        <v>Cockrell</v>
      </c>
      <c r="E5095" t="str">
        <f>IFERROR(__xludf.DUMMYFUNCTION("""COMPUTED_VALUE"""),"Ross")</f>
        <v>Ross</v>
      </c>
      <c r="F5095" t="str">
        <f>IFERROR(__xludf.DUMMYFUNCTION("""COMPUTED_VALUE"""),"CAR")</f>
        <v>CAR</v>
      </c>
      <c r="G5095">
        <f>IFERROR(__xludf.DUMMYFUNCTION("""COMPUTED_VALUE"""),18.75)</f>
        <v>18.75</v>
      </c>
    </row>
    <row r="5096">
      <c r="D5096" t="str">
        <f>IFERROR(__xludf.DUMMYFUNCTION("""COMPUTED_VALUE"""),"Cohen")</f>
        <v>Cohen</v>
      </c>
      <c r="E5096" t="str">
        <f>IFERROR(__xludf.DUMMYFUNCTION("""COMPUTED_VALUE"""),"Tarik")</f>
        <v>Tarik</v>
      </c>
      <c r="F5096" t="str">
        <f>IFERROR(__xludf.DUMMYFUNCTION("""COMPUTED_VALUE"""),"CHI")</f>
        <v>CHI</v>
      </c>
      <c r="G5096">
        <f>IFERROR(__xludf.DUMMYFUNCTION("""COMPUTED_VALUE"""),19.75)</f>
        <v>19.75</v>
      </c>
    </row>
    <row r="5097">
      <c r="D5097" t="str">
        <f>IFERROR(__xludf.DUMMYFUNCTION("""COMPUTED_VALUE"""),"Colbert")</f>
        <v>Colbert</v>
      </c>
      <c r="E5097" t="str">
        <f>IFERROR(__xludf.DUMMYFUNCTION("""COMPUTED_VALUE"""),"Adrian")</f>
        <v>Adrian</v>
      </c>
      <c r="F5097" t="str">
        <f>IFERROR(__xludf.DUMMYFUNCTION("""COMPUTED_VALUE"""),"SF")</f>
        <v>SF</v>
      </c>
      <c r="G5097">
        <f>IFERROR(__xludf.DUMMYFUNCTION("""COMPUTED_VALUE"""),19.0)</f>
        <v>19</v>
      </c>
    </row>
    <row r="5098">
      <c r="D5098" t="str">
        <f>IFERROR(__xludf.DUMMYFUNCTION("""COMPUTED_VALUE"""),"Cole")</f>
        <v>Cole</v>
      </c>
      <c r="E5098" t="str">
        <f>IFERROR(__xludf.DUMMYFUNCTION("""COMPUTED_VALUE"""),"Dylan")</f>
        <v>Dylan</v>
      </c>
      <c r="F5098" t="str">
        <f>IFERROR(__xludf.DUMMYFUNCTION("""COMPUTED_VALUE"""),"HOU")</f>
        <v>HOU</v>
      </c>
      <c r="G5098">
        <f>IFERROR(__xludf.DUMMYFUNCTION("""COMPUTED_VALUE"""),19.5)</f>
        <v>19.5</v>
      </c>
    </row>
    <row r="5099">
      <c r="D5099" t="str">
        <f>IFERROR(__xludf.DUMMYFUNCTION("""COMPUTED_VALUE"""),"Cole")</f>
        <v>Cole</v>
      </c>
      <c r="E5099" t="str">
        <f>IFERROR(__xludf.DUMMYFUNCTION("""COMPUTED_VALUE"""),"Keelan")</f>
        <v>Keelan</v>
      </c>
      <c r="F5099" t="str">
        <f>IFERROR(__xludf.DUMMYFUNCTION("""COMPUTED_VALUE"""),"JAX")</f>
        <v>JAX</v>
      </c>
      <c r="G5099">
        <f>IFERROR(__xludf.DUMMYFUNCTION("""COMPUTED_VALUE"""),18.75)</f>
        <v>18.75</v>
      </c>
    </row>
    <row r="5100">
      <c r="D5100" t="str">
        <f>IFERROR(__xludf.DUMMYFUNCTION("""COMPUTED_VALUE"""),"Cole")</f>
        <v>Cole</v>
      </c>
      <c r="E5100" t="str">
        <f>IFERROR(__xludf.DUMMYFUNCTION("""COMPUTED_VALUE"""),"Mason")</f>
        <v>Mason</v>
      </c>
      <c r="F5100" t="str">
        <f>IFERROR(__xludf.DUMMYFUNCTION("""COMPUTED_VALUE"""),"ARZ")</f>
        <v>ARZ</v>
      </c>
      <c r="G5100">
        <f>IFERROR(__xludf.DUMMYFUNCTION("""COMPUTED_VALUE"""),18.0)</f>
        <v>18</v>
      </c>
    </row>
    <row r="5101">
      <c r="D5101" t="str">
        <f>IFERROR(__xludf.DUMMYFUNCTION("""COMPUTED_VALUE"""),"Coleman")</f>
        <v>Coleman</v>
      </c>
      <c r="E5101" t="str">
        <f>IFERROR(__xludf.DUMMYFUNCTION("""COMPUTED_VALUE"""),"Brandon")</f>
        <v>Brandon</v>
      </c>
      <c r="F5101" t="str">
        <f>IFERROR(__xludf.DUMMYFUNCTION("""COMPUTED_VALUE"""),"NO")</f>
        <v>NO</v>
      </c>
      <c r="G5101">
        <f>IFERROR(__xludf.DUMMYFUNCTION("""COMPUTED_VALUE"""),19.0)</f>
        <v>19</v>
      </c>
    </row>
    <row r="5102">
      <c r="D5102" t="str">
        <f>IFERROR(__xludf.DUMMYFUNCTION("""COMPUTED_VALUE"""),"Coleman")</f>
        <v>Coleman</v>
      </c>
      <c r="E5102" t="str">
        <f>IFERROR(__xludf.DUMMYFUNCTION("""COMPUTED_VALUE"""),"Corey")</f>
        <v>Corey</v>
      </c>
      <c r="F5102" t="str">
        <f>IFERROR(__xludf.DUMMYFUNCTION("""COMPUTED_VALUE"""),"CLE")</f>
        <v>CLE</v>
      </c>
      <c r="G5102">
        <f>IFERROR(__xludf.DUMMYFUNCTION("""COMPUTED_VALUE"""),19.0)</f>
        <v>19</v>
      </c>
    </row>
    <row r="5103">
      <c r="D5103" t="str">
        <f>IFERROR(__xludf.DUMMYFUNCTION("""COMPUTED_VALUE"""),"Coleman")</f>
        <v>Coleman</v>
      </c>
      <c r="E5103" t="str">
        <f>IFERROR(__xludf.DUMMYFUNCTION("""COMPUTED_VALUE"""),"Justin")</f>
        <v>Justin</v>
      </c>
      <c r="F5103" t="str">
        <f>IFERROR(__xludf.DUMMYFUNCTION("""COMPUTED_VALUE"""),"SEA")</f>
        <v>SEA</v>
      </c>
      <c r="G5103">
        <f>IFERROR(__xludf.DUMMYFUNCTION("""COMPUTED_VALUE"""),18.75)</f>
        <v>18.75</v>
      </c>
    </row>
    <row r="5104">
      <c r="D5104" t="str">
        <f>IFERROR(__xludf.DUMMYFUNCTION("""COMPUTED_VALUE"""),"Coleman")</f>
        <v>Coleman</v>
      </c>
      <c r="E5104" t="str">
        <f>IFERROR(__xludf.DUMMYFUNCTION("""COMPUTED_VALUE"""),"Kurt")</f>
        <v>Kurt</v>
      </c>
      <c r="F5104" t="str">
        <f>IFERROR(__xludf.DUMMYFUNCTION("""COMPUTED_VALUE"""),"NO")</f>
        <v>NO</v>
      </c>
      <c r="G5104">
        <f>IFERROR(__xludf.DUMMYFUNCTION("""COMPUTED_VALUE"""),18.25)</f>
        <v>18.25</v>
      </c>
    </row>
    <row r="5105">
      <c r="D5105" t="str">
        <f>IFERROR(__xludf.DUMMYFUNCTION("""COMPUTED_VALUE"""),"Coleman")</f>
        <v>Coleman</v>
      </c>
      <c r="E5105" t="str">
        <f>IFERROR(__xludf.DUMMYFUNCTION("""COMPUTED_VALUE"""),"Shon")</f>
        <v>Shon</v>
      </c>
      <c r="F5105" t="str">
        <f>IFERROR(__xludf.DUMMYFUNCTION("""COMPUTED_VALUE"""),"CLE")</f>
        <v>CLE</v>
      </c>
      <c r="G5105">
        <f>IFERROR(__xludf.DUMMYFUNCTION("""COMPUTED_VALUE"""),17.75)</f>
        <v>17.75</v>
      </c>
    </row>
    <row r="5106">
      <c r="D5106" t="str">
        <f>IFERROR(__xludf.DUMMYFUNCTION("""COMPUTED_VALUE"""),"Coleman")</f>
        <v>Coleman</v>
      </c>
      <c r="E5106" t="str">
        <f>IFERROR(__xludf.DUMMYFUNCTION("""COMPUTED_VALUE"""),"Tevin")</f>
        <v>Tevin</v>
      </c>
      <c r="F5106" t="str">
        <f>IFERROR(__xludf.DUMMYFUNCTION("""COMPUTED_VALUE"""),"ATL")</f>
        <v>ATL</v>
      </c>
      <c r="G5106">
        <f>IFERROR(__xludf.DUMMYFUNCTION("""COMPUTED_VALUE"""),20.5)</f>
        <v>20.5</v>
      </c>
    </row>
    <row r="5107">
      <c r="D5107" t="str">
        <f>IFERROR(__xludf.DUMMYFUNCTION("""COMPUTED_VALUE"""),"Coley")</f>
        <v>Coley</v>
      </c>
      <c r="E5107" t="str">
        <f>IFERROR(__xludf.DUMMYFUNCTION("""COMPUTED_VALUE"""),"Stacy")</f>
        <v>Stacy</v>
      </c>
      <c r="F5107" t="str">
        <f>IFERROR(__xludf.DUMMYFUNCTION("""COMPUTED_VALUE"""),"MIN")</f>
        <v>MIN</v>
      </c>
      <c r="G5107">
        <f>IFERROR(__xludf.DUMMYFUNCTION("""COMPUTED_VALUE"""),17.25)</f>
        <v>17.25</v>
      </c>
    </row>
    <row r="5108">
      <c r="D5108" t="str">
        <f>IFERROR(__xludf.DUMMYFUNCTION("""COMPUTED_VALUE"""),"Coley")</f>
        <v>Coley</v>
      </c>
      <c r="E5108" t="str">
        <f>IFERROR(__xludf.DUMMYFUNCTION("""COMPUTED_VALUE"""),"Trevon")</f>
        <v>Trevon</v>
      </c>
      <c r="F5108" t="str">
        <f>IFERROR(__xludf.DUMMYFUNCTION("""COMPUTED_VALUE"""),"CLE")</f>
        <v>CLE</v>
      </c>
      <c r="G5108">
        <f>IFERROR(__xludf.DUMMYFUNCTION("""COMPUTED_VALUE"""),18.0)</f>
        <v>18</v>
      </c>
    </row>
    <row r="5109">
      <c r="D5109" t="str">
        <f>IFERROR(__xludf.DUMMYFUNCTION("""COMPUTED_VALUE"""),"Collins")</f>
        <v>Collins</v>
      </c>
      <c r="E5109" t="str">
        <f>IFERROR(__xludf.DUMMYFUNCTION("""COMPUTED_VALUE"""),"Alex")</f>
        <v>Alex</v>
      </c>
      <c r="F5109" t="str">
        <f>IFERROR(__xludf.DUMMYFUNCTION("""COMPUTED_VALUE"""),"BAL")</f>
        <v>BAL</v>
      </c>
      <c r="G5109">
        <f>IFERROR(__xludf.DUMMYFUNCTION("""COMPUTED_VALUE"""),19.75)</f>
        <v>19.75</v>
      </c>
    </row>
    <row r="5110">
      <c r="D5110" t="str">
        <f>IFERROR(__xludf.DUMMYFUNCTION("""COMPUTED_VALUE"""),"Collins")</f>
        <v>Collins</v>
      </c>
      <c r="E5110" t="str">
        <f>IFERROR(__xludf.DUMMYFUNCTION("""COMPUTED_VALUE"""),"Aviante")</f>
        <v>Aviante</v>
      </c>
      <c r="F5110" t="str">
        <f>IFERROR(__xludf.DUMMYFUNCTION("""COMPUTED_VALUE"""),"MIN")</f>
        <v>MIN</v>
      </c>
      <c r="G5110">
        <f>IFERROR(__xludf.DUMMYFUNCTION("""COMPUTED_VALUE"""),18.5)</f>
        <v>18.5</v>
      </c>
    </row>
    <row r="5111">
      <c r="D5111" t="str">
        <f>IFERROR(__xludf.DUMMYFUNCTION("""COMPUTED_VALUE"""),"Collins")</f>
        <v>Collins</v>
      </c>
      <c r="E5111" t="str">
        <f>IFERROR(__xludf.DUMMYFUNCTION("""COMPUTED_VALUE"""),"Lael")</f>
        <v>Lael</v>
      </c>
      <c r="F5111" t="str">
        <f>IFERROR(__xludf.DUMMYFUNCTION("""COMPUTED_VALUE"""),"DAL")</f>
        <v>DAL</v>
      </c>
      <c r="G5111">
        <f>IFERROR(__xludf.DUMMYFUNCTION("""COMPUTED_VALUE"""),19.0)</f>
        <v>19</v>
      </c>
    </row>
    <row r="5112">
      <c r="D5112" t="str">
        <f>IFERROR(__xludf.DUMMYFUNCTION("""COMPUTED_VALUE"""),"Collins")</f>
        <v>Collins</v>
      </c>
      <c r="E5112" t="str">
        <f>IFERROR(__xludf.DUMMYFUNCTION("""COMPUTED_VALUE"""),"Landon")</f>
        <v>Landon</v>
      </c>
      <c r="F5112" t="str">
        <f>IFERROR(__xludf.DUMMYFUNCTION("""COMPUTED_VALUE"""),"NYG")</f>
        <v>NYG</v>
      </c>
      <c r="G5112">
        <f>IFERROR(__xludf.DUMMYFUNCTION("""COMPUTED_VALUE"""),21.75)</f>
        <v>21.75</v>
      </c>
    </row>
    <row r="5113">
      <c r="D5113" t="str">
        <f>IFERROR(__xludf.DUMMYFUNCTION("""COMPUTED_VALUE"""),"Collins")</f>
        <v>Collins</v>
      </c>
      <c r="E5113" t="str">
        <f>IFERROR(__xludf.DUMMYFUNCTION("""COMPUTED_VALUE"""),"Landon")</f>
        <v>Landon</v>
      </c>
      <c r="F5113" t="str">
        <f>IFERROR(__xludf.DUMMYFUNCTION("""COMPUTED_VALUE"""),"NYG")</f>
        <v>NYG</v>
      </c>
      <c r="G5113">
        <f>IFERROR(__xludf.DUMMYFUNCTION("""COMPUTED_VALUE"""),20.5)</f>
        <v>20.5</v>
      </c>
    </row>
    <row r="5114">
      <c r="D5114" t="str">
        <f>IFERROR(__xludf.DUMMYFUNCTION("""COMPUTED_VALUE"""),"Collins")</f>
        <v>Collins</v>
      </c>
      <c r="E5114" t="str">
        <f>IFERROR(__xludf.DUMMYFUNCTION("""COMPUTED_VALUE"""),"Maliek")</f>
        <v>Maliek</v>
      </c>
      <c r="F5114" t="str">
        <f>IFERROR(__xludf.DUMMYFUNCTION("""COMPUTED_VALUE"""),"DAL")</f>
        <v>DAL</v>
      </c>
      <c r="G5114">
        <f>IFERROR(__xludf.DUMMYFUNCTION("""COMPUTED_VALUE"""),17.5)</f>
        <v>17.5</v>
      </c>
    </row>
    <row r="5115">
      <c r="D5115" t="str">
        <f>IFERROR(__xludf.DUMMYFUNCTION("""COMPUTED_VALUE"""),"Collins Sr")</f>
        <v>Collins Sr</v>
      </c>
      <c r="E5115" t="str">
        <f>IFERROR(__xludf.DUMMYFUNCTION("""COMPUTED_VALUE"""),"Jamie")</f>
        <v>Jamie</v>
      </c>
      <c r="F5115" t="str">
        <f>IFERROR(__xludf.DUMMYFUNCTION("""COMPUTED_VALUE"""),"CLE")</f>
        <v>CLE</v>
      </c>
      <c r="G5115">
        <f>IFERROR(__xludf.DUMMYFUNCTION("""COMPUTED_VALUE"""),20.25)</f>
        <v>20.25</v>
      </c>
    </row>
    <row r="5116">
      <c r="D5116" t="str">
        <f>IFERROR(__xludf.DUMMYFUNCTION("""COMPUTED_VALUE"""),"Colquitt")</f>
        <v>Colquitt</v>
      </c>
      <c r="E5116" t="str">
        <f>IFERROR(__xludf.DUMMYFUNCTION("""COMPUTED_VALUE"""),"Britton")</f>
        <v>Britton</v>
      </c>
      <c r="F5116" t="str">
        <f>IFERROR(__xludf.DUMMYFUNCTION("""COMPUTED_VALUE"""),"CLE")</f>
        <v>CLE</v>
      </c>
      <c r="G5116">
        <f>IFERROR(__xludf.DUMMYFUNCTION("""COMPUTED_VALUE"""),19.0)</f>
        <v>19</v>
      </c>
    </row>
    <row r="5117">
      <c r="D5117" t="str">
        <f>IFERROR(__xludf.DUMMYFUNCTION("""COMPUTED_VALUE"""),"Colquitt")</f>
        <v>Colquitt</v>
      </c>
      <c r="E5117" t="str">
        <f>IFERROR(__xludf.DUMMYFUNCTION("""COMPUTED_VALUE"""),"Dustin")</f>
        <v>Dustin</v>
      </c>
      <c r="F5117" t="str">
        <f>IFERROR(__xludf.DUMMYFUNCTION("""COMPUTED_VALUE"""),"KC")</f>
        <v>KC</v>
      </c>
      <c r="G5117">
        <f>IFERROR(__xludf.DUMMYFUNCTION("""COMPUTED_VALUE"""),19.75)</f>
        <v>19.75</v>
      </c>
    </row>
    <row r="5118">
      <c r="D5118" t="str">
        <f>IFERROR(__xludf.DUMMYFUNCTION("""COMPUTED_VALUE"""),"Colvin")</f>
        <v>Colvin</v>
      </c>
      <c r="E5118" t="str">
        <f>IFERROR(__xludf.DUMMYFUNCTION("""COMPUTED_VALUE"""),"Aaron")</f>
        <v>Aaron</v>
      </c>
      <c r="F5118" t="str">
        <f>IFERROR(__xludf.DUMMYFUNCTION("""COMPUTED_VALUE"""),"HOU")</f>
        <v>HOU</v>
      </c>
      <c r="G5118">
        <f>IFERROR(__xludf.DUMMYFUNCTION("""COMPUTED_VALUE"""),19.25)</f>
        <v>19.25</v>
      </c>
    </row>
    <row r="5119">
      <c r="D5119" t="str">
        <f>IFERROR(__xludf.DUMMYFUNCTION("""COMPUTED_VALUE"""),"Compton")</f>
        <v>Compton</v>
      </c>
      <c r="E5119" t="str">
        <f>IFERROR(__xludf.DUMMYFUNCTION("""COMPUTED_VALUE"""),"Tom")</f>
        <v>Tom</v>
      </c>
      <c r="F5119" t="str">
        <f>IFERROR(__xludf.DUMMYFUNCTION("""COMPUTED_VALUE"""),"MIN")</f>
        <v>MIN</v>
      </c>
      <c r="G5119">
        <f>IFERROR(__xludf.DUMMYFUNCTION("""COMPUTED_VALUE"""),17.75)</f>
        <v>17.75</v>
      </c>
    </row>
    <row r="5120">
      <c r="D5120" t="str">
        <f>IFERROR(__xludf.DUMMYFUNCTION("""COMPUTED_VALUE"""),"Conklin")</f>
        <v>Conklin</v>
      </c>
      <c r="E5120" t="str">
        <f>IFERROR(__xludf.DUMMYFUNCTION("""COMPUTED_VALUE"""),"Jack")</f>
        <v>Jack</v>
      </c>
      <c r="F5120" t="str">
        <f>IFERROR(__xludf.DUMMYFUNCTION("""COMPUTED_VALUE"""),"TEN")</f>
        <v>TEN</v>
      </c>
      <c r="G5120">
        <f>IFERROR(__xludf.DUMMYFUNCTION("""COMPUTED_VALUE"""),20.75)</f>
        <v>20.75</v>
      </c>
    </row>
    <row r="5121">
      <c r="D5121" t="str">
        <f>IFERROR(__xludf.DUMMYFUNCTION("""COMPUTED_VALUE"""),"Conklin")</f>
        <v>Conklin</v>
      </c>
      <c r="E5121" t="str">
        <f>IFERROR(__xludf.DUMMYFUNCTION("""COMPUTED_VALUE"""),"Jack")</f>
        <v>Jack</v>
      </c>
      <c r="F5121" t="str">
        <f>IFERROR(__xludf.DUMMYFUNCTION("""COMPUTED_VALUE"""),"TEN")</f>
        <v>TEN</v>
      </c>
      <c r="G5121">
        <f>IFERROR(__xludf.DUMMYFUNCTION("""COMPUTED_VALUE"""),22.0)</f>
        <v>22</v>
      </c>
    </row>
    <row r="5122">
      <c r="D5122" t="str">
        <f>IFERROR(__xludf.DUMMYFUNCTION("""COMPUTED_VALUE"""),"Conklin")</f>
        <v>Conklin</v>
      </c>
      <c r="E5122" t="str">
        <f>IFERROR(__xludf.DUMMYFUNCTION("""COMPUTED_VALUE"""),"Tyler")</f>
        <v>Tyler</v>
      </c>
      <c r="F5122" t="str">
        <f>IFERROR(__xludf.DUMMYFUNCTION("""COMPUTED_VALUE"""),"MIN")</f>
        <v>MIN</v>
      </c>
      <c r="G5122">
        <f>IFERROR(__xludf.DUMMYFUNCTION("""COMPUTED_VALUE"""),16.75)</f>
        <v>16.75</v>
      </c>
    </row>
    <row r="5123">
      <c r="D5123" t="str">
        <f>IFERROR(__xludf.DUMMYFUNCTION("""COMPUTED_VALUE"""),"Conley")</f>
        <v>Conley</v>
      </c>
      <c r="E5123" t="str">
        <f>IFERROR(__xludf.DUMMYFUNCTION("""COMPUTED_VALUE"""),"Chris")</f>
        <v>Chris</v>
      </c>
      <c r="F5123" t="str">
        <f>IFERROR(__xludf.DUMMYFUNCTION("""COMPUTED_VALUE"""),"KC")</f>
        <v>KC</v>
      </c>
      <c r="G5123">
        <f>IFERROR(__xludf.DUMMYFUNCTION("""COMPUTED_VALUE"""),19.0)</f>
        <v>19</v>
      </c>
    </row>
    <row r="5124">
      <c r="D5124" t="str">
        <f>IFERROR(__xludf.DUMMYFUNCTION("""COMPUTED_VALUE"""),"Conley")</f>
        <v>Conley</v>
      </c>
      <c r="E5124" t="str">
        <f>IFERROR(__xludf.DUMMYFUNCTION("""COMPUTED_VALUE"""),"Gareon")</f>
        <v>Gareon</v>
      </c>
      <c r="F5124" t="str">
        <f>IFERROR(__xludf.DUMMYFUNCTION("""COMPUTED_VALUE"""),"OAK")</f>
        <v>OAK</v>
      </c>
      <c r="G5124">
        <f>IFERROR(__xludf.DUMMYFUNCTION("""COMPUTED_VALUE"""),18.75)</f>
        <v>18.75</v>
      </c>
    </row>
    <row r="5125">
      <c r="D5125" t="str">
        <f>IFERROR(__xludf.DUMMYFUNCTION("""COMPUTED_VALUE"""),"Conner")</f>
        <v>Conner</v>
      </c>
      <c r="E5125" t="str">
        <f>IFERROR(__xludf.DUMMYFUNCTION("""COMPUTED_VALUE"""),"James")</f>
        <v>James</v>
      </c>
      <c r="F5125" t="str">
        <f>IFERROR(__xludf.DUMMYFUNCTION("""COMPUTED_VALUE"""),"PIT")</f>
        <v>PIT</v>
      </c>
      <c r="G5125">
        <f>IFERROR(__xludf.DUMMYFUNCTION("""COMPUTED_VALUE"""),18.0)</f>
        <v>18</v>
      </c>
    </row>
    <row r="5126">
      <c r="D5126" t="str">
        <f>IFERROR(__xludf.DUMMYFUNCTION("""COMPUTED_VALUE"""),"Conte")</f>
        <v>Conte</v>
      </c>
      <c r="E5126" t="str">
        <f>IFERROR(__xludf.DUMMYFUNCTION("""COMPUTED_VALUE"""),"Chris")</f>
        <v>Chris</v>
      </c>
      <c r="F5126" t="str">
        <f>IFERROR(__xludf.DUMMYFUNCTION("""COMPUTED_VALUE"""),"TB")</f>
        <v>TB</v>
      </c>
      <c r="G5126">
        <f>IFERROR(__xludf.DUMMYFUNCTION("""COMPUTED_VALUE"""),18.0)</f>
        <v>18</v>
      </c>
    </row>
    <row r="5127">
      <c r="D5127" t="str">
        <f>IFERROR(__xludf.DUMMYFUNCTION("""COMPUTED_VALUE"""),"Cook")</f>
        <v>Cook</v>
      </c>
      <c r="E5127" t="str">
        <f>IFERROR(__xludf.DUMMYFUNCTION("""COMPUTED_VALUE"""),"Connor")</f>
        <v>Connor</v>
      </c>
      <c r="F5127" t="str">
        <f>IFERROR(__xludf.DUMMYFUNCTION("""COMPUTED_VALUE"""),"OAK")</f>
        <v>OAK</v>
      </c>
      <c r="G5127">
        <f>IFERROR(__xludf.DUMMYFUNCTION("""COMPUTED_VALUE"""),17.0)</f>
        <v>17</v>
      </c>
    </row>
    <row r="5128">
      <c r="D5128" t="str">
        <f>IFERROR(__xludf.DUMMYFUNCTION("""COMPUTED_VALUE"""),"Cook")</f>
        <v>Cook</v>
      </c>
      <c r="E5128" t="str">
        <f>IFERROR(__xludf.DUMMYFUNCTION("""COMPUTED_VALUE"""),"Dalvin")</f>
        <v>Dalvin</v>
      </c>
      <c r="F5128" t="str">
        <f>IFERROR(__xludf.DUMMYFUNCTION("""COMPUTED_VALUE"""),"MIN")</f>
        <v>MIN</v>
      </c>
      <c r="G5128">
        <f>IFERROR(__xludf.DUMMYFUNCTION("""COMPUTED_VALUE"""),20.5)</f>
        <v>20.5</v>
      </c>
    </row>
    <row r="5129">
      <c r="D5129" t="str">
        <f>IFERROR(__xludf.DUMMYFUNCTION("""COMPUTED_VALUE"""),"Cook")</f>
        <v>Cook</v>
      </c>
      <c r="E5129" t="str">
        <f>IFERROR(__xludf.DUMMYFUNCTION("""COMPUTED_VALUE"""),"Jared")</f>
        <v>Jared</v>
      </c>
      <c r="F5129" t="str">
        <f>IFERROR(__xludf.DUMMYFUNCTION("""COMPUTED_VALUE"""),"OAK")</f>
        <v>OAK</v>
      </c>
      <c r="G5129">
        <f>IFERROR(__xludf.DUMMYFUNCTION("""COMPUTED_VALUE"""),20.0)</f>
        <v>20</v>
      </c>
    </row>
    <row r="5130">
      <c r="D5130" t="str">
        <f>IFERROR(__xludf.DUMMYFUNCTION("""COMPUTED_VALUE"""),"Cooke")</f>
        <v>Cooke</v>
      </c>
      <c r="E5130" t="str">
        <f>IFERROR(__xludf.DUMMYFUNCTION("""COMPUTED_VALUE"""),"Logan")</f>
        <v>Logan</v>
      </c>
      <c r="F5130" t="str">
        <f>IFERROR(__xludf.DUMMYFUNCTION("""COMPUTED_VALUE"""),"JAX")</f>
        <v>JAX</v>
      </c>
      <c r="G5130">
        <f>IFERROR(__xludf.DUMMYFUNCTION("""COMPUTED_VALUE"""),19.0)</f>
        <v>19</v>
      </c>
    </row>
    <row r="5131">
      <c r="D5131" t="str">
        <f>IFERROR(__xludf.DUMMYFUNCTION("""COMPUTED_VALUE"""),"Cooks")</f>
        <v>Cooks</v>
      </c>
      <c r="E5131" t="str">
        <f>IFERROR(__xludf.DUMMYFUNCTION("""COMPUTED_VALUE"""),"Brandin")</f>
        <v>Brandin</v>
      </c>
      <c r="F5131" t="str">
        <f>IFERROR(__xludf.DUMMYFUNCTION("""COMPUTED_VALUE"""),"LAR")</f>
        <v>LAR</v>
      </c>
      <c r="G5131">
        <f>IFERROR(__xludf.DUMMYFUNCTION("""COMPUTED_VALUE"""),20.75)</f>
        <v>20.75</v>
      </c>
    </row>
    <row r="5132">
      <c r="D5132" t="str">
        <f>IFERROR(__xludf.DUMMYFUNCTION("""COMPUTED_VALUE"""),"Cooper")</f>
        <v>Cooper</v>
      </c>
      <c r="E5132" t="str">
        <f>IFERROR(__xludf.DUMMYFUNCTION("""COMPUTED_VALUE"""),"Amari")</f>
        <v>Amari</v>
      </c>
      <c r="F5132" t="str">
        <f>IFERROR(__xludf.DUMMYFUNCTION("""COMPUTED_VALUE"""),"OAK")</f>
        <v>OAK</v>
      </c>
      <c r="G5132">
        <f>IFERROR(__xludf.DUMMYFUNCTION("""COMPUTED_VALUE"""),20.5)</f>
        <v>20.5</v>
      </c>
    </row>
    <row r="5133">
      <c r="D5133" t="str">
        <f>IFERROR(__xludf.DUMMYFUNCTION("""COMPUTED_VALUE"""),"Cooper")</f>
        <v>Cooper</v>
      </c>
      <c r="E5133" t="str">
        <f>IFERROR(__xludf.DUMMYFUNCTION("""COMPUTED_VALUE"""),"Ethan")</f>
        <v>Ethan</v>
      </c>
      <c r="F5133" t="str">
        <f>IFERROR(__xludf.DUMMYFUNCTION("""COMPUTED_VALUE"""),"NYG")</f>
        <v>NYG</v>
      </c>
      <c r="G5133">
        <f>IFERROR(__xludf.DUMMYFUNCTION("""COMPUTED_VALUE"""),16.0)</f>
        <v>16</v>
      </c>
    </row>
    <row r="5134">
      <c r="D5134" t="str">
        <f>IFERROR(__xludf.DUMMYFUNCTION("""COMPUTED_VALUE"""),"Cooper")</f>
        <v>Cooper</v>
      </c>
      <c r="E5134" t="str">
        <f>IFERROR(__xludf.DUMMYFUNCTION("""COMPUTED_VALUE"""),"Jonathan")</f>
        <v>Jonathan</v>
      </c>
      <c r="F5134" t="str">
        <f>IFERROR(__xludf.DUMMYFUNCTION("""COMPUTED_VALUE"""),"SF")</f>
        <v>SF</v>
      </c>
      <c r="G5134">
        <f>IFERROR(__xludf.DUMMYFUNCTION("""COMPUTED_VALUE"""),19.25)</f>
        <v>19.25</v>
      </c>
    </row>
    <row r="5135">
      <c r="D5135" t="str">
        <f>IFERROR(__xludf.DUMMYFUNCTION("""COMPUTED_VALUE"""),"Cooper")</f>
        <v>Cooper</v>
      </c>
      <c r="E5135" t="str">
        <f>IFERROR(__xludf.DUMMYFUNCTION("""COMPUTED_VALUE"""),"Pharoh")</f>
        <v>Pharoh</v>
      </c>
      <c r="F5135" t="str">
        <f>IFERROR(__xludf.DUMMYFUNCTION("""COMPUTED_VALUE"""),"LAR")</f>
        <v>LAR</v>
      </c>
      <c r="G5135">
        <f>IFERROR(__xludf.DUMMYFUNCTION("""COMPUTED_VALUE"""),16.75)</f>
        <v>16.75</v>
      </c>
    </row>
    <row r="5136">
      <c r="D5136" t="str">
        <f>IFERROR(__xludf.DUMMYFUNCTION("""COMPUTED_VALUE"""),"Cooper")</f>
        <v>Cooper</v>
      </c>
      <c r="E5136" t="str">
        <f>IFERROR(__xludf.DUMMYFUNCTION("""COMPUTED_VALUE"""),"Xavier")</f>
        <v>Xavier</v>
      </c>
      <c r="F5136" t="str">
        <f>IFERROR(__xludf.DUMMYFUNCTION("""COMPUTED_VALUE"""),"NYJ")</f>
        <v>NYJ</v>
      </c>
      <c r="G5136">
        <f>IFERROR(__xludf.DUMMYFUNCTION("""COMPUTED_VALUE"""),17.5)</f>
        <v>17.5</v>
      </c>
    </row>
    <row r="5137">
      <c r="D5137" t="str">
        <f>IFERROR(__xludf.DUMMYFUNCTION("""COMPUTED_VALUE"""),"Cooper Sr")</f>
        <v>Cooper Sr</v>
      </c>
      <c r="E5137" t="str">
        <f>IFERROR(__xludf.DUMMYFUNCTION("""COMPUTED_VALUE"""),"Marcus")</f>
        <v>Marcus</v>
      </c>
      <c r="F5137" t="str">
        <f>IFERROR(__xludf.DUMMYFUNCTION("""COMPUTED_VALUE"""),"CHI")</f>
        <v>CHI</v>
      </c>
      <c r="G5137">
        <f>IFERROR(__xludf.DUMMYFUNCTION("""COMPUTED_VALUE"""),18.25)</f>
        <v>18.25</v>
      </c>
    </row>
    <row r="5138">
      <c r="D5138" t="str">
        <f>IFERROR(__xludf.DUMMYFUNCTION("""COMPUTED_VALUE"""),"Copeland")</f>
        <v>Copeland</v>
      </c>
      <c r="E5138" t="str">
        <f>IFERROR(__xludf.DUMMYFUNCTION("""COMPUTED_VALUE"""),"Brandon")</f>
        <v>Brandon</v>
      </c>
      <c r="F5138" t="str">
        <f>IFERROR(__xludf.DUMMYFUNCTION("""COMPUTED_VALUE"""),"NYJ")</f>
        <v>NYJ</v>
      </c>
      <c r="G5138">
        <f>IFERROR(__xludf.DUMMYFUNCTION("""COMPUTED_VALUE"""),17.0)</f>
        <v>17</v>
      </c>
    </row>
    <row r="5139">
      <c r="D5139" t="str">
        <f>IFERROR(__xludf.DUMMYFUNCTION("""COMPUTED_VALUE"""),"Corbett")</f>
        <v>Corbett</v>
      </c>
      <c r="E5139" t="str">
        <f>IFERROR(__xludf.DUMMYFUNCTION("""COMPUTED_VALUE"""),"Austin")</f>
        <v>Austin</v>
      </c>
      <c r="F5139" t="str">
        <f>IFERROR(__xludf.DUMMYFUNCTION("""COMPUTED_VALUE"""),"CLE")</f>
        <v>CLE</v>
      </c>
      <c r="G5139">
        <f>IFERROR(__xludf.DUMMYFUNCTION("""COMPUTED_VALUE"""),18.5)</f>
        <v>18.5</v>
      </c>
    </row>
    <row r="5140">
      <c r="D5140" t="str">
        <f>IFERROR(__xludf.DUMMYFUNCTION("""COMPUTED_VALUE"""),"Core")</f>
        <v>Core</v>
      </c>
      <c r="E5140" t="str">
        <f>IFERROR(__xludf.DUMMYFUNCTION("""COMPUTED_VALUE"""),"Cody")</f>
        <v>Cody</v>
      </c>
      <c r="F5140" t="str">
        <f>IFERROR(__xludf.DUMMYFUNCTION("""COMPUTED_VALUE"""),"CIN")</f>
        <v>CIN</v>
      </c>
      <c r="G5140">
        <f>IFERROR(__xludf.DUMMYFUNCTION("""COMPUTED_VALUE"""),17.25)</f>
        <v>17.25</v>
      </c>
    </row>
    <row r="5141">
      <c r="D5141" t="str">
        <f>IFERROR(__xludf.DUMMYFUNCTION("""COMPUTED_VALUE"""),"Correa")</f>
        <v>Correa</v>
      </c>
      <c r="E5141" t="str">
        <f>IFERROR(__xludf.DUMMYFUNCTION("""COMPUTED_VALUE"""),"Kamalei")</f>
        <v>Kamalei</v>
      </c>
      <c r="F5141" t="str">
        <f>IFERROR(__xludf.DUMMYFUNCTION("""COMPUTED_VALUE"""),"BAL")</f>
        <v>BAL</v>
      </c>
      <c r="G5141">
        <f>IFERROR(__xludf.DUMMYFUNCTION("""COMPUTED_VALUE"""),17.75)</f>
        <v>17.75</v>
      </c>
    </row>
    <row r="5142">
      <c r="D5142" t="str">
        <f>IFERROR(__xludf.DUMMYFUNCTION("""COMPUTED_VALUE"""),"Countess")</f>
        <v>Countess</v>
      </c>
      <c r="E5142" t="str">
        <f>IFERROR(__xludf.DUMMYFUNCTION("""COMPUTED_VALUE"""),"Blake")</f>
        <v>Blake</v>
      </c>
      <c r="F5142" t="str">
        <f>IFERROR(__xludf.DUMMYFUNCTION("""COMPUTED_VALUE"""),"LAR")</f>
        <v>LAR</v>
      </c>
      <c r="G5142">
        <f>IFERROR(__xludf.DUMMYFUNCTION("""COMPUTED_VALUE"""),17.25)</f>
        <v>17.25</v>
      </c>
    </row>
    <row r="5143">
      <c r="D5143" t="str">
        <f>IFERROR(__xludf.DUMMYFUNCTION("""COMPUTED_VALUE"""),"Cousins")</f>
        <v>Cousins</v>
      </c>
      <c r="E5143" t="str">
        <f>IFERROR(__xludf.DUMMYFUNCTION("""COMPUTED_VALUE"""),"Kirk")</f>
        <v>Kirk</v>
      </c>
      <c r="F5143" t="str">
        <f>IFERROR(__xludf.DUMMYFUNCTION("""COMPUTED_VALUE"""),"MIN")</f>
        <v>MIN</v>
      </c>
      <c r="G5143">
        <f>IFERROR(__xludf.DUMMYFUNCTION("""COMPUTED_VALUE"""),20.25)</f>
        <v>20.25</v>
      </c>
    </row>
    <row r="5144">
      <c r="D5144" t="str">
        <f>IFERROR(__xludf.DUMMYFUNCTION("""COMPUTED_VALUE"""),"Coutee")</f>
        <v>Coutee</v>
      </c>
      <c r="E5144" t="str">
        <f>IFERROR(__xludf.DUMMYFUNCTION("""COMPUTED_VALUE"""),"Keke")</f>
        <v>Keke</v>
      </c>
      <c r="F5144" t="str">
        <f>IFERROR(__xludf.DUMMYFUNCTION("""COMPUTED_VALUE"""),"HOU")</f>
        <v>HOU</v>
      </c>
      <c r="G5144">
        <f>IFERROR(__xludf.DUMMYFUNCTION("""COMPUTED_VALUE"""),18.25)</f>
        <v>18.25</v>
      </c>
    </row>
    <row r="5145">
      <c r="D5145" t="str">
        <f>IFERROR(__xludf.DUMMYFUNCTION("""COMPUTED_VALUE"""),"Covington")</f>
        <v>Covington</v>
      </c>
      <c r="E5145" t="str">
        <f>IFERROR(__xludf.DUMMYFUNCTION("""COMPUTED_VALUE"""),"Chris")</f>
        <v>Chris</v>
      </c>
      <c r="F5145" t="str">
        <f>IFERROR(__xludf.DUMMYFUNCTION("""COMPUTED_VALUE"""),"DAL")</f>
        <v>DAL</v>
      </c>
      <c r="G5145">
        <f>IFERROR(__xludf.DUMMYFUNCTION("""COMPUTED_VALUE"""),16.25)</f>
        <v>16.25</v>
      </c>
    </row>
    <row r="5146">
      <c r="D5146" t="str">
        <f>IFERROR(__xludf.DUMMYFUNCTION("""COMPUTED_VALUE"""),"Covington")</f>
        <v>Covington</v>
      </c>
      <c r="E5146" t="str">
        <f>IFERROR(__xludf.DUMMYFUNCTION("""COMPUTED_VALUE"""),"Christian")</f>
        <v>Christian</v>
      </c>
      <c r="F5146" t="str">
        <f>IFERROR(__xludf.DUMMYFUNCTION("""COMPUTED_VALUE"""),"HOU")</f>
        <v>HOU</v>
      </c>
      <c r="G5146">
        <f>IFERROR(__xludf.DUMMYFUNCTION("""COMPUTED_VALUE"""),18.0)</f>
        <v>18</v>
      </c>
    </row>
    <row r="5147">
      <c r="D5147" t="str">
        <f>IFERROR(__xludf.DUMMYFUNCTION("""COMPUTED_VALUE"""),"Coward")</f>
        <v>Coward</v>
      </c>
      <c r="E5147" t="str">
        <f>IFERROR(__xludf.DUMMYFUNCTION("""COMPUTED_VALUE"""),"Rashaad")</f>
        <v>Rashaad</v>
      </c>
      <c r="F5147" t="str">
        <f>IFERROR(__xludf.DUMMYFUNCTION("""COMPUTED_VALUE"""),"CHI")</f>
        <v>CHI</v>
      </c>
      <c r="G5147">
        <f>IFERROR(__xludf.DUMMYFUNCTION("""COMPUTED_VALUE"""),15.5)</f>
        <v>15.5</v>
      </c>
    </row>
    <row r="5148">
      <c r="D5148" t="str">
        <f>IFERROR(__xludf.DUMMYFUNCTION("""COMPUTED_VALUE"""),"Cowser")</f>
        <v>Cowser</v>
      </c>
      <c r="E5148" t="str">
        <f>IFERROR(__xludf.DUMMYFUNCTION("""COMPUTED_VALUE"""),"James")</f>
        <v>James</v>
      </c>
      <c r="F5148" t="str">
        <f>IFERROR(__xludf.DUMMYFUNCTION("""COMPUTED_VALUE"""),"OAK")</f>
        <v>OAK</v>
      </c>
      <c r="G5148">
        <f>IFERROR(__xludf.DUMMYFUNCTION("""COMPUTED_VALUE"""),18.75)</f>
        <v>18.75</v>
      </c>
    </row>
    <row r="5149">
      <c r="D5149" t="str">
        <f>IFERROR(__xludf.DUMMYFUNCTION("""COMPUTED_VALUE"""),"Cox")</f>
        <v>Cox</v>
      </c>
      <c r="E5149" t="str">
        <f>IFERROR(__xludf.DUMMYFUNCTION("""COMPUTED_VALUE"""),"Bryan")</f>
        <v>Bryan</v>
      </c>
      <c r="F5149" t="str">
        <f>IFERROR(__xludf.DUMMYFUNCTION("""COMPUTED_VALUE"""),"CAR")</f>
        <v>CAR</v>
      </c>
      <c r="G5149">
        <f>IFERROR(__xludf.DUMMYFUNCTION("""COMPUTED_VALUE"""),17.0)</f>
        <v>17</v>
      </c>
    </row>
    <row r="5150">
      <c r="D5150" t="str">
        <f>IFERROR(__xludf.DUMMYFUNCTION("""COMPUTED_VALUE"""),"Cox")</f>
        <v>Cox</v>
      </c>
      <c r="E5150" t="str">
        <f>IFERROR(__xludf.DUMMYFUNCTION("""COMPUTED_VALUE"""),"Demetrious")</f>
        <v>Demetrious</v>
      </c>
      <c r="F5150" t="str">
        <f>IFERROR(__xludf.DUMMYFUNCTION("""COMPUTED_VALUE"""),"CAR")</f>
        <v>CAR</v>
      </c>
      <c r="G5150">
        <f>IFERROR(__xludf.DUMMYFUNCTION("""COMPUTED_VALUE"""),16.0)</f>
        <v>16</v>
      </c>
    </row>
    <row r="5151">
      <c r="D5151" t="str">
        <f>IFERROR(__xludf.DUMMYFUNCTION("""COMPUTED_VALUE"""),"Cox")</f>
        <v>Cox</v>
      </c>
      <c r="E5151" t="str">
        <f>IFERROR(__xludf.DUMMYFUNCTION("""COMPUTED_VALUE"""),"Fletcher")</f>
        <v>Fletcher</v>
      </c>
      <c r="F5151" t="str">
        <f>IFERROR(__xludf.DUMMYFUNCTION("""COMPUTED_VALUE"""),"PHI")</f>
        <v>PHI</v>
      </c>
      <c r="G5151">
        <f>IFERROR(__xludf.DUMMYFUNCTION("""COMPUTED_VALUE"""),21.75)</f>
        <v>21.75</v>
      </c>
    </row>
    <row r="5152">
      <c r="D5152" t="str">
        <f>IFERROR(__xludf.DUMMYFUNCTION("""COMPUTED_VALUE"""),"Coyle")</f>
        <v>Coyle</v>
      </c>
      <c r="E5152" t="str">
        <f>IFERROR(__xludf.DUMMYFUNCTION("""COMPUTED_VALUE"""),"Brock")</f>
        <v>Brock</v>
      </c>
      <c r="F5152" t="str">
        <f>IFERROR(__xludf.DUMMYFUNCTION("""COMPUTED_VALUE"""),"SF")</f>
        <v>SF</v>
      </c>
      <c r="G5152">
        <f>IFERROR(__xludf.DUMMYFUNCTION("""COMPUTED_VALUE"""),16.25)</f>
        <v>16.25</v>
      </c>
    </row>
    <row r="5153">
      <c r="D5153" t="str">
        <f>IFERROR(__xludf.DUMMYFUNCTION("""COMPUTED_VALUE"""),"Crabtree")</f>
        <v>Crabtree</v>
      </c>
      <c r="E5153" t="str">
        <f>IFERROR(__xludf.DUMMYFUNCTION("""COMPUTED_VALUE"""),"Michael")</f>
        <v>Michael</v>
      </c>
      <c r="F5153" t="str">
        <f>IFERROR(__xludf.DUMMYFUNCTION("""COMPUTED_VALUE"""),"BAL")</f>
        <v>BAL</v>
      </c>
      <c r="G5153">
        <f>IFERROR(__xludf.DUMMYFUNCTION("""COMPUTED_VALUE"""),20.5)</f>
        <v>20.5</v>
      </c>
    </row>
    <row r="5154">
      <c r="D5154" t="str">
        <f>IFERROR(__xludf.DUMMYFUNCTION("""COMPUTED_VALUE"""),"Cravens")</f>
        <v>Cravens</v>
      </c>
      <c r="E5154" t="str">
        <f>IFERROR(__xludf.DUMMYFUNCTION("""COMPUTED_VALUE"""),"Sua")</f>
        <v>Sua</v>
      </c>
      <c r="F5154" t="str">
        <f>IFERROR(__xludf.DUMMYFUNCTION("""COMPUTED_VALUE"""),"DEN")</f>
        <v>DEN</v>
      </c>
      <c r="G5154">
        <f>IFERROR(__xludf.DUMMYFUNCTION("""COMPUTED_VALUE"""),18.75)</f>
        <v>18.75</v>
      </c>
    </row>
    <row r="5155">
      <c r="D5155" t="str">
        <f>IFERROR(__xludf.DUMMYFUNCTION("""COMPUTED_VALUE"""),"Crawford")</f>
        <v>Crawford</v>
      </c>
      <c r="E5155" t="str">
        <f>IFERROR(__xludf.DUMMYFUNCTION("""COMPUTED_VALUE"""),"Jack")</f>
        <v>Jack</v>
      </c>
      <c r="F5155" t="str">
        <f>IFERROR(__xludf.DUMMYFUNCTION("""COMPUTED_VALUE"""),"ATL")</f>
        <v>ATL</v>
      </c>
      <c r="G5155">
        <f>IFERROR(__xludf.DUMMYFUNCTION("""COMPUTED_VALUE"""),16.5)</f>
        <v>16.5</v>
      </c>
    </row>
    <row r="5156">
      <c r="D5156" t="str">
        <f>IFERROR(__xludf.DUMMYFUNCTION("""COMPUTED_VALUE"""),"Crawford")</f>
        <v>Crawford</v>
      </c>
      <c r="E5156" t="str">
        <f>IFERROR(__xludf.DUMMYFUNCTION("""COMPUTED_VALUE"""),"Tyrone")</f>
        <v>Tyrone</v>
      </c>
      <c r="F5156" t="str">
        <f>IFERROR(__xludf.DUMMYFUNCTION("""COMPUTED_VALUE"""),"DAL")</f>
        <v>DAL</v>
      </c>
      <c r="G5156">
        <f>IFERROR(__xludf.DUMMYFUNCTION("""COMPUTED_VALUE"""),19.5)</f>
        <v>19.5</v>
      </c>
    </row>
    <row r="5157">
      <c r="D5157" t="str">
        <f>IFERROR(__xludf.DUMMYFUNCTION("""COMPUTED_VALUE"""),"Crawley")</f>
        <v>Crawley</v>
      </c>
      <c r="E5157" t="str">
        <f>IFERROR(__xludf.DUMMYFUNCTION("""COMPUTED_VALUE"""),"Ken")</f>
        <v>Ken</v>
      </c>
      <c r="F5157" t="str">
        <f>IFERROR(__xludf.DUMMYFUNCTION("""COMPUTED_VALUE"""),"NO")</f>
        <v>NO</v>
      </c>
      <c r="G5157">
        <f>IFERROR(__xludf.DUMMYFUNCTION("""COMPUTED_VALUE"""),20.25)</f>
        <v>20.25</v>
      </c>
    </row>
    <row r="5158">
      <c r="D5158" t="str">
        <f>IFERROR(__xludf.DUMMYFUNCTION("""COMPUTED_VALUE"""),"Crockett")</f>
        <v>Crockett</v>
      </c>
      <c r="E5158" t="str">
        <f>IFERROR(__xludf.DUMMYFUNCTION("""COMPUTED_VALUE"""),"Montay")</f>
        <v>Montay</v>
      </c>
      <c r="F5158" t="str">
        <f>IFERROR(__xludf.DUMMYFUNCTION("""COMPUTED_VALUE"""),"JAX")</f>
        <v>JAX</v>
      </c>
      <c r="G5158">
        <f>IFERROR(__xludf.DUMMYFUNCTION("""COMPUTED_VALUE"""),16.25)</f>
        <v>16.25</v>
      </c>
    </row>
    <row r="5159">
      <c r="D5159" t="str">
        <f>IFERROR(__xludf.DUMMYFUNCTION("""COMPUTED_VALUE"""),"Croom")</f>
        <v>Croom</v>
      </c>
      <c r="E5159" t="str">
        <f>IFERROR(__xludf.DUMMYFUNCTION("""COMPUTED_VALUE"""),"Jason")</f>
        <v>Jason</v>
      </c>
      <c r="F5159" t="str">
        <f>IFERROR(__xludf.DUMMYFUNCTION("""COMPUTED_VALUE"""),"BUF")</f>
        <v>BUF</v>
      </c>
      <c r="G5159">
        <f>IFERROR(__xludf.DUMMYFUNCTION("""COMPUTED_VALUE"""),16.5)</f>
        <v>16.5</v>
      </c>
    </row>
    <row r="5160">
      <c r="D5160" t="str">
        <f>IFERROR(__xludf.DUMMYFUNCTION("""COMPUTED_VALUE"""),"Crosby")</f>
        <v>Crosby</v>
      </c>
      <c r="E5160" t="str">
        <f>IFERROR(__xludf.DUMMYFUNCTION("""COMPUTED_VALUE"""),"Mason")</f>
        <v>Mason</v>
      </c>
      <c r="F5160" t="str">
        <f>IFERROR(__xludf.DUMMYFUNCTION("""COMPUTED_VALUE"""),"GB")</f>
        <v>GB</v>
      </c>
      <c r="G5160">
        <f>IFERROR(__xludf.DUMMYFUNCTION("""COMPUTED_VALUE"""),19.5)</f>
        <v>19.5</v>
      </c>
    </row>
    <row r="5161">
      <c r="D5161" t="str">
        <f>IFERROR(__xludf.DUMMYFUNCTION("""COMPUTED_VALUE"""),"Crosby")</f>
        <v>Crosby</v>
      </c>
      <c r="E5161" t="str">
        <f>IFERROR(__xludf.DUMMYFUNCTION("""COMPUTED_VALUE"""),"Tyrell")</f>
        <v>Tyrell</v>
      </c>
      <c r="F5161" t="str">
        <f>IFERROR(__xludf.DUMMYFUNCTION("""COMPUTED_VALUE"""),"DET")</f>
        <v>DET</v>
      </c>
      <c r="G5161">
        <f>IFERROR(__xludf.DUMMYFUNCTION("""COMPUTED_VALUE"""),17.75)</f>
        <v>17.75</v>
      </c>
    </row>
    <row r="5162">
      <c r="D5162" t="str">
        <f>IFERROR(__xludf.DUMMYFUNCTION("""COMPUTED_VALUE"""),"Cross")</f>
        <v>Cross</v>
      </c>
      <c r="E5162" t="str">
        <f>IFERROR(__xludf.DUMMYFUNCTION("""COMPUTED_VALUE"""),"Alan")</f>
        <v>Alan</v>
      </c>
      <c r="F5162" t="str">
        <f>IFERROR(__xludf.DUMMYFUNCTION("""COMPUTED_VALUE"""),"TB")</f>
        <v>TB</v>
      </c>
      <c r="G5162">
        <f>IFERROR(__xludf.DUMMYFUNCTION("""COMPUTED_VALUE"""),15.75)</f>
        <v>15.75</v>
      </c>
    </row>
    <row r="5163">
      <c r="D5163" t="str">
        <f>IFERROR(__xludf.DUMMYFUNCTION("""COMPUTED_VALUE"""),"Crossan")</f>
        <v>Crossan</v>
      </c>
      <c r="E5163" t="str">
        <f>IFERROR(__xludf.DUMMYFUNCTION("""COMPUTED_VALUE"""),"Dalton")</f>
        <v>Dalton</v>
      </c>
      <c r="F5163" t="str">
        <f>IFERROR(__xludf.DUMMYFUNCTION("""COMPUTED_VALUE"""),"TB")</f>
        <v>TB</v>
      </c>
      <c r="G5163">
        <f>IFERROR(__xludf.DUMMYFUNCTION("""COMPUTED_VALUE"""),15.5)</f>
        <v>15.5</v>
      </c>
    </row>
    <row r="5164">
      <c r="D5164" t="str">
        <f>IFERROR(__xludf.DUMMYFUNCTION("""COMPUTED_VALUE"""),"Crossen")</f>
        <v>Crossen</v>
      </c>
      <c r="E5164" t="str">
        <f>IFERROR(__xludf.DUMMYFUNCTION("""COMPUTED_VALUE"""),"Keion")</f>
        <v>Keion</v>
      </c>
      <c r="F5164" t="str">
        <f>IFERROR(__xludf.DUMMYFUNCTION("""COMPUTED_VALUE"""),"NE")</f>
        <v>NE</v>
      </c>
      <c r="G5164">
        <f>IFERROR(__xludf.DUMMYFUNCTION("""COMPUTED_VALUE"""),17.75)</f>
        <v>17.75</v>
      </c>
    </row>
    <row r="5165">
      <c r="D5165" t="str">
        <f>IFERROR(__xludf.DUMMYFUNCTION("""COMPUTED_VALUE"""),"Croston")</f>
        <v>Croston</v>
      </c>
      <c r="E5165" t="str">
        <f>IFERROR(__xludf.DUMMYFUNCTION("""COMPUTED_VALUE"""),"Cole")</f>
        <v>Cole</v>
      </c>
      <c r="F5165" t="str">
        <f>IFERROR(__xludf.DUMMYFUNCTION("""COMPUTED_VALUE"""),"NE")</f>
        <v>NE</v>
      </c>
      <c r="G5165">
        <f>IFERROR(__xludf.DUMMYFUNCTION("""COMPUTED_VALUE"""),17.0)</f>
        <v>17</v>
      </c>
    </row>
    <row r="5166">
      <c r="D5166" t="str">
        <f>IFERROR(__xludf.DUMMYFUNCTION("""COMPUTED_VALUE"""),"Crowder")</f>
        <v>Crowder</v>
      </c>
      <c r="E5166" t="str">
        <f>IFERROR(__xludf.DUMMYFUNCTION("""COMPUTED_VALUE"""),"Jamison")</f>
        <v>Jamison</v>
      </c>
      <c r="F5166" t="str">
        <f>IFERROR(__xludf.DUMMYFUNCTION("""COMPUTED_VALUE"""),"WAS")</f>
        <v>WAS</v>
      </c>
      <c r="G5166">
        <f>IFERROR(__xludf.DUMMYFUNCTION("""COMPUTED_VALUE"""),19.5)</f>
        <v>19.5</v>
      </c>
    </row>
    <row r="5167">
      <c r="D5167" t="str">
        <f>IFERROR(__xludf.DUMMYFUNCTION("""COMPUTED_VALUE"""),"Crowell")</f>
        <v>Crowell</v>
      </c>
      <c r="E5167" t="str">
        <f>IFERROR(__xludf.DUMMYFUNCTION("""COMPUTED_VALUE"""),"Isaiah")</f>
        <v>Isaiah</v>
      </c>
      <c r="F5167" t="str">
        <f>IFERROR(__xludf.DUMMYFUNCTION("""COMPUTED_VALUE"""),"NYJ")</f>
        <v>NYJ</v>
      </c>
      <c r="G5167">
        <f>IFERROR(__xludf.DUMMYFUNCTION("""COMPUTED_VALUE"""),19.25)</f>
        <v>19.25</v>
      </c>
    </row>
    <row r="5168">
      <c r="D5168" t="str">
        <f>IFERROR(__xludf.DUMMYFUNCTION("""COMPUTED_VALUE"""),"Cruikshank")</f>
        <v>Cruikshank</v>
      </c>
      <c r="E5168" t="str">
        <f>IFERROR(__xludf.DUMMYFUNCTION("""COMPUTED_VALUE"""),"Dane")</f>
        <v>Dane</v>
      </c>
      <c r="F5168" t="str">
        <f>IFERROR(__xludf.DUMMYFUNCTION("""COMPUTED_VALUE"""),"TEN")</f>
        <v>TEN</v>
      </c>
      <c r="G5168">
        <f>IFERROR(__xludf.DUMMYFUNCTION("""COMPUTED_VALUE"""),18.25)</f>
        <v>18.25</v>
      </c>
    </row>
    <row r="5169">
      <c r="D5169" t="str">
        <f>IFERROR(__xludf.DUMMYFUNCTION("""COMPUTED_VALUE"""),"Culkin")</f>
        <v>Culkin</v>
      </c>
      <c r="E5169" t="str">
        <f>IFERROR(__xludf.DUMMYFUNCTION("""COMPUTED_VALUE"""),"Sean")</f>
        <v>Sean</v>
      </c>
      <c r="F5169" t="str">
        <f>IFERROR(__xludf.DUMMYFUNCTION("""COMPUTED_VALUE"""),"LAC")</f>
        <v>LAC</v>
      </c>
      <c r="G5169">
        <f>IFERROR(__xludf.DUMMYFUNCTION("""COMPUTED_VALUE"""),16.75)</f>
        <v>16.75</v>
      </c>
    </row>
    <row r="5170">
      <c r="D5170" t="str">
        <f>IFERROR(__xludf.DUMMYFUNCTION("""COMPUTED_VALUE"""),"Cunningham")</f>
        <v>Cunningham</v>
      </c>
      <c r="E5170" t="str">
        <f>IFERROR(__xludf.DUMMYFUNCTION("""COMPUTED_VALUE"""),"Benny")</f>
        <v>Benny</v>
      </c>
      <c r="F5170" t="str">
        <f>IFERROR(__xludf.DUMMYFUNCTION("""COMPUTED_VALUE"""),"CHI")</f>
        <v>CHI</v>
      </c>
      <c r="G5170">
        <f>IFERROR(__xludf.DUMMYFUNCTION("""COMPUTED_VALUE"""),17.5)</f>
        <v>17.5</v>
      </c>
    </row>
    <row r="5171">
      <c r="D5171" t="str">
        <f>IFERROR(__xludf.DUMMYFUNCTION("""COMPUTED_VALUE"""),"Cunningham")</f>
        <v>Cunningham</v>
      </c>
      <c r="E5171" t="str">
        <f>IFERROR(__xludf.DUMMYFUNCTION("""COMPUTED_VALUE"""),"Korey")</f>
        <v>Korey</v>
      </c>
      <c r="F5171" t="str">
        <f>IFERROR(__xludf.DUMMYFUNCTION("""COMPUTED_VALUE"""),"ARZ")</f>
        <v>ARZ</v>
      </c>
      <c r="G5171">
        <f>IFERROR(__xludf.DUMMYFUNCTION("""COMPUTED_VALUE"""),16.75)</f>
        <v>16.75</v>
      </c>
    </row>
    <row r="5172">
      <c r="D5172" t="str">
        <f>IFERROR(__xludf.DUMMYFUNCTION("""COMPUTED_VALUE"""),"Cunningham")</f>
        <v>Cunningham</v>
      </c>
      <c r="E5172" t="str">
        <f>IFERROR(__xludf.DUMMYFUNCTION("""COMPUTED_VALUE"""),"Zach")</f>
        <v>Zach</v>
      </c>
      <c r="F5172" t="str">
        <f>IFERROR(__xludf.DUMMYFUNCTION("""COMPUTED_VALUE"""),"HOU")</f>
        <v>HOU</v>
      </c>
      <c r="G5172">
        <f>IFERROR(__xludf.DUMMYFUNCTION("""COMPUTED_VALUE"""),20.0)</f>
        <v>20</v>
      </c>
    </row>
    <row r="5173">
      <c r="D5173" t="str">
        <f>IFERROR(__xludf.DUMMYFUNCTION("""COMPUTED_VALUE"""),"Currie")</f>
        <v>Currie</v>
      </c>
      <c r="E5173" t="str">
        <f>IFERROR(__xludf.DUMMYFUNCTION("""COMPUTED_VALUE"""),"Justin")</f>
        <v>Justin</v>
      </c>
      <c r="F5173" t="str">
        <f>IFERROR(__xludf.DUMMYFUNCTION("""COMPUTED_VALUE"""),"CLE")</f>
        <v>CLE</v>
      </c>
      <c r="G5173">
        <f>IFERROR(__xludf.DUMMYFUNCTION("""COMPUTED_VALUE"""),17.0)</f>
        <v>17</v>
      </c>
    </row>
    <row r="5174">
      <c r="D5174" t="str">
        <f>IFERROR(__xludf.DUMMYFUNCTION("""COMPUTED_VALUE"""),"Cyprien")</f>
        <v>Cyprien</v>
      </c>
      <c r="E5174" t="str">
        <f>IFERROR(__xludf.DUMMYFUNCTION("""COMPUTED_VALUE"""),"Johnathan")</f>
        <v>Johnathan</v>
      </c>
      <c r="F5174" t="str">
        <f>IFERROR(__xludf.DUMMYFUNCTION("""COMPUTED_VALUE"""),"TEN")</f>
        <v>TEN</v>
      </c>
      <c r="G5174">
        <f>IFERROR(__xludf.DUMMYFUNCTION("""COMPUTED_VALUE"""),19.5)</f>
        <v>19.5</v>
      </c>
    </row>
    <row r="5175">
      <c r="D5175" t="str">
        <f>IFERROR(__xludf.DUMMYFUNCTION("""COMPUTED_VALUE"""),"Dahl")</f>
        <v>Dahl</v>
      </c>
      <c r="E5175" t="str">
        <f>IFERROR(__xludf.DUMMYFUNCTION("""COMPUTED_VALUE"""),"Joe")</f>
        <v>Joe</v>
      </c>
      <c r="F5175" t="str">
        <f>IFERROR(__xludf.DUMMYFUNCTION("""COMPUTED_VALUE"""),"DET")</f>
        <v>DET</v>
      </c>
      <c r="G5175">
        <f>IFERROR(__xludf.DUMMYFUNCTION("""COMPUTED_VALUE"""),17.75)</f>
        <v>17.75</v>
      </c>
    </row>
    <row r="5176">
      <c r="D5176" t="str">
        <f>IFERROR(__xludf.DUMMYFUNCTION("""COMPUTED_VALUE"""),"Dalton")</f>
        <v>Dalton</v>
      </c>
      <c r="E5176" t="str">
        <f>IFERROR(__xludf.DUMMYFUNCTION("""COMPUTED_VALUE"""),"Andy")</f>
        <v>Andy</v>
      </c>
      <c r="F5176" t="str">
        <f>IFERROR(__xludf.DUMMYFUNCTION("""COMPUTED_VALUE"""),"CIN")</f>
        <v>CIN</v>
      </c>
      <c r="G5176">
        <f>IFERROR(__xludf.DUMMYFUNCTION("""COMPUTED_VALUE"""),19.75)</f>
        <v>19.75</v>
      </c>
    </row>
    <row r="5177">
      <c r="D5177" t="str">
        <f>IFERROR(__xludf.DUMMYFUNCTION("""COMPUTED_VALUE"""),"Dangerfield")</f>
        <v>Dangerfield</v>
      </c>
      <c r="E5177" t="str">
        <f>IFERROR(__xludf.DUMMYFUNCTION("""COMPUTED_VALUE"""),"Jordan")</f>
        <v>Jordan</v>
      </c>
      <c r="F5177" t="str">
        <f>IFERROR(__xludf.DUMMYFUNCTION("""COMPUTED_VALUE"""),"PIT")</f>
        <v>PIT</v>
      </c>
      <c r="G5177">
        <f>IFERROR(__xludf.DUMMYFUNCTION("""COMPUTED_VALUE"""),18.25)</f>
        <v>18.25</v>
      </c>
    </row>
    <row r="5178">
      <c r="D5178" t="str">
        <f>IFERROR(__xludf.DUMMYFUNCTION("""COMPUTED_VALUE"""),"Daniel")</f>
        <v>Daniel</v>
      </c>
      <c r="E5178" t="str">
        <f>IFERROR(__xludf.DUMMYFUNCTION("""COMPUTED_VALUE"""),"Chase")</f>
        <v>Chase</v>
      </c>
      <c r="F5178" t="str">
        <f>IFERROR(__xludf.DUMMYFUNCTION("""COMPUTED_VALUE"""),"CHI")</f>
        <v>CHI</v>
      </c>
      <c r="G5178">
        <f>IFERROR(__xludf.DUMMYFUNCTION("""COMPUTED_VALUE"""),17.5)</f>
        <v>17.5</v>
      </c>
    </row>
    <row r="5179">
      <c r="D5179" t="str">
        <f>IFERROR(__xludf.DUMMYFUNCTION("""COMPUTED_VALUE"""),"Daniels")</f>
        <v>Daniels</v>
      </c>
      <c r="E5179" t="str">
        <f>IFERROR(__xludf.DUMMYFUNCTION("""COMPUTED_VALUE"""),"Darrell")</f>
        <v>Darrell</v>
      </c>
      <c r="F5179" t="str">
        <f>IFERROR(__xludf.DUMMYFUNCTION("""COMPUTED_VALUE"""),"IND")</f>
        <v>IND</v>
      </c>
      <c r="G5179">
        <f>IFERROR(__xludf.DUMMYFUNCTION("""COMPUTED_VALUE"""),17.0)</f>
        <v>17</v>
      </c>
    </row>
    <row r="5180">
      <c r="D5180" t="str">
        <f>IFERROR(__xludf.DUMMYFUNCTION("""COMPUTED_VALUE"""),"Daniels")</f>
        <v>Daniels</v>
      </c>
      <c r="E5180" t="str">
        <f>IFERROR(__xludf.DUMMYFUNCTION("""COMPUTED_VALUE"""),"James")</f>
        <v>James</v>
      </c>
      <c r="F5180" t="str">
        <f>IFERROR(__xludf.DUMMYFUNCTION("""COMPUTED_VALUE"""),"CHI")</f>
        <v>CHI</v>
      </c>
      <c r="G5180">
        <f>IFERROR(__xludf.DUMMYFUNCTION("""COMPUTED_VALUE"""),18.5)</f>
        <v>18.5</v>
      </c>
    </row>
    <row r="5181">
      <c r="D5181" t="str">
        <f>IFERROR(__xludf.DUMMYFUNCTION("""COMPUTED_VALUE"""),"Daniels")</f>
        <v>Daniels</v>
      </c>
      <c r="E5181" t="str">
        <f>IFERROR(__xludf.DUMMYFUNCTION("""COMPUTED_VALUE"""),"LeShun")</f>
        <v>LeShun</v>
      </c>
      <c r="F5181" t="str">
        <f>IFERROR(__xludf.DUMMYFUNCTION("""COMPUTED_VALUE"""),"FA")</f>
        <v>FA</v>
      </c>
      <c r="G5181">
        <f>IFERROR(__xludf.DUMMYFUNCTION("""COMPUTED_VALUE"""),16.5)</f>
        <v>16.5</v>
      </c>
    </row>
    <row r="5182">
      <c r="D5182" t="str">
        <f>IFERROR(__xludf.DUMMYFUNCTION("""COMPUTED_VALUE"""),"Daniels")</f>
        <v>Daniels</v>
      </c>
      <c r="E5182" t="str">
        <f>IFERROR(__xludf.DUMMYFUNCTION("""COMPUTED_VALUE"""),"Mike")</f>
        <v>Mike</v>
      </c>
      <c r="F5182" t="str">
        <f>IFERROR(__xludf.DUMMYFUNCTION("""COMPUTED_VALUE"""),"GB")</f>
        <v>GB</v>
      </c>
      <c r="G5182">
        <f>IFERROR(__xludf.DUMMYFUNCTION("""COMPUTED_VALUE"""),21.0)</f>
        <v>21</v>
      </c>
    </row>
    <row r="5183">
      <c r="D5183" t="str">
        <f>IFERROR(__xludf.DUMMYFUNCTION("""COMPUTED_VALUE"""),"Daniels")</f>
        <v>Daniels</v>
      </c>
      <c r="E5183" t="str">
        <f>IFERROR(__xludf.DUMMYFUNCTION("""COMPUTED_VALUE"""),"Mike")</f>
        <v>Mike</v>
      </c>
      <c r="F5183" t="str">
        <f>IFERROR(__xludf.DUMMYFUNCTION("""COMPUTED_VALUE"""),"GB")</f>
        <v>GB</v>
      </c>
      <c r="G5183">
        <f>IFERROR(__xludf.DUMMYFUNCTION("""COMPUTED_VALUE"""),22.0)</f>
        <v>22</v>
      </c>
    </row>
    <row r="5184">
      <c r="D5184" t="str">
        <f>IFERROR(__xludf.DUMMYFUNCTION("""COMPUTED_VALUE"""),"Dansby")</f>
        <v>Dansby</v>
      </c>
      <c r="E5184" t="str">
        <f>IFERROR(__xludf.DUMMYFUNCTION("""COMPUTED_VALUE"""),"Karlos")</f>
        <v>Karlos</v>
      </c>
      <c r="F5184" t="str">
        <f>IFERROR(__xludf.DUMMYFUNCTION("""COMPUTED_VALUE"""),"FA")</f>
        <v>FA</v>
      </c>
      <c r="G5184">
        <f>IFERROR(__xludf.DUMMYFUNCTION("""COMPUTED_VALUE"""),21.25)</f>
        <v>21.25</v>
      </c>
    </row>
    <row r="5185">
      <c r="D5185" t="str">
        <f>IFERROR(__xludf.DUMMYFUNCTION("""COMPUTED_VALUE"""),"Dansby")</f>
        <v>Dansby</v>
      </c>
      <c r="E5185" t="str">
        <f>IFERROR(__xludf.DUMMYFUNCTION("""COMPUTED_VALUE"""),"Karlos")</f>
        <v>Karlos</v>
      </c>
      <c r="F5185" t="str">
        <f>IFERROR(__xludf.DUMMYFUNCTION("""COMPUTED_VALUE"""),"FA")</f>
        <v>FA</v>
      </c>
      <c r="G5185">
        <f>IFERROR(__xludf.DUMMYFUNCTION("""COMPUTED_VALUE"""),18.75)</f>
        <v>18.75</v>
      </c>
    </row>
    <row r="5186">
      <c r="D5186" t="str">
        <f>IFERROR(__xludf.DUMMYFUNCTION("""COMPUTED_VALUE"""),"Darboh")</f>
        <v>Darboh</v>
      </c>
      <c r="E5186" t="str">
        <f>IFERROR(__xludf.DUMMYFUNCTION("""COMPUTED_VALUE"""),"Amara")</f>
        <v>Amara</v>
      </c>
      <c r="F5186" t="str">
        <f>IFERROR(__xludf.DUMMYFUNCTION("""COMPUTED_VALUE"""),"SEA")</f>
        <v>SEA</v>
      </c>
      <c r="G5186">
        <f>IFERROR(__xludf.DUMMYFUNCTION("""COMPUTED_VALUE"""),18.0)</f>
        <v>18</v>
      </c>
    </row>
    <row r="5187">
      <c r="D5187" t="str">
        <f>IFERROR(__xludf.DUMMYFUNCTION("""COMPUTED_VALUE"""),"Darby")</f>
        <v>Darby</v>
      </c>
      <c r="E5187" t="str">
        <f>IFERROR(__xludf.DUMMYFUNCTION("""COMPUTED_VALUE"""),"Ronald")</f>
        <v>Ronald</v>
      </c>
      <c r="F5187" t="str">
        <f>IFERROR(__xludf.DUMMYFUNCTION("""COMPUTED_VALUE"""),"PHI")</f>
        <v>PHI</v>
      </c>
      <c r="G5187">
        <f>IFERROR(__xludf.DUMMYFUNCTION("""COMPUTED_VALUE"""),20.5)</f>
        <v>20.5</v>
      </c>
    </row>
    <row r="5188">
      <c r="D5188" t="str">
        <f>IFERROR(__xludf.DUMMYFUNCTION("""COMPUTED_VALUE"""),"Dareus")</f>
        <v>Dareus</v>
      </c>
      <c r="E5188" t="str">
        <f>IFERROR(__xludf.DUMMYFUNCTION("""COMPUTED_VALUE"""),"Marcell")</f>
        <v>Marcell</v>
      </c>
      <c r="F5188" t="str">
        <f>IFERROR(__xludf.DUMMYFUNCTION("""COMPUTED_VALUE"""),"JAX")</f>
        <v>JAX</v>
      </c>
      <c r="G5188">
        <f>IFERROR(__xludf.DUMMYFUNCTION("""COMPUTED_VALUE"""),20.0)</f>
        <v>20</v>
      </c>
    </row>
    <row r="5189">
      <c r="D5189" t="str">
        <f>IFERROR(__xludf.DUMMYFUNCTION("""COMPUTED_VALUE"""),"Darkwa")</f>
        <v>Darkwa</v>
      </c>
      <c r="E5189" t="str">
        <f>IFERROR(__xludf.DUMMYFUNCTION("""COMPUTED_VALUE"""),"Orleans")</f>
        <v>Orleans</v>
      </c>
      <c r="F5189" t="str">
        <f>IFERROR(__xludf.DUMMYFUNCTION("""COMPUTED_VALUE"""),"FA")</f>
        <v>FA</v>
      </c>
      <c r="G5189">
        <f>IFERROR(__xludf.DUMMYFUNCTION("""COMPUTED_VALUE"""),15.25)</f>
        <v>15.25</v>
      </c>
    </row>
    <row r="5190">
      <c r="D5190" t="str">
        <f>IFERROR(__xludf.DUMMYFUNCTION("""COMPUTED_VALUE"""),"Darnold")</f>
        <v>Darnold</v>
      </c>
      <c r="E5190" t="str">
        <f>IFERROR(__xludf.DUMMYFUNCTION("""COMPUTED_VALUE"""),"Sam")</f>
        <v>Sam</v>
      </c>
      <c r="F5190" t="str">
        <f>IFERROR(__xludf.DUMMYFUNCTION("""COMPUTED_VALUE"""),"NYJ")</f>
        <v>NYJ</v>
      </c>
      <c r="G5190">
        <f>IFERROR(__xludf.DUMMYFUNCTION("""COMPUTED_VALUE"""),19.25)</f>
        <v>19.25</v>
      </c>
    </row>
    <row r="5191">
      <c r="D5191" t="str">
        <f>IFERROR(__xludf.DUMMYFUNCTION("""COMPUTED_VALUE"""),"Davenport")</f>
        <v>Davenport</v>
      </c>
      <c r="E5191" t="str">
        <f>IFERROR(__xludf.DUMMYFUNCTION("""COMPUTED_VALUE"""),"Julien")</f>
        <v>Julien</v>
      </c>
      <c r="F5191" t="str">
        <f>IFERROR(__xludf.DUMMYFUNCTION("""COMPUTED_VALUE"""),"HOU")</f>
        <v>HOU</v>
      </c>
      <c r="G5191">
        <f>IFERROR(__xludf.DUMMYFUNCTION("""COMPUTED_VALUE"""),16.5)</f>
        <v>16.5</v>
      </c>
    </row>
    <row r="5192">
      <c r="D5192" t="str">
        <f>IFERROR(__xludf.DUMMYFUNCTION("""COMPUTED_VALUE"""),"Davenport")</f>
        <v>Davenport</v>
      </c>
      <c r="E5192" t="str">
        <f>IFERROR(__xludf.DUMMYFUNCTION("""COMPUTED_VALUE"""),"Marcus")</f>
        <v>Marcus</v>
      </c>
      <c r="F5192" t="str">
        <f>IFERROR(__xludf.DUMMYFUNCTION("""COMPUTED_VALUE"""),"NO")</f>
        <v>NO</v>
      </c>
      <c r="G5192">
        <f>IFERROR(__xludf.DUMMYFUNCTION("""COMPUTED_VALUE"""),19.25)</f>
        <v>19.25</v>
      </c>
    </row>
    <row r="5193">
      <c r="D5193" t="str">
        <f>IFERROR(__xludf.DUMMYFUNCTION("""COMPUTED_VALUE"""),"David")</f>
        <v>David</v>
      </c>
      <c r="E5193" t="str">
        <f>IFERROR(__xludf.DUMMYFUNCTION("""COMPUTED_VALUE"""),"Lavonte")</f>
        <v>Lavonte</v>
      </c>
      <c r="F5193" t="str">
        <f>IFERROR(__xludf.DUMMYFUNCTION("""COMPUTED_VALUE"""),"TB")</f>
        <v>TB</v>
      </c>
      <c r="G5193">
        <f>IFERROR(__xludf.DUMMYFUNCTION("""COMPUTED_VALUE"""),22.0)</f>
        <v>22</v>
      </c>
    </row>
    <row r="5194">
      <c r="D5194" t="str">
        <f>IFERROR(__xludf.DUMMYFUNCTION("""COMPUTED_VALUE"""),"Davis")</f>
        <v>Davis</v>
      </c>
      <c r="E5194" t="str">
        <f>IFERROR(__xludf.DUMMYFUNCTION("""COMPUTED_VALUE"""),"Austin")</f>
        <v>Austin</v>
      </c>
      <c r="F5194" t="str">
        <f>IFERROR(__xludf.DUMMYFUNCTION("""COMPUTED_VALUE"""),"SEA")</f>
        <v>SEA</v>
      </c>
      <c r="G5194">
        <f>IFERROR(__xludf.DUMMYFUNCTION("""COMPUTED_VALUE"""),17.5)</f>
        <v>17.5</v>
      </c>
    </row>
    <row r="5195">
      <c r="D5195" t="str">
        <f>IFERROR(__xludf.DUMMYFUNCTION("""COMPUTED_VALUE"""),"Davis")</f>
        <v>Davis</v>
      </c>
      <c r="E5195" t="str">
        <f>IFERROR(__xludf.DUMMYFUNCTION("""COMPUTED_VALUE"""),"Carl")</f>
        <v>Carl</v>
      </c>
      <c r="F5195" t="str">
        <f>IFERROR(__xludf.DUMMYFUNCTION("""COMPUTED_VALUE"""),"BAL")</f>
        <v>BAL</v>
      </c>
      <c r="G5195">
        <f>IFERROR(__xludf.DUMMYFUNCTION("""COMPUTED_VALUE"""),17.5)</f>
        <v>17.5</v>
      </c>
    </row>
    <row r="5196">
      <c r="D5196" t="str">
        <f>IFERROR(__xludf.DUMMYFUNCTION("""COMPUTED_VALUE"""),"Davis")</f>
        <v>Davis</v>
      </c>
      <c r="E5196" t="str">
        <f>IFERROR(__xludf.DUMMYFUNCTION("""COMPUTED_VALUE"""),"Carlton")</f>
        <v>Carlton</v>
      </c>
      <c r="F5196" t="str">
        <f>IFERROR(__xludf.DUMMYFUNCTION("""COMPUTED_VALUE"""),"TB")</f>
        <v>TB</v>
      </c>
      <c r="G5196">
        <f>IFERROR(__xludf.DUMMYFUNCTION("""COMPUTED_VALUE"""),18.0)</f>
        <v>18</v>
      </c>
    </row>
    <row r="5197">
      <c r="D5197" t="str">
        <f>IFERROR(__xludf.DUMMYFUNCTION("""COMPUTED_VALUE"""),"Davis")</f>
        <v>Davis</v>
      </c>
      <c r="E5197" t="str">
        <f>IFERROR(__xludf.DUMMYFUNCTION("""COMPUTED_VALUE"""),"Cody")</f>
        <v>Cody</v>
      </c>
      <c r="F5197" t="str">
        <f>IFERROR(__xludf.DUMMYFUNCTION("""COMPUTED_VALUE"""),"JAX")</f>
        <v>JAX</v>
      </c>
      <c r="G5197">
        <f>IFERROR(__xludf.DUMMYFUNCTION("""COMPUTED_VALUE"""),18.75)</f>
        <v>18.75</v>
      </c>
    </row>
    <row r="5198">
      <c r="D5198" t="str">
        <f>IFERROR(__xludf.DUMMYFUNCTION("""COMPUTED_VALUE"""),"Davis")</f>
        <v>Davis</v>
      </c>
      <c r="E5198" t="str">
        <f>IFERROR(__xludf.DUMMYFUNCTION("""COMPUTED_VALUE"""),"Corey")</f>
        <v>Corey</v>
      </c>
      <c r="F5198" t="str">
        <f>IFERROR(__xludf.DUMMYFUNCTION("""COMPUTED_VALUE"""),"TEN")</f>
        <v>TEN</v>
      </c>
      <c r="G5198">
        <f>IFERROR(__xludf.DUMMYFUNCTION("""COMPUTED_VALUE"""),19.5)</f>
        <v>19.5</v>
      </c>
    </row>
    <row r="5199">
      <c r="D5199" t="str">
        <f>IFERROR(__xludf.DUMMYFUNCTION("""COMPUTED_VALUE"""),"Davis")</f>
        <v>Davis</v>
      </c>
      <c r="E5199" t="str">
        <f>IFERROR(__xludf.DUMMYFUNCTION("""COMPUTED_VALUE"""),"Demario")</f>
        <v>Demario</v>
      </c>
      <c r="F5199" t="str">
        <f>IFERROR(__xludf.DUMMYFUNCTION("""COMPUTED_VALUE"""),"NO")</f>
        <v>NO</v>
      </c>
      <c r="G5199">
        <f>IFERROR(__xludf.DUMMYFUNCTION("""COMPUTED_VALUE"""),21.0)</f>
        <v>21</v>
      </c>
    </row>
    <row r="5200">
      <c r="D5200" t="str">
        <f>IFERROR(__xludf.DUMMYFUNCTION("""COMPUTED_VALUE"""),"Davis")</f>
        <v>Davis</v>
      </c>
      <c r="E5200" t="str">
        <f>IFERROR(__xludf.DUMMYFUNCTION("""COMPUTED_VALUE"""),"Geremy")</f>
        <v>Geremy</v>
      </c>
      <c r="F5200" t="str">
        <f>IFERROR(__xludf.DUMMYFUNCTION("""COMPUTED_VALUE"""),"LAC")</f>
        <v>LAC</v>
      </c>
      <c r="G5200">
        <f>IFERROR(__xludf.DUMMYFUNCTION("""COMPUTED_VALUE"""),16.75)</f>
        <v>16.75</v>
      </c>
    </row>
    <row r="5201">
      <c r="D5201" t="str">
        <f>IFERROR(__xludf.DUMMYFUNCTION("""COMPUTED_VALUE"""),"Davis")</f>
        <v>Davis</v>
      </c>
      <c r="E5201" t="str">
        <f>IFERROR(__xludf.DUMMYFUNCTION("""COMPUTED_VALUE"""),"Jarrad")</f>
        <v>Jarrad</v>
      </c>
      <c r="F5201" t="str">
        <f>IFERROR(__xludf.DUMMYFUNCTION("""COMPUTED_VALUE"""),"DET")</f>
        <v>DET</v>
      </c>
      <c r="G5201">
        <f>IFERROR(__xludf.DUMMYFUNCTION("""COMPUTED_VALUE"""),19.0)</f>
        <v>19</v>
      </c>
    </row>
    <row r="5202">
      <c r="D5202" t="str">
        <f>IFERROR(__xludf.DUMMYFUNCTION("""COMPUTED_VALUE"""),"Davis")</f>
        <v>Davis</v>
      </c>
      <c r="E5202" t="str">
        <f>IFERROR(__xludf.DUMMYFUNCTION("""COMPUTED_VALUE"""),"Jesse")</f>
        <v>Jesse</v>
      </c>
      <c r="F5202" t="str">
        <f>IFERROR(__xludf.DUMMYFUNCTION("""COMPUTED_VALUE"""),"MIA")</f>
        <v>MIA</v>
      </c>
      <c r="G5202">
        <f>IFERROR(__xludf.DUMMYFUNCTION("""COMPUTED_VALUE"""),17.5)</f>
        <v>17.5</v>
      </c>
    </row>
    <row r="5203">
      <c r="D5203" t="str">
        <f>IFERROR(__xludf.DUMMYFUNCTION("""COMPUTED_VALUE"""),"Davis")</f>
        <v>Davis</v>
      </c>
      <c r="E5203" t="str">
        <f>IFERROR(__xludf.DUMMYFUNCTION("""COMPUTED_VALUE"""),"Justin")</f>
        <v>Justin</v>
      </c>
      <c r="F5203" t="str">
        <f>IFERROR(__xludf.DUMMYFUNCTION("""COMPUTED_VALUE"""),"LAR")</f>
        <v>LAR</v>
      </c>
      <c r="G5203">
        <f>IFERROR(__xludf.DUMMYFUNCTION("""COMPUTED_VALUE"""),16.5)</f>
        <v>16.5</v>
      </c>
    </row>
    <row r="5204">
      <c r="D5204" t="str">
        <f>IFERROR(__xludf.DUMMYFUNCTION("""COMPUTED_VALUE"""),"Davis")</f>
        <v>Davis</v>
      </c>
      <c r="E5204" t="str">
        <f>IFERROR(__xludf.DUMMYFUNCTION("""COMPUTED_VALUE"""),"Michael")</f>
        <v>Michael</v>
      </c>
      <c r="F5204" t="str">
        <f>IFERROR(__xludf.DUMMYFUNCTION("""COMPUTED_VALUE"""),"LAC")</f>
        <v>LAC</v>
      </c>
      <c r="G5204">
        <f>IFERROR(__xludf.DUMMYFUNCTION("""COMPUTED_VALUE"""),16.5)</f>
        <v>16.5</v>
      </c>
    </row>
    <row r="5205">
      <c r="D5205" t="str">
        <f>IFERROR(__xludf.DUMMYFUNCTION("""COMPUTED_VALUE"""),"Davis")</f>
        <v>Davis</v>
      </c>
      <c r="E5205" t="str">
        <f>IFERROR(__xludf.DUMMYFUNCTION("""COMPUTED_VALUE"""),"Mike")</f>
        <v>Mike</v>
      </c>
      <c r="F5205" t="str">
        <f>IFERROR(__xludf.DUMMYFUNCTION("""COMPUTED_VALUE"""),"SEA")</f>
        <v>SEA</v>
      </c>
      <c r="G5205">
        <f>IFERROR(__xludf.DUMMYFUNCTION("""COMPUTED_VALUE"""),18.25)</f>
        <v>18.25</v>
      </c>
    </row>
    <row r="5206">
      <c r="D5206" t="str">
        <f>IFERROR(__xludf.DUMMYFUNCTION("""COMPUTED_VALUE"""),"Davis")</f>
        <v>Davis</v>
      </c>
      <c r="E5206" t="str">
        <f>IFERROR(__xludf.DUMMYFUNCTION("""COMPUTED_VALUE"""),"Reggie")</f>
        <v>Reggie</v>
      </c>
      <c r="F5206" t="str">
        <f>IFERROR(__xludf.DUMMYFUNCTION("""COMPUTED_VALUE"""),"ATL")</f>
        <v>ATL</v>
      </c>
      <c r="G5206">
        <f>IFERROR(__xludf.DUMMYFUNCTION("""COMPUTED_VALUE"""),16.0)</f>
        <v>16</v>
      </c>
    </row>
    <row r="5207">
      <c r="D5207" t="str">
        <f>IFERROR(__xludf.DUMMYFUNCTION("""COMPUTED_VALUE"""),"Davis")</f>
        <v>Davis</v>
      </c>
      <c r="E5207" t="str">
        <f>IFERROR(__xludf.DUMMYFUNCTION("""COMPUTED_VALUE"""),"Robert")</f>
        <v>Robert</v>
      </c>
      <c r="F5207" t="str">
        <f>IFERROR(__xludf.DUMMYFUNCTION("""COMPUTED_VALUE"""),"WAS")</f>
        <v>WAS</v>
      </c>
      <c r="G5207">
        <f>IFERROR(__xludf.DUMMYFUNCTION("""COMPUTED_VALUE"""),17.0)</f>
        <v>17</v>
      </c>
    </row>
    <row r="5208">
      <c r="D5208" t="str">
        <f>IFERROR(__xludf.DUMMYFUNCTION("""COMPUTED_VALUE"""),"Davis")</f>
        <v>Davis</v>
      </c>
      <c r="E5208" t="str">
        <f>IFERROR(__xludf.DUMMYFUNCTION("""COMPUTED_VALUE"""),"Ryan")</f>
        <v>Ryan</v>
      </c>
      <c r="F5208" t="str">
        <f>IFERROR(__xludf.DUMMYFUNCTION("""COMPUTED_VALUE"""),"FA")</f>
        <v>FA</v>
      </c>
      <c r="G5208">
        <f>IFERROR(__xludf.DUMMYFUNCTION("""COMPUTED_VALUE"""),17.25)</f>
        <v>17.25</v>
      </c>
    </row>
    <row r="5209">
      <c r="D5209" t="str">
        <f>IFERROR(__xludf.DUMMYFUNCTION("""COMPUTED_VALUE"""),"Davis")</f>
        <v>Davis</v>
      </c>
      <c r="E5209" t="str">
        <f>IFERROR(__xludf.DUMMYFUNCTION("""COMPUTED_VALUE"""),"Sean")</f>
        <v>Sean</v>
      </c>
      <c r="F5209" t="str">
        <f>IFERROR(__xludf.DUMMYFUNCTION("""COMPUTED_VALUE"""),"PIT")</f>
        <v>PIT</v>
      </c>
      <c r="G5209">
        <f>IFERROR(__xludf.DUMMYFUNCTION("""COMPUTED_VALUE"""),18.25)</f>
        <v>18.25</v>
      </c>
    </row>
    <row r="5210">
      <c r="D5210" t="str">
        <f>IFERROR(__xludf.DUMMYFUNCTION("""COMPUTED_VALUE"""),"Davis")</f>
        <v>Davis</v>
      </c>
      <c r="E5210" t="str">
        <f>IFERROR(__xludf.DUMMYFUNCTION("""COMPUTED_VALUE"""),"Todd")</f>
        <v>Todd</v>
      </c>
      <c r="F5210" t="str">
        <f>IFERROR(__xludf.DUMMYFUNCTION("""COMPUTED_VALUE"""),"DEN")</f>
        <v>DEN</v>
      </c>
      <c r="G5210">
        <f>IFERROR(__xludf.DUMMYFUNCTION("""COMPUTED_VALUE"""),19.25)</f>
        <v>19.25</v>
      </c>
    </row>
    <row r="5211">
      <c r="D5211" t="str">
        <f>IFERROR(__xludf.DUMMYFUNCTION("""COMPUTED_VALUE"""),"Davis")</f>
        <v>Davis</v>
      </c>
      <c r="E5211" t="str">
        <f>IFERROR(__xludf.DUMMYFUNCTION("""COMPUTED_VALUE"""),"Trevor")</f>
        <v>Trevor</v>
      </c>
      <c r="F5211" t="str">
        <f>IFERROR(__xludf.DUMMYFUNCTION("""COMPUTED_VALUE"""),"GB")</f>
        <v>GB</v>
      </c>
      <c r="G5211">
        <f>IFERROR(__xludf.DUMMYFUNCTION("""COMPUTED_VALUE"""),17.5)</f>
        <v>17.5</v>
      </c>
    </row>
    <row r="5212">
      <c r="D5212" t="str">
        <f>IFERROR(__xludf.DUMMYFUNCTION("""COMPUTED_VALUE"""),"Davis")</f>
        <v>Davis</v>
      </c>
      <c r="E5212" t="str">
        <f>IFERROR(__xludf.DUMMYFUNCTION("""COMPUTED_VALUE"""),"Vernon")</f>
        <v>Vernon</v>
      </c>
      <c r="F5212" t="str">
        <f>IFERROR(__xludf.DUMMYFUNCTION("""COMPUTED_VALUE"""),"WAS")</f>
        <v>WAS</v>
      </c>
      <c r="G5212">
        <f>IFERROR(__xludf.DUMMYFUNCTION("""COMPUTED_VALUE"""),20.0)</f>
        <v>20</v>
      </c>
    </row>
    <row r="5213">
      <c r="D5213" t="str">
        <f>IFERROR(__xludf.DUMMYFUNCTION("""COMPUTED_VALUE"""),"Davis")</f>
        <v>Davis</v>
      </c>
      <c r="E5213" t="str">
        <f>IFERROR(__xludf.DUMMYFUNCTION("""COMPUTED_VALUE"""),"Vernon")</f>
        <v>Vernon</v>
      </c>
      <c r="F5213" t="str">
        <f>IFERROR(__xludf.DUMMYFUNCTION("""COMPUTED_VALUE"""),"WAS")</f>
        <v>WAS</v>
      </c>
      <c r="G5213">
        <f>IFERROR(__xludf.DUMMYFUNCTION("""COMPUTED_VALUE"""),21.5)</f>
        <v>21.5</v>
      </c>
    </row>
    <row r="5214">
      <c r="D5214" t="str">
        <f>IFERROR(__xludf.DUMMYFUNCTION("""COMPUTED_VALUE"""),"Davis")</f>
        <v>Davis</v>
      </c>
      <c r="E5214" t="str">
        <f>IFERROR(__xludf.DUMMYFUNCTION("""COMPUTED_VALUE"""),"Vontae")</f>
        <v>Vontae</v>
      </c>
      <c r="F5214" t="str">
        <f>IFERROR(__xludf.DUMMYFUNCTION("""COMPUTED_VALUE"""),"BUF")</f>
        <v>BUF</v>
      </c>
      <c r="G5214">
        <f>IFERROR(__xludf.DUMMYFUNCTION("""COMPUTED_VALUE"""),19.5)</f>
        <v>19.5</v>
      </c>
    </row>
    <row r="5215">
      <c r="D5215" t="str">
        <f>IFERROR(__xludf.DUMMYFUNCTION("""COMPUTED_VALUE"""),"Davis Sr")</f>
        <v>Davis Sr</v>
      </c>
      <c r="E5215" t="str">
        <f>IFERROR(__xludf.DUMMYFUNCTION("""COMPUTED_VALUE"""),"Thomas")</f>
        <v>Thomas</v>
      </c>
      <c r="F5215" t="str">
        <f>IFERROR(__xludf.DUMMYFUNCTION("""COMPUTED_VALUE"""),"CAR")</f>
        <v>CAR</v>
      </c>
      <c r="G5215">
        <f>IFERROR(__xludf.DUMMYFUNCTION("""COMPUTED_VALUE"""),20.75)</f>
        <v>20.75</v>
      </c>
    </row>
    <row r="5216">
      <c r="D5216" t="str">
        <f>IFERROR(__xludf.DUMMYFUNCTION("""COMPUTED_VALUE"""),"Davison")</f>
        <v>Davison</v>
      </c>
      <c r="E5216" t="str">
        <f>IFERROR(__xludf.DUMMYFUNCTION("""COMPUTED_VALUE"""),"Tyeler")</f>
        <v>Tyeler</v>
      </c>
      <c r="F5216" t="str">
        <f>IFERROR(__xludf.DUMMYFUNCTION("""COMPUTED_VALUE"""),"NO")</f>
        <v>NO</v>
      </c>
      <c r="G5216">
        <f>IFERROR(__xludf.DUMMYFUNCTION("""COMPUTED_VALUE"""),19.25)</f>
        <v>19.25</v>
      </c>
    </row>
    <row r="5217">
      <c r="D5217" t="str">
        <f>IFERROR(__xludf.DUMMYFUNCTION("""COMPUTED_VALUE"""),"Dawkins")</f>
        <v>Dawkins</v>
      </c>
      <c r="E5217" t="str">
        <f>IFERROR(__xludf.DUMMYFUNCTION("""COMPUTED_VALUE"""),"Dion")</f>
        <v>Dion</v>
      </c>
      <c r="F5217" t="str">
        <f>IFERROR(__xludf.DUMMYFUNCTION("""COMPUTED_VALUE"""),"BUF")</f>
        <v>BUF</v>
      </c>
      <c r="G5217">
        <f>IFERROR(__xludf.DUMMYFUNCTION("""COMPUTED_VALUE"""),19.5)</f>
        <v>19.5</v>
      </c>
    </row>
    <row r="5218">
      <c r="D5218" t="str">
        <f>IFERROR(__xludf.DUMMYFUNCTION("""COMPUTED_VALUE"""),"Dawson")</f>
        <v>Dawson</v>
      </c>
      <c r="E5218" t="str">
        <f>IFERROR(__xludf.DUMMYFUNCTION("""COMPUTED_VALUE"""),"Phil")</f>
        <v>Phil</v>
      </c>
      <c r="F5218" t="str">
        <f>IFERROR(__xludf.DUMMYFUNCTION("""COMPUTED_VALUE"""),"ARZ")</f>
        <v>ARZ</v>
      </c>
      <c r="G5218">
        <f>IFERROR(__xludf.DUMMYFUNCTION("""COMPUTED_VALUE"""),19.5)</f>
        <v>19.5</v>
      </c>
    </row>
    <row r="5219">
      <c r="D5219" t="str">
        <f>IFERROR(__xludf.DUMMYFUNCTION("""COMPUTED_VALUE"""),"Dawson Jr")</f>
        <v>Dawson Jr</v>
      </c>
      <c r="E5219" t="str">
        <f>IFERROR(__xludf.DUMMYFUNCTION("""COMPUTED_VALUE"""),"Duke")</f>
        <v>Duke</v>
      </c>
      <c r="F5219" t="str">
        <f>IFERROR(__xludf.DUMMYFUNCTION("""COMPUTED_VALUE"""),"NE")</f>
        <v>NE</v>
      </c>
      <c r="G5219">
        <f>IFERROR(__xludf.DUMMYFUNCTION("""COMPUTED_VALUE"""),18.25)</f>
        <v>18.25</v>
      </c>
    </row>
    <row r="5220">
      <c r="D5220" t="str">
        <f>IFERROR(__xludf.DUMMYFUNCTION("""COMPUTED_VALUE"""),"Day")</f>
        <v>Day</v>
      </c>
      <c r="E5220" t="str">
        <f>IFERROR(__xludf.DUMMYFUNCTION("""COMPUTED_VALUE"""),"Dillon")</f>
        <v>Dillon</v>
      </c>
      <c r="F5220" t="str">
        <f>IFERROR(__xludf.DUMMYFUNCTION("""COMPUTED_VALUE"""),"GB")</f>
        <v>GB</v>
      </c>
      <c r="G5220">
        <f>IFERROR(__xludf.DUMMYFUNCTION("""COMPUTED_VALUE"""),16.5)</f>
        <v>16.5</v>
      </c>
    </row>
    <row r="5221">
      <c r="D5221" t="str">
        <f>IFERROR(__xludf.DUMMYFUNCTION("""COMPUTED_VALUE"""),"Day")</f>
        <v>Day</v>
      </c>
      <c r="E5221" t="str">
        <f>IFERROR(__xludf.DUMMYFUNCTION("""COMPUTED_VALUE"""),"Sheldon")</f>
        <v>Sheldon</v>
      </c>
      <c r="F5221" t="str">
        <f>IFERROR(__xludf.DUMMYFUNCTION("""COMPUTED_VALUE"""),"SF")</f>
        <v>SF</v>
      </c>
      <c r="G5221">
        <f>IFERROR(__xludf.DUMMYFUNCTION("""COMPUTED_VALUE"""),18.25)</f>
        <v>18.25</v>
      </c>
    </row>
    <row r="5222">
      <c r="D5222" t="str">
        <f>IFERROR(__xludf.DUMMYFUNCTION("""COMPUTED_VALUE"""),"Dayes")</f>
        <v>Dayes</v>
      </c>
      <c r="E5222" t="str">
        <f>IFERROR(__xludf.DUMMYFUNCTION("""COMPUTED_VALUE"""),"Matthew")</f>
        <v>Matthew</v>
      </c>
      <c r="F5222" t="str">
        <f>IFERROR(__xludf.DUMMYFUNCTION("""COMPUTED_VALUE"""),"CLE")</f>
        <v>CLE</v>
      </c>
      <c r="G5222">
        <f>IFERROR(__xludf.DUMMYFUNCTION("""COMPUTED_VALUE"""),15.75)</f>
        <v>15.75</v>
      </c>
    </row>
    <row r="5223">
      <c r="D5223" t="str">
        <f>IFERROR(__xludf.DUMMYFUNCTION("""COMPUTED_VALUE"""),"Deayon")</f>
        <v>Deayon</v>
      </c>
      <c r="E5223" t="str">
        <f>IFERROR(__xludf.DUMMYFUNCTION("""COMPUTED_VALUE"""),"Donte")</f>
        <v>Donte</v>
      </c>
      <c r="F5223" t="str">
        <f>IFERROR(__xludf.DUMMYFUNCTION("""COMPUTED_VALUE"""),"NYG")</f>
        <v>NYG</v>
      </c>
      <c r="G5223">
        <f>IFERROR(__xludf.DUMMYFUNCTION("""COMPUTED_VALUE"""),16.75)</f>
        <v>16.75</v>
      </c>
    </row>
    <row r="5224">
      <c r="D5224" t="str">
        <f>IFERROR(__xludf.DUMMYFUNCTION("""COMPUTED_VALUE"""),"DeCastro")</f>
        <v>DeCastro</v>
      </c>
      <c r="E5224" t="str">
        <f>IFERROR(__xludf.DUMMYFUNCTION("""COMPUTED_VALUE"""),"David")</f>
        <v>David</v>
      </c>
      <c r="F5224" t="str">
        <f>IFERROR(__xludf.DUMMYFUNCTION("""COMPUTED_VALUE"""),"PIT")</f>
        <v>PIT</v>
      </c>
      <c r="G5224">
        <f>IFERROR(__xludf.DUMMYFUNCTION("""COMPUTED_VALUE"""),21.75)</f>
        <v>21.75</v>
      </c>
    </row>
    <row r="5225">
      <c r="D5225" t="str">
        <f>IFERROR(__xludf.DUMMYFUNCTION("""COMPUTED_VALUE"""),"Decker")</f>
        <v>Decker</v>
      </c>
      <c r="E5225" t="str">
        <f>IFERROR(__xludf.DUMMYFUNCTION("""COMPUTED_VALUE"""),"Eric")</f>
        <v>Eric</v>
      </c>
      <c r="F5225" t="str">
        <f>IFERROR(__xludf.DUMMYFUNCTION("""COMPUTED_VALUE"""),"FA")</f>
        <v>FA</v>
      </c>
      <c r="G5225">
        <f>IFERROR(__xludf.DUMMYFUNCTION("""COMPUTED_VALUE"""),15.25)</f>
        <v>15.25</v>
      </c>
    </row>
    <row r="5226">
      <c r="D5226" t="str">
        <f>IFERROR(__xludf.DUMMYFUNCTION("""COMPUTED_VALUE"""),"Decker")</f>
        <v>Decker</v>
      </c>
      <c r="E5226" t="str">
        <f>IFERROR(__xludf.DUMMYFUNCTION("""COMPUTED_VALUE"""),"Taylor")</f>
        <v>Taylor</v>
      </c>
      <c r="F5226" t="str">
        <f>IFERROR(__xludf.DUMMYFUNCTION("""COMPUTED_VALUE"""),"DET")</f>
        <v>DET</v>
      </c>
      <c r="G5226">
        <f>IFERROR(__xludf.DUMMYFUNCTION("""COMPUTED_VALUE"""),19.25)</f>
        <v>19.25</v>
      </c>
    </row>
    <row r="5227">
      <c r="D5227" t="str">
        <f>IFERROR(__xludf.DUMMYFUNCTION("""COMPUTED_VALUE"""),"DeCoud")</f>
        <v>DeCoud</v>
      </c>
      <c r="E5227" t="str">
        <f>IFERROR(__xludf.DUMMYFUNCTION("""COMPUTED_VALUE"""),"Treston")</f>
        <v>Treston</v>
      </c>
      <c r="F5227" t="str">
        <f>IFERROR(__xludf.DUMMYFUNCTION("""COMPUTED_VALUE"""),"HOU")</f>
        <v>HOU</v>
      </c>
      <c r="G5227">
        <f>IFERROR(__xludf.DUMMYFUNCTION("""COMPUTED_VALUE"""),17.25)</f>
        <v>17.25</v>
      </c>
    </row>
    <row r="5228">
      <c r="D5228" t="str">
        <f>IFERROR(__xludf.DUMMYFUNCTION("""COMPUTED_VALUE"""),"Demby")</f>
        <v>Demby</v>
      </c>
      <c r="E5228" t="str">
        <f>IFERROR(__xludf.DUMMYFUNCTION("""COMPUTED_VALUE"""),"Jamil")</f>
        <v>Jamil</v>
      </c>
      <c r="F5228" t="str">
        <f>IFERROR(__xludf.DUMMYFUNCTION("""COMPUTED_VALUE"""),"LAR")</f>
        <v>LAR</v>
      </c>
      <c r="G5228">
        <f>IFERROR(__xludf.DUMMYFUNCTION("""COMPUTED_VALUE"""),17.25)</f>
        <v>17.25</v>
      </c>
    </row>
    <row r="5229">
      <c r="D5229" t="str">
        <f>IFERROR(__xludf.DUMMYFUNCTION("""COMPUTED_VALUE"""),"Dennard")</f>
        <v>Dennard</v>
      </c>
      <c r="E5229" t="str">
        <f>IFERROR(__xludf.DUMMYFUNCTION("""COMPUTED_VALUE"""),"Darqueze")</f>
        <v>Darqueze</v>
      </c>
      <c r="F5229" t="str">
        <f>IFERROR(__xludf.DUMMYFUNCTION("""COMPUTED_VALUE"""),"CIN")</f>
        <v>CIN</v>
      </c>
      <c r="G5229">
        <f>IFERROR(__xludf.DUMMYFUNCTION("""COMPUTED_VALUE"""),19.25)</f>
        <v>19.25</v>
      </c>
    </row>
    <row r="5230">
      <c r="D5230" t="str">
        <f>IFERROR(__xludf.DUMMYFUNCTION("""COMPUTED_VALUE"""),"Derby")</f>
        <v>Derby</v>
      </c>
      <c r="E5230" t="str">
        <f>IFERROR(__xludf.DUMMYFUNCTION("""COMPUTED_VALUE"""),"AJ")</f>
        <v>AJ</v>
      </c>
      <c r="F5230" t="str">
        <f>IFERROR(__xludf.DUMMYFUNCTION("""COMPUTED_VALUE"""),"MIA")</f>
        <v>MIA</v>
      </c>
      <c r="G5230">
        <f>IFERROR(__xludf.DUMMYFUNCTION("""COMPUTED_VALUE"""),19.0)</f>
        <v>19</v>
      </c>
    </row>
    <row r="5231">
      <c r="D5231" t="str">
        <f>IFERROR(__xludf.DUMMYFUNCTION("""COMPUTED_VALUE"""),"Desir")</f>
        <v>Desir</v>
      </c>
      <c r="E5231" t="str">
        <f>IFERROR(__xludf.DUMMYFUNCTION("""COMPUTED_VALUE"""),"Pierre")</f>
        <v>Pierre</v>
      </c>
      <c r="F5231" t="str">
        <f>IFERROR(__xludf.DUMMYFUNCTION("""COMPUTED_VALUE"""),"IND")</f>
        <v>IND</v>
      </c>
      <c r="G5231">
        <f>IFERROR(__xludf.DUMMYFUNCTION("""COMPUTED_VALUE"""),18.75)</f>
        <v>18.75</v>
      </c>
    </row>
    <row r="5232">
      <c r="D5232" t="str">
        <f>IFERROR(__xludf.DUMMYFUNCTION("""COMPUTED_VALUE"""),"DeValve")</f>
        <v>DeValve</v>
      </c>
      <c r="E5232" t="str">
        <f>IFERROR(__xludf.DUMMYFUNCTION("""COMPUTED_VALUE"""),"Seth")</f>
        <v>Seth</v>
      </c>
      <c r="F5232" t="str">
        <f>IFERROR(__xludf.DUMMYFUNCTION("""COMPUTED_VALUE"""),"CLE")</f>
        <v>CLE</v>
      </c>
      <c r="G5232">
        <f>IFERROR(__xludf.DUMMYFUNCTION("""COMPUTED_VALUE"""),19.0)</f>
        <v>19</v>
      </c>
    </row>
    <row r="5233">
      <c r="D5233" t="str">
        <f>IFERROR(__xludf.DUMMYFUNCTION("""COMPUTED_VALUE"""),"Develin")</f>
        <v>Develin</v>
      </c>
      <c r="E5233" t="str">
        <f>IFERROR(__xludf.DUMMYFUNCTION("""COMPUTED_VALUE"""),"James")</f>
        <v>James</v>
      </c>
      <c r="F5233" t="str">
        <f>IFERROR(__xludf.DUMMYFUNCTION("""COMPUTED_VALUE"""),"NE")</f>
        <v>NE</v>
      </c>
      <c r="G5233">
        <f>IFERROR(__xludf.DUMMYFUNCTION("""COMPUTED_VALUE"""),20.75)</f>
        <v>20.75</v>
      </c>
    </row>
    <row r="5234">
      <c r="D5234" t="str">
        <f>IFERROR(__xludf.DUMMYFUNCTION("""COMPUTED_VALUE"""),"Devey")</f>
        <v>Devey</v>
      </c>
      <c r="E5234" t="str">
        <f>IFERROR(__xludf.DUMMYFUNCTION("""COMPUTED_VALUE"""),"Jordan")</f>
        <v>Jordan</v>
      </c>
      <c r="F5234" t="str">
        <f>IFERROR(__xludf.DUMMYFUNCTION("""COMPUTED_VALUE"""),"KC")</f>
        <v>KC</v>
      </c>
      <c r="G5234">
        <f>IFERROR(__xludf.DUMMYFUNCTION("""COMPUTED_VALUE"""),17.0)</f>
        <v>17</v>
      </c>
    </row>
    <row r="5235">
      <c r="D5235" t="str">
        <f>IFERROR(__xludf.DUMMYFUNCTION("""COMPUTED_VALUE"""),"Dickson")</f>
        <v>Dickson</v>
      </c>
      <c r="E5235" t="str">
        <f>IFERROR(__xludf.DUMMYFUNCTION("""COMPUTED_VALUE"""),"Ed")</f>
        <v>Ed</v>
      </c>
      <c r="F5235" t="str">
        <f>IFERROR(__xludf.DUMMYFUNCTION("""COMPUTED_VALUE"""),"SEA")</f>
        <v>SEA</v>
      </c>
      <c r="G5235">
        <f>IFERROR(__xludf.DUMMYFUNCTION("""COMPUTED_VALUE"""),18.5)</f>
        <v>18.5</v>
      </c>
    </row>
    <row r="5236">
      <c r="D5236" t="str">
        <f>IFERROR(__xludf.DUMMYFUNCTION("""COMPUTED_VALUE"""),"Dickson")</f>
        <v>Dickson</v>
      </c>
      <c r="E5236" t="str">
        <f>IFERROR(__xludf.DUMMYFUNCTION("""COMPUTED_VALUE"""),"Michael")</f>
        <v>Michael</v>
      </c>
      <c r="F5236" t="str">
        <f>IFERROR(__xludf.DUMMYFUNCTION("""COMPUTED_VALUE"""),"SEA")</f>
        <v>SEA</v>
      </c>
      <c r="G5236">
        <f>IFERROR(__xludf.DUMMYFUNCTION("""COMPUTED_VALUE"""),19.75)</f>
        <v>19.75</v>
      </c>
    </row>
    <row r="5237">
      <c r="D5237" t="str">
        <f>IFERROR(__xludf.DUMMYFUNCTION("""COMPUTED_VALUE"""),"Dielman")</f>
        <v>Dielman</v>
      </c>
      <c r="E5237" t="str">
        <f>IFERROR(__xludf.DUMMYFUNCTION("""COMPUTED_VALUE"""),"JJ")</f>
        <v>JJ</v>
      </c>
      <c r="F5237" t="str">
        <f>IFERROR(__xludf.DUMMYFUNCTION("""COMPUTED_VALUE"""),"DEN")</f>
        <v>DEN</v>
      </c>
      <c r="G5237">
        <f>IFERROR(__xludf.DUMMYFUNCTION("""COMPUTED_VALUE"""),17.75)</f>
        <v>17.75</v>
      </c>
    </row>
    <row r="5238">
      <c r="D5238" t="str">
        <f>IFERROR(__xludf.DUMMYFUNCTION("""COMPUTED_VALUE"""),"Diggs")</f>
        <v>Diggs</v>
      </c>
      <c r="E5238" t="str">
        <f>IFERROR(__xludf.DUMMYFUNCTION("""COMPUTED_VALUE"""),"Quandre")</f>
        <v>Quandre</v>
      </c>
      <c r="F5238" t="str">
        <f>IFERROR(__xludf.DUMMYFUNCTION("""COMPUTED_VALUE"""),"DET")</f>
        <v>DET</v>
      </c>
      <c r="G5238">
        <f>IFERROR(__xludf.DUMMYFUNCTION("""COMPUTED_VALUE"""),19.0)</f>
        <v>19</v>
      </c>
    </row>
    <row r="5239">
      <c r="D5239" t="str">
        <f>IFERROR(__xludf.DUMMYFUNCTION("""COMPUTED_VALUE"""),"Diggs")</f>
        <v>Diggs</v>
      </c>
      <c r="E5239" t="str">
        <f>IFERROR(__xludf.DUMMYFUNCTION("""COMPUTED_VALUE"""),"Stefon")</f>
        <v>Stefon</v>
      </c>
      <c r="F5239" t="str">
        <f>IFERROR(__xludf.DUMMYFUNCTION("""COMPUTED_VALUE"""),"MIN")</f>
        <v>MIN</v>
      </c>
      <c r="G5239">
        <f>IFERROR(__xludf.DUMMYFUNCTION("""COMPUTED_VALUE"""),21.25)</f>
        <v>21.25</v>
      </c>
    </row>
    <row r="5240">
      <c r="D5240" t="str">
        <f>IFERROR(__xludf.DUMMYFUNCTION("""COMPUTED_VALUE"""),"DiMarco")</f>
        <v>DiMarco</v>
      </c>
      <c r="E5240" t="str">
        <f>IFERROR(__xludf.DUMMYFUNCTION("""COMPUTED_VALUE"""),"Patrick")</f>
        <v>Patrick</v>
      </c>
      <c r="F5240" t="str">
        <f>IFERROR(__xludf.DUMMYFUNCTION("""COMPUTED_VALUE"""),"BUF")</f>
        <v>BUF</v>
      </c>
      <c r="G5240">
        <f>IFERROR(__xludf.DUMMYFUNCTION("""COMPUTED_VALUE"""),18.25)</f>
        <v>18.25</v>
      </c>
    </row>
    <row r="5241">
      <c r="D5241" t="str">
        <f>IFERROR(__xludf.DUMMYFUNCTION("""COMPUTED_VALUE"""),"Dissly")</f>
        <v>Dissly</v>
      </c>
      <c r="E5241" t="str">
        <f>IFERROR(__xludf.DUMMYFUNCTION("""COMPUTED_VALUE"""),"Will")</f>
        <v>Will</v>
      </c>
      <c r="F5241" t="str">
        <f>IFERROR(__xludf.DUMMYFUNCTION("""COMPUTED_VALUE"""),"SEA")</f>
        <v>SEA</v>
      </c>
      <c r="G5241">
        <f>IFERROR(__xludf.DUMMYFUNCTION("""COMPUTED_VALUE"""),18.0)</f>
        <v>18</v>
      </c>
    </row>
    <row r="5242">
      <c r="D5242" t="str">
        <f>IFERROR(__xludf.DUMMYFUNCTION("""COMPUTED_VALUE"""),"Dixon")</f>
        <v>Dixon</v>
      </c>
      <c r="E5242" t="str">
        <f>IFERROR(__xludf.DUMMYFUNCTION("""COMPUTED_VALUE"""),"Brandon")</f>
        <v>Brandon</v>
      </c>
      <c r="F5242" t="str">
        <f>IFERROR(__xludf.DUMMYFUNCTION("""COMPUTED_VALUE"""),"FA")</f>
        <v>FA</v>
      </c>
      <c r="G5242">
        <f>IFERROR(__xludf.DUMMYFUNCTION("""COMPUTED_VALUE"""),16.0)</f>
        <v>16</v>
      </c>
    </row>
    <row r="5243">
      <c r="D5243" t="str">
        <f>IFERROR(__xludf.DUMMYFUNCTION("""COMPUTED_VALUE"""),"Dixon")</f>
        <v>Dixon</v>
      </c>
      <c r="E5243" t="str">
        <f>IFERROR(__xludf.DUMMYFUNCTION("""COMPUTED_VALUE"""),"Kenneth")</f>
        <v>Kenneth</v>
      </c>
      <c r="F5243" t="str">
        <f>IFERROR(__xludf.DUMMYFUNCTION("""COMPUTED_VALUE"""),"BAL")</f>
        <v>BAL</v>
      </c>
      <c r="G5243">
        <f>IFERROR(__xludf.DUMMYFUNCTION("""COMPUTED_VALUE"""),18.5)</f>
        <v>18.5</v>
      </c>
    </row>
    <row r="5244">
      <c r="D5244" t="str">
        <f>IFERROR(__xludf.DUMMYFUNCTION("""COMPUTED_VALUE"""),"Dixon")</f>
        <v>Dixon</v>
      </c>
      <c r="E5244" t="str">
        <f>IFERROR(__xludf.DUMMYFUNCTION("""COMPUTED_VALUE"""),"Riley")</f>
        <v>Riley</v>
      </c>
      <c r="F5244" t="str">
        <f>IFERROR(__xludf.DUMMYFUNCTION("""COMPUTED_VALUE"""),"NYG")</f>
        <v>NYG</v>
      </c>
      <c r="G5244">
        <f>IFERROR(__xludf.DUMMYFUNCTION("""COMPUTED_VALUE"""),18.75)</f>
        <v>18.75</v>
      </c>
    </row>
    <row r="5245">
      <c r="D5245" t="str">
        <f>IFERROR(__xludf.DUMMYFUNCTION("""COMPUTED_VALUE"""),"Dobbs")</f>
        <v>Dobbs</v>
      </c>
      <c r="E5245" t="str">
        <f>IFERROR(__xludf.DUMMYFUNCTION("""COMPUTED_VALUE"""),"Joshua")</f>
        <v>Joshua</v>
      </c>
      <c r="F5245" t="str">
        <f>IFERROR(__xludf.DUMMYFUNCTION("""COMPUTED_VALUE"""),"PIT")</f>
        <v>PIT</v>
      </c>
      <c r="G5245">
        <f>IFERROR(__xludf.DUMMYFUNCTION("""COMPUTED_VALUE"""),18.25)</f>
        <v>18.25</v>
      </c>
    </row>
    <row r="5246">
      <c r="D5246" t="str">
        <f>IFERROR(__xludf.DUMMYFUNCTION("""COMPUTED_VALUE"""),"Doctson")</f>
        <v>Doctson</v>
      </c>
      <c r="E5246" t="str">
        <f>IFERROR(__xludf.DUMMYFUNCTION("""COMPUTED_VALUE"""),"Josh")</f>
        <v>Josh</v>
      </c>
      <c r="F5246" t="str">
        <f>IFERROR(__xludf.DUMMYFUNCTION("""COMPUTED_VALUE"""),"WAS")</f>
        <v>WAS</v>
      </c>
      <c r="G5246">
        <f>IFERROR(__xludf.DUMMYFUNCTION("""COMPUTED_VALUE"""),19.25)</f>
        <v>19.25</v>
      </c>
    </row>
    <row r="5247">
      <c r="D5247" t="str">
        <f>IFERROR(__xludf.DUMMYFUNCTION("""COMPUTED_VALUE"""),"Dodd")</f>
        <v>Dodd</v>
      </c>
      <c r="E5247" t="str">
        <f>IFERROR(__xludf.DUMMYFUNCTION("""COMPUTED_VALUE"""),"Kevin")</f>
        <v>Kevin</v>
      </c>
      <c r="F5247" t="str">
        <f>IFERROR(__xludf.DUMMYFUNCTION("""COMPUTED_VALUE"""),"TEN")</f>
        <v>TEN</v>
      </c>
      <c r="G5247">
        <f>IFERROR(__xludf.DUMMYFUNCTION("""COMPUTED_VALUE"""),18.75)</f>
        <v>18.75</v>
      </c>
    </row>
    <row r="5248">
      <c r="D5248" t="str">
        <f>IFERROR(__xludf.DUMMYFUNCTION("""COMPUTED_VALUE"""),"Donahue")</f>
        <v>Donahue</v>
      </c>
      <c r="E5248" t="str">
        <f>IFERROR(__xludf.DUMMYFUNCTION("""COMPUTED_VALUE"""),"Dylan")</f>
        <v>Dylan</v>
      </c>
      <c r="F5248" t="str">
        <f>IFERROR(__xludf.DUMMYFUNCTION("""COMPUTED_VALUE"""),"NYJ")</f>
        <v>NYJ</v>
      </c>
      <c r="G5248">
        <f>IFERROR(__xludf.DUMMYFUNCTION("""COMPUTED_VALUE"""),17.0)</f>
        <v>17</v>
      </c>
    </row>
    <row r="5249">
      <c r="D5249" t="str">
        <f>IFERROR(__xludf.DUMMYFUNCTION("""COMPUTED_VALUE"""),"Donald")</f>
        <v>Donald</v>
      </c>
      <c r="E5249" t="str">
        <f>IFERROR(__xludf.DUMMYFUNCTION("""COMPUTED_VALUE"""),"Aaron")</f>
        <v>Aaron</v>
      </c>
      <c r="F5249" t="str">
        <f>IFERROR(__xludf.DUMMYFUNCTION("""COMPUTED_VALUE"""),"LAR")</f>
        <v>LAR</v>
      </c>
      <c r="G5249">
        <f>IFERROR(__xludf.DUMMYFUNCTION("""COMPUTED_VALUE"""),22.25)</f>
        <v>22.25</v>
      </c>
    </row>
    <row r="5250">
      <c r="D5250" t="str">
        <f>IFERROR(__xludf.DUMMYFUNCTION("""COMPUTED_VALUE"""),"Donnal")</f>
        <v>Donnal</v>
      </c>
      <c r="E5250" t="str">
        <f>IFERROR(__xludf.DUMMYFUNCTION("""COMPUTED_VALUE"""),"Andrew")</f>
        <v>Andrew</v>
      </c>
      <c r="F5250" t="str">
        <f>IFERROR(__xludf.DUMMYFUNCTION("""COMPUTED_VALUE"""),"BAL")</f>
        <v>BAL</v>
      </c>
      <c r="G5250">
        <f>IFERROR(__xludf.DUMMYFUNCTION("""COMPUTED_VALUE"""),15.5)</f>
        <v>15.5</v>
      </c>
    </row>
    <row r="5251">
      <c r="D5251" t="str">
        <f>IFERROR(__xludf.DUMMYFUNCTION("""COMPUTED_VALUE"""),"Donnerson")</f>
        <v>Donnerson</v>
      </c>
      <c r="E5251" t="str">
        <f>IFERROR(__xludf.DUMMYFUNCTION("""COMPUTED_VALUE"""),"Kendall")</f>
        <v>Kendall</v>
      </c>
      <c r="F5251" t="str">
        <f>IFERROR(__xludf.DUMMYFUNCTION("""COMPUTED_VALUE"""),"GB")</f>
        <v>GB</v>
      </c>
      <c r="G5251">
        <f>IFERROR(__xludf.DUMMYFUNCTION("""COMPUTED_VALUE"""),16.0)</f>
        <v>16</v>
      </c>
    </row>
    <row r="5252">
      <c r="D5252" t="str">
        <f>IFERROR(__xludf.DUMMYFUNCTION("""COMPUTED_VALUE"""),"Dora")</f>
        <v>Dora</v>
      </c>
      <c r="E5252" t="str">
        <f>IFERROR(__xludf.DUMMYFUNCTION("""COMPUTED_VALUE"""),"Vontarrius")</f>
        <v>Vontarrius</v>
      </c>
      <c r="F5252" t="str">
        <f>IFERROR(__xludf.DUMMYFUNCTION("""COMPUTED_VALUE"""),"ARZ")</f>
        <v>ARZ</v>
      </c>
      <c r="G5252">
        <f>IFERROR(__xludf.DUMMYFUNCTION("""COMPUTED_VALUE"""),15.5)</f>
        <v>15.5</v>
      </c>
    </row>
    <row r="5253">
      <c r="D5253" t="str">
        <f>IFERROR(__xludf.DUMMYFUNCTION("""COMPUTED_VALUE"""),"Dorsett")</f>
        <v>Dorsett</v>
      </c>
      <c r="E5253" t="str">
        <f>IFERROR(__xludf.DUMMYFUNCTION("""COMPUTED_VALUE"""),"Phillip")</f>
        <v>Phillip</v>
      </c>
      <c r="F5253" t="str">
        <f>IFERROR(__xludf.DUMMYFUNCTION("""COMPUTED_VALUE"""),"NE")</f>
        <v>NE</v>
      </c>
      <c r="G5253">
        <f>IFERROR(__xludf.DUMMYFUNCTION("""COMPUTED_VALUE"""),18.75)</f>
        <v>18.75</v>
      </c>
    </row>
    <row r="5254">
      <c r="D5254" t="str">
        <f>IFERROR(__xludf.DUMMYFUNCTION("""COMPUTED_VALUE"""),"Doss")</f>
        <v>Doss</v>
      </c>
      <c r="E5254" t="str">
        <f>IFERROR(__xludf.DUMMYFUNCTION("""COMPUTED_VALUE"""),"Lorenzo")</f>
        <v>Lorenzo</v>
      </c>
      <c r="F5254" t="str">
        <f>IFERROR(__xludf.DUMMYFUNCTION("""COMPUTED_VALUE"""),"CAR")</f>
        <v>CAR</v>
      </c>
      <c r="G5254">
        <f>IFERROR(__xludf.DUMMYFUNCTION("""COMPUTED_VALUE"""),16.0)</f>
        <v>16</v>
      </c>
    </row>
    <row r="5255">
      <c r="D5255" t="str">
        <f>IFERROR(__xludf.DUMMYFUNCTION("""COMPUTED_VALUE"""),"Dotson")</f>
        <v>Dotson</v>
      </c>
      <c r="E5255" t="str">
        <f>IFERROR(__xludf.DUMMYFUNCTION("""COMPUTED_VALUE"""),"Demar")</f>
        <v>Demar</v>
      </c>
      <c r="F5255" t="str">
        <f>IFERROR(__xludf.DUMMYFUNCTION("""COMPUTED_VALUE"""),"TB")</f>
        <v>TB</v>
      </c>
      <c r="G5255">
        <f>IFERROR(__xludf.DUMMYFUNCTION("""COMPUTED_VALUE"""),21.0)</f>
        <v>21</v>
      </c>
    </row>
    <row r="5256">
      <c r="D5256" t="str">
        <f>IFERROR(__xludf.DUMMYFUNCTION("""COMPUTED_VALUE"""),"Douglas")</f>
        <v>Douglas</v>
      </c>
      <c r="E5256" t="str">
        <f>IFERROR(__xludf.DUMMYFUNCTION("""COMPUTED_VALUE"""),"Jamil")</f>
        <v>Jamil</v>
      </c>
      <c r="F5256" t="str">
        <f>IFERROR(__xludf.DUMMYFUNCTION("""COMPUTED_VALUE"""),"ATL")</f>
        <v>ATL</v>
      </c>
      <c r="G5256">
        <f>IFERROR(__xludf.DUMMYFUNCTION("""COMPUTED_VALUE"""),16.5)</f>
        <v>16.5</v>
      </c>
    </row>
    <row r="5257">
      <c r="D5257" t="str">
        <f>IFERROR(__xludf.DUMMYFUNCTION("""COMPUTED_VALUE"""),"Douglas")</f>
        <v>Douglas</v>
      </c>
      <c r="E5257" t="str">
        <f>IFERROR(__xludf.DUMMYFUNCTION("""COMPUTED_VALUE"""),"Rasul")</f>
        <v>Rasul</v>
      </c>
      <c r="F5257" t="str">
        <f>IFERROR(__xludf.DUMMYFUNCTION("""COMPUTED_VALUE"""),"PHI")</f>
        <v>PHI</v>
      </c>
      <c r="G5257">
        <f>IFERROR(__xludf.DUMMYFUNCTION("""COMPUTED_VALUE"""),18.5)</f>
        <v>18.5</v>
      </c>
    </row>
    <row r="5258">
      <c r="D5258" t="str">
        <f>IFERROR(__xludf.DUMMYFUNCTION("""COMPUTED_VALUE"""),"Downs")</f>
        <v>Downs</v>
      </c>
      <c r="E5258" t="str">
        <f>IFERROR(__xludf.DUMMYFUNCTION("""COMPUTED_VALUE"""),"Devante")</f>
        <v>Devante</v>
      </c>
      <c r="F5258" t="str">
        <f>IFERROR(__xludf.DUMMYFUNCTION("""COMPUTED_VALUE"""),"MIN")</f>
        <v>MIN</v>
      </c>
      <c r="G5258">
        <f>IFERROR(__xludf.DUMMYFUNCTION("""COMPUTED_VALUE"""),16.75)</f>
        <v>16.75</v>
      </c>
    </row>
    <row r="5259">
      <c r="D5259" t="str">
        <f>IFERROR(__xludf.DUMMYFUNCTION("""COMPUTED_VALUE"""),"Doyle")</f>
        <v>Doyle</v>
      </c>
      <c r="E5259" t="str">
        <f>IFERROR(__xludf.DUMMYFUNCTION("""COMPUTED_VALUE"""),"Jack")</f>
        <v>Jack</v>
      </c>
      <c r="F5259" t="str">
        <f>IFERROR(__xludf.DUMMYFUNCTION("""COMPUTED_VALUE"""),"IND")</f>
        <v>IND</v>
      </c>
      <c r="G5259">
        <f>IFERROR(__xludf.DUMMYFUNCTION("""COMPUTED_VALUE"""),20.0)</f>
        <v>20</v>
      </c>
    </row>
    <row r="5260">
      <c r="D5260" t="str">
        <f>IFERROR(__xludf.DUMMYFUNCTION("""COMPUTED_VALUE"""),"Dozier")</f>
        <v>Dozier</v>
      </c>
      <c r="E5260" t="str">
        <f>IFERROR(__xludf.DUMMYFUNCTION("""COMPUTED_VALUE"""),"Dakota")</f>
        <v>Dakota</v>
      </c>
      <c r="F5260" t="str">
        <f>IFERROR(__xludf.DUMMYFUNCTION("""COMPUTED_VALUE"""),"NYJ")</f>
        <v>NYJ</v>
      </c>
      <c r="G5260">
        <f>IFERROR(__xludf.DUMMYFUNCTION("""COMPUTED_VALUE"""),17.75)</f>
        <v>17.75</v>
      </c>
    </row>
    <row r="5261">
      <c r="D5261" t="str">
        <f>IFERROR(__xludf.DUMMYFUNCTION("""COMPUTED_VALUE"""),"Drake")</f>
        <v>Drake</v>
      </c>
      <c r="E5261" t="str">
        <f>IFERROR(__xludf.DUMMYFUNCTION("""COMPUTED_VALUE"""),"Kenyan")</f>
        <v>Kenyan</v>
      </c>
      <c r="F5261" t="str">
        <f>IFERROR(__xludf.DUMMYFUNCTION("""COMPUTED_VALUE"""),"MIA")</f>
        <v>MIA</v>
      </c>
      <c r="G5261">
        <f>IFERROR(__xludf.DUMMYFUNCTION("""COMPUTED_VALUE"""),19.25)</f>
        <v>19.25</v>
      </c>
    </row>
    <row r="5262">
      <c r="D5262" t="str">
        <f>IFERROR(__xludf.DUMMYFUNCTION("""COMPUTED_VALUE"""),"Drango")</f>
        <v>Drango</v>
      </c>
      <c r="E5262" t="str">
        <f>IFERROR(__xludf.DUMMYFUNCTION("""COMPUTED_VALUE"""),"Spencer")</f>
        <v>Spencer</v>
      </c>
      <c r="F5262" t="str">
        <f>IFERROR(__xludf.DUMMYFUNCTION("""COMPUTED_VALUE"""),"CLE")</f>
        <v>CLE</v>
      </c>
      <c r="G5262">
        <f>IFERROR(__xludf.DUMMYFUNCTION("""COMPUTED_VALUE"""),17.5)</f>
        <v>17.5</v>
      </c>
    </row>
    <row r="5263">
      <c r="D5263" t="str">
        <f>IFERROR(__xludf.DUMMYFUNCTION("""COMPUTED_VALUE"""),"Driskel")</f>
        <v>Driskel</v>
      </c>
      <c r="E5263" t="str">
        <f>IFERROR(__xludf.DUMMYFUNCTION("""COMPUTED_VALUE"""),"Jeff")</f>
        <v>Jeff</v>
      </c>
      <c r="F5263" t="str">
        <f>IFERROR(__xludf.DUMMYFUNCTION("""COMPUTED_VALUE"""),"CIN")</f>
        <v>CIN</v>
      </c>
      <c r="G5263">
        <f>IFERROR(__xludf.DUMMYFUNCTION("""COMPUTED_VALUE"""),17.0)</f>
        <v>17</v>
      </c>
    </row>
    <row r="5264">
      <c r="D5264" t="str">
        <f>IFERROR(__xludf.DUMMYFUNCTION("""COMPUTED_VALUE"""),"Drummond")</f>
        <v>Drummond</v>
      </c>
      <c r="E5264" t="str">
        <f>IFERROR(__xludf.DUMMYFUNCTION("""COMPUTED_VALUE"""),"Kurtis")</f>
        <v>Kurtis</v>
      </c>
      <c r="F5264" t="str">
        <f>IFERROR(__xludf.DUMMYFUNCTION("""COMPUTED_VALUE"""),"HOU")</f>
        <v>HOU</v>
      </c>
      <c r="G5264">
        <f>IFERROR(__xludf.DUMMYFUNCTION("""COMPUTED_VALUE"""),16.0)</f>
        <v>16</v>
      </c>
    </row>
    <row r="5265">
      <c r="D5265" t="str">
        <f>IFERROR(__xludf.DUMMYFUNCTION("""COMPUTED_VALUE"""),"Duarte")</f>
        <v>Duarte</v>
      </c>
      <c r="E5265" t="str">
        <f>IFERROR(__xludf.DUMMYFUNCTION("""COMPUTED_VALUE"""),"Thomas")</f>
        <v>Thomas</v>
      </c>
      <c r="F5265" t="str">
        <f>IFERROR(__xludf.DUMMYFUNCTION("""COMPUTED_VALUE"""),"MIA")</f>
        <v>MIA</v>
      </c>
      <c r="G5265">
        <f>IFERROR(__xludf.DUMMYFUNCTION("""COMPUTED_VALUE"""),16.0)</f>
        <v>16</v>
      </c>
    </row>
    <row r="5266">
      <c r="D5266" t="str">
        <f>IFERROR(__xludf.DUMMYFUNCTION("""COMPUTED_VALUE"""),"Ducasse")</f>
        <v>Ducasse</v>
      </c>
      <c r="E5266" t="str">
        <f>IFERROR(__xludf.DUMMYFUNCTION("""COMPUTED_VALUE"""),"Vladimir")</f>
        <v>Vladimir</v>
      </c>
      <c r="F5266" t="str">
        <f>IFERROR(__xludf.DUMMYFUNCTION("""COMPUTED_VALUE"""),"BUF")</f>
        <v>BUF</v>
      </c>
      <c r="G5266">
        <f>IFERROR(__xludf.DUMMYFUNCTION("""COMPUTED_VALUE"""),19.0)</f>
        <v>19</v>
      </c>
    </row>
    <row r="5267">
      <c r="D5267" t="str">
        <f>IFERROR(__xludf.DUMMYFUNCTION("""COMPUTED_VALUE"""),"Duke")</f>
        <v>Duke</v>
      </c>
      <c r="E5267" t="str">
        <f>IFERROR(__xludf.DUMMYFUNCTION("""COMPUTED_VALUE"""),"Austin")</f>
        <v>Austin</v>
      </c>
      <c r="F5267" t="str">
        <f>IFERROR(__xludf.DUMMYFUNCTION("""COMPUTED_VALUE"""),"CAR")</f>
        <v>CAR</v>
      </c>
      <c r="G5267">
        <f>IFERROR(__xludf.DUMMYFUNCTION("""COMPUTED_VALUE"""),15.75)</f>
        <v>15.75</v>
      </c>
    </row>
    <row r="5268">
      <c r="D5268" t="str">
        <f>IFERROR(__xludf.DUMMYFUNCTION("""COMPUTED_VALUE"""),"Dunbar")</f>
        <v>Dunbar</v>
      </c>
      <c r="E5268" t="str">
        <f>IFERROR(__xludf.DUMMYFUNCTION("""COMPUTED_VALUE"""),"Quinton")</f>
        <v>Quinton</v>
      </c>
      <c r="F5268" t="str">
        <f>IFERROR(__xludf.DUMMYFUNCTION("""COMPUTED_VALUE"""),"WAS")</f>
        <v>WAS</v>
      </c>
      <c r="G5268">
        <f>IFERROR(__xludf.DUMMYFUNCTION("""COMPUTED_VALUE"""),19.5)</f>
        <v>19.5</v>
      </c>
    </row>
    <row r="5269">
      <c r="D5269" t="str">
        <f>IFERROR(__xludf.DUMMYFUNCTION("""COMPUTED_VALUE"""),"Dunlap")</f>
        <v>Dunlap</v>
      </c>
      <c r="E5269" t="str">
        <f>IFERROR(__xludf.DUMMYFUNCTION("""COMPUTED_VALUE"""),"Carlos")</f>
        <v>Carlos</v>
      </c>
      <c r="F5269" t="str">
        <f>IFERROR(__xludf.DUMMYFUNCTION("""COMPUTED_VALUE"""),"CIN")</f>
        <v>CIN</v>
      </c>
      <c r="G5269">
        <f>IFERROR(__xludf.DUMMYFUNCTION("""COMPUTED_VALUE"""),19.75)</f>
        <v>19.75</v>
      </c>
    </row>
    <row r="5270">
      <c r="D5270" t="str">
        <f>IFERROR(__xludf.DUMMYFUNCTION("""COMPUTED_VALUE"""),"Dunn")</f>
        <v>Dunn</v>
      </c>
      <c r="E5270" t="str">
        <f>IFERROR(__xludf.DUMMYFUNCTION("""COMPUTED_VALUE"""),"Brandon")</f>
        <v>Brandon</v>
      </c>
      <c r="F5270" t="str">
        <f>IFERROR(__xludf.DUMMYFUNCTION("""COMPUTED_VALUE"""),"HOU")</f>
        <v>HOU</v>
      </c>
      <c r="G5270">
        <f>IFERROR(__xludf.DUMMYFUNCTION("""COMPUTED_VALUE"""),17.5)</f>
        <v>17.5</v>
      </c>
    </row>
    <row r="5271">
      <c r="D5271" t="str">
        <f>IFERROR(__xludf.DUMMYFUNCTION("""COMPUTED_VALUE"""),"Dupre")</f>
        <v>Dupre</v>
      </c>
      <c r="E5271" t="str">
        <f>IFERROR(__xludf.DUMMYFUNCTION("""COMPUTED_VALUE"""),"Malachi")</f>
        <v>Malachi</v>
      </c>
      <c r="F5271" t="str">
        <f>IFERROR(__xludf.DUMMYFUNCTION("""COMPUTED_VALUE"""),"BUF")</f>
        <v>BUF</v>
      </c>
      <c r="G5271">
        <f>IFERROR(__xludf.DUMMYFUNCTION("""COMPUTED_VALUE"""),17.0)</f>
        <v>17</v>
      </c>
    </row>
    <row r="5272">
      <c r="D5272" t="str">
        <f>IFERROR(__xludf.DUMMYFUNCTION("""COMPUTED_VALUE"""),"Dupree")</f>
        <v>Dupree</v>
      </c>
      <c r="E5272" t="str">
        <f>IFERROR(__xludf.DUMMYFUNCTION("""COMPUTED_VALUE"""),"Bud")</f>
        <v>Bud</v>
      </c>
      <c r="F5272" t="str">
        <f>IFERROR(__xludf.DUMMYFUNCTION("""COMPUTED_VALUE"""),"PIT")</f>
        <v>PIT</v>
      </c>
      <c r="G5272">
        <f>IFERROR(__xludf.DUMMYFUNCTION("""COMPUTED_VALUE"""),19.0)</f>
        <v>19</v>
      </c>
    </row>
    <row r="5273">
      <c r="D5273" t="str">
        <f>IFERROR(__xludf.DUMMYFUNCTION("""COMPUTED_VALUE"""),"Dural")</f>
        <v>Dural</v>
      </c>
      <c r="E5273" t="str">
        <f>IFERROR(__xludf.DUMMYFUNCTION("""COMPUTED_VALUE"""),"Travin")</f>
        <v>Travin</v>
      </c>
      <c r="F5273" t="str">
        <f>IFERROR(__xludf.DUMMYFUNCTION("""COMPUTED_VALUE"""),"NO")</f>
        <v>NO</v>
      </c>
      <c r="G5273">
        <f>IFERROR(__xludf.DUMMYFUNCTION("""COMPUTED_VALUE"""),16.0)</f>
        <v>16</v>
      </c>
    </row>
    <row r="5274">
      <c r="D5274" t="str">
        <f>IFERROR(__xludf.DUMMYFUNCTION("""COMPUTED_VALUE"""),"Duvernay-Tardif")</f>
        <v>Duvernay-Tardif</v>
      </c>
      <c r="E5274" t="str">
        <f>IFERROR(__xludf.DUMMYFUNCTION("""COMPUTED_VALUE"""),"Laurent")</f>
        <v>Laurent</v>
      </c>
      <c r="F5274" t="str">
        <f>IFERROR(__xludf.DUMMYFUNCTION("""COMPUTED_VALUE"""),"KC")</f>
        <v>KC</v>
      </c>
      <c r="G5274">
        <f>IFERROR(__xludf.DUMMYFUNCTION("""COMPUTED_VALUE"""),19.75)</f>
        <v>19.75</v>
      </c>
    </row>
    <row r="5275">
      <c r="D5275" t="str">
        <f>IFERROR(__xludf.DUMMYFUNCTION("""COMPUTED_VALUE"""),"Dzubnar")</f>
        <v>Dzubnar</v>
      </c>
      <c r="E5275" t="str">
        <f>IFERROR(__xludf.DUMMYFUNCTION("""COMPUTED_VALUE"""),"Nick")</f>
        <v>Nick</v>
      </c>
      <c r="F5275" t="str">
        <f>IFERROR(__xludf.DUMMYFUNCTION("""COMPUTED_VALUE"""),"LAC")</f>
        <v>LAC</v>
      </c>
      <c r="G5275">
        <f>IFERROR(__xludf.DUMMYFUNCTION("""COMPUTED_VALUE"""),16.0)</f>
        <v>16</v>
      </c>
    </row>
    <row r="5276">
      <c r="D5276" t="str">
        <f>IFERROR(__xludf.DUMMYFUNCTION("""COMPUTED_VALUE"""),"Ealy")</f>
        <v>Ealy</v>
      </c>
      <c r="E5276" t="str">
        <f>IFERROR(__xludf.DUMMYFUNCTION("""COMPUTED_VALUE"""),"Kony")</f>
        <v>Kony</v>
      </c>
      <c r="F5276" t="str">
        <f>IFERROR(__xludf.DUMMYFUNCTION("""COMPUTED_VALUE"""),"DAL")</f>
        <v>DAL</v>
      </c>
      <c r="G5276">
        <f>IFERROR(__xludf.DUMMYFUNCTION("""COMPUTED_VALUE"""),18.75)</f>
        <v>18.75</v>
      </c>
    </row>
    <row r="5277">
      <c r="D5277" t="str">
        <f>IFERROR(__xludf.DUMMYFUNCTION("""COMPUTED_VALUE"""),"Easley")</f>
        <v>Easley</v>
      </c>
      <c r="E5277" t="str">
        <f>IFERROR(__xludf.DUMMYFUNCTION("""COMPUTED_VALUE"""),"Dominique")</f>
        <v>Dominique</v>
      </c>
      <c r="F5277" t="str">
        <f>IFERROR(__xludf.DUMMYFUNCTION("""COMPUTED_VALUE"""),"LAR")</f>
        <v>LAR</v>
      </c>
      <c r="G5277">
        <f>IFERROR(__xludf.DUMMYFUNCTION("""COMPUTED_VALUE"""),19.0)</f>
        <v>19</v>
      </c>
    </row>
    <row r="5278">
      <c r="D5278" t="str">
        <f>IFERROR(__xludf.DUMMYFUNCTION("""COMPUTED_VALUE"""),"Easton")</f>
        <v>Easton</v>
      </c>
      <c r="E5278" t="str">
        <f>IFERROR(__xludf.DUMMYFUNCTION("""COMPUTED_VALUE"""),"Nick")</f>
        <v>Nick</v>
      </c>
      <c r="F5278" t="str">
        <f>IFERROR(__xludf.DUMMYFUNCTION("""COMPUTED_VALUE"""),"MIN")</f>
        <v>MIN</v>
      </c>
      <c r="G5278">
        <f>IFERROR(__xludf.DUMMYFUNCTION("""COMPUTED_VALUE"""),18.75)</f>
        <v>18.75</v>
      </c>
    </row>
    <row r="5279">
      <c r="D5279" t="str">
        <f>IFERROR(__xludf.DUMMYFUNCTION("""COMPUTED_VALUE"""),"Ebner")</f>
        <v>Ebner</v>
      </c>
      <c r="E5279" t="str">
        <f>IFERROR(__xludf.DUMMYFUNCTION("""COMPUTED_VALUE"""),"Nate")</f>
        <v>Nate</v>
      </c>
      <c r="F5279" t="str">
        <f>IFERROR(__xludf.DUMMYFUNCTION("""COMPUTED_VALUE"""),"NE")</f>
        <v>NE</v>
      </c>
      <c r="G5279">
        <f>IFERROR(__xludf.DUMMYFUNCTION("""COMPUTED_VALUE"""),17.25)</f>
        <v>17.25</v>
      </c>
    </row>
    <row r="5280">
      <c r="D5280" t="str">
        <f>IFERROR(__xludf.DUMMYFUNCTION("""COMPUTED_VALUE"""),"Ebron")</f>
        <v>Ebron</v>
      </c>
      <c r="E5280" t="str">
        <f>IFERROR(__xludf.DUMMYFUNCTION("""COMPUTED_VALUE"""),"Eric")</f>
        <v>Eric</v>
      </c>
      <c r="F5280" t="str">
        <f>IFERROR(__xludf.DUMMYFUNCTION("""COMPUTED_VALUE"""),"IND")</f>
        <v>IND</v>
      </c>
      <c r="G5280">
        <f>IFERROR(__xludf.DUMMYFUNCTION("""COMPUTED_VALUE"""),20.25)</f>
        <v>20.25</v>
      </c>
    </row>
    <row r="5281">
      <c r="D5281" t="str">
        <f>IFERROR(__xludf.DUMMYFUNCTION("""COMPUTED_VALUE"""),"Ebukam")</f>
        <v>Ebukam</v>
      </c>
      <c r="E5281" t="str">
        <f>IFERROR(__xludf.DUMMYFUNCTION("""COMPUTED_VALUE"""),"Samson")</f>
        <v>Samson</v>
      </c>
      <c r="F5281" t="str">
        <f>IFERROR(__xludf.DUMMYFUNCTION("""COMPUTED_VALUE"""),"LAR")</f>
        <v>LAR</v>
      </c>
      <c r="G5281">
        <f>IFERROR(__xludf.DUMMYFUNCTION("""COMPUTED_VALUE"""),19.25)</f>
        <v>19.25</v>
      </c>
    </row>
    <row r="5282">
      <c r="D5282" t="str">
        <f>IFERROR(__xludf.DUMMYFUNCTION("""COMPUTED_VALUE"""),"Edelman")</f>
        <v>Edelman</v>
      </c>
      <c r="E5282" t="str">
        <f>IFERROR(__xludf.DUMMYFUNCTION("""COMPUTED_VALUE"""),"Julian")</f>
        <v>Julian</v>
      </c>
      <c r="F5282" t="str">
        <f>IFERROR(__xludf.DUMMYFUNCTION("""COMPUTED_VALUE"""),"NE")</f>
        <v>NE</v>
      </c>
      <c r="G5282">
        <f>IFERROR(__xludf.DUMMYFUNCTION("""COMPUTED_VALUE"""),21.0)</f>
        <v>21</v>
      </c>
    </row>
    <row r="5283">
      <c r="D5283" t="str">
        <f>IFERROR(__xludf.DUMMYFUNCTION("""COMPUTED_VALUE"""),"Edison")</f>
        <v>Edison</v>
      </c>
      <c r="E5283" t="str">
        <f>IFERROR(__xludf.DUMMYFUNCTION("""COMPUTED_VALUE"""),"Cornelius")</f>
        <v>Cornelius</v>
      </c>
      <c r="F5283" t="str">
        <f>IFERROR(__xludf.DUMMYFUNCTION("""COMPUTED_VALUE"""),"MIN")</f>
        <v>MIN</v>
      </c>
      <c r="G5283">
        <f>IFERROR(__xludf.DUMMYFUNCTION("""COMPUTED_VALUE"""),16.0)</f>
        <v>16</v>
      </c>
    </row>
    <row r="5284">
      <c r="D5284" t="str">
        <f>IFERROR(__xludf.DUMMYFUNCTION("""COMPUTED_VALUE"""),"Edmonds")</f>
        <v>Edmonds</v>
      </c>
      <c r="E5284" t="str">
        <f>IFERROR(__xludf.DUMMYFUNCTION("""COMPUTED_VALUE"""),"Chase")</f>
        <v>Chase</v>
      </c>
      <c r="F5284" t="str">
        <f>IFERROR(__xludf.DUMMYFUNCTION("""COMPUTED_VALUE"""),"ARZ")</f>
        <v>ARZ</v>
      </c>
      <c r="G5284">
        <f>IFERROR(__xludf.DUMMYFUNCTION("""COMPUTED_VALUE"""),17.0)</f>
        <v>17</v>
      </c>
    </row>
    <row r="5285">
      <c r="D5285" t="str">
        <f>IFERROR(__xludf.DUMMYFUNCTION("""COMPUTED_VALUE"""),"Edmunds")</f>
        <v>Edmunds</v>
      </c>
      <c r="E5285" t="str">
        <f>IFERROR(__xludf.DUMMYFUNCTION("""COMPUTED_VALUE"""),"Terrell")</f>
        <v>Terrell</v>
      </c>
      <c r="F5285" t="str">
        <f>IFERROR(__xludf.DUMMYFUNCTION("""COMPUTED_VALUE"""),"PIT")</f>
        <v>PIT</v>
      </c>
      <c r="G5285">
        <f>IFERROR(__xludf.DUMMYFUNCTION("""COMPUTED_VALUE"""),18.75)</f>
        <v>18.75</v>
      </c>
    </row>
    <row r="5286">
      <c r="D5286" t="str">
        <f>IFERROR(__xludf.DUMMYFUNCTION("""COMPUTED_VALUE"""),"Edmunds")</f>
        <v>Edmunds</v>
      </c>
      <c r="E5286" t="str">
        <f>IFERROR(__xludf.DUMMYFUNCTION("""COMPUTED_VALUE"""),"Tremaine")</f>
        <v>Tremaine</v>
      </c>
      <c r="F5286" t="str">
        <f>IFERROR(__xludf.DUMMYFUNCTION("""COMPUTED_VALUE"""),"BUF")</f>
        <v>BUF</v>
      </c>
      <c r="G5286">
        <f>IFERROR(__xludf.DUMMYFUNCTION("""COMPUTED_VALUE"""),19.0)</f>
        <v>19</v>
      </c>
    </row>
    <row r="5287">
      <c r="D5287" t="str">
        <f>IFERROR(__xludf.DUMMYFUNCTION("""COMPUTED_VALUE"""),"Edmunds")</f>
        <v>Edmunds</v>
      </c>
      <c r="E5287" t="str">
        <f>IFERROR(__xludf.DUMMYFUNCTION("""COMPUTED_VALUE"""),"Trey")</f>
        <v>Trey</v>
      </c>
      <c r="F5287" t="str">
        <f>IFERROR(__xludf.DUMMYFUNCTION("""COMPUTED_VALUE"""),"NO")</f>
        <v>NO</v>
      </c>
      <c r="G5287">
        <f>IFERROR(__xludf.DUMMYFUNCTION("""COMPUTED_VALUE"""),17.0)</f>
        <v>17</v>
      </c>
    </row>
    <row r="5288">
      <c r="D5288" t="str">
        <f>IFERROR(__xludf.DUMMYFUNCTION("""COMPUTED_VALUE"""),"Edwards")</f>
        <v>Edwards</v>
      </c>
      <c r="E5288" t="str">
        <f>IFERROR(__xludf.DUMMYFUNCTION("""COMPUTED_VALUE"""),"Kadeem")</f>
        <v>Kadeem</v>
      </c>
      <c r="F5288" t="str">
        <f>IFERROR(__xludf.DUMMYFUNCTION("""COMPUTED_VALUE"""),"DAL")</f>
        <v>DAL</v>
      </c>
      <c r="G5288">
        <f>IFERROR(__xludf.DUMMYFUNCTION("""COMPUTED_VALUE"""),16.75)</f>
        <v>16.75</v>
      </c>
    </row>
    <row r="5289">
      <c r="D5289" t="str">
        <f>IFERROR(__xludf.DUMMYFUNCTION("""COMPUTED_VALUE"""),"Edwards")</f>
        <v>Edwards</v>
      </c>
      <c r="E5289" t="str">
        <f>IFERROR(__xludf.DUMMYFUNCTION("""COMPUTED_VALUE"""),"Lac")</f>
        <v>Lac</v>
      </c>
      <c r="F5289" t="str">
        <f>IFERROR(__xludf.DUMMYFUNCTION("""COMPUTED_VALUE"""),"NYJ")</f>
        <v>NYJ</v>
      </c>
      <c r="G5289">
        <f>IFERROR(__xludf.DUMMYFUNCTION("""COMPUTED_VALUE"""),19.25)</f>
        <v>19.25</v>
      </c>
    </row>
    <row r="5290">
      <c r="D5290" t="str">
        <f>IFERROR(__xludf.DUMMYFUNCTION("""COMPUTED_VALUE"""),"Edwards Jr")</f>
        <v>Edwards Jr</v>
      </c>
      <c r="E5290" t="str">
        <f>IFERROR(__xludf.DUMMYFUNCTION("""COMPUTED_VALUE"""),"Mario")</f>
        <v>Mario</v>
      </c>
      <c r="F5290" t="str">
        <f>IFERROR(__xludf.DUMMYFUNCTION("""COMPUTED_VALUE"""),"OAK")</f>
        <v>OAK</v>
      </c>
      <c r="G5290">
        <f>IFERROR(__xludf.DUMMYFUNCTION("""COMPUTED_VALUE"""),18.75)</f>
        <v>18.75</v>
      </c>
    </row>
    <row r="5291">
      <c r="D5291" t="str">
        <f>IFERROR(__xludf.DUMMYFUNCTION("""COMPUTED_VALUE"""),"Ehinger")</f>
        <v>Ehinger</v>
      </c>
      <c r="E5291" t="str">
        <f>IFERROR(__xludf.DUMMYFUNCTION("""COMPUTED_VALUE"""),"Parker")</f>
        <v>Parker</v>
      </c>
      <c r="F5291" t="str">
        <f>IFERROR(__xludf.DUMMYFUNCTION("""COMPUTED_VALUE"""),"KC")</f>
        <v>KC</v>
      </c>
      <c r="G5291">
        <f>IFERROR(__xludf.DUMMYFUNCTION("""COMPUTED_VALUE"""),17.0)</f>
        <v>17</v>
      </c>
    </row>
    <row r="5292">
      <c r="D5292" t="str">
        <f>IFERROR(__xludf.DUMMYFUNCTION("""COMPUTED_VALUE"""),"Eifert")</f>
        <v>Eifert</v>
      </c>
      <c r="E5292" t="str">
        <f>IFERROR(__xludf.DUMMYFUNCTION("""COMPUTED_VALUE"""),"Tyler")</f>
        <v>Tyler</v>
      </c>
      <c r="F5292" t="str">
        <f>IFERROR(__xludf.DUMMYFUNCTION("""COMPUTED_VALUE"""),"CIN")</f>
        <v>CIN</v>
      </c>
      <c r="G5292">
        <f>IFERROR(__xludf.DUMMYFUNCTION("""COMPUTED_VALUE"""),20.5)</f>
        <v>20.5</v>
      </c>
    </row>
    <row r="5293">
      <c r="D5293" t="str">
        <f>IFERROR(__xludf.DUMMYFUNCTION("""COMPUTED_VALUE"""),"Eifert")</f>
        <v>Eifert</v>
      </c>
      <c r="E5293" t="str">
        <f>IFERROR(__xludf.DUMMYFUNCTION("""COMPUTED_VALUE"""),"Tyler")</f>
        <v>Tyler</v>
      </c>
      <c r="F5293" t="str">
        <f>IFERROR(__xludf.DUMMYFUNCTION("""COMPUTED_VALUE"""),"CIN")</f>
        <v>CIN</v>
      </c>
      <c r="G5293">
        <f>IFERROR(__xludf.DUMMYFUNCTION("""COMPUTED_VALUE"""),21.75)</f>
        <v>21.75</v>
      </c>
    </row>
    <row r="5294">
      <c r="D5294" t="str">
        <f>IFERROR(__xludf.DUMMYFUNCTION("""COMPUTED_VALUE"""),"Ejiofor")</f>
        <v>Ejiofor</v>
      </c>
      <c r="E5294" t="str">
        <f>IFERROR(__xludf.DUMMYFUNCTION("""COMPUTED_VALUE"""),"Duke")</f>
        <v>Duke</v>
      </c>
      <c r="F5294" t="str">
        <f>IFERROR(__xludf.DUMMYFUNCTION("""COMPUTED_VALUE"""),"HOU")</f>
        <v>HOU</v>
      </c>
      <c r="G5294">
        <f>IFERROR(__xludf.DUMMYFUNCTION("""COMPUTED_VALUE"""),17.25)</f>
        <v>17.25</v>
      </c>
    </row>
    <row r="5295">
      <c r="D5295" t="str">
        <f>IFERROR(__xludf.DUMMYFUNCTION("""COMPUTED_VALUE"""),"Ekeler")</f>
        <v>Ekeler</v>
      </c>
      <c r="E5295" t="str">
        <f>IFERROR(__xludf.DUMMYFUNCTION("""COMPUTED_VALUE"""),"Austin")</f>
        <v>Austin</v>
      </c>
      <c r="F5295" t="str">
        <f>IFERROR(__xludf.DUMMYFUNCTION("""COMPUTED_VALUE"""),"LAC")</f>
        <v>LAC</v>
      </c>
      <c r="G5295">
        <f>IFERROR(__xludf.DUMMYFUNCTION("""COMPUTED_VALUE"""),18.5)</f>
        <v>18.5</v>
      </c>
    </row>
    <row r="5296">
      <c r="D5296" t="str">
        <f>IFERROR(__xludf.DUMMYFUNCTION("""COMPUTED_VALUE"""),"Eldrenkamp")</f>
        <v>Eldrenkamp</v>
      </c>
      <c r="E5296" t="str">
        <f>IFERROR(__xludf.DUMMYFUNCTION("""COMPUTED_VALUE"""),"Jake")</f>
        <v>Jake</v>
      </c>
      <c r="F5296" t="str">
        <f>IFERROR(__xludf.DUMMYFUNCTION("""COMPUTED_VALUE"""),"LAR")</f>
        <v>LAR</v>
      </c>
      <c r="G5296">
        <f>IFERROR(__xludf.DUMMYFUNCTION("""COMPUTED_VALUE"""),16.75)</f>
        <v>16.75</v>
      </c>
    </row>
    <row r="5297">
      <c r="D5297" t="str">
        <f>IFERROR(__xludf.DUMMYFUNCTION("""COMPUTED_VALUE"""),"Elflein")</f>
        <v>Elflein</v>
      </c>
      <c r="E5297" t="str">
        <f>IFERROR(__xludf.DUMMYFUNCTION("""COMPUTED_VALUE"""),"Pat")</f>
        <v>Pat</v>
      </c>
      <c r="F5297" t="str">
        <f>IFERROR(__xludf.DUMMYFUNCTION("""COMPUTED_VALUE"""),"MIN")</f>
        <v>MIN</v>
      </c>
      <c r="G5297">
        <f>IFERROR(__xludf.DUMMYFUNCTION("""COMPUTED_VALUE"""),18.75)</f>
        <v>18.75</v>
      </c>
    </row>
    <row r="5298">
      <c r="D5298" t="str">
        <f>IFERROR(__xludf.DUMMYFUNCTION("""COMPUTED_VALUE"""),"Eligwe")</f>
        <v>Eligwe</v>
      </c>
      <c r="E5298" t="str">
        <f>IFERROR(__xludf.DUMMYFUNCTION("""COMPUTED_VALUE"""),"Ukeme")</f>
        <v>Ukeme</v>
      </c>
      <c r="F5298" t="str">
        <f>IFERROR(__xludf.DUMMYFUNCTION("""COMPUTED_VALUE"""),"KC")</f>
        <v>KC</v>
      </c>
      <c r="G5298">
        <f>IFERROR(__xludf.DUMMYFUNCTION("""COMPUTED_VALUE"""),16.75)</f>
        <v>16.75</v>
      </c>
    </row>
    <row r="5299">
      <c r="D5299" t="str">
        <f>IFERROR(__xludf.DUMMYFUNCTION("""COMPUTED_VALUE"""),"Ellington")</f>
        <v>Ellington</v>
      </c>
      <c r="E5299" t="str">
        <f>IFERROR(__xludf.DUMMYFUNCTION("""COMPUTED_VALUE"""),"Bruce")</f>
        <v>Bruce</v>
      </c>
      <c r="F5299" t="str">
        <f>IFERROR(__xludf.DUMMYFUNCTION("""COMPUTED_VALUE"""),"HOU")</f>
        <v>HOU</v>
      </c>
      <c r="G5299">
        <f>IFERROR(__xludf.DUMMYFUNCTION("""COMPUTED_VALUE"""),18.5)</f>
        <v>18.5</v>
      </c>
    </row>
    <row r="5300">
      <c r="D5300" t="str">
        <f>IFERROR(__xludf.DUMMYFUNCTION("""COMPUTED_VALUE"""),"Elliott")</f>
        <v>Elliott</v>
      </c>
      <c r="E5300" t="str">
        <f>IFERROR(__xludf.DUMMYFUNCTION("""COMPUTED_VALUE"""),"DeAndre")</f>
        <v>DeAndre</v>
      </c>
      <c r="F5300" t="str">
        <f>IFERROR(__xludf.DUMMYFUNCTION("""COMPUTED_VALUE"""),"SEA")</f>
        <v>SEA</v>
      </c>
      <c r="G5300">
        <f>IFERROR(__xludf.DUMMYFUNCTION("""COMPUTED_VALUE"""),16.25)</f>
        <v>16.25</v>
      </c>
    </row>
    <row r="5301">
      <c r="D5301" t="str">
        <f>IFERROR(__xludf.DUMMYFUNCTION("""COMPUTED_VALUE"""),"Elliott")</f>
        <v>Elliott</v>
      </c>
      <c r="E5301" t="str">
        <f>IFERROR(__xludf.DUMMYFUNCTION("""COMPUTED_VALUE"""),"Deshon")</f>
        <v>Deshon</v>
      </c>
      <c r="F5301" t="str">
        <f>IFERROR(__xludf.DUMMYFUNCTION("""COMPUTED_VALUE"""),"BAL")</f>
        <v>BAL</v>
      </c>
      <c r="G5301">
        <f>IFERROR(__xludf.DUMMYFUNCTION("""COMPUTED_VALUE"""),17.25)</f>
        <v>17.25</v>
      </c>
    </row>
    <row r="5302">
      <c r="D5302" t="str">
        <f>IFERROR(__xludf.DUMMYFUNCTION("""COMPUTED_VALUE"""),"Elliott")</f>
        <v>Elliott</v>
      </c>
      <c r="E5302" t="str">
        <f>IFERROR(__xludf.DUMMYFUNCTION("""COMPUTED_VALUE"""),"Ezekiel")</f>
        <v>Ezekiel</v>
      </c>
      <c r="F5302" t="str">
        <f>IFERROR(__xludf.DUMMYFUNCTION("""COMPUTED_VALUE"""),"DAL")</f>
        <v>DAL</v>
      </c>
      <c r="G5302">
        <f>IFERROR(__xludf.DUMMYFUNCTION("""COMPUTED_VALUE"""),21.5)</f>
        <v>21.5</v>
      </c>
    </row>
    <row r="5303">
      <c r="D5303" t="str">
        <f>IFERROR(__xludf.DUMMYFUNCTION("""COMPUTED_VALUE"""),"Elliott")</f>
        <v>Elliott</v>
      </c>
      <c r="E5303" t="str">
        <f>IFERROR(__xludf.DUMMYFUNCTION("""COMPUTED_VALUE"""),"Jake")</f>
        <v>Jake</v>
      </c>
      <c r="F5303" t="str">
        <f>IFERROR(__xludf.DUMMYFUNCTION("""COMPUTED_VALUE"""),"PHI")</f>
        <v>PHI</v>
      </c>
      <c r="G5303">
        <f>IFERROR(__xludf.DUMMYFUNCTION("""COMPUTED_VALUE"""),20.75)</f>
        <v>20.75</v>
      </c>
    </row>
    <row r="5304">
      <c r="D5304" t="str">
        <f>IFERROR(__xludf.DUMMYFUNCTION("""COMPUTED_VALUE"""),"Elliott")</f>
        <v>Elliott</v>
      </c>
      <c r="E5304" t="str">
        <f>IFERROR(__xludf.DUMMYFUNCTION("""COMPUTED_VALUE"""),"Javien")</f>
        <v>Javien</v>
      </c>
      <c r="F5304" t="str">
        <f>IFERROR(__xludf.DUMMYFUNCTION("""COMPUTED_VALUE"""),"TB")</f>
        <v>TB</v>
      </c>
      <c r="G5304">
        <f>IFERROR(__xludf.DUMMYFUNCTION("""COMPUTED_VALUE"""),17.5)</f>
        <v>17.5</v>
      </c>
    </row>
    <row r="5305">
      <c r="D5305" t="str">
        <f>IFERROR(__xludf.DUMMYFUNCTION("""COMPUTED_VALUE"""),"Elliott")</f>
        <v>Elliott</v>
      </c>
      <c r="E5305" t="str">
        <f>IFERROR(__xludf.DUMMYFUNCTION("""COMPUTED_VALUE"""),"Jayrone")</f>
        <v>Jayrone</v>
      </c>
      <c r="F5305" t="str">
        <f>IFERROR(__xludf.DUMMYFUNCTION("""COMPUTED_VALUE"""),"NO")</f>
        <v>NO</v>
      </c>
      <c r="G5305">
        <f>IFERROR(__xludf.DUMMYFUNCTION("""COMPUTED_VALUE"""),18.25)</f>
        <v>18.25</v>
      </c>
    </row>
    <row r="5306">
      <c r="D5306" t="str">
        <f>IFERROR(__xludf.DUMMYFUNCTION("""COMPUTED_VALUE"""),"Ellis")</f>
        <v>Ellis</v>
      </c>
      <c r="E5306" t="str">
        <f>IFERROR(__xludf.DUMMYFUNCTION("""COMPUTED_VALUE"""),"Brooks")</f>
        <v>Brooks</v>
      </c>
      <c r="F5306" t="str">
        <f>IFERROR(__xludf.DUMMYFUNCTION("""COMPUTED_VALUE"""),"JAX")</f>
        <v>JAX</v>
      </c>
      <c r="G5306">
        <f>IFERROR(__xludf.DUMMYFUNCTION("""COMPUTED_VALUE"""),16.5)</f>
        <v>16.5</v>
      </c>
    </row>
    <row r="5307">
      <c r="D5307" t="str">
        <f>IFERROR(__xludf.DUMMYFUNCTION("""COMPUTED_VALUE"""),"Ellis")</f>
        <v>Ellis</v>
      </c>
      <c r="E5307" t="str">
        <f>IFERROR(__xludf.DUMMYFUNCTION("""COMPUTED_VALUE"""),"Justin")</f>
        <v>Justin</v>
      </c>
      <c r="F5307" t="str">
        <f>IFERROR(__xludf.DUMMYFUNCTION("""COMPUTED_VALUE"""),"OAK")</f>
        <v>OAK</v>
      </c>
      <c r="G5307">
        <f>IFERROR(__xludf.DUMMYFUNCTION("""COMPUTED_VALUE"""),19.0)</f>
        <v>19</v>
      </c>
    </row>
    <row r="5308">
      <c r="D5308" t="str">
        <f>IFERROR(__xludf.DUMMYFUNCTION("""COMPUTED_VALUE"""),"Ellison")</f>
        <v>Ellison</v>
      </c>
      <c r="E5308" t="str">
        <f>IFERROR(__xludf.DUMMYFUNCTION("""COMPUTED_VALUE"""),"Rhett")</f>
        <v>Rhett</v>
      </c>
      <c r="F5308" t="str">
        <f>IFERROR(__xludf.DUMMYFUNCTION("""COMPUTED_VALUE"""),"NYG")</f>
        <v>NYG</v>
      </c>
      <c r="G5308">
        <f>IFERROR(__xludf.DUMMYFUNCTION("""COMPUTED_VALUE"""),19.0)</f>
        <v>19</v>
      </c>
    </row>
    <row r="5309">
      <c r="D5309" t="str">
        <f>IFERROR(__xludf.DUMMYFUNCTION("""COMPUTED_VALUE"""),"Elston")</f>
        <v>Elston</v>
      </c>
      <c r="E5309" t="str">
        <f>IFERROR(__xludf.DUMMYFUNCTION("""COMPUTED_VALUE"""),"Trae")</f>
        <v>Trae</v>
      </c>
      <c r="F5309" t="str">
        <f>IFERROR(__xludf.DUMMYFUNCTION("""COMPUTED_VALUE"""),"MIA")</f>
        <v>MIA</v>
      </c>
      <c r="G5309">
        <f>IFERROR(__xludf.DUMMYFUNCTION("""COMPUTED_VALUE"""),17.0)</f>
        <v>17</v>
      </c>
    </row>
    <row r="5310">
      <c r="D5310" t="str">
        <f>IFERROR(__xludf.DUMMYFUNCTION("""COMPUTED_VALUE"""),"Eluemunor")</f>
        <v>Eluemunor</v>
      </c>
      <c r="E5310" t="str">
        <f>IFERROR(__xludf.DUMMYFUNCTION("""COMPUTED_VALUE"""),"Jermaine")</f>
        <v>Jermaine</v>
      </c>
      <c r="F5310" t="str">
        <f>IFERROR(__xludf.DUMMYFUNCTION("""COMPUTED_VALUE"""),"BAL")</f>
        <v>BAL</v>
      </c>
      <c r="G5310">
        <f>IFERROR(__xludf.DUMMYFUNCTION("""COMPUTED_VALUE"""),16.5)</f>
        <v>16.5</v>
      </c>
    </row>
    <row r="5311">
      <c r="D5311" t="str">
        <f>IFERROR(__xludf.DUMMYFUNCTION("""COMPUTED_VALUE"""),"Emanuel")</f>
        <v>Emanuel</v>
      </c>
      <c r="E5311" t="str">
        <f>IFERROR(__xludf.DUMMYFUNCTION("""COMPUTED_VALUE"""),"Kyle")</f>
        <v>Kyle</v>
      </c>
      <c r="F5311" t="str">
        <f>IFERROR(__xludf.DUMMYFUNCTION("""COMPUTED_VALUE"""),"LAC")</f>
        <v>LAC</v>
      </c>
      <c r="G5311">
        <f>IFERROR(__xludf.DUMMYFUNCTION("""COMPUTED_VALUE"""),19.5)</f>
        <v>19.5</v>
      </c>
    </row>
    <row r="5312">
      <c r="D5312" t="str">
        <f>IFERROR(__xludf.DUMMYFUNCTION("""COMPUTED_VALUE"""),"Engram")</f>
        <v>Engram</v>
      </c>
      <c r="E5312" t="str">
        <f>IFERROR(__xludf.DUMMYFUNCTION("""COMPUTED_VALUE"""),"Evan")</f>
        <v>Evan</v>
      </c>
      <c r="F5312" t="str">
        <f>IFERROR(__xludf.DUMMYFUNCTION("""COMPUTED_VALUE"""),"NYG")</f>
        <v>NYG</v>
      </c>
      <c r="G5312">
        <f>IFERROR(__xludf.DUMMYFUNCTION("""COMPUTED_VALUE"""),20.25)</f>
        <v>20.25</v>
      </c>
    </row>
    <row r="5313">
      <c r="D5313" t="str">
        <f>IFERROR(__xludf.DUMMYFUNCTION("""COMPUTED_VALUE"""),"Enunwa")</f>
        <v>Enunwa</v>
      </c>
      <c r="E5313" t="str">
        <f>IFERROR(__xludf.DUMMYFUNCTION("""COMPUTED_VALUE"""),"Quincy")</f>
        <v>Quincy</v>
      </c>
      <c r="F5313" t="str">
        <f>IFERROR(__xludf.DUMMYFUNCTION("""COMPUTED_VALUE"""),"NYJ")</f>
        <v>NYJ</v>
      </c>
      <c r="G5313">
        <f>IFERROR(__xludf.DUMMYFUNCTION("""COMPUTED_VALUE"""),19.25)</f>
        <v>19.25</v>
      </c>
    </row>
    <row r="5314">
      <c r="D5314" t="str">
        <f>IFERROR(__xludf.DUMMYFUNCTION("""COMPUTED_VALUE"""),"Erickson")</f>
        <v>Erickson</v>
      </c>
      <c r="E5314" t="str">
        <f>IFERROR(__xludf.DUMMYFUNCTION("""COMPUTED_VALUE"""),"Alex")</f>
        <v>Alex</v>
      </c>
      <c r="F5314" t="str">
        <f>IFERROR(__xludf.DUMMYFUNCTION("""COMPUTED_VALUE"""),"CIN")</f>
        <v>CIN</v>
      </c>
      <c r="G5314">
        <f>IFERROR(__xludf.DUMMYFUNCTION("""COMPUTED_VALUE"""),17.0)</f>
        <v>17</v>
      </c>
    </row>
    <row r="5315">
      <c r="D5315" t="str">
        <f>IFERROR(__xludf.DUMMYFUNCTION("""COMPUTED_VALUE"""),"Ertz")</f>
        <v>Ertz</v>
      </c>
      <c r="E5315" t="str">
        <f>IFERROR(__xludf.DUMMYFUNCTION("""COMPUTED_VALUE"""),"Zach")</f>
        <v>Zach</v>
      </c>
      <c r="F5315" t="str">
        <f>IFERROR(__xludf.DUMMYFUNCTION("""COMPUTED_VALUE"""),"PHI")</f>
        <v>PHI</v>
      </c>
      <c r="G5315">
        <f>IFERROR(__xludf.DUMMYFUNCTION("""COMPUTED_VALUE"""),21.0)</f>
        <v>21</v>
      </c>
    </row>
    <row r="5316">
      <c r="D5316" t="str">
        <f>IFERROR(__xludf.DUMMYFUNCTION("""COMPUTED_VALUE"""),"Ervin")</f>
        <v>Ervin</v>
      </c>
      <c r="E5316" t="str">
        <f>IFERROR(__xludf.DUMMYFUNCTION("""COMPUTED_VALUE"""),"Tyler")</f>
        <v>Tyler</v>
      </c>
      <c r="F5316" t="str">
        <f>IFERROR(__xludf.DUMMYFUNCTION("""COMPUTED_VALUE"""),"HOU")</f>
        <v>HOU</v>
      </c>
      <c r="G5316">
        <f>IFERROR(__xludf.DUMMYFUNCTION("""COMPUTED_VALUE"""),16.0)</f>
        <v>16</v>
      </c>
    </row>
    <row r="5317">
      <c r="D5317" t="str">
        <f>IFERROR(__xludf.DUMMYFUNCTION("""COMPUTED_VALUE"""),"Erving")</f>
        <v>Erving</v>
      </c>
      <c r="E5317" t="str">
        <f>IFERROR(__xludf.DUMMYFUNCTION("""COMPUTED_VALUE"""),"Cameron")</f>
        <v>Cameron</v>
      </c>
      <c r="F5317" t="str">
        <f>IFERROR(__xludf.DUMMYFUNCTION("""COMPUTED_VALUE"""),"KC")</f>
        <v>KC</v>
      </c>
      <c r="G5317">
        <f>IFERROR(__xludf.DUMMYFUNCTION("""COMPUTED_VALUE"""),17.5)</f>
        <v>17.5</v>
      </c>
    </row>
    <row r="5318">
      <c r="D5318" t="str">
        <f>IFERROR(__xludf.DUMMYFUNCTION("""COMPUTED_VALUE"""),"Escobar")</f>
        <v>Escobar</v>
      </c>
      <c r="E5318" t="str">
        <f>IFERROR(__xludf.DUMMYFUNCTION("""COMPUTED_VALUE"""),"Gavin")</f>
        <v>Gavin</v>
      </c>
      <c r="F5318" t="str">
        <f>IFERROR(__xludf.DUMMYFUNCTION("""COMPUTED_VALUE"""),"MIA")</f>
        <v>MIA</v>
      </c>
      <c r="G5318">
        <f>IFERROR(__xludf.DUMMYFUNCTION("""COMPUTED_VALUE"""),18.25)</f>
        <v>18.25</v>
      </c>
    </row>
    <row r="5319">
      <c r="D5319" t="str">
        <f>IFERROR(__xludf.DUMMYFUNCTION("""COMPUTED_VALUE"""),"Etling")</f>
        <v>Etling</v>
      </c>
      <c r="E5319" t="str">
        <f>IFERROR(__xludf.DUMMYFUNCTION("""COMPUTED_VALUE"""),"Danny")</f>
        <v>Danny</v>
      </c>
      <c r="F5319" t="str">
        <f>IFERROR(__xludf.DUMMYFUNCTION("""COMPUTED_VALUE"""),"NE")</f>
        <v>NE</v>
      </c>
      <c r="G5319">
        <f>IFERROR(__xludf.DUMMYFUNCTION("""COMPUTED_VALUE"""),16.75)</f>
        <v>16.75</v>
      </c>
    </row>
    <row r="5320">
      <c r="D5320" t="str">
        <f>IFERROR(__xludf.DUMMYFUNCTION("""COMPUTED_VALUE"""),"Etta-Tawo")</f>
        <v>Etta-Tawo</v>
      </c>
      <c r="E5320" t="str">
        <f>IFERROR(__xludf.DUMMYFUNCTION("""COMPUTED_VALUE"""),"Amba")</f>
        <v>Amba</v>
      </c>
      <c r="F5320" t="str">
        <f>IFERROR(__xludf.DUMMYFUNCTION("""COMPUTED_VALUE"""),"NYG")</f>
        <v>NYG</v>
      </c>
      <c r="G5320">
        <f>IFERROR(__xludf.DUMMYFUNCTION("""COMPUTED_VALUE"""),16.75)</f>
        <v>16.75</v>
      </c>
    </row>
    <row r="5321">
      <c r="D5321" t="str">
        <f>IFERROR(__xludf.DUMMYFUNCTION("""COMPUTED_VALUE"""),"Evans")</f>
        <v>Evans</v>
      </c>
      <c r="E5321" t="str">
        <f>IFERROR(__xludf.DUMMYFUNCTION("""COMPUTED_VALUE"""),"Jahri")</f>
        <v>Jahri</v>
      </c>
      <c r="F5321" t="str">
        <f>IFERROR(__xludf.DUMMYFUNCTION("""COMPUTED_VALUE"""),"FA")</f>
        <v>FA</v>
      </c>
      <c r="G5321">
        <f>IFERROR(__xludf.DUMMYFUNCTION("""COMPUTED_VALUE"""),15.0)</f>
        <v>15</v>
      </c>
    </row>
    <row r="5322">
      <c r="D5322" t="str">
        <f>IFERROR(__xludf.DUMMYFUNCTION("""COMPUTED_VALUE"""),"Evans")</f>
        <v>Evans</v>
      </c>
      <c r="E5322" t="str">
        <f>IFERROR(__xludf.DUMMYFUNCTION("""COMPUTED_VALUE"""),"Jordan")</f>
        <v>Jordan</v>
      </c>
      <c r="F5322" t="str">
        <f>IFERROR(__xludf.DUMMYFUNCTION("""COMPUTED_VALUE"""),"CIN")</f>
        <v>CIN</v>
      </c>
      <c r="G5322">
        <f>IFERROR(__xludf.DUMMYFUNCTION("""COMPUTED_VALUE"""),16.5)</f>
        <v>16.5</v>
      </c>
    </row>
    <row r="5323">
      <c r="D5323" t="str">
        <f>IFERROR(__xludf.DUMMYFUNCTION("""COMPUTED_VALUE"""),"Evans")</f>
        <v>Evans</v>
      </c>
      <c r="E5323" t="str">
        <f>IFERROR(__xludf.DUMMYFUNCTION("""COMPUTED_VALUE"""),"Justin")</f>
        <v>Justin</v>
      </c>
      <c r="F5323" t="str">
        <f>IFERROR(__xludf.DUMMYFUNCTION("""COMPUTED_VALUE"""),"TB")</f>
        <v>TB</v>
      </c>
      <c r="G5323">
        <f>IFERROR(__xludf.DUMMYFUNCTION("""COMPUTED_VALUE"""),17.75)</f>
        <v>17.75</v>
      </c>
    </row>
    <row r="5324">
      <c r="D5324" t="str">
        <f>IFERROR(__xludf.DUMMYFUNCTION("""COMPUTED_VALUE"""),"Evans")</f>
        <v>Evans</v>
      </c>
      <c r="E5324" t="str">
        <f>IFERROR(__xludf.DUMMYFUNCTION("""COMPUTED_VALUE"""),"Marwin")</f>
        <v>Marwin</v>
      </c>
      <c r="F5324" t="str">
        <f>IFERROR(__xludf.DUMMYFUNCTION("""COMPUTED_VALUE"""),"GB")</f>
        <v>GB</v>
      </c>
      <c r="G5324">
        <f>IFERROR(__xludf.DUMMYFUNCTION("""COMPUTED_VALUE"""),16.5)</f>
        <v>16.5</v>
      </c>
    </row>
    <row r="5325">
      <c r="D5325" t="str">
        <f>IFERROR(__xludf.DUMMYFUNCTION("""COMPUTED_VALUE"""),"Evans")</f>
        <v>Evans</v>
      </c>
      <c r="E5325" t="str">
        <f>IFERROR(__xludf.DUMMYFUNCTION("""COMPUTED_VALUE"""),"Mike")</f>
        <v>Mike</v>
      </c>
      <c r="F5325" t="str">
        <f>IFERROR(__xludf.DUMMYFUNCTION("""COMPUTED_VALUE"""),"TB")</f>
        <v>TB</v>
      </c>
      <c r="G5325">
        <f>IFERROR(__xludf.DUMMYFUNCTION("""COMPUTED_VALUE"""),21.0)</f>
        <v>21</v>
      </c>
    </row>
    <row r="5326">
      <c r="D5326" t="str">
        <f>IFERROR(__xludf.DUMMYFUNCTION("""COMPUTED_VALUE"""),"Evans")</f>
        <v>Evans</v>
      </c>
      <c r="E5326" t="str">
        <f>IFERROR(__xludf.DUMMYFUNCTION("""COMPUTED_VALUE"""),"Rashaan")</f>
        <v>Rashaan</v>
      </c>
      <c r="F5326" t="str">
        <f>IFERROR(__xludf.DUMMYFUNCTION("""COMPUTED_VALUE"""),"TEN")</f>
        <v>TEN</v>
      </c>
      <c r="G5326">
        <f>IFERROR(__xludf.DUMMYFUNCTION("""COMPUTED_VALUE"""),19.25)</f>
        <v>19.25</v>
      </c>
    </row>
    <row r="5327">
      <c r="D5327" t="str">
        <f>IFERROR(__xludf.DUMMYFUNCTION("""COMPUTED_VALUE"""),"Evans")</f>
        <v>Evans</v>
      </c>
      <c r="E5327" t="str">
        <f>IFERROR(__xludf.DUMMYFUNCTION("""COMPUTED_VALUE"""),"Rashaan")</f>
        <v>Rashaan</v>
      </c>
      <c r="F5327" t="str">
        <f>IFERROR(__xludf.DUMMYFUNCTION("""COMPUTED_VALUE"""),"TEN")</f>
        <v>TEN</v>
      </c>
      <c r="G5327">
        <f>IFERROR(__xludf.DUMMYFUNCTION("""COMPUTED_VALUE"""),21.75)</f>
        <v>21.75</v>
      </c>
    </row>
    <row r="5328">
      <c r="D5328" t="str">
        <f>IFERROR(__xludf.DUMMYFUNCTION("""COMPUTED_VALUE"""),"Everett")</f>
        <v>Everett</v>
      </c>
      <c r="E5328" t="str">
        <f>IFERROR(__xludf.DUMMYFUNCTION("""COMPUTED_VALUE"""),"Deshazor")</f>
        <v>Deshazor</v>
      </c>
      <c r="F5328" t="str">
        <f>IFERROR(__xludf.DUMMYFUNCTION("""COMPUTED_VALUE"""),"WAS")</f>
        <v>WAS</v>
      </c>
      <c r="G5328">
        <f>IFERROR(__xludf.DUMMYFUNCTION("""COMPUTED_VALUE"""),15.5)</f>
        <v>15.5</v>
      </c>
    </row>
    <row r="5329">
      <c r="D5329" t="str">
        <f>IFERROR(__xludf.DUMMYFUNCTION("""COMPUTED_VALUE"""),"Everett")</f>
        <v>Everett</v>
      </c>
      <c r="E5329" t="str">
        <f>IFERROR(__xludf.DUMMYFUNCTION("""COMPUTED_VALUE"""),"Gerald")</f>
        <v>Gerald</v>
      </c>
      <c r="F5329" t="str">
        <f>IFERROR(__xludf.DUMMYFUNCTION("""COMPUTED_VALUE"""),"LAR")</f>
        <v>LAR</v>
      </c>
      <c r="G5329">
        <f>IFERROR(__xludf.DUMMYFUNCTION("""COMPUTED_VALUE"""),19.0)</f>
        <v>19</v>
      </c>
    </row>
    <row r="5330">
      <c r="D5330" t="str">
        <f>IFERROR(__xludf.DUMMYFUNCTION("""COMPUTED_VALUE"""),"Fabiano")</f>
        <v>Fabiano</v>
      </c>
      <c r="E5330" t="str">
        <f>IFERROR(__xludf.DUMMYFUNCTION("""COMPUTED_VALUE"""),"Anthony")</f>
        <v>Anthony</v>
      </c>
      <c r="F5330" t="str">
        <f>IFERROR(__xludf.DUMMYFUNCTION("""COMPUTED_VALUE"""),"CLE")</f>
        <v>CLE</v>
      </c>
      <c r="G5330">
        <f>IFERROR(__xludf.DUMMYFUNCTION("""COMPUTED_VALUE"""),17.0)</f>
        <v>17</v>
      </c>
    </row>
    <row r="5331">
      <c r="D5331" t="str">
        <f>IFERROR(__xludf.DUMMYFUNCTION("""COMPUTED_VALUE"""),"Fackrell")</f>
        <v>Fackrell</v>
      </c>
      <c r="E5331" t="str">
        <f>IFERROR(__xludf.DUMMYFUNCTION("""COMPUTED_VALUE"""),"Kyler")</f>
        <v>Kyler</v>
      </c>
      <c r="F5331" t="str">
        <f>IFERROR(__xludf.DUMMYFUNCTION("""COMPUTED_VALUE"""),"GB")</f>
        <v>GB</v>
      </c>
      <c r="G5331">
        <f>IFERROR(__xludf.DUMMYFUNCTION("""COMPUTED_VALUE"""),19.0)</f>
        <v>19</v>
      </c>
    </row>
    <row r="5332">
      <c r="D5332" t="str">
        <f>IFERROR(__xludf.DUMMYFUNCTION("""COMPUTED_VALUE"""),"Fairbairn")</f>
        <v>Fairbairn</v>
      </c>
      <c r="E5332" t="str">
        <f>IFERROR(__xludf.DUMMYFUNCTION("""COMPUTED_VALUE"""),"Kaimi")</f>
        <v>Kaimi</v>
      </c>
      <c r="F5332" t="str">
        <f>IFERROR(__xludf.DUMMYFUNCTION("""COMPUTED_VALUE"""),"HOU")</f>
        <v>HOU</v>
      </c>
      <c r="G5332">
        <f>IFERROR(__xludf.DUMMYFUNCTION("""COMPUTED_VALUE"""),19.0)</f>
        <v>19</v>
      </c>
    </row>
    <row r="5333">
      <c r="D5333" t="str">
        <f>IFERROR(__xludf.DUMMYFUNCTION("""COMPUTED_VALUE"""),"Fales")</f>
        <v>Fales</v>
      </c>
      <c r="E5333" t="str">
        <f>IFERROR(__xludf.DUMMYFUNCTION("""COMPUTED_VALUE"""),"David")</f>
        <v>David</v>
      </c>
      <c r="F5333" t="str">
        <f>IFERROR(__xludf.DUMMYFUNCTION("""COMPUTED_VALUE"""),"MIA")</f>
        <v>MIA</v>
      </c>
      <c r="G5333">
        <f>IFERROR(__xludf.DUMMYFUNCTION("""COMPUTED_VALUE"""),16.75)</f>
        <v>16.75</v>
      </c>
    </row>
    <row r="5334">
      <c r="D5334" t="str">
        <f>IFERROR(__xludf.DUMMYFUNCTION("""COMPUTED_VALUE"""),"Falk")</f>
        <v>Falk</v>
      </c>
      <c r="E5334" t="str">
        <f>IFERROR(__xludf.DUMMYFUNCTION("""COMPUTED_VALUE"""),"Luke")</f>
        <v>Luke</v>
      </c>
      <c r="F5334" t="str">
        <f>IFERROR(__xludf.DUMMYFUNCTION("""COMPUTED_VALUE"""),"TEN")</f>
        <v>TEN</v>
      </c>
      <c r="G5334">
        <f>IFERROR(__xludf.DUMMYFUNCTION("""COMPUTED_VALUE"""),17.5)</f>
        <v>17.5</v>
      </c>
    </row>
    <row r="5335">
      <c r="D5335" t="str">
        <f>IFERROR(__xludf.DUMMYFUNCTION("""COMPUTED_VALUE"""),"Fant")</f>
        <v>Fant</v>
      </c>
      <c r="E5335" t="str">
        <f>IFERROR(__xludf.DUMMYFUNCTION("""COMPUTED_VALUE"""),"George")</f>
        <v>George</v>
      </c>
      <c r="F5335" t="str">
        <f>IFERROR(__xludf.DUMMYFUNCTION("""COMPUTED_VALUE"""),"SEA")</f>
        <v>SEA</v>
      </c>
      <c r="G5335">
        <f>IFERROR(__xludf.DUMMYFUNCTION("""COMPUTED_VALUE"""),18.75)</f>
        <v>18.75</v>
      </c>
    </row>
    <row r="5336">
      <c r="D5336" t="str">
        <f>IFERROR(__xludf.DUMMYFUNCTION("""COMPUTED_VALUE"""),"Farley")</f>
        <v>Farley</v>
      </c>
      <c r="E5336" t="str">
        <f>IFERROR(__xludf.DUMMYFUNCTION("""COMPUTED_VALUE"""),"Matthias")</f>
        <v>Matthias</v>
      </c>
      <c r="F5336" t="str">
        <f>IFERROR(__xludf.DUMMYFUNCTION("""COMPUTED_VALUE"""),"IND")</f>
        <v>IND</v>
      </c>
      <c r="G5336">
        <f>IFERROR(__xludf.DUMMYFUNCTION("""COMPUTED_VALUE"""),19.25)</f>
        <v>19.25</v>
      </c>
    </row>
    <row r="5337">
      <c r="D5337" t="str">
        <f>IFERROR(__xludf.DUMMYFUNCTION("""COMPUTED_VALUE"""),"Fatukasi")</f>
        <v>Fatukasi</v>
      </c>
      <c r="E5337" t="str">
        <f>IFERROR(__xludf.DUMMYFUNCTION("""COMPUTED_VALUE"""),"Folorunso")</f>
        <v>Folorunso</v>
      </c>
      <c r="F5337" t="str">
        <f>IFERROR(__xludf.DUMMYFUNCTION("""COMPUTED_VALUE"""),"NYJ")</f>
        <v>NYJ</v>
      </c>
      <c r="G5337">
        <f>IFERROR(__xludf.DUMMYFUNCTION("""COMPUTED_VALUE"""),16.5)</f>
        <v>16.5</v>
      </c>
    </row>
    <row r="5338">
      <c r="D5338" t="str">
        <f>IFERROR(__xludf.DUMMYFUNCTION("""COMPUTED_VALUE"""),"Fede")</f>
        <v>Fede</v>
      </c>
      <c r="E5338" t="str">
        <f>IFERROR(__xludf.DUMMYFUNCTION("""COMPUTED_VALUE"""),"Terrence")</f>
        <v>Terrence</v>
      </c>
      <c r="F5338" t="str">
        <f>IFERROR(__xludf.DUMMYFUNCTION("""COMPUTED_VALUE"""),"BUF")</f>
        <v>BUF</v>
      </c>
      <c r="G5338">
        <f>IFERROR(__xludf.DUMMYFUNCTION("""COMPUTED_VALUE"""),16.5)</f>
        <v>16.5</v>
      </c>
    </row>
    <row r="5339">
      <c r="D5339" t="str">
        <f>IFERROR(__xludf.DUMMYFUNCTION("""COMPUTED_VALUE"""),"Feeney")</f>
        <v>Feeney</v>
      </c>
      <c r="E5339" t="str">
        <f>IFERROR(__xludf.DUMMYFUNCTION("""COMPUTED_VALUE"""),"Dan")</f>
        <v>Dan</v>
      </c>
      <c r="F5339" t="str">
        <f>IFERROR(__xludf.DUMMYFUNCTION("""COMPUTED_VALUE"""),"LAC")</f>
        <v>LAC</v>
      </c>
      <c r="G5339">
        <f>IFERROR(__xludf.DUMMYFUNCTION("""COMPUTED_VALUE"""),19.25)</f>
        <v>19.25</v>
      </c>
    </row>
    <row r="5340">
      <c r="D5340" t="str">
        <f>IFERROR(__xludf.DUMMYFUNCTION("""COMPUTED_VALUE"""),"Feiler")</f>
        <v>Feiler</v>
      </c>
      <c r="E5340" t="str">
        <f>IFERROR(__xludf.DUMMYFUNCTION("""COMPUTED_VALUE"""),"Matt")</f>
        <v>Matt</v>
      </c>
      <c r="F5340" t="str">
        <f>IFERROR(__xludf.DUMMYFUNCTION("""COMPUTED_VALUE"""),"PIT")</f>
        <v>PIT</v>
      </c>
      <c r="G5340">
        <f>IFERROR(__xludf.DUMMYFUNCTION("""COMPUTED_VALUE"""),18.5)</f>
        <v>18.5</v>
      </c>
    </row>
    <row r="5341">
      <c r="D5341" t="str">
        <f>IFERROR(__xludf.DUMMYFUNCTION("""COMPUTED_VALUE"""),"Fejedelem")</f>
        <v>Fejedelem</v>
      </c>
      <c r="E5341" t="str">
        <f>IFERROR(__xludf.DUMMYFUNCTION("""COMPUTED_VALUE"""),"Clayton")</f>
        <v>Clayton</v>
      </c>
      <c r="F5341" t="str">
        <f>IFERROR(__xludf.DUMMYFUNCTION("""COMPUTED_VALUE"""),"CIN")</f>
        <v>CIN</v>
      </c>
      <c r="G5341">
        <f>IFERROR(__xludf.DUMMYFUNCTION("""COMPUTED_VALUE"""),16.5)</f>
        <v>16.5</v>
      </c>
    </row>
    <row r="5342">
      <c r="D5342" t="str">
        <f>IFERROR(__xludf.DUMMYFUNCTION("""COMPUTED_VALUE"""),"Feliciano")</f>
        <v>Feliciano</v>
      </c>
      <c r="E5342" t="str">
        <f>IFERROR(__xludf.DUMMYFUNCTION("""COMPUTED_VALUE"""),"Jon")</f>
        <v>Jon</v>
      </c>
      <c r="F5342" t="str">
        <f>IFERROR(__xludf.DUMMYFUNCTION("""COMPUTED_VALUE"""),"OAK")</f>
        <v>OAK</v>
      </c>
      <c r="G5342">
        <f>IFERROR(__xludf.DUMMYFUNCTION("""COMPUTED_VALUE"""),17.5)</f>
        <v>17.5</v>
      </c>
    </row>
    <row r="5343">
      <c r="D5343" t="str">
        <f>IFERROR(__xludf.DUMMYFUNCTION("""COMPUTED_VALUE"""),"Fells")</f>
        <v>Fells</v>
      </c>
      <c r="E5343" t="str">
        <f>IFERROR(__xludf.DUMMYFUNCTION("""COMPUTED_VALUE"""),"Darren")</f>
        <v>Darren</v>
      </c>
      <c r="F5343" t="str">
        <f>IFERROR(__xludf.DUMMYFUNCTION("""COMPUTED_VALUE"""),"CLE")</f>
        <v>CLE</v>
      </c>
      <c r="G5343">
        <f>IFERROR(__xludf.DUMMYFUNCTION("""COMPUTED_VALUE"""),18.75)</f>
        <v>18.75</v>
      </c>
    </row>
    <row r="5344">
      <c r="D5344" t="str">
        <f>IFERROR(__xludf.DUMMYFUNCTION("""COMPUTED_VALUE"""),"Ferguson")</f>
        <v>Ferguson</v>
      </c>
      <c r="E5344" t="str">
        <f>IFERROR(__xludf.DUMMYFUNCTION("""COMPUTED_VALUE"""),"Josh")</f>
        <v>Josh</v>
      </c>
      <c r="F5344" t="str">
        <f>IFERROR(__xludf.DUMMYFUNCTION("""COMPUTED_VALUE"""),"IND")</f>
        <v>IND</v>
      </c>
      <c r="G5344">
        <f>IFERROR(__xludf.DUMMYFUNCTION("""COMPUTED_VALUE"""),16.25)</f>
        <v>16.25</v>
      </c>
    </row>
    <row r="5345">
      <c r="D5345" t="str">
        <f>IFERROR(__xludf.DUMMYFUNCTION("""COMPUTED_VALUE"""),"Ficken")</f>
        <v>Ficken</v>
      </c>
      <c r="E5345" t="str">
        <f>IFERROR(__xludf.DUMMYFUNCTION("""COMPUTED_VALUE"""),"Sam")</f>
        <v>Sam</v>
      </c>
      <c r="F5345" t="str">
        <f>IFERROR(__xludf.DUMMYFUNCTION("""COMPUTED_VALUE"""),"LAR")</f>
        <v>LAR</v>
      </c>
      <c r="G5345">
        <f>IFERROR(__xludf.DUMMYFUNCTION("""COMPUTED_VALUE"""),18.75)</f>
        <v>18.75</v>
      </c>
    </row>
    <row r="5346">
      <c r="D5346" t="str">
        <f>IFERROR(__xludf.DUMMYFUNCTION("""COMPUTED_VALUE"""),"Finney")</f>
        <v>Finney</v>
      </c>
      <c r="E5346" t="str">
        <f>IFERROR(__xludf.DUMMYFUNCTION("""COMPUTED_VALUE"""),"BJ")</f>
        <v>BJ</v>
      </c>
      <c r="F5346" t="str">
        <f>IFERROR(__xludf.DUMMYFUNCTION("""COMPUTED_VALUE"""),"PIT")</f>
        <v>PIT</v>
      </c>
      <c r="G5346">
        <f>IFERROR(__xludf.DUMMYFUNCTION("""COMPUTED_VALUE"""),18.75)</f>
        <v>18.75</v>
      </c>
    </row>
    <row r="5347">
      <c r="D5347" t="str">
        <f>IFERROR(__xludf.DUMMYFUNCTION("""COMPUTED_VALUE"""),"Fisher")</f>
        <v>Fisher</v>
      </c>
      <c r="E5347" t="str">
        <f>IFERROR(__xludf.DUMMYFUNCTION("""COMPUTED_VALUE"""),"Eric")</f>
        <v>Eric</v>
      </c>
      <c r="F5347" t="str">
        <f>IFERROR(__xludf.DUMMYFUNCTION("""COMPUTED_VALUE"""),"KC")</f>
        <v>KC</v>
      </c>
      <c r="G5347">
        <f>IFERROR(__xludf.DUMMYFUNCTION("""COMPUTED_VALUE"""),19.25)</f>
        <v>19.25</v>
      </c>
    </row>
    <row r="5348">
      <c r="D5348" t="str">
        <f>IFERROR(__xludf.DUMMYFUNCTION("""COMPUTED_VALUE"""),"Fisher")</f>
        <v>Fisher</v>
      </c>
      <c r="E5348" t="str">
        <f>IFERROR(__xludf.DUMMYFUNCTION("""COMPUTED_VALUE"""),"Jake")</f>
        <v>Jake</v>
      </c>
      <c r="F5348" t="str">
        <f>IFERROR(__xludf.DUMMYFUNCTION("""COMPUTED_VALUE"""),"CIN")</f>
        <v>CIN</v>
      </c>
      <c r="G5348">
        <f>IFERROR(__xludf.DUMMYFUNCTION("""COMPUTED_VALUE"""),18.5)</f>
        <v>18.5</v>
      </c>
    </row>
    <row r="5349">
      <c r="D5349" t="str">
        <f>IFERROR(__xludf.DUMMYFUNCTION("""COMPUTED_VALUE"""),"Fitts")</f>
        <v>Fitts</v>
      </c>
      <c r="E5349" t="str">
        <f>IFERROR(__xludf.DUMMYFUNCTION("""COMPUTED_VALUE"""),"Kylie")</f>
        <v>Kylie</v>
      </c>
      <c r="F5349" t="str">
        <f>IFERROR(__xludf.DUMMYFUNCTION("""COMPUTED_VALUE"""),"CHI")</f>
        <v>CHI</v>
      </c>
      <c r="G5349">
        <f>IFERROR(__xludf.DUMMYFUNCTION("""COMPUTED_VALUE"""),16.5)</f>
        <v>16.5</v>
      </c>
    </row>
    <row r="5350">
      <c r="D5350" t="str">
        <f>IFERROR(__xludf.DUMMYFUNCTION("""COMPUTED_VALUE"""),"Fitzgerald")</f>
        <v>Fitzgerald</v>
      </c>
      <c r="E5350" t="str">
        <f>IFERROR(__xludf.DUMMYFUNCTION("""COMPUTED_VALUE"""),"Larry")</f>
        <v>Larry</v>
      </c>
      <c r="F5350" t="str">
        <f>IFERROR(__xludf.DUMMYFUNCTION("""COMPUTED_VALUE"""),"ARZ")</f>
        <v>ARZ</v>
      </c>
      <c r="G5350">
        <f>IFERROR(__xludf.DUMMYFUNCTION("""COMPUTED_VALUE"""),21.5)</f>
        <v>21.5</v>
      </c>
    </row>
    <row r="5351">
      <c r="D5351" t="str">
        <f>IFERROR(__xludf.DUMMYFUNCTION("""COMPUTED_VALUE"""),"Fitzpatrick")</f>
        <v>Fitzpatrick</v>
      </c>
      <c r="E5351" t="str">
        <f>IFERROR(__xludf.DUMMYFUNCTION("""COMPUTED_VALUE"""),"Minkah")</f>
        <v>Minkah</v>
      </c>
      <c r="F5351" t="str">
        <f>IFERROR(__xludf.DUMMYFUNCTION("""COMPUTED_VALUE"""),"MIA")</f>
        <v>MIA</v>
      </c>
      <c r="G5351">
        <f>IFERROR(__xludf.DUMMYFUNCTION("""COMPUTED_VALUE"""),19.5)</f>
        <v>19.5</v>
      </c>
    </row>
    <row r="5352">
      <c r="D5352" t="str">
        <f>IFERROR(__xludf.DUMMYFUNCTION("""COMPUTED_VALUE"""),"Fitzpatrick")</f>
        <v>Fitzpatrick</v>
      </c>
      <c r="E5352" t="str">
        <f>IFERROR(__xludf.DUMMYFUNCTION("""COMPUTED_VALUE"""),"Ryan")</f>
        <v>Ryan</v>
      </c>
      <c r="F5352" t="str">
        <f>IFERROR(__xludf.DUMMYFUNCTION("""COMPUTED_VALUE"""),"TB")</f>
        <v>TB</v>
      </c>
      <c r="G5352">
        <f>IFERROR(__xludf.DUMMYFUNCTION("""COMPUTED_VALUE"""),19.0)</f>
        <v>19</v>
      </c>
    </row>
    <row r="5353">
      <c r="D5353" t="str">
        <f>IFERROR(__xludf.DUMMYFUNCTION("""COMPUTED_VALUE"""),"Flacco")</f>
        <v>Flacco</v>
      </c>
      <c r="E5353" t="str">
        <f>IFERROR(__xludf.DUMMYFUNCTION("""COMPUTED_VALUE"""),"Joe")</f>
        <v>Joe</v>
      </c>
      <c r="F5353" t="str">
        <f>IFERROR(__xludf.DUMMYFUNCTION("""COMPUTED_VALUE"""),"BAL")</f>
        <v>BAL</v>
      </c>
      <c r="G5353">
        <f>IFERROR(__xludf.DUMMYFUNCTION("""COMPUTED_VALUE"""),19.5)</f>
        <v>19.5</v>
      </c>
    </row>
    <row r="5354">
      <c r="D5354" t="str">
        <f>IFERROR(__xludf.DUMMYFUNCTION("""COMPUTED_VALUE"""),"Fleming")</f>
        <v>Fleming</v>
      </c>
      <c r="E5354" t="str">
        <f>IFERROR(__xludf.DUMMYFUNCTION("""COMPUTED_VALUE"""),"Cameron")</f>
        <v>Cameron</v>
      </c>
      <c r="F5354" t="str">
        <f>IFERROR(__xludf.DUMMYFUNCTION("""COMPUTED_VALUE"""),"DAL")</f>
        <v>DAL</v>
      </c>
      <c r="G5354">
        <f>IFERROR(__xludf.DUMMYFUNCTION("""COMPUTED_VALUE"""),19.5)</f>
        <v>19.5</v>
      </c>
    </row>
    <row r="5355">
      <c r="D5355" t="str">
        <f>IFERROR(__xludf.DUMMYFUNCTION("""COMPUTED_VALUE"""),"Flowers")</f>
        <v>Flowers</v>
      </c>
      <c r="E5355" t="str">
        <f>IFERROR(__xludf.DUMMYFUNCTION("""COMPUTED_VALUE"""),"Ereck")</f>
        <v>Ereck</v>
      </c>
      <c r="F5355" t="str">
        <f>IFERROR(__xludf.DUMMYFUNCTION("""COMPUTED_VALUE"""),"NYG")</f>
        <v>NYG</v>
      </c>
      <c r="G5355">
        <f>IFERROR(__xludf.DUMMYFUNCTION("""COMPUTED_VALUE"""),18.5)</f>
        <v>18.5</v>
      </c>
    </row>
    <row r="5356">
      <c r="D5356" t="str">
        <f>IFERROR(__xludf.DUMMYFUNCTION("""COMPUTED_VALUE"""),"Flowers")</f>
        <v>Flowers</v>
      </c>
      <c r="E5356" t="str">
        <f>IFERROR(__xludf.DUMMYFUNCTION("""COMPUTED_VALUE"""),"Marquis")</f>
        <v>Marquis</v>
      </c>
      <c r="F5356" t="str">
        <f>IFERROR(__xludf.DUMMYFUNCTION("""COMPUTED_VALUE"""),"NE")</f>
        <v>NE</v>
      </c>
      <c r="G5356">
        <f>IFERROR(__xludf.DUMMYFUNCTION("""COMPUTED_VALUE"""),18.75)</f>
        <v>18.75</v>
      </c>
    </row>
    <row r="5357">
      <c r="D5357" t="str">
        <f>IFERROR(__xludf.DUMMYFUNCTION("""COMPUTED_VALUE"""),"Flowers")</f>
        <v>Flowers</v>
      </c>
      <c r="E5357" t="str">
        <f>IFERROR(__xludf.DUMMYFUNCTION("""COMPUTED_VALUE"""),"Tre")</f>
        <v>Tre</v>
      </c>
      <c r="F5357" t="str">
        <f>IFERROR(__xludf.DUMMYFUNCTION("""COMPUTED_VALUE"""),"SEA")</f>
        <v>SEA</v>
      </c>
      <c r="G5357">
        <f>IFERROR(__xludf.DUMMYFUNCTION("""COMPUTED_VALUE"""),16.5)</f>
        <v>16.5</v>
      </c>
    </row>
    <row r="5358">
      <c r="D5358" t="str">
        <f>IFERROR(__xludf.DUMMYFUNCTION("""COMPUTED_VALUE"""),"Flowers")</f>
        <v>Flowers</v>
      </c>
      <c r="E5358" t="str">
        <f>IFERROR(__xludf.DUMMYFUNCTION("""COMPUTED_VALUE"""),"Trey")</f>
        <v>Trey</v>
      </c>
      <c r="F5358" t="str">
        <f>IFERROR(__xludf.DUMMYFUNCTION("""COMPUTED_VALUE"""),"NE")</f>
        <v>NE</v>
      </c>
      <c r="G5358">
        <f>IFERROR(__xludf.DUMMYFUNCTION("""COMPUTED_VALUE"""),20.25)</f>
        <v>20.25</v>
      </c>
    </row>
    <row r="5359">
      <c r="D5359" t="str">
        <f>IFERROR(__xludf.DUMMYFUNCTION("""COMPUTED_VALUE"""),"Floyd")</f>
        <v>Floyd</v>
      </c>
      <c r="E5359" t="str">
        <f>IFERROR(__xludf.DUMMYFUNCTION("""COMPUTED_VALUE"""),"Leonard")</f>
        <v>Leonard</v>
      </c>
      <c r="F5359" t="str">
        <f>IFERROR(__xludf.DUMMYFUNCTION("""COMPUTED_VALUE"""),"CHI")</f>
        <v>CHI</v>
      </c>
      <c r="G5359">
        <f>IFERROR(__xludf.DUMMYFUNCTION("""COMPUTED_VALUE"""),19.75)</f>
        <v>19.75</v>
      </c>
    </row>
    <row r="5360">
      <c r="D5360" t="str">
        <f>IFERROR(__xludf.DUMMYFUNCTION("""COMPUTED_VALUE"""),"Fluellen")</f>
        <v>Fluellen</v>
      </c>
      <c r="E5360" t="str">
        <f>IFERROR(__xludf.DUMMYFUNCTION("""COMPUTED_VALUE"""),"David")</f>
        <v>David</v>
      </c>
      <c r="F5360" t="str">
        <f>IFERROR(__xludf.DUMMYFUNCTION("""COMPUTED_VALUE"""),"TEN")</f>
        <v>TEN</v>
      </c>
      <c r="G5360">
        <f>IFERROR(__xludf.DUMMYFUNCTION("""COMPUTED_VALUE"""),15.5)</f>
        <v>15.5</v>
      </c>
    </row>
    <row r="5361">
      <c r="D5361" t="str">
        <f>IFERROR(__xludf.DUMMYFUNCTION("""COMPUTED_VALUE"""),"Fluker")</f>
        <v>Fluker</v>
      </c>
      <c r="E5361" t="str">
        <f>IFERROR(__xludf.DUMMYFUNCTION("""COMPUTED_VALUE"""),"DJ")</f>
        <v>DJ</v>
      </c>
      <c r="F5361" t="str">
        <f>IFERROR(__xludf.DUMMYFUNCTION("""COMPUTED_VALUE"""),"SEA")</f>
        <v>SEA</v>
      </c>
      <c r="G5361">
        <f>IFERROR(__xludf.DUMMYFUNCTION("""COMPUTED_VALUE"""),19.0)</f>
        <v>19</v>
      </c>
    </row>
    <row r="5362">
      <c r="D5362" t="str">
        <f>IFERROR(__xludf.DUMMYFUNCTION("""COMPUTED_VALUE"""),"Foles")</f>
        <v>Foles</v>
      </c>
      <c r="E5362" t="str">
        <f>IFERROR(__xludf.DUMMYFUNCTION("""COMPUTED_VALUE"""),"Nick")</f>
        <v>Nick</v>
      </c>
      <c r="F5362" t="str">
        <f>IFERROR(__xludf.DUMMYFUNCTION("""COMPUTED_VALUE"""),"PHI")</f>
        <v>PHI</v>
      </c>
      <c r="G5362">
        <f>IFERROR(__xludf.DUMMYFUNCTION("""COMPUTED_VALUE"""),19.75)</f>
        <v>19.75</v>
      </c>
    </row>
    <row r="5363">
      <c r="D5363" t="str">
        <f>IFERROR(__xludf.DUMMYFUNCTION("""COMPUTED_VALUE"""),"Forbath")</f>
        <v>Forbath</v>
      </c>
      <c r="E5363" t="str">
        <f>IFERROR(__xludf.DUMMYFUNCTION("""COMPUTED_VALUE"""),"Kai")</f>
        <v>Kai</v>
      </c>
      <c r="F5363" t="str">
        <f>IFERROR(__xludf.DUMMYFUNCTION("""COMPUTED_VALUE"""),"MIN")</f>
        <v>MIN</v>
      </c>
      <c r="G5363">
        <f>IFERROR(__xludf.DUMMYFUNCTION("""COMPUTED_VALUE"""),19.0)</f>
        <v>19</v>
      </c>
    </row>
    <row r="5364">
      <c r="D5364" t="str">
        <f>IFERROR(__xludf.DUMMYFUNCTION("""COMPUTED_VALUE"""),"Ford")</f>
        <v>Ford</v>
      </c>
      <c r="E5364" t="str">
        <f>IFERROR(__xludf.DUMMYFUNCTION("""COMPUTED_VALUE"""),"Dee")</f>
        <v>Dee</v>
      </c>
      <c r="F5364" t="str">
        <f>IFERROR(__xludf.DUMMYFUNCTION("""COMPUTED_VALUE"""),"KC")</f>
        <v>KC</v>
      </c>
      <c r="G5364">
        <f>IFERROR(__xludf.DUMMYFUNCTION("""COMPUTED_VALUE"""),18.75)</f>
        <v>18.75</v>
      </c>
    </row>
    <row r="5365">
      <c r="D5365" t="str">
        <f>IFERROR(__xludf.DUMMYFUNCTION("""COMPUTED_VALUE"""),"Ford")</f>
        <v>Ford</v>
      </c>
      <c r="E5365" t="str">
        <f>IFERROR(__xludf.DUMMYFUNCTION("""COMPUTED_VALUE"""),"Rudy")</f>
        <v>Rudy</v>
      </c>
      <c r="F5365" t="str">
        <f>IFERROR(__xludf.DUMMYFUNCTION("""COMPUTED_VALUE"""),"ARZ")</f>
        <v>ARZ</v>
      </c>
      <c r="G5365">
        <f>IFERROR(__xludf.DUMMYFUNCTION("""COMPUTED_VALUE"""),18.25)</f>
        <v>18.25</v>
      </c>
    </row>
    <row r="5366">
      <c r="D5366" t="str">
        <f>IFERROR(__xludf.DUMMYFUNCTION("""COMPUTED_VALUE"""),"Foreman")</f>
        <v>Foreman</v>
      </c>
      <c r="E5366" t="str">
        <f>IFERROR(__xludf.DUMMYFUNCTION("""COMPUTED_VALUE"""),"DOnta")</f>
        <v>DOnta</v>
      </c>
      <c r="F5366" t="str">
        <f>IFERROR(__xludf.DUMMYFUNCTION("""COMPUTED_VALUE"""),"HOU")</f>
        <v>HOU</v>
      </c>
      <c r="G5366">
        <f>IFERROR(__xludf.DUMMYFUNCTION("""COMPUTED_VALUE"""),18.25)</f>
        <v>18.25</v>
      </c>
    </row>
    <row r="5367">
      <c r="D5367" t="str">
        <f>IFERROR(__xludf.DUMMYFUNCTION("""COMPUTED_VALUE"""),"Fort")</f>
        <v>Fort</v>
      </c>
      <c r="E5367" t="str">
        <f>IFERROR(__xludf.DUMMYFUNCTION("""COMPUTED_VALUE"""),"LJ")</f>
        <v>LJ</v>
      </c>
      <c r="F5367" t="str">
        <f>IFERROR(__xludf.DUMMYFUNCTION("""COMPUTED_VALUE"""),"PIT")</f>
        <v>PIT</v>
      </c>
      <c r="G5367">
        <f>IFERROR(__xludf.DUMMYFUNCTION("""COMPUTED_VALUE"""),18.25)</f>
        <v>18.25</v>
      </c>
    </row>
    <row r="5368">
      <c r="D5368" t="str">
        <f>IFERROR(__xludf.DUMMYFUNCTION("""COMPUTED_VALUE"""),"Foster")</f>
        <v>Foster</v>
      </c>
      <c r="E5368" t="str">
        <f>IFERROR(__xludf.DUMMYFUNCTION("""COMPUTED_VALUE"""),"DJ")</f>
        <v>DJ</v>
      </c>
      <c r="F5368" t="str">
        <f>IFERROR(__xludf.DUMMYFUNCTION("""COMPUTED_VALUE"""),"ARZ")</f>
        <v>ARZ</v>
      </c>
      <c r="G5368">
        <f>IFERROR(__xludf.DUMMYFUNCTION("""COMPUTED_VALUE"""),17.0)</f>
        <v>17</v>
      </c>
    </row>
    <row r="5369">
      <c r="D5369" t="str">
        <f>IFERROR(__xludf.DUMMYFUNCTION("""COMPUTED_VALUE"""),"Foster")</f>
        <v>Foster</v>
      </c>
      <c r="E5369" t="str">
        <f>IFERROR(__xludf.DUMMYFUNCTION("""COMPUTED_VALUE"""),"Mason")</f>
        <v>Mason</v>
      </c>
      <c r="F5369" t="str">
        <f>IFERROR(__xludf.DUMMYFUNCTION("""COMPUTED_VALUE"""),"WAS")</f>
        <v>WAS</v>
      </c>
      <c r="G5369">
        <f>IFERROR(__xludf.DUMMYFUNCTION("""COMPUTED_VALUE"""),19.0)</f>
        <v>19</v>
      </c>
    </row>
    <row r="5370">
      <c r="D5370" t="str">
        <f>IFERROR(__xludf.DUMMYFUNCTION("""COMPUTED_VALUE"""),"Foster")</f>
        <v>Foster</v>
      </c>
      <c r="E5370" t="str">
        <f>IFERROR(__xludf.DUMMYFUNCTION("""COMPUTED_VALUE"""),"Ramon")</f>
        <v>Ramon</v>
      </c>
      <c r="F5370" t="str">
        <f>IFERROR(__xludf.DUMMYFUNCTION("""COMPUTED_VALUE"""),"PIT")</f>
        <v>PIT</v>
      </c>
      <c r="G5370">
        <f>IFERROR(__xludf.DUMMYFUNCTION("""COMPUTED_VALUE"""),19.5)</f>
        <v>19.5</v>
      </c>
    </row>
    <row r="5371">
      <c r="D5371" t="str">
        <f>IFERROR(__xludf.DUMMYFUNCTION("""COMPUTED_VALUE"""),"Foster")</f>
        <v>Foster</v>
      </c>
      <c r="E5371" t="str">
        <f>IFERROR(__xludf.DUMMYFUNCTION("""COMPUTED_VALUE"""),"Reuben")</f>
        <v>Reuben</v>
      </c>
      <c r="F5371" t="str">
        <f>IFERROR(__xludf.DUMMYFUNCTION("""COMPUTED_VALUE"""),"SF")</f>
        <v>SF</v>
      </c>
      <c r="G5371">
        <f>IFERROR(__xludf.DUMMYFUNCTION("""COMPUTED_VALUE"""),22.5)</f>
        <v>22.5</v>
      </c>
    </row>
    <row r="5372">
      <c r="D5372" t="str">
        <f>IFERROR(__xludf.DUMMYFUNCTION("""COMPUTED_VALUE"""),"Foster")</f>
        <v>Foster</v>
      </c>
      <c r="E5372" t="str">
        <f>IFERROR(__xludf.DUMMYFUNCTION("""COMPUTED_VALUE"""),"Reuben")</f>
        <v>Reuben</v>
      </c>
      <c r="F5372" t="str">
        <f>IFERROR(__xludf.DUMMYFUNCTION("""COMPUTED_VALUE"""),"SF")</f>
        <v>SF</v>
      </c>
      <c r="G5372">
        <f>IFERROR(__xludf.DUMMYFUNCTION("""COMPUTED_VALUE"""),21.25)</f>
        <v>21.25</v>
      </c>
    </row>
    <row r="5373">
      <c r="D5373" t="str">
        <f>IFERROR(__xludf.DUMMYFUNCTION("""COMPUTED_VALUE"""),"Fountain")</f>
        <v>Fountain</v>
      </c>
      <c r="E5373" t="str">
        <f>IFERROR(__xludf.DUMMYFUNCTION("""COMPUTED_VALUE"""),"Reece")</f>
        <v>Reece</v>
      </c>
      <c r="F5373" t="str">
        <f>IFERROR(__xludf.DUMMYFUNCTION("""COMPUTED_VALUE"""),"IND")</f>
        <v>IND</v>
      </c>
      <c r="G5373">
        <f>IFERROR(__xludf.DUMMYFUNCTION("""COMPUTED_VALUE"""),18.0)</f>
        <v>18</v>
      </c>
    </row>
    <row r="5374">
      <c r="D5374" t="str">
        <f>IFERROR(__xludf.DUMMYFUNCTION("""COMPUTED_VALUE"""),"Fournette")</f>
        <v>Fournette</v>
      </c>
      <c r="E5374" t="str">
        <f>IFERROR(__xludf.DUMMYFUNCTION("""COMPUTED_VALUE"""),"Leonard")</f>
        <v>Leonard</v>
      </c>
      <c r="F5374" t="str">
        <f>IFERROR(__xludf.DUMMYFUNCTION("""COMPUTED_VALUE"""),"JAX")</f>
        <v>JAX</v>
      </c>
      <c r="G5374">
        <f>IFERROR(__xludf.DUMMYFUNCTION("""COMPUTED_VALUE"""),21.0)</f>
        <v>21</v>
      </c>
    </row>
    <row r="5375">
      <c r="D5375" t="str">
        <f>IFERROR(__xludf.DUMMYFUNCTION("""COMPUTED_VALUE"""),"Fowler")</f>
        <v>Fowler</v>
      </c>
      <c r="E5375" t="str">
        <f>IFERROR(__xludf.DUMMYFUNCTION("""COMPUTED_VALUE"""),"Jalston")</f>
        <v>Jalston</v>
      </c>
      <c r="F5375" t="str">
        <f>IFERROR(__xludf.DUMMYFUNCTION("""COMPUTED_VALUE"""),"SEA")</f>
        <v>SEA</v>
      </c>
      <c r="G5375">
        <f>IFERROR(__xludf.DUMMYFUNCTION("""COMPUTED_VALUE"""),17.75)</f>
        <v>17.75</v>
      </c>
    </row>
    <row r="5376">
      <c r="D5376" t="str">
        <f>IFERROR(__xludf.DUMMYFUNCTION("""COMPUTED_VALUE"""),"Fowler III")</f>
        <v>Fowler III</v>
      </c>
      <c r="E5376" t="str">
        <f>IFERROR(__xludf.DUMMYFUNCTION("""COMPUTED_VALUE"""),"Bennie")</f>
        <v>Bennie</v>
      </c>
      <c r="F5376" t="str">
        <f>IFERROR(__xludf.DUMMYFUNCTION("""COMPUTED_VALUE"""),"CHI")</f>
        <v>CHI</v>
      </c>
      <c r="G5376">
        <f>IFERROR(__xludf.DUMMYFUNCTION("""COMPUTED_VALUE"""),18.0)</f>
        <v>18</v>
      </c>
    </row>
    <row r="5377">
      <c r="D5377" t="str">
        <f>IFERROR(__xludf.DUMMYFUNCTION("""COMPUTED_VALUE"""),"Fowler Jr")</f>
        <v>Fowler Jr</v>
      </c>
      <c r="E5377" t="str">
        <f>IFERROR(__xludf.DUMMYFUNCTION("""COMPUTED_VALUE"""),"Dante")</f>
        <v>Dante</v>
      </c>
      <c r="F5377" t="str">
        <f>IFERROR(__xludf.DUMMYFUNCTION("""COMPUTED_VALUE"""),"JAX")</f>
        <v>JAX</v>
      </c>
      <c r="G5377">
        <f>IFERROR(__xludf.DUMMYFUNCTION("""COMPUTED_VALUE"""),18.75)</f>
        <v>18.75</v>
      </c>
    </row>
    <row r="5378">
      <c r="D5378" t="str">
        <f>IFERROR(__xludf.DUMMYFUNCTION("""COMPUTED_VALUE"""),"Fox")</f>
        <v>Fox</v>
      </c>
      <c r="E5378" t="str">
        <f>IFERROR(__xludf.DUMMYFUNCTION("""COMPUTED_VALUE"""),"Morgan")</f>
        <v>Morgan</v>
      </c>
      <c r="F5378" t="str">
        <f>IFERROR(__xludf.DUMMYFUNCTION("""COMPUTED_VALUE"""),"LAR")</f>
        <v>LAR</v>
      </c>
      <c r="G5378">
        <f>IFERROR(__xludf.DUMMYFUNCTION("""COMPUTED_VALUE"""),17.5)</f>
        <v>17.5</v>
      </c>
    </row>
    <row r="5379">
      <c r="D5379" t="str">
        <f>IFERROR(__xludf.DUMMYFUNCTION("""COMPUTED_VALUE"""),"Francis")</f>
        <v>Francis</v>
      </c>
      <c r="E5379" t="str">
        <f>IFERROR(__xludf.DUMMYFUNCTION("""COMPUTED_VALUE"""),"AJ")</f>
        <v>AJ</v>
      </c>
      <c r="F5379" t="str">
        <f>IFERROR(__xludf.DUMMYFUNCTION("""COMPUTED_VALUE"""),"NYG")</f>
        <v>NYG</v>
      </c>
      <c r="G5379">
        <f>IFERROR(__xludf.DUMMYFUNCTION("""COMPUTED_VALUE"""),15.75)</f>
        <v>15.75</v>
      </c>
    </row>
    <row r="5380">
      <c r="D5380" t="str">
        <f>IFERROR(__xludf.DUMMYFUNCTION("""COMPUTED_VALUE"""),"Franklin")</f>
        <v>Franklin</v>
      </c>
      <c r="E5380" t="str">
        <f>IFERROR(__xludf.DUMMYFUNCTION("""COMPUTED_VALUE"""),"Zaire")</f>
        <v>Zaire</v>
      </c>
      <c r="F5380" t="str">
        <f>IFERROR(__xludf.DUMMYFUNCTION("""COMPUTED_VALUE"""),"IND")</f>
        <v>IND</v>
      </c>
      <c r="G5380">
        <f>IFERROR(__xludf.DUMMYFUNCTION("""COMPUTED_VALUE"""),17.25)</f>
        <v>17.25</v>
      </c>
    </row>
    <row r="5381">
      <c r="D5381" t="str">
        <f>IFERROR(__xludf.DUMMYFUNCTION("""COMPUTED_VALUE"""),"Franklin-Myers")</f>
        <v>Franklin-Myers</v>
      </c>
      <c r="E5381" t="str">
        <f>IFERROR(__xludf.DUMMYFUNCTION("""COMPUTED_VALUE"""),"John")</f>
        <v>John</v>
      </c>
      <c r="F5381" t="str">
        <f>IFERROR(__xludf.DUMMYFUNCTION("""COMPUTED_VALUE"""),"LAR")</f>
        <v>LAR</v>
      </c>
      <c r="G5381">
        <f>IFERROR(__xludf.DUMMYFUNCTION("""COMPUTED_VALUE"""),16.25)</f>
        <v>16.25</v>
      </c>
    </row>
    <row r="5382">
      <c r="D5382" t="str">
        <f>IFERROR(__xludf.DUMMYFUNCTION("""COMPUTED_VALUE"""),"Frazier")</f>
        <v>Frazier</v>
      </c>
      <c r="E5382" t="str">
        <f>IFERROR(__xludf.DUMMYFUNCTION("""COMPUTED_VALUE"""),"Joshua")</f>
        <v>Joshua</v>
      </c>
      <c r="F5382" t="str">
        <f>IFERROR(__xludf.DUMMYFUNCTION("""COMPUTED_VALUE"""),"PIT")</f>
        <v>PIT</v>
      </c>
      <c r="G5382">
        <f>IFERROR(__xludf.DUMMYFUNCTION("""COMPUTED_VALUE"""),16.25)</f>
        <v>16.25</v>
      </c>
    </row>
    <row r="5383">
      <c r="D5383" t="str">
        <f>IFERROR(__xludf.DUMMYFUNCTION("""COMPUTED_VALUE"""),"Frazier")</f>
        <v>Frazier</v>
      </c>
      <c r="E5383" t="str">
        <f>IFERROR(__xludf.DUMMYFUNCTION("""COMPUTED_VALUE"""),"Kavon")</f>
        <v>Kavon</v>
      </c>
      <c r="F5383" t="str">
        <f>IFERROR(__xludf.DUMMYFUNCTION("""COMPUTED_VALUE"""),"DAL")</f>
        <v>DAL</v>
      </c>
      <c r="G5383">
        <f>IFERROR(__xludf.DUMMYFUNCTION("""COMPUTED_VALUE"""),18.0)</f>
        <v>18</v>
      </c>
    </row>
    <row r="5384">
      <c r="D5384" t="str">
        <f>IFERROR(__xludf.DUMMYFUNCTION("""COMPUTED_VALUE"""),"Frazier")</f>
        <v>Frazier</v>
      </c>
      <c r="E5384" t="str">
        <f>IFERROR(__xludf.DUMMYFUNCTION("""COMPUTED_VALUE"""),"Mose")</f>
        <v>Mose</v>
      </c>
      <c r="F5384" t="str">
        <f>IFERROR(__xludf.DUMMYFUNCTION("""COMPUTED_VALUE"""),"CAR")</f>
        <v>CAR</v>
      </c>
      <c r="G5384">
        <f>IFERROR(__xludf.DUMMYFUNCTION("""COMPUTED_VALUE"""),16.25)</f>
        <v>16.25</v>
      </c>
    </row>
    <row r="5385">
      <c r="D5385" t="str">
        <f>IFERROR(__xludf.DUMMYFUNCTION("""COMPUTED_VALUE"""),"Frederick")</f>
        <v>Frederick</v>
      </c>
      <c r="E5385" t="str">
        <f>IFERROR(__xludf.DUMMYFUNCTION("""COMPUTED_VALUE"""),"Travis")</f>
        <v>Travis</v>
      </c>
      <c r="F5385" t="str">
        <f>IFERROR(__xludf.DUMMYFUNCTION("""COMPUTED_VALUE"""),"DAL")</f>
        <v>DAL</v>
      </c>
      <c r="G5385">
        <f>IFERROR(__xludf.DUMMYFUNCTION("""COMPUTED_VALUE"""),21.75)</f>
        <v>21.75</v>
      </c>
    </row>
    <row r="5386">
      <c r="D5386" t="str">
        <f>IFERROR(__xludf.DUMMYFUNCTION("""COMPUTED_VALUE"""),"Frederick")</f>
        <v>Frederick</v>
      </c>
      <c r="E5386" t="str">
        <f>IFERROR(__xludf.DUMMYFUNCTION("""COMPUTED_VALUE"""),"Travis")</f>
        <v>Travis</v>
      </c>
      <c r="F5386" t="str">
        <f>IFERROR(__xludf.DUMMYFUNCTION("""COMPUTED_VALUE"""),"DAL")</f>
        <v>DAL</v>
      </c>
      <c r="G5386">
        <f>IFERROR(__xludf.DUMMYFUNCTION("""COMPUTED_VALUE"""),22.75)</f>
        <v>22.75</v>
      </c>
    </row>
    <row r="5387">
      <c r="D5387" t="str">
        <f>IFERROR(__xludf.DUMMYFUNCTION("""COMPUTED_VALUE"""),"Freeman")</f>
        <v>Freeman</v>
      </c>
      <c r="E5387" t="str">
        <f>IFERROR(__xludf.DUMMYFUNCTION("""COMPUTED_VALUE"""),"Devonta")</f>
        <v>Devonta</v>
      </c>
      <c r="F5387" t="str">
        <f>IFERROR(__xludf.DUMMYFUNCTION("""COMPUTED_VALUE"""),"ATL")</f>
        <v>ATL</v>
      </c>
      <c r="G5387">
        <f>IFERROR(__xludf.DUMMYFUNCTION("""COMPUTED_VALUE"""),21.25)</f>
        <v>21.25</v>
      </c>
    </row>
    <row r="5388">
      <c r="D5388" t="str">
        <f>IFERROR(__xludf.DUMMYFUNCTION("""COMPUTED_VALUE"""),"Freeman")</f>
        <v>Freeman</v>
      </c>
      <c r="E5388" t="str">
        <f>IFERROR(__xludf.DUMMYFUNCTION("""COMPUTED_VALUE"""),"Royce")</f>
        <v>Royce</v>
      </c>
      <c r="F5388" t="str">
        <f>IFERROR(__xludf.DUMMYFUNCTION("""COMPUTED_VALUE"""),"DEN")</f>
        <v>DEN</v>
      </c>
      <c r="G5388">
        <f>IFERROR(__xludf.DUMMYFUNCTION("""COMPUTED_VALUE"""),18.5)</f>
        <v>18.5</v>
      </c>
    </row>
    <row r="5389">
      <c r="D5389" t="str">
        <f>IFERROR(__xludf.DUMMYFUNCTION("""COMPUTED_VALUE"""),"Freeny")</f>
        <v>Freeny</v>
      </c>
      <c r="E5389" t="str">
        <f>IFERROR(__xludf.DUMMYFUNCTION("""COMPUTED_VALUE"""),"Jonathan")</f>
        <v>Jonathan</v>
      </c>
      <c r="F5389" t="str">
        <f>IFERROR(__xludf.DUMMYFUNCTION("""COMPUTED_VALUE"""),"DET")</f>
        <v>DET</v>
      </c>
      <c r="G5389">
        <f>IFERROR(__xludf.DUMMYFUNCTION("""COMPUTED_VALUE"""),17.0)</f>
        <v>17</v>
      </c>
    </row>
    <row r="5390">
      <c r="D5390" t="str">
        <f>IFERROR(__xludf.DUMMYFUNCTION("""COMPUTED_VALUE"""),"Fuller")</f>
        <v>Fuller</v>
      </c>
      <c r="E5390" t="str">
        <f>IFERROR(__xludf.DUMMYFUNCTION("""COMPUTED_VALUE"""),"Kendall")</f>
        <v>Kendall</v>
      </c>
      <c r="F5390" t="str">
        <f>IFERROR(__xludf.DUMMYFUNCTION("""COMPUTED_VALUE"""),"KC")</f>
        <v>KC</v>
      </c>
      <c r="G5390">
        <f>IFERROR(__xludf.DUMMYFUNCTION("""COMPUTED_VALUE"""),20.5)</f>
        <v>20.5</v>
      </c>
    </row>
    <row r="5391">
      <c r="D5391" t="str">
        <f>IFERROR(__xludf.DUMMYFUNCTION("""COMPUTED_VALUE"""),"Fuller")</f>
        <v>Fuller</v>
      </c>
      <c r="E5391" t="str">
        <f>IFERROR(__xludf.DUMMYFUNCTION("""COMPUTED_VALUE"""),"Kyle")</f>
        <v>Kyle</v>
      </c>
      <c r="F5391" t="str">
        <f>IFERROR(__xludf.DUMMYFUNCTION("""COMPUTED_VALUE"""),"HOU")</f>
        <v>HOU</v>
      </c>
      <c r="G5391">
        <f>IFERROR(__xludf.DUMMYFUNCTION("""COMPUTED_VALUE"""),16.5)</f>
        <v>16.5</v>
      </c>
    </row>
    <row r="5392">
      <c r="D5392" t="str">
        <f>IFERROR(__xludf.DUMMYFUNCTION("""COMPUTED_VALUE"""),"Fuller")</f>
        <v>Fuller</v>
      </c>
      <c r="E5392" t="str">
        <f>IFERROR(__xludf.DUMMYFUNCTION("""COMPUTED_VALUE"""),"Kyle")</f>
        <v>Kyle</v>
      </c>
      <c r="F5392" t="str">
        <f>IFERROR(__xludf.DUMMYFUNCTION("""COMPUTED_VALUE"""),"CHI")</f>
        <v>CHI</v>
      </c>
      <c r="G5392">
        <f>IFERROR(__xludf.DUMMYFUNCTION("""COMPUTED_VALUE"""),20.0)</f>
        <v>20</v>
      </c>
    </row>
    <row r="5393">
      <c r="D5393" t="str">
        <f>IFERROR(__xludf.DUMMYFUNCTION("""COMPUTED_VALUE"""),"Fuller V")</f>
        <v>Fuller V</v>
      </c>
      <c r="E5393" t="str">
        <f>IFERROR(__xludf.DUMMYFUNCTION("""COMPUTED_VALUE"""),"Will")</f>
        <v>Will</v>
      </c>
      <c r="F5393" t="str">
        <f>IFERROR(__xludf.DUMMYFUNCTION("""COMPUTED_VALUE"""),"HOU")</f>
        <v>HOU</v>
      </c>
      <c r="G5393">
        <f>IFERROR(__xludf.DUMMYFUNCTION("""COMPUTED_VALUE"""),19.75)</f>
        <v>19.75</v>
      </c>
    </row>
    <row r="5394">
      <c r="D5394" t="str">
        <f>IFERROR(__xludf.DUMMYFUNCTION("""COMPUTED_VALUE"""),"Fullington")</f>
        <v>Fullington</v>
      </c>
      <c r="E5394" t="str">
        <f>IFERROR(__xludf.DUMMYFUNCTION("""COMPUTED_VALUE"""),"John")</f>
        <v>John</v>
      </c>
      <c r="F5394" t="str">
        <f>IFERROR(__xludf.DUMMYFUNCTION("""COMPUTED_VALUE"""),"NO")</f>
        <v>NO</v>
      </c>
      <c r="G5394">
        <f>IFERROR(__xludf.DUMMYFUNCTION("""COMPUTED_VALUE"""),15.75)</f>
        <v>15.75</v>
      </c>
    </row>
    <row r="5395">
      <c r="D5395" t="str">
        <f>IFERROR(__xludf.DUMMYFUNCTION("""COMPUTED_VALUE"""),"Fulton")</f>
        <v>Fulton</v>
      </c>
      <c r="E5395" t="str">
        <f>IFERROR(__xludf.DUMMYFUNCTION("""COMPUTED_VALUE"""),"Zach")</f>
        <v>Zach</v>
      </c>
      <c r="F5395" t="str">
        <f>IFERROR(__xludf.DUMMYFUNCTION("""COMPUTED_VALUE"""),"HOU")</f>
        <v>HOU</v>
      </c>
      <c r="G5395">
        <f>IFERROR(__xludf.DUMMYFUNCTION("""COMPUTED_VALUE"""),19.75)</f>
        <v>19.75</v>
      </c>
    </row>
    <row r="5396">
      <c r="D5396" t="str">
        <f>IFERROR(__xludf.DUMMYFUNCTION("""COMPUTED_VALUE"""),"Fumagalli")</f>
        <v>Fumagalli</v>
      </c>
      <c r="E5396" t="str">
        <f>IFERROR(__xludf.DUMMYFUNCTION("""COMPUTED_VALUE"""),"Troy")</f>
        <v>Troy</v>
      </c>
      <c r="F5396" t="str">
        <f>IFERROR(__xludf.DUMMYFUNCTION("""COMPUTED_VALUE"""),"DEN")</f>
        <v>DEN</v>
      </c>
      <c r="G5396">
        <f>IFERROR(__xludf.DUMMYFUNCTION("""COMPUTED_VALUE"""),17.5)</f>
        <v>17.5</v>
      </c>
    </row>
    <row r="5397">
      <c r="D5397" t="str">
        <f>IFERROR(__xludf.DUMMYFUNCTION("""COMPUTED_VALUE"""),"Funchess")</f>
        <v>Funchess</v>
      </c>
      <c r="E5397" t="str">
        <f>IFERROR(__xludf.DUMMYFUNCTION("""COMPUTED_VALUE"""),"Devin")</f>
        <v>Devin</v>
      </c>
      <c r="F5397" t="str">
        <f>IFERROR(__xludf.DUMMYFUNCTION("""COMPUTED_VALUE"""),"CAR")</f>
        <v>CAR</v>
      </c>
      <c r="G5397">
        <f>IFERROR(__xludf.DUMMYFUNCTION("""COMPUTED_VALUE"""),19.75)</f>
        <v>19.75</v>
      </c>
    </row>
    <row r="5398">
      <c r="D5398" t="str">
        <f>IFERROR(__xludf.DUMMYFUNCTION("""COMPUTED_VALUE"""),"Fusco")</f>
        <v>Fusco</v>
      </c>
      <c r="E5398" t="str">
        <f>IFERROR(__xludf.DUMMYFUNCTION("""COMPUTED_VALUE"""),"Brandon")</f>
        <v>Brandon</v>
      </c>
      <c r="F5398" t="str">
        <f>IFERROR(__xludf.DUMMYFUNCTION("""COMPUTED_VALUE"""),"ATL")</f>
        <v>ATL</v>
      </c>
      <c r="G5398">
        <f>IFERROR(__xludf.DUMMYFUNCTION("""COMPUTED_VALUE"""),19.5)</f>
        <v>19.5</v>
      </c>
    </row>
    <row r="5399">
      <c r="D5399" t="str">
        <f>IFERROR(__xludf.DUMMYFUNCTION("""COMPUTED_VALUE"""),"Gabbert")</f>
        <v>Gabbert</v>
      </c>
      <c r="E5399" t="str">
        <f>IFERROR(__xludf.DUMMYFUNCTION("""COMPUTED_VALUE"""),"Blaine")</f>
        <v>Blaine</v>
      </c>
      <c r="F5399" t="str">
        <f>IFERROR(__xludf.DUMMYFUNCTION("""COMPUTED_VALUE"""),"TEN")</f>
        <v>TEN</v>
      </c>
      <c r="G5399">
        <f>IFERROR(__xludf.DUMMYFUNCTION("""COMPUTED_VALUE"""),18.25)</f>
        <v>18.25</v>
      </c>
    </row>
    <row r="5400">
      <c r="D5400" t="str">
        <f>IFERROR(__xludf.DUMMYFUNCTION("""COMPUTED_VALUE"""),"Gabriel")</f>
        <v>Gabriel</v>
      </c>
      <c r="E5400" t="str">
        <f>IFERROR(__xludf.DUMMYFUNCTION("""COMPUTED_VALUE"""),"Taylor")</f>
        <v>Taylor</v>
      </c>
      <c r="F5400" t="str">
        <f>IFERROR(__xludf.DUMMYFUNCTION("""COMPUTED_VALUE"""),"CHI")</f>
        <v>CHI</v>
      </c>
      <c r="G5400">
        <f>IFERROR(__xludf.DUMMYFUNCTION("""COMPUTED_VALUE"""),19.5)</f>
        <v>19.5</v>
      </c>
    </row>
    <row r="5401">
      <c r="D5401" t="str">
        <f>IFERROR(__xludf.DUMMYFUNCTION("""COMPUTED_VALUE"""),"Gage")</f>
        <v>Gage</v>
      </c>
      <c r="E5401" t="str">
        <f>IFERROR(__xludf.DUMMYFUNCTION("""COMPUTED_VALUE"""),"Russell")</f>
        <v>Russell</v>
      </c>
      <c r="F5401" t="str">
        <f>IFERROR(__xludf.DUMMYFUNCTION("""COMPUTED_VALUE"""),"ATL")</f>
        <v>ATL</v>
      </c>
      <c r="G5401">
        <f>IFERROR(__xludf.DUMMYFUNCTION("""COMPUTED_VALUE"""),16.5)</f>
        <v>16.5</v>
      </c>
    </row>
    <row r="5402">
      <c r="D5402" t="str">
        <f>IFERROR(__xludf.DUMMYFUNCTION("""COMPUTED_VALUE"""),"Gaines")</f>
        <v>Gaines</v>
      </c>
      <c r="E5402" t="str">
        <f>IFERROR(__xludf.DUMMYFUNCTION("""COMPUTED_VALUE"""),"EJ")</f>
        <v>EJ</v>
      </c>
      <c r="F5402" t="str">
        <f>IFERROR(__xludf.DUMMYFUNCTION("""COMPUTED_VALUE"""),"CLE")</f>
        <v>CLE</v>
      </c>
      <c r="G5402">
        <f>IFERROR(__xludf.DUMMYFUNCTION("""COMPUTED_VALUE"""),20.0)</f>
        <v>20</v>
      </c>
    </row>
    <row r="5403">
      <c r="D5403" t="str">
        <f>IFERROR(__xludf.DUMMYFUNCTION("""COMPUTED_VALUE"""),"Gallman Jr")</f>
        <v>Gallman Jr</v>
      </c>
      <c r="E5403" t="str">
        <f>IFERROR(__xludf.DUMMYFUNCTION("""COMPUTED_VALUE"""),"Wayne")</f>
        <v>Wayne</v>
      </c>
      <c r="F5403" t="str">
        <f>IFERROR(__xludf.DUMMYFUNCTION("""COMPUTED_VALUE"""),"NYG")</f>
        <v>NYG</v>
      </c>
      <c r="G5403">
        <f>IFERROR(__xludf.DUMMYFUNCTION("""COMPUTED_VALUE"""),18.75)</f>
        <v>18.75</v>
      </c>
    </row>
    <row r="5404">
      <c r="D5404" t="str">
        <f>IFERROR(__xludf.DUMMYFUNCTION("""COMPUTED_VALUE"""),"Gallup")</f>
        <v>Gallup</v>
      </c>
      <c r="E5404" t="str">
        <f>IFERROR(__xludf.DUMMYFUNCTION("""COMPUTED_VALUE"""),"Michael")</f>
        <v>Michael</v>
      </c>
      <c r="F5404" t="str">
        <f>IFERROR(__xludf.DUMMYFUNCTION("""COMPUTED_VALUE"""),"DAL")</f>
        <v>DAL</v>
      </c>
      <c r="G5404">
        <f>IFERROR(__xludf.DUMMYFUNCTION("""COMPUTED_VALUE"""),18.75)</f>
        <v>18.75</v>
      </c>
    </row>
    <row r="5405">
      <c r="D5405" t="str">
        <f>IFERROR(__xludf.DUMMYFUNCTION("""COMPUTED_VALUE"""),"Gano")</f>
        <v>Gano</v>
      </c>
      <c r="E5405" t="str">
        <f>IFERROR(__xludf.DUMMYFUNCTION("""COMPUTED_VALUE"""),"Graham")</f>
        <v>Graham</v>
      </c>
      <c r="F5405" t="str">
        <f>IFERROR(__xludf.DUMMYFUNCTION("""COMPUTED_VALUE"""),"CAR")</f>
        <v>CAR</v>
      </c>
      <c r="G5405">
        <f>IFERROR(__xludf.DUMMYFUNCTION("""COMPUTED_VALUE"""),20.5)</f>
        <v>20.5</v>
      </c>
    </row>
    <row r="5406">
      <c r="D5406" t="str">
        <f>IFERROR(__xludf.DUMMYFUNCTION("""COMPUTED_VALUE"""),"Garcia")</f>
        <v>Garcia</v>
      </c>
      <c r="E5406" t="str">
        <f>IFERROR(__xludf.DUMMYFUNCTION("""COMPUTED_VALUE"""),"Max")</f>
        <v>Max</v>
      </c>
      <c r="F5406" t="str">
        <f>IFERROR(__xludf.DUMMYFUNCTION("""COMPUTED_VALUE"""),"DEN")</f>
        <v>DEN</v>
      </c>
      <c r="G5406">
        <f>IFERROR(__xludf.DUMMYFUNCTION("""COMPUTED_VALUE"""),18.5)</f>
        <v>18.5</v>
      </c>
    </row>
    <row r="5407">
      <c r="D5407" t="str">
        <f>IFERROR(__xludf.DUMMYFUNCTION("""COMPUTED_VALUE"""),"Garcia")</f>
        <v>Garcia</v>
      </c>
      <c r="E5407" t="str">
        <f>IFERROR(__xludf.DUMMYFUNCTION("""COMPUTED_VALUE"""),"Tony")</f>
        <v>Tony</v>
      </c>
      <c r="F5407" t="str">
        <f>IFERROR(__xludf.DUMMYFUNCTION("""COMPUTED_VALUE"""),"NYJ")</f>
        <v>NYJ</v>
      </c>
      <c r="G5407">
        <f>IFERROR(__xludf.DUMMYFUNCTION("""COMPUTED_VALUE"""),18.75)</f>
        <v>18.75</v>
      </c>
    </row>
    <row r="5408">
      <c r="D5408" t="str">
        <f>IFERROR(__xludf.DUMMYFUNCTION("""COMPUTED_VALUE"""),"Garcia-Williams")</f>
        <v>Garcia-Williams</v>
      </c>
      <c r="E5408" t="str">
        <f>IFERROR(__xludf.DUMMYFUNCTION("""COMPUTED_VALUE"""),"Jerrol")</f>
        <v>Jerrol</v>
      </c>
      <c r="F5408" t="str">
        <f>IFERROR(__xludf.DUMMYFUNCTION("""COMPUTED_VALUE"""),"DEN")</f>
        <v>DEN</v>
      </c>
      <c r="G5408">
        <f>IFERROR(__xludf.DUMMYFUNCTION("""COMPUTED_VALUE"""),16.75)</f>
        <v>16.75</v>
      </c>
    </row>
    <row r="5409">
      <c r="D5409" t="str">
        <f>IFERROR(__xludf.DUMMYFUNCTION("""COMPUTED_VALUE"""),"Garcon")</f>
        <v>Garcon</v>
      </c>
      <c r="E5409" t="str">
        <f>IFERROR(__xludf.DUMMYFUNCTION("""COMPUTED_VALUE"""),"Pierre")</f>
        <v>Pierre</v>
      </c>
      <c r="F5409" t="str">
        <f>IFERROR(__xludf.DUMMYFUNCTION("""COMPUTED_VALUE"""),"SF")</f>
        <v>SF</v>
      </c>
      <c r="G5409">
        <f>IFERROR(__xludf.DUMMYFUNCTION("""COMPUTED_VALUE"""),20.5)</f>
        <v>20.5</v>
      </c>
    </row>
    <row r="5410">
      <c r="D5410" t="str">
        <f>IFERROR(__xludf.DUMMYFUNCTION("""COMPUTED_VALUE"""),"Garcon")</f>
        <v>Garcon</v>
      </c>
      <c r="E5410" t="str">
        <f>IFERROR(__xludf.DUMMYFUNCTION("""COMPUTED_VALUE"""),"Pierre")</f>
        <v>Pierre</v>
      </c>
      <c r="F5410" t="str">
        <f>IFERROR(__xludf.DUMMYFUNCTION("""COMPUTED_VALUE"""),"SF")</f>
        <v>SF</v>
      </c>
      <c r="G5410">
        <f>IFERROR(__xludf.DUMMYFUNCTION("""COMPUTED_VALUE"""),21.75)</f>
        <v>21.75</v>
      </c>
    </row>
    <row r="5411">
      <c r="D5411" t="str">
        <f>IFERROR(__xludf.DUMMYFUNCTION("""COMPUTED_VALUE"""),"Garland")</f>
        <v>Garland</v>
      </c>
      <c r="E5411" t="str">
        <f>IFERROR(__xludf.DUMMYFUNCTION("""COMPUTED_VALUE"""),"Ben")</f>
        <v>Ben</v>
      </c>
      <c r="F5411" t="str">
        <f>IFERROR(__xludf.DUMMYFUNCTION("""COMPUTED_VALUE"""),"ATL")</f>
        <v>ATL</v>
      </c>
      <c r="G5411">
        <f>IFERROR(__xludf.DUMMYFUNCTION("""COMPUTED_VALUE"""),18.0)</f>
        <v>18</v>
      </c>
    </row>
    <row r="5412">
      <c r="D5412" t="str">
        <f>IFERROR(__xludf.DUMMYFUNCTION("""COMPUTED_VALUE"""),"Garnett")</f>
        <v>Garnett</v>
      </c>
      <c r="E5412" t="str">
        <f>IFERROR(__xludf.DUMMYFUNCTION("""COMPUTED_VALUE"""),"Joshua")</f>
        <v>Joshua</v>
      </c>
      <c r="F5412" t="str">
        <f>IFERROR(__xludf.DUMMYFUNCTION("""COMPUTED_VALUE"""),"SF")</f>
        <v>SF</v>
      </c>
      <c r="G5412">
        <f>IFERROR(__xludf.DUMMYFUNCTION("""COMPUTED_VALUE"""),18.25)</f>
        <v>18.25</v>
      </c>
    </row>
    <row r="5413">
      <c r="D5413" t="str">
        <f>IFERROR(__xludf.DUMMYFUNCTION("""COMPUTED_VALUE"""),"Garoppolo")</f>
        <v>Garoppolo</v>
      </c>
      <c r="E5413" t="str">
        <f>IFERROR(__xludf.DUMMYFUNCTION("""COMPUTED_VALUE"""),"Jimmy")</f>
        <v>Jimmy</v>
      </c>
      <c r="F5413" t="str">
        <f>IFERROR(__xludf.DUMMYFUNCTION("""COMPUTED_VALUE"""),"SF")</f>
        <v>SF</v>
      </c>
      <c r="G5413">
        <f>IFERROR(__xludf.DUMMYFUNCTION("""COMPUTED_VALUE"""),20.5)</f>
        <v>20.5</v>
      </c>
    </row>
    <row r="5414">
      <c r="D5414" t="str">
        <f>IFERROR(__xludf.DUMMYFUNCTION("""COMPUTED_VALUE"""),"Garrett")</f>
        <v>Garrett</v>
      </c>
      <c r="E5414" t="str">
        <f>IFERROR(__xludf.DUMMYFUNCTION("""COMPUTED_VALUE"""),"Myles")</f>
        <v>Myles</v>
      </c>
      <c r="F5414" t="str">
        <f>IFERROR(__xludf.DUMMYFUNCTION("""COMPUTED_VALUE"""),"CLE")</f>
        <v>CLE</v>
      </c>
      <c r="G5414">
        <f>IFERROR(__xludf.DUMMYFUNCTION("""COMPUTED_VALUE"""),20.75)</f>
        <v>20.75</v>
      </c>
    </row>
    <row r="5415">
      <c r="D5415" t="str">
        <f>IFERROR(__xludf.DUMMYFUNCTION("""COMPUTED_VALUE"""),"Garvin")</f>
        <v>Garvin</v>
      </c>
      <c r="E5415" t="str">
        <f>IFERROR(__xludf.DUMMYFUNCTION("""COMPUTED_VALUE"""),"Terence")</f>
        <v>Terence</v>
      </c>
      <c r="F5415" t="str">
        <f>IFERROR(__xludf.DUMMYFUNCTION("""COMPUTED_VALUE"""),"MIA")</f>
        <v>MIA</v>
      </c>
      <c r="G5415">
        <f>IFERROR(__xludf.DUMMYFUNCTION("""COMPUTED_VALUE"""),16.25)</f>
        <v>16.25</v>
      </c>
    </row>
    <row r="5416">
      <c r="D5416" t="str">
        <f>IFERROR(__xludf.DUMMYFUNCTION("""COMPUTED_VALUE"""),"Gates")</f>
        <v>Gates</v>
      </c>
      <c r="E5416" t="str">
        <f>IFERROR(__xludf.DUMMYFUNCTION("""COMPUTED_VALUE"""),"Antonio")</f>
        <v>Antonio</v>
      </c>
      <c r="F5416" t="str">
        <f>IFERROR(__xludf.DUMMYFUNCTION("""COMPUTED_VALUE"""),"FA")</f>
        <v>FA</v>
      </c>
      <c r="G5416">
        <f>IFERROR(__xludf.DUMMYFUNCTION("""COMPUTED_VALUE"""),15.0)</f>
        <v>15</v>
      </c>
    </row>
    <row r="5417">
      <c r="D5417" t="str">
        <f>IFERROR(__xludf.DUMMYFUNCTION("""COMPUTED_VALUE"""),"Gathers")</f>
        <v>Gathers</v>
      </c>
      <c r="E5417" t="str">
        <f>IFERROR(__xludf.DUMMYFUNCTION("""COMPUTED_VALUE"""),"Rico")</f>
        <v>Rico</v>
      </c>
      <c r="F5417" t="str">
        <f>IFERROR(__xludf.DUMMYFUNCTION("""COMPUTED_VALUE"""),"DAL")</f>
        <v>DAL</v>
      </c>
      <c r="G5417">
        <f>IFERROR(__xludf.DUMMYFUNCTION("""COMPUTED_VALUE"""),16.75)</f>
        <v>16.75</v>
      </c>
    </row>
    <row r="5418">
      <c r="D5418" t="str">
        <f>IFERROR(__xludf.DUMMYFUNCTION("""COMPUTED_VALUE"""),"Gaulden")</f>
        <v>Gaulden</v>
      </c>
      <c r="E5418" t="str">
        <f>IFERROR(__xludf.DUMMYFUNCTION("""COMPUTED_VALUE"""),"Rashaan")</f>
        <v>Rashaan</v>
      </c>
      <c r="F5418" t="str">
        <f>IFERROR(__xludf.DUMMYFUNCTION("""COMPUTED_VALUE"""),"CAR")</f>
        <v>CAR</v>
      </c>
      <c r="G5418">
        <f>IFERROR(__xludf.DUMMYFUNCTION("""COMPUTED_VALUE"""),17.25)</f>
        <v>17.25</v>
      </c>
    </row>
    <row r="5419">
      <c r="D5419" t="str">
        <f>IFERROR(__xludf.DUMMYFUNCTION("""COMPUTED_VALUE"""),"Gay")</f>
        <v>Gay</v>
      </c>
      <c r="E5419" t="str">
        <f>IFERROR(__xludf.DUMMYFUNCTION("""COMPUTED_VALUE"""),"William")</f>
        <v>William</v>
      </c>
      <c r="F5419" t="str">
        <f>IFERROR(__xludf.DUMMYFUNCTION("""COMPUTED_VALUE"""),"NYG")</f>
        <v>NYG</v>
      </c>
      <c r="G5419">
        <f>IFERROR(__xludf.DUMMYFUNCTION("""COMPUTED_VALUE"""),17.5)</f>
        <v>17.5</v>
      </c>
    </row>
    <row r="5420">
      <c r="D5420" t="str">
        <f>IFERROR(__xludf.DUMMYFUNCTION("""COMPUTED_VALUE"""),"Geathers")</f>
        <v>Geathers</v>
      </c>
      <c r="E5420" t="str">
        <f>IFERROR(__xludf.DUMMYFUNCTION("""COMPUTED_VALUE"""),"Clayton")</f>
        <v>Clayton</v>
      </c>
      <c r="F5420" t="str">
        <f>IFERROR(__xludf.DUMMYFUNCTION("""COMPUTED_VALUE"""),"IND")</f>
        <v>IND</v>
      </c>
      <c r="G5420">
        <f>IFERROR(__xludf.DUMMYFUNCTION("""COMPUTED_VALUE"""),18.75)</f>
        <v>18.75</v>
      </c>
    </row>
    <row r="5421">
      <c r="D5421" t="str">
        <f>IFERROR(__xludf.DUMMYFUNCTION("""COMPUTED_VALUE"""),"Gedeon")</f>
        <v>Gedeon</v>
      </c>
      <c r="E5421" t="str">
        <f>IFERROR(__xludf.DUMMYFUNCTION("""COMPUTED_VALUE"""),"Ben")</f>
        <v>Ben</v>
      </c>
      <c r="F5421" t="str">
        <f>IFERROR(__xludf.DUMMYFUNCTION("""COMPUTED_VALUE"""),"MIN")</f>
        <v>MIN</v>
      </c>
      <c r="G5421">
        <f>IFERROR(__xludf.DUMMYFUNCTION("""COMPUTED_VALUE"""),19.0)</f>
        <v>19</v>
      </c>
    </row>
    <row r="5422">
      <c r="D5422" t="str">
        <f>IFERROR(__xludf.DUMMYFUNCTION("""COMPUTED_VALUE"""),"Gentry")</f>
        <v>Gentry</v>
      </c>
      <c r="E5422" t="str">
        <f>IFERROR(__xludf.DUMMYFUNCTION("""COMPUTED_VALUE"""),"Tanner")</f>
        <v>Tanner</v>
      </c>
      <c r="F5422" t="str">
        <f>IFERROR(__xludf.DUMMYFUNCTION("""COMPUTED_VALUE"""),"CHI")</f>
        <v>CHI</v>
      </c>
      <c r="G5422">
        <f>IFERROR(__xludf.DUMMYFUNCTION("""COMPUTED_VALUE"""),16.25)</f>
        <v>16.25</v>
      </c>
    </row>
    <row r="5423">
      <c r="D5423" t="str">
        <f>IFERROR(__xludf.DUMMYFUNCTION("""COMPUTED_VALUE"""),"George")</f>
        <v>George</v>
      </c>
      <c r="E5423" t="str">
        <f>IFERROR(__xludf.DUMMYFUNCTION("""COMPUTED_VALUE"""),"Jeremiah")</f>
        <v>Jeremiah</v>
      </c>
      <c r="F5423" t="str">
        <f>IFERROR(__xludf.DUMMYFUNCTION("""COMPUTED_VALUE"""),"IND")</f>
        <v>IND</v>
      </c>
      <c r="G5423">
        <f>IFERROR(__xludf.DUMMYFUNCTION("""COMPUTED_VALUE"""),16.25)</f>
        <v>16.25</v>
      </c>
    </row>
    <row r="5424">
      <c r="D5424" t="str">
        <f>IFERROR(__xludf.DUMMYFUNCTION("""COMPUTED_VALUE"""),"Gerry")</f>
        <v>Gerry</v>
      </c>
      <c r="E5424" t="str">
        <f>IFERROR(__xludf.DUMMYFUNCTION("""COMPUTED_VALUE"""),"Nathan")</f>
        <v>Nathan</v>
      </c>
      <c r="F5424" t="str">
        <f>IFERROR(__xludf.DUMMYFUNCTION("""COMPUTED_VALUE"""),"PHI")</f>
        <v>PHI</v>
      </c>
      <c r="G5424">
        <f>IFERROR(__xludf.DUMMYFUNCTION("""COMPUTED_VALUE"""),18.0)</f>
        <v>18</v>
      </c>
    </row>
    <row r="5425">
      <c r="D5425" t="str">
        <f>IFERROR(__xludf.DUMMYFUNCTION("""COMPUTED_VALUE"""),"Gesicki")</f>
        <v>Gesicki</v>
      </c>
      <c r="E5425" t="str">
        <f>IFERROR(__xludf.DUMMYFUNCTION("""COMPUTED_VALUE"""),"Mike")</f>
        <v>Mike</v>
      </c>
      <c r="F5425" t="str">
        <f>IFERROR(__xludf.DUMMYFUNCTION("""COMPUTED_VALUE"""),"MIA")</f>
        <v>MIA</v>
      </c>
      <c r="G5425">
        <f>IFERROR(__xludf.DUMMYFUNCTION("""COMPUTED_VALUE"""),18.75)</f>
        <v>18.75</v>
      </c>
    </row>
    <row r="5426">
      <c r="D5426" t="str">
        <f>IFERROR(__xludf.DUMMYFUNCTION("""COMPUTED_VALUE"""),"Gettis")</f>
        <v>Gettis</v>
      </c>
      <c r="E5426" t="str">
        <f>IFERROR(__xludf.DUMMYFUNCTION("""COMPUTED_VALUE"""),"Adam")</f>
        <v>Adam</v>
      </c>
      <c r="F5426" t="str">
        <f>IFERROR(__xludf.DUMMYFUNCTION("""COMPUTED_VALUE"""),"TB")</f>
        <v>TB</v>
      </c>
      <c r="G5426">
        <f>IFERROR(__xludf.DUMMYFUNCTION("""COMPUTED_VALUE"""),17.25)</f>
        <v>17.25</v>
      </c>
    </row>
    <row r="5427">
      <c r="D5427" t="str">
        <f>IFERROR(__xludf.DUMMYFUNCTION("""COMPUTED_VALUE"""),"Gholston")</f>
        <v>Gholston</v>
      </c>
      <c r="E5427" t="str">
        <f>IFERROR(__xludf.DUMMYFUNCTION("""COMPUTED_VALUE"""),"William")</f>
        <v>William</v>
      </c>
      <c r="F5427" t="str">
        <f>IFERROR(__xludf.DUMMYFUNCTION("""COMPUTED_VALUE"""),"TB")</f>
        <v>TB</v>
      </c>
      <c r="G5427">
        <f>IFERROR(__xludf.DUMMYFUNCTION("""COMPUTED_VALUE"""),17.75)</f>
        <v>17.75</v>
      </c>
    </row>
    <row r="5428">
      <c r="D5428" t="str">
        <f>IFERROR(__xludf.DUMMYFUNCTION("""COMPUTED_VALUE"""),"Giacomini")</f>
        <v>Giacomini</v>
      </c>
      <c r="E5428" t="str">
        <f>IFERROR(__xludf.DUMMYFUNCTION("""COMPUTED_VALUE"""),"Breno")</f>
        <v>Breno</v>
      </c>
      <c r="F5428" t="str">
        <f>IFERROR(__xludf.DUMMYFUNCTION("""COMPUTED_VALUE"""),"OAK")</f>
        <v>OAK</v>
      </c>
      <c r="G5428">
        <f>IFERROR(__xludf.DUMMYFUNCTION("""COMPUTED_VALUE"""),17.25)</f>
        <v>17.25</v>
      </c>
    </row>
    <row r="5429">
      <c r="D5429" t="str">
        <f>IFERROR(__xludf.DUMMYFUNCTION("""COMPUTED_VALUE"""),"Gibson")</f>
        <v>Gibson</v>
      </c>
      <c r="E5429" t="str">
        <f>IFERROR(__xludf.DUMMYFUNCTION("""COMPUTED_VALUE"""),"Shelton")</f>
        <v>Shelton</v>
      </c>
      <c r="F5429" t="str">
        <f>IFERROR(__xludf.DUMMYFUNCTION("""COMPUTED_VALUE"""),"PHI")</f>
        <v>PHI</v>
      </c>
      <c r="G5429">
        <f>IFERROR(__xludf.DUMMYFUNCTION("""COMPUTED_VALUE"""),17.0)</f>
        <v>17</v>
      </c>
    </row>
    <row r="5430">
      <c r="D5430" t="str">
        <f>IFERROR(__xludf.DUMMYFUNCTION("""COMPUTED_VALUE"""),"Gilbert")</f>
        <v>Gilbert</v>
      </c>
      <c r="E5430" t="str">
        <f>IFERROR(__xludf.DUMMYFUNCTION("""COMPUTED_VALUE"""),"Garrett")</f>
        <v>Garrett</v>
      </c>
      <c r="F5430" t="str">
        <f>IFERROR(__xludf.DUMMYFUNCTION("""COMPUTED_VALUE"""),"CAR")</f>
        <v>CAR</v>
      </c>
      <c r="G5430">
        <f>IFERROR(__xludf.DUMMYFUNCTION("""COMPUTED_VALUE"""),15.5)</f>
        <v>15.5</v>
      </c>
    </row>
    <row r="5431">
      <c r="D5431" t="str">
        <f>IFERROR(__xludf.DUMMYFUNCTION("""COMPUTED_VALUE"""),"Gilbert")</f>
        <v>Gilbert</v>
      </c>
      <c r="E5431" t="str">
        <f>IFERROR(__xludf.DUMMYFUNCTION("""COMPUTED_VALUE"""),"Marcus")</f>
        <v>Marcus</v>
      </c>
      <c r="F5431" t="str">
        <f>IFERROR(__xludf.DUMMYFUNCTION("""COMPUTED_VALUE"""),"PIT")</f>
        <v>PIT</v>
      </c>
      <c r="G5431">
        <f>IFERROR(__xludf.DUMMYFUNCTION("""COMPUTED_VALUE"""),21.25)</f>
        <v>21.25</v>
      </c>
    </row>
    <row r="5432">
      <c r="D5432" t="str">
        <f>IFERROR(__xludf.DUMMYFUNCTION("""COMPUTED_VALUE"""),"Gilbert")</f>
        <v>Gilbert</v>
      </c>
      <c r="E5432" t="str">
        <f>IFERROR(__xludf.DUMMYFUNCTION("""COMPUTED_VALUE"""),"Reggie")</f>
        <v>Reggie</v>
      </c>
      <c r="F5432" t="str">
        <f>IFERROR(__xludf.DUMMYFUNCTION("""COMPUTED_VALUE"""),"GB")</f>
        <v>GB</v>
      </c>
      <c r="G5432">
        <f>IFERROR(__xludf.DUMMYFUNCTION("""COMPUTED_VALUE"""),15.5)</f>
        <v>15.5</v>
      </c>
    </row>
    <row r="5433">
      <c r="D5433" t="str">
        <f>IFERROR(__xludf.DUMMYFUNCTION("""COMPUTED_VALUE"""),"Gilchrist")</f>
        <v>Gilchrist</v>
      </c>
      <c r="E5433" t="str">
        <f>IFERROR(__xludf.DUMMYFUNCTION("""COMPUTED_VALUE"""),"Marcus")</f>
        <v>Marcus</v>
      </c>
      <c r="F5433" t="str">
        <f>IFERROR(__xludf.DUMMYFUNCTION("""COMPUTED_VALUE"""),"OAK")</f>
        <v>OAK</v>
      </c>
      <c r="G5433">
        <f>IFERROR(__xludf.DUMMYFUNCTION("""COMPUTED_VALUE"""),19.5)</f>
        <v>19.5</v>
      </c>
    </row>
    <row r="5434">
      <c r="D5434" t="str">
        <f>IFERROR(__xludf.DUMMYFUNCTION("""COMPUTED_VALUE"""),"Gilliam")</f>
        <v>Gilliam</v>
      </c>
      <c r="E5434" t="str">
        <f>IFERROR(__xludf.DUMMYFUNCTION("""COMPUTED_VALUE"""),"Garry")</f>
        <v>Garry</v>
      </c>
      <c r="F5434" t="str">
        <f>IFERROR(__xludf.DUMMYFUNCTION("""COMPUTED_VALUE"""),"SF")</f>
        <v>SF</v>
      </c>
      <c r="G5434">
        <f>IFERROR(__xludf.DUMMYFUNCTION("""COMPUTED_VALUE"""),18.75)</f>
        <v>18.75</v>
      </c>
    </row>
    <row r="5435">
      <c r="D5435" t="str">
        <f>IFERROR(__xludf.DUMMYFUNCTION("""COMPUTED_VALUE"""),"Gillislee")</f>
        <v>Gillislee</v>
      </c>
      <c r="E5435" t="str">
        <f>IFERROR(__xludf.DUMMYFUNCTION("""COMPUTED_VALUE"""),"Mike")</f>
        <v>Mike</v>
      </c>
      <c r="F5435" t="str">
        <f>IFERROR(__xludf.DUMMYFUNCTION("""COMPUTED_VALUE"""),"NE")</f>
        <v>NE</v>
      </c>
      <c r="G5435">
        <f>IFERROR(__xludf.DUMMYFUNCTION("""COMPUTED_VALUE"""),19.0)</f>
        <v>19</v>
      </c>
    </row>
    <row r="5436">
      <c r="D5436" t="str">
        <f>IFERROR(__xludf.DUMMYFUNCTION("""COMPUTED_VALUE"""),"Gilmore")</f>
        <v>Gilmore</v>
      </c>
      <c r="E5436" t="str">
        <f>IFERROR(__xludf.DUMMYFUNCTION("""COMPUTED_VALUE"""),"Stephon")</f>
        <v>Stephon</v>
      </c>
      <c r="F5436" t="str">
        <f>IFERROR(__xludf.DUMMYFUNCTION("""COMPUTED_VALUE"""),"NE")</f>
        <v>NE</v>
      </c>
      <c r="G5436">
        <f>IFERROR(__xludf.DUMMYFUNCTION("""COMPUTED_VALUE"""),21.0)</f>
        <v>21</v>
      </c>
    </row>
    <row r="5437">
      <c r="D5437" t="str">
        <f>IFERROR(__xludf.DUMMYFUNCTION("""COMPUTED_VALUE"""),"Gilmore")</f>
        <v>Gilmore</v>
      </c>
      <c r="E5437" t="str">
        <f>IFERROR(__xludf.DUMMYFUNCTION("""COMPUTED_VALUE"""),"Stephon")</f>
        <v>Stephon</v>
      </c>
      <c r="F5437" t="str">
        <f>IFERROR(__xludf.DUMMYFUNCTION("""COMPUTED_VALUE"""),"BUF")</f>
        <v>BUF</v>
      </c>
      <c r="G5437">
        <f>IFERROR(__xludf.DUMMYFUNCTION("""COMPUTED_VALUE"""),22.0)</f>
        <v>22</v>
      </c>
    </row>
    <row r="5438">
      <c r="D5438" t="str">
        <f>IFERROR(__xludf.DUMMYFUNCTION("""COMPUTED_VALUE"""),"Ginn Jr")</f>
        <v>Ginn Jr</v>
      </c>
      <c r="E5438" t="str">
        <f>IFERROR(__xludf.DUMMYFUNCTION("""COMPUTED_VALUE"""),"Ted")</f>
        <v>Ted</v>
      </c>
      <c r="F5438" t="str">
        <f>IFERROR(__xludf.DUMMYFUNCTION("""COMPUTED_VALUE"""),"NO")</f>
        <v>NO</v>
      </c>
      <c r="G5438">
        <f>IFERROR(__xludf.DUMMYFUNCTION("""COMPUTED_VALUE"""),19.5)</f>
        <v>19.5</v>
      </c>
    </row>
    <row r="5439">
      <c r="D5439" t="str">
        <f>IFERROR(__xludf.DUMMYFUNCTION("""COMPUTED_VALUE"""),"Ginn Jr")</f>
        <v>Ginn Jr</v>
      </c>
      <c r="E5439" t="str">
        <f>IFERROR(__xludf.DUMMYFUNCTION("""COMPUTED_VALUE"""),"Ted")</f>
        <v>Ted</v>
      </c>
      <c r="F5439" t="str">
        <f>IFERROR(__xludf.DUMMYFUNCTION("""COMPUTED_VALUE"""),"NO")</f>
        <v>NO</v>
      </c>
      <c r="G5439">
        <f>IFERROR(__xludf.DUMMYFUNCTION("""COMPUTED_VALUE"""),21.25)</f>
        <v>21.25</v>
      </c>
    </row>
    <row r="5440">
      <c r="D5440" t="str">
        <f>IFERROR(__xludf.DUMMYFUNCTION("""COMPUTED_VALUE"""),"Gipson")</f>
        <v>Gipson</v>
      </c>
      <c r="E5440" t="str">
        <f>IFERROR(__xludf.DUMMYFUNCTION("""COMPUTED_VALUE"""),"Tashaun")</f>
        <v>Tashaun</v>
      </c>
      <c r="F5440" t="str">
        <f>IFERROR(__xludf.DUMMYFUNCTION("""COMPUTED_VALUE"""),"JAX")</f>
        <v>JAX</v>
      </c>
      <c r="G5440">
        <f>IFERROR(__xludf.DUMMYFUNCTION("""COMPUTED_VALUE"""),20.5)</f>
        <v>20.5</v>
      </c>
    </row>
    <row r="5441">
      <c r="D5441" t="str">
        <f>IFERROR(__xludf.DUMMYFUNCTION("""COMPUTED_VALUE"""),"Glanton")</f>
        <v>Glanton</v>
      </c>
      <c r="E5441" t="str">
        <f>IFERROR(__xludf.DUMMYFUNCTION("""COMPUTED_VALUE"""),"Adarius")</f>
        <v>Adarius</v>
      </c>
      <c r="F5441" t="str">
        <f>IFERROR(__xludf.DUMMYFUNCTION("""COMPUTED_VALUE"""),"TB")</f>
        <v>TB</v>
      </c>
      <c r="G5441">
        <f>IFERROR(__xludf.DUMMYFUNCTION("""COMPUTED_VALUE"""),18.0)</f>
        <v>18</v>
      </c>
    </row>
    <row r="5442">
      <c r="D5442" t="str">
        <f>IFERROR(__xludf.DUMMYFUNCTION("""COMPUTED_VALUE"""),"Glasgow")</f>
        <v>Glasgow</v>
      </c>
      <c r="E5442" t="str">
        <f>IFERROR(__xludf.DUMMYFUNCTION("""COMPUTED_VALUE"""),"Graham")</f>
        <v>Graham</v>
      </c>
      <c r="F5442" t="str">
        <f>IFERROR(__xludf.DUMMYFUNCTION("""COMPUTED_VALUE"""),"DET")</f>
        <v>DET</v>
      </c>
      <c r="G5442">
        <f>IFERROR(__xludf.DUMMYFUNCTION("""COMPUTED_VALUE"""),18.75)</f>
        <v>18.75</v>
      </c>
    </row>
    <row r="5443">
      <c r="D5443" t="str">
        <f>IFERROR(__xludf.DUMMYFUNCTION("""COMPUTED_VALUE"""),"Glasgow")</f>
        <v>Glasgow</v>
      </c>
      <c r="E5443" t="str">
        <f>IFERROR(__xludf.DUMMYFUNCTION("""COMPUTED_VALUE"""),"Ryan")</f>
        <v>Ryan</v>
      </c>
      <c r="F5443" t="str">
        <f>IFERROR(__xludf.DUMMYFUNCTION("""COMPUTED_VALUE"""),"CIN")</f>
        <v>CIN</v>
      </c>
      <c r="G5443">
        <f>IFERROR(__xludf.DUMMYFUNCTION("""COMPUTED_VALUE"""),18.0)</f>
        <v>18</v>
      </c>
    </row>
    <row r="5444">
      <c r="D5444" t="str">
        <f>IFERROR(__xludf.DUMMYFUNCTION("""COMPUTED_VALUE"""),"Glenn")</f>
        <v>Glenn</v>
      </c>
      <c r="E5444" t="str">
        <f>IFERROR(__xludf.DUMMYFUNCTION("""COMPUTED_VALUE"""),"Cordy")</f>
        <v>Cordy</v>
      </c>
      <c r="F5444" t="str">
        <f>IFERROR(__xludf.DUMMYFUNCTION("""COMPUTED_VALUE"""),"CIN")</f>
        <v>CIN</v>
      </c>
      <c r="G5444">
        <f>IFERROR(__xludf.DUMMYFUNCTION("""COMPUTED_VALUE"""),19.5)</f>
        <v>19.5</v>
      </c>
    </row>
    <row r="5445">
      <c r="D5445" t="str">
        <f>IFERROR(__xludf.DUMMYFUNCTION("""COMPUTED_VALUE"""),"Glennon")</f>
        <v>Glennon</v>
      </c>
      <c r="E5445" t="str">
        <f>IFERROR(__xludf.DUMMYFUNCTION("""COMPUTED_VALUE"""),"Mike")</f>
        <v>Mike</v>
      </c>
      <c r="F5445" t="str">
        <f>IFERROR(__xludf.DUMMYFUNCTION("""COMPUTED_VALUE"""),"ARZ")</f>
        <v>ARZ</v>
      </c>
      <c r="G5445">
        <f>IFERROR(__xludf.DUMMYFUNCTION("""COMPUTED_VALUE"""),19.0)</f>
        <v>19</v>
      </c>
    </row>
    <row r="5446">
      <c r="D5446" t="str">
        <f>IFERROR(__xludf.DUMMYFUNCTION("""COMPUTED_VALUE"""),"Glowinski")</f>
        <v>Glowinski</v>
      </c>
      <c r="E5446" t="str">
        <f>IFERROR(__xludf.DUMMYFUNCTION("""COMPUTED_VALUE"""),"Mark")</f>
        <v>Mark</v>
      </c>
      <c r="F5446" t="str">
        <f>IFERROR(__xludf.DUMMYFUNCTION("""COMPUTED_VALUE"""),"IND")</f>
        <v>IND</v>
      </c>
      <c r="G5446">
        <f>IFERROR(__xludf.DUMMYFUNCTION("""COMPUTED_VALUE"""),16.0)</f>
        <v>16</v>
      </c>
    </row>
    <row r="5447">
      <c r="D5447" t="str">
        <f>IFERROR(__xludf.DUMMYFUNCTION("""COMPUTED_VALUE"""),"Godchaux")</f>
        <v>Godchaux</v>
      </c>
      <c r="E5447" t="str">
        <f>IFERROR(__xludf.DUMMYFUNCTION("""COMPUTED_VALUE"""),"Davon")</f>
        <v>Davon</v>
      </c>
      <c r="F5447" t="str">
        <f>IFERROR(__xludf.DUMMYFUNCTION("""COMPUTED_VALUE"""),"MIA")</f>
        <v>MIA</v>
      </c>
      <c r="G5447">
        <f>IFERROR(__xludf.DUMMYFUNCTION("""COMPUTED_VALUE"""),18.75)</f>
        <v>18.75</v>
      </c>
    </row>
    <row r="5448">
      <c r="D5448" t="str">
        <f>IFERROR(__xludf.DUMMYFUNCTION("""COMPUTED_VALUE"""),"Godwin")</f>
        <v>Godwin</v>
      </c>
      <c r="E5448" t="str">
        <f>IFERROR(__xludf.DUMMYFUNCTION("""COMPUTED_VALUE"""),"Chris")</f>
        <v>Chris</v>
      </c>
      <c r="F5448" t="str">
        <f>IFERROR(__xludf.DUMMYFUNCTION("""COMPUTED_VALUE"""),"TB")</f>
        <v>TB</v>
      </c>
      <c r="G5448">
        <f>IFERROR(__xludf.DUMMYFUNCTION("""COMPUTED_VALUE"""),19.25)</f>
        <v>19.25</v>
      </c>
    </row>
    <row r="5449">
      <c r="D5449" t="str">
        <f>IFERROR(__xludf.DUMMYFUNCTION("""COMPUTED_VALUE"""),"Goedert")</f>
        <v>Goedert</v>
      </c>
      <c r="E5449" t="str">
        <f>IFERROR(__xludf.DUMMYFUNCTION("""COMPUTED_VALUE"""),"Dallas")</f>
        <v>Dallas</v>
      </c>
      <c r="F5449" t="str">
        <f>IFERROR(__xludf.DUMMYFUNCTION("""COMPUTED_VALUE"""),"PHI")</f>
        <v>PHI</v>
      </c>
      <c r="G5449">
        <f>IFERROR(__xludf.DUMMYFUNCTION("""COMPUTED_VALUE"""),18.5)</f>
        <v>18.5</v>
      </c>
    </row>
    <row r="5450">
      <c r="D5450" t="str">
        <f>IFERROR(__xludf.DUMMYFUNCTION("""COMPUTED_VALUE"""),"Goff")</f>
        <v>Goff</v>
      </c>
      <c r="E5450" t="str">
        <f>IFERROR(__xludf.DUMMYFUNCTION("""COMPUTED_VALUE"""),"Jared")</f>
        <v>Jared</v>
      </c>
      <c r="F5450" t="str">
        <f>IFERROR(__xludf.DUMMYFUNCTION("""COMPUTED_VALUE"""),"LAR")</f>
        <v>LAR</v>
      </c>
      <c r="G5450">
        <f>IFERROR(__xludf.DUMMYFUNCTION("""COMPUTED_VALUE"""),20.25)</f>
        <v>20.25</v>
      </c>
    </row>
    <row r="5451">
      <c r="D5451" t="str">
        <f>IFERROR(__xludf.DUMMYFUNCTION("""COMPUTED_VALUE"""),"Golden")</f>
        <v>Golden</v>
      </c>
      <c r="E5451" t="str">
        <f>IFERROR(__xludf.DUMMYFUNCTION("""COMPUTED_VALUE"""),"Markus")</f>
        <v>Markus</v>
      </c>
      <c r="F5451" t="str">
        <f>IFERROR(__xludf.DUMMYFUNCTION("""COMPUTED_VALUE"""),"ARZ")</f>
        <v>ARZ</v>
      </c>
      <c r="G5451">
        <f>IFERROR(__xludf.DUMMYFUNCTION("""COMPUTED_VALUE"""),18.5)</f>
        <v>18.5</v>
      </c>
    </row>
    <row r="5452">
      <c r="D5452" t="str">
        <f>IFERROR(__xludf.DUMMYFUNCTION("""COMPUTED_VALUE"""),"Golden")</f>
        <v>Golden</v>
      </c>
      <c r="E5452" t="str">
        <f>IFERROR(__xludf.DUMMYFUNCTION("""COMPUTED_VALUE"""),"Robert")</f>
        <v>Robert</v>
      </c>
      <c r="F5452" t="str">
        <f>IFERROR(__xludf.DUMMYFUNCTION("""COMPUTED_VALUE"""),"KC")</f>
        <v>KC</v>
      </c>
      <c r="G5452">
        <f>IFERROR(__xludf.DUMMYFUNCTION("""COMPUTED_VALUE"""),17.75)</f>
        <v>17.75</v>
      </c>
    </row>
    <row r="5453">
      <c r="D5453" t="str">
        <f>IFERROR(__xludf.DUMMYFUNCTION("""COMPUTED_VALUE"""),"Goldman")</f>
        <v>Goldman</v>
      </c>
      <c r="E5453" t="str">
        <f>IFERROR(__xludf.DUMMYFUNCTION("""COMPUTED_VALUE"""),"Eddie")</f>
        <v>Eddie</v>
      </c>
      <c r="F5453" t="str">
        <f>IFERROR(__xludf.DUMMYFUNCTION("""COMPUTED_VALUE"""),"CHI")</f>
        <v>CHI</v>
      </c>
      <c r="G5453">
        <f>IFERROR(__xludf.DUMMYFUNCTION("""COMPUTED_VALUE"""),19.0)</f>
        <v>19</v>
      </c>
    </row>
    <row r="5454">
      <c r="D5454" t="str">
        <f>IFERROR(__xludf.DUMMYFUNCTION("""COMPUTED_VALUE"""),"Golladay")</f>
        <v>Golladay</v>
      </c>
      <c r="E5454" t="str">
        <f>IFERROR(__xludf.DUMMYFUNCTION("""COMPUTED_VALUE"""),"Kenny")</f>
        <v>Kenny</v>
      </c>
      <c r="F5454" t="str">
        <f>IFERROR(__xludf.DUMMYFUNCTION("""COMPUTED_VALUE"""),"DET")</f>
        <v>DET</v>
      </c>
      <c r="G5454">
        <f>IFERROR(__xludf.DUMMYFUNCTION("""COMPUTED_VALUE"""),19.0)</f>
        <v>19</v>
      </c>
    </row>
    <row r="5455">
      <c r="D5455" t="str">
        <f>IFERROR(__xludf.DUMMYFUNCTION("""COMPUTED_VALUE"""),"Gonzalez")</f>
        <v>Gonzalez</v>
      </c>
      <c r="E5455" t="str">
        <f>IFERROR(__xludf.DUMMYFUNCTION("""COMPUTED_VALUE"""),"Zane")</f>
        <v>Zane</v>
      </c>
      <c r="F5455" t="str">
        <f>IFERROR(__xludf.DUMMYFUNCTION("""COMPUTED_VALUE"""),"CLE")</f>
        <v>CLE</v>
      </c>
      <c r="G5455">
        <f>IFERROR(__xludf.DUMMYFUNCTION("""COMPUTED_VALUE"""),19.25)</f>
        <v>19.25</v>
      </c>
    </row>
    <row r="5456">
      <c r="D5456" t="str">
        <f>IFERROR(__xludf.DUMMYFUNCTION("""COMPUTED_VALUE"""),"Good")</f>
        <v>Good</v>
      </c>
      <c r="E5456" t="str">
        <f>IFERROR(__xludf.DUMMYFUNCTION("""COMPUTED_VALUE"""),"Denzelle")</f>
        <v>Denzelle</v>
      </c>
      <c r="F5456" t="str">
        <f>IFERROR(__xludf.DUMMYFUNCTION("""COMPUTED_VALUE"""),"IND")</f>
        <v>IND</v>
      </c>
      <c r="G5456">
        <f>IFERROR(__xludf.DUMMYFUNCTION("""COMPUTED_VALUE"""),18.5)</f>
        <v>18.5</v>
      </c>
    </row>
    <row r="5457">
      <c r="D5457" t="str">
        <f>IFERROR(__xludf.DUMMYFUNCTION("""COMPUTED_VALUE"""),"Goode")</f>
        <v>Goode</v>
      </c>
      <c r="E5457" t="str">
        <f>IFERROR(__xludf.DUMMYFUNCTION("""COMPUTED_VALUE"""),"Najee")</f>
        <v>Najee</v>
      </c>
      <c r="F5457" t="str">
        <f>IFERROR(__xludf.DUMMYFUNCTION("""COMPUTED_VALUE"""),"IND")</f>
        <v>IND</v>
      </c>
      <c r="G5457">
        <f>IFERROR(__xludf.DUMMYFUNCTION("""COMPUTED_VALUE"""),16.25)</f>
        <v>16.25</v>
      </c>
    </row>
    <row r="5458">
      <c r="D5458" t="str">
        <f>IFERROR(__xludf.DUMMYFUNCTION("""COMPUTED_VALUE"""),"Goodson")</f>
        <v>Goodson</v>
      </c>
      <c r="E5458" t="str">
        <f>IFERROR(__xludf.DUMMYFUNCTION("""COMPUTED_VALUE"""),"BJ")</f>
        <v>BJ</v>
      </c>
      <c r="F5458" t="str">
        <f>IFERROR(__xludf.DUMMYFUNCTION("""COMPUTED_VALUE"""),"NYG")</f>
        <v>NYG</v>
      </c>
      <c r="G5458">
        <f>IFERROR(__xludf.DUMMYFUNCTION("""COMPUTED_VALUE"""),18.0)</f>
        <v>18</v>
      </c>
    </row>
    <row r="5459">
      <c r="D5459" t="str">
        <f>IFERROR(__xludf.DUMMYFUNCTION("""COMPUTED_VALUE"""),"Goodson")</f>
        <v>Goodson</v>
      </c>
      <c r="E5459" t="str">
        <f>IFERROR(__xludf.DUMMYFUNCTION("""COMPUTED_VALUE"""),"Demetri")</f>
        <v>Demetri</v>
      </c>
      <c r="F5459" t="str">
        <f>IFERROR(__xludf.DUMMYFUNCTION("""COMPUTED_VALUE"""),"GB")</f>
        <v>GB</v>
      </c>
      <c r="G5459">
        <f>IFERROR(__xludf.DUMMYFUNCTION("""COMPUTED_VALUE"""),17.0)</f>
        <v>17</v>
      </c>
    </row>
    <row r="5460">
      <c r="D5460" t="str">
        <f>IFERROR(__xludf.DUMMYFUNCTION("""COMPUTED_VALUE"""),"Goodwin")</f>
        <v>Goodwin</v>
      </c>
      <c r="E5460" t="str">
        <f>IFERROR(__xludf.DUMMYFUNCTION("""COMPUTED_VALUE"""),"Marquise")</f>
        <v>Marquise</v>
      </c>
      <c r="F5460" t="str">
        <f>IFERROR(__xludf.DUMMYFUNCTION("""COMPUTED_VALUE"""),"SF")</f>
        <v>SF</v>
      </c>
      <c r="G5460">
        <f>IFERROR(__xludf.DUMMYFUNCTION("""COMPUTED_VALUE"""),19.75)</f>
        <v>19.75</v>
      </c>
    </row>
    <row r="5461">
      <c r="D5461" t="str">
        <f>IFERROR(__xludf.DUMMYFUNCTION("""COMPUTED_VALUE"""),"Gordon")</f>
        <v>Gordon</v>
      </c>
      <c r="E5461" t="str">
        <f>IFERROR(__xludf.DUMMYFUNCTION("""COMPUTED_VALUE"""),"Dillon")</f>
        <v>Dillon</v>
      </c>
      <c r="F5461" t="str">
        <f>IFERROR(__xludf.DUMMYFUNCTION("""COMPUTED_VALUE"""),"KC")</f>
        <v>KC</v>
      </c>
      <c r="G5461">
        <f>IFERROR(__xludf.DUMMYFUNCTION("""COMPUTED_VALUE"""),17.0)</f>
        <v>17</v>
      </c>
    </row>
    <row r="5462">
      <c r="D5462" t="str">
        <f>IFERROR(__xludf.DUMMYFUNCTION("""COMPUTED_VALUE"""),"Gordon")</f>
        <v>Gordon</v>
      </c>
      <c r="E5462" t="str">
        <f>IFERROR(__xludf.DUMMYFUNCTION("""COMPUTED_VALUE"""),"Josh")</f>
        <v>Josh</v>
      </c>
      <c r="F5462" t="str">
        <f>IFERROR(__xludf.DUMMYFUNCTION("""COMPUTED_VALUE"""),"CLE")</f>
        <v>CLE</v>
      </c>
      <c r="G5462">
        <f>IFERROR(__xludf.DUMMYFUNCTION("""COMPUTED_VALUE"""),19.5)</f>
        <v>19.5</v>
      </c>
    </row>
    <row r="5463">
      <c r="D5463" t="str">
        <f>IFERROR(__xludf.DUMMYFUNCTION("""COMPUTED_VALUE"""),"Gordon")</f>
        <v>Gordon</v>
      </c>
      <c r="E5463" t="str">
        <f>IFERROR(__xludf.DUMMYFUNCTION("""COMPUTED_VALUE"""),"Melvin")</f>
        <v>Melvin</v>
      </c>
      <c r="F5463" t="str">
        <f>IFERROR(__xludf.DUMMYFUNCTION("""COMPUTED_VALUE"""),"LAC")</f>
        <v>LAC</v>
      </c>
      <c r="G5463">
        <f>IFERROR(__xludf.DUMMYFUNCTION("""COMPUTED_VALUE"""),21.0)</f>
        <v>21</v>
      </c>
    </row>
    <row r="5464">
      <c r="D5464" t="str">
        <f>IFERROR(__xludf.DUMMYFUNCTION("""COMPUTED_VALUE"""),"Gordon")</f>
        <v>Gordon</v>
      </c>
      <c r="E5464" t="str">
        <f>IFERROR(__xludf.DUMMYFUNCTION("""COMPUTED_VALUE"""),"Melvin")</f>
        <v>Melvin</v>
      </c>
      <c r="F5464" t="str">
        <f>IFERROR(__xludf.DUMMYFUNCTION("""COMPUTED_VALUE"""),"LAC")</f>
        <v>LAC</v>
      </c>
      <c r="G5464">
        <f>IFERROR(__xludf.DUMMYFUNCTION("""COMPUTED_VALUE"""),22.5)</f>
        <v>22.5</v>
      </c>
    </row>
    <row r="5465">
      <c r="D5465" t="str">
        <f>IFERROR(__xludf.DUMMYFUNCTION("""COMPUTED_VALUE"""),"Gore")</f>
        <v>Gore</v>
      </c>
      <c r="E5465" t="str">
        <f>IFERROR(__xludf.DUMMYFUNCTION("""COMPUTED_VALUE"""),"Frank")</f>
        <v>Frank</v>
      </c>
      <c r="F5465" t="str">
        <f>IFERROR(__xludf.DUMMYFUNCTION("""COMPUTED_VALUE"""),"MIA")</f>
        <v>MIA</v>
      </c>
      <c r="G5465">
        <f>IFERROR(__xludf.DUMMYFUNCTION("""COMPUTED_VALUE"""),19.25)</f>
        <v>19.25</v>
      </c>
    </row>
    <row r="5466">
      <c r="D5466" t="str">
        <f>IFERROR(__xludf.DUMMYFUNCTION("""COMPUTED_VALUE"""),"Gossett")</f>
        <v>Gossett</v>
      </c>
      <c r="E5466" t="str">
        <f>IFERROR(__xludf.DUMMYFUNCTION("""COMPUTED_VALUE"""),"Colby")</f>
        <v>Colby</v>
      </c>
      <c r="F5466" t="str">
        <f>IFERROR(__xludf.DUMMYFUNCTION("""COMPUTED_VALUE"""),"MIN")</f>
        <v>MIN</v>
      </c>
      <c r="G5466">
        <f>IFERROR(__xludf.DUMMYFUNCTION("""COMPUTED_VALUE"""),17.75)</f>
        <v>17.75</v>
      </c>
    </row>
    <row r="5467">
      <c r="D5467" t="str">
        <f>IFERROR(__xludf.DUMMYFUNCTION("""COMPUTED_VALUE"""),"Gostkowski")</f>
        <v>Gostkowski</v>
      </c>
      <c r="E5467" t="str">
        <f>IFERROR(__xludf.DUMMYFUNCTION("""COMPUTED_VALUE"""),"Stephen")</f>
        <v>Stephen</v>
      </c>
      <c r="F5467" t="str">
        <f>IFERROR(__xludf.DUMMYFUNCTION("""COMPUTED_VALUE"""),"NE")</f>
        <v>NE</v>
      </c>
      <c r="G5467">
        <f>IFERROR(__xludf.DUMMYFUNCTION("""COMPUTED_VALUE"""),21.25)</f>
        <v>21.25</v>
      </c>
    </row>
    <row r="5468">
      <c r="D5468" t="str">
        <f>IFERROR(__xludf.DUMMYFUNCTION("""COMPUTED_VALUE"""),"Gotsis")</f>
        <v>Gotsis</v>
      </c>
      <c r="E5468" t="str">
        <f>IFERROR(__xludf.DUMMYFUNCTION("""COMPUTED_VALUE"""),"Adam")</f>
        <v>Adam</v>
      </c>
      <c r="F5468" t="str">
        <f>IFERROR(__xludf.DUMMYFUNCTION("""COMPUTED_VALUE"""),"DEN")</f>
        <v>DEN</v>
      </c>
      <c r="G5468">
        <f>IFERROR(__xludf.DUMMYFUNCTION("""COMPUTED_VALUE"""),18.5)</f>
        <v>18.5</v>
      </c>
    </row>
    <row r="5469">
      <c r="D5469" t="str">
        <f>IFERROR(__xludf.DUMMYFUNCTION("""COMPUTED_VALUE"""),"Gould")</f>
        <v>Gould</v>
      </c>
      <c r="E5469" t="str">
        <f>IFERROR(__xludf.DUMMYFUNCTION("""COMPUTED_VALUE"""),"Robbie")</f>
        <v>Robbie</v>
      </c>
      <c r="F5469" t="str">
        <f>IFERROR(__xludf.DUMMYFUNCTION("""COMPUTED_VALUE"""),"SF")</f>
        <v>SF</v>
      </c>
      <c r="G5469">
        <f>IFERROR(__xludf.DUMMYFUNCTION("""COMPUTED_VALUE"""),20.75)</f>
        <v>20.75</v>
      </c>
    </row>
    <row r="5470">
      <c r="D5470" t="str">
        <f>IFERROR(__xludf.DUMMYFUNCTION("""COMPUTED_VALUE"""),"Grace")</f>
        <v>Grace</v>
      </c>
      <c r="E5470" t="str">
        <f>IFERROR(__xludf.DUMMYFUNCTION("""COMPUTED_VALUE"""),"Jermaine")</f>
        <v>Jermaine</v>
      </c>
      <c r="F5470" t="str">
        <f>IFERROR(__xludf.DUMMYFUNCTION("""COMPUTED_VALUE"""),"CLE")</f>
        <v>CLE</v>
      </c>
      <c r="G5470">
        <f>IFERROR(__xludf.DUMMYFUNCTION("""COMPUTED_VALUE"""),17.75)</f>
        <v>17.75</v>
      </c>
    </row>
    <row r="5471">
      <c r="D5471" t="str">
        <f>IFERROR(__xludf.DUMMYFUNCTION("""COMPUTED_VALUE"""),"Graham")</f>
        <v>Graham</v>
      </c>
      <c r="E5471" t="str">
        <f>IFERROR(__xludf.DUMMYFUNCTION("""COMPUTED_VALUE"""),"Brandon")</f>
        <v>Brandon</v>
      </c>
      <c r="F5471" t="str">
        <f>IFERROR(__xludf.DUMMYFUNCTION("""COMPUTED_VALUE"""),"PHI")</f>
        <v>PHI</v>
      </c>
      <c r="G5471">
        <f>IFERROR(__xludf.DUMMYFUNCTION("""COMPUTED_VALUE"""),21.5)</f>
        <v>21.5</v>
      </c>
    </row>
    <row r="5472">
      <c r="D5472" t="str">
        <f>IFERROR(__xludf.DUMMYFUNCTION("""COMPUTED_VALUE"""),"Graham")</f>
        <v>Graham</v>
      </c>
      <c r="E5472" t="str">
        <f>IFERROR(__xludf.DUMMYFUNCTION("""COMPUTED_VALUE"""),"Corey")</f>
        <v>Corey</v>
      </c>
      <c r="F5472" t="str">
        <f>IFERROR(__xludf.DUMMYFUNCTION("""COMPUTED_VALUE"""),"FA")</f>
        <v>FA</v>
      </c>
      <c r="G5472">
        <f>IFERROR(__xludf.DUMMYFUNCTION("""COMPUTED_VALUE"""),18.5)</f>
        <v>18.5</v>
      </c>
    </row>
    <row r="5473">
      <c r="D5473" t="str">
        <f>IFERROR(__xludf.DUMMYFUNCTION("""COMPUTED_VALUE"""),"Graham")</f>
        <v>Graham</v>
      </c>
      <c r="E5473" t="str">
        <f>IFERROR(__xludf.DUMMYFUNCTION("""COMPUTED_VALUE"""),"Jimmy")</f>
        <v>Jimmy</v>
      </c>
      <c r="F5473" t="str">
        <f>IFERROR(__xludf.DUMMYFUNCTION("""COMPUTED_VALUE"""),"GB")</f>
        <v>GB</v>
      </c>
      <c r="G5473">
        <f>IFERROR(__xludf.DUMMYFUNCTION("""COMPUTED_VALUE"""),20.75)</f>
        <v>20.75</v>
      </c>
    </row>
    <row r="5474">
      <c r="D5474" t="str">
        <f>IFERROR(__xludf.DUMMYFUNCTION("""COMPUTED_VALUE"""),"Grant")</f>
        <v>Grant</v>
      </c>
      <c r="E5474" t="str">
        <f>IFERROR(__xludf.DUMMYFUNCTION("""COMPUTED_VALUE"""),"Corey")</f>
        <v>Corey</v>
      </c>
      <c r="F5474" t="str">
        <f>IFERROR(__xludf.DUMMYFUNCTION("""COMPUTED_VALUE"""),"JAX")</f>
        <v>JAX</v>
      </c>
      <c r="G5474">
        <f>IFERROR(__xludf.DUMMYFUNCTION("""COMPUTED_VALUE"""),18.0)</f>
        <v>18</v>
      </c>
    </row>
    <row r="5475">
      <c r="D5475" t="str">
        <f>IFERROR(__xludf.DUMMYFUNCTION("""COMPUTED_VALUE"""),"Grant")</f>
        <v>Grant</v>
      </c>
      <c r="E5475" t="str">
        <f>IFERROR(__xludf.DUMMYFUNCTION("""COMPUTED_VALUE"""),"Jakeem")</f>
        <v>Jakeem</v>
      </c>
      <c r="F5475" t="str">
        <f>IFERROR(__xludf.DUMMYFUNCTION("""COMPUTED_VALUE"""),"MIA")</f>
        <v>MIA</v>
      </c>
      <c r="G5475">
        <f>IFERROR(__xludf.DUMMYFUNCTION("""COMPUTED_VALUE"""),18.0)</f>
        <v>18</v>
      </c>
    </row>
    <row r="5476">
      <c r="D5476" t="str">
        <f>IFERROR(__xludf.DUMMYFUNCTION("""COMPUTED_VALUE"""),"Grant")</f>
        <v>Grant</v>
      </c>
      <c r="E5476" t="str">
        <f>IFERROR(__xludf.DUMMYFUNCTION("""COMPUTED_VALUE"""),"Ryan")</f>
        <v>Ryan</v>
      </c>
      <c r="F5476" t="str">
        <f>IFERROR(__xludf.DUMMYFUNCTION("""COMPUTED_VALUE"""),"IND")</f>
        <v>IND</v>
      </c>
      <c r="G5476">
        <f>IFERROR(__xludf.DUMMYFUNCTION("""COMPUTED_VALUE"""),18.75)</f>
        <v>18.75</v>
      </c>
    </row>
    <row r="5477">
      <c r="D5477" t="str">
        <f>IFERROR(__xludf.DUMMYFUNCTION("""COMPUTED_VALUE"""),"Grasu")</f>
        <v>Grasu</v>
      </c>
      <c r="E5477" t="str">
        <f>IFERROR(__xludf.DUMMYFUNCTION("""COMPUTED_VALUE"""),"Hroniss")</f>
        <v>Hroniss</v>
      </c>
      <c r="F5477" t="str">
        <f>IFERROR(__xludf.DUMMYFUNCTION("""COMPUTED_VALUE"""),"CHI")</f>
        <v>CHI</v>
      </c>
      <c r="G5477">
        <f>IFERROR(__xludf.DUMMYFUNCTION("""COMPUTED_VALUE"""),17.25)</f>
        <v>17.25</v>
      </c>
    </row>
    <row r="5478">
      <c r="D5478" t="str">
        <f>IFERROR(__xludf.DUMMYFUNCTION("""COMPUTED_VALUE"""),"Gray")</f>
        <v>Gray</v>
      </c>
      <c r="E5478" t="str">
        <f>IFERROR(__xludf.DUMMYFUNCTION("""COMPUTED_VALUE"""),"Geoff")</f>
        <v>Geoff</v>
      </c>
      <c r="F5478" t="str">
        <f>IFERROR(__xludf.DUMMYFUNCTION("""COMPUTED_VALUE"""),"CLE")</f>
        <v>CLE</v>
      </c>
      <c r="G5478">
        <f>IFERROR(__xludf.DUMMYFUNCTION("""COMPUTED_VALUE"""),16.25)</f>
        <v>16.25</v>
      </c>
    </row>
    <row r="5479">
      <c r="D5479" t="str">
        <f>IFERROR(__xludf.DUMMYFUNCTION("""COMPUTED_VALUE"""),"Gray")</f>
        <v>Gray</v>
      </c>
      <c r="E5479" t="str">
        <f>IFERROR(__xludf.DUMMYFUNCTION("""COMPUTED_VALUE"""),"MarQueis")</f>
        <v>MarQueis</v>
      </c>
      <c r="F5479" t="str">
        <f>IFERROR(__xludf.DUMMYFUNCTION("""COMPUTED_VALUE"""),"MIA")</f>
        <v>MIA</v>
      </c>
      <c r="G5479">
        <f>IFERROR(__xludf.DUMMYFUNCTION("""COMPUTED_VALUE"""),16.5)</f>
        <v>16.5</v>
      </c>
    </row>
    <row r="5480">
      <c r="D5480" t="str">
        <f>IFERROR(__xludf.DUMMYFUNCTION("""COMPUTED_VALUE"""),"Grayson")</f>
        <v>Grayson</v>
      </c>
      <c r="E5480" t="str">
        <f>IFERROR(__xludf.DUMMYFUNCTION("""COMPUTED_VALUE"""),"Garrett")</f>
        <v>Garrett</v>
      </c>
      <c r="F5480" t="str">
        <f>IFERROR(__xludf.DUMMYFUNCTION("""COMPUTED_VALUE"""),"ATL")</f>
        <v>ATL</v>
      </c>
      <c r="G5480">
        <f>IFERROR(__xludf.DUMMYFUNCTION("""COMPUTED_VALUE"""),15.75)</f>
        <v>15.75</v>
      </c>
    </row>
    <row r="5481">
      <c r="D5481" t="str">
        <f>IFERROR(__xludf.DUMMYFUNCTION("""COMPUTED_VALUE"""),"Greco")</f>
        <v>Greco</v>
      </c>
      <c r="E5481" t="str">
        <f>IFERROR(__xludf.DUMMYFUNCTION("""COMPUTED_VALUE"""),"John")</f>
        <v>John</v>
      </c>
      <c r="F5481" t="str">
        <f>IFERROR(__xludf.DUMMYFUNCTION("""COMPUTED_VALUE"""),"NYG")</f>
        <v>NYG</v>
      </c>
      <c r="G5481">
        <f>IFERROR(__xludf.DUMMYFUNCTION("""COMPUTED_VALUE"""),18.25)</f>
        <v>18.25</v>
      </c>
    </row>
    <row r="5482">
      <c r="D5482" t="str">
        <f>IFERROR(__xludf.DUMMYFUNCTION("""COMPUTED_VALUE"""),"Green")</f>
        <v>Green</v>
      </c>
      <c r="E5482" t="str">
        <f>IFERROR(__xludf.DUMMYFUNCTION("""COMPUTED_VALUE"""),"AJ")</f>
        <v>AJ</v>
      </c>
      <c r="F5482" t="str">
        <f>IFERROR(__xludf.DUMMYFUNCTION("""COMPUTED_VALUE"""),"CIN")</f>
        <v>CIN</v>
      </c>
      <c r="G5482">
        <f>IFERROR(__xludf.DUMMYFUNCTION("""COMPUTED_VALUE"""),21.75)</f>
        <v>21.75</v>
      </c>
    </row>
    <row r="5483">
      <c r="D5483" t="str">
        <f>IFERROR(__xludf.DUMMYFUNCTION("""COMPUTED_VALUE"""),"Green")</f>
        <v>Green</v>
      </c>
      <c r="E5483" t="str">
        <f>IFERROR(__xludf.DUMMYFUNCTION("""COMPUTED_VALUE"""),"Chaz")</f>
        <v>Chaz</v>
      </c>
      <c r="F5483" t="str">
        <f>IFERROR(__xludf.DUMMYFUNCTION("""COMPUTED_VALUE"""),"DAL")</f>
        <v>DAL</v>
      </c>
      <c r="G5483">
        <f>IFERROR(__xludf.DUMMYFUNCTION("""COMPUTED_VALUE"""),16.5)</f>
        <v>16.5</v>
      </c>
    </row>
    <row r="5484">
      <c r="D5484" t="str">
        <f>IFERROR(__xludf.DUMMYFUNCTION("""COMPUTED_VALUE"""),"Green")</f>
        <v>Green</v>
      </c>
      <c r="E5484" t="str">
        <f>IFERROR(__xludf.DUMMYFUNCTION("""COMPUTED_VALUE"""),"Rasheem")</f>
        <v>Rasheem</v>
      </c>
      <c r="F5484" t="str">
        <f>IFERROR(__xludf.DUMMYFUNCTION("""COMPUTED_VALUE"""),"SEA")</f>
        <v>SEA</v>
      </c>
      <c r="G5484">
        <f>IFERROR(__xludf.DUMMYFUNCTION("""COMPUTED_VALUE"""),17.5)</f>
        <v>17.5</v>
      </c>
    </row>
    <row r="5485">
      <c r="D5485" t="str">
        <f>IFERROR(__xludf.DUMMYFUNCTION("""COMPUTED_VALUE"""),"Green")</f>
        <v>Green</v>
      </c>
      <c r="E5485" t="str">
        <f>IFERROR(__xludf.DUMMYFUNCTION("""COMPUTED_VALUE"""),"Tion")</f>
        <v>Tion</v>
      </c>
      <c r="F5485" t="str">
        <f>IFERROR(__xludf.DUMMYFUNCTION("""COMPUTED_VALUE"""),"FA")</f>
        <v>FA</v>
      </c>
      <c r="G5485">
        <f>IFERROR(__xludf.DUMMYFUNCTION("""COMPUTED_VALUE"""),18.0)</f>
        <v>18</v>
      </c>
    </row>
    <row r="5486">
      <c r="D5486" t="str">
        <f>IFERROR(__xludf.DUMMYFUNCTION("""COMPUTED_VALUE"""),"Green")</f>
        <v>Green</v>
      </c>
      <c r="E5486" t="str">
        <f>IFERROR(__xludf.DUMMYFUNCTION("""COMPUTED_VALUE"""),"TJ")</f>
        <v>TJ</v>
      </c>
      <c r="F5486" t="str">
        <f>IFERROR(__xludf.DUMMYFUNCTION("""COMPUTED_VALUE"""),"IND")</f>
        <v>IND</v>
      </c>
      <c r="G5486">
        <f>IFERROR(__xludf.DUMMYFUNCTION("""COMPUTED_VALUE"""),19.0)</f>
        <v>19</v>
      </c>
    </row>
    <row r="5487">
      <c r="D5487" t="str">
        <f>IFERROR(__xludf.DUMMYFUNCTION("""COMPUTED_VALUE"""),"Green")</f>
        <v>Green</v>
      </c>
      <c r="E5487" t="str">
        <f>IFERROR(__xludf.DUMMYFUNCTION("""COMPUTED_VALUE"""),"Virgil")</f>
        <v>Virgil</v>
      </c>
      <c r="F5487" t="str">
        <f>IFERROR(__xludf.DUMMYFUNCTION("""COMPUTED_VALUE"""),"LAC")</f>
        <v>LAC</v>
      </c>
      <c r="G5487">
        <f>IFERROR(__xludf.DUMMYFUNCTION("""COMPUTED_VALUE"""),18.75)</f>
        <v>18.75</v>
      </c>
    </row>
    <row r="5488">
      <c r="D5488" t="str">
        <f>IFERROR(__xludf.DUMMYFUNCTION("""COMPUTED_VALUE"""),"Greene")</f>
        <v>Greene</v>
      </c>
      <c r="E5488" t="str">
        <f>IFERROR(__xludf.DUMMYFUNCTION("""COMPUTED_VALUE"""),"Darrell")</f>
        <v>Darrell</v>
      </c>
      <c r="F5488" t="str">
        <f>IFERROR(__xludf.DUMMYFUNCTION("""COMPUTED_VALUE"""),"PHI")</f>
        <v>PHI</v>
      </c>
      <c r="G5488">
        <f>IFERROR(__xludf.DUMMYFUNCTION("""COMPUTED_VALUE"""),15.5)</f>
        <v>15.5</v>
      </c>
    </row>
    <row r="5489">
      <c r="D5489" t="str">
        <f>IFERROR(__xludf.DUMMYFUNCTION("""COMPUTED_VALUE"""),"Greene Sr")</f>
        <v>Greene Sr</v>
      </c>
      <c r="E5489" t="str">
        <f>IFERROR(__xludf.DUMMYFUNCTION("""COMPUTED_VALUE"""),"Rashad")</f>
        <v>Rashad</v>
      </c>
      <c r="F5489" t="str">
        <f>IFERROR(__xludf.DUMMYFUNCTION("""COMPUTED_VALUE"""),"JAX")</f>
        <v>JAX</v>
      </c>
      <c r="G5489">
        <f>IFERROR(__xludf.DUMMYFUNCTION("""COMPUTED_VALUE"""),17.5)</f>
        <v>17.5</v>
      </c>
    </row>
    <row r="5490">
      <c r="D5490" t="str">
        <f>IFERROR(__xludf.DUMMYFUNCTION("""COMPUTED_VALUE"""),"Gregory")</f>
        <v>Gregory</v>
      </c>
      <c r="E5490" t="str">
        <f>IFERROR(__xludf.DUMMYFUNCTION("""COMPUTED_VALUE"""),"Randy")</f>
        <v>Randy</v>
      </c>
      <c r="F5490" t="str">
        <f>IFERROR(__xludf.DUMMYFUNCTION("""COMPUTED_VALUE"""),"DAL")</f>
        <v>DAL</v>
      </c>
      <c r="G5490">
        <f>IFERROR(__xludf.DUMMYFUNCTION("""COMPUTED_VALUE"""),18.5)</f>
        <v>18.5</v>
      </c>
    </row>
    <row r="5491">
      <c r="D5491" t="str">
        <f>IFERROR(__xludf.DUMMYFUNCTION("""COMPUTED_VALUE"""),"Gresham")</f>
        <v>Gresham</v>
      </c>
      <c r="E5491" t="str">
        <f>IFERROR(__xludf.DUMMYFUNCTION("""COMPUTED_VALUE"""),"Jermaine")</f>
        <v>Jermaine</v>
      </c>
      <c r="F5491" t="str">
        <f>IFERROR(__xludf.DUMMYFUNCTION("""COMPUTED_VALUE"""),"ARZ")</f>
        <v>ARZ</v>
      </c>
      <c r="G5491">
        <f>IFERROR(__xludf.DUMMYFUNCTION("""COMPUTED_VALUE"""),20.0)</f>
        <v>20</v>
      </c>
    </row>
    <row r="5492">
      <c r="D5492" t="str">
        <f>IFERROR(__xludf.DUMMYFUNCTION("""COMPUTED_VALUE"""),"Griffen")</f>
        <v>Griffen</v>
      </c>
      <c r="E5492" t="str">
        <f>IFERROR(__xludf.DUMMYFUNCTION("""COMPUTED_VALUE"""),"Everson")</f>
        <v>Everson</v>
      </c>
      <c r="F5492" t="str">
        <f>IFERROR(__xludf.DUMMYFUNCTION("""COMPUTED_VALUE"""),"MIN")</f>
        <v>MIN</v>
      </c>
      <c r="G5492">
        <f>IFERROR(__xludf.DUMMYFUNCTION("""COMPUTED_VALUE"""),21.5)</f>
        <v>21.5</v>
      </c>
    </row>
    <row r="5493">
      <c r="D5493" t="str">
        <f>IFERROR(__xludf.DUMMYFUNCTION("""COMPUTED_VALUE"""),"Griffin")</f>
        <v>Griffin</v>
      </c>
      <c r="E5493" t="str">
        <f>IFERROR(__xludf.DUMMYFUNCTION("""COMPUTED_VALUE"""),"Garrett")</f>
        <v>Garrett</v>
      </c>
      <c r="F5493" t="str">
        <f>IFERROR(__xludf.DUMMYFUNCTION("""COMPUTED_VALUE"""),"NO")</f>
        <v>NO</v>
      </c>
      <c r="G5493">
        <f>IFERROR(__xludf.DUMMYFUNCTION("""COMPUTED_VALUE"""),16.75)</f>
        <v>16.75</v>
      </c>
    </row>
    <row r="5494">
      <c r="D5494" t="str">
        <f>IFERROR(__xludf.DUMMYFUNCTION("""COMPUTED_VALUE"""),"Griffin")</f>
        <v>Griffin</v>
      </c>
      <c r="E5494" t="str">
        <f>IFERROR(__xludf.DUMMYFUNCTION("""COMPUTED_VALUE"""),"Ryan")</f>
        <v>Ryan</v>
      </c>
      <c r="F5494" t="str">
        <f>IFERROR(__xludf.DUMMYFUNCTION("""COMPUTED_VALUE"""),"TB")</f>
        <v>TB</v>
      </c>
      <c r="G5494">
        <f>IFERROR(__xludf.DUMMYFUNCTION("""COMPUTED_VALUE"""),15.75)</f>
        <v>15.75</v>
      </c>
    </row>
    <row r="5495">
      <c r="D5495" t="str">
        <f>IFERROR(__xludf.DUMMYFUNCTION("""COMPUTED_VALUE"""),"Griffin")</f>
        <v>Griffin</v>
      </c>
      <c r="E5495" t="str">
        <f>IFERROR(__xludf.DUMMYFUNCTION("""COMPUTED_VALUE"""),"Ryan")</f>
        <v>Ryan</v>
      </c>
      <c r="F5495" t="str">
        <f>IFERROR(__xludf.DUMMYFUNCTION("""COMPUTED_VALUE"""),"HOU")</f>
        <v>HOU</v>
      </c>
      <c r="G5495">
        <f>IFERROR(__xludf.DUMMYFUNCTION("""COMPUTED_VALUE"""),18.5)</f>
        <v>18.5</v>
      </c>
    </row>
    <row r="5496">
      <c r="D5496" t="str">
        <f>IFERROR(__xludf.DUMMYFUNCTION("""COMPUTED_VALUE"""),"Griffin")</f>
        <v>Griffin</v>
      </c>
      <c r="E5496" t="str">
        <f>IFERROR(__xludf.DUMMYFUNCTION("""COMPUTED_VALUE"""),"Shaquem")</f>
        <v>Shaquem</v>
      </c>
      <c r="F5496" t="str">
        <f>IFERROR(__xludf.DUMMYFUNCTION("""COMPUTED_VALUE"""),"SEA")</f>
        <v>SEA</v>
      </c>
      <c r="G5496">
        <f>IFERROR(__xludf.DUMMYFUNCTION("""COMPUTED_VALUE"""),17.75)</f>
        <v>17.75</v>
      </c>
    </row>
    <row r="5497">
      <c r="D5497" t="str">
        <f>IFERROR(__xludf.DUMMYFUNCTION("""COMPUTED_VALUE"""),"Griffin")</f>
        <v>Griffin</v>
      </c>
      <c r="E5497" t="str">
        <f>IFERROR(__xludf.DUMMYFUNCTION("""COMPUTED_VALUE"""),"Shaquill")</f>
        <v>Shaquill</v>
      </c>
      <c r="F5497" t="str">
        <f>IFERROR(__xludf.DUMMYFUNCTION("""COMPUTED_VALUE"""),"SEA")</f>
        <v>SEA</v>
      </c>
      <c r="G5497">
        <f>IFERROR(__xludf.DUMMYFUNCTION("""COMPUTED_VALUE"""),20.0)</f>
        <v>20</v>
      </c>
    </row>
    <row r="5498">
      <c r="D5498" t="str">
        <f>IFERROR(__xludf.DUMMYFUNCTION("""COMPUTED_VALUE"""),"Griffin III")</f>
        <v>Griffin III</v>
      </c>
      <c r="E5498" t="str">
        <f>IFERROR(__xludf.DUMMYFUNCTION("""COMPUTED_VALUE"""),"Robert")</f>
        <v>Robert</v>
      </c>
      <c r="F5498" t="str">
        <f>IFERROR(__xludf.DUMMYFUNCTION("""COMPUTED_VALUE"""),"BAL")</f>
        <v>BAL</v>
      </c>
      <c r="G5498">
        <f>IFERROR(__xludf.DUMMYFUNCTION("""COMPUTED_VALUE"""),18.75)</f>
        <v>18.75</v>
      </c>
    </row>
    <row r="5499">
      <c r="D5499" t="str">
        <f>IFERROR(__xludf.DUMMYFUNCTION("""COMPUTED_VALUE"""),"Grigsby")</f>
        <v>Grigsby</v>
      </c>
      <c r="E5499" t="str">
        <f>IFERROR(__xludf.DUMMYFUNCTION("""COMPUTED_VALUE"""),"Nicholas")</f>
        <v>Nicholas</v>
      </c>
      <c r="F5499" t="str">
        <f>IFERROR(__xludf.DUMMYFUNCTION("""COMPUTED_VALUE"""),"NE")</f>
        <v>NE</v>
      </c>
      <c r="G5499">
        <f>IFERROR(__xludf.DUMMYFUNCTION("""COMPUTED_VALUE"""),15.75)</f>
        <v>15.75</v>
      </c>
    </row>
    <row r="5500">
      <c r="D5500" t="str">
        <f>IFERROR(__xludf.DUMMYFUNCTION("""COMPUTED_VALUE"""),"Grimble")</f>
        <v>Grimble</v>
      </c>
      <c r="E5500" t="str">
        <f>IFERROR(__xludf.DUMMYFUNCTION("""COMPUTED_VALUE"""),"Xavier")</f>
        <v>Xavier</v>
      </c>
      <c r="F5500" t="str">
        <f>IFERROR(__xludf.DUMMYFUNCTION("""COMPUTED_VALUE"""),"PIT")</f>
        <v>PIT</v>
      </c>
      <c r="G5500">
        <f>IFERROR(__xludf.DUMMYFUNCTION("""COMPUTED_VALUE"""),18.0)</f>
        <v>18</v>
      </c>
    </row>
    <row r="5501">
      <c r="D5501" t="str">
        <f>IFERROR(__xludf.DUMMYFUNCTION("""COMPUTED_VALUE"""),"Grimes")</f>
        <v>Grimes</v>
      </c>
      <c r="E5501" t="str">
        <f>IFERROR(__xludf.DUMMYFUNCTION("""COMPUTED_VALUE"""),"Brent")</f>
        <v>Brent</v>
      </c>
      <c r="F5501" t="str">
        <f>IFERROR(__xludf.DUMMYFUNCTION("""COMPUTED_VALUE"""),"TB")</f>
        <v>TB</v>
      </c>
      <c r="G5501">
        <f>IFERROR(__xludf.DUMMYFUNCTION("""COMPUTED_VALUE"""),20.75)</f>
        <v>20.75</v>
      </c>
    </row>
    <row r="5502">
      <c r="D5502" t="str">
        <f>IFERROR(__xludf.DUMMYFUNCTION("""COMPUTED_VALUE"""),"Grimes")</f>
        <v>Grimes</v>
      </c>
      <c r="E5502" t="str">
        <f>IFERROR(__xludf.DUMMYFUNCTION("""COMPUTED_VALUE"""),"Brent")</f>
        <v>Brent</v>
      </c>
      <c r="F5502" t="str">
        <f>IFERROR(__xludf.DUMMYFUNCTION("""COMPUTED_VALUE"""),"TB")</f>
        <v>TB</v>
      </c>
      <c r="G5502">
        <f>IFERROR(__xludf.DUMMYFUNCTION("""COMPUTED_VALUE"""),21.5)</f>
        <v>21.5</v>
      </c>
    </row>
    <row r="5503">
      <c r="D5503" t="str">
        <f>IFERROR(__xludf.DUMMYFUNCTION("""COMPUTED_VALUE"""),"Grissom")</f>
        <v>Grissom</v>
      </c>
      <c r="E5503" t="str">
        <f>IFERROR(__xludf.DUMMYFUNCTION("""COMPUTED_VALUE"""),"Geneo")</f>
        <v>Geneo</v>
      </c>
      <c r="F5503" t="str">
        <f>IFERROR(__xludf.DUMMYFUNCTION("""COMPUTED_VALUE"""),"NE")</f>
        <v>NE</v>
      </c>
      <c r="G5503">
        <f>IFERROR(__xludf.DUMMYFUNCTION("""COMPUTED_VALUE"""),16.0)</f>
        <v>16</v>
      </c>
    </row>
    <row r="5504">
      <c r="D5504" t="str">
        <f>IFERROR(__xludf.DUMMYFUNCTION("""COMPUTED_VALUE"""),"Groy")</f>
        <v>Groy</v>
      </c>
      <c r="E5504" t="str">
        <f>IFERROR(__xludf.DUMMYFUNCTION("""COMPUTED_VALUE"""),"Ryan")</f>
        <v>Ryan</v>
      </c>
      <c r="F5504" t="str">
        <f>IFERROR(__xludf.DUMMYFUNCTION("""COMPUTED_VALUE"""),"BUF")</f>
        <v>BUF</v>
      </c>
      <c r="G5504">
        <f>IFERROR(__xludf.DUMMYFUNCTION("""COMPUTED_VALUE"""),18.75)</f>
        <v>18.75</v>
      </c>
    </row>
    <row r="5505">
      <c r="D5505" t="str">
        <f>IFERROR(__xludf.DUMMYFUNCTION("""COMPUTED_VALUE"""),"Grugier-Hill")</f>
        <v>Grugier-Hill</v>
      </c>
      <c r="E5505" t="str">
        <f>IFERROR(__xludf.DUMMYFUNCTION("""COMPUTED_VALUE"""),"Kamu")</f>
        <v>Kamu</v>
      </c>
      <c r="F5505" t="str">
        <f>IFERROR(__xludf.DUMMYFUNCTION("""COMPUTED_VALUE"""),"PHI")</f>
        <v>PHI</v>
      </c>
      <c r="G5505">
        <f>IFERROR(__xludf.DUMMYFUNCTION("""COMPUTED_VALUE"""),17.75)</f>
        <v>17.75</v>
      </c>
    </row>
    <row r="5506">
      <c r="D5506" t="str">
        <f>IFERROR(__xludf.DUMMYFUNCTION("""COMPUTED_VALUE"""),"Guice")</f>
        <v>Guice</v>
      </c>
      <c r="E5506" t="str">
        <f>IFERROR(__xludf.DUMMYFUNCTION("""COMPUTED_VALUE"""),"Derrius")</f>
        <v>Derrius</v>
      </c>
      <c r="F5506" t="str">
        <f>IFERROR(__xludf.DUMMYFUNCTION("""COMPUTED_VALUE"""),"WAS")</f>
        <v>WAS</v>
      </c>
      <c r="G5506">
        <f>IFERROR(__xludf.DUMMYFUNCTION("""COMPUTED_VALUE"""),19.25)</f>
        <v>19.25</v>
      </c>
    </row>
    <row r="5507">
      <c r="D5507" t="str">
        <f>IFERROR(__xludf.DUMMYFUNCTION("""COMPUTED_VALUE"""),"Gunter")</f>
        <v>Gunter</v>
      </c>
      <c r="E5507" t="str">
        <f>IFERROR(__xludf.DUMMYFUNCTION("""COMPUTED_VALUE"""),"LaDarius")</f>
        <v>LaDarius</v>
      </c>
      <c r="F5507" t="str">
        <f>IFERROR(__xludf.DUMMYFUNCTION("""COMPUTED_VALUE"""),"CAR")</f>
        <v>CAR</v>
      </c>
      <c r="G5507">
        <f>IFERROR(__xludf.DUMMYFUNCTION("""COMPUTED_VALUE"""),18.0)</f>
        <v>18</v>
      </c>
    </row>
    <row r="5508">
      <c r="D5508" t="str">
        <f>IFERROR(__xludf.DUMMYFUNCTION("""COMPUTED_VALUE"""),"Gunter")</f>
        <v>Gunter</v>
      </c>
      <c r="E5508" t="str">
        <f>IFERROR(__xludf.DUMMYFUNCTION("""COMPUTED_VALUE"""),"Rodney")</f>
        <v>Rodney</v>
      </c>
      <c r="F5508" t="str">
        <f>IFERROR(__xludf.DUMMYFUNCTION("""COMPUTED_VALUE"""),"ARZ")</f>
        <v>ARZ</v>
      </c>
      <c r="G5508">
        <f>IFERROR(__xludf.DUMMYFUNCTION("""COMPUTED_VALUE"""),16.5)</f>
        <v>16.5</v>
      </c>
    </row>
    <row r="5509">
      <c r="D5509" t="str">
        <f>IFERROR(__xludf.DUMMYFUNCTION("""COMPUTED_VALUE"""),"Gurley II")</f>
        <v>Gurley II</v>
      </c>
      <c r="E5509" t="str">
        <f>IFERROR(__xludf.DUMMYFUNCTION("""COMPUTED_VALUE"""),"Todd")</f>
        <v>Todd</v>
      </c>
      <c r="F5509" t="str">
        <f>IFERROR(__xludf.DUMMYFUNCTION("""COMPUTED_VALUE"""),"LAR")</f>
        <v>LAR</v>
      </c>
      <c r="G5509">
        <f>IFERROR(__xludf.DUMMYFUNCTION("""COMPUTED_VALUE"""),21.5)</f>
        <v>21.5</v>
      </c>
    </row>
    <row r="5510">
      <c r="D5510" t="str">
        <f>IFERROR(__xludf.DUMMYFUNCTION("""COMPUTED_VALUE"""),"Guy")</f>
        <v>Guy</v>
      </c>
      <c r="E5510" t="str">
        <f>IFERROR(__xludf.DUMMYFUNCTION("""COMPUTED_VALUE"""),"Lawrence")</f>
        <v>Lawrence</v>
      </c>
      <c r="F5510" t="str">
        <f>IFERROR(__xludf.DUMMYFUNCTION("""COMPUTED_VALUE"""),"NE")</f>
        <v>NE</v>
      </c>
      <c r="G5510">
        <f>IFERROR(__xludf.DUMMYFUNCTION("""COMPUTED_VALUE"""),18.25)</f>
        <v>18.25</v>
      </c>
    </row>
    <row r="5511">
      <c r="D5511" t="str">
        <f>IFERROR(__xludf.DUMMYFUNCTION("""COMPUTED_VALUE"""),"Gwacham")</f>
        <v>Gwacham</v>
      </c>
      <c r="E5511" t="str">
        <f>IFERROR(__xludf.DUMMYFUNCTION("""COMPUTED_VALUE"""),"Obum")</f>
        <v>Obum</v>
      </c>
      <c r="F5511" t="str">
        <f>IFERROR(__xludf.DUMMYFUNCTION("""COMPUTED_VALUE"""),"NYJ")</f>
        <v>NYJ</v>
      </c>
      <c r="G5511">
        <f>IFERROR(__xludf.DUMMYFUNCTION("""COMPUTED_VALUE"""),15.75)</f>
        <v>15.75</v>
      </c>
    </row>
    <row r="5512">
      <c r="D5512" t="str">
        <f>IFERROR(__xludf.DUMMYFUNCTION("""COMPUTED_VALUE"""),"Haack")</f>
        <v>Haack</v>
      </c>
      <c r="E5512" t="str">
        <f>IFERROR(__xludf.DUMMYFUNCTION("""COMPUTED_VALUE"""),"Matt")</f>
        <v>Matt</v>
      </c>
      <c r="F5512" t="str">
        <f>IFERROR(__xludf.DUMMYFUNCTION("""COMPUTED_VALUE"""),"MIA")</f>
        <v>MIA</v>
      </c>
      <c r="G5512">
        <f>IFERROR(__xludf.DUMMYFUNCTION("""COMPUTED_VALUE"""),20.25)</f>
        <v>20.25</v>
      </c>
    </row>
    <row r="5513">
      <c r="D5513" t="str">
        <f>IFERROR(__xludf.DUMMYFUNCTION("""COMPUTED_VALUE"""),"Hackenberg")</f>
        <v>Hackenberg</v>
      </c>
      <c r="E5513" t="str">
        <f>IFERROR(__xludf.DUMMYFUNCTION("""COMPUTED_VALUE"""),"Christian")</f>
        <v>Christian</v>
      </c>
      <c r="F5513" t="str">
        <f>IFERROR(__xludf.DUMMYFUNCTION("""COMPUTED_VALUE"""),"FA")</f>
        <v>FA</v>
      </c>
      <c r="G5513">
        <f>IFERROR(__xludf.DUMMYFUNCTION("""COMPUTED_VALUE"""),16.5)</f>
        <v>16.5</v>
      </c>
    </row>
    <row r="5514">
      <c r="D5514" t="str">
        <f>IFERROR(__xludf.DUMMYFUNCTION("""COMPUTED_VALUE"""),"Haden")</f>
        <v>Haden</v>
      </c>
      <c r="E5514" t="str">
        <f>IFERROR(__xludf.DUMMYFUNCTION("""COMPUTED_VALUE"""),"Joe")</f>
        <v>Joe</v>
      </c>
      <c r="F5514" t="str">
        <f>IFERROR(__xludf.DUMMYFUNCTION("""COMPUTED_VALUE"""),"PIT")</f>
        <v>PIT</v>
      </c>
      <c r="G5514">
        <f>IFERROR(__xludf.DUMMYFUNCTION("""COMPUTED_VALUE"""),20.75)</f>
        <v>20.75</v>
      </c>
    </row>
    <row r="5515">
      <c r="D5515" t="str">
        <f>IFERROR(__xludf.DUMMYFUNCTION("""COMPUTED_VALUE"""),"Haeg")</f>
        <v>Haeg</v>
      </c>
      <c r="E5515" t="str">
        <f>IFERROR(__xludf.DUMMYFUNCTION("""COMPUTED_VALUE"""),"Joe")</f>
        <v>Joe</v>
      </c>
      <c r="F5515" t="str">
        <f>IFERROR(__xludf.DUMMYFUNCTION("""COMPUTED_VALUE"""),"IND")</f>
        <v>IND</v>
      </c>
      <c r="G5515">
        <f>IFERROR(__xludf.DUMMYFUNCTION("""COMPUTED_VALUE"""),16.75)</f>
        <v>16.75</v>
      </c>
    </row>
    <row r="5516">
      <c r="D5516" t="str">
        <f>IFERROR(__xludf.DUMMYFUNCTION("""COMPUTED_VALUE"""),"Hager")</f>
        <v>Hager</v>
      </c>
      <c r="E5516" t="str">
        <f>IFERROR(__xludf.DUMMYFUNCTION("""COMPUTED_VALUE"""),"Bryce")</f>
        <v>Bryce</v>
      </c>
      <c r="F5516" t="str">
        <f>IFERROR(__xludf.DUMMYFUNCTION("""COMPUTED_VALUE"""),"LAR")</f>
        <v>LAR</v>
      </c>
      <c r="G5516">
        <f>IFERROR(__xludf.DUMMYFUNCTION("""COMPUTED_VALUE"""),18.5)</f>
        <v>18.5</v>
      </c>
    </row>
    <row r="5517">
      <c r="D5517" t="str">
        <f>IFERROR(__xludf.DUMMYFUNCTION("""COMPUTED_VALUE"""),"Hairston")</f>
        <v>Hairston</v>
      </c>
      <c r="E5517" t="str">
        <f>IFERROR(__xludf.DUMMYFUNCTION("""COMPUTED_VALUE"""),"Chris")</f>
        <v>Chris</v>
      </c>
      <c r="F5517" t="str">
        <f>IFERROR(__xludf.DUMMYFUNCTION("""COMPUTED_VALUE"""),"FA")</f>
        <v>FA</v>
      </c>
      <c r="G5517">
        <f>IFERROR(__xludf.DUMMYFUNCTION("""COMPUTED_VALUE"""),18.25)</f>
        <v>18.25</v>
      </c>
    </row>
    <row r="5518">
      <c r="D5518" t="str">
        <f>IFERROR(__xludf.DUMMYFUNCTION("""COMPUTED_VALUE"""),"Hairston")</f>
        <v>Hairston</v>
      </c>
      <c r="E5518" t="str">
        <f>IFERROR(__xludf.DUMMYFUNCTION("""COMPUTED_VALUE"""),"Nate")</f>
        <v>Nate</v>
      </c>
      <c r="F5518" t="str">
        <f>IFERROR(__xludf.DUMMYFUNCTION("""COMPUTED_VALUE"""),"IND")</f>
        <v>IND</v>
      </c>
      <c r="G5518">
        <f>IFERROR(__xludf.DUMMYFUNCTION("""COMPUTED_VALUE"""),18.0)</f>
        <v>18</v>
      </c>
    </row>
    <row r="5519">
      <c r="D5519" t="str">
        <f>IFERROR(__xludf.DUMMYFUNCTION("""COMPUTED_VALUE"""),"Hal")</f>
        <v>Hal</v>
      </c>
      <c r="E5519" t="str">
        <f>IFERROR(__xludf.DUMMYFUNCTION("""COMPUTED_VALUE"""),"Andre")</f>
        <v>Andre</v>
      </c>
      <c r="F5519" t="str">
        <f>IFERROR(__xludf.DUMMYFUNCTION("""COMPUTED_VALUE"""),"HOU")</f>
        <v>HOU</v>
      </c>
      <c r="G5519">
        <f>IFERROR(__xludf.DUMMYFUNCTION("""COMPUTED_VALUE"""),20.25)</f>
        <v>20.25</v>
      </c>
    </row>
    <row r="5520">
      <c r="D5520" t="str">
        <f>IFERROR(__xludf.DUMMYFUNCTION("""COMPUTED_VALUE"""),"Halapio")</f>
        <v>Halapio</v>
      </c>
      <c r="E5520" t="str">
        <f>IFERROR(__xludf.DUMMYFUNCTION("""COMPUTED_VALUE"""),"Jon")</f>
        <v>Jon</v>
      </c>
      <c r="F5520" t="str">
        <f>IFERROR(__xludf.DUMMYFUNCTION("""COMPUTED_VALUE"""),"NYG")</f>
        <v>NYG</v>
      </c>
      <c r="G5520">
        <f>IFERROR(__xludf.DUMMYFUNCTION("""COMPUTED_VALUE"""),16.0)</f>
        <v>16</v>
      </c>
    </row>
    <row r="5521">
      <c r="D5521" t="str">
        <f>IFERROR(__xludf.DUMMYFUNCTION("""COMPUTED_VALUE"""),"Hall")</f>
        <v>Hall</v>
      </c>
      <c r="E5521" t="str">
        <f>IFERROR(__xludf.DUMMYFUNCTION("""COMPUTED_VALUE"""),"Deiondre")</f>
        <v>Deiondre</v>
      </c>
      <c r="F5521" t="str">
        <f>IFERROR(__xludf.DUMMYFUNCTION("""COMPUTED_VALUE"""),"CHI")</f>
        <v>CHI</v>
      </c>
      <c r="G5521">
        <f>IFERROR(__xludf.DUMMYFUNCTION("""COMPUTED_VALUE"""),17.25)</f>
        <v>17.25</v>
      </c>
    </row>
    <row r="5522">
      <c r="D5522" t="str">
        <f>IFERROR(__xludf.DUMMYFUNCTION("""COMPUTED_VALUE"""),"Hall")</f>
        <v>Hall</v>
      </c>
      <c r="E5522" t="str">
        <f>IFERROR(__xludf.DUMMYFUNCTION("""COMPUTED_VALUE"""),"Leon")</f>
        <v>Leon</v>
      </c>
      <c r="F5522" t="str">
        <f>IFERROR(__xludf.DUMMYFUNCTION("""COMPUTED_VALUE"""),"OAK")</f>
        <v>OAK</v>
      </c>
      <c r="G5522">
        <f>IFERROR(__xludf.DUMMYFUNCTION("""COMPUTED_VALUE"""),17.75)</f>
        <v>17.75</v>
      </c>
    </row>
    <row r="5523">
      <c r="D5523" t="str">
        <f>IFERROR(__xludf.DUMMYFUNCTION("""COMPUTED_VALUE"""),"Hall")</f>
        <v>Hall</v>
      </c>
      <c r="E5523" t="str">
        <f>IFERROR(__xludf.DUMMYFUNCTION("""COMPUTED_VALUE"""),"Marvin")</f>
        <v>Marvin</v>
      </c>
      <c r="F5523" t="str">
        <f>IFERROR(__xludf.DUMMYFUNCTION("""COMPUTED_VALUE"""),"ATL")</f>
        <v>ATL</v>
      </c>
      <c r="G5523">
        <f>IFERROR(__xludf.DUMMYFUNCTION("""COMPUTED_VALUE"""),17.75)</f>
        <v>17.75</v>
      </c>
    </row>
    <row r="5524">
      <c r="D5524" t="str">
        <f>IFERROR(__xludf.DUMMYFUNCTION("""COMPUTED_VALUE"""),"Hall")</f>
        <v>Hall</v>
      </c>
      <c r="E5524" t="str">
        <f>IFERROR(__xludf.DUMMYFUNCTION("""COMPUTED_VALUE"""),"PJ")</f>
        <v>PJ</v>
      </c>
      <c r="F5524" t="str">
        <f>IFERROR(__xludf.DUMMYFUNCTION("""COMPUTED_VALUE"""),"OAK")</f>
        <v>OAK</v>
      </c>
      <c r="G5524">
        <f>IFERROR(__xludf.DUMMYFUNCTION("""COMPUTED_VALUE"""),18.25)</f>
        <v>18.25</v>
      </c>
    </row>
    <row r="5525">
      <c r="D5525" t="str">
        <f>IFERROR(__xludf.DUMMYFUNCTION("""COMPUTED_VALUE"""),"Ham")</f>
        <v>Ham</v>
      </c>
      <c r="E5525" t="str">
        <f>IFERROR(__xludf.DUMMYFUNCTION("""COMPUTED_VALUE"""),"CJ")</f>
        <v>CJ</v>
      </c>
      <c r="F5525" t="str">
        <f>IFERROR(__xludf.DUMMYFUNCTION("""COMPUTED_VALUE"""),"MIN")</f>
        <v>MIN</v>
      </c>
      <c r="G5525">
        <f>IFERROR(__xludf.DUMMYFUNCTION("""COMPUTED_VALUE"""),17.75)</f>
        <v>17.75</v>
      </c>
    </row>
    <row r="5526">
      <c r="D5526" t="str">
        <f>IFERROR(__xludf.DUMMYFUNCTION("""COMPUTED_VALUE"""),"Hamilton")</f>
        <v>Hamilton</v>
      </c>
      <c r="E5526" t="str">
        <f>IFERROR(__xludf.DUMMYFUNCTION("""COMPUTED_VALUE"""),"Daesean")</f>
        <v>Daesean</v>
      </c>
      <c r="F5526" t="str">
        <f>IFERROR(__xludf.DUMMYFUNCTION("""COMPUTED_VALUE"""),"DEN")</f>
        <v>DEN</v>
      </c>
      <c r="G5526">
        <f>IFERROR(__xludf.DUMMYFUNCTION("""COMPUTED_VALUE"""),18.5)</f>
        <v>18.5</v>
      </c>
    </row>
    <row r="5527">
      <c r="D5527" t="str">
        <f>IFERROR(__xludf.DUMMYFUNCTION("""COMPUTED_VALUE"""),"Hamilton")</f>
        <v>Hamilton</v>
      </c>
      <c r="E5527" t="str">
        <f>IFERROR(__xludf.DUMMYFUNCTION("""COMPUTED_VALUE"""),"Justin")</f>
        <v>Justin</v>
      </c>
      <c r="F5527" t="str">
        <f>IFERROR(__xludf.DUMMYFUNCTION("""COMPUTED_VALUE"""),"KC")</f>
        <v>KC</v>
      </c>
      <c r="G5527">
        <f>IFERROR(__xludf.DUMMYFUNCTION("""COMPUTED_VALUE"""),16.75)</f>
        <v>16.75</v>
      </c>
    </row>
    <row r="5528">
      <c r="D5528" t="str">
        <f>IFERROR(__xludf.DUMMYFUNCTION("""COMPUTED_VALUE"""),"Hamilton")</f>
        <v>Hamilton</v>
      </c>
      <c r="E5528" t="str">
        <f>IFERROR(__xludf.DUMMYFUNCTION("""COMPUTED_VALUE"""),"Shaun Dion")</f>
        <v>Shaun Dion</v>
      </c>
      <c r="F5528" t="str">
        <f>IFERROR(__xludf.DUMMYFUNCTION("""COMPUTED_VALUE"""),"WAS")</f>
        <v>WAS</v>
      </c>
      <c r="G5528">
        <f>IFERROR(__xludf.DUMMYFUNCTION("""COMPUTED_VALUE"""),17.25)</f>
        <v>17.25</v>
      </c>
    </row>
    <row r="5529">
      <c r="D5529" t="str">
        <f>IFERROR(__xludf.DUMMYFUNCTION("""COMPUTED_VALUE"""),"Hand")</f>
        <v>Hand</v>
      </c>
      <c r="E5529" t="str">
        <f>IFERROR(__xludf.DUMMYFUNCTION("""COMPUTED_VALUE"""),"DaShawn")</f>
        <v>DaShawn</v>
      </c>
      <c r="F5529" t="str">
        <f>IFERROR(__xludf.DUMMYFUNCTION("""COMPUTED_VALUE"""),"DET")</f>
        <v>DET</v>
      </c>
      <c r="G5529">
        <f>IFERROR(__xludf.DUMMYFUNCTION("""COMPUTED_VALUE"""),17.25)</f>
        <v>17.25</v>
      </c>
    </row>
    <row r="5530">
      <c r="D5530" t="str">
        <f>IFERROR(__xludf.DUMMYFUNCTION("""COMPUTED_VALUE"""),"Hankins")</f>
        <v>Hankins</v>
      </c>
      <c r="E5530" t="str">
        <f>IFERROR(__xludf.DUMMYFUNCTION("""COMPUTED_VALUE"""),"Johnathan")</f>
        <v>Johnathan</v>
      </c>
      <c r="F5530" t="str">
        <f>IFERROR(__xludf.DUMMYFUNCTION("""COMPUTED_VALUE"""),"FA")</f>
        <v>FA</v>
      </c>
      <c r="G5530">
        <f>IFERROR(__xludf.DUMMYFUNCTION("""COMPUTED_VALUE"""),15.25)</f>
        <v>15.25</v>
      </c>
    </row>
    <row r="5531">
      <c r="D5531" t="str">
        <f>IFERROR(__xludf.DUMMYFUNCTION("""COMPUTED_VALUE"""),"Hansbrough")</f>
        <v>Hansbrough</v>
      </c>
      <c r="E5531" t="str">
        <f>IFERROR(__xludf.DUMMYFUNCTION("""COMPUTED_VALUE"""),"Russell")</f>
        <v>Russell</v>
      </c>
      <c r="F5531" t="str">
        <f>IFERROR(__xludf.DUMMYFUNCTION("""COMPUTED_VALUE"""),"LAC")</f>
        <v>LAC</v>
      </c>
      <c r="G5531">
        <f>IFERROR(__xludf.DUMMYFUNCTION("""COMPUTED_VALUE"""),15.75)</f>
        <v>15.75</v>
      </c>
    </row>
    <row r="5532">
      <c r="D5532" t="str">
        <f>IFERROR(__xludf.DUMMYFUNCTION("""COMPUTED_VALUE"""),"Hansen")</f>
        <v>Hansen</v>
      </c>
      <c r="E5532" t="str">
        <f>IFERROR(__xludf.DUMMYFUNCTION("""COMPUTED_VALUE"""),"Chad")</f>
        <v>Chad</v>
      </c>
      <c r="F5532" t="str">
        <f>IFERROR(__xludf.DUMMYFUNCTION("""COMPUTED_VALUE"""),"NYJ")</f>
        <v>NYJ</v>
      </c>
      <c r="G5532">
        <f>IFERROR(__xludf.DUMMYFUNCTION("""COMPUTED_VALUE"""),17.75)</f>
        <v>17.75</v>
      </c>
    </row>
    <row r="5533">
      <c r="D5533" t="str">
        <f>IFERROR(__xludf.DUMMYFUNCTION("""COMPUTED_VALUE"""),"Hardee")</f>
        <v>Hardee</v>
      </c>
      <c r="E5533" t="str">
        <f>IFERROR(__xludf.DUMMYFUNCTION("""COMPUTED_VALUE"""),"Justin")</f>
        <v>Justin</v>
      </c>
      <c r="F5533" t="str">
        <f>IFERROR(__xludf.DUMMYFUNCTION("""COMPUTED_VALUE"""),"NO")</f>
        <v>NO</v>
      </c>
      <c r="G5533">
        <f>IFERROR(__xludf.DUMMYFUNCTION("""COMPUTED_VALUE"""),17.25)</f>
        <v>17.25</v>
      </c>
    </row>
    <row r="5534">
      <c r="D5534" t="str">
        <f>IFERROR(__xludf.DUMMYFUNCTION("""COMPUTED_VALUE"""),"Hardison")</f>
        <v>Hardison</v>
      </c>
      <c r="E5534" t="str">
        <f>IFERROR(__xludf.DUMMYFUNCTION("""COMPUTED_VALUE"""),"Marcus")</f>
        <v>Marcus</v>
      </c>
      <c r="F5534" t="str">
        <f>IFERROR(__xludf.DUMMYFUNCTION("""COMPUTED_VALUE"""),"HOU")</f>
        <v>HOU</v>
      </c>
      <c r="G5534">
        <f>IFERROR(__xludf.DUMMYFUNCTION("""COMPUTED_VALUE"""),15.5)</f>
        <v>15.5</v>
      </c>
    </row>
    <row r="5535">
      <c r="D5535" t="str">
        <f>IFERROR(__xludf.DUMMYFUNCTION("""COMPUTED_VALUE"""),"Hargrave")</f>
        <v>Hargrave</v>
      </c>
      <c r="E5535" t="str">
        <f>IFERROR(__xludf.DUMMYFUNCTION("""COMPUTED_VALUE"""),"Javon")</f>
        <v>Javon</v>
      </c>
      <c r="F5535" t="str">
        <f>IFERROR(__xludf.DUMMYFUNCTION("""COMPUTED_VALUE"""),"PIT")</f>
        <v>PIT</v>
      </c>
      <c r="G5535">
        <f>IFERROR(__xludf.DUMMYFUNCTION("""COMPUTED_VALUE"""),19.5)</f>
        <v>19.5</v>
      </c>
    </row>
    <row r="5536">
      <c r="D5536" t="str">
        <f>IFERROR(__xludf.DUMMYFUNCTION("""COMPUTED_VALUE"""),"Hargreaves III")</f>
        <v>Hargreaves III</v>
      </c>
      <c r="E5536" t="str">
        <f>IFERROR(__xludf.DUMMYFUNCTION("""COMPUTED_VALUE"""),"Vernon")</f>
        <v>Vernon</v>
      </c>
      <c r="F5536" t="str">
        <f>IFERROR(__xludf.DUMMYFUNCTION("""COMPUTED_VALUE"""),"TB")</f>
        <v>TB</v>
      </c>
      <c r="G5536">
        <f>IFERROR(__xludf.DUMMYFUNCTION("""COMPUTED_VALUE"""),19.0)</f>
        <v>19</v>
      </c>
    </row>
    <row r="5537">
      <c r="D5537" t="str">
        <f>IFERROR(__xludf.DUMMYFUNCTION("""COMPUTED_VALUE"""),"Harlow")</f>
        <v>Harlow</v>
      </c>
      <c r="E5537" t="str">
        <f>IFERROR(__xludf.DUMMYFUNCTION("""COMPUTED_VALUE"""),"Sean")</f>
        <v>Sean</v>
      </c>
      <c r="F5537" t="str">
        <f>IFERROR(__xludf.DUMMYFUNCTION("""COMPUTED_VALUE"""),"ATL")</f>
        <v>ATL</v>
      </c>
      <c r="G5537">
        <f>IFERROR(__xludf.DUMMYFUNCTION("""COMPUTED_VALUE"""),18.0)</f>
        <v>18</v>
      </c>
    </row>
    <row r="5538">
      <c r="D5538" t="str">
        <f>IFERROR(__xludf.DUMMYFUNCTION("""COMPUTED_VALUE"""),"Harmon")</f>
        <v>Harmon</v>
      </c>
      <c r="E5538" t="str">
        <f>IFERROR(__xludf.DUMMYFUNCTION("""COMPUTED_VALUE"""),"Duron")</f>
        <v>Duron</v>
      </c>
      <c r="F5538" t="str">
        <f>IFERROR(__xludf.DUMMYFUNCTION("""COMPUTED_VALUE"""),"NE")</f>
        <v>NE</v>
      </c>
      <c r="G5538">
        <f>IFERROR(__xludf.DUMMYFUNCTION("""COMPUTED_VALUE"""),19.5)</f>
        <v>19.5</v>
      </c>
    </row>
    <row r="5539">
      <c r="D5539" t="str">
        <f>IFERROR(__xludf.DUMMYFUNCTION("""COMPUTED_VALUE"""),"Harold")</f>
        <v>Harold</v>
      </c>
      <c r="E5539" t="str">
        <f>IFERROR(__xludf.DUMMYFUNCTION("""COMPUTED_VALUE"""),"Eli")</f>
        <v>Eli</v>
      </c>
      <c r="F5539" t="str">
        <f>IFERROR(__xludf.DUMMYFUNCTION("""COMPUTED_VALUE"""),"SF")</f>
        <v>SF</v>
      </c>
      <c r="G5539">
        <f>IFERROR(__xludf.DUMMYFUNCTION("""COMPUTED_VALUE"""),17.75)</f>
        <v>17.75</v>
      </c>
    </row>
    <row r="5540">
      <c r="D5540" t="str">
        <f>IFERROR(__xludf.DUMMYFUNCTION("""COMPUTED_VALUE"""),"Harris")</f>
        <v>Harris</v>
      </c>
      <c r="E5540" t="str">
        <f>IFERROR(__xludf.DUMMYFUNCTION("""COMPUTED_VALUE"""),"Anthony")</f>
        <v>Anthony</v>
      </c>
      <c r="F5540" t="str">
        <f>IFERROR(__xludf.DUMMYFUNCTION("""COMPUTED_VALUE"""),"MIN")</f>
        <v>MIN</v>
      </c>
      <c r="G5540">
        <f>IFERROR(__xludf.DUMMYFUNCTION("""COMPUTED_VALUE"""),18.5)</f>
        <v>18.5</v>
      </c>
    </row>
    <row r="5541">
      <c r="D5541" t="str">
        <f>IFERROR(__xludf.DUMMYFUNCTION("""COMPUTED_VALUE"""),"Harris")</f>
        <v>Harris</v>
      </c>
      <c r="E5541" t="str">
        <f>IFERROR(__xludf.DUMMYFUNCTION("""COMPUTED_VALUE"""),"Charles")</f>
        <v>Charles</v>
      </c>
      <c r="F5541" t="str">
        <f>IFERROR(__xludf.DUMMYFUNCTION("""COMPUTED_VALUE"""),"MIA")</f>
        <v>MIA</v>
      </c>
      <c r="G5541">
        <f>IFERROR(__xludf.DUMMYFUNCTION("""COMPUTED_VALUE"""),18.25)</f>
        <v>18.25</v>
      </c>
    </row>
    <row r="5542">
      <c r="D5542" t="str">
        <f>IFERROR(__xludf.DUMMYFUNCTION("""COMPUTED_VALUE"""),"Harris")</f>
        <v>Harris</v>
      </c>
      <c r="E5542" t="str">
        <f>IFERROR(__xludf.DUMMYFUNCTION("""COMPUTED_VALUE"""),"Davontae")</f>
        <v>Davontae</v>
      </c>
      <c r="F5542" t="str">
        <f>IFERROR(__xludf.DUMMYFUNCTION("""COMPUTED_VALUE"""),"CIN")</f>
        <v>CIN</v>
      </c>
      <c r="G5542">
        <f>IFERROR(__xludf.DUMMYFUNCTION("""COMPUTED_VALUE"""),17.25)</f>
        <v>17.25</v>
      </c>
    </row>
    <row r="5543">
      <c r="D5543" t="str">
        <f>IFERROR(__xludf.DUMMYFUNCTION("""COMPUTED_VALUE"""),"Harris")</f>
        <v>Harris</v>
      </c>
      <c r="E5543" t="str">
        <f>IFERROR(__xludf.DUMMYFUNCTION("""COMPUTED_VALUE"""),"Demetrius")</f>
        <v>Demetrius</v>
      </c>
      <c r="F5543" t="str">
        <f>IFERROR(__xludf.DUMMYFUNCTION("""COMPUTED_VALUE"""),"KC")</f>
        <v>KC</v>
      </c>
      <c r="G5543">
        <f>IFERROR(__xludf.DUMMYFUNCTION("""COMPUTED_VALUE"""),18.0)</f>
        <v>18</v>
      </c>
    </row>
    <row r="5544">
      <c r="D5544" t="str">
        <f>IFERROR(__xludf.DUMMYFUNCTION("""COMPUTED_VALUE"""),"Harris")</f>
        <v>Harris</v>
      </c>
      <c r="E5544" t="str">
        <f>IFERROR(__xludf.DUMMYFUNCTION("""COMPUTED_VALUE"""),"Dwayne")</f>
        <v>Dwayne</v>
      </c>
      <c r="F5544" t="str">
        <f>IFERROR(__xludf.DUMMYFUNCTION("""COMPUTED_VALUE"""),"OAK")</f>
        <v>OAK</v>
      </c>
      <c r="G5544">
        <f>IFERROR(__xludf.DUMMYFUNCTION("""COMPUTED_VALUE"""),17.75)</f>
        <v>17.75</v>
      </c>
    </row>
    <row r="5545">
      <c r="D5545" t="str">
        <f>IFERROR(__xludf.DUMMYFUNCTION("""COMPUTED_VALUE"""),"Harris")</f>
        <v>Harris</v>
      </c>
      <c r="E5545" t="str">
        <f>IFERROR(__xludf.DUMMYFUNCTION("""COMPUTED_VALUE"""),"Erik")</f>
        <v>Erik</v>
      </c>
      <c r="F5545" t="str">
        <f>IFERROR(__xludf.DUMMYFUNCTION("""COMPUTED_VALUE"""),"OAK")</f>
        <v>OAK</v>
      </c>
      <c r="G5545">
        <f>IFERROR(__xludf.DUMMYFUNCTION("""COMPUTED_VALUE"""),16.0)</f>
        <v>16</v>
      </c>
    </row>
    <row r="5546">
      <c r="D5546" t="str">
        <f>IFERROR(__xludf.DUMMYFUNCTION("""COMPUTED_VALUE"""),"Harris")</f>
        <v>Harris</v>
      </c>
      <c r="E5546" t="str">
        <f>IFERROR(__xludf.DUMMYFUNCTION("""COMPUTED_VALUE"""),"Marcell")</f>
        <v>Marcell</v>
      </c>
      <c r="F5546" t="str">
        <f>IFERROR(__xludf.DUMMYFUNCTION("""COMPUTED_VALUE"""),"SF")</f>
        <v>SF</v>
      </c>
      <c r="G5546">
        <f>IFERROR(__xludf.DUMMYFUNCTION("""COMPUTED_VALUE"""),16.25)</f>
        <v>16.25</v>
      </c>
    </row>
    <row r="5547">
      <c r="D5547" t="str">
        <f>IFERROR(__xludf.DUMMYFUNCTION("""COMPUTED_VALUE"""),"Harris")</f>
        <v>Harris</v>
      </c>
      <c r="E5547" t="str">
        <f>IFERROR(__xludf.DUMMYFUNCTION("""COMPUTED_VALUE"""),"Maurice")</f>
        <v>Maurice</v>
      </c>
      <c r="F5547" t="str">
        <f>IFERROR(__xludf.DUMMYFUNCTION("""COMPUTED_VALUE"""),"WAS")</f>
        <v>WAS</v>
      </c>
      <c r="G5547">
        <f>IFERROR(__xludf.DUMMYFUNCTION("""COMPUTED_VALUE"""),16.5)</f>
        <v>16.5</v>
      </c>
    </row>
    <row r="5548">
      <c r="D5548" t="str">
        <f>IFERROR(__xludf.DUMMYFUNCTION("""COMPUTED_VALUE"""),"Harris")</f>
        <v>Harris</v>
      </c>
      <c r="E5548" t="str">
        <f>IFERROR(__xludf.DUMMYFUNCTION("""COMPUTED_VALUE"""),"Nigel")</f>
        <v>Nigel</v>
      </c>
      <c r="F5548" t="str">
        <f>IFERROR(__xludf.DUMMYFUNCTION("""COMPUTED_VALUE"""),"TB")</f>
        <v>TB</v>
      </c>
      <c r="G5548">
        <f>IFERROR(__xludf.DUMMYFUNCTION("""COMPUTED_VALUE"""),17.0)</f>
        <v>17</v>
      </c>
    </row>
    <row r="5549">
      <c r="D5549" t="str">
        <f>IFERROR(__xludf.DUMMYFUNCTION("""COMPUTED_VALUE"""),"Harris")</f>
        <v>Harris</v>
      </c>
      <c r="E5549" t="str">
        <f>IFERROR(__xludf.DUMMYFUNCTION("""COMPUTED_VALUE"""),"Shelby")</f>
        <v>Shelby</v>
      </c>
      <c r="F5549" t="str">
        <f>IFERROR(__xludf.DUMMYFUNCTION("""COMPUTED_VALUE"""),"DEN")</f>
        <v>DEN</v>
      </c>
      <c r="G5549">
        <f>IFERROR(__xludf.DUMMYFUNCTION("""COMPUTED_VALUE"""),18.75)</f>
        <v>18.75</v>
      </c>
    </row>
    <row r="5550">
      <c r="D5550" t="str">
        <f>IFERROR(__xludf.DUMMYFUNCTION("""COMPUTED_VALUE"""),"Harris Jr")</f>
        <v>Harris Jr</v>
      </c>
      <c r="E5550" t="str">
        <f>IFERROR(__xludf.DUMMYFUNCTION("""COMPUTED_VALUE"""),"Chris")</f>
        <v>Chris</v>
      </c>
      <c r="F5550" t="str">
        <f>IFERROR(__xludf.DUMMYFUNCTION("""COMPUTED_VALUE"""),"DEN")</f>
        <v>DEN</v>
      </c>
      <c r="G5550">
        <f>IFERROR(__xludf.DUMMYFUNCTION("""COMPUTED_VALUE"""),21.25)</f>
        <v>21.25</v>
      </c>
    </row>
    <row r="5551">
      <c r="D5551" t="str">
        <f>IFERROR(__xludf.DUMMYFUNCTION("""COMPUTED_VALUE"""),"Harrison")</f>
        <v>Harrison</v>
      </c>
      <c r="E5551" t="str">
        <f>IFERROR(__xludf.DUMMYFUNCTION("""COMPUTED_VALUE"""),"Jonotthan")</f>
        <v>Jonotthan</v>
      </c>
      <c r="F5551" t="str">
        <f>IFERROR(__xludf.DUMMYFUNCTION("""COMPUTED_VALUE"""),"NYJ")</f>
        <v>NYJ</v>
      </c>
      <c r="G5551">
        <f>IFERROR(__xludf.DUMMYFUNCTION("""COMPUTED_VALUE"""),17.75)</f>
        <v>17.75</v>
      </c>
    </row>
    <row r="5552">
      <c r="D5552" t="str">
        <f>IFERROR(__xludf.DUMMYFUNCTION("""COMPUTED_VALUE"""),"Harrison")</f>
        <v>Harrison</v>
      </c>
      <c r="E5552" t="str">
        <f>IFERROR(__xludf.DUMMYFUNCTION("""COMPUTED_VALUE"""),"Ronnie")</f>
        <v>Ronnie</v>
      </c>
      <c r="F5552" t="str">
        <f>IFERROR(__xludf.DUMMYFUNCTION("""COMPUTED_VALUE"""),"JAX")</f>
        <v>JAX</v>
      </c>
      <c r="G5552">
        <f>IFERROR(__xludf.DUMMYFUNCTION("""COMPUTED_VALUE"""),18.0)</f>
        <v>18</v>
      </c>
    </row>
    <row r="5553">
      <c r="D5553" t="str">
        <f>IFERROR(__xludf.DUMMYFUNCTION("""COMPUTED_VALUE"""),"Harrison Sr")</f>
        <v>Harrison Sr</v>
      </c>
      <c r="E5553" t="str">
        <f>IFERROR(__xludf.DUMMYFUNCTION("""COMPUTED_VALUE"""),"Damon")</f>
        <v>Damon</v>
      </c>
      <c r="F5553" t="str">
        <f>IFERROR(__xludf.DUMMYFUNCTION("""COMPUTED_VALUE"""),"NYG")</f>
        <v>NYG</v>
      </c>
      <c r="G5553">
        <f>IFERROR(__xludf.DUMMYFUNCTION("""COMPUTED_VALUE"""),21.25)</f>
        <v>21.25</v>
      </c>
    </row>
    <row r="5554">
      <c r="D5554" t="str">
        <f>IFERROR(__xludf.DUMMYFUNCTION("""COMPUTED_VALUE"""),"Hart")</f>
        <v>Hart</v>
      </c>
      <c r="E5554" t="str">
        <f>IFERROR(__xludf.DUMMYFUNCTION("""COMPUTED_VALUE"""),"Bobby")</f>
        <v>Bobby</v>
      </c>
      <c r="F5554" t="str">
        <f>IFERROR(__xludf.DUMMYFUNCTION("""COMPUTED_VALUE"""),"CIN")</f>
        <v>CIN</v>
      </c>
      <c r="G5554">
        <f>IFERROR(__xludf.DUMMYFUNCTION("""COMPUTED_VALUE"""),16.5)</f>
        <v>16.5</v>
      </c>
    </row>
    <row r="5555">
      <c r="D5555" t="str">
        <f>IFERROR(__xludf.DUMMYFUNCTION("""COMPUTED_VALUE"""),"Hart")</f>
        <v>Hart</v>
      </c>
      <c r="E5555" t="str">
        <f>IFERROR(__xludf.DUMMYFUNCTION("""COMPUTED_VALUE"""),"Taylor")</f>
        <v>Taylor</v>
      </c>
      <c r="F5555" t="str">
        <f>IFERROR(__xludf.DUMMYFUNCTION("""COMPUTED_VALUE"""),"PHI")</f>
        <v>PHI</v>
      </c>
      <c r="G5555">
        <f>IFERROR(__xludf.DUMMYFUNCTION("""COMPUTED_VALUE"""),17.0)</f>
        <v>17</v>
      </c>
    </row>
    <row r="5556">
      <c r="D5556" t="str">
        <f>IFERROR(__xludf.DUMMYFUNCTION("""COMPUTED_VALUE"""),"Harvey-Clemons")</f>
        <v>Harvey-Clemons</v>
      </c>
      <c r="E5556" t="str">
        <f>IFERROR(__xludf.DUMMYFUNCTION("""COMPUTED_VALUE"""),"Josh")</f>
        <v>Josh</v>
      </c>
      <c r="F5556" t="str">
        <f>IFERROR(__xludf.DUMMYFUNCTION("""COMPUTED_VALUE"""),"WAS")</f>
        <v>WAS</v>
      </c>
      <c r="G5556">
        <f>IFERROR(__xludf.DUMMYFUNCTION("""COMPUTED_VALUE"""),16.5)</f>
        <v>16.5</v>
      </c>
    </row>
    <row r="5557">
      <c r="D5557" t="str">
        <f>IFERROR(__xludf.DUMMYFUNCTION("""COMPUTED_VALUE"""),"Hatcher")</f>
        <v>Hatcher</v>
      </c>
      <c r="E5557" t="str">
        <f>IFERROR(__xludf.DUMMYFUNCTION("""COMPUTED_VALUE"""),"Keon")</f>
        <v>Keon</v>
      </c>
      <c r="F5557" t="str">
        <f>IFERROR(__xludf.DUMMYFUNCTION("""COMPUTED_VALUE"""),"OAK")</f>
        <v>OAK</v>
      </c>
      <c r="G5557">
        <f>IFERROR(__xludf.DUMMYFUNCTION("""COMPUTED_VALUE"""),15.75)</f>
        <v>15.75</v>
      </c>
    </row>
    <row r="5558">
      <c r="D5558" t="str">
        <f>IFERROR(__xludf.DUMMYFUNCTION("""COMPUTED_VALUE"""),"Hatfield")</f>
        <v>Hatfield</v>
      </c>
      <c r="E5558" t="str">
        <f>IFERROR(__xludf.DUMMYFUNCTION("""COMPUTED_VALUE"""),"Dominique")</f>
        <v>Dominique</v>
      </c>
      <c r="F5558" t="str">
        <f>IFERROR(__xludf.DUMMYFUNCTION("""COMPUTED_VALUE"""),"LAR")</f>
        <v>LAR</v>
      </c>
      <c r="G5558">
        <f>IFERROR(__xludf.DUMMYFUNCTION("""COMPUTED_VALUE"""),15.5)</f>
        <v>15.5</v>
      </c>
    </row>
    <row r="5559">
      <c r="D5559" t="str">
        <f>IFERROR(__xludf.DUMMYFUNCTION("""COMPUTED_VALUE"""),"Hatley")</f>
        <v>Hatley</v>
      </c>
      <c r="E5559" t="str">
        <f>IFERROR(__xludf.DUMMYFUNCTION("""COMPUTED_VALUE"""),"Rickey")</f>
        <v>Rickey</v>
      </c>
      <c r="F5559" t="str">
        <f>IFERROR(__xludf.DUMMYFUNCTION("""COMPUTED_VALUE"""),"BUF")</f>
        <v>BUF</v>
      </c>
      <c r="G5559">
        <f>IFERROR(__xludf.DUMMYFUNCTION("""COMPUTED_VALUE"""),16.5)</f>
        <v>16.5</v>
      </c>
    </row>
    <row r="5560">
      <c r="D5560" t="str">
        <f>IFERROR(__xludf.DUMMYFUNCTION("""COMPUTED_VALUE"""),"Hauschka")</f>
        <v>Hauschka</v>
      </c>
      <c r="E5560" t="str">
        <f>IFERROR(__xludf.DUMMYFUNCTION("""COMPUTED_VALUE"""),"Steven")</f>
        <v>Steven</v>
      </c>
      <c r="F5560" t="str">
        <f>IFERROR(__xludf.DUMMYFUNCTION("""COMPUTED_VALUE"""),"BUF")</f>
        <v>BUF</v>
      </c>
      <c r="G5560">
        <f>IFERROR(__xludf.DUMMYFUNCTION("""COMPUTED_VALUE"""),20.25)</f>
        <v>20.25</v>
      </c>
    </row>
    <row r="5561">
      <c r="D5561" t="str">
        <f>IFERROR(__xludf.DUMMYFUNCTION("""COMPUTED_VALUE"""),"Havenstein")</f>
        <v>Havenstein</v>
      </c>
      <c r="E5561" t="str">
        <f>IFERROR(__xludf.DUMMYFUNCTION("""COMPUTED_VALUE"""),"Rob")</f>
        <v>Rob</v>
      </c>
      <c r="F5561" t="str">
        <f>IFERROR(__xludf.DUMMYFUNCTION("""COMPUTED_VALUE"""),"LAR")</f>
        <v>LAR</v>
      </c>
      <c r="G5561">
        <f>IFERROR(__xludf.DUMMYFUNCTION("""COMPUTED_VALUE"""),20.0)</f>
        <v>20</v>
      </c>
    </row>
    <row r="5562">
      <c r="D5562" t="str">
        <f>IFERROR(__xludf.DUMMYFUNCTION("""COMPUTED_VALUE"""),"Hawkins")</f>
        <v>Hawkins</v>
      </c>
      <c r="E5562" t="str">
        <f>IFERROR(__xludf.DUMMYFUNCTION("""COMPUTED_VALUE"""),"Jerald")</f>
        <v>Jerald</v>
      </c>
      <c r="F5562" t="str">
        <f>IFERROR(__xludf.DUMMYFUNCTION("""COMPUTED_VALUE"""),"PIT")</f>
        <v>PIT</v>
      </c>
      <c r="G5562">
        <f>IFERROR(__xludf.DUMMYFUNCTION("""COMPUTED_VALUE"""),17.5)</f>
        <v>17.5</v>
      </c>
    </row>
    <row r="5563">
      <c r="D5563" t="str">
        <f>IFERROR(__xludf.DUMMYFUNCTION("""COMPUTED_VALUE"""),"Hawkins")</f>
        <v>Hawkins</v>
      </c>
      <c r="E5563" t="str">
        <f>IFERROR(__xludf.DUMMYFUNCTION("""COMPUTED_VALUE"""),"Josh")</f>
        <v>Josh</v>
      </c>
      <c r="F5563" t="str">
        <f>IFERROR(__xludf.DUMMYFUNCTION("""COMPUTED_VALUE"""),"GB")</f>
        <v>GB</v>
      </c>
      <c r="G5563">
        <f>IFERROR(__xludf.DUMMYFUNCTION("""COMPUTED_VALUE"""),17.5)</f>
        <v>17.5</v>
      </c>
    </row>
    <row r="5564">
      <c r="D5564" t="str">
        <f>IFERROR(__xludf.DUMMYFUNCTION("""COMPUTED_VALUE"""),"Hayden")</f>
        <v>Hayden</v>
      </c>
      <c r="E5564" t="str">
        <f>IFERROR(__xludf.DUMMYFUNCTION("""COMPUTED_VALUE"""),"DJ")</f>
        <v>DJ</v>
      </c>
      <c r="F5564" t="str">
        <f>IFERROR(__xludf.DUMMYFUNCTION("""COMPUTED_VALUE"""),"JAX")</f>
        <v>JAX</v>
      </c>
      <c r="G5564">
        <f>IFERROR(__xludf.DUMMYFUNCTION("""COMPUTED_VALUE"""),18.5)</f>
        <v>18.5</v>
      </c>
    </row>
    <row r="5565">
      <c r="D5565" t="str">
        <f>IFERROR(__xludf.DUMMYFUNCTION("""COMPUTED_VALUE"""),"Hayes")</f>
        <v>Hayes</v>
      </c>
      <c r="E5565" t="str">
        <f>IFERROR(__xludf.DUMMYFUNCTION("""COMPUTED_VALUE"""),"William")</f>
        <v>William</v>
      </c>
      <c r="F5565" t="str">
        <f>IFERROR(__xludf.DUMMYFUNCTION("""COMPUTED_VALUE"""),"MIA")</f>
        <v>MIA</v>
      </c>
      <c r="G5565">
        <f>IFERROR(__xludf.DUMMYFUNCTION("""COMPUTED_VALUE"""),19.75)</f>
        <v>19.75</v>
      </c>
    </row>
    <row r="5566">
      <c r="D5566" t="str">
        <f>IFERROR(__xludf.DUMMYFUNCTION("""COMPUTED_VALUE"""),"Haynes")</f>
        <v>Haynes</v>
      </c>
      <c r="E5566" t="str">
        <f>IFERROR(__xludf.DUMMYFUNCTION("""COMPUTED_VALUE"""),"Marquis")</f>
        <v>Marquis</v>
      </c>
      <c r="F5566" t="str">
        <f>IFERROR(__xludf.DUMMYFUNCTION("""COMPUTED_VALUE"""),"CAR")</f>
        <v>CAR</v>
      </c>
      <c r="G5566">
        <f>IFERROR(__xludf.DUMMYFUNCTION("""COMPUTED_VALUE"""),16.75)</f>
        <v>16.75</v>
      </c>
    </row>
    <row r="5567">
      <c r="D5567" t="str">
        <f>IFERROR(__xludf.DUMMYFUNCTION("""COMPUTED_VALUE"""),"Hayward")</f>
        <v>Hayward</v>
      </c>
      <c r="E5567" t="str">
        <f>IFERROR(__xludf.DUMMYFUNCTION("""COMPUTED_VALUE"""),"Casey")</f>
        <v>Casey</v>
      </c>
      <c r="F5567" t="str">
        <f>IFERROR(__xludf.DUMMYFUNCTION("""COMPUTED_VALUE"""),"LAC")</f>
        <v>LAC</v>
      </c>
      <c r="G5567">
        <f>IFERROR(__xludf.DUMMYFUNCTION("""COMPUTED_VALUE"""),21.5)</f>
        <v>21.5</v>
      </c>
    </row>
    <row r="5568">
      <c r="D5568" t="str">
        <f>IFERROR(__xludf.DUMMYFUNCTION("""COMPUTED_VALUE"""),"Heath")</f>
        <v>Heath</v>
      </c>
      <c r="E5568" t="str">
        <f>IFERROR(__xludf.DUMMYFUNCTION("""COMPUTED_VALUE"""),"Jeff")</f>
        <v>Jeff</v>
      </c>
      <c r="F5568" t="str">
        <f>IFERROR(__xludf.DUMMYFUNCTION("""COMPUTED_VALUE"""),"DAL")</f>
        <v>DAL</v>
      </c>
      <c r="G5568">
        <f>IFERROR(__xludf.DUMMYFUNCTION("""COMPUTED_VALUE"""),18.5)</f>
        <v>18.5</v>
      </c>
    </row>
    <row r="5569">
      <c r="D5569" t="str">
        <f>IFERROR(__xludf.DUMMYFUNCTION("""COMPUTED_VALUE"""),"Heath")</f>
        <v>Heath</v>
      </c>
      <c r="E5569" t="str">
        <f>IFERROR(__xludf.DUMMYFUNCTION("""COMPUTED_VALUE"""),"Joel")</f>
        <v>Joel</v>
      </c>
      <c r="F5569" t="str">
        <f>IFERROR(__xludf.DUMMYFUNCTION("""COMPUTED_VALUE"""),"HOU")</f>
        <v>HOU</v>
      </c>
      <c r="G5569">
        <f>IFERROR(__xludf.DUMMYFUNCTION("""COMPUTED_VALUE"""),17.0)</f>
        <v>17</v>
      </c>
    </row>
    <row r="5570">
      <c r="D5570" t="str">
        <f>IFERROR(__xludf.DUMMYFUNCTION("""COMPUTED_VALUE"""),"Heeney")</f>
        <v>Heeney</v>
      </c>
      <c r="E5570" t="str">
        <f>IFERROR(__xludf.DUMMYFUNCTION("""COMPUTED_VALUE"""),"Ben")</f>
        <v>Ben</v>
      </c>
      <c r="F5570" t="str">
        <f>IFERROR(__xludf.DUMMYFUNCTION("""COMPUTED_VALUE"""),"HOU")</f>
        <v>HOU</v>
      </c>
      <c r="G5570">
        <f>IFERROR(__xludf.DUMMYFUNCTION("""COMPUTED_VALUE"""),18.25)</f>
        <v>18.25</v>
      </c>
    </row>
    <row r="5571">
      <c r="D5571" t="str">
        <f>IFERROR(__xludf.DUMMYFUNCTION("""COMPUTED_VALUE"""),"Heinicke")</f>
        <v>Heinicke</v>
      </c>
      <c r="E5571" t="str">
        <f>IFERROR(__xludf.DUMMYFUNCTION("""COMPUTED_VALUE"""),"Taylor")</f>
        <v>Taylor</v>
      </c>
      <c r="F5571" t="str">
        <f>IFERROR(__xludf.DUMMYFUNCTION("""COMPUTED_VALUE"""),"CAR")</f>
        <v>CAR</v>
      </c>
      <c r="G5571">
        <f>IFERROR(__xludf.DUMMYFUNCTION("""COMPUTED_VALUE"""),15.5)</f>
        <v>15.5</v>
      </c>
    </row>
    <row r="5572">
      <c r="D5572" t="str">
        <f>IFERROR(__xludf.DUMMYFUNCTION("""COMPUTED_VALUE"""),"Hekker")</f>
        <v>Hekker</v>
      </c>
      <c r="E5572" t="str">
        <f>IFERROR(__xludf.DUMMYFUNCTION("""COMPUTED_VALUE"""),"Johnny")</f>
        <v>Johnny</v>
      </c>
      <c r="F5572" t="str">
        <f>IFERROR(__xludf.DUMMYFUNCTION("""COMPUTED_VALUE"""),"LAR")</f>
        <v>LAR</v>
      </c>
      <c r="G5572">
        <f>IFERROR(__xludf.DUMMYFUNCTION("""COMPUTED_VALUE"""),22.25)</f>
        <v>22.25</v>
      </c>
    </row>
    <row r="5573">
      <c r="D5573" t="str">
        <f>IFERROR(__xludf.DUMMYFUNCTION("""COMPUTED_VALUE"""),"Hemingway")</f>
        <v>Hemingway</v>
      </c>
      <c r="E5573" t="str">
        <f>IFERROR(__xludf.DUMMYFUNCTION("""COMPUTED_VALUE"""),"Temarrick")</f>
        <v>Temarrick</v>
      </c>
      <c r="F5573" t="str">
        <f>IFERROR(__xludf.DUMMYFUNCTION("""COMPUTED_VALUE"""),"LAR")</f>
        <v>LAR</v>
      </c>
      <c r="G5573">
        <f>IFERROR(__xludf.DUMMYFUNCTION("""COMPUTED_VALUE"""),15.5)</f>
        <v>15.5</v>
      </c>
    </row>
    <row r="5574">
      <c r="D5574" t="str">
        <f>IFERROR(__xludf.DUMMYFUNCTION("""COMPUTED_VALUE"""),"Henderson")</f>
        <v>Henderson</v>
      </c>
      <c r="E5574" t="str">
        <f>IFERROR(__xludf.DUMMYFUNCTION("""COMPUTED_VALUE"""),"Carlos")</f>
        <v>Carlos</v>
      </c>
      <c r="F5574" t="str">
        <f>IFERROR(__xludf.DUMMYFUNCTION("""COMPUTED_VALUE"""),"DEN")</f>
        <v>DEN</v>
      </c>
      <c r="G5574">
        <f>IFERROR(__xludf.DUMMYFUNCTION("""COMPUTED_VALUE"""),18.25)</f>
        <v>18.25</v>
      </c>
    </row>
    <row r="5575">
      <c r="D5575" t="str">
        <f>IFERROR(__xludf.DUMMYFUNCTION("""COMPUTED_VALUE"""),"Henderson")</f>
        <v>Henderson</v>
      </c>
      <c r="E5575" t="str">
        <f>IFERROR(__xludf.DUMMYFUNCTION("""COMPUTED_VALUE"""),"DeAngelo")</f>
        <v>DeAngelo</v>
      </c>
      <c r="F5575" t="str">
        <f>IFERROR(__xludf.DUMMYFUNCTION("""COMPUTED_VALUE"""),"DEN")</f>
        <v>DEN</v>
      </c>
      <c r="G5575">
        <f>IFERROR(__xludf.DUMMYFUNCTION("""COMPUTED_VALUE"""),17.25)</f>
        <v>17.25</v>
      </c>
    </row>
    <row r="5576">
      <c r="D5576" t="str">
        <f>IFERROR(__xludf.DUMMYFUNCTION("""COMPUTED_VALUE"""),"Henderson")</f>
        <v>Henderson</v>
      </c>
      <c r="E5576" t="str">
        <f>IFERROR(__xludf.DUMMYFUNCTION("""COMPUTED_VALUE"""),"Seantrel")</f>
        <v>Seantrel</v>
      </c>
      <c r="F5576" t="str">
        <f>IFERROR(__xludf.DUMMYFUNCTION("""COMPUTED_VALUE"""),"HOU")</f>
        <v>HOU</v>
      </c>
      <c r="G5576">
        <f>IFERROR(__xludf.DUMMYFUNCTION("""COMPUTED_VALUE"""),18.75)</f>
        <v>18.75</v>
      </c>
    </row>
    <row r="5577">
      <c r="D5577" t="str">
        <f>IFERROR(__xludf.DUMMYFUNCTION("""COMPUTED_VALUE"""),"Hendricks")</f>
        <v>Hendricks</v>
      </c>
      <c r="E5577" t="str">
        <f>IFERROR(__xludf.DUMMYFUNCTION("""COMPUTED_VALUE"""),"Ted")</f>
        <v>Ted</v>
      </c>
      <c r="F5577" t="str">
        <f>IFERROR(__xludf.DUMMYFUNCTION("""COMPUTED_VALUE"""),"GB")</f>
        <v>GB</v>
      </c>
      <c r="G5577">
        <f>IFERROR(__xludf.DUMMYFUNCTION("""COMPUTED_VALUE"""),21.0)</f>
        <v>21</v>
      </c>
    </row>
    <row r="5578">
      <c r="D5578" t="str">
        <f>IFERROR(__xludf.DUMMYFUNCTION("""COMPUTED_VALUE"""),"Hendricks")</f>
        <v>Hendricks</v>
      </c>
      <c r="E5578" t="str">
        <f>IFERROR(__xludf.DUMMYFUNCTION("""COMPUTED_VALUE"""),"Ted")</f>
        <v>Ted</v>
      </c>
      <c r="F5578" t="str">
        <f>IFERROR(__xludf.DUMMYFUNCTION("""COMPUTED_VALUE"""),"OAK")</f>
        <v>OAK</v>
      </c>
      <c r="G5578">
        <f>IFERROR(__xludf.DUMMYFUNCTION("""COMPUTED_VALUE"""),20.75)</f>
        <v>20.75</v>
      </c>
    </row>
    <row r="5579">
      <c r="D5579" t="str">
        <f>IFERROR(__xludf.DUMMYFUNCTION("""COMPUTED_VALUE"""),"Hendricks")</f>
        <v>Hendricks</v>
      </c>
      <c r="E5579" t="str">
        <f>IFERROR(__xludf.DUMMYFUNCTION("""COMPUTED_VALUE"""),"Ted")</f>
        <v>Ted</v>
      </c>
      <c r="F5579" t="str">
        <f>IFERROR(__xludf.DUMMYFUNCTION("""COMPUTED_VALUE"""),"IND")</f>
        <v>IND</v>
      </c>
      <c r="G5579">
        <f>IFERROR(__xludf.DUMMYFUNCTION("""COMPUTED_VALUE"""),20.5)</f>
        <v>20.5</v>
      </c>
    </row>
    <row r="5580">
      <c r="D5580" t="str">
        <f>IFERROR(__xludf.DUMMYFUNCTION("""COMPUTED_VALUE"""),"Hendricks")</f>
        <v>Hendricks</v>
      </c>
      <c r="E5580" t="str">
        <f>IFERROR(__xludf.DUMMYFUNCTION("""COMPUTED_VALUE"""),"Ted")</f>
        <v>Ted</v>
      </c>
      <c r="F5580" t="str">
        <f>IFERROR(__xludf.DUMMYFUNCTION("""COMPUTED_VALUE"""),"OAK")</f>
        <v>OAK</v>
      </c>
      <c r="G5580">
        <f>IFERROR(__xludf.DUMMYFUNCTION("""COMPUTED_VALUE"""),21.5)</f>
        <v>21.5</v>
      </c>
    </row>
    <row r="5581">
      <c r="D5581" t="str">
        <f>IFERROR(__xludf.DUMMYFUNCTION("""COMPUTED_VALUE"""),"Hendricks")</f>
        <v>Hendricks</v>
      </c>
      <c r="E5581" t="str">
        <f>IFERROR(__xludf.DUMMYFUNCTION("""COMPUTED_VALUE"""),"Ted")</f>
        <v>Ted</v>
      </c>
      <c r="F5581" t="str">
        <f>IFERROR(__xludf.DUMMYFUNCTION("""COMPUTED_VALUE"""),"OAK")</f>
        <v>OAK</v>
      </c>
      <c r="G5581">
        <f>IFERROR(__xludf.DUMMYFUNCTION("""COMPUTED_VALUE"""),22.0)</f>
        <v>22</v>
      </c>
    </row>
    <row r="5582">
      <c r="D5582" t="str">
        <f>IFERROR(__xludf.DUMMYFUNCTION("""COMPUTED_VALUE"""),"Hendricks")</f>
        <v>Hendricks</v>
      </c>
      <c r="E5582" t="str">
        <f>IFERROR(__xludf.DUMMYFUNCTION("""COMPUTED_VALUE"""),"Ted")</f>
        <v>Ted</v>
      </c>
      <c r="F5582" t="str">
        <f>IFERROR(__xludf.DUMMYFUNCTION("""COMPUTED_VALUE"""),"OAK")</f>
        <v>OAK</v>
      </c>
      <c r="G5582">
        <f>IFERROR(__xludf.DUMMYFUNCTION("""COMPUTED_VALUE"""),22.5)</f>
        <v>22.5</v>
      </c>
    </row>
    <row r="5583">
      <c r="D5583" t="str">
        <f>IFERROR(__xludf.DUMMYFUNCTION("""COMPUTED_VALUE"""),"Hendrickson")</f>
        <v>Hendrickson</v>
      </c>
      <c r="E5583" t="str">
        <f>IFERROR(__xludf.DUMMYFUNCTION("""COMPUTED_VALUE"""),"Trey")</f>
        <v>Trey</v>
      </c>
      <c r="F5583" t="str">
        <f>IFERROR(__xludf.DUMMYFUNCTION("""COMPUTED_VALUE"""),"NO")</f>
        <v>NO</v>
      </c>
      <c r="G5583">
        <f>IFERROR(__xludf.DUMMYFUNCTION("""COMPUTED_VALUE"""),18.25)</f>
        <v>18.25</v>
      </c>
    </row>
    <row r="5584">
      <c r="D5584" t="str">
        <f>IFERROR(__xludf.DUMMYFUNCTION("""COMPUTED_VALUE"""),"Hendy")</f>
        <v>Hendy</v>
      </c>
      <c r="E5584" t="str">
        <f>IFERROR(__xludf.DUMMYFUNCTION("""COMPUTED_VALUE"""),"AJ")</f>
        <v>AJ</v>
      </c>
      <c r="F5584" t="str">
        <f>IFERROR(__xludf.DUMMYFUNCTION("""COMPUTED_VALUE"""),"LAC")</f>
        <v>LAC</v>
      </c>
      <c r="G5584">
        <f>IFERROR(__xludf.DUMMYFUNCTION("""COMPUTED_VALUE"""),15.75)</f>
        <v>15.75</v>
      </c>
    </row>
    <row r="5585">
      <c r="D5585" t="str">
        <f>IFERROR(__xludf.DUMMYFUNCTION("""COMPUTED_VALUE"""),"Henne")</f>
        <v>Henne</v>
      </c>
      <c r="E5585" t="str">
        <f>IFERROR(__xludf.DUMMYFUNCTION("""COMPUTED_VALUE"""),"Chad")</f>
        <v>Chad</v>
      </c>
      <c r="F5585" t="str">
        <f>IFERROR(__xludf.DUMMYFUNCTION("""COMPUTED_VALUE"""),"KC")</f>
        <v>KC</v>
      </c>
      <c r="G5585">
        <f>IFERROR(__xludf.DUMMYFUNCTION("""COMPUTED_VALUE"""),17.25)</f>
        <v>17.25</v>
      </c>
    </row>
    <row r="5586">
      <c r="D5586" t="str">
        <f>IFERROR(__xludf.DUMMYFUNCTION("""COMPUTED_VALUE"""),"Henry")</f>
        <v>Henry</v>
      </c>
      <c r="E5586" t="str">
        <f>IFERROR(__xludf.DUMMYFUNCTION("""COMPUTED_VALUE"""),"Derrick")</f>
        <v>Derrick</v>
      </c>
      <c r="F5586" t="str">
        <f>IFERROR(__xludf.DUMMYFUNCTION("""COMPUTED_VALUE"""),"TEN")</f>
        <v>TEN</v>
      </c>
      <c r="G5586">
        <f>IFERROR(__xludf.DUMMYFUNCTION("""COMPUTED_VALUE"""),20.75)</f>
        <v>20.75</v>
      </c>
    </row>
    <row r="5587">
      <c r="D5587" t="str">
        <f>IFERROR(__xludf.DUMMYFUNCTION("""COMPUTED_VALUE"""),"Henry")</f>
        <v>Henry</v>
      </c>
      <c r="E5587" t="str">
        <f>IFERROR(__xludf.DUMMYFUNCTION("""COMPUTED_VALUE"""),"Hunter")</f>
        <v>Hunter</v>
      </c>
      <c r="F5587" t="str">
        <f>IFERROR(__xludf.DUMMYFUNCTION("""COMPUTED_VALUE"""),"LAC")</f>
        <v>LAC</v>
      </c>
      <c r="G5587">
        <f>IFERROR(__xludf.DUMMYFUNCTION("""COMPUTED_VALUE"""),21.0)</f>
        <v>21</v>
      </c>
    </row>
    <row r="5588">
      <c r="D5588" t="str">
        <f>IFERROR(__xludf.DUMMYFUNCTION("""COMPUTED_VALUE"""),"Henry")</f>
        <v>Henry</v>
      </c>
      <c r="E5588" t="str">
        <f>IFERROR(__xludf.DUMMYFUNCTION("""COMPUTED_VALUE"""),"Willie")</f>
        <v>Willie</v>
      </c>
      <c r="F5588" t="str">
        <f>IFERROR(__xludf.DUMMYFUNCTION("""COMPUTED_VALUE"""),"BAL")</f>
        <v>BAL</v>
      </c>
      <c r="G5588">
        <f>IFERROR(__xludf.DUMMYFUNCTION("""COMPUTED_VALUE"""),19.0)</f>
        <v>19</v>
      </c>
    </row>
    <row r="5589">
      <c r="D5589" t="str">
        <f>IFERROR(__xludf.DUMMYFUNCTION("""COMPUTED_VALUE"""),"Hernandez")</f>
        <v>Hernandez</v>
      </c>
      <c r="E5589" t="str">
        <f>IFERROR(__xludf.DUMMYFUNCTION("""COMPUTED_VALUE"""),"Will")</f>
        <v>Will</v>
      </c>
      <c r="F5589" t="str">
        <f>IFERROR(__xludf.DUMMYFUNCTION("""COMPUTED_VALUE"""),"NYG")</f>
        <v>NYG</v>
      </c>
      <c r="G5589">
        <f>IFERROR(__xludf.DUMMYFUNCTION("""COMPUTED_VALUE"""),19.25)</f>
        <v>19.25</v>
      </c>
    </row>
    <row r="5590">
      <c r="D5590" t="str">
        <f>IFERROR(__xludf.DUMMYFUNCTION("""COMPUTED_VALUE"""),"Herndon IV")</f>
        <v>Herndon IV</v>
      </c>
      <c r="E5590" t="str">
        <f>IFERROR(__xludf.DUMMYFUNCTION("""COMPUTED_VALUE"""),"Christopher")</f>
        <v>Christopher</v>
      </c>
      <c r="F5590" t="str">
        <f>IFERROR(__xludf.DUMMYFUNCTION("""COMPUTED_VALUE"""),"NYJ")</f>
        <v>NYJ</v>
      </c>
      <c r="G5590">
        <f>IFERROR(__xludf.DUMMYFUNCTION("""COMPUTED_VALUE"""),17.25)</f>
        <v>17.25</v>
      </c>
    </row>
    <row r="5591">
      <c r="D5591" t="str">
        <f>IFERROR(__xludf.DUMMYFUNCTION("""COMPUTED_VALUE"""),"Herzlich")</f>
        <v>Herzlich</v>
      </c>
      <c r="E5591" t="str">
        <f>IFERROR(__xludf.DUMMYFUNCTION("""COMPUTED_VALUE"""),"Mark")</f>
        <v>Mark</v>
      </c>
      <c r="F5591" t="str">
        <f>IFERROR(__xludf.DUMMYFUNCTION("""COMPUTED_VALUE"""),"NYG")</f>
        <v>NYG</v>
      </c>
      <c r="G5591">
        <f>IFERROR(__xludf.DUMMYFUNCTION("""COMPUTED_VALUE"""),18.25)</f>
        <v>18.25</v>
      </c>
    </row>
    <row r="5592">
      <c r="D5592" t="str">
        <f>IFERROR(__xludf.DUMMYFUNCTION("""COMPUTED_VALUE"""),"Hester")</f>
        <v>Hester</v>
      </c>
      <c r="E5592" t="str">
        <f>IFERROR(__xludf.DUMMYFUNCTION("""COMPUTED_VALUE"""),"Treyvon")</f>
        <v>Treyvon</v>
      </c>
      <c r="F5592" t="str">
        <f>IFERROR(__xludf.DUMMYFUNCTION("""COMPUTED_VALUE"""),"OAK")</f>
        <v>OAK</v>
      </c>
      <c r="G5592">
        <f>IFERROR(__xludf.DUMMYFUNCTION("""COMPUTED_VALUE"""),18.0)</f>
        <v>18</v>
      </c>
    </row>
    <row r="5593">
      <c r="D5593" t="str">
        <f>IFERROR(__xludf.DUMMYFUNCTION("""COMPUTED_VALUE"""),"Heuerman")</f>
        <v>Heuerman</v>
      </c>
      <c r="E5593" t="str">
        <f>IFERROR(__xludf.DUMMYFUNCTION("""COMPUTED_VALUE"""),"Jeff")</f>
        <v>Jeff</v>
      </c>
      <c r="F5593" t="str">
        <f>IFERROR(__xludf.DUMMYFUNCTION("""COMPUTED_VALUE"""),"DEN")</f>
        <v>DEN</v>
      </c>
      <c r="G5593">
        <f>IFERROR(__xludf.DUMMYFUNCTION("""COMPUTED_VALUE"""),18.5)</f>
        <v>18.5</v>
      </c>
    </row>
    <row r="5594">
      <c r="D5594" t="str">
        <f>IFERROR(__xludf.DUMMYFUNCTION("""COMPUTED_VALUE"""),"Hewitt")</f>
        <v>Hewitt</v>
      </c>
      <c r="E5594" t="str">
        <f>IFERROR(__xludf.DUMMYFUNCTION("""COMPUTED_VALUE"""),"Neville")</f>
        <v>Neville</v>
      </c>
      <c r="F5594" t="str">
        <f>IFERROR(__xludf.DUMMYFUNCTION("""COMPUTED_VALUE"""),"NYJ")</f>
        <v>NYJ</v>
      </c>
      <c r="G5594">
        <f>IFERROR(__xludf.DUMMYFUNCTION("""COMPUTED_VALUE"""),18.25)</f>
        <v>18.25</v>
      </c>
    </row>
    <row r="5595">
      <c r="D5595" t="str">
        <f>IFERROR(__xludf.DUMMYFUNCTION("""COMPUTED_VALUE"""),"Hewitt")</f>
        <v>Hewitt</v>
      </c>
      <c r="E5595" t="str">
        <f>IFERROR(__xludf.DUMMYFUNCTION("""COMPUTED_VALUE"""),"Ryan")</f>
        <v>Ryan</v>
      </c>
      <c r="F5595" t="str">
        <f>IFERROR(__xludf.DUMMYFUNCTION("""COMPUTED_VALUE"""),"CIN")</f>
        <v>CIN</v>
      </c>
      <c r="G5595">
        <f>IFERROR(__xludf.DUMMYFUNCTION("""COMPUTED_VALUE"""),16.5)</f>
        <v>16.5</v>
      </c>
    </row>
    <row r="5596">
      <c r="D5596" t="str">
        <f>IFERROR(__xludf.DUMMYFUNCTION("""COMPUTED_VALUE"""),"Heyward")</f>
        <v>Heyward</v>
      </c>
      <c r="E5596" t="str">
        <f>IFERROR(__xludf.DUMMYFUNCTION("""COMPUTED_VALUE"""),"Cameron")</f>
        <v>Cameron</v>
      </c>
      <c r="F5596" t="str">
        <f>IFERROR(__xludf.DUMMYFUNCTION("""COMPUTED_VALUE"""),"PIT")</f>
        <v>PIT</v>
      </c>
      <c r="G5596">
        <f>IFERROR(__xludf.DUMMYFUNCTION("""COMPUTED_VALUE"""),20.5)</f>
        <v>20.5</v>
      </c>
    </row>
    <row r="5597">
      <c r="D5597" t="str">
        <f>IFERROR(__xludf.DUMMYFUNCTION("""COMPUTED_VALUE"""),"Heyward-Bey")</f>
        <v>Heyward-Bey</v>
      </c>
      <c r="E5597" t="str">
        <f>IFERROR(__xludf.DUMMYFUNCTION("""COMPUTED_VALUE"""),"Darrius")</f>
        <v>Darrius</v>
      </c>
      <c r="F5597" t="str">
        <f>IFERROR(__xludf.DUMMYFUNCTION("""COMPUTED_VALUE"""),"PIT")</f>
        <v>PIT</v>
      </c>
      <c r="G5597">
        <f>IFERROR(__xludf.DUMMYFUNCTION("""COMPUTED_VALUE"""),17.75)</f>
        <v>17.75</v>
      </c>
    </row>
    <row r="5598">
      <c r="D5598" t="str">
        <f>IFERROR(__xludf.DUMMYFUNCTION("""COMPUTED_VALUE"""),"Hicks")</f>
        <v>Hicks</v>
      </c>
      <c r="E5598" t="str">
        <f>IFERROR(__xludf.DUMMYFUNCTION("""COMPUTED_VALUE"""),"Akiem")</f>
        <v>Akiem</v>
      </c>
      <c r="F5598" t="str">
        <f>IFERROR(__xludf.DUMMYFUNCTION("""COMPUTED_VALUE"""),"CHI")</f>
        <v>CHI</v>
      </c>
      <c r="G5598">
        <f>IFERROR(__xludf.DUMMYFUNCTION("""COMPUTED_VALUE"""),20.0)</f>
        <v>20</v>
      </c>
    </row>
    <row r="5599">
      <c r="D5599" t="str">
        <f>IFERROR(__xludf.DUMMYFUNCTION("""COMPUTED_VALUE"""),"Hicks")</f>
        <v>Hicks</v>
      </c>
      <c r="E5599" t="str">
        <f>IFERROR(__xludf.DUMMYFUNCTION("""COMPUTED_VALUE"""),"Akiem")</f>
        <v>Akiem</v>
      </c>
      <c r="F5599" t="str">
        <f>IFERROR(__xludf.DUMMYFUNCTION("""COMPUTED_VALUE"""),"CHI")</f>
        <v>CHI</v>
      </c>
      <c r="G5599">
        <f>IFERROR(__xludf.DUMMYFUNCTION("""COMPUTED_VALUE"""),21.75)</f>
        <v>21.75</v>
      </c>
    </row>
    <row r="5600">
      <c r="D5600" t="str">
        <f>IFERROR(__xludf.DUMMYFUNCTION("""COMPUTED_VALUE"""),"Hicks")</f>
        <v>Hicks</v>
      </c>
      <c r="E5600" t="str">
        <f>IFERROR(__xludf.DUMMYFUNCTION("""COMPUTED_VALUE"""),"Jordan")</f>
        <v>Jordan</v>
      </c>
      <c r="F5600" t="str">
        <f>IFERROR(__xludf.DUMMYFUNCTION("""COMPUTED_VALUE"""),"PHI")</f>
        <v>PHI</v>
      </c>
      <c r="G5600">
        <f>IFERROR(__xludf.DUMMYFUNCTION("""COMPUTED_VALUE"""),20.5)</f>
        <v>20.5</v>
      </c>
    </row>
    <row r="5601">
      <c r="D5601" t="str">
        <f>IFERROR(__xludf.DUMMYFUNCTION("""COMPUTED_VALUE"""),"Higbee")</f>
        <v>Higbee</v>
      </c>
      <c r="E5601" t="str">
        <f>IFERROR(__xludf.DUMMYFUNCTION("""COMPUTED_VALUE"""),"Tyler")</f>
        <v>Tyler</v>
      </c>
      <c r="F5601" t="str">
        <f>IFERROR(__xludf.DUMMYFUNCTION("""COMPUTED_VALUE"""),"LAR")</f>
        <v>LAR</v>
      </c>
      <c r="G5601">
        <f>IFERROR(__xludf.DUMMYFUNCTION("""COMPUTED_VALUE"""),19.5)</f>
        <v>19.5</v>
      </c>
    </row>
    <row r="5602">
      <c r="D5602" t="str">
        <f>IFERROR(__xludf.DUMMYFUNCTION("""COMPUTED_VALUE"""),"Higgins")</f>
        <v>Higgins</v>
      </c>
      <c r="E5602" t="str">
        <f>IFERROR(__xludf.DUMMYFUNCTION("""COMPUTED_VALUE"""),"Rashard")</f>
        <v>Rashard</v>
      </c>
      <c r="F5602" t="str">
        <f>IFERROR(__xludf.DUMMYFUNCTION("""COMPUTED_VALUE"""),"CLE")</f>
        <v>CLE</v>
      </c>
      <c r="G5602">
        <f>IFERROR(__xludf.DUMMYFUNCTION("""COMPUTED_VALUE"""),17.5)</f>
        <v>17.5</v>
      </c>
    </row>
    <row r="5603">
      <c r="D5603" t="str">
        <f>IFERROR(__xludf.DUMMYFUNCTION("""COMPUTED_VALUE"""),"Hightower")</f>
        <v>Hightower</v>
      </c>
      <c r="E5603" t="str">
        <f>IFERROR(__xludf.DUMMYFUNCTION("""COMPUTED_VALUE"""),"Donta")</f>
        <v>Donta</v>
      </c>
      <c r="F5603" t="str">
        <f>IFERROR(__xludf.DUMMYFUNCTION("""COMPUTED_VALUE"""),"NE")</f>
        <v>NE</v>
      </c>
      <c r="G5603">
        <f>IFERROR(__xludf.DUMMYFUNCTION("""COMPUTED_VALUE"""),20.5)</f>
        <v>20.5</v>
      </c>
    </row>
    <row r="5604">
      <c r="D5604" t="str">
        <f>IFERROR(__xludf.DUMMYFUNCTION("""COMPUTED_VALUE"""),"Hikutini")</f>
        <v>Hikutini</v>
      </c>
      <c r="E5604" t="str">
        <f>IFERROR(__xludf.DUMMYFUNCTION("""COMPUTED_VALUE"""),"Cole")</f>
        <v>Cole</v>
      </c>
      <c r="F5604" t="str">
        <f>IFERROR(__xludf.DUMMYFUNCTION("""COMPUTED_VALUE"""),"SF")</f>
        <v>SF</v>
      </c>
      <c r="G5604">
        <f>IFERROR(__xludf.DUMMYFUNCTION("""COMPUTED_VALUE"""),16.5)</f>
        <v>16.5</v>
      </c>
    </row>
    <row r="5605">
      <c r="D5605" t="str">
        <f>IFERROR(__xludf.DUMMYFUNCTION("""COMPUTED_VALUE"""),"Hill")</f>
        <v>Hill</v>
      </c>
      <c r="E5605" t="str">
        <f>IFERROR(__xludf.DUMMYFUNCTION("""COMPUTED_VALUE"""),"BJ")</f>
        <v>BJ</v>
      </c>
      <c r="F5605" t="str">
        <f>IFERROR(__xludf.DUMMYFUNCTION("""COMPUTED_VALUE"""),"NYG")</f>
        <v>NYG</v>
      </c>
      <c r="G5605">
        <f>IFERROR(__xludf.DUMMYFUNCTION("""COMPUTED_VALUE"""),17.75)</f>
        <v>17.75</v>
      </c>
    </row>
    <row r="5606">
      <c r="D5606" t="str">
        <f>IFERROR(__xludf.DUMMYFUNCTION("""COMPUTED_VALUE"""),"Hill")</f>
        <v>Hill</v>
      </c>
      <c r="E5606" t="str">
        <f>IFERROR(__xludf.DUMMYFUNCTION("""COMPUTED_VALUE"""),"Brian")</f>
        <v>Brian</v>
      </c>
      <c r="F5606" t="str">
        <f>IFERROR(__xludf.DUMMYFUNCTION("""COMPUTED_VALUE"""),"CIN")</f>
        <v>CIN</v>
      </c>
      <c r="G5606">
        <f>IFERROR(__xludf.DUMMYFUNCTION("""COMPUTED_VALUE"""),17.75)</f>
        <v>17.75</v>
      </c>
    </row>
    <row r="5607">
      <c r="D5607" t="str">
        <f>IFERROR(__xludf.DUMMYFUNCTION("""COMPUTED_VALUE"""),"Hill")</f>
        <v>Hill</v>
      </c>
      <c r="E5607" t="str">
        <f>IFERROR(__xludf.DUMMYFUNCTION("""COMPUTED_VALUE"""),"Bronson")</f>
        <v>Bronson</v>
      </c>
      <c r="F5607" t="str">
        <f>IFERROR(__xludf.DUMMYFUNCTION("""COMPUTED_VALUE"""),"FA")</f>
        <v>FA</v>
      </c>
      <c r="G5607">
        <f>IFERROR(__xludf.DUMMYFUNCTION("""COMPUTED_VALUE"""),16.75)</f>
        <v>16.75</v>
      </c>
    </row>
    <row r="5608">
      <c r="D5608" t="str">
        <f>IFERROR(__xludf.DUMMYFUNCTION("""COMPUTED_VALUE"""),"Hill")</f>
        <v>Hill</v>
      </c>
      <c r="E5608" t="str">
        <f>IFERROR(__xludf.DUMMYFUNCTION("""COMPUTED_VALUE"""),"Delano")</f>
        <v>Delano</v>
      </c>
      <c r="F5608" t="str">
        <f>IFERROR(__xludf.DUMMYFUNCTION("""COMPUTED_VALUE"""),"SEA")</f>
        <v>SEA</v>
      </c>
      <c r="G5608">
        <f>IFERROR(__xludf.DUMMYFUNCTION("""COMPUTED_VALUE"""),17.5)</f>
        <v>17.5</v>
      </c>
    </row>
    <row r="5609">
      <c r="D5609" t="str">
        <f>IFERROR(__xludf.DUMMYFUNCTION("""COMPUTED_VALUE"""),"Hill")</f>
        <v>Hill</v>
      </c>
      <c r="E5609" t="str">
        <f>IFERROR(__xludf.DUMMYFUNCTION("""COMPUTED_VALUE"""),"Jaylen")</f>
        <v>Jaylen</v>
      </c>
      <c r="F5609" t="str">
        <f>IFERROR(__xludf.DUMMYFUNCTION("""COMPUTED_VALUE"""),"BAL")</f>
        <v>BAL</v>
      </c>
      <c r="G5609">
        <f>IFERROR(__xludf.DUMMYFUNCTION("""COMPUTED_VALUE"""),16.25)</f>
        <v>16.25</v>
      </c>
    </row>
    <row r="5610">
      <c r="D5610" t="str">
        <f>IFERROR(__xludf.DUMMYFUNCTION("""COMPUTED_VALUE"""),"Hill")</f>
        <v>Hill</v>
      </c>
      <c r="E5610" t="str">
        <f>IFERROR(__xludf.DUMMYFUNCTION("""COMPUTED_VALUE"""),"Jeremy")</f>
        <v>Jeremy</v>
      </c>
      <c r="F5610" t="str">
        <f>IFERROR(__xludf.DUMMYFUNCTION("""COMPUTED_VALUE"""),"NE")</f>
        <v>NE</v>
      </c>
      <c r="G5610">
        <f>IFERROR(__xludf.DUMMYFUNCTION("""COMPUTED_VALUE"""),18.75)</f>
        <v>18.75</v>
      </c>
    </row>
    <row r="5611">
      <c r="D5611" t="str">
        <f>IFERROR(__xludf.DUMMYFUNCTION("""COMPUTED_VALUE"""),"Hill")</f>
        <v>Hill</v>
      </c>
      <c r="E5611" t="str">
        <f>IFERROR(__xludf.DUMMYFUNCTION("""COMPUTED_VALUE"""),"Josh")</f>
        <v>Josh</v>
      </c>
      <c r="F5611" t="str">
        <f>IFERROR(__xludf.DUMMYFUNCTION("""COMPUTED_VALUE"""),"NO")</f>
        <v>NO</v>
      </c>
      <c r="G5611">
        <f>IFERROR(__xludf.DUMMYFUNCTION("""COMPUTED_VALUE"""),19.5)</f>
        <v>19.5</v>
      </c>
    </row>
    <row r="5612">
      <c r="D5612" t="str">
        <f>IFERROR(__xludf.DUMMYFUNCTION("""COMPUTED_VALUE"""),"Hill")</f>
        <v>Hill</v>
      </c>
      <c r="E5612" t="str">
        <f>IFERROR(__xludf.DUMMYFUNCTION("""COMPUTED_VALUE"""),"Rashod")</f>
        <v>Rashod</v>
      </c>
      <c r="F5612" t="str">
        <f>IFERROR(__xludf.DUMMYFUNCTION("""COMPUTED_VALUE"""),"MIN")</f>
        <v>MIN</v>
      </c>
      <c r="G5612">
        <f>IFERROR(__xludf.DUMMYFUNCTION("""COMPUTED_VALUE"""),16.25)</f>
        <v>16.25</v>
      </c>
    </row>
    <row r="5613">
      <c r="D5613" t="str">
        <f>IFERROR(__xludf.DUMMYFUNCTION("""COMPUTED_VALUE"""),"Hill")</f>
        <v>Hill</v>
      </c>
      <c r="E5613" t="str">
        <f>IFERROR(__xludf.DUMMYFUNCTION("""COMPUTED_VALUE"""),"Taysom")</f>
        <v>Taysom</v>
      </c>
      <c r="F5613" t="str">
        <f>IFERROR(__xludf.DUMMYFUNCTION("""COMPUTED_VALUE"""),"NO")</f>
        <v>NO</v>
      </c>
      <c r="G5613">
        <f>IFERROR(__xludf.DUMMYFUNCTION("""COMPUTED_VALUE"""),15.5)</f>
        <v>15.5</v>
      </c>
    </row>
    <row r="5614">
      <c r="D5614" t="str">
        <f>IFERROR(__xludf.DUMMYFUNCTION("""COMPUTED_VALUE"""),"Hill")</f>
        <v>Hill</v>
      </c>
      <c r="E5614" t="str">
        <f>IFERROR(__xludf.DUMMYFUNCTION("""COMPUTED_VALUE"""),"Troy")</f>
        <v>Troy</v>
      </c>
      <c r="F5614" t="str">
        <f>IFERROR(__xludf.DUMMYFUNCTION("""COMPUTED_VALUE"""),"LAR")</f>
        <v>LAR</v>
      </c>
      <c r="G5614">
        <f>IFERROR(__xludf.DUMMYFUNCTION("""COMPUTED_VALUE"""),18.0)</f>
        <v>18</v>
      </c>
    </row>
    <row r="5615">
      <c r="D5615" t="str">
        <f>IFERROR(__xludf.DUMMYFUNCTION("""COMPUTED_VALUE"""),"Hill")</f>
        <v>Hill</v>
      </c>
      <c r="E5615" t="str">
        <f>IFERROR(__xludf.DUMMYFUNCTION("""COMPUTED_VALUE"""),"Tyreek")</f>
        <v>Tyreek</v>
      </c>
      <c r="F5615" t="str">
        <f>IFERROR(__xludf.DUMMYFUNCTION("""COMPUTED_VALUE"""),"KC")</f>
        <v>KC</v>
      </c>
      <c r="G5615">
        <f>IFERROR(__xludf.DUMMYFUNCTION("""COMPUTED_VALUE"""),20.75)</f>
        <v>20.75</v>
      </c>
    </row>
    <row r="5616">
      <c r="D5616" t="str">
        <f>IFERROR(__xludf.DUMMYFUNCTION("""COMPUTED_VALUE"""),"Hilton")</f>
        <v>Hilton</v>
      </c>
      <c r="E5616" t="str">
        <f>IFERROR(__xludf.DUMMYFUNCTION("""COMPUTED_VALUE"""),"Mike")</f>
        <v>Mike</v>
      </c>
      <c r="F5616" t="str">
        <f>IFERROR(__xludf.DUMMYFUNCTION("""COMPUTED_VALUE"""),"PIT")</f>
        <v>PIT</v>
      </c>
      <c r="G5616">
        <f>IFERROR(__xludf.DUMMYFUNCTION("""COMPUTED_VALUE"""),19.75)</f>
        <v>19.75</v>
      </c>
    </row>
    <row r="5617">
      <c r="D5617" t="str">
        <f>IFERROR(__xludf.DUMMYFUNCTION("""COMPUTED_VALUE"""),"Hilton")</f>
        <v>Hilton</v>
      </c>
      <c r="E5617" t="str">
        <f>IFERROR(__xludf.DUMMYFUNCTION("""COMPUTED_VALUE"""),"TY")</f>
        <v>TY</v>
      </c>
      <c r="F5617" t="str">
        <f>IFERROR(__xludf.DUMMYFUNCTION("""COMPUTED_VALUE"""),"IND")</f>
        <v>IND</v>
      </c>
      <c r="G5617">
        <f>IFERROR(__xludf.DUMMYFUNCTION("""COMPUTED_VALUE"""),21.0)</f>
        <v>21</v>
      </c>
    </row>
    <row r="5618">
      <c r="D5618" t="str">
        <f>IFERROR(__xludf.DUMMYFUNCTION("""COMPUTED_VALUE"""),"Hines")</f>
        <v>Hines</v>
      </c>
      <c r="E5618" t="str">
        <f>IFERROR(__xludf.DUMMYFUNCTION("""COMPUTED_VALUE"""),"Nyheim")</f>
        <v>Nyheim</v>
      </c>
      <c r="F5618" t="str">
        <f>IFERROR(__xludf.DUMMYFUNCTION("""COMPUTED_VALUE"""),"IND")</f>
        <v>IND</v>
      </c>
      <c r="G5618">
        <f>IFERROR(__xludf.DUMMYFUNCTION("""COMPUTED_VALUE"""),18.25)</f>
        <v>18.25</v>
      </c>
    </row>
    <row r="5619">
      <c r="D5619" t="str">
        <f>IFERROR(__xludf.DUMMYFUNCTION("""COMPUTED_VALUE"""),"Hitchens")</f>
        <v>Hitchens</v>
      </c>
      <c r="E5619" t="str">
        <f>IFERROR(__xludf.DUMMYFUNCTION("""COMPUTED_VALUE"""),"Anthony")</f>
        <v>Anthony</v>
      </c>
      <c r="F5619" t="str">
        <f>IFERROR(__xludf.DUMMYFUNCTION("""COMPUTED_VALUE"""),"KC")</f>
        <v>KC</v>
      </c>
      <c r="G5619">
        <f>IFERROR(__xludf.DUMMYFUNCTION("""COMPUTED_VALUE"""),20.25)</f>
        <v>20.25</v>
      </c>
    </row>
    <row r="5620">
      <c r="D5620" t="str">
        <f>IFERROR(__xludf.DUMMYFUNCTION("""COMPUTED_VALUE"""),"Hogan")</f>
        <v>Hogan</v>
      </c>
      <c r="E5620" t="str">
        <f>IFERROR(__xludf.DUMMYFUNCTION("""COMPUTED_VALUE"""),"Chris")</f>
        <v>Chris</v>
      </c>
      <c r="F5620" t="str">
        <f>IFERROR(__xludf.DUMMYFUNCTION("""COMPUTED_VALUE"""),"NE")</f>
        <v>NE</v>
      </c>
      <c r="G5620">
        <f>IFERROR(__xludf.DUMMYFUNCTION("""COMPUTED_VALUE"""),20.0)</f>
        <v>20</v>
      </c>
    </row>
    <row r="5621">
      <c r="D5621" t="str">
        <f>IFERROR(__xludf.DUMMYFUNCTION("""COMPUTED_VALUE"""),"Hogan")</f>
        <v>Hogan</v>
      </c>
      <c r="E5621" t="str">
        <f>IFERROR(__xludf.DUMMYFUNCTION("""COMPUTED_VALUE"""),"Kevin")</f>
        <v>Kevin</v>
      </c>
      <c r="F5621" t="str">
        <f>IFERROR(__xludf.DUMMYFUNCTION("""COMPUTED_VALUE"""),"WAS")</f>
        <v>WAS</v>
      </c>
      <c r="G5621">
        <f>IFERROR(__xludf.DUMMYFUNCTION("""COMPUTED_VALUE"""),17.5)</f>
        <v>17.5</v>
      </c>
    </row>
    <row r="5622">
      <c r="D5622" t="str">
        <f>IFERROR(__xludf.DUMMYFUNCTION("""COMPUTED_VALUE"""),"Hogan")</f>
        <v>Hogan</v>
      </c>
      <c r="E5622" t="str">
        <f>IFERROR(__xludf.DUMMYFUNCTION("""COMPUTED_VALUE"""),"Krishawn")</f>
        <v>Krishawn</v>
      </c>
      <c r="F5622" t="str">
        <f>IFERROR(__xludf.DUMMYFUNCTION("""COMPUTED_VALUE"""),"IND")</f>
        <v>IND</v>
      </c>
      <c r="G5622">
        <f>IFERROR(__xludf.DUMMYFUNCTION("""COMPUTED_VALUE"""),15.5)</f>
        <v>15.5</v>
      </c>
    </row>
    <row r="5623">
      <c r="D5623" t="str">
        <f>IFERROR(__xludf.DUMMYFUNCTION("""COMPUTED_VALUE"""),"Holden")</f>
        <v>Holden</v>
      </c>
      <c r="E5623" t="str">
        <f>IFERROR(__xludf.DUMMYFUNCTION("""COMPUTED_VALUE"""),"Will")</f>
        <v>Will</v>
      </c>
      <c r="F5623" t="str">
        <f>IFERROR(__xludf.DUMMYFUNCTION("""COMPUTED_VALUE"""),"ARZ")</f>
        <v>ARZ</v>
      </c>
      <c r="G5623">
        <f>IFERROR(__xludf.DUMMYFUNCTION("""COMPUTED_VALUE"""),17.25)</f>
        <v>17.25</v>
      </c>
    </row>
    <row r="5624">
      <c r="D5624" t="str">
        <f>IFERROR(__xludf.DUMMYFUNCTION("""COMPUTED_VALUE"""),"Hollins")</f>
        <v>Hollins</v>
      </c>
      <c r="E5624" t="str">
        <f>IFERROR(__xludf.DUMMYFUNCTION("""COMPUTED_VALUE"""),"Mack")</f>
        <v>Mack</v>
      </c>
      <c r="F5624" t="str">
        <f>IFERROR(__xludf.DUMMYFUNCTION("""COMPUTED_VALUE"""),"PHI")</f>
        <v>PHI</v>
      </c>
      <c r="G5624">
        <f>IFERROR(__xludf.DUMMYFUNCTION("""COMPUTED_VALUE"""),18.0)</f>
        <v>18</v>
      </c>
    </row>
    <row r="5625">
      <c r="D5625" t="str">
        <f>IFERROR(__xludf.DUMMYFUNCTION("""COMPUTED_VALUE"""),"Hollister")</f>
        <v>Hollister</v>
      </c>
      <c r="E5625" t="str">
        <f>IFERROR(__xludf.DUMMYFUNCTION("""COMPUTED_VALUE"""),"Jacob")</f>
        <v>Jacob</v>
      </c>
      <c r="F5625" t="str">
        <f>IFERROR(__xludf.DUMMYFUNCTION("""COMPUTED_VALUE"""),"NE")</f>
        <v>NE</v>
      </c>
      <c r="G5625">
        <f>IFERROR(__xludf.DUMMYFUNCTION("""COMPUTED_VALUE"""),18.0)</f>
        <v>18</v>
      </c>
    </row>
    <row r="5626">
      <c r="D5626" t="str">
        <f>IFERROR(__xludf.DUMMYFUNCTION("""COMPUTED_VALUE"""),"Holmes")</f>
        <v>Holmes</v>
      </c>
      <c r="E5626" t="str">
        <f>IFERROR(__xludf.DUMMYFUNCTION("""COMPUTED_VALUE"""),"Andre")</f>
        <v>Andre</v>
      </c>
      <c r="F5626" t="str">
        <f>IFERROR(__xludf.DUMMYFUNCTION("""COMPUTED_VALUE"""),"BUF")</f>
        <v>BUF</v>
      </c>
      <c r="G5626">
        <f>IFERROR(__xludf.DUMMYFUNCTION("""COMPUTED_VALUE"""),18.5)</f>
        <v>18.5</v>
      </c>
    </row>
    <row r="5627">
      <c r="D5627" t="str">
        <f>IFERROR(__xludf.DUMMYFUNCTION("""COMPUTED_VALUE"""),"Holmes")</f>
        <v>Holmes</v>
      </c>
      <c r="E5627" t="str">
        <f>IFERROR(__xludf.DUMMYFUNCTION("""COMPUTED_VALUE"""),"Gabe")</f>
        <v>Gabe</v>
      </c>
      <c r="F5627" t="str">
        <f>IFERROR(__xludf.DUMMYFUNCTION("""COMPUTED_VALUE"""),"ARZ")</f>
        <v>ARZ</v>
      </c>
      <c r="G5627">
        <f>IFERROR(__xludf.DUMMYFUNCTION("""COMPUTED_VALUE"""),15.5)</f>
        <v>15.5</v>
      </c>
    </row>
    <row r="5628">
      <c r="D5628" t="str">
        <f>IFERROR(__xludf.DUMMYFUNCTION("""COMPUTED_VALUE"""),"Holmes")</f>
        <v>Holmes</v>
      </c>
      <c r="E5628" t="str">
        <f>IFERROR(__xludf.DUMMYFUNCTION("""COMPUTED_VALUE"""),"Jalyn")</f>
        <v>Jalyn</v>
      </c>
      <c r="F5628" t="str">
        <f>IFERROR(__xludf.DUMMYFUNCTION("""COMPUTED_VALUE"""),"MIN")</f>
        <v>MIN</v>
      </c>
      <c r="G5628">
        <f>IFERROR(__xludf.DUMMYFUNCTION("""COMPUTED_VALUE"""),17.75)</f>
        <v>17.75</v>
      </c>
    </row>
    <row r="5629">
      <c r="D5629" t="str">
        <f>IFERROR(__xludf.DUMMYFUNCTION("""COMPUTED_VALUE"""),"Holmes")</f>
        <v>Holmes</v>
      </c>
      <c r="E5629" t="str">
        <f>IFERROR(__xludf.DUMMYFUNCTION("""COMPUTED_VALUE"""),"Tyrone")</f>
        <v>Tyrone</v>
      </c>
      <c r="F5629" t="str">
        <f>IFERROR(__xludf.DUMMYFUNCTION("""COMPUTED_VALUE"""),"KC")</f>
        <v>KC</v>
      </c>
      <c r="G5629">
        <f>IFERROR(__xludf.DUMMYFUNCTION("""COMPUTED_VALUE"""),17.75)</f>
        <v>17.75</v>
      </c>
    </row>
    <row r="5630">
      <c r="D5630" t="str">
        <f>IFERROR(__xludf.DUMMYFUNCTION("""COMPUTED_VALUE"""),"Holsey")</f>
        <v>Holsey</v>
      </c>
      <c r="E5630" t="str">
        <f>IFERROR(__xludf.DUMMYFUNCTION("""COMPUTED_VALUE"""),"Joshua")</f>
        <v>Joshua</v>
      </c>
      <c r="F5630" t="str">
        <f>IFERROR(__xludf.DUMMYFUNCTION("""COMPUTED_VALUE"""),"WAS")</f>
        <v>WAS</v>
      </c>
      <c r="G5630">
        <f>IFERROR(__xludf.DUMMYFUNCTION("""COMPUTED_VALUE"""),17.0)</f>
        <v>17</v>
      </c>
    </row>
    <row r="5631">
      <c r="D5631" t="str">
        <f>IFERROR(__xludf.DUMMYFUNCTION("""COMPUTED_VALUE"""),"Holton")</f>
        <v>Holton</v>
      </c>
      <c r="E5631" t="str">
        <f>IFERROR(__xludf.DUMMYFUNCTION("""COMPUTED_VALUE"""),"Johnny")</f>
        <v>Johnny</v>
      </c>
      <c r="F5631" t="str">
        <f>IFERROR(__xludf.DUMMYFUNCTION("""COMPUTED_VALUE"""),"OAK")</f>
        <v>OAK</v>
      </c>
      <c r="G5631">
        <f>IFERROR(__xludf.DUMMYFUNCTION("""COMPUTED_VALUE"""),17.75)</f>
        <v>17.75</v>
      </c>
    </row>
    <row r="5632">
      <c r="D5632" t="str">
        <f>IFERROR(__xludf.DUMMYFUNCTION("""COMPUTED_VALUE"""),"Hood")</f>
        <v>Hood</v>
      </c>
      <c r="E5632" t="str">
        <f>IFERROR(__xludf.DUMMYFUNCTION("""COMPUTED_VALUE"""),"Elijah")</f>
        <v>Elijah</v>
      </c>
      <c r="F5632" t="str">
        <f>IFERROR(__xludf.DUMMYFUNCTION("""COMPUTED_VALUE"""),"CAR")</f>
        <v>CAR</v>
      </c>
      <c r="G5632">
        <f>IFERROR(__xludf.DUMMYFUNCTION("""COMPUTED_VALUE"""),15.75)</f>
        <v>15.75</v>
      </c>
    </row>
    <row r="5633">
      <c r="D5633" t="str">
        <f>IFERROR(__xludf.DUMMYFUNCTION("""COMPUTED_VALUE"""),"Hood")</f>
        <v>Hood</v>
      </c>
      <c r="E5633" t="str">
        <f>IFERROR(__xludf.DUMMYFUNCTION("""COMPUTED_VALUE"""),"Ziggy")</f>
        <v>Ziggy</v>
      </c>
      <c r="F5633" t="str">
        <f>IFERROR(__xludf.DUMMYFUNCTION("""COMPUTED_VALUE"""),"WAS")</f>
        <v>WAS</v>
      </c>
      <c r="G5633">
        <f>IFERROR(__xludf.DUMMYFUNCTION("""COMPUTED_VALUE"""),16.75)</f>
        <v>16.75</v>
      </c>
    </row>
    <row r="5634">
      <c r="D5634" t="str">
        <f>IFERROR(__xludf.DUMMYFUNCTION("""COMPUTED_VALUE"""),"Hooker")</f>
        <v>Hooker</v>
      </c>
      <c r="E5634" t="str">
        <f>IFERROR(__xludf.DUMMYFUNCTION("""COMPUTED_VALUE"""),"Malik")</f>
        <v>Malik</v>
      </c>
      <c r="F5634" t="str">
        <f>IFERROR(__xludf.DUMMYFUNCTION("""COMPUTED_VALUE"""),"IND")</f>
        <v>IND</v>
      </c>
      <c r="G5634">
        <f>IFERROR(__xludf.DUMMYFUNCTION("""COMPUTED_VALUE"""),19.0)</f>
        <v>19</v>
      </c>
    </row>
    <row r="5635">
      <c r="D5635" t="str">
        <f>IFERROR(__xludf.DUMMYFUNCTION("""COMPUTED_VALUE"""),"Hooks")</f>
        <v>Hooks</v>
      </c>
      <c r="E5635" t="str">
        <f>IFERROR(__xludf.DUMMYFUNCTION("""COMPUTED_VALUE"""),"Lavon")</f>
        <v>Lavon</v>
      </c>
      <c r="F5635" t="str">
        <f>IFERROR(__xludf.DUMMYFUNCTION("""COMPUTED_VALUE"""),"PIT")</f>
        <v>PIT</v>
      </c>
      <c r="G5635">
        <f>IFERROR(__xludf.DUMMYFUNCTION("""COMPUTED_VALUE"""),15.5)</f>
        <v>15.5</v>
      </c>
    </row>
    <row r="5636">
      <c r="D5636" t="str">
        <f>IFERROR(__xludf.DUMMYFUNCTION("""COMPUTED_VALUE"""),"Hoomanawanui")</f>
        <v>Hoomanawanui</v>
      </c>
      <c r="E5636" t="str">
        <f>IFERROR(__xludf.DUMMYFUNCTION("""COMPUTED_VALUE"""),"Michael")</f>
        <v>Michael</v>
      </c>
      <c r="F5636" t="str">
        <f>IFERROR(__xludf.DUMMYFUNCTION("""COMPUTED_VALUE"""),"NO")</f>
        <v>NO</v>
      </c>
      <c r="G5636">
        <f>IFERROR(__xludf.DUMMYFUNCTION("""COMPUTED_VALUE"""),17.75)</f>
        <v>17.75</v>
      </c>
    </row>
    <row r="5637">
      <c r="D5637" t="str">
        <f>IFERROR(__xludf.DUMMYFUNCTION("""COMPUTED_VALUE"""),"Hooper")</f>
        <v>Hooper</v>
      </c>
      <c r="E5637" t="str">
        <f>IFERROR(__xludf.DUMMYFUNCTION("""COMPUTED_VALUE"""),"Austin")</f>
        <v>Austin</v>
      </c>
      <c r="F5637" t="str">
        <f>IFERROR(__xludf.DUMMYFUNCTION("""COMPUTED_VALUE"""),"ATL")</f>
        <v>ATL</v>
      </c>
      <c r="G5637">
        <f>IFERROR(__xludf.DUMMYFUNCTION("""COMPUTED_VALUE"""),19.75)</f>
        <v>19.75</v>
      </c>
    </row>
    <row r="5638">
      <c r="D5638" t="str">
        <f>IFERROR(__xludf.DUMMYFUNCTION("""COMPUTED_VALUE"""),"Hopkins")</f>
        <v>Hopkins</v>
      </c>
      <c r="E5638" t="str">
        <f>IFERROR(__xludf.DUMMYFUNCTION("""COMPUTED_VALUE"""),"DeAndre")</f>
        <v>DeAndre</v>
      </c>
      <c r="F5638" t="str">
        <f>IFERROR(__xludf.DUMMYFUNCTION("""COMPUTED_VALUE"""),"HOU")</f>
        <v>HOU</v>
      </c>
      <c r="G5638">
        <f>IFERROR(__xludf.DUMMYFUNCTION("""COMPUTED_VALUE"""),22.0)</f>
        <v>22</v>
      </c>
    </row>
    <row r="5639">
      <c r="D5639" t="str">
        <f>IFERROR(__xludf.DUMMYFUNCTION("""COMPUTED_VALUE"""),"Hopkins")</f>
        <v>Hopkins</v>
      </c>
      <c r="E5639" t="str">
        <f>IFERROR(__xludf.DUMMYFUNCTION("""COMPUTED_VALUE"""),"Dustin")</f>
        <v>Dustin</v>
      </c>
      <c r="F5639" t="str">
        <f>IFERROR(__xludf.DUMMYFUNCTION("""COMPUTED_VALUE"""),"WAS")</f>
        <v>WAS</v>
      </c>
      <c r="G5639">
        <f>IFERROR(__xludf.DUMMYFUNCTION("""COMPUTED_VALUE"""),19.25)</f>
        <v>19.25</v>
      </c>
    </row>
    <row r="5640">
      <c r="D5640" t="str">
        <f>IFERROR(__xludf.DUMMYFUNCTION("""COMPUTED_VALUE"""),"Hopkins")</f>
        <v>Hopkins</v>
      </c>
      <c r="E5640" t="str">
        <f>IFERROR(__xludf.DUMMYFUNCTION("""COMPUTED_VALUE"""),"Trey")</f>
        <v>Trey</v>
      </c>
      <c r="F5640" t="str">
        <f>IFERROR(__xludf.DUMMYFUNCTION("""COMPUTED_VALUE"""),"CIN")</f>
        <v>CIN</v>
      </c>
      <c r="G5640">
        <f>IFERROR(__xludf.DUMMYFUNCTION("""COMPUTED_VALUE"""),18.0)</f>
        <v>18</v>
      </c>
    </row>
    <row r="5641">
      <c r="D5641" t="str">
        <f>IFERROR(__xludf.DUMMYFUNCTION("""COMPUTED_VALUE"""),"Horton")</f>
        <v>Horton</v>
      </c>
      <c r="E5641" t="str">
        <f>IFERROR(__xludf.DUMMYFUNCTION("""COMPUTED_VALUE"""),"Wes")</f>
        <v>Wes</v>
      </c>
      <c r="F5641" t="str">
        <f>IFERROR(__xludf.DUMMYFUNCTION("""COMPUTED_VALUE"""),"CAR")</f>
        <v>CAR</v>
      </c>
      <c r="G5641">
        <f>IFERROR(__xludf.DUMMYFUNCTION("""COMPUTED_VALUE"""),17.25)</f>
        <v>17.25</v>
      </c>
    </row>
    <row r="5642">
      <c r="D5642" t="str">
        <f>IFERROR(__xludf.DUMMYFUNCTION("""COMPUTED_VALUE"""),"House")</f>
        <v>House</v>
      </c>
      <c r="E5642" t="str">
        <f>IFERROR(__xludf.DUMMYFUNCTION("""COMPUTED_VALUE"""),"Davon")</f>
        <v>Davon</v>
      </c>
      <c r="F5642" t="str">
        <f>IFERROR(__xludf.DUMMYFUNCTION("""COMPUTED_VALUE"""),"GB")</f>
        <v>GB</v>
      </c>
      <c r="G5642">
        <f>IFERROR(__xludf.DUMMYFUNCTION("""COMPUTED_VALUE"""),18.0)</f>
        <v>18</v>
      </c>
    </row>
    <row r="5643">
      <c r="D5643" t="str">
        <f>IFERROR(__xludf.DUMMYFUNCTION("""COMPUTED_VALUE"""),"Houston")</f>
        <v>Houston</v>
      </c>
      <c r="E5643" t="str">
        <f>IFERROR(__xludf.DUMMYFUNCTION("""COMPUTED_VALUE"""),"Justin")</f>
        <v>Justin</v>
      </c>
      <c r="F5643" t="str">
        <f>IFERROR(__xludf.DUMMYFUNCTION("""COMPUTED_VALUE"""),"KC")</f>
        <v>KC</v>
      </c>
      <c r="G5643">
        <f>IFERROR(__xludf.DUMMYFUNCTION("""COMPUTED_VALUE"""),21.75)</f>
        <v>21.75</v>
      </c>
    </row>
    <row r="5644">
      <c r="D5644" t="str">
        <f>IFERROR(__xludf.DUMMYFUNCTION("""COMPUTED_VALUE"""),"Houston-Carson")</f>
        <v>Houston-Carson</v>
      </c>
      <c r="E5644" t="str">
        <f>IFERROR(__xludf.DUMMYFUNCTION("""COMPUTED_VALUE"""),"DeAndre")</f>
        <v>DeAndre</v>
      </c>
      <c r="F5644" t="str">
        <f>IFERROR(__xludf.DUMMYFUNCTION("""COMPUTED_VALUE"""),"CHI")</f>
        <v>CHI</v>
      </c>
      <c r="G5644">
        <f>IFERROR(__xludf.DUMMYFUNCTION("""COMPUTED_VALUE"""),17.0)</f>
        <v>17</v>
      </c>
    </row>
    <row r="5645">
      <c r="D5645" t="str">
        <f>IFERROR(__xludf.DUMMYFUNCTION("""COMPUTED_VALUE"""),"Howard")</f>
        <v>Howard</v>
      </c>
      <c r="E5645" t="str">
        <f>IFERROR(__xludf.DUMMYFUNCTION("""COMPUTED_VALUE"""),"Austin")</f>
        <v>Austin</v>
      </c>
      <c r="F5645" t="str">
        <f>IFERROR(__xludf.DUMMYFUNCTION("""COMPUTED_VALUE"""),"IND")</f>
        <v>IND</v>
      </c>
      <c r="G5645">
        <f>IFERROR(__xludf.DUMMYFUNCTION("""COMPUTED_VALUE"""),19.25)</f>
        <v>19.25</v>
      </c>
    </row>
    <row r="5646">
      <c r="D5646" t="str">
        <f>IFERROR(__xludf.DUMMYFUNCTION("""COMPUTED_VALUE"""),"Howard")</f>
        <v>Howard</v>
      </c>
      <c r="E5646" t="str">
        <f>IFERROR(__xludf.DUMMYFUNCTION("""COMPUTED_VALUE"""),"Jordan")</f>
        <v>Jordan</v>
      </c>
      <c r="F5646" t="str">
        <f>IFERROR(__xludf.DUMMYFUNCTION("""COMPUTED_VALUE"""),"CHI")</f>
        <v>CHI</v>
      </c>
      <c r="G5646">
        <f>IFERROR(__xludf.DUMMYFUNCTION("""COMPUTED_VALUE"""),21.0)</f>
        <v>21</v>
      </c>
    </row>
    <row r="5647">
      <c r="D5647" t="str">
        <f>IFERROR(__xludf.DUMMYFUNCTION("""COMPUTED_VALUE"""),"Howard")</f>
        <v>Howard</v>
      </c>
      <c r="E5647" t="str">
        <f>IFERROR(__xludf.DUMMYFUNCTION("""COMPUTED_VALUE"""),"OJ")</f>
        <v>OJ</v>
      </c>
      <c r="F5647" t="str">
        <f>IFERROR(__xludf.DUMMYFUNCTION("""COMPUTED_VALUE"""),"TB")</f>
        <v>TB</v>
      </c>
      <c r="G5647">
        <f>IFERROR(__xludf.DUMMYFUNCTION("""COMPUTED_VALUE"""),19.5)</f>
        <v>19.5</v>
      </c>
    </row>
    <row r="5648">
      <c r="D5648" t="str">
        <f>IFERROR(__xludf.DUMMYFUNCTION("""COMPUTED_VALUE"""),"Howard")</f>
        <v>Howard</v>
      </c>
      <c r="E5648" t="str">
        <f>IFERROR(__xludf.DUMMYFUNCTION("""COMPUTED_VALUE"""),"Travin")</f>
        <v>Travin</v>
      </c>
      <c r="F5648" t="str">
        <f>IFERROR(__xludf.DUMMYFUNCTION("""COMPUTED_VALUE"""),"LAR")</f>
        <v>LAR</v>
      </c>
      <c r="G5648">
        <f>IFERROR(__xludf.DUMMYFUNCTION("""COMPUTED_VALUE"""),16.25)</f>
        <v>16.25</v>
      </c>
    </row>
    <row r="5649">
      <c r="D5649" t="str">
        <f>IFERROR(__xludf.DUMMYFUNCTION("""COMPUTED_VALUE"""),"Howard")</f>
        <v>Howard</v>
      </c>
      <c r="E5649" t="str">
        <f>IFERROR(__xludf.DUMMYFUNCTION("""COMPUTED_VALUE"""),"Xavien")</f>
        <v>Xavien</v>
      </c>
      <c r="F5649" t="str">
        <f>IFERROR(__xludf.DUMMYFUNCTION("""COMPUTED_VALUE"""),"MIA")</f>
        <v>MIA</v>
      </c>
      <c r="G5649">
        <f>IFERROR(__xludf.DUMMYFUNCTION("""COMPUTED_VALUE"""),18.75)</f>
        <v>18.75</v>
      </c>
    </row>
    <row r="5650">
      <c r="D5650" t="str">
        <f>IFERROR(__xludf.DUMMYFUNCTION("""COMPUTED_VALUE"""),"Hoyer")</f>
        <v>Hoyer</v>
      </c>
      <c r="E5650" t="str">
        <f>IFERROR(__xludf.DUMMYFUNCTION("""COMPUTED_VALUE"""),"Brian")</f>
        <v>Brian</v>
      </c>
      <c r="F5650" t="str">
        <f>IFERROR(__xludf.DUMMYFUNCTION("""COMPUTED_VALUE"""),"NE")</f>
        <v>NE</v>
      </c>
      <c r="G5650">
        <f>IFERROR(__xludf.DUMMYFUNCTION("""COMPUTED_VALUE"""),17.75)</f>
        <v>17.75</v>
      </c>
    </row>
    <row r="5651">
      <c r="D5651" t="str">
        <f>IFERROR(__xludf.DUMMYFUNCTION("""COMPUTED_VALUE"""),"Hubbard")</f>
        <v>Hubbard</v>
      </c>
      <c r="E5651" t="str">
        <f>IFERROR(__xludf.DUMMYFUNCTION("""COMPUTED_VALUE"""),"Chris")</f>
        <v>Chris</v>
      </c>
      <c r="F5651" t="str">
        <f>IFERROR(__xludf.DUMMYFUNCTION("""COMPUTED_VALUE"""),"CLE")</f>
        <v>CLE</v>
      </c>
      <c r="G5651">
        <f>IFERROR(__xludf.DUMMYFUNCTION("""COMPUTED_VALUE"""),18.75)</f>
        <v>18.75</v>
      </c>
    </row>
    <row r="5652">
      <c r="D5652" t="str">
        <f>IFERROR(__xludf.DUMMYFUNCTION("""COMPUTED_VALUE"""),"Hubbard")</f>
        <v>Hubbard</v>
      </c>
      <c r="E5652" t="str">
        <f>IFERROR(__xludf.DUMMYFUNCTION("""COMPUTED_VALUE"""),"Sam")</f>
        <v>Sam</v>
      </c>
      <c r="F5652" t="str">
        <f>IFERROR(__xludf.DUMMYFUNCTION("""COMPUTED_VALUE"""),"CIN")</f>
        <v>CIN</v>
      </c>
      <c r="G5652">
        <f>IFERROR(__xludf.DUMMYFUNCTION("""COMPUTED_VALUE"""),18.0)</f>
        <v>18</v>
      </c>
    </row>
    <row r="5653">
      <c r="D5653" t="str">
        <f>IFERROR(__xludf.DUMMYFUNCTION("""COMPUTED_VALUE"""),"Huber")</f>
        <v>Huber</v>
      </c>
      <c r="E5653" t="str">
        <f>IFERROR(__xludf.DUMMYFUNCTION("""COMPUTED_VALUE"""),"Kevin")</f>
        <v>Kevin</v>
      </c>
      <c r="F5653" t="str">
        <f>IFERROR(__xludf.DUMMYFUNCTION("""COMPUTED_VALUE"""),"CIN")</f>
        <v>CIN</v>
      </c>
      <c r="G5653">
        <f>IFERROR(__xludf.DUMMYFUNCTION("""COMPUTED_VALUE"""),18.75)</f>
        <v>18.75</v>
      </c>
    </row>
    <row r="5654">
      <c r="D5654" t="str">
        <f>IFERROR(__xludf.DUMMYFUNCTION("""COMPUTED_VALUE"""),"Hudson")</f>
        <v>Hudson</v>
      </c>
      <c r="E5654" t="str">
        <f>IFERROR(__xludf.DUMMYFUNCTION("""COMPUTED_VALUE"""),"Rodney")</f>
        <v>Rodney</v>
      </c>
      <c r="F5654" t="str">
        <f>IFERROR(__xludf.DUMMYFUNCTION("""COMPUTED_VALUE"""),"OAK")</f>
        <v>OAK</v>
      </c>
      <c r="G5654">
        <f>IFERROR(__xludf.DUMMYFUNCTION("""COMPUTED_VALUE"""),21.25)</f>
        <v>21.25</v>
      </c>
    </row>
    <row r="5655">
      <c r="D5655" t="str">
        <f>IFERROR(__xludf.DUMMYFUNCTION("""COMPUTED_VALUE"""),"Huff")</f>
        <v>Huff</v>
      </c>
      <c r="E5655" t="str">
        <f>IFERROR(__xludf.DUMMYFUNCTION("""COMPUTED_VALUE"""),"Josh")</f>
        <v>Josh</v>
      </c>
      <c r="F5655" t="str">
        <f>IFERROR(__xludf.DUMMYFUNCTION("""COMPUTED_VALUE"""),"NO")</f>
        <v>NO</v>
      </c>
      <c r="G5655">
        <f>IFERROR(__xludf.DUMMYFUNCTION("""COMPUTED_VALUE"""),17.75)</f>
        <v>17.75</v>
      </c>
    </row>
    <row r="5656">
      <c r="D5656" t="str">
        <f>IFERROR(__xludf.DUMMYFUNCTION("""COMPUTED_VALUE"""),"Huff")</f>
        <v>Huff</v>
      </c>
      <c r="E5656" t="str">
        <f>IFERROR(__xludf.DUMMYFUNCTION("""COMPUTED_VALUE"""),"Marqueston")</f>
        <v>Marqueston</v>
      </c>
      <c r="F5656" t="str">
        <f>IFERROR(__xludf.DUMMYFUNCTION("""COMPUTED_VALUE"""),"DAL")</f>
        <v>DAL</v>
      </c>
      <c r="G5656">
        <f>IFERROR(__xludf.DUMMYFUNCTION("""COMPUTED_VALUE"""),17.25)</f>
        <v>17.25</v>
      </c>
    </row>
    <row r="5657">
      <c r="D5657" t="str">
        <f>IFERROR(__xludf.DUMMYFUNCTION("""COMPUTED_VALUE"""),"Hughes")</f>
        <v>Hughes</v>
      </c>
      <c r="E5657" t="str">
        <f>IFERROR(__xludf.DUMMYFUNCTION("""COMPUTED_VALUE"""),"Jerry")</f>
        <v>Jerry</v>
      </c>
      <c r="F5657" t="str">
        <f>IFERROR(__xludf.DUMMYFUNCTION("""COMPUTED_VALUE"""),"BUF")</f>
        <v>BUF</v>
      </c>
      <c r="G5657">
        <f>IFERROR(__xludf.DUMMYFUNCTION("""COMPUTED_VALUE"""),20.0)</f>
        <v>20</v>
      </c>
    </row>
    <row r="5658">
      <c r="D5658" t="str">
        <f>IFERROR(__xludf.DUMMYFUNCTION("""COMPUTED_VALUE"""),"Hughes")</f>
        <v>Hughes</v>
      </c>
      <c r="E5658" t="str">
        <f>IFERROR(__xludf.DUMMYFUNCTION("""COMPUTED_VALUE"""),"Mike")</f>
        <v>Mike</v>
      </c>
      <c r="F5658" t="str">
        <f>IFERROR(__xludf.DUMMYFUNCTION("""COMPUTED_VALUE"""),"MIN")</f>
        <v>MIN</v>
      </c>
      <c r="G5658">
        <f>IFERROR(__xludf.DUMMYFUNCTION("""COMPUTED_VALUE"""),19.0)</f>
        <v>19</v>
      </c>
    </row>
    <row r="5659">
      <c r="D5659" t="str">
        <f>IFERROR(__xludf.DUMMYFUNCTION("""COMPUTED_VALUE"""),"Hull")</f>
        <v>Hull</v>
      </c>
      <c r="E5659" t="str">
        <f>IFERROR(__xludf.DUMMYFUNCTION("""COMPUTED_VALUE"""),"Mike")</f>
        <v>Mike</v>
      </c>
      <c r="F5659" t="str">
        <f>IFERROR(__xludf.DUMMYFUNCTION("""COMPUTED_VALUE"""),"MIA")</f>
        <v>MIA</v>
      </c>
      <c r="G5659">
        <f>IFERROR(__xludf.DUMMYFUNCTION("""COMPUTED_VALUE"""),17.5)</f>
        <v>17.5</v>
      </c>
    </row>
    <row r="5660">
      <c r="D5660" t="str">
        <f>IFERROR(__xludf.DUMMYFUNCTION("""COMPUTED_VALUE"""),"Humber")</f>
        <v>Humber</v>
      </c>
      <c r="E5660" t="str">
        <f>IFERROR(__xludf.DUMMYFUNCTION("""COMPUTED_VALUE"""),"Ramon")</f>
        <v>Ramon</v>
      </c>
      <c r="F5660" t="str">
        <f>IFERROR(__xludf.DUMMYFUNCTION("""COMPUTED_VALUE"""),"BUF")</f>
        <v>BUF</v>
      </c>
      <c r="G5660">
        <f>IFERROR(__xludf.DUMMYFUNCTION("""COMPUTED_VALUE"""),16.75)</f>
        <v>16.75</v>
      </c>
    </row>
    <row r="5661">
      <c r="D5661" t="str">
        <f>IFERROR(__xludf.DUMMYFUNCTION("""COMPUTED_VALUE"""),"Humphrey")</f>
        <v>Humphrey</v>
      </c>
      <c r="E5661" t="str">
        <f>IFERROR(__xludf.DUMMYFUNCTION("""COMPUTED_VALUE"""),"Marlon")</f>
        <v>Marlon</v>
      </c>
      <c r="F5661" t="str">
        <f>IFERROR(__xludf.DUMMYFUNCTION("""COMPUTED_VALUE"""),"BAL")</f>
        <v>BAL</v>
      </c>
      <c r="G5661">
        <f>IFERROR(__xludf.DUMMYFUNCTION("""COMPUTED_VALUE"""),19.75)</f>
        <v>19.75</v>
      </c>
    </row>
    <row r="5662">
      <c r="D5662" t="str">
        <f>IFERROR(__xludf.DUMMYFUNCTION("""COMPUTED_VALUE"""),"Humphries")</f>
        <v>Humphries</v>
      </c>
      <c r="E5662" t="str">
        <f>IFERROR(__xludf.DUMMYFUNCTION("""COMPUTED_VALUE"""),"Adam")</f>
        <v>Adam</v>
      </c>
      <c r="F5662" t="str">
        <f>IFERROR(__xludf.DUMMYFUNCTION("""COMPUTED_VALUE"""),"TB")</f>
        <v>TB</v>
      </c>
      <c r="G5662">
        <f>IFERROR(__xludf.DUMMYFUNCTION("""COMPUTED_VALUE"""),18.75)</f>
        <v>18.75</v>
      </c>
    </row>
    <row r="5663">
      <c r="D5663" t="str">
        <f>IFERROR(__xludf.DUMMYFUNCTION("""COMPUTED_VALUE"""),"Humphries")</f>
        <v>Humphries</v>
      </c>
      <c r="E5663" t="str">
        <f>IFERROR(__xludf.DUMMYFUNCTION("""COMPUTED_VALUE"""),"DJ")</f>
        <v>DJ</v>
      </c>
      <c r="F5663" t="str">
        <f>IFERROR(__xludf.DUMMYFUNCTION("""COMPUTED_VALUE"""),"ARZ")</f>
        <v>ARZ</v>
      </c>
      <c r="G5663">
        <f>IFERROR(__xludf.DUMMYFUNCTION("""COMPUTED_VALUE"""),19.0)</f>
        <v>19</v>
      </c>
    </row>
    <row r="5664">
      <c r="D5664" t="str">
        <f>IFERROR(__xludf.DUMMYFUNCTION("""COMPUTED_VALUE"""),"Hundley")</f>
        <v>Hundley</v>
      </c>
      <c r="E5664" t="str">
        <f>IFERROR(__xludf.DUMMYFUNCTION("""COMPUTED_VALUE"""),"Brett")</f>
        <v>Brett</v>
      </c>
      <c r="F5664" t="str">
        <f>IFERROR(__xludf.DUMMYFUNCTION("""COMPUTED_VALUE"""),"GB")</f>
        <v>GB</v>
      </c>
      <c r="G5664">
        <f>IFERROR(__xludf.DUMMYFUNCTION("""COMPUTED_VALUE"""),18.75)</f>
        <v>18.75</v>
      </c>
    </row>
    <row r="5665">
      <c r="D5665" t="str">
        <f>IFERROR(__xludf.DUMMYFUNCTION("""COMPUTED_VALUE"""),"Hunt")</f>
        <v>Hunt</v>
      </c>
      <c r="E5665" t="str">
        <f>IFERROR(__xludf.DUMMYFUNCTION("""COMPUTED_VALUE"""),"Joey")</f>
        <v>Joey</v>
      </c>
      <c r="F5665" t="str">
        <f>IFERROR(__xludf.DUMMYFUNCTION("""COMPUTED_VALUE"""),"SEA")</f>
        <v>SEA</v>
      </c>
      <c r="G5665">
        <f>IFERROR(__xludf.DUMMYFUNCTION("""COMPUTED_VALUE"""),18.0)</f>
        <v>18</v>
      </c>
    </row>
    <row r="5666">
      <c r="D5666" t="str">
        <f>IFERROR(__xludf.DUMMYFUNCTION("""COMPUTED_VALUE"""),"Hunt")</f>
        <v>Hunt</v>
      </c>
      <c r="E5666" t="str">
        <f>IFERROR(__xludf.DUMMYFUNCTION("""COMPUTED_VALUE"""),"Kareem")</f>
        <v>Kareem</v>
      </c>
      <c r="F5666" t="str">
        <f>IFERROR(__xludf.DUMMYFUNCTION("""COMPUTED_VALUE"""),"KC")</f>
        <v>KC</v>
      </c>
      <c r="G5666">
        <f>IFERROR(__xludf.DUMMYFUNCTION("""COMPUTED_VALUE"""),21.25)</f>
        <v>21.25</v>
      </c>
    </row>
    <row r="5667">
      <c r="D5667" t="str">
        <f>IFERROR(__xludf.DUMMYFUNCTION("""COMPUTED_VALUE"""),"Hunt")</f>
        <v>Hunt</v>
      </c>
      <c r="E5667" t="str">
        <f>IFERROR(__xludf.DUMMYFUNCTION("""COMPUTED_VALUE"""),"Margus")</f>
        <v>Margus</v>
      </c>
      <c r="F5667" t="str">
        <f>IFERROR(__xludf.DUMMYFUNCTION("""COMPUTED_VALUE"""),"IND")</f>
        <v>IND</v>
      </c>
      <c r="G5667">
        <f>IFERROR(__xludf.DUMMYFUNCTION("""COMPUTED_VALUE"""),19.0)</f>
        <v>19</v>
      </c>
    </row>
    <row r="5668">
      <c r="D5668" t="str">
        <f>IFERROR(__xludf.DUMMYFUNCTION("""COMPUTED_VALUE"""),"Hunter")</f>
        <v>Hunter</v>
      </c>
      <c r="E5668" t="str">
        <f>IFERROR(__xludf.DUMMYFUNCTION("""COMPUTED_VALUE"""),"Danielle")</f>
        <v>Danielle</v>
      </c>
      <c r="F5668" t="str">
        <f>IFERROR(__xludf.DUMMYFUNCTION("""COMPUTED_VALUE"""),"MIN")</f>
        <v>MIN</v>
      </c>
      <c r="G5668">
        <f>IFERROR(__xludf.DUMMYFUNCTION("""COMPUTED_VALUE"""),20.5)</f>
        <v>20.5</v>
      </c>
    </row>
    <row r="5669">
      <c r="D5669" t="str">
        <f>IFERROR(__xludf.DUMMYFUNCTION("""COMPUTED_VALUE"""),"Hunter")</f>
        <v>Hunter</v>
      </c>
      <c r="E5669" t="str">
        <f>IFERROR(__xludf.DUMMYFUNCTION("""COMPUTED_VALUE"""),"Justin")</f>
        <v>Justin</v>
      </c>
      <c r="F5669" t="str">
        <f>IFERROR(__xludf.DUMMYFUNCTION("""COMPUTED_VALUE"""),"PIT")</f>
        <v>PIT</v>
      </c>
      <c r="G5669">
        <f>IFERROR(__xludf.DUMMYFUNCTION("""COMPUTED_VALUE"""),18.0)</f>
        <v>18</v>
      </c>
    </row>
    <row r="5670">
      <c r="D5670" t="str">
        <f>IFERROR(__xludf.DUMMYFUNCTION("""COMPUTED_VALUE"""),"Hurns")</f>
        <v>Hurns</v>
      </c>
      <c r="E5670" t="str">
        <f>IFERROR(__xludf.DUMMYFUNCTION("""COMPUTED_VALUE"""),"Allen")</f>
        <v>Allen</v>
      </c>
      <c r="F5670" t="str">
        <f>IFERROR(__xludf.DUMMYFUNCTION("""COMPUTED_VALUE"""),"DAL")</f>
        <v>DAL</v>
      </c>
      <c r="G5670">
        <f>IFERROR(__xludf.DUMMYFUNCTION("""COMPUTED_VALUE"""),19.5)</f>
        <v>19.5</v>
      </c>
    </row>
    <row r="5671">
      <c r="D5671" t="str">
        <f>IFERROR(__xludf.DUMMYFUNCTION("""COMPUTED_VALUE"""),"Hurst")</f>
        <v>Hurst</v>
      </c>
      <c r="E5671" t="str">
        <f>IFERROR(__xludf.DUMMYFUNCTION("""COMPUTED_VALUE"""),"Demontre")</f>
        <v>Demontre</v>
      </c>
      <c r="F5671" t="str">
        <f>IFERROR(__xludf.DUMMYFUNCTION("""COMPUTED_VALUE"""),"TEN")</f>
        <v>TEN</v>
      </c>
      <c r="G5671">
        <f>IFERROR(__xludf.DUMMYFUNCTION("""COMPUTED_VALUE"""),15.75)</f>
        <v>15.75</v>
      </c>
    </row>
    <row r="5672">
      <c r="D5672" t="str">
        <f>IFERROR(__xludf.DUMMYFUNCTION("""COMPUTED_VALUE"""),"Hurst")</f>
        <v>Hurst</v>
      </c>
      <c r="E5672" t="str">
        <f>IFERROR(__xludf.DUMMYFUNCTION("""COMPUTED_VALUE"""),"Hayden")</f>
        <v>Hayden</v>
      </c>
      <c r="F5672" t="str">
        <f>IFERROR(__xludf.DUMMYFUNCTION("""COMPUTED_VALUE"""),"BAL")</f>
        <v>BAL</v>
      </c>
      <c r="G5672">
        <f>IFERROR(__xludf.DUMMYFUNCTION("""COMPUTED_VALUE"""),19.0)</f>
        <v>19</v>
      </c>
    </row>
    <row r="5673">
      <c r="D5673" t="str">
        <f>IFERROR(__xludf.DUMMYFUNCTION("""COMPUTED_VALUE"""),"Hurst")</f>
        <v>Hurst</v>
      </c>
      <c r="E5673" t="str">
        <f>IFERROR(__xludf.DUMMYFUNCTION("""COMPUTED_VALUE"""),"James")</f>
        <v>James</v>
      </c>
      <c r="F5673" t="str">
        <f>IFERROR(__xludf.DUMMYFUNCTION("""COMPUTED_VALUE"""),"BAL")</f>
        <v>BAL</v>
      </c>
      <c r="G5673">
        <f>IFERROR(__xludf.DUMMYFUNCTION("""COMPUTED_VALUE"""),18.5)</f>
        <v>18.5</v>
      </c>
    </row>
    <row r="5674">
      <c r="D5674" t="str">
        <f>IFERROR(__xludf.DUMMYFUNCTION("""COMPUTED_VALUE"""),"Hurst")</f>
        <v>Hurst</v>
      </c>
      <c r="E5674" t="str">
        <f>IFERROR(__xludf.DUMMYFUNCTION("""COMPUTED_VALUE"""),"Maurice")</f>
        <v>Maurice</v>
      </c>
      <c r="F5674" t="str">
        <f>IFERROR(__xludf.DUMMYFUNCTION("""COMPUTED_VALUE"""),"OAK")</f>
        <v>OAK</v>
      </c>
      <c r="G5674">
        <f>IFERROR(__xludf.DUMMYFUNCTION("""COMPUTED_VALUE"""),18.5)</f>
        <v>18.5</v>
      </c>
    </row>
    <row r="5675">
      <c r="D5675" t="str">
        <f>IFERROR(__xludf.DUMMYFUNCTION("""COMPUTED_VALUE"""),"Hutchinson")</f>
        <v>Hutchinson</v>
      </c>
      <c r="E5675" t="str">
        <f>IFERROR(__xludf.DUMMYFUNCTION("""COMPUTED_VALUE"""),"Steve")</f>
        <v>Steve</v>
      </c>
      <c r="F5675" t="str">
        <f>IFERROR(__xludf.DUMMYFUNCTION("""COMPUTED_VALUE"""),"SEA")</f>
        <v>SEA</v>
      </c>
      <c r="G5675">
        <f>IFERROR(__xludf.DUMMYFUNCTION("""COMPUTED_VALUE"""),20.75)</f>
        <v>20.75</v>
      </c>
    </row>
    <row r="5676">
      <c r="D5676" t="str">
        <f>IFERROR(__xludf.DUMMYFUNCTION("""COMPUTED_VALUE"""),"Hutchinson")</f>
        <v>Hutchinson</v>
      </c>
      <c r="E5676" t="str">
        <f>IFERROR(__xludf.DUMMYFUNCTION("""COMPUTED_VALUE"""),"Steve")</f>
        <v>Steve</v>
      </c>
      <c r="F5676" t="str">
        <f>IFERROR(__xludf.DUMMYFUNCTION("""COMPUTED_VALUE"""),"TEN")</f>
        <v>TEN</v>
      </c>
      <c r="G5676">
        <f>IFERROR(__xludf.DUMMYFUNCTION("""COMPUTED_VALUE"""),20.5)</f>
        <v>20.5</v>
      </c>
    </row>
    <row r="5677">
      <c r="D5677" t="str">
        <f>IFERROR(__xludf.DUMMYFUNCTION("""COMPUTED_VALUE"""),"Hutchinson")</f>
        <v>Hutchinson</v>
      </c>
      <c r="E5677" t="str">
        <f>IFERROR(__xludf.DUMMYFUNCTION("""COMPUTED_VALUE"""),"Steve")</f>
        <v>Steve</v>
      </c>
      <c r="F5677" t="str">
        <f>IFERROR(__xludf.DUMMYFUNCTION("""COMPUTED_VALUE"""),"SEA")</f>
        <v>SEA</v>
      </c>
      <c r="G5677">
        <f>IFERROR(__xludf.DUMMYFUNCTION("""COMPUTED_VALUE"""),22.0)</f>
        <v>22</v>
      </c>
    </row>
    <row r="5678">
      <c r="D5678" t="str">
        <f>IFERROR(__xludf.DUMMYFUNCTION("""COMPUTED_VALUE"""),"Hutchinson")</f>
        <v>Hutchinson</v>
      </c>
      <c r="E5678" t="str">
        <f>IFERROR(__xludf.DUMMYFUNCTION("""COMPUTED_VALUE"""),"Steve")</f>
        <v>Steve</v>
      </c>
      <c r="F5678" t="str">
        <f>IFERROR(__xludf.DUMMYFUNCTION("""COMPUTED_VALUE"""),"SEA")</f>
        <v>SEA</v>
      </c>
      <c r="G5678">
        <f>IFERROR(__xludf.DUMMYFUNCTION("""COMPUTED_VALUE"""),22.5)</f>
        <v>22.5</v>
      </c>
    </row>
    <row r="5679">
      <c r="D5679" t="str">
        <f>IFERROR(__xludf.DUMMYFUNCTION("""COMPUTED_VALUE"""),"Hutchinson")</f>
        <v>Hutchinson</v>
      </c>
      <c r="E5679" t="str">
        <f>IFERROR(__xludf.DUMMYFUNCTION("""COMPUTED_VALUE"""),"Steve")</f>
        <v>Steve</v>
      </c>
      <c r="F5679" t="str">
        <f>IFERROR(__xludf.DUMMYFUNCTION("""COMPUTED_VALUE"""),"MIN")</f>
        <v>MIN</v>
      </c>
      <c r="G5679">
        <f>IFERROR(__xludf.DUMMYFUNCTION("""COMPUTED_VALUE"""),21.5)</f>
        <v>21.5</v>
      </c>
    </row>
    <row r="5680">
      <c r="D5680" t="str">
        <f>IFERROR(__xludf.DUMMYFUNCTION("""COMPUTED_VALUE"""),"Hutchinson")</f>
        <v>Hutchinson</v>
      </c>
      <c r="E5680" t="str">
        <f>IFERROR(__xludf.DUMMYFUNCTION("""COMPUTED_VALUE"""),"Steve")</f>
        <v>Steve</v>
      </c>
      <c r="F5680" t="str">
        <f>IFERROR(__xludf.DUMMYFUNCTION("""COMPUTED_VALUE"""),"MIN")</f>
        <v>MIN</v>
      </c>
      <c r="G5680">
        <f>IFERROR(__xludf.DUMMYFUNCTION("""COMPUTED_VALUE"""),21.0)</f>
        <v>21</v>
      </c>
    </row>
    <row r="5681">
      <c r="D5681" t="str">
        <f>IFERROR(__xludf.DUMMYFUNCTION("""COMPUTED_VALUE"""),"Hyde")</f>
        <v>Hyde</v>
      </c>
      <c r="E5681" t="str">
        <f>IFERROR(__xludf.DUMMYFUNCTION("""COMPUTED_VALUE"""),"Carlos")</f>
        <v>Carlos</v>
      </c>
      <c r="F5681" t="str">
        <f>IFERROR(__xludf.DUMMYFUNCTION("""COMPUTED_VALUE"""),"CLE")</f>
        <v>CLE</v>
      </c>
      <c r="G5681">
        <f>IFERROR(__xludf.DUMMYFUNCTION("""COMPUTED_VALUE"""),20.0)</f>
        <v>20</v>
      </c>
    </row>
    <row r="5682">
      <c r="D5682" t="str">
        <f>IFERROR(__xludf.DUMMYFUNCTION("""COMPUTED_VALUE"""),"Hyde")</f>
        <v>Hyde</v>
      </c>
      <c r="E5682" t="str">
        <f>IFERROR(__xludf.DUMMYFUNCTION("""COMPUTED_VALUE"""),"Micah")</f>
        <v>Micah</v>
      </c>
      <c r="F5682" t="str">
        <f>IFERROR(__xludf.DUMMYFUNCTION("""COMPUTED_VALUE"""),"BUF")</f>
        <v>BUF</v>
      </c>
      <c r="G5682">
        <f>IFERROR(__xludf.DUMMYFUNCTION("""COMPUTED_VALUE"""),20.75)</f>
        <v>20.75</v>
      </c>
    </row>
    <row r="5683">
      <c r="D5683" t="str">
        <f>IFERROR(__xludf.DUMMYFUNCTION("""COMPUTED_VALUE"""),"Hyder Jr")</f>
        <v>Hyder Jr</v>
      </c>
      <c r="E5683" t="str">
        <f>IFERROR(__xludf.DUMMYFUNCTION("""COMPUTED_VALUE"""),"Kerry")</f>
        <v>Kerry</v>
      </c>
      <c r="F5683" t="str">
        <f>IFERROR(__xludf.DUMMYFUNCTION("""COMPUTED_VALUE"""),"DET")</f>
        <v>DET</v>
      </c>
      <c r="G5683">
        <f>IFERROR(__xludf.DUMMYFUNCTION("""COMPUTED_VALUE"""),19.0)</f>
        <v>19</v>
      </c>
    </row>
    <row r="5684">
      <c r="D5684" t="str">
        <f>IFERROR(__xludf.DUMMYFUNCTION("""COMPUTED_VALUE"""),"Ifedi")</f>
        <v>Ifedi</v>
      </c>
      <c r="E5684" t="str">
        <f>IFERROR(__xludf.DUMMYFUNCTION("""COMPUTED_VALUE"""),"Germain")</f>
        <v>Germain</v>
      </c>
      <c r="F5684" t="str">
        <f>IFERROR(__xludf.DUMMYFUNCTION("""COMPUTED_VALUE"""),"SEA")</f>
        <v>SEA</v>
      </c>
      <c r="G5684">
        <f>IFERROR(__xludf.DUMMYFUNCTION("""COMPUTED_VALUE"""),18.25)</f>
        <v>18.25</v>
      </c>
    </row>
    <row r="5685">
      <c r="D5685" t="str">
        <f>IFERROR(__xludf.DUMMYFUNCTION("""COMPUTED_VALUE"""),"Ijalana")</f>
        <v>Ijalana</v>
      </c>
      <c r="E5685" t="str">
        <f>IFERROR(__xludf.DUMMYFUNCTION("""COMPUTED_VALUE"""),"Ben")</f>
        <v>Ben</v>
      </c>
      <c r="F5685" t="str">
        <f>IFERROR(__xludf.DUMMYFUNCTION("""COMPUTED_VALUE"""),"NYJ")</f>
        <v>NYJ</v>
      </c>
      <c r="G5685">
        <f>IFERROR(__xludf.DUMMYFUNCTION("""COMPUTED_VALUE"""),17.75)</f>
        <v>17.75</v>
      </c>
    </row>
    <row r="5686">
      <c r="D5686" t="str">
        <f>IFERROR(__xludf.DUMMYFUNCTION("""COMPUTED_VALUE"""),"Iloka")</f>
        <v>Iloka</v>
      </c>
      <c r="E5686" t="str">
        <f>IFERROR(__xludf.DUMMYFUNCTION("""COMPUTED_VALUE"""),"George")</f>
        <v>George</v>
      </c>
      <c r="F5686" t="str">
        <f>IFERROR(__xludf.DUMMYFUNCTION("""COMPUTED_VALUE"""),"CIN")</f>
        <v>CIN</v>
      </c>
      <c r="G5686">
        <f>IFERROR(__xludf.DUMMYFUNCTION("""COMPUTED_VALUE"""),19.25)</f>
        <v>19.25</v>
      </c>
    </row>
    <row r="5687">
      <c r="D5687" t="str">
        <f>IFERROR(__xludf.DUMMYFUNCTION("""COMPUTED_VALUE"""),"Ingram")</f>
        <v>Ingram</v>
      </c>
      <c r="E5687" t="str">
        <f>IFERROR(__xludf.DUMMYFUNCTION("""COMPUTED_VALUE"""),"Melvin")</f>
        <v>Melvin</v>
      </c>
      <c r="F5687" t="str">
        <f>IFERROR(__xludf.DUMMYFUNCTION("""COMPUTED_VALUE"""),"LAC")</f>
        <v>LAC</v>
      </c>
      <c r="G5687">
        <f>IFERROR(__xludf.DUMMYFUNCTION("""COMPUTED_VALUE"""),21.0)</f>
        <v>21</v>
      </c>
    </row>
    <row r="5688">
      <c r="D5688" t="str">
        <f>IFERROR(__xludf.DUMMYFUNCTION("""COMPUTED_VALUE"""),"Ingram II")</f>
        <v>Ingram II</v>
      </c>
      <c r="E5688" t="str">
        <f>IFERROR(__xludf.DUMMYFUNCTION("""COMPUTED_VALUE"""),"Mark")</f>
        <v>Mark</v>
      </c>
      <c r="F5688" t="str">
        <f>IFERROR(__xludf.DUMMYFUNCTION("""COMPUTED_VALUE"""),"NO")</f>
        <v>NO</v>
      </c>
      <c r="G5688">
        <f>IFERROR(__xludf.DUMMYFUNCTION("""COMPUTED_VALUE"""),20.75)</f>
        <v>20.75</v>
      </c>
    </row>
    <row r="5689">
      <c r="D5689" t="str">
        <f>IFERROR(__xludf.DUMMYFUNCTION("""COMPUTED_VALUE"""),"Inman")</f>
        <v>Inman</v>
      </c>
      <c r="E5689" t="str">
        <f>IFERROR(__xludf.DUMMYFUNCTION("""COMPUTED_VALUE"""),"Dontrelle")</f>
        <v>Dontrelle</v>
      </c>
      <c r="F5689" t="str">
        <f>IFERROR(__xludf.DUMMYFUNCTION("""COMPUTED_VALUE"""),"CHI")</f>
        <v>CHI</v>
      </c>
      <c r="G5689">
        <f>IFERROR(__xludf.DUMMYFUNCTION("""COMPUTED_VALUE"""),15.25)</f>
        <v>15.25</v>
      </c>
    </row>
    <row r="5690">
      <c r="D5690" t="str">
        <f>IFERROR(__xludf.DUMMYFUNCTION("""COMPUTED_VALUE"""),"Ioannidis")</f>
        <v>Ioannidis</v>
      </c>
      <c r="E5690" t="str">
        <f>IFERROR(__xludf.DUMMYFUNCTION("""COMPUTED_VALUE"""),"Matthew")</f>
        <v>Matthew</v>
      </c>
      <c r="F5690" t="str">
        <f>IFERROR(__xludf.DUMMYFUNCTION("""COMPUTED_VALUE"""),"WAS")</f>
        <v>WAS</v>
      </c>
      <c r="G5690">
        <f>IFERROR(__xludf.DUMMYFUNCTION("""COMPUTED_VALUE"""),19.5)</f>
        <v>19.5</v>
      </c>
    </row>
    <row r="5691">
      <c r="D5691" t="str">
        <f>IFERROR(__xludf.DUMMYFUNCTION("""COMPUTED_VALUE"""),"Irvin")</f>
        <v>Irvin</v>
      </c>
      <c r="E5691" t="str">
        <f>IFERROR(__xludf.DUMMYFUNCTION("""COMPUTED_VALUE"""),"Bruce")</f>
        <v>Bruce</v>
      </c>
      <c r="F5691" t="str">
        <f>IFERROR(__xludf.DUMMYFUNCTION("""COMPUTED_VALUE"""),"OAK")</f>
        <v>OAK</v>
      </c>
      <c r="G5691">
        <f>IFERROR(__xludf.DUMMYFUNCTION("""COMPUTED_VALUE"""),20.5)</f>
        <v>20.5</v>
      </c>
    </row>
    <row r="5692">
      <c r="D5692" t="str">
        <f>IFERROR(__xludf.DUMMYFUNCTION("""COMPUTED_VALUE"""),"Irving")</f>
        <v>Irving</v>
      </c>
      <c r="E5692" t="str">
        <f>IFERROR(__xludf.DUMMYFUNCTION("""COMPUTED_VALUE"""),"David")</f>
        <v>David</v>
      </c>
      <c r="F5692" t="str">
        <f>IFERROR(__xludf.DUMMYFUNCTION("""COMPUTED_VALUE"""),"DAL")</f>
        <v>DAL</v>
      </c>
      <c r="G5692">
        <f>IFERROR(__xludf.DUMMYFUNCTION("""COMPUTED_VALUE"""),19.75)</f>
        <v>19.75</v>
      </c>
    </row>
    <row r="5693">
      <c r="D5693" t="str">
        <f>IFERROR(__xludf.DUMMYFUNCTION("""COMPUTED_VALUE"""),"Irving")</f>
        <v>Irving</v>
      </c>
      <c r="E5693" t="str">
        <f>IFERROR(__xludf.DUMMYFUNCTION("""COMPUTED_VALUE"""),"Isaiah")</f>
        <v>Isaiah</v>
      </c>
      <c r="F5693" t="str">
        <f>IFERROR(__xludf.DUMMYFUNCTION("""COMPUTED_VALUE"""),"CHI")</f>
        <v>CHI</v>
      </c>
      <c r="G5693">
        <f>IFERROR(__xludf.DUMMYFUNCTION("""COMPUTED_VALUE"""),16.75)</f>
        <v>16.75</v>
      </c>
    </row>
    <row r="5694">
      <c r="D5694" t="str">
        <f>IFERROR(__xludf.DUMMYFUNCTION("""COMPUTED_VALUE"""),"Ishmael")</f>
        <v>Ishmael</v>
      </c>
      <c r="E5694" t="str">
        <f>IFERROR(__xludf.DUMMYFUNCTION("""COMPUTED_VALUE"""),"Kemal")</f>
        <v>Kemal</v>
      </c>
      <c r="F5694" t="str">
        <f>IFERROR(__xludf.DUMMYFUNCTION("""COMPUTED_VALUE"""),"ATL")</f>
        <v>ATL</v>
      </c>
      <c r="G5694">
        <f>IFERROR(__xludf.DUMMYFUNCTION("""COMPUTED_VALUE"""),17.25)</f>
        <v>17.25</v>
      </c>
    </row>
    <row r="5695">
      <c r="D5695" t="str">
        <f>IFERROR(__xludf.DUMMYFUNCTION("""COMPUTED_VALUE"""),"Isidora")</f>
        <v>Isidora</v>
      </c>
      <c r="E5695" t="str">
        <f>IFERROR(__xludf.DUMMYFUNCTION("""COMPUTED_VALUE"""),"Danny")</f>
        <v>Danny</v>
      </c>
      <c r="F5695" t="str">
        <f>IFERROR(__xludf.DUMMYFUNCTION("""COMPUTED_VALUE"""),"MIN")</f>
        <v>MIN</v>
      </c>
      <c r="G5695">
        <f>IFERROR(__xludf.DUMMYFUNCTION("""COMPUTED_VALUE"""),17.5)</f>
        <v>17.5</v>
      </c>
    </row>
    <row r="5696">
      <c r="D5696" t="str">
        <f>IFERROR(__xludf.DUMMYFUNCTION("""COMPUTED_VALUE"""),"Iupati")</f>
        <v>Iupati</v>
      </c>
      <c r="E5696" t="str">
        <f>IFERROR(__xludf.DUMMYFUNCTION("""COMPUTED_VALUE"""),"Mike")</f>
        <v>Mike</v>
      </c>
      <c r="F5696" t="str">
        <f>IFERROR(__xludf.DUMMYFUNCTION("""COMPUTED_VALUE"""),"ARZ")</f>
        <v>ARZ</v>
      </c>
      <c r="G5696">
        <f>IFERROR(__xludf.DUMMYFUNCTION("""COMPUTED_VALUE"""),19.75)</f>
        <v>19.75</v>
      </c>
    </row>
    <row r="5697">
      <c r="D5697" t="str">
        <f>IFERROR(__xludf.DUMMYFUNCTION("""COMPUTED_VALUE"""),"Ivie")</f>
        <v>Ivie</v>
      </c>
      <c r="E5697" t="str">
        <f>IFERROR(__xludf.DUMMYFUNCTION("""COMPUTED_VALUE"""),"Joey")</f>
        <v>Joey</v>
      </c>
      <c r="F5697" t="str">
        <f>IFERROR(__xludf.DUMMYFUNCTION("""COMPUTED_VALUE"""),"FA")</f>
        <v>FA</v>
      </c>
      <c r="G5697">
        <f>IFERROR(__xludf.DUMMYFUNCTION("""COMPUTED_VALUE"""),16.75)</f>
        <v>16.75</v>
      </c>
    </row>
    <row r="5698">
      <c r="D5698" t="str">
        <f>IFERROR(__xludf.DUMMYFUNCTION("""COMPUTED_VALUE"""),"Ivory")</f>
        <v>Ivory</v>
      </c>
      <c r="E5698" t="str">
        <f>IFERROR(__xludf.DUMMYFUNCTION("""COMPUTED_VALUE"""),"Chris")</f>
        <v>Chris</v>
      </c>
      <c r="F5698" t="str">
        <f>IFERROR(__xludf.DUMMYFUNCTION("""COMPUTED_VALUE"""),"BUF")</f>
        <v>BUF</v>
      </c>
      <c r="G5698">
        <f>IFERROR(__xludf.DUMMYFUNCTION("""COMPUTED_VALUE"""),19.0)</f>
        <v>19</v>
      </c>
    </row>
    <row r="5699">
      <c r="D5699" t="str">
        <f>IFERROR(__xludf.DUMMYFUNCTION("""COMPUTED_VALUE"""),"Iyiegbuniwe")</f>
        <v>Iyiegbuniwe</v>
      </c>
      <c r="E5699" t="str">
        <f>IFERROR(__xludf.DUMMYFUNCTION("""COMPUTED_VALUE"""),"Joel")</f>
        <v>Joel</v>
      </c>
      <c r="F5699" t="str">
        <f>IFERROR(__xludf.DUMMYFUNCTION("""COMPUTED_VALUE"""),"CHI")</f>
        <v>CHI</v>
      </c>
      <c r="G5699">
        <f>IFERROR(__xludf.DUMMYFUNCTION("""COMPUTED_VALUE"""),17.75)</f>
        <v>17.75</v>
      </c>
    </row>
    <row r="5700">
      <c r="D5700" t="str">
        <f>IFERROR(__xludf.DUMMYFUNCTION("""COMPUTED_VALUE"""),"Izzo")</f>
        <v>Izzo</v>
      </c>
      <c r="E5700" t="str">
        <f>IFERROR(__xludf.DUMMYFUNCTION("""COMPUTED_VALUE"""),"Ryan")</f>
        <v>Ryan</v>
      </c>
      <c r="F5700" t="str">
        <f>IFERROR(__xludf.DUMMYFUNCTION("""COMPUTED_VALUE"""),"NE")</f>
        <v>NE</v>
      </c>
      <c r="G5700">
        <f>IFERROR(__xludf.DUMMYFUNCTION("""COMPUTED_VALUE"""),17.0)</f>
        <v>17</v>
      </c>
    </row>
    <row r="5701">
      <c r="D5701" t="str">
        <f>IFERROR(__xludf.DUMMYFUNCTION("""COMPUTED_VALUE"""),"Jack")</f>
        <v>Jack</v>
      </c>
      <c r="E5701" t="str">
        <f>IFERROR(__xludf.DUMMYFUNCTION("""COMPUTED_VALUE"""),"Myles")</f>
        <v>Myles</v>
      </c>
      <c r="F5701" t="str">
        <f>IFERROR(__xludf.DUMMYFUNCTION("""COMPUTED_VALUE"""),"JAX")</f>
        <v>JAX</v>
      </c>
      <c r="G5701">
        <f>IFERROR(__xludf.DUMMYFUNCTION("""COMPUTED_VALUE"""),21.25)</f>
        <v>21.25</v>
      </c>
    </row>
    <row r="5702">
      <c r="D5702" t="str">
        <f>IFERROR(__xludf.DUMMYFUNCTION("""COMPUTED_VALUE"""),"Jackson")</f>
        <v>Jackson</v>
      </c>
      <c r="E5702" t="str">
        <f>IFERROR(__xludf.DUMMYFUNCTION("""COMPUTED_VALUE"""),"Adoree")</f>
        <v>Adoree</v>
      </c>
      <c r="F5702" t="str">
        <f>IFERROR(__xludf.DUMMYFUNCTION("""COMPUTED_VALUE"""),"TEN")</f>
        <v>TEN</v>
      </c>
      <c r="G5702">
        <f>IFERROR(__xludf.DUMMYFUNCTION("""COMPUTED_VALUE"""),20.5)</f>
        <v>20.5</v>
      </c>
    </row>
    <row r="5703">
      <c r="D5703" t="str">
        <f>IFERROR(__xludf.DUMMYFUNCTION("""COMPUTED_VALUE"""),"Jackson")</f>
        <v>Jackson</v>
      </c>
      <c r="E5703" t="str">
        <f>IFERROR(__xludf.DUMMYFUNCTION("""COMPUTED_VALUE"""),"Branden")</f>
        <v>Branden</v>
      </c>
      <c r="F5703" t="str">
        <f>IFERROR(__xludf.DUMMYFUNCTION("""COMPUTED_VALUE"""),"SEA")</f>
        <v>SEA</v>
      </c>
      <c r="G5703">
        <f>IFERROR(__xludf.DUMMYFUNCTION("""COMPUTED_VALUE"""),16.0)</f>
        <v>16</v>
      </c>
    </row>
    <row r="5704">
      <c r="D5704" t="str">
        <f>IFERROR(__xludf.DUMMYFUNCTION("""COMPUTED_VALUE"""),"Jackson")</f>
        <v>Jackson</v>
      </c>
      <c r="E5704" t="str">
        <f>IFERROR(__xludf.DUMMYFUNCTION("""COMPUTED_VALUE"""),"DeSean")</f>
        <v>DeSean</v>
      </c>
      <c r="F5704" t="str">
        <f>IFERROR(__xludf.DUMMYFUNCTION("""COMPUTED_VALUE"""),"TB")</f>
        <v>TB</v>
      </c>
      <c r="G5704">
        <f>IFERROR(__xludf.DUMMYFUNCTION("""COMPUTED_VALUE"""),20.5)</f>
        <v>20.5</v>
      </c>
    </row>
    <row r="5705">
      <c r="D5705" t="str">
        <f>IFERROR(__xludf.DUMMYFUNCTION("""COMPUTED_VALUE"""),"Jackson")</f>
        <v>Jackson</v>
      </c>
      <c r="E5705" t="str">
        <f>IFERROR(__xludf.DUMMYFUNCTION("""COMPUTED_VALUE"""),"Donte")</f>
        <v>Donte</v>
      </c>
      <c r="F5705" t="str">
        <f>IFERROR(__xludf.DUMMYFUNCTION("""COMPUTED_VALUE"""),"CAR")</f>
        <v>CAR</v>
      </c>
      <c r="G5705">
        <f>IFERROR(__xludf.DUMMYFUNCTION("""COMPUTED_VALUE"""),18.5)</f>
        <v>18.5</v>
      </c>
    </row>
    <row r="5706">
      <c r="D5706" t="str">
        <f>IFERROR(__xludf.DUMMYFUNCTION("""COMPUTED_VALUE"""),"Jackson")</f>
        <v>Jackson</v>
      </c>
      <c r="E5706" t="str">
        <f>IFERROR(__xludf.DUMMYFUNCTION("""COMPUTED_VALUE"""),"Eddie")</f>
        <v>Eddie</v>
      </c>
      <c r="F5706" t="str">
        <f>IFERROR(__xludf.DUMMYFUNCTION("""COMPUTED_VALUE"""),"CHI")</f>
        <v>CHI</v>
      </c>
      <c r="G5706">
        <f>IFERROR(__xludf.DUMMYFUNCTION("""COMPUTED_VALUE"""),19.25)</f>
        <v>19.25</v>
      </c>
    </row>
    <row r="5707">
      <c r="D5707" t="str">
        <f>IFERROR(__xludf.DUMMYFUNCTION("""COMPUTED_VALUE"""),"Jackson")</f>
        <v>Jackson</v>
      </c>
      <c r="E5707" t="str">
        <f>IFERROR(__xludf.DUMMYFUNCTION("""COMPUTED_VALUE"""),"Gabe")</f>
        <v>Gabe</v>
      </c>
      <c r="F5707" t="str">
        <f>IFERROR(__xludf.DUMMYFUNCTION("""COMPUTED_VALUE"""),"OAK")</f>
        <v>OAK</v>
      </c>
      <c r="G5707">
        <f>IFERROR(__xludf.DUMMYFUNCTION("""COMPUTED_VALUE"""),19.75)</f>
        <v>19.75</v>
      </c>
    </row>
    <row r="5708">
      <c r="D5708" t="str">
        <f>IFERROR(__xludf.DUMMYFUNCTION("""COMPUTED_VALUE"""),"Jackson")</f>
        <v>Jackson</v>
      </c>
      <c r="E5708" t="str">
        <f>IFERROR(__xludf.DUMMYFUNCTION("""COMPUTED_VALUE"""),"Josh")</f>
        <v>Josh</v>
      </c>
      <c r="F5708" t="str">
        <f>IFERROR(__xludf.DUMMYFUNCTION("""COMPUTED_VALUE"""),"GB")</f>
        <v>GB</v>
      </c>
      <c r="G5708">
        <f>IFERROR(__xludf.DUMMYFUNCTION("""COMPUTED_VALUE"""),18.75)</f>
        <v>18.75</v>
      </c>
    </row>
    <row r="5709">
      <c r="D5709" t="str">
        <f>IFERROR(__xludf.DUMMYFUNCTION("""COMPUTED_VALUE"""),"Jackson")</f>
        <v>Jackson</v>
      </c>
      <c r="E5709" t="str">
        <f>IFERROR(__xludf.DUMMYFUNCTION("""COMPUTED_VALUE"""),"Justin")</f>
        <v>Justin</v>
      </c>
      <c r="F5709" t="str">
        <f>IFERROR(__xludf.DUMMYFUNCTION("""COMPUTED_VALUE"""),"LAC")</f>
        <v>LAC</v>
      </c>
      <c r="G5709">
        <f>IFERROR(__xludf.DUMMYFUNCTION("""COMPUTED_VALUE"""),17.25)</f>
        <v>17.25</v>
      </c>
    </row>
    <row r="5710">
      <c r="D5710" t="str">
        <f>IFERROR(__xludf.DUMMYFUNCTION("""COMPUTED_VALUE"""),"Jackson")</f>
        <v>Jackson</v>
      </c>
      <c r="E5710" t="str">
        <f>IFERROR(__xludf.DUMMYFUNCTION("""COMPUTED_VALUE"""),"Kareem")</f>
        <v>Kareem</v>
      </c>
      <c r="F5710" t="str">
        <f>IFERROR(__xludf.DUMMYFUNCTION("""COMPUTED_VALUE"""),"HOU")</f>
        <v>HOU</v>
      </c>
      <c r="G5710">
        <f>IFERROR(__xludf.DUMMYFUNCTION("""COMPUTED_VALUE"""),19.5)</f>
        <v>19.5</v>
      </c>
    </row>
    <row r="5711">
      <c r="D5711" t="str">
        <f>IFERROR(__xludf.DUMMYFUNCTION("""COMPUTED_VALUE"""),"Jackson")</f>
        <v>Jackson</v>
      </c>
      <c r="E5711" t="str">
        <f>IFERROR(__xludf.DUMMYFUNCTION("""COMPUTED_VALUE"""),"Lamar")</f>
        <v>Lamar</v>
      </c>
      <c r="F5711" t="str">
        <f>IFERROR(__xludf.DUMMYFUNCTION("""COMPUTED_VALUE"""),"BAL")</f>
        <v>BAL</v>
      </c>
      <c r="G5711">
        <f>IFERROR(__xludf.DUMMYFUNCTION("""COMPUTED_VALUE"""),18.75)</f>
        <v>18.75</v>
      </c>
    </row>
    <row r="5712">
      <c r="D5712" t="str">
        <f>IFERROR(__xludf.DUMMYFUNCTION("""COMPUTED_VALUE"""),"Jackson")</f>
        <v>Jackson</v>
      </c>
      <c r="E5712" t="str">
        <f>IFERROR(__xludf.DUMMYFUNCTION("""COMPUTED_VALUE"""),"Malik")</f>
        <v>Malik</v>
      </c>
      <c r="F5712" t="str">
        <f>IFERROR(__xludf.DUMMYFUNCTION("""COMPUTED_VALUE"""),"JAX")</f>
        <v>JAX</v>
      </c>
      <c r="G5712">
        <f>IFERROR(__xludf.DUMMYFUNCTION("""COMPUTED_VALUE"""),20.5)</f>
        <v>20.5</v>
      </c>
    </row>
    <row r="5713">
      <c r="D5713" t="str">
        <f>IFERROR(__xludf.DUMMYFUNCTION("""COMPUTED_VALUE"""),"Jackson")</f>
        <v>Jackson</v>
      </c>
      <c r="E5713" t="str">
        <f>IFERROR(__xludf.DUMMYFUNCTION("""COMPUTED_VALUE"""),"William")</f>
        <v>William</v>
      </c>
      <c r="F5713" t="str">
        <f>IFERROR(__xludf.DUMMYFUNCTION("""COMPUTED_VALUE"""),"CIN")</f>
        <v>CIN</v>
      </c>
      <c r="G5713">
        <f>IFERROR(__xludf.DUMMYFUNCTION("""COMPUTED_VALUE"""),20.25)</f>
        <v>20.25</v>
      </c>
    </row>
    <row r="5714">
      <c r="D5714" t="str">
        <f>IFERROR(__xludf.DUMMYFUNCTION("""COMPUTED_VALUE"""),"Jacobs")</f>
        <v>Jacobs</v>
      </c>
      <c r="E5714" t="str">
        <f>IFERROR(__xludf.DUMMYFUNCTION("""COMPUTED_VALUE"""),"Ben")</f>
        <v>Ben</v>
      </c>
      <c r="F5714" t="str">
        <f>IFERROR(__xludf.DUMMYFUNCTION("""COMPUTED_VALUE"""),"CAR")</f>
        <v>CAR</v>
      </c>
      <c r="G5714">
        <f>IFERROR(__xludf.DUMMYFUNCTION("""COMPUTED_VALUE"""),16.75)</f>
        <v>16.75</v>
      </c>
    </row>
    <row r="5715">
      <c r="D5715" t="str">
        <f>IFERROR(__xludf.DUMMYFUNCTION("""COMPUTED_VALUE"""),"Jacobs")</f>
        <v>Jacobs</v>
      </c>
      <c r="E5715" t="str">
        <f>IFERROR(__xludf.DUMMYFUNCTION("""COMPUTED_VALUE"""),"Leon")</f>
        <v>Leon</v>
      </c>
      <c r="F5715" t="str">
        <f>IFERROR(__xludf.DUMMYFUNCTION("""COMPUTED_VALUE"""),"JAX")</f>
        <v>JAX</v>
      </c>
      <c r="G5715">
        <f>IFERROR(__xludf.DUMMYFUNCTION("""COMPUTED_VALUE"""),16.75)</f>
        <v>16.75</v>
      </c>
    </row>
    <row r="5716">
      <c r="D5716" t="str">
        <f>IFERROR(__xludf.DUMMYFUNCTION("""COMPUTED_VALUE"""),"Jamerson")</f>
        <v>Jamerson</v>
      </c>
      <c r="E5716" t="str">
        <f>IFERROR(__xludf.DUMMYFUNCTION("""COMPUTED_VALUE"""),"Natrell")</f>
        <v>Natrell</v>
      </c>
      <c r="F5716" t="str">
        <f>IFERROR(__xludf.DUMMYFUNCTION("""COMPUTED_VALUE"""),"NO")</f>
        <v>NO</v>
      </c>
      <c r="G5716">
        <f>IFERROR(__xludf.DUMMYFUNCTION("""COMPUTED_VALUE"""),16.75)</f>
        <v>16.75</v>
      </c>
    </row>
    <row r="5717">
      <c r="D5717" t="str">
        <f>IFERROR(__xludf.DUMMYFUNCTION("""COMPUTED_VALUE"""),"James")</f>
        <v>James</v>
      </c>
      <c r="E5717" t="str">
        <f>IFERROR(__xludf.DUMMYFUNCTION("""COMPUTED_VALUE"""),"Derwin")</f>
        <v>Derwin</v>
      </c>
      <c r="F5717" t="str">
        <f>IFERROR(__xludf.DUMMYFUNCTION("""COMPUTED_VALUE"""),"LAC")</f>
        <v>LAC</v>
      </c>
      <c r="G5717">
        <f>IFERROR(__xludf.DUMMYFUNCTION("""COMPUTED_VALUE"""),19.25)</f>
        <v>19.25</v>
      </c>
    </row>
    <row r="5718">
      <c r="D5718" t="str">
        <f>IFERROR(__xludf.DUMMYFUNCTION("""COMPUTED_VALUE"""),"James")</f>
        <v>James</v>
      </c>
      <c r="E5718" t="str">
        <f>IFERROR(__xludf.DUMMYFUNCTION("""COMPUTED_VALUE"""),"JaWuan")</f>
        <v>JaWuan</v>
      </c>
      <c r="F5718" t="str">
        <f>IFERROR(__xludf.DUMMYFUNCTION("""COMPUTED_VALUE"""),"MIA")</f>
        <v>MIA</v>
      </c>
      <c r="G5718">
        <f>IFERROR(__xludf.DUMMYFUNCTION("""COMPUTED_VALUE"""),20.0)</f>
        <v>20</v>
      </c>
    </row>
    <row r="5719">
      <c r="D5719" t="str">
        <f>IFERROR(__xludf.DUMMYFUNCTION("""COMPUTED_VALUE"""),"James")</f>
        <v>James</v>
      </c>
      <c r="E5719" t="str">
        <f>IFERROR(__xludf.DUMMYFUNCTION("""COMPUTED_VALUE"""),"Jesse")</f>
        <v>Jesse</v>
      </c>
      <c r="F5719" t="str">
        <f>IFERROR(__xludf.DUMMYFUNCTION("""COMPUTED_VALUE"""),"PIT")</f>
        <v>PIT</v>
      </c>
      <c r="G5719">
        <f>IFERROR(__xludf.DUMMYFUNCTION("""COMPUTED_VALUE"""),19.25)</f>
        <v>19.25</v>
      </c>
    </row>
    <row r="5720">
      <c r="D5720" t="str">
        <f>IFERROR(__xludf.DUMMYFUNCTION("""COMPUTED_VALUE"""),"James")</f>
        <v>James</v>
      </c>
      <c r="E5720" t="str">
        <f>IFERROR(__xludf.DUMMYFUNCTION("""COMPUTED_VALUE"""),"Josh")</f>
        <v>Josh</v>
      </c>
      <c r="F5720" t="str">
        <f>IFERROR(__xludf.DUMMYFUNCTION("""COMPUTED_VALUE"""),"BUF")</f>
        <v>BUF</v>
      </c>
      <c r="G5720">
        <f>IFERROR(__xludf.DUMMYFUNCTION("""COMPUTED_VALUE"""),15.5)</f>
        <v>15.5</v>
      </c>
    </row>
    <row r="5721">
      <c r="D5721" t="str">
        <f>IFERROR(__xludf.DUMMYFUNCTION("""COMPUTED_VALUE"""),"James")</f>
        <v>James</v>
      </c>
      <c r="E5721" t="str">
        <f>IFERROR(__xludf.DUMMYFUNCTION("""COMPUTED_VALUE"""),"Richie")</f>
        <v>Richie</v>
      </c>
      <c r="F5721" t="str">
        <f>IFERROR(__xludf.DUMMYFUNCTION("""COMPUTED_VALUE"""),"SF")</f>
        <v>SF</v>
      </c>
      <c r="G5721">
        <f>IFERROR(__xludf.DUMMYFUNCTION("""COMPUTED_VALUE"""),17.0)</f>
        <v>17</v>
      </c>
    </row>
    <row r="5722">
      <c r="D5722" t="str">
        <f>IFERROR(__xludf.DUMMYFUNCTION("""COMPUTED_VALUE"""),"Janikowski")</f>
        <v>Janikowski</v>
      </c>
      <c r="E5722" t="str">
        <f>IFERROR(__xludf.DUMMYFUNCTION("""COMPUTED_VALUE"""),"Sebastian")</f>
        <v>Sebastian</v>
      </c>
      <c r="F5722" t="str">
        <f>IFERROR(__xludf.DUMMYFUNCTION("""COMPUTED_VALUE"""),"SEA")</f>
        <v>SEA</v>
      </c>
      <c r="G5722">
        <f>IFERROR(__xludf.DUMMYFUNCTION("""COMPUTED_VALUE"""),21.0)</f>
        <v>21</v>
      </c>
    </row>
    <row r="5723">
      <c r="D5723" t="str">
        <f>IFERROR(__xludf.DUMMYFUNCTION("""COMPUTED_VALUE"""),"Janis")</f>
        <v>Janis</v>
      </c>
      <c r="E5723" t="str">
        <f>IFERROR(__xludf.DUMMYFUNCTION("""COMPUTED_VALUE"""),"Jeff")</f>
        <v>Jeff</v>
      </c>
      <c r="F5723" t="str">
        <f>IFERROR(__xludf.DUMMYFUNCTION("""COMPUTED_VALUE"""),"CLE")</f>
        <v>CLE</v>
      </c>
      <c r="G5723">
        <f>IFERROR(__xludf.DUMMYFUNCTION("""COMPUTED_VALUE"""),17.5)</f>
        <v>17.5</v>
      </c>
    </row>
    <row r="5724">
      <c r="D5724" t="str">
        <f>IFERROR(__xludf.DUMMYFUNCTION("""COMPUTED_VALUE"""),"Janovich")</f>
        <v>Janovich</v>
      </c>
      <c r="E5724" t="str">
        <f>IFERROR(__xludf.DUMMYFUNCTION("""COMPUTED_VALUE"""),"Andy")</f>
        <v>Andy</v>
      </c>
      <c r="F5724" t="str">
        <f>IFERROR(__xludf.DUMMYFUNCTION("""COMPUTED_VALUE"""),"DEN")</f>
        <v>DEN</v>
      </c>
      <c r="G5724">
        <f>IFERROR(__xludf.DUMMYFUNCTION("""COMPUTED_VALUE"""),19.5)</f>
        <v>19.5</v>
      </c>
    </row>
    <row r="5725">
      <c r="D5725" t="str">
        <f>IFERROR(__xludf.DUMMYFUNCTION("""COMPUTED_VALUE"""),"Jarrett")</f>
        <v>Jarrett</v>
      </c>
      <c r="E5725" t="str">
        <f>IFERROR(__xludf.DUMMYFUNCTION("""COMPUTED_VALUE"""),"Grady")</f>
        <v>Grady</v>
      </c>
      <c r="F5725" t="str">
        <f>IFERROR(__xludf.DUMMYFUNCTION("""COMPUTED_VALUE"""),"ATL")</f>
        <v>ATL</v>
      </c>
      <c r="G5725">
        <f>IFERROR(__xludf.DUMMYFUNCTION("""COMPUTED_VALUE"""),20.75)</f>
        <v>20.75</v>
      </c>
    </row>
    <row r="5726">
      <c r="D5726" t="str">
        <f>IFERROR(__xludf.DUMMYFUNCTION("""COMPUTED_VALUE"""),"Jarwin")</f>
        <v>Jarwin</v>
      </c>
      <c r="E5726" t="str">
        <f>IFERROR(__xludf.DUMMYFUNCTION("""COMPUTED_VALUE"""),"Blake")</f>
        <v>Blake</v>
      </c>
      <c r="F5726" t="str">
        <f>IFERROR(__xludf.DUMMYFUNCTION("""COMPUTED_VALUE"""),"DAL")</f>
        <v>DAL</v>
      </c>
      <c r="G5726">
        <f>IFERROR(__xludf.DUMMYFUNCTION("""COMPUTED_VALUE"""),17.25)</f>
        <v>17.25</v>
      </c>
    </row>
    <row r="5727">
      <c r="D5727" t="str">
        <f>IFERROR(__xludf.DUMMYFUNCTION("""COMPUTED_VALUE"""),"Jean-Baptiste")</f>
        <v>Jean-Baptiste</v>
      </c>
      <c r="E5727" t="str">
        <f>IFERROR(__xludf.DUMMYFUNCTION("""COMPUTED_VALUE"""),"Stanley")</f>
        <v>Stanley</v>
      </c>
      <c r="F5727" t="str">
        <f>IFERROR(__xludf.DUMMYFUNCTION("""COMPUTED_VALUE"""),"BAL")</f>
        <v>BAL</v>
      </c>
      <c r="G5727">
        <f>IFERROR(__xludf.DUMMYFUNCTION("""COMPUTED_VALUE"""),17.25)</f>
        <v>17.25</v>
      </c>
    </row>
    <row r="5728">
      <c r="D5728" t="str">
        <f>IFERROR(__xludf.DUMMYFUNCTION("""COMPUTED_VALUE"""),"Jefferson")</f>
        <v>Jefferson</v>
      </c>
      <c r="E5728" t="str">
        <f>IFERROR(__xludf.DUMMYFUNCTION("""COMPUTED_VALUE"""),"Malik")</f>
        <v>Malik</v>
      </c>
      <c r="F5728" t="str">
        <f>IFERROR(__xludf.DUMMYFUNCTION("""COMPUTED_VALUE"""),"CIN")</f>
        <v>CIN</v>
      </c>
      <c r="G5728">
        <f>IFERROR(__xludf.DUMMYFUNCTION("""COMPUTED_VALUE"""),17.0)</f>
        <v>17</v>
      </c>
    </row>
    <row r="5729">
      <c r="D5729" t="str">
        <f>IFERROR(__xludf.DUMMYFUNCTION("""COMPUTED_VALUE"""),"Jefferson")</f>
        <v>Jefferson</v>
      </c>
      <c r="E5729" t="str">
        <f>IFERROR(__xludf.DUMMYFUNCTION("""COMPUTED_VALUE"""),"Quinton")</f>
        <v>Quinton</v>
      </c>
      <c r="F5729" t="str">
        <f>IFERROR(__xludf.DUMMYFUNCTION("""COMPUTED_VALUE"""),"SEA")</f>
        <v>SEA</v>
      </c>
      <c r="G5729">
        <f>IFERROR(__xludf.DUMMYFUNCTION("""COMPUTED_VALUE"""),16.0)</f>
        <v>16</v>
      </c>
    </row>
    <row r="5730">
      <c r="D5730" t="str">
        <f>IFERROR(__xludf.DUMMYFUNCTION("""COMPUTED_VALUE"""),"Jefferson")</f>
        <v>Jefferson</v>
      </c>
      <c r="E5730" t="str">
        <f>IFERROR(__xludf.DUMMYFUNCTION("""COMPUTED_VALUE"""),"Tony")</f>
        <v>Tony</v>
      </c>
      <c r="F5730" t="str">
        <f>IFERROR(__xludf.DUMMYFUNCTION("""COMPUTED_VALUE"""),"BAL")</f>
        <v>BAL</v>
      </c>
      <c r="G5730">
        <f>IFERROR(__xludf.DUMMYFUNCTION("""COMPUTED_VALUE"""),20.0)</f>
        <v>20</v>
      </c>
    </row>
    <row r="5731">
      <c r="D5731" t="str">
        <f>IFERROR(__xludf.DUMMYFUNCTION("""COMPUTED_VALUE"""),"Jeffery")</f>
        <v>Jeffery</v>
      </c>
      <c r="E5731" t="str">
        <f>IFERROR(__xludf.DUMMYFUNCTION("""COMPUTED_VALUE"""),"Alshon")</f>
        <v>Alshon</v>
      </c>
      <c r="F5731" t="str">
        <f>IFERROR(__xludf.DUMMYFUNCTION("""COMPUTED_VALUE"""),"PHI")</f>
        <v>PHI</v>
      </c>
      <c r="G5731">
        <f>IFERROR(__xludf.DUMMYFUNCTION("""COMPUTED_VALUE"""),21.25)</f>
        <v>21.25</v>
      </c>
    </row>
    <row r="5732">
      <c r="D5732" t="str">
        <f>IFERROR(__xludf.DUMMYFUNCTION("""COMPUTED_VALUE"""),"Jenkins")</f>
        <v>Jenkins</v>
      </c>
      <c r="E5732" t="str">
        <f>IFERROR(__xludf.DUMMYFUNCTION("""COMPUTED_VALUE"""),"Janoris")</f>
        <v>Janoris</v>
      </c>
      <c r="F5732" t="str">
        <f>IFERROR(__xludf.DUMMYFUNCTION("""COMPUTED_VALUE"""),"NYG")</f>
        <v>NYG</v>
      </c>
      <c r="G5732">
        <f>IFERROR(__xludf.DUMMYFUNCTION("""COMPUTED_VALUE"""),21.0)</f>
        <v>21</v>
      </c>
    </row>
    <row r="5733">
      <c r="D5733" t="str">
        <f>IFERROR(__xludf.DUMMYFUNCTION("""COMPUTED_VALUE"""),"Jenkins")</f>
        <v>Jenkins</v>
      </c>
      <c r="E5733" t="str">
        <f>IFERROR(__xludf.DUMMYFUNCTION("""COMPUTED_VALUE"""),"Jarvis")</f>
        <v>Jarvis</v>
      </c>
      <c r="F5733" t="str">
        <f>IFERROR(__xludf.DUMMYFUNCTION("""COMPUTED_VALUE"""),"KC")</f>
        <v>KC</v>
      </c>
      <c r="G5733">
        <f>IFERROR(__xludf.DUMMYFUNCTION("""COMPUTED_VALUE"""),17.25)</f>
        <v>17.25</v>
      </c>
    </row>
    <row r="5734">
      <c r="D5734" t="str">
        <f>IFERROR(__xludf.DUMMYFUNCTION("""COMPUTED_VALUE"""),"Jenkins")</f>
        <v>Jenkins</v>
      </c>
      <c r="E5734" t="str">
        <f>IFERROR(__xludf.DUMMYFUNCTION("""COMPUTED_VALUE"""),"John")</f>
        <v>John</v>
      </c>
      <c r="F5734" t="str">
        <f>IFERROR(__xludf.DUMMYFUNCTION("""COMPUTED_VALUE"""),"CHI")</f>
        <v>CHI</v>
      </c>
      <c r="G5734">
        <f>IFERROR(__xludf.DUMMYFUNCTION("""COMPUTED_VALUE"""),18.0)</f>
        <v>18</v>
      </c>
    </row>
    <row r="5735">
      <c r="D5735" t="str">
        <f>IFERROR(__xludf.DUMMYFUNCTION("""COMPUTED_VALUE"""),"Jenkins")</f>
        <v>Jenkins</v>
      </c>
      <c r="E5735" t="str">
        <f>IFERROR(__xludf.DUMMYFUNCTION("""COMPUTED_VALUE"""),"Jordan")</f>
        <v>Jordan</v>
      </c>
      <c r="F5735" t="str">
        <f>IFERROR(__xludf.DUMMYFUNCTION("""COMPUTED_VALUE"""),"NYJ")</f>
        <v>NYJ</v>
      </c>
      <c r="G5735">
        <f>IFERROR(__xludf.DUMMYFUNCTION("""COMPUTED_VALUE"""),20.0)</f>
        <v>20</v>
      </c>
    </row>
    <row r="5736">
      <c r="D5736" t="str">
        <f>IFERROR(__xludf.DUMMYFUNCTION("""COMPUTED_VALUE"""),"Jenkins")</f>
        <v>Jenkins</v>
      </c>
      <c r="E5736" t="str">
        <f>IFERROR(__xludf.DUMMYFUNCTION("""COMPUTED_VALUE"""),"Malcolm")</f>
        <v>Malcolm</v>
      </c>
      <c r="F5736" t="str">
        <f>IFERROR(__xludf.DUMMYFUNCTION("""COMPUTED_VALUE"""),"PHI")</f>
        <v>PHI</v>
      </c>
      <c r="G5736">
        <f>IFERROR(__xludf.DUMMYFUNCTION("""COMPUTED_VALUE"""),21.5)</f>
        <v>21.5</v>
      </c>
    </row>
    <row r="5737">
      <c r="D5737" t="str">
        <f>IFERROR(__xludf.DUMMYFUNCTION("""COMPUTED_VALUE"""),"Jenkins")</f>
        <v>Jenkins</v>
      </c>
      <c r="E5737" t="str">
        <f>IFERROR(__xludf.DUMMYFUNCTION("""COMPUTED_VALUE"""),"Rayshawn")</f>
        <v>Rayshawn</v>
      </c>
      <c r="F5737" t="str">
        <f>IFERROR(__xludf.DUMMYFUNCTION("""COMPUTED_VALUE"""),"LAC")</f>
        <v>LAC</v>
      </c>
      <c r="G5737">
        <f>IFERROR(__xludf.DUMMYFUNCTION("""COMPUTED_VALUE"""),17.5)</f>
        <v>17.5</v>
      </c>
    </row>
    <row r="5738">
      <c r="D5738" t="str">
        <f>IFERROR(__xludf.DUMMYFUNCTION("""COMPUTED_VALUE"""),"Jennings")</f>
        <v>Jennings</v>
      </c>
      <c r="E5738" t="str">
        <f>IFERROR(__xludf.DUMMYFUNCTION("""COMPUTED_VALUE"""),"Darius")</f>
        <v>Darius</v>
      </c>
      <c r="F5738" t="str">
        <f>IFERROR(__xludf.DUMMYFUNCTION("""COMPUTED_VALUE"""),"TEN")</f>
        <v>TEN</v>
      </c>
      <c r="G5738">
        <f>IFERROR(__xludf.DUMMYFUNCTION("""COMPUTED_VALUE"""),16.0)</f>
        <v>16</v>
      </c>
    </row>
    <row r="5739">
      <c r="D5739" t="str">
        <f>IFERROR(__xludf.DUMMYFUNCTION("""COMPUTED_VALUE"""),"Jensen")</f>
        <v>Jensen</v>
      </c>
      <c r="E5739" t="str">
        <f>IFERROR(__xludf.DUMMYFUNCTION("""COMPUTED_VALUE"""),"Ryan")</f>
        <v>Ryan</v>
      </c>
      <c r="F5739" t="str">
        <f>IFERROR(__xludf.DUMMYFUNCTION("""COMPUTED_VALUE"""),"TB")</f>
        <v>TB</v>
      </c>
      <c r="G5739">
        <f>IFERROR(__xludf.DUMMYFUNCTION("""COMPUTED_VALUE"""),19.5)</f>
        <v>19.5</v>
      </c>
    </row>
    <row r="5740">
      <c r="D5740" t="str">
        <f>IFERROR(__xludf.DUMMYFUNCTION("""COMPUTED_VALUE"""),"Jernigan")</f>
        <v>Jernigan</v>
      </c>
      <c r="E5740" t="str">
        <f>IFERROR(__xludf.DUMMYFUNCTION("""COMPUTED_VALUE"""),"Tim")</f>
        <v>Tim</v>
      </c>
      <c r="F5740" t="str">
        <f>IFERROR(__xludf.DUMMYFUNCTION("""COMPUTED_VALUE"""),"PHI")</f>
        <v>PHI</v>
      </c>
      <c r="G5740">
        <f>IFERROR(__xludf.DUMMYFUNCTION("""COMPUTED_VALUE"""),20.25)</f>
        <v>20.25</v>
      </c>
    </row>
    <row r="5741">
      <c r="D5741" t="str">
        <f>IFERROR(__xludf.DUMMYFUNCTION("""COMPUTED_VALUE"""),"Jerry")</f>
        <v>Jerry</v>
      </c>
      <c r="E5741" t="str">
        <f>IFERROR(__xludf.DUMMYFUNCTION("""COMPUTED_VALUE"""),"John")</f>
        <v>John</v>
      </c>
      <c r="F5741" t="str">
        <f>IFERROR(__xludf.DUMMYFUNCTION("""COMPUTED_VALUE"""),"NYG")</f>
        <v>NYG</v>
      </c>
      <c r="G5741">
        <f>IFERROR(__xludf.DUMMYFUNCTION("""COMPUTED_VALUE"""),19.25)</f>
        <v>19.25</v>
      </c>
    </row>
    <row r="5742">
      <c r="D5742" t="str">
        <f>IFERROR(__xludf.DUMMYFUNCTION("""COMPUTED_VALUE"""),"Jewell")</f>
        <v>Jewell</v>
      </c>
      <c r="E5742" t="str">
        <f>IFERROR(__xludf.DUMMYFUNCTION("""COMPUTED_VALUE"""),"Josey")</f>
        <v>Josey</v>
      </c>
      <c r="F5742" t="str">
        <f>IFERROR(__xludf.DUMMYFUNCTION("""COMPUTED_VALUE"""),"DEN")</f>
        <v>DEN</v>
      </c>
      <c r="G5742">
        <f>IFERROR(__xludf.DUMMYFUNCTION("""COMPUTED_VALUE"""),17.5)</f>
        <v>17.5</v>
      </c>
    </row>
    <row r="5743">
      <c r="D5743" t="str">
        <f>IFERROR(__xludf.DUMMYFUNCTION("""COMPUTED_VALUE"""),"Joeckel")</f>
        <v>Joeckel</v>
      </c>
      <c r="E5743" t="str">
        <f>IFERROR(__xludf.DUMMYFUNCTION("""COMPUTED_VALUE"""),"Luke")</f>
        <v>Luke</v>
      </c>
      <c r="F5743" t="str">
        <f>IFERROR(__xludf.DUMMYFUNCTION("""COMPUTED_VALUE"""),"FA")</f>
        <v>FA</v>
      </c>
      <c r="G5743">
        <f>IFERROR(__xludf.DUMMYFUNCTION("""COMPUTED_VALUE"""),15.0)</f>
        <v>15</v>
      </c>
    </row>
    <row r="5744">
      <c r="D5744" t="str">
        <f>IFERROR(__xludf.DUMMYFUNCTION("""COMPUTED_VALUE"""),"Johnson")</f>
        <v>Johnson</v>
      </c>
      <c r="E5744" t="str">
        <f>IFERROR(__xludf.DUMMYFUNCTION("""COMPUTED_VALUE"""),"Anthony")</f>
        <v>Anthony</v>
      </c>
      <c r="F5744" t="str">
        <f>IFERROR(__xludf.DUMMYFUNCTION("""COMPUTED_VALUE"""),"IND")</f>
        <v>IND</v>
      </c>
      <c r="G5744">
        <f>IFERROR(__xludf.DUMMYFUNCTION("""COMPUTED_VALUE"""),16.0)</f>
        <v>16</v>
      </c>
    </row>
    <row r="5745">
      <c r="D5745" t="str">
        <f>IFERROR(__xludf.DUMMYFUNCTION("""COMPUTED_VALUE"""),"Johnson")</f>
        <v>Johnson</v>
      </c>
      <c r="E5745" t="str">
        <f>IFERROR(__xludf.DUMMYFUNCTION("""COMPUTED_VALUE"""),"Austin")</f>
        <v>Austin</v>
      </c>
      <c r="F5745" t="str">
        <f>IFERROR(__xludf.DUMMYFUNCTION("""COMPUTED_VALUE"""),"TB")</f>
        <v>TB</v>
      </c>
      <c r="G5745">
        <f>IFERROR(__xludf.DUMMYFUNCTION("""COMPUTED_VALUE"""),17.0)</f>
        <v>17</v>
      </c>
    </row>
    <row r="5746">
      <c r="D5746" t="str">
        <f>IFERROR(__xludf.DUMMYFUNCTION("""COMPUTED_VALUE"""),"Johnson")</f>
        <v>Johnson</v>
      </c>
      <c r="E5746" t="str">
        <f>IFERROR(__xludf.DUMMYFUNCTION("""COMPUTED_VALUE"""),"Austin")</f>
        <v>Austin</v>
      </c>
      <c r="F5746" t="str">
        <f>IFERROR(__xludf.DUMMYFUNCTION("""COMPUTED_VALUE"""),"TEN")</f>
        <v>TEN</v>
      </c>
      <c r="G5746">
        <f>IFERROR(__xludf.DUMMYFUNCTION("""COMPUTED_VALUE"""),18.0)</f>
        <v>18</v>
      </c>
    </row>
    <row r="5747">
      <c r="D5747" t="str">
        <f>IFERROR(__xludf.DUMMYFUNCTION("""COMPUTED_VALUE"""),"Johnson")</f>
        <v>Johnson</v>
      </c>
      <c r="E5747" t="str">
        <f>IFERROR(__xludf.DUMMYFUNCTION("""COMPUTED_VALUE"""),"Cam")</f>
        <v>Cam</v>
      </c>
      <c r="F5747" t="str">
        <f>IFERROR(__xludf.DUMMYFUNCTION("""COMPUTED_VALUE"""),"DET")</f>
        <v>DET</v>
      </c>
      <c r="G5747">
        <f>IFERROR(__xludf.DUMMYFUNCTION("""COMPUTED_VALUE"""),19.5)</f>
        <v>19.5</v>
      </c>
    </row>
    <row r="5748">
      <c r="D5748" t="str">
        <f>IFERROR(__xludf.DUMMYFUNCTION("""COMPUTED_VALUE"""),"Johnson")</f>
        <v>Johnson</v>
      </c>
      <c r="E5748" t="str">
        <f>IFERROR(__xludf.DUMMYFUNCTION("""COMPUTED_VALUE"""),"Charles")</f>
        <v>Charles</v>
      </c>
      <c r="F5748" t="str">
        <f>IFERROR(__xludf.DUMMYFUNCTION("""COMPUTED_VALUE"""),"NYJ")</f>
        <v>NYJ</v>
      </c>
      <c r="G5748">
        <f>IFERROR(__xludf.DUMMYFUNCTION("""COMPUTED_VALUE"""),18.0)</f>
        <v>18</v>
      </c>
    </row>
    <row r="5749">
      <c r="D5749" t="str">
        <f>IFERROR(__xludf.DUMMYFUNCTION("""COMPUTED_VALUE"""),"Johnson")</f>
        <v>Johnson</v>
      </c>
      <c r="E5749" t="str">
        <f>IFERROR(__xludf.DUMMYFUNCTION("""COMPUTED_VALUE"""),"David")</f>
        <v>David</v>
      </c>
      <c r="F5749" t="str">
        <f>IFERROR(__xludf.DUMMYFUNCTION("""COMPUTED_VALUE"""),"ARZ")</f>
        <v>ARZ</v>
      </c>
      <c r="G5749">
        <f>IFERROR(__xludf.DUMMYFUNCTION("""COMPUTED_VALUE"""),21.75)</f>
        <v>21.75</v>
      </c>
    </row>
    <row r="5750">
      <c r="D5750" t="str">
        <f>IFERROR(__xludf.DUMMYFUNCTION("""COMPUTED_VALUE"""),"Johnson")</f>
        <v>Johnson</v>
      </c>
      <c r="E5750" t="str">
        <f>IFERROR(__xludf.DUMMYFUNCTION("""COMPUTED_VALUE"""),"Denzel")</f>
        <v>Denzel</v>
      </c>
      <c r="F5750" t="str">
        <f>IFERROR(__xludf.DUMMYFUNCTION("""COMPUTED_VALUE"""),"FA")</f>
        <v>FA</v>
      </c>
      <c r="G5750">
        <f>IFERROR(__xludf.DUMMYFUNCTION("""COMPUTED_VALUE"""),17.0)</f>
        <v>17</v>
      </c>
    </row>
    <row r="5751">
      <c r="D5751" t="str">
        <f>IFERROR(__xludf.DUMMYFUNCTION("""COMPUTED_VALUE"""),"Johnson")</f>
        <v>Johnson</v>
      </c>
      <c r="E5751" t="str">
        <f>IFERROR(__xludf.DUMMYFUNCTION("""COMPUTED_VALUE"""),"Derrick")</f>
        <v>Derrick</v>
      </c>
      <c r="F5751" t="str">
        <f>IFERROR(__xludf.DUMMYFUNCTION("""COMPUTED_VALUE"""),"OAK")</f>
        <v>OAK</v>
      </c>
      <c r="G5751">
        <f>IFERROR(__xludf.DUMMYFUNCTION("""COMPUTED_VALUE"""),20.5)</f>
        <v>20.5</v>
      </c>
    </row>
    <row r="5752">
      <c r="D5752" t="str">
        <f>IFERROR(__xludf.DUMMYFUNCTION("""COMPUTED_VALUE"""),"Johnson")</f>
        <v>Johnson</v>
      </c>
      <c r="E5752" t="str">
        <f>IFERROR(__xludf.DUMMYFUNCTION("""COMPUTED_VALUE"""),"Dontae")</f>
        <v>Dontae</v>
      </c>
      <c r="F5752" t="str">
        <f>IFERROR(__xludf.DUMMYFUNCTION("""COMPUTED_VALUE"""),"SEA")</f>
        <v>SEA</v>
      </c>
      <c r="G5752">
        <f>IFERROR(__xludf.DUMMYFUNCTION("""COMPUTED_VALUE"""),17.75)</f>
        <v>17.75</v>
      </c>
    </row>
    <row r="5753">
      <c r="D5753" t="str">
        <f>IFERROR(__xludf.DUMMYFUNCTION("""COMPUTED_VALUE"""),"Johnson")</f>
        <v>Johnson</v>
      </c>
      <c r="E5753" t="str">
        <f>IFERROR(__xludf.DUMMYFUNCTION("""COMPUTED_VALUE"""),"Dorian")</f>
        <v>Dorian</v>
      </c>
      <c r="F5753" t="str">
        <f>IFERROR(__xludf.DUMMYFUNCTION("""COMPUTED_VALUE"""),"CAR")</f>
        <v>CAR</v>
      </c>
      <c r="G5753">
        <f>IFERROR(__xludf.DUMMYFUNCTION("""COMPUTED_VALUE"""),18.75)</f>
        <v>18.75</v>
      </c>
    </row>
    <row r="5754">
      <c r="D5754" t="str">
        <f>IFERROR(__xludf.DUMMYFUNCTION("""COMPUTED_VALUE"""),"Johnson")</f>
        <v>Johnson</v>
      </c>
      <c r="E5754" t="str">
        <f>IFERROR(__xludf.DUMMYFUNCTION("""COMPUTED_VALUE"""),"Isaiah")</f>
        <v>Isaiah</v>
      </c>
      <c r="F5754" t="str">
        <f>IFERROR(__xludf.DUMMYFUNCTION("""COMPUTED_VALUE"""),"TB")</f>
        <v>TB</v>
      </c>
      <c r="G5754">
        <f>IFERROR(__xludf.DUMMYFUNCTION("""COMPUTED_VALUE"""),16.75)</f>
        <v>16.75</v>
      </c>
    </row>
    <row r="5755">
      <c r="D5755" t="str">
        <f>IFERROR(__xludf.DUMMYFUNCTION("""COMPUTED_VALUE"""),"Johnson")</f>
        <v>Johnson</v>
      </c>
      <c r="E5755" t="str">
        <f>IFERROR(__xludf.DUMMYFUNCTION("""COMPUTED_VALUE"""),"Isaiah")</f>
        <v>Isaiah</v>
      </c>
      <c r="F5755" t="str">
        <f>IFERROR(__xludf.DUMMYFUNCTION("""COMPUTED_VALUE"""),"LAR")</f>
        <v>LAR</v>
      </c>
      <c r="G5755">
        <f>IFERROR(__xludf.DUMMYFUNCTION("""COMPUTED_VALUE"""),16.0)</f>
        <v>16</v>
      </c>
    </row>
    <row r="5756">
      <c r="D5756" t="str">
        <f>IFERROR(__xludf.DUMMYFUNCTION("""COMPUTED_VALUE"""),"Johnson")</f>
        <v>Johnson</v>
      </c>
      <c r="E5756" t="str">
        <f>IFERROR(__xludf.DUMMYFUNCTION("""COMPUTED_VALUE"""),"Jaleel")</f>
        <v>Jaleel</v>
      </c>
      <c r="F5756" t="str">
        <f>IFERROR(__xludf.DUMMYFUNCTION("""COMPUTED_VALUE"""),"MIN")</f>
        <v>MIN</v>
      </c>
      <c r="G5756">
        <f>IFERROR(__xludf.DUMMYFUNCTION("""COMPUTED_VALUE"""),17.75)</f>
        <v>17.75</v>
      </c>
    </row>
    <row r="5757">
      <c r="D5757" t="str">
        <f>IFERROR(__xludf.DUMMYFUNCTION("""COMPUTED_VALUE"""),"Johnson")</f>
        <v>Johnson</v>
      </c>
      <c r="E5757" t="str">
        <f>IFERROR(__xludf.DUMMYFUNCTION("""COMPUTED_VALUE"""),"Kerryon")</f>
        <v>Kerryon</v>
      </c>
      <c r="F5757" t="str">
        <f>IFERROR(__xludf.DUMMYFUNCTION("""COMPUTED_VALUE"""),"DET")</f>
        <v>DET</v>
      </c>
      <c r="G5757">
        <f>IFERROR(__xludf.DUMMYFUNCTION("""COMPUTED_VALUE"""),18.75)</f>
        <v>18.75</v>
      </c>
    </row>
    <row r="5758">
      <c r="D5758" t="str">
        <f>IFERROR(__xludf.DUMMYFUNCTION("""COMPUTED_VALUE"""),"Johnson")</f>
        <v>Johnson</v>
      </c>
      <c r="E5758" t="str">
        <f>IFERROR(__xludf.DUMMYFUNCTION("""COMPUTED_VALUE"""),"Kevin")</f>
        <v>Kevin</v>
      </c>
      <c r="F5758" t="str">
        <f>IFERROR(__xludf.DUMMYFUNCTION("""COMPUTED_VALUE"""),"HOU")</f>
        <v>HOU</v>
      </c>
      <c r="G5758">
        <f>IFERROR(__xludf.DUMMYFUNCTION("""COMPUTED_VALUE"""),18.25)</f>
        <v>18.25</v>
      </c>
    </row>
    <row r="5759">
      <c r="D5759" t="str">
        <f>IFERROR(__xludf.DUMMYFUNCTION("""COMPUTED_VALUE"""),"Johnson")</f>
        <v>Johnson</v>
      </c>
      <c r="E5759" t="str">
        <f>IFERROR(__xludf.DUMMYFUNCTION("""COMPUTED_VALUE"""),"Lane")</f>
        <v>Lane</v>
      </c>
      <c r="F5759" t="str">
        <f>IFERROR(__xludf.DUMMYFUNCTION("""COMPUTED_VALUE"""),"PHI")</f>
        <v>PHI</v>
      </c>
      <c r="G5759">
        <f>IFERROR(__xludf.DUMMYFUNCTION("""COMPUTED_VALUE"""),21.75)</f>
        <v>21.75</v>
      </c>
    </row>
    <row r="5760">
      <c r="D5760" t="str">
        <f>IFERROR(__xludf.DUMMYFUNCTION("""COMPUTED_VALUE"""),"Johnson")</f>
        <v>Johnson</v>
      </c>
      <c r="E5760" t="str">
        <f>IFERROR(__xludf.DUMMYFUNCTION("""COMPUTED_VALUE"""),"Marcus")</f>
        <v>Marcus</v>
      </c>
      <c r="F5760" t="str">
        <f>IFERROR(__xludf.DUMMYFUNCTION("""COMPUTED_VALUE"""),"SEA")</f>
        <v>SEA</v>
      </c>
      <c r="G5760">
        <f>IFERROR(__xludf.DUMMYFUNCTION("""COMPUTED_VALUE"""),17.25)</f>
        <v>17.25</v>
      </c>
    </row>
    <row r="5761">
      <c r="D5761" t="str">
        <f>IFERROR(__xludf.DUMMYFUNCTION("""COMPUTED_VALUE"""),"Johnson")</f>
        <v>Johnson</v>
      </c>
      <c r="E5761" t="str">
        <f>IFERROR(__xludf.DUMMYFUNCTION("""COMPUTED_VALUE"""),"Michael")</f>
        <v>Michael</v>
      </c>
      <c r="F5761" t="str">
        <f>IFERROR(__xludf.DUMMYFUNCTION("""COMPUTED_VALUE"""),"CIN")</f>
        <v>CIN</v>
      </c>
      <c r="G5761">
        <f>IFERROR(__xludf.DUMMYFUNCTION("""COMPUTED_VALUE"""),18.5)</f>
        <v>18.5</v>
      </c>
    </row>
    <row r="5762">
      <c r="D5762" t="str">
        <f>IFERROR(__xludf.DUMMYFUNCTION("""COMPUTED_VALUE"""),"Johnson")</f>
        <v>Johnson</v>
      </c>
      <c r="E5762" t="str">
        <f>IFERROR(__xludf.DUMMYFUNCTION("""COMPUTED_VALUE"""),"Rod")</f>
        <v>Rod</v>
      </c>
      <c r="F5762" t="str">
        <f>IFERROR(__xludf.DUMMYFUNCTION("""COMPUTED_VALUE"""),"CLE")</f>
        <v>CLE</v>
      </c>
      <c r="G5762">
        <f>IFERROR(__xludf.DUMMYFUNCTION("""COMPUTED_VALUE"""),18.25)</f>
        <v>18.25</v>
      </c>
    </row>
    <row r="5763">
      <c r="D5763" t="str">
        <f>IFERROR(__xludf.DUMMYFUNCTION("""COMPUTED_VALUE"""),"Johnson")</f>
        <v>Johnson</v>
      </c>
      <c r="E5763" t="str">
        <f>IFERROR(__xludf.DUMMYFUNCTION("""COMPUTED_VALUE"""),"Taron")</f>
        <v>Taron</v>
      </c>
      <c r="F5763" t="str">
        <f>IFERROR(__xludf.DUMMYFUNCTION("""COMPUTED_VALUE"""),"BUF")</f>
        <v>BUF</v>
      </c>
      <c r="G5763">
        <f>IFERROR(__xludf.DUMMYFUNCTION("""COMPUTED_VALUE"""),17.5)</f>
        <v>17.5</v>
      </c>
    </row>
    <row r="5764">
      <c r="D5764" t="str">
        <f>IFERROR(__xludf.DUMMYFUNCTION("""COMPUTED_VALUE"""),"Johnson")</f>
        <v>Johnson</v>
      </c>
      <c r="E5764" t="str">
        <f>IFERROR(__xludf.DUMMYFUNCTION("""COMPUTED_VALUE"""),"TJ")</f>
        <v>TJ</v>
      </c>
      <c r="F5764" t="str">
        <f>IFERROR(__xludf.DUMMYFUNCTION("""COMPUTED_VALUE"""),"CIN")</f>
        <v>CIN</v>
      </c>
      <c r="G5764">
        <f>IFERROR(__xludf.DUMMYFUNCTION("""COMPUTED_VALUE"""),17.0)</f>
        <v>17</v>
      </c>
    </row>
    <row r="5765">
      <c r="D5765" t="str">
        <f>IFERROR(__xludf.DUMMYFUNCTION("""COMPUTED_VALUE"""),"Johnson")</f>
        <v>Johnson</v>
      </c>
      <c r="E5765" t="str">
        <f>IFERROR(__xludf.DUMMYFUNCTION("""COMPUTED_VALUE"""),"Toby")</f>
        <v>Toby</v>
      </c>
      <c r="F5765" t="str">
        <f>IFERROR(__xludf.DUMMYFUNCTION("""COMPUTED_VALUE"""),"DET")</f>
        <v>DET</v>
      </c>
      <c r="G5765">
        <f>IFERROR(__xludf.DUMMYFUNCTION("""COMPUTED_VALUE"""),16.5)</f>
        <v>16.5</v>
      </c>
    </row>
    <row r="5766">
      <c r="D5766" t="str">
        <f>IFERROR(__xludf.DUMMYFUNCTION("""COMPUTED_VALUE"""),"Johnson")</f>
        <v>Johnson</v>
      </c>
      <c r="E5766" t="str">
        <f>IFERROR(__xludf.DUMMYFUNCTION("""COMPUTED_VALUE"""),"Tom")</f>
        <v>Tom</v>
      </c>
      <c r="F5766" t="str">
        <f>IFERROR(__xludf.DUMMYFUNCTION("""COMPUTED_VALUE"""),"SEA")</f>
        <v>SEA</v>
      </c>
      <c r="G5766">
        <f>IFERROR(__xludf.DUMMYFUNCTION("""COMPUTED_VALUE"""),18.5)</f>
        <v>18.5</v>
      </c>
    </row>
    <row r="5767">
      <c r="D5767" t="str">
        <f>IFERROR(__xludf.DUMMYFUNCTION("""COMPUTED_VALUE"""),"Johnson")</f>
        <v>Johnson</v>
      </c>
      <c r="E5767" t="str">
        <f>IFERROR(__xludf.DUMMYFUNCTION("""COMPUTED_VALUE"""),"Trevon")</f>
        <v>Trevon</v>
      </c>
      <c r="F5767" t="str">
        <f>IFERROR(__xludf.DUMMYFUNCTION("""COMPUTED_VALUE"""),"DAL")</f>
        <v>DAL</v>
      </c>
      <c r="G5767">
        <f>IFERROR(__xludf.DUMMYFUNCTION("""COMPUTED_VALUE"""),15.5)</f>
        <v>15.5</v>
      </c>
    </row>
    <row r="5768">
      <c r="D5768" t="str">
        <f>IFERROR(__xludf.DUMMYFUNCTION("""COMPUTED_VALUE"""),"Johnson")</f>
        <v>Johnson</v>
      </c>
      <c r="E5768" t="str">
        <f>IFERROR(__xludf.DUMMYFUNCTION("""COMPUTED_VALUE"""),"Trumaine")</f>
        <v>Trumaine</v>
      </c>
      <c r="F5768" t="str">
        <f>IFERROR(__xludf.DUMMYFUNCTION("""COMPUTED_VALUE"""),"NYJ")</f>
        <v>NYJ</v>
      </c>
      <c r="G5768">
        <f>IFERROR(__xludf.DUMMYFUNCTION("""COMPUTED_VALUE"""),20.5)</f>
        <v>20.5</v>
      </c>
    </row>
    <row r="5769">
      <c r="D5769" t="str">
        <f>IFERROR(__xludf.DUMMYFUNCTION("""COMPUTED_VALUE"""),"Johnson")</f>
        <v>Johnson</v>
      </c>
      <c r="E5769" t="str">
        <f>IFERROR(__xludf.DUMMYFUNCTION("""COMPUTED_VALUE"""),"Wesley")</f>
        <v>Wesley</v>
      </c>
      <c r="F5769" t="str">
        <f>IFERROR(__xludf.DUMMYFUNCTION("""COMPUTED_VALUE"""),"DET")</f>
        <v>DET</v>
      </c>
      <c r="G5769">
        <f>IFERROR(__xludf.DUMMYFUNCTION("""COMPUTED_VALUE"""),17.25)</f>
        <v>17.25</v>
      </c>
    </row>
    <row r="5770">
      <c r="D5770" t="str">
        <f>IFERROR(__xludf.DUMMYFUNCTION("""COMPUTED_VALUE"""),"Johnson III")</f>
        <v>Johnson III</v>
      </c>
      <c r="E5770" t="str">
        <f>IFERROR(__xludf.DUMMYFUNCTION("""COMPUTED_VALUE"""),"John")</f>
        <v>John</v>
      </c>
      <c r="F5770" t="str">
        <f>IFERROR(__xludf.DUMMYFUNCTION("""COMPUTED_VALUE"""),"LAR")</f>
        <v>LAR</v>
      </c>
      <c r="G5770">
        <f>IFERROR(__xludf.DUMMYFUNCTION("""COMPUTED_VALUE"""),20.5)</f>
        <v>20.5</v>
      </c>
    </row>
    <row r="5771">
      <c r="D5771" t="str">
        <f>IFERROR(__xludf.DUMMYFUNCTION("""COMPUTED_VALUE"""),"Johnson Jr")</f>
        <v>Johnson Jr</v>
      </c>
      <c r="E5771" t="str">
        <f>IFERROR(__xludf.DUMMYFUNCTION("""COMPUTED_VALUE"""),"Duke")</f>
        <v>Duke</v>
      </c>
      <c r="F5771" t="str">
        <f>IFERROR(__xludf.DUMMYFUNCTION("""COMPUTED_VALUE"""),"CLE")</f>
        <v>CLE</v>
      </c>
      <c r="G5771">
        <f>IFERROR(__xludf.DUMMYFUNCTION("""COMPUTED_VALUE"""),19.5)</f>
        <v>19.5</v>
      </c>
    </row>
    <row r="5772">
      <c r="D5772" t="str">
        <f>IFERROR(__xludf.DUMMYFUNCTION("""COMPUTED_VALUE"""),"Johnson Jr")</f>
        <v>Johnson Jr</v>
      </c>
      <c r="E5772" t="str">
        <f>IFERROR(__xludf.DUMMYFUNCTION("""COMPUTED_VALUE"""),"George")</f>
        <v>George</v>
      </c>
      <c r="F5772" t="str">
        <f>IFERROR(__xludf.DUMMYFUNCTION("""COMPUTED_VALUE"""),"NO")</f>
        <v>NO</v>
      </c>
      <c r="G5772">
        <f>IFERROR(__xludf.DUMMYFUNCTION("""COMPUTED_VALUE"""),17.25)</f>
        <v>17.25</v>
      </c>
    </row>
    <row r="5773">
      <c r="D5773" t="str">
        <f>IFERROR(__xludf.DUMMYFUNCTION("""COMPUTED_VALUE"""),"Jones")</f>
        <v>Jones</v>
      </c>
      <c r="E5773" t="str">
        <f>IFERROR(__xludf.DUMMYFUNCTION("""COMPUTED_VALUE"""),"Aaron")</f>
        <v>Aaron</v>
      </c>
      <c r="F5773" t="str">
        <f>IFERROR(__xludf.DUMMYFUNCTION("""COMPUTED_VALUE"""),"GB")</f>
        <v>GB</v>
      </c>
      <c r="G5773">
        <f>IFERROR(__xludf.DUMMYFUNCTION("""COMPUTED_VALUE"""),19.5)</f>
        <v>19.5</v>
      </c>
    </row>
    <row r="5774">
      <c r="D5774" t="str">
        <f>IFERROR(__xludf.DUMMYFUNCTION("""COMPUTED_VALUE"""),"Jones")</f>
        <v>Jones</v>
      </c>
      <c r="E5774" t="str">
        <f>IFERROR(__xludf.DUMMYFUNCTION("""COMPUTED_VALUE"""),"Abry")</f>
        <v>Abry</v>
      </c>
      <c r="F5774" t="str">
        <f>IFERROR(__xludf.DUMMYFUNCTION("""COMPUTED_VALUE"""),"JAX")</f>
        <v>JAX</v>
      </c>
      <c r="G5774">
        <f>IFERROR(__xludf.DUMMYFUNCTION("""COMPUTED_VALUE"""),19.0)</f>
        <v>19</v>
      </c>
    </row>
    <row r="5775">
      <c r="D5775" t="str">
        <f>IFERROR(__xludf.DUMMYFUNCTION("""COMPUTED_VALUE"""),"Jones")</f>
        <v>Jones</v>
      </c>
      <c r="E5775" t="str">
        <f>IFERROR(__xludf.DUMMYFUNCTION("""COMPUTED_VALUE"""),"Adam")</f>
        <v>Adam</v>
      </c>
      <c r="F5775" t="str">
        <f>IFERROR(__xludf.DUMMYFUNCTION("""COMPUTED_VALUE"""),"FA")</f>
        <v>FA</v>
      </c>
      <c r="G5775">
        <f>IFERROR(__xludf.DUMMYFUNCTION("""COMPUTED_VALUE"""),15.25)</f>
        <v>15.25</v>
      </c>
    </row>
    <row r="5776">
      <c r="D5776" t="str">
        <f>IFERROR(__xludf.DUMMYFUNCTION("""COMPUTED_VALUE"""),"Jones")</f>
        <v>Jones</v>
      </c>
      <c r="E5776" t="str">
        <f>IFERROR(__xludf.DUMMYFUNCTION("""COMPUTED_VALUE"""),"Andy")</f>
        <v>Andy</v>
      </c>
      <c r="F5776" t="str">
        <f>IFERROR(__xludf.DUMMYFUNCTION("""COMPUTED_VALUE"""),"DET")</f>
        <v>DET</v>
      </c>
      <c r="G5776">
        <f>IFERROR(__xludf.DUMMYFUNCTION("""COMPUTED_VALUE"""),16.75)</f>
        <v>16.75</v>
      </c>
    </row>
    <row r="5777">
      <c r="D5777" t="str">
        <f>IFERROR(__xludf.DUMMYFUNCTION("""COMPUTED_VALUE"""),"Jones")</f>
        <v>Jones</v>
      </c>
      <c r="E5777" t="str">
        <f>IFERROR(__xludf.DUMMYFUNCTION("""COMPUTED_VALUE"""),"Ben")</f>
        <v>Ben</v>
      </c>
      <c r="F5777" t="str">
        <f>IFERROR(__xludf.DUMMYFUNCTION("""COMPUTED_VALUE"""),"TEN")</f>
        <v>TEN</v>
      </c>
      <c r="G5777">
        <f>IFERROR(__xludf.DUMMYFUNCTION("""COMPUTED_VALUE"""),19.25)</f>
        <v>19.25</v>
      </c>
    </row>
    <row r="5778">
      <c r="D5778" t="str">
        <f>IFERROR(__xludf.DUMMYFUNCTION("""COMPUTED_VALUE"""),"Jones")</f>
        <v>Jones</v>
      </c>
      <c r="E5778" t="str">
        <f>IFERROR(__xludf.DUMMYFUNCTION("""COMPUTED_VALUE"""),"Brett")</f>
        <v>Brett</v>
      </c>
      <c r="F5778" t="str">
        <f>IFERROR(__xludf.DUMMYFUNCTION("""COMPUTED_VALUE"""),"NYG")</f>
        <v>NYG</v>
      </c>
      <c r="G5778">
        <f>IFERROR(__xludf.DUMMYFUNCTION("""COMPUTED_VALUE"""),18.25)</f>
        <v>18.25</v>
      </c>
    </row>
    <row r="5779">
      <c r="D5779" t="str">
        <f>IFERROR(__xludf.DUMMYFUNCTION("""COMPUTED_VALUE"""),"Jones")</f>
        <v>Jones</v>
      </c>
      <c r="E5779" t="str">
        <f>IFERROR(__xludf.DUMMYFUNCTION("""COMPUTED_VALUE"""),"Byron")</f>
        <v>Byron</v>
      </c>
      <c r="F5779" t="str">
        <f>IFERROR(__xludf.DUMMYFUNCTION("""COMPUTED_VALUE"""),"DAL")</f>
        <v>DAL</v>
      </c>
      <c r="G5779">
        <f>IFERROR(__xludf.DUMMYFUNCTION("""COMPUTED_VALUE"""),19.5)</f>
        <v>19.5</v>
      </c>
    </row>
    <row r="5780">
      <c r="D5780" t="str">
        <f>IFERROR(__xludf.DUMMYFUNCTION("""COMPUTED_VALUE"""),"Jones")</f>
        <v>Jones</v>
      </c>
      <c r="E5780" t="str">
        <f>IFERROR(__xludf.DUMMYFUNCTION("""COMPUTED_VALUE"""),"Cardale")</f>
        <v>Cardale</v>
      </c>
      <c r="F5780" t="str">
        <f>IFERROR(__xludf.DUMMYFUNCTION("""COMPUTED_VALUE"""),"LAC")</f>
        <v>LAC</v>
      </c>
      <c r="G5780">
        <f>IFERROR(__xludf.DUMMYFUNCTION("""COMPUTED_VALUE"""),16.75)</f>
        <v>16.75</v>
      </c>
    </row>
    <row r="5781">
      <c r="D5781" t="str">
        <f>IFERROR(__xludf.DUMMYFUNCTION("""COMPUTED_VALUE"""),"Jones")</f>
        <v>Jones</v>
      </c>
      <c r="E5781" t="str">
        <f>IFERROR(__xludf.DUMMYFUNCTION("""COMPUTED_VALUE"""),"Chandler")</f>
        <v>Chandler</v>
      </c>
      <c r="F5781" t="str">
        <f>IFERROR(__xludf.DUMMYFUNCTION("""COMPUTED_VALUE"""),"ARZ")</f>
        <v>ARZ</v>
      </c>
      <c r="G5781">
        <f>IFERROR(__xludf.DUMMYFUNCTION("""COMPUTED_VALUE"""),20.5)</f>
        <v>20.5</v>
      </c>
    </row>
    <row r="5782">
      <c r="D5782" t="str">
        <f>IFERROR(__xludf.DUMMYFUNCTION("""COMPUTED_VALUE"""),"Jones")</f>
        <v>Jones</v>
      </c>
      <c r="E5782" t="str">
        <f>IFERROR(__xludf.DUMMYFUNCTION("""COMPUTED_VALUE"""),"Chris")</f>
        <v>Chris</v>
      </c>
      <c r="F5782" t="str">
        <f>IFERROR(__xludf.DUMMYFUNCTION("""COMPUTED_VALUE"""),"DAL")</f>
        <v>DAL</v>
      </c>
      <c r="G5782">
        <f>IFERROR(__xludf.DUMMYFUNCTION("""COMPUTED_VALUE"""),21.0)</f>
        <v>21</v>
      </c>
    </row>
    <row r="5783">
      <c r="D5783" t="str">
        <f>IFERROR(__xludf.DUMMYFUNCTION("""COMPUTED_VALUE"""),"Jones")</f>
        <v>Jones</v>
      </c>
      <c r="E5783" t="str">
        <f>IFERROR(__xludf.DUMMYFUNCTION("""COMPUTED_VALUE"""),"Chris")</f>
        <v>Chris</v>
      </c>
      <c r="F5783" t="str">
        <f>IFERROR(__xludf.DUMMYFUNCTION("""COMPUTED_VALUE"""),"KC")</f>
        <v>KC</v>
      </c>
      <c r="G5783">
        <f>IFERROR(__xludf.DUMMYFUNCTION("""COMPUTED_VALUE"""),20.5)</f>
        <v>20.5</v>
      </c>
    </row>
    <row r="5784">
      <c r="D5784" t="str">
        <f>IFERROR(__xludf.DUMMYFUNCTION("""COMPUTED_VALUE"""),"Jones")</f>
        <v>Jones</v>
      </c>
      <c r="E5784" t="str">
        <f>IFERROR(__xludf.DUMMYFUNCTION("""COMPUTED_VALUE"""),"Chris")</f>
        <v>Chris</v>
      </c>
      <c r="F5784" t="str">
        <f>IFERROR(__xludf.DUMMYFUNCTION("""COMPUTED_VALUE"""),"KC")</f>
        <v>KC</v>
      </c>
      <c r="G5784">
        <f>IFERROR(__xludf.DUMMYFUNCTION("""COMPUTED_VALUE"""),21.75)</f>
        <v>21.75</v>
      </c>
    </row>
    <row r="5785">
      <c r="D5785" t="str">
        <f>IFERROR(__xludf.DUMMYFUNCTION("""COMPUTED_VALUE"""),"Jones")</f>
        <v>Jones</v>
      </c>
      <c r="E5785" t="str">
        <f>IFERROR(__xludf.DUMMYFUNCTION("""COMPUTED_VALUE"""),"Christian")</f>
        <v>Christian</v>
      </c>
      <c r="F5785" t="str">
        <f>IFERROR(__xludf.DUMMYFUNCTION("""COMPUTED_VALUE"""),"DET")</f>
        <v>DET</v>
      </c>
      <c r="G5785">
        <f>IFERROR(__xludf.DUMMYFUNCTION("""COMPUTED_VALUE"""),18.5)</f>
        <v>18.5</v>
      </c>
    </row>
    <row r="5786">
      <c r="D5786" t="str">
        <f>IFERROR(__xludf.DUMMYFUNCTION("""COMPUTED_VALUE"""),"Jones")</f>
        <v>Jones</v>
      </c>
      <c r="E5786" t="str">
        <f>IFERROR(__xludf.DUMMYFUNCTION("""COMPUTED_VALUE"""),"Colin")</f>
        <v>Colin</v>
      </c>
      <c r="F5786" t="str">
        <f>IFERROR(__xludf.DUMMYFUNCTION("""COMPUTED_VALUE"""),"CAR")</f>
        <v>CAR</v>
      </c>
      <c r="G5786">
        <f>IFERROR(__xludf.DUMMYFUNCTION("""COMPUTED_VALUE"""),17.75)</f>
        <v>17.75</v>
      </c>
    </row>
    <row r="5787">
      <c r="D5787" t="str">
        <f>IFERROR(__xludf.DUMMYFUNCTION("""COMPUTED_VALUE"""),"Jones")</f>
        <v>Jones</v>
      </c>
      <c r="E5787" t="str">
        <f>IFERROR(__xludf.DUMMYFUNCTION("""COMPUTED_VALUE"""),"Cyrus")</f>
        <v>Cyrus</v>
      </c>
      <c r="F5787" t="str">
        <f>IFERROR(__xludf.DUMMYFUNCTION("""COMPUTED_VALUE"""),"NE")</f>
        <v>NE</v>
      </c>
      <c r="G5787">
        <f>IFERROR(__xludf.DUMMYFUNCTION("""COMPUTED_VALUE"""),17.75)</f>
        <v>17.75</v>
      </c>
    </row>
    <row r="5788">
      <c r="D5788" t="str">
        <f>IFERROR(__xludf.DUMMYFUNCTION("""COMPUTED_VALUE"""),"Jones")</f>
        <v>Jones</v>
      </c>
      <c r="E5788" t="str">
        <f>IFERROR(__xludf.DUMMYFUNCTION("""COMPUTED_VALUE"""),"DaQuan")</f>
        <v>DaQuan</v>
      </c>
      <c r="F5788" t="str">
        <f>IFERROR(__xludf.DUMMYFUNCTION("""COMPUTED_VALUE"""),"TEN")</f>
        <v>TEN</v>
      </c>
      <c r="G5788">
        <f>IFERROR(__xludf.DUMMYFUNCTION("""COMPUTED_VALUE"""),19.0)</f>
        <v>19</v>
      </c>
    </row>
    <row r="5789">
      <c r="D5789" t="str">
        <f>IFERROR(__xludf.DUMMYFUNCTION("""COMPUTED_VALUE"""),"Jones")</f>
        <v>Jones</v>
      </c>
      <c r="E5789" t="str">
        <f>IFERROR(__xludf.DUMMYFUNCTION("""COMPUTED_VALUE"""),"Datone")</f>
        <v>Datone</v>
      </c>
      <c r="F5789" t="str">
        <f>IFERROR(__xludf.DUMMYFUNCTION("""COMPUTED_VALUE"""),"DAL")</f>
        <v>DAL</v>
      </c>
      <c r="G5789">
        <f>IFERROR(__xludf.DUMMYFUNCTION("""COMPUTED_VALUE"""),17.5)</f>
        <v>17.5</v>
      </c>
    </row>
    <row r="5790">
      <c r="D5790" t="str">
        <f>IFERROR(__xludf.DUMMYFUNCTION("""COMPUTED_VALUE"""),"Jones")</f>
        <v>Jones</v>
      </c>
      <c r="E5790" t="str">
        <f>IFERROR(__xludf.DUMMYFUNCTION("""COMPUTED_VALUE"""),"Deion")</f>
        <v>Deion</v>
      </c>
      <c r="F5790" t="str">
        <f>IFERROR(__xludf.DUMMYFUNCTION("""COMPUTED_VALUE"""),"ATL")</f>
        <v>ATL</v>
      </c>
      <c r="G5790">
        <f>IFERROR(__xludf.DUMMYFUNCTION("""COMPUTED_VALUE"""),21.25)</f>
        <v>21.25</v>
      </c>
    </row>
    <row r="5791">
      <c r="D5791" t="str">
        <f>IFERROR(__xludf.DUMMYFUNCTION("""COMPUTED_VALUE"""),"Jones")</f>
        <v>Jones</v>
      </c>
      <c r="E5791" t="str">
        <f>IFERROR(__xludf.DUMMYFUNCTION("""COMPUTED_VALUE"""),"Derrick")</f>
        <v>Derrick</v>
      </c>
      <c r="F5791" t="str">
        <f>IFERROR(__xludf.DUMMYFUNCTION("""COMPUTED_VALUE"""),"NYJ")</f>
        <v>NYJ</v>
      </c>
      <c r="G5791">
        <f>IFERROR(__xludf.DUMMYFUNCTION("""COMPUTED_VALUE"""),16.0)</f>
        <v>16</v>
      </c>
    </row>
    <row r="5792">
      <c r="D5792" t="str">
        <f>IFERROR(__xludf.DUMMYFUNCTION("""COMPUTED_VALUE"""),"Jones")</f>
        <v>Jones</v>
      </c>
      <c r="E5792" t="str">
        <f>IFERROR(__xludf.DUMMYFUNCTION("""COMPUTED_VALUE"""),"DJ")</f>
        <v>DJ</v>
      </c>
      <c r="F5792" t="str">
        <f>IFERROR(__xludf.DUMMYFUNCTION("""COMPUTED_VALUE"""),"SF")</f>
        <v>SF</v>
      </c>
      <c r="G5792">
        <f>IFERROR(__xludf.DUMMYFUNCTION("""COMPUTED_VALUE"""),17.25)</f>
        <v>17.25</v>
      </c>
    </row>
    <row r="5793">
      <c r="D5793" t="str">
        <f>IFERROR(__xludf.DUMMYFUNCTION("""COMPUTED_VALUE"""),"Jones")</f>
        <v>Jones</v>
      </c>
      <c r="E5793" t="str">
        <f>IFERROR(__xludf.DUMMYFUNCTION("""COMPUTED_VALUE"""),"Don")</f>
        <v>Don</v>
      </c>
      <c r="F5793" t="str">
        <f>IFERROR(__xludf.DUMMYFUNCTION("""COMPUTED_VALUE"""),"SF")</f>
        <v>SF</v>
      </c>
      <c r="G5793">
        <f>IFERROR(__xludf.DUMMYFUNCTION("""COMPUTED_VALUE"""),17.5)</f>
        <v>17.5</v>
      </c>
    </row>
    <row r="5794">
      <c r="D5794" t="str">
        <f>IFERROR(__xludf.DUMMYFUNCTION("""COMPUTED_VALUE"""),"Jones")</f>
        <v>Jones</v>
      </c>
      <c r="E5794" t="str">
        <f>IFERROR(__xludf.DUMMYFUNCTION("""COMPUTED_VALUE"""),"Howard")</f>
        <v>Howard</v>
      </c>
      <c r="F5794" t="str">
        <f>IFERROR(__xludf.DUMMYFUNCTION("""COMPUTED_VALUE"""),"FA")</f>
        <v>FA</v>
      </c>
      <c r="G5794">
        <f>IFERROR(__xludf.DUMMYFUNCTION("""COMPUTED_VALUE"""),16.5)</f>
        <v>16.5</v>
      </c>
    </row>
    <row r="5795">
      <c r="D5795" t="str">
        <f>IFERROR(__xludf.DUMMYFUNCTION("""COMPUTED_VALUE"""),"Jones")</f>
        <v>Jones</v>
      </c>
      <c r="E5795" t="str">
        <f>IFERROR(__xludf.DUMMYFUNCTION("""COMPUTED_VALUE"""),"Jamaal")</f>
        <v>Jamaal</v>
      </c>
      <c r="F5795" t="str">
        <f>IFERROR(__xludf.DUMMYFUNCTION("""COMPUTED_VALUE"""),"CAR")</f>
        <v>CAR</v>
      </c>
      <c r="G5795">
        <f>IFERROR(__xludf.DUMMYFUNCTION("""COMPUTED_VALUE"""),15.5)</f>
        <v>15.5</v>
      </c>
    </row>
    <row r="5796">
      <c r="D5796" t="str">
        <f>IFERROR(__xludf.DUMMYFUNCTION("""COMPUTED_VALUE"""),"Jones")</f>
        <v>Jones</v>
      </c>
      <c r="E5796" t="str">
        <f>IFERROR(__xludf.DUMMYFUNCTION("""COMPUTED_VALUE"""),"Jamarco")</f>
        <v>Jamarco</v>
      </c>
      <c r="F5796" t="str">
        <f>IFERROR(__xludf.DUMMYFUNCTION("""COMPUTED_VALUE"""),"SEA")</f>
        <v>SEA</v>
      </c>
      <c r="G5796">
        <f>IFERROR(__xludf.DUMMYFUNCTION("""COMPUTED_VALUE"""),17.0)</f>
        <v>17</v>
      </c>
    </row>
    <row r="5797">
      <c r="D5797" t="str">
        <f>IFERROR(__xludf.DUMMYFUNCTION("""COMPUTED_VALUE"""),"Jones")</f>
        <v>Jones</v>
      </c>
      <c r="E5797" t="str">
        <f>IFERROR(__xludf.DUMMYFUNCTION("""COMPUTED_VALUE"""),"Jarron")</f>
        <v>Jarron</v>
      </c>
      <c r="F5797" t="str">
        <f>IFERROR(__xludf.DUMMYFUNCTION("""COMPUTED_VALUE"""),"FA")</f>
        <v>FA</v>
      </c>
      <c r="G5797">
        <f>IFERROR(__xludf.DUMMYFUNCTION("""COMPUTED_VALUE"""),15.75)</f>
        <v>15.75</v>
      </c>
    </row>
    <row r="5798">
      <c r="D5798" t="str">
        <f>IFERROR(__xludf.DUMMYFUNCTION("""COMPUTED_VALUE"""),"Jones")</f>
        <v>Jones</v>
      </c>
      <c r="E5798" t="str">
        <f>IFERROR(__xludf.DUMMYFUNCTION("""COMPUTED_VALUE"""),"Jonathan")</f>
        <v>Jonathan</v>
      </c>
      <c r="F5798" t="str">
        <f>IFERROR(__xludf.DUMMYFUNCTION("""COMPUTED_VALUE"""),"NE")</f>
        <v>NE</v>
      </c>
      <c r="G5798">
        <f>IFERROR(__xludf.DUMMYFUNCTION("""COMPUTED_VALUE"""),18.75)</f>
        <v>18.75</v>
      </c>
    </row>
    <row r="5799">
      <c r="D5799" t="str">
        <f>IFERROR(__xludf.DUMMYFUNCTION("""COMPUTED_VALUE"""),"Jones")</f>
        <v>Jones</v>
      </c>
      <c r="E5799" t="str">
        <f>IFERROR(__xludf.DUMMYFUNCTION("""COMPUTED_VALUE"""),"Josh")</f>
        <v>Josh</v>
      </c>
      <c r="F5799" t="str">
        <f>IFERROR(__xludf.DUMMYFUNCTION("""COMPUTED_VALUE"""),"GB")</f>
        <v>GB</v>
      </c>
      <c r="G5799">
        <f>IFERROR(__xludf.DUMMYFUNCTION("""COMPUTED_VALUE"""),18.25)</f>
        <v>18.25</v>
      </c>
    </row>
    <row r="5800">
      <c r="D5800" t="str">
        <f>IFERROR(__xludf.DUMMYFUNCTION("""COMPUTED_VALUE"""),"Jones")</f>
        <v>Jones</v>
      </c>
      <c r="E5800" t="str">
        <f>IFERROR(__xludf.DUMMYFUNCTION("""COMPUTED_VALUE"""),"Julio")</f>
        <v>Julio</v>
      </c>
      <c r="F5800" t="str">
        <f>IFERROR(__xludf.DUMMYFUNCTION("""COMPUTED_VALUE"""),"ATL")</f>
        <v>ATL</v>
      </c>
      <c r="G5800">
        <f>IFERROR(__xludf.DUMMYFUNCTION("""COMPUTED_VALUE"""),22.75)</f>
        <v>22.75</v>
      </c>
    </row>
    <row r="5801">
      <c r="D5801" t="str">
        <f>IFERROR(__xludf.DUMMYFUNCTION("""COMPUTED_VALUE"""),"Jones")</f>
        <v>Jones</v>
      </c>
      <c r="E5801" t="str">
        <f>IFERROR(__xludf.DUMMYFUNCTION("""COMPUTED_VALUE"""),"Julio")</f>
        <v>Julio</v>
      </c>
      <c r="F5801" t="str">
        <f>IFERROR(__xludf.DUMMYFUNCTION("""COMPUTED_VALUE"""),"ATL")</f>
        <v>ATL</v>
      </c>
      <c r="G5801">
        <f>IFERROR(__xludf.DUMMYFUNCTION("""COMPUTED_VALUE"""),22.0)</f>
        <v>22</v>
      </c>
    </row>
    <row r="5802">
      <c r="D5802" t="str">
        <f>IFERROR(__xludf.DUMMYFUNCTION("""COMPUTED_VALUE"""),"Jones")</f>
        <v>Jones</v>
      </c>
      <c r="E5802" t="str">
        <f>IFERROR(__xludf.DUMMYFUNCTION("""COMPUTED_VALUE"""),"Justin")</f>
        <v>Justin</v>
      </c>
      <c r="F5802" t="str">
        <f>IFERROR(__xludf.DUMMYFUNCTION("""COMPUTED_VALUE"""),"LAC")</f>
        <v>LAC</v>
      </c>
      <c r="G5802">
        <f>IFERROR(__xludf.DUMMYFUNCTION("""COMPUTED_VALUE"""),17.5)</f>
        <v>17.5</v>
      </c>
    </row>
    <row r="5803">
      <c r="D5803" t="str">
        <f>IFERROR(__xludf.DUMMYFUNCTION("""COMPUTED_VALUE"""),"Jones")</f>
        <v>Jones</v>
      </c>
      <c r="E5803" t="str">
        <f>IFERROR(__xludf.DUMMYFUNCTION("""COMPUTED_VALUE"""),"Landry")</f>
        <v>Landry</v>
      </c>
      <c r="F5803" t="str">
        <f>IFERROR(__xludf.DUMMYFUNCTION("""COMPUTED_VALUE"""),"PIT")</f>
        <v>PIT</v>
      </c>
      <c r="G5803">
        <f>IFERROR(__xludf.DUMMYFUNCTION("""COMPUTED_VALUE"""),17.25)</f>
        <v>17.25</v>
      </c>
    </row>
    <row r="5804">
      <c r="D5804" t="str">
        <f>IFERROR(__xludf.DUMMYFUNCTION("""COMPUTED_VALUE"""),"Jones")</f>
        <v>Jones</v>
      </c>
      <c r="E5804" t="str">
        <f>IFERROR(__xludf.DUMMYFUNCTION("""COMPUTED_VALUE"""),"Nazair")</f>
        <v>Nazair</v>
      </c>
      <c r="F5804" t="str">
        <f>IFERROR(__xludf.DUMMYFUNCTION("""COMPUTED_VALUE"""),"SEA")</f>
        <v>SEA</v>
      </c>
      <c r="G5804">
        <f>IFERROR(__xludf.DUMMYFUNCTION("""COMPUTED_VALUE"""),18.75)</f>
        <v>18.75</v>
      </c>
    </row>
    <row r="5805">
      <c r="D5805" t="str">
        <f>IFERROR(__xludf.DUMMYFUNCTION("""COMPUTED_VALUE"""),"Jones")</f>
        <v>Jones</v>
      </c>
      <c r="E5805" t="str">
        <f>IFERROR(__xludf.DUMMYFUNCTION("""COMPUTED_VALUE"""),"Reshad")</f>
        <v>Reshad</v>
      </c>
      <c r="F5805" t="str">
        <f>IFERROR(__xludf.DUMMYFUNCTION("""COMPUTED_VALUE"""),"MIA")</f>
        <v>MIA</v>
      </c>
      <c r="G5805">
        <f>IFERROR(__xludf.DUMMYFUNCTION("""COMPUTED_VALUE"""),21.25)</f>
        <v>21.25</v>
      </c>
    </row>
    <row r="5806">
      <c r="D5806" t="str">
        <f>IFERROR(__xludf.DUMMYFUNCTION("""COMPUTED_VALUE"""),"Jones")</f>
        <v>Jones</v>
      </c>
      <c r="E5806" t="str">
        <f>IFERROR(__xludf.DUMMYFUNCTION("""COMPUTED_VALUE"""),"Reshad")</f>
        <v>Reshad</v>
      </c>
      <c r="F5806" t="str">
        <f>IFERROR(__xludf.DUMMYFUNCTION("""COMPUTED_VALUE"""),"MIA")</f>
        <v>MIA</v>
      </c>
      <c r="G5806">
        <f>IFERROR(__xludf.DUMMYFUNCTION("""COMPUTED_VALUE"""),22.0)</f>
        <v>22</v>
      </c>
    </row>
    <row r="5807">
      <c r="D5807" t="str">
        <f>IFERROR(__xludf.DUMMYFUNCTION("""COMPUTED_VALUE"""),"Jones")</f>
        <v>Jones</v>
      </c>
      <c r="E5807" t="str">
        <f>IFERROR(__xludf.DUMMYFUNCTION("""COMPUTED_VALUE"""),"Sam")</f>
        <v>Sam</v>
      </c>
      <c r="F5807" t="str">
        <f>IFERROR(__xludf.DUMMYFUNCTION("""COMPUTED_VALUE"""),"DEN")</f>
        <v>DEN</v>
      </c>
      <c r="G5807">
        <f>IFERROR(__xludf.DUMMYFUNCTION("""COMPUTED_VALUE"""),17.0)</f>
        <v>17</v>
      </c>
    </row>
    <row r="5808">
      <c r="D5808" t="str">
        <f>IFERROR(__xludf.DUMMYFUNCTION("""COMPUTED_VALUE"""),"Jones")</f>
        <v>Jones</v>
      </c>
      <c r="E5808" t="str">
        <f>IFERROR(__xludf.DUMMYFUNCTION("""COMPUTED_VALUE"""),"Taiwan")</f>
        <v>Taiwan</v>
      </c>
      <c r="F5808" t="str">
        <f>IFERROR(__xludf.DUMMYFUNCTION("""COMPUTED_VALUE"""),"BUF")</f>
        <v>BUF</v>
      </c>
      <c r="G5808">
        <f>IFERROR(__xludf.DUMMYFUNCTION("""COMPUTED_VALUE"""),17.25)</f>
        <v>17.25</v>
      </c>
    </row>
    <row r="5809">
      <c r="D5809" t="str">
        <f>IFERROR(__xludf.DUMMYFUNCTION("""COMPUTED_VALUE"""),"Jones")</f>
        <v>Jones</v>
      </c>
      <c r="E5809" t="str">
        <f>IFERROR(__xludf.DUMMYFUNCTION("""COMPUTED_VALUE"""),"TJ")</f>
        <v>TJ</v>
      </c>
      <c r="F5809" t="str">
        <f>IFERROR(__xludf.DUMMYFUNCTION("""COMPUTED_VALUE"""),"DET")</f>
        <v>DET</v>
      </c>
      <c r="G5809">
        <f>IFERROR(__xludf.DUMMYFUNCTION("""COMPUTED_VALUE"""),18.5)</f>
        <v>18.5</v>
      </c>
    </row>
    <row r="5810">
      <c r="D5810" t="str">
        <f>IFERROR(__xludf.DUMMYFUNCTION("""COMPUTED_VALUE"""),"Jones")</f>
        <v>Jones</v>
      </c>
      <c r="E5810" t="str">
        <f>IFERROR(__xludf.DUMMYFUNCTION("""COMPUTED_VALUE"""),"Zay")</f>
        <v>Zay</v>
      </c>
      <c r="F5810" t="str">
        <f>IFERROR(__xludf.DUMMYFUNCTION("""COMPUTED_VALUE"""),"BUF")</f>
        <v>BUF</v>
      </c>
      <c r="G5810">
        <f>IFERROR(__xludf.DUMMYFUNCTION("""COMPUTED_VALUE"""),18.75)</f>
        <v>18.75</v>
      </c>
    </row>
    <row r="5811">
      <c r="D5811" t="str">
        <f>IFERROR(__xludf.DUMMYFUNCTION("""COMPUTED_VALUE"""),"Jones II")</f>
        <v>Jones II</v>
      </c>
      <c r="E5811" t="str">
        <f>IFERROR(__xludf.DUMMYFUNCTION("""COMPUTED_VALUE"""),"Ronald")</f>
        <v>Ronald</v>
      </c>
      <c r="F5811" t="str">
        <f>IFERROR(__xludf.DUMMYFUNCTION("""COMPUTED_VALUE"""),"TB")</f>
        <v>TB</v>
      </c>
      <c r="G5811">
        <f>IFERROR(__xludf.DUMMYFUNCTION("""COMPUTED_VALUE"""),19.0)</f>
        <v>19</v>
      </c>
    </row>
    <row r="5812">
      <c r="D5812" t="str">
        <f>IFERROR(__xludf.DUMMYFUNCTION("""COMPUTED_VALUE"""),"Jones IV")</f>
        <v>Jones IV</v>
      </c>
      <c r="E5812" t="str">
        <f>IFERROR(__xludf.DUMMYFUNCTION("""COMPUTED_VALUE"""),"Sidney")</f>
        <v>Sidney</v>
      </c>
      <c r="F5812" t="str">
        <f>IFERROR(__xludf.DUMMYFUNCTION("""COMPUTED_VALUE"""),"PHI")</f>
        <v>PHI</v>
      </c>
      <c r="G5812">
        <f>IFERROR(__xludf.DUMMYFUNCTION("""COMPUTED_VALUE"""),19.25)</f>
        <v>19.25</v>
      </c>
    </row>
    <row r="5813">
      <c r="D5813" t="str">
        <f>IFERROR(__xludf.DUMMYFUNCTION("""COMPUTED_VALUE"""),"Jones Jr")</f>
        <v>Jones Jr</v>
      </c>
      <c r="E5813" t="str">
        <f>IFERROR(__xludf.DUMMYFUNCTION("""COMPUTED_VALUE"""),"Marvin")</f>
        <v>Marvin</v>
      </c>
      <c r="F5813" t="str">
        <f>IFERROR(__xludf.DUMMYFUNCTION("""COMPUTED_VALUE"""),"DET")</f>
        <v>DET</v>
      </c>
      <c r="G5813">
        <f>IFERROR(__xludf.DUMMYFUNCTION("""COMPUTED_VALUE"""),20.5)</f>
        <v>20.5</v>
      </c>
    </row>
    <row r="5814">
      <c r="D5814" t="str">
        <f>IFERROR(__xludf.DUMMYFUNCTION("""COMPUTED_VALUE"""),"Jordan")</f>
        <v>Jordan</v>
      </c>
      <c r="E5814" t="str">
        <f>IFERROR(__xludf.DUMMYFUNCTION("""COMPUTED_VALUE"""),"Cameron")</f>
        <v>Cameron</v>
      </c>
      <c r="F5814" t="str">
        <f>IFERROR(__xludf.DUMMYFUNCTION("""COMPUTED_VALUE"""),"NO")</f>
        <v>NO</v>
      </c>
      <c r="G5814">
        <f>IFERROR(__xludf.DUMMYFUNCTION("""COMPUTED_VALUE"""),21.75)</f>
        <v>21.75</v>
      </c>
    </row>
    <row r="5815">
      <c r="D5815" t="str">
        <f>IFERROR(__xludf.DUMMYFUNCTION("""COMPUTED_VALUE"""),"Jordan")</f>
        <v>Jordan</v>
      </c>
      <c r="E5815" t="str">
        <f>IFERROR(__xludf.DUMMYFUNCTION("""COMPUTED_VALUE"""),"Dion")</f>
        <v>Dion</v>
      </c>
      <c r="F5815" t="str">
        <f>IFERROR(__xludf.DUMMYFUNCTION("""COMPUTED_VALUE"""),"SEA")</f>
        <v>SEA</v>
      </c>
      <c r="G5815">
        <f>IFERROR(__xludf.DUMMYFUNCTION("""COMPUTED_VALUE"""),18.75)</f>
        <v>18.75</v>
      </c>
    </row>
    <row r="5816">
      <c r="D5816" t="str">
        <f>IFERROR(__xludf.DUMMYFUNCTION("""COMPUTED_VALUE"""),"Jordan")</f>
        <v>Jordan</v>
      </c>
      <c r="E5816" t="str">
        <f>IFERROR(__xludf.DUMMYFUNCTION("""COMPUTED_VALUE"""),"Michael")</f>
        <v>Michael</v>
      </c>
      <c r="F5816" t="str">
        <f>IFERROR(__xludf.DUMMYFUNCTION("""COMPUTED_VALUE"""),"CLE")</f>
        <v>CLE</v>
      </c>
      <c r="G5816">
        <f>IFERROR(__xludf.DUMMYFUNCTION("""COMPUTED_VALUE"""),16.75)</f>
        <v>16.75</v>
      </c>
    </row>
    <row r="5817">
      <c r="D5817" t="str">
        <f>IFERROR(__xludf.DUMMYFUNCTION("""COMPUTED_VALUE"""),"Joseph")</f>
        <v>Joseph</v>
      </c>
      <c r="E5817" t="str">
        <f>IFERROR(__xludf.DUMMYFUNCTION("""COMPUTED_VALUE"""),"Dieugot")</f>
        <v>Dieugot</v>
      </c>
      <c r="F5817" t="str">
        <f>IFERROR(__xludf.DUMMYFUNCTION("""COMPUTED_VALUE"""),"MIN")</f>
        <v>MIN</v>
      </c>
      <c r="G5817">
        <f>IFERROR(__xludf.DUMMYFUNCTION("""COMPUTED_VALUE"""),16.25)</f>
        <v>16.25</v>
      </c>
    </row>
    <row r="5818">
      <c r="D5818" t="str">
        <f>IFERROR(__xludf.DUMMYFUNCTION("""COMPUTED_VALUE"""),"Joseph")</f>
        <v>Joseph</v>
      </c>
      <c r="E5818" t="str">
        <f>IFERROR(__xludf.DUMMYFUNCTION("""COMPUTED_VALUE"""),"Johnathan")</f>
        <v>Johnathan</v>
      </c>
      <c r="F5818" t="str">
        <f>IFERROR(__xludf.DUMMYFUNCTION("""COMPUTED_VALUE"""),"HOU")</f>
        <v>HOU</v>
      </c>
      <c r="G5818">
        <f>IFERROR(__xludf.DUMMYFUNCTION("""COMPUTED_VALUE"""),20.25)</f>
        <v>20.25</v>
      </c>
    </row>
    <row r="5819">
      <c r="D5819" t="str">
        <f>IFERROR(__xludf.DUMMYFUNCTION("""COMPUTED_VALUE"""),"Joseph")</f>
        <v>Joseph</v>
      </c>
      <c r="E5819" t="str">
        <f>IFERROR(__xludf.DUMMYFUNCTION("""COMPUTED_VALUE"""),"Karl")</f>
        <v>Karl</v>
      </c>
      <c r="F5819" t="str">
        <f>IFERROR(__xludf.DUMMYFUNCTION("""COMPUTED_VALUE"""),"OAK")</f>
        <v>OAK</v>
      </c>
      <c r="G5819">
        <f>IFERROR(__xludf.DUMMYFUNCTION("""COMPUTED_VALUE"""),19.5)</f>
        <v>19.5</v>
      </c>
    </row>
    <row r="5820">
      <c r="D5820" t="str">
        <f>IFERROR(__xludf.DUMMYFUNCTION("""COMPUTED_VALUE"""),"Joseph")</f>
        <v>Joseph</v>
      </c>
      <c r="E5820" t="str">
        <f>IFERROR(__xludf.DUMMYFUNCTION("""COMPUTED_VALUE"""),"Linval")</f>
        <v>Linval</v>
      </c>
      <c r="F5820" t="str">
        <f>IFERROR(__xludf.DUMMYFUNCTION("""COMPUTED_VALUE"""),"MIN")</f>
        <v>MIN</v>
      </c>
      <c r="G5820">
        <f>IFERROR(__xludf.DUMMYFUNCTION("""COMPUTED_VALUE"""),21.0)</f>
        <v>21</v>
      </c>
    </row>
    <row r="5821">
      <c r="D5821" t="str">
        <f>IFERROR(__xludf.DUMMYFUNCTION("""COMPUTED_VALUE"""),"Joseph")</f>
        <v>Joseph</v>
      </c>
      <c r="E5821" t="str">
        <f>IFERROR(__xludf.DUMMYFUNCTION("""COMPUTED_VALUE"""),"Linval")</f>
        <v>Linval</v>
      </c>
      <c r="F5821" t="str">
        <f>IFERROR(__xludf.DUMMYFUNCTION("""COMPUTED_VALUE"""),"MIN")</f>
        <v>MIN</v>
      </c>
      <c r="G5821">
        <f>IFERROR(__xludf.DUMMYFUNCTION("""COMPUTED_VALUE"""),22.0)</f>
        <v>22</v>
      </c>
    </row>
    <row r="5822">
      <c r="D5822" t="str">
        <f>IFERROR(__xludf.DUMMYFUNCTION("""COMPUTED_VALUE"""),"Joseph-Day")</f>
        <v>Joseph-Day</v>
      </c>
      <c r="E5822" t="str">
        <f>IFERROR(__xludf.DUMMYFUNCTION("""COMPUTED_VALUE"""),"Sebastian")</f>
        <v>Sebastian</v>
      </c>
      <c r="F5822" t="str">
        <f>IFERROR(__xludf.DUMMYFUNCTION("""COMPUTED_VALUE"""),"LAR")</f>
        <v>LAR</v>
      </c>
      <c r="G5822">
        <f>IFERROR(__xludf.DUMMYFUNCTION("""COMPUTED_VALUE"""),17.0)</f>
        <v>17</v>
      </c>
    </row>
    <row r="5823">
      <c r="D5823" t="str">
        <f>IFERROR(__xludf.DUMMYFUNCTION("""COMPUTED_VALUE"""),"Joyner")</f>
        <v>Joyner</v>
      </c>
      <c r="E5823" t="str">
        <f>IFERROR(__xludf.DUMMYFUNCTION("""COMPUTED_VALUE"""),"Lamarcus")</f>
        <v>Lamarcus</v>
      </c>
      <c r="F5823" t="str">
        <f>IFERROR(__xludf.DUMMYFUNCTION("""COMPUTED_VALUE"""),"LAR")</f>
        <v>LAR</v>
      </c>
      <c r="G5823">
        <f>IFERROR(__xludf.DUMMYFUNCTION("""COMPUTED_VALUE"""),21.25)</f>
        <v>21.25</v>
      </c>
    </row>
    <row r="5824">
      <c r="D5824" t="str">
        <f>IFERROR(__xludf.DUMMYFUNCTION("""COMPUTED_VALUE"""),"Joyner")</f>
        <v>Joyner</v>
      </c>
      <c r="E5824" t="str">
        <f>IFERROR(__xludf.DUMMYFUNCTION("""COMPUTED_VALUE"""),"Lamarcus")</f>
        <v>Lamarcus</v>
      </c>
      <c r="F5824" t="str">
        <f>IFERROR(__xludf.DUMMYFUNCTION("""COMPUTED_VALUE"""),"LAR")</f>
        <v>LAR</v>
      </c>
      <c r="G5824">
        <f>IFERROR(__xludf.DUMMYFUNCTION("""COMPUTED_VALUE"""),22.0)</f>
        <v>22</v>
      </c>
    </row>
    <row r="5825">
      <c r="D5825" t="str">
        <f>IFERROR(__xludf.DUMMYFUNCTION("""COMPUTED_VALUE"""),"Judon")</f>
        <v>Judon</v>
      </c>
      <c r="E5825" t="str">
        <f>IFERROR(__xludf.DUMMYFUNCTION("""COMPUTED_VALUE"""),"Matthew")</f>
        <v>Matthew</v>
      </c>
      <c r="F5825" t="str">
        <f>IFERROR(__xludf.DUMMYFUNCTION("""COMPUTED_VALUE"""),"BAL")</f>
        <v>BAL</v>
      </c>
      <c r="G5825">
        <f>IFERROR(__xludf.DUMMYFUNCTION("""COMPUTED_VALUE"""),20.0)</f>
        <v>20</v>
      </c>
    </row>
    <row r="5826">
      <c r="D5826" t="str">
        <f>IFERROR(__xludf.DUMMYFUNCTION("""COMPUTED_VALUE"""),"Juszczyk")</f>
        <v>Juszczyk</v>
      </c>
      <c r="E5826" t="str">
        <f>IFERROR(__xludf.DUMMYFUNCTION("""COMPUTED_VALUE"""),"Kyle")</f>
        <v>Kyle</v>
      </c>
      <c r="F5826" t="str">
        <f>IFERROR(__xludf.DUMMYFUNCTION("""COMPUTED_VALUE"""),"SF")</f>
        <v>SF</v>
      </c>
      <c r="G5826">
        <f>IFERROR(__xludf.DUMMYFUNCTION("""COMPUTED_VALUE"""),21.0)</f>
        <v>21</v>
      </c>
    </row>
    <row r="5827">
      <c r="D5827" t="str">
        <f>IFERROR(__xludf.DUMMYFUNCTION("""COMPUTED_VALUE"""),"Kaaya")</f>
        <v>Kaaya</v>
      </c>
      <c r="E5827" t="str">
        <f>IFERROR(__xludf.DUMMYFUNCTION("""COMPUTED_VALUE"""),"Brad")</f>
        <v>Brad</v>
      </c>
      <c r="F5827" t="str">
        <f>IFERROR(__xludf.DUMMYFUNCTION("""COMPUTED_VALUE"""),"IND")</f>
        <v>IND</v>
      </c>
      <c r="G5827">
        <f>IFERROR(__xludf.DUMMYFUNCTION("""COMPUTED_VALUE"""),16.5)</f>
        <v>16.5</v>
      </c>
    </row>
    <row r="5828">
      <c r="D5828" t="str">
        <f>IFERROR(__xludf.DUMMYFUNCTION("""COMPUTED_VALUE"""),"Kalambayi")</f>
        <v>Kalambayi</v>
      </c>
      <c r="E5828" t="str">
        <f>IFERROR(__xludf.DUMMYFUNCTION("""COMPUTED_VALUE"""),"Peter")</f>
        <v>Peter</v>
      </c>
      <c r="F5828" t="str">
        <f>IFERROR(__xludf.DUMMYFUNCTION("""COMPUTED_VALUE"""),"HOU")</f>
        <v>HOU</v>
      </c>
      <c r="G5828">
        <f>IFERROR(__xludf.DUMMYFUNCTION("""COMPUTED_VALUE"""),16.5)</f>
        <v>16.5</v>
      </c>
    </row>
    <row r="5829">
      <c r="D5829" t="str">
        <f>IFERROR(__xludf.DUMMYFUNCTION("""COMPUTED_VALUE"""),"Kalil")</f>
        <v>Kalil</v>
      </c>
      <c r="E5829" t="str">
        <f>IFERROR(__xludf.DUMMYFUNCTION("""COMPUTED_VALUE"""),"Matt")</f>
        <v>Matt</v>
      </c>
      <c r="F5829" t="str">
        <f>IFERROR(__xludf.DUMMYFUNCTION("""COMPUTED_VALUE"""),"CAR")</f>
        <v>CAR</v>
      </c>
      <c r="G5829">
        <f>IFERROR(__xludf.DUMMYFUNCTION("""COMPUTED_VALUE"""),18.5)</f>
        <v>18.5</v>
      </c>
    </row>
    <row r="5830">
      <c r="D5830" t="str">
        <f>IFERROR(__xludf.DUMMYFUNCTION("""COMPUTED_VALUE"""),"Kalil")</f>
        <v>Kalil</v>
      </c>
      <c r="E5830" t="str">
        <f>IFERROR(__xludf.DUMMYFUNCTION("""COMPUTED_VALUE"""),"Ryan")</f>
        <v>Ryan</v>
      </c>
      <c r="F5830" t="str">
        <f>IFERROR(__xludf.DUMMYFUNCTION("""COMPUTED_VALUE"""),"CAR")</f>
        <v>CAR</v>
      </c>
      <c r="G5830">
        <f>IFERROR(__xludf.DUMMYFUNCTION("""COMPUTED_VALUE"""),19.0)</f>
        <v>19</v>
      </c>
    </row>
    <row r="5831">
      <c r="D5831" t="str">
        <f>IFERROR(__xludf.DUMMYFUNCTION("""COMPUTED_VALUE"""),"Kalis")</f>
        <v>Kalis</v>
      </c>
      <c r="E5831" t="str">
        <f>IFERROR(__xludf.DUMMYFUNCTION("""COMPUTED_VALUE"""),"Kyle")</f>
        <v>Kyle</v>
      </c>
      <c r="F5831" t="str">
        <f>IFERROR(__xludf.DUMMYFUNCTION("""COMPUTED_VALUE"""),"WAS")</f>
        <v>WAS</v>
      </c>
      <c r="G5831">
        <f>IFERROR(__xludf.DUMMYFUNCTION("""COMPUTED_VALUE"""),15.75)</f>
        <v>15.75</v>
      </c>
    </row>
    <row r="5832">
      <c r="D5832" t="str">
        <f>IFERROR(__xludf.DUMMYFUNCTION("""COMPUTED_VALUE"""),"Kamalu")</f>
        <v>Kamalu</v>
      </c>
      <c r="E5832" t="str">
        <f>IFERROR(__xludf.DUMMYFUNCTION("""COMPUTED_VALUE"""),"Ufomba")</f>
        <v>Ufomba</v>
      </c>
      <c r="F5832" t="str">
        <f>IFERROR(__xludf.DUMMYFUNCTION("""COMPUTED_VALUE"""),"HOU")</f>
        <v>HOU</v>
      </c>
      <c r="G5832">
        <f>IFERROR(__xludf.DUMMYFUNCTION("""COMPUTED_VALUE"""),16.5)</f>
        <v>16.5</v>
      </c>
    </row>
    <row r="5833">
      <c r="D5833" t="str">
        <f>IFERROR(__xludf.DUMMYFUNCTION("""COMPUTED_VALUE"""),"Kamara")</f>
        <v>Kamara</v>
      </c>
      <c r="E5833" t="str">
        <f>IFERROR(__xludf.DUMMYFUNCTION("""COMPUTED_VALUE"""),"Alvin")</f>
        <v>Alvin</v>
      </c>
      <c r="F5833" t="str">
        <f>IFERROR(__xludf.DUMMYFUNCTION("""COMPUTED_VALUE"""),"NO")</f>
        <v>NO</v>
      </c>
      <c r="G5833">
        <f>IFERROR(__xludf.DUMMYFUNCTION("""COMPUTED_VALUE"""),21.25)</f>
        <v>21.25</v>
      </c>
    </row>
    <row r="5834">
      <c r="D5834" t="str">
        <f>IFERROR(__xludf.DUMMYFUNCTION("""COMPUTED_VALUE"""),"Karras")</f>
        <v>Karras</v>
      </c>
      <c r="E5834" t="str">
        <f>IFERROR(__xludf.DUMMYFUNCTION("""COMPUTED_VALUE"""),"Ted")</f>
        <v>Ted</v>
      </c>
      <c r="F5834" t="str">
        <f>IFERROR(__xludf.DUMMYFUNCTION("""COMPUTED_VALUE"""),"NE")</f>
        <v>NE</v>
      </c>
      <c r="G5834">
        <f>IFERROR(__xludf.DUMMYFUNCTION("""COMPUTED_VALUE"""),18.0)</f>
        <v>18</v>
      </c>
    </row>
    <row r="5835">
      <c r="D5835" t="str">
        <f>IFERROR(__xludf.DUMMYFUNCTION("""COMPUTED_VALUE"""),"Kaser")</f>
        <v>Kaser</v>
      </c>
      <c r="E5835" t="str">
        <f>IFERROR(__xludf.DUMMYFUNCTION("""COMPUTED_VALUE"""),"Drew")</f>
        <v>Drew</v>
      </c>
      <c r="F5835" t="str">
        <f>IFERROR(__xludf.DUMMYFUNCTION("""COMPUTED_VALUE"""),"LAC")</f>
        <v>LAC</v>
      </c>
      <c r="G5835">
        <f>IFERROR(__xludf.DUMMYFUNCTION("""COMPUTED_VALUE"""),19.5)</f>
        <v>19.5</v>
      </c>
    </row>
    <row r="5836">
      <c r="D5836" t="str">
        <f>IFERROR(__xludf.DUMMYFUNCTION("""COMPUTED_VALUE"""),"Kaufusi")</f>
        <v>Kaufusi</v>
      </c>
      <c r="E5836" t="str">
        <f>IFERROR(__xludf.DUMMYFUNCTION("""COMPUTED_VALUE"""),"Bronson")</f>
        <v>Bronson</v>
      </c>
      <c r="F5836" t="str">
        <f>IFERROR(__xludf.DUMMYFUNCTION("""COMPUTED_VALUE"""),"BAL")</f>
        <v>BAL</v>
      </c>
      <c r="G5836">
        <f>IFERROR(__xludf.DUMMYFUNCTION("""COMPUTED_VALUE"""),16.75)</f>
        <v>16.75</v>
      </c>
    </row>
    <row r="5837">
      <c r="D5837" t="str">
        <f>IFERROR(__xludf.DUMMYFUNCTION("""COMPUTED_VALUE"""),"Kazee")</f>
        <v>Kazee</v>
      </c>
      <c r="E5837" t="str">
        <f>IFERROR(__xludf.DUMMYFUNCTION("""COMPUTED_VALUE"""),"Damontae")</f>
        <v>Damontae</v>
      </c>
      <c r="F5837" t="str">
        <f>IFERROR(__xludf.DUMMYFUNCTION("""COMPUTED_VALUE"""),"ATL")</f>
        <v>ATL</v>
      </c>
      <c r="G5837">
        <f>IFERROR(__xludf.DUMMYFUNCTION("""COMPUTED_VALUE"""),18.5)</f>
        <v>18.5</v>
      </c>
    </row>
    <row r="5838">
      <c r="D5838" t="str">
        <f>IFERROR(__xludf.DUMMYFUNCTION("""COMPUTED_VALUE"""),"Kearse")</f>
        <v>Kearse</v>
      </c>
      <c r="E5838" t="str">
        <f>IFERROR(__xludf.DUMMYFUNCTION("""COMPUTED_VALUE"""),"Jayron")</f>
        <v>Jayron</v>
      </c>
      <c r="F5838" t="str">
        <f>IFERROR(__xludf.DUMMYFUNCTION("""COMPUTED_VALUE"""),"MIN")</f>
        <v>MIN</v>
      </c>
      <c r="G5838">
        <f>IFERROR(__xludf.DUMMYFUNCTION("""COMPUTED_VALUE"""),16.75)</f>
        <v>16.75</v>
      </c>
    </row>
    <row r="5839">
      <c r="D5839" t="str">
        <f>IFERROR(__xludf.DUMMYFUNCTION("""COMPUTED_VALUE"""),"Kearse")</f>
        <v>Kearse</v>
      </c>
      <c r="E5839" t="str">
        <f>IFERROR(__xludf.DUMMYFUNCTION("""COMPUTED_VALUE"""),"Jermaine")</f>
        <v>Jermaine</v>
      </c>
      <c r="F5839" t="str">
        <f>IFERROR(__xludf.DUMMYFUNCTION("""COMPUTED_VALUE"""),"NYJ")</f>
        <v>NYJ</v>
      </c>
      <c r="G5839">
        <f>IFERROR(__xludf.DUMMYFUNCTION("""COMPUTED_VALUE"""),19.75)</f>
        <v>19.75</v>
      </c>
    </row>
    <row r="5840">
      <c r="D5840" t="str">
        <f>IFERROR(__xludf.DUMMYFUNCTION("""COMPUTED_VALUE"""),"Keenum")</f>
        <v>Keenum</v>
      </c>
      <c r="E5840" t="str">
        <f>IFERROR(__xludf.DUMMYFUNCTION("""COMPUTED_VALUE"""),"Case")</f>
        <v>Case</v>
      </c>
      <c r="F5840" t="str">
        <f>IFERROR(__xludf.DUMMYFUNCTION("""COMPUTED_VALUE"""),"DEN")</f>
        <v>DEN</v>
      </c>
      <c r="G5840">
        <f>IFERROR(__xludf.DUMMYFUNCTION("""COMPUTED_VALUE"""),20.5)</f>
        <v>20.5</v>
      </c>
    </row>
    <row r="5841">
      <c r="D5841" t="str">
        <f>IFERROR(__xludf.DUMMYFUNCTION("""COMPUTED_VALUE"""),"Kelce")</f>
        <v>Kelce</v>
      </c>
      <c r="E5841" t="str">
        <f>IFERROR(__xludf.DUMMYFUNCTION("""COMPUTED_VALUE"""),"Jason")</f>
        <v>Jason</v>
      </c>
      <c r="F5841" t="str">
        <f>IFERROR(__xludf.DUMMYFUNCTION("""COMPUTED_VALUE"""),"PHI")</f>
        <v>PHI</v>
      </c>
      <c r="G5841">
        <f>IFERROR(__xludf.DUMMYFUNCTION("""COMPUTED_VALUE"""),20.75)</f>
        <v>20.75</v>
      </c>
    </row>
    <row r="5842">
      <c r="D5842" t="str">
        <f>IFERROR(__xludf.DUMMYFUNCTION("""COMPUTED_VALUE"""),"Kelce")</f>
        <v>Kelce</v>
      </c>
      <c r="E5842" t="str">
        <f>IFERROR(__xludf.DUMMYFUNCTION("""COMPUTED_VALUE"""),"Travis")</f>
        <v>Travis</v>
      </c>
      <c r="F5842" t="str">
        <f>IFERROR(__xludf.DUMMYFUNCTION("""COMPUTED_VALUE"""),"KC")</f>
        <v>KC</v>
      </c>
      <c r="G5842">
        <f>IFERROR(__xludf.DUMMYFUNCTION("""COMPUTED_VALUE"""),21.75)</f>
        <v>21.75</v>
      </c>
    </row>
    <row r="5843">
      <c r="D5843" t="str">
        <f>IFERROR(__xludf.DUMMYFUNCTION("""COMPUTED_VALUE"""),"Kelce")</f>
        <v>Kelce</v>
      </c>
      <c r="E5843" t="str">
        <f>IFERROR(__xludf.DUMMYFUNCTION("""COMPUTED_VALUE"""),"Travis")</f>
        <v>Travis</v>
      </c>
      <c r="F5843" t="str">
        <f>IFERROR(__xludf.DUMMYFUNCTION("""COMPUTED_VALUE"""),"KC")</f>
        <v>KC</v>
      </c>
      <c r="G5843">
        <f>IFERROR(__xludf.DUMMYFUNCTION("""COMPUTED_VALUE"""),22.75)</f>
        <v>22.75</v>
      </c>
    </row>
    <row r="5844">
      <c r="D5844" t="str">
        <f>IFERROR(__xludf.DUMMYFUNCTION("""COMPUTED_VALUE"""),"Kelemete")</f>
        <v>Kelemete</v>
      </c>
      <c r="E5844" t="str">
        <f>IFERROR(__xludf.DUMMYFUNCTION("""COMPUTED_VALUE"""),"Senio")</f>
        <v>Senio</v>
      </c>
      <c r="F5844" t="str">
        <f>IFERROR(__xludf.DUMMYFUNCTION("""COMPUTED_VALUE"""),"HOU")</f>
        <v>HOU</v>
      </c>
      <c r="G5844">
        <f>IFERROR(__xludf.DUMMYFUNCTION("""COMPUTED_VALUE"""),18.5)</f>
        <v>18.5</v>
      </c>
    </row>
    <row r="5845">
      <c r="D5845" t="str">
        <f>IFERROR(__xludf.DUMMYFUNCTION("""COMPUTED_VALUE"""),"Kelley")</f>
        <v>Kelley</v>
      </c>
      <c r="E5845" t="str">
        <f>IFERROR(__xludf.DUMMYFUNCTION("""COMPUTED_VALUE"""),"Robert")</f>
        <v>Robert</v>
      </c>
      <c r="F5845" t="str">
        <f>IFERROR(__xludf.DUMMYFUNCTION("""COMPUTED_VALUE"""),"WAS")</f>
        <v>WAS</v>
      </c>
      <c r="G5845">
        <f>IFERROR(__xludf.DUMMYFUNCTION("""COMPUTED_VALUE"""),18.75)</f>
        <v>18.75</v>
      </c>
    </row>
    <row r="5846">
      <c r="D5846" t="str">
        <f>IFERROR(__xludf.DUMMYFUNCTION("""COMPUTED_VALUE"""),"Kelly")</f>
        <v>Kelly</v>
      </c>
      <c r="E5846" t="str">
        <f>IFERROR(__xludf.DUMMYFUNCTION("""COMPUTED_VALUE"""),"Chad")</f>
        <v>Chad</v>
      </c>
      <c r="F5846" t="str">
        <f>IFERROR(__xludf.DUMMYFUNCTION("""COMPUTED_VALUE"""),"DEN")</f>
        <v>DEN</v>
      </c>
      <c r="G5846">
        <f>IFERROR(__xludf.DUMMYFUNCTION("""COMPUTED_VALUE"""),17.5)</f>
        <v>17.5</v>
      </c>
    </row>
    <row r="5847">
      <c r="D5847" t="str">
        <f>IFERROR(__xludf.DUMMYFUNCTION("""COMPUTED_VALUE"""),"Kelly")</f>
        <v>Kelly</v>
      </c>
      <c r="E5847" t="str">
        <f>IFERROR(__xludf.DUMMYFUNCTION("""COMPUTED_VALUE"""),"Dennis")</f>
        <v>Dennis</v>
      </c>
      <c r="F5847" t="str">
        <f>IFERROR(__xludf.DUMMYFUNCTION("""COMPUTED_VALUE"""),"TEN")</f>
        <v>TEN</v>
      </c>
      <c r="G5847">
        <f>IFERROR(__xludf.DUMMYFUNCTION("""COMPUTED_VALUE"""),17.5)</f>
        <v>17.5</v>
      </c>
    </row>
    <row r="5848">
      <c r="D5848" t="str">
        <f>IFERROR(__xludf.DUMMYFUNCTION("""COMPUTED_VALUE"""),"Kelly")</f>
        <v>Kelly</v>
      </c>
      <c r="E5848" t="str">
        <f>IFERROR(__xludf.DUMMYFUNCTION("""COMPUTED_VALUE"""),"John")</f>
        <v>John</v>
      </c>
      <c r="F5848" t="str">
        <f>IFERROR(__xludf.DUMMYFUNCTION("""COMPUTED_VALUE"""),"LAR")</f>
        <v>LAR</v>
      </c>
      <c r="G5848">
        <f>IFERROR(__xludf.DUMMYFUNCTION("""COMPUTED_VALUE"""),18.25)</f>
        <v>18.25</v>
      </c>
    </row>
    <row r="5849">
      <c r="D5849" t="str">
        <f>IFERROR(__xludf.DUMMYFUNCTION("""COMPUTED_VALUE"""),"Kelly")</f>
        <v>Kelly</v>
      </c>
      <c r="E5849" t="str">
        <f>IFERROR(__xludf.DUMMYFUNCTION("""COMPUTED_VALUE"""),"Ryan")</f>
        <v>Ryan</v>
      </c>
      <c r="F5849" t="str">
        <f>IFERROR(__xludf.DUMMYFUNCTION("""COMPUTED_VALUE"""),"IND")</f>
        <v>IND</v>
      </c>
      <c r="G5849">
        <f>IFERROR(__xludf.DUMMYFUNCTION("""COMPUTED_VALUE"""),18.25)</f>
        <v>18.25</v>
      </c>
    </row>
    <row r="5850">
      <c r="D5850" t="str">
        <f>IFERROR(__xludf.DUMMYFUNCTION("""COMPUTED_VALUE"""),"Kelly Jr")</f>
        <v>Kelly Jr</v>
      </c>
      <c r="E5850" t="str">
        <f>IFERROR(__xludf.DUMMYFUNCTION("""COMPUTED_VALUE"""),"Jermaine")</f>
        <v>Jermaine</v>
      </c>
      <c r="F5850" t="str">
        <f>IFERROR(__xludf.DUMMYFUNCTION("""COMPUTED_VALUE"""),"HOU")</f>
        <v>HOU</v>
      </c>
      <c r="G5850">
        <f>IFERROR(__xludf.DUMMYFUNCTION("""COMPUTED_VALUE"""),16.5)</f>
        <v>16.5</v>
      </c>
    </row>
    <row r="5851">
      <c r="D5851" t="str">
        <f>IFERROR(__xludf.DUMMYFUNCTION("""COMPUTED_VALUE"""),"Kelsey Jr")</f>
        <v>Kelsey Jr</v>
      </c>
      <c r="E5851" t="str">
        <f>IFERROR(__xludf.DUMMYFUNCTION("""COMPUTED_VALUE"""),"Keith")</f>
        <v>Keith</v>
      </c>
      <c r="F5851" t="str">
        <f>IFERROR(__xludf.DUMMYFUNCTION("""COMPUTED_VALUE"""),"PIT")</f>
        <v>PIT</v>
      </c>
      <c r="G5851">
        <f>IFERROR(__xludf.DUMMYFUNCTION("""COMPUTED_VALUE"""),15.75)</f>
        <v>15.75</v>
      </c>
    </row>
    <row r="5852">
      <c r="D5852" t="str">
        <f>IFERROR(__xludf.DUMMYFUNCTION("""COMPUTED_VALUE"""),"Kemp")</f>
        <v>Kemp</v>
      </c>
      <c r="E5852" t="str">
        <f>IFERROR(__xludf.DUMMYFUNCTION("""COMPUTED_VALUE"""),"Marcus")</f>
        <v>Marcus</v>
      </c>
      <c r="F5852" t="str">
        <f>IFERROR(__xludf.DUMMYFUNCTION("""COMPUTED_VALUE"""),"KC")</f>
        <v>KC</v>
      </c>
      <c r="G5852">
        <f>IFERROR(__xludf.DUMMYFUNCTION("""COMPUTED_VALUE"""),16.25)</f>
        <v>16.25</v>
      </c>
    </row>
    <row r="5853">
      <c r="D5853" t="str">
        <f>IFERROR(__xludf.DUMMYFUNCTION("""COMPUTED_VALUE"""),"Kendricks")</f>
        <v>Kendricks</v>
      </c>
      <c r="E5853" t="str">
        <f>IFERROR(__xludf.DUMMYFUNCTION("""COMPUTED_VALUE"""),"Eric")</f>
        <v>Eric</v>
      </c>
      <c r="F5853" t="str">
        <f>IFERROR(__xludf.DUMMYFUNCTION("""COMPUTED_VALUE"""),"MIN")</f>
        <v>MIN</v>
      </c>
      <c r="G5853">
        <f>IFERROR(__xludf.DUMMYFUNCTION("""COMPUTED_VALUE"""),20.25)</f>
        <v>20.25</v>
      </c>
    </row>
    <row r="5854">
      <c r="D5854" t="str">
        <f>IFERROR(__xludf.DUMMYFUNCTION("""COMPUTED_VALUE"""),"Kendricks")</f>
        <v>Kendricks</v>
      </c>
      <c r="E5854" t="str">
        <f>IFERROR(__xludf.DUMMYFUNCTION("""COMPUTED_VALUE"""),"Lance")</f>
        <v>Lance</v>
      </c>
      <c r="F5854" t="str">
        <f>IFERROR(__xludf.DUMMYFUNCTION("""COMPUTED_VALUE"""),"GB")</f>
        <v>GB</v>
      </c>
      <c r="G5854">
        <f>IFERROR(__xludf.DUMMYFUNCTION("""COMPUTED_VALUE"""),18.75)</f>
        <v>18.75</v>
      </c>
    </row>
    <row r="5855">
      <c r="D5855" t="str">
        <f>IFERROR(__xludf.DUMMYFUNCTION("""COMPUTED_VALUE"""),"Kendricks")</f>
        <v>Kendricks</v>
      </c>
      <c r="E5855" t="str">
        <f>IFERROR(__xludf.DUMMYFUNCTION("""COMPUTED_VALUE"""),"Mychal")</f>
        <v>Mychal</v>
      </c>
      <c r="F5855" t="str">
        <f>IFERROR(__xludf.DUMMYFUNCTION("""COMPUTED_VALUE"""),"CLE")</f>
        <v>CLE</v>
      </c>
      <c r="G5855">
        <f>IFERROR(__xludf.DUMMYFUNCTION("""COMPUTED_VALUE"""),21.0)</f>
        <v>21</v>
      </c>
    </row>
    <row r="5856">
      <c r="D5856" t="str">
        <f>IFERROR(__xludf.DUMMYFUNCTION("""COMPUTED_VALUE"""),"Kennard")</f>
        <v>Kennard</v>
      </c>
      <c r="E5856" t="str">
        <f>IFERROR(__xludf.DUMMYFUNCTION("""COMPUTED_VALUE"""),"Devon")</f>
        <v>Devon</v>
      </c>
      <c r="F5856" t="str">
        <f>IFERROR(__xludf.DUMMYFUNCTION("""COMPUTED_VALUE"""),"DET")</f>
        <v>DET</v>
      </c>
      <c r="G5856">
        <f>IFERROR(__xludf.DUMMYFUNCTION("""COMPUTED_VALUE"""),19.25)</f>
        <v>19.25</v>
      </c>
    </row>
    <row r="5857">
      <c r="D5857" t="str">
        <f>IFERROR(__xludf.DUMMYFUNCTION("""COMPUTED_VALUE"""),"Kerley")</f>
        <v>Kerley</v>
      </c>
      <c r="E5857" t="str">
        <f>IFERROR(__xludf.DUMMYFUNCTION("""COMPUTED_VALUE"""),"Jeremy")</f>
        <v>Jeremy</v>
      </c>
      <c r="F5857" t="str">
        <f>IFERROR(__xludf.DUMMYFUNCTION("""COMPUTED_VALUE"""),"BUF")</f>
        <v>BUF</v>
      </c>
      <c r="G5857">
        <f>IFERROR(__xludf.DUMMYFUNCTION("""COMPUTED_VALUE"""),18.5)</f>
        <v>18.5</v>
      </c>
    </row>
    <row r="5858">
      <c r="D5858" t="str">
        <f>IFERROR(__xludf.DUMMYFUNCTION("""COMPUTED_VALUE"""),"Kern")</f>
        <v>Kern</v>
      </c>
      <c r="E5858" t="str">
        <f>IFERROR(__xludf.DUMMYFUNCTION("""COMPUTED_VALUE"""),"Brett")</f>
        <v>Brett</v>
      </c>
      <c r="F5858" t="str">
        <f>IFERROR(__xludf.DUMMYFUNCTION("""COMPUTED_VALUE"""),"TEN")</f>
        <v>TEN</v>
      </c>
      <c r="G5858">
        <f>IFERROR(__xludf.DUMMYFUNCTION("""COMPUTED_VALUE"""),19.5)</f>
        <v>19.5</v>
      </c>
    </row>
    <row r="5859">
      <c r="D5859" t="str">
        <f>IFERROR(__xludf.DUMMYFUNCTION("""COMPUTED_VALUE"""),"Kerr")</f>
        <v>Kerr</v>
      </c>
      <c r="E5859" t="str">
        <f>IFERROR(__xludf.DUMMYFUNCTION("""COMPUTED_VALUE"""),"Zach")</f>
        <v>Zach</v>
      </c>
      <c r="F5859" t="str">
        <f>IFERROR(__xludf.DUMMYFUNCTION("""COMPUTED_VALUE"""),"DEN")</f>
        <v>DEN</v>
      </c>
      <c r="G5859">
        <f>IFERROR(__xludf.DUMMYFUNCTION("""COMPUTED_VALUE"""),18.25)</f>
        <v>18.25</v>
      </c>
    </row>
    <row r="5860">
      <c r="D5860" t="str">
        <f>IFERROR(__xludf.DUMMYFUNCTION("""COMPUTED_VALUE"""),"Kerridge")</f>
        <v>Kerridge</v>
      </c>
      <c r="E5860" t="str">
        <f>IFERROR(__xludf.DUMMYFUNCTION("""COMPUTED_VALUE"""),"Joe")</f>
        <v>Joe</v>
      </c>
      <c r="F5860" t="str">
        <f>IFERROR(__xludf.DUMMYFUNCTION("""COMPUTED_VALUE"""),"GB")</f>
        <v>GB</v>
      </c>
      <c r="G5860">
        <f>IFERROR(__xludf.DUMMYFUNCTION("""COMPUTED_VALUE"""),16.75)</f>
        <v>16.75</v>
      </c>
    </row>
    <row r="5861">
      <c r="D5861" t="str">
        <f>IFERROR(__xludf.DUMMYFUNCTION("""COMPUTED_VALUE"""),"Kerrigan")</f>
        <v>Kerrigan</v>
      </c>
      <c r="E5861" t="str">
        <f>IFERROR(__xludf.DUMMYFUNCTION("""COMPUTED_VALUE"""),"Ryan")</f>
        <v>Ryan</v>
      </c>
      <c r="F5861" t="str">
        <f>IFERROR(__xludf.DUMMYFUNCTION("""COMPUTED_VALUE"""),"WAS")</f>
        <v>WAS</v>
      </c>
      <c r="G5861">
        <f>IFERROR(__xludf.DUMMYFUNCTION("""COMPUTED_VALUE"""),21.0)</f>
        <v>21</v>
      </c>
    </row>
    <row r="5862">
      <c r="D5862" t="str">
        <f>IFERROR(__xludf.DUMMYFUNCTION("""COMPUTED_VALUE"""),"Kerrigan")</f>
        <v>Kerrigan</v>
      </c>
      <c r="E5862" t="str">
        <f>IFERROR(__xludf.DUMMYFUNCTION("""COMPUTED_VALUE"""),"Ryan")</f>
        <v>Ryan</v>
      </c>
      <c r="F5862" t="str">
        <f>IFERROR(__xludf.DUMMYFUNCTION("""COMPUTED_VALUE"""),"WAS")</f>
        <v>WAS</v>
      </c>
      <c r="G5862">
        <f>IFERROR(__xludf.DUMMYFUNCTION("""COMPUTED_VALUE"""),22.5)</f>
        <v>22.5</v>
      </c>
    </row>
    <row r="5863">
      <c r="D5863" t="str">
        <f>IFERROR(__xludf.DUMMYFUNCTION("""COMPUTED_VALUE"""),"Kessler")</f>
        <v>Kessler</v>
      </c>
      <c r="E5863" t="str">
        <f>IFERROR(__xludf.DUMMYFUNCTION("""COMPUTED_VALUE"""),"Cody")</f>
        <v>Cody</v>
      </c>
      <c r="F5863" t="str">
        <f>IFERROR(__xludf.DUMMYFUNCTION("""COMPUTED_VALUE"""),"JAX")</f>
        <v>JAX</v>
      </c>
      <c r="G5863">
        <f>IFERROR(__xludf.DUMMYFUNCTION("""COMPUTED_VALUE"""),17.75)</f>
        <v>17.75</v>
      </c>
    </row>
    <row r="5864">
      <c r="D5864" t="str">
        <f>IFERROR(__xludf.DUMMYFUNCTION("""COMPUTED_VALUE"""),"Key")</f>
        <v>Key</v>
      </c>
      <c r="E5864" t="str">
        <f>IFERROR(__xludf.DUMMYFUNCTION("""COMPUTED_VALUE"""),"Arden")</f>
        <v>Arden</v>
      </c>
      <c r="F5864" t="str">
        <f>IFERROR(__xludf.DUMMYFUNCTION("""COMPUTED_VALUE"""),"OAK")</f>
        <v>OAK</v>
      </c>
      <c r="G5864">
        <f>IFERROR(__xludf.DUMMYFUNCTION("""COMPUTED_VALUE"""),17.5)</f>
        <v>17.5</v>
      </c>
    </row>
    <row r="5865">
      <c r="D5865" t="str">
        <f>IFERROR(__xludf.DUMMYFUNCTION("""COMPUTED_VALUE"""),"Keyes")</f>
        <v>Keyes</v>
      </c>
      <c r="E5865" t="str">
        <f>IFERROR(__xludf.DUMMYFUNCTION("""COMPUTED_VALUE"""),"Josh")</f>
        <v>Josh</v>
      </c>
      <c r="F5865" t="str">
        <f>IFERROR(__xludf.DUMMYFUNCTION("""COMPUTED_VALUE"""),"HOU")</f>
        <v>HOU</v>
      </c>
      <c r="G5865">
        <f>IFERROR(__xludf.DUMMYFUNCTION("""COMPUTED_VALUE"""),16.0)</f>
        <v>16</v>
      </c>
    </row>
    <row r="5866">
      <c r="D5866" t="str">
        <f>IFERROR(__xludf.DUMMYFUNCTION("""COMPUTED_VALUE"""),"Kikaha")</f>
        <v>Kikaha</v>
      </c>
      <c r="E5866" t="str">
        <f>IFERROR(__xludf.DUMMYFUNCTION("""COMPUTED_VALUE"""),"Hauoli")</f>
        <v>Hauoli</v>
      </c>
      <c r="F5866" t="str">
        <f>IFERROR(__xludf.DUMMYFUNCTION("""COMPUTED_VALUE"""),"NO")</f>
        <v>NO</v>
      </c>
      <c r="G5866">
        <f>IFERROR(__xludf.DUMMYFUNCTION("""COMPUTED_VALUE"""),17.0)</f>
        <v>17</v>
      </c>
    </row>
    <row r="5867">
      <c r="D5867" t="str">
        <f>IFERROR(__xludf.DUMMYFUNCTION("""COMPUTED_VALUE"""),"Kilgo")</f>
        <v>Kilgo</v>
      </c>
      <c r="E5867" t="str">
        <f>IFERROR(__xludf.DUMMYFUNCTION("""COMPUTED_VALUE"""),"Darius")</f>
        <v>Darius</v>
      </c>
      <c r="F5867" t="str">
        <f>IFERROR(__xludf.DUMMYFUNCTION("""COMPUTED_VALUE"""),"HOU")</f>
        <v>HOU</v>
      </c>
      <c r="G5867">
        <f>IFERROR(__xludf.DUMMYFUNCTION("""COMPUTED_VALUE"""),16.25)</f>
        <v>16.25</v>
      </c>
    </row>
    <row r="5868">
      <c r="D5868" t="str">
        <f>IFERROR(__xludf.DUMMYFUNCTION("""COMPUTED_VALUE"""),"Kilgore")</f>
        <v>Kilgore</v>
      </c>
      <c r="E5868" t="str">
        <f>IFERROR(__xludf.DUMMYFUNCTION("""COMPUTED_VALUE"""),"Daniel")</f>
        <v>Daniel</v>
      </c>
      <c r="F5868" t="str">
        <f>IFERROR(__xludf.DUMMYFUNCTION("""COMPUTED_VALUE"""),"MIA")</f>
        <v>MIA</v>
      </c>
      <c r="G5868">
        <f>IFERROR(__xludf.DUMMYFUNCTION("""COMPUTED_VALUE"""),18.5)</f>
        <v>18.5</v>
      </c>
    </row>
    <row r="5869">
      <c r="D5869" t="str">
        <f>IFERROR(__xludf.DUMMYFUNCTION("""COMPUTED_VALUE"""),"Killebrew")</f>
        <v>Killebrew</v>
      </c>
      <c r="E5869" t="str">
        <f>IFERROR(__xludf.DUMMYFUNCTION("""COMPUTED_VALUE"""),"Miles")</f>
        <v>Miles</v>
      </c>
      <c r="F5869" t="str">
        <f>IFERROR(__xludf.DUMMYFUNCTION("""COMPUTED_VALUE"""),"DET")</f>
        <v>DET</v>
      </c>
      <c r="G5869">
        <f>IFERROR(__xludf.DUMMYFUNCTION("""COMPUTED_VALUE"""),18.25)</f>
        <v>18.25</v>
      </c>
    </row>
    <row r="5870">
      <c r="D5870" t="str">
        <f>IFERROR(__xludf.DUMMYFUNCTION("""COMPUTED_VALUE"""),"Kindred")</f>
        <v>Kindred</v>
      </c>
      <c r="E5870" t="str">
        <f>IFERROR(__xludf.DUMMYFUNCTION("""COMPUTED_VALUE"""),"Derrick")</f>
        <v>Derrick</v>
      </c>
      <c r="F5870" t="str">
        <f>IFERROR(__xludf.DUMMYFUNCTION("""COMPUTED_VALUE"""),"CLE")</f>
        <v>CLE</v>
      </c>
      <c r="G5870">
        <f>IFERROR(__xludf.DUMMYFUNCTION("""COMPUTED_VALUE"""),19.25)</f>
        <v>19.25</v>
      </c>
    </row>
    <row r="5871">
      <c r="D5871" t="str">
        <f>IFERROR(__xludf.DUMMYFUNCTION("""COMPUTED_VALUE"""),"King")</f>
        <v>King</v>
      </c>
      <c r="E5871" t="str">
        <f>IFERROR(__xludf.DUMMYFUNCTION("""COMPUTED_VALUE"""),"Brandon")</f>
        <v>Brandon</v>
      </c>
      <c r="F5871" t="str">
        <f>IFERROR(__xludf.DUMMYFUNCTION("""COMPUTED_VALUE"""),"NE")</f>
        <v>NE</v>
      </c>
      <c r="G5871">
        <f>IFERROR(__xludf.DUMMYFUNCTION("""COMPUTED_VALUE"""),16.0)</f>
        <v>16</v>
      </c>
    </row>
    <row r="5872">
      <c r="D5872" t="str">
        <f>IFERROR(__xludf.DUMMYFUNCTION("""COMPUTED_VALUE"""),"King")</f>
        <v>King</v>
      </c>
      <c r="E5872" t="str">
        <f>IFERROR(__xludf.DUMMYFUNCTION("""COMPUTED_VALUE"""),"David")</f>
        <v>David</v>
      </c>
      <c r="F5872" t="str">
        <f>IFERROR(__xludf.DUMMYFUNCTION("""COMPUTED_VALUE"""),"TEN")</f>
        <v>TEN</v>
      </c>
      <c r="G5872">
        <f>IFERROR(__xludf.DUMMYFUNCTION("""COMPUTED_VALUE"""),15.75)</f>
        <v>15.75</v>
      </c>
    </row>
    <row r="5873">
      <c r="D5873" t="str">
        <f>IFERROR(__xludf.DUMMYFUNCTION("""COMPUTED_VALUE"""),"King")</f>
        <v>King</v>
      </c>
      <c r="E5873" t="str">
        <f>IFERROR(__xludf.DUMMYFUNCTION("""COMPUTED_VALUE"""),"Deon")</f>
        <v>Deon</v>
      </c>
      <c r="F5873" t="str">
        <f>IFERROR(__xludf.DUMMYFUNCTION("""COMPUTED_VALUE"""),"JAX")</f>
        <v>JAX</v>
      </c>
      <c r="G5873">
        <f>IFERROR(__xludf.DUMMYFUNCTION("""COMPUTED_VALUE"""),17.75)</f>
        <v>17.75</v>
      </c>
    </row>
    <row r="5874">
      <c r="D5874" t="str">
        <f>IFERROR(__xludf.DUMMYFUNCTION("""COMPUTED_VALUE"""),"King")</f>
        <v>King</v>
      </c>
      <c r="E5874" t="str">
        <f>IFERROR(__xludf.DUMMYFUNCTION("""COMPUTED_VALUE"""),"Desmond")</f>
        <v>Desmond</v>
      </c>
      <c r="F5874" t="str">
        <f>IFERROR(__xludf.DUMMYFUNCTION("""COMPUTED_VALUE"""),"LAC")</f>
        <v>LAC</v>
      </c>
      <c r="G5874">
        <f>IFERROR(__xludf.DUMMYFUNCTION("""COMPUTED_VALUE"""),19.75)</f>
        <v>19.75</v>
      </c>
    </row>
    <row r="5875">
      <c r="D5875" t="str">
        <f>IFERROR(__xludf.DUMMYFUNCTION("""COMPUTED_VALUE"""),"King")</f>
        <v>King</v>
      </c>
      <c r="E5875" t="str">
        <f>IFERROR(__xludf.DUMMYFUNCTION("""COMPUTED_VALUE"""),"Jason")</f>
        <v>Jason</v>
      </c>
      <c r="F5875" t="str">
        <f>IFERROR(__xludf.DUMMYFUNCTION("""COMPUTED_VALUE"""),"NE")</f>
        <v>NE</v>
      </c>
      <c r="G5875">
        <f>IFERROR(__xludf.DUMMYFUNCTION("""COMPUTED_VALUE"""),18.75)</f>
        <v>18.75</v>
      </c>
    </row>
    <row r="5876">
      <c r="D5876" t="str">
        <f>IFERROR(__xludf.DUMMYFUNCTION("""COMPUTED_VALUE"""),"King")</f>
        <v>King</v>
      </c>
      <c r="E5876" t="str">
        <f>IFERROR(__xludf.DUMMYFUNCTION("""COMPUTED_VALUE"""),"Kevin")</f>
        <v>Kevin</v>
      </c>
      <c r="F5876" t="str">
        <f>IFERROR(__xludf.DUMMYFUNCTION("""COMPUTED_VALUE"""),"GB")</f>
        <v>GB</v>
      </c>
      <c r="G5876">
        <f>IFERROR(__xludf.DUMMYFUNCTION("""COMPUTED_VALUE"""),19.0)</f>
        <v>19</v>
      </c>
    </row>
    <row r="5877">
      <c r="D5877" t="str">
        <f>IFERROR(__xludf.DUMMYFUNCTION("""COMPUTED_VALUE"""),"King")</f>
        <v>King</v>
      </c>
      <c r="E5877" t="str">
        <f>IFERROR(__xludf.DUMMYFUNCTION("""COMPUTED_VALUE"""),"Marquette")</f>
        <v>Marquette</v>
      </c>
      <c r="F5877" t="str">
        <f>IFERROR(__xludf.DUMMYFUNCTION("""COMPUTED_VALUE"""),"DEN")</f>
        <v>DEN</v>
      </c>
      <c r="G5877">
        <f>IFERROR(__xludf.DUMMYFUNCTION("""COMPUTED_VALUE"""),21.75)</f>
        <v>21.75</v>
      </c>
    </row>
    <row r="5878">
      <c r="D5878" t="str">
        <f>IFERROR(__xludf.DUMMYFUNCTION("""COMPUTED_VALUE"""),"King")</f>
        <v>King</v>
      </c>
      <c r="E5878" t="str">
        <f>IFERROR(__xludf.DUMMYFUNCTION("""COMPUTED_VALUE"""),"Tavarres")</f>
        <v>Tavarres</v>
      </c>
      <c r="F5878" t="str">
        <f>IFERROR(__xludf.DUMMYFUNCTION("""COMPUTED_VALUE"""),"MIN")</f>
        <v>MIN</v>
      </c>
      <c r="G5878">
        <f>IFERROR(__xludf.DUMMYFUNCTION("""COMPUTED_VALUE"""),17.5)</f>
        <v>17.5</v>
      </c>
    </row>
    <row r="5879">
      <c r="D5879" t="str">
        <f>IFERROR(__xludf.DUMMYFUNCTION("""COMPUTED_VALUE"""),"Kirk")</f>
        <v>Kirk</v>
      </c>
      <c r="E5879" t="str">
        <f>IFERROR(__xludf.DUMMYFUNCTION("""COMPUTED_VALUE"""),"Christian")</f>
        <v>Christian</v>
      </c>
      <c r="F5879" t="str">
        <f>IFERROR(__xludf.DUMMYFUNCTION("""COMPUTED_VALUE"""),"ARZ")</f>
        <v>ARZ</v>
      </c>
      <c r="G5879">
        <f>IFERROR(__xludf.DUMMYFUNCTION("""COMPUTED_VALUE"""),18.75)</f>
        <v>18.75</v>
      </c>
    </row>
    <row r="5880">
      <c r="D5880" t="str">
        <f>IFERROR(__xludf.DUMMYFUNCTION("""COMPUTED_VALUE"""),"Kirkpatrick")</f>
        <v>Kirkpatrick</v>
      </c>
      <c r="E5880" t="str">
        <f>IFERROR(__xludf.DUMMYFUNCTION("""COMPUTED_VALUE"""),"Dre")</f>
        <v>Dre</v>
      </c>
      <c r="F5880" t="str">
        <f>IFERROR(__xludf.DUMMYFUNCTION("""COMPUTED_VALUE"""),"CIN")</f>
        <v>CIN</v>
      </c>
      <c r="G5880">
        <f>IFERROR(__xludf.DUMMYFUNCTION("""COMPUTED_VALUE"""),19.25)</f>
        <v>19.25</v>
      </c>
    </row>
    <row r="5881">
      <c r="D5881" t="str">
        <f>IFERROR(__xludf.DUMMYFUNCTION("""COMPUTED_VALUE"""),"Kirksey")</f>
        <v>Kirksey</v>
      </c>
      <c r="E5881" t="str">
        <f>IFERROR(__xludf.DUMMYFUNCTION("""COMPUTED_VALUE"""),"Christian")</f>
        <v>Christian</v>
      </c>
      <c r="F5881" t="str">
        <f>IFERROR(__xludf.DUMMYFUNCTION("""COMPUTED_VALUE"""),"CLE")</f>
        <v>CLE</v>
      </c>
      <c r="G5881">
        <f>IFERROR(__xludf.DUMMYFUNCTION("""COMPUTED_VALUE"""),19.0)</f>
        <v>19</v>
      </c>
    </row>
    <row r="5882">
      <c r="D5882" t="str">
        <f>IFERROR(__xludf.DUMMYFUNCTION("""COMPUTED_VALUE"""),"Kiser")</f>
        <v>Kiser</v>
      </c>
      <c r="E5882" t="str">
        <f>IFERROR(__xludf.DUMMYFUNCTION("""COMPUTED_VALUE"""),"Micah")</f>
        <v>Micah</v>
      </c>
      <c r="F5882" t="str">
        <f>IFERROR(__xludf.DUMMYFUNCTION("""COMPUTED_VALUE"""),"LAR")</f>
        <v>LAR</v>
      </c>
      <c r="G5882">
        <f>IFERROR(__xludf.DUMMYFUNCTION("""COMPUTED_VALUE"""),18.0)</f>
        <v>18</v>
      </c>
    </row>
    <row r="5883">
      <c r="D5883" t="str">
        <f>IFERROR(__xludf.DUMMYFUNCTION("""COMPUTED_VALUE"""),"Kittle")</f>
        <v>Kittle</v>
      </c>
      <c r="E5883" t="str">
        <f>IFERROR(__xludf.DUMMYFUNCTION("""COMPUTED_VALUE"""),"George")</f>
        <v>George</v>
      </c>
      <c r="F5883" t="str">
        <f>IFERROR(__xludf.DUMMYFUNCTION("""COMPUTED_VALUE"""),"SF")</f>
        <v>SF</v>
      </c>
      <c r="G5883">
        <f>IFERROR(__xludf.DUMMYFUNCTION("""COMPUTED_VALUE"""),19.25)</f>
        <v>19.25</v>
      </c>
    </row>
    <row r="5884">
      <c r="D5884" t="str">
        <f>IFERROR(__xludf.DUMMYFUNCTION("""COMPUTED_VALUE"""),"Kizer")</f>
        <v>Kizer</v>
      </c>
      <c r="E5884" t="str">
        <f>IFERROR(__xludf.DUMMYFUNCTION("""COMPUTED_VALUE"""),"DeShone")</f>
        <v>DeShone</v>
      </c>
      <c r="F5884" t="str">
        <f>IFERROR(__xludf.DUMMYFUNCTION("""COMPUTED_VALUE"""),"GB")</f>
        <v>GB</v>
      </c>
      <c r="G5884">
        <f>IFERROR(__xludf.DUMMYFUNCTION("""COMPUTED_VALUE"""),19.0)</f>
        <v>19</v>
      </c>
    </row>
    <row r="5885">
      <c r="D5885" t="str">
        <f>IFERROR(__xludf.DUMMYFUNCTION("""COMPUTED_VALUE"""),"Klein")</f>
        <v>Klein</v>
      </c>
      <c r="E5885" t="str">
        <f>IFERROR(__xludf.DUMMYFUNCTION("""COMPUTED_VALUE"""),"AJ")</f>
        <v>AJ</v>
      </c>
      <c r="F5885" t="str">
        <f>IFERROR(__xludf.DUMMYFUNCTION("""COMPUTED_VALUE"""),"NO")</f>
        <v>NO</v>
      </c>
      <c r="G5885">
        <f>IFERROR(__xludf.DUMMYFUNCTION("""COMPUTED_VALUE"""),18.0)</f>
        <v>18</v>
      </c>
    </row>
    <row r="5886">
      <c r="D5886" t="str">
        <f>IFERROR(__xludf.DUMMYFUNCTION("""COMPUTED_VALUE"""),"Kline")</f>
        <v>Kline</v>
      </c>
      <c r="E5886" t="str">
        <f>IFERROR(__xludf.DUMMYFUNCTION("""COMPUTED_VALUE"""),"Josh")</f>
        <v>Josh</v>
      </c>
      <c r="F5886" t="str">
        <f>IFERROR(__xludf.DUMMYFUNCTION("""COMPUTED_VALUE"""),"TEN")</f>
        <v>TEN</v>
      </c>
      <c r="G5886">
        <f>IFERROR(__xludf.DUMMYFUNCTION("""COMPUTED_VALUE"""),19.75)</f>
        <v>19.75</v>
      </c>
    </row>
    <row r="5887">
      <c r="D5887" t="str">
        <f>IFERROR(__xludf.DUMMYFUNCTION("""COMPUTED_VALUE"""),"Koch")</f>
        <v>Koch</v>
      </c>
      <c r="E5887" t="str">
        <f>IFERROR(__xludf.DUMMYFUNCTION("""COMPUTED_VALUE"""),"Sam")</f>
        <v>Sam</v>
      </c>
      <c r="F5887" t="str">
        <f>IFERROR(__xludf.DUMMYFUNCTION("""COMPUTED_VALUE"""),"BAL")</f>
        <v>BAL</v>
      </c>
      <c r="G5887">
        <f>IFERROR(__xludf.DUMMYFUNCTION("""COMPUTED_VALUE"""),21.0)</f>
        <v>21</v>
      </c>
    </row>
    <row r="5888">
      <c r="D5888" t="str">
        <f>IFERROR(__xludf.DUMMYFUNCTION("""COMPUTED_VALUE"""),"Kouandjio")</f>
        <v>Kouandjio</v>
      </c>
      <c r="E5888" t="str">
        <f>IFERROR(__xludf.DUMMYFUNCTION("""COMPUTED_VALUE"""),"Arie")</f>
        <v>Arie</v>
      </c>
      <c r="F5888" t="str">
        <f>IFERROR(__xludf.DUMMYFUNCTION("""COMPUTED_VALUE"""),"WAS")</f>
        <v>WAS</v>
      </c>
      <c r="G5888">
        <f>IFERROR(__xludf.DUMMYFUNCTION("""COMPUTED_VALUE"""),17.0)</f>
        <v>17</v>
      </c>
    </row>
    <row r="5889">
      <c r="D5889" t="str">
        <f>IFERROR(__xludf.DUMMYFUNCTION("""COMPUTED_VALUE"""),"Kouandjio")</f>
        <v>Kouandjio</v>
      </c>
      <c r="E5889" t="str">
        <f>IFERROR(__xludf.DUMMYFUNCTION("""COMPUTED_VALUE"""),"Cyrus")</f>
        <v>Cyrus</v>
      </c>
      <c r="F5889" t="str">
        <f>IFERROR(__xludf.DUMMYFUNCTION("""COMPUTED_VALUE"""),"DEN")</f>
        <v>DEN</v>
      </c>
      <c r="G5889">
        <f>IFERROR(__xludf.DUMMYFUNCTION("""COMPUTED_VALUE"""),18.25)</f>
        <v>18.25</v>
      </c>
    </row>
    <row r="5890">
      <c r="D5890" t="str">
        <f>IFERROR(__xludf.DUMMYFUNCTION("""COMPUTED_VALUE"""),"Koyack")</f>
        <v>Koyack</v>
      </c>
      <c r="E5890" t="str">
        <f>IFERROR(__xludf.DUMMYFUNCTION("""COMPUTED_VALUE"""),"Ben")</f>
        <v>Ben</v>
      </c>
      <c r="F5890" t="str">
        <f>IFERROR(__xludf.DUMMYFUNCTION("""COMPUTED_VALUE"""),"JAX")</f>
        <v>JAX</v>
      </c>
      <c r="G5890">
        <f>IFERROR(__xludf.DUMMYFUNCTION("""COMPUTED_VALUE"""),18.0)</f>
        <v>18</v>
      </c>
    </row>
    <row r="5891">
      <c r="D5891" t="str">
        <f>IFERROR(__xludf.DUMMYFUNCTION("""COMPUTED_VALUE"""),"Kpassagnon")</f>
        <v>Kpassagnon</v>
      </c>
      <c r="E5891" t="str">
        <f>IFERROR(__xludf.DUMMYFUNCTION("""COMPUTED_VALUE"""),"Tanoh")</f>
        <v>Tanoh</v>
      </c>
      <c r="F5891" t="str">
        <f>IFERROR(__xludf.DUMMYFUNCTION("""COMPUTED_VALUE"""),"KC")</f>
        <v>KC</v>
      </c>
      <c r="G5891">
        <f>IFERROR(__xludf.DUMMYFUNCTION("""COMPUTED_VALUE"""),16.75)</f>
        <v>16.75</v>
      </c>
    </row>
    <row r="5892">
      <c r="D5892" t="str">
        <f>IFERROR(__xludf.DUMMYFUNCTION("""COMPUTED_VALUE"""),"Krieger-Coble")</f>
        <v>Krieger-Coble</v>
      </c>
      <c r="E5892" t="str">
        <f>IFERROR(__xludf.DUMMYFUNCTION("""COMPUTED_VALUE"""),"Henry")</f>
        <v>Henry</v>
      </c>
      <c r="F5892" t="str">
        <f>IFERROR(__xludf.DUMMYFUNCTION("""COMPUTED_VALUE"""),"LAR")</f>
        <v>LAR</v>
      </c>
      <c r="G5892">
        <f>IFERROR(__xludf.DUMMYFUNCTION("""COMPUTED_VALUE"""),15.5)</f>
        <v>15.5</v>
      </c>
    </row>
    <row r="5893">
      <c r="D5893" t="str">
        <f>IFERROR(__xludf.DUMMYFUNCTION("""COMPUTED_VALUE"""),"Kroft")</f>
        <v>Kroft</v>
      </c>
      <c r="E5893" t="str">
        <f>IFERROR(__xludf.DUMMYFUNCTION("""COMPUTED_VALUE"""),"Tyler")</f>
        <v>Tyler</v>
      </c>
      <c r="F5893" t="str">
        <f>IFERROR(__xludf.DUMMYFUNCTION("""COMPUTED_VALUE"""),"CIN")</f>
        <v>CIN</v>
      </c>
      <c r="G5893">
        <f>IFERROR(__xludf.DUMMYFUNCTION("""COMPUTED_VALUE"""),19.0)</f>
        <v>19</v>
      </c>
    </row>
    <row r="5894">
      <c r="D5894" t="str">
        <f>IFERROR(__xludf.DUMMYFUNCTION("""COMPUTED_VALUE"""),"Kuechly")</f>
        <v>Kuechly</v>
      </c>
      <c r="E5894" t="str">
        <f>IFERROR(__xludf.DUMMYFUNCTION("""COMPUTED_VALUE"""),"Luke")</f>
        <v>Luke</v>
      </c>
      <c r="F5894" t="str">
        <f>IFERROR(__xludf.DUMMYFUNCTION("""COMPUTED_VALUE"""),"CAR")</f>
        <v>CAR</v>
      </c>
      <c r="G5894">
        <f>IFERROR(__xludf.DUMMYFUNCTION("""COMPUTED_VALUE"""),22.25)</f>
        <v>22.25</v>
      </c>
    </row>
    <row r="5895">
      <c r="D5895" t="str">
        <f>IFERROR(__xludf.DUMMYFUNCTION("""COMPUTED_VALUE"""),"Kuhn")</f>
        <v>Kuhn</v>
      </c>
      <c r="E5895" t="str">
        <f>IFERROR(__xludf.DUMMYFUNCTION("""COMPUTED_VALUE"""),"John")</f>
        <v>John</v>
      </c>
      <c r="F5895" t="str">
        <f>IFERROR(__xludf.DUMMYFUNCTION("""COMPUTED_VALUE"""),"FA")</f>
        <v>FA</v>
      </c>
      <c r="G5895">
        <f>IFERROR(__xludf.DUMMYFUNCTION("""COMPUTED_VALUE"""),15.25)</f>
        <v>15.25</v>
      </c>
    </row>
    <row r="5896">
      <c r="D5896" t="str">
        <f>IFERROR(__xludf.DUMMYFUNCTION("""COMPUTED_VALUE"""),"Kupp")</f>
        <v>Kupp</v>
      </c>
      <c r="E5896" t="str">
        <f>IFERROR(__xludf.DUMMYFUNCTION("""COMPUTED_VALUE"""),"Cooper")</f>
        <v>Cooper</v>
      </c>
      <c r="F5896" t="str">
        <f>IFERROR(__xludf.DUMMYFUNCTION("""COMPUTED_VALUE"""),"LAR")</f>
        <v>LAR</v>
      </c>
      <c r="G5896">
        <f>IFERROR(__xludf.DUMMYFUNCTION("""COMPUTED_VALUE"""),19.25)</f>
        <v>19.25</v>
      </c>
    </row>
    <row r="5897">
      <c r="D5897" t="str">
        <f>IFERROR(__xludf.DUMMYFUNCTION("""COMPUTED_VALUE"""),"Kush")</f>
        <v>Kush</v>
      </c>
      <c r="E5897" t="str">
        <f>IFERROR(__xludf.DUMMYFUNCTION("""COMPUTED_VALUE"""),"Eric")</f>
        <v>Eric</v>
      </c>
      <c r="F5897" t="str">
        <f>IFERROR(__xludf.DUMMYFUNCTION("""COMPUTED_VALUE"""),"CHI")</f>
        <v>CHI</v>
      </c>
      <c r="G5897">
        <f>IFERROR(__xludf.DUMMYFUNCTION("""COMPUTED_VALUE"""),16.5)</f>
        <v>16.5</v>
      </c>
    </row>
    <row r="5898">
      <c r="D5898" t="str">
        <f>IFERROR(__xludf.DUMMYFUNCTION("""COMPUTED_VALUE"""),"Kwiatkoski")</f>
        <v>Kwiatkoski</v>
      </c>
      <c r="E5898" t="str">
        <f>IFERROR(__xludf.DUMMYFUNCTION("""COMPUTED_VALUE"""),"Nick")</f>
        <v>Nick</v>
      </c>
      <c r="F5898" t="str">
        <f>IFERROR(__xludf.DUMMYFUNCTION("""COMPUTED_VALUE"""),"CHI")</f>
        <v>CHI</v>
      </c>
      <c r="G5898">
        <f>IFERROR(__xludf.DUMMYFUNCTION("""COMPUTED_VALUE"""),19.75)</f>
        <v>19.75</v>
      </c>
    </row>
    <row r="5899">
      <c r="D5899" t="str">
        <f>IFERROR(__xludf.DUMMYFUNCTION("""COMPUTED_VALUE"""),"Lacey")</f>
        <v>Lacey</v>
      </c>
      <c r="E5899" t="str">
        <f>IFERROR(__xludf.DUMMYFUNCTION("""COMPUTED_VALUE"""),"Deon")</f>
        <v>Deon</v>
      </c>
      <c r="F5899" t="str">
        <f>IFERROR(__xludf.DUMMYFUNCTION("""COMPUTED_VALUE"""),"BUF")</f>
        <v>BUF</v>
      </c>
      <c r="G5899">
        <f>IFERROR(__xludf.DUMMYFUNCTION("""COMPUTED_VALUE"""),18.5)</f>
        <v>18.5</v>
      </c>
    </row>
    <row r="5900">
      <c r="D5900" t="str">
        <f>IFERROR(__xludf.DUMMYFUNCTION("""COMPUTED_VALUE"""),"LaFell")</f>
        <v>LaFell</v>
      </c>
      <c r="E5900" t="str">
        <f>IFERROR(__xludf.DUMMYFUNCTION("""COMPUTED_VALUE"""),"Brandon")</f>
        <v>Brandon</v>
      </c>
      <c r="F5900" t="str">
        <f>IFERROR(__xludf.DUMMYFUNCTION("""COMPUTED_VALUE"""),"CIN")</f>
        <v>CIN</v>
      </c>
      <c r="G5900">
        <f>IFERROR(__xludf.DUMMYFUNCTION("""COMPUTED_VALUE"""),19.25)</f>
        <v>19.25</v>
      </c>
    </row>
    <row r="5901">
      <c r="D5901" t="str">
        <f>IFERROR(__xludf.DUMMYFUNCTION("""COMPUTED_VALUE"""),"Lambert")</f>
        <v>Lambert</v>
      </c>
      <c r="E5901" t="str">
        <f>IFERROR(__xludf.DUMMYFUNCTION("""COMPUTED_VALUE"""),"DaVonte")</f>
        <v>DaVonte</v>
      </c>
      <c r="F5901" t="str">
        <f>IFERROR(__xludf.DUMMYFUNCTION("""COMPUTED_VALUE"""),"TB")</f>
        <v>TB</v>
      </c>
      <c r="G5901">
        <f>IFERROR(__xludf.DUMMYFUNCTION("""COMPUTED_VALUE"""),16.0)</f>
        <v>16</v>
      </c>
    </row>
    <row r="5902">
      <c r="D5902" t="str">
        <f>IFERROR(__xludf.DUMMYFUNCTION("""COMPUTED_VALUE"""),"Lambo")</f>
        <v>Lambo</v>
      </c>
      <c r="E5902" t="str">
        <f>IFERROR(__xludf.DUMMYFUNCTION("""COMPUTED_VALUE"""),"Josh")</f>
        <v>Josh</v>
      </c>
      <c r="F5902" t="str">
        <f>IFERROR(__xludf.DUMMYFUNCTION("""COMPUTED_VALUE"""),"JAX")</f>
        <v>JAX</v>
      </c>
      <c r="G5902">
        <f>IFERROR(__xludf.DUMMYFUNCTION("""COMPUTED_VALUE"""),19.75)</f>
        <v>19.75</v>
      </c>
    </row>
    <row r="5903">
      <c r="D5903" t="str">
        <f>IFERROR(__xludf.DUMMYFUNCTION("""COMPUTED_VALUE"""),"Lamm")</f>
        <v>Lamm</v>
      </c>
      <c r="E5903" t="str">
        <f>IFERROR(__xludf.DUMMYFUNCTION("""COMPUTED_VALUE"""),"Kendall")</f>
        <v>Kendall</v>
      </c>
      <c r="F5903" t="str">
        <f>IFERROR(__xludf.DUMMYFUNCTION("""COMPUTED_VALUE"""),"HOU")</f>
        <v>HOU</v>
      </c>
      <c r="G5903">
        <f>IFERROR(__xludf.DUMMYFUNCTION("""COMPUTED_VALUE"""),18.5)</f>
        <v>18.5</v>
      </c>
    </row>
    <row r="5904">
      <c r="D5904" t="str">
        <f>IFERROR(__xludf.DUMMYFUNCTION("""COMPUTED_VALUE"""),"Lamp")</f>
        <v>Lamp</v>
      </c>
      <c r="E5904" t="str">
        <f>IFERROR(__xludf.DUMMYFUNCTION("""COMPUTED_VALUE"""),"Forrest")</f>
        <v>Forrest</v>
      </c>
      <c r="F5904" t="str">
        <f>IFERROR(__xludf.DUMMYFUNCTION("""COMPUTED_VALUE"""),"LAC")</f>
        <v>LAC</v>
      </c>
      <c r="G5904">
        <f>IFERROR(__xludf.DUMMYFUNCTION("""COMPUTED_VALUE"""),19.5)</f>
        <v>19.5</v>
      </c>
    </row>
    <row r="5905">
      <c r="D5905" t="str">
        <f>IFERROR(__xludf.DUMMYFUNCTION("""COMPUTED_VALUE"""),"Lampman")</f>
        <v>Lampman</v>
      </c>
      <c r="E5905" t="str">
        <f>IFERROR(__xludf.DUMMYFUNCTION("""COMPUTED_VALUE"""),"Jake")</f>
        <v>Jake</v>
      </c>
      <c r="F5905" t="str">
        <f>IFERROR(__xludf.DUMMYFUNCTION("""COMPUTED_VALUE"""),"TB")</f>
        <v>TB</v>
      </c>
      <c r="G5905">
        <f>IFERROR(__xludf.DUMMYFUNCTION("""COMPUTED_VALUE"""),16.0)</f>
        <v>16</v>
      </c>
    </row>
    <row r="5906">
      <c r="D5906" t="str">
        <f>IFERROR(__xludf.DUMMYFUNCTION("""COMPUTED_VALUE"""),"Lamur")</f>
        <v>Lamur</v>
      </c>
      <c r="E5906" t="str">
        <f>IFERROR(__xludf.DUMMYFUNCTION("""COMPUTED_VALUE"""),"Emmanuel")</f>
        <v>Emmanuel</v>
      </c>
      <c r="F5906" t="str">
        <f>IFERROR(__xludf.DUMMYFUNCTION("""COMPUTED_VALUE"""),"OAK")</f>
        <v>OAK</v>
      </c>
      <c r="G5906">
        <f>IFERROR(__xludf.DUMMYFUNCTION("""COMPUTED_VALUE"""),18.0)</f>
        <v>18</v>
      </c>
    </row>
    <row r="5907">
      <c r="D5907" t="str">
        <f>IFERROR(__xludf.DUMMYFUNCTION("""COMPUTED_VALUE"""),"Landry")</f>
        <v>Landry</v>
      </c>
      <c r="E5907" t="str">
        <f>IFERROR(__xludf.DUMMYFUNCTION("""COMPUTED_VALUE"""),"Harold")</f>
        <v>Harold</v>
      </c>
      <c r="F5907" t="str">
        <f>IFERROR(__xludf.DUMMYFUNCTION("""COMPUTED_VALUE"""),"TEN")</f>
        <v>TEN</v>
      </c>
      <c r="G5907">
        <f>IFERROR(__xludf.DUMMYFUNCTION("""COMPUTED_VALUE"""),18.75)</f>
        <v>18.75</v>
      </c>
    </row>
    <row r="5908">
      <c r="D5908" t="str">
        <f>IFERROR(__xludf.DUMMYFUNCTION("""COMPUTED_VALUE"""),"Landry")</f>
        <v>Landry</v>
      </c>
      <c r="E5908" t="str">
        <f>IFERROR(__xludf.DUMMYFUNCTION("""COMPUTED_VALUE"""),"Jarvis")</f>
        <v>Jarvis</v>
      </c>
      <c r="F5908" t="str">
        <f>IFERROR(__xludf.DUMMYFUNCTION("""COMPUTED_VALUE"""),"CLE")</f>
        <v>CLE</v>
      </c>
      <c r="G5908">
        <f>IFERROR(__xludf.DUMMYFUNCTION("""COMPUTED_VALUE"""),21.5)</f>
        <v>21.5</v>
      </c>
    </row>
    <row r="5909">
      <c r="D5909" t="str">
        <f>IFERROR(__xludf.DUMMYFUNCTION("""COMPUTED_VALUE"""),"Landry")</f>
        <v>Landry</v>
      </c>
      <c r="E5909" t="str">
        <f>IFERROR(__xludf.DUMMYFUNCTION("""COMPUTED_VALUE"""),"Jarvis")</f>
        <v>Jarvis</v>
      </c>
      <c r="F5909" t="str">
        <f>IFERROR(__xludf.DUMMYFUNCTION("""COMPUTED_VALUE"""),"CLE")</f>
        <v>CLE</v>
      </c>
      <c r="G5909">
        <f>IFERROR(__xludf.DUMMYFUNCTION("""COMPUTED_VALUE"""),22.25)</f>
        <v>22.25</v>
      </c>
    </row>
    <row r="5910">
      <c r="D5910" t="str">
        <f>IFERROR(__xludf.DUMMYFUNCTION("""COMPUTED_VALUE"""),"Lang")</f>
        <v>Lang</v>
      </c>
      <c r="E5910" t="str">
        <f>IFERROR(__xludf.DUMMYFUNCTION("""COMPUTED_VALUE"""),"TJ")</f>
        <v>TJ</v>
      </c>
      <c r="F5910" t="str">
        <f>IFERROR(__xludf.DUMMYFUNCTION("""COMPUTED_VALUE"""),"DET")</f>
        <v>DET</v>
      </c>
      <c r="G5910">
        <f>IFERROR(__xludf.DUMMYFUNCTION("""COMPUTED_VALUE"""),20.0)</f>
        <v>20</v>
      </c>
    </row>
    <row r="5911">
      <c r="D5911" t="str">
        <f>IFERROR(__xludf.DUMMYFUNCTION("""COMPUTED_VALUE"""),"Lang")</f>
        <v>Lang</v>
      </c>
      <c r="E5911" t="str">
        <f>IFERROR(__xludf.DUMMYFUNCTION("""COMPUTED_VALUE"""),"TJ")</f>
        <v>TJ</v>
      </c>
      <c r="F5911" t="str">
        <f>IFERROR(__xludf.DUMMYFUNCTION("""COMPUTED_VALUE"""),"DET")</f>
        <v>DET</v>
      </c>
      <c r="G5911">
        <f>IFERROR(__xludf.DUMMYFUNCTION("""COMPUTED_VALUE"""),21.5)</f>
        <v>21.5</v>
      </c>
    </row>
    <row r="5912">
      <c r="D5912" t="str">
        <f>IFERROR(__xludf.DUMMYFUNCTION("""COMPUTED_VALUE"""),"Langi")</f>
        <v>Langi</v>
      </c>
      <c r="E5912" t="str">
        <f>IFERROR(__xludf.DUMMYFUNCTION("""COMPUTED_VALUE"""),"Harvey")</f>
        <v>Harvey</v>
      </c>
      <c r="F5912" t="str">
        <f>IFERROR(__xludf.DUMMYFUNCTION("""COMPUTED_VALUE"""),"NE")</f>
        <v>NE</v>
      </c>
      <c r="G5912">
        <f>IFERROR(__xludf.DUMMYFUNCTION("""COMPUTED_VALUE"""),17.0)</f>
        <v>17</v>
      </c>
    </row>
    <row r="5913">
      <c r="D5913" t="str">
        <f>IFERROR(__xludf.DUMMYFUNCTION("""COMPUTED_VALUE"""),"Langley")</f>
        <v>Langley</v>
      </c>
      <c r="E5913" t="str">
        <f>IFERROR(__xludf.DUMMYFUNCTION("""COMPUTED_VALUE"""),"Brendan")</f>
        <v>Brendan</v>
      </c>
      <c r="F5913" t="str">
        <f>IFERROR(__xludf.DUMMYFUNCTION("""COMPUTED_VALUE"""),"DEN")</f>
        <v>DEN</v>
      </c>
      <c r="G5913">
        <f>IFERROR(__xludf.DUMMYFUNCTION("""COMPUTED_VALUE"""),17.5)</f>
        <v>17.5</v>
      </c>
    </row>
    <row r="5914">
      <c r="D5914" t="str">
        <f>IFERROR(__xludf.DUMMYFUNCTION("""COMPUTED_VALUE"""),"Lanier II")</f>
        <v>Lanier II</v>
      </c>
      <c r="E5914" t="str">
        <f>IFERROR(__xludf.DUMMYFUNCTION("""COMPUTED_VALUE"""),"Anthony")</f>
        <v>Anthony</v>
      </c>
      <c r="F5914" t="str">
        <f>IFERROR(__xludf.DUMMYFUNCTION("""COMPUTED_VALUE"""),"WAS")</f>
        <v>WAS</v>
      </c>
      <c r="G5914">
        <f>IFERROR(__xludf.DUMMYFUNCTION("""COMPUTED_VALUE"""),16.75)</f>
        <v>16.75</v>
      </c>
    </row>
    <row r="5915">
      <c r="D5915" t="str">
        <f>IFERROR(__xludf.DUMMYFUNCTION("""COMPUTED_VALUE"""),"LARey")</f>
        <v>LARey</v>
      </c>
      <c r="E5915" t="str">
        <f>IFERROR(__xludf.DUMMYFUNCTION("""COMPUTED_VALUE"""),"Jalen")</f>
        <v>Jalen</v>
      </c>
      <c r="F5915" t="str">
        <f>IFERROR(__xludf.DUMMYFUNCTION("""COMPUTED_VALUE"""),"JAX")</f>
        <v>JAX</v>
      </c>
      <c r="G5915">
        <f>IFERROR(__xludf.DUMMYFUNCTION("""COMPUTED_VALUE"""),22.25)</f>
        <v>22.25</v>
      </c>
    </row>
    <row r="5916">
      <c r="D5916" t="str">
        <f>IFERROR(__xludf.DUMMYFUNCTION("""COMPUTED_VALUE"""),"LARey")</f>
        <v>LARey</v>
      </c>
      <c r="E5916" t="str">
        <f>IFERROR(__xludf.DUMMYFUNCTION("""COMPUTED_VALUE"""),"Jalen")</f>
        <v>Jalen</v>
      </c>
      <c r="F5916" t="str">
        <f>IFERROR(__xludf.DUMMYFUNCTION("""COMPUTED_VALUE"""),"JAX")</f>
        <v>JAX</v>
      </c>
      <c r="G5916">
        <f>IFERROR(__xludf.DUMMYFUNCTION("""COMPUTED_VALUE"""),23.0)</f>
        <v>23</v>
      </c>
    </row>
    <row r="5917">
      <c r="D5917" t="str">
        <f>IFERROR(__xludf.DUMMYFUNCTION("""COMPUTED_VALUE"""),"Larsen")</f>
        <v>Larsen</v>
      </c>
      <c r="E5917" t="str">
        <f>IFERROR(__xludf.DUMMYFUNCTION("""COMPUTED_VALUE"""),"Ted")</f>
        <v>Ted</v>
      </c>
      <c r="F5917" t="str">
        <f>IFERROR(__xludf.DUMMYFUNCTION("""COMPUTED_VALUE"""),"MIA")</f>
        <v>MIA</v>
      </c>
      <c r="G5917">
        <f>IFERROR(__xludf.DUMMYFUNCTION("""COMPUTED_VALUE"""),17.25)</f>
        <v>17.25</v>
      </c>
    </row>
    <row r="5918">
      <c r="D5918" t="str">
        <f>IFERROR(__xludf.DUMMYFUNCTION("""COMPUTED_VALUE"""),"Larsen")</f>
        <v>Larsen</v>
      </c>
      <c r="E5918" t="str">
        <f>IFERROR(__xludf.DUMMYFUNCTION("""COMPUTED_VALUE"""),"Tyler")</f>
        <v>Tyler</v>
      </c>
      <c r="F5918" t="str">
        <f>IFERROR(__xludf.DUMMYFUNCTION("""COMPUTED_VALUE"""),"CAR")</f>
        <v>CAR</v>
      </c>
      <c r="G5918">
        <f>IFERROR(__xludf.DUMMYFUNCTION("""COMPUTED_VALUE"""),18.25)</f>
        <v>18.25</v>
      </c>
    </row>
    <row r="5919">
      <c r="D5919" t="str">
        <f>IFERROR(__xludf.DUMMYFUNCTION("""COMPUTED_VALUE"""),"Lasco")</f>
        <v>Lasco</v>
      </c>
      <c r="E5919" t="str">
        <f>IFERROR(__xludf.DUMMYFUNCTION("""COMPUTED_VALUE"""),"Daniel")</f>
        <v>Daniel</v>
      </c>
      <c r="F5919" t="str">
        <f>IFERROR(__xludf.DUMMYFUNCTION("""COMPUTED_VALUE"""),"NO")</f>
        <v>NO</v>
      </c>
      <c r="G5919">
        <f>IFERROR(__xludf.DUMMYFUNCTION("""COMPUTED_VALUE"""),16.25)</f>
        <v>16.25</v>
      </c>
    </row>
    <row r="5920">
      <c r="D5920" t="str">
        <f>IFERROR(__xludf.DUMMYFUNCTION("""COMPUTED_VALUE"""),"Lasley")</f>
        <v>Lasley</v>
      </c>
      <c r="E5920" t="str">
        <f>IFERROR(__xludf.DUMMYFUNCTION("""COMPUTED_VALUE"""),"Jordan")</f>
        <v>Jordan</v>
      </c>
      <c r="F5920" t="str">
        <f>IFERROR(__xludf.DUMMYFUNCTION("""COMPUTED_VALUE"""),"BAL")</f>
        <v>BAL</v>
      </c>
      <c r="G5920">
        <f>IFERROR(__xludf.DUMMYFUNCTION("""COMPUTED_VALUE"""),17.25)</f>
        <v>17.25</v>
      </c>
    </row>
    <row r="5921">
      <c r="D5921" t="str">
        <f>IFERROR(__xludf.DUMMYFUNCTION("""COMPUTED_VALUE"""),"Latham")</f>
        <v>Latham</v>
      </c>
      <c r="E5921" t="str">
        <f>IFERROR(__xludf.DUMMYFUNCTION("""COMPUTED_VALUE"""),"Darius")</f>
        <v>Darius</v>
      </c>
      <c r="F5921" t="str">
        <f>IFERROR(__xludf.DUMMYFUNCTION("""COMPUTED_VALUE"""),"FA")</f>
        <v>FA</v>
      </c>
      <c r="G5921">
        <f>IFERROR(__xludf.DUMMYFUNCTION("""COMPUTED_VALUE"""),16.75)</f>
        <v>16.75</v>
      </c>
    </row>
    <row r="5922">
      <c r="D5922" t="str">
        <f>IFERROR(__xludf.DUMMYFUNCTION("""COMPUTED_VALUE"""),"Latimer")</f>
        <v>Latimer</v>
      </c>
      <c r="E5922" t="str">
        <f>IFERROR(__xludf.DUMMYFUNCTION("""COMPUTED_VALUE"""),"Cody")</f>
        <v>Cody</v>
      </c>
      <c r="F5922" t="str">
        <f>IFERROR(__xludf.DUMMYFUNCTION("""COMPUTED_VALUE"""),"NYG")</f>
        <v>NYG</v>
      </c>
      <c r="G5922">
        <f>IFERROR(__xludf.DUMMYFUNCTION("""COMPUTED_VALUE"""),18.0)</f>
        <v>18</v>
      </c>
    </row>
    <row r="5923">
      <c r="D5923" t="str">
        <f>IFERROR(__xludf.DUMMYFUNCTION("""COMPUTED_VALUE"""),"Lattimore")</f>
        <v>Lattimore</v>
      </c>
      <c r="E5923" t="str">
        <f>IFERROR(__xludf.DUMMYFUNCTION("""COMPUTED_VALUE"""),"Marshon")</f>
        <v>Marshon</v>
      </c>
      <c r="F5923" t="str">
        <f>IFERROR(__xludf.DUMMYFUNCTION("""COMPUTED_VALUE"""),"NO")</f>
        <v>NO</v>
      </c>
      <c r="G5923">
        <f>IFERROR(__xludf.DUMMYFUNCTION("""COMPUTED_VALUE"""),21.5)</f>
        <v>21.5</v>
      </c>
    </row>
    <row r="5924">
      <c r="D5924" t="str">
        <f>IFERROR(__xludf.DUMMYFUNCTION("""COMPUTED_VALUE"""),"Lauletta")</f>
        <v>Lauletta</v>
      </c>
      <c r="E5924" t="str">
        <f>IFERROR(__xludf.DUMMYFUNCTION("""COMPUTED_VALUE"""),"Kyle")</f>
        <v>Kyle</v>
      </c>
      <c r="F5924" t="str">
        <f>IFERROR(__xludf.DUMMYFUNCTION("""COMPUTED_VALUE"""),"NYG")</f>
        <v>NYG</v>
      </c>
      <c r="G5924">
        <f>IFERROR(__xludf.DUMMYFUNCTION("""COMPUTED_VALUE"""),18.0)</f>
        <v>18</v>
      </c>
    </row>
    <row r="5925">
      <c r="D5925" t="str">
        <f>IFERROR(__xludf.DUMMYFUNCTION("""COMPUTED_VALUE"""),"Lawler")</f>
        <v>Lawler</v>
      </c>
      <c r="E5925" t="str">
        <f>IFERROR(__xludf.DUMMYFUNCTION("""COMPUTED_VALUE"""),"Justin")</f>
        <v>Justin</v>
      </c>
      <c r="F5925" t="str">
        <f>IFERROR(__xludf.DUMMYFUNCTION("""COMPUTED_VALUE"""),"LAR")</f>
        <v>LAR</v>
      </c>
      <c r="G5925">
        <f>IFERROR(__xludf.DUMMYFUNCTION("""COMPUTED_VALUE"""),16.5)</f>
        <v>16.5</v>
      </c>
    </row>
    <row r="5926">
      <c r="D5926" t="str">
        <f>IFERROR(__xludf.DUMMYFUNCTION("""COMPUTED_VALUE"""),"Lawrence")</f>
        <v>Lawrence</v>
      </c>
      <c r="E5926" t="str">
        <f>IFERROR(__xludf.DUMMYFUNCTION("""COMPUTED_VALUE"""),"DeMarcus")</f>
        <v>DeMarcus</v>
      </c>
      <c r="F5926" t="str">
        <f>IFERROR(__xludf.DUMMYFUNCTION("""COMPUTED_VALUE"""),"DAL")</f>
        <v>DAL</v>
      </c>
      <c r="G5926">
        <f>IFERROR(__xludf.DUMMYFUNCTION("""COMPUTED_VALUE"""),20.75)</f>
        <v>20.75</v>
      </c>
    </row>
    <row r="5927">
      <c r="D5927" t="str">
        <f>IFERROR(__xludf.DUMMYFUNCTION("""COMPUTED_VALUE"""),"Lawson")</f>
        <v>Lawson</v>
      </c>
      <c r="E5927" t="str">
        <f>IFERROR(__xludf.DUMMYFUNCTION("""COMPUTED_VALUE"""),"Carl")</f>
        <v>Carl</v>
      </c>
      <c r="F5927" t="str">
        <f>IFERROR(__xludf.DUMMYFUNCTION("""COMPUTED_VALUE"""),"CIN")</f>
        <v>CIN</v>
      </c>
      <c r="G5927">
        <f>IFERROR(__xludf.DUMMYFUNCTION("""COMPUTED_VALUE"""),19.75)</f>
        <v>19.75</v>
      </c>
    </row>
    <row r="5928">
      <c r="D5928" t="str">
        <f>IFERROR(__xludf.DUMMYFUNCTION("""COMPUTED_VALUE"""),"Lawson")</f>
        <v>Lawson</v>
      </c>
      <c r="E5928" t="str">
        <f>IFERROR(__xludf.DUMMYFUNCTION("""COMPUTED_VALUE"""),"Nevin")</f>
        <v>Nevin</v>
      </c>
      <c r="F5928" t="str">
        <f>IFERROR(__xludf.DUMMYFUNCTION("""COMPUTED_VALUE"""),"DET")</f>
        <v>DET</v>
      </c>
      <c r="G5928">
        <f>IFERROR(__xludf.DUMMYFUNCTION("""COMPUTED_VALUE"""),18.0)</f>
        <v>18</v>
      </c>
    </row>
    <row r="5929">
      <c r="D5929" t="str">
        <f>IFERROR(__xludf.DUMMYFUNCTION("""COMPUTED_VALUE"""),"Lawson")</f>
        <v>Lawson</v>
      </c>
      <c r="E5929" t="str">
        <f>IFERROR(__xludf.DUMMYFUNCTION("""COMPUTED_VALUE"""),"Shaq")</f>
        <v>Shaq</v>
      </c>
      <c r="F5929" t="str">
        <f>IFERROR(__xludf.DUMMYFUNCTION("""COMPUTED_VALUE"""),"BUF")</f>
        <v>BUF</v>
      </c>
      <c r="G5929">
        <f>IFERROR(__xludf.DUMMYFUNCTION("""COMPUTED_VALUE"""),18.75)</f>
        <v>18.75</v>
      </c>
    </row>
    <row r="5930">
      <c r="D5930" t="str">
        <f>IFERROR(__xludf.DUMMYFUNCTION("""COMPUTED_VALUE"""),"Leary")</f>
        <v>Leary</v>
      </c>
      <c r="E5930" t="str">
        <f>IFERROR(__xludf.DUMMYFUNCTION("""COMPUTED_VALUE"""),"Ron")</f>
        <v>Ron</v>
      </c>
      <c r="F5930" t="str">
        <f>IFERROR(__xludf.DUMMYFUNCTION("""COMPUTED_VALUE"""),"DEN")</f>
        <v>DEN</v>
      </c>
      <c r="G5930">
        <f>IFERROR(__xludf.DUMMYFUNCTION("""COMPUTED_VALUE"""),20.25)</f>
        <v>20.25</v>
      </c>
    </row>
    <row r="5931">
      <c r="D5931" t="str">
        <f>IFERROR(__xludf.DUMMYFUNCTION("""COMPUTED_VALUE"""),"LeBlanc")</f>
        <v>LeBlanc</v>
      </c>
      <c r="E5931" t="str">
        <f>IFERROR(__xludf.DUMMYFUNCTION("""COMPUTED_VALUE"""),"CreVon")</f>
        <v>CreVon</v>
      </c>
      <c r="F5931" t="str">
        <f>IFERROR(__xludf.DUMMYFUNCTION("""COMPUTED_VALUE"""),"CHI")</f>
        <v>CHI</v>
      </c>
      <c r="G5931">
        <f>IFERROR(__xludf.DUMMYFUNCTION("""COMPUTED_VALUE"""),18.75)</f>
        <v>18.75</v>
      </c>
    </row>
    <row r="5932">
      <c r="D5932" t="str">
        <f>IFERROR(__xludf.DUMMYFUNCTION("""COMPUTED_VALUE"""),"Lechler")</f>
        <v>Lechler</v>
      </c>
      <c r="E5932" t="str">
        <f>IFERROR(__xludf.DUMMYFUNCTION("""COMPUTED_VALUE"""),"Shane")</f>
        <v>Shane</v>
      </c>
      <c r="F5932" t="str">
        <f>IFERROR(__xludf.DUMMYFUNCTION("""COMPUTED_VALUE"""),"HOU")</f>
        <v>HOU</v>
      </c>
      <c r="G5932">
        <f>IFERROR(__xludf.DUMMYFUNCTION("""COMPUTED_VALUE"""),19.5)</f>
        <v>19.5</v>
      </c>
    </row>
    <row r="5933">
      <c r="D5933" t="str">
        <f>IFERROR(__xludf.DUMMYFUNCTION("""COMPUTED_VALUE"""),"Ledbetter")</f>
        <v>Ledbetter</v>
      </c>
      <c r="E5933" t="str">
        <f>IFERROR(__xludf.DUMMYFUNCTION("""COMPUTED_VALUE"""),"Jeremiah")</f>
        <v>Jeremiah</v>
      </c>
      <c r="F5933" t="str">
        <f>IFERROR(__xludf.DUMMYFUNCTION("""COMPUTED_VALUE"""),"DET")</f>
        <v>DET</v>
      </c>
      <c r="G5933">
        <f>IFERROR(__xludf.DUMMYFUNCTION("""COMPUTED_VALUE"""),16.5)</f>
        <v>16.5</v>
      </c>
    </row>
    <row r="5934">
      <c r="D5934" t="str">
        <f>IFERROR(__xludf.DUMMYFUNCTION("""COMPUTED_VALUE"""),"Lee")</f>
        <v>Lee</v>
      </c>
      <c r="E5934" t="str">
        <f>IFERROR(__xludf.DUMMYFUNCTION("""COMPUTED_VALUE"""),"Andy")</f>
        <v>Andy</v>
      </c>
      <c r="F5934" t="str">
        <f>IFERROR(__xludf.DUMMYFUNCTION("""COMPUTED_VALUE"""),"ARZ")</f>
        <v>ARZ</v>
      </c>
      <c r="G5934">
        <f>IFERROR(__xludf.DUMMYFUNCTION("""COMPUTED_VALUE"""),20.5)</f>
        <v>20.5</v>
      </c>
    </row>
    <row r="5935">
      <c r="D5935" t="str">
        <f>IFERROR(__xludf.DUMMYFUNCTION("""COMPUTED_VALUE"""),"Lee")</f>
        <v>Lee</v>
      </c>
      <c r="E5935" t="str">
        <f>IFERROR(__xludf.DUMMYFUNCTION("""COMPUTED_VALUE"""),"Cameron")</f>
        <v>Cameron</v>
      </c>
      <c r="F5935" t="str">
        <f>IFERROR(__xludf.DUMMYFUNCTION("""COMPUTED_VALUE"""),"FA")</f>
        <v>FA</v>
      </c>
      <c r="G5935">
        <f>IFERROR(__xludf.DUMMYFUNCTION("""COMPUTED_VALUE"""),15.75)</f>
        <v>15.75</v>
      </c>
    </row>
    <row r="5936">
      <c r="D5936" t="str">
        <f>IFERROR(__xludf.DUMMYFUNCTION("""COMPUTED_VALUE"""),"Lee")</f>
        <v>Lee</v>
      </c>
      <c r="E5936" t="str">
        <f>IFERROR(__xludf.DUMMYFUNCTION("""COMPUTED_VALUE"""),"Darron")</f>
        <v>Darron</v>
      </c>
      <c r="F5936" t="str">
        <f>IFERROR(__xludf.DUMMYFUNCTION("""COMPUTED_VALUE"""),"NYJ")</f>
        <v>NYJ</v>
      </c>
      <c r="G5936">
        <f>IFERROR(__xludf.DUMMYFUNCTION("""COMPUTED_VALUE"""),18.5)</f>
        <v>18.5</v>
      </c>
    </row>
    <row r="5937">
      <c r="D5937" t="str">
        <f>IFERROR(__xludf.DUMMYFUNCTION("""COMPUTED_VALUE"""),"Lee")</f>
        <v>Lee</v>
      </c>
      <c r="E5937" t="str">
        <f>IFERROR(__xludf.DUMMYFUNCTION("""COMPUTED_VALUE"""),"Elijah")</f>
        <v>Elijah</v>
      </c>
      <c r="F5937" t="str">
        <f>IFERROR(__xludf.DUMMYFUNCTION("""COMPUTED_VALUE"""),"SF")</f>
        <v>SF</v>
      </c>
      <c r="G5937">
        <f>IFERROR(__xludf.DUMMYFUNCTION("""COMPUTED_VALUE"""),17.25)</f>
        <v>17.25</v>
      </c>
    </row>
    <row r="5938">
      <c r="D5938" t="str">
        <f>IFERROR(__xludf.DUMMYFUNCTION("""COMPUTED_VALUE"""),"Lee")</f>
        <v>Lee</v>
      </c>
      <c r="E5938" t="str">
        <f>IFERROR(__xludf.DUMMYFUNCTION("""COMPUTED_VALUE"""),"Eric")</f>
        <v>Eric</v>
      </c>
      <c r="F5938" t="str">
        <f>IFERROR(__xludf.DUMMYFUNCTION("""COMPUTED_VALUE"""),"NE")</f>
        <v>NE</v>
      </c>
      <c r="G5938">
        <f>IFERROR(__xludf.DUMMYFUNCTION("""COMPUTED_VALUE"""),17.5)</f>
        <v>17.5</v>
      </c>
    </row>
    <row r="5939">
      <c r="D5939" t="str">
        <f>IFERROR(__xludf.DUMMYFUNCTION("""COMPUTED_VALUE"""),"Lee")</f>
        <v>Lee</v>
      </c>
      <c r="E5939" t="str">
        <f>IFERROR(__xludf.DUMMYFUNCTION("""COMPUTED_VALUE"""),"Khari")</f>
        <v>Khari</v>
      </c>
      <c r="F5939" t="str">
        <f>IFERROR(__xludf.DUMMYFUNCTION("""COMPUTED_VALUE"""),"BUF")</f>
        <v>BUF</v>
      </c>
      <c r="G5939">
        <f>IFERROR(__xludf.DUMMYFUNCTION("""COMPUTED_VALUE"""),17.5)</f>
        <v>17.5</v>
      </c>
    </row>
    <row r="5940">
      <c r="D5940" t="str">
        <f>IFERROR(__xludf.DUMMYFUNCTION("""COMPUTED_VALUE"""),"Lee")</f>
        <v>Lee</v>
      </c>
      <c r="E5940" t="str">
        <f>IFERROR(__xludf.DUMMYFUNCTION("""COMPUTED_VALUE"""),"Marqise")</f>
        <v>Marqise</v>
      </c>
      <c r="F5940" t="str">
        <f>IFERROR(__xludf.DUMMYFUNCTION("""COMPUTED_VALUE"""),"JAX")</f>
        <v>JAX</v>
      </c>
      <c r="G5940">
        <f>IFERROR(__xludf.DUMMYFUNCTION("""COMPUTED_VALUE"""),19.5)</f>
        <v>19.5</v>
      </c>
    </row>
    <row r="5941">
      <c r="D5941" t="str">
        <f>IFERROR(__xludf.DUMMYFUNCTION("""COMPUTED_VALUE"""),"Lee")</f>
        <v>Lee</v>
      </c>
      <c r="E5941" t="str">
        <f>IFERROR(__xludf.DUMMYFUNCTION("""COMPUTED_VALUE"""),"Marquel")</f>
        <v>Marquel</v>
      </c>
      <c r="F5941" t="str">
        <f>IFERROR(__xludf.DUMMYFUNCTION("""COMPUTED_VALUE"""),"OAK")</f>
        <v>OAK</v>
      </c>
      <c r="G5941">
        <f>IFERROR(__xludf.DUMMYFUNCTION("""COMPUTED_VALUE"""),17.25)</f>
        <v>17.25</v>
      </c>
    </row>
    <row r="5942">
      <c r="D5942" t="str">
        <f>IFERROR(__xludf.DUMMYFUNCTION("""COMPUTED_VALUE"""),"Lee")</f>
        <v>Lee</v>
      </c>
      <c r="E5942" t="str">
        <f>IFERROR(__xludf.DUMMYFUNCTION("""COMPUTED_VALUE"""),"Sean")</f>
        <v>Sean</v>
      </c>
      <c r="F5942" t="str">
        <f>IFERROR(__xludf.DUMMYFUNCTION("""COMPUTED_VALUE"""),"DAL")</f>
        <v>DAL</v>
      </c>
      <c r="G5942">
        <f>IFERROR(__xludf.DUMMYFUNCTION("""COMPUTED_VALUE"""),21.5)</f>
        <v>21.5</v>
      </c>
    </row>
    <row r="5943">
      <c r="D5943" t="str">
        <f>IFERROR(__xludf.DUMMYFUNCTION("""COMPUTED_VALUE"""),"Lee")</f>
        <v>Lee</v>
      </c>
      <c r="E5943" t="str">
        <f>IFERROR(__xludf.DUMMYFUNCTION("""COMPUTED_VALUE"""),"Tanner")</f>
        <v>Tanner</v>
      </c>
      <c r="F5943" t="str">
        <f>IFERROR(__xludf.DUMMYFUNCTION("""COMPUTED_VALUE"""),"JAX")</f>
        <v>JAX</v>
      </c>
      <c r="G5943">
        <f>IFERROR(__xludf.DUMMYFUNCTION("""COMPUTED_VALUE"""),16.5)</f>
        <v>16.5</v>
      </c>
    </row>
    <row r="5944">
      <c r="D5944" t="str">
        <f>IFERROR(__xludf.DUMMYFUNCTION("""COMPUTED_VALUE"""),"Leggett")</f>
        <v>Leggett</v>
      </c>
      <c r="E5944" t="str">
        <f>IFERROR(__xludf.DUMMYFUNCTION("""COMPUTED_VALUE"""),"Jordan")</f>
        <v>Jordan</v>
      </c>
      <c r="F5944" t="str">
        <f>IFERROR(__xludf.DUMMYFUNCTION("""COMPUTED_VALUE"""),"NYJ")</f>
        <v>NYJ</v>
      </c>
      <c r="G5944">
        <f>IFERROR(__xludf.DUMMYFUNCTION("""COMPUTED_VALUE"""),17.25)</f>
        <v>17.25</v>
      </c>
    </row>
    <row r="5945">
      <c r="D5945" t="str">
        <f>IFERROR(__xludf.DUMMYFUNCTION("""COMPUTED_VALUE"""),"Lengel")</f>
        <v>Lengel</v>
      </c>
      <c r="E5945" t="str">
        <f>IFERROR(__xludf.DUMMYFUNCTION("""COMPUTED_VALUE"""),"Matt")</f>
        <v>Matt</v>
      </c>
      <c r="F5945" t="str">
        <f>IFERROR(__xludf.DUMMYFUNCTION("""COMPUTED_VALUE"""),"HOU")</f>
        <v>HOU</v>
      </c>
      <c r="G5945">
        <f>IFERROR(__xludf.DUMMYFUNCTION("""COMPUTED_VALUE"""),17.25)</f>
        <v>17.25</v>
      </c>
    </row>
    <row r="5946">
      <c r="D5946" t="str">
        <f>IFERROR(__xludf.DUMMYFUNCTION("""COMPUTED_VALUE"""),"Leno Jr")</f>
        <v>Leno Jr</v>
      </c>
      <c r="E5946" t="str">
        <f>IFERROR(__xludf.DUMMYFUNCTION("""COMPUTED_VALUE"""),"Charles")</f>
        <v>Charles</v>
      </c>
      <c r="F5946" t="str">
        <f>IFERROR(__xludf.DUMMYFUNCTION("""COMPUTED_VALUE"""),"CHI")</f>
        <v>CHI</v>
      </c>
      <c r="G5946">
        <f>IFERROR(__xludf.DUMMYFUNCTION("""COMPUTED_VALUE"""),19.75)</f>
        <v>19.75</v>
      </c>
    </row>
    <row r="5947">
      <c r="D5947" t="str">
        <f>IFERROR(__xludf.DUMMYFUNCTION("""COMPUTED_VALUE"""),"Leonard")</f>
        <v>Leonard</v>
      </c>
      <c r="E5947" t="str">
        <f>IFERROR(__xludf.DUMMYFUNCTION("""COMPUTED_VALUE"""),"Darius")</f>
        <v>Darius</v>
      </c>
      <c r="F5947" t="str">
        <f>IFERROR(__xludf.DUMMYFUNCTION("""COMPUTED_VALUE"""),"IND")</f>
        <v>IND</v>
      </c>
      <c r="G5947">
        <f>IFERROR(__xludf.DUMMYFUNCTION("""COMPUTED_VALUE"""),18.5)</f>
        <v>18.5</v>
      </c>
    </row>
    <row r="5948">
      <c r="D5948" t="str">
        <f>IFERROR(__xludf.DUMMYFUNCTION("""COMPUTED_VALUE"""),"Leonard")</f>
        <v>Leonard</v>
      </c>
      <c r="E5948" t="str">
        <f>IFERROR(__xludf.DUMMYFUNCTION("""COMPUTED_VALUE"""),"Rick")</f>
        <v>Rick</v>
      </c>
      <c r="F5948" t="str">
        <f>IFERROR(__xludf.DUMMYFUNCTION("""COMPUTED_VALUE"""),"NO")</f>
        <v>NO</v>
      </c>
      <c r="G5948">
        <f>IFERROR(__xludf.DUMMYFUNCTION("""COMPUTED_VALUE"""),17.0)</f>
        <v>17</v>
      </c>
    </row>
    <row r="5949">
      <c r="D5949" t="str">
        <f>IFERROR(__xludf.DUMMYFUNCTION("""COMPUTED_VALUE"""),"Leslie")</f>
        <v>Leslie</v>
      </c>
      <c r="E5949" t="str">
        <f>IFERROR(__xludf.DUMMYFUNCTION("""COMPUTED_VALUE"""),"Jordan")</f>
        <v>Jordan</v>
      </c>
      <c r="F5949" t="str">
        <f>IFERROR(__xludf.DUMMYFUNCTION("""COMPUTED_VALUE"""),"DEN")</f>
        <v>DEN</v>
      </c>
      <c r="G5949">
        <f>IFERROR(__xludf.DUMMYFUNCTION("""COMPUTED_VALUE"""),17.0)</f>
        <v>17</v>
      </c>
    </row>
    <row r="5950">
      <c r="D5950" t="str">
        <f>IFERROR(__xludf.DUMMYFUNCTION("""COMPUTED_VALUE"""),"Levin")</f>
        <v>Levin</v>
      </c>
      <c r="E5950" t="str">
        <f>IFERROR(__xludf.DUMMYFUNCTION("""COMPUTED_VALUE"""),"Corey")</f>
        <v>Corey</v>
      </c>
      <c r="F5950" t="str">
        <f>IFERROR(__xludf.DUMMYFUNCTION("""COMPUTED_VALUE"""),"TEN")</f>
        <v>TEN</v>
      </c>
      <c r="G5950">
        <f>IFERROR(__xludf.DUMMYFUNCTION("""COMPUTED_VALUE"""),16.75)</f>
        <v>16.75</v>
      </c>
    </row>
    <row r="5951">
      <c r="D5951" t="str">
        <f>IFERROR(__xludf.DUMMYFUNCTION("""COMPUTED_VALUE"""),"Levine Sr")</f>
        <v>Levine Sr</v>
      </c>
      <c r="E5951" t="str">
        <f>IFERROR(__xludf.DUMMYFUNCTION("""COMPUTED_VALUE"""),"Anthony")</f>
        <v>Anthony</v>
      </c>
      <c r="F5951" t="str">
        <f>IFERROR(__xludf.DUMMYFUNCTION("""COMPUTED_VALUE"""),"BAL")</f>
        <v>BAL</v>
      </c>
      <c r="G5951">
        <f>IFERROR(__xludf.DUMMYFUNCTION("""COMPUTED_VALUE"""),18.75)</f>
        <v>18.75</v>
      </c>
    </row>
    <row r="5952">
      <c r="D5952" t="str">
        <f>IFERROR(__xludf.DUMMYFUNCTION("""COMPUTED_VALUE"""),"Levitre")</f>
        <v>Levitre</v>
      </c>
      <c r="E5952" t="str">
        <f>IFERROR(__xludf.DUMMYFUNCTION("""COMPUTED_VALUE"""),"Andy")</f>
        <v>Andy</v>
      </c>
      <c r="F5952" t="str">
        <f>IFERROR(__xludf.DUMMYFUNCTION("""COMPUTED_VALUE"""),"ATL")</f>
        <v>ATL</v>
      </c>
      <c r="G5952">
        <f>IFERROR(__xludf.DUMMYFUNCTION("""COMPUTED_VALUE"""),20.0)</f>
        <v>20</v>
      </c>
    </row>
    <row r="5953">
      <c r="D5953" t="str">
        <f>IFERROR(__xludf.DUMMYFUNCTION("""COMPUTED_VALUE"""),"Lewan")</f>
        <v>Lewan</v>
      </c>
      <c r="E5953" t="str">
        <f>IFERROR(__xludf.DUMMYFUNCTION("""COMPUTED_VALUE"""),"Taylor")</f>
        <v>Taylor</v>
      </c>
      <c r="F5953" t="str">
        <f>IFERROR(__xludf.DUMMYFUNCTION("""COMPUTED_VALUE"""),"TEN")</f>
        <v>TEN</v>
      </c>
      <c r="G5953">
        <f>IFERROR(__xludf.DUMMYFUNCTION("""COMPUTED_VALUE"""),20.5)</f>
        <v>20.5</v>
      </c>
    </row>
    <row r="5954">
      <c r="D5954" t="str">
        <f>IFERROR(__xludf.DUMMYFUNCTION("""COMPUTED_VALUE"""),"Lewis")</f>
        <v>Lewis</v>
      </c>
      <c r="E5954" t="str">
        <f>IFERROR(__xludf.DUMMYFUNCTION("""COMPUTED_VALUE"""),"Alex")</f>
        <v>Alex</v>
      </c>
      <c r="F5954" t="str">
        <f>IFERROR(__xludf.DUMMYFUNCTION("""COMPUTED_VALUE"""),"BAL")</f>
        <v>BAL</v>
      </c>
      <c r="G5954">
        <f>IFERROR(__xludf.DUMMYFUNCTION("""COMPUTED_VALUE"""),18.5)</f>
        <v>18.5</v>
      </c>
    </row>
    <row r="5955">
      <c r="D5955" t="str">
        <f>IFERROR(__xludf.DUMMYFUNCTION("""COMPUTED_VALUE"""),"Lewis")</f>
        <v>Lewis</v>
      </c>
      <c r="E5955" t="str">
        <f>IFERROR(__xludf.DUMMYFUNCTION("""COMPUTED_VALUE"""),"Dion")</f>
        <v>Dion</v>
      </c>
      <c r="F5955" t="str">
        <f>IFERROR(__xludf.DUMMYFUNCTION("""COMPUTED_VALUE"""),"TEN")</f>
        <v>TEN</v>
      </c>
      <c r="G5955">
        <f>IFERROR(__xludf.DUMMYFUNCTION("""COMPUTED_VALUE"""),20.5)</f>
        <v>20.5</v>
      </c>
    </row>
    <row r="5956">
      <c r="D5956" t="str">
        <f>IFERROR(__xludf.DUMMYFUNCTION("""COMPUTED_VALUE"""),"Lewis")</f>
        <v>Lewis</v>
      </c>
      <c r="E5956" t="str">
        <f>IFERROR(__xludf.DUMMYFUNCTION("""COMPUTED_VALUE"""),"Jourdan")</f>
        <v>Jourdan</v>
      </c>
      <c r="F5956" t="str">
        <f>IFERROR(__xludf.DUMMYFUNCTION("""COMPUTED_VALUE"""),"DAL")</f>
        <v>DAL</v>
      </c>
      <c r="G5956">
        <f>IFERROR(__xludf.DUMMYFUNCTION("""COMPUTED_VALUE"""),19.0)</f>
        <v>19</v>
      </c>
    </row>
    <row r="5957">
      <c r="D5957" t="str">
        <f>IFERROR(__xludf.DUMMYFUNCTION("""COMPUTED_VALUE"""),"Lewis")</f>
        <v>Lewis</v>
      </c>
      <c r="E5957" t="str">
        <f>IFERROR(__xludf.DUMMYFUNCTION("""COMPUTED_VALUE"""),"Kendrick")</f>
        <v>Kendrick</v>
      </c>
      <c r="F5957" t="str">
        <f>IFERROR(__xludf.DUMMYFUNCTION("""COMPUTED_VALUE"""),"TEN")</f>
        <v>TEN</v>
      </c>
      <c r="G5957">
        <f>IFERROR(__xludf.DUMMYFUNCTION("""COMPUTED_VALUE"""),18.0)</f>
        <v>18</v>
      </c>
    </row>
    <row r="5958">
      <c r="D5958" t="str">
        <f>IFERROR(__xludf.DUMMYFUNCTION("""COMPUTED_VALUE"""),"Lewis")</f>
        <v>Lewis</v>
      </c>
      <c r="E5958" t="str">
        <f>IFERROR(__xludf.DUMMYFUNCTION("""COMPUTED_VALUE"""),"LaTroy")</f>
        <v>LaTroy</v>
      </c>
      <c r="F5958" t="str">
        <f>IFERROR(__xludf.DUMMYFUNCTION("""COMPUTED_VALUE"""),"HOU")</f>
        <v>HOU</v>
      </c>
      <c r="G5958">
        <f>IFERROR(__xludf.DUMMYFUNCTION("""COMPUTED_VALUE"""),15.75)</f>
        <v>15.75</v>
      </c>
    </row>
    <row r="5959">
      <c r="D5959" t="str">
        <f>IFERROR(__xludf.DUMMYFUNCTION("""COMPUTED_VALUE"""),"Lewis")</f>
        <v>Lewis</v>
      </c>
      <c r="E5959" t="str">
        <f>IFERROR(__xludf.DUMMYFUNCTION("""COMPUTED_VALUE"""),"Marcedes")</f>
        <v>Marcedes</v>
      </c>
      <c r="F5959" t="str">
        <f>IFERROR(__xludf.DUMMYFUNCTION("""COMPUTED_VALUE"""),"GB")</f>
        <v>GB</v>
      </c>
      <c r="G5959">
        <f>IFERROR(__xludf.DUMMYFUNCTION("""COMPUTED_VALUE"""),19.5)</f>
        <v>19.5</v>
      </c>
    </row>
    <row r="5960">
      <c r="D5960" t="str">
        <f>IFERROR(__xludf.DUMMYFUNCTION("""COMPUTED_VALUE"""),"Lewis")</f>
        <v>Lewis</v>
      </c>
      <c r="E5960" t="str">
        <f>IFERROR(__xludf.DUMMYFUNCTION("""COMPUTED_VALUE"""),"Tommylee")</f>
        <v>Tommylee</v>
      </c>
      <c r="F5960" t="str">
        <f>IFERROR(__xludf.DUMMYFUNCTION("""COMPUTED_VALUE"""),"NO")</f>
        <v>NO</v>
      </c>
      <c r="G5960">
        <f>IFERROR(__xludf.DUMMYFUNCTION("""COMPUTED_VALUE"""),17.0)</f>
        <v>17</v>
      </c>
    </row>
    <row r="5961">
      <c r="D5961" t="str">
        <f>IFERROR(__xludf.DUMMYFUNCTION("""COMPUTED_VALUE"""),"Lewis")</f>
        <v>Lewis</v>
      </c>
      <c r="E5961" t="str">
        <f>IFERROR(__xludf.DUMMYFUNCTION("""COMPUTED_VALUE"""),"Tyquan")</f>
        <v>Tyquan</v>
      </c>
      <c r="F5961" t="str">
        <f>IFERROR(__xludf.DUMMYFUNCTION("""COMPUTED_VALUE"""),"IND")</f>
        <v>IND</v>
      </c>
      <c r="G5961">
        <f>IFERROR(__xludf.DUMMYFUNCTION("""COMPUTED_VALUE"""),18.75)</f>
        <v>18.75</v>
      </c>
    </row>
    <row r="5962">
      <c r="D5962" t="str">
        <f>IFERROR(__xludf.DUMMYFUNCTION("""COMPUTED_VALUE"""),"Lewis Jr")</f>
        <v>Lewis Jr</v>
      </c>
      <c r="E5962" t="str">
        <f>IFERROR(__xludf.DUMMYFUNCTION("""COMPUTED_VALUE"""),"Roger")</f>
        <v>Roger</v>
      </c>
      <c r="F5962" t="str">
        <f>IFERROR(__xludf.DUMMYFUNCTION("""COMPUTED_VALUE"""),"NYG")</f>
        <v>NYG</v>
      </c>
      <c r="G5962">
        <f>IFERROR(__xludf.DUMMYFUNCTION("""COMPUTED_VALUE"""),18.0)</f>
        <v>18</v>
      </c>
    </row>
    <row r="5963">
      <c r="D5963" t="str">
        <f>IFERROR(__xludf.DUMMYFUNCTION("""COMPUTED_VALUE"""),"Lewis-Moore")</f>
        <v>Lewis-Moore</v>
      </c>
      <c r="E5963" t="str">
        <f>IFERROR(__xludf.DUMMYFUNCTION("""COMPUTED_VALUE"""),"Kapron")</f>
        <v>Kapron</v>
      </c>
      <c r="F5963" t="str">
        <f>IFERROR(__xludf.DUMMYFUNCTION("""COMPUTED_VALUE"""),"JAX")</f>
        <v>JAX</v>
      </c>
      <c r="G5963">
        <f>IFERROR(__xludf.DUMMYFUNCTION("""COMPUTED_VALUE"""),16.75)</f>
        <v>16.75</v>
      </c>
    </row>
    <row r="5964">
      <c r="D5964" t="str">
        <f>IFERROR(__xludf.DUMMYFUNCTION("""COMPUTED_VALUE"""),"Liedtke")</f>
        <v>Liedtke</v>
      </c>
      <c r="E5964" t="str">
        <f>IFERROR(__xludf.DUMMYFUNCTION("""COMPUTED_VALUE"""),"Mike")</f>
        <v>Mike</v>
      </c>
      <c r="F5964" t="str">
        <f>IFERROR(__xludf.DUMMYFUNCTION("""COMPUTED_VALUE"""),"TB")</f>
        <v>TB</v>
      </c>
      <c r="G5964">
        <f>IFERROR(__xludf.DUMMYFUNCTION("""COMPUTED_VALUE"""),17.75)</f>
        <v>17.75</v>
      </c>
    </row>
    <row r="5965">
      <c r="D5965" t="str">
        <f>IFERROR(__xludf.DUMMYFUNCTION("""COMPUTED_VALUE"""),"Linder")</f>
        <v>Linder</v>
      </c>
      <c r="E5965" t="str">
        <f>IFERROR(__xludf.DUMMYFUNCTION("""COMPUTED_VALUE"""),"Brandon")</f>
        <v>Brandon</v>
      </c>
      <c r="F5965" t="str">
        <f>IFERROR(__xludf.DUMMYFUNCTION("""COMPUTED_VALUE"""),"JAX")</f>
        <v>JAX</v>
      </c>
      <c r="G5965">
        <f>IFERROR(__xludf.DUMMYFUNCTION("""COMPUTED_VALUE"""),21.0)</f>
        <v>21</v>
      </c>
    </row>
    <row r="5966">
      <c r="D5966" t="str">
        <f>IFERROR(__xludf.DUMMYFUNCTION("""COMPUTED_VALUE"""),"Line")</f>
        <v>Line</v>
      </c>
      <c r="E5966" t="str">
        <f>IFERROR(__xludf.DUMMYFUNCTION("""COMPUTED_VALUE"""),"Zach")</f>
        <v>Zach</v>
      </c>
      <c r="F5966" t="str">
        <f>IFERROR(__xludf.DUMMYFUNCTION("""COMPUTED_VALUE"""),"NO")</f>
        <v>NO</v>
      </c>
      <c r="G5966">
        <f>IFERROR(__xludf.DUMMYFUNCTION("""COMPUTED_VALUE"""),19.75)</f>
        <v>19.75</v>
      </c>
    </row>
    <row r="5967">
      <c r="D5967" t="str">
        <f>IFERROR(__xludf.DUMMYFUNCTION("""COMPUTED_VALUE"""),"Linsley")</f>
        <v>Linsley</v>
      </c>
      <c r="E5967" t="str">
        <f>IFERROR(__xludf.DUMMYFUNCTION("""COMPUTED_VALUE"""),"Corey")</f>
        <v>Corey</v>
      </c>
      <c r="F5967" t="str">
        <f>IFERROR(__xludf.DUMMYFUNCTION("""COMPUTED_VALUE"""),"GB")</f>
        <v>GB</v>
      </c>
      <c r="G5967">
        <f>IFERROR(__xludf.DUMMYFUNCTION("""COMPUTED_VALUE"""),19.25)</f>
        <v>19.25</v>
      </c>
    </row>
    <row r="5968">
      <c r="D5968" t="str">
        <f>IFERROR(__xludf.DUMMYFUNCTION("""COMPUTED_VALUE"""),"Lippett")</f>
        <v>Lippett</v>
      </c>
      <c r="E5968" t="str">
        <f>IFERROR(__xludf.DUMMYFUNCTION("""COMPUTED_VALUE"""),"Tony")</f>
        <v>Tony</v>
      </c>
      <c r="F5968" t="str">
        <f>IFERROR(__xludf.DUMMYFUNCTION("""COMPUTED_VALUE"""),"MIA")</f>
        <v>MIA</v>
      </c>
      <c r="G5968">
        <f>IFERROR(__xludf.DUMMYFUNCTION("""COMPUTED_VALUE"""),19.5)</f>
        <v>19.5</v>
      </c>
    </row>
    <row r="5969">
      <c r="D5969" t="str">
        <f>IFERROR(__xludf.DUMMYFUNCTION("""COMPUTED_VALUE"""),"Listenbee")</f>
        <v>Listenbee</v>
      </c>
      <c r="E5969" t="str">
        <f>IFERROR(__xludf.DUMMYFUNCTION("""COMPUTED_VALUE"""),"Kolby")</f>
        <v>Kolby</v>
      </c>
      <c r="F5969" t="str">
        <f>IFERROR(__xludf.DUMMYFUNCTION("""COMPUTED_VALUE"""),"FA")</f>
        <v>FA</v>
      </c>
      <c r="G5969">
        <f>IFERROR(__xludf.DUMMYFUNCTION("""COMPUTED_VALUE"""),17.25)</f>
        <v>17.25</v>
      </c>
    </row>
    <row r="5970">
      <c r="D5970" t="str">
        <f>IFERROR(__xludf.DUMMYFUNCTION("""COMPUTED_VALUE"""),"Littleton")</f>
        <v>Littleton</v>
      </c>
      <c r="E5970" t="str">
        <f>IFERROR(__xludf.DUMMYFUNCTION("""COMPUTED_VALUE"""),"Cory")</f>
        <v>Cory</v>
      </c>
      <c r="F5970" t="str">
        <f>IFERROR(__xludf.DUMMYFUNCTION("""COMPUTED_VALUE"""),"LAR")</f>
        <v>LAR</v>
      </c>
      <c r="G5970">
        <f>IFERROR(__xludf.DUMMYFUNCTION("""COMPUTED_VALUE"""),17.5)</f>
        <v>17.5</v>
      </c>
    </row>
    <row r="5971">
      <c r="D5971" t="str">
        <f>IFERROR(__xludf.DUMMYFUNCTION("""COMPUTED_VALUE"""),"Liuget")</f>
        <v>Liuget</v>
      </c>
      <c r="E5971" t="str">
        <f>IFERROR(__xludf.DUMMYFUNCTION("""COMPUTED_VALUE"""),"Corey")</f>
        <v>Corey</v>
      </c>
      <c r="F5971" t="str">
        <f>IFERROR(__xludf.DUMMYFUNCTION("""COMPUTED_VALUE"""),"LAC")</f>
        <v>LAC</v>
      </c>
      <c r="G5971">
        <f>IFERROR(__xludf.DUMMYFUNCTION("""COMPUTED_VALUE"""),20.0)</f>
        <v>20</v>
      </c>
    </row>
    <row r="5972">
      <c r="D5972" t="str">
        <f>IFERROR(__xludf.DUMMYFUNCTION("""COMPUTED_VALUE"""),"Locke")</f>
        <v>Locke</v>
      </c>
      <c r="E5972" t="str">
        <f>IFERROR(__xludf.DUMMYFUNCTION("""COMPUTED_VALUE"""),"Jeff")</f>
        <v>Jeff</v>
      </c>
      <c r="F5972" t="str">
        <f>IFERROR(__xludf.DUMMYFUNCTION("""COMPUTED_VALUE"""),"SF")</f>
        <v>SF</v>
      </c>
      <c r="G5972">
        <f>IFERROR(__xludf.DUMMYFUNCTION("""COMPUTED_VALUE"""),19.0)</f>
        <v>19</v>
      </c>
    </row>
    <row r="5973">
      <c r="D5973" t="str">
        <f>IFERROR(__xludf.DUMMYFUNCTION("""COMPUTED_VALUE"""),"Lockett")</f>
        <v>Lockett</v>
      </c>
      <c r="E5973" t="str">
        <f>IFERROR(__xludf.DUMMYFUNCTION("""COMPUTED_VALUE"""),"Tyler")</f>
        <v>Tyler</v>
      </c>
      <c r="F5973" t="str">
        <f>IFERROR(__xludf.DUMMYFUNCTION("""COMPUTED_VALUE"""),"SEA")</f>
        <v>SEA</v>
      </c>
      <c r="G5973">
        <f>IFERROR(__xludf.DUMMYFUNCTION("""COMPUTED_VALUE"""),19.25)</f>
        <v>19.25</v>
      </c>
    </row>
    <row r="5974">
      <c r="D5974" t="str">
        <f>IFERROR(__xludf.DUMMYFUNCTION("""COMPUTED_VALUE"""),"Loewen")</f>
        <v>Loewen</v>
      </c>
      <c r="E5974" t="str">
        <f>IFERROR(__xludf.DUMMYFUNCTION("""COMPUTED_VALUE"""),"Mitchell")</f>
        <v>Mitchell</v>
      </c>
      <c r="F5974" t="str">
        <f>IFERROR(__xludf.DUMMYFUNCTION("""COMPUTED_VALUE"""),"NO")</f>
        <v>NO</v>
      </c>
      <c r="G5974">
        <f>IFERROR(__xludf.DUMMYFUNCTION("""COMPUTED_VALUE"""),18.5)</f>
        <v>18.5</v>
      </c>
    </row>
    <row r="5975">
      <c r="D5975" t="str">
        <f>IFERROR(__xludf.DUMMYFUNCTION("""COMPUTED_VALUE"""),"Logan")</f>
        <v>Logan</v>
      </c>
      <c r="E5975" t="str">
        <f>IFERROR(__xludf.DUMMYFUNCTION("""COMPUTED_VALUE"""),"Bennie")</f>
        <v>Bennie</v>
      </c>
      <c r="F5975" t="str">
        <f>IFERROR(__xludf.DUMMYFUNCTION("""COMPUTED_VALUE"""),"TEN")</f>
        <v>TEN</v>
      </c>
      <c r="G5975">
        <f>IFERROR(__xludf.DUMMYFUNCTION("""COMPUTED_VALUE"""),19.0)</f>
        <v>19</v>
      </c>
    </row>
    <row r="5976">
      <c r="D5976" t="str">
        <f>IFERROR(__xludf.DUMMYFUNCTION("""COMPUTED_VALUE"""),"Logan")</f>
        <v>Logan</v>
      </c>
      <c r="E5976" t="str">
        <f>IFERROR(__xludf.DUMMYFUNCTION("""COMPUTED_VALUE"""),"TJ")</f>
        <v>TJ</v>
      </c>
      <c r="F5976" t="str">
        <f>IFERROR(__xludf.DUMMYFUNCTION("""COMPUTED_VALUE"""),"ARZ")</f>
        <v>ARZ</v>
      </c>
      <c r="G5976">
        <f>IFERROR(__xludf.DUMMYFUNCTION("""COMPUTED_VALUE"""),17.75)</f>
        <v>17.75</v>
      </c>
    </row>
    <row r="5977">
      <c r="D5977" t="str">
        <f>IFERROR(__xludf.DUMMYFUNCTION("""COMPUTED_VALUE"""),"Long")</f>
        <v>Long</v>
      </c>
      <c r="E5977" t="str">
        <f>IFERROR(__xludf.DUMMYFUNCTION("""COMPUTED_VALUE"""),"Chris")</f>
        <v>Chris</v>
      </c>
      <c r="F5977" t="str">
        <f>IFERROR(__xludf.DUMMYFUNCTION("""COMPUTED_VALUE"""),"PHI")</f>
        <v>PHI</v>
      </c>
      <c r="G5977">
        <f>IFERROR(__xludf.DUMMYFUNCTION("""COMPUTED_VALUE"""),19.75)</f>
        <v>19.75</v>
      </c>
    </row>
    <row r="5978">
      <c r="D5978" t="str">
        <f>IFERROR(__xludf.DUMMYFUNCTION("""COMPUTED_VALUE"""),"Long")</f>
        <v>Long</v>
      </c>
      <c r="E5978" t="str">
        <f>IFERROR(__xludf.DUMMYFUNCTION("""COMPUTED_VALUE"""),"Chris")</f>
        <v>Chris</v>
      </c>
      <c r="F5978" t="str">
        <f>IFERROR(__xludf.DUMMYFUNCTION("""COMPUTED_VALUE"""),"PHI")</f>
        <v>PHI</v>
      </c>
      <c r="G5978">
        <f>IFERROR(__xludf.DUMMYFUNCTION("""COMPUTED_VALUE"""),21.25)</f>
        <v>21.25</v>
      </c>
    </row>
    <row r="5979">
      <c r="D5979" t="str">
        <f>IFERROR(__xludf.DUMMYFUNCTION("""COMPUTED_VALUE"""),"Long")</f>
        <v>Long</v>
      </c>
      <c r="E5979" t="str">
        <f>IFERROR(__xludf.DUMMYFUNCTION("""COMPUTED_VALUE"""),"Kyle")</f>
        <v>Kyle</v>
      </c>
      <c r="F5979" t="str">
        <f>IFERROR(__xludf.DUMMYFUNCTION("""COMPUTED_VALUE"""),"CHI")</f>
        <v>CHI</v>
      </c>
      <c r="G5979">
        <f>IFERROR(__xludf.DUMMYFUNCTION("""COMPUTED_VALUE"""),20.25)</f>
        <v>20.25</v>
      </c>
    </row>
    <row r="5980">
      <c r="D5980" t="str">
        <f>IFERROR(__xludf.DUMMYFUNCTION("""COMPUTED_VALUE"""),"Long")</f>
        <v>Long</v>
      </c>
      <c r="E5980" t="str">
        <f>IFERROR(__xludf.DUMMYFUNCTION("""COMPUTED_VALUE"""),"Spencer")</f>
        <v>Spencer</v>
      </c>
      <c r="F5980" t="str">
        <f>IFERROR(__xludf.DUMMYFUNCTION("""COMPUTED_VALUE"""),"NYJ")</f>
        <v>NYJ</v>
      </c>
      <c r="G5980">
        <f>IFERROR(__xludf.DUMMYFUNCTION("""COMPUTED_VALUE"""),18.5)</f>
        <v>18.5</v>
      </c>
    </row>
    <row r="5981">
      <c r="D5981" t="str">
        <f>IFERROR(__xludf.DUMMYFUNCTION("""COMPUTED_VALUE"""),"Longa")</f>
        <v>Longa</v>
      </c>
      <c r="E5981" t="str">
        <f>IFERROR(__xludf.DUMMYFUNCTION("""COMPUTED_VALUE"""),"Steve")</f>
        <v>Steve</v>
      </c>
      <c r="F5981" t="str">
        <f>IFERROR(__xludf.DUMMYFUNCTION("""COMPUTED_VALUE"""),"DET")</f>
        <v>DET</v>
      </c>
      <c r="G5981">
        <f>IFERROR(__xludf.DUMMYFUNCTION("""COMPUTED_VALUE"""),16.25)</f>
        <v>16.25</v>
      </c>
    </row>
    <row r="5982">
      <c r="D5982" t="str">
        <f>IFERROR(__xludf.DUMMYFUNCTION("""COMPUTED_VALUE"""),"Longacre")</f>
        <v>Longacre</v>
      </c>
      <c r="E5982" t="str">
        <f>IFERROR(__xludf.DUMMYFUNCTION("""COMPUTED_VALUE"""),"Matt")</f>
        <v>Matt</v>
      </c>
      <c r="F5982" t="str">
        <f>IFERROR(__xludf.DUMMYFUNCTION("""COMPUTED_VALUE"""),"LAR")</f>
        <v>LAR</v>
      </c>
      <c r="G5982">
        <f>IFERROR(__xludf.DUMMYFUNCTION("""COMPUTED_VALUE"""),17.0)</f>
        <v>17</v>
      </c>
    </row>
    <row r="5983">
      <c r="D5983" t="str">
        <f>IFERROR(__xludf.DUMMYFUNCTION("""COMPUTED_VALUE"""),"Looney")</f>
        <v>Looney</v>
      </c>
      <c r="E5983" t="str">
        <f>IFERROR(__xludf.DUMMYFUNCTION("""COMPUTED_VALUE"""),"James")</f>
        <v>James</v>
      </c>
      <c r="F5983" t="str">
        <f>IFERROR(__xludf.DUMMYFUNCTION("""COMPUTED_VALUE"""),"GB")</f>
        <v>GB</v>
      </c>
      <c r="G5983">
        <f>IFERROR(__xludf.DUMMYFUNCTION("""COMPUTED_VALUE"""),16.5)</f>
        <v>16.5</v>
      </c>
    </row>
    <row r="5984">
      <c r="D5984" t="str">
        <f>IFERROR(__xludf.DUMMYFUNCTION("""COMPUTED_VALUE"""),"Looney")</f>
        <v>Looney</v>
      </c>
      <c r="E5984" t="str">
        <f>IFERROR(__xludf.DUMMYFUNCTION("""COMPUTED_VALUE"""),"Joe")</f>
        <v>Joe</v>
      </c>
      <c r="F5984" t="str">
        <f>IFERROR(__xludf.DUMMYFUNCTION("""COMPUTED_VALUE"""),"DAL")</f>
        <v>DAL</v>
      </c>
      <c r="G5984">
        <f>IFERROR(__xludf.DUMMYFUNCTION("""COMPUTED_VALUE"""),17.25)</f>
        <v>17.25</v>
      </c>
    </row>
    <row r="5985">
      <c r="D5985" t="str">
        <f>IFERROR(__xludf.DUMMYFUNCTION("""COMPUTED_VALUE"""),"Lott")</f>
        <v>Lott</v>
      </c>
      <c r="E5985" t="str">
        <f>IFERROR(__xludf.DUMMYFUNCTION("""COMPUTED_VALUE"""),"Ronnie")</f>
        <v>Ronnie</v>
      </c>
      <c r="F5985" t="str">
        <f>IFERROR(__xludf.DUMMYFUNCTION("""COMPUTED_VALUE"""),"SF")</f>
        <v>SF</v>
      </c>
      <c r="G5985">
        <f>IFERROR(__xludf.DUMMYFUNCTION("""COMPUTED_VALUE"""),23.5)</f>
        <v>23.5</v>
      </c>
    </row>
    <row r="5986">
      <c r="D5986" t="str">
        <f>IFERROR(__xludf.DUMMYFUNCTION("""COMPUTED_VALUE"""),"Lotulelei")</f>
        <v>Lotulelei</v>
      </c>
      <c r="E5986" t="str">
        <f>IFERROR(__xludf.DUMMYFUNCTION("""COMPUTED_VALUE"""),"Star")</f>
        <v>Star</v>
      </c>
      <c r="F5986" t="str">
        <f>IFERROR(__xludf.DUMMYFUNCTION("""COMPUTED_VALUE"""),"BUF")</f>
        <v>BUF</v>
      </c>
      <c r="G5986">
        <f>IFERROR(__xludf.DUMMYFUNCTION("""COMPUTED_VALUE"""),18.25)</f>
        <v>18.25</v>
      </c>
    </row>
    <row r="5987">
      <c r="D5987" t="str">
        <f>IFERROR(__xludf.DUMMYFUNCTION("""COMPUTED_VALUE"""),"Louis")</f>
        <v>Louis</v>
      </c>
      <c r="E5987" t="str">
        <f>IFERROR(__xludf.DUMMYFUNCTION("""COMPUTED_VALUE"""),"Riitemo")</f>
        <v>Riitemo</v>
      </c>
      <c r="F5987" t="str">
        <f>IFERROR(__xludf.DUMMYFUNCTION("""COMPUTED_VALUE"""),"CLE")</f>
        <v>CLE</v>
      </c>
      <c r="G5987">
        <f>IFERROR(__xludf.DUMMYFUNCTION("""COMPUTED_VALUE"""),17.75)</f>
        <v>17.75</v>
      </c>
    </row>
    <row r="5988">
      <c r="D5988" t="str">
        <f>IFERROR(__xludf.DUMMYFUNCTION("""COMPUTED_VALUE"""),"Love")</f>
        <v>Love</v>
      </c>
      <c r="E5988" t="str">
        <f>IFERROR(__xludf.DUMMYFUNCTION("""COMPUTED_VALUE"""),"Kyle")</f>
        <v>Kyle</v>
      </c>
      <c r="F5988" t="str">
        <f>IFERROR(__xludf.DUMMYFUNCTION("""COMPUTED_VALUE"""),"CAR")</f>
        <v>CAR</v>
      </c>
      <c r="G5988">
        <f>IFERROR(__xludf.DUMMYFUNCTION("""COMPUTED_VALUE"""),17.5)</f>
        <v>17.5</v>
      </c>
    </row>
    <row r="5989">
      <c r="D5989" t="str">
        <f>IFERROR(__xludf.DUMMYFUNCTION("""COMPUTED_VALUE"""),"Lowry")</f>
        <v>Lowry</v>
      </c>
      <c r="E5989" t="str">
        <f>IFERROR(__xludf.DUMMYFUNCTION("""COMPUTED_VALUE"""),"Dean")</f>
        <v>Dean</v>
      </c>
      <c r="F5989" t="str">
        <f>IFERROR(__xludf.DUMMYFUNCTION("""COMPUTED_VALUE"""),"GB")</f>
        <v>GB</v>
      </c>
      <c r="G5989">
        <f>IFERROR(__xludf.DUMMYFUNCTION("""COMPUTED_VALUE"""),18.5)</f>
        <v>18.5</v>
      </c>
    </row>
    <row r="5990">
      <c r="D5990" t="str">
        <f>IFERROR(__xludf.DUMMYFUNCTION("""COMPUTED_VALUE"""),"Luani")</f>
        <v>Luani</v>
      </c>
      <c r="E5990" t="str">
        <f>IFERROR(__xludf.DUMMYFUNCTION("""COMPUTED_VALUE"""),"Shalom")</f>
        <v>Shalom</v>
      </c>
      <c r="F5990" t="str">
        <f>IFERROR(__xludf.DUMMYFUNCTION("""COMPUTED_VALUE"""),"OAK")</f>
        <v>OAK</v>
      </c>
      <c r="G5990">
        <f>IFERROR(__xludf.DUMMYFUNCTION("""COMPUTED_VALUE"""),16.5)</f>
        <v>16.5</v>
      </c>
    </row>
    <row r="5991">
      <c r="D5991" t="str">
        <f>IFERROR(__xludf.DUMMYFUNCTION("""COMPUTED_VALUE"""),"Lucas")</f>
        <v>Lucas</v>
      </c>
      <c r="E5991" t="str">
        <f>IFERROR(__xludf.DUMMYFUNCTION("""COMPUTED_VALUE"""),"Cornelius")</f>
        <v>Cornelius</v>
      </c>
      <c r="F5991" t="str">
        <f>IFERROR(__xludf.DUMMYFUNCTION("""COMPUTED_VALUE"""),"LAR")</f>
        <v>LAR</v>
      </c>
      <c r="G5991">
        <f>IFERROR(__xludf.DUMMYFUNCTION("""COMPUTED_VALUE"""),18.25)</f>
        <v>18.25</v>
      </c>
    </row>
    <row r="5992">
      <c r="D5992" t="str">
        <f>IFERROR(__xludf.DUMMYFUNCTION("""COMPUTED_VALUE"""),"Lucas")</f>
        <v>Lucas</v>
      </c>
      <c r="E5992" t="str">
        <f>IFERROR(__xludf.DUMMYFUNCTION("""COMPUTED_VALUE"""),"Jordan")</f>
        <v>Jordan</v>
      </c>
      <c r="F5992" t="str">
        <f>IFERROR(__xludf.DUMMYFUNCTION("""COMPUTED_VALUE"""),"MIA")</f>
        <v>MIA</v>
      </c>
      <c r="G5992">
        <f>IFERROR(__xludf.DUMMYFUNCTION("""COMPUTED_VALUE"""),17.0)</f>
        <v>17</v>
      </c>
    </row>
    <row r="5993">
      <c r="D5993" t="str">
        <f>IFERROR(__xludf.DUMMYFUNCTION("""COMPUTED_VALUE"""),"Luck")</f>
        <v>Luck</v>
      </c>
      <c r="E5993" t="str">
        <f>IFERROR(__xludf.DUMMYFUNCTION("""COMPUTED_VALUE"""),"Andrew")</f>
        <v>Andrew</v>
      </c>
      <c r="F5993" t="str">
        <f>IFERROR(__xludf.DUMMYFUNCTION("""COMPUTED_VALUE"""),"IND")</f>
        <v>IND</v>
      </c>
      <c r="G5993">
        <f>IFERROR(__xludf.DUMMYFUNCTION("""COMPUTED_VALUE"""),20.75)</f>
        <v>20.75</v>
      </c>
    </row>
    <row r="5994">
      <c r="D5994" t="str">
        <f>IFERROR(__xludf.DUMMYFUNCTION("""COMPUTED_VALUE"""),"Luke")</f>
        <v>Luke</v>
      </c>
      <c r="E5994" t="str">
        <f>IFERROR(__xludf.DUMMYFUNCTION("""COMPUTED_VALUE"""),"Cole")</f>
        <v>Cole</v>
      </c>
      <c r="F5994" t="str">
        <f>IFERROR(__xludf.DUMMYFUNCTION("""COMPUTED_VALUE"""),"CAR")</f>
        <v>CAR</v>
      </c>
      <c r="G5994">
        <f>IFERROR(__xludf.DUMMYFUNCTION("""COMPUTED_VALUE"""),16.25)</f>
        <v>16.25</v>
      </c>
    </row>
    <row r="5995">
      <c r="D5995" t="str">
        <f>IFERROR(__xludf.DUMMYFUNCTION("""COMPUTED_VALUE"""),"Lutz")</f>
        <v>Lutz</v>
      </c>
      <c r="E5995" t="str">
        <f>IFERROR(__xludf.DUMMYFUNCTION("""COMPUTED_VALUE"""),"Wil")</f>
        <v>Wil</v>
      </c>
      <c r="F5995" t="str">
        <f>IFERROR(__xludf.DUMMYFUNCTION("""COMPUTED_VALUE"""),"NO")</f>
        <v>NO</v>
      </c>
      <c r="G5995">
        <f>IFERROR(__xludf.DUMMYFUNCTION("""COMPUTED_VALUE"""),20.0)</f>
        <v>20</v>
      </c>
    </row>
    <row r="5996">
      <c r="D5996" t="str">
        <f>IFERROR(__xludf.DUMMYFUNCTION("""COMPUTED_VALUE"""),"Lynch")</f>
        <v>Lynch</v>
      </c>
      <c r="E5996" t="str">
        <f>IFERROR(__xludf.DUMMYFUNCTION("""COMPUTED_VALUE"""),"Aaron")</f>
        <v>Aaron</v>
      </c>
      <c r="F5996" t="str">
        <f>IFERROR(__xludf.DUMMYFUNCTION("""COMPUTED_VALUE"""),"CHI")</f>
        <v>CHI</v>
      </c>
      <c r="G5996">
        <f>IFERROR(__xludf.DUMMYFUNCTION("""COMPUTED_VALUE"""),18.75)</f>
        <v>18.75</v>
      </c>
    </row>
    <row r="5997">
      <c r="D5997" t="str">
        <f>IFERROR(__xludf.DUMMYFUNCTION("""COMPUTED_VALUE"""),"Lynch")</f>
        <v>Lynch</v>
      </c>
      <c r="E5997" t="str">
        <f>IFERROR(__xludf.DUMMYFUNCTION("""COMPUTED_VALUE"""),"Marshawn")</f>
        <v>Marshawn</v>
      </c>
      <c r="F5997" t="str">
        <f>IFERROR(__xludf.DUMMYFUNCTION("""COMPUTED_VALUE"""),"OAK")</f>
        <v>OAK</v>
      </c>
      <c r="G5997">
        <f>IFERROR(__xludf.DUMMYFUNCTION("""COMPUTED_VALUE"""),20.25)</f>
        <v>20.25</v>
      </c>
    </row>
    <row r="5998">
      <c r="D5998" t="str">
        <f>IFERROR(__xludf.DUMMYFUNCTION("""COMPUTED_VALUE"""),"Lynch")</f>
        <v>Lynch</v>
      </c>
      <c r="E5998" t="str">
        <f>IFERROR(__xludf.DUMMYFUNCTION("""COMPUTED_VALUE"""),"Marshawn")</f>
        <v>Marshawn</v>
      </c>
      <c r="F5998" t="str">
        <f>IFERROR(__xludf.DUMMYFUNCTION("""COMPUTED_VALUE"""),"OAK")</f>
        <v>OAK</v>
      </c>
      <c r="G5998">
        <f>IFERROR(__xludf.DUMMYFUNCTION("""COMPUTED_VALUE"""),21.5)</f>
        <v>21.5</v>
      </c>
    </row>
    <row r="5999">
      <c r="D5999" t="str">
        <f>IFERROR(__xludf.DUMMYFUNCTION("""COMPUTED_VALUE"""),"Lynch")</f>
        <v>Lynch</v>
      </c>
      <c r="E5999" t="str">
        <f>IFERROR(__xludf.DUMMYFUNCTION("""COMPUTED_VALUE"""),"Paxton")</f>
        <v>Paxton</v>
      </c>
      <c r="F5999" t="str">
        <f>IFERROR(__xludf.DUMMYFUNCTION("""COMPUTED_VALUE"""),"DEN")</f>
        <v>DEN</v>
      </c>
      <c r="G5999">
        <f>IFERROR(__xludf.DUMMYFUNCTION("""COMPUTED_VALUE"""),18.5)</f>
        <v>18.5</v>
      </c>
    </row>
    <row r="6000">
      <c r="D6000" t="str">
        <f>IFERROR(__xludf.DUMMYFUNCTION("""COMPUTED_VALUE"""),"Mabin")</f>
        <v>Mabin</v>
      </c>
      <c r="E6000" t="str">
        <f>IFERROR(__xludf.DUMMYFUNCTION("""COMPUTED_VALUE"""),"Greg")</f>
        <v>Greg</v>
      </c>
      <c r="F6000" t="str">
        <f>IFERROR(__xludf.DUMMYFUNCTION("""COMPUTED_VALUE"""),"SF")</f>
        <v>SF</v>
      </c>
      <c r="G6000">
        <f>IFERROR(__xludf.DUMMYFUNCTION("""COMPUTED_VALUE"""),17.25)</f>
        <v>17.25</v>
      </c>
    </row>
    <row r="6001">
      <c r="D6001" t="str">
        <f>IFERROR(__xludf.DUMMYFUNCTION("""COMPUTED_VALUE"""),"Mack")</f>
        <v>Mack</v>
      </c>
      <c r="E6001" t="str">
        <f>IFERROR(__xludf.DUMMYFUNCTION("""COMPUTED_VALUE"""),"Alex")</f>
        <v>Alex</v>
      </c>
      <c r="F6001" t="str">
        <f>IFERROR(__xludf.DUMMYFUNCTION("""COMPUTED_VALUE"""),"ATL")</f>
        <v>ATL</v>
      </c>
      <c r="G6001">
        <f>IFERROR(__xludf.DUMMYFUNCTION("""COMPUTED_VALUE"""),21.5)</f>
        <v>21.5</v>
      </c>
    </row>
    <row r="6002">
      <c r="D6002" t="str">
        <f>IFERROR(__xludf.DUMMYFUNCTION("""COMPUTED_VALUE"""),"Mack")</f>
        <v>Mack</v>
      </c>
      <c r="E6002" t="str">
        <f>IFERROR(__xludf.DUMMYFUNCTION("""COMPUTED_VALUE"""),"Khalil")</f>
        <v>Khalil</v>
      </c>
      <c r="F6002" t="str">
        <f>IFERROR(__xludf.DUMMYFUNCTION("""COMPUTED_VALUE"""),"OAK")</f>
        <v>OAK</v>
      </c>
      <c r="G6002">
        <f>IFERROR(__xludf.DUMMYFUNCTION("""COMPUTED_VALUE"""),22.0)</f>
        <v>22</v>
      </c>
    </row>
    <row r="6003">
      <c r="D6003" t="str">
        <f>IFERROR(__xludf.DUMMYFUNCTION("""COMPUTED_VALUE"""),"Mack")</f>
        <v>Mack</v>
      </c>
      <c r="E6003" t="str">
        <f>IFERROR(__xludf.DUMMYFUNCTION("""COMPUTED_VALUE"""),"Marlon")</f>
        <v>Marlon</v>
      </c>
      <c r="F6003" t="str">
        <f>IFERROR(__xludf.DUMMYFUNCTION("""COMPUTED_VALUE"""),"IND")</f>
        <v>IND</v>
      </c>
      <c r="G6003">
        <f>IFERROR(__xludf.DUMMYFUNCTION("""COMPUTED_VALUE"""),18.5)</f>
        <v>18.5</v>
      </c>
    </row>
    <row r="6004">
      <c r="D6004" t="str">
        <f>IFERROR(__xludf.DUMMYFUNCTION("""COMPUTED_VALUE"""),"Maclin")</f>
        <v>Maclin</v>
      </c>
      <c r="E6004" t="str">
        <f>IFERROR(__xludf.DUMMYFUNCTION("""COMPUTED_VALUE"""),"Jeremy")</f>
        <v>Jeremy</v>
      </c>
      <c r="F6004" t="str">
        <f>IFERROR(__xludf.DUMMYFUNCTION("""COMPUTED_VALUE"""),"FA")</f>
        <v>FA</v>
      </c>
      <c r="G6004">
        <f>IFERROR(__xludf.DUMMYFUNCTION("""COMPUTED_VALUE"""),15.25)</f>
        <v>15.25</v>
      </c>
    </row>
    <row r="6005">
      <c r="D6005" t="str">
        <f>IFERROR(__xludf.DUMMYFUNCTION("""COMPUTED_VALUE"""),"Madden")</f>
        <v>Madden</v>
      </c>
      <c r="E6005" t="str">
        <f>IFERROR(__xludf.DUMMYFUNCTION("""COMPUTED_VALUE"""),"Tre")</f>
        <v>Tre</v>
      </c>
      <c r="F6005" t="str">
        <f>IFERROR(__xludf.DUMMYFUNCTION("""COMPUTED_VALUE"""),"SEA")</f>
        <v>SEA</v>
      </c>
      <c r="G6005">
        <f>IFERROR(__xludf.DUMMYFUNCTION("""COMPUTED_VALUE"""),19.25)</f>
        <v>19.25</v>
      </c>
    </row>
    <row r="6006">
      <c r="D6006" t="str">
        <f>IFERROR(__xludf.DUMMYFUNCTION("""COMPUTED_VALUE"""),"Maddox")</f>
        <v>Maddox</v>
      </c>
      <c r="E6006" t="str">
        <f>IFERROR(__xludf.DUMMYFUNCTION("""COMPUTED_VALUE"""),"Avonte")</f>
        <v>Avonte</v>
      </c>
      <c r="F6006" t="str">
        <f>IFERROR(__xludf.DUMMYFUNCTION("""COMPUTED_VALUE"""),"PHI")</f>
        <v>PHI</v>
      </c>
      <c r="G6006">
        <f>IFERROR(__xludf.DUMMYFUNCTION("""COMPUTED_VALUE"""),17.75)</f>
        <v>17.75</v>
      </c>
    </row>
    <row r="6007">
      <c r="D6007" t="str">
        <f>IFERROR(__xludf.DUMMYFUNCTION("""COMPUTED_VALUE"""),"Madison")</f>
        <v>Madison</v>
      </c>
      <c r="E6007" t="str">
        <f>IFERROR(__xludf.DUMMYFUNCTION("""COMPUTED_VALUE"""),"Cole")</f>
        <v>Cole</v>
      </c>
      <c r="F6007" t="str">
        <f>IFERROR(__xludf.DUMMYFUNCTION("""COMPUTED_VALUE"""),"GB")</f>
        <v>GB</v>
      </c>
      <c r="G6007">
        <f>IFERROR(__xludf.DUMMYFUNCTION("""COMPUTED_VALUE"""),17.5)</f>
        <v>17.5</v>
      </c>
    </row>
    <row r="6008">
      <c r="D6008" t="str">
        <f>IFERROR(__xludf.DUMMYFUNCTION("""COMPUTED_VALUE"""),"Magee")</f>
        <v>Magee</v>
      </c>
      <c r="E6008" t="str">
        <f>IFERROR(__xludf.DUMMYFUNCTION("""COMPUTED_VALUE"""),"Terrence")</f>
        <v>Terrence</v>
      </c>
      <c r="F6008" t="str">
        <f>IFERROR(__xludf.DUMMYFUNCTION("""COMPUTED_VALUE"""),"FA")</f>
        <v>FA</v>
      </c>
      <c r="G6008">
        <f>IFERROR(__xludf.DUMMYFUNCTION("""COMPUTED_VALUE"""),17.0)</f>
        <v>17</v>
      </c>
    </row>
    <row r="6009">
      <c r="D6009" t="str">
        <f>IFERROR(__xludf.DUMMYFUNCTION("""COMPUTED_VALUE"""),"Mager")</f>
        <v>Mager</v>
      </c>
      <c r="E6009" t="str">
        <f>IFERROR(__xludf.DUMMYFUNCTION("""COMPUTED_VALUE"""),"Craig")</f>
        <v>Craig</v>
      </c>
      <c r="F6009" t="str">
        <f>IFERROR(__xludf.DUMMYFUNCTION("""COMPUTED_VALUE"""),"LAC")</f>
        <v>LAC</v>
      </c>
      <c r="G6009">
        <f>IFERROR(__xludf.DUMMYFUNCTION("""COMPUTED_VALUE"""),18.75)</f>
        <v>18.75</v>
      </c>
    </row>
    <row r="6010">
      <c r="D6010" t="str">
        <f>IFERROR(__xludf.DUMMYFUNCTION("""COMPUTED_VALUE"""),"Magnuson")</f>
        <v>Magnuson</v>
      </c>
      <c r="E6010" t="str">
        <f>IFERROR(__xludf.DUMMYFUNCTION("""COMPUTED_VALUE"""),"Erik")</f>
        <v>Erik</v>
      </c>
      <c r="F6010" t="str">
        <f>IFERROR(__xludf.DUMMYFUNCTION("""COMPUTED_VALUE"""),"SF")</f>
        <v>SF</v>
      </c>
      <c r="G6010">
        <f>IFERROR(__xludf.DUMMYFUNCTION("""COMPUTED_VALUE"""),17.25)</f>
        <v>17.25</v>
      </c>
    </row>
    <row r="6011">
      <c r="D6011" t="str">
        <f>IFERROR(__xludf.DUMMYFUNCTION("""COMPUTED_VALUE"""),"Mahomes II")</f>
        <v>Mahomes II</v>
      </c>
      <c r="E6011" t="str">
        <f>IFERROR(__xludf.DUMMYFUNCTION("""COMPUTED_VALUE"""),"Patrick")</f>
        <v>Patrick</v>
      </c>
      <c r="F6011" t="str">
        <f>IFERROR(__xludf.DUMMYFUNCTION("""COMPUTED_VALUE"""),"KC")</f>
        <v>KC</v>
      </c>
      <c r="G6011">
        <f>IFERROR(__xludf.DUMMYFUNCTION("""COMPUTED_VALUE"""),19.5)</f>
        <v>19.5</v>
      </c>
    </row>
    <row r="6012">
      <c r="D6012" t="str">
        <f>IFERROR(__xludf.DUMMYFUNCTION("""COMPUTED_VALUE"""),"Mailata")</f>
        <v>Mailata</v>
      </c>
      <c r="E6012" t="str">
        <f>IFERROR(__xludf.DUMMYFUNCTION("""COMPUTED_VALUE"""),"Jordan")</f>
        <v>Jordan</v>
      </c>
      <c r="F6012" t="str">
        <f>IFERROR(__xludf.DUMMYFUNCTION("""COMPUTED_VALUE"""),"PHI")</f>
        <v>PHI</v>
      </c>
      <c r="G6012">
        <f>IFERROR(__xludf.DUMMYFUNCTION("""COMPUTED_VALUE"""),16.5)</f>
        <v>16.5</v>
      </c>
    </row>
    <row r="6013">
      <c r="D6013" t="str">
        <f>IFERROR(__xludf.DUMMYFUNCTION("""COMPUTED_VALUE"""),"Malone")</f>
        <v>Malone</v>
      </c>
      <c r="E6013" t="str">
        <f>IFERROR(__xludf.DUMMYFUNCTION("""COMPUTED_VALUE"""),"Josh")</f>
        <v>Josh</v>
      </c>
      <c r="F6013" t="str">
        <f>IFERROR(__xludf.DUMMYFUNCTION("""COMPUTED_VALUE"""),"CIN")</f>
        <v>CIN</v>
      </c>
      <c r="G6013">
        <f>IFERROR(__xludf.DUMMYFUNCTION("""COMPUTED_VALUE"""),17.5)</f>
        <v>17.5</v>
      </c>
    </row>
    <row r="6014">
      <c r="D6014" t="str">
        <f>IFERROR(__xludf.DUMMYFUNCTION("""COMPUTED_VALUE"""),"Malveaux")</f>
        <v>Malveaux</v>
      </c>
      <c r="E6014" t="str">
        <f>IFERROR(__xludf.DUMMYFUNCTION("""COMPUTED_VALUE"""),"Cameron")</f>
        <v>Cameron</v>
      </c>
      <c r="F6014" t="str">
        <f>IFERROR(__xludf.DUMMYFUNCTION("""COMPUTED_VALUE"""),"MIA")</f>
        <v>MIA</v>
      </c>
      <c r="G6014">
        <f>IFERROR(__xludf.DUMMYFUNCTION("""COMPUTED_VALUE"""),16.75)</f>
        <v>16.75</v>
      </c>
    </row>
    <row r="6015">
      <c r="D6015" t="str">
        <f>IFERROR(__xludf.DUMMYFUNCTION("""COMPUTED_VALUE"""),"Mancz")</f>
        <v>Mancz</v>
      </c>
      <c r="E6015" t="str">
        <f>IFERROR(__xludf.DUMMYFUNCTION("""COMPUTED_VALUE"""),"Greg")</f>
        <v>Greg</v>
      </c>
      <c r="F6015" t="str">
        <f>IFERROR(__xludf.DUMMYFUNCTION("""COMPUTED_VALUE"""),"HOU")</f>
        <v>HOU</v>
      </c>
      <c r="G6015">
        <f>IFERROR(__xludf.DUMMYFUNCTION("""COMPUTED_VALUE"""),18.25)</f>
        <v>18.25</v>
      </c>
    </row>
    <row r="6016">
      <c r="D6016" t="str">
        <f>IFERROR(__xludf.DUMMYFUNCTION("""COMPUTED_VALUE"""),"Manhertz")</f>
        <v>Manhertz</v>
      </c>
      <c r="E6016" t="str">
        <f>IFERROR(__xludf.DUMMYFUNCTION("""COMPUTED_VALUE"""),"Chris")</f>
        <v>Chris</v>
      </c>
      <c r="F6016" t="str">
        <f>IFERROR(__xludf.DUMMYFUNCTION("""COMPUTED_VALUE"""),"CAR")</f>
        <v>CAR</v>
      </c>
      <c r="G6016">
        <f>IFERROR(__xludf.DUMMYFUNCTION("""COMPUTED_VALUE"""),16.25)</f>
        <v>16.25</v>
      </c>
    </row>
    <row r="6017">
      <c r="D6017" t="str">
        <f>IFERROR(__xludf.DUMMYFUNCTION("""COMPUTED_VALUE"""),"Manning")</f>
        <v>Manning</v>
      </c>
      <c r="E6017" t="str">
        <f>IFERROR(__xludf.DUMMYFUNCTION("""COMPUTED_VALUE"""),"Eli")</f>
        <v>Eli</v>
      </c>
      <c r="F6017" t="str">
        <f>IFERROR(__xludf.DUMMYFUNCTION("""COMPUTED_VALUE"""),"NYG")</f>
        <v>NYG</v>
      </c>
      <c r="G6017">
        <f>IFERROR(__xludf.DUMMYFUNCTION("""COMPUTED_VALUE"""),19.5)</f>
        <v>19.5</v>
      </c>
    </row>
    <row r="6018">
      <c r="D6018" t="str">
        <f>IFERROR(__xludf.DUMMYFUNCTION("""COMPUTED_VALUE"""),"Mannion")</f>
        <v>Mannion</v>
      </c>
      <c r="E6018" t="str">
        <f>IFERROR(__xludf.DUMMYFUNCTION("""COMPUTED_VALUE"""),"Sean")</f>
        <v>Sean</v>
      </c>
      <c r="F6018" t="str">
        <f>IFERROR(__xludf.DUMMYFUNCTION("""COMPUTED_VALUE"""),"LAR")</f>
        <v>LAR</v>
      </c>
      <c r="G6018">
        <f>IFERROR(__xludf.DUMMYFUNCTION("""COMPUTED_VALUE"""),16.25)</f>
        <v>16.25</v>
      </c>
    </row>
    <row r="6019">
      <c r="D6019" t="str">
        <f>IFERROR(__xludf.DUMMYFUNCTION("""COMPUTED_VALUE"""),"Manuel")</f>
        <v>Manuel</v>
      </c>
      <c r="E6019" t="str">
        <f>IFERROR(__xludf.DUMMYFUNCTION("""COMPUTED_VALUE"""),"EJ")</f>
        <v>EJ</v>
      </c>
      <c r="F6019" t="str">
        <f>IFERROR(__xludf.DUMMYFUNCTION("""COMPUTED_VALUE"""),"OAK")</f>
        <v>OAK</v>
      </c>
      <c r="G6019">
        <f>IFERROR(__xludf.DUMMYFUNCTION("""COMPUTED_VALUE"""),18.25)</f>
        <v>18.25</v>
      </c>
    </row>
    <row r="6020">
      <c r="D6020" t="str">
        <f>IFERROR(__xludf.DUMMYFUNCTION("""COMPUTED_VALUE"""),"Maponga Sr")</f>
        <v>Maponga Sr</v>
      </c>
      <c r="E6020" t="str">
        <f>IFERROR(__xludf.DUMMYFUNCTION("""COMPUTED_VALUE"""),"Stansly")</f>
        <v>Stansly</v>
      </c>
      <c r="F6020" t="str">
        <f>IFERROR(__xludf.DUMMYFUNCTION("""COMPUTED_VALUE"""),"DEN")</f>
        <v>DEN</v>
      </c>
      <c r="G6020">
        <f>IFERROR(__xludf.DUMMYFUNCTION("""COMPUTED_VALUE"""),17.5)</f>
        <v>17.5</v>
      </c>
    </row>
    <row r="6021">
      <c r="D6021" t="str">
        <f>IFERROR(__xludf.DUMMYFUNCTION("""COMPUTED_VALUE"""),"Maragos")</f>
        <v>Maragos</v>
      </c>
      <c r="E6021" t="str">
        <f>IFERROR(__xludf.DUMMYFUNCTION("""COMPUTED_VALUE"""),"Chris")</f>
        <v>Chris</v>
      </c>
      <c r="F6021" t="str">
        <f>IFERROR(__xludf.DUMMYFUNCTION("""COMPUTED_VALUE"""),"PHI")</f>
        <v>PHI</v>
      </c>
      <c r="G6021">
        <f>IFERROR(__xludf.DUMMYFUNCTION("""COMPUTED_VALUE"""),16.75)</f>
        <v>16.75</v>
      </c>
    </row>
    <row r="6022">
      <c r="D6022" t="str">
        <f>IFERROR(__xludf.DUMMYFUNCTION("""COMPUTED_VALUE"""),"March-Lillard")</f>
        <v>March-Lillard</v>
      </c>
      <c r="E6022" t="str">
        <f>IFERROR(__xludf.DUMMYFUNCTION("""COMPUTED_VALUE"""),"Justin")</f>
        <v>Justin</v>
      </c>
      <c r="F6022" t="str">
        <f>IFERROR(__xludf.DUMMYFUNCTION("""COMPUTED_VALUE"""),"DAL")</f>
        <v>DAL</v>
      </c>
      <c r="G6022">
        <f>IFERROR(__xludf.DUMMYFUNCTION("""COMPUTED_VALUE"""),19.0)</f>
        <v>19</v>
      </c>
    </row>
    <row r="6023">
      <c r="D6023" t="str">
        <f>IFERROR(__xludf.DUMMYFUNCTION("""COMPUTED_VALUE"""),"Mariota")</f>
        <v>Mariota</v>
      </c>
      <c r="E6023" t="str">
        <f>IFERROR(__xludf.DUMMYFUNCTION("""COMPUTED_VALUE"""),"Marcus")</f>
        <v>Marcus</v>
      </c>
      <c r="F6023" t="str">
        <f>IFERROR(__xludf.DUMMYFUNCTION("""COMPUTED_VALUE"""),"TEN")</f>
        <v>TEN</v>
      </c>
      <c r="G6023">
        <f>IFERROR(__xludf.DUMMYFUNCTION("""COMPUTED_VALUE"""),20.25)</f>
        <v>20.25</v>
      </c>
    </row>
    <row r="6024">
      <c r="D6024" t="str">
        <f>IFERROR(__xludf.DUMMYFUNCTION("""COMPUTED_VALUE"""),"Marlowe")</f>
        <v>Marlowe</v>
      </c>
      <c r="E6024" t="str">
        <f>IFERROR(__xludf.DUMMYFUNCTION("""COMPUTED_VALUE"""),"Dean")</f>
        <v>Dean</v>
      </c>
      <c r="F6024" t="str">
        <f>IFERROR(__xludf.DUMMYFUNCTION("""COMPUTED_VALUE"""),"BUF")</f>
        <v>BUF</v>
      </c>
      <c r="G6024">
        <f>IFERROR(__xludf.DUMMYFUNCTION("""COMPUTED_VALUE"""),17.5)</f>
        <v>17.5</v>
      </c>
    </row>
    <row r="6025">
      <c r="D6025" t="str">
        <f>IFERROR(__xludf.DUMMYFUNCTION("""COMPUTED_VALUE"""),"Marpet")</f>
        <v>Marpet</v>
      </c>
      <c r="E6025" t="str">
        <f>IFERROR(__xludf.DUMMYFUNCTION("""COMPUTED_VALUE"""),"Ali")</f>
        <v>Ali</v>
      </c>
      <c r="F6025" t="str">
        <f>IFERROR(__xludf.DUMMYFUNCTION("""COMPUTED_VALUE"""),"TB")</f>
        <v>TB</v>
      </c>
      <c r="G6025">
        <f>IFERROR(__xludf.DUMMYFUNCTION("""COMPUTED_VALUE"""),20.25)</f>
        <v>20.25</v>
      </c>
    </row>
    <row r="6026">
      <c r="D6026" t="str">
        <f>IFERROR(__xludf.DUMMYFUNCTION("""COMPUTED_VALUE"""),"Marquez")</f>
        <v>Marquez</v>
      </c>
      <c r="E6026" t="str">
        <f>IFERROR(__xludf.DUMMYFUNCTION("""COMPUTED_VALUE"""),"Bradley")</f>
        <v>Bradley</v>
      </c>
      <c r="F6026" t="str">
        <f>IFERROR(__xludf.DUMMYFUNCTION("""COMPUTED_VALUE"""),"DET")</f>
        <v>DET</v>
      </c>
      <c r="G6026">
        <f>IFERROR(__xludf.DUMMYFUNCTION("""COMPUTED_VALUE"""),16.25)</f>
        <v>16.25</v>
      </c>
    </row>
    <row r="6027">
      <c r="D6027" t="str">
        <f>IFERROR(__xludf.DUMMYFUNCTION("""COMPUTED_VALUE"""),"Marsh")</f>
        <v>Marsh</v>
      </c>
      <c r="E6027" t="str">
        <f>IFERROR(__xludf.DUMMYFUNCTION("""COMPUTED_VALUE"""),"Cassius")</f>
        <v>Cassius</v>
      </c>
      <c r="F6027" t="str">
        <f>IFERROR(__xludf.DUMMYFUNCTION("""COMPUTED_VALUE"""),"SF")</f>
        <v>SF</v>
      </c>
      <c r="G6027">
        <f>IFERROR(__xludf.DUMMYFUNCTION("""COMPUTED_VALUE"""),16.5)</f>
        <v>16.5</v>
      </c>
    </row>
    <row r="6028">
      <c r="D6028" t="str">
        <f>IFERROR(__xludf.DUMMYFUNCTION("""COMPUTED_VALUE"""),"Marshall")</f>
        <v>Marshall</v>
      </c>
      <c r="E6028" t="str">
        <f>IFERROR(__xludf.DUMMYFUNCTION("""COMPUTED_VALUE"""),"Brandon")</f>
        <v>Brandon</v>
      </c>
      <c r="F6028" t="str">
        <f>IFERROR(__xludf.DUMMYFUNCTION("""COMPUTED_VALUE"""),"DEN")</f>
        <v>DEN</v>
      </c>
      <c r="G6028">
        <f>IFERROR(__xludf.DUMMYFUNCTION("""COMPUTED_VALUE"""),19.25)</f>
        <v>19.25</v>
      </c>
    </row>
    <row r="6029">
      <c r="D6029" t="str">
        <f>IFERROR(__xludf.DUMMYFUNCTION("""COMPUTED_VALUE"""),"Marshall")</f>
        <v>Marshall</v>
      </c>
      <c r="E6029" t="str">
        <f>IFERROR(__xludf.DUMMYFUNCTION("""COMPUTED_VALUE"""),"Brandon")</f>
        <v>Brandon</v>
      </c>
      <c r="F6029" t="str">
        <f>IFERROR(__xludf.DUMMYFUNCTION("""COMPUTED_VALUE"""),"SEA")</f>
        <v>SEA</v>
      </c>
      <c r="G6029">
        <f>IFERROR(__xludf.DUMMYFUNCTION("""COMPUTED_VALUE"""),19.0)</f>
        <v>19</v>
      </c>
    </row>
    <row r="6030">
      <c r="D6030" t="str">
        <f>IFERROR(__xludf.DUMMYFUNCTION("""COMPUTED_VALUE"""),"Marshall")</f>
        <v>Marshall</v>
      </c>
      <c r="E6030" t="str">
        <f>IFERROR(__xludf.DUMMYFUNCTION("""COMPUTED_VALUE"""),"Byron")</f>
        <v>Byron</v>
      </c>
      <c r="F6030" t="str">
        <f>IFERROR(__xludf.DUMMYFUNCTION("""COMPUTED_VALUE"""),"WAS")</f>
        <v>WAS</v>
      </c>
      <c r="G6030">
        <f>IFERROR(__xludf.DUMMYFUNCTION("""COMPUTED_VALUE"""),16.25)</f>
        <v>16.25</v>
      </c>
    </row>
    <row r="6031">
      <c r="D6031" t="str">
        <f>IFERROR(__xludf.DUMMYFUNCTION("""COMPUTED_VALUE"""),"Marshall")</f>
        <v>Marshall</v>
      </c>
      <c r="E6031" t="str">
        <f>IFERROR(__xludf.DUMMYFUNCTION("""COMPUTED_VALUE"""),"Keith")</f>
        <v>Keith</v>
      </c>
      <c r="F6031" t="str">
        <f>IFERROR(__xludf.DUMMYFUNCTION("""COMPUTED_VALUE"""),"WAS")</f>
        <v>WAS</v>
      </c>
      <c r="G6031">
        <f>IFERROR(__xludf.DUMMYFUNCTION("""COMPUTED_VALUE"""),17.25)</f>
        <v>17.25</v>
      </c>
    </row>
    <row r="6032">
      <c r="D6032" t="str">
        <f>IFERROR(__xludf.DUMMYFUNCTION("""COMPUTED_VALUE"""),"Martin")</f>
        <v>Martin</v>
      </c>
      <c r="E6032" t="str">
        <f>IFERROR(__xludf.DUMMYFUNCTION("""COMPUTED_VALUE"""),"Doug")</f>
        <v>Doug</v>
      </c>
      <c r="F6032" t="str">
        <f>IFERROR(__xludf.DUMMYFUNCTION("""COMPUTED_VALUE"""),"OAK")</f>
        <v>OAK</v>
      </c>
      <c r="G6032">
        <f>IFERROR(__xludf.DUMMYFUNCTION("""COMPUTED_VALUE"""),19.5)</f>
        <v>19.5</v>
      </c>
    </row>
    <row r="6033">
      <c r="D6033" t="str">
        <f>IFERROR(__xludf.DUMMYFUNCTION("""COMPUTED_VALUE"""),"Martin")</f>
        <v>Martin</v>
      </c>
      <c r="E6033" t="str">
        <f>IFERROR(__xludf.DUMMYFUNCTION("""COMPUTED_VALUE"""),"Gabe")</f>
        <v>Gabe</v>
      </c>
      <c r="F6033" t="str">
        <f>IFERROR(__xludf.DUMMYFUNCTION("""COMPUTED_VALUE"""),"ARZ")</f>
        <v>ARZ</v>
      </c>
      <c r="G6033">
        <f>IFERROR(__xludf.DUMMYFUNCTION("""COMPUTED_VALUE"""),15.5)</f>
        <v>15.5</v>
      </c>
    </row>
    <row r="6034">
      <c r="D6034" t="str">
        <f>IFERROR(__xludf.DUMMYFUNCTION("""COMPUTED_VALUE"""),"Martin")</f>
        <v>Martin</v>
      </c>
      <c r="E6034" t="str">
        <f>IFERROR(__xludf.DUMMYFUNCTION("""COMPUTED_VALUE"""),"Jacob")</f>
        <v>Jacob</v>
      </c>
      <c r="F6034" t="str">
        <f>IFERROR(__xludf.DUMMYFUNCTION("""COMPUTED_VALUE"""),"SEA")</f>
        <v>SEA</v>
      </c>
      <c r="G6034">
        <f>IFERROR(__xludf.DUMMYFUNCTION("""COMPUTED_VALUE"""),16.25)</f>
        <v>16.25</v>
      </c>
    </row>
    <row r="6035">
      <c r="D6035" t="str">
        <f>IFERROR(__xludf.DUMMYFUNCTION("""COMPUTED_VALUE"""),"Martin")</f>
        <v>Martin</v>
      </c>
      <c r="E6035" t="str">
        <f>IFERROR(__xludf.DUMMYFUNCTION("""COMPUTED_VALUE"""),"Josh")</f>
        <v>Josh</v>
      </c>
      <c r="F6035" t="str">
        <f>IFERROR(__xludf.DUMMYFUNCTION("""COMPUTED_VALUE"""),"NYJ")</f>
        <v>NYJ</v>
      </c>
      <c r="G6035">
        <f>IFERROR(__xludf.DUMMYFUNCTION("""COMPUTED_VALUE"""),18.5)</f>
        <v>18.5</v>
      </c>
    </row>
    <row r="6036">
      <c r="D6036" t="str">
        <f>IFERROR(__xludf.DUMMYFUNCTION("""COMPUTED_VALUE"""),"Martin")</f>
        <v>Martin</v>
      </c>
      <c r="E6036" t="str">
        <f>IFERROR(__xludf.DUMMYFUNCTION("""COMPUTED_VALUE"""),"Kareem")</f>
        <v>Kareem</v>
      </c>
      <c r="F6036" t="str">
        <f>IFERROR(__xludf.DUMMYFUNCTION("""COMPUTED_VALUE"""),"NYG")</f>
        <v>NYG</v>
      </c>
      <c r="G6036">
        <f>IFERROR(__xludf.DUMMYFUNCTION("""COMPUTED_VALUE"""),18.75)</f>
        <v>18.75</v>
      </c>
    </row>
    <row r="6037">
      <c r="D6037" t="str">
        <f>IFERROR(__xludf.DUMMYFUNCTION("""COMPUTED_VALUE"""),"Martin")</f>
        <v>Martin</v>
      </c>
      <c r="E6037" t="str">
        <f>IFERROR(__xludf.DUMMYFUNCTION("""COMPUTED_VALUE"""),"Marcus")</f>
        <v>Marcus</v>
      </c>
      <c r="F6037" t="str">
        <f>IFERROR(__xludf.DUMMYFUNCTION("""COMPUTED_VALUE"""),"DAL")</f>
        <v>DAL</v>
      </c>
      <c r="G6037">
        <f>IFERROR(__xludf.DUMMYFUNCTION("""COMPUTED_VALUE"""),17.0)</f>
        <v>17</v>
      </c>
    </row>
    <row r="6038">
      <c r="D6038" t="str">
        <f>IFERROR(__xludf.DUMMYFUNCTION("""COMPUTED_VALUE"""),"Martin")</f>
        <v>Martin</v>
      </c>
      <c r="E6038" t="str">
        <f>IFERROR(__xludf.DUMMYFUNCTION("""COMPUTED_VALUE"""),"Nick")</f>
        <v>Nick</v>
      </c>
      <c r="F6038" t="str">
        <f>IFERROR(__xludf.DUMMYFUNCTION("""COMPUTED_VALUE"""),"HOU")</f>
        <v>HOU</v>
      </c>
      <c r="G6038">
        <f>IFERROR(__xludf.DUMMYFUNCTION("""COMPUTED_VALUE"""),19.0)</f>
        <v>19</v>
      </c>
    </row>
    <row r="6039">
      <c r="D6039" t="str">
        <f>IFERROR(__xludf.DUMMYFUNCTION("""COMPUTED_VALUE"""),"Martin")</f>
        <v>Martin</v>
      </c>
      <c r="E6039" t="str">
        <f>IFERROR(__xludf.DUMMYFUNCTION("""COMPUTED_VALUE"""),"Sam")</f>
        <v>Sam</v>
      </c>
      <c r="F6039" t="str">
        <f>IFERROR(__xludf.DUMMYFUNCTION("""COMPUTED_VALUE"""),"DET")</f>
        <v>DET</v>
      </c>
      <c r="G6039">
        <f>IFERROR(__xludf.DUMMYFUNCTION("""COMPUTED_VALUE"""),20.5)</f>
        <v>20.5</v>
      </c>
    </row>
    <row r="6040">
      <c r="D6040" t="str">
        <f>IFERROR(__xludf.DUMMYFUNCTION("""COMPUTED_VALUE"""),"Martin")</f>
        <v>Martin</v>
      </c>
      <c r="E6040" t="str">
        <f>IFERROR(__xludf.DUMMYFUNCTION("""COMPUTED_VALUE"""),"Zack")</f>
        <v>Zack</v>
      </c>
      <c r="F6040" t="str">
        <f>IFERROR(__xludf.DUMMYFUNCTION("""COMPUTED_VALUE"""),"DAL")</f>
        <v>DAL</v>
      </c>
      <c r="G6040">
        <f>IFERROR(__xludf.DUMMYFUNCTION("""COMPUTED_VALUE"""),22.0)</f>
        <v>22</v>
      </c>
    </row>
    <row r="6041">
      <c r="D6041" t="str">
        <f>IFERROR(__xludf.DUMMYFUNCTION("""COMPUTED_VALUE"""),"Martin Jr")</f>
        <v>Martin Jr</v>
      </c>
      <c r="E6041" t="str">
        <f>IFERROR(__xludf.DUMMYFUNCTION("""COMPUTED_VALUE"""),"Ronald")</f>
        <v>Ronald</v>
      </c>
      <c r="F6041" t="str">
        <f>IFERROR(__xludf.DUMMYFUNCTION("""COMPUTED_VALUE"""),"IND")</f>
        <v>IND</v>
      </c>
      <c r="G6041">
        <f>IFERROR(__xludf.DUMMYFUNCTION("""COMPUTED_VALUE"""),16.5)</f>
        <v>16.5</v>
      </c>
    </row>
    <row r="6042">
      <c r="D6042" t="str">
        <f>IFERROR(__xludf.DUMMYFUNCTION("""COMPUTED_VALUE"""),"Martinez")</f>
        <v>Martinez</v>
      </c>
      <c r="E6042" t="str">
        <f>IFERROR(__xludf.DUMMYFUNCTION("""COMPUTED_VALUE"""),"Blake")</f>
        <v>Blake</v>
      </c>
      <c r="F6042" t="str">
        <f>IFERROR(__xludf.DUMMYFUNCTION("""COMPUTED_VALUE"""),"GB")</f>
        <v>GB</v>
      </c>
      <c r="G6042">
        <f>IFERROR(__xludf.DUMMYFUNCTION("""COMPUTED_VALUE"""),19.75)</f>
        <v>19.75</v>
      </c>
    </row>
    <row r="6043">
      <c r="D6043" t="str">
        <f>IFERROR(__xludf.DUMMYFUNCTION("""COMPUTED_VALUE"""),"Martino")</f>
        <v>Martino</v>
      </c>
      <c r="E6043" t="str">
        <f>IFERROR(__xludf.DUMMYFUNCTION("""COMPUTED_VALUE"""),"Freddie")</f>
        <v>Freddie</v>
      </c>
      <c r="F6043" t="str">
        <f>IFERROR(__xludf.DUMMYFUNCTION("""COMPUTED_VALUE"""),"TB")</f>
        <v>TB</v>
      </c>
      <c r="G6043">
        <f>IFERROR(__xludf.DUMMYFUNCTION("""COMPUTED_VALUE"""),16.75)</f>
        <v>16.75</v>
      </c>
    </row>
    <row r="6044">
      <c r="D6044" t="str">
        <f>IFERROR(__xludf.DUMMYFUNCTION("""COMPUTED_VALUE"""),"Marz")</f>
        <v>Marz</v>
      </c>
      <c r="E6044" t="str">
        <f>IFERROR(__xludf.DUMMYFUNCTION("""COMPUTED_VALUE"""),"Tyler")</f>
        <v>Tyler</v>
      </c>
      <c r="F6044" t="str">
        <f>IFERROR(__xludf.DUMMYFUNCTION("""COMPUTED_VALUE"""),"TEN")</f>
        <v>TEN</v>
      </c>
      <c r="G6044">
        <f>IFERROR(__xludf.DUMMYFUNCTION("""COMPUTED_VALUE"""),16.0)</f>
        <v>16</v>
      </c>
    </row>
    <row r="6045">
      <c r="D6045" t="str">
        <f>IFERROR(__xludf.DUMMYFUNCTION("""COMPUTED_VALUE"""),"Mason")</f>
        <v>Mason</v>
      </c>
      <c r="E6045" t="str">
        <f>IFERROR(__xludf.DUMMYFUNCTION("""COMPUTED_VALUE"""),"Shaq")</f>
        <v>Shaq</v>
      </c>
      <c r="F6045" t="str">
        <f>IFERROR(__xludf.DUMMYFUNCTION("""COMPUTED_VALUE"""),"NE")</f>
        <v>NE</v>
      </c>
      <c r="G6045">
        <f>IFERROR(__xludf.DUMMYFUNCTION("""COMPUTED_VALUE"""),20.5)</f>
        <v>20.5</v>
      </c>
    </row>
    <row r="6046">
      <c r="D6046" t="str">
        <f>IFERROR(__xludf.DUMMYFUNCTION("""COMPUTED_VALUE"""),"Massie")</f>
        <v>Massie</v>
      </c>
      <c r="E6046" t="str">
        <f>IFERROR(__xludf.DUMMYFUNCTION("""COMPUTED_VALUE"""),"Bobby")</f>
        <v>Bobby</v>
      </c>
      <c r="F6046" t="str">
        <f>IFERROR(__xludf.DUMMYFUNCTION("""COMPUTED_VALUE"""),"CHI")</f>
        <v>CHI</v>
      </c>
      <c r="G6046">
        <f>IFERROR(__xludf.DUMMYFUNCTION("""COMPUTED_VALUE"""),19.0)</f>
        <v>19</v>
      </c>
    </row>
    <row r="6047">
      <c r="D6047" t="str">
        <f>IFERROR(__xludf.DUMMYFUNCTION("""COMPUTED_VALUE"""),"Matakevich")</f>
        <v>Matakevich</v>
      </c>
      <c r="E6047" t="str">
        <f>IFERROR(__xludf.DUMMYFUNCTION("""COMPUTED_VALUE"""),"Tyler")</f>
        <v>Tyler</v>
      </c>
      <c r="F6047" t="str">
        <f>IFERROR(__xludf.DUMMYFUNCTION("""COMPUTED_VALUE"""),"PIT")</f>
        <v>PIT</v>
      </c>
      <c r="G6047">
        <f>IFERROR(__xludf.DUMMYFUNCTION("""COMPUTED_VALUE"""),17.0)</f>
        <v>17</v>
      </c>
    </row>
    <row r="6048">
      <c r="D6048" t="str">
        <f>IFERROR(__xludf.DUMMYFUNCTION("""COMPUTED_VALUE"""),"Mathieu")</f>
        <v>Mathieu</v>
      </c>
      <c r="E6048" t="str">
        <f>IFERROR(__xludf.DUMMYFUNCTION("""COMPUTED_VALUE"""),"Tyrann")</f>
        <v>Tyrann</v>
      </c>
      <c r="F6048" t="str">
        <f>IFERROR(__xludf.DUMMYFUNCTION("""COMPUTED_VALUE"""),"HOU")</f>
        <v>HOU</v>
      </c>
      <c r="G6048">
        <f>IFERROR(__xludf.DUMMYFUNCTION("""COMPUTED_VALUE"""),21.5)</f>
        <v>21.5</v>
      </c>
    </row>
    <row r="6049">
      <c r="D6049" t="str">
        <f>IFERROR(__xludf.DUMMYFUNCTION("""COMPUTED_VALUE"""),"Matthews")</f>
        <v>Matthews</v>
      </c>
      <c r="E6049" t="str">
        <f>IFERROR(__xludf.DUMMYFUNCTION("""COMPUTED_VALUE"""),"Clay")</f>
        <v>Clay</v>
      </c>
      <c r="F6049" t="str">
        <f>IFERROR(__xludf.DUMMYFUNCTION("""COMPUTED_VALUE"""),"GB")</f>
        <v>GB</v>
      </c>
      <c r="G6049">
        <f>IFERROR(__xludf.DUMMYFUNCTION("""COMPUTED_VALUE"""),20.75)</f>
        <v>20.75</v>
      </c>
    </row>
    <row r="6050">
      <c r="D6050" t="str">
        <f>IFERROR(__xludf.DUMMYFUNCTION("""COMPUTED_VALUE"""),"Matthews")</f>
        <v>Matthews</v>
      </c>
      <c r="E6050" t="str">
        <f>IFERROR(__xludf.DUMMYFUNCTION("""COMPUTED_VALUE"""),"Jake")</f>
        <v>Jake</v>
      </c>
      <c r="F6050" t="str">
        <f>IFERROR(__xludf.DUMMYFUNCTION("""COMPUTED_VALUE"""),"ATL")</f>
        <v>ATL</v>
      </c>
      <c r="G6050">
        <f>IFERROR(__xludf.DUMMYFUNCTION("""COMPUTED_VALUE"""),20.0)</f>
        <v>20</v>
      </c>
    </row>
    <row r="6051">
      <c r="D6051" t="str">
        <f>IFERROR(__xludf.DUMMYFUNCTION("""COMPUTED_VALUE"""),"Matthews")</f>
        <v>Matthews</v>
      </c>
      <c r="E6051" t="str">
        <f>IFERROR(__xludf.DUMMYFUNCTION("""COMPUTED_VALUE"""),"Jordan")</f>
        <v>Jordan</v>
      </c>
      <c r="F6051" t="str">
        <f>IFERROR(__xludf.DUMMYFUNCTION("""COMPUTED_VALUE"""),"NE")</f>
        <v>NE</v>
      </c>
      <c r="G6051">
        <f>IFERROR(__xludf.DUMMYFUNCTION("""COMPUTED_VALUE"""),19.0)</f>
        <v>19</v>
      </c>
    </row>
    <row r="6052">
      <c r="D6052" t="str">
        <f>IFERROR(__xludf.DUMMYFUNCTION("""COMPUTED_VALUE"""),"Matthews")</f>
        <v>Matthews</v>
      </c>
      <c r="E6052" t="str">
        <f>IFERROR(__xludf.DUMMYFUNCTION("""COMPUTED_VALUE"""),"Rishard")</f>
        <v>Rishard</v>
      </c>
      <c r="F6052" t="str">
        <f>IFERROR(__xludf.DUMMYFUNCTION("""COMPUTED_VALUE"""),"TEN")</f>
        <v>TEN</v>
      </c>
      <c r="G6052">
        <f>IFERROR(__xludf.DUMMYFUNCTION("""COMPUTED_VALUE"""),20.0)</f>
        <v>20</v>
      </c>
    </row>
    <row r="6053">
      <c r="D6053" t="str">
        <f>IFERROR(__xludf.DUMMYFUNCTION("""COMPUTED_VALUE"""),"Mauger")</f>
        <v>Mauger</v>
      </c>
      <c r="E6053" t="str">
        <f>IFERROR(__xludf.DUMMYFUNCTION("""COMPUTED_VALUE"""),"Quincy")</f>
        <v>Quincy</v>
      </c>
      <c r="F6053" t="str">
        <f>IFERROR(__xludf.DUMMYFUNCTION("""COMPUTED_VALUE"""),"FA")</f>
        <v>FA</v>
      </c>
      <c r="G6053">
        <f>IFERROR(__xludf.DUMMYFUNCTION("""COMPUTED_VALUE"""),17.0)</f>
        <v>17</v>
      </c>
    </row>
    <row r="6054">
      <c r="D6054" t="str">
        <f>IFERROR(__xludf.DUMMYFUNCTION("""COMPUTED_VALUE"""),"Mauldin IV")</f>
        <v>Mauldin IV</v>
      </c>
      <c r="E6054" t="str">
        <f>IFERROR(__xludf.DUMMYFUNCTION("""COMPUTED_VALUE"""),"Lorenzo")</f>
        <v>Lorenzo</v>
      </c>
      <c r="F6054" t="str">
        <f>IFERROR(__xludf.DUMMYFUNCTION("""COMPUTED_VALUE"""),"NYJ")</f>
        <v>NYJ</v>
      </c>
      <c r="G6054">
        <f>IFERROR(__xludf.DUMMYFUNCTION("""COMPUTED_VALUE"""),17.75)</f>
        <v>17.75</v>
      </c>
    </row>
    <row r="6055">
      <c r="D6055" t="str">
        <f>IFERROR(__xludf.DUMMYFUNCTION("""COMPUTED_VALUE"""),"Maulet")</f>
        <v>Maulet</v>
      </c>
      <c r="E6055" t="str">
        <f>IFERROR(__xludf.DUMMYFUNCTION("""COMPUTED_VALUE"""),"Arthur")</f>
        <v>Arthur</v>
      </c>
      <c r="F6055" t="str">
        <f>IFERROR(__xludf.DUMMYFUNCTION("""COMPUTED_VALUE"""),"NO")</f>
        <v>NO</v>
      </c>
      <c r="G6055">
        <f>IFERROR(__xludf.DUMMYFUNCTION("""COMPUTED_VALUE"""),16.0)</f>
        <v>16</v>
      </c>
    </row>
    <row r="6056">
      <c r="D6056" t="str">
        <f>IFERROR(__xludf.DUMMYFUNCTION("""COMPUTED_VALUE"""),"Mauro")</f>
        <v>Mauro</v>
      </c>
      <c r="E6056" t="str">
        <f>IFERROR(__xludf.DUMMYFUNCTION("""COMPUTED_VALUE"""),"Josh")</f>
        <v>Josh</v>
      </c>
      <c r="F6056" t="str">
        <f>IFERROR(__xludf.DUMMYFUNCTION("""COMPUTED_VALUE"""),"NYG")</f>
        <v>NYG</v>
      </c>
      <c r="G6056">
        <f>IFERROR(__xludf.DUMMYFUNCTION("""COMPUTED_VALUE"""),16.25)</f>
        <v>16.25</v>
      </c>
    </row>
    <row r="6057">
      <c r="D6057" t="str">
        <f>IFERROR(__xludf.DUMMYFUNCTION("""COMPUTED_VALUE"""),"Maxwell")</f>
        <v>Maxwell</v>
      </c>
      <c r="E6057" t="str">
        <f>IFERROR(__xludf.DUMMYFUNCTION("""COMPUTED_VALUE"""),"Byron")</f>
        <v>Byron</v>
      </c>
      <c r="F6057" t="str">
        <f>IFERROR(__xludf.DUMMYFUNCTION("""COMPUTED_VALUE"""),"SEA")</f>
        <v>SEA</v>
      </c>
      <c r="G6057">
        <f>IFERROR(__xludf.DUMMYFUNCTION("""COMPUTED_VALUE"""),18.5)</f>
        <v>18.5</v>
      </c>
    </row>
    <row r="6058">
      <c r="D6058" t="str">
        <f>IFERROR(__xludf.DUMMYFUNCTION("""COMPUTED_VALUE"""),"Maye")</f>
        <v>Maye</v>
      </c>
      <c r="E6058" t="str">
        <f>IFERROR(__xludf.DUMMYFUNCTION("""COMPUTED_VALUE"""),"Marcus")</f>
        <v>Marcus</v>
      </c>
      <c r="F6058" t="str">
        <f>IFERROR(__xludf.DUMMYFUNCTION("""COMPUTED_VALUE"""),"NYJ")</f>
        <v>NYJ</v>
      </c>
      <c r="G6058">
        <f>IFERROR(__xludf.DUMMYFUNCTION("""COMPUTED_VALUE"""),18.75)</f>
        <v>18.75</v>
      </c>
    </row>
    <row r="6059">
      <c r="D6059" t="str">
        <f>IFERROR(__xludf.DUMMYFUNCTION("""COMPUTED_VALUE"""),"Mayfield")</f>
        <v>Mayfield</v>
      </c>
      <c r="E6059" t="str">
        <f>IFERROR(__xludf.DUMMYFUNCTION("""COMPUTED_VALUE"""),"Baker")</f>
        <v>Baker</v>
      </c>
      <c r="F6059" t="str">
        <f>IFERROR(__xludf.DUMMYFUNCTION("""COMPUTED_VALUE"""),"CLE")</f>
        <v>CLE</v>
      </c>
      <c r="G6059">
        <f>IFERROR(__xludf.DUMMYFUNCTION("""COMPUTED_VALUE"""),19.75)</f>
        <v>19.75</v>
      </c>
    </row>
    <row r="6060">
      <c r="D6060" t="str">
        <f>IFERROR(__xludf.DUMMYFUNCTION("""COMPUTED_VALUE"""),"Mayfield")</f>
        <v>Mayfield</v>
      </c>
      <c r="E6060" t="str">
        <f>IFERROR(__xludf.DUMMYFUNCTION("""COMPUTED_VALUE"""),"Baker")</f>
        <v>Baker</v>
      </c>
      <c r="F6060" t="str">
        <f>IFERROR(__xludf.DUMMYFUNCTION("""COMPUTED_VALUE"""),"CLE")</f>
        <v>CLE</v>
      </c>
      <c r="G6060">
        <f>IFERROR(__xludf.DUMMYFUNCTION("""COMPUTED_VALUE"""),21.75)</f>
        <v>21.75</v>
      </c>
    </row>
    <row r="6061">
      <c r="D6061" t="str">
        <f>IFERROR(__xludf.DUMMYFUNCTION("""COMPUTED_VALUE"""),"Mayle")</f>
        <v>Mayle</v>
      </c>
      <c r="E6061" t="str">
        <f>IFERROR(__xludf.DUMMYFUNCTION("""COMPUTED_VALUE"""),"Vince")</f>
        <v>Vince</v>
      </c>
      <c r="F6061" t="str">
        <f>IFERROR(__xludf.DUMMYFUNCTION("""COMPUTED_VALUE"""),"BAL")</f>
        <v>BAL</v>
      </c>
      <c r="G6061">
        <f>IFERROR(__xludf.DUMMYFUNCTION("""COMPUTED_VALUE"""),17.5)</f>
        <v>17.5</v>
      </c>
    </row>
    <row r="6062">
      <c r="D6062" t="str">
        <f>IFERROR(__xludf.DUMMYFUNCTION("""COMPUTED_VALUE"""),"Mayo")</f>
        <v>Mayo</v>
      </c>
      <c r="E6062" t="str">
        <f>IFERROR(__xludf.DUMMYFUNCTION("""COMPUTED_VALUE"""),"David")</f>
        <v>David</v>
      </c>
      <c r="F6062" t="str">
        <f>IFERROR(__xludf.DUMMYFUNCTION("""COMPUTED_VALUE"""),"CAR")</f>
        <v>CAR</v>
      </c>
      <c r="G6062">
        <f>IFERROR(__xludf.DUMMYFUNCTION("""COMPUTED_VALUE"""),17.75)</f>
        <v>17.75</v>
      </c>
    </row>
    <row r="6063">
      <c r="D6063" t="str">
        <f>IFERROR(__xludf.DUMMYFUNCTION("""COMPUTED_VALUE"""),"Mayowa")</f>
        <v>Mayowa</v>
      </c>
      <c r="E6063" t="str">
        <f>IFERROR(__xludf.DUMMYFUNCTION("""COMPUTED_VALUE"""),"Benson")</f>
        <v>Benson</v>
      </c>
      <c r="F6063" t="str">
        <f>IFERROR(__xludf.DUMMYFUNCTION("""COMPUTED_VALUE"""),"ARZ")</f>
        <v>ARZ</v>
      </c>
      <c r="G6063">
        <f>IFERROR(__xludf.DUMMYFUNCTION("""COMPUTED_VALUE"""),17.5)</f>
        <v>17.5</v>
      </c>
    </row>
    <row r="6064">
      <c r="D6064" t="str">
        <f>IFERROR(__xludf.DUMMYFUNCTION("""COMPUTED_VALUE"""),"Mays")</f>
        <v>Mays</v>
      </c>
      <c r="E6064" t="str">
        <f>IFERROR(__xludf.DUMMYFUNCTION("""COMPUTED_VALUE"""),"Devante")</f>
        <v>Devante</v>
      </c>
      <c r="F6064" t="str">
        <f>IFERROR(__xludf.DUMMYFUNCTION("""COMPUTED_VALUE"""),"GB")</f>
        <v>GB</v>
      </c>
      <c r="G6064">
        <f>IFERROR(__xludf.DUMMYFUNCTION("""COMPUTED_VALUE"""),16.75)</f>
        <v>16.75</v>
      </c>
    </row>
    <row r="6065">
      <c r="D6065" t="str">
        <f>IFERROR(__xludf.DUMMYFUNCTION("""COMPUTED_VALUE"""),"McCaffrey")</f>
        <v>McCaffrey</v>
      </c>
      <c r="E6065" t="str">
        <f>IFERROR(__xludf.DUMMYFUNCTION("""COMPUTED_VALUE"""),"Christian")</f>
        <v>Christian</v>
      </c>
      <c r="F6065" t="str">
        <f>IFERROR(__xludf.DUMMYFUNCTION("""COMPUTED_VALUE"""),"CAR")</f>
        <v>CAR</v>
      </c>
      <c r="G6065">
        <f>IFERROR(__xludf.DUMMYFUNCTION("""COMPUTED_VALUE"""),20.5)</f>
        <v>20.5</v>
      </c>
    </row>
    <row r="6066">
      <c r="D6066" t="str">
        <f>IFERROR(__xludf.DUMMYFUNCTION("""COMPUTED_VALUE"""),"McCaffrey")</f>
        <v>McCaffrey</v>
      </c>
      <c r="E6066" t="str">
        <f>IFERROR(__xludf.DUMMYFUNCTION("""COMPUTED_VALUE"""),"Max")</f>
        <v>Max</v>
      </c>
      <c r="F6066" t="str">
        <f>IFERROR(__xludf.DUMMYFUNCTION("""COMPUTED_VALUE"""),"SF")</f>
        <v>SF</v>
      </c>
      <c r="G6066">
        <f>IFERROR(__xludf.DUMMYFUNCTION("""COMPUTED_VALUE"""),16.5)</f>
        <v>16.5</v>
      </c>
    </row>
    <row r="6067">
      <c r="D6067" t="str">
        <f>IFERROR(__xludf.DUMMYFUNCTION("""COMPUTED_VALUE"""),"McCain")</f>
        <v>McCain</v>
      </c>
      <c r="E6067" t="str">
        <f>IFERROR(__xludf.DUMMYFUNCTION("""COMPUTED_VALUE"""),"Bobby")</f>
        <v>Bobby</v>
      </c>
      <c r="F6067" t="str">
        <f>IFERROR(__xludf.DUMMYFUNCTION("""COMPUTED_VALUE"""),"MIA")</f>
        <v>MIA</v>
      </c>
      <c r="G6067">
        <f>IFERROR(__xludf.DUMMYFUNCTION("""COMPUTED_VALUE"""),19.25)</f>
        <v>19.25</v>
      </c>
    </row>
    <row r="6068">
      <c r="D6068" t="str">
        <f>IFERROR(__xludf.DUMMYFUNCTION("""COMPUTED_VALUE"""),"McCarron")</f>
        <v>McCarron</v>
      </c>
      <c r="E6068" t="str">
        <f>IFERROR(__xludf.DUMMYFUNCTION("""COMPUTED_VALUE"""),"AJ")</f>
        <v>AJ</v>
      </c>
      <c r="F6068" t="str">
        <f>IFERROR(__xludf.DUMMYFUNCTION("""COMPUTED_VALUE"""),"BUF")</f>
        <v>BUF</v>
      </c>
      <c r="G6068">
        <f>IFERROR(__xludf.DUMMYFUNCTION("""COMPUTED_VALUE"""),18.75)</f>
        <v>18.75</v>
      </c>
    </row>
    <row r="6069">
      <c r="D6069" t="str">
        <f>IFERROR(__xludf.DUMMYFUNCTION("""COMPUTED_VALUE"""),"McClellan")</f>
        <v>McClellan</v>
      </c>
      <c r="E6069" t="str">
        <f>IFERROR(__xludf.DUMMYFUNCTION("""COMPUTED_VALUE"""),"Albert")</f>
        <v>Albert</v>
      </c>
      <c r="F6069" t="str">
        <f>IFERROR(__xludf.DUMMYFUNCTION("""COMPUTED_VALUE"""),"BAL")</f>
        <v>BAL</v>
      </c>
      <c r="G6069">
        <f>IFERROR(__xludf.DUMMYFUNCTION("""COMPUTED_VALUE"""),18.25)</f>
        <v>18.25</v>
      </c>
    </row>
    <row r="6070">
      <c r="D6070" t="str">
        <f>IFERROR(__xludf.DUMMYFUNCTION("""COMPUTED_VALUE"""),"McCloud")</f>
        <v>McCloud</v>
      </c>
      <c r="E6070" t="str">
        <f>IFERROR(__xludf.DUMMYFUNCTION("""COMPUTED_VALUE"""),"Ray-Ray")</f>
        <v>Ray-Ray</v>
      </c>
      <c r="F6070" t="str">
        <f>IFERROR(__xludf.DUMMYFUNCTION("""COMPUTED_VALUE"""),"BUF")</f>
        <v>BUF</v>
      </c>
      <c r="G6070">
        <f>IFERROR(__xludf.DUMMYFUNCTION("""COMPUTED_VALUE"""),17.0)</f>
        <v>17</v>
      </c>
    </row>
    <row r="6071">
      <c r="D6071" t="str">
        <f>IFERROR(__xludf.DUMMYFUNCTION("""COMPUTED_VALUE"""),"McClure")</f>
        <v>McClure</v>
      </c>
      <c r="E6071" t="str">
        <f>IFERROR(__xludf.DUMMYFUNCTION("""COMPUTED_VALUE"""),"Stefan")</f>
        <v>Stefan</v>
      </c>
      <c r="F6071" t="str">
        <f>IFERROR(__xludf.DUMMYFUNCTION("""COMPUTED_VALUE"""),"DET")</f>
        <v>DET</v>
      </c>
      <c r="G6071">
        <f>IFERROR(__xludf.DUMMYFUNCTION("""COMPUTED_VALUE"""),15.75)</f>
        <v>15.75</v>
      </c>
    </row>
    <row r="6072">
      <c r="D6072" t="str">
        <f>IFERROR(__xludf.DUMMYFUNCTION("""COMPUTED_VALUE"""),"McCourty")</f>
        <v>McCourty</v>
      </c>
      <c r="E6072" t="str">
        <f>IFERROR(__xludf.DUMMYFUNCTION("""COMPUTED_VALUE"""),"Devin")</f>
        <v>Devin</v>
      </c>
      <c r="F6072" t="str">
        <f>IFERROR(__xludf.DUMMYFUNCTION("""COMPUTED_VALUE"""),"NE")</f>
        <v>NE</v>
      </c>
      <c r="G6072">
        <f>IFERROR(__xludf.DUMMYFUNCTION("""COMPUTED_VALUE"""),21.0)</f>
        <v>21</v>
      </c>
    </row>
    <row r="6073">
      <c r="D6073" t="str">
        <f>IFERROR(__xludf.DUMMYFUNCTION("""COMPUTED_VALUE"""),"McCourty")</f>
        <v>McCourty</v>
      </c>
      <c r="E6073" t="str">
        <f>IFERROR(__xludf.DUMMYFUNCTION("""COMPUTED_VALUE"""),"Jason")</f>
        <v>Jason</v>
      </c>
      <c r="F6073" t="str">
        <f>IFERROR(__xludf.DUMMYFUNCTION("""COMPUTED_VALUE"""),"NE")</f>
        <v>NE</v>
      </c>
      <c r="G6073">
        <f>IFERROR(__xludf.DUMMYFUNCTION("""COMPUTED_VALUE"""),21.0)</f>
        <v>21</v>
      </c>
    </row>
    <row r="6074">
      <c r="D6074" t="str">
        <f>IFERROR(__xludf.DUMMYFUNCTION("""COMPUTED_VALUE"""),"McCown")</f>
        <v>McCown</v>
      </c>
      <c r="E6074" t="str">
        <f>IFERROR(__xludf.DUMMYFUNCTION("""COMPUTED_VALUE"""),"Josh")</f>
        <v>Josh</v>
      </c>
      <c r="F6074" t="str">
        <f>IFERROR(__xludf.DUMMYFUNCTION("""COMPUTED_VALUE"""),"NYJ")</f>
        <v>NYJ</v>
      </c>
      <c r="G6074">
        <f>IFERROR(__xludf.DUMMYFUNCTION("""COMPUTED_VALUE"""),19.25)</f>
        <v>19.25</v>
      </c>
    </row>
    <row r="6075">
      <c r="D6075" t="str">
        <f>IFERROR(__xludf.DUMMYFUNCTION("""COMPUTED_VALUE"""),"McCown")</f>
        <v>McCown</v>
      </c>
      <c r="E6075" t="str">
        <f>IFERROR(__xludf.DUMMYFUNCTION("""COMPUTED_VALUE"""),"Josh")</f>
        <v>Josh</v>
      </c>
      <c r="F6075" t="str">
        <f>IFERROR(__xludf.DUMMYFUNCTION("""COMPUTED_VALUE"""),"NYJ")</f>
        <v>NYJ</v>
      </c>
      <c r="G6075">
        <f>IFERROR(__xludf.DUMMYFUNCTION("""COMPUTED_VALUE"""),21.25)</f>
        <v>21.25</v>
      </c>
    </row>
    <row r="6076">
      <c r="D6076" t="str">
        <f>IFERROR(__xludf.DUMMYFUNCTION("""COMPUTED_VALUE"""),"McCoy")</f>
        <v>McCoy</v>
      </c>
      <c r="E6076" t="str">
        <f>IFERROR(__xludf.DUMMYFUNCTION("""COMPUTED_VALUE"""),"Colt")</f>
        <v>Colt</v>
      </c>
      <c r="F6076" t="str">
        <f>IFERROR(__xludf.DUMMYFUNCTION("""COMPUTED_VALUE"""),"WAS")</f>
        <v>WAS</v>
      </c>
      <c r="G6076">
        <f>IFERROR(__xludf.DUMMYFUNCTION("""COMPUTED_VALUE"""),17.25)</f>
        <v>17.25</v>
      </c>
    </row>
    <row r="6077">
      <c r="D6077" t="str">
        <f>IFERROR(__xludf.DUMMYFUNCTION("""COMPUTED_VALUE"""),"McCoy")</f>
        <v>McCoy</v>
      </c>
      <c r="E6077" t="str">
        <f>IFERROR(__xludf.DUMMYFUNCTION("""COMPUTED_VALUE"""),"Gerald")</f>
        <v>Gerald</v>
      </c>
      <c r="F6077" t="str">
        <f>IFERROR(__xludf.DUMMYFUNCTION("""COMPUTED_VALUE"""),"TB")</f>
        <v>TB</v>
      </c>
      <c r="G6077">
        <f>IFERROR(__xludf.DUMMYFUNCTION("""COMPUTED_VALUE"""),21.5)</f>
        <v>21.5</v>
      </c>
    </row>
    <row r="6078">
      <c r="D6078" t="str">
        <f>IFERROR(__xludf.DUMMYFUNCTION("""COMPUTED_VALUE"""),"McCoy")</f>
        <v>McCoy</v>
      </c>
      <c r="E6078" t="str">
        <f>IFERROR(__xludf.DUMMYFUNCTION("""COMPUTED_VALUE"""),"LeSean")</f>
        <v>LeSean</v>
      </c>
      <c r="F6078" t="str">
        <f>IFERROR(__xludf.DUMMYFUNCTION("""COMPUTED_VALUE"""),"BUF")</f>
        <v>BUF</v>
      </c>
      <c r="G6078">
        <f>IFERROR(__xludf.DUMMYFUNCTION("""COMPUTED_VALUE"""),20.75)</f>
        <v>20.75</v>
      </c>
    </row>
    <row r="6079">
      <c r="D6079" t="str">
        <f>IFERROR(__xludf.DUMMYFUNCTION("""COMPUTED_VALUE"""),"McCray")</f>
        <v>McCray</v>
      </c>
      <c r="E6079" t="str">
        <f>IFERROR(__xludf.DUMMYFUNCTION("""COMPUTED_VALUE"""),"Justin")</f>
        <v>Justin</v>
      </c>
      <c r="F6079" t="str">
        <f>IFERROR(__xludf.DUMMYFUNCTION("""COMPUTED_VALUE"""),"GB")</f>
        <v>GB</v>
      </c>
      <c r="G6079">
        <f>IFERROR(__xludf.DUMMYFUNCTION("""COMPUTED_VALUE"""),17.5)</f>
        <v>17.5</v>
      </c>
    </row>
    <row r="6080">
      <c r="D6080" t="str">
        <f>IFERROR(__xludf.DUMMYFUNCTION("""COMPUTED_VALUE"""),"McCray")</f>
        <v>McCray</v>
      </c>
      <c r="E6080" t="str">
        <f>IFERROR(__xludf.DUMMYFUNCTION("""COMPUTED_VALUE"""),"Kelcie")</f>
        <v>Kelcie</v>
      </c>
      <c r="F6080" t="str">
        <f>IFERROR(__xludf.DUMMYFUNCTION("""COMPUTED_VALUE"""),"BUF")</f>
        <v>BUF</v>
      </c>
      <c r="G6080">
        <f>IFERROR(__xludf.DUMMYFUNCTION("""COMPUTED_VALUE"""),18.0)</f>
        <v>18</v>
      </c>
    </row>
    <row r="6081">
      <c r="D6081" t="str">
        <f>IFERROR(__xludf.DUMMYFUNCTION("""COMPUTED_VALUE"""),"McCray")</f>
        <v>McCray</v>
      </c>
      <c r="E6081" t="str">
        <f>IFERROR(__xludf.DUMMYFUNCTION("""COMPUTED_VALUE"""),"Lerentee")</f>
        <v>Lerentee</v>
      </c>
      <c r="F6081" t="str">
        <f>IFERROR(__xludf.DUMMYFUNCTION("""COMPUTED_VALUE"""),"JAX")</f>
        <v>JAX</v>
      </c>
      <c r="G6081">
        <f>IFERROR(__xludf.DUMMYFUNCTION("""COMPUTED_VALUE"""),17.25)</f>
        <v>17.25</v>
      </c>
    </row>
    <row r="6082">
      <c r="D6082" t="str">
        <f>IFERROR(__xludf.DUMMYFUNCTION("""COMPUTED_VALUE"""),"McCray II")</f>
        <v>McCray II</v>
      </c>
      <c r="E6082" t="str">
        <f>IFERROR(__xludf.DUMMYFUNCTION("""COMPUTED_VALUE"""),"LJ")</f>
        <v>LJ</v>
      </c>
      <c r="F6082" t="str">
        <f>IFERROR(__xludf.DUMMYFUNCTION("""COMPUTED_VALUE"""),"BUF")</f>
        <v>BUF</v>
      </c>
      <c r="G6082">
        <f>IFERROR(__xludf.DUMMYFUNCTION("""COMPUTED_VALUE"""),17.5)</f>
        <v>17.5</v>
      </c>
    </row>
    <row r="6083">
      <c r="D6083" t="str">
        <f>IFERROR(__xludf.DUMMYFUNCTION("""COMPUTED_VALUE"""),"McCullers")</f>
        <v>McCullers</v>
      </c>
      <c r="E6083" t="str">
        <f>IFERROR(__xludf.DUMMYFUNCTION("""COMPUTED_VALUE"""),"Daniel")</f>
        <v>Daniel</v>
      </c>
      <c r="F6083" t="str">
        <f>IFERROR(__xludf.DUMMYFUNCTION("""COMPUTED_VALUE"""),"PIT")</f>
        <v>PIT</v>
      </c>
      <c r="G6083">
        <f>IFERROR(__xludf.DUMMYFUNCTION("""COMPUTED_VALUE"""),17.25)</f>
        <v>17.25</v>
      </c>
    </row>
    <row r="6084">
      <c r="D6084" t="str">
        <f>IFERROR(__xludf.DUMMYFUNCTION("""COMPUTED_VALUE"""),"McDonald")</f>
        <v>McDonald</v>
      </c>
      <c r="E6084" t="str">
        <f>IFERROR(__xludf.DUMMYFUNCTION("""COMPUTED_VALUE"""),"Clinton")</f>
        <v>Clinton</v>
      </c>
      <c r="F6084" t="str">
        <f>IFERROR(__xludf.DUMMYFUNCTION("""COMPUTED_VALUE"""),"DEN")</f>
        <v>DEN</v>
      </c>
      <c r="G6084">
        <f>IFERROR(__xludf.DUMMYFUNCTION("""COMPUTED_VALUE"""),18.0)</f>
        <v>18</v>
      </c>
    </row>
    <row r="6085">
      <c r="D6085" t="str">
        <f>IFERROR(__xludf.DUMMYFUNCTION("""COMPUTED_VALUE"""),"McDonald")</f>
        <v>McDonald</v>
      </c>
      <c r="E6085" t="str">
        <f>IFERROR(__xludf.DUMMYFUNCTION("""COMPUTED_VALUE"""),"Dexter")</f>
        <v>Dexter</v>
      </c>
      <c r="F6085" t="str">
        <f>IFERROR(__xludf.DUMMYFUNCTION("""COMPUTED_VALUE"""),"OAK")</f>
        <v>OAK</v>
      </c>
      <c r="G6085">
        <f>IFERROR(__xludf.DUMMYFUNCTION("""COMPUTED_VALUE"""),18.0)</f>
        <v>18</v>
      </c>
    </row>
    <row r="6086">
      <c r="D6086" t="str">
        <f>IFERROR(__xludf.DUMMYFUNCTION("""COMPUTED_VALUE"""),"McDonald")</f>
        <v>McDonald</v>
      </c>
      <c r="E6086" t="str">
        <f>IFERROR(__xludf.DUMMYFUNCTION("""COMPUTED_VALUE"""),"Vance")</f>
        <v>Vance</v>
      </c>
      <c r="F6086" t="str">
        <f>IFERROR(__xludf.DUMMYFUNCTION("""COMPUTED_VALUE"""),"PIT")</f>
        <v>PIT</v>
      </c>
      <c r="G6086">
        <f>IFERROR(__xludf.DUMMYFUNCTION("""COMPUTED_VALUE"""),19.25)</f>
        <v>19.25</v>
      </c>
    </row>
    <row r="6087">
      <c r="D6087" t="str">
        <f>IFERROR(__xludf.DUMMYFUNCTION("""COMPUTED_VALUE"""),"McDonald Jr")</f>
        <v>McDonald Jr</v>
      </c>
      <c r="E6087" t="str">
        <f>IFERROR(__xludf.DUMMYFUNCTION("""COMPUTED_VALUE"""),"TJ")</f>
        <v>TJ</v>
      </c>
      <c r="F6087" t="str">
        <f>IFERROR(__xludf.DUMMYFUNCTION("""COMPUTED_VALUE"""),"MIA")</f>
        <v>MIA</v>
      </c>
      <c r="G6087">
        <f>IFERROR(__xludf.DUMMYFUNCTION("""COMPUTED_VALUE"""),18.25)</f>
        <v>18.25</v>
      </c>
    </row>
    <row r="6088">
      <c r="D6088" t="str">
        <f>IFERROR(__xludf.DUMMYFUNCTION("""COMPUTED_VALUE"""),"McDougald")</f>
        <v>McDougald</v>
      </c>
      <c r="E6088" t="str">
        <f>IFERROR(__xludf.DUMMYFUNCTION("""COMPUTED_VALUE"""),"Bradley")</f>
        <v>Bradley</v>
      </c>
      <c r="F6088" t="str">
        <f>IFERROR(__xludf.DUMMYFUNCTION("""COMPUTED_VALUE"""),"SEA")</f>
        <v>SEA</v>
      </c>
      <c r="G6088">
        <f>IFERROR(__xludf.DUMMYFUNCTION("""COMPUTED_VALUE"""),19.0)</f>
        <v>19</v>
      </c>
    </row>
    <row r="6089">
      <c r="D6089" t="str">
        <f>IFERROR(__xludf.DUMMYFUNCTION("""COMPUTED_VALUE"""),"McDowell")</f>
        <v>McDowell</v>
      </c>
      <c r="E6089" t="str">
        <f>IFERROR(__xludf.DUMMYFUNCTION("""COMPUTED_VALUE"""),"Malik")</f>
        <v>Malik</v>
      </c>
      <c r="F6089" t="str">
        <f>IFERROR(__xludf.DUMMYFUNCTION("""COMPUTED_VALUE"""),"SEA")</f>
        <v>SEA</v>
      </c>
      <c r="G6089">
        <f>IFERROR(__xludf.DUMMYFUNCTION("""COMPUTED_VALUE"""),19.0)</f>
        <v>19</v>
      </c>
    </row>
    <row r="6090">
      <c r="D6090" t="str">
        <f>IFERROR(__xludf.DUMMYFUNCTION("""COMPUTED_VALUE"""),"McEvoy")</f>
        <v>McEvoy</v>
      </c>
      <c r="E6090" t="str">
        <f>IFERROR(__xludf.DUMMYFUNCTION("""COMPUTED_VALUE"""),"Tanner")</f>
        <v>Tanner</v>
      </c>
      <c r="F6090" t="str">
        <f>IFERROR(__xludf.DUMMYFUNCTION("""COMPUTED_VALUE"""),"SEA")</f>
        <v>SEA</v>
      </c>
      <c r="G6090">
        <f>IFERROR(__xludf.DUMMYFUNCTION("""COMPUTED_VALUE"""),17.5)</f>
        <v>17.5</v>
      </c>
    </row>
    <row r="6091">
      <c r="D6091" t="str">
        <f>IFERROR(__xludf.DUMMYFUNCTION("""COMPUTED_VALUE"""),"McFadden")</f>
        <v>McFadden</v>
      </c>
      <c r="E6091" t="str">
        <f>IFERROR(__xludf.DUMMYFUNCTION("""COMPUTED_VALUE"""),"Leon")</f>
        <v>Leon</v>
      </c>
      <c r="F6091" t="str">
        <f>IFERROR(__xludf.DUMMYFUNCTION("""COMPUTED_VALUE"""),"ATL")</f>
        <v>ATL</v>
      </c>
      <c r="G6091">
        <f>IFERROR(__xludf.DUMMYFUNCTION("""COMPUTED_VALUE"""),17.25)</f>
        <v>17.25</v>
      </c>
    </row>
    <row r="6092">
      <c r="D6092" t="str">
        <f>IFERROR(__xludf.DUMMYFUNCTION("""COMPUTED_VALUE"""),"McGee")</f>
        <v>McGee</v>
      </c>
      <c r="E6092" t="str">
        <f>IFERROR(__xludf.DUMMYFUNCTION("""COMPUTED_VALUE"""),"Jake")</f>
        <v>Jake</v>
      </c>
      <c r="F6092" t="str">
        <f>IFERROR(__xludf.DUMMYFUNCTION("""COMPUTED_VALUE"""),"PIT")</f>
        <v>PIT</v>
      </c>
      <c r="G6092">
        <f>IFERROR(__xludf.DUMMYFUNCTION("""COMPUTED_VALUE"""),15.75)</f>
        <v>15.75</v>
      </c>
    </row>
    <row r="6093">
      <c r="D6093" t="str">
        <f>IFERROR(__xludf.DUMMYFUNCTION("""COMPUTED_VALUE"""),"McGee")</f>
        <v>McGee</v>
      </c>
      <c r="E6093" t="str">
        <f>IFERROR(__xludf.DUMMYFUNCTION("""COMPUTED_VALUE"""),"Stacy")</f>
        <v>Stacy</v>
      </c>
      <c r="F6093" t="str">
        <f>IFERROR(__xludf.DUMMYFUNCTION("""COMPUTED_VALUE"""),"WAS")</f>
        <v>WAS</v>
      </c>
      <c r="G6093">
        <f>IFERROR(__xludf.DUMMYFUNCTION("""COMPUTED_VALUE"""),17.75)</f>
        <v>17.75</v>
      </c>
    </row>
    <row r="6094">
      <c r="D6094" t="str">
        <f>IFERROR(__xludf.DUMMYFUNCTION("""COMPUTED_VALUE"""),"McGill")</f>
        <v>McGill</v>
      </c>
      <c r="E6094" t="str">
        <f>IFERROR(__xludf.DUMMYFUNCTION("""COMPUTED_VALUE"""),"TY")</f>
        <v>TY</v>
      </c>
      <c r="F6094" t="str">
        <f>IFERROR(__xludf.DUMMYFUNCTION("""COMPUTED_VALUE"""),"KC")</f>
        <v>KC</v>
      </c>
      <c r="G6094">
        <f>IFERROR(__xludf.DUMMYFUNCTION("""COMPUTED_VALUE"""),18.5)</f>
        <v>18.5</v>
      </c>
    </row>
    <row r="6095">
      <c r="D6095" t="str">
        <f>IFERROR(__xludf.DUMMYFUNCTION("""COMPUTED_VALUE"""),"McGlinchey")</f>
        <v>McGlinchey</v>
      </c>
      <c r="E6095" t="str">
        <f>IFERROR(__xludf.DUMMYFUNCTION("""COMPUTED_VALUE"""),"Mike")</f>
        <v>Mike</v>
      </c>
      <c r="F6095" t="str">
        <f>IFERROR(__xludf.DUMMYFUNCTION("""COMPUTED_VALUE"""),"SF")</f>
        <v>SF</v>
      </c>
      <c r="G6095">
        <f>IFERROR(__xludf.DUMMYFUNCTION("""COMPUTED_VALUE"""),19.75)</f>
        <v>19.75</v>
      </c>
    </row>
    <row r="6096">
      <c r="D6096" t="str">
        <f>IFERROR(__xludf.DUMMYFUNCTION("""COMPUTED_VALUE"""),"McGough")</f>
        <v>McGough</v>
      </c>
      <c r="E6096" t="str">
        <f>IFERROR(__xludf.DUMMYFUNCTION("""COMPUTED_VALUE"""),"Alex")</f>
        <v>Alex</v>
      </c>
      <c r="F6096" t="str">
        <f>IFERROR(__xludf.DUMMYFUNCTION("""COMPUTED_VALUE"""),"SEA")</f>
        <v>SEA</v>
      </c>
      <c r="G6096">
        <f>IFERROR(__xludf.DUMMYFUNCTION("""COMPUTED_VALUE"""),16.25)</f>
        <v>16.25</v>
      </c>
    </row>
    <row r="6097">
      <c r="D6097" t="str">
        <f>IFERROR(__xludf.DUMMYFUNCTION("""COMPUTED_VALUE"""),"McGovern")</f>
        <v>McGovern</v>
      </c>
      <c r="E6097" t="str">
        <f>IFERROR(__xludf.DUMMYFUNCTION("""COMPUTED_VALUE"""),"Connor")</f>
        <v>Connor</v>
      </c>
      <c r="F6097" t="str">
        <f>IFERROR(__xludf.DUMMYFUNCTION("""COMPUTED_VALUE"""),"DEN")</f>
        <v>DEN</v>
      </c>
      <c r="G6097">
        <f>IFERROR(__xludf.DUMMYFUNCTION("""COMPUTED_VALUE"""),17.75)</f>
        <v>17.75</v>
      </c>
    </row>
    <row r="6098">
      <c r="D6098" t="str">
        <f>IFERROR(__xludf.DUMMYFUNCTION("""COMPUTED_VALUE"""),"McGrath")</f>
        <v>McGrath</v>
      </c>
      <c r="E6098" t="str">
        <f>IFERROR(__xludf.DUMMYFUNCTION("""COMPUTED_VALUE"""),"Sean")</f>
        <v>Sean</v>
      </c>
      <c r="F6098" t="str">
        <f>IFERROR(__xludf.DUMMYFUNCTION("""COMPUTED_VALUE"""),"DET")</f>
        <v>DET</v>
      </c>
      <c r="G6098">
        <f>IFERROR(__xludf.DUMMYFUNCTION("""COMPUTED_VALUE"""),17.5)</f>
        <v>17.5</v>
      </c>
    </row>
    <row r="6099">
      <c r="D6099" t="str">
        <f>IFERROR(__xludf.DUMMYFUNCTION("""COMPUTED_VALUE"""),"McGuire")</f>
        <v>McGuire</v>
      </c>
      <c r="E6099" t="str">
        <f>IFERROR(__xludf.DUMMYFUNCTION("""COMPUTED_VALUE"""),"Elijah")</f>
        <v>Elijah</v>
      </c>
      <c r="F6099" t="str">
        <f>IFERROR(__xludf.DUMMYFUNCTION("""COMPUTED_VALUE"""),"NYJ")</f>
        <v>NYJ</v>
      </c>
      <c r="G6099">
        <f>IFERROR(__xludf.DUMMYFUNCTION("""COMPUTED_VALUE"""),18.5)</f>
        <v>18.5</v>
      </c>
    </row>
    <row r="6100">
      <c r="D6100" t="str">
        <f>IFERROR(__xludf.DUMMYFUNCTION("""COMPUTED_VALUE"""),"McIntosh")</f>
        <v>McIntosh</v>
      </c>
      <c r="E6100" t="str">
        <f>IFERROR(__xludf.DUMMYFUNCTION("""COMPUTED_VALUE"""),"RJ")</f>
        <v>RJ</v>
      </c>
      <c r="F6100" t="str">
        <f>IFERROR(__xludf.DUMMYFUNCTION("""COMPUTED_VALUE"""),"NYG")</f>
        <v>NYG</v>
      </c>
      <c r="G6100">
        <f>IFERROR(__xludf.DUMMYFUNCTION("""COMPUTED_VALUE"""),16.75)</f>
        <v>16.75</v>
      </c>
    </row>
    <row r="6101">
      <c r="D6101" t="str">
        <f>IFERROR(__xludf.DUMMYFUNCTION("""COMPUTED_VALUE"""),"McKay")</f>
        <v>McKay</v>
      </c>
      <c r="E6101" t="str">
        <f>IFERROR(__xludf.DUMMYFUNCTION("""COMPUTED_VALUE"""),"Mekale")</f>
        <v>Mekale</v>
      </c>
      <c r="F6101" t="str">
        <f>IFERROR(__xludf.DUMMYFUNCTION("""COMPUTED_VALUE"""),"FA")</f>
        <v>FA</v>
      </c>
      <c r="G6101">
        <f>IFERROR(__xludf.DUMMYFUNCTION("""COMPUTED_VALUE"""),16.25)</f>
        <v>16.25</v>
      </c>
    </row>
    <row r="6102">
      <c r="D6102" t="str">
        <f>IFERROR(__xludf.DUMMYFUNCTION("""COMPUTED_VALUE"""),"McKenzie")</f>
        <v>McKenzie</v>
      </c>
      <c r="E6102" t="str">
        <f>IFERROR(__xludf.DUMMYFUNCTION("""COMPUTED_VALUE"""),"Isaiah")</f>
        <v>Isaiah</v>
      </c>
      <c r="F6102" t="str">
        <f>IFERROR(__xludf.DUMMYFUNCTION("""COMPUTED_VALUE"""),"DEN")</f>
        <v>DEN</v>
      </c>
      <c r="G6102">
        <f>IFERROR(__xludf.DUMMYFUNCTION("""COMPUTED_VALUE"""),17.25)</f>
        <v>17.25</v>
      </c>
    </row>
    <row r="6103">
      <c r="D6103" t="str">
        <f>IFERROR(__xludf.DUMMYFUNCTION("""COMPUTED_VALUE"""),"McKenzie")</f>
        <v>McKenzie</v>
      </c>
      <c r="E6103" t="str">
        <f>IFERROR(__xludf.DUMMYFUNCTION("""COMPUTED_VALUE"""),"Kahlil")</f>
        <v>Kahlil</v>
      </c>
      <c r="F6103" t="str">
        <f>IFERROR(__xludf.DUMMYFUNCTION("""COMPUTED_VALUE"""),"KC")</f>
        <v>KC</v>
      </c>
      <c r="G6103">
        <f>IFERROR(__xludf.DUMMYFUNCTION("""COMPUTED_VALUE"""),16.5)</f>
        <v>16.5</v>
      </c>
    </row>
    <row r="6104">
      <c r="D6104" t="str">
        <f>IFERROR(__xludf.DUMMYFUNCTION("""COMPUTED_VALUE"""),"McKinley")</f>
        <v>McKinley</v>
      </c>
      <c r="E6104" t="str">
        <f>IFERROR(__xludf.DUMMYFUNCTION("""COMPUTED_VALUE"""),"Takkarist")</f>
        <v>Takkarist</v>
      </c>
      <c r="F6104" t="str">
        <f>IFERROR(__xludf.DUMMYFUNCTION("""COMPUTED_VALUE"""),"ATL")</f>
        <v>ATL</v>
      </c>
      <c r="G6104">
        <f>IFERROR(__xludf.DUMMYFUNCTION("""COMPUTED_VALUE"""),19.25)</f>
        <v>19.25</v>
      </c>
    </row>
    <row r="6105">
      <c r="D6105" t="str">
        <f>IFERROR(__xludf.DUMMYFUNCTION("""COMPUTED_VALUE"""),"McKinney")</f>
        <v>McKinney</v>
      </c>
      <c r="E6105" t="str">
        <f>IFERROR(__xludf.DUMMYFUNCTION("""COMPUTED_VALUE"""),"Benardrick")</f>
        <v>Benardrick</v>
      </c>
      <c r="F6105" t="str">
        <f>IFERROR(__xludf.DUMMYFUNCTION("""COMPUTED_VALUE"""),"HOU")</f>
        <v>HOU</v>
      </c>
      <c r="G6105">
        <f>IFERROR(__xludf.DUMMYFUNCTION("""COMPUTED_VALUE"""),19.5)</f>
        <v>19.5</v>
      </c>
    </row>
    <row r="6106">
      <c r="D6106" t="str">
        <f>IFERROR(__xludf.DUMMYFUNCTION("""COMPUTED_VALUE"""),"McKinnon")</f>
        <v>McKinnon</v>
      </c>
      <c r="E6106" t="str">
        <f>IFERROR(__xludf.DUMMYFUNCTION("""COMPUTED_VALUE"""),"Jerick")</f>
        <v>Jerick</v>
      </c>
      <c r="F6106" t="str">
        <f>IFERROR(__xludf.DUMMYFUNCTION("""COMPUTED_VALUE"""),"SF")</f>
        <v>SF</v>
      </c>
      <c r="G6106">
        <f>IFERROR(__xludf.DUMMYFUNCTION("""COMPUTED_VALUE"""),19.75)</f>
        <v>19.75</v>
      </c>
    </row>
    <row r="6107">
      <c r="D6107" t="str">
        <f>IFERROR(__xludf.DUMMYFUNCTION("""COMPUTED_VALUE"""),"McKissic")</f>
        <v>McKissic</v>
      </c>
      <c r="E6107" t="str">
        <f>IFERROR(__xludf.DUMMYFUNCTION("""COMPUTED_VALUE"""),"JD")</f>
        <v>JD</v>
      </c>
      <c r="F6107" t="str">
        <f>IFERROR(__xludf.DUMMYFUNCTION("""COMPUTED_VALUE"""),"SEA")</f>
        <v>SEA</v>
      </c>
      <c r="G6107">
        <f>IFERROR(__xludf.DUMMYFUNCTION("""COMPUTED_VALUE"""),18.25)</f>
        <v>18.25</v>
      </c>
    </row>
    <row r="6108">
      <c r="D6108" t="str">
        <f>IFERROR(__xludf.DUMMYFUNCTION("""COMPUTED_VALUE"""),"McLendon")</f>
        <v>McLendon</v>
      </c>
      <c r="E6108" t="str">
        <f>IFERROR(__xludf.DUMMYFUNCTION("""COMPUTED_VALUE"""),"Steve")</f>
        <v>Steve</v>
      </c>
      <c r="F6108" t="str">
        <f>IFERROR(__xludf.DUMMYFUNCTION("""COMPUTED_VALUE"""),"NYJ")</f>
        <v>NYJ</v>
      </c>
      <c r="G6108">
        <f>IFERROR(__xludf.DUMMYFUNCTION("""COMPUTED_VALUE"""),19.75)</f>
        <v>19.75</v>
      </c>
    </row>
    <row r="6109">
      <c r="D6109" t="str">
        <f>IFERROR(__xludf.DUMMYFUNCTION("""COMPUTED_VALUE"""),"McLeod Jr")</f>
        <v>McLeod Jr</v>
      </c>
      <c r="E6109" t="str">
        <f>IFERROR(__xludf.DUMMYFUNCTION("""COMPUTED_VALUE"""),"Rodney")</f>
        <v>Rodney</v>
      </c>
      <c r="F6109" t="str">
        <f>IFERROR(__xludf.DUMMYFUNCTION("""COMPUTED_VALUE"""),"PHI")</f>
        <v>PHI</v>
      </c>
      <c r="G6109">
        <f>IFERROR(__xludf.DUMMYFUNCTION("""COMPUTED_VALUE"""),19.75)</f>
        <v>19.75</v>
      </c>
    </row>
    <row r="6110">
      <c r="D6110" t="str">
        <f>IFERROR(__xludf.DUMMYFUNCTION("""COMPUTED_VALUE"""),"McManis")</f>
        <v>McManis</v>
      </c>
      <c r="E6110" t="str">
        <f>IFERROR(__xludf.DUMMYFUNCTION("""COMPUTED_VALUE"""),"Sherrick")</f>
        <v>Sherrick</v>
      </c>
      <c r="F6110" t="str">
        <f>IFERROR(__xludf.DUMMYFUNCTION("""COMPUTED_VALUE"""),"CHI")</f>
        <v>CHI</v>
      </c>
      <c r="G6110">
        <f>IFERROR(__xludf.DUMMYFUNCTION("""COMPUTED_VALUE"""),16.75)</f>
        <v>16.75</v>
      </c>
    </row>
    <row r="6111">
      <c r="D6111" t="str">
        <f>IFERROR(__xludf.DUMMYFUNCTION("""COMPUTED_VALUE"""),"McManus")</f>
        <v>McManus</v>
      </c>
      <c r="E6111" t="str">
        <f>IFERROR(__xludf.DUMMYFUNCTION("""COMPUTED_VALUE"""),"Brandon")</f>
        <v>Brandon</v>
      </c>
      <c r="F6111" t="str">
        <f>IFERROR(__xludf.DUMMYFUNCTION("""COMPUTED_VALUE"""),"DEN")</f>
        <v>DEN</v>
      </c>
      <c r="G6111">
        <f>IFERROR(__xludf.DUMMYFUNCTION("""COMPUTED_VALUE"""),21.0)</f>
        <v>21</v>
      </c>
    </row>
    <row r="6112">
      <c r="D6112" t="str">
        <f>IFERROR(__xludf.DUMMYFUNCTION("""COMPUTED_VALUE"""),"McMillan")</f>
        <v>McMillan</v>
      </c>
      <c r="E6112" t="str">
        <f>IFERROR(__xludf.DUMMYFUNCTION("""COMPUTED_VALUE"""),"Raekwon")</f>
        <v>Raekwon</v>
      </c>
      <c r="F6112" t="str">
        <f>IFERROR(__xludf.DUMMYFUNCTION("""COMPUTED_VALUE"""),"MIA")</f>
        <v>MIA</v>
      </c>
      <c r="G6112">
        <f>IFERROR(__xludf.DUMMYFUNCTION("""COMPUTED_VALUE"""),19.5)</f>
        <v>19.5</v>
      </c>
    </row>
    <row r="6113">
      <c r="D6113" t="str">
        <f>IFERROR(__xludf.DUMMYFUNCTION("""COMPUTED_VALUE"""),"McNichols")</f>
        <v>McNichols</v>
      </c>
      <c r="E6113" t="str">
        <f>IFERROR(__xludf.DUMMYFUNCTION("""COMPUTED_VALUE"""),"Jeremy")</f>
        <v>Jeremy</v>
      </c>
      <c r="F6113" t="str">
        <f>IFERROR(__xludf.DUMMYFUNCTION("""COMPUTED_VALUE"""),"SF")</f>
        <v>SF</v>
      </c>
      <c r="G6113">
        <f>IFERROR(__xludf.DUMMYFUNCTION("""COMPUTED_VALUE"""),17.25)</f>
        <v>17.25</v>
      </c>
    </row>
    <row r="6114">
      <c r="D6114" t="str">
        <f>IFERROR(__xludf.DUMMYFUNCTION("""COMPUTED_VALUE"""),"McPhee")</f>
        <v>McPhee</v>
      </c>
      <c r="E6114" t="str">
        <f>IFERROR(__xludf.DUMMYFUNCTION("""COMPUTED_VALUE"""),"Pernell")</f>
        <v>Pernell</v>
      </c>
      <c r="F6114" t="str">
        <f>IFERROR(__xludf.DUMMYFUNCTION("""COMPUTED_VALUE"""),"WAS")</f>
        <v>WAS</v>
      </c>
      <c r="G6114">
        <f>IFERROR(__xludf.DUMMYFUNCTION("""COMPUTED_VALUE"""),20.25)</f>
        <v>20.25</v>
      </c>
    </row>
    <row r="6115">
      <c r="D6115" t="str">
        <f>IFERROR(__xludf.DUMMYFUNCTION("""COMPUTED_VALUE"""),"McQuay III")</f>
        <v>McQuay III</v>
      </c>
      <c r="E6115" t="str">
        <f>IFERROR(__xludf.DUMMYFUNCTION("""COMPUTED_VALUE"""),"Leon")</f>
        <v>Leon</v>
      </c>
      <c r="F6115" t="str">
        <f>IFERROR(__xludf.DUMMYFUNCTION("""COMPUTED_VALUE"""),"KC")</f>
        <v>KC</v>
      </c>
      <c r="G6115">
        <f>IFERROR(__xludf.DUMMYFUNCTION("""COMPUTED_VALUE"""),16.75)</f>
        <v>16.75</v>
      </c>
    </row>
    <row r="6116">
      <c r="D6116" t="str">
        <f>IFERROR(__xludf.DUMMYFUNCTION("""COMPUTED_VALUE"""),"McRae")</f>
        <v>McRae</v>
      </c>
      <c r="E6116" t="str">
        <f>IFERROR(__xludf.DUMMYFUNCTION("""COMPUTED_VALUE"""),"Tony")</f>
        <v>Tony</v>
      </c>
      <c r="F6116" t="str">
        <f>IFERROR(__xludf.DUMMYFUNCTION("""COMPUTED_VALUE"""),"CIN")</f>
        <v>CIN</v>
      </c>
      <c r="G6116">
        <f>IFERROR(__xludf.DUMMYFUNCTION("""COMPUTED_VALUE"""),16.25)</f>
        <v>16.25</v>
      </c>
    </row>
    <row r="6117">
      <c r="D6117" t="str">
        <f>IFERROR(__xludf.DUMMYFUNCTION("""COMPUTED_VALUE"""),"McTyer")</f>
        <v>McTyer</v>
      </c>
      <c r="E6117" t="str">
        <f>IFERROR(__xludf.DUMMYFUNCTION("""COMPUTED_VALUE"""),"Torry")</f>
        <v>Torry</v>
      </c>
      <c r="F6117" t="str">
        <f>IFERROR(__xludf.DUMMYFUNCTION("""COMPUTED_VALUE"""),"MIA")</f>
        <v>MIA</v>
      </c>
      <c r="G6117">
        <f>IFERROR(__xludf.DUMMYFUNCTION("""COMPUTED_VALUE"""),16.0)</f>
        <v>16</v>
      </c>
    </row>
    <row r="6118">
      <c r="D6118" t="str">
        <f>IFERROR(__xludf.DUMMYFUNCTION("""COMPUTED_VALUE"""),"Means")</f>
        <v>Means</v>
      </c>
      <c r="E6118" t="str">
        <f>IFERROR(__xludf.DUMMYFUNCTION("""COMPUTED_VALUE"""),"Steven")</f>
        <v>Steven</v>
      </c>
      <c r="F6118" t="str">
        <f>IFERROR(__xludf.DUMMYFUNCTION("""COMPUTED_VALUE"""),"PHI")</f>
        <v>PHI</v>
      </c>
      <c r="G6118">
        <f>IFERROR(__xludf.DUMMYFUNCTION("""COMPUTED_VALUE"""),16.5)</f>
        <v>16.5</v>
      </c>
    </row>
    <row r="6119">
      <c r="D6119" t="str">
        <f>IFERROR(__xludf.DUMMYFUNCTION("""COMPUTED_VALUE"""),"Mebane")</f>
        <v>Mebane</v>
      </c>
      <c r="E6119" t="str">
        <f>IFERROR(__xludf.DUMMYFUNCTION("""COMPUTED_VALUE"""),"Brandon")</f>
        <v>Brandon</v>
      </c>
      <c r="F6119" t="str">
        <f>IFERROR(__xludf.DUMMYFUNCTION("""COMPUTED_VALUE"""),"LAC")</f>
        <v>LAC</v>
      </c>
      <c r="G6119">
        <f>IFERROR(__xludf.DUMMYFUNCTION("""COMPUTED_VALUE"""),18.5)</f>
        <v>18.5</v>
      </c>
    </row>
    <row r="6120">
      <c r="D6120" t="str">
        <f>IFERROR(__xludf.DUMMYFUNCTION("""COMPUTED_VALUE"""),"Meder")</f>
        <v>Meder</v>
      </c>
      <c r="E6120" t="str">
        <f>IFERROR(__xludf.DUMMYFUNCTION("""COMPUTED_VALUE"""),"Jamie")</f>
        <v>Jamie</v>
      </c>
      <c r="F6120" t="str">
        <f>IFERROR(__xludf.DUMMYFUNCTION("""COMPUTED_VALUE"""),"CLE")</f>
        <v>CLE</v>
      </c>
      <c r="G6120">
        <f>IFERROR(__xludf.DUMMYFUNCTION("""COMPUTED_VALUE"""),18.0)</f>
        <v>18</v>
      </c>
    </row>
    <row r="6121">
      <c r="D6121" t="str">
        <f>IFERROR(__xludf.DUMMYFUNCTION("""COMPUTED_VALUE"""),"Melifonwu")</f>
        <v>Melifonwu</v>
      </c>
      <c r="E6121" t="str">
        <f>IFERROR(__xludf.DUMMYFUNCTION("""COMPUTED_VALUE"""),"Obi")</f>
        <v>Obi</v>
      </c>
      <c r="F6121" t="str">
        <f>IFERROR(__xludf.DUMMYFUNCTION("""COMPUTED_VALUE"""),"OAK")</f>
        <v>OAK</v>
      </c>
      <c r="G6121">
        <f>IFERROR(__xludf.DUMMYFUNCTION("""COMPUTED_VALUE"""),18.5)</f>
        <v>18.5</v>
      </c>
    </row>
    <row r="6122">
      <c r="D6122" t="str">
        <f>IFERROR(__xludf.DUMMYFUNCTION("""COMPUTED_VALUE"""),"Melvin")</f>
        <v>Melvin</v>
      </c>
      <c r="E6122" t="str">
        <f>IFERROR(__xludf.DUMMYFUNCTION("""COMPUTED_VALUE"""),"Rashaan")</f>
        <v>Rashaan</v>
      </c>
      <c r="F6122" t="str">
        <f>IFERROR(__xludf.DUMMYFUNCTION("""COMPUTED_VALUE"""),"OAK")</f>
        <v>OAK</v>
      </c>
      <c r="G6122">
        <f>IFERROR(__xludf.DUMMYFUNCTION("""COMPUTED_VALUE"""),20.75)</f>
        <v>20.75</v>
      </c>
    </row>
    <row r="6123">
      <c r="D6123" t="str">
        <f>IFERROR(__xludf.DUMMYFUNCTION("""COMPUTED_VALUE"""),"Mercilus")</f>
        <v>Mercilus</v>
      </c>
      <c r="E6123" t="str">
        <f>IFERROR(__xludf.DUMMYFUNCTION("""COMPUTED_VALUE"""),"Whitney")</f>
        <v>Whitney</v>
      </c>
      <c r="F6123" t="str">
        <f>IFERROR(__xludf.DUMMYFUNCTION("""COMPUTED_VALUE"""),"HOU")</f>
        <v>HOU</v>
      </c>
      <c r="G6123">
        <f>IFERROR(__xludf.DUMMYFUNCTION("""COMPUTED_VALUE"""),20.5)</f>
        <v>20.5</v>
      </c>
    </row>
    <row r="6124">
      <c r="D6124" t="str">
        <f>IFERROR(__xludf.DUMMYFUNCTION("""COMPUTED_VALUE"""),"Mercilus")</f>
        <v>Mercilus</v>
      </c>
      <c r="E6124" t="str">
        <f>IFERROR(__xludf.DUMMYFUNCTION("""COMPUTED_VALUE"""),"Whitney")</f>
        <v>Whitney</v>
      </c>
      <c r="F6124" t="str">
        <f>IFERROR(__xludf.DUMMYFUNCTION("""COMPUTED_VALUE"""),"HOU")</f>
        <v>HOU</v>
      </c>
      <c r="G6124">
        <f>IFERROR(__xludf.DUMMYFUNCTION("""COMPUTED_VALUE"""),21.75)</f>
        <v>21.75</v>
      </c>
    </row>
    <row r="6125">
      <c r="D6125" t="str">
        <f>IFERROR(__xludf.DUMMYFUNCTION("""COMPUTED_VALUE"""),"Meredith")</f>
        <v>Meredith</v>
      </c>
      <c r="E6125" t="str">
        <f>IFERROR(__xludf.DUMMYFUNCTION("""COMPUTED_VALUE"""),"Cameron")</f>
        <v>Cameron</v>
      </c>
      <c r="F6125" t="str">
        <f>IFERROR(__xludf.DUMMYFUNCTION("""COMPUTED_VALUE"""),"NO")</f>
        <v>NO</v>
      </c>
      <c r="G6125">
        <f>IFERROR(__xludf.DUMMYFUNCTION("""COMPUTED_VALUE"""),20.0)</f>
        <v>20</v>
      </c>
    </row>
    <row r="6126">
      <c r="D6126" t="str">
        <f>IFERROR(__xludf.DUMMYFUNCTION("""COMPUTED_VALUE"""),"Mewhort")</f>
        <v>Mewhort</v>
      </c>
      <c r="E6126" t="str">
        <f>IFERROR(__xludf.DUMMYFUNCTION("""COMPUTED_VALUE"""),"Jack")</f>
        <v>Jack</v>
      </c>
      <c r="F6126" t="str">
        <f>IFERROR(__xludf.DUMMYFUNCTION("""COMPUTED_VALUE"""),"IND")</f>
        <v>IND</v>
      </c>
      <c r="G6126">
        <f>IFERROR(__xludf.DUMMYFUNCTION("""COMPUTED_VALUE"""),19.25)</f>
        <v>19.25</v>
      </c>
    </row>
    <row r="6127">
      <c r="D6127" t="str">
        <f>IFERROR(__xludf.DUMMYFUNCTION("""COMPUTED_VALUE"""),"Michael")</f>
        <v>Michael</v>
      </c>
      <c r="E6127" t="str">
        <f>IFERROR(__xludf.DUMMYFUNCTION("""COMPUTED_VALUE"""),"Christine")</f>
        <v>Christine</v>
      </c>
      <c r="F6127" t="str">
        <f>IFERROR(__xludf.DUMMYFUNCTION("""COMPUTED_VALUE"""),"IND")</f>
        <v>IND</v>
      </c>
      <c r="G6127">
        <f>IFERROR(__xludf.DUMMYFUNCTION("""COMPUTED_VALUE"""),17.5)</f>
        <v>17.5</v>
      </c>
    </row>
    <row r="6128">
      <c r="D6128" t="str">
        <f>IFERROR(__xludf.DUMMYFUNCTION("""COMPUTED_VALUE"""),"Michel")</f>
        <v>Michel</v>
      </c>
      <c r="E6128" t="str">
        <f>IFERROR(__xludf.DUMMYFUNCTION("""COMPUTED_VALUE"""),"Sony")</f>
        <v>Sony</v>
      </c>
      <c r="F6128" t="str">
        <f>IFERROR(__xludf.DUMMYFUNCTION("""COMPUTED_VALUE"""),"NE")</f>
        <v>NE</v>
      </c>
      <c r="G6128">
        <f>IFERROR(__xludf.DUMMYFUNCTION("""COMPUTED_VALUE"""),19.25)</f>
        <v>19.25</v>
      </c>
    </row>
    <row r="6129">
      <c r="D6129" t="str">
        <f>IFERROR(__xludf.DUMMYFUNCTION("""COMPUTED_VALUE"""),"Mickens")</f>
        <v>Mickens</v>
      </c>
      <c r="E6129" t="str">
        <f>IFERROR(__xludf.DUMMYFUNCTION("""COMPUTED_VALUE"""),"Jaydon")</f>
        <v>Jaydon</v>
      </c>
      <c r="F6129" t="str">
        <f>IFERROR(__xludf.DUMMYFUNCTION("""COMPUTED_VALUE"""),"JAX")</f>
        <v>JAX</v>
      </c>
      <c r="G6129">
        <f>IFERROR(__xludf.DUMMYFUNCTION("""COMPUTED_VALUE"""),17.25)</f>
        <v>17.25</v>
      </c>
    </row>
    <row r="6130">
      <c r="D6130" t="str">
        <f>IFERROR(__xludf.DUMMYFUNCTION("""COMPUTED_VALUE"""),"Middleton")</f>
        <v>Middleton</v>
      </c>
      <c r="E6130" t="str">
        <f>IFERROR(__xludf.DUMMYFUNCTION("""COMPUTED_VALUE"""),"Doug")</f>
        <v>Doug</v>
      </c>
      <c r="F6130" t="str">
        <f>IFERROR(__xludf.DUMMYFUNCTION("""COMPUTED_VALUE"""),"NYJ")</f>
        <v>NYJ</v>
      </c>
      <c r="G6130">
        <f>IFERROR(__xludf.DUMMYFUNCTION("""COMPUTED_VALUE"""),15.75)</f>
        <v>15.75</v>
      </c>
    </row>
    <row r="6131">
      <c r="D6131" t="str">
        <f>IFERROR(__xludf.DUMMYFUNCTION("""COMPUTED_VALUE"""),"Mihalik")</f>
        <v>Mihalik</v>
      </c>
      <c r="E6131" t="str">
        <f>IFERROR(__xludf.DUMMYFUNCTION("""COMPUTED_VALUE"""),"Brian")</f>
        <v>Brian</v>
      </c>
      <c r="F6131" t="str">
        <f>IFERROR(__xludf.DUMMYFUNCTION("""COMPUTED_VALUE"""),"DET")</f>
        <v>DET</v>
      </c>
      <c r="G6131">
        <f>IFERROR(__xludf.DUMMYFUNCTION("""COMPUTED_VALUE"""),17.5)</f>
        <v>17.5</v>
      </c>
    </row>
    <row r="6132">
      <c r="D6132" t="str">
        <f>IFERROR(__xludf.DUMMYFUNCTION("""COMPUTED_VALUE"""),"Milano")</f>
        <v>Milano</v>
      </c>
      <c r="E6132" t="str">
        <f>IFERROR(__xludf.DUMMYFUNCTION("""COMPUTED_VALUE"""),"Matt")</f>
        <v>Matt</v>
      </c>
      <c r="F6132" t="str">
        <f>IFERROR(__xludf.DUMMYFUNCTION("""COMPUTED_VALUE"""),"BUF")</f>
        <v>BUF</v>
      </c>
      <c r="G6132">
        <f>IFERROR(__xludf.DUMMYFUNCTION("""COMPUTED_VALUE"""),18.25)</f>
        <v>18.25</v>
      </c>
    </row>
    <row r="6133">
      <c r="D6133" t="str">
        <f>IFERROR(__xludf.DUMMYFUNCTION("""COMPUTED_VALUE"""),"Miles")</f>
        <v>Miles</v>
      </c>
      <c r="E6133" t="str">
        <f>IFERROR(__xludf.DUMMYFUNCTION("""COMPUTED_VALUE"""),"Rontez")</f>
        <v>Rontez</v>
      </c>
      <c r="F6133" t="str">
        <f>IFERROR(__xludf.DUMMYFUNCTION("""COMPUTED_VALUE"""),"NYJ")</f>
        <v>NYJ</v>
      </c>
      <c r="G6133">
        <f>IFERROR(__xludf.DUMMYFUNCTION("""COMPUTED_VALUE"""),18.0)</f>
        <v>18</v>
      </c>
    </row>
    <row r="6134">
      <c r="D6134" t="str">
        <f>IFERROR(__xludf.DUMMYFUNCTION("""COMPUTED_VALUE"""),"Miller")</f>
        <v>Miller</v>
      </c>
      <c r="E6134" t="str">
        <f>IFERROR(__xludf.DUMMYFUNCTION("""COMPUTED_VALUE"""),"Anthony")</f>
        <v>Anthony</v>
      </c>
      <c r="F6134" t="str">
        <f>IFERROR(__xludf.DUMMYFUNCTION("""COMPUTED_VALUE"""),"CHI")</f>
        <v>CHI</v>
      </c>
      <c r="G6134">
        <f>IFERROR(__xludf.DUMMYFUNCTION("""COMPUTED_VALUE"""),19.0)</f>
        <v>19</v>
      </c>
    </row>
    <row r="6135">
      <c r="D6135" t="str">
        <f>IFERROR(__xludf.DUMMYFUNCTION("""COMPUTED_VALUE"""),"Miller")</f>
        <v>Miller</v>
      </c>
      <c r="E6135" t="str">
        <f>IFERROR(__xludf.DUMMYFUNCTION("""COMPUTED_VALUE"""),"Braxton")</f>
        <v>Braxton</v>
      </c>
      <c r="F6135" t="str">
        <f>IFERROR(__xludf.DUMMYFUNCTION("""COMPUTED_VALUE"""),"HOU")</f>
        <v>HOU</v>
      </c>
      <c r="G6135">
        <f>IFERROR(__xludf.DUMMYFUNCTION("""COMPUTED_VALUE"""),18.25)</f>
        <v>18.25</v>
      </c>
    </row>
    <row r="6136">
      <c r="D6136" t="str">
        <f>IFERROR(__xludf.DUMMYFUNCTION("""COMPUTED_VALUE"""),"Miller")</f>
        <v>Miller</v>
      </c>
      <c r="E6136" t="str">
        <f>IFERROR(__xludf.DUMMYFUNCTION("""COMPUTED_VALUE"""),"Harlan")</f>
        <v>Harlan</v>
      </c>
      <c r="F6136" t="str">
        <f>IFERROR(__xludf.DUMMYFUNCTION("""COMPUTED_VALUE"""),"FA")</f>
        <v>FA</v>
      </c>
      <c r="G6136">
        <f>IFERROR(__xludf.DUMMYFUNCTION("""COMPUTED_VALUE"""),16.5)</f>
        <v>16.5</v>
      </c>
    </row>
    <row r="6137">
      <c r="D6137" t="str">
        <f>IFERROR(__xludf.DUMMYFUNCTION("""COMPUTED_VALUE"""),"Miller")</f>
        <v>Miller</v>
      </c>
      <c r="E6137" t="str">
        <f>IFERROR(__xludf.DUMMYFUNCTION("""COMPUTED_VALUE"""),"John")</f>
        <v>John</v>
      </c>
      <c r="F6137" t="str">
        <f>IFERROR(__xludf.DUMMYFUNCTION("""COMPUTED_VALUE"""),"BUF")</f>
        <v>BUF</v>
      </c>
      <c r="G6137">
        <f>IFERROR(__xludf.DUMMYFUNCTION("""COMPUTED_VALUE"""),17.5)</f>
        <v>17.5</v>
      </c>
    </row>
    <row r="6138">
      <c r="D6138" t="str">
        <f>IFERROR(__xludf.DUMMYFUNCTION("""COMPUTED_VALUE"""),"Miller")</f>
        <v>Miller</v>
      </c>
      <c r="E6138" t="str">
        <f>IFERROR(__xludf.DUMMYFUNCTION("""COMPUTED_VALUE"""),"Kolton")</f>
        <v>Kolton</v>
      </c>
      <c r="F6138" t="str">
        <f>IFERROR(__xludf.DUMMYFUNCTION("""COMPUTED_VALUE"""),"OAK")</f>
        <v>OAK</v>
      </c>
      <c r="G6138">
        <f>IFERROR(__xludf.DUMMYFUNCTION("""COMPUTED_VALUE"""),19.5)</f>
        <v>19.5</v>
      </c>
    </row>
    <row r="6139">
      <c r="D6139" t="str">
        <f>IFERROR(__xludf.DUMMYFUNCTION("""COMPUTED_VALUE"""),"Miller")</f>
        <v>Miller</v>
      </c>
      <c r="E6139" t="str">
        <f>IFERROR(__xludf.DUMMYFUNCTION("""COMPUTED_VALUE"""),"Lamar")</f>
        <v>Lamar</v>
      </c>
      <c r="F6139" t="str">
        <f>IFERROR(__xludf.DUMMYFUNCTION("""COMPUTED_VALUE"""),"HOU")</f>
        <v>HOU</v>
      </c>
      <c r="G6139">
        <f>IFERROR(__xludf.DUMMYFUNCTION("""COMPUTED_VALUE"""),20.25)</f>
        <v>20.25</v>
      </c>
    </row>
    <row r="6140">
      <c r="D6140" t="str">
        <f>IFERROR(__xludf.DUMMYFUNCTION("""COMPUTED_VALUE"""),"Miller")</f>
        <v>Miller</v>
      </c>
      <c r="E6140" t="str">
        <f>IFERROR(__xludf.DUMMYFUNCTION("""COMPUTED_VALUE"""),"Lamar")</f>
        <v>Lamar</v>
      </c>
      <c r="F6140" t="str">
        <f>IFERROR(__xludf.DUMMYFUNCTION("""COMPUTED_VALUE"""),"MIA")</f>
        <v>MIA</v>
      </c>
      <c r="G6140">
        <f>IFERROR(__xludf.DUMMYFUNCTION("""COMPUTED_VALUE"""),21.75)</f>
        <v>21.75</v>
      </c>
    </row>
    <row r="6141">
      <c r="D6141" t="str">
        <f>IFERROR(__xludf.DUMMYFUNCTION("""COMPUTED_VALUE"""),"Miller")</f>
        <v>Miller</v>
      </c>
      <c r="E6141" t="str">
        <f>IFERROR(__xludf.DUMMYFUNCTION("""COMPUTED_VALUE"""),"Von")</f>
        <v>Von</v>
      </c>
      <c r="F6141" t="str">
        <f>IFERROR(__xludf.DUMMYFUNCTION("""COMPUTED_VALUE"""),"DEN")</f>
        <v>DEN</v>
      </c>
      <c r="G6141">
        <f>IFERROR(__xludf.DUMMYFUNCTION("""COMPUTED_VALUE"""),22.0)</f>
        <v>22</v>
      </c>
    </row>
    <row r="6142">
      <c r="D6142" t="str">
        <f>IFERROR(__xludf.DUMMYFUNCTION("""COMPUTED_VALUE"""),"Miller")</f>
        <v>Miller</v>
      </c>
      <c r="E6142" t="str">
        <f>IFERROR(__xludf.DUMMYFUNCTION("""COMPUTED_VALUE"""),"Zach")</f>
        <v>Zach</v>
      </c>
      <c r="F6142" t="str">
        <f>IFERROR(__xludf.DUMMYFUNCTION("""COMPUTED_VALUE"""),"CHI")</f>
        <v>CHI</v>
      </c>
      <c r="G6142">
        <f>IFERROR(__xludf.DUMMYFUNCTION("""COMPUTED_VALUE"""),20.5)</f>
        <v>20.5</v>
      </c>
    </row>
    <row r="6143">
      <c r="D6143" t="str">
        <f>IFERROR(__xludf.DUMMYFUNCTION("""COMPUTED_VALUE"""),"Milligan")</f>
        <v>Milligan</v>
      </c>
      <c r="E6143" t="str">
        <f>IFERROR(__xludf.DUMMYFUNCTION("""COMPUTED_VALUE"""),"Rolan")</f>
        <v>Rolan</v>
      </c>
      <c r="F6143" t="str">
        <f>IFERROR(__xludf.DUMMYFUNCTION("""COMPUTED_VALUE"""),"DET")</f>
        <v>DET</v>
      </c>
      <c r="G6143">
        <f>IFERROR(__xludf.DUMMYFUNCTION("""COMPUTED_VALUE"""),15.5)</f>
        <v>15.5</v>
      </c>
    </row>
    <row r="6144">
      <c r="D6144" t="str">
        <f>IFERROR(__xludf.DUMMYFUNCTION("""COMPUTED_VALUE"""),"Mills")</f>
        <v>Mills</v>
      </c>
      <c r="E6144" t="str">
        <f>IFERROR(__xludf.DUMMYFUNCTION("""COMPUTED_VALUE"""),"Jalen")</f>
        <v>Jalen</v>
      </c>
      <c r="F6144" t="str">
        <f>IFERROR(__xludf.DUMMYFUNCTION("""COMPUTED_VALUE"""),"PHI")</f>
        <v>PHI</v>
      </c>
      <c r="G6144">
        <f>IFERROR(__xludf.DUMMYFUNCTION("""COMPUTED_VALUE"""),20.25)</f>
        <v>20.25</v>
      </c>
    </row>
    <row r="6145">
      <c r="D6145" t="str">
        <f>IFERROR(__xludf.DUMMYFUNCTION("""COMPUTED_VALUE"""),"Mills")</f>
        <v>Mills</v>
      </c>
      <c r="E6145" t="str">
        <f>IFERROR(__xludf.DUMMYFUNCTION("""COMPUTED_VALUE"""),"Jordan")</f>
        <v>Jordan</v>
      </c>
      <c r="F6145" t="str">
        <f>IFERROR(__xludf.DUMMYFUNCTION("""COMPUTED_VALUE"""),"BUF")</f>
        <v>BUF</v>
      </c>
      <c r="G6145">
        <f>IFERROR(__xludf.DUMMYFUNCTION("""COMPUTED_VALUE"""),19.25)</f>
        <v>19.25</v>
      </c>
    </row>
    <row r="6146">
      <c r="D6146" t="str">
        <f>IFERROR(__xludf.DUMMYFUNCTION("""COMPUTED_VALUE"""),"Milton")</f>
        <v>Milton</v>
      </c>
      <c r="E6146" t="str">
        <f>IFERROR(__xludf.DUMMYFUNCTION("""COMPUTED_VALUE"""),"Chris")</f>
        <v>Chris</v>
      </c>
      <c r="F6146" t="str">
        <f>IFERROR(__xludf.DUMMYFUNCTION("""COMPUTED_VALUE"""),"IND")</f>
        <v>IND</v>
      </c>
      <c r="G6146">
        <f>IFERROR(__xludf.DUMMYFUNCTION("""COMPUTED_VALUE"""),15.5)</f>
        <v>15.5</v>
      </c>
    </row>
    <row r="6147">
      <c r="D6147" t="str">
        <f>IFERROR(__xludf.DUMMYFUNCTION("""COMPUTED_VALUE"""),"Mingo")</f>
        <v>Mingo</v>
      </c>
      <c r="E6147" t="str">
        <f>IFERROR(__xludf.DUMMYFUNCTION("""COMPUTED_VALUE"""),"Barkevious")</f>
        <v>Barkevious</v>
      </c>
      <c r="F6147" t="str">
        <f>IFERROR(__xludf.DUMMYFUNCTION("""COMPUTED_VALUE"""),"SEA")</f>
        <v>SEA</v>
      </c>
      <c r="G6147">
        <f>IFERROR(__xludf.DUMMYFUNCTION("""COMPUTED_VALUE"""),20.25)</f>
        <v>20.25</v>
      </c>
    </row>
    <row r="6148">
      <c r="D6148" t="str">
        <f>IFERROR(__xludf.DUMMYFUNCTION("""COMPUTED_VALUE"""),"Minter")</f>
        <v>Minter</v>
      </c>
      <c r="E6148" t="str">
        <f>IFERROR(__xludf.DUMMYFUNCTION("""COMPUTED_VALUE"""),"Kevin")</f>
        <v>Kevin</v>
      </c>
      <c r="F6148" t="str">
        <f>IFERROR(__xludf.DUMMYFUNCTION("""COMPUTED_VALUE"""),"NYJ")</f>
        <v>NYJ</v>
      </c>
      <c r="G6148">
        <f>IFERROR(__xludf.DUMMYFUNCTION("""COMPUTED_VALUE"""),18.5)</f>
        <v>18.5</v>
      </c>
    </row>
    <row r="6149">
      <c r="D6149" t="str">
        <f>IFERROR(__xludf.DUMMYFUNCTION("""COMPUTED_VALUE"""),"Mitchell")</f>
        <v>Mitchell</v>
      </c>
      <c r="E6149" t="str">
        <f>IFERROR(__xludf.DUMMYFUNCTION("""COMPUTED_VALUE"""),"Earl")</f>
        <v>Earl</v>
      </c>
      <c r="F6149" t="str">
        <f>IFERROR(__xludf.DUMMYFUNCTION("""COMPUTED_VALUE"""),"SF")</f>
        <v>SF</v>
      </c>
      <c r="G6149">
        <f>IFERROR(__xludf.DUMMYFUNCTION("""COMPUTED_VALUE"""),17.25)</f>
        <v>17.25</v>
      </c>
    </row>
    <row r="6150">
      <c r="D6150" t="str">
        <f>IFERROR(__xludf.DUMMYFUNCTION("""COMPUTED_VALUE"""),"Mitchell")</f>
        <v>Mitchell</v>
      </c>
      <c r="E6150" t="str">
        <f>IFERROR(__xludf.DUMMYFUNCTION("""COMPUTED_VALUE"""),"Malcolm")</f>
        <v>Malcolm</v>
      </c>
      <c r="F6150" t="str">
        <f>IFERROR(__xludf.DUMMYFUNCTION("""COMPUTED_VALUE"""),"NE")</f>
        <v>NE</v>
      </c>
      <c r="G6150">
        <f>IFERROR(__xludf.DUMMYFUNCTION("""COMPUTED_VALUE"""),18.75)</f>
        <v>18.75</v>
      </c>
    </row>
    <row r="6151">
      <c r="D6151" t="str">
        <f>IFERROR(__xludf.DUMMYFUNCTION("""COMPUTED_VALUE"""),"Mitchell")</f>
        <v>Mitchell</v>
      </c>
      <c r="E6151" t="str">
        <f>IFERROR(__xludf.DUMMYFUNCTION("""COMPUTED_VALUE"""),"Mike")</f>
        <v>Mike</v>
      </c>
      <c r="F6151" t="str">
        <f>IFERROR(__xludf.DUMMYFUNCTION("""COMPUTED_VALUE"""),"FA")</f>
        <v>FA</v>
      </c>
      <c r="G6151">
        <f>IFERROR(__xludf.DUMMYFUNCTION("""COMPUTED_VALUE"""),15.25)</f>
        <v>15.25</v>
      </c>
    </row>
    <row r="6152">
      <c r="D6152" t="str">
        <f>IFERROR(__xludf.DUMMYFUNCTION("""COMPUTED_VALUE"""),"Mitchell")</f>
        <v>Mitchell</v>
      </c>
      <c r="E6152" t="str">
        <f>IFERROR(__xludf.DUMMYFUNCTION("""COMPUTED_VALUE"""),"Terrance")</f>
        <v>Terrance</v>
      </c>
      <c r="F6152" t="str">
        <f>IFERROR(__xludf.DUMMYFUNCTION("""COMPUTED_VALUE"""),"CLE")</f>
        <v>CLE</v>
      </c>
      <c r="G6152">
        <f>IFERROR(__xludf.DUMMYFUNCTION("""COMPUTED_VALUE"""),18.5)</f>
        <v>18.5</v>
      </c>
    </row>
    <row r="6153">
      <c r="D6153" t="str">
        <f>IFERROR(__xludf.DUMMYFUNCTION("""COMPUTED_VALUE"""),"Mixon")</f>
        <v>Mixon</v>
      </c>
      <c r="E6153" t="str">
        <f>IFERROR(__xludf.DUMMYFUNCTION("""COMPUTED_VALUE"""),"Joe")</f>
        <v>Joe</v>
      </c>
      <c r="F6153" t="str">
        <f>IFERROR(__xludf.DUMMYFUNCTION("""COMPUTED_VALUE"""),"CIN")</f>
        <v>CIN</v>
      </c>
      <c r="G6153">
        <f>IFERROR(__xludf.DUMMYFUNCTION("""COMPUTED_VALUE"""),20.0)</f>
        <v>20</v>
      </c>
    </row>
    <row r="6154">
      <c r="D6154" t="str">
        <f>IFERROR(__xludf.DUMMYFUNCTION("""COMPUTED_VALUE"""),"Mizzell")</f>
        <v>Mizzell</v>
      </c>
      <c r="E6154" t="str">
        <f>IFERROR(__xludf.DUMMYFUNCTION("""COMPUTED_VALUE"""),"Taquan")</f>
        <v>Taquan</v>
      </c>
      <c r="F6154" t="str">
        <f>IFERROR(__xludf.DUMMYFUNCTION("""COMPUTED_VALUE"""),"CHI")</f>
        <v>CHI</v>
      </c>
      <c r="G6154">
        <f>IFERROR(__xludf.DUMMYFUNCTION("""COMPUTED_VALUE"""),16.0)</f>
        <v>16</v>
      </c>
    </row>
    <row r="6155">
      <c r="D6155" t="str">
        <f>IFERROR(__xludf.DUMMYFUNCTION("""COMPUTED_VALUE"""),"Moncrief")</f>
        <v>Moncrief</v>
      </c>
      <c r="E6155" t="str">
        <f>IFERROR(__xludf.DUMMYFUNCTION("""COMPUTED_VALUE"""),"Donte")</f>
        <v>Donte</v>
      </c>
      <c r="F6155" t="str">
        <f>IFERROR(__xludf.DUMMYFUNCTION("""COMPUTED_VALUE"""),"JAX")</f>
        <v>JAX</v>
      </c>
      <c r="G6155">
        <f>IFERROR(__xludf.DUMMYFUNCTION("""COMPUTED_VALUE"""),19.25)</f>
        <v>19.25</v>
      </c>
    </row>
    <row r="6156">
      <c r="D6156" t="str">
        <f>IFERROR(__xludf.DUMMYFUNCTION("""COMPUTED_VALUE"""),"Montgomery")</f>
        <v>Montgomery</v>
      </c>
      <c r="E6156" t="str">
        <f>IFERROR(__xludf.DUMMYFUNCTION("""COMPUTED_VALUE"""),"Ty")</f>
        <v>Ty</v>
      </c>
      <c r="F6156" t="str">
        <f>IFERROR(__xludf.DUMMYFUNCTION("""COMPUTED_VALUE"""),"GB")</f>
        <v>GB</v>
      </c>
      <c r="G6156">
        <f>IFERROR(__xludf.DUMMYFUNCTION("""COMPUTED_VALUE"""),19.75)</f>
        <v>19.75</v>
      </c>
    </row>
    <row r="6157">
      <c r="D6157" t="str">
        <f>IFERROR(__xludf.DUMMYFUNCTION("""COMPUTED_VALUE"""),"Moore")</f>
        <v>Moore</v>
      </c>
      <c r="E6157" t="str">
        <f>IFERROR(__xludf.DUMMYFUNCTION("""COMPUTED_VALUE"""),"Chris")</f>
        <v>Chris</v>
      </c>
      <c r="F6157" t="str">
        <f>IFERROR(__xludf.DUMMYFUNCTION("""COMPUTED_VALUE"""),"BAL")</f>
        <v>BAL</v>
      </c>
      <c r="G6157">
        <f>IFERROR(__xludf.DUMMYFUNCTION("""COMPUTED_VALUE"""),17.5)</f>
        <v>17.5</v>
      </c>
    </row>
    <row r="6158">
      <c r="D6158" t="str">
        <f>IFERROR(__xludf.DUMMYFUNCTION("""COMPUTED_VALUE"""),"Moore")</f>
        <v>Moore</v>
      </c>
      <c r="E6158" t="str">
        <f>IFERROR(__xludf.DUMMYFUNCTION("""COMPUTED_VALUE"""),"Corey")</f>
        <v>Corey</v>
      </c>
      <c r="F6158" t="str">
        <f>IFERROR(__xludf.DUMMYFUNCTION("""COMPUTED_VALUE"""),"HOU")</f>
        <v>HOU</v>
      </c>
      <c r="G6158">
        <f>IFERROR(__xludf.DUMMYFUNCTION("""COMPUTED_VALUE"""),19.0)</f>
        <v>19</v>
      </c>
    </row>
    <row r="6159">
      <c r="D6159" t="str">
        <f>IFERROR(__xludf.DUMMYFUNCTION("""COMPUTED_VALUE"""),"Moore")</f>
        <v>Moore</v>
      </c>
      <c r="E6159" t="str">
        <f>IFERROR(__xludf.DUMMYFUNCTION("""COMPUTED_VALUE"""),"David")</f>
        <v>David</v>
      </c>
      <c r="F6159" t="str">
        <f>IFERROR(__xludf.DUMMYFUNCTION("""COMPUTED_VALUE"""),"SEA")</f>
        <v>SEA</v>
      </c>
      <c r="G6159">
        <f>IFERROR(__xludf.DUMMYFUNCTION("""COMPUTED_VALUE"""),17.0)</f>
        <v>17</v>
      </c>
    </row>
    <row r="6160">
      <c r="D6160" t="str">
        <f>IFERROR(__xludf.DUMMYFUNCTION("""COMPUTED_VALUE"""),"Moore")</f>
        <v>Moore</v>
      </c>
      <c r="E6160" t="str">
        <f>IFERROR(__xludf.DUMMYFUNCTION("""COMPUTED_VALUE"""),"DJ")</f>
        <v>DJ</v>
      </c>
      <c r="F6160" t="str">
        <f>IFERROR(__xludf.DUMMYFUNCTION("""COMPUTED_VALUE"""),"CAR")</f>
        <v>CAR</v>
      </c>
      <c r="G6160">
        <f>IFERROR(__xludf.DUMMYFUNCTION("""COMPUTED_VALUE"""),19.25)</f>
        <v>19.25</v>
      </c>
    </row>
    <row r="6161">
      <c r="D6161" t="str">
        <f>IFERROR(__xludf.DUMMYFUNCTION("""COMPUTED_VALUE"""),"Moore")</f>
        <v>Moore</v>
      </c>
      <c r="E6161" t="str">
        <f>IFERROR(__xludf.DUMMYFUNCTION("""COMPUTED_VALUE"""),"DJ")</f>
        <v>DJ</v>
      </c>
      <c r="F6161" t="str">
        <f>IFERROR(__xludf.DUMMYFUNCTION("""COMPUTED_VALUE"""),"CAR")</f>
        <v>CAR</v>
      </c>
      <c r="G6161">
        <f>IFERROR(__xludf.DUMMYFUNCTION("""COMPUTED_VALUE"""),21.75)</f>
        <v>21.75</v>
      </c>
    </row>
    <row r="6162">
      <c r="D6162" t="str">
        <f>IFERROR(__xludf.DUMMYFUNCTION("""COMPUTED_VALUE"""),"Moore")</f>
        <v>Moore</v>
      </c>
      <c r="E6162" t="str">
        <f>IFERROR(__xludf.DUMMYFUNCTION("""COMPUTED_VALUE"""),"JMon")</f>
        <v>JMon</v>
      </c>
      <c r="F6162" t="str">
        <f>IFERROR(__xludf.DUMMYFUNCTION("""COMPUTED_VALUE"""),"GB")</f>
        <v>GB</v>
      </c>
      <c r="G6162">
        <f>IFERROR(__xludf.DUMMYFUNCTION("""COMPUTED_VALUE"""),17.75)</f>
        <v>17.75</v>
      </c>
    </row>
    <row r="6163">
      <c r="D6163" t="str">
        <f>IFERROR(__xludf.DUMMYFUNCTION("""COMPUTED_VALUE"""),"Moore")</f>
        <v>Moore</v>
      </c>
      <c r="E6163" t="str">
        <f>IFERROR(__xludf.DUMMYFUNCTION("""COMPUTED_VALUE"""),"Kamrin")</f>
        <v>Kamrin</v>
      </c>
      <c r="F6163" t="str">
        <f>IFERROR(__xludf.DUMMYFUNCTION("""COMPUTED_VALUE"""),"NO")</f>
        <v>NO</v>
      </c>
      <c r="G6163">
        <f>IFERROR(__xludf.DUMMYFUNCTION("""COMPUTED_VALUE"""),17.0)</f>
        <v>17</v>
      </c>
    </row>
    <row r="6164">
      <c r="D6164" t="str">
        <f>IFERROR(__xludf.DUMMYFUNCTION("""COMPUTED_VALUE"""),"Moore")</f>
        <v>Moore</v>
      </c>
      <c r="E6164" t="str">
        <f>IFERROR(__xludf.DUMMYFUNCTION("""COMPUTED_VALUE"""),"Matt")</f>
        <v>Matt</v>
      </c>
      <c r="F6164" t="str">
        <f>IFERROR(__xludf.DUMMYFUNCTION("""COMPUTED_VALUE"""),"FA")</f>
        <v>FA</v>
      </c>
      <c r="G6164">
        <f>IFERROR(__xludf.DUMMYFUNCTION("""COMPUTED_VALUE"""),15.25)</f>
        <v>15.25</v>
      </c>
    </row>
    <row r="6165">
      <c r="D6165" t="str">
        <f>IFERROR(__xludf.DUMMYFUNCTION("""COMPUTED_VALUE"""),"Moore")</f>
        <v>Moore</v>
      </c>
      <c r="E6165" t="str">
        <f>IFERROR(__xludf.DUMMYFUNCTION("""COMPUTED_VALUE"""),"Steven")</f>
        <v>Steven</v>
      </c>
      <c r="F6165" t="str">
        <f>IFERROR(__xludf.DUMMYFUNCTION("""COMPUTED_VALUE"""),"FA")</f>
        <v>FA</v>
      </c>
      <c r="G6165">
        <f>IFERROR(__xludf.DUMMYFUNCTION("""COMPUTED_VALUE"""),15.75)</f>
        <v>15.75</v>
      </c>
    </row>
    <row r="6166">
      <c r="D6166" t="str">
        <f>IFERROR(__xludf.DUMMYFUNCTION("""COMPUTED_VALUE"""),"Moore")</f>
        <v>Moore</v>
      </c>
      <c r="E6166" t="str">
        <f>IFERROR(__xludf.DUMMYFUNCTION("""COMPUTED_VALUE"""),"Tarvarius")</f>
        <v>Tarvarius</v>
      </c>
      <c r="F6166" t="str">
        <f>IFERROR(__xludf.DUMMYFUNCTION("""COMPUTED_VALUE"""),"SF")</f>
        <v>SF</v>
      </c>
      <c r="G6166">
        <f>IFERROR(__xludf.DUMMYFUNCTION("""COMPUTED_VALUE"""),17.75)</f>
        <v>17.75</v>
      </c>
    </row>
    <row r="6167">
      <c r="D6167" t="str">
        <f>IFERROR(__xludf.DUMMYFUNCTION("""COMPUTED_VALUE"""),"Moore")</f>
        <v>Moore</v>
      </c>
      <c r="E6167" t="str">
        <f>IFERROR(__xludf.DUMMYFUNCTION("""COMPUTED_VALUE"""),"Zach")</f>
        <v>Zach</v>
      </c>
      <c r="F6167" t="str">
        <f>IFERROR(__xludf.DUMMYFUNCTION("""COMPUTED_VALUE"""),"CAR")</f>
        <v>CAR</v>
      </c>
      <c r="G6167">
        <f>IFERROR(__xludf.DUMMYFUNCTION("""COMPUTED_VALUE"""),16.75)</f>
        <v>16.75</v>
      </c>
    </row>
    <row r="6168">
      <c r="D6168" t="str">
        <f>IFERROR(__xludf.DUMMYFUNCTION("""COMPUTED_VALUE"""),"Moore II")</f>
        <v>Moore II</v>
      </c>
      <c r="E6168" t="str">
        <f>IFERROR(__xludf.DUMMYFUNCTION("""COMPUTED_VALUE"""),"Kenny")</f>
        <v>Kenny</v>
      </c>
      <c r="F6168" t="str">
        <f>IFERROR(__xludf.DUMMYFUNCTION("""COMPUTED_VALUE"""),"IND")</f>
        <v>IND</v>
      </c>
      <c r="G6168">
        <f>IFERROR(__xludf.DUMMYFUNCTION("""COMPUTED_VALUE"""),17.0)</f>
        <v>17</v>
      </c>
    </row>
    <row r="6169">
      <c r="D6169" t="str">
        <f>IFERROR(__xludf.DUMMYFUNCTION("""COMPUTED_VALUE"""),"Moreau")</f>
        <v>Moreau</v>
      </c>
      <c r="E6169" t="str">
        <f>IFERROR(__xludf.DUMMYFUNCTION("""COMPUTED_VALUE"""),"Fabian")</f>
        <v>Fabian</v>
      </c>
      <c r="F6169" t="str">
        <f>IFERROR(__xludf.DUMMYFUNCTION("""COMPUTED_VALUE"""),"WAS")</f>
        <v>WAS</v>
      </c>
      <c r="G6169">
        <f>IFERROR(__xludf.DUMMYFUNCTION("""COMPUTED_VALUE"""),18.25)</f>
        <v>18.25</v>
      </c>
    </row>
    <row r="6170">
      <c r="D6170" t="str">
        <f>IFERROR(__xludf.DUMMYFUNCTION("""COMPUTED_VALUE"""),"Morgan")</f>
        <v>Morgan</v>
      </c>
      <c r="E6170" t="str">
        <f>IFERROR(__xludf.DUMMYFUNCTION("""COMPUTED_VALUE"""),"Derrick")</f>
        <v>Derrick</v>
      </c>
      <c r="F6170" t="str">
        <f>IFERROR(__xludf.DUMMYFUNCTION("""COMPUTED_VALUE"""),"TEN")</f>
        <v>TEN</v>
      </c>
      <c r="G6170">
        <f>IFERROR(__xludf.DUMMYFUNCTION("""COMPUTED_VALUE"""),19.0)</f>
        <v>19</v>
      </c>
    </row>
    <row r="6171">
      <c r="D6171" t="str">
        <f>IFERROR(__xludf.DUMMYFUNCTION("""COMPUTED_VALUE"""),"Morgan")</f>
        <v>Morgan</v>
      </c>
      <c r="E6171" t="str">
        <f>IFERROR(__xludf.DUMMYFUNCTION("""COMPUTED_VALUE"""),"Jordan")</f>
        <v>Jordan</v>
      </c>
      <c r="F6171" t="str">
        <f>IFERROR(__xludf.DUMMYFUNCTION("""COMPUTED_VALUE"""),"CHI")</f>
        <v>CHI</v>
      </c>
      <c r="G6171">
        <f>IFERROR(__xludf.DUMMYFUNCTION("""COMPUTED_VALUE"""),18.0)</f>
        <v>18</v>
      </c>
    </row>
    <row r="6172">
      <c r="D6172" t="str">
        <f>IFERROR(__xludf.DUMMYFUNCTION("""COMPUTED_VALUE"""),"Morgan II")</f>
        <v>Morgan II</v>
      </c>
      <c r="E6172" t="str">
        <f>IFERROR(__xludf.DUMMYFUNCTION("""COMPUTED_VALUE"""),"David")</f>
        <v>David</v>
      </c>
      <c r="F6172" t="str">
        <f>IFERROR(__xludf.DUMMYFUNCTION("""COMPUTED_VALUE"""),"MIN")</f>
        <v>MIN</v>
      </c>
      <c r="G6172">
        <f>IFERROR(__xludf.DUMMYFUNCTION("""COMPUTED_VALUE"""),18.25)</f>
        <v>18.25</v>
      </c>
    </row>
    <row r="6173">
      <c r="D6173" t="str">
        <f>IFERROR(__xludf.DUMMYFUNCTION("""COMPUTED_VALUE"""),"Morris")</f>
        <v>Morris</v>
      </c>
      <c r="E6173" t="str">
        <f>IFERROR(__xludf.DUMMYFUNCTION("""COMPUTED_VALUE"""),"Alfred")</f>
        <v>Alfred</v>
      </c>
      <c r="F6173" t="str">
        <f>IFERROR(__xludf.DUMMYFUNCTION("""COMPUTED_VALUE"""),"FA")</f>
        <v>FA</v>
      </c>
      <c r="G6173">
        <f>IFERROR(__xludf.DUMMYFUNCTION("""COMPUTED_VALUE"""),15.25)</f>
        <v>15.25</v>
      </c>
    </row>
    <row r="6174">
      <c r="D6174" t="str">
        <f>IFERROR(__xludf.DUMMYFUNCTION("""COMPUTED_VALUE"""),"Morris")</f>
        <v>Morris</v>
      </c>
      <c r="E6174" t="str">
        <f>IFERROR(__xludf.DUMMYFUNCTION("""COMPUTED_VALUE"""),"Stephen")</f>
        <v>Stephen</v>
      </c>
      <c r="F6174" t="str">
        <f>IFERROR(__xludf.DUMMYFUNCTION("""COMPUTED_VALUE"""),"HOU")</f>
        <v>HOU</v>
      </c>
      <c r="G6174">
        <f>IFERROR(__xludf.DUMMYFUNCTION("""COMPUTED_VALUE"""),16.25)</f>
        <v>16.25</v>
      </c>
    </row>
    <row r="6175">
      <c r="D6175" t="str">
        <f>IFERROR(__xludf.DUMMYFUNCTION("""COMPUTED_VALUE"""),"Morrison")</f>
        <v>Morrison</v>
      </c>
      <c r="E6175" t="str">
        <f>IFERROR(__xludf.DUMMYFUNCTION("""COMPUTED_VALUE"""),"Antonio")</f>
        <v>Antonio</v>
      </c>
      <c r="F6175" t="str">
        <f>IFERROR(__xludf.DUMMYFUNCTION("""COMPUTED_VALUE"""),"IND")</f>
        <v>IND</v>
      </c>
      <c r="G6175">
        <f>IFERROR(__xludf.DUMMYFUNCTION("""COMPUTED_VALUE"""),17.0)</f>
        <v>17</v>
      </c>
    </row>
    <row r="6176">
      <c r="D6176" t="str">
        <f>IFERROR(__xludf.DUMMYFUNCTION("""COMPUTED_VALUE"""),"Morrow")</f>
        <v>Morrow</v>
      </c>
      <c r="E6176" t="str">
        <f>IFERROR(__xludf.DUMMYFUNCTION("""COMPUTED_VALUE"""),"Nicholas")</f>
        <v>Nicholas</v>
      </c>
      <c r="F6176" t="str">
        <f>IFERROR(__xludf.DUMMYFUNCTION("""COMPUTED_VALUE"""),"OAK")</f>
        <v>OAK</v>
      </c>
      <c r="G6176">
        <f>IFERROR(__xludf.DUMMYFUNCTION("""COMPUTED_VALUE"""),17.5)</f>
        <v>17.5</v>
      </c>
    </row>
    <row r="6177">
      <c r="D6177" t="str">
        <f>IFERROR(__xludf.DUMMYFUNCTION("""COMPUTED_VALUE"""),"Morse")</f>
        <v>Morse</v>
      </c>
      <c r="E6177" t="str">
        <f>IFERROR(__xludf.DUMMYFUNCTION("""COMPUTED_VALUE"""),"Mitch")</f>
        <v>Mitch</v>
      </c>
      <c r="F6177" t="str">
        <f>IFERROR(__xludf.DUMMYFUNCTION("""COMPUTED_VALUE"""),"KC")</f>
        <v>KC</v>
      </c>
      <c r="G6177">
        <f>IFERROR(__xludf.DUMMYFUNCTION("""COMPUTED_VALUE"""),19.0)</f>
        <v>19</v>
      </c>
    </row>
    <row r="6178">
      <c r="D6178" t="str">
        <f>IFERROR(__xludf.DUMMYFUNCTION("""COMPUTED_VALUE"""),"Morstead")</f>
        <v>Morstead</v>
      </c>
      <c r="E6178" t="str">
        <f>IFERROR(__xludf.DUMMYFUNCTION("""COMPUTED_VALUE"""),"Thomas")</f>
        <v>Thomas</v>
      </c>
      <c r="F6178" t="str">
        <f>IFERROR(__xludf.DUMMYFUNCTION("""COMPUTED_VALUE"""),"NO")</f>
        <v>NO</v>
      </c>
      <c r="G6178">
        <f>IFERROR(__xludf.DUMMYFUNCTION("""COMPUTED_VALUE"""),21.25)</f>
        <v>21.25</v>
      </c>
    </row>
    <row r="6179">
      <c r="D6179" t="str">
        <f>IFERROR(__xludf.DUMMYFUNCTION("""COMPUTED_VALUE"""),"Moses")</f>
        <v>Moses</v>
      </c>
      <c r="E6179" t="str">
        <f>IFERROR(__xludf.DUMMYFUNCTION("""COMPUTED_VALUE"""),"Morgan")</f>
        <v>Morgan</v>
      </c>
      <c r="F6179" t="str">
        <f>IFERROR(__xludf.DUMMYFUNCTION("""COMPUTED_VALUE"""),"WAS")</f>
        <v>WAS</v>
      </c>
      <c r="G6179">
        <f>IFERROR(__xludf.DUMMYFUNCTION("""COMPUTED_VALUE"""),19.5)</f>
        <v>19.5</v>
      </c>
    </row>
    <row r="6180">
      <c r="D6180" t="str">
        <f>IFERROR(__xludf.DUMMYFUNCTION("""COMPUTED_VALUE"""),"Mosley")</f>
        <v>Mosley</v>
      </c>
      <c r="E6180" t="str">
        <f>IFERROR(__xludf.DUMMYFUNCTION("""COMPUTED_VALUE"""),"CJ")</f>
        <v>CJ</v>
      </c>
      <c r="F6180" t="str">
        <f>IFERROR(__xludf.DUMMYFUNCTION("""COMPUTED_VALUE"""),"BAL")</f>
        <v>BAL</v>
      </c>
      <c r="G6180">
        <f>IFERROR(__xludf.DUMMYFUNCTION("""COMPUTED_VALUE"""),20.75)</f>
        <v>20.75</v>
      </c>
    </row>
    <row r="6181">
      <c r="D6181" t="str">
        <f>IFERROR(__xludf.DUMMYFUNCTION("""COMPUTED_VALUE"""),"Moss")</f>
        <v>Moss</v>
      </c>
      <c r="E6181" t="str">
        <f>IFERROR(__xludf.DUMMYFUNCTION("""COMPUTED_VALUE"""),"Avery")</f>
        <v>Avery</v>
      </c>
      <c r="F6181" t="str">
        <f>IFERROR(__xludf.DUMMYFUNCTION("""COMPUTED_VALUE"""),"NYG")</f>
        <v>NYG</v>
      </c>
      <c r="G6181">
        <f>IFERROR(__xludf.DUMMYFUNCTION("""COMPUTED_VALUE"""),15.75)</f>
        <v>15.75</v>
      </c>
    </row>
    <row r="6182">
      <c r="D6182" t="str">
        <f>IFERROR(__xludf.DUMMYFUNCTION("""COMPUTED_VALUE"""),"Moss")</f>
        <v>Moss</v>
      </c>
      <c r="E6182" t="str">
        <f>IFERROR(__xludf.DUMMYFUNCTION("""COMPUTED_VALUE"""),"Randy")</f>
        <v>Randy</v>
      </c>
      <c r="F6182" t="str">
        <f>IFERROR(__xludf.DUMMYFUNCTION("""COMPUTED_VALUE"""),"OAK")</f>
        <v>OAK</v>
      </c>
      <c r="G6182">
        <f>IFERROR(__xludf.DUMMYFUNCTION("""COMPUTED_VALUE"""),21.0)</f>
        <v>21</v>
      </c>
    </row>
    <row r="6183">
      <c r="D6183" t="str">
        <f>IFERROR(__xludf.DUMMYFUNCTION("""COMPUTED_VALUE"""),"Moss")</f>
        <v>Moss</v>
      </c>
      <c r="E6183" t="str">
        <f>IFERROR(__xludf.DUMMYFUNCTION("""COMPUTED_VALUE"""),"Randy")</f>
        <v>Randy</v>
      </c>
      <c r="F6183" t="str">
        <f>IFERROR(__xludf.DUMMYFUNCTION("""COMPUTED_VALUE"""),"MIN")</f>
        <v>MIN</v>
      </c>
      <c r="G6183">
        <f>IFERROR(__xludf.DUMMYFUNCTION("""COMPUTED_VALUE"""),21.25)</f>
        <v>21.25</v>
      </c>
    </row>
    <row r="6184">
      <c r="D6184" t="str">
        <f>IFERROR(__xludf.DUMMYFUNCTION("""COMPUTED_VALUE"""),"Moss")</f>
        <v>Moss</v>
      </c>
      <c r="E6184" t="str">
        <f>IFERROR(__xludf.DUMMYFUNCTION("""COMPUTED_VALUE"""),"Randy")</f>
        <v>Randy</v>
      </c>
      <c r="F6184" t="str">
        <f>IFERROR(__xludf.DUMMYFUNCTION("""COMPUTED_VALUE"""),"NE")</f>
        <v>NE</v>
      </c>
      <c r="G6184">
        <f>IFERROR(__xludf.DUMMYFUNCTION("""COMPUTED_VALUE"""),20.75)</f>
        <v>20.75</v>
      </c>
    </row>
    <row r="6185">
      <c r="D6185" t="str">
        <f>IFERROR(__xludf.DUMMYFUNCTION("""COMPUTED_VALUE"""),"Moss")</f>
        <v>Moss</v>
      </c>
      <c r="E6185" t="str">
        <f>IFERROR(__xludf.DUMMYFUNCTION("""COMPUTED_VALUE"""),"Randy")</f>
        <v>Randy</v>
      </c>
      <c r="F6185" t="str">
        <f>IFERROR(__xludf.DUMMYFUNCTION("""COMPUTED_VALUE"""),"NE")</f>
        <v>NE</v>
      </c>
      <c r="G6185">
        <f>IFERROR(__xludf.DUMMYFUNCTION("""COMPUTED_VALUE"""),21.75)</f>
        <v>21.75</v>
      </c>
    </row>
    <row r="6186">
      <c r="D6186" t="str">
        <f>IFERROR(__xludf.DUMMYFUNCTION("""COMPUTED_VALUE"""),"Moss")</f>
        <v>Moss</v>
      </c>
      <c r="E6186" t="str">
        <f>IFERROR(__xludf.DUMMYFUNCTION("""COMPUTED_VALUE"""),"Randy")</f>
        <v>Randy</v>
      </c>
      <c r="F6186" t="str">
        <f>IFERROR(__xludf.DUMMYFUNCTION("""COMPUTED_VALUE"""),"MIN")</f>
        <v>MIN</v>
      </c>
      <c r="G6186">
        <f>IFERROR(__xludf.DUMMYFUNCTION("""COMPUTED_VALUE"""),22.75)</f>
        <v>22.75</v>
      </c>
    </row>
    <row r="6187">
      <c r="D6187" t="str">
        <f>IFERROR(__xludf.DUMMYFUNCTION("""COMPUTED_VALUE"""),"Mostert")</f>
        <v>Mostert</v>
      </c>
      <c r="E6187" t="str">
        <f>IFERROR(__xludf.DUMMYFUNCTION("""COMPUTED_VALUE"""),"Raheem")</f>
        <v>Raheem</v>
      </c>
      <c r="F6187" t="str">
        <f>IFERROR(__xludf.DUMMYFUNCTION("""COMPUTED_VALUE"""),"SF")</f>
        <v>SF</v>
      </c>
      <c r="G6187">
        <f>IFERROR(__xludf.DUMMYFUNCTION("""COMPUTED_VALUE"""),16.25)</f>
        <v>16.25</v>
      </c>
    </row>
    <row r="6188">
      <c r="D6188" t="str">
        <f>IFERROR(__xludf.DUMMYFUNCTION("""COMPUTED_VALUE"""),"Moton")</f>
        <v>Moton</v>
      </c>
      <c r="E6188" t="str">
        <f>IFERROR(__xludf.DUMMYFUNCTION("""COMPUTED_VALUE"""),"Taylor")</f>
        <v>Taylor</v>
      </c>
      <c r="F6188" t="str">
        <f>IFERROR(__xludf.DUMMYFUNCTION("""COMPUTED_VALUE"""),"CAR")</f>
        <v>CAR</v>
      </c>
      <c r="G6188">
        <f>IFERROR(__xludf.DUMMYFUNCTION("""COMPUTED_VALUE"""),18.0)</f>
        <v>18</v>
      </c>
    </row>
    <row r="6189">
      <c r="D6189" t="str">
        <f>IFERROR(__xludf.DUMMYFUNCTION("""COMPUTED_VALUE"""),"Mount")</f>
        <v>Mount</v>
      </c>
      <c r="E6189" t="str">
        <f>IFERROR(__xludf.DUMMYFUNCTION("""COMPUTED_VALUE"""),"Deiontrez")</f>
        <v>Deiontrez</v>
      </c>
      <c r="F6189" t="str">
        <f>IFERROR(__xludf.DUMMYFUNCTION("""COMPUTED_VALUE"""),"DEN")</f>
        <v>DEN</v>
      </c>
      <c r="G6189">
        <f>IFERROR(__xludf.DUMMYFUNCTION("""COMPUTED_VALUE"""),16.5)</f>
        <v>16.5</v>
      </c>
    </row>
    <row r="6190">
      <c r="D6190" t="str">
        <f>IFERROR(__xludf.DUMMYFUNCTION("""COMPUTED_VALUE"""),"Muhammad")</f>
        <v>Muhammad</v>
      </c>
      <c r="E6190" t="str">
        <f>IFERROR(__xludf.DUMMYFUNCTION("""COMPUTED_VALUE"""),"Al-Quadin")</f>
        <v>Al-Quadin</v>
      </c>
      <c r="F6190" t="str">
        <f>IFERROR(__xludf.DUMMYFUNCTION("""COMPUTED_VALUE"""),"NO")</f>
        <v>NO</v>
      </c>
      <c r="G6190">
        <f>IFERROR(__xludf.DUMMYFUNCTION("""COMPUTED_VALUE"""),16.0)</f>
        <v>16</v>
      </c>
    </row>
    <row r="6191">
      <c r="D6191" t="str">
        <f>IFERROR(__xludf.DUMMYFUNCTION("""COMPUTED_VALUE"""),"Mundt")</f>
        <v>Mundt</v>
      </c>
      <c r="E6191" t="str">
        <f>IFERROR(__xludf.DUMMYFUNCTION("""COMPUTED_VALUE"""),"Johnny")</f>
        <v>Johnny</v>
      </c>
      <c r="F6191" t="str">
        <f>IFERROR(__xludf.DUMMYFUNCTION("""COMPUTED_VALUE"""),"LAR")</f>
        <v>LAR</v>
      </c>
      <c r="G6191">
        <f>IFERROR(__xludf.DUMMYFUNCTION("""COMPUTED_VALUE"""),16.25)</f>
        <v>16.25</v>
      </c>
    </row>
    <row r="6192">
      <c r="D6192" t="str">
        <f>IFERROR(__xludf.DUMMYFUNCTION("""COMPUTED_VALUE"""),"Munnerlyn")</f>
        <v>Munnerlyn</v>
      </c>
      <c r="E6192" t="str">
        <f>IFERROR(__xludf.DUMMYFUNCTION("""COMPUTED_VALUE"""),"Captain")</f>
        <v>Captain</v>
      </c>
      <c r="F6192" t="str">
        <f>IFERROR(__xludf.DUMMYFUNCTION("""COMPUTED_VALUE"""),"CAR")</f>
        <v>CAR</v>
      </c>
      <c r="G6192">
        <f>IFERROR(__xludf.DUMMYFUNCTION("""COMPUTED_VALUE"""),18.25)</f>
        <v>18.25</v>
      </c>
    </row>
    <row r="6193">
      <c r="D6193" t="str">
        <f>IFERROR(__xludf.DUMMYFUNCTION("""COMPUTED_VALUE"""),"Munson")</f>
        <v>Munson</v>
      </c>
      <c r="E6193" t="str">
        <f>IFERROR(__xludf.DUMMYFUNCTION("""COMPUTED_VALUE"""),"Calvin")</f>
        <v>Calvin</v>
      </c>
      <c r="F6193" t="str">
        <f>IFERROR(__xludf.DUMMYFUNCTION("""COMPUTED_VALUE"""),"NYG")</f>
        <v>NYG</v>
      </c>
      <c r="G6193">
        <f>IFERROR(__xludf.DUMMYFUNCTION("""COMPUTED_VALUE"""),15.5)</f>
        <v>15.5</v>
      </c>
    </row>
    <row r="6194">
      <c r="D6194" t="str">
        <f>IFERROR(__xludf.DUMMYFUNCTION("""COMPUTED_VALUE"""),"Munyer")</f>
        <v>Munyer</v>
      </c>
      <c r="E6194" t="str">
        <f>IFERROR(__xludf.DUMMYFUNCTION("""COMPUTED_VALUE"""),"Daniel")</f>
        <v>Daniel</v>
      </c>
      <c r="F6194" t="str">
        <f>IFERROR(__xludf.DUMMYFUNCTION("""COMPUTED_VALUE"""),"ARZ")</f>
        <v>ARZ</v>
      </c>
      <c r="G6194">
        <f>IFERROR(__xludf.DUMMYFUNCTION("""COMPUTED_VALUE"""),15.5)</f>
        <v>15.5</v>
      </c>
    </row>
    <row r="6195">
      <c r="D6195" t="str">
        <f>IFERROR(__xludf.DUMMYFUNCTION("""COMPUTED_VALUE"""),"Murphy")</f>
        <v>Murphy</v>
      </c>
      <c r="E6195" t="str">
        <f>IFERROR(__xludf.DUMMYFUNCTION("""COMPUTED_VALUE"""),"Kyle")</f>
        <v>Kyle</v>
      </c>
      <c r="F6195" t="str">
        <f>IFERROR(__xludf.DUMMYFUNCTION("""COMPUTED_VALUE"""),"GB")</f>
        <v>GB</v>
      </c>
      <c r="G6195">
        <f>IFERROR(__xludf.DUMMYFUNCTION("""COMPUTED_VALUE"""),17.0)</f>
        <v>17</v>
      </c>
    </row>
    <row r="6196">
      <c r="D6196" t="str">
        <f>IFERROR(__xludf.DUMMYFUNCTION("""COMPUTED_VALUE"""),"Murphy")</f>
        <v>Murphy</v>
      </c>
      <c r="E6196" t="str">
        <f>IFERROR(__xludf.DUMMYFUNCTION("""COMPUTED_VALUE"""),"Marcus")</f>
        <v>Marcus</v>
      </c>
      <c r="F6196" t="str">
        <f>IFERROR(__xludf.DUMMYFUNCTION("""COMPUTED_VALUE"""),"BUF")</f>
        <v>BUF</v>
      </c>
      <c r="G6196">
        <f>IFERROR(__xludf.DUMMYFUNCTION("""COMPUTED_VALUE"""),16.75)</f>
        <v>16.75</v>
      </c>
    </row>
    <row r="6197">
      <c r="D6197" t="str">
        <f>IFERROR(__xludf.DUMMYFUNCTION("""COMPUTED_VALUE"""),"Murphy")</f>
        <v>Murphy</v>
      </c>
      <c r="E6197" t="str">
        <f>IFERROR(__xludf.DUMMYFUNCTION("""COMPUTED_VALUE"""),"Pace")</f>
        <v>Pace</v>
      </c>
      <c r="F6197" t="str">
        <f>IFERROR(__xludf.DUMMYFUNCTION("""COMPUTED_VALUE"""),"SF")</f>
        <v>SF</v>
      </c>
      <c r="G6197">
        <f>IFERROR(__xludf.DUMMYFUNCTION("""COMPUTED_VALUE"""),17.0)</f>
        <v>17</v>
      </c>
    </row>
    <row r="6198">
      <c r="D6198" t="str">
        <f>IFERROR(__xludf.DUMMYFUNCTION("""COMPUTED_VALUE"""),"Murphy")</f>
        <v>Murphy</v>
      </c>
      <c r="E6198" t="str">
        <f>IFERROR(__xludf.DUMMYFUNCTION("""COMPUTED_VALUE"""),"Trent")</f>
        <v>Trent</v>
      </c>
      <c r="F6198" t="str">
        <f>IFERROR(__xludf.DUMMYFUNCTION("""COMPUTED_VALUE"""),"BUF")</f>
        <v>BUF</v>
      </c>
      <c r="G6198">
        <f>IFERROR(__xludf.DUMMYFUNCTION("""COMPUTED_VALUE"""),19.75)</f>
        <v>19.75</v>
      </c>
    </row>
    <row r="6199">
      <c r="D6199" t="str">
        <f>IFERROR(__xludf.DUMMYFUNCTION("""COMPUTED_VALUE"""),"Murray")</f>
        <v>Murray</v>
      </c>
      <c r="E6199" t="str">
        <f>IFERROR(__xludf.DUMMYFUNCTION("""COMPUTED_VALUE"""),"DeMarco")</f>
        <v>DeMarco</v>
      </c>
      <c r="F6199" t="str">
        <f>IFERROR(__xludf.DUMMYFUNCTION("""COMPUTED_VALUE"""),"FA")</f>
        <v>FA</v>
      </c>
      <c r="G6199">
        <f>IFERROR(__xludf.DUMMYFUNCTION("""COMPUTED_VALUE"""),20.25)</f>
        <v>20.25</v>
      </c>
    </row>
    <row r="6200">
      <c r="D6200" t="str">
        <f>IFERROR(__xludf.DUMMYFUNCTION("""COMPUTED_VALUE"""),"Murray")</f>
        <v>Murray</v>
      </c>
      <c r="E6200" t="str">
        <f>IFERROR(__xludf.DUMMYFUNCTION("""COMPUTED_VALUE"""),"Eric")</f>
        <v>Eric</v>
      </c>
      <c r="F6200" t="str">
        <f>IFERROR(__xludf.DUMMYFUNCTION("""COMPUTED_VALUE"""),"KC")</f>
        <v>KC</v>
      </c>
      <c r="G6200">
        <f>IFERROR(__xludf.DUMMYFUNCTION("""COMPUTED_VALUE"""),16.25)</f>
        <v>16.25</v>
      </c>
    </row>
    <row r="6201">
      <c r="D6201" t="str">
        <f>IFERROR(__xludf.DUMMYFUNCTION("""COMPUTED_VALUE"""),"Murray")</f>
        <v>Murray</v>
      </c>
      <c r="E6201" t="str">
        <f>IFERROR(__xludf.DUMMYFUNCTION("""COMPUTED_VALUE"""),"Justin")</f>
        <v>Justin</v>
      </c>
      <c r="F6201" t="str">
        <f>IFERROR(__xludf.DUMMYFUNCTION("""COMPUTED_VALUE"""),"CIN")</f>
        <v>CIN</v>
      </c>
      <c r="G6201">
        <f>IFERROR(__xludf.DUMMYFUNCTION("""COMPUTED_VALUE"""),15.75)</f>
        <v>15.75</v>
      </c>
    </row>
    <row r="6202">
      <c r="D6202" t="str">
        <f>IFERROR(__xludf.DUMMYFUNCTION("""COMPUTED_VALUE"""),"Murray")</f>
        <v>Murray</v>
      </c>
      <c r="E6202" t="str">
        <f>IFERROR(__xludf.DUMMYFUNCTION("""COMPUTED_VALUE"""),"Latavius")</f>
        <v>Latavius</v>
      </c>
      <c r="F6202" t="str">
        <f>IFERROR(__xludf.DUMMYFUNCTION("""COMPUTED_VALUE"""),"MIN")</f>
        <v>MIN</v>
      </c>
      <c r="G6202">
        <f>IFERROR(__xludf.DUMMYFUNCTION("""COMPUTED_VALUE"""),20.0)</f>
        <v>20</v>
      </c>
    </row>
    <row r="6203">
      <c r="D6203" t="str">
        <f>IFERROR(__xludf.DUMMYFUNCTION("""COMPUTED_VALUE"""),"Myers")</f>
        <v>Myers</v>
      </c>
      <c r="E6203" t="str">
        <f>IFERROR(__xludf.DUMMYFUNCTION("""COMPUTED_VALUE"""),"Jason")</f>
        <v>Jason</v>
      </c>
      <c r="F6203" t="str">
        <f>IFERROR(__xludf.DUMMYFUNCTION("""COMPUTED_VALUE"""),"SEA")</f>
        <v>SEA</v>
      </c>
      <c r="G6203">
        <f>IFERROR(__xludf.DUMMYFUNCTION("""COMPUTED_VALUE"""),19.0)</f>
        <v>19</v>
      </c>
    </row>
    <row r="6204">
      <c r="D6204" t="str">
        <f>IFERROR(__xludf.DUMMYFUNCTION("""COMPUTED_VALUE"""),"Myrick")</f>
        <v>Myrick</v>
      </c>
      <c r="E6204" t="str">
        <f>IFERROR(__xludf.DUMMYFUNCTION("""COMPUTED_VALUE"""),"Jalen")</f>
        <v>Jalen</v>
      </c>
      <c r="F6204" t="str">
        <f>IFERROR(__xludf.DUMMYFUNCTION("""COMPUTED_VALUE"""),"JAX")</f>
        <v>JAX</v>
      </c>
      <c r="G6204">
        <f>IFERROR(__xludf.DUMMYFUNCTION("""COMPUTED_VALUE"""),17.5)</f>
        <v>17.5</v>
      </c>
    </row>
    <row r="6205">
      <c r="D6205" t="str">
        <f>IFERROR(__xludf.DUMMYFUNCTION("""COMPUTED_VALUE"""),"Nacua")</f>
        <v>Nacua</v>
      </c>
      <c r="E6205" t="str">
        <f>IFERROR(__xludf.DUMMYFUNCTION("""COMPUTED_VALUE"""),"Kai")</f>
        <v>Kai</v>
      </c>
      <c r="F6205" t="str">
        <f>IFERROR(__xludf.DUMMYFUNCTION("""COMPUTED_VALUE"""),"BAL")</f>
        <v>BAL</v>
      </c>
      <c r="G6205">
        <f>IFERROR(__xludf.DUMMYFUNCTION("""COMPUTED_VALUE"""),17.25)</f>
        <v>17.25</v>
      </c>
    </row>
    <row r="6206">
      <c r="D6206" t="str">
        <f>IFERROR(__xludf.DUMMYFUNCTION("""COMPUTED_VALUE"""),"Nassib")</f>
        <v>Nassib</v>
      </c>
      <c r="E6206" t="str">
        <f>IFERROR(__xludf.DUMMYFUNCTION("""COMPUTED_VALUE"""),"Carl")</f>
        <v>Carl</v>
      </c>
      <c r="F6206" t="str">
        <f>IFERROR(__xludf.DUMMYFUNCTION("""COMPUTED_VALUE"""),"CLE")</f>
        <v>CLE</v>
      </c>
      <c r="G6206">
        <f>IFERROR(__xludf.DUMMYFUNCTION("""COMPUTED_VALUE"""),18.0)</f>
        <v>18</v>
      </c>
    </row>
    <row r="6207">
      <c r="D6207" t="str">
        <f>IFERROR(__xludf.DUMMYFUNCTION("""COMPUTED_VALUE"""),"Neal")</f>
        <v>Neal</v>
      </c>
      <c r="E6207" t="str">
        <f>IFERROR(__xludf.DUMMYFUNCTION("""COMPUTED_VALUE"""),"Keanu")</f>
        <v>Keanu</v>
      </c>
      <c r="F6207" t="str">
        <f>IFERROR(__xludf.DUMMYFUNCTION("""COMPUTED_VALUE"""),"ATL")</f>
        <v>ATL</v>
      </c>
      <c r="G6207">
        <f>IFERROR(__xludf.DUMMYFUNCTION("""COMPUTED_VALUE"""),20.75)</f>
        <v>20.75</v>
      </c>
    </row>
    <row r="6208">
      <c r="D6208" t="str">
        <f>IFERROR(__xludf.DUMMYFUNCTION("""COMPUTED_VALUE"""),"Neal")</f>
        <v>Neal</v>
      </c>
      <c r="E6208" t="str">
        <f>IFERROR(__xludf.DUMMYFUNCTION("""COMPUTED_VALUE"""),"Lewis")</f>
        <v>Lewis</v>
      </c>
      <c r="F6208" t="str">
        <f>IFERROR(__xludf.DUMMYFUNCTION("""COMPUTED_VALUE"""),"DAL")</f>
        <v>DAL</v>
      </c>
      <c r="G6208">
        <f>IFERROR(__xludf.DUMMYFUNCTION("""COMPUTED_VALUE"""),15.5)</f>
        <v>15.5</v>
      </c>
    </row>
    <row r="6209">
      <c r="D6209" t="str">
        <f>IFERROR(__xludf.DUMMYFUNCTION("""COMPUTED_VALUE"""),"Neal")</f>
        <v>Neal</v>
      </c>
      <c r="E6209" t="str">
        <f>IFERROR(__xludf.DUMMYFUNCTION("""COMPUTED_VALUE"""),"Lorenzo")</f>
        <v>Lorenzo</v>
      </c>
      <c r="F6209" t="str">
        <f>IFERROR(__xludf.DUMMYFUNCTION("""COMPUTED_VALUE"""),"LAC")</f>
        <v>LAC</v>
      </c>
      <c r="G6209">
        <f>IFERROR(__xludf.DUMMYFUNCTION("""COMPUTED_VALUE"""),22.0)</f>
        <v>22</v>
      </c>
    </row>
    <row r="6210">
      <c r="D6210" t="str">
        <f>IFERROR(__xludf.DUMMYFUNCTION("""COMPUTED_VALUE"""),"Neal")</f>
        <v>Neal</v>
      </c>
      <c r="E6210" t="str">
        <f>IFERROR(__xludf.DUMMYFUNCTION("""COMPUTED_VALUE"""),"Lorenzo")</f>
        <v>Lorenzo</v>
      </c>
      <c r="F6210" t="str">
        <f>IFERROR(__xludf.DUMMYFUNCTION("""COMPUTED_VALUE"""),"NO")</f>
        <v>NO</v>
      </c>
      <c r="G6210">
        <f>IFERROR(__xludf.DUMMYFUNCTION("""COMPUTED_VALUE"""),20.75)</f>
        <v>20.75</v>
      </c>
    </row>
    <row r="6211">
      <c r="D6211" t="str">
        <f>IFERROR(__xludf.DUMMYFUNCTION("""COMPUTED_VALUE"""),"Neal")</f>
        <v>Neal</v>
      </c>
      <c r="E6211" t="str">
        <f>IFERROR(__xludf.DUMMYFUNCTION("""COMPUTED_VALUE"""),"Lorenzo")</f>
        <v>Lorenzo</v>
      </c>
      <c r="F6211" t="str">
        <f>IFERROR(__xludf.DUMMYFUNCTION("""COMPUTED_VALUE"""),"BAL")</f>
        <v>BAL</v>
      </c>
      <c r="G6211">
        <f>IFERROR(__xludf.DUMMYFUNCTION("""COMPUTED_VALUE"""),20.5)</f>
        <v>20.5</v>
      </c>
    </row>
    <row r="6212">
      <c r="D6212" t="str">
        <f>IFERROR(__xludf.DUMMYFUNCTION("""COMPUTED_VALUE"""),"Neal")</f>
        <v>Neal</v>
      </c>
      <c r="E6212" t="str">
        <f>IFERROR(__xludf.DUMMYFUNCTION("""COMPUTED_VALUE"""),"Lorenzo")</f>
        <v>Lorenzo</v>
      </c>
      <c r="F6212" t="str">
        <f>IFERROR(__xludf.DUMMYFUNCTION("""COMPUTED_VALUE"""),"LAC")</f>
        <v>LAC</v>
      </c>
      <c r="G6212">
        <f>IFERROR(__xludf.DUMMYFUNCTION("""COMPUTED_VALUE"""),21.0)</f>
        <v>21</v>
      </c>
    </row>
    <row r="6213">
      <c r="D6213" t="str">
        <f>IFERROR(__xludf.DUMMYFUNCTION("""COMPUTED_VALUE"""),"Neal")</f>
        <v>Neal</v>
      </c>
      <c r="E6213" t="str">
        <f>IFERROR(__xludf.DUMMYFUNCTION("""COMPUTED_VALUE"""),"Lorenzo")</f>
        <v>Lorenzo</v>
      </c>
      <c r="F6213" t="str">
        <f>IFERROR(__xludf.DUMMYFUNCTION("""COMPUTED_VALUE"""),"LAC")</f>
        <v>LAC</v>
      </c>
      <c r="G6213">
        <f>IFERROR(__xludf.DUMMYFUNCTION("""COMPUTED_VALUE"""),21.5)</f>
        <v>21.5</v>
      </c>
    </row>
    <row r="6214">
      <c r="D6214" t="str">
        <f>IFERROR(__xludf.DUMMYFUNCTION("""COMPUTED_VALUE"""),"Neal")</f>
        <v>Neal</v>
      </c>
      <c r="E6214" t="str">
        <f>IFERROR(__xludf.DUMMYFUNCTION("""COMPUTED_VALUE"""),"Lorenzo")</f>
        <v>Lorenzo</v>
      </c>
      <c r="F6214" t="str">
        <f>IFERROR(__xludf.DUMMYFUNCTION("""COMPUTED_VALUE"""),"LAC")</f>
        <v>LAC</v>
      </c>
      <c r="G6214">
        <f>IFERROR(__xludf.DUMMYFUNCTION("""COMPUTED_VALUE"""),22.5)</f>
        <v>22.5</v>
      </c>
    </row>
    <row r="6215">
      <c r="D6215" t="str">
        <f>IFERROR(__xludf.DUMMYFUNCTION("""COMPUTED_VALUE"""),"Neal")</f>
        <v>Neal</v>
      </c>
      <c r="E6215" t="str">
        <f>IFERROR(__xludf.DUMMYFUNCTION("""COMPUTED_VALUE"""),"Siran")</f>
        <v>Siran</v>
      </c>
      <c r="F6215" t="str">
        <f>IFERROR(__xludf.DUMMYFUNCTION("""COMPUTED_VALUE"""),"BUF")</f>
        <v>BUF</v>
      </c>
      <c r="G6215">
        <f>IFERROR(__xludf.DUMMYFUNCTION("""COMPUTED_VALUE"""),17.0)</f>
        <v>17</v>
      </c>
    </row>
    <row r="6216">
      <c r="D6216" t="str">
        <f>IFERROR(__xludf.DUMMYFUNCTION("""COMPUTED_VALUE"""),"Neary")</f>
        <v>Neary</v>
      </c>
      <c r="E6216" t="str">
        <f>IFERROR(__xludf.DUMMYFUNCTION("""COMPUTED_VALUE"""),"Aaron")</f>
        <v>Aaron</v>
      </c>
      <c r="F6216" t="str">
        <f>IFERROR(__xludf.DUMMYFUNCTION("""COMPUTED_VALUE"""),"LAR")</f>
        <v>LAR</v>
      </c>
      <c r="G6216">
        <f>IFERROR(__xludf.DUMMYFUNCTION("""COMPUTED_VALUE"""),16.5)</f>
        <v>16.5</v>
      </c>
    </row>
    <row r="6217">
      <c r="D6217" t="str">
        <f>IFERROR(__xludf.DUMMYFUNCTION("""COMPUTED_VALUE"""),"Nelson")</f>
        <v>Nelson</v>
      </c>
      <c r="E6217" t="str">
        <f>IFERROR(__xludf.DUMMYFUNCTION("""COMPUTED_VALUE"""),"Corey")</f>
        <v>Corey</v>
      </c>
      <c r="F6217" t="str">
        <f>IFERROR(__xludf.DUMMYFUNCTION("""COMPUTED_VALUE"""),"PHI")</f>
        <v>PHI</v>
      </c>
      <c r="G6217">
        <f>IFERROR(__xludf.DUMMYFUNCTION("""COMPUTED_VALUE"""),17.5)</f>
        <v>17.5</v>
      </c>
    </row>
    <row r="6218">
      <c r="D6218" t="str">
        <f>IFERROR(__xludf.DUMMYFUNCTION("""COMPUTED_VALUE"""),"Nelson")</f>
        <v>Nelson</v>
      </c>
      <c r="E6218" t="str">
        <f>IFERROR(__xludf.DUMMYFUNCTION("""COMPUTED_VALUE"""),"JJ")</f>
        <v>JJ</v>
      </c>
      <c r="F6218" t="str">
        <f>IFERROR(__xludf.DUMMYFUNCTION("""COMPUTED_VALUE"""),"ARZ")</f>
        <v>ARZ</v>
      </c>
      <c r="G6218">
        <f>IFERROR(__xludf.DUMMYFUNCTION("""COMPUTED_VALUE"""),18.5)</f>
        <v>18.5</v>
      </c>
    </row>
    <row r="6219">
      <c r="D6219" t="str">
        <f>IFERROR(__xludf.DUMMYFUNCTION("""COMPUTED_VALUE"""),"Nelson")</f>
        <v>Nelson</v>
      </c>
      <c r="E6219" t="str">
        <f>IFERROR(__xludf.DUMMYFUNCTION("""COMPUTED_VALUE"""),"Jordy")</f>
        <v>Jordy</v>
      </c>
      <c r="F6219" t="str">
        <f>IFERROR(__xludf.DUMMYFUNCTION("""COMPUTED_VALUE"""),"OAK")</f>
        <v>OAK</v>
      </c>
      <c r="G6219">
        <f>IFERROR(__xludf.DUMMYFUNCTION("""COMPUTED_VALUE"""),20.75)</f>
        <v>20.75</v>
      </c>
    </row>
    <row r="6220">
      <c r="D6220" t="str">
        <f>IFERROR(__xludf.DUMMYFUNCTION("""COMPUTED_VALUE"""),"Nelson")</f>
        <v>Nelson</v>
      </c>
      <c r="E6220" t="str">
        <f>IFERROR(__xludf.DUMMYFUNCTION("""COMPUTED_VALUE"""),"Nick")</f>
        <v>Nick</v>
      </c>
      <c r="F6220" t="str">
        <f>IFERROR(__xludf.DUMMYFUNCTION("""COMPUTED_VALUE"""),"OAK")</f>
        <v>OAK</v>
      </c>
      <c r="G6220">
        <f>IFERROR(__xludf.DUMMYFUNCTION("""COMPUTED_VALUE"""),17.25)</f>
        <v>17.25</v>
      </c>
    </row>
    <row r="6221">
      <c r="D6221" t="str">
        <f>IFERROR(__xludf.DUMMYFUNCTION("""COMPUTED_VALUE"""),"Nelson")</f>
        <v>Nelson</v>
      </c>
      <c r="E6221" t="str">
        <f>IFERROR(__xludf.DUMMYFUNCTION("""COMPUTED_VALUE"""),"Quenton")</f>
        <v>Quenton</v>
      </c>
      <c r="F6221" t="str">
        <f>IFERROR(__xludf.DUMMYFUNCTION("""COMPUTED_VALUE"""),"IND")</f>
        <v>IND</v>
      </c>
      <c r="G6221">
        <f>IFERROR(__xludf.DUMMYFUNCTION("""COMPUTED_VALUE"""),19.75)</f>
        <v>19.75</v>
      </c>
    </row>
    <row r="6222">
      <c r="D6222" t="str">
        <f>IFERROR(__xludf.DUMMYFUNCTION("""COMPUTED_VALUE"""),"Nelson")</f>
        <v>Nelson</v>
      </c>
      <c r="E6222" t="str">
        <f>IFERROR(__xludf.DUMMYFUNCTION("""COMPUTED_VALUE"""),"Steven")</f>
        <v>Steven</v>
      </c>
      <c r="F6222" t="str">
        <f>IFERROR(__xludf.DUMMYFUNCTION("""COMPUTED_VALUE"""),"KC")</f>
        <v>KC</v>
      </c>
      <c r="G6222">
        <f>IFERROR(__xludf.DUMMYFUNCTION("""COMPUTED_VALUE"""),19.0)</f>
        <v>19</v>
      </c>
    </row>
    <row r="6223">
      <c r="D6223" t="str">
        <f>IFERROR(__xludf.DUMMYFUNCTION("""COMPUTED_VALUE"""),"Nelson Jr")</f>
        <v>Nelson Jr</v>
      </c>
      <c r="E6223" t="str">
        <f>IFERROR(__xludf.DUMMYFUNCTION("""COMPUTED_VALUE"""),"Robert")</f>
        <v>Robert</v>
      </c>
      <c r="F6223" t="str">
        <f>IFERROR(__xludf.DUMMYFUNCTION("""COMPUTED_VALUE"""),"FA")</f>
        <v>FA</v>
      </c>
      <c r="G6223">
        <f>IFERROR(__xludf.DUMMYFUNCTION("""COMPUTED_VALUE"""),18.0)</f>
        <v>18</v>
      </c>
    </row>
    <row r="6224">
      <c r="D6224" t="str">
        <f>IFERROR(__xludf.DUMMYFUNCTION("""COMPUTED_VALUE"""),"Newhouse")</f>
        <v>Newhouse</v>
      </c>
      <c r="E6224" t="str">
        <f>IFERROR(__xludf.DUMMYFUNCTION("""COMPUTED_VALUE"""),"Marshall")</f>
        <v>Marshall</v>
      </c>
      <c r="F6224" t="str">
        <f>IFERROR(__xludf.DUMMYFUNCTION("""COMPUTED_VALUE"""),"BUF")</f>
        <v>BUF</v>
      </c>
      <c r="G6224">
        <f>IFERROR(__xludf.DUMMYFUNCTION("""COMPUTED_VALUE"""),18.0)</f>
        <v>18</v>
      </c>
    </row>
    <row r="6225">
      <c r="D6225" t="str">
        <f>IFERROR(__xludf.DUMMYFUNCTION("""COMPUTED_VALUE"""),"Newman")</f>
        <v>Newman</v>
      </c>
      <c r="E6225" t="str">
        <f>IFERROR(__xludf.DUMMYFUNCTION("""COMPUTED_VALUE"""),"Terence")</f>
        <v>Terence</v>
      </c>
      <c r="F6225" t="str">
        <f>IFERROR(__xludf.DUMMYFUNCTION("""COMPUTED_VALUE"""),"MIN")</f>
        <v>MIN</v>
      </c>
      <c r="G6225">
        <f>IFERROR(__xludf.DUMMYFUNCTION("""COMPUTED_VALUE"""),19.0)</f>
        <v>19</v>
      </c>
    </row>
    <row r="6226">
      <c r="D6226" t="str">
        <f>IFERROR(__xludf.DUMMYFUNCTION("""COMPUTED_VALUE"""),"Newton")</f>
        <v>Newton</v>
      </c>
      <c r="E6226" t="str">
        <f>IFERROR(__xludf.DUMMYFUNCTION("""COMPUTED_VALUE"""),"Cam")</f>
        <v>Cam</v>
      </c>
      <c r="F6226" t="str">
        <f>IFERROR(__xludf.DUMMYFUNCTION("""COMPUTED_VALUE"""),"CAR")</f>
        <v>CAR</v>
      </c>
      <c r="G6226">
        <f>IFERROR(__xludf.DUMMYFUNCTION("""COMPUTED_VALUE"""),21.0)</f>
        <v>21</v>
      </c>
    </row>
    <row r="6227">
      <c r="D6227" t="str">
        <f>IFERROR(__xludf.DUMMYFUNCTION("""COMPUTED_VALUE"""),"Newton")</f>
        <v>Newton</v>
      </c>
      <c r="E6227" t="str">
        <f>IFERROR(__xludf.DUMMYFUNCTION("""COMPUTED_VALUE"""),"Derek")</f>
        <v>Derek</v>
      </c>
      <c r="F6227" t="str">
        <f>IFERROR(__xludf.DUMMYFUNCTION("""COMPUTED_VALUE"""),"FA")</f>
        <v>FA</v>
      </c>
      <c r="G6227">
        <f>IFERROR(__xludf.DUMMYFUNCTION("""COMPUTED_VALUE"""),15.0)</f>
        <v>15</v>
      </c>
    </row>
    <row r="6228">
      <c r="D6228" t="str">
        <f>IFERROR(__xludf.DUMMYFUNCTION("""COMPUTED_VALUE"""),"Ngakoue")</f>
        <v>Ngakoue</v>
      </c>
      <c r="E6228" t="str">
        <f>IFERROR(__xludf.DUMMYFUNCTION("""COMPUTED_VALUE"""),"Yannick")</f>
        <v>Yannick</v>
      </c>
      <c r="F6228" t="str">
        <f>IFERROR(__xludf.DUMMYFUNCTION("""COMPUTED_VALUE"""),"JAX")</f>
        <v>JAX</v>
      </c>
      <c r="G6228">
        <f>IFERROR(__xludf.DUMMYFUNCTION("""COMPUTED_VALUE"""),20.25)</f>
        <v>20.25</v>
      </c>
    </row>
    <row r="6229">
      <c r="D6229" t="str">
        <f>IFERROR(__xludf.DUMMYFUNCTION("""COMPUTED_VALUE"""),"Ngata")</f>
        <v>Ngata</v>
      </c>
      <c r="E6229" t="str">
        <f>IFERROR(__xludf.DUMMYFUNCTION("""COMPUTED_VALUE"""),"Haloti")</f>
        <v>Haloti</v>
      </c>
      <c r="F6229" t="str">
        <f>IFERROR(__xludf.DUMMYFUNCTION("""COMPUTED_VALUE"""),"PHI")</f>
        <v>PHI</v>
      </c>
      <c r="G6229">
        <f>IFERROR(__xludf.DUMMYFUNCTION("""COMPUTED_VALUE"""),19.25)</f>
        <v>19.25</v>
      </c>
    </row>
    <row r="6230">
      <c r="D6230" t="str">
        <f>IFERROR(__xludf.DUMMYFUNCTION("""COMPUTED_VALUE"""),"Nichols")</f>
        <v>Nichols</v>
      </c>
      <c r="E6230" t="str">
        <f>IFERROR(__xludf.DUMMYFUNCTION("""COMPUTED_VALUE"""),"Bilal")</f>
        <v>Bilal</v>
      </c>
      <c r="F6230" t="str">
        <f>IFERROR(__xludf.DUMMYFUNCTION("""COMPUTED_VALUE"""),"CHI")</f>
        <v>CHI</v>
      </c>
      <c r="G6230">
        <f>IFERROR(__xludf.DUMMYFUNCTION("""COMPUTED_VALUE"""),17.0)</f>
        <v>17</v>
      </c>
    </row>
    <row r="6231">
      <c r="D6231" t="str">
        <f>IFERROR(__xludf.DUMMYFUNCTION("""COMPUTED_VALUE"""),"Nicholson")</f>
        <v>Nicholson</v>
      </c>
      <c r="E6231" t="str">
        <f>IFERROR(__xludf.DUMMYFUNCTION("""COMPUTED_VALUE"""),"Montae")</f>
        <v>Montae</v>
      </c>
      <c r="F6231" t="str">
        <f>IFERROR(__xludf.DUMMYFUNCTION("""COMPUTED_VALUE"""),"WAS")</f>
        <v>WAS</v>
      </c>
      <c r="G6231">
        <f>IFERROR(__xludf.DUMMYFUNCTION("""COMPUTED_VALUE"""),18.75)</f>
        <v>18.75</v>
      </c>
    </row>
    <row r="6232">
      <c r="D6232" t="str">
        <f>IFERROR(__xludf.DUMMYFUNCTION("""COMPUTED_VALUE"""),"Nickerson")</f>
        <v>Nickerson</v>
      </c>
      <c r="E6232" t="str">
        <f>IFERROR(__xludf.DUMMYFUNCTION("""COMPUTED_VALUE"""),"Hardy")</f>
        <v>Hardy</v>
      </c>
      <c r="F6232" t="str">
        <f>IFERROR(__xludf.DUMMYFUNCTION("""COMPUTED_VALUE"""),"CIN")</f>
        <v>CIN</v>
      </c>
      <c r="G6232">
        <f>IFERROR(__xludf.DUMMYFUNCTION("""COMPUTED_VALUE"""),16.0)</f>
        <v>16</v>
      </c>
    </row>
    <row r="6233">
      <c r="D6233" t="str">
        <f>IFERROR(__xludf.DUMMYFUNCTION("""COMPUTED_VALUE"""),"Nickerson")</f>
        <v>Nickerson</v>
      </c>
      <c r="E6233" t="str">
        <f>IFERROR(__xludf.DUMMYFUNCTION("""COMPUTED_VALUE"""),"Parry")</f>
        <v>Parry</v>
      </c>
      <c r="F6233" t="str">
        <f>IFERROR(__xludf.DUMMYFUNCTION("""COMPUTED_VALUE"""),"NYJ")</f>
        <v>NYJ</v>
      </c>
      <c r="G6233">
        <f>IFERROR(__xludf.DUMMYFUNCTION("""COMPUTED_VALUE"""),17.75)</f>
        <v>17.75</v>
      </c>
    </row>
    <row r="6234">
      <c r="D6234" t="str">
        <f>IFERROR(__xludf.DUMMYFUNCTION("""COMPUTED_VALUE"""),"Nicolas")</f>
        <v>Nicolas</v>
      </c>
      <c r="E6234" t="str">
        <f>IFERROR(__xludf.DUMMYFUNCTION("""COMPUTED_VALUE"""),"Dadi")</f>
        <v>Dadi</v>
      </c>
      <c r="F6234" t="str">
        <f>IFERROR(__xludf.DUMMYFUNCTION("""COMPUTED_VALUE"""),"FA")</f>
        <v>FA</v>
      </c>
      <c r="G6234">
        <f>IFERROR(__xludf.DUMMYFUNCTION("""COMPUTED_VALUE"""),16.75)</f>
        <v>16.75</v>
      </c>
    </row>
    <row r="6235">
      <c r="D6235" t="str">
        <f>IFERROR(__xludf.DUMMYFUNCTION("""COMPUTED_VALUE"""),"Niklas")</f>
        <v>Niklas</v>
      </c>
      <c r="E6235" t="str">
        <f>IFERROR(__xludf.DUMMYFUNCTION("""COMPUTED_VALUE"""),"Troy")</f>
        <v>Troy</v>
      </c>
      <c r="F6235" t="str">
        <f>IFERROR(__xludf.DUMMYFUNCTION("""COMPUTED_VALUE"""),"NE")</f>
        <v>NE</v>
      </c>
      <c r="G6235">
        <f>IFERROR(__xludf.DUMMYFUNCTION("""COMPUTED_VALUE"""),17.5)</f>
        <v>17.5</v>
      </c>
    </row>
    <row r="6236">
      <c r="D6236" t="str">
        <f>IFERROR(__xludf.DUMMYFUNCTION("""COMPUTED_VALUE"""),"Nix")</f>
        <v>Nix</v>
      </c>
      <c r="E6236" t="str">
        <f>IFERROR(__xludf.DUMMYFUNCTION("""COMPUTED_VALUE"""),"Roosevelt")</f>
        <v>Roosevelt</v>
      </c>
      <c r="F6236" t="str">
        <f>IFERROR(__xludf.DUMMYFUNCTION("""COMPUTED_VALUE"""),"PIT")</f>
        <v>PIT</v>
      </c>
      <c r="G6236">
        <f>IFERROR(__xludf.DUMMYFUNCTION("""COMPUTED_VALUE"""),18.0)</f>
        <v>18</v>
      </c>
    </row>
    <row r="6237">
      <c r="D6237" t="str">
        <f>IFERROR(__xludf.DUMMYFUNCTION("""COMPUTED_VALUE"""),"Nixon")</f>
        <v>Nixon</v>
      </c>
      <c r="E6237" t="str">
        <f>IFERROR(__xludf.DUMMYFUNCTION("""COMPUTED_VALUE"""),"Taurean")</f>
        <v>Taurean</v>
      </c>
      <c r="F6237" t="str">
        <f>IFERROR(__xludf.DUMMYFUNCTION("""COMPUTED_VALUE"""),"LAR")</f>
        <v>LAR</v>
      </c>
      <c r="G6237">
        <f>IFERROR(__xludf.DUMMYFUNCTION("""COMPUTED_VALUE"""),16.25)</f>
        <v>16.25</v>
      </c>
    </row>
    <row r="6238">
      <c r="D6238" t="str">
        <f>IFERROR(__xludf.DUMMYFUNCTION("""COMPUTED_VALUE"""),"Njoku")</f>
        <v>Njoku</v>
      </c>
      <c r="E6238" t="str">
        <f>IFERROR(__xludf.DUMMYFUNCTION("""COMPUTED_VALUE"""),"David")</f>
        <v>David</v>
      </c>
      <c r="F6238" t="str">
        <f>IFERROR(__xludf.DUMMYFUNCTION("""COMPUTED_VALUE"""),"CLE")</f>
        <v>CLE</v>
      </c>
      <c r="G6238">
        <f>IFERROR(__xludf.DUMMYFUNCTION("""COMPUTED_VALUE"""),19.25)</f>
        <v>19.25</v>
      </c>
    </row>
    <row r="6239">
      <c r="D6239" t="str">
        <f>IFERROR(__xludf.DUMMYFUNCTION("""COMPUTED_VALUE"""),"Nkemdiche")</f>
        <v>Nkemdiche</v>
      </c>
      <c r="E6239" t="str">
        <f>IFERROR(__xludf.DUMMYFUNCTION("""COMPUTED_VALUE"""),"Robert")</f>
        <v>Robert</v>
      </c>
      <c r="F6239" t="str">
        <f>IFERROR(__xludf.DUMMYFUNCTION("""COMPUTED_VALUE"""),"ARZ")</f>
        <v>ARZ</v>
      </c>
      <c r="G6239">
        <f>IFERROR(__xludf.DUMMYFUNCTION("""COMPUTED_VALUE"""),18.25)</f>
        <v>18.25</v>
      </c>
    </row>
    <row r="6240">
      <c r="D6240" t="str">
        <f>IFERROR(__xludf.DUMMYFUNCTION("""COMPUTED_VALUE"""),"Nnadi")</f>
        <v>Nnadi</v>
      </c>
      <c r="E6240" t="str">
        <f>IFERROR(__xludf.DUMMYFUNCTION("""COMPUTED_VALUE"""),"Derrick")</f>
        <v>Derrick</v>
      </c>
      <c r="F6240" t="str">
        <f>IFERROR(__xludf.DUMMYFUNCTION("""COMPUTED_VALUE"""),"KC")</f>
        <v>KC</v>
      </c>
      <c r="G6240">
        <f>IFERROR(__xludf.DUMMYFUNCTION("""COMPUTED_VALUE"""),18.0)</f>
        <v>18</v>
      </c>
    </row>
    <row r="6241">
      <c r="D6241" t="str">
        <f>IFERROR(__xludf.DUMMYFUNCTION("""COMPUTED_VALUE"""),"Norman")</f>
        <v>Norman</v>
      </c>
      <c r="E6241" t="str">
        <f>IFERROR(__xludf.DUMMYFUNCTION("""COMPUTED_VALUE"""),"Josh")</f>
        <v>Josh</v>
      </c>
      <c r="F6241" t="str">
        <f>IFERROR(__xludf.DUMMYFUNCTION("""COMPUTED_VALUE"""),"WAS")</f>
        <v>WAS</v>
      </c>
      <c r="G6241">
        <f>IFERROR(__xludf.DUMMYFUNCTION("""COMPUTED_VALUE"""),21.0)</f>
        <v>21</v>
      </c>
    </row>
    <row r="6242">
      <c r="D6242" t="str">
        <f>IFERROR(__xludf.DUMMYFUNCTION("""COMPUTED_VALUE"""),"Norris")</f>
        <v>Norris</v>
      </c>
      <c r="E6242" t="str">
        <f>IFERROR(__xludf.DUMMYFUNCTION("""COMPUTED_VALUE"""),"Jared")</f>
        <v>Jared</v>
      </c>
      <c r="F6242" t="str">
        <f>IFERROR(__xludf.DUMMYFUNCTION("""COMPUTED_VALUE"""),"CAR")</f>
        <v>CAR</v>
      </c>
      <c r="G6242">
        <f>IFERROR(__xludf.DUMMYFUNCTION("""COMPUTED_VALUE"""),18.0)</f>
        <v>18</v>
      </c>
    </row>
    <row r="6243">
      <c r="D6243" t="str">
        <f>IFERROR(__xludf.DUMMYFUNCTION("""COMPUTED_VALUE"""),"Norton")</f>
        <v>Norton</v>
      </c>
      <c r="E6243" t="str">
        <f>IFERROR(__xludf.DUMMYFUNCTION("""COMPUTED_VALUE"""),"Kendrick")</f>
        <v>Kendrick</v>
      </c>
      <c r="F6243" t="str">
        <f>IFERROR(__xludf.DUMMYFUNCTION("""COMPUTED_VALUE"""),"CAR")</f>
        <v>CAR</v>
      </c>
      <c r="G6243">
        <f>IFERROR(__xludf.DUMMYFUNCTION("""COMPUTED_VALUE"""),16.75)</f>
        <v>16.75</v>
      </c>
    </row>
    <row r="6244">
      <c r="D6244" t="str">
        <f>IFERROR(__xludf.DUMMYFUNCTION("""COMPUTED_VALUE"""),"Norton")</f>
        <v>Norton</v>
      </c>
      <c r="E6244" t="str">
        <f>IFERROR(__xludf.DUMMYFUNCTION("""COMPUTED_VALUE"""),"Storm")</f>
        <v>Storm</v>
      </c>
      <c r="F6244" t="str">
        <f>IFERROR(__xludf.DUMMYFUNCTION("""COMPUTED_VALUE"""),"MIN")</f>
        <v>MIN</v>
      </c>
      <c r="G6244">
        <f>IFERROR(__xludf.DUMMYFUNCTION("""COMPUTED_VALUE"""),16.0)</f>
        <v>16</v>
      </c>
    </row>
    <row r="6245">
      <c r="D6245" t="str">
        <f>IFERROR(__xludf.DUMMYFUNCTION("""COMPUTED_VALUE"""),"Norwell")</f>
        <v>Norwell</v>
      </c>
      <c r="E6245" t="str">
        <f>IFERROR(__xludf.DUMMYFUNCTION("""COMPUTED_VALUE"""),"Andrew")</f>
        <v>Andrew</v>
      </c>
      <c r="F6245" t="str">
        <f>IFERROR(__xludf.DUMMYFUNCTION("""COMPUTED_VALUE"""),"JAX")</f>
        <v>JAX</v>
      </c>
      <c r="G6245">
        <f>IFERROR(__xludf.DUMMYFUNCTION("""COMPUTED_VALUE"""),21.25)</f>
        <v>21.25</v>
      </c>
    </row>
    <row r="6246">
      <c r="D6246" t="str">
        <f>IFERROR(__xludf.DUMMYFUNCTION("""COMPUTED_VALUE"""),"Noteboom")</f>
        <v>Noteboom</v>
      </c>
      <c r="E6246" t="str">
        <f>IFERROR(__xludf.DUMMYFUNCTION("""COMPUTED_VALUE"""),"Joseph")</f>
        <v>Joseph</v>
      </c>
      <c r="F6246" t="str">
        <f>IFERROR(__xludf.DUMMYFUNCTION("""COMPUTED_VALUE"""),"LAR")</f>
        <v>LAR</v>
      </c>
      <c r="G6246">
        <f>IFERROR(__xludf.DUMMYFUNCTION("""COMPUTED_VALUE"""),17.25)</f>
        <v>17.25</v>
      </c>
    </row>
    <row r="6247">
      <c r="D6247" t="str">
        <f>IFERROR(__xludf.DUMMYFUNCTION("""COMPUTED_VALUE"""),"Nsekhe")</f>
        <v>Nsekhe</v>
      </c>
      <c r="E6247" t="str">
        <f>IFERROR(__xludf.DUMMYFUNCTION("""COMPUTED_VALUE"""),"Ty")</f>
        <v>Ty</v>
      </c>
      <c r="F6247" t="str">
        <f>IFERROR(__xludf.DUMMYFUNCTION("""COMPUTED_VALUE"""),"WAS")</f>
        <v>WAS</v>
      </c>
      <c r="G6247">
        <f>IFERROR(__xludf.DUMMYFUNCTION("""COMPUTED_VALUE"""),18.5)</f>
        <v>18.5</v>
      </c>
    </row>
    <row r="6248">
      <c r="D6248" t="str">
        <f>IFERROR(__xludf.DUMMYFUNCTION("""COMPUTED_VALUE"""),"Nwachukwu")</f>
        <v>Nwachukwu</v>
      </c>
      <c r="E6248" t="str">
        <f>IFERROR(__xludf.DUMMYFUNCTION("""COMPUTED_VALUE"""),"Noble")</f>
        <v>Noble</v>
      </c>
      <c r="F6248" t="str">
        <f>IFERROR(__xludf.DUMMYFUNCTION("""COMPUTED_VALUE"""),"FA")</f>
        <v>FA</v>
      </c>
      <c r="G6248">
        <f>IFERROR(__xludf.DUMMYFUNCTION("""COMPUTED_VALUE"""),15.75)</f>
        <v>15.75</v>
      </c>
    </row>
    <row r="6249">
      <c r="D6249" t="str">
        <f>IFERROR(__xludf.DUMMYFUNCTION("""COMPUTED_VALUE"""),"Nwosu")</f>
        <v>Nwosu</v>
      </c>
      <c r="E6249" t="str">
        <f>IFERROR(__xludf.DUMMYFUNCTION("""COMPUTED_VALUE"""),"Uchenna")</f>
        <v>Uchenna</v>
      </c>
      <c r="F6249" t="str">
        <f>IFERROR(__xludf.DUMMYFUNCTION("""COMPUTED_VALUE"""),"LAC")</f>
        <v>LAC</v>
      </c>
      <c r="G6249">
        <f>IFERROR(__xludf.DUMMYFUNCTION("""COMPUTED_VALUE"""),18.25)</f>
        <v>18.25</v>
      </c>
    </row>
    <row r="6250">
      <c r="D6250" t="str">
        <f>IFERROR(__xludf.DUMMYFUNCTION("""COMPUTED_VALUE"""),"Nzeocha")</f>
        <v>Nzeocha</v>
      </c>
      <c r="E6250" t="str">
        <f>IFERROR(__xludf.DUMMYFUNCTION("""COMPUTED_VALUE"""),"Mark")</f>
        <v>Mark</v>
      </c>
      <c r="F6250" t="str">
        <f>IFERROR(__xludf.DUMMYFUNCTION("""COMPUTED_VALUE"""),"SF")</f>
        <v>SF</v>
      </c>
      <c r="G6250">
        <f>IFERROR(__xludf.DUMMYFUNCTION("""COMPUTED_VALUE"""),17.75)</f>
        <v>17.75</v>
      </c>
    </row>
    <row r="6251">
      <c r="D6251" t="str">
        <f>IFERROR(__xludf.DUMMYFUNCTION("""COMPUTED_VALUE"""),"OConnor")</f>
        <v>OConnor</v>
      </c>
      <c r="E6251" t="str">
        <f>IFERROR(__xludf.DUMMYFUNCTION("""COMPUTED_VALUE"""),"Pat")</f>
        <v>Pat</v>
      </c>
      <c r="F6251" t="str">
        <f>IFERROR(__xludf.DUMMYFUNCTION("""COMPUTED_VALUE"""),"TB")</f>
        <v>TB</v>
      </c>
      <c r="G6251">
        <f>IFERROR(__xludf.DUMMYFUNCTION("""COMPUTED_VALUE"""),17.25)</f>
        <v>17.25</v>
      </c>
    </row>
    <row r="6252">
      <c r="D6252" t="str">
        <f>IFERROR(__xludf.DUMMYFUNCTION("""COMPUTED_VALUE"""),"ODaniel")</f>
        <v>ODaniel</v>
      </c>
      <c r="E6252" t="str">
        <f>IFERROR(__xludf.DUMMYFUNCTION("""COMPUTED_VALUE"""),"Dorian")</f>
        <v>Dorian</v>
      </c>
      <c r="F6252" t="str">
        <f>IFERROR(__xludf.DUMMYFUNCTION("""COMPUTED_VALUE"""),"KC")</f>
        <v>KC</v>
      </c>
      <c r="G6252">
        <f>IFERROR(__xludf.DUMMYFUNCTION("""COMPUTED_VALUE"""),17.75)</f>
        <v>17.75</v>
      </c>
    </row>
    <row r="6253">
      <c r="D6253" t="str">
        <f>IFERROR(__xludf.DUMMYFUNCTION("""COMPUTED_VALUE"""),"Odenigbo")</f>
        <v>Odenigbo</v>
      </c>
      <c r="E6253" t="str">
        <f>IFERROR(__xludf.DUMMYFUNCTION("""COMPUTED_VALUE"""),"Ifeadi")</f>
        <v>Ifeadi</v>
      </c>
      <c r="F6253" t="str">
        <f>IFERROR(__xludf.DUMMYFUNCTION("""COMPUTED_VALUE"""),"MIN")</f>
        <v>MIN</v>
      </c>
      <c r="G6253">
        <f>IFERROR(__xludf.DUMMYFUNCTION("""COMPUTED_VALUE"""),16.75)</f>
        <v>16.75</v>
      </c>
    </row>
    <row r="6254">
      <c r="D6254" t="str">
        <f>IFERROR(__xludf.DUMMYFUNCTION("""COMPUTED_VALUE"""),"Odhiambo")</f>
        <v>Odhiambo</v>
      </c>
      <c r="E6254" t="str">
        <f>IFERROR(__xludf.DUMMYFUNCTION("""COMPUTED_VALUE"""),"Rees")</f>
        <v>Rees</v>
      </c>
      <c r="F6254" t="str">
        <f>IFERROR(__xludf.DUMMYFUNCTION("""COMPUTED_VALUE"""),"SEA")</f>
        <v>SEA</v>
      </c>
      <c r="G6254">
        <f>IFERROR(__xludf.DUMMYFUNCTION("""COMPUTED_VALUE"""),17.25)</f>
        <v>17.25</v>
      </c>
    </row>
    <row r="6255">
      <c r="D6255" t="str">
        <f>IFERROR(__xludf.DUMMYFUNCTION("""COMPUTED_VALUE"""),"Odighizuwa")</f>
        <v>Odighizuwa</v>
      </c>
      <c r="E6255" t="str">
        <f>IFERROR(__xludf.DUMMYFUNCTION("""COMPUTED_VALUE"""),"Owa")</f>
        <v>Owa</v>
      </c>
      <c r="F6255" t="str">
        <f>IFERROR(__xludf.DUMMYFUNCTION("""COMPUTED_VALUE"""),"BUF")</f>
        <v>BUF</v>
      </c>
      <c r="G6255">
        <f>IFERROR(__xludf.DUMMYFUNCTION("""COMPUTED_VALUE"""),16.75)</f>
        <v>16.75</v>
      </c>
    </row>
    <row r="6256">
      <c r="D6256" t="str">
        <f>IFERROR(__xludf.DUMMYFUNCTION("""COMPUTED_VALUE"""),"Odom")</f>
        <v>Odom</v>
      </c>
      <c r="E6256" t="str">
        <f>IFERROR(__xludf.DUMMYFUNCTION("""COMPUTED_VALUE"""),"Chris")</f>
        <v>Chris</v>
      </c>
      <c r="F6256" t="str">
        <f>IFERROR(__xludf.DUMMYFUNCTION("""COMPUTED_VALUE"""),"GB")</f>
        <v>GB</v>
      </c>
      <c r="G6256">
        <f>IFERROR(__xludf.DUMMYFUNCTION("""COMPUTED_VALUE"""),15.75)</f>
        <v>15.75</v>
      </c>
    </row>
    <row r="6257">
      <c r="D6257" t="str">
        <f>IFERROR(__xludf.DUMMYFUNCTION("""COMPUTED_VALUE"""),"ODonnell")</f>
        <v>ODonnell</v>
      </c>
      <c r="E6257" t="str">
        <f>IFERROR(__xludf.DUMMYFUNCTION("""COMPUTED_VALUE"""),"Pat")</f>
        <v>Pat</v>
      </c>
      <c r="F6257" t="str">
        <f>IFERROR(__xludf.DUMMYFUNCTION("""COMPUTED_VALUE"""),"CHI")</f>
        <v>CHI</v>
      </c>
      <c r="G6257">
        <f>IFERROR(__xludf.DUMMYFUNCTION("""COMPUTED_VALUE"""),19.25)</f>
        <v>19.25</v>
      </c>
    </row>
    <row r="6258">
      <c r="D6258" t="str">
        <f>IFERROR(__xludf.DUMMYFUNCTION("""COMPUTED_VALUE"""),"Ogbah")</f>
        <v>Ogbah</v>
      </c>
      <c r="E6258" t="str">
        <f>IFERROR(__xludf.DUMMYFUNCTION("""COMPUTED_VALUE"""),"Emmanuel")</f>
        <v>Emmanuel</v>
      </c>
      <c r="F6258" t="str">
        <f>IFERROR(__xludf.DUMMYFUNCTION("""COMPUTED_VALUE"""),"CLE")</f>
        <v>CLE</v>
      </c>
      <c r="G6258">
        <f>IFERROR(__xludf.DUMMYFUNCTION("""COMPUTED_VALUE"""),18.5)</f>
        <v>18.5</v>
      </c>
    </row>
    <row r="6259">
      <c r="D6259" t="str">
        <f>IFERROR(__xludf.DUMMYFUNCTION("""COMPUTED_VALUE"""),"Ogbuehi")</f>
        <v>Ogbuehi</v>
      </c>
      <c r="E6259" t="str">
        <f>IFERROR(__xludf.DUMMYFUNCTION("""COMPUTED_VALUE"""),"Cedric")</f>
        <v>Cedric</v>
      </c>
      <c r="F6259" t="str">
        <f>IFERROR(__xludf.DUMMYFUNCTION("""COMPUTED_VALUE"""),"CIN")</f>
        <v>CIN</v>
      </c>
      <c r="G6259">
        <f>IFERROR(__xludf.DUMMYFUNCTION("""COMPUTED_VALUE"""),18.0)</f>
        <v>18</v>
      </c>
    </row>
    <row r="6260">
      <c r="D6260" t="str">
        <f>IFERROR(__xludf.DUMMYFUNCTION("""COMPUTED_VALUE"""),"Ogletree")</f>
        <v>Ogletree</v>
      </c>
      <c r="E6260" t="str">
        <f>IFERROR(__xludf.DUMMYFUNCTION("""COMPUTED_VALUE"""),"Alec")</f>
        <v>Alec</v>
      </c>
      <c r="F6260" t="str">
        <f>IFERROR(__xludf.DUMMYFUNCTION("""COMPUTED_VALUE"""),"NYG")</f>
        <v>NYG</v>
      </c>
      <c r="G6260">
        <f>IFERROR(__xludf.DUMMYFUNCTION("""COMPUTED_VALUE"""),19.25)</f>
        <v>19.25</v>
      </c>
    </row>
    <row r="6261">
      <c r="D6261" t="str">
        <f>IFERROR(__xludf.DUMMYFUNCTION("""COMPUTED_VALUE"""),"Ogunjobi")</f>
        <v>Ogunjobi</v>
      </c>
      <c r="E6261" t="str">
        <f>IFERROR(__xludf.DUMMYFUNCTION("""COMPUTED_VALUE"""),"Larry")</f>
        <v>Larry</v>
      </c>
      <c r="F6261" t="str">
        <f>IFERROR(__xludf.DUMMYFUNCTION("""COMPUTED_VALUE"""),"CLE")</f>
        <v>CLE</v>
      </c>
      <c r="G6261">
        <f>IFERROR(__xludf.DUMMYFUNCTION("""COMPUTED_VALUE"""),19.25)</f>
        <v>19.25</v>
      </c>
    </row>
    <row r="6262">
      <c r="D6262" t="str">
        <f>IFERROR(__xludf.DUMMYFUNCTION("""COMPUTED_VALUE"""),"Okafor")</f>
        <v>Okafor</v>
      </c>
      <c r="E6262" t="str">
        <f>IFERROR(__xludf.DUMMYFUNCTION("""COMPUTED_VALUE"""),"Alex")</f>
        <v>Alex</v>
      </c>
      <c r="F6262" t="str">
        <f>IFERROR(__xludf.DUMMYFUNCTION("""COMPUTED_VALUE"""),"NO")</f>
        <v>NO</v>
      </c>
      <c r="G6262">
        <f>IFERROR(__xludf.DUMMYFUNCTION("""COMPUTED_VALUE"""),19.5)</f>
        <v>19.5</v>
      </c>
    </row>
    <row r="6263">
      <c r="D6263" t="str">
        <f>IFERROR(__xludf.DUMMYFUNCTION("""COMPUTED_VALUE"""),"Okorafor")</f>
        <v>Okorafor</v>
      </c>
      <c r="E6263" t="str">
        <f>IFERROR(__xludf.DUMMYFUNCTION("""COMPUTED_VALUE"""),"Chukwuma")</f>
        <v>Chukwuma</v>
      </c>
      <c r="F6263" t="str">
        <f>IFERROR(__xludf.DUMMYFUNCTION("""COMPUTED_VALUE"""),"PIT")</f>
        <v>PIT</v>
      </c>
      <c r="G6263">
        <f>IFERROR(__xludf.DUMMYFUNCTION("""COMPUTED_VALUE"""),18.0)</f>
        <v>18</v>
      </c>
    </row>
    <row r="6264">
      <c r="D6264" t="str">
        <f>IFERROR(__xludf.DUMMYFUNCTION("""COMPUTED_VALUE"""),"Okoronkwo")</f>
        <v>Okoronkwo</v>
      </c>
      <c r="E6264" t="str">
        <f>IFERROR(__xludf.DUMMYFUNCTION("""COMPUTED_VALUE"""),"Ogbonnia")</f>
        <v>Ogbonnia</v>
      </c>
      <c r="F6264" t="str">
        <f>IFERROR(__xludf.DUMMYFUNCTION("""COMPUTED_VALUE"""),"LAR")</f>
        <v>LAR</v>
      </c>
      <c r="G6264">
        <f>IFERROR(__xludf.DUMMYFUNCTION("""COMPUTED_VALUE"""),16.75)</f>
        <v>16.75</v>
      </c>
    </row>
    <row r="6265">
      <c r="D6265" t="str">
        <f>IFERROR(__xludf.DUMMYFUNCTION("""COMPUTED_VALUE"""),"Okung")</f>
        <v>Okung</v>
      </c>
      <c r="E6265" t="str">
        <f>IFERROR(__xludf.DUMMYFUNCTION("""COMPUTED_VALUE"""),"Russell")</f>
        <v>Russell</v>
      </c>
      <c r="F6265" t="str">
        <f>IFERROR(__xludf.DUMMYFUNCTION("""COMPUTED_VALUE"""),"LAC")</f>
        <v>LAC</v>
      </c>
      <c r="G6265">
        <f>IFERROR(__xludf.DUMMYFUNCTION("""COMPUTED_VALUE"""),19.75)</f>
        <v>19.75</v>
      </c>
    </row>
    <row r="6266">
      <c r="D6266" t="str">
        <f>IFERROR(__xludf.DUMMYFUNCTION("""COMPUTED_VALUE"""),"Okung")</f>
        <v>Okung</v>
      </c>
      <c r="E6266" t="str">
        <f>IFERROR(__xludf.DUMMYFUNCTION("""COMPUTED_VALUE"""),"Russell")</f>
        <v>Russell</v>
      </c>
      <c r="F6266" t="str">
        <f>IFERROR(__xludf.DUMMYFUNCTION("""COMPUTED_VALUE"""),"LAC")</f>
        <v>LAC</v>
      </c>
      <c r="G6266">
        <f>IFERROR(__xludf.DUMMYFUNCTION("""COMPUTED_VALUE"""),21.75)</f>
        <v>21.75</v>
      </c>
    </row>
    <row r="6267">
      <c r="D6267" t="str">
        <f>IFERROR(__xludf.DUMMYFUNCTION("""COMPUTED_VALUE"""),"Okwara")</f>
        <v>Okwara</v>
      </c>
      <c r="E6267" t="str">
        <f>IFERROR(__xludf.DUMMYFUNCTION("""COMPUTED_VALUE"""),"Romeo")</f>
        <v>Romeo</v>
      </c>
      <c r="F6267" t="str">
        <f>IFERROR(__xludf.DUMMYFUNCTION("""COMPUTED_VALUE"""),"NYG")</f>
        <v>NYG</v>
      </c>
      <c r="G6267">
        <f>IFERROR(__xludf.DUMMYFUNCTION("""COMPUTED_VALUE"""),15.5)</f>
        <v>15.5</v>
      </c>
    </row>
    <row r="6268">
      <c r="D6268" t="str">
        <f>IFERROR(__xludf.DUMMYFUNCTION("""COMPUTED_VALUE"""),"Olawale")</f>
        <v>Olawale</v>
      </c>
      <c r="E6268" t="str">
        <f>IFERROR(__xludf.DUMMYFUNCTION("""COMPUTED_VALUE"""),"Jamize")</f>
        <v>Jamize</v>
      </c>
      <c r="F6268" t="str">
        <f>IFERROR(__xludf.DUMMYFUNCTION("""COMPUTED_VALUE"""),"DAL")</f>
        <v>DAL</v>
      </c>
      <c r="G6268">
        <f>IFERROR(__xludf.DUMMYFUNCTION("""COMPUTED_VALUE"""),19.0)</f>
        <v>19</v>
      </c>
    </row>
    <row r="6269">
      <c r="D6269" t="str">
        <f>IFERROR(__xludf.DUMMYFUNCTION("""COMPUTED_VALUE"""),"OLeary")</f>
        <v>OLeary</v>
      </c>
      <c r="E6269" t="str">
        <f>IFERROR(__xludf.DUMMYFUNCTION("""COMPUTED_VALUE"""),"Nick")</f>
        <v>Nick</v>
      </c>
      <c r="F6269" t="str">
        <f>IFERROR(__xludf.DUMMYFUNCTION("""COMPUTED_VALUE"""),"BUF")</f>
        <v>BUF</v>
      </c>
      <c r="G6269">
        <f>IFERROR(__xludf.DUMMYFUNCTION("""COMPUTED_VALUE"""),17.75)</f>
        <v>17.75</v>
      </c>
    </row>
    <row r="6270">
      <c r="D6270" t="str">
        <f>IFERROR(__xludf.DUMMYFUNCTION("""COMPUTED_VALUE"""),"Oliver")</f>
        <v>Oliver</v>
      </c>
      <c r="E6270" t="str">
        <f>IFERROR(__xludf.DUMMYFUNCTION("""COMPUTED_VALUE"""),"Branden")</f>
        <v>Branden</v>
      </c>
      <c r="F6270" t="str">
        <f>IFERROR(__xludf.DUMMYFUNCTION("""COMPUTED_VALUE"""),"FA")</f>
        <v>FA</v>
      </c>
      <c r="G6270">
        <f>IFERROR(__xludf.DUMMYFUNCTION("""COMPUTED_VALUE"""),15.25)</f>
        <v>15.25</v>
      </c>
    </row>
    <row r="6271">
      <c r="D6271" t="str">
        <f>IFERROR(__xludf.DUMMYFUNCTION("""COMPUTED_VALUE"""),"Oliver")</f>
        <v>Oliver</v>
      </c>
      <c r="E6271" t="str">
        <f>IFERROR(__xludf.DUMMYFUNCTION("""COMPUTED_VALUE"""),"Isaiah")</f>
        <v>Isaiah</v>
      </c>
      <c r="F6271" t="str">
        <f>IFERROR(__xludf.DUMMYFUNCTION("""COMPUTED_VALUE"""),"ATL")</f>
        <v>ATL</v>
      </c>
      <c r="G6271">
        <f>IFERROR(__xludf.DUMMYFUNCTION("""COMPUTED_VALUE"""),18.25)</f>
        <v>18.25</v>
      </c>
    </row>
    <row r="6272">
      <c r="D6272" t="str">
        <f>IFERROR(__xludf.DUMMYFUNCTION("""COMPUTED_VALUE"""),"Olsen")</f>
        <v>Olsen</v>
      </c>
      <c r="E6272" t="str">
        <f>IFERROR(__xludf.DUMMYFUNCTION("""COMPUTED_VALUE"""),"Greg")</f>
        <v>Greg</v>
      </c>
      <c r="F6272" t="str">
        <f>IFERROR(__xludf.DUMMYFUNCTION("""COMPUTED_VALUE"""),"CAR")</f>
        <v>CAR</v>
      </c>
      <c r="G6272">
        <f>IFERROR(__xludf.DUMMYFUNCTION("""COMPUTED_VALUE"""),21.25)</f>
        <v>21.25</v>
      </c>
    </row>
    <row r="6273">
      <c r="D6273" t="str">
        <f>IFERROR(__xludf.DUMMYFUNCTION("""COMPUTED_VALUE"""),"Olsen")</f>
        <v>Olsen</v>
      </c>
      <c r="E6273" t="str">
        <f>IFERROR(__xludf.DUMMYFUNCTION("""COMPUTED_VALUE"""),"Greg")</f>
        <v>Greg</v>
      </c>
      <c r="F6273" t="str">
        <f>IFERROR(__xludf.DUMMYFUNCTION("""COMPUTED_VALUE"""),"CAR")</f>
        <v>CAR</v>
      </c>
      <c r="G6273">
        <f>IFERROR(__xludf.DUMMYFUNCTION("""COMPUTED_VALUE"""),22.75)</f>
        <v>22.75</v>
      </c>
    </row>
    <row r="6274">
      <c r="D6274" t="str">
        <f>IFERROR(__xludf.DUMMYFUNCTION("""COMPUTED_VALUE"""),"Oluokun")</f>
        <v>Oluokun</v>
      </c>
      <c r="E6274" t="str">
        <f>IFERROR(__xludf.DUMMYFUNCTION("""COMPUTED_VALUE"""),"Foyesade")</f>
        <v>Foyesade</v>
      </c>
      <c r="F6274" t="str">
        <f>IFERROR(__xludf.DUMMYFUNCTION("""COMPUTED_VALUE"""),"ATL")</f>
        <v>ATL</v>
      </c>
      <c r="G6274">
        <f>IFERROR(__xludf.DUMMYFUNCTION("""COMPUTED_VALUE"""),17.0)</f>
        <v>17</v>
      </c>
    </row>
    <row r="6275">
      <c r="D6275" t="str">
        <f>IFERROR(__xludf.DUMMYFUNCTION("""COMPUTED_VALUE"""),"OMalley")</f>
        <v>OMalley</v>
      </c>
      <c r="E6275" t="str">
        <f>IFERROR(__xludf.DUMMYFUNCTION("""COMPUTED_VALUE"""),"Ryan")</f>
        <v>Ryan</v>
      </c>
      <c r="F6275" t="str">
        <f>IFERROR(__xludf.DUMMYFUNCTION("""COMPUTED_VALUE"""),"NYG")</f>
        <v>NYG</v>
      </c>
      <c r="G6275">
        <f>IFERROR(__xludf.DUMMYFUNCTION("""COMPUTED_VALUE"""),16.25)</f>
        <v>16.25</v>
      </c>
    </row>
    <row r="6276">
      <c r="D6276" t="str">
        <f>IFERROR(__xludf.DUMMYFUNCTION("""COMPUTED_VALUE"""),"Omameh")</f>
        <v>Omameh</v>
      </c>
      <c r="E6276" t="str">
        <f>IFERROR(__xludf.DUMMYFUNCTION("""COMPUTED_VALUE"""),"Patrick")</f>
        <v>Patrick</v>
      </c>
      <c r="F6276" t="str">
        <f>IFERROR(__xludf.DUMMYFUNCTION("""COMPUTED_VALUE"""),"NYG")</f>
        <v>NYG</v>
      </c>
      <c r="G6276">
        <f>IFERROR(__xludf.DUMMYFUNCTION("""COMPUTED_VALUE"""),18.75)</f>
        <v>18.75</v>
      </c>
    </row>
    <row r="6277">
      <c r="D6277" t="str">
        <f>IFERROR(__xludf.DUMMYFUNCTION("""COMPUTED_VALUE"""),"ONeill")</f>
        <v>ONeill</v>
      </c>
      <c r="E6277" t="str">
        <f>IFERROR(__xludf.DUMMYFUNCTION("""COMPUTED_VALUE"""),"Brian")</f>
        <v>Brian</v>
      </c>
      <c r="F6277" t="str">
        <f>IFERROR(__xludf.DUMMYFUNCTION("""COMPUTED_VALUE"""),"MIN")</f>
        <v>MIN</v>
      </c>
      <c r="G6277">
        <f>IFERROR(__xludf.DUMMYFUNCTION("""COMPUTED_VALUE"""),18.25)</f>
        <v>18.25</v>
      </c>
    </row>
    <row r="6278">
      <c r="D6278" t="str">
        <f>IFERROR(__xludf.DUMMYFUNCTION("""COMPUTED_VALUE"""),"Onwualu")</f>
        <v>Onwualu</v>
      </c>
      <c r="E6278" t="str">
        <f>IFERROR(__xludf.DUMMYFUNCTION("""COMPUTED_VALUE"""),"James")</f>
        <v>James</v>
      </c>
      <c r="F6278" t="str">
        <f>IFERROR(__xludf.DUMMYFUNCTION("""COMPUTED_VALUE"""),"LAC")</f>
        <v>LAC</v>
      </c>
      <c r="G6278">
        <f>IFERROR(__xludf.DUMMYFUNCTION("""COMPUTED_VALUE"""),18.5)</f>
        <v>18.5</v>
      </c>
    </row>
    <row r="6279">
      <c r="D6279" t="str">
        <f>IFERROR(__xludf.DUMMYFUNCTION("""COMPUTED_VALUE"""),"Onwuasor")</f>
        <v>Onwuasor</v>
      </c>
      <c r="E6279" t="str">
        <f>IFERROR(__xludf.DUMMYFUNCTION("""COMPUTED_VALUE"""),"Patrick")</f>
        <v>Patrick</v>
      </c>
      <c r="F6279" t="str">
        <f>IFERROR(__xludf.DUMMYFUNCTION("""COMPUTED_VALUE"""),"BAL")</f>
        <v>BAL</v>
      </c>
      <c r="G6279">
        <f>IFERROR(__xludf.DUMMYFUNCTION("""COMPUTED_VALUE"""),19.0)</f>
        <v>19</v>
      </c>
    </row>
    <row r="6280">
      <c r="D6280" t="str">
        <f>IFERROR(__xludf.DUMMYFUNCTION("""COMPUTED_VALUE"""),"Onyemata")</f>
        <v>Onyemata</v>
      </c>
      <c r="E6280" t="str">
        <f>IFERROR(__xludf.DUMMYFUNCTION("""COMPUTED_VALUE"""),"David")</f>
        <v>David</v>
      </c>
      <c r="F6280" t="str">
        <f>IFERROR(__xludf.DUMMYFUNCTION("""COMPUTED_VALUE"""),"NO")</f>
        <v>NO</v>
      </c>
      <c r="G6280">
        <f>IFERROR(__xludf.DUMMYFUNCTION("""COMPUTED_VALUE"""),19.5)</f>
        <v>19.5</v>
      </c>
    </row>
    <row r="6281">
      <c r="D6281" t="str">
        <f>IFERROR(__xludf.DUMMYFUNCTION("""COMPUTED_VALUE"""),"Orakpo")</f>
        <v>Orakpo</v>
      </c>
      <c r="E6281" t="str">
        <f>IFERROR(__xludf.DUMMYFUNCTION("""COMPUTED_VALUE"""),"Brian")</f>
        <v>Brian</v>
      </c>
      <c r="F6281" t="str">
        <f>IFERROR(__xludf.DUMMYFUNCTION("""COMPUTED_VALUE"""),"TEN")</f>
        <v>TEN</v>
      </c>
      <c r="G6281">
        <f>IFERROR(__xludf.DUMMYFUNCTION("""COMPUTED_VALUE"""),20.75)</f>
        <v>20.75</v>
      </c>
    </row>
    <row r="6282">
      <c r="D6282" t="str">
        <f>IFERROR(__xludf.DUMMYFUNCTION("""COMPUTED_VALUE"""),"Orchard")</f>
        <v>Orchard</v>
      </c>
      <c r="E6282" t="str">
        <f>IFERROR(__xludf.DUMMYFUNCTION("""COMPUTED_VALUE"""),"Nate")</f>
        <v>Nate</v>
      </c>
      <c r="F6282" t="str">
        <f>IFERROR(__xludf.DUMMYFUNCTION("""COMPUTED_VALUE"""),"CLE")</f>
        <v>CLE</v>
      </c>
      <c r="G6282">
        <f>IFERROR(__xludf.DUMMYFUNCTION("""COMPUTED_VALUE"""),16.75)</f>
        <v>16.75</v>
      </c>
    </row>
    <row r="6283">
      <c r="D6283" t="str">
        <f>IFERROR(__xludf.DUMMYFUNCTION("""COMPUTED_VALUE"""),"Osemele")</f>
        <v>Osemele</v>
      </c>
      <c r="E6283" t="str">
        <f>IFERROR(__xludf.DUMMYFUNCTION("""COMPUTED_VALUE"""),"Kelechi")</f>
        <v>Kelechi</v>
      </c>
      <c r="F6283" t="str">
        <f>IFERROR(__xludf.DUMMYFUNCTION("""COMPUTED_VALUE"""),"OAK")</f>
        <v>OAK</v>
      </c>
      <c r="G6283">
        <f>IFERROR(__xludf.DUMMYFUNCTION("""COMPUTED_VALUE"""),21.0)</f>
        <v>21</v>
      </c>
    </row>
    <row r="6284">
      <c r="D6284" t="str">
        <f>IFERROR(__xludf.DUMMYFUNCTION("""COMPUTED_VALUE"""),"Osemele")</f>
        <v>Osemele</v>
      </c>
      <c r="E6284" t="str">
        <f>IFERROR(__xludf.DUMMYFUNCTION("""COMPUTED_VALUE"""),"Kelechi")</f>
        <v>Kelechi</v>
      </c>
      <c r="F6284" t="str">
        <f>IFERROR(__xludf.DUMMYFUNCTION("""COMPUTED_VALUE"""),"OAK")</f>
        <v>OAK</v>
      </c>
      <c r="G6284">
        <f>IFERROR(__xludf.DUMMYFUNCTION("""COMPUTED_VALUE"""),22.5)</f>
        <v>22.5</v>
      </c>
    </row>
    <row r="6285">
      <c r="D6285" t="str">
        <f>IFERROR(__xludf.DUMMYFUNCTION("""COMPUTED_VALUE"""),"OShaughnessy")</f>
        <v>OShaughnessy</v>
      </c>
      <c r="E6285" t="str">
        <f>IFERROR(__xludf.DUMMYFUNCTION("""COMPUTED_VALUE"""),"James")</f>
        <v>James</v>
      </c>
      <c r="F6285" t="str">
        <f>IFERROR(__xludf.DUMMYFUNCTION("""COMPUTED_VALUE"""),"JAX")</f>
        <v>JAX</v>
      </c>
      <c r="G6285">
        <f>IFERROR(__xludf.DUMMYFUNCTION("""COMPUTED_VALUE"""),18.0)</f>
        <v>18</v>
      </c>
    </row>
    <row r="6286">
      <c r="D6286" t="str">
        <f>IFERROR(__xludf.DUMMYFUNCTION("""COMPUTED_VALUE"""),"Osweiler")</f>
        <v>Osweiler</v>
      </c>
      <c r="E6286" t="str">
        <f>IFERROR(__xludf.DUMMYFUNCTION("""COMPUTED_VALUE"""),"Brock")</f>
        <v>Brock</v>
      </c>
      <c r="F6286" t="str">
        <f>IFERROR(__xludf.DUMMYFUNCTION("""COMPUTED_VALUE"""),"MIA")</f>
        <v>MIA</v>
      </c>
      <c r="G6286">
        <f>IFERROR(__xludf.DUMMYFUNCTION("""COMPUTED_VALUE"""),18.5)</f>
        <v>18.5</v>
      </c>
    </row>
    <row r="6287">
      <c r="D6287" t="str">
        <f>IFERROR(__xludf.DUMMYFUNCTION("""COMPUTED_VALUE"""),"Painter")</f>
        <v>Painter</v>
      </c>
      <c r="E6287" t="str">
        <f>IFERROR(__xludf.DUMMYFUNCTION("""COMPUTED_VALUE"""),"Vinston")</f>
        <v>Vinston</v>
      </c>
      <c r="F6287" t="str">
        <f>IFERROR(__xludf.DUMMYFUNCTION("""COMPUTED_VALUE"""),"ARZ")</f>
        <v>ARZ</v>
      </c>
      <c r="G6287">
        <f>IFERROR(__xludf.DUMMYFUNCTION("""COMPUTED_VALUE"""),16.0)</f>
        <v>16</v>
      </c>
    </row>
    <row r="6288">
      <c r="D6288" t="str">
        <f>IFERROR(__xludf.DUMMYFUNCTION("""COMPUTED_VALUE"""),"Palardy")</f>
        <v>Palardy</v>
      </c>
      <c r="E6288" t="str">
        <f>IFERROR(__xludf.DUMMYFUNCTION("""COMPUTED_VALUE"""),"Michael")</f>
        <v>Michael</v>
      </c>
      <c r="F6288" t="str">
        <f>IFERROR(__xludf.DUMMYFUNCTION("""COMPUTED_VALUE"""),"CAR")</f>
        <v>CAR</v>
      </c>
      <c r="G6288">
        <f>IFERROR(__xludf.DUMMYFUNCTION("""COMPUTED_VALUE"""),19.25)</f>
        <v>19.25</v>
      </c>
    </row>
    <row r="6289">
      <c r="D6289" t="str">
        <f>IFERROR(__xludf.DUMMYFUNCTION("""COMPUTED_VALUE"""),"Palepoi")</f>
        <v>Palepoi</v>
      </c>
      <c r="E6289" t="str">
        <f>IFERROR(__xludf.DUMMYFUNCTION("""COMPUTED_VALUE"""),"Tenny")</f>
        <v>Tenny</v>
      </c>
      <c r="F6289" t="str">
        <f>IFERROR(__xludf.DUMMYFUNCTION("""COMPUTED_VALUE"""),"BUF")</f>
        <v>BUF</v>
      </c>
      <c r="G6289">
        <f>IFERROR(__xludf.DUMMYFUNCTION("""COMPUTED_VALUE"""),18.25)</f>
        <v>18.25</v>
      </c>
    </row>
    <row r="6290">
      <c r="D6290" t="str">
        <f>IFERROR(__xludf.DUMMYFUNCTION("""COMPUTED_VALUE"""),"Palmer")</f>
        <v>Palmer</v>
      </c>
      <c r="E6290" t="str">
        <f>IFERROR(__xludf.DUMMYFUNCTION("""COMPUTED_VALUE"""),"Nate")</f>
        <v>Nate</v>
      </c>
      <c r="F6290" t="str">
        <f>IFERROR(__xludf.DUMMYFUNCTION("""COMPUTED_VALUE"""),"TEN")</f>
        <v>TEN</v>
      </c>
      <c r="G6290">
        <f>IFERROR(__xludf.DUMMYFUNCTION("""COMPUTED_VALUE"""),16.75)</f>
        <v>16.75</v>
      </c>
    </row>
    <row r="6291">
      <c r="D6291" t="str">
        <f>IFERROR(__xludf.DUMMYFUNCTION("""COMPUTED_VALUE"""),"Pamphile")</f>
        <v>Pamphile</v>
      </c>
      <c r="E6291" t="str">
        <f>IFERROR(__xludf.DUMMYFUNCTION("""COMPUTED_VALUE"""),"Kevin")</f>
        <v>Kevin</v>
      </c>
      <c r="F6291" t="str">
        <f>IFERROR(__xludf.DUMMYFUNCTION("""COMPUTED_VALUE"""),"TEN")</f>
        <v>TEN</v>
      </c>
      <c r="G6291">
        <f>IFERROR(__xludf.DUMMYFUNCTION("""COMPUTED_VALUE"""),18.25)</f>
        <v>18.25</v>
      </c>
    </row>
    <row r="6292">
      <c r="D6292" t="str">
        <f>IFERROR(__xludf.DUMMYFUNCTION("""COMPUTED_VALUE"""),"Pankey")</f>
        <v>Pankey</v>
      </c>
      <c r="E6292" t="str">
        <f>IFERROR(__xludf.DUMMYFUNCTION("""COMPUTED_VALUE"""),"Adam")</f>
        <v>Adam</v>
      </c>
      <c r="F6292" t="str">
        <f>IFERROR(__xludf.DUMMYFUNCTION("""COMPUTED_VALUE"""),"GB")</f>
        <v>GB</v>
      </c>
      <c r="G6292">
        <f>IFERROR(__xludf.DUMMYFUNCTION("""COMPUTED_VALUE"""),16.25)</f>
        <v>16.25</v>
      </c>
    </row>
    <row r="6293">
      <c r="D6293" t="str">
        <f>IFERROR(__xludf.DUMMYFUNCTION("""COMPUTED_VALUE"""),"Paradis")</f>
        <v>Paradis</v>
      </c>
      <c r="E6293" t="str">
        <f>IFERROR(__xludf.DUMMYFUNCTION("""COMPUTED_VALUE"""),"Matt")</f>
        <v>Matt</v>
      </c>
      <c r="F6293" t="str">
        <f>IFERROR(__xludf.DUMMYFUNCTION("""COMPUTED_VALUE"""),"DEN")</f>
        <v>DEN</v>
      </c>
      <c r="G6293">
        <f>IFERROR(__xludf.DUMMYFUNCTION("""COMPUTED_VALUE"""),20.0)</f>
        <v>20</v>
      </c>
    </row>
    <row r="6294">
      <c r="D6294" t="str">
        <f>IFERROR(__xludf.DUMMYFUNCTION("""COMPUTED_VALUE"""),"Parker")</f>
        <v>Parker</v>
      </c>
      <c r="E6294" t="str">
        <f>IFERROR(__xludf.DUMMYFUNCTION("""COMPUTED_VALUE"""),"Brandon")</f>
        <v>Brandon</v>
      </c>
      <c r="F6294" t="str">
        <f>IFERROR(__xludf.DUMMYFUNCTION("""COMPUTED_VALUE"""),"OAK")</f>
        <v>OAK</v>
      </c>
      <c r="G6294">
        <f>IFERROR(__xludf.DUMMYFUNCTION("""COMPUTED_VALUE"""),18.0)</f>
        <v>18</v>
      </c>
    </row>
    <row r="6295">
      <c r="D6295" t="str">
        <f>IFERROR(__xludf.DUMMYFUNCTION("""COMPUTED_VALUE"""),"Parker")</f>
        <v>Parker</v>
      </c>
      <c r="E6295" t="str">
        <f>IFERROR(__xludf.DUMMYFUNCTION("""COMPUTED_VALUE"""),"Brian")</f>
        <v>Brian</v>
      </c>
      <c r="F6295" t="str">
        <f>IFERROR(__xludf.DUMMYFUNCTION("""COMPUTED_VALUE"""),"DEN")</f>
        <v>DEN</v>
      </c>
      <c r="G6295">
        <f>IFERROR(__xludf.DUMMYFUNCTION("""COMPUTED_VALUE"""),16.0)</f>
        <v>16</v>
      </c>
    </row>
    <row r="6296">
      <c r="D6296" t="str">
        <f>IFERROR(__xludf.DUMMYFUNCTION("""COMPUTED_VALUE"""),"Parker")</f>
        <v>Parker</v>
      </c>
      <c r="E6296" t="str">
        <f>IFERROR(__xludf.DUMMYFUNCTION("""COMPUTED_VALUE"""),"DeVante")</f>
        <v>DeVante</v>
      </c>
      <c r="F6296" t="str">
        <f>IFERROR(__xludf.DUMMYFUNCTION("""COMPUTED_VALUE"""),"MIA")</f>
        <v>MIA</v>
      </c>
      <c r="G6296">
        <f>IFERROR(__xludf.DUMMYFUNCTION("""COMPUTED_VALUE"""),20.25)</f>
        <v>20.25</v>
      </c>
    </row>
    <row r="6297">
      <c r="D6297" t="str">
        <f>IFERROR(__xludf.DUMMYFUNCTION("""COMPUTED_VALUE"""),"Parker")</f>
        <v>Parker</v>
      </c>
      <c r="E6297" t="str">
        <f>IFERROR(__xludf.DUMMYFUNCTION("""COMPUTED_VALUE"""),"Ron")</f>
        <v>Ron</v>
      </c>
      <c r="F6297" t="str">
        <f>IFERROR(__xludf.DUMMYFUNCTION("""COMPUTED_VALUE"""),"FA")</f>
        <v>FA</v>
      </c>
      <c r="G6297">
        <f>IFERROR(__xludf.DUMMYFUNCTION("""COMPUTED_VALUE"""),15.25)</f>
        <v>15.25</v>
      </c>
    </row>
    <row r="6298">
      <c r="D6298" t="str">
        <f>IFERROR(__xludf.DUMMYFUNCTION("""COMPUTED_VALUE"""),"Parkey")</f>
        <v>Parkey</v>
      </c>
      <c r="E6298" t="str">
        <f>IFERROR(__xludf.DUMMYFUNCTION("""COMPUTED_VALUE"""),"Cody")</f>
        <v>Cody</v>
      </c>
      <c r="F6298" t="str">
        <f>IFERROR(__xludf.DUMMYFUNCTION("""COMPUTED_VALUE"""),"CHI")</f>
        <v>CHI</v>
      </c>
      <c r="G6298">
        <f>IFERROR(__xludf.DUMMYFUNCTION("""COMPUTED_VALUE"""),19.25)</f>
        <v>19.25</v>
      </c>
    </row>
    <row r="6299">
      <c r="D6299" t="str">
        <f>IFERROR(__xludf.DUMMYFUNCTION("""COMPUTED_VALUE"""),"Parks")</f>
        <v>Parks</v>
      </c>
      <c r="E6299" t="str">
        <f>IFERROR(__xludf.DUMMYFUNCTION("""COMPUTED_VALUE"""),"Will")</f>
        <v>Will</v>
      </c>
      <c r="F6299" t="str">
        <f>IFERROR(__xludf.DUMMYFUNCTION("""COMPUTED_VALUE"""),"DEN")</f>
        <v>DEN</v>
      </c>
      <c r="G6299">
        <f>IFERROR(__xludf.DUMMYFUNCTION("""COMPUTED_VALUE"""),18.0)</f>
        <v>18</v>
      </c>
    </row>
    <row r="6300">
      <c r="D6300" t="str">
        <f>IFERROR(__xludf.DUMMYFUNCTION("""COMPUTED_VALUE"""),"Parnell")</f>
        <v>Parnell</v>
      </c>
      <c r="E6300" t="str">
        <f>IFERROR(__xludf.DUMMYFUNCTION("""COMPUTED_VALUE"""),"Jermey")</f>
        <v>Jermey</v>
      </c>
      <c r="F6300" t="str">
        <f>IFERROR(__xludf.DUMMYFUNCTION("""COMPUTED_VALUE"""),"JAX")</f>
        <v>JAX</v>
      </c>
      <c r="G6300">
        <f>IFERROR(__xludf.DUMMYFUNCTION("""COMPUTED_VALUE"""),19.75)</f>
        <v>19.75</v>
      </c>
    </row>
    <row r="6301">
      <c r="D6301" t="str">
        <f>IFERROR(__xludf.DUMMYFUNCTION("""COMPUTED_VALUE"""),"Parry")</f>
        <v>Parry</v>
      </c>
      <c r="E6301" t="str">
        <f>IFERROR(__xludf.DUMMYFUNCTION("""COMPUTED_VALUE"""),"David")</f>
        <v>David</v>
      </c>
      <c r="F6301" t="str">
        <f>IFERROR(__xludf.DUMMYFUNCTION("""COMPUTED_VALUE"""),"MIN")</f>
        <v>MIN</v>
      </c>
      <c r="G6301">
        <f>IFERROR(__xludf.DUMMYFUNCTION("""COMPUTED_VALUE"""),17.0)</f>
        <v>17</v>
      </c>
    </row>
    <row r="6302">
      <c r="D6302" t="str">
        <f>IFERROR(__xludf.DUMMYFUNCTION("""COMPUTED_VALUE"""),"Pascal")</f>
        <v>Pascal</v>
      </c>
      <c r="E6302" t="str">
        <f>IFERROR(__xludf.DUMMYFUNCTION("""COMPUTED_VALUE"""),"Zach")</f>
        <v>Zach</v>
      </c>
      <c r="F6302" t="str">
        <f>IFERROR(__xludf.DUMMYFUNCTION("""COMPUTED_VALUE"""),"FA")</f>
        <v>FA</v>
      </c>
      <c r="G6302">
        <f>IFERROR(__xludf.DUMMYFUNCTION("""COMPUTED_VALUE"""),16.75)</f>
        <v>16.75</v>
      </c>
    </row>
    <row r="6303">
      <c r="D6303" t="str">
        <f>IFERROR(__xludf.DUMMYFUNCTION("""COMPUTED_VALUE"""),"Pasztor")</f>
        <v>Pasztor</v>
      </c>
      <c r="E6303" t="str">
        <f>IFERROR(__xludf.DUMMYFUNCTION("""COMPUTED_VALUE"""),"Austin")</f>
        <v>Austin</v>
      </c>
      <c r="F6303" t="str">
        <f>IFERROR(__xludf.DUMMYFUNCTION("""COMPUTED_VALUE"""),"ATL")</f>
        <v>ATL</v>
      </c>
      <c r="G6303">
        <f>IFERROR(__xludf.DUMMYFUNCTION("""COMPUTED_VALUE"""),18.0)</f>
        <v>18</v>
      </c>
    </row>
    <row r="6304">
      <c r="D6304" t="str">
        <f>IFERROR(__xludf.DUMMYFUNCTION("""COMPUTED_VALUE"""),"Patrick")</f>
        <v>Patrick</v>
      </c>
      <c r="E6304" t="str">
        <f>IFERROR(__xludf.DUMMYFUNCTION("""COMPUTED_VALUE"""),"Lucas")</f>
        <v>Lucas</v>
      </c>
      <c r="F6304" t="str">
        <f>IFERROR(__xludf.DUMMYFUNCTION("""COMPUTED_VALUE"""),"GB")</f>
        <v>GB</v>
      </c>
      <c r="G6304">
        <f>IFERROR(__xludf.DUMMYFUNCTION("""COMPUTED_VALUE"""),17.25)</f>
        <v>17.25</v>
      </c>
    </row>
    <row r="6305">
      <c r="D6305" t="str">
        <f>IFERROR(__xludf.DUMMYFUNCTION("""COMPUTED_VALUE"""),"Patrick")</f>
        <v>Patrick</v>
      </c>
      <c r="E6305" t="str">
        <f>IFERROR(__xludf.DUMMYFUNCTION("""COMPUTED_VALUE"""),"Tim")</f>
        <v>Tim</v>
      </c>
      <c r="F6305" t="str">
        <f>IFERROR(__xludf.DUMMYFUNCTION("""COMPUTED_VALUE"""),"DEN")</f>
        <v>DEN</v>
      </c>
      <c r="G6305">
        <f>IFERROR(__xludf.DUMMYFUNCTION("""COMPUTED_VALUE"""),16.0)</f>
        <v>16</v>
      </c>
    </row>
    <row r="6306">
      <c r="D6306" t="str">
        <f>IFERROR(__xludf.DUMMYFUNCTION("""COMPUTED_VALUE"""),"Patterson")</f>
        <v>Patterson</v>
      </c>
      <c r="E6306" t="str">
        <f>IFERROR(__xludf.DUMMYFUNCTION("""COMPUTED_VALUE"""),"Cordarrelle")</f>
        <v>Cordarrelle</v>
      </c>
      <c r="F6306" t="str">
        <f>IFERROR(__xludf.DUMMYFUNCTION("""COMPUTED_VALUE"""),"NE")</f>
        <v>NE</v>
      </c>
      <c r="G6306">
        <f>IFERROR(__xludf.DUMMYFUNCTION("""COMPUTED_VALUE"""),18.75)</f>
        <v>18.75</v>
      </c>
    </row>
    <row r="6307">
      <c r="D6307" t="str">
        <f>IFERROR(__xludf.DUMMYFUNCTION("""COMPUTED_VALUE"""),"Paul")</f>
        <v>Paul</v>
      </c>
      <c r="E6307" t="str">
        <f>IFERROR(__xludf.DUMMYFUNCTION("""COMPUTED_VALUE"""),"Niles")</f>
        <v>Niles</v>
      </c>
      <c r="F6307" t="str">
        <f>IFERROR(__xludf.DUMMYFUNCTION("""COMPUTED_VALUE"""),"JAX")</f>
        <v>JAX</v>
      </c>
      <c r="G6307">
        <f>IFERROR(__xludf.DUMMYFUNCTION("""COMPUTED_VALUE"""),17.75)</f>
        <v>17.75</v>
      </c>
    </row>
    <row r="6308">
      <c r="D6308" t="str">
        <f>IFERROR(__xludf.DUMMYFUNCTION("""COMPUTED_VALUE"""),"Paulsen")</f>
        <v>Paulsen</v>
      </c>
      <c r="E6308" t="str">
        <f>IFERROR(__xludf.DUMMYFUNCTION("""COMPUTED_VALUE"""),"Logan")</f>
        <v>Logan</v>
      </c>
      <c r="F6308" t="str">
        <f>IFERROR(__xludf.DUMMYFUNCTION("""COMPUTED_VALUE"""),"ATL")</f>
        <v>ATL</v>
      </c>
      <c r="G6308">
        <f>IFERROR(__xludf.DUMMYFUNCTION("""COMPUTED_VALUE"""),16.25)</f>
        <v>16.25</v>
      </c>
    </row>
    <row r="6309">
      <c r="D6309" t="str">
        <f>IFERROR(__xludf.DUMMYFUNCTION("""COMPUTED_VALUE"""),"Payne")</f>
        <v>Payne</v>
      </c>
      <c r="E6309" t="str">
        <f>IFERROR(__xludf.DUMMYFUNCTION("""COMPUTED_VALUE"""),"DaRon")</f>
        <v>DaRon</v>
      </c>
      <c r="F6309" t="str">
        <f>IFERROR(__xludf.DUMMYFUNCTION("""COMPUTED_VALUE"""),"WAS")</f>
        <v>WAS</v>
      </c>
      <c r="G6309">
        <f>IFERROR(__xludf.DUMMYFUNCTION("""COMPUTED_VALUE"""),19.25)</f>
        <v>19.25</v>
      </c>
    </row>
    <row r="6310">
      <c r="D6310" t="str">
        <f>IFERROR(__xludf.DUMMYFUNCTION("""COMPUTED_VALUE"""),"Payne")</f>
        <v>Payne</v>
      </c>
      <c r="E6310" t="str">
        <f>IFERROR(__xludf.DUMMYFUNCTION("""COMPUTED_VALUE"""),"Donald")</f>
        <v>Donald</v>
      </c>
      <c r="F6310" t="str">
        <f>IFERROR(__xludf.DUMMYFUNCTION("""COMPUTED_VALUE"""),"JAX")</f>
        <v>JAX</v>
      </c>
      <c r="G6310">
        <f>IFERROR(__xludf.DUMMYFUNCTION("""COMPUTED_VALUE"""),17.0)</f>
        <v>17</v>
      </c>
    </row>
    <row r="6311">
      <c r="D6311" t="str">
        <f>IFERROR(__xludf.DUMMYFUNCTION("""COMPUTED_VALUE"""),"Peake")</f>
        <v>Peake</v>
      </c>
      <c r="E6311" t="str">
        <f>IFERROR(__xludf.DUMMYFUNCTION("""COMPUTED_VALUE"""),"Charone")</f>
        <v>Charone</v>
      </c>
      <c r="F6311" t="str">
        <f>IFERROR(__xludf.DUMMYFUNCTION("""COMPUTED_VALUE"""),"NYJ")</f>
        <v>NYJ</v>
      </c>
      <c r="G6311">
        <f>IFERROR(__xludf.DUMMYFUNCTION("""COMPUTED_VALUE"""),17.25)</f>
        <v>17.25</v>
      </c>
    </row>
    <row r="6312">
      <c r="D6312" t="str">
        <f>IFERROR(__xludf.DUMMYFUNCTION("""COMPUTED_VALUE"""),"Peat")</f>
        <v>Peat</v>
      </c>
      <c r="E6312" t="str">
        <f>IFERROR(__xludf.DUMMYFUNCTION("""COMPUTED_VALUE"""),"Andrus")</f>
        <v>Andrus</v>
      </c>
      <c r="F6312" t="str">
        <f>IFERROR(__xludf.DUMMYFUNCTION("""COMPUTED_VALUE"""),"NO")</f>
        <v>NO</v>
      </c>
      <c r="G6312">
        <f>IFERROR(__xludf.DUMMYFUNCTION("""COMPUTED_VALUE"""),19.0)</f>
        <v>19</v>
      </c>
    </row>
    <row r="6313">
      <c r="D6313" t="str">
        <f>IFERROR(__xludf.DUMMYFUNCTION("""COMPUTED_VALUE"""),"Peko")</f>
        <v>Peko</v>
      </c>
      <c r="E6313" t="str">
        <f>IFERROR(__xludf.DUMMYFUNCTION("""COMPUTED_VALUE"""),"Kyle")</f>
        <v>Kyle</v>
      </c>
      <c r="F6313" t="str">
        <f>IFERROR(__xludf.DUMMYFUNCTION("""COMPUTED_VALUE"""),"DEN")</f>
        <v>DEN</v>
      </c>
      <c r="G6313">
        <f>IFERROR(__xludf.DUMMYFUNCTION("""COMPUTED_VALUE"""),16.0)</f>
        <v>16</v>
      </c>
    </row>
    <row r="6314">
      <c r="D6314" t="str">
        <f>IFERROR(__xludf.DUMMYFUNCTION("""COMPUTED_VALUE"""),"Peko Sr")</f>
        <v>Peko Sr</v>
      </c>
      <c r="E6314" t="str">
        <f>IFERROR(__xludf.DUMMYFUNCTION("""COMPUTED_VALUE"""),"Domata")</f>
        <v>Domata</v>
      </c>
      <c r="F6314" t="str">
        <f>IFERROR(__xludf.DUMMYFUNCTION("""COMPUTED_VALUE"""),"DEN")</f>
        <v>DEN</v>
      </c>
      <c r="G6314">
        <f>IFERROR(__xludf.DUMMYFUNCTION("""COMPUTED_VALUE"""),19.25)</f>
        <v>19.25</v>
      </c>
    </row>
    <row r="6315">
      <c r="D6315" t="str">
        <f>IFERROR(__xludf.DUMMYFUNCTION("""COMPUTED_VALUE"""),"Penn")</f>
        <v>Penn</v>
      </c>
      <c r="E6315" t="str">
        <f>IFERROR(__xludf.DUMMYFUNCTION("""COMPUTED_VALUE"""),"Donald")</f>
        <v>Donald</v>
      </c>
      <c r="F6315" t="str">
        <f>IFERROR(__xludf.DUMMYFUNCTION("""COMPUTED_VALUE"""),"OAK")</f>
        <v>OAK</v>
      </c>
      <c r="G6315">
        <f>IFERROR(__xludf.DUMMYFUNCTION("""COMPUTED_VALUE"""),20.75)</f>
        <v>20.75</v>
      </c>
    </row>
    <row r="6316">
      <c r="D6316" t="str">
        <f>IFERROR(__xludf.DUMMYFUNCTION("""COMPUTED_VALUE"""),"Pennel")</f>
        <v>Pennel</v>
      </c>
      <c r="E6316" t="str">
        <f>IFERROR(__xludf.DUMMYFUNCTION("""COMPUTED_VALUE"""),"Mike")</f>
        <v>Mike</v>
      </c>
      <c r="F6316" t="str">
        <f>IFERROR(__xludf.DUMMYFUNCTION("""COMPUTED_VALUE"""),"NYJ")</f>
        <v>NYJ</v>
      </c>
      <c r="G6316">
        <f>IFERROR(__xludf.DUMMYFUNCTION("""COMPUTED_VALUE"""),17.25)</f>
        <v>17.25</v>
      </c>
    </row>
    <row r="6317">
      <c r="D6317" t="str">
        <f>IFERROR(__xludf.DUMMYFUNCTION("""COMPUTED_VALUE"""),"Penny")</f>
        <v>Penny</v>
      </c>
      <c r="E6317" t="str">
        <f>IFERROR(__xludf.DUMMYFUNCTION("""COMPUTED_VALUE"""),"Elijhaa")</f>
        <v>Elijhaa</v>
      </c>
      <c r="F6317" t="str">
        <f>IFERROR(__xludf.DUMMYFUNCTION("""COMPUTED_VALUE"""),"ARZ")</f>
        <v>ARZ</v>
      </c>
      <c r="G6317">
        <f>IFERROR(__xludf.DUMMYFUNCTION("""COMPUTED_VALUE"""),16.5)</f>
        <v>16.5</v>
      </c>
    </row>
    <row r="6318">
      <c r="D6318" t="str">
        <f>IFERROR(__xludf.DUMMYFUNCTION("""COMPUTED_VALUE"""),"Penny")</f>
        <v>Penny</v>
      </c>
      <c r="E6318" t="str">
        <f>IFERROR(__xludf.DUMMYFUNCTION("""COMPUTED_VALUE"""),"Rashaad")</f>
        <v>Rashaad</v>
      </c>
      <c r="F6318" t="str">
        <f>IFERROR(__xludf.DUMMYFUNCTION("""COMPUTED_VALUE"""),"SEA")</f>
        <v>SEA</v>
      </c>
      <c r="G6318">
        <f>IFERROR(__xludf.DUMMYFUNCTION("""COMPUTED_VALUE"""),18.75)</f>
        <v>18.75</v>
      </c>
    </row>
    <row r="6319">
      <c r="D6319" t="str">
        <f>IFERROR(__xludf.DUMMYFUNCTION("""COMPUTED_VALUE"""),"Peppers")</f>
        <v>Peppers</v>
      </c>
      <c r="E6319" t="str">
        <f>IFERROR(__xludf.DUMMYFUNCTION("""COMPUTED_VALUE"""),"Jabrill")</f>
        <v>Jabrill</v>
      </c>
      <c r="F6319" t="str">
        <f>IFERROR(__xludf.DUMMYFUNCTION("""COMPUTED_VALUE"""),"CLE")</f>
        <v>CLE</v>
      </c>
      <c r="G6319">
        <f>IFERROR(__xludf.DUMMYFUNCTION("""COMPUTED_VALUE"""),19.0)</f>
        <v>19</v>
      </c>
    </row>
    <row r="6320">
      <c r="D6320" t="str">
        <f>IFERROR(__xludf.DUMMYFUNCTION("""COMPUTED_VALUE"""),"Peppers")</f>
        <v>Peppers</v>
      </c>
      <c r="E6320" t="str">
        <f>IFERROR(__xludf.DUMMYFUNCTION("""COMPUTED_VALUE"""),"Julius")</f>
        <v>Julius</v>
      </c>
      <c r="F6320" t="str">
        <f>IFERROR(__xludf.DUMMYFUNCTION("""COMPUTED_VALUE"""),"CAR")</f>
        <v>CAR</v>
      </c>
      <c r="G6320">
        <f>IFERROR(__xludf.DUMMYFUNCTION("""COMPUTED_VALUE"""),20.0)</f>
        <v>20</v>
      </c>
    </row>
    <row r="6321">
      <c r="D6321" t="str">
        <f>IFERROR(__xludf.DUMMYFUNCTION("""COMPUTED_VALUE"""),"Perine")</f>
        <v>Perine</v>
      </c>
      <c r="E6321" t="str">
        <f>IFERROR(__xludf.DUMMYFUNCTION("""COMPUTED_VALUE"""),"Samaje")</f>
        <v>Samaje</v>
      </c>
      <c r="F6321" t="str">
        <f>IFERROR(__xludf.DUMMYFUNCTION("""COMPUTED_VALUE"""),"WAS")</f>
        <v>WAS</v>
      </c>
      <c r="G6321">
        <f>IFERROR(__xludf.DUMMYFUNCTION("""COMPUTED_VALUE"""),18.5)</f>
        <v>18.5</v>
      </c>
    </row>
    <row r="6322">
      <c r="D6322" t="str">
        <f>IFERROR(__xludf.DUMMYFUNCTION("""COMPUTED_VALUE"""),"Perkins")</f>
        <v>Perkins</v>
      </c>
      <c r="E6322" t="str">
        <f>IFERROR(__xludf.DUMMYFUNCTION("""COMPUTED_VALUE"""),"Joshua")</f>
        <v>Joshua</v>
      </c>
      <c r="F6322" t="str">
        <f>IFERROR(__xludf.DUMMYFUNCTION("""COMPUTED_VALUE"""),"PHI")</f>
        <v>PHI</v>
      </c>
      <c r="G6322">
        <f>IFERROR(__xludf.DUMMYFUNCTION("""COMPUTED_VALUE"""),15.75)</f>
        <v>15.75</v>
      </c>
    </row>
    <row r="6323">
      <c r="D6323" t="str">
        <f>IFERROR(__xludf.DUMMYFUNCTION("""COMPUTED_VALUE"""),"Perkins")</f>
        <v>Perkins</v>
      </c>
      <c r="E6323" t="str">
        <f>IFERROR(__xludf.DUMMYFUNCTION("""COMPUTED_VALUE"""),"Paul")</f>
        <v>Paul</v>
      </c>
      <c r="F6323" t="str">
        <f>IFERROR(__xludf.DUMMYFUNCTION("""COMPUTED_VALUE"""),"FA")</f>
        <v>FA</v>
      </c>
      <c r="G6323">
        <f>IFERROR(__xludf.DUMMYFUNCTION("""COMPUTED_VALUE"""),18.0)</f>
        <v>18</v>
      </c>
    </row>
    <row r="6324">
      <c r="D6324" t="str">
        <f>IFERROR(__xludf.DUMMYFUNCTION("""COMPUTED_VALUE"""),"Perriman")</f>
        <v>Perriman</v>
      </c>
      <c r="E6324" t="str">
        <f>IFERROR(__xludf.DUMMYFUNCTION("""COMPUTED_VALUE"""),"Breshad")</f>
        <v>Breshad</v>
      </c>
      <c r="F6324" t="str">
        <f>IFERROR(__xludf.DUMMYFUNCTION("""COMPUTED_VALUE"""),"BAL")</f>
        <v>BAL</v>
      </c>
      <c r="G6324">
        <f>IFERROR(__xludf.DUMMYFUNCTION("""COMPUTED_VALUE"""),18.5)</f>
        <v>18.5</v>
      </c>
    </row>
    <row r="6325">
      <c r="D6325" t="str">
        <f>IFERROR(__xludf.DUMMYFUNCTION("""COMPUTED_VALUE"""),"Perry")</f>
        <v>Perry</v>
      </c>
      <c r="E6325" t="str">
        <f>IFERROR(__xludf.DUMMYFUNCTION("""COMPUTED_VALUE"""),"Joshua")</f>
        <v>Joshua</v>
      </c>
      <c r="F6325" t="str">
        <f>IFERROR(__xludf.DUMMYFUNCTION("""COMPUTED_VALUE"""),"FA")</f>
        <v>FA</v>
      </c>
      <c r="G6325">
        <f>IFERROR(__xludf.DUMMYFUNCTION("""COMPUTED_VALUE"""),18.25)</f>
        <v>18.25</v>
      </c>
    </row>
    <row r="6326">
      <c r="D6326" t="str">
        <f>IFERROR(__xludf.DUMMYFUNCTION("""COMPUTED_VALUE"""),"Perry")</f>
        <v>Perry</v>
      </c>
      <c r="E6326" t="str">
        <f>IFERROR(__xludf.DUMMYFUNCTION("""COMPUTED_VALUE"""),"Nick")</f>
        <v>Nick</v>
      </c>
      <c r="F6326" t="str">
        <f>IFERROR(__xludf.DUMMYFUNCTION("""COMPUTED_VALUE"""),"GB")</f>
        <v>GB</v>
      </c>
      <c r="G6326">
        <f>IFERROR(__xludf.DUMMYFUNCTION("""COMPUTED_VALUE"""),20.0)</f>
        <v>20</v>
      </c>
    </row>
    <row r="6327">
      <c r="D6327" t="str">
        <f>IFERROR(__xludf.DUMMYFUNCTION("""COMPUTED_VALUE"""),"Perry")</f>
        <v>Perry</v>
      </c>
      <c r="E6327" t="str">
        <f>IFERROR(__xludf.DUMMYFUNCTION("""COMPUTED_VALUE"""),"Senorise")</f>
        <v>Senorise</v>
      </c>
      <c r="F6327" t="str">
        <f>IFERROR(__xludf.DUMMYFUNCTION("""COMPUTED_VALUE"""),"MIA")</f>
        <v>MIA</v>
      </c>
      <c r="G6327">
        <f>IFERROR(__xludf.DUMMYFUNCTION("""COMPUTED_VALUE"""),16.0)</f>
        <v>16</v>
      </c>
    </row>
    <row r="6328">
      <c r="D6328" t="str">
        <f>IFERROR(__xludf.DUMMYFUNCTION("""COMPUTED_VALUE"""),"Perryman")</f>
        <v>Perryman</v>
      </c>
      <c r="E6328" t="str">
        <f>IFERROR(__xludf.DUMMYFUNCTION("""COMPUTED_VALUE"""),"Denzel")</f>
        <v>Denzel</v>
      </c>
      <c r="F6328" t="str">
        <f>IFERROR(__xludf.DUMMYFUNCTION("""COMPUTED_VALUE"""),"LAC")</f>
        <v>LAC</v>
      </c>
      <c r="G6328">
        <f>IFERROR(__xludf.DUMMYFUNCTION("""COMPUTED_VALUE"""),19.75)</f>
        <v>19.75</v>
      </c>
    </row>
    <row r="6329">
      <c r="D6329" t="str">
        <f>IFERROR(__xludf.DUMMYFUNCTION("""COMPUTED_VALUE"""),"Peterman")</f>
        <v>Peterman</v>
      </c>
      <c r="E6329" t="str">
        <f>IFERROR(__xludf.DUMMYFUNCTION("""COMPUTED_VALUE"""),"Nathan")</f>
        <v>Nathan</v>
      </c>
      <c r="F6329" t="str">
        <f>IFERROR(__xludf.DUMMYFUNCTION("""COMPUTED_VALUE"""),"BUF")</f>
        <v>BUF</v>
      </c>
      <c r="G6329">
        <f>IFERROR(__xludf.DUMMYFUNCTION("""COMPUTED_VALUE"""),18.0)</f>
        <v>18</v>
      </c>
    </row>
    <row r="6330">
      <c r="D6330" t="str">
        <f>IFERROR(__xludf.DUMMYFUNCTION("""COMPUTED_VALUE"""),"Peters")</f>
        <v>Peters</v>
      </c>
      <c r="E6330" t="str">
        <f>IFERROR(__xludf.DUMMYFUNCTION("""COMPUTED_VALUE"""),"Brian")</f>
        <v>Brian</v>
      </c>
      <c r="F6330" t="str">
        <f>IFERROR(__xludf.DUMMYFUNCTION("""COMPUTED_VALUE"""),"HOU")</f>
        <v>HOU</v>
      </c>
      <c r="G6330">
        <f>IFERROR(__xludf.DUMMYFUNCTION("""COMPUTED_VALUE"""),16.25)</f>
        <v>16.25</v>
      </c>
    </row>
    <row r="6331">
      <c r="D6331" t="str">
        <f>IFERROR(__xludf.DUMMYFUNCTION("""COMPUTED_VALUE"""),"Peters")</f>
        <v>Peters</v>
      </c>
      <c r="E6331" t="str">
        <f>IFERROR(__xludf.DUMMYFUNCTION("""COMPUTED_VALUE"""),"Corey")</f>
        <v>Corey</v>
      </c>
      <c r="F6331" t="str">
        <f>IFERROR(__xludf.DUMMYFUNCTION("""COMPUTED_VALUE"""),"ARZ")</f>
        <v>ARZ</v>
      </c>
      <c r="G6331">
        <f>IFERROR(__xludf.DUMMYFUNCTION("""COMPUTED_VALUE"""),19.75)</f>
        <v>19.75</v>
      </c>
    </row>
    <row r="6332">
      <c r="D6332" t="str">
        <f>IFERROR(__xludf.DUMMYFUNCTION("""COMPUTED_VALUE"""),"Peters")</f>
        <v>Peters</v>
      </c>
      <c r="E6332" t="str">
        <f>IFERROR(__xludf.DUMMYFUNCTION("""COMPUTED_VALUE"""),"Jason")</f>
        <v>Jason</v>
      </c>
      <c r="F6332" t="str">
        <f>IFERROR(__xludf.DUMMYFUNCTION("""COMPUTED_VALUE"""),"PHI")</f>
        <v>PHI</v>
      </c>
      <c r="G6332">
        <f>IFERROR(__xludf.DUMMYFUNCTION("""COMPUTED_VALUE"""),21.25)</f>
        <v>21.25</v>
      </c>
    </row>
    <row r="6333">
      <c r="D6333" t="str">
        <f>IFERROR(__xludf.DUMMYFUNCTION("""COMPUTED_VALUE"""),"Peters")</f>
        <v>Peters</v>
      </c>
      <c r="E6333" t="str">
        <f>IFERROR(__xludf.DUMMYFUNCTION("""COMPUTED_VALUE"""),"Marcus")</f>
        <v>Marcus</v>
      </c>
      <c r="F6333" t="str">
        <f>IFERROR(__xludf.DUMMYFUNCTION("""COMPUTED_VALUE"""),"LAR")</f>
        <v>LAR</v>
      </c>
      <c r="G6333">
        <f>IFERROR(__xludf.DUMMYFUNCTION("""COMPUTED_VALUE"""),21.25)</f>
        <v>21.25</v>
      </c>
    </row>
    <row r="6334">
      <c r="D6334" t="str">
        <f>IFERROR(__xludf.DUMMYFUNCTION("""COMPUTED_VALUE"""),"Peterson")</f>
        <v>Peterson</v>
      </c>
      <c r="E6334" t="str">
        <f>IFERROR(__xludf.DUMMYFUNCTION("""COMPUTED_VALUE"""),"Kevin")</f>
        <v>Kevin</v>
      </c>
      <c r="F6334" t="str">
        <f>IFERROR(__xludf.DUMMYFUNCTION("""COMPUTED_VALUE"""),"LAR")</f>
        <v>LAR</v>
      </c>
      <c r="G6334">
        <f>IFERROR(__xludf.DUMMYFUNCTION("""COMPUTED_VALUE"""),16.0)</f>
        <v>16</v>
      </c>
    </row>
    <row r="6335">
      <c r="D6335" t="str">
        <f>IFERROR(__xludf.DUMMYFUNCTION("""COMPUTED_VALUE"""),"Peterson")</f>
        <v>Peterson</v>
      </c>
      <c r="E6335" t="str">
        <f>IFERROR(__xludf.DUMMYFUNCTION("""COMPUTED_VALUE"""),"Patrick")</f>
        <v>Patrick</v>
      </c>
      <c r="F6335" t="str">
        <f>IFERROR(__xludf.DUMMYFUNCTION("""COMPUTED_VALUE"""),"ARZ")</f>
        <v>ARZ</v>
      </c>
      <c r="G6335">
        <f>IFERROR(__xludf.DUMMYFUNCTION("""COMPUTED_VALUE"""),22.0)</f>
        <v>22</v>
      </c>
    </row>
    <row r="6336">
      <c r="D6336" t="str">
        <f>IFERROR(__xludf.DUMMYFUNCTION("""COMPUTED_VALUE"""),"Pettis")</f>
        <v>Pettis</v>
      </c>
      <c r="E6336" t="str">
        <f>IFERROR(__xludf.DUMMYFUNCTION("""COMPUTED_VALUE"""),"Dante")</f>
        <v>Dante</v>
      </c>
      <c r="F6336" t="str">
        <f>IFERROR(__xludf.DUMMYFUNCTION("""COMPUTED_VALUE"""),"SF")</f>
        <v>SF</v>
      </c>
      <c r="G6336">
        <f>IFERROR(__xludf.DUMMYFUNCTION("""COMPUTED_VALUE"""),19.0)</f>
        <v>19</v>
      </c>
    </row>
    <row r="6337">
      <c r="D6337" t="str">
        <f>IFERROR(__xludf.DUMMYFUNCTION("""COMPUTED_VALUE"""),"Petty")</f>
        <v>Petty</v>
      </c>
      <c r="E6337" t="str">
        <f>IFERROR(__xludf.DUMMYFUNCTION("""COMPUTED_VALUE"""),"Bryce")</f>
        <v>Bryce</v>
      </c>
      <c r="F6337" t="str">
        <f>IFERROR(__xludf.DUMMYFUNCTION("""COMPUTED_VALUE"""),"MIA")</f>
        <v>MIA</v>
      </c>
      <c r="G6337">
        <f>IFERROR(__xludf.DUMMYFUNCTION("""COMPUTED_VALUE"""),18.0)</f>
        <v>18</v>
      </c>
    </row>
    <row r="6338">
      <c r="D6338" t="str">
        <f>IFERROR(__xludf.DUMMYFUNCTION("""COMPUTED_VALUE"""),"Phillips")</f>
        <v>Phillips</v>
      </c>
      <c r="E6338" t="str">
        <f>IFERROR(__xludf.DUMMYFUNCTION("""COMPUTED_VALUE"""),"Adrian")</f>
        <v>Adrian</v>
      </c>
      <c r="F6338" t="str">
        <f>IFERROR(__xludf.DUMMYFUNCTION("""COMPUTED_VALUE"""),"LAC")</f>
        <v>LAC</v>
      </c>
      <c r="G6338">
        <f>IFERROR(__xludf.DUMMYFUNCTION("""COMPUTED_VALUE"""),18.25)</f>
        <v>18.25</v>
      </c>
    </row>
    <row r="6339">
      <c r="D6339" t="str">
        <f>IFERROR(__xludf.DUMMYFUNCTION("""COMPUTED_VALUE"""),"Phillips")</f>
        <v>Phillips</v>
      </c>
      <c r="E6339" t="str">
        <f>IFERROR(__xludf.DUMMYFUNCTION("""COMPUTED_VALUE"""),"Carroll")</f>
        <v>Carroll</v>
      </c>
      <c r="F6339" t="str">
        <f>IFERROR(__xludf.DUMMYFUNCTION("""COMPUTED_VALUE"""),"JAX")</f>
        <v>JAX</v>
      </c>
      <c r="G6339">
        <f>IFERROR(__xludf.DUMMYFUNCTION("""COMPUTED_VALUE"""),15.5)</f>
        <v>15.5</v>
      </c>
    </row>
    <row r="6340">
      <c r="D6340" t="str">
        <f>IFERROR(__xludf.DUMMYFUNCTION("""COMPUTED_VALUE"""),"Phillips")</f>
        <v>Phillips</v>
      </c>
      <c r="E6340" t="str">
        <f>IFERROR(__xludf.DUMMYFUNCTION("""COMPUTED_VALUE"""),"Darius")</f>
        <v>Darius</v>
      </c>
      <c r="F6340" t="str">
        <f>IFERROR(__xludf.DUMMYFUNCTION("""COMPUTED_VALUE"""),"CIN")</f>
        <v>CIN</v>
      </c>
      <c r="G6340">
        <f>IFERROR(__xludf.DUMMYFUNCTION("""COMPUTED_VALUE"""),16.75)</f>
        <v>16.75</v>
      </c>
    </row>
    <row r="6341">
      <c r="D6341" t="str">
        <f>IFERROR(__xludf.DUMMYFUNCTION("""COMPUTED_VALUE"""),"Phillips")</f>
        <v>Phillips</v>
      </c>
      <c r="E6341" t="str">
        <f>IFERROR(__xludf.DUMMYFUNCTION("""COMPUTED_VALUE"""),"Dashaun")</f>
        <v>Dashaun</v>
      </c>
      <c r="F6341" t="str">
        <f>IFERROR(__xludf.DUMMYFUNCTION("""COMPUTED_VALUE"""),"PIT")</f>
        <v>PIT</v>
      </c>
      <c r="G6341">
        <f>IFERROR(__xludf.DUMMYFUNCTION("""COMPUTED_VALUE"""),16.25)</f>
        <v>16.25</v>
      </c>
    </row>
    <row r="6342">
      <c r="D6342" t="str">
        <f>IFERROR(__xludf.DUMMYFUNCTION("""COMPUTED_VALUE"""),"Phillips")</f>
        <v>Phillips</v>
      </c>
      <c r="E6342" t="str">
        <f>IFERROR(__xludf.DUMMYFUNCTION("""COMPUTED_VALUE"""),"Harrison")</f>
        <v>Harrison</v>
      </c>
      <c r="F6342" t="str">
        <f>IFERROR(__xludf.DUMMYFUNCTION("""COMPUTED_VALUE"""),"BUF")</f>
        <v>BUF</v>
      </c>
      <c r="G6342">
        <f>IFERROR(__xludf.DUMMYFUNCTION("""COMPUTED_VALUE"""),18.0)</f>
        <v>18</v>
      </c>
    </row>
    <row r="6343">
      <c r="D6343" t="str">
        <f>IFERROR(__xludf.DUMMYFUNCTION("""COMPUTED_VALUE"""),"Phillips")</f>
        <v>Phillips</v>
      </c>
      <c r="E6343" t="str">
        <f>IFERROR(__xludf.DUMMYFUNCTION("""COMPUTED_VALUE"""),"Jordan")</f>
        <v>Jordan</v>
      </c>
      <c r="F6343" t="str">
        <f>IFERROR(__xludf.DUMMYFUNCTION("""COMPUTED_VALUE"""),"MIA")</f>
        <v>MIA</v>
      </c>
      <c r="G6343">
        <f>IFERROR(__xludf.DUMMYFUNCTION("""COMPUTED_VALUE"""),18.25)</f>
        <v>18.25</v>
      </c>
    </row>
    <row r="6344">
      <c r="D6344" t="str">
        <f>IFERROR(__xludf.DUMMYFUNCTION("""COMPUTED_VALUE"""),"Philon")</f>
        <v>Philon</v>
      </c>
      <c r="E6344" t="str">
        <f>IFERROR(__xludf.DUMMYFUNCTION("""COMPUTED_VALUE"""),"Darius")</f>
        <v>Darius</v>
      </c>
      <c r="F6344" t="str">
        <f>IFERROR(__xludf.DUMMYFUNCTION("""COMPUTED_VALUE"""),"LAC")</f>
        <v>LAC</v>
      </c>
      <c r="G6344">
        <f>IFERROR(__xludf.DUMMYFUNCTION("""COMPUTED_VALUE"""),17.5)</f>
        <v>17.5</v>
      </c>
    </row>
    <row r="6345">
      <c r="D6345" t="str">
        <f>IFERROR(__xludf.DUMMYFUNCTION("""COMPUTED_VALUE"""),"Pierce")</f>
        <v>Pierce</v>
      </c>
      <c r="E6345" t="str">
        <f>IFERROR(__xludf.DUMMYFUNCTION("""COMPUTED_VALUE"""),"Michael")</f>
        <v>Michael</v>
      </c>
      <c r="F6345" t="str">
        <f>IFERROR(__xludf.DUMMYFUNCTION("""COMPUTED_VALUE"""),"BAL")</f>
        <v>BAL</v>
      </c>
      <c r="G6345">
        <f>IFERROR(__xludf.DUMMYFUNCTION("""COMPUTED_VALUE"""),20.25)</f>
        <v>20.25</v>
      </c>
    </row>
    <row r="6346">
      <c r="D6346" t="str">
        <f>IFERROR(__xludf.DUMMYFUNCTION("""COMPUTED_VALUE"""),"Pierre")</f>
        <v>Pierre</v>
      </c>
      <c r="E6346" t="str">
        <f>IFERROR(__xludf.DUMMYFUNCTION("""COMPUTED_VALUE"""),"Olsen")</f>
        <v>Olsen</v>
      </c>
      <c r="F6346" t="str">
        <f>IFERROR(__xludf.DUMMYFUNCTION("""COMPUTED_VALUE"""),"ARZ")</f>
        <v>ARZ</v>
      </c>
      <c r="G6346">
        <f>IFERROR(__xludf.DUMMYFUNCTION("""COMPUTED_VALUE"""),17.75)</f>
        <v>17.75</v>
      </c>
    </row>
    <row r="6347">
      <c r="D6347" t="str">
        <f>IFERROR(__xludf.DUMMYFUNCTION("""COMPUTED_VALUE"""),"Pierre-Louis")</f>
        <v>Pierre-Louis</v>
      </c>
      <c r="E6347" t="str">
        <f>IFERROR(__xludf.DUMMYFUNCTION("""COMPUTED_VALUE"""),"Kevin")</f>
        <v>Kevin</v>
      </c>
      <c r="F6347" t="str">
        <f>IFERROR(__xludf.DUMMYFUNCTION("""COMPUTED_VALUE"""),"NYJ")</f>
        <v>NYJ</v>
      </c>
      <c r="G6347">
        <f>IFERROR(__xludf.DUMMYFUNCTION("""COMPUTED_VALUE"""),18.5)</f>
        <v>18.5</v>
      </c>
    </row>
    <row r="6348">
      <c r="D6348" t="str">
        <f>IFERROR(__xludf.DUMMYFUNCTION("""COMPUTED_VALUE"""),"Pierre-Paul")</f>
        <v>Pierre-Paul</v>
      </c>
      <c r="E6348" t="str">
        <f>IFERROR(__xludf.DUMMYFUNCTION("""COMPUTED_VALUE"""),"Jason")</f>
        <v>Jason</v>
      </c>
      <c r="F6348" t="str">
        <f>IFERROR(__xludf.DUMMYFUNCTION("""COMPUTED_VALUE"""),"TB")</f>
        <v>TB</v>
      </c>
      <c r="G6348">
        <f>IFERROR(__xludf.DUMMYFUNCTION("""COMPUTED_VALUE"""),19.5)</f>
        <v>19.5</v>
      </c>
    </row>
    <row r="6349">
      <c r="D6349" t="str">
        <f>IFERROR(__xludf.DUMMYFUNCTION("""COMPUTED_VALUE"""),"Pinion")</f>
        <v>Pinion</v>
      </c>
      <c r="E6349" t="str">
        <f>IFERROR(__xludf.DUMMYFUNCTION("""COMPUTED_VALUE"""),"Bradley")</f>
        <v>Bradley</v>
      </c>
      <c r="F6349" t="str">
        <f>IFERROR(__xludf.DUMMYFUNCTION("""COMPUTED_VALUE"""),"SF")</f>
        <v>SF</v>
      </c>
      <c r="G6349">
        <f>IFERROR(__xludf.DUMMYFUNCTION("""COMPUTED_VALUE"""),20.0)</f>
        <v>20</v>
      </c>
    </row>
    <row r="6350">
      <c r="D6350" t="str">
        <f>IFERROR(__xludf.DUMMYFUNCTION("""COMPUTED_VALUE"""),"Pipkins")</f>
        <v>Pipkins</v>
      </c>
      <c r="E6350" t="str">
        <f>IFERROR(__xludf.DUMMYFUNCTION("""COMPUTED_VALUE"""),"Lenzy")</f>
        <v>Lenzy</v>
      </c>
      <c r="F6350" t="str">
        <f>IFERROR(__xludf.DUMMYFUNCTION("""COMPUTED_VALUE"""),"GB")</f>
        <v>GB</v>
      </c>
      <c r="G6350">
        <f>IFERROR(__xludf.DUMMYFUNCTION("""COMPUTED_VALUE"""),17.75)</f>
        <v>17.75</v>
      </c>
    </row>
    <row r="6351">
      <c r="D6351" t="str">
        <f>IFERROR(__xludf.DUMMYFUNCTION("""COMPUTED_VALUE"""),"Pitts")</f>
        <v>Pitts</v>
      </c>
      <c r="E6351" t="str">
        <f>IFERROR(__xludf.DUMMYFUNCTION("""COMPUTED_VALUE"""),"Lafayette")</f>
        <v>Lafayette</v>
      </c>
      <c r="F6351" t="str">
        <f>IFERROR(__xludf.DUMMYFUNCTION("""COMPUTED_VALUE"""),"BUF")</f>
        <v>BUF</v>
      </c>
      <c r="G6351">
        <f>IFERROR(__xludf.DUMMYFUNCTION("""COMPUTED_VALUE"""),16.5)</f>
        <v>16.5</v>
      </c>
    </row>
    <row r="6352">
      <c r="D6352" t="str">
        <f>IFERROR(__xludf.DUMMYFUNCTION("""COMPUTED_VALUE"""),"Pleasant")</f>
        <v>Pleasant</v>
      </c>
      <c r="E6352" t="str">
        <f>IFERROR(__xludf.DUMMYFUNCTION("""COMPUTED_VALUE"""),"Eddie")</f>
        <v>Eddie</v>
      </c>
      <c r="F6352" t="str">
        <f>IFERROR(__xludf.DUMMYFUNCTION("""COMPUTED_VALUE"""),"FA")</f>
        <v>FA</v>
      </c>
      <c r="G6352">
        <f>IFERROR(__xludf.DUMMYFUNCTION("""COMPUTED_VALUE"""),15.0)</f>
        <v>15</v>
      </c>
    </row>
    <row r="6353">
      <c r="D6353" t="str">
        <f>IFERROR(__xludf.DUMMYFUNCTION("""COMPUTED_VALUE"""),"Pocic")</f>
        <v>Pocic</v>
      </c>
      <c r="E6353" t="str">
        <f>IFERROR(__xludf.DUMMYFUNCTION("""COMPUTED_VALUE"""),"Ethan")</f>
        <v>Ethan</v>
      </c>
      <c r="F6353" t="str">
        <f>IFERROR(__xludf.DUMMYFUNCTION("""COMPUTED_VALUE"""),"SEA")</f>
        <v>SEA</v>
      </c>
      <c r="G6353">
        <f>IFERROR(__xludf.DUMMYFUNCTION("""COMPUTED_VALUE"""),17.5)</f>
        <v>17.5</v>
      </c>
    </row>
    <row r="6354">
      <c r="D6354" t="str">
        <f>IFERROR(__xludf.DUMMYFUNCTION("""COMPUTED_VALUE"""),"Poe")</f>
        <v>Poe</v>
      </c>
      <c r="E6354" t="str">
        <f>IFERROR(__xludf.DUMMYFUNCTION("""COMPUTED_VALUE"""),"Dontari")</f>
        <v>Dontari</v>
      </c>
      <c r="F6354" t="str">
        <f>IFERROR(__xludf.DUMMYFUNCTION("""COMPUTED_VALUE"""),"CAR")</f>
        <v>CAR</v>
      </c>
      <c r="G6354">
        <f>IFERROR(__xludf.DUMMYFUNCTION("""COMPUTED_VALUE"""),20.5)</f>
        <v>20.5</v>
      </c>
    </row>
    <row r="6355">
      <c r="D6355" t="str">
        <f>IFERROR(__xludf.DUMMYFUNCTION("""COMPUTED_VALUE"""),"Poe")</f>
        <v>Poe</v>
      </c>
      <c r="E6355" t="str">
        <f>IFERROR(__xludf.DUMMYFUNCTION("""COMPUTED_VALUE"""),"Dontari")</f>
        <v>Dontari</v>
      </c>
      <c r="F6355" t="str">
        <f>IFERROR(__xludf.DUMMYFUNCTION("""COMPUTED_VALUE"""),"CAR")</f>
        <v>CAR</v>
      </c>
      <c r="G6355">
        <f>IFERROR(__xludf.DUMMYFUNCTION("""COMPUTED_VALUE"""),21.75)</f>
        <v>21.75</v>
      </c>
    </row>
    <row r="6356">
      <c r="D6356" t="str">
        <f>IFERROR(__xludf.DUMMYFUNCTION("""COMPUTED_VALUE"""),"Poehls")</f>
        <v>Poehls</v>
      </c>
      <c r="E6356" t="str">
        <f>IFERROR(__xludf.DUMMYFUNCTION("""COMPUTED_VALUE"""),"William")</f>
        <v>William</v>
      </c>
      <c r="F6356" t="str">
        <f>IFERROR(__xludf.DUMMYFUNCTION("""COMPUTED_VALUE"""),"JAX")</f>
        <v>JAX</v>
      </c>
      <c r="G6356">
        <f>IFERROR(__xludf.DUMMYFUNCTION("""COMPUTED_VALUE"""),17.75)</f>
        <v>17.75</v>
      </c>
    </row>
    <row r="6357">
      <c r="D6357" t="str">
        <f>IFERROR(__xludf.DUMMYFUNCTION("""COMPUTED_VALUE"""),"Poling")</f>
        <v>Poling</v>
      </c>
      <c r="E6357" t="str">
        <f>IFERROR(__xludf.DUMMYFUNCTION("""COMPUTED_VALUE"""),"Quentin")</f>
        <v>Quentin</v>
      </c>
      <c r="F6357" t="str">
        <f>IFERROR(__xludf.DUMMYFUNCTION("""COMPUTED_VALUE"""),"MIA")</f>
        <v>MIA</v>
      </c>
      <c r="G6357">
        <f>IFERROR(__xludf.DUMMYFUNCTION("""COMPUTED_VALUE"""),16.0)</f>
        <v>16</v>
      </c>
    </row>
    <row r="6358">
      <c r="D6358" t="str">
        <f>IFERROR(__xludf.DUMMYFUNCTION("""COMPUTED_VALUE"""),"Poole")</f>
        <v>Poole</v>
      </c>
      <c r="E6358" t="str">
        <f>IFERROR(__xludf.DUMMYFUNCTION("""COMPUTED_VALUE"""),"Brian")</f>
        <v>Brian</v>
      </c>
      <c r="F6358" t="str">
        <f>IFERROR(__xludf.DUMMYFUNCTION("""COMPUTED_VALUE"""),"ATL")</f>
        <v>ATL</v>
      </c>
      <c r="G6358">
        <f>IFERROR(__xludf.DUMMYFUNCTION("""COMPUTED_VALUE"""),19.75)</f>
        <v>19.75</v>
      </c>
    </row>
    <row r="6359">
      <c r="D6359" t="str">
        <f>IFERROR(__xludf.DUMMYFUNCTION("""COMPUTED_VALUE"""),"Pouncey")</f>
        <v>Pouncey</v>
      </c>
      <c r="E6359" t="str">
        <f>IFERROR(__xludf.DUMMYFUNCTION("""COMPUTED_VALUE"""),"Maurkice")</f>
        <v>Maurkice</v>
      </c>
      <c r="F6359" t="str">
        <f>IFERROR(__xludf.DUMMYFUNCTION("""COMPUTED_VALUE"""),"PIT")</f>
        <v>PIT</v>
      </c>
      <c r="G6359">
        <f>IFERROR(__xludf.DUMMYFUNCTION("""COMPUTED_VALUE"""),20.25)</f>
        <v>20.25</v>
      </c>
    </row>
    <row r="6360">
      <c r="D6360" t="str">
        <f>IFERROR(__xludf.DUMMYFUNCTION("""COMPUTED_VALUE"""),"Pouncey")</f>
        <v>Pouncey</v>
      </c>
      <c r="E6360" t="str">
        <f>IFERROR(__xludf.DUMMYFUNCTION("""COMPUTED_VALUE"""),"Mike")</f>
        <v>Mike</v>
      </c>
      <c r="F6360" t="str">
        <f>IFERROR(__xludf.DUMMYFUNCTION("""COMPUTED_VALUE"""),"LAC")</f>
        <v>LAC</v>
      </c>
      <c r="G6360">
        <f>IFERROR(__xludf.DUMMYFUNCTION("""COMPUTED_VALUE"""),19.5)</f>
        <v>19.5</v>
      </c>
    </row>
    <row r="6361">
      <c r="D6361" t="str">
        <f>IFERROR(__xludf.DUMMYFUNCTION("""COMPUTED_VALUE"""),"Poutasi")</f>
        <v>Poutasi</v>
      </c>
      <c r="E6361" t="str">
        <f>IFERROR(__xludf.DUMMYFUNCTION("""COMPUTED_VALUE"""),"Jeremiah")</f>
        <v>Jeremiah</v>
      </c>
      <c r="F6361" t="str">
        <f>IFERROR(__xludf.DUMMYFUNCTION("""COMPUTED_VALUE"""),"DEN")</f>
        <v>DEN</v>
      </c>
      <c r="G6361">
        <f>IFERROR(__xludf.DUMMYFUNCTION("""COMPUTED_VALUE"""),17.75)</f>
        <v>17.75</v>
      </c>
    </row>
    <row r="6362">
      <c r="D6362" t="str">
        <f>IFERROR(__xludf.DUMMYFUNCTION("""COMPUTED_VALUE"""),"Powell")</f>
        <v>Powell</v>
      </c>
      <c r="E6362" t="str">
        <f>IFERROR(__xludf.DUMMYFUNCTION("""COMPUTED_VALUE"""),"Bilal")</f>
        <v>Bilal</v>
      </c>
      <c r="F6362" t="str">
        <f>IFERROR(__xludf.DUMMYFUNCTION("""COMPUTED_VALUE"""),"NYJ")</f>
        <v>NYJ</v>
      </c>
      <c r="G6362">
        <f>IFERROR(__xludf.DUMMYFUNCTION("""COMPUTED_VALUE"""),19.75)</f>
        <v>19.75</v>
      </c>
    </row>
    <row r="6363">
      <c r="D6363" t="str">
        <f>IFERROR(__xludf.DUMMYFUNCTION("""COMPUTED_VALUE"""),"Powell")</f>
        <v>Powell</v>
      </c>
      <c r="E6363" t="str">
        <f>IFERROR(__xludf.DUMMYFUNCTION("""COMPUTED_VALUE"""),"Tyvis")</f>
        <v>Tyvis</v>
      </c>
      <c r="F6363" t="str">
        <f>IFERROR(__xludf.DUMMYFUNCTION("""COMPUTED_VALUE"""),"SF")</f>
        <v>SF</v>
      </c>
      <c r="G6363">
        <f>IFERROR(__xludf.DUMMYFUNCTION("""COMPUTED_VALUE"""),17.5)</f>
        <v>17.5</v>
      </c>
    </row>
    <row r="6364">
      <c r="D6364" t="str">
        <f>IFERROR(__xludf.DUMMYFUNCTION("""COMPUTED_VALUE"""),"Poyer")</f>
        <v>Poyer</v>
      </c>
      <c r="E6364" t="str">
        <f>IFERROR(__xludf.DUMMYFUNCTION("""COMPUTED_VALUE"""),"Jordan")</f>
        <v>Jordan</v>
      </c>
      <c r="F6364" t="str">
        <f>IFERROR(__xludf.DUMMYFUNCTION("""COMPUTED_VALUE"""),"BUF")</f>
        <v>BUF</v>
      </c>
      <c r="G6364">
        <f>IFERROR(__xludf.DUMMYFUNCTION("""COMPUTED_VALUE"""),20.75)</f>
        <v>20.75</v>
      </c>
    </row>
    <row r="6365">
      <c r="D6365" t="str">
        <f>IFERROR(__xludf.DUMMYFUNCTION("""COMPUTED_VALUE"""),"Prater")</f>
        <v>Prater</v>
      </c>
      <c r="E6365" t="str">
        <f>IFERROR(__xludf.DUMMYFUNCTION("""COMPUTED_VALUE"""),"Matt")</f>
        <v>Matt</v>
      </c>
      <c r="F6365" t="str">
        <f>IFERROR(__xludf.DUMMYFUNCTION("""COMPUTED_VALUE"""),"DET")</f>
        <v>DET</v>
      </c>
      <c r="G6365">
        <f>IFERROR(__xludf.DUMMYFUNCTION("""COMPUTED_VALUE"""),21.25)</f>
        <v>21.25</v>
      </c>
    </row>
    <row r="6366">
      <c r="D6366" t="str">
        <f>IFERROR(__xludf.DUMMYFUNCTION("""COMPUTED_VALUE"""),"Prescott")</f>
        <v>Prescott</v>
      </c>
      <c r="E6366" t="str">
        <f>IFERROR(__xludf.DUMMYFUNCTION("""COMPUTED_VALUE"""),"Dak")</f>
        <v>Dak</v>
      </c>
      <c r="F6366" t="str">
        <f>IFERROR(__xludf.DUMMYFUNCTION("""COMPUTED_VALUE"""),"DAL")</f>
        <v>DAL</v>
      </c>
      <c r="G6366">
        <f>IFERROR(__xludf.DUMMYFUNCTION("""COMPUTED_VALUE"""),20.25)</f>
        <v>20.25</v>
      </c>
    </row>
    <row r="6367">
      <c r="D6367" t="str">
        <f>IFERROR(__xludf.DUMMYFUNCTION("""COMPUTED_VALUE"""),"President")</f>
        <v>President</v>
      </c>
      <c r="E6367" t="str">
        <f>IFERROR(__xludf.DUMMYFUNCTION("""COMPUTED_VALUE"""),"Gimel")</f>
        <v>Gimel</v>
      </c>
      <c r="F6367" t="str">
        <f>IFERROR(__xludf.DUMMYFUNCTION("""COMPUTED_VALUE"""),"TEN")</f>
        <v>TEN</v>
      </c>
      <c r="G6367">
        <f>IFERROR(__xludf.DUMMYFUNCTION("""COMPUTED_VALUE"""),16.0)</f>
        <v>16</v>
      </c>
    </row>
    <row r="6368">
      <c r="D6368" t="str">
        <f>IFERROR(__xludf.DUMMYFUNCTION("""COMPUTED_VALUE"""),"Price")</f>
        <v>Price</v>
      </c>
      <c r="E6368" t="str">
        <f>IFERROR(__xludf.DUMMYFUNCTION("""COMPUTED_VALUE"""),"Billy")</f>
        <v>Billy</v>
      </c>
      <c r="F6368" t="str">
        <f>IFERROR(__xludf.DUMMYFUNCTION("""COMPUTED_VALUE"""),"CIN")</f>
        <v>CIN</v>
      </c>
      <c r="G6368">
        <f>IFERROR(__xludf.DUMMYFUNCTION("""COMPUTED_VALUE"""),19.0)</f>
        <v>19</v>
      </c>
    </row>
    <row r="6369">
      <c r="D6369" t="str">
        <f>IFERROR(__xludf.DUMMYFUNCTION("""COMPUTED_VALUE"""),"Price")</f>
        <v>Price</v>
      </c>
      <c r="E6369" t="str">
        <f>IFERROR(__xludf.DUMMYFUNCTION("""COMPUTED_VALUE"""),"Brian")</f>
        <v>Brian</v>
      </c>
      <c r="F6369" t="str">
        <f>IFERROR(__xludf.DUMMYFUNCTION("""COMPUTED_VALUE"""),"DAL")</f>
        <v>DAL</v>
      </c>
      <c r="G6369">
        <f>IFERROR(__xludf.DUMMYFUNCTION("""COMPUTED_VALUE"""),16.0)</f>
        <v>16</v>
      </c>
    </row>
    <row r="6370">
      <c r="D6370" t="str">
        <f>IFERROR(__xludf.DUMMYFUNCTION("""COMPUTED_VALUE"""),"Price")</f>
        <v>Price</v>
      </c>
      <c r="E6370" t="str">
        <f>IFERROR(__xludf.DUMMYFUNCTION("""COMPUTED_VALUE"""),"Ejuan")</f>
        <v>Ejuan</v>
      </c>
      <c r="F6370" t="str">
        <f>IFERROR(__xludf.DUMMYFUNCTION("""COMPUTED_VALUE"""),"LAR")</f>
        <v>LAR</v>
      </c>
      <c r="G6370">
        <f>IFERROR(__xludf.DUMMYFUNCTION("""COMPUTED_VALUE"""),16.25)</f>
        <v>16.25</v>
      </c>
    </row>
    <row r="6371">
      <c r="D6371" t="str">
        <f>IFERROR(__xludf.DUMMYFUNCTION("""COMPUTED_VALUE"""),"Price")</f>
        <v>Price</v>
      </c>
      <c r="E6371" t="str">
        <f>IFERROR(__xludf.DUMMYFUNCTION("""COMPUTED_VALUE"""),"Givens")</f>
        <v>Givens</v>
      </c>
      <c r="F6371" t="str">
        <f>IFERROR(__xludf.DUMMYFUNCTION("""COMPUTED_VALUE"""),"TB")</f>
        <v>TB</v>
      </c>
      <c r="G6371">
        <f>IFERROR(__xludf.DUMMYFUNCTION("""COMPUTED_VALUE"""),15.5)</f>
        <v>15.5</v>
      </c>
    </row>
    <row r="6372">
      <c r="D6372" t="str">
        <f>IFERROR(__xludf.DUMMYFUNCTION("""COMPUTED_VALUE"""),"Proehl")</f>
        <v>Proehl</v>
      </c>
      <c r="E6372" t="str">
        <f>IFERROR(__xludf.DUMMYFUNCTION("""COMPUTED_VALUE"""),"Austin")</f>
        <v>Austin</v>
      </c>
      <c r="F6372" t="str">
        <f>IFERROR(__xludf.DUMMYFUNCTION("""COMPUTED_VALUE"""),"BUF")</f>
        <v>BUF</v>
      </c>
      <c r="G6372">
        <f>IFERROR(__xludf.DUMMYFUNCTION("""COMPUTED_VALUE"""),16.75)</f>
        <v>16.75</v>
      </c>
    </row>
    <row r="6373">
      <c r="D6373" t="str">
        <f>IFERROR(__xludf.DUMMYFUNCTION("""COMPUTED_VALUE"""),"Prosch")</f>
        <v>Prosch</v>
      </c>
      <c r="E6373" t="str">
        <f>IFERROR(__xludf.DUMMYFUNCTION("""COMPUTED_VALUE"""),"Jay")</f>
        <v>Jay</v>
      </c>
      <c r="F6373" t="str">
        <f>IFERROR(__xludf.DUMMYFUNCTION("""COMPUTED_VALUE"""),"HOU")</f>
        <v>HOU</v>
      </c>
      <c r="G6373">
        <f>IFERROR(__xludf.DUMMYFUNCTION("""COMPUTED_VALUE"""),18.5)</f>
        <v>18.5</v>
      </c>
    </row>
    <row r="6374">
      <c r="D6374" t="str">
        <f>IFERROR(__xludf.DUMMYFUNCTION("""COMPUTED_VALUE"""),"Prosise")</f>
        <v>Prosise</v>
      </c>
      <c r="E6374" t="str">
        <f>IFERROR(__xludf.DUMMYFUNCTION("""COMPUTED_VALUE"""),"CJ")</f>
        <v>CJ</v>
      </c>
      <c r="F6374" t="str">
        <f>IFERROR(__xludf.DUMMYFUNCTION("""COMPUTED_VALUE"""),"SEA")</f>
        <v>SEA</v>
      </c>
      <c r="G6374">
        <f>IFERROR(__xludf.DUMMYFUNCTION("""COMPUTED_VALUE"""),18.5)</f>
        <v>18.5</v>
      </c>
    </row>
    <row r="6375">
      <c r="D6375" t="str">
        <f>IFERROR(__xludf.DUMMYFUNCTION("""COMPUTED_VALUE"""),"Pruitt")</f>
        <v>Pruitt</v>
      </c>
      <c r="E6375" t="str">
        <f>IFERROR(__xludf.DUMMYFUNCTION("""COMPUTED_VALUE"""),"MyCole")</f>
        <v>MyCole</v>
      </c>
      <c r="F6375" t="str">
        <f>IFERROR(__xludf.DUMMYFUNCTION("""COMPUTED_VALUE"""),"HOU")</f>
        <v>HOU</v>
      </c>
      <c r="G6375">
        <f>IFERROR(__xludf.DUMMYFUNCTION("""COMPUTED_VALUE"""),16.75)</f>
        <v>16.75</v>
      </c>
    </row>
    <row r="6376">
      <c r="D6376" t="str">
        <f>IFERROR(__xludf.DUMMYFUNCTION("""COMPUTED_VALUE"""),"Pryor")</f>
        <v>Pryor</v>
      </c>
      <c r="E6376" t="str">
        <f>IFERROR(__xludf.DUMMYFUNCTION("""COMPUTED_VALUE"""),"Matt")</f>
        <v>Matt</v>
      </c>
      <c r="F6376" t="str">
        <f>IFERROR(__xludf.DUMMYFUNCTION("""COMPUTED_VALUE"""),"PHI")</f>
        <v>PHI</v>
      </c>
      <c r="G6376">
        <f>IFERROR(__xludf.DUMMYFUNCTION("""COMPUTED_VALUE"""),17.75)</f>
        <v>17.75</v>
      </c>
    </row>
    <row r="6377">
      <c r="D6377" t="str">
        <f>IFERROR(__xludf.DUMMYFUNCTION("""COMPUTED_VALUE"""),"Pryor Sr")</f>
        <v>Pryor Sr</v>
      </c>
      <c r="E6377" t="str">
        <f>IFERROR(__xludf.DUMMYFUNCTION("""COMPUTED_VALUE"""),"Terrelle")</f>
        <v>Terrelle</v>
      </c>
      <c r="F6377" t="str">
        <f>IFERROR(__xludf.DUMMYFUNCTION("""COMPUTED_VALUE"""),"NYJ")</f>
        <v>NYJ</v>
      </c>
      <c r="G6377">
        <f>IFERROR(__xludf.DUMMYFUNCTION("""COMPUTED_VALUE"""),18.75)</f>
        <v>18.75</v>
      </c>
    </row>
    <row r="6378">
      <c r="D6378" t="str">
        <f>IFERROR(__xludf.DUMMYFUNCTION("""COMPUTED_VALUE"""),"Pugh")</f>
        <v>Pugh</v>
      </c>
      <c r="E6378" t="str">
        <f>IFERROR(__xludf.DUMMYFUNCTION("""COMPUTED_VALUE"""),"Justin")</f>
        <v>Justin</v>
      </c>
      <c r="F6378" t="str">
        <f>IFERROR(__xludf.DUMMYFUNCTION("""COMPUTED_VALUE"""),"ARZ")</f>
        <v>ARZ</v>
      </c>
      <c r="G6378">
        <f>IFERROR(__xludf.DUMMYFUNCTION("""COMPUTED_VALUE"""),20.0)</f>
        <v>20</v>
      </c>
    </row>
    <row r="6379">
      <c r="D6379" t="str">
        <f>IFERROR(__xludf.DUMMYFUNCTION("""COMPUTED_VALUE"""),"Pullard III")</f>
        <v>Pullard III</v>
      </c>
      <c r="E6379" t="str">
        <f>IFERROR(__xludf.DUMMYFUNCTION("""COMPUTED_VALUE"""),"Hayes")</f>
        <v>Hayes</v>
      </c>
      <c r="F6379" t="str">
        <f>IFERROR(__xludf.DUMMYFUNCTION("""COMPUTED_VALUE"""),"LAC")</f>
        <v>LAC</v>
      </c>
      <c r="G6379">
        <f>IFERROR(__xludf.DUMMYFUNCTION("""COMPUTED_VALUE"""),17.75)</f>
        <v>17.75</v>
      </c>
    </row>
    <row r="6380">
      <c r="D6380" t="str">
        <f>IFERROR(__xludf.DUMMYFUNCTION("""COMPUTED_VALUE"""),"Pulley")</f>
        <v>Pulley</v>
      </c>
      <c r="E6380" t="str">
        <f>IFERROR(__xludf.DUMMYFUNCTION("""COMPUTED_VALUE"""),"Spencer")</f>
        <v>Spencer</v>
      </c>
      <c r="F6380" t="str">
        <f>IFERROR(__xludf.DUMMYFUNCTION("""COMPUTED_VALUE"""),"LAC")</f>
        <v>LAC</v>
      </c>
      <c r="G6380">
        <f>IFERROR(__xludf.DUMMYFUNCTION("""COMPUTED_VALUE"""),17.75)</f>
        <v>17.75</v>
      </c>
    </row>
    <row r="6381">
      <c r="D6381" t="str">
        <f>IFERROR(__xludf.DUMMYFUNCTION("""COMPUTED_VALUE"""),"Pumphrey Jr")</f>
        <v>Pumphrey Jr</v>
      </c>
      <c r="E6381" t="str">
        <f>IFERROR(__xludf.DUMMYFUNCTION("""COMPUTED_VALUE"""),"Donnel")</f>
        <v>Donnel</v>
      </c>
      <c r="F6381" t="str">
        <f>IFERROR(__xludf.DUMMYFUNCTION("""COMPUTED_VALUE"""),"PHI")</f>
        <v>PHI</v>
      </c>
      <c r="G6381">
        <f>IFERROR(__xludf.DUMMYFUNCTION("""COMPUTED_VALUE"""),17.75)</f>
        <v>17.75</v>
      </c>
    </row>
    <row r="6382">
      <c r="D6382" t="str">
        <f>IFERROR(__xludf.DUMMYFUNCTION("""COMPUTED_VALUE"""),"Qualls")</f>
        <v>Qualls</v>
      </c>
      <c r="E6382" t="str">
        <f>IFERROR(__xludf.DUMMYFUNCTION("""COMPUTED_VALUE"""),"Elijah")</f>
        <v>Elijah</v>
      </c>
      <c r="F6382" t="str">
        <f>IFERROR(__xludf.DUMMYFUNCTION("""COMPUTED_VALUE"""),"PHI")</f>
        <v>PHI</v>
      </c>
      <c r="G6382">
        <f>IFERROR(__xludf.DUMMYFUNCTION("""COMPUTED_VALUE"""),17.5)</f>
        <v>17.5</v>
      </c>
    </row>
    <row r="6383">
      <c r="D6383" t="str">
        <f>IFERROR(__xludf.DUMMYFUNCTION("""COMPUTED_VALUE"""),"Quessenberry")</f>
        <v>Quessenberry</v>
      </c>
      <c r="E6383" t="str">
        <f>IFERROR(__xludf.DUMMYFUNCTION("""COMPUTED_VALUE"""),"David")</f>
        <v>David</v>
      </c>
      <c r="F6383" t="str">
        <f>IFERROR(__xludf.DUMMYFUNCTION("""COMPUTED_VALUE"""),"HOU")</f>
        <v>HOU</v>
      </c>
      <c r="G6383">
        <f>IFERROR(__xludf.DUMMYFUNCTION("""COMPUTED_VALUE"""),18.0)</f>
        <v>18</v>
      </c>
    </row>
    <row r="6384">
      <c r="D6384" t="str">
        <f>IFERROR(__xludf.DUMMYFUNCTION("""COMPUTED_VALUE"""),"Quessenberry")</f>
        <v>Quessenberry</v>
      </c>
      <c r="E6384" t="str">
        <f>IFERROR(__xludf.DUMMYFUNCTION("""COMPUTED_VALUE"""),"Scott")</f>
        <v>Scott</v>
      </c>
      <c r="F6384" t="str">
        <f>IFERROR(__xludf.DUMMYFUNCTION("""COMPUTED_VALUE"""),"LAC")</f>
        <v>LAC</v>
      </c>
      <c r="G6384">
        <f>IFERROR(__xludf.DUMMYFUNCTION("""COMPUTED_VALUE"""),17.5)</f>
        <v>17.5</v>
      </c>
    </row>
    <row r="6385">
      <c r="D6385" t="str">
        <f>IFERROR(__xludf.DUMMYFUNCTION("""COMPUTED_VALUE"""),"Quick")</f>
        <v>Quick</v>
      </c>
      <c r="E6385" t="str">
        <f>IFERROR(__xludf.DUMMYFUNCTION("""COMPUTED_VALUE"""),"Brian")</f>
        <v>Brian</v>
      </c>
      <c r="F6385" t="str">
        <f>IFERROR(__xludf.DUMMYFUNCTION("""COMPUTED_VALUE"""),"WAS")</f>
        <v>WAS</v>
      </c>
      <c r="G6385">
        <f>IFERROR(__xludf.DUMMYFUNCTION("""COMPUTED_VALUE"""),18.25)</f>
        <v>18.25</v>
      </c>
    </row>
    <row r="6386">
      <c r="D6386" t="str">
        <f>IFERROR(__xludf.DUMMYFUNCTION("""COMPUTED_VALUE"""),"Quigley")</f>
        <v>Quigley</v>
      </c>
      <c r="E6386" t="str">
        <f>IFERROR(__xludf.DUMMYFUNCTION("""COMPUTED_VALUE"""),"Ryan")</f>
        <v>Ryan</v>
      </c>
      <c r="F6386" t="str">
        <f>IFERROR(__xludf.DUMMYFUNCTION("""COMPUTED_VALUE"""),"MIN")</f>
        <v>MIN</v>
      </c>
      <c r="G6386">
        <f>IFERROR(__xludf.DUMMYFUNCTION("""COMPUTED_VALUE"""),19.75)</f>
        <v>19.75</v>
      </c>
    </row>
    <row r="6387">
      <c r="D6387" t="str">
        <f>IFERROR(__xludf.DUMMYFUNCTION("""COMPUTED_VALUE"""),"Quin")</f>
        <v>Quin</v>
      </c>
      <c r="E6387" t="str">
        <f>IFERROR(__xludf.DUMMYFUNCTION("""COMPUTED_VALUE"""),"Glover")</f>
        <v>Glover</v>
      </c>
      <c r="F6387" t="str">
        <f>IFERROR(__xludf.DUMMYFUNCTION("""COMPUTED_VALUE"""),"DET")</f>
        <v>DET</v>
      </c>
      <c r="G6387">
        <f>IFERROR(__xludf.DUMMYFUNCTION("""COMPUTED_VALUE"""),20.75)</f>
        <v>20.75</v>
      </c>
    </row>
    <row r="6388">
      <c r="D6388" t="str">
        <f>IFERROR(__xludf.DUMMYFUNCTION("""COMPUTED_VALUE"""),"Quinn")</f>
        <v>Quinn</v>
      </c>
      <c r="E6388" t="str">
        <f>IFERROR(__xludf.DUMMYFUNCTION("""COMPUTED_VALUE"""),"Robert")</f>
        <v>Robert</v>
      </c>
      <c r="F6388" t="str">
        <f>IFERROR(__xludf.DUMMYFUNCTION("""COMPUTED_VALUE"""),"MIA")</f>
        <v>MIA</v>
      </c>
      <c r="G6388">
        <f>IFERROR(__xludf.DUMMYFUNCTION("""COMPUTED_VALUE"""),19.25)</f>
        <v>19.25</v>
      </c>
    </row>
    <row r="6389">
      <c r="D6389" t="str">
        <f>IFERROR(__xludf.DUMMYFUNCTION("""COMPUTED_VALUE"""),"Quinn")</f>
        <v>Quinn</v>
      </c>
      <c r="E6389" t="str">
        <f>IFERROR(__xludf.DUMMYFUNCTION("""COMPUTED_VALUE"""),"Trey")</f>
        <v>Trey</v>
      </c>
      <c r="F6389" t="str">
        <f>IFERROR(__xludf.DUMMYFUNCTION("""COMPUTED_VALUE"""),"WAS")</f>
        <v>WAS</v>
      </c>
      <c r="G6389">
        <f>IFERROR(__xludf.DUMMYFUNCTION("""COMPUTED_VALUE"""),17.5)</f>
        <v>17.5</v>
      </c>
    </row>
    <row r="6390">
      <c r="D6390" t="str">
        <f>IFERROR(__xludf.DUMMYFUNCTION("""COMPUTED_VALUE"""),"Qvale")</f>
        <v>Qvale</v>
      </c>
      <c r="E6390" t="str">
        <f>IFERROR(__xludf.DUMMYFUNCTION("""COMPUTED_VALUE"""),"Brent")</f>
        <v>Brent</v>
      </c>
      <c r="F6390" t="str">
        <f>IFERROR(__xludf.DUMMYFUNCTION("""COMPUTED_VALUE"""),"NYJ")</f>
        <v>NYJ</v>
      </c>
      <c r="G6390">
        <f>IFERROR(__xludf.DUMMYFUNCTION("""COMPUTED_VALUE"""),16.25)</f>
        <v>16.25</v>
      </c>
    </row>
    <row r="6391">
      <c r="D6391" t="str">
        <f>IFERROR(__xludf.DUMMYFUNCTION("""COMPUTED_VALUE"""),"Ragland")</f>
        <v>Ragland</v>
      </c>
      <c r="E6391" t="str">
        <f>IFERROR(__xludf.DUMMYFUNCTION("""COMPUTED_VALUE"""),"Reggie")</f>
        <v>Reggie</v>
      </c>
      <c r="F6391" t="str">
        <f>IFERROR(__xludf.DUMMYFUNCTION("""COMPUTED_VALUE"""),"KC")</f>
        <v>KC</v>
      </c>
      <c r="G6391">
        <f>IFERROR(__xludf.DUMMYFUNCTION("""COMPUTED_VALUE"""),19.5)</f>
        <v>19.5</v>
      </c>
    </row>
    <row r="6392">
      <c r="D6392" t="str">
        <f>IFERROR(__xludf.DUMMYFUNCTION("""COMPUTED_VALUE"""),"Ragnow")</f>
        <v>Ragnow</v>
      </c>
      <c r="E6392" t="str">
        <f>IFERROR(__xludf.DUMMYFUNCTION("""COMPUTED_VALUE"""),"Frank")</f>
        <v>Frank</v>
      </c>
      <c r="F6392" t="str">
        <f>IFERROR(__xludf.DUMMYFUNCTION("""COMPUTED_VALUE"""),"DET")</f>
        <v>DET</v>
      </c>
      <c r="G6392">
        <f>IFERROR(__xludf.DUMMYFUNCTION("""COMPUTED_VALUE"""),19.5)</f>
        <v>19.5</v>
      </c>
    </row>
    <row r="6393">
      <c r="D6393" t="str">
        <f>IFERROR(__xludf.DUMMYFUNCTION("""COMPUTED_VALUE"""),"Ramczyk")</f>
        <v>Ramczyk</v>
      </c>
      <c r="E6393" t="str">
        <f>IFERROR(__xludf.DUMMYFUNCTION("""COMPUTED_VALUE"""),"Ryan")</f>
        <v>Ryan</v>
      </c>
      <c r="F6393" t="str">
        <f>IFERROR(__xludf.DUMMYFUNCTION("""COMPUTED_VALUE"""),"NO")</f>
        <v>NO</v>
      </c>
      <c r="G6393">
        <f>IFERROR(__xludf.DUMMYFUNCTION("""COMPUTED_VALUE"""),21.25)</f>
        <v>21.25</v>
      </c>
    </row>
    <row r="6394">
      <c r="D6394" t="str">
        <f>IFERROR(__xludf.DUMMYFUNCTION("""COMPUTED_VALUE"""),"Randall")</f>
        <v>Randall</v>
      </c>
      <c r="E6394" t="str">
        <f>IFERROR(__xludf.DUMMYFUNCTION("""COMPUTED_VALUE"""),"Damarious")</f>
        <v>Damarious</v>
      </c>
      <c r="F6394" t="str">
        <f>IFERROR(__xludf.DUMMYFUNCTION("""COMPUTED_VALUE"""),"CLE")</f>
        <v>CLE</v>
      </c>
      <c r="G6394">
        <f>IFERROR(__xludf.DUMMYFUNCTION("""COMPUTED_VALUE"""),19.5)</f>
        <v>19.5</v>
      </c>
    </row>
    <row r="6395">
      <c r="D6395" t="str">
        <f>IFERROR(__xludf.DUMMYFUNCTION("""COMPUTED_VALUE"""),"Rankin")</f>
        <v>Rankin</v>
      </c>
      <c r="E6395" t="str">
        <f>IFERROR(__xludf.DUMMYFUNCTION("""COMPUTED_VALUE"""),"Martinas")</f>
        <v>Martinas</v>
      </c>
      <c r="F6395" t="str">
        <f>IFERROR(__xludf.DUMMYFUNCTION("""COMPUTED_VALUE"""),"HOU")</f>
        <v>HOU</v>
      </c>
      <c r="G6395">
        <f>IFERROR(__xludf.DUMMYFUNCTION("""COMPUTED_VALUE"""),17.5)</f>
        <v>17.5</v>
      </c>
    </row>
    <row r="6396">
      <c r="D6396" t="str">
        <f>IFERROR(__xludf.DUMMYFUNCTION("""COMPUTED_VALUE"""),"Rankins")</f>
        <v>Rankins</v>
      </c>
      <c r="E6396" t="str">
        <f>IFERROR(__xludf.DUMMYFUNCTION("""COMPUTED_VALUE"""),"Sheldon")</f>
        <v>Sheldon</v>
      </c>
      <c r="F6396" t="str">
        <f>IFERROR(__xludf.DUMMYFUNCTION("""COMPUTED_VALUE"""),"NO")</f>
        <v>NO</v>
      </c>
      <c r="G6396">
        <f>IFERROR(__xludf.DUMMYFUNCTION("""COMPUTED_VALUE"""),19.5)</f>
        <v>19.5</v>
      </c>
    </row>
    <row r="6397">
      <c r="D6397" t="str">
        <f>IFERROR(__xludf.DUMMYFUNCTION("""COMPUTED_VALUE"""),"Ratley")</f>
        <v>Ratley</v>
      </c>
      <c r="E6397" t="str">
        <f>IFERROR(__xludf.DUMMYFUNCTION("""COMPUTED_VALUE"""),"Damion")</f>
        <v>Damion</v>
      </c>
      <c r="F6397" t="str">
        <f>IFERROR(__xludf.DUMMYFUNCTION("""COMPUTED_VALUE"""),"CLE")</f>
        <v>CLE</v>
      </c>
      <c r="G6397">
        <f>IFERROR(__xludf.DUMMYFUNCTION("""COMPUTED_VALUE"""),16.75)</f>
        <v>16.75</v>
      </c>
    </row>
    <row r="6398">
      <c r="D6398" t="str">
        <f>IFERROR(__xludf.DUMMYFUNCTION("""COMPUTED_VALUE"""),"Rawls")</f>
        <v>Rawls</v>
      </c>
      <c r="E6398" t="str">
        <f>IFERROR(__xludf.DUMMYFUNCTION("""COMPUTED_VALUE"""),"Thomas")</f>
        <v>Thomas</v>
      </c>
      <c r="F6398" t="str">
        <f>IFERROR(__xludf.DUMMYFUNCTION("""COMPUTED_VALUE"""),"NYJ")</f>
        <v>NYJ</v>
      </c>
      <c r="G6398">
        <f>IFERROR(__xludf.DUMMYFUNCTION("""COMPUTED_VALUE"""),18.5)</f>
        <v>18.5</v>
      </c>
    </row>
    <row r="6399">
      <c r="D6399" t="str">
        <f>IFERROR(__xludf.DUMMYFUNCTION("""COMPUTED_VALUE"""),"Ray")</f>
        <v>Ray</v>
      </c>
      <c r="E6399" t="str">
        <f>IFERROR(__xludf.DUMMYFUNCTION("""COMPUTED_VALUE"""),"Shane")</f>
        <v>Shane</v>
      </c>
      <c r="F6399" t="str">
        <f>IFERROR(__xludf.DUMMYFUNCTION("""COMPUTED_VALUE"""),"DEN")</f>
        <v>DEN</v>
      </c>
      <c r="G6399">
        <f>IFERROR(__xludf.DUMMYFUNCTION("""COMPUTED_VALUE"""),18.5)</f>
        <v>18.5</v>
      </c>
    </row>
    <row r="6400">
      <c r="D6400" t="str">
        <f>IFERROR(__xludf.DUMMYFUNCTION("""COMPUTED_VALUE"""),"Raymond")</f>
        <v>Raymond</v>
      </c>
      <c r="E6400" t="str">
        <f>IFERROR(__xludf.DUMMYFUNCTION("""COMPUTED_VALUE"""),"Kalif")</f>
        <v>Kalif</v>
      </c>
      <c r="F6400" t="str">
        <f>IFERROR(__xludf.DUMMYFUNCTION("""COMPUTED_VALUE"""),"NYG")</f>
        <v>NYG</v>
      </c>
      <c r="G6400">
        <f>IFERROR(__xludf.DUMMYFUNCTION("""COMPUTED_VALUE"""),17.0)</f>
        <v>17</v>
      </c>
    </row>
    <row r="6401">
      <c r="D6401" t="str">
        <f>IFERROR(__xludf.DUMMYFUNCTION("""COMPUTED_VALUE"""),"Reader")</f>
        <v>Reader</v>
      </c>
      <c r="E6401" t="str">
        <f>IFERROR(__xludf.DUMMYFUNCTION("""COMPUTED_VALUE"""),"DJ")</f>
        <v>DJ</v>
      </c>
      <c r="F6401" t="str">
        <f>IFERROR(__xludf.DUMMYFUNCTION("""COMPUTED_VALUE"""),"HOU")</f>
        <v>HOU</v>
      </c>
      <c r="G6401">
        <f>IFERROR(__xludf.DUMMYFUNCTION("""COMPUTED_VALUE"""),20.0)</f>
        <v>20</v>
      </c>
    </row>
    <row r="6402">
      <c r="D6402" t="str">
        <f>IFERROR(__xludf.DUMMYFUNCTION("""COMPUTED_VALUE"""),"Reaser")</f>
        <v>Reaser</v>
      </c>
      <c r="E6402" t="str">
        <f>IFERROR(__xludf.DUMMYFUNCTION("""COMPUTED_VALUE"""),"Keith")</f>
        <v>Keith</v>
      </c>
      <c r="F6402" t="str">
        <f>IFERROR(__xludf.DUMMYFUNCTION("""COMPUTED_VALUE"""),"KC")</f>
        <v>KC</v>
      </c>
      <c r="G6402">
        <f>IFERROR(__xludf.DUMMYFUNCTION("""COMPUTED_VALUE"""),17.0)</f>
        <v>17</v>
      </c>
    </row>
    <row r="6403">
      <c r="D6403" t="str">
        <f>IFERROR(__xludf.DUMMYFUNCTION("""COMPUTED_VALUE"""),"Reddick")</f>
        <v>Reddick</v>
      </c>
      <c r="E6403" t="str">
        <f>IFERROR(__xludf.DUMMYFUNCTION("""COMPUTED_VALUE"""),"Haason")</f>
        <v>Haason</v>
      </c>
      <c r="F6403" t="str">
        <f>IFERROR(__xludf.DUMMYFUNCTION("""COMPUTED_VALUE"""),"ARZ")</f>
        <v>ARZ</v>
      </c>
      <c r="G6403">
        <f>IFERROR(__xludf.DUMMYFUNCTION("""COMPUTED_VALUE"""),19.0)</f>
        <v>19</v>
      </c>
    </row>
    <row r="6404">
      <c r="D6404" t="str">
        <f>IFERROR(__xludf.DUMMYFUNCTION("""COMPUTED_VALUE"""),"Redmond")</f>
        <v>Redmond</v>
      </c>
      <c r="E6404" t="str">
        <f>IFERROR(__xludf.DUMMYFUNCTION("""COMPUTED_VALUE"""),"Adam")</f>
        <v>Adam</v>
      </c>
      <c r="F6404" t="str">
        <f>IFERROR(__xludf.DUMMYFUNCTION("""COMPUTED_VALUE"""),"BUF")</f>
        <v>BUF</v>
      </c>
      <c r="G6404">
        <f>IFERROR(__xludf.DUMMYFUNCTION("""COMPUTED_VALUE"""),16.25)</f>
        <v>16.25</v>
      </c>
    </row>
    <row r="6405">
      <c r="D6405" t="str">
        <f>IFERROR(__xludf.DUMMYFUNCTION("""COMPUTED_VALUE"""),"Redmond")</f>
        <v>Redmond</v>
      </c>
      <c r="E6405" t="str">
        <f>IFERROR(__xludf.DUMMYFUNCTION("""COMPUTED_VALUE"""),"Alex")</f>
        <v>Alex</v>
      </c>
      <c r="F6405" t="str">
        <f>IFERROR(__xludf.DUMMYFUNCTION("""COMPUTED_VALUE"""),"CIN")</f>
        <v>CIN</v>
      </c>
      <c r="G6405">
        <f>IFERROR(__xludf.DUMMYFUNCTION("""COMPUTED_VALUE"""),16.25)</f>
        <v>16.25</v>
      </c>
    </row>
    <row r="6406">
      <c r="D6406" t="str">
        <f>IFERROR(__xludf.DUMMYFUNCTION("""COMPUTED_VALUE"""),"Redmond")</f>
        <v>Redmond</v>
      </c>
      <c r="E6406" t="str">
        <f>IFERROR(__xludf.DUMMYFUNCTION("""COMPUTED_VALUE"""),"Will")</f>
        <v>Will</v>
      </c>
      <c r="F6406" t="str">
        <f>IFERROR(__xludf.DUMMYFUNCTION("""COMPUTED_VALUE"""),"KC")</f>
        <v>KC</v>
      </c>
      <c r="G6406">
        <f>IFERROR(__xludf.DUMMYFUNCTION("""COMPUTED_VALUE"""),16.5)</f>
        <v>16.5</v>
      </c>
    </row>
    <row r="6407">
      <c r="D6407" t="str">
        <f>IFERROR(__xludf.DUMMYFUNCTION("""COMPUTED_VALUE"""),"Reed")</f>
        <v>Reed</v>
      </c>
      <c r="E6407" t="str">
        <f>IFERROR(__xludf.DUMMYFUNCTION("""COMPUTED_VALUE"""),"Brooks")</f>
        <v>Brooks</v>
      </c>
      <c r="F6407" t="str">
        <f>IFERROR(__xludf.DUMMYFUNCTION("""COMPUTED_VALUE"""),"ATL")</f>
        <v>ATL</v>
      </c>
      <c r="G6407">
        <f>IFERROR(__xludf.DUMMYFUNCTION("""COMPUTED_VALUE"""),19.5)</f>
        <v>19.5</v>
      </c>
    </row>
    <row r="6408">
      <c r="D6408" t="str">
        <f>IFERROR(__xludf.DUMMYFUNCTION("""COMPUTED_VALUE"""),"Reed")</f>
        <v>Reed</v>
      </c>
      <c r="E6408" t="str">
        <f>IFERROR(__xludf.DUMMYFUNCTION("""COMPUTED_VALUE"""),"Chris")</f>
        <v>Chris</v>
      </c>
      <c r="F6408" t="str">
        <f>IFERROR(__xludf.DUMMYFUNCTION("""COMPUTED_VALUE"""),"JAX")</f>
        <v>JAX</v>
      </c>
      <c r="G6408">
        <f>IFERROR(__xludf.DUMMYFUNCTION("""COMPUTED_VALUE"""),17.5)</f>
        <v>17.5</v>
      </c>
    </row>
    <row r="6409">
      <c r="D6409" t="str">
        <f>IFERROR(__xludf.DUMMYFUNCTION("""COMPUTED_VALUE"""),"Reed")</f>
        <v>Reed</v>
      </c>
      <c r="E6409" t="str">
        <f>IFERROR(__xludf.DUMMYFUNCTION("""COMPUTED_VALUE"""),"DJ")</f>
        <v>DJ</v>
      </c>
      <c r="F6409" t="str">
        <f>IFERROR(__xludf.DUMMYFUNCTION("""COMPUTED_VALUE"""),"SF")</f>
        <v>SF</v>
      </c>
      <c r="G6409">
        <f>IFERROR(__xludf.DUMMYFUNCTION("""COMPUTED_VALUE"""),17.5)</f>
        <v>17.5</v>
      </c>
    </row>
    <row r="6410">
      <c r="D6410" t="str">
        <f>IFERROR(__xludf.DUMMYFUNCTION("""COMPUTED_VALUE"""),"Reed")</f>
        <v>Reed</v>
      </c>
      <c r="E6410" t="str">
        <f>IFERROR(__xludf.DUMMYFUNCTION("""COMPUTED_VALUE"""),"Jarran")</f>
        <v>Jarran</v>
      </c>
      <c r="F6410" t="str">
        <f>IFERROR(__xludf.DUMMYFUNCTION("""COMPUTED_VALUE"""),"SEA")</f>
        <v>SEA</v>
      </c>
      <c r="G6410">
        <f>IFERROR(__xludf.DUMMYFUNCTION("""COMPUTED_VALUE"""),19.25)</f>
        <v>19.25</v>
      </c>
    </row>
    <row r="6411">
      <c r="D6411" t="str">
        <f>IFERROR(__xludf.DUMMYFUNCTION("""COMPUTED_VALUE"""),"Reed")</f>
        <v>Reed</v>
      </c>
      <c r="E6411" t="str">
        <f>IFERROR(__xludf.DUMMYFUNCTION("""COMPUTED_VALUE"""),"Jordan")</f>
        <v>Jordan</v>
      </c>
      <c r="F6411" t="str">
        <f>IFERROR(__xludf.DUMMYFUNCTION("""COMPUTED_VALUE"""),"WAS")</f>
        <v>WAS</v>
      </c>
      <c r="G6411">
        <f>IFERROR(__xludf.DUMMYFUNCTION("""COMPUTED_VALUE"""),21.25)</f>
        <v>21.25</v>
      </c>
    </row>
    <row r="6412">
      <c r="D6412" t="str">
        <f>IFERROR(__xludf.DUMMYFUNCTION("""COMPUTED_VALUE"""),"Reed")</f>
        <v>Reed</v>
      </c>
      <c r="E6412" t="str">
        <f>IFERROR(__xludf.DUMMYFUNCTION("""COMPUTED_VALUE"""),"Kalan")</f>
        <v>Kalan</v>
      </c>
      <c r="F6412" t="str">
        <f>IFERROR(__xludf.DUMMYFUNCTION("""COMPUTED_VALUE"""),"TEN")</f>
        <v>TEN</v>
      </c>
      <c r="G6412">
        <f>IFERROR(__xludf.DUMMYFUNCTION("""COMPUTED_VALUE"""),17.0)</f>
        <v>17</v>
      </c>
    </row>
    <row r="6413">
      <c r="D6413" t="str">
        <f>IFERROR(__xludf.DUMMYFUNCTION("""COMPUTED_VALUE"""),"Reed")</f>
        <v>Reed</v>
      </c>
      <c r="E6413" t="str">
        <f>IFERROR(__xludf.DUMMYFUNCTION("""COMPUTED_VALUE"""),"Trovon")</f>
        <v>Trovon</v>
      </c>
      <c r="F6413" t="str">
        <f>IFERROR(__xludf.DUMMYFUNCTION("""COMPUTED_VALUE"""),"FA")</f>
        <v>FA</v>
      </c>
      <c r="G6413">
        <f>IFERROR(__xludf.DUMMYFUNCTION("""COMPUTED_VALUE"""),16.5)</f>
        <v>16.5</v>
      </c>
    </row>
    <row r="6414">
      <c r="D6414" t="str">
        <f>IFERROR(__xludf.DUMMYFUNCTION("""COMPUTED_VALUE"""),"Reeves-Maybin")</f>
        <v>Reeves-Maybin</v>
      </c>
      <c r="E6414" t="str">
        <f>IFERROR(__xludf.DUMMYFUNCTION("""COMPUTED_VALUE"""),"Jalen")</f>
        <v>Jalen</v>
      </c>
      <c r="F6414" t="str">
        <f>IFERROR(__xludf.DUMMYFUNCTION("""COMPUTED_VALUE"""),"DET")</f>
        <v>DET</v>
      </c>
      <c r="G6414">
        <f>IFERROR(__xludf.DUMMYFUNCTION("""COMPUTED_VALUE"""),17.5)</f>
        <v>17.5</v>
      </c>
    </row>
    <row r="6415">
      <c r="D6415" t="str">
        <f>IFERROR(__xludf.DUMMYFUNCTION("""COMPUTED_VALUE"""),"Reid")</f>
        <v>Reid</v>
      </c>
      <c r="E6415" t="str">
        <f>IFERROR(__xludf.DUMMYFUNCTION("""COMPUTED_VALUE"""),"Caraun")</f>
        <v>Caraun</v>
      </c>
      <c r="F6415" t="str">
        <f>IFERROR(__xludf.DUMMYFUNCTION("""COMPUTED_VALUE"""),"IND")</f>
        <v>IND</v>
      </c>
      <c r="G6415">
        <f>IFERROR(__xludf.DUMMYFUNCTION("""COMPUTED_VALUE"""),15.75)</f>
        <v>15.75</v>
      </c>
    </row>
    <row r="6416">
      <c r="D6416" t="str">
        <f>IFERROR(__xludf.DUMMYFUNCTION("""COMPUTED_VALUE"""),"Reid")</f>
        <v>Reid</v>
      </c>
      <c r="E6416" t="str">
        <f>IFERROR(__xludf.DUMMYFUNCTION("""COMPUTED_VALUE"""),"Eric")</f>
        <v>Eric</v>
      </c>
      <c r="F6416" t="str">
        <f>IFERROR(__xludf.DUMMYFUNCTION("""COMPUTED_VALUE"""),"FA")</f>
        <v>FA</v>
      </c>
      <c r="G6416">
        <f>IFERROR(__xludf.DUMMYFUNCTION("""COMPUTED_VALUE"""),19.75)</f>
        <v>19.75</v>
      </c>
    </row>
    <row r="6417">
      <c r="D6417" t="str">
        <f>IFERROR(__xludf.DUMMYFUNCTION("""COMPUTED_VALUE"""),"Reid")</f>
        <v>Reid</v>
      </c>
      <c r="E6417" t="str">
        <f>IFERROR(__xludf.DUMMYFUNCTION("""COMPUTED_VALUE"""),"Justin")</f>
        <v>Justin</v>
      </c>
      <c r="F6417" t="str">
        <f>IFERROR(__xludf.DUMMYFUNCTION("""COMPUTED_VALUE"""),"HOU")</f>
        <v>HOU</v>
      </c>
      <c r="G6417">
        <f>IFERROR(__xludf.DUMMYFUNCTION("""COMPUTED_VALUE"""),18.25)</f>
        <v>18.25</v>
      </c>
    </row>
    <row r="6418">
      <c r="D6418" t="str">
        <f>IFERROR(__xludf.DUMMYFUNCTION("""COMPUTED_VALUE"""),"Reiff")</f>
        <v>Reiff</v>
      </c>
      <c r="E6418" t="str">
        <f>IFERROR(__xludf.DUMMYFUNCTION("""COMPUTED_VALUE"""),"Riley")</f>
        <v>Riley</v>
      </c>
      <c r="F6418" t="str">
        <f>IFERROR(__xludf.DUMMYFUNCTION("""COMPUTED_VALUE"""),"MIN")</f>
        <v>MIN</v>
      </c>
      <c r="G6418">
        <f>IFERROR(__xludf.DUMMYFUNCTION("""COMPUTED_VALUE"""),19.0)</f>
        <v>19</v>
      </c>
    </row>
    <row r="6419">
      <c r="D6419" t="str">
        <f>IFERROR(__xludf.DUMMYFUNCTION("""COMPUTED_VALUE"""),"Reilly")</f>
        <v>Reilly</v>
      </c>
      <c r="E6419" t="str">
        <f>IFERROR(__xludf.DUMMYFUNCTION("""COMPUTED_VALUE"""),"Brandon")</f>
        <v>Brandon</v>
      </c>
      <c r="F6419" t="str">
        <f>IFERROR(__xludf.DUMMYFUNCTION("""COMPUTED_VALUE"""),"BUF")</f>
        <v>BUF</v>
      </c>
      <c r="G6419">
        <f>IFERROR(__xludf.DUMMYFUNCTION("""COMPUTED_VALUE"""),16.0)</f>
        <v>16</v>
      </c>
    </row>
    <row r="6420">
      <c r="D6420" t="str">
        <f>IFERROR(__xludf.DUMMYFUNCTION("""COMPUTED_VALUE"""),"Reiter")</f>
        <v>Reiter</v>
      </c>
      <c r="E6420" t="str">
        <f>IFERROR(__xludf.DUMMYFUNCTION("""COMPUTED_VALUE"""),"Austin")</f>
        <v>Austin</v>
      </c>
      <c r="F6420" t="str">
        <f>IFERROR(__xludf.DUMMYFUNCTION("""COMPUTED_VALUE"""),"CLE")</f>
        <v>CLE</v>
      </c>
      <c r="G6420">
        <f>IFERROR(__xludf.DUMMYFUNCTION("""COMPUTED_VALUE"""),16.5)</f>
        <v>16.5</v>
      </c>
    </row>
    <row r="6421">
      <c r="D6421" t="str">
        <f>IFERROR(__xludf.DUMMYFUNCTION("""COMPUTED_VALUE"""),"Remmers")</f>
        <v>Remmers</v>
      </c>
      <c r="E6421" t="str">
        <f>IFERROR(__xludf.DUMMYFUNCTION("""COMPUTED_VALUE"""),"Mike")</f>
        <v>Mike</v>
      </c>
      <c r="F6421" t="str">
        <f>IFERROR(__xludf.DUMMYFUNCTION("""COMPUTED_VALUE"""),"MIN")</f>
        <v>MIN</v>
      </c>
      <c r="G6421">
        <f>IFERROR(__xludf.DUMMYFUNCTION("""COMPUTED_VALUE"""),19.5)</f>
        <v>19.5</v>
      </c>
    </row>
    <row r="6422">
      <c r="D6422" t="str">
        <f>IFERROR(__xludf.DUMMYFUNCTION("""COMPUTED_VALUE"""),"Rey")</f>
        <v>Rey</v>
      </c>
      <c r="E6422" t="str">
        <f>IFERROR(__xludf.DUMMYFUNCTION("""COMPUTED_VALUE"""),"Vincent")</f>
        <v>Vincent</v>
      </c>
      <c r="F6422" t="str">
        <f>IFERROR(__xludf.DUMMYFUNCTION("""COMPUTED_VALUE"""),"CIN")</f>
        <v>CIN</v>
      </c>
      <c r="G6422">
        <f>IFERROR(__xludf.DUMMYFUNCTION("""COMPUTED_VALUE"""),18.5)</f>
        <v>18.5</v>
      </c>
    </row>
    <row r="6423">
      <c r="D6423" t="str">
        <f>IFERROR(__xludf.DUMMYFUNCTION("""COMPUTED_VALUE"""),"Reynolds")</f>
        <v>Reynolds</v>
      </c>
      <c r="E6423" t="str">
        <f>IFERROR(__xludf.DUMMYFUNCTION("""COMPUTED_VALUE"""),"Josh")</f>
        <v>Josh</v>
      </c>
      <c r="F6423" t="str">
        <f>IFERROR(__xludf.DUMMYFUNCTION("""COMPUTED_VALUE"""),"LAR")</f>
        <v>LAR</v>
      </c>
      <c r="G6423">
        <f>IFERROR(__xludf.DUMMYFUNCTION("""COMPUTED_VALUE"""),18.0)</f>
        <v>18</v>
      </c>
    </row>
    <row r="6424">
      <c r="D6424" t="str">
        <f>IFERROR(__xludf.DUMMYFUNCTION("""COMPUTED_VALUE"""),"Rhaney")</f>
        <v>Rhaney</v>
      </c>
      <c r="E6424" t="str">
        <f>IFERROR(__xludf.DUMMYFUNCTION("""COMPUTED_VALUE"""),"Demetrius")</f>
        <v>Demetrius</v>
      </c>
      <c r="F6424" t="str">
        <f>IFERROR(__xludf.DUMMYFUNCTION("""COMPUTED_VALUE"""),"WAS")</f>
        <v>WAS</v>
      </c>
      <c r="G6424">
        <f>IFERROR(__xludf.DUMMYFUNCTION("""COMPUTED_VALUE"""),17.0)</f>
        <v>17</v>
      </c>
    </row>
    <row r="6425">
      <c r="D6425" t="str">
        <f>IFERROR(__xludf.DUMMYFUNCTION("""COMPUTED_VALUE"""),"Rhodes")</f>
        <v>Rhodes</v>
      </c>
      <c r="E6425" t="str">
        <f>IFERROR(__xludf.DUMMYFUNCTION("""COMPUTED_VALUE"""),"Xavier")</f>
        <v>Xavier</v>
      </c>
      <c r="F6425" t="str">
        <f>IFERROR(__xludf.DUMMYFUNCTION("""COMPUTED_VALUE"""),"MIN")</f>
        <v>MIN</v>
      </c>
      <c r="G6425">
        <f>IFERROR(__xludf.DUMMYFUNCTION("""COMPUTED_VALUE"""),22.0)</f>
        <v>22</v>
      </c>
    </row>
    <row r="6426">
      <c r="D6426" t="str">
        <f>IFERROR(__xludf.DUMMYFUNCTION("""COMPUTED_VALUE"""),"Rice")</f>
        <v>Rice</v>
      </c>
      <c r="E6426" t="str">
        <f>IFERROR(__xludf.DUMMYFUNCTION("""COMPUTED_VALUE"""),"Denzel")</f>
        <v>Denzel</v>
      </c>
      <c r="F6426" t="str">
        <f>IFERROR(__xludf.DUMMYFUNCTION("""COMPUTED_VALUE"""),"CLE")</f>
        <v>CLE</v>
      </c>
      <c r="G6426">
        <f>IFERROR(__xludf.DUMMYFUNCTION("""COMPUTED_VALUE"""),15.75)</f>
        <v>15.75</v>
      </c>
    </row>
    <row r="6427">
      <c r="D6427" t="str">
        <f>IFERROR(__xludf.DUMMYFUNCTION("""COMPUTED_VALUE"""),"Richard")</f>
        <v>Richard</v>
      </c>
      <c r="E6427" t="str">
        <f>IFERROR(__xludf.DUMMYFUNCTION("""COMPUTED_VALUE"""),"Jalen")</f>
        <v>Jalen</v>
      </c>
      <c r="F6427" t="str">
        <f>IFERROR(__xludf.DUMMYFUNCTION("""COMPUTED_VALUE"""),"OAK")</f>
        <v>OAK</v>
      </c>
      <c r="G6427">
        <f>IFERROR(__xludf.DUMMYFUNCTION("""COMPUTED_VALUE"""),18.25)</f>
        <v>18.25</v>
      </c>
    </row>
    <row r="6428">
      <c r="D6428" t="str">
        <f>IFERROR(__xludf.DUMMYFUNCTION("""COMPUTED_VALUE"""),"Richards")</f>
        <v>Richards</v>
      </c>
      <c r="E6428" t="str">
        <f>IFERROR(__xludf.DUMMYFUNCTION("""COMPUTED_VALUE"""),"Jeff")</f>
        <v>Jeff</v>
      </c>
      <c r="F6428" t="str">
        <f>IFERROR(__xludf.DUMMYFUNCTION("""COMPUTED_VALUE"""),"LAC")</f>
        <v>LAC</v>
      </c>
      <c r="G6428">
        <f>IFERROR(__xludf.DUMMYFUNCTION("""COMPUTED_VALUE"""),16.5)</f>
        <v>16.5</v>
      </c>
    </row>
    <row r="6429">
      <c r="D6429" t="str">
        <f>IFERROR(__xludf.DUMMYFUNCTION("""COMPUTED_VALUE"""),"Richards")</f>
        <v>Richards</v>
      </c>
      <c r="E6429" t="str">
        <f>IFERROR(__xludf.DUMMYFUNCTION("""COMPUTED_VALUE"""),"Jordan")</f>
        <v>Jordan</v>
      </c>
      <c r="F6429" t="str">
        <f>IFERROR(__xludf.DUMMYFUNCTION("""COMPUTED_VALUE"""),"NE")</f>
        <v>NE</v>
      </c>
      <c r="G6429">
        <f>IFERROR(__xludf.DUMMYFUNCTION("""COMPUTED_VALUE"""),17.75)</f>
        <v>17.75</v>
      </c>
    </row>
    <row r="6430">
      <c r="D6430" t="str">
        <f>IFERROR(__xludf.DUMMYFUNCTION("""COMPUTED_VALUE"""),"Richardson")</f>
        <v>Richardson</v>
      </c>
      <c r="E6430" t="str">
        <f>IFERROR(__xludf.DUMMYFUNCTION("""COMPUTED_VALUE"""),"Sheldon")</f>
        <v>Sheldon</v>
      </c>
      <c r="F6430" t="str">
        <f>IFERROR(__xludf.DUMMYFUNCTION("""COMPUTED_VALUE"""),"MIN")</f>
        <v>MIN</v>
      </c>
      <c r="G6430">
        <f>IFERROR(__xludf.DUMMYFUNCTION("""COMPUTED_VALUE"""),20.5)</f>
        <v>20.5</v>
      </c>
    </row>
    <row r="6431">
      <c r="D6431" t="str">
        <f>IFERROR(__xludf.DUMMYFUNCTION("""COMPUTED_VALUE"""),"Richardson Jr")</f>
        <v>Richardson Jr</v>
      </c>
      <c r="E6431" t="str">
        <f>IFERROR(__xludf.DUMMYFUNCTION("""COMPUTED_VALUE"""),"Paul")</f>
        <v>Paul</v>
      </c>
      <c r="F6431" t="str">
        <f>IFERROR(__xludf.DUMMYFUNCTION("""COMPUTED_VALUE"""),"WAS")</f>
        <v>WAS</v>
      </c>
      <c r="G6431">
        <f>IFERROR(__xludf.DUMMYFUNCTION("""COMPUTED_VALUE"""),19.75)</f>
        <v>19.75</v>
      </c>
    </row>
    <row r="6432">
      <c r="D6432" t="str">
        <f>IFERROR(__xludf.DUMMYFUNCTION("""COMPUTED_VALUE"""),"Richardson Jr")</f>
        <v>Richardson Jr</v>
      </c>
      <c r="E6432" t="str">
        <f>IFERROR(__xludf.DUMMYFUNCTION("""COMPUTED_VALUE"""),"Will")</f>
        <v>Will</v>
      </c>
      <c r="F6432" t="str">
        <f>IFERROR(__xludf.DUMMYFUNCTION("""COMPUTED_VALUE"""),"JAX")</f>
        <v>JAX</v>
      </c>
      <c r="G6432">
        <f>IFERROR(__xludf.DUMMYFUNCTION("""COMPUTED_VALUE"""),17.25)</f>
        <v>17.25</v>
      </c>
    </row>
    <row r="6433">
      <c r="D6433" t="str">
        <f>IFERROR(__xludf.DUMMYFUNCTION("""COMPUTED_VALUE"""),"Richburg")</f>
        <v>Richburg</v>
      </c>
      <c r="E6433" t="str">
        <f>IFERROR(__xludf.DUMMYFUNCTION("""COMPUTED_VALUE"""),"Weston")</f>
        <v>Weston</v>
      </c>
      <c r="F6433" t="str">
        <f>IFERROR(__xludf.DUMMYFUNCTION("""COMPUTED_VALUE"""),"SF")</f>
        <v>SF</v>
      </c>
      <c r="G6433">
        <f>IFERROR(__xludf.DUMMYFUNCTION("""COMPUTED_VALUE"""),19.75)</f>
        <v>19.75</v>
      </c>
    </row>
    <row r="6434">
      <c r="D6434" t="str">
        <f>IFERROR(__xludf.DUMMYFUNCTION("""COMPUTED_VALUE"""),"Riddick")</f>
        <v>Riddick</v>
      </c>
      <c r="E6434" t="str">
        <f>IFERROR(__xludf.DUMMYFUNCTION("""COMPUTED_VALUE"""),"Theo")</f>
        <v>Theo</v>
      </c>
      <c r="F6434" t="str">
        <f>IFERROR(__xludf.DUMMYFUNCTION("""COMPUTED_VALUE"""),"DET")</f>
        <v>DET</v>
      </c>
      <c r="G6434">
        <f>IFERROR(__xludf.DUMMYFUNCTION("""COMPUTED_VALUE"""),19.0)</f>
        <v>19</v>
      </c>
    </row>
    <row r="6435">
      <c r="D6435" t="str">
        <f>IFERROR(__xludf.DUMMYFUNCTION("""COMPUTED_VALUE"""),"Ridgeway")</f>
        <v>Ridgeway</v>
      </c>
      <c r="E6435" t="str">
        <f>IFERROR(__xludf.DUMMYFUNCTION("""COMPUTED_VALUE"""),"Hassan")</f>
        <v>Hassan</v>
      </c>
      <c r="F6435" t="str">
        <f>IFERROR(__xludf.DUMMYFUNCTION("""COMPUTED_VALUE"""),"IND")</f>
        <v>IND</v>
      </c>
      <c r="G6435">
        <f>IFERROR(__xludf.DUMMYFUNCTION("""COMPUTED_VALUE"""),17.5)</f>
        <v>17.5</v>
      </c>
    </row>
    <row r="6436">
      <c r="D6436" t="str">
        <f>IFERROR(__xludf.DUMMYFUNCTION("""COMPUTED_VALUE"""),"Ridley")</f>
        <v>Ridley</v>
      </c>
      <c r="E6436" t="str">
        <f>IFERROR(__xludf.DUMMYFUNCTION("""COMPUTED_VALUE"""),"Calvin")</f>
        <v>Calvin</v>
      </c>
      <c r="F6436" t="str">
        <f>IFERROR(__xludf.DUMMYFUNCTION("""COMPUTED_VALUE"""),"ATL")</f>
        <v>ATL</v>
      </c>
      <c r="G6436">
        <f>IFERROR(__xludf.DUMMYFUNCTION("""COMPUTED_VALUE"""),19.25)</f>
        <v>19.25</v>
      </c>
    </row>
    <row r="6437">
      <c r="D6437" t="str">
        <f>IFERROR(__xludf.DUMMYFUNCTION("""COMPUTED_VALUE"""),"Ridley")</f>
        <v>Ridley</v>
      </c>
      <c r="E6437" t="str">
        <f>IFERROR(__xludf.DUMMYFUNCTION("""COMPUTED_VALUE"""),"Stevan")</f>
        <v>Stevan</v>
      </c>
      <c r="F6437" t="str">
        <f>IFERROR(__xludf.DUMMYFUNCTION("""COMPUTED_VALUE"""),"PIT")</f>
        <v>PIT</v>
      </c>
      <c r="G6437">
        <f>IFERROR(__xludf.DUMMYFUNCTION("""COMPUTED_VALUE"""),17.0)</f>
        <v>17</v>
      </c>
    </row>
    <row r="6438">
      <c r="D6438" t="str">
        <f>IFERROR(__xludf.DUMMYFUNCTION("""COMPUTED_VALUE"""),"Riitem")</f>
        <v>Riitem</v>
      </c>
      <c r="E6438" t="str">
        <f>IFERROR(__xludf.DUMMYFUNCTION("""COMPUTED_VALUE"""),"Patrick")</f>
        <v>Patrick</v>
      </c>
      <c r="F6438" t="str">
        <f>IFERROR(__xludf.DUMMYFUNCTION("""COMPUTED_VALUE"""),"BAL")</f>
        <v>BAL</v>
      </c>
      <c r="G6438">
        <f>IFERROR(__xludf.DUMMYFUNCTION("""COMPUTED_VALUE"""),20.25)</f>
        <v>20.25</v>
      </c>
    </row>
    <row r="6439">
      <c r="D6439" t="str">
        <f>IFERROR(__xludf.DUMMYFUNCTION("""COMPUTED_VALUE"""),"Riley")</f>
        <v>Riley</v>
      </c>
      <c r="E6439" t="str">
        <f>IFERROR(__xludf.DUMMYFUNCTION("""COMPUTED_VALUE"""),"Curtis")</f>
        <v>Curtis</v>
      </c>
      <c r="F6439" t="str">
        <f>IFERROR(__xludf.DUMMYFUNCTION("""COMPUTED_VALUE"""),"NYG")</f>
        <v>NYG</v>
      </c>
      <c r="G6439">
        <f>IFERROR(__xludf.DUMMYFUNCTION("""COMPUTED_VALUE"""),15.75)</f>
        <v>15.75</v>
      </c>
    </row>
    <row r="6440">
      <c r="D6440" t="str">
        <f>IFERROR(__xludf.DUMMYFUNCTION("""COMPUTED_VALUE"""),"Riley")</f>
        <v>Riley</v>
      </c>
      <c r="E6440" t="str">
        <f>IFERROR(__xludf.DUMMYFUNCTION("""COMPUTED_VALUE"""),"Duke")</f>
        <v>Duke</v>
      </c>
      <c r="F6440" t="str">
        <f>IFERROR(__xludf.DUMMYFUNCTION("""COMPUTED_VALUE"""),"ATL")</f>
        <v>ATL</v>
      </c>
      <c r="G6440">
        <f>IFERROR(__xludf.DUMMYFUNCTION("""COMPUTED_VALUE"""),17.0)</f>
        <v>17</v>
      </c>
    </row>
    <row r="6441">
      <c r="D6441" t="str">
        <f>IFERROR(__xludf.DUMMYFUNCTION("""COMPUTED_VALUE"""),"Ringo")</f>
        <v>Ringo</v>
      </c>
      <c r="E6441" t="str">
        <f>IFERROR(__xludf.DUMMYFUNCTION("""COMPUTED_VALUE"""),"Christian")</f>
        <v>Christian</v>
      </c>
      <c r="F6441" t="str">
        <f>IFERROR(__xludf.DUMMYFUNCTION("""COMPUTED_VALUE"""),"DET")</f>
        <v>DET</v>
      </c>
      <c r="G6441">
        <f>IFERROR(__xludf.DUMMYFUNCTION("""COMPUTED_VALUE"""),16.25)</f>
        <v>16.25</v>
      </c>
    </row>
    <row r="6442">
      <c r="D6442" t="str">
        <f>IFERROR(__xludf.DUMMYFUNCTION("""COMPUTED_VALUE"""),"Rios")</f>
        <v>Rios</v>
      </c>
      <c r="E6442" t="str">
        <f>IFERROR(__xludf.DUMMYFUNCTION("""COMPUTED_VALUE"""),"Marcus")</f>
        <v>Marcus</v>
      </c>
      <c r="F6442" t="str">
        <f>IFERROR(__xludf.DUMMYFUNCTION("""COMPUTED_VALUE"""),"DEN")</f>
        <v>DEN</v>
      </c>
      <c r="G6442">
        <f>IFERROR(__xludf.DUMMYFUNCTION("""COMPUTED_VALUE"""),15.5)</f>
        <v>15.5</v>
      </c>
    </row>
    <row r="6443">
      <c r="D6443" t="str">
        <f>IFERROR(__xludf.DUMMYFUNCTION("""COMPUTED_VALUE"""),"Ripkowski")</f>
        <v>Ripkowski</v>
      </c>
      <c r="E6443" t="str">
        <f>IFERROR(__xludf.DUMMYFUNCTION("""COMPUTED_VALUE"""),"Aaron")</f>
        <v>Aaron</v>
      </c>
      <c r="F6443" t="str">
        <f>IFERROR(__xludf.DUMMYFUNCTION("""COMPUTED_VALUE"""),"GB")</f>
        <v>GB</v>
      </c>
      <c r="G6443">
        <f>IFERROR(__xludf.DUMMYFUNCTION("""COMPUTED_VALUE"""),18.75)</f>
        <v>18.75</v>
      </c>
    </row>
    <row r="6444">
      <c r="D6444" t="str">
        <f>IFERROR(__xludf.DUMMYFUNCTION("""COMPUTED_VALUE"""),"Rivers")</f>
        <v>Rivers</v>
      </c>
      <c r="E6444" t="str">
        <f>IFERROR(__xludf.DUMMYFUNCTION("""COMPUTED_VALUE"""),"David")</f>
        <v>David</v>
      </c>
      <c r="F6444" t="str">
        <f>IFERROR(__xludf.DUMMYFUNCTION("""COMPUTED_VALUE"""),"TB")</f>
        <v>TB</v>
      </c>
      <c r="G6444">
        <f>IFERROR(__xludf.DUMMYFUNCTION("""COMPUTED_VALUE"""),15.75)</f>
        <v>15.75</v>
      </c>
    </row>
    <row r="6445">
      <c r="D6445" t="str">
        <f>IFERROR(__xludf.DUMMYFUNCTION("""COMPUTED_VALUE"""),"Rivers")</f>
        <v>Rivers</v>
      </c>
      <c r="E6445" t="str">
        <f>IFERROR(__xludf.DUMMYFUNCTION("""COMPUTED_VALUE"""),"Derek")</f>
        <v>Derek</v>
      </c>
      <c r="F6445" t="str">
        <f>IFERROR(__xludf.DUMMYFUNCTION("""COMPUTED_VALUE"""),"NE")</f>
        <v>NE</v>
      </c>
      <c r="G6445">
        <f>IFERROR(__xludf.DUMMYFUNCTION("""COMPUTED_VALUE"""),18.5)</f>
        <v>18.5</v>
      </c>
    </row>
    <row r="6446">
      <c r="D6446" t="str">
        <f>IFERROR(__xludf.DUMMYFUNCTION("""COMPUTED_VALUE"""),"Rivers")</f>
        <v>Rivers</v>
      </c>
      <c r="E6446" t="str">
        <f>IFERROR(__xludf.DUMMYFUNCTION("""COMPUTED_VALUE"""),"Philip")</f>
        <v>Philip</v>
      </c>
      <c r="F6446" t="str">
        <f>IFERROR(__xludf.DUMMYFUNCTION("""COMPUTED_VALUE"""),"LAC")</f>
        <v>LAC</v>
      </c>
      <c r="G6446">
        <f>IFERROR(__xludf.DUMMYFUNCTION("""COMPUTED_VALUE"""),20.5)</f>
        <v>20.5</v>
      </c>
    </row>
    <row r="6447">
      <c r="D6447" t="str">
        <f>IFERROR(__xludf.DUMMYFUNCTION("""COMPUTED_VALUE"""),"Roaf")</f>
        <v>Roaf</v>
      </c>
      <c r="E6447" t="str">
        <f>IFERROR(__xludf.DUMMYFUNCTION("""COMPUTED_VALUE"""),"Willie")</f>
        <v>Willie</v>
      </c>
      <c r="F6447" t="str">
        <f>IFERROR(__xludf.DUMMYFUNCTION("""COMPUTED_VALUE"""),"NO")</f>
        <v>NO</v>
      </c>
      <c r="G6447">
        <f>IFERROR(__xludf.DUMMYFUNCTION("""COMPUTED_VALUE"""),20.75)</f>
        <v>20.75</v>
      </c>
    </row>
    <row r="6448">
      <c r="D6448" t="str">
        <f>IFERROR(__xludf.DUMMYFUNCTION("""COMPUTED_VALUE"""),"Roaf")</f>
        <v>Roaf</v>
      </c>
      <c r="E6448" t="str">
        <f>IFERROR(__xludf.DUMMYFUNCTION("""COMPUTED_VALUE"""),"Willie")</f>
        <v>Willie</v>
      </c>
      <c r="F6448" t="str">
        <f>IFERROR(__xludf.DUMMYFUNCTION("""COMPUTED_VALUE"""),"NO")</f>
        <v>NO</v>
      </c>
      <c r="G6448">
        <f>IFERROR(__xludf.DUMMYFUNCTION("""COMPUTED_VALUE"""),21.0)</f>
        <v>21</v>
      </c>
    </row>
    <row r="6449">
      <c r="D6449" t="str">
        <f>IFERROR(__xludf.DUMMYFUNCTION("""COMPUTED_VALUE"""),"Roaf")</f>
        <v>Roaf</v>
      </c>
      <c r="E6449" t="str">
        <f>IFERROR(__xludf.DUMMYFUNCTION("""COMPUTED_VALUE"""),"Willie")</f>
        <v>Willie</v>
      </c>
      <c r="F6449" t="str">
        <f>IFERROR(__xludf.DUMMYFUNCTION("""COMPUTED_VALUE"""),"NO")</f>
        <v>NO</v>
      </c>
      <c r="G6449">
        <f>IFERROR(__xludf.DUMMYFUNCTION("""COMPUTED_VALUE"""),20.5)</f>
        <v>20.5</v>
      </c>
    </row>
    <row r="6450">
      <c r="D6450" t="str">
        <f>IFERROR(__xludf.DUMMYFUNCTION("""COMPUTED_VALUE"""),"Roaf")</f>
        <v>Roaf</v>
      </c>
      <c r="E6450" t="str">
        <f>IFERROR(__xludf.DUMMYFUNCTION("""COMPUTED_VALUE"""),"Willie")</f>
        <v>Willie</v>
      </c>
      <c r="F6450" t="str">
        <f>IFERROR(__xludf.DUMMYFUNCTION("""COMPUTED_VALUE"""),"NO")</f>
        <v>NO</v>
      </c>
      <c r="G6450">
        <f>IFERROR(__xludf.DUMMYFUNCTION("""COMPUTED_VALUE"""),22.0)</f>
        <v>22</v>
      </c>
    </row>
    <row r="6451">
      <c r="D6451" t="str">
        <f>IFERROR(__xludf.DUMMYFUNCTION("""COMPUTED_VALUE"""),"Roaf")</f>
        <v>Roaf</v>
      </c>
      <c r="E6451" t="str">
        <f>IFERROR(__xludf.DUMMYFUNCTION("""COMPUTED_VALUE"""),"Willie")</f>
        <v>Willie</v>
      </c>
      <c r="F6451" t="str">
        <f>IFERROR(__xludf.DUMMYFUNCTION("""COMPUTED_VALUE"""),"NO")</f>
        <v>NO</v>
      </c>
      <c r="G6451">
        <f>IFERROR(__xludf.DUMMYFUNCTION("""COMPUTED_VALUE"""),21.5)</f>
        <v>21.5</v>
      </c>
    </row>
    <row r="6452">
      <c r="D6452" t="str">
        <f>IFERROR(__xludf.DUMMYFUNCTION("""COMPUTED_VALUE"""),"Roaf")</f>
        <v>Roaf</v>
      </c>
      <c r="E6452" t="str">
        <f>IFERROR(__xludf.DUMMYFUNCTION("""COMPUTED_VALUE"""),"Willie")</f>
        <v>Willie</v>
      </c>
      <c r="F6452" t="str">
        <f>IFERROR(__xludf.DUMMYFUNCTION("""COMPUTED_VALUE"""),"NO")</f>
        <v>NO</v>
      </c>
      <c r="G6452">
        <f>IFERROR(__xludf.DUMMYFUNCTION("""COMPUTED_VALUE"""),22.5)</f>
        <v>22.5</v>
      </c>
    </row>
    <row r="6453">
      <c r="D6453" t="str">
        <f>IFERROR(__xludf.DUMMYFUNCTION("""COMPUTED_VALUE"""),"Roberts")</f>
        <v>Roberts</v>
      </c>
      <c r="E6453" t="str">
        <f>IFERROR(__xludf.DUMMYFUNCTION("""COMPUTED_VALUE"""),"Darryl")</f>
        <v>Darryl</v>
      </c>
      <c r="F6453" t="str">
        <f>IFERROR(__xludf.DUMMYFUNCTION("""COMPUTED_VALUE"""),"NYJ")</f>
        <v>NYJ</v>
      </c>
      <c r="G6453">
        <f>IFERROR(__xludf.DUMMYFUNCTION("""COMPUTED_VALUE"""),18.5)</f>
        <v>18.5</v>
      </c>
    </row>
    <row r="6454">
      <c r="D6454" t="str">
        <f>IFERROR(__xludf.DUMMYFUNCTION("""COMPUTED_VALUE"""),"Roberts")</f>
        <v>Roberts</v>
      </c>
      <c r="E6454" t="str">
        <f>IFERROR(__xludf.DUMMYFUNCTION("""COMPUTED_VALUE"""),"Elandon")</f>
        <v>Elandon</v>
      </c>
      <c r="F6454" t="str">
        <f>IFERROR(__xludf.DUMMYFUNCTION("""COMPUTED_VALUE"""),"NE")</f>
        <v>NE</v>
      </c>
      <c r="G6454">
        <f>IFERROR(__xludf.DUMMYFUNCTION("""COMPUTED_VALUE"""),18.75)</f>
        <v>18.75</v>
      </c>
    </row>
    <row r="6455">
      <c r="D6455" t="str">
        <f>IFERROR(__xludf.DUMMYFUNCTION("""COMPUTED_VALUE"""),"Roberts")</f>
        <v>Roberts</v>
      </c>
      <c r="E6455" t="str">
        <f>IFERROR(__xludf.DUMMYFUNCTION("""COMPUTED_VALUE"""),"Michael")</f>
        <v>Michael</v>
      </c>
      <c r="F6455" t="str">
        <f>IFERROR(__xludf.DUMMYFUNCTION("""COMPUTED_VALUE"""),"DET")</f>
        <v>DET</v>
      </c>
      <c r="G6455">
        <f>IFERROR(__xludf.DUMMYFUNCTION("""COMPUTED_VALUE"""),18.25)</f>
        <v>18.25</v>
      </c>
    </row>
    <row r="6456">
      <c r="D6456" t="str">
        <f>IFERROR(__xludf.DUMMYFUNCTION("""COMPUTED_VALUE"""),"Roberts")</f>
        <v>Roberts</v>
      </c>
      <c r="E6456" t="str">
        <f>IFERROR(__xludf.DUMMYFUNCTION("""COMPUTED_VALUE"""),"Seth")</f>
        <v>Seth</v>
      </c>
      <c r="F6456" t="str">
        <f>IFERROR(__xludf.DUMMYFUNCTION("""COMPUTED_VALUE"""),"OAK")</f>
        <v>OAK</v>
      </c>
      <c r="G6456">
        <f>IFERROR(__xludf.DUMMYFUNCTION("""COMPUTED_VALUE"""),18.75)</f>
        <v>18.75</v>
      </c>
    </row>
    <row r="6457">
      <c r="D6457" t="str">
        <f>IFERROR(__xludf.DUMMYFUNCTION("""COMPUTED_VALUE"""),"Robertson")</f>
        <v>Robertson</v>
      </c>
      <c r="E6457" t="str">
        <f>IFERROR(__xludf.DUMMYFUNCTION("""COMPUTED_VALUE"""),"Craig")</f>
        <v>Craig</v>
      </c>
      <c r="F6457" t="str">
        <f>IFERROR(__xludf.DUMMYFUNCTION("""COMPUTED_VALUE"""),"NO")</f>
        <v>NO</v>
      </c>
      <c r="G6457">
        <f>IFERROR(__xludf.DUMMYFUNCTION("""COMPUTED_VALUE"""),19.75)</f>
        <v>19.75</v>
      </c>
    </row>
    <row r="6458">
      <c r="D6458" t="str">
        <f>IFERROR(__xludf.DUMMYFUNCTION("""COMPUTED_VALUE"""),"Robertson")</f>
        <v>Robertson</v>
      </c>
      <c r="E6458" t="str">
        <f>IFERROR(__xludf.DUMMYFUNCTION("""COMPUTED_VALUE"""),"Pete")</f>
        <v>Pete</v>
      </c>
      <c r="F6458" t="str">
        <f>IFERROR(__xludf.DUMMYFUNCTION("""COMPUTED_VALUE"""),"WAS")</f>
        <v>WAS</v>
      </c>
      <c r="G6458">
        <f>IFERROR(__xludf.DUMMYFUNCTION("""COMPUTED_VALUE"""),15.5)</f>
        <v>15.5</v>
      </c>
    </row>
    <row r="6459">
      <c r="D6459" t="str">
        <f>IFERROR(__xludf.DUMMYFUNCTION("""COMPUTED_VALUE"""),"Robertson-Harris")</f>
        <v>Robertson-Harris</v>
      </c>
      <c r="E6459" t="str">
        <f>IFERROR(__xludf.DUMMYFUNCTION("""COMPUTED_VALUE"""),"Roy")</f>
        <v>Roy</v>
      </c>
      <c r="F6459" t="str">
        <f>IFERROR(__xludf.DUMMYFUNCTION("""COMPUTED_VALUE"""),"CHI")</f>
        <v>CHI</v>
      </c>
      <c r="G6459">
        <f>IFERROR(__xludf.DUMMYFUNCTION("""COMPUTED_VALUE"""),17.25)</f>
        <v>17.25</v>
      </c>
    </row>
    <row r="6460">
      <c r="D6460" t="str">
        <f>IFERROR(__xludf.DUMMYFUNCTION("""COMPUTED_VALUE"""),"Robey-Coleman")</f>
        <v>Robey-Coleman</v>
      </c>
      <c r="E6460" t="str">
        <f>IFERROR(__xludf.DUMMYFUNCTION("""COMPUTED_VALUE"""),"Nickell")</f>
        <v>Nickell</v>
      </c>
      <c r="F6460" t="str">
        <f>IFERROR(__xludf.DUMMYFUNCTION("""COMPUTED_VALUE"""),"LAR")</f>
        <v>LAR</v>
      </c>
      <c r="G6460">
        <f>IFERROR(__xludf.DUMMYFUNCTION("""COMPUTED_VALUE"""),20.0)</f>
        <v>20</v>
      </c>
    </row>
    <row r="6461">
      <c r="D6461" t="str">
        <f>IFERROR(__xludf.DUMMYFUNCTION("""COMPUTED_VALUE"""),"Robinson")</f>
        <v>Robinson</v>
      </c>
      <c r="E6461" t="str">
        <f>IFERROR(__xludf.DUMMYFUNCTION("""COMPUTED_VALUE"""),"Aldrick")</f>
        <v>Aldrick</v>
      </c>
      <c r="F6461" t="str">
        <f>IFERROR(__xludf.DUMMYFUNCTION("""COMPUTED_VALUE"""),"SF")</f>
        <v>SF</v>
      </c>
      <c r="G6461">
        <f>IFERROR(__xludf.DUMMYFUNCTION("""COMPUTED_VALUE"""),18.0)</f>
        <v>18</v>
      </c>
    </row>
    <row r="6462">
      <c r="D6462" t="str">
        <f>IFERROR(__xludf.DUMMYFUNCTION("""COMPUTED_VALUE"""),"Robinson")</f>
        <v>Robinson</v>
      </c>
      <c r="E6462" t="str">
        <f>IFERROR(__xludf.DUMMYFUNCTION("""COMPUTED_VALUE"""),"Allen")</f>
        <v>Allen</v>
      </c>
      <c r="F6462" t="str">
        <f>IFERROR(__xludf.DUMMYFUNCTION("""COMPUTED_VALUE"""),"CHI")</f>
        <v>CHI</v>
      </c>
      <c r="G6462">
        <f>IFERROR(__xludf.DUMMYFUNCTION("""COMPUTED_VALUE"""),20.5)</f>
        <v>20.5</v>
      </c>
    </row>
    <row r="6463">
      <c r="D6463" t="str">
        <f>IFERROR(__xludf.DUMMYFUNCTION("""COMPUTED_VALUE"""),"Robinson")</f>
        <v>Robinson</v>
      </c>
      <c r="E6463" t="str">
        <f>IFERROR(__xludf.DUMMYFUNCTION("""COMPUTED_VALUE"""),"AShawn")</f>
        <v>AShawn</v>
      </c>
      <c r="F6463" t="str">
        <f>IFERROR(__xludf.DUMMYFUNCTION("""COMPUTED_VALUE"""),"DET")</f>
        <v>DET</v>
      </c>
      <c r="G6463">
        <f>IFERROR(__xludf.DUMMYFUNCTION("""COMPUTED_VALUE"""),19.25)</f>
        <v>19.25</v>
      </c>
    </row>
    <row r="6464">
      <c r="D6464" t="str">
        <f>IFERROR(__xludf.DUMMYFUNCTION("""COMPUTED_VALUE"""),"Robinson")</f>
        <v>Robinson</v>
      </c>
      <c r="E6464" t="str">
        <f>IFERROR(__xludf.DUMMYFUNCTION("""COMPUTED_VALUE"""),"Cam")</f>
        <v>Cam</v>
      </c>
      <c r="F6464" t="str">
        <f>IFERROR(__xludf.DUMMYFUNCTION("""COMPUTED_VALUE"""),"JAX")</f>
        <v>JAX</v>
      </c>
      <c r="G6464">
        <f>IFERROR(__xludf.DUMMYFUNCTION("""COMPUTED_VALUE"""),19.0)</f>
        <v>19</v>
      </c>
    </row>
    <row r="6465">
      <c r="D6465" t="str">
        <f>IFERROR(__xludf.DUMMYFUNCTION("""COMPUTED_VALUE"""),"Robinson")</f>
        <v>Robinson</v>
      </c>
      <c r="E6465" t="str">
        <f>IFERROR(__xludf.DUMMYFUNCTION("""COMPUTED_VALUE"""),"Corey")</f>
        <v>Corey</v>
      </c>
      <c r="F6465" t="str">
        <f>IFERROR(__xludf.DUMMYFUNCTION("""COMPUTED_VALUE"""),"DET")</f>
        <v>DET</v>
      </c>
      <c r="G6465">
        <f>IFERROR(__xludf.DUMMYFUNCTION("""COMPUTED_VALUE"""),17.5)</f>
        <v>17.5</v>
      </c>
    </row>
    <row r="6466">
      <c r="D6466" t="str">
        <f>IFERROR(__xludf.DUMMYFUNCTION("""COMPUTED_VALUE"""),"Robinson")</f>
        <v>Robinson</v>
      </c>
      <c r="E6466" t="str">
        <f>IFERROR(__xludf.DUMMYFUNCTION("""COMPUTED_VALUE"""),"Demarcus")</f>
        <v>Demarcus</v>
      </c>
      <c r="F6466" t="str">
        <f>IFERROR(__xludf.DUMMYFUNCTION("""COMPUTED_VALUE"""),"KC")</f>
        <v>KC</v>
      </c>
      <c r="G6466">
        <f>IFERROR(__xludf.DUMMYFUNCTION("""COMPUTED_VALUE"""),18.25)</f>
        <v>18.25</v>
      </c>
    </row>
    <row r="6467">
      <c r="D6467" t="str">
        <f>IFERROR(__xludf.DUMMYFUNCTION("""COMPUTED_VALUE"""),"Robinson")</f>
        <v>Robinson</v>
      </c>
      <c r="E6467" t="str">
        <f>IFERROR(__xludf.DUMMYFUNCTION("""COMPUTED_VALUE"""),"Edmond")</f>
        <v>Edmond</v>
      </c>
      <c r="F6467" t="str">
        <f>IFERROR(__xludf.DUMMYFUNCTION("""COMPUTED_VALUE"""),"ARZ")</f>
        <v>ARZ</v>
      </c>
      <c r="G6467">
        <f>IFERROR(__xludf.DUMMYFUNCTION("""COMPUTED_VALUE"""),16.0)</f>
        <v>16</v>
      </c>
    </row>
    <row r="6468">
      <c r="D6468" t="str">
        <f>IFERROR(__xludf.DUMMYFUNCTION("""COMPUTED_VALUE"""),"Robinson")</f>
        <v>Robinson</v>
      </c>
      <c r="E6468" t="str">
        <f>IFERROR(__xludf.DUMMYFUNCTION("""COMPUTED_VALUE"""),"Josh")</f>
        <v>Josh</v>
      </c>
      <c r="F6468" t="str">
        <f>IFERROR(__xludf.DUMMYFUNCTION("""COMPUTED_VALUE"""),"TB")</f>
        <v>TB</v>
      </c>
      <c r="G6468">
        <f>IFERROR(__xludf.DUMMYFUNCTION("""COMPUTED_VALUE"""),16.25)</f>
        <v>16.25</v>
      </c>
    </row>
    <row r="6469">
      <c r="D6469" t="str">
        <f>IFERROR(__xludf.DUMMYFUNCTION("""COMPUTED_VALUE"""),"Robinson")</f>
        <v>Robinson</v>
      </c>
      <c r="E6469" t="str">
        <f>IFERROR(__xludf.DUMMYFUNCTION("""COMPUTED_VALUE"""),"Patrick")</f>
        <v>Patrick</v>
      </c>
      <c r="F6469" t="str">
        <f>IFERROR(__xludf.DUMMYFUNCTION("""COMPUTED_VALUE"""),"NO")</f>
        <v>NO</v>
      </c>
      <c r="G6469">
        <f>IFERROR(__xludf.DUMMYFUNCTION("""COMPUTED_VALUE"""),20.5)</f>
        <v>20.5</v>
      </c>
    </row>
    <row r="6470">
      <c r="D6470" t="str">
        <f>IFERROR(__xludf.DUMMYFUNCTION("""COMPUTED_VALUE"""),"Robinson")</f>
        <v>Robinson</v>
      </c>
      <c r="E6470" t="str">
        <f>IFERROR(__xludf.DUMMYFUNCTION("""COMPUTED_VALUE"""),"Rashard")</f>
        <v>Rashard</v>
      </c>
      <c r="F6470" t="str">
        <f>IFERROR(__xludf.DUMMYFUNCTION("""COMPUTED_VALUE"""),"NYJ")</f>
        <v>NYJ</v>
      </c>
      <c r="G6470">
        <f>IFERROR(__xludf.DUMMYFUNCTION("""COMPUTED_VALUE"""),17.0)</f>
        <v>17</v>
      </c>
    </row>
    <row r="6471">
      <c r="D6471" t="str">
        <f>IFERROR(__xludf.DUMMYFUNCTION("""COMPUTED_VALUE"""),"Robison")</f>
        <v>Robison</v>
      </c>
      <c r="E6471" t="str">
        <f>IFERROR(__xludf.DUMMYFUNCTION("""COMPUTED_VALUE"""),"Brian")</f>
        <v>Brian</v>
      </c>
      <c r="F6471" t="str">
        <f>IFERROR(__xludf.DUMMYFUNCTION("""COMPUTED_VALUE"""),"MIN")</f>
        <v>MIN</v>
      </c>
      <c r="G6471">
        <f>IFERROR(__xludf.DUMMYFUNCTION("""COMPUTED_VALUE"""),18.0)</f>
        <v>18</v>
      </c>
    </row>
    <row r="6472">
      <c r="D6472" t="str">
        <f>IFERROR(__xludf.DUMMYFUNCTION("""COMPUTED_VALUE"""),"Roby")</f>
        <v>Roby</v>
      </c>
      <c r="E6472" t="str">
        <f>IFERROR(__xludf.DUMMYFUNCTION("""COMPUTED_VALUE"""),"Bradley")</f>
        <v>Bradley</v>
      </c>
      <c r="F6472" t="str">
        <f>IFERROR(__xludf.DUMMYFUNCTION("""COMPUTED_VALUE"""),"DEN")</f>
        <v>DEN</v>
      </c>
      <c r="G6472">
        <f>IFERROR(__xludf.DUMMYFUNCTION("""COMPUTED_VALUE"""),20.25)</f>
        <v>20.25</v>
      </c>
    </row>
    <row r="6473">
      <c r="D6473" t="str">
        <f>IFERROR(__xludf.DUMMYFUNCTION("""COMPUTED_VALUE"""),"Rochell")</f>
        <v>Rochell</v>
      </c>
      <c r="E6473" t="str">
        <f>IFERROR(__xludf.DUMMYFUNCTION("""COMPUTED_VALUE"""),"Isaac")</f>
        <v>Isaac</v>
      </c>
      <c r="F6473" t="str">
        <f>IFERROR(__xludf.DUMMYFUNCTION("""COMPUTED_VALUE"""),"LAC")</f>
        <v>LAC</v>
      </c>
      <c r="G6473">
        <f>IFERROR(__xludf.DUMMYFUNCTION("""COMPUTED_VALUE"""),17.0)</f>
        <v>17</v>
      </c>
    </row>
    <row r="6474">
      <c r="D6474" t="str">
        <f>IFERROR(__xludf.DUMMYFUNCTION("""COMPUTED_VALUE"""),"Rodgers")</f>
        <v>Rodgers</v>
      </c>
      <c r="E6474" t="str">
        <f>IFERROR(__xludf.DUMMYFUNCTION("""COMPUTED_VALUE"""),"Aaron")</f>
        <v>Aaron</v>
      </c>
      <c r="F6474" t="str">
        <f>IFERROR(__xludf.DUMMYFUNCTION("""COMPUTED_VALUE"""),"GB")</f>
        <v>GB</v>
      </c>
      <c r="G6474">
        <f>IFERROR(__xludf.DUMMYFUNCTION("""COMPUTED_VALUE"""),22.25)</f>
        <v>22.25</v>
      </c>
    </row>
    <row r="6475">
      <c r="D6475" t="str">
        <f>IFERROR(__xludf.DUMMYFUNCTION("""COMPUTED_VALUE"""),"Rodgers")</f>
        <v>Rodgers</v>
      </c>
      <c r="E6475" t="str">
        <f>IFERROR(__xludf.DUMMYFUNCTION("""COMPUTED_VALUE"""),"Jacquizz")</f>
        <v>Jacquizz</v>
      </c>
      <c r="F6475" t="str">
        <f>IFERROR(__xludf.DUMMYFUNCTION("""COMPUTED_VALUE"""),"TB")</f>
        <v>TB</v>
      </c>
      <c r="G6475">
        <f>IFERROR(__xludf.DUMMYFUNCTION("""COMPUTED_VALUE"""),18.75)</f>
        <v>18.75</v>
      </c>
    </row>
    <row r="6476">
      <c r="D6476" t="str">
        <f>IFERROR(__xludf.DUMMYFUNCTION("""COMPUTED_VALUE"""),"Rodgers")</f>
        <v>Rodgers</v>
      </c>
      <c r="E6476" t="str">
        <f>IFERROR(__xludf.DUMMYFUNCTION("""COMPUTED_VALUE"""),"Jake")</f>
        <v>Jake</v>
      </c>
      <c r="F6476" t="str">
        <f>IFERROR(__xludf.DUMMYFUNCTION("""COMPUTED_VALUE"""),"PIT")</f>
        <v>PIT</v>
      </c>
      <c r="G6476">
        <f>IFERROR(__xludf.DUMMYFUNCTION("""COMPUTED_VALUE"""),17.0)</f>
        <v>17</v>
      </c>
    </row>
    <row r="6477">
      <c r="D6477" t="str">
        <f>IFERROR(__xludf.DUMMYFUNCTION("""COMPUTED_VALUE"""),"Rodgers")</f>
        <v>Rodgers</v>
      </c>
      <c r="E6477" t="str">
        <f>IFERROR(__xludf.DUMMYFUNCTION("""COMPUTED_VALUE"""),"Richard")</f>
        <v>Richard</v>
      </c>
      <c r="F6477" t="str">
        <f>IFERROR(__xludf.DUMMYFUNCTION("""COMPUTED_VALUE"""),"PHI")</f>
        <v>PHI</v>
      </c>
      <c r="G6477">
        <f>IFERROR(__xludf.DUMMYFUNCTION("""COMPUTED_VALUE"""),18.5)</f>
        <v>18.5</v>
      </c>
    </row>
    <row r="6478">
      <c r="D6478" t="str">
        <f>IFERROR(__xludf.DUMMYFUNCTION("""COMPUTED_VALUE"""),"Rodgers-Cromartie")</f>
        <v>Rodgers-Cromartie</v>
      </c>
      <c r="E6478" t="str">
        <f>IFERROR(__xludf.DUMMYFUNCTION("""COMPUTED_VALUE"""),"Dominique")</f>
        <v>Dominique</v>
      </c>
      <c r="F6478" t="str">
        <f>IFERROR(__xludf.DUMMYFUNCTION("""COMPUTED_VALUE"""),"FA")</f>
        <v>FA</v>
      </c>
      <c r="G6478">
        <f>IFERROR(__xludf.DUMMYFUNCTION("""COMPUTED_VALUE"""),20.75)</f>
        <v>20.75</v>
      </c>
    </row>
    <row r="6479">
      <c r="D6479" t="str">
        <f>IFERROR(__xludf.DUMMYFUNCTION("""COMPUTED_VALUE"""),"Roethlisberger")</f>
        <v>Roethlisberger</v>
      </c>
      <c r="E6479" t="str">
        <f>IFERROR(__xludf.DUMMYFUNCTION("""COMPUTED_VALUE"""),"Ben")</f>
        <v>Ben</v>
      </c>
      <c r="F6479" t="str">
        <f>IFERROR(__xludf.DUMMYFUNCTION("""COMPUTED_VALUE"""),"PIT")</f>
        <v>PIT</v>
      </c>
      <c r="G6479">
        <f>IFERROR(__xludf.DUMMYFUNCTION("""COMPUTED_VALUE"""),21.0)</f>
        <v>21</v>
      </c>
    </row>
    <row r="6480">
      <c r="D6480" t="str">
        <f>IFERROR(__xludf.DUMMYFUNCTION("""COMPUTED_VALUE"""),"Rogers")</f>
        <v>Rogers</v>
      </c>
      <c r="E6480" t="str">
        <f>IFERROR(__xludf.DUMMYFUNCTION("""COMPUTED_VALUE"""),"Chester")</f>
        <v>Chester</v>
      </c>
      <c r="F6480" t="str">
        <f>IFERROR(__xludf.DUMMYFUNCTION("""COMPUTED_VALUE"""),"IND")</f>
        <v>IND</v>
      </c>
      <c r="G6480">
        <f>IFERROR(__xludf.DUMMYFUNCTION("""COMPUTED_VALUE"""),18.25)</f>
        <v>18.25</v>
      </c>
    </row>
    <row r="6481">
      <c r="D6481" t="str">
        <f>IFERROR(__xludf.DUMMYFUNCTION("""COMPUTED_VALUE"""),"Rogers")</f>
        <v>Rogers</v>
      </c>
      <c r="E6481" t="str">
        <f>IFERROR(__xludf.DUMMYFUNCTION("""COMPUTED_VALUE"""),"Eli")</f>
        <v>Eli</v>
      </c>
      <c r="F6481" t="str">
        <f>IFERROR(__xludf.DUMMYFUNCTION("""COMPUTED_VALUE"""),"FA")</f>
        <v>FA</v>
      </c>
      <c r="G6481">
        <f>IFERROR(__xludf.DUMMYFUNCTION("""COMPUTED_VALUE"""),15.25)</f>
        <v>15.25</v>
      </c>
    </row>
    <row r="6482">
      <c r="D6482" t="str">
        <f>IFERROR(__xludf.DUMMYFUNCTION("""COMPUTED_VALUE"""),"Rogers")</f>
        <v>Rogers</v>
      </c>
      <c r="E6482" t="str">
        <f>IFERROR(__xludf.DUMMYFUNCTION("""COMPUTED_VALUE"""),"Sam")</f>
        <v>Sam</v>
      </c>
      <c r="F6482" t="str">
        <f>IFERROR(__xludf.DUMMYFUNCTION("""COMPUTED_VALUE"""),"FA")</f>
        <v>FA</v>
      </c>
      <c r="G6482">
        <f>IFERROR(__xludf.DUMMYFUNCTION("""COMPUTED_VALUE"""),17.5)</f>
        <v>17.5</v>
      </c>
    </row>
    <row r="6483">
      <c r="D6483" t="str">
        <f>IFERROR(__xludf.DUMMYFUNCTION("""COMPUTED_VALUE"""),"Rollins")</f>
        <v>Rollins</v>
      </c>
      <c r="E6483" t="str">
        <f>IFERROR(__xludf.DUMMYFUNCTION("""COMPUTED_VALUE"""),"Quinten")</f>
        <v>Quinten</v>
      </c>
      <c r="F6483" t="str">
        <f>IFERROR(__xludf.DUMMYFUNCTION("""COMPUTED_VALUE"""),"GB")</f>
        <v>GB</v>
      </c>
      <c r="G6483">
        <f>IFERROR(__xludf.DUMMYFUNCTION("""COMPUTED_VALUE"""),18.25)</f>
        <v>18.25</v>
      </c>
    </row>
    <row r="6484">
      <c r="D6484" t="str">
        <f>IFERROR(__xludf.DUMMYFUNCTION("""COMPUTED_VALUE"""),"Roos")</f>
        <v>Roos</v>
      </c>
      <c r="E6484" t="str">
        <f>IFERROR(__xludf.DUMMYFUNCTION("""COMPUTED_VALUE"""),"Jordan")</f>
        <v>Jordan</v>
      </c>
      <c r="F6484" t="str">
        <f>IFERROR(__xludf.DUMMYFUNCTION("""COMPUTED_VALUE"""),"SEA")</f>
        <v>SEA</v>
      </c>
      <c r="G6484">
        <f>IFERROR(__xludf.DUMMYFUNCTION("""COMPUTED_VALUE"""),17.25)</f>
        <v>17.25</v>
      </c>
    </row>
    <row r="6485">
      <c r="D6485" t="str">
        <f>IFERROR(__xludf.DUMMYFUNCTION("""COMPUTED_VALUE"""),"Rosas")</f>
        <v>Rosas</v>
      </c>
      <c r="E6485" t="str">
        <f>IFERROR(__xludf.DUMMYFUNCTION("""COMPUTED_VALUE"""),"Aldrick")</f>
        <v>Aldrick</v>
      </c>
      <c r="F6485" t="str">
        <f>IFERROR(__xludf.DUMMYFUNCTION("""COMPUTED_VALUE"""),"NYG")</f>
        <v>NYG</v>
      </c>
      <c r="G6485">
        <f>IFERROR(__xludf.DUMMYFUNCTION("""COMPUTED_VALUE"""),19.0)</f>
        <v>19</v>
      </c>
    </row>
    <row r="6486">
      <c r="D6486" t="str">
        <f>IFERROR(__xludf.DUMMYFUNCTION("""COMPUTED_VALUE"""),"Rosen")</f>
        <v>Rosen</v>
      </c>
      <c r="E6486" t="str">
        <f>IFERROR(__xludf.DUMMYFUNCTION("""COMPUTED_VALUE"""),"Josh")</f>
        <v>Josh</v>
      </c>
      <c r="F6486" t="str">
        <f>IFERROR(__xludf.DUMMYFUNCTION("""COMPUTED_VALUE"""),"ARZ")</f>
        <v>ARZ</v>
      </c>
      <c r="G6486">
        <f>IFERROR(__xludf.DUMMYFUNCTION("""COMPUTED_VALUE"""),19.5)</f>
        <v>19.5</v>
      </c>
    </row>
    <row r="6487">
      <c r="D6487" t="str">
        <f>IFERROR(__xludf.DUMMYFUNCTION("""COMPUTED_VALUE"""),"Ross")</f>
        <v>Ross</v>
      </c>
      <c r="E6487" t="str">
        <f>IFERROR(__xludf.DUMMYFUNCTION("""COMPUTED_VALUE"""),"Daniel")</f>
        <v>Daniel</v>
      </c>
      <c r="F6487" t="str">
        <f>IFERROR(__xludf.DUMMYFUNCTION("""COMPUTED_VALUE"""),"DAL")</f>
        <v>DAL</v>
      </c>
      <c r="G6487">
        <f>IFERROR(__xludf.DUMMYFUNCTION("""COMPUTED_VALUE"""),15.5)</f>
        <v>15.5</v>
      </c>
    </row>
    <row r="6488">
      <c r="D6488" t="str">
        <f>IFERROR(__xludf.DUMMYFUNCTION("""COMPUTED_VALUE"""),"Ross")</f>
        <v>Ross</v>
      </c>
      <c r="E6488" t="str">
        <f>IFERROR(__xludf.DUMMYFUNCTION("""COMPUTED_VALUE"""),"John")</f>
        <v>John</v>
      </c>
      <c r="F6488" t="str">
        <f>IFERROR(__xludf.DUMMYFUNCTION("""COMPUTED_VALUE"""),"CIN")</f>
        <v>CIN</v>
      </c>
      <c r="G6488">
        <f>IFERROR(__xludf.DUMMYFUNCTION("""COMPUTED_VALUE"""),18.5)</f>
        <v>18.5</v>
      </c>
    </row>
    <row r="6489">
      <c r="D6489" t="str">
        <f>IFERROR(__xludf.DUMMYFUNCTION("""COMPUTED_VALUE"""),"Ross")</f>
        <v>Ross</v>
      </c>
      <c r="E6489" t="str">
        <f>IFERROR(__xludf.DUMMYFUNCTION("""COMPUTED_VALUE"""),"Rashad")</f>
        <v>Rashad</v>
      </c>
      <c r="F6489" t="str">
        <f>IFERROR(__xludf.DUMMYFUNCTION("""COMPUTED_VALUE"""),"ARZ")</f>
        <v>ARZ</v>
      </c>
      <c r="G6489">
        <f>IFERROR(__xludf.DUMMYFUNCTION("""COMPUTED_VALUE"""),16.75)</f>
        <v>16.75</v>
      </c>
    </row>
    <row r="6490">
      <c r="D6490" t="str">
        <f>IFERROR(__xludf.DUMMYFUNCTION("""COMPUTED_VALUE"""),"Roullier")</f>
        <v>Roullier</v>
      </c>
      <c r="E6490" t="str">
        <f>IFERROR(__xludf.DUMMYFUNCTION("""COMPUTED_VALUE"""),"Chase")</f>
        <v>Chase</v>
      </c>
      <c r="F6490" t="str">
        <f>IFERROR(__xludf.DUMMYFUNCTION("""COMPUTED_VALUE"""),"WAS")</f>
        <v>WAS</v>
      </c>
      <c r="G6490">
        <f>IFERROR(__xludf.DUMMYFUNCTION("""COMPUTED_VALUE"""),18.0)</f>
        <v>18</v>
      </c>
    </row>
    <row r="6491">
      <c r="D6491" t="str">
        <f>IFERROR(__xludf.DUMMYFUNCTION("""COMPUTED_VALUE"""),"Rowe")</f>
        <v>Rowe</v>
      </c>
      <c r="E6491" t="str">
        <f>IFERROR(__xludf.DUMMYFUNCTION("""COMPUTED_VALUE"""),"Eric")</f>
        <v>Eric</v>
      </c>
      <c r="F6491" t="str">
        <f>IFERROR(__xludf.DUMMYFUNCTION("""COMPUTED_VALUE"""),"NE")</f>
        <v>NE</v>
      </c>
      <c r="G6491">
        <f>IFERROR(__xludf.DUMMYFUNCTION("""COMPUTED_VALUE"""),18.25)</f>
        <v>18.25</v>
      </c>
    </row>
    <row r="6492">
      <c r="D6492" t="str">
        <f>IFERROR(__xludf.DUMMYFUNCTION("""COMPUTED_VALUE"""),"Rucker")</f>
        <v>Rucker</v>
      </c>
      <c r="E6492" t="str">
        <f>IFERROR(__xludf.DUMMYFUNCTION("""COMPUTED_VALUE"""),"Frostee")</f>
        <v>Frostee</v>
      </c>
      <c r="F6492" t="str">
        <f>IFERROR(__xludf.DUMMYFUNCTION("""COMPUTED_VALUE"""),"OAK")</f>
        <v>OAK</v>
      </c>
      <c r="G6492">
        <f>IFERROR(__xludf.DUMMYFUNCTION("""COMPUTED_VALUE"""),18.0)</f>
        <v>18</v>
      </c>
    </row>
    <row r="6493">
      <c r="D6493" t="str">
        <f>IFERROR(__xludf.DUMMYFUNCTION("""COMPUTED_VALUE"""),"Rudock")</f>
        <v>Rudock</v>
      </c>
      <c r="E6493" t="str">
        <f>IFERROR(__xludf.DUMMYFUNCTION("""COMPUTED_VALUE"""),"Jake")</f>
        <v>Jake</v>
      </c>
      <c r="F6493" t="str">
        <f>IFERROR(__xludf.DUMMYFUNCTION("""COMPUTED_VALUE"""),"DET")</f>
        <v>DET</v>
      </c>
      <c r="G6493">
        <f>IFERROR(__xludf.DUMMYFUNCTION("""COMPUTED_VALUE"""),16.0)</f>
        <v>16</v>
      </c>
    </row>
    <row r="6494">
      <c r="D6494" t="str">
        <f>IFERROR(__xludf.DUMMYFUNCTION("""COMPUTED_VALUE"""),"Rudolph")</f>
        <v>Rudolph</v>
      </c>
      <c r="E6494" t="str">
        <f>IFERROR(__xludf.DUMMYFUNCTION("""COMPUTED_VALUE"""),"Kyle")</f>
        <v>Kyle</v>
      </c>
      <c r="F6494" t="str">
        <f>IFERROR(__xludf.DUMMYFUNCTION("""COMPUTED_VALUE"""),"MIN")</f>
        <v>MIN</v>
      </c>
      <c r="G6494">
        <f>IFERROR(__xludf.DUMMYFUNCTION("""COMPUTED_VALUE"""),20.75)</f>
        <v>20.75</v>
      </c>
    </row>
    <row r="6495">
      <c r="D6495" t="str">
        <f>IFERROR(__xludf.DUMMYFUNCTION("""COMPUTED_VALUE"""),"Rudolph")</f>
        <v>Rudolph</v>
      </c>
      <c r="E6495" t="str">
        <f>IFERROR(__xludf.DUMMYFUNCTION("""COMPUTED_VALUE"""),"Mason")</f>
        <v>Mason</v>
      </c>
      <c r="F6495" t="str">
        <f>IFERROR(__xludf.DUMMYFUNCTION("""COMPUTED_VALUE"""),"PIT")</f>
        <v>PIT</v>
      </c>
      <c r="G6495">
        <f>IFERROR(__xludf.DUMMYFUNCTION("""COMPUTED_VALUE"""),18.5)</f>
        <v>18.5</v>
      </c>
    </row>
    <row r="6496">
      <c r="D6496" t="str">
        <f>IFERROR(__xludf.DUMMYFUNCTION("""COMPUTED_VALUE"""),"Rudolph")</f>
        <v>Rudolph</v>
      </c>
      <c r="E6496" t="str">
        <f>IFERROR(__xludf.DUMMYFUNCTION("""COMPUTED_VALUE"""),"Travis")</f>
        <v>Travis</v>
      </c>
      <c r="F6496" t="str">
        <f>IFERROR(__xludf.DUMMYFUNCTION("""COMPUTED_VALUE"""),"NYG")</f>
        <v>NYG</v>
      </c>
      <c r="G6496">
        <f>IFERROR(__xludf.DUMMYFUNCTION("""COMPUTED_VALUE"""),17.25)</f>
        <v>17.25</v>
      </c>
    </row>
    <row r="6497">
      <c r="D6497" t="str">
        <f>IFERROR(__xludf.DUMMYFUNCTION("""COMPUTED_VALUE"""),"Rush")</f>
        <v>Rush</v>
      </c>
      <c r="E6497" t="str">
        <f>IFERROR(__xludf.DUMMYFUNCTION("""COMPUTED_VALUE"""),"Cooper")</f>
        <v>Cooper</v>
      </c>
      <c r="F6497" t="str">
        <f>IFERROR(__xludf.DUMMYFUNCTION("""COMPUTED_VALUE"""),"DAL")</f>
        <v>DAL</v>
      </c>
      <c r="G6497">
        <f>IFERROR(__xludf.DUMMYFUNCTION("""COMPUTED_VALUE"""),16.75)</f>
        <v>16.75</v>
      </c>
    </row>
    <row r="6498">
      <c r="D6498" t="str">
        <f>IFERROR(__xludf.DUMMYFUNCTION("""COMPUTED_VALUE"""),"Russell")</f>
        <v>Russell</v>
      </c>
      <c r="E6498" t="str">
        <f>IFERROR(__xludf.DUMMYFUNCTION("""COMPUTED_VALUE"""),"KeiVarae")</f>
        <v>KeiVarae</v>
      </c>
      <c r="F6498" t="str">
        <f>IFERROR(__xludf.DUMMYFUNCTION("""COMPUTED_VALUE"""),"CIN")</f>
        <v>CIN</v>
      </c>
      <c r="G6498">
        <f>IFERROR(__xludf.DUMMYFUNCTION("""COMPUTED_VALUE"""),17.5)</f>
        <v>17.5</v>
      </c>
    </row>
    <row r="6499">
      <c r="D6499" t="str">
        <f>IFERROR(__xludf.DUMMYFUNCTION("""COMPUTED_VALUE"""),"Ryan")</f>
        <v>Ryan</v>
      </c>
      <c r="E6499" t="str">
        <f>IFERROR(__xludf.DUMMYFUNCTION("""COMPUTED_VALUE"""),"Jake")</f>
        <v>Jake</v>
      </c>
      <c r="F6499" t="str">
        <f>IFERROR(__xludf.DUMMYFUNCTION("""COMPUTED_VALUE"""),"GB")</f>
        <v>GB</v>
      </c>
      <c r="G6499">
        <f>IFERROR(__xludf.DUMMYFUNCTION("""COMPUTED_VALUE"""),20.0)</f>
        <v>20</v>
      </c>
    </row>
    <row r="6500">
      <c r="D6500" t="str">
        <f>IFERROR(__xludf.DUMMYFUNCTION("""COMPUTED_VALUE"""),"Ryan")</f>
        <v>Ryan</v>
      </c>
      <c r="E6500" t="str">
        <f>IFERROR(__xludf.DUMMYFUNCTION("""COMPUTED_VALUE"""),"Jon")</f>
        <v>Jon</v>
      </c>
      <c r="F6500" t="str">
        <f>IFERROR(__xludf.DUMMYFUNCTION("""COMPUTED_VALUE"""),"SEA")</f>
        <v>SEA</v>
      </c>
      <c r="G6500">
        <f>IFERROR(__xludf.DUMMYFUNCTION("""COMPUTED_VALUE"""),19.0)</f>
        <v>19</v>
      </c>
    </row>
    <row r="6501">
      <c r="D6501" t="str">
        <f>IFERROR(__xludf.DUMMYFUNCTION("""COMPUTED_VALUE"""),"Ryan")</f>
        <v>Ryan</v>
      </c>
      <c r="E6501" t="str">
        <f>IFERROR(__xludf.DUMMYFUNCTION("""COMPUTED_VALUE"""),"Logan")</f>
        <v>Logan</v>
      </c>
      <c r="F6501" t="str">
        <f>IFERROR(__xludf.DUMMYFUNCTION("""COMPUTED_VALUE"""),"TEN")</f>
        <v>TEN</v>
      </c>
      <c r="G6501">
        <f>IFERROR(__xludf.DUMMYFUNCTION("""COMPUTED_VALUE"""),20.25)</f>
        <v>20.25</v>
      </c>
    </row>
    <row r="6502">
      <c r="D6502" t="str">
        <f>IFERROR(__xludf.DUMMYFUNCTION("""COMPUTED_VALUE"""),"Ryan")</f>
        <v>Ryan</v>
      </c>
      <c r="E6502" t="str">
        <f>IFERROR(__xludf.DUMMYFUNCTION("""COMPUTED_VALUE"""),"Matt")</f>
        <v>Matt</v>
      </c>
      <c r="F6502" t="str">
        <f>IFERROR(__xludf.DUMMYFUNCTION("""COMPUTED_VALUE"""),"ATL")</f>
        <v>ATL</v>
      </c>
      <c r="G6502">
        <f>IFERROR(__xludf.DUMMYFUNCTION("""COMPUTED_VALUE"""),21.25)</f>
        <v>21.25</v>
      </c>
    </row>
    <row r="6503">
      <c r="D6503" t="str">
        <f>IFERROR(__xludf.DUMMYFUNCTION("""COMPUTED_VALUE"""),"Ryan")</f>
        <v>Ryan</v>
      </c>
      <c r="E6503" t="str">
        <f>IFERROR(__xludf.DUMMYFUNCTION("""COMPUTED_VALUE"""),"Matt")</f>
        <v>Matt</v>
      </c>
      <c r="F6503" t="str">
        <f>IFERROR(__xludf.DUMMYFUNCTION("""COMPUTED_VALUE"""),"ATL")</f>
        <v>ATL</v>
      </c>
      <c r="G6503">
        <f>IFERROR(__xludf.DUMMYFUNCTION("""COMPUTED_VALUE"""),22.0)</f>
        <v>22</v>
      </c>
    </row>
    <row r="6504">
      <c r="D6504" t="str">
        <f>IFERROR(__xludf.DUMMYFUNCTION("""COMPUTED_VALUE"""),"Saffold III")</f>
        <v>Saffold III</v>
      </c>
      <c r="E6504" t="str">
        <f>IFERROR(__xludf.DUMMYFUNCTION("""COMPUTED_VALUE"""),"Rodger")</f>
        <v>Rodger</v>
      </c>
      <c r="F6504" t="str">
        <f>IFERROR(__xludf.DUMMYFUNCTION("""COMPUTED_VALUE"""),"LAR")</f>
        <v>LAR</v>
      </c>
      <c r="G6504">
        <f>IFERROR(__xludf.DUMMYFUNCTION("""COMPUTED_VALUE"""),20.75)</f>
        <v>20.75</v>
      </c>
    </row>
    <row r="6505">
      <c r="D6505" t="str">
        <f>IFERROR(__xludf.DUMMYFUNCTION("""COMPUTED_VALUE"""),"Sam")</f>
        <v>Sam</v>
      </c>
      <c r="E6505" t="str">
        <f>IFERROR(__xludf.DUMMYFUNCTION("""COMPUTED_VALUE"""),"Christian")</f>
        <v>Christian</v>
      </c>
      <c r="F6505" t="str">
        <f>IFERROR(__xludf.DUMMYFUNCTION("""COMPUTED_VALUE"""),"NE")</f>
        <v>NE</v>
      </c>
      <c r="G6505">
        <f>IFERROR(__xludf.DUMMYFUNCTION("""COMPUTED_VALUE"""),16.75)</f>
        <v>16.75</v>
      </c>
    </row>
    <row r="6506">
      <c r="D6506" t="str">
        <f>IFERROR(__xludf.DUMMYFUNCTION("""COMPUTED_VALUE"""),"Sambrailo")</f>
        <v>Sambrailo</v>
      </c>
      <c r="E6506" t="str">
        <f>IFERROR(__xludf.DUMMYFUNCTION("""COMPUTED_VALUE"""),"Ty")</f>
        <v>Ty</v>
      </c>
      <c r="F6506" t="str">
        <f>IFERROR(__xludf.DUMMYFUNCTION("""COMPUTED_VALUE"""),"ATL")</f>
        <v>ATL</v>
      </c>
      <c r="G6506">
        <f>IFERROR(__xludf.DUMMYFUNCTION("""COMPUTED_VALUE"""),17.75)</f>
        <v>17.75</v>
      </c>
    </row>
    <row r="6507">
      <c r="D6507" t="str">
        <f>IFERROR(__xludf.DUMMYFUNCTION("""COMPUTED_VALUE"""),"Samuel")</f>
        <v>Samuel</v>
      </c>
      <c r="E6507" t="str">
        <f>IFERROR(__xludf.DUMMYFUNCTION("""COMPUTED_VALUE"""),"Curtis")</f>
        <v>Curtis</v>
      </c>
      <c r="F6507" t="str">
        <f>IFERROR(__xludf.DUMMYFUNCTION("""COMPUTED_VALUE"""),"CAR")</f>
        <v>CAR</v>
      </c>
      <c r="G6507">
        <f>IFERROR(__xludf.DUMMYFUNCTION("""COMPUTED_VALUE"""),18.5)</f>
        <v>18.5</v>
      </c>
    </row>
    <row r="6508">
      <c r="D6508" t="str">
        <f>IFERROR(__xludf.DUMMYFUNCTION("""COMPUTED_VALUE"""),"Samuels")</f>
        <v>Samuels</v>
      </c>
      <c r="E6508" t="str">
        <f>IFERROR(__xludf.DUMMYFUNCTION("""COMPUTED_VALUE"""),"Jaylen")</f>
        <v>Jaylen</v>
      </c>
      <c r="F6508" t="str">
        <f>IFERROR(__xludf.DUMMYFUNCTION("""COMPUTED_VALUE"""),"PIT")</f>
        <v>PIT</v>
      </c>
      <c r="G6508">
        <f>IFERROR(__xludf.DUMMYFUNCTION("""COMPUTED_VALUE"""),18.0)</f>
        <v>18</v>
      </c>
    </row>
    <row r="6509">
      <c r="D6509" t="str">
        <f>IFERROR(__xludf.DUMMYFUNCTION("""COMPUTED_VALUE"""),"Sanchez")</f>
        <v>Sanchez</v>
      </c>
      <c r="E6509" t="str">
        <f>IFERROR(__xludf.DUMMYFUNCTION("""COMPUTED_VALUE"""),"Rigoberto")</f>
        <v>Rigoberto</v>
      </c>
      <c r="F6509" t="str">
        <f>IFERROR(__xludf.DUMMYFUNCTION("""COMPUTED_VALUE"""),"IND")</f>
        <v>IND</v>
      </c>
      <c r="G6509">
        <f>IFERROR(__xludf.DUMMYFUNCTION("""COMPUTED_VALUE"""),19.5)</f>
        <v>19.5</v>
      </c>
    </row>
    <row r="6510">
      <c r="D6510" t="str">
        <f>IFERROR(__xludf.DUMMYFUNCTION("""COMPUTED_VALUE"""),"Sanchez")</f>
        <v>Sanchez</v>
      </c>
      <c r="E6510" t="str">
        <f>IFERROR(__xludf.DUMMYFUNCTION("""COMPUTED_VALUE"""),"Zack")</f>
        <v>Zack</v>
      </c>
      <c r="F6510" t="str">
        <f>IFERROR(__xludf.DUMMYFUNCTION("""COMPUTED_VALUE"""),"FA")</f>
        <v>FA</v>
      </c>
      <c r="G6510">
        <f>IFERROR(__xludf.DUMMYFUNCTION("""COMPUTED_VALUE"""),17.25)</f>
        <v>17.25</v>
      </c>
    </row>
    <row r="6511">
      <c r="D6511" t="str">
        <f>IFERROR(__xludf.DUMMYFUNCTION("""COMPUTED_VALUE"""),"Sanders")</f>
        <v>Sanders</v>
      </c>
      <c r="E6511" t="str">
        <f>IFERROR(__xludf.DUMMYFUNCTION("""COMPUTED_VALUE"""),"Emmanuel")</f>
        <v>Emmanuel</v>
      </c>
      <c r="F6511" t="str">
        <f>IFERROR(__xludf.DUMMYFUNCTION("""COMPUTED_VALUE"""),"DEN")</f>
        <v>DEN</v>
      </c>
      <c r="G6511">
        <f>IFERROR(__xludf.DUMMYFUNCTION("""COMPUTED_VALUE"""),20.75)</f>
        <v>20.75</v>
      </c>
    </row>
    <row r="6512">
      <c r="D6512" t="str">
        <f>IFERROR(__xludf.DUMMYFUNCTION("""COMPUTED_VALUE"""),"Sanders")</f>
        <v>Sanders</v>
      </c>
      <c r="E6512" t="str">
        <f>IFERROR(__xludf.DUMMYFUNCTION("""COMPUTED_VALUE"""),"Jason")</f>
        <v>Jason</v>
      </c>
      <c r="F6512" t="str">
        <f>IFERROR(__xludf.DUMMYFUNCTION("""COMPUTED_VALUE"""),"MIA")</f>
        <v>MIA</v>
      </c>
      <c r="G6512">
        <f>IFERROR(__xludf.DUMMYFUNCTION("""COMPUTED_VALUE"""),19.25)</f>
        <v>19.25</v>
      </c>
    </row>
    <row r="6513">
      <c r="D6513" t="str">
        <f>IFERROR(__xludf.DUMMYFUNCTION("""COMPUTED_VALUE"""),"Sandland")</f>
        <v>Sandland</v>
      </c>
      <c r="E6513" t="str">
        <f>IFERROR(__xludf.DUMMYFUNCTION("""COMPUTED_VALUE"""),"Beau")</f>
        <v>Beau</v>
      </c>
      <c r="F6513" t="str">
        <f>IFERROR(__xludf.DUMMYFUNCTION("""COMPUTED_VALUE"""),"ARZ")</f>
        <v>ARZ</v>
      </c>
      <c r="G6513">
        <f>IFERROR(__xludf.DUMMYFUNCTION("""COMPUTED_VALUE"""),16.0)</f>
        <v>16</v>
      </c>
    </row>
    <row r="6514">
      <c r="D6514" t="str">
        <f>IFERROR(__xludf.DUMMYFUNCTION("""COMPUTED_VALUE"""),"Santos")</f>
        <v>Santos</v>
      </c>
      <c r="E6514" t="str">
        <f>IFERROR(__xludf.DUMMYFUNCTION("""COMPUTED_VALUE"""),"Cairo")</f>
        <v>Cairo</v>
      </c>
      <c r="F6514" t="str">
        <f>IFERROR(__xludf.DUMMYFUNCTION("""COMPUTED_VALUE"""),"NYJ")</f>
        <v>NYJ</v>
      </c>
      <c r="G6514">
        <f>IFERROR(__xludf.DUMMYFUNCTION("""COMPUTED_VALUE"""),19.75)</f>
        <v>19.75</v>
      </c>
    </row>
    <row r="6515">
      <c r="D6515" t="str">
        <f>IFERROR(__xludf.DUMMYFUNCTION("""COMPUTED_VALUE"""),"Sanu Sr")</f>
        <v>Sanu Sr</v>
      </c>
      <c r="E6515" t="str">
        <f>IFERROR(__xludf.DUMMYFUNCTION("""COMPUTED_VALUE"""),"Mohamed")</f>
        <v>Mohamed</v>
      </c>
      <c r="F6515" t="str">
        <f>IFERROR(__xludf.DUMMYFUNCTION("""COMPUTED_VALUE"""),"ATL")</f>
        <v>ATL</v>
      </c>
      <c r="G6515">
        <f>IFERROR(__xludf.DUMMYFUNCTION("""COMPUTED_VALUE"""),20.0)</f>
        <v>20</v>
      </c>
    </row>
    <row r="6516">
      <c r="D6516" t="str">
        <f>IFERROR(__xludf.DUMMYFUNCTION("""COMPUTED_VALUE"""),"Saubert")</f>
        <v>Saubert</v>
      </c>
      <c r="E6516" t="str">
        <f>IFERROR(__xludf.DUMMYFUNCTION("""COMPUTED_VALUE"""),"Eric")</f>
        <v>Eric</v>
      </c>
      <c r="F6516" t="str">
        <f>IFERROR(__xludf.DUMMYFUNCTION("""COMPUTED_VALUE"""),"ATL")</f>
        <v>ATL</v>
      </c>
      <c r="G6516">
        <f>IFERROR(__xludf.DUMMYFUNCTION("""COMPUTED_VALUE"""),17.75)</f>
        <v>17.75</v>
      </c>
    </row>
    <row r="6517">
      <c r="D6517" t="str">
        <f>IFERROR(__xludf.DUMMYFUNCTION("""COMPUTED_VALUE"""),"Savage")</f>
        <v>Savage</v>
      </c>
      <c r="E6517" t="str">
        <f>IFERROR(__xludf.DUMMYFUNCTION("""COMPUTED_VALUE"""),"Tom")</f>
        <v>Tom</v>
      </c>
      <c r="F6517" t="str">
        <f>IFERROR(__xludf.DUMMYFUNCTION("""COMPUTED_VALUE"""),"NO")</f>
        <v>NO</v>
      </c>
      <c r="G6517">
        <f>IFERROR(__xludf.DUMMYFUNCTION("""COMPUTED_VALUE"""),18.5)</f>
        <v>18.5</v>
      </c>
    </row>
    <row r="6518">
      <c r="D6518" t="str">
        <f>IFERROR(__xludf.DUMMYFUNCTION("""COMPUTED_VALUE"""),"Sayles")</f>
        <v>Sayles</v>
      </c>
      <c r="E6518" t="str">
        <f>IFERROR(__xludf.DUMMYFUNCTION("""COMPUTED_VALUE"""),"Casey")</f>
        <v>Casey</v>
      </c>
      <c r="F6518" t="str">
        <f>IFERROR(__xludf.DUMMYFUNCTION("""COMPUTED_VALUE"""),"FA")</f>
        <v>FA</v>
      </c>
      <c r="G6518">
        <f>IFERROR(__xludf.DUMMYFUNCTION("""COMPUTED_VALUE"""),17.25)</f>
        <v>17.25</v>
      </c>
    </row>
    <row r="6519">
      <c r="D6519" t="str">
        <f>IFERROR(__xludf.DUMMYFUNCTION("""COMPUTED_VALUE"""),"Scandrick")</f>
        <v>Scandrick</v>
      </c>
      <c r="E6519" t="str">
        <f>IFERROR(__xludf.DUMMYFUNCTION("""COMPUTED_VALUE"""),"Orlando")</f>
        <v>Orlando</v>
      </c>
      <c r="F6519" t="str">
        <f>IFERROR(__xludf.DUMMYFUNCTION("""COMPUTED_VALUE"""),"WAS")</f>
        <v>WAS</v>
      </c>
      <c r="G6519">
        <f>IFERROR(__xludf.DUMMYFUNCTION("""COMPUTED_VALUE"""),19.0)</f>
        <v>19</v>
      </c>
    </row>
    <row r="6520">
      <c r="D6520" t="str">
        <f>IFERROR(__xludf.DUMMYFUNCTION("""COMPUTED_VALUE"""),"Scarbrough")</f>
        <v>Scarbrough</v>
      </c>
      <c r="E6520" t="str">
        <f>IFERROR(__xludf.DUMMYFUNCTION("""COMPUTED_VALUE"""),"Bo")</f>
        <v>Bo</v>
      </c>
      <c r="F6520" t="str">
        <f>IFERROR(__xludf.DUMMYFUNCTION("""COMPUTED_VALUE"""),"DAL")</f>
        <v>DAL</v>
      </c>
      <c r="G6520">
        <f>IFERROR(__xludf.DUMMYFUNCTION("""COMPUTED_VALUE"""),17.75)</f>
        <v>17.75</v>
      </c>
    </row>
    <row r="6521">
      <c r="D6521" t="str">
        <f>IFERROR(__xludf.DUMMYFUNCTION("""COMPUTED_VALUE"""),"Scarlett")</f>
        <v>Scarlett</v>
      </c>
      <c r="E6521" t="str">
        <f>IFERROR(__xludf.DUMMYFUNCTION("""COMPUTED_VALUE"""),"Brennan")</f>
        <v>Brennan</v>
      </c>
      <c r="F6521" t="str">
        <f>IFERROR(__xludf.DUMMYFUNCTION("""COMPUTED_VALUE"""),"HOU")</f>
        <v>HOU</v>
      </c>
      <c r="G6521">
        <f>IFERROR(__xludf.DUMMYFUNCTION("""COMPUTED_VALUE"""),17.25)</f>
        <v>17.25</v>
      </c>
    </row>
    <row r="6522">
      <c r="D6522" t="str">
        <f>IFERROR(__xludf.DUMMYFUNCTION("""COMPUTED_VALUE"""),"Schaub")</f>
        <v>Schaub</v>
      </c>
      <c r="E6522" t="str">
        <f>IFERROR(__xludf.DUMMYFUNCTION("""COMPUTED_VALUE"""),"Matt")</f>
        <v>Matt</v>
      </c>
      <c r="F6522" t="str">
        <f>IFERROR(__xludf.DUMMYFUNCTION("""COMPUTED_VALUE"""),"ATL")</f>
        <v>ATL</v>
      </c>
      <c r="G6522">
        <f>IFERROR(__xludf.DUMMYFUNCTION("""COMPUTED_VALUE"""),17.0)</f>
        <v>17</v>
      </c>
    </row>
    <row r="6523">
      <c r="D6523" t="str">
        <f>IFERROR(__xludf.DUMMYFUNCTION("""COMPUTED_VALUE"""),"Scherff")</f>
        <v>Scherff</v>
      </c>
      <c r="E6523" t="str">
        <f>IFERROR(__xludf.DUMMYFUNCTION("""COMPUTED_VALUE"""),"Brandon")</f>
        <v>Brandon</v>
      </c>
      <c r="F6523" t="str">
        <f>IFERROR(__xludf.DUMMYFUNCTION("""COMPUTED_VALUE"""),"WAS")</f>
        <v>WAS</v>
      </c>
      <c r="G6523">
        <f>IFERROR(__xludf.DUMMYFUNCTION("""COMPUTED_VALUE"""),21.0)</f>
        <v>21</v>
      </c>
    </row>
    <row r="6524">
      <c r="D6524" t="str">
        <f>IFERROR(__xludf.DUMMYFUNCTION("""COMPUTED_VALUE"""),"Schmidt")</f>
        <v>Schmidt</v>
      </c>
      <c r="E6524" t="str">
        <f>IFERROR(__xludf.DUMMYFUNCTION("""COMPUTED_VALUE"""),"Colton")</f>
        <v>Colton</v>
      </c>
      <c r="F6524" t="str">
        <f>IFERROR(__xludf.DUMMYFUNCTION("""COMPUTED_VALUE"""),"BUF")</f>
        <v>BUF</v>
      </c>
      <c r="G6524">
        <f>IFERROR(__xludf.DUMMYFUNCTION("""COMPUTED_VALUE"""),19.0)</f>
        <v>19</v>
      </c>
    </row>
    <row r="6525">
      <c r="D6525" t="str">
        <f>IFERROR(__xludf.DUMMYFUNCTION("""COMPUTED_VALUE"""),"Schobert")</f>
        <v>Schobert</v>
      </c>
      <c r="E6525" t="str">
        <f>IFERROR(__xludf.DUMMYFUNCTION("""COMPUTED_VALUE"""),"Joe")</f>
        <v>Joe</v>
      </c>
      <c r="F6525" t="str">
        <f>IFERROR(__xludf.DUMMYFUNCTION("""COMPUTED_VALUE"""),"CLE")</f>
        <v>CLE</v>
      </c>
      <c r="G6525">
        <f>IFERROR(__xludf.DUMMYFUNCTION("""COMPUTED_VALUE"""),19.25)</f>
        <v>19.25</v>
      </c>
    </row>
    <row r="6526">
      <c r="D6526" t="str">
        <f>IFERROR(__xludf.DUMMYFUNCTION("""COMPUTED_VALUE"""),"Schofield")</f>
        <v>Schofield</v>
      </c>
      <c r="E6526" t="str">
        <f>IFERROR(__xludf.DUMMYFUNCTION("""COMPUTED_VALUE"""),"Michael")</f>
        <v>Michael</v>
      </c>
      <c r="F6526" t="str">
        <f>IFERROR(__xludf.DUMMYFUNCTION("""COMPUTED_VALUE"""),"LAC")</f>
        <v>LAC</v>
      </c>
      <c r="G6526">
        <f>IFERROR(__xludf.DUMMYFUNCTION("""COMPUTED_VALUE"""),17.25)</f>
        <v>17.25</v>
      </c>
    </row>
    <row r="6527">
      <c r="D6527" t="str">
        <f>IFERROR(__xludf.DUMMYFUNCTION("""COMPUTED_VALUE"""),"Schraeder")</f>
        <v>Schraeder</v>
      </c>
      <c r="E6527" t="str">
        <f>IFERROR(__xludf.DUMMYFUNCTION("""COMPUTED_VALUE"""),"Ryan")</f>
        <v>Ryan</v>
      </c>
      <c r="F6527" t="str">
        <f>IFERROR(__xludf.DUMMYFUNCTION("""COMPUTED_VALUE"""),"ATL")</f>
        <v>ATL</v>
      </c>
      <c r="G6527">
        <f>IFERROR(__xludf.DUMMYFUNCTION("""COMPUTED_VALUE"""),20.25)</f>
        <v>20.25</v>
      </c>
    </row>
    <row r="6528">
      <c r="D6528" t="str">
        <f>IFERROR(__xludf.DUMMYFUNCTION("""COMPUTED_VALUE"""),"Schreck")</f>
        <v>Schreck</v>
      </c>
      <c r="E6528" t="str">
        <f>IFERROR(__xludf.DUMMYFUNCTION("""COMPUTED_VALUE"""),"Mason")</f>
        <v>Mason</v>
      </c>
      <c r="F6528" t="str">
        <f>IFERROR(__xludf.DUMMYFUNCTION("""COMPUTED_VALUE"""),"CIN")</f>
        <v>CIN</v>
      </c>
      <c r="G6528">
        <f>IFERROR(__xludf.DUMMYFUNCTION("""COMPUTED_VALUE"""),17.0)</f>
        <v>17</v>
      </c>
    </row>
    <row r="6529">
      <c r="D6529" t="str">
        <f>IFERROR(__xludf.DUMMYFUNCTION("""COMPUTED_VALUE"""),"Schultz")</f>
        <v>Schultz</v>
      </c>
      <c r="E6529" t="str">
        <f>IFERROR(__xludf.DUMMYFUNCTION("""COMPUTED_VALUE"""),"Dalton")</f>
        <v>Dalton</v>
      </c>
      <c r="F6529" t="str">
        <f>IFERROR(__xludf.DUMMYFUNCTION("""COMPUTED_VALUE"""),"DAL")</f>
        <v>DAL</v>
      </c>
      <c r="G6529">
        <f>IFERROR(__xludf.DUMMYFUNCTION("""COMPUTED_VALUE"""),17.25)</f>
        <v>17.25</v>
      </c>
    </row>
    <row r="6530">
      <c r="D6530" t="str">
        <f>IFERROR(__xludf.DUMMYFUNCTION("""COMPUTED_VALUE"""),"Schwartz")</f>
        <v>Schwartz</v>
      </c>
      <c r="E6530" t="str">
        <f>IFERROR(__xludf.DUMMYFUNCTION("""COMPUTED_VALUE"""),"Mitchell")</f>
        <v>Mitchell</v>
      </c>
      <c r="F6530" t="str">
        <f>IFERROR(__xludf.DUMMYFUNCTION("""COMPUTED_VALUE"""),"KC")</f>
        <v>KC</v>
      </c>
      <c r="G6530">
        <f>IFERROR(__xludf.DUMMYFUNCTION("""COMPUTED_VALUE"""),20.25)</f>
        <v>20.25</v>
      </c>
    </row>
    <row r="6531">
      <c r="D6531" t="str">
        <f>IFERROR(__xludf.DUMMYFUNCTION("""COMPUTED_VALUE"""),"Schweitzer")</f>
        <v>Schweitzer</v>
      </c>
      <c r="E6531" t="str">
        <f>IFERROR(__xludf.DUMMYFUNCTION("""COMPUTED_VALUE"""),"Wes")</f>
        <v>Wes</v>
      </c>
      <c r="F6531" t="str">
        <f>IFERROR(__xludf.DUMMYFUNCTION("""COMPUTED_VALUE"""),"ATL")</f>
        <v>ATL</v>
      </c>
      <c r="G6531">
        <f>IFERROR(__xludf.DUMMYFUNCTION("""COMPUTED_VALUE"""),17.0)</f>
        <v>17</v>
      </c>
    </row>
    <row r="6532">
      <c r="D6532" t="str">
        <f>IFERROR(__xludf.DUMMYFUNCTION("""COMPUTED_VALUE"""),"Scott")</f>
        <v>Scott</v>
      </c>
      <c r="E6532" t="str">
        <f>IFERROR(__xludf.DUMMYFUNCTION("""COMPUTED_VALUE"""),"Artavis")</f>
        <v>Artavis</v>
      </c>
      <c r="F6532" t="str">
        <f>IFERROR(__xludf.DUMMYFUNCTION("""COMPUTED_VALUE"""),"LAC")</f>
        <v>LAC</v>
      </c>
      <c r="G6532">
        <f>IFERROR(__xludf.DUMMYFUNCTION("""COMPUTED_VALUE"""),16.5)</f>
        <v>16.5</v>
      </c>
    </row>
    <row r="6533">
      <c r="D6533" t="str">
        <f>IFERROR(__xludf.DUMMYFUNCTION("""COMPUTED_VALUE"""),"Scott")</f>
        <v>Scott</v>
      </c>
      <c r="E6533" t="str">
        <f>IFERROR(__xludf.DUMMYFUNCTION("""COMPUTED_VALUE"""),"Boston")</f>
        <v>Boston</v>
      </c>
      <c r="F6533" t="str">
        <f>IFERROR(__xludf.DUMMYFUNCTION("""COMPUTED_VALUE"""),"NO")</f>
        <v>NO</v>
      </c>
      <c r="G6533">
        <f>IFERROR(__xludf.DUMMYFUNCTION("""COMPUTED_VALUE"""),17.5)</f>
        <v>17.5</v>
      </c>
    </row>
    <row r="6534">
      <c r="D6534" t="str">
        <f>IFERROR(__xludf.DUMMYFUNCTION("""COMPUTED_VALUE"""),"Scott")</f>
        <v>Scott</v>
      </c>
      <c r="E6534" t="str">
        <f>IFERROR(__xludf.DUMMYFUNCTION("""COMPUTED_VALUE"""),"Jaleel")</f>
        <v>Jaleel</v>
      </c>
      <c r="F6534" t="str">
        <f>IFERROR(__xludf.DUMMYFUNCTION("""COMPUTED_VALUE"""),"BAL")</f>
        <v>BAL</v>
      </c>
      <c r="G6534">
        <f>IFERROR(__xludf.DUMMYFUNCTION("""COMPUTED_VALUE"""),17.75)</f>
        <v>17.75</v>
      </c>
    </row>
    <row r="6535">
      <c r="D6535" t="str">
        <f>IFERROR(__xludf.DUMMYFUNCTION("""COMPUTED_VALUE"""),"Scott")</f>
        <v>Scott</v>
      </c>
      <c r="E6535" t="str">
        <f>IFERROR(__xludf.DUMMYFUNCTION("""COMPUTED_VALUE"""),"JK")</f>
        <v>JK</v>
      </c>
      <c r="F6535" t="str">
        <f>IFERROR(__xludf.DUMMYFUNCTION("""COMPUTED_VALUE"""),"GB")</f>
        <v>GB</v>
      </c>
      <c r="G6535">
        <f>IFERROR(__xludf.DUMMYFUNCTION("""COMPUTED_VALUE"""),19.5)</f>
        <v>19.5</v>
      </c>
    </row>
    <row r="6536">
      <c r="D6536" t="str">
        <f>IFERROR(__xludf.DUMMYFUNCTION("""COMPUTED_VALUE"""),"Scott")</f>
        <v>Scott</v>
      </c>
      <c r="E6536" t="str">
        <f>IFERROR(__xludf.DUMMYFUNCTION("""COMPUTED_VALUE"""),"Rashawn")</f>
        <v>Rashawn</v>
      </c>
      <c r="F6536" t="str">
        <f>IFERROR(__xludf.DUMMYFUNCTION("""COMPUTED_VALUE"""),"MIA")</f>
        <v>MIA</v>
      </c>
      <c r="G6536">
        <f>IFERROR(__xludf.DUMMYFUNCTION("""COMPUTED_VALUE"""),15.75)</f>
        <v>15.75</v>
      </c>
    </row>
    <row r="6537">
      <c r="D6537" t="str">
        <f>IFERROR(__xludf.DUMMYFUNCTION("""COMPUTED_VALUE"""),"Seals-Jones")</f>
        <v>Seals-Jones</v>
      </c>
      <c r="E6537" t="str">
        <f>IFERROR(__xludf.DUMMYFUNCTION("""COMPUTED_VALUE"""),"Ricky")</f>
        <v>Ricky</v>
      </c>
      <c r="F6537" t="str">
        <f>IFERROR(__xludf.DUMMYFUNCTION("""COMPUTED_VALUE"""),"ARZ")</f>
        <v>ARZ</v>
      </c>
      <c r="G6537">
        <f>IFERROR(__xludf.DUMMYFUNCTION("""COMPUTED_VALUE"""),18.0)</f>
        <v>18</v>
      </c>
    </row>
    <row r="6538">
      <c r="D6538" t="str">
        <f>IFERROR(__xludf.DUMMYFUNCTION("""COMPUTED_VALUE"""),"Seamster")</f>
        <v>Seamster</v>
      </c>
      <c r="E6538" t="str">
        <f>IFERROR(__xludf.DUMMYFUNCTION("""COMPUTED_VALUE"""),"Sammy")</f>
        <v>Sammy</v>
      </c>
      <c r="F6538" t="str">
        <f>IFERROR(__xludf.DUMMYFUNCTION("""COMPUTED_VALUE"""),"JAX")</f>
        <v>JAX</v>
      </c>
      <c r="G6538">
        <f>IFERROR(__xludf.DUMMYFUNCTION("""COMPUTED_VALUE"""),16.5)</f>
        <v>16.5</v>
      </c>
    </row>
    <row r="6539">
      <c r="D6539" t="str">
        <f>IFERROR(__xludf.DUMMYFUNCTION("""COMPUTED_VALUE"""),"Searcy")</f>
        <v>Searcy</v>
      </c>
      <c r="E6539" t="str">
        <f>IFERROR(__xludf.DUMMYFUNCTION("""COMPUTED_VALUE"""),"DaNorris")</f>
        <v>DaNorris</v>
      </c>
      <c r="F6539" t="str">
        <f>IFERROR(__xludf.DUMMYFUNCTION("""COMPUTED_VALUE"""),"CAR")</f>
        <v>CAR</v>
      </c>
      <c r="G6539">
        <f>IFERROR(__xludf.DUMMYFUNCTION("""COMPUTED_VALUE"""),18.0)</f>
        <v>18</v>
      </c>
    </row>
    <row r="6540">
      <c r="D6540" t="str">
        <f>IFERROR(__xludf.DUMMYFUNCTION("""COMPUTED_VALUE"""),"Seaton")</f>
        <v>Seaton</v>
      </c>
      <c r="E6540" t="str">
        <f>IFERROR(__xludf.DUMMYFUNCTION("""COMPUTED_VALUE"""),"Brad")</f>
        <v>Brad</v>
      </c>
      <c r="F6540" t="str">
        <f>IFERROR(__xludf.DUMMYFUNCTION("""COMPUTED_VALUE"""),"TB")</f>
        <v>TB</v>
      </c>
      <c r="G6540">
        <f>IFERROR(__xludf.DUMMYFUNCTION("""COMPUTED_VALUE"""),16.5)</f>
        <v>16.5</v>
      </c>
    </row>
    <row r="6541">
      <c r="D6541" t="str">
        <f>IFERROR(__xludf.DUMMYFUNCTION("""COMPUTED_VALUE"""),"Seferian-Jenkins")</f>
        <v>Seferian-Jenkins</v>
      </c>
      <c r="E6541" t="str">
        <f>IFERROR(__xludf.DUMMYFUNCTION("""COMPUTED_VALUE"""),"Austin")</f>
        <v>Austin</v>
      </c>
      <c r="F6541" t="str">
        <f>IFERROR(__xludf.DUMMYFUNCTION("""COMPUTED_VALUE"""),"JAX")</f>
        <v>JAX</v>
      </c>
      <c r="G6541">
        <f>IFERROR(__xludf.DUMMYFUNCTION("""COMPUTED_VALUE"""),19.5)</f>
        <v>19.5</v>
      </c>
    </row>
    <row r="6542">
      <c r="D6542" t="str">
        <f>IFERROR(__xludf.DUMMYFUNCTION("""COMPUTED_VALUE"""),"Senat")</f>
        <v>Senat</v>
      </c>
      <c r="E6542" t="str">
        <f>IFERROR(__xludf.DUMMYFUNCTION("""COMPUTED_VALUE"""),"Deadrin")</f>
        <v>Deadrin</v>
      </c>
      <c r="F6542" t="str">
        <f>IFERROR(__xludf.DUMMYFUNCTION("""COMPUTED_VALUE"""),"ATL")</f>
        <v>ATL</v>
      </c>
      <c r="G6542">
        <f>IFERROR(__xludf.DUMMYFUNCTION("""COMPUTED_VALUE"""),17.75)</f>
        <v>17.75</v>
      </c>
    </row>
    <row r="6543">
      <c r="D6543" t="str">
        <f>IFERROR(__xludf.DUMMYFUNCTION("""COMPUTED_VALUE"""),"Senat")</f>
        <v>Senat</v>
      </c>
      <c r="E6543" t="str">
        <f>IFERROR(__xludf.DUMMYFUNCTION("""COMPUTED_VALUE"""),"Greg")</f>
        <v>Greg</v>
      </c>
      <c r="F6543" t="str">
        <f>IFERROR(__xludf.DUMMYFUNCTION("""COMPUTED_VALUE"""),"BAL")</f>
        <v>BAL</v>
      </c>
      <c r="G6543">
        <f>IFERROR(__xludf.DUMMYFUNCTION("""COMPUTED_VALUE"""),16.75)</f>
        <v>16.75</v>
      </c>
    </row>
    <row r="6544">
      <c r="D6544" t="str">
        <f>IFERROR(__xludf.DUMMYFUNCTION("""COMPUTED_VALUE"""),"Sendejo")</f>
        <v>Sendejo</v>
      </c>
      <c r="E6544" t="str">
        <f>IFERROR(__xludf.DUMMYFUNCTION("""COMPUTED_VALUE"""),"Andrew")</f>
        <v>Andrew</v>
      </c>
      <c r="F6544" t="str">
        <f>IFERROR(__xludf.DUMMYFUNCTION("""COMPUTED_VALUE"""),"MIN")</f>
        <v>MIN</v>
      </c>
      <c r="G6544">
        <f>IFERROR(__xludf.DUMMYFUNCTION("""COMPUTED_VALUE"""),20.0)</f>
        <v>20</v>
      </c>
    </row>
    <row r="6545">
      <c r="D6545" t="str">
        <f>IFERROR(__xludf.DUMMYFUNCTION("""COMPUTED_VALUE"""),"Sensabaugh")</f>
        <v>Sensabaugh</v>
      </c>
      <c r="E6545" t="str">
        <f>IFERROR(__xludf.DUMMYFUNCTION("""COMPUTED_VALUE"""),"Coty")</f>
        <v>Coty</v>
      </c>
      <c r="F6545" t="str">
        <f>IFERROR(__xludf.DUMMYFUNCTION("""COMPUTED_VALUE"""),"PIT")</f>
        <v>PIT</v>
      </c>
      <c r="G6545">
        <f>IFERROR(__xludf.DUMMYFUNCTION("""COMPUTED_VALUE"""),17.5)</f>
        <v>17.5</v>
      </c>
    </row>
    <row r="6546">
      <c r="D6546" t="str">
        <f>IFERROR(__xludf.DUMMYFUNCTION("""COMPUTED_VALUE"""),"Settle")</f>
        <v>Settle</v>
      </c>
      <c r="E6546" t="str">
        <f>IFERROR(__xludf.DUMMYFUNCTION("""COMPUTED_VALUE"""),"Tim")</f>
        <v>Tim</v>
      </c>
      <c r="F6546" t="str">
        <f>IFERROR(__xludf.DUMMYFUNCTION("""COMPUTED_VALUE"""),"WAS")</f>
        <v>WAS</v>
      </c>
      <c r="G6546">
        <f>IFERROR(__xludf.DUMMYFUNCTION("""COMPUTED_VALUE"""),17.25)</f>
        <v>17.25</v>
      </c>
    </row>
    <row r="6547">
      <c r="D6547" t="str">
        <f>IFERROR(__xludf.DUMMYFUNCTION("""COMPUTED_VALUE"""),"Seumalo")</f>
        <v>Seumalo</v>
      </c>
      <c r="E6547" t="str">
        <f>IFERROR(__xludf.DUMMYFUNCTION("""COMPUTED_VALUE"""),"Isaac")</f>
        <v>Isaac</v>
      </c>
      <c r="F6547" t="str">
        <f>IFERROR(__xludf.DUMMYFUNCTION("""COMPUTED_VALUE"""),"PHI")</f>
        <v>PHI</v>
      </c>
      <c r="G6547">
        <f>IFERROR(__xludf.DUMMYFUNCTION("""COMPUTED_VALUE"""),18.0)</f>
        <v>18</v>
      </c>
    </row>
    <row r="6548">
      <c r="D6548" t="str">
        <f>IFERROR(__xludf.DUMMYFUNCTION("""COMPUTED_VALUE"""),"Seymour")</f>
        <v>Seymour</v>
      </c>
      <c r="E6548" t="str">
        <f>IFERROR(__xludf.DUMMYFUNCTION("""COMPUTED_VALUE"""),"Kevon")</f>
        <v>Kevon</v>
      </c>
      <c r="F6548" t="str">
        <f>IFERROR(__xludf.DUMMYFUNCTION("""COMPUTED_VALUE"""),"CAR")</f>
        <v>CAR</v>
      </c>
      <c r="G6548">
        <f>IFERROR(__xludf.DUMMYFUNCTION("""COMPUTED_VALUE"""),18.0)</f>
        <v>18</v>
      </c>
    </row>
    <row r="6549">
      <c r="D6549" t="str">
        <f>IFERROR(__xludf.DUMMYFUNCTION("""COMPUTED_VALUE"""),"Shaheen")</f>
        <v>Shaheen</v>
      </c>
      <c r="E6549" t="str">
        <f>IFERROR(__xludf.DUMMYFUNCTION("""COMPUTED_VALUE"""),"Adam")</f>
        <v>Adam</v>
      </c>
      <c r="F6549" t="str">
        <f>IFERROR(__xludf.DUMMYFUNCTION("""COMPUTED_VALUE"""),"CHI")</f>
        <v>CHI</v>
      </c>
      <c r="G6549">
        <f>IFERROR(__xludf.DUMMYFUNCTION("""COMPUTED_VALUE"""),19.0)</f>
        <v>19</v>
      </c>
    </row>
    <row r="6550">
      <c r="D6550" t="str">
        <f>IFERROR(__xludf.DUMMYFUNCTION("""COMPUTED_VALUE"""),"Shakir")</f>
        <v>Shakir</v>
      </c>
      <c r="E6550" t="str">
        <f>IFERROR(__xludf.DUMMYFUNCTION("""COMPUTED_VALUE"""),"Maurquice")</f>
        <v>Maurquice</v>
      </c>
      <c r="F6550" t="str">
        <f>IFERROR(__xludf.DUMMYFUNCTION("""COMPUTED_VALUE"""),"BAL")</f>
        <v>BAL</v>
      </c>
      <c r="G6550">
        <f>IFERROR(__xludf.DUMMYFUNCTION("""COMPUTED_VALUE"""),16.25)</f>
        <v>16.25</v>
      </c>
    </row>
    <row r="6551">
      <c r="D6551" t="str">
        <f>IFERROR(__xludf.DUMMYFUNCTION("""COMPUTED_VALUE"""),"Sharp")</f>
        <v>Sharp</v>
      </c>
      <c r="E6551" t="str">
        <f>IFERROR(__xludf.DUMMYFUNCTION("""COMPUTED_VALUE"""),"Hunter")</f>
        <v>Hunter</v>
      </c>
      <c r="F6551" t="str">
        <f>IFERROR(__xludf.DUMMYFUNCTION("""COMPUTED_VALUE"""),"NYG")</f>
        <v>NYG</v>
      </c>
      <c r="G6551">
        <f>IFERROR(__xludf.DUMMYFUNCTION("""COMPUTED_VALUE"""),16.5)</f>
        <v>16.5</v>
      </c>
    </row>
    <row r="6552">
      <c r="D6552" t="str">
        <f>IFERROR(__xludf.DUMMYFUNCTION("""COMPUTED_VALUE"""),"Sharpe")</f>
        <v>Sharpe</v>
      </c>
      <c r="E6552" t="str">
        <f>IFERROR(__xludf.DUMMYFUNCTION("""COMPUTED_VALUE"""),"David")</f>
        <v>David</v>
      </c>
      <c r="F6552" t="str">
        <f>IFERROR(__xludf.DUMMYFUNCTION("""COMPUTED_VALUE"""),"OAK")</f>
        <v>OAK</v>
      </c>
      <c r="G6552">
        <f>IFERROR(__xludf.DUMMYFUNCTION("""COMPUTED_VALUE"""),17.25)</f>
        <v>17.25</v>
      </c>
    </row>
    <row r="6553">
      <c r="D6553" t="str">
        <f>IFERROR(__xludf.DUMMYFUNCTION("""COMPUTED_VALUE"""),"Sharpe")</f>
        <v>Sharpe</v>
      </c>
      <c r="E6553" t="str">
        <f>IFERROR(__xludf.DUMMYFUNCTION("""COMPUTED_VALUE"""),"Tajae")</f>
        <v>Tajae</v>
      </c>
      <c r="F6553" t="str">
        <f>IFERROR(__xludf.DUMMYFUNCTION("""COMPUTED_VALUE"""),"TEN")</f>
        <v>TEN</v>
      </c>
      <c r="G6553">
        <f>IFERROR(__xludf.DUMMYFUNCTION("""COMPUTED_VALUE"""),18.75)</f>
        <v>18.75</v>
      </c>
    </row>
    <row r="6554">
      <c r="D6554" t="str">
        <f>IFERROR(__xludf.DUMMYFUNCTION("""COMPUTED_VALUE"""),"Shatley")</f>
        <v>Shatley</v>
      </c>
      <c r="E6554" t="str">
        <f>IFERROR(__xludf.DUMMYFUNCTION("""COMPUTED_VALUE"""),"Tyler")</f>
        <v>Tyler</v>
      </c>
      <c r="F6554" t="str">
        <f>IFERROR(__xludf.DUMMYFUNCTION("""COMPUTED_VALUE"""),"JAX")</f>
        <v>JAX</v>
      </c>
      <c r="G6554">
        <f>IFERROR(__xludf.DUMMYFUNCTION("""COMPUTED_VALUE"""),17.75)</f>
        <v>17.75</v>
      </c>
    </row>
    <row r="6555">
      <c r="D6555" t="str">
        <f>IFERROR(__xludf.DUMMYFUNCTION("""COMPUTED_VALUE"""),"Shaw")</f>
        <v>Shaw</v>
      </c>
      <c r="E6555" t="str">
        <f>IFERROR(__xludf.DUMMYFUNCTION("""COMPUTED_VALUE"""),"Josh")</f>
        <v>Josh</v>
      </c>
      <c r="F6555" t="str">
        <f>IFERROR(__xludf.DUMMYFUNCTION("""COMPUTED_VALUE"""),"CIN")</f>
        <v>CIN</v>
      </c>
      <c r="G6555">
        <f>IFERROR(__xludf.DUMMYFUNCTION("""COMPUTED_VALUE"""),16.25)</f>
        <v>16.25</v>
      </c>
    </row>
    <row r="6556">
      <c r="D6556" t="str">
        <f>IFERROR(__xludf.DUMMYFUNCTION("""COMPUTED_VALUE"""),"Shead")</f>
        <v>Shead</v>
      </c>
      <c r="E6556" t="str">
        <f>IFERROR(__xludf.DUMMYFUNCTION("""COMPUTED_VALUE"""),"DeShawn")</f>
        <v>DeShawn</v>
      </c>
      <c r="F6556" t="str">
        <f>IFERROR(__xludf.DUMMYFUNCTION("""COMPUTED_VALUE"""),"DET")</f>
        <v>DET</v>
      </c>
      <c r="G6556">
        <f>IFERROR(__xludf.DUMMYFUNCTION("""COMPUTED_VALUE"""),19.0)</f>
        <v>19</v>
      </c>
    </row>
    <row r="6557">
      <c r="D6557" t="str">
        <f>IFERROR(__xludf.DUMMYFUNCTION("""COMPUTED_VALUE"""),"Sheard")</f>
        <v>Sheard</v>
      </c>
      <c r="E6557" t="str">
        <f>IFERROR(__xludf.DUMMYFUNCTION("""COMPUTED_VALUE"""),"Jabaal")</f>
        <v>Jabaal</v>
      </c>
      <c r="F6557" t="str">
        <f>IFERROR(__xludf.DUMMYFUNCTION("""COMPUTED_VALUE"""),"IND")</f>
        <v>IND</v>
      </c>
      <c r="G6557">
        <f>IFERROR(__xludf.DUMMYFUNCTION("""COMPUTED_VALUE"""),20.75)</f>
        <v>20.75</v>
      </c>
    </row>
    <row r="6558">
      <c r="D6558" t="str">
        <f>IFERROR(__xludf.DUMMYFUNCTION("""COMPUTED_VALUE"""),"Sheard")</f>
        <v>Sheard</v>
      </c>
      <c r="E6558" t="str">
        <f>IFERROR(__xludf.DUMMYFUNCTION("""COMPUTED_VALUE"""),"Jabaal")</f>
        <v>Jabaal</v>
      </c>
      <c r="F6558" t="str">
        <f>IFERROR(__xludf.DUMMYFUNCTION("""COMPUTED_VALUE"""),"IND")</f>
        <v>IND</v>
      </c>
      <c r="G6558">
        <f>IFERROR(__xludf.DUMMYFUNCTION("""COMPUTED_VALUE"""),22.0)</f>
        <v>22</v>
      </c>
    </row>
    <row r="6559">
      <c r="D6559" t="str">
        <f>IFERROR(__xludf.DUMMYFUNCTION("""COMPUTED_VALUE"""),"Shelby")</f>
        <v>Shelby</v>
      </c>
      <c r="E6559" t="str">
        <f>IFERROR(__xludf.DUMMYFUNCTION("""COMPUTED_VALUE"""),"Derrick")</f>
        <v>Derrick</v>
      </c>
      <c r="F6559" t="str">
        <f>IFERROR(__xludf.DUMMYFUNCTION("""COMPUTED_VALUE"""),"ATL")</f>
        <v>ATL</v>
      </c>
      <c r="G6559">
        <f>IFERROR(__xludf.DUMMYFUNCTION("""COMPUTED_VALUE"""),18.25)</f>
        <v>18.25</v>
      </c>
    </row>
    <row r="6560">
      <c r="D6560" t="str">
        <f>IFERROR(__xludf.DUMMYFUNCTION("""COMPUTED_VALUE"""),"Shell")</f>
        <v>Shell</v>
      </c>
      <c r="E6560" t="str">
        <f>IFERROR(__xludf.DUMMYFUNCTION("""COMPUTED_VALUE"""),"Brandon")</f>
        <v>Brandon</v>
      </c>
      <c r="F6560" t="str">
        <f>IFERROR(__xludf.DUMMYFUNCTION("""COMPUTED_VALUE"""),"NYJ")</f>
        <v>NYJ</v>
      </c>
      <c r="G6560">
        <f>IFERROR(__xludf.DUMMYFUNCTION("""COMPUTED_VALUE"""),18.25)</f>
        <v>18.25</v>
      </c>
    </row>
    <row r="6561">
      <c r="D6561" t="str">
        <f>IFERROR(__xludf.DUMMYFUNCTION("""COMPUTED_VALUE"""),"Shelton")</f>
        <v>Shelton</v>
      </c>
      <c r="E6561" t="str">
        <f>IFERROR(__xludf.DUMMYFUNCTION("""COMPUTED_VALUE"""),"Danny")</f>
        <v>Danny</v>
      </c>
      <c r="F6561" t="str">
        <f>IFERROR(__xludf.DUMMYFUNCTION("""COMPUTED_VALUE"""),"NE")</f>
        <v>NE</v>
      </c>
      <c r="G6561">
        <f>IFERROR(__xludf.DUMMYFUNCTION("""COMPUTED_VALUE"""),20.0)</f>
        <v>20</v>
      </c>
    </row>
    <row r="6562">
      <c r="D6562" t="str">
        <f>IFERROR(__xludf.DUMMYFUNCTION("""COMPUTED_VALUE"""),"Shepard")</f>
        <v>Shepard</v>
      </c>
      <c r="E6562" t="str">
        <f>IFERROR(__xludf.DUMMYFUNCTION("""COMPUTED_VALUE"""),"Russell")</f>
        <v>Russell</v>
      </c>
      <c r="F6562" t="str">
        <f>IFERROR(__xludf.DUMMYFUNCTION("""COMPUTED_VALUE"""),"NYG")</f>
        <v>NYG</v>
      </c>
      <c r="G6562">
        <f>IFERROR(__xludf.DUMMYFUNCTION("""COMPUTED_VALUE"""),18.0)</f>
        <v>18</v>
      </c>
    </row>
    <row r="6563">
      <c r="D6563" t="str">
        <f>IFERROR(__xludf.DUMMYFUNCTION("""COMPUTED_VALUE"""),"Shepard")</f>
        <v>Shepard</v>
      </c>
      <c r="E6563" t="str">
        <f>IFERROR(__xludf.DUMMYFUNCTION("""COMPUTED_VALUE"""),"Sterling")</f>
        <v>Sterling</v>
      </c>
      <c r="F6563" t="str">
        <f>IFERROR(__xludf.DUMMYFUNCTION("""COMPUTED_VALUE"""),"NYG")</f>
        <v>NYG</v>
      </c>
      <c r="G6563">
        <f>IFERROR(__xludf.DUMMYFUNCTION("""COMPUTED_VALUE"""),19.5)</f>
        <v>19.5</v>
      </c>
    </row>
    <row r="6564">
      <c r="D6564" t="str">
        <f>IFERROR(__xludf.DUMMYFUNCTION("""COMPUTED_VALUE"""),"Shepherd")</f>
        <v>Shepherd</v>
      </c>
      <c r="E6564" t="str">
        <f>IFERROR(__xludf.DUMMYFUNCTION("""COMPUTED_VALUE"""),"Nathan")</f>
        <v>Nathan</v>
      </c>
      <c r="F6564" t="str">
        <f>IFERROR(__xludf.DUMMYFUNCTION("""COMPUTED_VALUE"""),"NYJ")</f>
        <v>NYJ</v>
      </c>
      <c r="G6564">
        <f>IFERROR(__xludf.DUMMYFUNCTION("""COMPUTED_VALUE"""),17.75)</f>
        <v>17.75</v>
      </c>
    </row>
    <row r="6565">
      <c r="D6565" t="str">
        <f>IFERROR(__xludf.DUMMYFUNCTION("""COMPUTED_VALUE"""),"Sherels")</f>
        <v>Sherels</v>
      </c>
      <c r="E6565" t="str">
        <f>IFERROR(__xludf.DUMMYFUNCTION("""COMPUTED_VALUE"""),"Marcus")</f>
        <v>Marcus</v>
      </c>
      <c r="F6565" t="str">
        <f>IFERROR(__xludf.DUMMYFUNCTION("""COMPUTED_VALUE"""),"MIN")</f>
        <v>MIN</v>
      </c>
      <c r="G6565">
        <f>IFERROR(__xludf.DUMMYFUNCTION("""COMPUTED_VALUE"""),16.75)</f>
        <v>16.75</v>
      </c>
    </row>
    <row r="6566">
      <c r="D6566" t="str">
        <f>IFERROR(__xludf.DUMMYFUNCTION("""COMPUTED_VALUE"""),"Sherman")</f>
        <v>Sherman</v>
      </c>
      <c r="E6566" t="str">
        <f>IFERROR(__xludf.DUMMYFUNCTION("""COMPUTED_VALUE"""),"Anthony")</f>
        <v>Anthony</v>
      </c>
      <c r="F6566" t="str">
        <f>IFERROR(__xludf.DUMMYFUNCTION("""COMPUTED_VALUE"""),"KC")</f>
        <v>KC</v>
      </c>
      <c r="G6566">
        <f>IFERROR(__xludf.DUMMYFUNCTION("""COMPUTED_VALUE"""),20.5)</f>
        <v>20.5</v>
      </c>
    </row>
    <row r="6567">
      <c r="D6567" t="str">
        <f>IFERROR(__xludf.DUMMYFUNCTION("""COMPUTED_VALUE"""),"Sherman")</f>
        <v>Sherman</v>
      </c>
      <c r="E6567" t="str">
        <f>IFERROR(__xludf.DUMMYFUNCTION("""COMPUTED_VALUE"""),"Richard")</f>
        <v>Richard</v>
      </c>
      <c r="F6567" t="str">
        <f>IFERROR(__xludf.DUMMYFUNCTION("""COMPUTED_VALUE"""),"SF")</f>
        <v>SF</v>
      </c>
      <c r="G6567">
        <f>IFERROR(__xludf.DUMMYFUNCTION("""COMPUTED_VALUE"""),21.75)</f>
        <v>21.75</v>
      </c>
    </row>
    <row r="6568">
      <c r="D6568" t="str">
        <f>IFERROR(__xludf.DUMMYFUNCTION("""COMPUTED_VALUE"""),"Shields")</f>
        <v>Shields</v>
      </c>
      <c r="E6568" t="str">
        <f>IFERROR(__xludf.DUMMYFUNCTION("""COMPUTED_VALUE"""),"Sam")</f>
        <v>Sam</v>
      </c>
      <c r="F6568" t="str">
        <f>IFERROR(__xludf.DUMMYFUNCTION("""COMPUTED_VALUE"""),"LAR")</f>
        <v>LAR</v>
      </c>
      <c r="G6568">
        <f>IFERROR(__xludf.DUMMYFUNCTION("""COMPUTED_VALUE"""),17.75)</f>
        <v>17.75</v>
      </c>
    </row>
    <row r="6569">
      <c r="D6569" t="str">
        <f>IFERROR(__xludf.DUMMYFUNCTION("""COMPUTED_VALUE"""),"Shipley")</f>
        <v>Shipley</v>
      </c>
      <c r="E6569" t="str">
        <f>IFERROR(__xludf.DUMMYFUNCTION("""COMPUTED_VALUE"""),"AQ")</f>
        <v>AQ</v>
      </c>
      <c r="F6569" t="str">
        <f>IFERROR(__xludf.DUMMYFUNCTION("""COMPUTED_VALUE"""),"ARZ")</f>
        <v>ARZ</v>
      </c>
      <c r="G6569">
        <f>IFERROR(__xludf.DUMMYFUNCTION("""COMPUTED_VALUE"""),18.75)</f>
        <v>18.75</v>
      </c>
    </row>
    <row r="6570">
      <c r="D6570" t="str">
        <f>IFERROR(__xludf.DUMMYFUNCTION("""COMPUTED_VALUE"""),"Shittu")</f>
        <v>Shittu</v>
      </c>
      <c r="E6570" t="str">
        <f>IFERROR(__xludf.DUMMYFUNCTION("""COMPUTED_VALUE"""),"Aziz")</f>
        <v>Aziz</v>
      </c>
      <c r="F6570" t="str">
        <f>IFERROR(__xludf.DUMMYFUNCTION("""COMPUTED_VALUE"""),"PHI")</f>
        <v>PHI</v>
      </c>
      <c r="G6570">
        <f>IFERROR(__xludf.DUMMYFUNCTION("""COMPUTED_VALUE"""),17.0)</f>
        <v>17</v>
      </c>
    </row>
    <row r="6571">
      <c r="D6571" t="str">
        <f>IFERROR(__xludf.DUMMYFUNCTION("""COMPUTED_VALUE"""),"Short")</f>
        <v>Short</v>
      </c>
      <c r="E6571" t="str">
        <f>IFERROR(__xludf.DUMMYFUNCTION("""COMPUTED_VALUE"""),"Kawann")</f>
        <v>Kawann</v>
      </c>
      <c r="F6571" t="str">
        <f>IFERROR(__xludf.DUMMYFUNCTION("""COMPUTED_VALUE"""),"CAR")</f>
        <v>CAR</v>
      </c>
      <c r="G6571">
        <f>IFERROR(__xludf.DUMMYFUNCTION("""COMPUTED_VALUE"""),21.25)</f>
        <v>21.25</v>
      </c>
    </row>
    <row r="6572">
      <c r="D6572" t="str">
        <f>IFERROR(__xludf.DUMMYFUNCTION("""COMPUTED_VALUE"""),"Showers")</f>
        <v>Showers</v>
      </c>
      <c r="E6572" t="str">
        <f>IFERROR(__xludf.DUMMYFUNCTION("""COMPUTED_VALUE"""),"Jameill")</f>
        <v>Jameill</v>
      </c>
      <c r="F6572" t="str">
        <f>IFERROR(__xludf.DUMMYFUNCTION("""COMPUTED_VALUE"""),"DAL")</f>
        <v>DAL</v>
      </c>
      <c r="G6572">
        <f>IFERROR(__xludf.DUMMYFUNCTION("""COMPUTED_VALUE"""),15.5)</f>
        <v>15.5</v>
      </c>
    </row>
    <row r="6573">
      <c r="D6573" t="str">
        <f>IFERROR(__xludf.DUMMYFUNCTION("""COMPUTED_VALUE"""),"Sickels")</f>
        <v>Sickels</v>
      </c>
      <c r="E6573" t="str">
        <f>IFERROR(__xludf.DUMMYFUNCTION("""COMPUTED_VALUE"""),"Garrett")</f>
        <v>Garrett</v>
      </c>
      <c r="F6573" t="str">
        <f>IFERROR(__xludf.DUMMYFUNCTION("""COMPUTED_VALUE"""),"LAR")</f>
        <v>LAR</v>
      </c>
      <c r="G6573">
        <f>IFERROR(__xludf.DUMMYFUNCTION("""COMPUTED_VALUE"""),15.75)</f>
        <v>15.75</v>
      </c>
    </row>
    <row r="6574">
      <c r="D6574" t="str">
        <f>IFERROR(__xludf.DUMMYFUNCTION("""COMPUTED_VALUE"""),"Sieler")</f>
        <v>Sieler</v>
      </c>
      <c r="E6574" t="str">
        <f>IFERROR(__xludf.DUMMYFUNCTION("""COMPUTED_VALUE"""),"Zach")</f>
        <v>Zach</v>
      </c>
      <c r="F6574" t="str">
        <f>IFERROR(__xludf.DUMMYFUNCTION("""COMPUTED_VALUE"""),"BAL")</f>
        <v>BAL</v>
      </c>
      <c r="G6574">
        <f>IFERROR(__xludf.DUMMYFUNCTION("""COMPUTED_VALUE"""),17.0)</f>
        <v>17</v>
      </c>
    </row>
    <row r="6575">
      <c r="D6575" t="str">
        <f>IFERROR(__xludf.DUMMYFUNCTION("""COMPUTED_VALUE"""),"Siemian")</f>
        <v>Siemian</v>
      </c>
      <c r="E6575" t="str">
        <f>IFERROR(__xludf.DUMMYFUNCTION("""COMPUTED_VALUE"""),"Trevor")</f>
        <v>Trevor</v>
      </c>
      <c r="F6575" t="str">
        <f>IFERROR(__xludf.DUMMYFUNCTION("""COMPUTED_VALUE"""),"MIN")</f>
        <v>MIN</v>
      </c>
      <c r="G6575">
        <f>IFERROR(__xludf.DUMMYFUNCTION("""COMPUTED_VALUE"""),18.75)</f>
        <v>18.75</v>
      </c>
    </row>
    <row r="6576">
      <c r="D6576" t="str">
        <f>IFERROR(__xludf.DUMMYFUNCTION("""COMPUTED_VALUE"""),"Silatolu")</f>
        <v>Silatolu</v>
      </c>
      <c r="E6576" t="str">
        <f>IFERROR(__xludf.DUMMYFUNCTION("""COMPUTED_VALUE"""),"Amini")</f>
        <v>Amini</v>
      </c>
      <c r="F6576" t="str">
        <f>IFERROR(__xludf.DUMMYFUNCTION("""COMPUTED_VALUE"""),"CAR")</f>
        <v>CAR</v>
      </c>
      <c r="G6576">
        <f>IFERROR(__xludf.DUMMYFUNCTION("""COMPUTED_VALUE"""),17.75)</f>
        <v>17.75</v>
      </c>
    </row>
    <row r="6577">
      <c r="D6577" t="str">
        <f>IFERROR(__xludf.DUMMYFUNCTION("""COMPUTED_VALUE"""),"Silberman")</f>
        <v>Silberman</v>
      </c>
      <c r="E6577" t="str">
        <f>IFERROR(__xludf.DUMMYFUNCTION("""COMPUTED_VALUE"""),"Ian")</f>
        <v>Ian</v>
      </c>
      <c r="F6577" t="str">
        <f>IFERROR(__xludf.DUMMYFUNCTION("""COMPUTED_VALUE"""),"OAK")</f>
        <v>OAK</v>
      </c>
      <c r="G6577">
        <f>IFERROR(__xludf.DUMMYFUNCTION("""COMPUTED_VALUE"""),17.5)</f>
        <v>17.5</v>
      </c>
    </row>
    <row r="6578">
      <c r="D6578" t="str">
        <f>IFERROR(__xludf.DUMMYFUNCTION("""COMPUTED_VALUE"""),"Simmons")</f>
        <v>Simmons</v>
      </c>
      <c r="E6578" t="str">
        <f>IFERROR(__xludf.DUMMYFUNCTION("""COMPUTED_VALUE"""),"Justin")</f>
        <v>Justin</v>
      </c>
      <c r="F6578" t="str">
        <f>IFERROR(__xludf.DUMMYFUNCTION("""COMPUTED_VALUE"""),"DEN")</f>
        <v>DEN</v>
      </c>
      <c r="G6578">
        <f>IFERROR(__xludf.DUMMYFUNCTION("""COMPUTED_VALUE"""),19.75)</f>
        <v>19.75</v>
      </c>
    </row>
    <row r="6579">
      <c r="D6579" t="str">
        <f>IFERROR(__xludf.DUMMYFUNCTION("""COMPUTED_VALUE"""),"Simon")</f>
        <v>Simon</v>
      </c>
      <c r="E6579" t="str">
        <f>IFERROR(__xludf.DUMMYFUNCTION("""COMPUTED_VALUE"""),"Deon")</f>
        <v>Deon</v>
      </c>
      <c r="F6579" t="str">
        <f>IFERROR(__xludf.DUMMYFUNCTION("""COMPUTED_VALUE"""),"NYJ")</f>
        <v>NYJ</v>
      </c>
      <c r="G6579">
        <f>IFERROR(__xludf.DUMMYFUNCTION("""COMPUTED_VALUE"""),17.25)</f>
        <v>17.25</v>
      </c>
    </row>
    <row r="6580">
      <c r="D6580" t="str">
        <f>IFERROR(__xludf.DUMMYFUNCTION("""COMPUTED_VALUE"""),"Simon")</f>
        <v>Simon</v>
      </c>
      <c r="E6580" t="str">
        <f>IFERROR(__xludf.DUMMYFUNCTION("""COMPUTED_VALUE"""),"John")</f>
        <v>John</v>
      </c>
      <c r="F6580" t="str">
        <f>IFERROR(__xludf.DUMMYFUNCTION("""COMPUTED_VALUE"""),"IND")</f>
        <v>IND</v>
      </c>
      <c r="G6580">
        <f>IFERROR(__xludf.DUMMYFUNCTION("""COMPUTED_VALUE"""),19.75)</f>
        <v>19.75</v>
      </c>
    </row>
    <row r="6581">
      <c r="D6581" t="str">
        <f>IFERROR(__xludf.DUMMYFUNCTION("""COMPUTED_VALUE"""),"Sims")</f>
        <v>Sims</v>
      </c>
      <c r="E6581" t="str">
        <f>IFERROR(__xludf.DUMMYFUNCTION("""COMPUTED_VALUE"""),"Dion")</f>
        <v>Dion</v>
      </c>
      <c r="F6581" t="str">
        <f>IFERROR(__xludf.DUMMYFUNCTION("""COMPUTED_VALUE"""),"CHI")</f>
        <v>CHI</v>
      </c>
      <c r="G6581">
        <f>IFERROR(__xludf.DUMMYFUNCTION("""COMPUTED_VALUE"""),19.25)</f>
        <v>19.25</v>
      </c>
    </row>
    <row r="6582">
      <c r="D6582" t="str">
        <f>IFERROR(__xludf.DUMMYFUNCTION("""COMPUTED_VALUE"""),"Sims")</f>
        <v>Sims</v>
      </c>
      <c r="E6582" t="str">
        <f>IFERROR(__xludf.DUMMYFUNCTION("""COMPUTED_VALUE"""),"LeShaun")</f>
        <v>LeShaun</v>
      </c>
      <c r="F6582" t="str">
        <f>IFERROR(__xludf.DUMMYFUNCTION("""COMPUTED_VALUE"""),"TEN")</f>
        <v>TEN</v>
      </c>
      <c r="G6582">
        <f>IFERROR(__xludf.DUMMYFUNCTION("""COMPUTED_VALUE"""),17.75)</f>
        <v>17.75</v>
      </c>
    </row>
    <row r="6583">
      <c r="D6583" t="str">
        <f>IFERROR(__xludf.DUMMYFUNCTION("""COMPUTED_VALUE"""),"Sims III")</f>
        <v>Sims III</v>
      </c>
      <c r="E6583" t="str">
        <f>IFERROR(__xludf.DUMMYFUNCTION("""COMPUTED_VALUE"""),"Charles")</f>
        <v>Charles</v>
      </c>
      <c r="F6583" t="str">
        <f>IFERROR(__xludf.DUMMYFUNCTION("""COMPUTED_VALUE"""),"TB")</f>
        <v>TB</v>
      </c>
      <c r="G6583">
        <f>IFERROR(__xludf.DUMMYFUNCTION("""COMPUTED_VALUE"""),19.0)</f>
        <v>19</v>
      </c>
    </row>
    <row r="6584">
      <c r="D6584" t="str">
        <f>IFERROR(__xludf.DUMMYFUNCTION("""COMPUTED_VALUE"""),"Siragusa")</f>
        <v>Siragusa</v>
      </c>
      <c r="E6584" t="str">
        <f>IFERROR(__xludf.DUMMYFUNCTION("""COMPUTED_VALUE"""),"Nico")</f>
        <v>Nico</v>
      </c>
      <c r="F6584" t="str">
        <f>IFERROR(__xludf.DUMMYFUNCTION("""COMPUTED_VALUE"""),"BAL")</f>
        <v>BAL</v>
      </c>
      <c r="G6584">
        <f>IFERROR(__xludf.DUMMYFUNCTION("""COMPUTED_VALUE"""),19.0)</f>
        <v>19</v>
      </c>
    </row>
    <row r="6585">
      <c r="D6585" t="str">
        <f>IFERROR(__xludf.DUMMYFUNCTION("""COMPUTED_VALUE"""),"Sirles")</f>
        <v>Sirles</v>
      </c>
      <c r="E6585" t="str">
        <f>IFERROR(__xludf.DUMMYFUNCTION("""COMPUTED_VALUE"""),"Jeremiah")</f>
        <v>Jeremiah</v>
      </c>
      <c r="F6585" t="str">
        <f>IFERROR(__xludf.DUMMYFUNCTION("""COMPUTED_VALUE"""),"CAR")</f>
        <v>CAR</v>
      </c>
      <c r="G6585">
        <f>IFERROR(__xludf.DUMMYFUNCTION("""COMPUTED_VALUE"""),16.5)</f>
        <v>16.5</v>
      </c>
    </row>
    <row r="6586">
      <c r="D6586" t="str">
        <f>IFERROR(__xludf.DUMMYFUNCTION("""COMPUTED_VALUE"""),"Sitton")</f>
        <v>Sitton</v>
      </c>
      <c r="E6586" t="str">
        <f>IFERROR(__xludf.DUMMYFUNCTION("""COMPUTED_VALUE"""),"Josh")</f>
        <v>Josh</v>
      </c>
      <c r="F6586" t="str">
        <f>IFERROR(__xludf.DUMMYFUNCTION("""COMPUTED_VALUE"""),"MIA")</f>
        <v>MIA</v>
      </c>
      <c r="G6586">
        <f>IFERROR(__xludf.DUMMYFUNCTION("""COMPUTED_VALUE"""),21.5)</f>
        <v>21.5</v>
      </c>
    </row>
    <row r="6587">
      <c r="D6587" t="str">
        <f>IFERROR(__xludf.DUMMYFUNCTION("""COMPUTED_VALUE"""),"Skipper")</f>
        <v>Skipper</v>
      </c>
      <c r="E6587" t="str">
        <f>IFERROR(__xludf.DUMMYFUNCTION("""COMPUTED_VALUE"""),"Dan")</f>
        <v>Dan</v>
      </c>
      <c r="F6587" t="str">
        <f>IFERROR(__xludf.DUMMYFUNCTION("""COMPUTED_VALUE"""),"DET")</f>
        <v>DET</v>
      </c>
      <c r="G6587">
        <f>IFERROR(__xludf.DUMMYFUNCTION("""COMPUTED_VALUE"""),16.75)</f>
        <v>16.75</v>
      </c>
    </row>
    <row r="6588">
      <c r="D6588" t="str">
        <f>IFERROR(__xludf.DUMMYFUNCTION("""COMPUTED_VALUE"""),"Skrine")</f>
        <v>Skrine</v>
      </c>
      <c r="E6588" t="str">
        <f>IFERROR(__xludf.DUMMYFUNCTION("""COMPUTED_VALUE"""),"Buster")</f>
        <v>Buster</v>
      </c>
      <c r="F6588" t="str">
        <f>IFERROR(__xludf.DUMMYFUNCTION("""COMPUTED_VALUE"""),"NYJ")</f>
        <v>NYJ</v>
      </c>
      <c r="G6588">
        <f>IFERROR(__xludf.DUMMYFUNCTION("""COMPUTED_VALUE"""),19.0)</f>
        <v>19</v>
      </c>
    </row>
    <row r="6589">
      <c r="D6589" t="str">
        <f>IFERROR(__xludf.DUMMYFUNCTION("""COMPUTED_VALUE"""),"Skura")</f>
        <v>Skura</v>
      </c>
      <c r="E6589" t="str">
        <f>IFERROR(__xludf.DUMMYFUNCTION("""COMPUTED_VALUE"""),"Matt")</f>
        <v>Matt</v>
      </c>
      <c r="F6589" t="str">
        <f>IFERROR(__xludf.DUMMYFUNCTION("""COMPUTED_VALUE"""),"BAL")</f>
        <v>BAL</v>
      </c>
      <c r="G6589">
        <f>IFERROR(__xludf.DUMMYFUNCTION("""COMPUTED_VALUE"""),17.0)</f>
        <v>17</v>
      </c>
    </row>
    <row r="6590">
      <c r="D6590" t="str">
        <f>IFERROR(__xludf.DUMMYFUNCTION("""COMPUTED_VALUE"""),"Slade")</f>
        <v>Slade</v>
      </c>
      <c r="E6590" t="str">
        <f>IFERROR(__xludf.DUMMYFUNCTION("""COMPUTED_VALUE"""),"Chad")</f>
        <v>Chad</v>
      </c>
      <c r="F6590" t="str">
        <f>IFERROR(__xludf.DUMMYFUNCTION("""COMPUTED_VALUE"""),"HOU")</f>
        <v>HOU</v>
      </c>
      <c r="G6590">
        <f>IFERROR(__xludf.DUMMYFUNCTION("""COMPUTED_VALUE"""),16.5)</f>
        <v>16.5</v>
      </c>
    </row>
    <row r="6591">
      <c r="D6591" t="str">
        <f>IFERROR(__xludf.DUMMYFUNCTION("""COMPUTED_VALUE"""),"Slater")</f>
        <v>Slater</v>
      </c>
      <c r="E6591" t="str">
        <f>IFERROR(__xludf.DUMMYFUNCTION("""COMPUTED_VALUE"""),"Matthew")</f>
        <v>Matthew</v>
      </c>
      <c r="F6591" t="str">
        <f>IFERROR(__xludf.DUMMYFUNCTION("""COMPUTED_VALUE"""),"NE")</f>
        <v>NE</v>
      </c>
      <c r="G6591">
        <f>IFERROR(__xludf.DUMMYFUNCTION("""COMPUTED_VALUE"""),17.25)</f>
        <v>17.25</v>
      </c>
    </row>
    <row r="6592">
      <c r="D6592" t="str">
        <f>IFERROR(__xludf.DUMMYFUNCTION("""COMPUTED_VALUE"""),"Slauson")</f>
        <v>Slauson</v>
      </c>
      <c r="E6592" t="str">
        <f>IFERROR(__xludf.DUMMYFUNCTION("""COMPUTED_VALUE"""),"Matt")</f>
        <v>Matt</v>
      </c>
      <c r="F6592" t="str">
        <f>IFERROR(__xludf.DUMMYFUNCTION("""COMPUTED_VALUE"""),"IND")</f>
        <v>IND</v>
      </c>
      <c r="G6592">
        <f>IFERROR(__xludf.DUMMYFUNCTION("""COMPUTED_VALUE"""),19.25)</f>
        <v>19.25</v>
      </c>
    </row>
    <row r="6593">
      <c r="D6593" t="str">
        <f>IFERROR(__xludf.DUMMYFUNCTION("""COMPUTED_VALUE"""),"Slay Jr")</f>
        <v>Slay Jr</v>
      </c>
      <c r="E6593" t="str">
        <f>IFERROR(__xludf.DUMMYFUNCTION("""COMPUTED_VALUE"""),"Darius")</f>
        <v>Darius</v>
      </c>
      <c r="F6593" t="str">
        <f>IFERROR(__xludf.DUMMYFUNCTION("""COMPUTED_VALUE"""),"DET")</f>
        <v>DET</v>
      </c>
      <c r="G6593">
        <f>IFERROR(__xludf.DUMMYFUNCTION("""COMPUTED_VALUE"""),21.5)</f>
        <v>21.5</v>
      </c>
    </row>
    <row r="6594">
      <c r="D6594" t="str">
        <f>IFERROR(__xludf.DUMMYFUNCTION("""COMPUTED_VALUE"""),"Sloter")</f>
        <v>Sloter</v>
      </c>
      <c r="E6594" t="str">
        <f>IFERROR(__xludf.DUMMYFUNCTION("""COMPUTED_VALUE"""),"Kyle")</f>
        <v>Kyle</v>
      </c>
      <c r="F6594" t="str">
        <f>IFERROR(__xludf.DUMMYFUNCTION("""COMPUTED_VALUE"""),"MIN")</f>
        <v>MIN</v>
      </c>
      <c r="G6594">
        <f>IFERROR(__xludf.DUMMYFUNCTION("""COMPUTED_VALUE"""),17.25)</f>
        <v>17.25</v>
      </c>
    </row>
    <row r="6595">
      <c r="D6595" t="str">
        <f>IFERROR(__xludf.DUMMYFUNCTION("""COMPUTED_VALUE"""),"Smallwood")</f>
        <v>Smallwood</v>
      </c>
      <c r="E6595" t="str">
        <f>IFERROR(__xludf.DUMMYFUNCTION("""COMPUTED_VALUE"""),"Wendell")</f>
        <v>Wendell</v>
      </c>
      <c r="F6595" t="str">
        <f>IFERROR(__xludf.DUMMYFUNCTION("""COMPUTED_VALUE"""),"PHI")</f>
        <v>PHI</v>
      </c>
      <c r="G6595">
        <f>IFERROR(__xludf.DUMMYFUNCTION("""COMPUTED_VALUE"""),18.0)</f>
        <v>18</v>
      </c>
    </row>
    <row r="6596">
      <c r="D6596" t="str">
        <f>IFERROR(__xludf.DUMMYFUNCTION("""COMPUTED_VALUE"""),"Smart")</f>
        <v>Smart</v>
      </c>
      <c r="E6596" t="str">
        <f>IFERROR(__xludf.DUMMYFUNCTION("""COMPUTED_VALUE"""),"Tanzel")</f>
        <v>Tanzel</v>
      </c>
      <c r="F6596" t="str">
        <f>IFERROR(__xludf.DUMMYFUNCTION("""COMPUTED_VALUE"""),"LAR")</f>
        <v>LAR</v>
      </c>
      <c r="G6596">
        <f>IFERROR(__xludf.DUMMYFUNCTION("""COMPUTED_VALUE"""),17.0)</f>
        <v>17</v>
      </c>
    </row>
    <row r="6597">
      <c r="D6597" t="str">
        <f>IFERROR(__xludf.DUMMYFUNCTION("""COMPUTED_VALUE"""),"Smelter")</f>
        <v>Smelter</v>
      </c>
      <c r="E6597" t="str">
        <f>IFERROR(__xludf.DUMMYFUNCTION("""COMPUTED_VALUE"""),"DeAndre")</f>
        <v>DeAndre</v>
      </c>
      <c r="F6597" t="str">
        <f>IFERROR(__xludf.DUMMYFUNCTION("""COMPUTED_VALUE"""),"FA")</f>
        <v>FA</v>
      </c>
      <c r="G6597">
        <f>IFERROR(__xludf.DUMMYFUNCTION("""COMPUTED_VALUE"""),16.5)</f>
        <v>16.5</v>
      </c>
    </row>
    <row r="6598">
      <c r="D6598" t="str">
        <f>IFERROR(__xludf.DUMMYFUNCTION("""COMPUTED_VALUE"""),"Smith")</f>
        <v>Smith</v>
      </c>
      <c r="E6598" t="str">
        <f>IFERROR(__xludf.DUMMYFUNCTION("""COMPUTED_VALUE"""),"Alex")</f>
        <v>Alex</v>
      </c>
      <c r="F6598" t="str">
        <f>IFERROR(__xludf.DUMMYFUNCTION("""COMPUTED_VALUE"""),"WAS")</f>
        <v>WAS</v>
      </c>
      <c r="G6598">
        <f>IFERROR(__xludf.DUMMYFUNCTION("""COMPUTED_VALUE"""),20.75)</f>
        <v>20.75</v>
      </c>
    </row>
    <row r="6599">
      <c r="D6599" t="str">
        <f>IFERROR(__xludf.DUMMYFUNCTION("""COMPUTED_VALUE"""),"Smith")</f>
        <v>Smith</v>
      </c>
      <c r="E6599" t="str">
        <f>IFERROR(__xludf.DUMMYFUNCTION("""COMPUTED_VALUE"""),"Andre")</f>
        <v>Andre</v>
      </c>
      <c r="F6599" t="str">
        <f>IFERROR(__xludf.DUMMYFUNCTION("""COMPUTED_VALUE"""),"ARZ")</f>
        <v>ARZ</v>
      </c>
      <c r="G6599">
        <f>IFERROR(__xludf.DUMMYFUNCTION("""COMPUTED_VALUE"""),19.0)</f>
        <v>19</v>
      </c>
    </row>
    <row r="6600">
      <c r="D6600" t="str">
        <f>IFERROR(__xludf.DUMMYFUNCTION("""COMPUTED_VALUE"""),"Smith")</f>
        <v>Smith</v>
      </c>
      <c r="E6600" t="str">
        <f>IFERROR(__xludf.DUMMYFUNCTION("""COMPUTED_VALUE"""),"Andre")</f>
        <v>Andre</v>
      </c>
      <c r="F6600" t="str">
        <f>IFERROR(__xludf.DUMMYFUNCTION("""COMPUTED_VALUE"""),"CAR")</f>
        <v>CAR</v>
      </c>
      <c r="G6600">
        <f>IFERROR(__xludf.DUMMYFUNCTION("""COMPUTED_VALUE"""),16.5)</f>
        <v>16.5</v>
      </c>
    </row>
    <row r="6601">
      <c r="D6601" t="str">
        <f>IFERROR(__xludf.DUMMYFUNCTION("""COMPUTED_VALUE"""),"Smith")</f>
        <v>Smith</v>
      </c>
      <c r="E6601" t="str">
        <f>IFERROR(__xludf.DUMMYFUNCTION("""COMPUTED_VALUE"""),"Braden")</f>
        <v>Braden</v>
      </c>
      <c r="F6601" t="str">
        <f>IFERROR(__xludf.DUMMYFUNCTION("""COMPUTED_VALUE"""),"IND")</f>
        <v>IND</v>
      </c>
      <c r="G6601">
        <f>IFERROR(__xludf.DUMMYFUNCTION("""COMPUTED_VALUE"""),18.75)</f>
        <v>18.75</v>
      </c>
    </row>
    <row r="6602">
      <c r="D6602" t="str">
        <f>IFERROR(__xludf.DUMMYFUNCTION("""COMPUTED_VALUE"""),"Smith")</f>
        <v>Smith</v>
      </c>
      <c r="E6602" t="str">
        <f>IFERROR(__xludf.DUMMYFUNCTION("""COMPUTED_VALUE"""),"Bruce")</f>
        <v>Bruce</v>
      </c>
      <c r="F6602" t="str">
        <f>IFERROR(__xludf.DUMMYFUNCTION("""COMPUTED_VALUE"""),"BUF")</f>
        <v>BUF</v>
      </c>
      <c r="G6602">
        <f>IFERROR(__xludf.DUMMYFUNCTION("""COMPUTED_VALUE"""),20.75)</f>
        <v>20.75</v>
      </c>
    </row>
    <row r="6603">
      <c r="D6603" t="str">
        <f>IFERROR(__xludf.DUMMYFUNCTION("""COMPUTED_VALUE"""),"Smith")</f>
        <v>Smith</v>
      </c>
      <c r="E6603" t="str">
        <f>IFERROR(__xludf.DUMMYFUNCTION("""COMPUTED_VALUE"""),"Bruce")</f>
        <v>Bruce</v>
      </c>
      <c r="F6603" t="str">
        <f>IFERROR(__xludf.DUMMYFUNCTION("""COMPUTED_VALUE"""),"WAS")</f>
        <v>WAS</v>
      </c>
      <c r="G6603">
        <f>IFERROR(__xludf.DUMMYFUNCTION("""COMPUTED_VALUE"""),21.0)</f>
        <v>21</v>
      </c>
    </row>
    <row r="6604">
      <c r="D6604" t="str">
        <f>IFERROR(__xludf.DUMMYFUNCTION("""COMPUTED_VALUE"""),"Smith")</f>
        <v>Smith</v>
      </c>
      <c r="E6604" t="str">
        <f>IFERROR(__xludf.DUMMYFUNCTION("""COMPUTED_VALUE"""),"Bruce")</f>
        <v>Bruce</v>
      </c>
      <c r="F6604" t="str">
        <f>IFERROR(__xludf.DUMMYFUNCTION("""COMPUTED_VALUE"""),"WAS")</f>
        <v>WAS</v>
      </c>
      <c r="G6604">
        <f>IFERROR(__xludf.DUMMYFUNCTION("""COMPUTED_VALUE"""),20.5)</f>
        <v>20.5</v>
      </c>
    </row>
    <row r="6605">
      <c r="D6605" t="str">
        <f>IFERROR(__xludf.DUMMYFUNCTION("""COMPUTED_VALUE"""),"Smith")</f>
        <v>Smith</v>
      </c>
      <c r="E6605" t="str">
        <f>IFERROR(__xludf.DUMMYFUNCTION("""COMPUTED_VALUE"""),"Bruce")</f>
        <v>Bruce</v>
      </c>
      <c r="F6605" t="str">
        <f>IFERROR(__xludf.DUMMYFUNCTION("""COMPUTED_VALUE"""),"BUF")</f>
        <v>BUF</v>
      </c>
      <c r="G6605">
        <f>IFERROR(__xludf.DUMMYFUNCTION("""COMPUTED_VALUE"""),22.5)</f>
        <v>22.5</v>
      </c>
    </row>
    <row r="6606">
      <c r="D6606" t="str">
        <f>IFERROR(__xludf.DUMMYFUNCTION("""COMPUTED_VALUE"""),"Smith")</f>
        <v>Smith</v>
      </c>
      <c r="E6606" t="str">
        <f>IFERROR(__xludf.DUMMYFUNCTION("""COMPUTED_VALUE"""),"Bruce")</f>
        <v>Bruce</v>
      </c>
      <c r="F6606" t="str">
        <f>IFERROR(__xludf.DUMMYFUNCTION("""COMPUTED_VALUE"""),"BUF")</f>
        <v>BUF</v>
      </c>
      <c r="G6606">
        <f>IFERROR(__xludf.DUMMYFUNCTION("""COMPUTED_VALUE"""),21.5)</f>
        <v>21.5</v>
      </c>
    </row>
    <row r="6607">
      <c r="D6607" t="str">
        <f>IFERROR(__xludf.DUMMYFUNCTION("""COMPUTED_VALUE"""),"Smith")</f>
        <v>Smith</v>
      </c>
      <c r="E6607" t="str">
        <f>IFERROR(__xludf.DUMMYFUNCTION("""COMPUTED_VALUE"""),"Bruce")</f>
        <v>Bruce</v>
      </c>
      <c r="F6607" t="str">
        <f>IFERROR(__xludf.DUMMYFUNCTION("""COMPUTED_VALUE"""),"BUF")</f>
        <v>BUF</v>
      </c>
      <c r="G6607">
        <f>IFERROR(__xludf.DUMMYFUNCTION("""COMPUTED_VALUE"""),22.0)</f>
        <v>22</v>
      </c>
    </row>
    <row r="6608">
      <c r="D6608" t="str">
        <f>IFERROR(__xludf.DUMMYFUNCTION("""COMPUTED_VALUE"""),"Smith")</f>
        <v>Smith</v>
      </c>
      <c r="E6608" t="str">
        <f>IFERROR(__xludf.DUMMYFUNCTION("""COMPUTED_VALUE"""),"Chris")</f>
        <v>Chris</v>
      </c>
      <c r="F6608" t="str">
        <f>IFERROR(__xludf.DUMMYFUNCTION("""COMPUTED_VALUE"""),"CLE")</f>
        <v>CLE</v>
      </c>
      <c r="G6608">
        <f>IFERROR(__xludf.DUMMYFUNCTION("""COMPUTED_VALUE"""),17.5)</f>
        <v>17.5</v>
      </c>
    </row>
    <row r="6609">
      <c r="D6609" t="str">
        <f>IFERROR(__xludf.DUMMYFUNCTION("""COMPUTED_VALUE"""),"Smith")</f>
        <v>Smith</v>
      </c>
      <c r="E6609" t="str">
        <f>IFERROR(__xludf.DUMMYFUNCTION("""COMPUTED_VALUE"""),"Derron")</f>
        <v>Derron</v>
      </c>
      <c r="F6609" t="str">
        <f>IFERROR(__xludf.DUMMYFUNCTION("""COMPUTED_VALUE"""),"CLE")</f>
        <v>CLE</v>
      </c>
      <c r="G6609">
        <f>IFERROR(__xludf.DUMMYFUNCTION("""COMPUTED_VALUE"""),17.5)</f>
        <v>17.5</v>
      </c>
    </row>
    <row r="6610">
      <c r="D6610" t="str">
        <f>IFERROR(__xludf.DUMMYFUNCTION("""COMPUTED_VALUE"""),"Smith")</f>
        <v>Smith</v>
      </c>
      <c r="E6610" t="str">
        <f>IFERROR(__xludf.DUMMYFUNCTION("""COMPUTED_VALUE"""),"DeVeon")</f>
        <v>DeVeon</v>
      </c>
      <c r="F6610" t="str">
        <f>IFERROR(__xludf.DUMMYFUNCTION("""COMPUTED_VALUE"""),"FA")</f>
        <v>FA</v>
      </c>
      <c r="G6610">
        <f>IFERROR(__xludf.DUMMYFUNCTION("""COMPUTED_VALUE"""),16.25)</f>
        <v>16.25</v>
      </c>
    </row>
    <row r="6611">
      <c r="D6611" t="str">
        <f>IFERROR(__xludf.DUMMYFUNCTION("""COMPUTED_VALUE"""),"Smith")</f>
        <v>Smith</v>
      </c>
      <c r="E6611" t="str">
        <f>IFERROR(__xludf.DUMMYFUNCTION("""COMPUTED_VALUE"""),"Devin")</f>
        <v>Devin</v>
      </c>
      <c r="F6611" t="str">
        <f>IFERROR(__xludf.DUMMYFUNCTION("""COMPUTED_VALUE"""),"NYJ")</f>
        <v>NYJ</v>
      </c>
      <c r="G6611">
        <f>IFERROR(__xludf.DUMMYFUNCTION("""COMPUTED_VALUE"""),17.5)</f>
        <v>17.5</v>
      </c>
    </row>
    <row r="6612">
      <c r="D6612" t="str">
        <f>IFERROR(__xludf.DUMMYFUNCTION("""COMPUTED_VALUE"""),"Smith")</f>
        <v>Smith</v>
      </c>
      <c r="E6612" t="str">
        <f>IFERROR(__xludf.DUMMYFUNCTION("""COMPUTED_VALUE"""),"Donovan")</f>
        <v>Donovan</v>
      </c>
      <c r="F6612" t="str">
        <f>IFERROR(__xludf.DUMMYFUNCTION("""COMPUTED_VALUE"""),"TB")</f>
        <v>TB</v>
      </c>
      <c r="G6612">
        <f>IFERROR(__xludf.DUMMYFUNCTION("""COMPUTED_VALUE"""),19.0)</f>
        <v>19</v>
      </c>
    </row>
    <row r="6613">
      <c r="D6613" t="str">
        <f>IFERROR(__xludf.DUMMYFUNCTION("""COMPUTED_VALUE"""),"Smith")</f>
        <v>Smith</v>
      </c>
      <c r="E6613" t="str">
        <f>IFERROR(__xludf.DUMMYFUNCTION("""COMPUTED_VALUE"""),"Eric")</f>
        <v>Eric</v>
      </c>
      <c r="F6613" t="str">
        <f>IFERROR(__xludf.DUMMYFUNCTION("""COMPUTED_VALUE"""),"MIA")</f>
        <v>MIA</v>
      </c>
      <c r="G6613">
        <f>IFERROR(__xludf.DUMMYFUNCTION("""COMPUTED_VALUE"""),16.25)</f>
        <v>16.25</v>
      </c>
    </row>
    <row r="6614">
      <c r="D6614" t="str">
        <f>IFERROR(__xludf.DUMMYFUNCTION("""COMPUTED_VALUE"""),"Smith")</f>
        <v>Smith</v>
      </c>
      <c r="E6614" t="str">
        <f>IFERROR(__xludf.DUMMYFUNCTION("""COMPUTED_VALUE"""),"Evan")</f>
        <v>Evan</v>
      </c>
      <c r="F6614" t="str">
        <f>IFERROR(__xludf.DUMMYFUNCTION("""COMPUTED_VALUE"""),"TB")</f>
        <v>TB</v>
      </c>
      <c r="G6614">
        <f>IFERROR(__xludf.DUMMYFUNCTION("""COMPUTED_VALUE"""),19.25)</f>
        <v>19.25</v>
      </c>
    </row>
    <row r="6615">
      <c r="D6615" t="str">
        <f>IFERROR(__xludf.DUMMYFUNCTION("""COMPUTED_VALUE"""),"Smith")</f>
        <v>Smith</v>
      </c>
      <c r="E6615" t="str">
        <f>IFERROR(__xludf.DUMMYFUNCTION("""COMPUTED_VALUE"""),"Garrison")</f>
        <v>Garrison</v>
      </c>
      <c r="F6615" t="str">
        <f>IFERROR(__xludf.DUMMYFUNCTION("""COMPUTED_VALUE"""),"ATL")</f>
        <v>ATL</v>
      </c>
      <c r="G6615">
        <f>IFERROR(__xludf.DUMMYFUNCTION("""COMPUTED_VALUE"""),15.75)</f>
        <v>15.75</v>
      </c>
    </row>
    <row r="6616">
      <c r="D6616" t="str">
        <f>IFERROR(__xludf.DUMMYFUNCTION("""COMPUTED_VALUE"""),"Smith")</f>
        <v>Smith</v>
      </c>
      <c r="E6616" t="str">
        <f>IFERROR(__xludf.DUMMYFUNCTION("""COMPUTED_VALUE"""),"Geno")</f>
        <v>Geno</v>
      </c>
      <c r="F6616" t="str">
        <f>IFERROR(__xludf.DUMMYFUNCTION("""COMPUTED_VALUE"""),"LAC")</f>
        <v>LAC</v>
      </c>
      <c r="G6616">
        <f>IFERROR(__xludf.DUMMYFUNCTION("""COMPUTED_VALUE"""),18.5)</f>
        <v>18.5</v>
      </c>
    </row>
    <row r="6617">
      <c r="D6617" t="str">
        <f>IFERROR(__xludf.DUMMYFUNCTION("""COMPUTED_VALUE"""),"Smith")</f>
        <v>Smith</v>
      </c>
      <c r="E6617" t="str">
        <f>IFERROR(__xludf.DUMMYFUNCTION("""COMPUTED_VALUE"""),"Harrison")</f>
        <v>Harrison</v>
      </c>
      <c r="F6617" t="str">
        <f>IFERROR(__xludf.DUMMYFUNCTION("""COMPUTED_VALUE"""),"MIN")</f>
        <v>MIN</v>
      </c>
      <c r="G6617">
        <f>IFERROR(__xludf.DUMMYFUNCTION("""COMPUTED_VALUE"""),22.0)</f>
        <v>22</v>
      </c>
    </row>
    <row r="6618">
      <c r="D6618" t="str">
        <f>IFERROR(__xludf.DUMMYFUNCTION("""COMPUTED_VALUE"""),"Smith")</f>
        <v>Smith</v>
      </c>
      <c r="E6618" t="str">
        <f>IFERROR(__xludf.DUMMYFUNCTION("""COMPUTED_VALUE"""),"Ito")</f>
        <v>Ito</v>
      </c>
      <c r="F6618" t="str">
        <f>IFERROR(__xludf.DUMMYFUNCTION("""COMPUTED_VALUE"""),"ATL")</f>
        <v>ATL</v>
      </c>
      <c r="G6618">
        <f>IFERROR(__xludf.DUMMYFUNCTION("""COMPUTED_VALUE"""),17.5)</f>
        <v>17.5</v>
      </c>
    </row>
    <row r="6619">
      <c r="D6619" t="str">
        <f>IFERROR(__xludf.DUMMYFUNCTION("""COMPUTED_VALUE"""),"Smith")</f>
        <v>Smith</v>
      </c>
      <c r="E6619" t="str">
        <f>IFERROR(__xludf.DUMMYFUNCTION("""COMPUTED_VALUE"""),"Jaylon")</f>
        <v>Jaylon</v>
      </c>
      <c r="F6619" t="str">
        <f>IFERROR(__xludf.DUMMYFUNCTION("""COMPUTED_VALUE"""),"DAL")</f>
        <v>DAL</v>
      </c>
      <c r="G6619">
        <f>IFERROR(__xludf.DUMMYFUNCTION("""COMPUTED_VALUE"""),19.5)</f>
        <v>19.5</v>
      </c>
    </row>
    <row r="6620">
      <c r="D6620" t="str">
        <f>IFERROR(__xludf.DUMMYFUNCTION("""COMPUTED_VALUE"""),"Smith")</f>
        <v>Smith</v>
      </c>
      <c r="E6620" t="str">
        <f>IFERROR(__xludf.DUMMYFUNCTION("""COMPUTED_VALUE"""),"Jimmy")</f>
        <v>Jimmy</v>
      </c>
      <c r="F6620" t="str">
        <f>IFERROR(__xludf.DUMMYFUNCTION("""COMPUTED_VALUE"""),"BAL")</f>
        <v>BAL</v>
      </c>
      <c r="G6620">
        <f>IFERROR(__xludf.DUMMYFUNCTION("""COMPUTED_VALUE"""),21.25)</f>
        <v>21.25</v>
      </c>
    </row>
    <row r="6621">
      <c r="D6621" t="str">
        <f>IFERROR(__xludf.DUMMYFUNCTION("""COMPUTED_VALUE"""),"Smith")</f>
        <v>Smith</v>
      </c>
      <c r="E6621" t="str">
        <f>IFERROR(__xludf.DUMMYFUNCTION("""COMPUTED_VALUE"""),"Jonnu")</f>
        <v>Jonnu</v>
      </c>
      <c r="F6621" t="str">
        <f>IFERROR(__xludf.DUMMYFUNCTION("""COMPUTED_VALUE"""),"TEN")</f>
        <v>TEN</v>
      </c>
      <c r="G6621">
        <f>IFERROR(__xludf.DUMMYFUNCTION("""COMPUTED_VALUE"""),18.25)</f>
        <v>18.25</v>
      </c>
    </row>
    <row r="6622">
      <c r="D6622" t="str">
        <f>IFERROR(__xludf.DUMMYFUNCTION("""COMPUTED_VALUE"""),"Smith")</f>
        <v>Smith</v>
      </c>
      <c r="E6622" t="str">
        <f>IFERROR(__xludf.DUMMYFUNCTION("""COMPUTED_VALUE"""),"Keith")</f>
        <v>Keith</v>
      </c>
      <c r="F6622" t="str">
        <f>IFERROR(__xludf.DUMMYFUNCTION("""COMPUTED_VALUE"""),"OAK")</f>
        <v>OAK</v>
      </c>
      <c r="G6622">
        <f>IFERROR(__xludf.DUMMYFUNCTION("""COMPUTED_VALUE"""),16.5)</f>
        <v>16.5</v>
      </c>
    </row>
    <row r="6623">
      <c r="D6623" t="str">
        <f>IFERROR(__xludf.DUMMYFUNCTION("""COMPUTED_VALUE"""),"Smith")</f>
        <v>Smith</v>
      </c>
      <c r="E6623" t="str">
        <f>IFERROR(__xludf.DUMMYFUNCTION("""COMPUTED_VALUE"""),"Lee")</f>
        <v>Lee</v>
      </c>
      <c r="F6623" t="str">
        <f>IFERROR(__xludf.DUMMYFUNCTION("""COMPUTED_VALUE"""),"OAK")</f>
        <v>OAK</v>
      </c>
      <c r="G6623">
        <f>IFERROR(__xludf.DUMMYFUNCTION("""COMPUTED_VALUE"""),16.75)</f>
        <v>16.75</v>
      </c>
    </row>
    <row r="6624">
      <c r="D6624" t="str">
        <f>IFERROR(__xludf.DUMMYFUNCTION("""COMPUTED_VALUE"""),"Smith")</f>
        <v>Smith</v>
      </c>
      <c r="E6624" t="str">
        <f>IFERROR(__xludf.DUMMYFUNCTION("""COMPUTED_VALUE"""),"Malcolm")</f>
        <v>Malcolm</v>
      </c>
      <c r="F6624" t="str">
        <f>IFERROR(__xludf.DUMMYFUNCTION("""COMPUTED_VALUE"""),"SF")</f>
        <v>SF</v>
      </c>
      <c r="G6624">
        <f>IFERROR(__xludf.DUMMYFUNCTION("""COMPUTED_VALUE"""),18.25)</f>
        <v>18.25</v>
      </c>
    </row>
    <row r="6625">
      <c r="D6625" t="str">
        <f>IFERROR(__xludf.DUMMYFUNCTION("""COMPUTED_VALUE"""),"Smith")</f>
        <v>Smith</v>
      </c>
      <c r="E6625" t="str">
        <f>IFERROR(__xludf.DUMMYFUNCTION("""COMPUTED_VALUE"""),"Maurice")</f>
        <v>Maurice</v>
      </c>
      <c r="F6625" t="str">
        <f>IFERROR(__xludf.DUMMYFUNCTION("""COMPUTED_VALUE"""),"MIA")</f>
        <v>MIA</v>
      </c>
      <c r="G6625">
        <f>IFERROR(__xludf.DUMMYFUNCTION("""COMPUTED_VALUE"""),17.0)</f>
        <v>17</v>
      </c>
    </row>
    <row r="6626">
      <c r="D6626" t="str">
        <f>IFERROR(__xludf.DUMMYFUNCTION("""COMPUTED_VALUE"""),"Smith")</f>
        <v>Smith</v>
      </c>
      <c r="E6626" t="str">
        <f>IFERROR(__xludf.DUMMYFUNCTION("""COMPUTED_VALUE"""),"Preston")</f>
        <v>Preston</v>
      </c>
      <c r="F6626" t="str">
        <f>IFERROR(__xludf.DUMMYFUNCTION("""COMPUTED_VALUE"""),"WAS")</f>
        <v>WAS</v>
      </c>
      <c r="G6626">
        <f>IFERROR(__xludf.DUMMYFUNCTION("""COMPUTED_VALUE"""),19.25)</f>
        <v>19.25</v>
      </c>
    </row>
    <row r="6627">
      <c r="D6627" t="str">
        <f>IFERROR(__xludf.DUMMYFUNCTION("""COMPUTED_VALUE"""),"Smith")</f>
        <v>Smith</v>
      </c>
      <c r="E6627" t="str">
        <f>IFERROR(__xludf.DUMMYFUNCTION("""COMPUTED_VALUE"""),"Rod")</f>
        <v>Rod</v>
      </c>
      <c r="F6627" t="str">
        <f>IFERROR(__xludf.DUMMYFUNCTION("""COMPUTED_VALUE"""),"DAL")</f>
        <v>DAL</v>
      </c>
      <c r="G6627">
        <f>IFERROR(__xludf.DUMMYFUNCTION("""COMPUTED_VALUE"""),17.75)</f>
        <v>17.75</v>
      </c>
    </row>
    <row r="6628">
      <c r="D6628" t="str">
        <f>IFERROR(__xludf.DUMMYFUNCTION("""COMPUTED_VALUE"""),"Smith")</f>
        <v>Smith</v>
      </c>
      <c r="E6628" t="str">
        <f>IFERROR(__xludf.DUMMYFUNCTION("""COMPUTED_VALUE"""),"Roquan")</f>
        <v>Roquan</v>
      </c>
      <c r="F6628" t="str">
        <f>IFERROR(__xludf.DUMMYFUNCTION("""COMPUTED_VALUE"""),"CHI")</f>
        <v>CHI</v>
      </c>
      <c r="G6628">
        <f>IFERROR(__xludf.DUMMYFUNCTION("""COMPUTED_VALUE"""),19.75)</f>
        <v>19.75</v>
      </c>
    </row>
    <row r="6629">
      <c r="D6629" t="str">
        <f>IFERROR(__xludf.DUMMYFUNCTION("""COMPUTED_VALUE"""),"Smith")</f>
        <v>Smith</v>
      </c>
      <c r="E6629" t="str">
        <f>IFERROR(__xludf.DUMMYFUNCTION("""COMPUTED_VALUE"""),"Ryan")</f>
        <v>Ryan</v>
      </c>
      <c r="F6629" t="str">
        <f>IFERROR(__xludf.DUMMYFUNCTION("""COMPUTED_VALUE"""),"TB")</f>
        <v>TB</v>
      </c>
      <c r="G6629">
        <f>IFERROR(__xludf.DUMMYFUNCTION("""COMPUTED_VALUE"""),17.25)</f>
        <v>17.25</v>
      </c>
    </row>
    <row r="6630">
      <c r="D6630" t="str">
        <f>IFERROR(__xludf.DUMMYFUNCTION("""COMPUTED_VALUE"""),"Smith")</f>
        <v>Smith</v>
      </c>
      <c r="E6630" t="str">
        <f>IFERROR(__xludf.DUMMYFUNCTION("""COMPUTED_VALUE"""),"Shane")</f>
        <v>Shane</v>
      </c>
      <c r="F6630" t="str">
        <f>IFERROR(__xludf.DUMMYFUNCTION("""COMPUTED_VALUE"""),"NYG")</f>
        <v>NYG</v>
      </c>
      <c r="G6630">
        <f>IFERROR(__xludf.DUMMYFUNCTION("""COMPUTED_VALUE"""),16.25)</f>
        <v>16.25</v>
      </c>
    </row>
    <row r="6631">
      <c r="D6631" t="str">
        <f>IFERROR(__xludf.DUMMYFUNCTION("""COMPUTED_VALUE"""),"Smith")</f>
        <v>Smith</v>
      </c>
      <c r="E6631" t="str">
        <f>IFERROR(__xludf.DUMMYFUNCTION("""COMPUTED_VALUE"""),"Telvin")</f>
        <v>Telvin</v>
      </c>
      <c r="F6631" t="str">
        <f>IFERROR(__xludf.DUMMYFUNCTION("""COMPUTED_VALUE"""),"JAX")</f>
        <v>JAX</v>
      </c>
      <c r="G6631">
        <f>IFERROR(__xludf.DUMMYFUNCTION("""COMPUTED_VALUE"""),21.25)</f>
        <v>21.25</v>
      </c>
    </row>
    <row r="6632">
      <c r="D6632" t="str">
        <f>IFERROR(__xludf.DUMMYFUNCTION("""COMPUTED_VALUE"""),"Smith")</f>
        <v>Smith</v>
      </c>
      <c r="E6632" t="str">
        <f>IFERROR(__xludf.DUMMYFUNCTION("""COMPUTED_VALUE"""),"Terrance")</f>
        <v>Terrance</v>
      </c>
      <c r="F6632" t="str">
        <f>IFERROR(__xludf.DUMMYFUNCTION("""COMPUTED_VALUE"""),"KC")</f>
        <v>KC</v>
      </c>
      <c r="G6632">
        <f>IFERROR(__xludf.DUMMYFUNCTION("""COMPUTED_VALUE"""),17.75)</f>
        <v>17.75</v>
      </c>
    </row>
    <row r="6633">
      <c r="D6633" t="str">
        <f>IFERROR(__xludf.DUMMYFUNCTION("""COMPUTED_VALUE"""),"Smith")</f>
        <v>Smith</v>
      </c>
      <c r="E6633" t="str">
        <f>IFERROR(__xludf.DUMMYFUNCTION("""COMPUTED_VALUE"""),"Torrey")</f>
        <v>Torrey</v>
      </c>
      <c r="F6633" t="str">
        <f>IFERROR(__xludf.DUMMYFUNCTION("""COMPUTED_VALUE"""),"CAR")</f>
        <v>CAR</v>
      </c>
      <c r="G6633">
        <f>IFERROR(__xludf.DUMMYFUNCTION("""COMPUTED_VALUE"""),19.0)</f>
        <v>19</v>
      </c>
    </row>
    <row r="6634">
      <c r="D6634" t="str">
        <f>IFERROR(__xludf.DUMMYFUNCTION("""COMPUTED_VALUE"""),"Smith")</f>
        <v>Smith</v>
      </c>
      <c r="E6634" t="str">
        <f>IFERROR(__xludf.DUMMYFUNCTION("""COMPUTED_VALUE"""),"Tremon")</f>
        <v>Tremon</v>
      </c>
      <c r="F6634" t="str">
        <f>IFERROR(__xludf.DUMMYFUNCTION("""COMPUTED_VALUE"""),"KC")</f>
        <v>KC</v>
      </c>
      <c r="G6634">
        <f>IFERROR(__xludf.DUMMYFUNCTION("""COMPUTED_VALUE"""),18.0)</f>
        <v>18</v>
      </c>
    </row>
    <row r="6635">
      <c r="D6635" t="str">
        <f>IFERROR(__xludf.DUMMYFUNCTION("""COMPUTED_VALUE"""),"Smith")</f>
        <v>Smith</v>
      </c>
      <c r="E6635" t="str">
        <f>IFERROR(__xludf.DUMMYFUNCTION("""COMPUTED_VALUE"""),"Trequan")</f>
        <v>Trequan</v>
      </c>
      <c r="F6635" t="str">
        <f>IFERROR(__xludf.DUMMYFUNCTION("""COMPUTED_VALUE"""),"NO")</f>
        <v>NO</v>
      </c>
      <c r="G6635">
        <f>IFERROR(__xludf.DUMMYFUNCTION("""COMPUTED_VALUE"""),18.75)</f>
        <v>18.75</v>
      </c>
    </row>
    <row r="6636">
      <c r="D6636" t="str">
        <f>IFERROR(__xludf.DUMMYFUNCTION("""COMPUTED_VALUE"""),"Smith")</f>
        <v>Smith</v>
      </c>
      <c r="E6636" t="str">
        <f>IFERROR(__xludf.DUMMYFUNCTION("""COMPUTED_VALUE"""),"Tye")</f>
        <v>Tye</v>
      </c>
      <c r="F6636" t="str">
        <f>IFERROR(__xludf.DUMMYFUNCTION("""COMPUTED_VALUE"""),"TEN")</f>
        <v>TEN</v>
      </c>
      <c r="G6636">
        <f>IFERROR(__xludf.DUMMYFUNCTION("""COMPUTED_VALUE"""),16.5)</f>
        <v>16.5</v>
      </c>
    </row>
    <row r="6637">
      <c r="D6637" t="str">
        <f>IFERROR(__xludf.DUMMYFUNCTION("""COMPUTED_VALUE"""),"Smith")</f>
        <v>Smith</v>
      </c>
      <c r="E6637" t="str">
        <f>IFERROR(__xludf.DUMMYFUNCTION("""COMPUTED_VALUE"""),"Tyron")</f>
        <v>Tyron</v>
      </c>
      <c r="F6637" t="str">
        <f>IFERROR(__xludf.DUMMYFUNCTION("""COMPUTED_VALUE"""),"DAL")</f>
        <v>DAL</v>
      </c>
      <c r="G6637">
        <f>IFERROR(__xludf.DUMMYFUNCTION("""COMPUTED_VALUE"""),22.0)</f>
        <v>22</v>
      </c>
    </row>
    <row r="6638">
      <c r="D6638" t="str">
        <f>IFERROR(__xludf.DUMMYFUNCTION("""COMPUTED_VALUE"""),"Smith")</f>
        <v>Smith</v>
      </c>
      <c r="E6638" t="str">
        <f>IFERROR(__xludf.DUMMYFUNCTION("""COMPUTED_VALUE"""),"ZaDarius")</f>
        <v>ZaDarius</v>
      </c>
      <c r="F6638" t="str">
        <f>IFERROR(__xludf.DUMMYFUNCTION("""COMPUTED_VALUE"""),"BAL")</f>
        <v>BAL</v>
      </c>
      <c r="G6638">
        <f>IFERROR(__xludf.DUMMYFUNCTION("""COMPUTED_VALUE"""),17.5)</f>
        <v>17.5</v>
      </c>
    </row>
    <row r="6639">
      <c r="D6639" t="str">
        <f>IFERROR(__xludf.DUMMYFUNCTION("""COMPUTED_VALUE"""),"Smith II")</f>
        <v>Smith II</v>
      </c>
      <c r="E6639" t="str">
        <f>IFERROR(__xludf.DUMMYFUNCTION("""COMPUTED_VALUE"""),"Marcus")</f>
        <v>Marcus</v>
      </c>
      <c r="F6639" t="str">
        <f>IFERROR(__xludf.DUMMYFUNCTION("""COMPUTED_VALUE"""),"SEA")</f>
        <v>SEA</v>
      </c>
      <c r="G6639">
        <f>IFERROR(__xludf.DUMMYFUNCTION("""COMPUTED_VALUE"""),17.5)</f>
        <v>17.5</v>
      </c>
    </row>
    <row r="6640">
      <c r="D6640" t="str">
        <f>IFERROR(__xludf.DUMMYFUNCTION("""COMPUTED_VALUE"""),"Smith III")</f>
        <v>Smith III</v>
      </c>
      <c r="E6640" t="str">
        <f>IFERROR(__xludf.DUMMYFUNCTION("""COMPUTED_VALUE"""),"CJ")</f>
        <v>CJ</v>
      </c>
      <c r="F6640" t="str">
        <f>IFERROR(__xludf.DUMMYFUNCTION("""COMPUTED_VALUE"""),"DEN")</f>
        <v>DEN</v>
      </c>
      <c r="G6640">
        <f>IFERROR(__xludf.DUMMYFUNCTION("""COMPUTED_VALUE"""),15.5)</f>
        <v>15.5</v>
      </c>
    </row>
    <row r="6641">
      <c r="D6641" t="str">
        <f>IFERROR(__xludf.DUMMYFUNCTION("""COMPUTED_VALUE"""),"Smith-Schuster")</f>
        <v>Smith-Schuster</v>
      </c>
      <c r="E6641" t="str">
        <f>IFERROR(__xludf.DUMMYFUNCTION("""COMPUTED_VALUE"""),"JuJu")</f>
        <v>JuJu</v>
      </c>
      <c r="F6641" t="str">
        <f>IFERROR(__xludf.DUMMYFUNCTION("""COMPUTED_VALUE"""),"PIT")</f>
        <v>PIT</v>
      </c>
      <c r="G6641">
        <f>IFERROR(__xludf.DUMMYFUNCTION("""COMPUTED_VALUE"""),20.0)</f>
        <v>20</v>
      </c>
    </row>
    <row r="6642">
      <c r="D6642" t="str">
        <f>IFERROR(__xludf.DUMMYFUNCTION("""COMPUTED_VALUE"""),"Smithson")</f>
        <v>Smithson</v>
      </c>
      <c r="E6642" t="str">
        <f>IFERROR(__xludf.DUMMYFUNCTION("""COMPUTED_VALUE"""),"Fish")</f>
        <v>Fish</v>
      </c>
      <c r="F6642" t="str">
        <f>IFERROR(__xludf.DUMMYFUNCTION("""COMPUTED_VALUE"""),"WAS")</f>
        <v>WAS</v>
      </c>
      <c r="G6642">
        <f>IFERROR(__xludf.DUMMYFUNCTION("""COMPUTED_VALUE"""),15.5)</f>
        <v>15.5</v>
      </c>
    </row>
    <row r="6643">
      <c r="D6643" t="str">
        <f>IFERROR(__xludf.DUMMYFUNCTION("""COMPUTED_VALUE"""),"Smoot")</f>
        <v>Smoot</v>
      </c>
      <c r="E6643" t="str">
        <f>IFERROR(__xludf.DUMMYFUNCTION("""COMPUTED_VALUE"""),"Dawuane")</f>
        <v>Dawuane</v>
      </c>
      <c r="F6643" t="str">
        <f>IFERROR(__xludf.DUMMYFUNCTION("""COMPUTED_VALUE"""),"JAX")</f>
        <v>JAX</v>
      </c>
      <c r="G6643">
        <f>IFERROR(__xludf.DUMMYFUNCTION("""COMPUTED_VALUE"""),18.0)</f>
        <v>18</v>
      </c>
    </row>
    <row r="6644">
      <c r="D6644" t="str">
        <f>IFERROR(__xludf.DUMMYFUNCTION("""COMPUTED_VALUE"""),"Smythe")</f>
        <v>Smythe</v>
      </c>
      <c r="E6644" t="str">
        <f>IFERROR(__xludf.DUMMYFUNCTION("""COMPUTED_VALUE"""),"Durham")</f>
        <v>Durham</v>
      </c>
      <c r="F6644" t="str">
        <f>IFERROR(__xludf.DUMMYFUNCTION("""COMPUTED_VALUE"""),"MIA")</f>
        <v>MIA</v>
      </c>
      <c r="G6644">
        <f>IFERROR(__xludf.DUMMYFUNCTION("""COMPUTED_VALUE"""),17.5)</f>
        <v>17.5</v>
      </c>
    </row>
    <row r="6645">
      <c r="D6645" t="str">
        <f>IFERROR(__xludf.DUMMYFUNCTION("""COMPUTED_VALUE"""),"Snead IV")</f>
        <v>Snead IV</v>
      </c>
      <c r="E6645" t="str">
        <f>IFERROR(__xludf.DUMMYFUNCTION("""COMPUTED_VALUE"""),"Willie")</f>
        <v>Willie</v>
      </c>
      <c r="F6645" t="str">
        <f>IFERROR(__xludf.DUMMYFUNCTION("""COMPUTED_VALUE"""),"BAL")</f>
        <v>BAL</v>
      </c>
      <c r="G6645">
        <f>IFERROR(__xludf.DUMMYFUNCTION("""COMPUTED_VALUE"""),18.75)</f>
        <v>18.75</v>
      </c>
    </row>
    <row r="6646">
      <c r="D6646" t="str">
        <f>IFERROR(__xludf.DUMMYFUNCTION("""COMPUTED_VALUE"""),"Sokoli")</f>
        <v>Sokoli</v>
      </c>
      <c r="E6646" t="str">
        <f>IFERROR(__xludf.DUMMYFUNCTION("""COMPUTED_VALUE"""),"Kristjan")</f>
        <v>Kristjan</v>
      </c>
      <c r="F6646" t="str">
        <f>IFERROR(__xludf.DUMMYFUNCTION("""COMPUTED_VALUE"""),"NYG")</f>
        <v>NYG</v>
      </c>
      <c r="G6646">
        <f>IFERROR(__xludf.DUMMYFUNCTION("""COMPUTED_VALUE"""),16.75)</f>
        <v>16.75</v>
      </c>
    </row>
    <row r="6647">
      <c r="D6647" t="str">
        <f>IFERROR(__xludf.DUMMYFUNCTION("""COMPUTED_VALUE"""),"Solder")</f>
        <v>Solder</v>
      </c>
      <c r="E6647" t="str">
        <f>IFERROR(__xludf.DUMMYFUNCTION("""COMPUTED_VALUE"""),"Nate")</f>
        <v>Nate</v>
      </c>
      <c r="F6647" t="str">
        <f>IFERROR(__xludf.DUMMYFUNCTION("""COMPUTED_VALUE"""),"NYG")</f>
        <v>NYG</v>
      </c>
      <c r="G6647">
        <f>IFERROR(__xludf.DUMMYFUNCTION("""COMPUTED_VALUE"""),20.5)</f>
        <v>20.5</v>
      </c>
    </row>
    <row r="6648">
      <c r="D6648" t="str">
        <f>IFERROR(__xludf.DUMMYFUNCTION("""COMPUTED_VALUE"""),"Sorensen")</f>
        <v>Sorensen</v>
      </c>
      <c r="E6648" t="str">
        <f>IFERROR(__xludf.DUMMYFUNCTION("""COMPUTED_VALUE"""),"Daniel")</f>
        <v>Daniel</v>
      </c>
      <c r="F6648" t="str">
        <f>IFERROR(__xludf.DUMMYFUNCTION("""COMPUTED_VALUE"""),"KC")</f>
        <v>KC</v>
      </c>
      <c r="G6648">
        <f>IFERROR(__xludf.DUMMYFUNCTION("""COMPUTED_VALUE"""),18.25)</f>
        <v>18.25</v>
      </c>
    </row>
    <row r="6649">
      <c r="D6649" t="str">
        <f>IFERROR(__xludf.DUMMYFUNCTION("""COMPUTED_VALUE"""),"Southward")</f>
        <v>Southward</v>
      </c>
      <c r="E6649" t="str">
        <f>IFERROR(__xludf.DUMMYFUNCTION("""COMPUTED_VALUE"""),"Dezmen")</f>
        <v>Dezmen</v>
      </c>
      <c r="F6649" t="str">
        <f>IFERROR(__xludf.DUMMYFUNCTION("""COMPUTED_VALUE"""),"CAR")</f>
        <v>CAR</v>
      </c>
      <c r="G6649">
        <f>IFERROR(__xludf.DUMMYFUNCTION("""COMPUTED_VALUE"""),17.75)</f>
        <v>17.75</v>
      </c>
    </row>
    <row r="6650">
      <c r="D6650" t="str">
        <f>IFERROR(__xludf.DUMMYFUNCTION("""COMPUTED_VALUE"""),"Sowell")</f>
        <v>Sowell</v>
      </c>
      <c r="E6650" t="str">
        <f>IFERROR(__xludf.DUMMYFUNCTION("""COMPUTED_VALUE"""),"Bradley")</f>
        <v>Bradley</v>
      </c>
      <c r="F6650" t="str">
        <f>IFERROR(__xludf.DUMMYFUNCTION("""COMPUTED_VALUE"""),"CHI")</f>
        <v>CHI</v>
      </c>
      <c r="G6650">
        <f>IFERROR(__xludf.DUMMYFUNCTION("""COMPUTED_VALUE"""),17.0)</f>
        <v>17</v>
      </c>
    </row>
    <row r="6651">
      <c r="D6651" t="str">
        <f>IFERROR(__xludf.DUMMYFUNCTION("""COMPUTED_VALUE"""),"Spaight")</f>
        <v>Spaight</v>
      </c>
      <c r="E6651" t="str">
        <f>IFERROR(__xludf.DUMMYFUNCTION("""COMPUTED_VALUE"""),"Martrell")</f>
        <v>Martrell</v>
      </c>
      <c r="F6651" t="str">
        <f>IFERROR(__xludf.DUMMYFUNCTION("""COMPUTED_VALUE"""),"WAS")</f>
        <v>WAS</v>
      </c>
      <c r="G6651">
        <f>IFERROR(__xludf.DUMMYFUNCTION("""COMPUTED_VALUE"""),18.0)</f>
        <v>18</v>
      </c>
    </row>
    <row r="6652">
      <c r="D6652" t="str">
        <f>IFERROR(__xludf.DUMMYFUNCTION("""COMPUTED_VALUE"""),"Spain")</f>
        <v>Spain</v>
      </c>
      <c r="E6652" t="str">
        <f>IFERROR(__xludf.DUMMYFUNCTION("""COMPUTED_VALUE"""),"Quinton")</f>
        <v>Quinton</v>
      </c>
      <c r="F6652" t="str">
        <f>IFERROR(__xludf.DUMMYFUNCTION("""COMPUTED_VALUE"""),"TEN")</f>
        <v>TEN</v>
      </c>
      <c r="G6652">
        <f>IFERROR(__xludf.DUMMYFUNCTION("""COMPUTED_VALUE"""),19.5)</f>
        <v>19.5</v>
      </c>
    </row>
    <row r="6653">
      <c r="D6653" t="str">
        <f>IFERROR(__xludf.DUMMYFUNCTION("""COMPUTED_VALUE"""),"Speaks")</f>
        <v>Speaks</v>
      </c>
      <c r="E6653" t="str">
        <f>IFERROR(__xludf.DUMMYFUNCTION("""COMPUTED_VALUE"""),"Breeland")</f>
        <v>Breeland</v>
      </c>
      <c r="F6653" t="str">
        <f>IFERROR(__xludf.DUMMYFUNCTION("""COMPUTED_VALUE"""),"KC")</f>
        <v>KC</v>
      </c>
      <c r="G6653">
        <f>IFERROR(__xludf.DUMMYFUNCTION("""COMPUTED_VALUE"""),18.5)</f>
        <v>18.5</v>
      </c>
    </row>
    <row r="6654">
      <c r="D6654" t="str">
        <f>IFERROR(__xludf.DUMMYFUNCTION("""COMPUTED_VALUE"""),"Spence")</f>
        <v>Spence</v>
      </c>
      <c r="E6654" t="str">
        <f>IFERROR(__xludf.DUMMYFUNCTION("""COMPUTED_VALUE"""),"Akeem")</f>
        <v>Akeem</v>
      </c>
      <c r="F6654" t="str">
        <f>IFERROR(__xludf.DUMMYFUNCTION("""COMPUTED_VALUE"""),"MIA")</f>
        <v>MIA</v>
      </c>
      <c r="G6654">
        <f>IFERROR(__xludf.DUMMYFUNCTION("""COMPUTED_VALUE"""),18.75)</f>
        <v>18.75</v>
      </c>
    </row>
    <row r="6655">
      <c r="D6655" t="str">
        <f>IFERROR(__xludf.DUMMYFUNCTION("""COMPUTED_VALUE"""),"Spence")</f>
        <v>Spence</v>
      </c>
      <c r="E6655" t="str">
        <f>IFERROR(__xludf.DUMMYFUNCTION("""COMPUTED_VALUE"""),"Noah")</f>
        <v>Noah</v>
      </c>
      <c r="F6655" t="str">
        <f>IFERROR(__xludf.DUMMYFUNCTION("""COMPUTED_VALUE"""),"TB")</f>
        <v>TB</v>
      </c>
      <c r="G6655">
        <f>IFERROR(__xludf.DUMMYFUNCTION("""COMPUTED_VALUE"""),18.5)</f>
        <v>18.5</v>
      </c>
    </row>
    <row r="6656">
      <c r="D6656" t="str">
        <f>IFERROR(__xludf.DUMMYFUNCTION("""COMPUTED_VALUE"""),"Spriggs")</f>
        <v>Spriggs</v>
      </c>
      <c r="E6656" t="str">
        <f>IFERROR(__xludf.DUMMYFUNCTION("""COMPUTED_VALUE"""),"Jason")</f>
        <v>Jason</v>
      </c>
      <c r="F6656" t="str">
        <f>IFERROR(__xludf.DUMMYFUNCTION("""COMPUTED_VALUE"""),"GB")</f>
        <v>GB</v>
      </c>
      <c r="G6656">
        <f>IFERROR(__xludf.DUMMYFUNCTION("""COMPUTED_VALUE"""),17.75)</f>
        <v>17.75</v>
      </c>
    </row>
    <row r="6657">
      <c r="D6657" t="str">
        <f>IFERROR(__xludf.DUMMYFUNCTION("""COMPUTED_VALUE"""),"Sprinkle")</f>
        <v>Sprinkle</v>
      </c>
      <c r="E6657" t="str">
        <f>IFERROR(__xludf.DUMMYFUNCTION("""COMPUTED_VALUE"""),"Jeremy")</f>
        <v>Jeremy</v>
      </c>
      <c r="F6657" t="str">
        <f>IFERROR(__xludf.DUMMYFUNCTION("""COMPUTED_VALUE"""),"WAS")</f>
        <v>WAS</v>
      </c>
      <c r="G6657">
        <f>IFERROR(__xludf.DUMMYFUNCTION("""COMPUTED_VALUE"""),17.25)</f>
        <v>17.25</v>
      </c>
    </row>
    <row r="6658">
      <c r="D6658" t="str">
        <f>IFERROR(__xludf.DUMMYFUNCTION("""COMPUTED_VALUE"""),"Sproles")</f>
        <v>Sproles</v>
      </c>
      <c r="E6658" t="str">
        <f>IFERROR(__xludf.DUMMYFUNCTION("""COMPUTED_VALUE"""),"Darren")</f>
        <v>Darren</v>
      </c>
      <c r="F6658" t="str">
        <f>IFERROR(__xludf.DUMMYFUNCTION("""COMPUTED_VALUE"""),"PHI")</f>
        <v>PHI</v>
      </c>
      <c r="G6658">
        <f>IFERROR(__xludf.DUMMYFUNCTION("""COMPUTED_VALUE"""),18.75)</f>
        <v>18.75</v>
      </c>
    </row>
    <row r="6659">
      <c r="D6659" t="str">
        <f>IFERROR(__xludf.DUMMYFUNCTION("""COMPUTED_VALUE"""),"Square")</f>
        <v>Square</v>
      </c>
      <c r="E6659" t="str">
        <f>IFERROR(__xludf.DUMMYFUNCTION("""COMPUTED_VALUE"""),"Damion")</f>
        <v>Damion</v>
      </c>
      <c r="F6659" t="str">
        <f>IFERROR(__xludf.DUMMYFUNCTION("""COMPUTED_VALUE"""),"LAC")</f>
        <v>LAC</v>
      </c>
      <c r="G6659">
        <f>IFERROR(__xludf.DUMMYFUNCTION("""COMPUTED_VALUE"""),16.25)</f>
        <v>16.25</v>
      </c>
    </row>
    <row r="6660">
      <c r="D6660" t="str">
        <f>IFERROR(__xludf.DUMMYFUNCTION("""COMPUTED_VALUE"""),"St. Brown")</f>
        <v>St. Brown</v>
      </c>
      <c r="E6660" t="str">
        <f>IFERROR(__xludf.DUMMYFUNCTION("""COMPUTED_VALUE"""),"Equanimeous")</f>
        <v>Equanimeous</v>
      </c>
      <c r="F6660" t="str">
        <f>IFERROR(__xludf.DUMMYFUNCTION("""COMPUTED_VALUE"""),"GB")</f>
        <v>GB</v>
      </c>
      <c r="G6660">
        <f>IFERROR(__xludf.DUMMYFUNCTION("""COMPUTED_VALUE"""),17.0)</f>
        <v>17</v>
      </c>
    </row>
    <row r="6661">
      <c r="D6661" t="str">
        <f>IFERROR(__xludf.DUMMYFUNCTION("""COMPUTED_VALUE"""),"Stafford")</f>
        <v>Stafford</v>
      </c>
      <c r="E6661" t="str">
        <f>IFERROR(__xludf.DUMMYFUNCTION("""COMPUTED_VALUE"""),"Matthew")</f>
        <v>Matthew</v>
      </c>
      <c r="F6661" t="str">
        <f>IFERROR(__xludf.DUMMYFUNCTION("""COMPUTED_VALUE"""),"DET")</f>
        <v>DET</v>
      </c>
      <c r="G6661">
        <f>IFERROR(__xludf.DUMMYFUNCTION("""COMPUTED_VALUE"""),20.75)</f>
        <v>20.75</v>
      </c>
    </row>
    <row r="6662">
      <c r="D6662" t="str">
        <f>IFERROR(__xludf.DUMMYFUNCTION("""COMPUTED_VALUE"""),"Stafford")</f>
        <v>Stafford</v>
      </c>
      <c r="E6662" t="str">
        <f>IFERROR(__xludf.DUMMYFUNCTION("""COMPUTED_VALUE"""),"Matthew")</f>
        <v>Matthew</v>
      </c>
      <c r="F6662" t="str">
        <f>IFERROR(__xludf.DUMMYFUNCTION("""COMPUTED_VALUE"""),"DET")</f>
        <v>DET</v>
      </c>
      <c r="G6662">
        <f>IFERROR(__xludf.DUMMYFUNCTION("""COMPUTED_VALUE"""),22.25)</f>
        <v>22.25</v>
      </c>
    </row>
    <row r="6663">
      <c r="D6663" t="str">
        <f>IFERROR(__xludf.DUMMYFUNCTION("""COMPUTED_VALUE"""),"Staley")</f>
        <v>Staley</v>
      </c>
      <c r="E6663" t="str">
        <f>IFERROR(__xludf.DUMMYFUNCTION("""COMPUTED_VALUE"""),"Joe")</f>
        <v>Joe</v>
      </c>
      <c r="F6663" t="str">
        <f>IFERROR(__xludf.DUMMYFUNCTION("""COMPUTED_VALUE"""),"SF")</f>
        <v>SF</v>
      </c>
      <c r="G6663">
        <f>IFERROR(__xludf.DUMMYFUNCTION("""COMPUTED_VALUE"""),21.0)</f>
        <v>21</v>
      </c>
    </row>
    <row r="6664">
      <c r="D6664" t="str">
        <f>IFERROR(__xludf.DUMMYFUNCTION("""COMPUTED_VALUE"""),"Stanford")</f>
        <v>Stanford</v>
      </c>
      <c r="E6664" t="str">
        <f>IFERROR(__xludf.DUMMYFUNCTION("""COMPUTED_VALUE"""),"Julian")</f>
        <v>Julian</v>
      </c>
      <c r="F6664" t="str">
        <f>IFERROR(__xludf.DUMMYFUNCTION("""COMPUTED_VALUE"""),"BUF")</f>
        <v>BUF</v>
      </c>
      <c r="G6664">
        <f>IFERROR(__xludf.DUMMYFUNCTION("""COMPUTED_VALUE"""),17.25)</f>
        <v>17.25</v>
      </c>
    </row>
    <row r="6665">
      <c r="D6665" t="str">
        <f>IFERROR(__xludf.DUMMYFUNCTION("""COMPUTED_VALUE"""),"Stanley")</f>
        <v>Stanley</v>
      </c>
      <c r="E6665" t="str">
        <f>IFERROR(__xludf.DUMMYFUNCTION("""COMPUTED_VALUE"""),"Ronnie")</f>
        <v>Ronnie</v>
      </c>
      <c r="F6665" t="str">
        <f>IFERROR(__xludf.DUMMYFUNCTION("""COMPUTED_VALUE"""),"BAL")</f>
        <v>BAL</v>
      </c>
      <c r="G6665">
        <f>IFERROR(__xludf.DUMMYFUNCTION("""COMPUTED_VALUE"""),19.75)</f>
        <v>19.75</v>
      </c>
    </row>
    <row r="6666">
      <c r="D6666" t="str">
        <f>IFERROR(__xludf.DUMMYFUNCTION("""COMPUTED_VALUE"""),"Stanton")</f>
        <v>Stanton</v>
      </c>
      <c r="E6666" t="str">
        <f>IFERROR(__xludf.DUMMYFUNCTION("""COMPUTED_VALUE"""),"Drew")</f>
        <v>Drew</v>
      </c>
      <c r="F6666" t="str">
        <f>IFERROR(__xludf.DUMMYFUNCTION("""COMPUTED_VALUE"""),"CLE")</f>
        <v>CLE</v>
      </c>
      <c r="G6666">
        <f>IFERROR(__xludf.DUMMYFUNCTION("""COMPUTED_VALUE"""),18.25)</f>
        <v>18.25</v>
      </c>
    </row>
    <row r="6667">
      <c r="D6667" t="str">
        <f>IFERROR(__xludf.DUMMYFUNCTION("""COMPUTED_VALUE"""),"Stephenson")</f>
        <v>Stephenson</v>
      </c>
      <c r="E6667" t="str">
        <f>IFERROR(__xludf.DUMMYFUNCTION("""COMPUTED_VALUE"""),"Donald")</f>
        <v>Donald</v>
      </c>
      <c r="F6667" t="str">
        <f>IFERROR(__xludf.DUMMYFUNCTION("""COMPUTED_VALUE"""),"CLE")</f>
        <v>CLE</v>
      </c>
      <c r="G6667">
        <f>IFERROR(__xludf.DUMMYFUNCTION("""COMPUTED_VALUE"""),18.75)</f>
        <v>18.75</v>
      </c>
    </row>
    <row r="6668">
      <c r="D6668" t="str">
        <f>IFERROR(__xludf.DUMMYFUNCTION("""COMPUTED_VALUE"""),"Sterling")</f>
        <v>Sterling</v>
      </c>
      <c r="E6668" t="str">
        <f>IFERROR(__xludf.DUMMYFUNCTION("""COMPUTED_VALUE"""),"Neal")</f>
        <v>Neal</v>
      </c>
      <c r="F6668" t="str">
        <f>IFERROR(__xludf.DUMMYFUNCTION("""COMPUTED_VALUE"""),"FA")</f>
        <v>FA</v>
      </c>
      <c r="G6668">
        <f>IFERROR(__xludf.DUMMYFUNCTION("""COMPUTED_VALUE"""),17.75)</f>
        <v>17.75</v>
      </c>
    </row>
    <row r="6669">
      <c r="D6669" t="str">
        <f>IFERROR(__xludf.DUMMYFUNCTION("""COMPUTED_VALUE"""),"Sterup")</f>
        <v>Sterup</v>
      </c>
      <c r="E6669" t="str">
        <f>IFERROR(__xludf.DUMMYFUNCTION("""COMPUTED_VALUE"""),"Zach")</f>
        <v>Zach</v>
      </c>
      <c r="F6669" t="str">
        <f>IFERROR(__xludf.DUMMYFUNCTION("""COMPUTED_VALUE"""),"MIA")</f>
        <v>MIA</v>
      </c>
      <c r="G6669">
        <f>IFERROR(__xludf.DUMMYFUNCTION("""COMPUTED_VALUE"""),17.25)</f>
        <v>17.25</v>
      </c>
    </row>
    <row r="6670">
      <c r="D6670" t="str">
        <f>IFERROR(__xludf.DUMMYFUNCTION("""COMPUTED_VALUE"""),"Stevenson")</f>
        <v>Stevenson</v>
      </c>
      <c r="E6670" t="str">
        <f>IFERROR(__xludf.DUMMYFUNCTION("""COMPUTED_VALUE"""),"Freddie")</f>
        <v>Freddie</v>
      </c>
      <c r="F6670" t="str">
        <f>IFERROR(__xludf.DUMMYFUNCTION("""COMPUTED_VALUE"""),"FA")</f>
        <v>FA</v>
      </c>
      <c r="G6670">
        <f>IFERROR(__xludf.DUMMYFUNCTION("""COMPUTED_VALUE"""),15.25)</f>
        <v>15.25</v>
      </c>
    </row>
    <row r="6671">
      <c r="D6671" t="str">
        <f>IFERROR(__xludf.DUMMYFUNCTION("""COMPUTED_VALUE"""),"Stewart")</f>
        <v>Stewart</v>
      </c>
      <c r="E6671" t="str">
        <f>IFERROR(__xludf.DUMMYFUNCTION("""COMPUTED_VALUE"""),"ArDarius")</f>
        <v>ArDarius</v>
      </c>
      <c r="F6671" t="str">
        <f>IFERROR(__xludf.DUMMYFUNCTION("""COMPUTED_VALUE"""),"NYJ")</f>
        <v>NYJ</v>
      </c>
      <c r="G6671">
        <f>IFERROR(__xludf.DUMMYFUNCTION("""COMPUTED_VALUE"""),18.25)</f>
        <v>18.25</v>
      </c>
    </row>
    <row r="6672">
      <c r="D6672" t="str">
        <f>IFERROR(__xludf.DUMMYFUNCTION("""COMPUTED_VALUE"""),"Stewart")</f>
        <v>Stewart</v>
      </c>
      <c r="E6672" t="str">
        <f>IFERROR(__xludf.DUMMYFUNCTION("""COMPUTED_VALUE"""),"Darian")</f>
        <v>Darian</v>
      </c>
      <c r="F6672" t="str">
        <f>IFERROR(__xludf.DUMMYFUNCTION("""COMPUTED_VALUE"""),"DEN")</f>
        <v>DEN</v>
      </c>
      <c r="G6672">
        <f>IFERROR(__xludf.DUMMYFUNCTION("""COMPUTED_VALUE"""),19.5)</f>
        <v>19.5</v>
      </c>
    </row>
    <row r="6673">
      <c r="D6673" t="str">
        <f>IFERROR(__xludf.DUMMYFUNCTION("""COMPUTED_VALUE"""),"Stewart")</f>
        <v>Stewart</v>
      </c>
      <c r="E6673" t="str">
        <f>IFERROR(__xludf.DUMMYFUNCTION("""COMPUTED_VALUE"""),"Grover")</f>
        <v>Grover</v>
      </c>
      <c r="F6673" t="str">
        <f>IFERROR(__xludf.DUMMYFUNCTION("""COMPUTED_VALUE"""),"IND")</f>
        <v>IND</v>
      </c>
      <c r="G6673">
        <f>IFERROR(__xludf.DUMMYFUNCTION("""COMPUTED_VALUE"""),17.0)</f>
        <v>17</v>
      </c>
    </row>
    <row r="6674">
      <c r="D6674" t="str">
        <f>IFERROR(__xludf.DUMMYFUNCTION("""COMPUTED_VALUE"""),"Stewart")</f>
        <v>Stewart</v>
      </c>
      <c r="E6674" t="str">
        <f>IFERROR(__xludf.DUMMYFUNCTION("""COMPUTED_VALUE"""),"Jonathan")</f>
        <v>Jonathan</v>
      </c>
      <c r="F6674" t="str">
        <f>IFERROR(__xludf.DUMMYFUNCTION("""COMPUTED_VALUE"""),"NYG")</f>
        <v>NYG</v>
      </c>
      <c r="G6674">
        <f>IFERROR(__xludf.DUMMYFUNCTION("""COMPUTED_VALUE"""),20.0)</f>
        <v>20</v>
      </c>
    </row>
    <row r="6675">
      <c r="D6675" t="str">
        <f>IFERROR(__xludf.DUMMYFUNCTION("""COMPUTED_VALUE"""),"Stewart")</f>
        <v>Stewart</v>
      </c>
      <c r="E6675" t="str">
        <f>IFERROR(__xludf.DUMMYFUNCTION("""COMPUTED_VALUE"""),"Orion")</f>
        <v>Orion</v>
      </c>
      <c r="F6675" t="str">
        <f>IFERROR(__xludf.DUMMYFUNCTION("""COMPUTED_VALUE"""),"NYG")</f>
        <v>NYG</v>
      </c>
      <c r="G6675">
        <f>IFERROR(__xludf.DUMMYFUNCTION("""COMPUTED_VALUE"""),16.25)</f>
        <v>16.25</v>
      </c>
    </row>
    <row r="6676">
      <c r="D6676" t="str">
        <f>IFERROR(__xludf.DUMMYFUNCTION("""COMPUTED_VALUE"""),"Stewart Jr")</f>
        <v>Stewart Jr</v>
      </c>
      <c r="E6676" t="str">
        <f>IFERROR(__xludf.DUMMYFUNCTION("""COMPUTED_VALUE"""),"JM")</f>
        <v>JM</v>
      </c>
      <c r="F6676" t="str">
        <f>IFERROR(__xludf.DUMMYFUNCTION("""COMPUTED_VALUE"""),"TB")</f>
        <v>TB</v>
      </c>
      <c r="G6676">
        <f>IFERROR(__xludf.DUMMYFUNCTION("""COMPUTED_VALUE"""),18.5)</f>
        <v>18.5</v>
      </c>
    </row>
    <row r="6677">
      <c r="D6677" t="str">
        <f>IFERROR(__xludf.DUMMYFUNCTION("""COMPUTED_VALUE"""),"Stills")</f>
        <v>Stills</v>
      </c>
      <c r="E6677" t="str">
        <f>IFERROR(__xludf.DUMMYFUNCTION("""COMPUTED_VALUE"""),"Kenny")</f>
        <v>Kenny</v>
      </c>
      <c r="F6677" t="str">
        <f>IFERROR(__xludf.DUMMYFUNCTION("""COMPUTED_VALUE"""),"MIA")</f>
        <v>MIA</v>
      </c>
      <c r="G6677">
        <f>IFERROR(__xludf.DUMMYFUNCTION("""COMPUTED_VALUE"""),19.75)</f>
        <v>19.75</v>
      </c>
    </row>
    <row r="6678">
      <c r="D6678" t="str">
        <f>IFERROR(__xludf.DUMMYFUNCTION("""COMPUTED_VALUE"""),"Stocker")</f>
        <v>Stocker</v>
      </c>
      <c r="E6678" t="str">
        <f>IFERROR(__xludf.DUMMYFUNCTION("""COMPUTED_VALUE"""),"Luke")</f>
        <v>Luke</v>
      </c>
      <c r="F6678" t="str">
        <f>IFERROR(__xludf.DUMMYFUNCTION("""COMPUTED_VALUE"""),"TEN")</f>
        <v>TEN</v>
      </c>
      <c r="G6678">
        <f>IFERROR(__xludf.DUMMYFUNCTION("""COMPUTED_VALUE"""),18.0)</f>
        <v>18</v>
      </c>
    </row>
    <row r="6679">
      <c r="D6679" t="str">
        <f>IFERROR(__xludf.DUMMYFUNCTION("""COMPUTED_VALUE"""),"Streater")</f>
        <v>Streater</v>
      </c>
      <c r="E6679" t="str">
        <f>IFERROR(__xludf.DUMMYFUNCTION("""COMPUTED_VALUE"""),"Rod")</f>
        <v>Rod</v>
      </c>
      <c r="F6679" t="str">
        <f>IFERROR(__xludf.DUMMYFUNCTION("""COMPUTED_VALUE"""),"BUF")</f>
        <v>BUF</v>
      </c>
      <c r="G6679">
        <f>IFERROR(__xludf.DUMMYFUNCTION("""COMPUTED_VALUE"""),17.75)</f>
        <v>17.75</v>
      </c>
    </row>
    <row r="6680">
      <c r="D6680" t="str">
        <f>IFERROR(__xludf.DUMMYFUNCTION("""COMPUTED_VALUE"""),"Street")</f>
        <v>Street</v>
      </c>
      <c r="E6680" t="str">
        <f>IFERROR(__xludf.DUMMYFUNCTION("""COMPUTED_VALUE"""),"Kentavius")</f>
        <v>Kentavius</v>
      </c>
      <c r="F6680" t="str">
        <f>IFERROR(__xludf.DUMMYFUNCTION("""COMPUTED_VALUE"""),"SF")</f>
        <v>SF</v>
      </c>
      <c r="G6680">
        <f>IFERROR(__xludf.DUMMYFUNCTION("""COMPUTED_VALUE"""),17.25)</f>
        <v>17.25</v>
      </c>
    </row>
    <row r="6681">
      <c r="D6681" t="str">
        <f>IFERROR(__xludf.DUMMYFUNCTION("""COMPUTED_VALUE"""),"Stribling")</f>
        <v>Stribling</v>
      </c>
      <c r="E6681" t="str">
        <f>IFERROR(__xludf.DUMMYFUNCTION("""COMPUTED_VALUE"""),"Channing")</f>
        <v>Channing</v>
      </c>
      <c r="F6681" t="str">
        <f>IFERROR(__xludf.DUMMYFUNCTION("""COMPUTED_VALUE"""),"FA")</f>
        <v>FA</v>
      </c>
      <c r="G6681">
        <f>IFERROR(__xludf.DUMMYFUNCTION("""COMPUTED_VALUE"""),15.75)</f>
        <v>15.75</v>
      </c>
    </row>
    <row r="6682">
      <c r="D6682" t="str">
        <f>IFERROR(__xludf.DUMMYFUNCTION("""COMPUTED_VALUE"""),"Stroman")</f>
        <v>Stroman</v>
      </c>
      <c r="E6682" t="str">
        <f>IFERROR(__xludf.DUMMYFUNCTION("""COMPUTED_VALUE"""),"Greg")</f>
        <v>Greg</v>
      </c>
      <c r="F6682" t="str">
        <f>IFERROR(__xludf.DUMMYFUNCTION("""COMPUTED_VALUE"""),"WAS")</f>
        <v>WAS</v>
      </c>
      <c r="G6682">
        <f>IFERROR(__xludf.DUMMYFUNCTION("""COMPUTED_VALUE"""),17.25)</f>
        <v>17.25</v>
      </c>
    </row>
    <row r="6683">
      <c r="D6683" t="str">
        <f>IFERROR(__xludf.DUMMYFUNCTION("""COMPUTED_VALUE"""),"Stupar")</f>
        <v>Stupar</v>
      </c>
      <c r="E6683" t="str">
        <f>IFERROR(__xludf.DUMMYFUNCTION("""COMPUTED_VALUE"""),"Nathan")</f>
        <v>Nathan</v>
      </c>
      <c r="F6683" t="str">
        <f>IFERROR(__xludf.DUMMYFUNCTION("""COMPUTED_VALUE"""),"NO")</f>
        <v>NO</v>
      </c>
      <c r="G6683">
        <f>IFERROR(__xludf.DUMMYFUNCTION("""COMPUTED_VALUE"""),17.75)</f>
        <v>17.75</v>
      </c>
    </row>
    <row r="6684">
      <c r="D6684" t="str">
        <f>IFERROR(__xludf.DUMMYFUNCTION("""COMPUTED_VALUE"""),"Sturgis")</f>
        <v>Sturgis</v>
      </c>
      <c r="E6684" t="str">
        <f>IFERROR(__xludf.DUMMYFUNCTION("""COMPUTED_VALUE"""),"Caleb")</f>
        <v>Caleb</v>
      </c>
      <c r="F6684" t="str">
        <f>IFERROR(__xludf.DUMMYFUNCTION("""COMPUTED_VALUE"""),"LAC")</f>
        <v>LAC</v>
      </c>
      <c r="G6684">
        <f>IFERROR(__xludf.DUMMYFUNCTION("""COMPUTED_VALUE"""),19.75)</f>
        <v>19.75</v>
      </c>
    </row>
    <row r="6685">
      <c r="D6685" t="str">
        <f>IFERROR(__xludf.DUMMYFUNCTION("""COMPUTED_VALUE"""),"Sua-Filo")</f>
        <v>Sua-Filo</v>
      </c>
      <c r="E6685" t="str">
        <f>IFERROR(__xludf.DUMMYFUNCTION("""COMPUTED_VALUE"""),"Xavier")</f>
        <v>Xavier</v>
      </c>
      <c r="F6685" t="str">
        <f>IFERROR(__xludf.DUMMYFUNCTION("""COMPUTED_VALUE"""),"TEN")</f>
        <v>TEN</v>
      </c>
      <c r="G6685">
        <f>IFERROR(__xludf.DUMMYFUNCTION("""COMPUTED_VALUE"""),17.75)</f>
        <v>17.75</v>
      </c>
    </row>
    <row r="6686">
      <c r="D6686" t="str">
        <f>IFERROR(__xludf.DUMMYFUNCTION("""COMPUTED_VALUE"""),"Succop")</f>
        <v>Succop</v>
      </c>
      <c r="E6686" t="str">
        <f>IFERROR(__xludf.DUMMYFUNCTION("""COMPUTED_VALUE"""),"Ryan")</f>
        <v>Ryan</v>
      </c>
      <c r="F6686" t="str">
        <f>IFERROR(__xludf.DUMMYFUNCTION("""COMPUTED_VALUE"""),"TEN")</f>
        <v>TEN</v>
      </c>
      <c r="G6686">
        <f>IFERROR(__xludf.DUMMYFUNCTION("""COMPUTED_VALUE"""),19.25)</f>
        <v>19.25</v>
      </c>
    </row>
    <row r="6687">
      <c r="D6687" t="str">
        <f>IFERROR(__xludf.DUMMYFUNCTION("""COMPUTED_VALUE"""),"Sudfeld")</f>
        <v>Sudfeld</v>
      </c>
      <c r="E6687" t="str">
        <f>IFERROR(__xludf.DUMMYFUNCTION("""COMPUTED_VALUE"""),"Nate")</f>
        <v>Nate</v>
      </c>
      <c r="F6687" t="str">
        <f>IFERROR(__xludf.DUMMYFUNCTION("""COMPUTED_VALUE"""),"PHI")</f>
        <v>PHI</v>
      </c>
      <c r="G6687">
        <f>IFERROR(__xludf.DUMMYFUNCTION("""COMPUTED_VALUE"""),16.75)</f>
        <v>16.75</v>
      </c>
    </row>
    <row r="6688">
      <c r="D6688" t="str">
        <f>IFERROR(__xludf.DUMMYFUNCTION("""COMPUTED_VALUE"""),"Suggs")</f>
        <v>Suggs</v>
      </c>
      <c r="E6688" t="str">
        <f>IFERROR(__xludf.DUMMYFUNCTION("""COMPUTED_VALUE"""),"Terrell")</f>
        <v>Terrell</v>
      </c>
      <c r="F6688" t="str">
        <f>IFERROR(__xludf.DUMMYFUNCTION("""COMPUTED_VALUE"""),"BAL")</f>
        <v>BAL</v>
      </c>
      <c r="G6688">
        <f>IFERROR(__xludf.DUMMYFUNCTION("""COMPUTED_VALUE"""),20.5)</f>
        <v>20.5</v>
      </c>
    </row>
    <row r="6689">
      <c r="D6689" t="str">
        <f>IFERROR(__xludf.DUMMYFUNCTION("""COMPUTED_VALUE"""),"Suggs")</f>
        <v>Suggs</v>
      </c>
      <c r="E6689" t="str">
        <f>IFERROR(__xludf.DUMMYFUNCTION("""COMPUTED_VALUE"""),"Terrell")</f>
        <v>Terrell</v>
      </c>
      <c r="F6689" t="str">
        <f>IFERROR(__xludf.DUMMYFUNCTION("""COMPUTED_VALUE"""),"BAL")</f>
        <v>BAL</v>
      </c>
      <c r="G6689">
        <f>IFERROR(__xludf.DUMMYFUNCTION("""COMPUTED_VALUE"""),21.5)</f>
        <v>21.5</v>
      </c>
    </row>
    <row r="6690">
      <c r="D6690" t="str">
        <f>IFERROR(__xludf.DUMMYFUNCTION("""COMPUTED_VALUE"""),"Suh")</f>
        <v>Suh</v>
      </c>
      <c r="E6690" t="str">
        <f>IFERROR(__xludf.DUMMYFUNCTION("""COMPUTED_VALUE"""),"Ndamukong")</f>
        <v>Ndamukong</v>
      </c>
      <c r="F6690" t="str">
        <f>IFERROR(__xludf.DUMMYFUNCTION("""COMPUTED_VALUE"""),"LAR")</f>
        <v>LAR</v>
      </c>
      <c r="G6690">
        <f>IFERROR(__xludf.DUMMYFUNCTION("""COMPUTED_VALUE"""),22.0)</f>
        <v>22</v>
      </c>
    </row>
    <row r="6691">
      <c r="D6691" t="str">
        <f>IFERROR(__xludf.DUMMYFUNCTION("""COMPUTED_VALUE"""),"Suh")</f>
        <v>Suh</v>
      </c>
      <c r="E6691" t="str">
        <f>IFERROR(__xludf.DUMMYFUNCTION("""COMPUTED_VALUE"""),"Ndamukong")</f>
        <v>Ndamukong</v>
      </c>
      <c r="F6691" t="str">
        <f>IFERROR(__xludf.DUMMYFUNCTION("""COMPUTED_VALUE"""),"LAR")</f>
        <v>LAR</v>
      </c>
      <c r="G6691">
        <f>IFERROR(__xludf.DUMMYFUNCTION("""COMPUTED_VALUE"""),23.0)</f>
        <v>23</v>
      </c>
    </row>
    <row r="6692">
      <c r="D6692" t="str">
        <f>IFERROR(__xludf.DUMMYFUNCTION("""COMPUTED_VALUE"""),"Sullivan")</f>
        <v>Sullivan</v>
      </c>
      <c r="E6692" t="str">
        <f>IFERROR(__xludf.DUMMYFUNCTION("""COMPUTED_VALUE"""),"John")</f>
        <v>John</v>
      </c>
      <c r="F6692" t="str">
        <f>IFERROR(__xludf.DUMMYFUNCTION("""COMPUTED_VALUE"""),"LAR")</f>
        <v>LAR</v>
      </c>
      <c r="G6692">
        <f>IFERROR(__xludf.DUMMYFUNCTION("""COMPUTED_VALUE"""),19.75)</f>
        <v>19.75</v>
      </c>
    </row>
    <row r="6693">
      <c r="D6693" t="str">
        <f>IFERROR(__xludf.DUMMYFUNCTION("""COMPUTED_VALUE"""),"Sundberg")</f>
        <v>Sundberg</v>
      </c>
      <c r="E6693" t="str">
        <f>IFERROR(__xludf.DUMMYFUNCTION("""COMPUTED_VALUE"""),"Nick")</f>
        <v>Nick</v>
      </c>
      <c r="F6693" t="str">
        <f>IFERROR(__xludf.DUMMYFUNCTION("""COMPUTED_VALUE"""),"WAS")</f>
        <v>WAS</v>
      </c>
      <c r="G6693">
        <f>IFERROR(__xludf.DUMMYFUNCTION("""COMPUTED_VALUE"""),15.5)</f>
        <v>15.5</v>
      </c>
    </row>
    <row r="6694">
      <c r="D6694" t="str">
        <f>IFERROR(__xludf.DUMMYFUNCTION("""COMPUTED_VALUE"""),"Supernaw")</f>
        <v>Supernaw</v>
      </c>
      <c r="E6694" t="str">
        <f>IFERROR(__xludf.DUMMYFUNCTION("""COMPUTED_VALUE"""),"Phillip")</f>
        <v>Phillip</v>
      </c>
      <c r="F6694" t="str">
        <f>IFERROR(__xludf.DUMMYFUNCTION("""COMPUTED_VALUE"""),"TEN")</f>
        <v>TEN</v>
      </c>
      <c r="G6694">
        <f>IFERROR(__xludf.DUMMYFUNCTION("""COMPUTED_VALUE"""),16.75)</f>
        <v>16.75</v>
      </c>
    </row>
    <row r="6695">
      <c r="D6695" t="str">
        <f>IFERROR(__xludf.DUMMYFUNCTION("""COMPUTED_VALUE"""),"Sutton")</f>
        <v>Sutton</v>
      </c>
      <c r="E6695" t="str">
        <f>IFERROR(__xludf.DUMMYFUNCTION("""COMPUTED_VALUE"""),"Cameron")</f>
        <v>Cameron</v>
      </c>
      <c r="F6695" t="str">
        <f>IFERROR(__xludf.DUMMYFUNCTION("""COMPUTED_VALUE"""),"PIT")</f>
        <v>PIT</v>
      </c>
      <c r="G6695">
        <f>IFERROR(__xludf.DUMMYFUNCTION("""COMPUTED_VALUE"""),17.25)</f>
        <v>17.25</v>
      </c>
    </row>
    <row r="6696">
      <c r="D6696" t="str">
        <f>IFERROR(__xludf.DUMMYFUNCTION("""COMPUTED_VALUE"""),"Sutton")</f>
        <v>Sutton</v>
      </c>
      <c r="E6696" t="str">
        <f>IFERROR(__xludf.DUMMYFUNCTION("""COMPUTED_VALUE"""),"Courtland")</f>
        <v>Courtland</v>
      </c>
      <c r="F6696" t="str">
        <f>IFERROR(__xludf.DUMMYFUNCTION("""COMPUTED_VALUE"""),"DEN")</f>
        <v>DEN</v>
      </c>
      <c r="G6696">
        <f>IFERROR(__xludf.DUMMYFUNCTION("""COMPUTED_VALUE"""),19.25)</f>
        <v>19.25</v>
      </c>
    </row>
    <row r="6697">
      <c r="D6697" t="str">
        <f>IFERROR(__xludf.DUMMYFUNCTION("""COMPUTED_VALUE"""),"Swaim")</f>
        <v>Swaim</v>
      </c>
      <c r="E6697" t="str">
        <f>IFERROR(__xludf.DUMMYFUNCTION("""COMPUTED_VALUE"""),"Geoff")</f>
        <v>Geoff</v>
      </c>
      <c r="F6697" t="str">
        <f>IFERROR(__xludf.DUMMYFUNCTION("""COMPUTED_VALUE"""),"DAL")</f>
        <v>DAL</v>
      </c>
      <c r="G6697">
        <f>IFERROR(__xludf.DUMMYFUNCTION("""COMPUTED_VALUE"""),18.25)</f>
        <v>18.25</v>
      </c>
    </row>
    <row r="6698">
      <c r="D6698" t="str">
        <f>IFERROR(__xludf.DUMMYFUNCTION("""COMPUTED_VALUE"""),"Swearinger")</f>
        <v>Swearinger</v>
      </c>
      <c r="E6698" t="str">
        <f>IFERROR(__xludf.DUMMYFUNCTION("""COMPUTED_VALUE"""),"DJ")</f>
        <v>DJ</v>
      </c>
      <c r="F6698" t="str">
        <f>IFERROR(__xludf.DUMMYFUNCTION("""COMPUTED_VALUE"""),"WAS")</f>
        <v>WAS</v>
      </c>
      <c r="G6698">
        <f>IFERROR(__xludf.DUMMYFUNCTION("""COMPUTED_VALUE"""),21.0)</f>
        <v>21</v>
      </c>
    </row>
    <row r="6699">
      <c r="D6699" t="str">
        <f>IFERROR(__xludf.DUMMYFUNCTION("""COMPUTED_VALUE"""),"Sweat")</f>
        <v>Sweat</v>
      </c>
      <c r="E6699" t="str">
        <f>IFERROR(__xludf.DUMMYFUNCTION("""COMPUTED_VALUE"""),"Josh")</f>
        <v>Josh</v>
      </c>
      <c r="F6699" t="str">
        <f>IFERROR(__xludf.DUMMYFUNCTION("""COMPUTED_VALUE"""),"PHI")</f>
        <v>PHI</v>
      </c>
      <c r="G6699">
        <f>IFERROR(__xludf.DUMMYFUNCTION("""COMPUTED_VALUE"""),16.75)</f>
        <v>16.75</v>
      </c>
    </row>
    <row r="6700">
      <c r="D6700" t="str">
        <f>IFERROR(__xludf.DUMMYFUNCTION("""COMPUTED_VALUE"""),"Sweezy")</f>
        <v>Sweezy</v>
      </c>
      <c r="E6700" t="str">
        <f>IFERROR(__xludf.DUMMYFUNCTION("""COMPUTED_VALUE"""),"JR")</f>
        <v>JR</v>
      </c>
      <c r="F6700" t="str">
        <f>IFERROR(__xludf.DUMMYFUNCTION("""COMPUTED_VALUE"""),"FA")</f>
        <v>FA</v>
      </c>
      <c r="G6700">
        <f>IFERROR(__xludf.DUMMYFUNCTION("""COMPUTED_VALUE"""),19.0)</f>
        <v>19</v>
      </c>
    </row>
    <row r="6701">
      <c r="D6701" t="str">
        <f>IFERROR(__xludf.DUMMYFUNCTION("""COMPUTED_VALUE"""),"Switzer")</f>
        <v>Switzer</v>
      </c>
      <c r="E6701" t="str">
        <f>IFERROR(__xludf.DUMMYFUNCTION("""COMPUTED_VALUE"""),"Ryan")</f>
        <v>Ryan</v>
      </c>
      <c r="F6701" t="str">
        <f>IFERROR(__xludf.DUMMYFUNCTION("""COMPUTED_VALUE"""),"OAK")</f>
        <v>OAK</v>
      </c>
      <c r="G6701">
        <f>IFERROR(__xludf.DUMMYFUNCTION("""COMPUTED_VALUE"""),18.25)</f>
        <v>18.25</v>
      </c>
    </row>
    <row r="6702">
      <c r="D6702" t="str">
        <f>IFERROR(__xludf.DUMMYFUNCTION("""COMPUTED_VALUE"""),"Swoope")</f>
        <v>Swoope</v>
      </c>
      <c r="E6702" t="str">
        <f>IFERROR(__xludf.DUMMYFUNCTION("""COMPUTED_VALUE"""),"Erik")</f>
        <v>Erik</v>
      </c>
      <c r="F6702" t="str">
        <f>IFERROR(__xludf.DUMMYFUNCTION("""COMPUTED_VALUE"""),"IND")</f>
        <v>IND</v>
      </c>
      <c r="G6702">
        <f>IFERROR(__xludf.DUMMYFUNCTION("""COMPUTED_VALUE"""),16.5)</f>
        <v>16.5</v>
      </c>
    </row>
    <row r="6703">
      <c r="D6703" t="str">
        <f>IFERROR(__xludf.DUMMYFUNCTION("""COMPUTED_VALUE"""),"Tabor")</f>
        <v>Tabor</v>
      </c>
      <c r="E6703" t="str">
        <f>IFERROR(__xludf.DUMMYFUNCTION("""COMPUTED_VALUE"""),"Teez")</f>
        <v>Teez</v>
      </c>
      <c r="F6703" t="str">
        <f>IFERROR(__xludf.DUMMYFUNCTION("""COMPUTED_VALUE"""),"DET")</f>
        <v>DET</v>
      </c>
      <c r="G6703">
        <f>IFERROR(__xludf.DUMMYFUNCTION("""COMPUTED_VALUE"""),18.25)</f>
        <v>18.25</v>
      </c>
    </row>
    <row r="6704">
      <c r="D6704" t="str">
        <f>IFERROR(__xludf.DUMMYFUNCTION("""COMPUTED_VALUE"""),"Talib")</f>
        <v>Talib</v>
      </c>
      <c r="E6704" t="str">
        <f>IFERROR(__xludf.DUMMYFUNCTION("""COMPUTED_VALUE"""),"Aqib")</f>
        <v>Aqib</v>
      </c>
      <c r="F6704" t="str">
        <f>IFERROR(__xludf.DUMMYFUNCTION("""COMPUTED_VALUE"""),"LAR")</f>
        <v>LAR</v>
      </c>
      <c r="G6704">
        <f>IFERROR(__xludf.DUMMYFUNCTION("""COMPUTED_VALUE"""),21.5)</f>
        <v>21.5</v>
      </c>
    </row>
    <row r="6705">
      <c r="D6705" t="str">
        <f>IFERROR(__xludf.DUMMYFUNCTION("""COMPUTED_VALUE"""),"Tandy")</f>
        <v>Tandy</v>
      </c>
      <c r="E6705" t="str">
        <f>IFERROR(__xludf.DUMMYFUNCTION("""COMPUTED_VALUE"""),"Keith")</f>
        <v>Keith</v>
      </c>
      <c r="F6705" t="str">
        <f>IFERROR(__xludf.DUMMYFUNCTION("""COMPUTED_VALUE"""),"TB")</f>
        <v>TB</v>
      </c>
      <c r="G6705">
        <f>IFERROR(__xludf.DUMMYFUNCTION("""COMPUTED_VALUE"""),17.75)</f>
        <v>17.75</v>
      </c>
    </row>
    <row r="6706">
      <c r="D6706" t="str">
        <f>IFERROR(__xludf.DUMMYFUNCTION("""COMPUTED_VALUE"""),"Tankersley")</f>
        <v>Tankersley</v>
      </c>
      <c r="E6706" t="str">
        <f>IFERROR(__xludf.DUMMYFUNCTION("""COMPUTED_VALUE"""),"Cordrea")</f>
        <v>Cordrea</v>
      </c>
      <c r="F6706" t="str">
        <f>IFERROR(__xludf.DUMMYFUNCTION("""COMPUTED_VALUE"""),"MIA")</f>
        <v>MIA</v>
      </c>
      <c r="G6706">
        <f>IFERROR(__xludf.DUMMYFUNCTION("""COMPUTED_VALUE"""),18.5)</f>
        <v>18.5</v>
      </c>
    </row>
    <row r="6707">
      <c r="D6707" t="str">
        <f>IFERROR(__xludf.DUMMYFUNCTION("""COMPUTED_VALUE"""),"Tannehill")</f>
        <v>Tannehill</v>
      </c>
      <c r="E6707" t="str">
        <f>IFERROR(__xludf.DUMMYFUNCTION("""COMPUTED_VALUE"""),"Ryan")</f>
        <v>Ryan</v>
      </c>
      <c r="F6707" t="str">
        <f>IFERROR(__xludf.DUMMYFUNCTION("""COMPUTED_VALUE"""),"MIA")</f>
        <v>MIA</v>
      </c>
      <c r="G6707">
        <f>IFERROR(__xludf.DUMMYFUNCTION("""COMPUTED_VALUE"""),19.75)</f>
        <v>19.75</v>
      </c>
    </row>
    <row r="6708">
      <c r="D6708" t="str">
        <f>IFERROR(__xludf.DUMMYFUNCTION("""COMPUTED_VALUE"""),"Tapper")</f>
        <v>Tapper</v>
      </c>
      <c r="E6708" t="str">
        <f>IFERROR(__xludf.DUMMYFUNCTION("""COMPUTED_VALUE"""),"Charles")</f>
        <v>Charles</v>
      </c>
      <c r="F6708" t="str">
        <f>IFERROR(__xludf.DUMMYFUNCTION("""COMPUTED_VALUE"""),"DAL")</f>
        <v>DAL</v>
      </c>
      <c r="G6708">
        <f>IFERROR(__xludf.DUMMYFUNCTION("""COMPUTED_VALUE"""),18.5)</f>
        <v>18.5</v>
      </c>
    </row>
    <row r="6709">
      <c r="D6709" t="str">
        <f>IFERROR(__xludf.DUMMYFUNCTION("""COMPUTED_VALUE"""),"Tartt")</f>
        <v>Tartt</v>
      </c>
      <c r="E6709" t="str">
        <f>IFERROR(__xludf.DUMMYFUNCTION("""COMPUTED_VALUE"""),"Jaquiski")</f>
        <v>Jaquiski</v>
      </c>
      <c r="F6709" t="str">
        <f>IFERROR(__xludf.DUMMYFUNCTION("""COMPUTED_VALUE"""),"SF")</f>
        <v>SF</v>
      </c>
      <c r="G6709">
        <f>IFERROR(__xludf.DUMMYFUNCTION("""COMPUTED_VALUE"""),20.0)</f>
        <v>20</v>
      </c>
    </row>
    <row r="6710">
      <c r="D6710" t="str">
        <f>IFERROR(__xludf.DUMMYFUNCTION("""COMPUTED_VALUE"""),"Tate")</f>
        <v>Tate</v>
      </c>
      <c r="E6710" t="str">
        <f>IFERROR(__xludf.DUMMYFUNCTION("""COMPUTED_VALUE"""),"Auden")</f>
        <v>Auden</v>
      </c>
      <c r="F6710" t="str">
        <f>IFERROR(__xludf.DUMMYFUNCTION("""COMPUTED_VALUE"""),"CIN")</f>
        <v>CIN</v>
      </c>
      <c r="G6710">
        <f>IFERROR(__xludf.DUMMYFUNCTION("""COMPUTED_VALUE"""),17.25)</f>
        <v>17.25</v>
      </c>
    </row>
    <row r="6711">
      <c r="D6711" t="str">
        <f>IFERROR(__xludf.DUMMYFUNCTION("""COMPUTED_VALUE"""),"Tate III")</f>
        <v>Tate III</v>
      </c>
      <c r="E6711" t="str">
        <f>IFERROR(__xludf.DUMMYFUNCTION("""COMPUTED_VALUE"""),"Golden")</f>
        <v>Golden</v>
      </c>
      <c r="F6711" t="str">
        <f>IFERROR(__xludf.DUMMYFUNCTION("""COMPUTED_VALUE"""),"DET")</f>
        <v>DET</v>
      </c>
      <c r="G6711">
        <f>IFERROR(__xludf.DUMMYFUNCTION("""COMPUTED_VALUE"""),21.25)</f>
        <v>21.25</v>
      </c>
    </row>
    <row r="6712">
      <c r="D6712" t="str">
        <f>IFERROR(__xludf.DUMMYFUNCTION("""COMPUTED_VALUE"""),"Taumoepenu")</f>
        <v>Taumoepenu</v>
      </c>
      <c r="E6712" t="str">
        <f>IFERROR(__xludf.DUMMYFUNCTION("""COMPUTED_VALUE"""),"Pita")</f>
        <v>Pita</v>
      </c>
      <c r="F6712" t="str">
        <f>IFERROR(__xludf.DUMMYFUNCTION("""COMPUTED_VALUE"""),"SF")</f>
        <v>SF</v>
      </c>
      <c r="G6712">
        <f>IFERROR(__xludf.DUMMYFUNCTION("""COMPUTED_VALUE"""),15.5)</f>
        <v>15.5</v>
      </c>
    </row>
    <row r="6713">
      <c r="D6713" t="str">
        <f>IFERROR(__xludf.DUMMYFUNCTION("""COMPUTED_VALUE"""),"Tavecchio")</f>
        <v>Tavecchio</v>
      </c>
      <c r="E6713" t="str">
        <f>IFERROR(__xludf.DUMMYFUNCTION("""COMPUTED_VALUE"""),"Giorgio")</f>
        <v>Giorgio</v>
      </c>
      <c r="F6713" t="str">
        <f>IFERROR(__xludf.DUMMYFUNCTION("""COMPUTED_VALUE"""),"OAK")</f>
        <v>OAK</v>
      </c>
      <c r="G6713">
        <f>IFERROR(__xludf.DUMMYFUNCTION("""COMPUTED_VALUE"""),18.75)</f>
        <v>18.75</v>
      </c>
    </row>
    <row r="6714">
      <c r="D6714" t="str">
        <f>IFERROR(__xludf.DUMMYFUNCTION("""COMPUTED_VALUE"""),"Taylor")</f>
        <v>Taylor</v>
      </c>
      <c r="E6714" t="str">
        <f>IFERROR(__xludf.DUMMYFUNCTION("""COMPUTED_VALUE"""),"Jamar")</f>
        <v>Jamar</v>
      </c>
      <c r="F6714" t="str">
        <f>IFERROR(__xludf.DUMMYFUNCTION("""COMPUTED_VALUE"""),"ARZ")</f>
        <v>ARZ</v>
      </c>
      <c r="G6714">
        <f>IFERROR(__xludf.DUMMYFUNCTION("""COMPUTED_VALUE"""),19.75)</f>
        <v>19.75</v>
      </c>
    </row>
    <row r="6715">
      <c r="D6715" t="str">
        <f>IFERROR(__xludf.DUMMYFUNCTION("""COMPUTED_VALUE"""),"Taylor")</f>
        <v>Taylor</v>
      </c>
      <c r="E6715" t="str">
        <f>IFERROR(__xludf.DUMMYFUNCTION("""COMPUTED_VALUE"""),"Jordan")</f>
        <v>Jordan</v>
      </c>
      <c r="F6715" t="str">
        <f>IFERROR(__xludf.DUMMYFUNCTION("""COMPUTED_VALUE"""),"DEN")</f>
        <v>DEN</v>
      </c>
      <c r="G6715">
        <f>IFERROR(__xludf.DUMMYFUNCTION("""COMPUTED_VALUE"""),17.75)</f>
        <v>17.75</v>
      </c>
    </row>
    <row r="6716">
      <c r="D6716" t="str">
        <f>IFERROR(__xludf.DUMMYFUNCTION("""COMPUTED_VALUE"""),"Taylor")</f>
        <v>Taylor</v>
      </c>
      <c r="E6716" t="str">
        <f>IFERROR(__xludf.DUMMYFUNCTION("""COMPUTED_VALUE"""),"Jullian")</f>
        <v>Jullian</v>
      </c>
      <c r="F6716" t="str">
        <f>IFERROR(__xludf.DUMMYFUNCTION("""COMPUTED_VALUE"""),"SF")</f>
        <v>SF</v>
      </c>
      <c r="G6716">
        <f>IFERROR(__xludf.DUMMYFUNCTION("""COMPUTED_VALUE"""),17.25)</f>
        <v>17.25</v>
      </c>
    </row>
    <row r="6717">
      <c r="D6717" t="str">
        <f>IFERROR(__xludf.DUMMYFUNCTION("""COMPUTED_VALUE"""),"Taylor")</f>
        <v>Taylor</v>
      </c>
      <c r="E6717" t="str">
        <f>IFERROR(__xludf.DUMMYFUNCTION("""COMPUTED_VALUE"""),"Lane")</f>
        <v>Lane</v>
      </c>
      <c r="F6717" t="str">
        <f>IFERROR(__xludf.DUMMYFUNCTION("""COMPUTED_VALUE"""),"GB")</f>
        <v>GB</v>
      </c>
      <c r="G6717">
        <f>IFERROR(__xludf.DUMMYFUNCTION("""COMPUTED_VALUE"""),19.0)</f>
        <v>19</v>
      </c>
    </row>
    <row r="6718">
      <c r="D6718" t="str">
        <f>IFERROR(__xludf.DUMMYFUNCTION("""COMPUTED_VALUE"""),"Taylor")</f>
        <v>Taylor</v>
      </c>
      <c r="E6718" t="str">
        <f>IFERROR(__xludf.DUMMYFUNCTION("""COMPUTED_VALUE"""),"Rod")</f>
        <v>Rod</v>
      </c>
      <c r="F6718" t="str">
        <f>IFERROR(__xludf.DUMMYFUNCTION("""COMPUTED_VALUE"""),"CIN")</f>
        <v>CIN</v>
      </c>
      <c r="G6718">
        <f>IFERROR(__xludf.DUMMYFUNCTION("""COMPUTED_VALUE"""),16.75)</f>
        <v>16.75</v>
      </c>
    </row>
    <row r="6719">
      <c r="D6719" t="str">
        <f>IFERROR(__xludf.DUMMYFUNCTION("""COMPUTED_VALUE"""),"Taylor")</f>
        <v>Taylor</v>
      </c>
      <c r="E6719" t="str">
        <f>IFERROR(__xludf.DUMMYFUNCTION("""COMPUTED_VALUE"""),"Sean")</f>
        <v>Sean</v>
      </c>
      <c r="F6719" t="str">
        <f>IFERROR(__xludf.DUMMYFUNCTION("""COMPUTED_VALUE"""),"WAS")</f>
        <v>WAS</v>
      </c>
      <c r="G6719">
        <f>IFERROR(__xludf.DUMMYFUNCTION("""COMPUTED_VALUE"""),22.5)</f>
        <v>22.5</v>
      </c>
    </row>
    <row r="6720">
      <c r="D6720" t="str">
        <f>IFERROR(__xludf.DUMMYFUNCTION("""COMPUTED_VALUE"""),"Taylor")</f>
        <v>Taylor</v>
      </c>
      <c r="E6720" t="str">
        <f>IFERROR(__xludf.DUMMYFUNCTION("""COMPUTED_VALUE"""),"Sean")</f>
        <v>Sean</v>
      </c>
      <c r="F6720" t="str">
        <f>IFERROR(__xludf.DUMMYFUNCTION("""COMPUTED_VALUE"""),"WAS")</f>
        <v>WAS</v>
      </c>
      <c r="G6720">
        <f>IFERROR(__xludf.DUMMYFUNCTION("""COMPUTED_VALUE"""),20.75)</f>
        <v>20.75</v>
      </c>
    </row>
    <row r="6721">
      <c r="D6721" t="str">
        <f>IFERROR(__xludf.DUMMYFUNCTION("""COMPUTED_VALUE"""),"Taylor")</f>
        <v>Taylor</v>
      </c>
      <c r="E6721" t="str">
        <f>IFERROR(__xludf.DUMMYFUNCTION("""COMPUTED_VALUE"""),"Sean")</f>
        <v>Sean</v>
      </c>
      <c r="F6721" t="str">
        <f>IFERROR(__xludf.DUMMYFUNCTION("""COMPUTED_VALUE"""),"WAS")</f>
        <v>WAS</v>
      </c>
      <c r="G6721">
        <f>IFERROR(__xludf.DUMMYFUNCTION("""COMPUTED_VALUE"""),20.5)</f>
        <v>20.5</v>
      </c>
    </row>
    <row r="6722">
      <c r="D6722" t="str">
        <f>IFERROR(__xludf.DUMMYFUNCTION("""COMPUTED_VALUE"""),"Taylor")</f>
        <v>Taylor</v>
      </c>
      <c r="E6722" t="str">
        <f>IFERROR(__xludf.DUMMYFUNCTION("""COMPUTED_VALUE"""),"Sean")</f>
        <v>Sean</v>
      </c>
      <c r="F6722" t="str">
        <f>IFERROR(__xludf.DUMMYFUNCTION("""COMPUTED_VALUE"""),"WAS")</f>
        <v>WAS</v>
      </c>
      <c r="G6722">
        <f>IFERROR(__xludf.DUMMYFUNCTION("""COMPUTED_VALUE"""),21.5)</f>
        <v>21.5</v>
      </c>
    </row>
    <row r="6723">
      <c r="D6723" t="str">
        <f>IFERROR(__xludf.DUMMYFUNCTION("""COMPUTED_VALUE"""),"Taylor")</f>
        <v>Taylor</v>
      </c>
      <c r="E6723" t="str">
        <f>IFERROR(__xludf.DUMMYFUNCTION("""COMPUTED_VALUE"""),"Sean")</f>
        <v>Sean</v>
      </c>
      <c r="F6723" t="str">
        <f>IFERROR(__xludf.DUMMYFUNCTION("""COMPUTED_VALUE"""),"WAS")</f>
        <v>WAS</v>
      </c>
      <c r="G6723">
        <f>IFERROR(__xludf.DUMMYFUNCTION("""COMPUTED_VALUE"""),21.0)</f>
        <v>21</v>
      </c>
    </row>
    <row r="6724">
      <c r="D6724" t="str">
        <f>IFERROR(__xludf.DUMMYFUNCTION("""COMPUTED_VALUE"""),"Taylor")</f>
        <v>Taylor</v>
      </c>
      <c r="E6724" t="str">
        <f>IFERROR(__xludf.DUMMYFUNCTION("""COMPUTED_VALUE"""),"Taywan")</f>
        <v>Taywan</v>
      </c>
      <c r="F6724" t="str">
        <f>IFERROR(__xludf.DUMMYFUNCTION("""COMPUTED_VALUE"""),"TEN")</f>
        <v>TEN</v>
      </c>
      <c r="G6724">
        <f>IFERROR(__xludf.DUMMYFUNCTION("""COMPUTED_VALUE"""),18.5)</f>
        <v>18.5</v>
      </c>
    </row>
    <row r="6725">
      <c r="D6725" t="str">
        <f>IFERROR(__xludf.DUMMYFUNCTION("""COMPUTED_VALUE"""),"Taylor")</f>
        <v>Taylor</v>
      </c>
      <c r="E6725" t="str">
        <f>IFERROR(__xludf.DUMMYFUNCTION("""COMPUTED_VALUE"""),"Trent")</f>
        <v>Trent</v>
      </c>
      <c r="F6725" t="str">
        <f>IFERROR(__xludf.DUMMYFUNCTION("""COMPUTED_VALUE"""),"SF")</f>
        <v>SF</v>
      </c>
      <c r="G6725">
        <f>IFERROR(__xludf.DUMMYFUNCTION("""COMPUTED_VALUE"""),18.25)</f>
        <v>18.25</v>
      </c>
    </row>
    <row r="6726">
      <c r="D6726" t="str">
        <f>IFERROR(__xludf.DUMMYFUNCTION("""COMPUTED_VALUE"""),"Taylor")</f>
        <v>Taylor</v>
      </c>
      <c r="E6726" t="str">
        <f>IFERROR(__xludf.DUMMYFUNCTION("""COMPUTED_VALUE"""),"Tyrod")</f>
        <v>Tyrod</v>
      </c>
      <c r="F6726" t="str">
        <f>IFERROR(__xludf.DUMMYFUNCTION("""COMPUTED_VALUE"""),"CLE")</f>
        <v>CLE</v>
      </c>
      <c r="G6726">
        <f>IFERROR(__xludf.DUMMYFUNCTION("""COMPUTED_VALUE"""),20.0)</f>
        <v>20</v>
      </c>
    </row>
    <row r="6727">
      <c r="D6727" t="str">
        <f>IFERROR(__xludf.DUMMYFUNCTION("""COMPUTED_VALUE"""),"Taylor")</f>
        <v>Taylor</v>
      </c>
      <c r="E6727" t="str">
        <f>IFERROR(__xludf.DUMMYFUNCTION("""COMPUTED_VALUE"""),"Vincent")</f>
        <v>Vincent</v>
      </c>
      <c r="F6727" t="str">
        <f>IFERROR(__xludf.DUMMYFUNCTION("""COMPUTED_VALUE"""),"MIA")</f>
        <v>MIA</v>
      </c>
      <c r="G6727">
        <f>IFERROR(__xludf.DUMMYFUNCTION("""COMPUTED_VALUE"""),18.25)</f>
        <v>18.25</v>
      </c>
    </row>
    <row r="6728">
      <c r="D6728" t="str">
        <f>IFERROR(__xludf.DUMMYFUNCTION("""COMPUTED_VALUE"""),"Taylor Sr")</f>
        <v>Taylor Sr</v>
      </c>
      <c r="E6728" t="str">
        <f>IFERROR(__xludf.DUMMYFUNCTION("""COMPUTED_VALUE"""),"Phil")</f>
        <v>Phil</v>
      </c>
      <c r="F6728" t="str">
        <f>IFERROR(__xludf.DUMMYFUNCTION("""COMPUTED_VALUE"""),"WAS")</f>
        <v>WAS</v>
      </c>
      <c r="G6728">
        <f>IFERROR(__xludf.DUMMYFUNCTION("""COMPUTED_VALUE"""),18.5)</f>
        <v>18.5</v>
      </c>
    </row>
    <row r="6729">
      <c r="D6729" t="str">
        <f>IFERROR(__xludf.DUMMYFUNCTION("""COMPUTED_VALUE"""),"Teller")</f>
        <v>Teller</v>
      </c>
      <c r="E6729" t="str">
        <f>IFERROR(__xludf.DUMMYFUNCTION("""COMPUTED_VALUE"""),"Wyatt")</f>
        <v>Wyatt</v>
      </c>
      <c r="F6729" t="str">
        <f>IFERROR(__xludf.DUMMYFUNCTION("""COMPUTED_VALUE"""),"BUF")</f>
        <v>BUF</v>
      </c>
      <c r="G6729">
        <f>IFERROR(__xludf.DUMMYFUNCTION("""COMPUTED_VALUE"""),18.25)</f>
        <v>18.25</v>
      </c>
    </row>
    <row r="6730">
      <c r="D6730" t="str">
        <f>IFERROR(__xludf.DUMMYFUNCTION("""COMPUTED_VALUE"""),"Teo")</f>
        <v>Teo</v>
      </c>
      <c r="E6730" t="str">
        <f>IFERROR(__xludf.DUMMYFUNCTION("""COMPUTED_VALUE"""),"Manti")</f>
        <v>Manti</v>
      </c>
      <c r="F6730" t="str">
        <f>IFERROR(__xludf.DUMMYFUNCTION("""COMPUTED_VALUE"""),"NO")</f>
        <v>NO</v>
      </c>
      <c r="G6730">
        <f>IFERROR(__xludf.DUMMYFUNCTION("""COMPUTED_VALUE"""),20.0)</f>
        <v>20</v>
      </c>
    </row>
    <row r="6731">
      <c r="D6731" t="str">
        <f>IFERROR(__xludf.DUMMYFUNCTION("""COMPUTED_VALUE"""),"Tevi")</f>
        <v>Tevi</v>
      </c>
      <c r="E6731" t="str">
        <f>IFERROR(__xludf.DUMMYFUNCTION("""COMPUTED_VALUE"""),"Sam")</f>
        <v>Sam</v>
      </c>
      <c r="F6731" t="str">
        <f>IFERROR(__xludf.DUMMYFUNCTION("""COMPUTED_VALUE"""),"LAC")</f>
        <v>LAC</v>
      </c>
      <c r="G6731">
        <f>IFERROR(__xludf.DUMMYFUNCTION("""COMPUTED_VALUE"""),16.5)</f>
        <v>16.5</v>
      </c>
    </row>
    <row r="6732">
      <c r="D6732" t="str">
        <f>IFERROR(__xludf.DUMMYFUNCTION("""COMPUTED_VALUE"""),"Thielen")</f>
        <v>Thielen</v>
      </c>
      <c r="E6732" t="str">
        <f>IFERROR(__xludf.DUMMYFUNCTION("""COMPUTED_VALUE"""),"Adam")</f>
        <v>Adam</v>
      </c>
      <c r="F6732" t="str">
        <f>IFERROR(__xludf.DUMMYFUNCTION("""COMPUTED_VALUE"""),"MIN")</f>
        <v>MIN</v>
      </c>
      <c r="G6732">
        <f>IFERROR(__xludf.DUMMYFUNCTION("""COMPUTED_VALUE"""),21.0)</f>
        <v>21</v>
      </c>
    </row>
    <row r="6733">
      <c r="D6733" t="str">
        <f>IFERROR(__xludf.DUMMYFUNCTION("""COMPUTED_VALUE"""),"Thomas")</f>
        <v>Thomas</v>
      </c>
      <c r="E6733" t="str">
        <f>IFERROR(__xludf.DUMMYFUNCTION("""COMPUTED_VALUE"""),"Brandon")</f>
        <v>Brandon</v>
      </c>
      <c r="F6733" t="str">
        <f>IFERROR(__xludf.DUMMYFUNCTION("""COMPUTED_VALUE"""),"JAX")</f>
        <v>JAX</v>
      </c>
      <c r="G6733">
        <f>IFERROR(__xludf.DUMMYFUNCTION("""COMPUTED_VALUE"""),18.5)</f>
        <v>18.5</v>
      </c>
    </row>
    <row r="6734">
      <c r="D6734" t="str">
        <f>IFERROR(__xludf.DUMMYFUNCTION("""COMPUTED_VALUE"""),"Thomas")</f>
        <v>Thomas</v>
      </c>
      <c r="E6734" t="str">
        <f>IFERROR(__xludf.DUMMYFUNCTION("""COMPUTED_VALUE"""),"Chad")</f>
        <v>Chad</v>
      </c>
      <c r="F6734" t="str">
        <f>IFERROR(__xludf.DUMMYFUNCTION("""COMPUTED_VALUE"""),"CLE")</f>
        <v>CLE</v>
      </c>
      <c r="G6734">
        <f>IFERROR(__xludf.DUMMYFUNCTION("""COMPUTED_VALUE"""),18.0)</f>
        <v>18</v>
      </c>
    </row>
    <row r="6735">
      <c r="D6735" t="str">
        <f>IFERROR(__xludf.DUMMYFUNCTION("""COMPUTED_VALUE"""),"Thomas")</f>
        <v>Thomas</v>
      </c>
      <c r="E6735" t="str">
        <f>IFERROR(__xludf.DUMMYFUNCTION("""COMPUTED_VALUE"""),"DeAnthony")</f>
        <v>DeAnthony</v>
      </c>
      <c r="F6735" t="str">
        <f>IFERROR(__xludf.DUMMYFUNCTION("""COMPUTED_VALUE"""),"KC")</f>
        <v>KC</v>
      </c>
      <c r="G6735">
        <f>IFERROR(__xludf.DUMMYFUNCTION("""COMPUTED_VALUE"""),17.5)</f>
        <v>17.5</v>
      </c>
    </row>
    <row r="6736">
      <c r="D6736" t="str">
        <f>IFERROR(__xludf.DUMMYFUNCTION("""COMPUTED_VALUE"""),"Thomas")</f>
        <v>Thomas</v>
      </c>
      <c r="E6736" t="str">
        <f>IFERROR(__xludf.DUMMYFUNCTION("""COMPUTED_VALUE"""),"Demaryius")</f>
        <v>Demaryius</v>
      </c>
      <c r="F6736" t="str">
        <f>IFERROR(__xludf.DUMMYFUNCTION("""COMPUTED_VALUE"""),"DEN")</f>
        <v>DEN</v>
      </c>
      <c r="G6736">
        <f>IFERROR(__xludf.DUMMYFUNCTION("""COMPUTED_VALUE"""),20.75)</f>
        <v>20.75</v>
      </c>
    </row>
    <row r="6737">
      <c r="D6737" t="str">
        <f>IFERROR(__xludf.DUMMYFUNCTION("""COMPUTED_VALUE"""),"Thomas")</f>
        <v>Thomas</v>
      </c>
      <c r="E6737" t="str">
        <f>IFERROR(__xludf.DUMMYFUNCTION("""COMPUTED_VALUE"""),"Dymonte")</f>
        <v>Dymonte</v>
      </c>
      <c r="F6737" t="str">
        <f>IFERROR(__xludf.DUMMYFUNCTION("""COMPUTED_VALUE"""),"DEN")</f>
        <v>DEN</v>
      </c>
      <c r="G6737">
        <f>IFERROR(__xludf.DUMMYFUNCTION("""COMPUTED_VALUE"""),16.75)</f>
        <v>16.75</v>
      </c>
    </row>
    <row r="6738">
      <c r="D6738" t="str">
        <f>IFERROR(__xludf.DUMMYFUNCTION("""COMPUTED_VALUE"""),"Thomas")</f>
        <v>Thomas</v>
      </c>
      <c r="E6738" t="str">
        <f>IFERROR(__xludf.DUMMYFUNCTION("""COMPUTED_VALUE"""),"Ian")</f>
        <v>Ian</v>
      </c>
      <c r="F6738" t="str">
        <f>IFERROR(__xludf.DUMMYFUNCTION("""COMPUTED_VALUE"""),"CAR")</f>
        <v>CAR</v>
      </c>
      <c r="G6738">
        <f>IFERROR(__xludf.DUMMYFUNCTION("""COMPUTED_VALUE"""),17.75)</f>
        <v>17.75</v>
      </c>
    </row>
    <row r="6739">
      <c r="D6739" t="str">
        <f>IFERROR(__xludf.DUMMYFUNCTION("""COMPUTED_VALUE"""),"Thomas")</f>
        <v>Thomas</v>
      </c>
      <c r="E6739" t="str">
        <f>IFERROR(__xludf.DUMMYFUNCTION("""COMPUTED_VALUE"""),"Joe")</f>
        <v>Joe</v>
      </c>
      <c r="F6739" t="str">
        <f>IFERROR(__xludf.DUMMYFUNCTION("""COMPUTED_VALUE"""),"DAL")</f>
        <v>DAL</v>
      </c>
      <c r="G6739">
        <f>IFERROR(__xludf.DUMMYFUNCTION("""COMPUTED_VALUE"""),19.0)</f>
        <v>19</v>
      </c>
    </row>
    <row r="6740">
      <c r="D6740" t="str">
        <f>IFERROR(__xludf.DUMMYFUNCTION("""COMPUTED_VALUE"""),"Thomas")</f>
        <v>Thomas</v>
      </c>
      <c r="E6740" t="str">
        <f>IFERROR(__xludf.DUMMYFUNCTION("""COMPUTED_VALUE"""),"Jordan")</f>
        <v>Jordan</v>
      </c>
      <c r="F6740" t="str">
        <f>IFERROR(__xludf.DUMMYFUNCTION("""COMPUTED_VALUE"""),"HOU")</f>
        <v>HOU</v>
      </c>
      <c r="G6740">
        <f>IFERROR(__xludf.DUMMYFUNCTION("""COMPUTED_VALUE"""),16.5)</f>
        <v>16.5</v>
      </c>
    </row>
    <row r="6741">
      <c r="D6741" t="str">
        <f>IFERROR(__xludf.DUMMYFUNCTION("""COMPUTED_VALUE"""),"Thomas")</f>
        <v>Thomas</v>
      </c>
      <c r="E6741" t="str">
        <f>IFERROR(__xludf.DUMMYFUNCTION("""COMPUTED_VALUE"""),"Julius")</f>
        <v>Julius</v>
      </c>
      <c r="F6741" t="str">
        <f>IFERROR(__xludf.DUMMYFUNCTION("""COMPUTED_VALUE"""),"FA")</f>
        <v>FA</v>
      </c>
      <c r="G6741">
        <f>IFERROR(__xludf.DUMMYFUNCTION("""COMPUTED_VALUE"""),15.0)</f>
        <v>15</v>
      </c>
    </row>
    <row r="6742">
      <c r="D6742" t="str">
        <f>IFERROR(__xludf.DUMMYFUNCTION("""COMPUTED_VALUE"""),"Thomas")</f>
        <v>Thomas</v>
      </c>
      <c r="E6742" t="str">
        <f>IFERROR(__xludf.DUMMYFUNCTION("""COMPUTED_VALUE"""),"Lawrence")</f>
        <v>Lawrence</v>
      </c>
      <c r="F6742" t="str">
        <f>IFERROR(__xludf.DUMMYFUNCTION("""COMPUTED_VALUE"""),"NYJ")</f>
        <v>NYJ</v>
      </c>
      <c r="G6742">
        <f>IFERROR(__xludf.DUMMYFUNCTION("""COMPUTED_VALUE"""),15.5)</f>
        <v>15.5</v>
      </c>
    </row>
    <row r="6743">
      <c r="D6743" t="str">
        <f>IFERROR(__xludf.DUMMYFUNCTION("""COMPUTED_VALUE"""),"Thomas")</f>
        <v>Thomas</v>
      </c>
      <c r="E6743" t="str">
        <f>IFERROR(__xludf.DUMMYFUNCTION("""COMPUTED_VALUE"""),"Logan")</f>
        <v>Logan</v>
      </c>
      <c r="F6743" t="str">
        <f>IFERROR(__xludf.DUMMYFUNCTION("""COMPUTED_VALUE"""),"BUF")</f>
        <v>BUF</v>
      </c>
      <c r="G6743">
        <f>IFERROR(__xludf.DUMMYFUNCTION("""COMPUTED_VALUE"""),17.75)</f>
        <v>17.75</v>
      </c>
    </row>
    <row r="6744">
      <c r="D6744" t="str">
        <f>IFERROR(__xludf.DUMMYFUNCTION("""COMPUTED_VALUE"""),"Thomas")</f>
        <v>Thomas</v>
      </c>
      <c r="E6744" t="str">
        <f>IFERROR(__xludf.DUMMYFUNCTION("""COMPUTED_VALUE"""),"Michael")</f>
        <v>Michael</v>
      </c>
      <c r="F6744" t="str">
        <f>IFERROR(__xludf.DUMMYFUNCTION("""COMPUTED_VALUE"""),"NYG")</f>
        <v>NYG</v>
      </c>
      <c r="G6744">
        <f>IFERROR(__xludf.DUMMYFUNCTION("""COMPUTED_VALUE"""),18.75)</f>
        <v>18.75</v>
      </c>
    </row>
    <row r="6745">
      <c r="D6745" t="str">
        <f>IFERROR(__xludf.DUMMYFUNCTION("""COMPUTED_VALUE"""),"Thomas")</f>
        <v>Thomas</v>
      </c>
      <c r="E6745" t="str">
        <f>IFERROR(__xludf.DUMMYFUNCTION("""COMPUTED_VALUE"""),"Michael")</f>
        <v>Michael</v>
      </c>
      <c r="F6745" t="str">
        <f>IFERROR(__xludf.DUMMYFUNCTION("""COMPUTED_VALUE"""),"NO")</f>
        <v>NO</v>
      </c>
      <c r="G6745">
        <f>IFERROR(__xludf.DUMMYFUNCTION("""COMPUTED_VALUE"""),21.5)</f>
        <v>21.5</v>
      </c>
    </row>
    <row r="6746">
      <c r="D6746" t="str">
        <f>IFERROR(__xludf.DUMMYFUNCTION("""COMPUTED_VALUE"""),"Thomas")</f>
        <v>Thomas</v>
      </c>
      <c r="E6746" t="str">
        <f>IFERROR(__xludf.DUMMYFUNCTION("""COMPUTED_VALUE"""),"Mike")</f>
        <v>Mike</v>
      </c>
      <c r="F6746" t="str">
        <f>IFERROR(__xludf.DUMMYFUNCTION("""COMPUTED_VALUE"""),"LAR")</f>
        <v>LAR</v>
      </c>
      <c r="G6746">
        <f>IFERROR(__xludf.DUMMYFUNCTION("""COMPUTED_VALUE"""),16.75)</f>
        <v>16.75</v>
      </c>
    </row>
    <row r="6747">
      <c r="D6747" t="str">
        <f>IFERROR(__xludf.DUMMYFUNCTION("""COMPUTED_VALUE"""),"Thomas")</f>
        <v>Thomas</v>
      </c>
      <c r="E6747" t="str">
        <f>IFERROR(__xludf.DUMMYFUNCTION("""COMPUTED_VALUE"""),"Robert")</f>
        <v>Robert</v>
      </c>
      <c r="F6747" t="str">
        <f>IFERROR(__xludf.DUMMYFUNCTION("""COMPUTED_VALUE"""),"NYG")</f>
        <v>NYG</v>
      </c>
      <c r="G6747">
        <f>IFERROR(__xludf.DUMMYFUNCTION("""COMPUTED_VALUE"""),16.5)</f>
        <v>16.5</v>
      </c>
    </row>
    <row r="6748">
      <c r="D6748" t="str">
        <f>IFERROR(__xludf.DUMMYFUNCTION("""COMPUTED_VALUE"""),"Thomas")</f>
        <v>Thomas</v>
      </c>
      <c r="E6748" t="str">
        <f>IFERROR(__xludf.DUMMYFUNCTION("""COMPUTED_VALUE"""),"Simeon")</f>
        <v>Simeon</v>
      </c>
      <c r="F6748" t="str">
        <f>IFERROR(__xludf.DUMMYFUNCTION("""COMPUTED_VALUE"""),"CLE")</f>
        <v>CLE</v>
      </c>
      <c r="G6748">
        <f>IFERROR(__xludf.DUMMYFUNCTION("""COMPUTED_VALUE"""),16.5)</f>
        <v>16.5</v>
      </c>
    </row>
    <row r="6749">
      <c r="D6749" t="str">
        <f>IFERROR(__xludf.DUMMYFUNCTION("""COMPUTED_VALUE"""),"Thomas")</f>
        <v>Thomas</v>
      </c>
      <c r="E6749" t="str">
        <f>IFERROR(__xludf.DUMMYFUNCTION("""COMPUTED_VALUE"""),"Solomon")</f>
        <v>Solomon</v>
      </c>
      <c r="F6749" t="str">
        <f>IFERROR(__xludf.DUMMYFUNCTION("""COMPUTED_VALUE"""),"SF")</f>
        <v>SF</v>
      </c>
      <c r="G6749">
        <f>IFERROR(__xludf.DUMMYFUNCTION("""COMPUTED_VALUE"""),18.75)</f>
        <v>18.75</v>
      </c>
    </row>
    <row r="6750">
      <c r="D6750" t="str">
        <f>IFERROR(__xludf.DUMMYFUNCTION("""COMPUTED_VALUE"""),"Thomas III")</f>
        <v>Thomas III</v>
      </c>
      <c r="E6750" t="str">
        <f>IFERROR(__xludf.DUMMYFUNCTION("""COMPUTED_VALUE"""),"Earl")</f>
        <v>Earl</v>
      </c>
      <c r="F6750" t="str">
        <f>IFERROR(__xludf.DUMMYFUNCTION("""COMPUTED_VALUE"""),"SEA")</f>
        <v>SEA</v>
      </c>
      <c r="G6750">
        <f>IFERROR(__xludf.DUMMYFUNCTION("""COMPUTED_VALUE"""),21.75)</f>
        <v>21.75</v>
      </c>
    </row>
    <row r="6751">
      <c r="D6751" t="str">
        <f>IFERROR(__xludf.DUMMYFUNCTION("""COMPUTED_VALUE"""),"Thompson")</f>
        <v>Thompson</v>
      </c>
      <c r="E6751" t="str">
        <f>IFERROR(__xludf.DUMMYFUNCTION("""COMPUTED_VALUE"""),"Carlos")</f>
        <v>Carlos</v>
      </c>
      <c r="F6751" t="str">
        <f>IFERROR(__xludf.DUMMYFUNCTION("""COMPUTED_VALUE"""),"FA")</f>
        <v>FA</v>
      </c>
      <c r="G6751">
        <f>IFERROR(__xludf.DUMMYFUNCTION("""COMPUTED_VALUE"""),16.0)</f>
        <v>16</v>
      </c>
    </row>
    <row r="6752">
      <c r="D6752" t="str">
        <f>IFERROR(__xludf.DUMMYFUNCTION("""COMPUTED_VALUE"""),"Thompson")</f>
        <v>Thompson</v>
      </c>
      <c r="E6752" t="str">
        <f>IFERROR(__xludf.DUMMYFUNCTION("""COMPUTED_VALUE"""),"Chris")</f>
        <v>Chris</v>
      </c>
      <c r="F6752" t="str">
        <f>IFERROR(__xludf.DUMMYFUNCTION("""COMPUTED_VALUE"""),"HOU")</f>
        <v>HOU</v>
      </c>
      <c r="G6752">
        <f>IFERROR(__xludf.DUMMYFUNCTION("""COMPUTED_VALUE"""),17.0)</f>
        <v>17</v>
      </c>
    </row>
    <row r="6753">
      <c r="D6753" t="str">
        <f>IFERROR(__xludf.DUMMYFUNCTION("""COMPUTED_VALUE"""),"Thompson")</f>
        <v>Thompson</v>
      </c>
      <c r="E6753" t="str">
        <f>IFERROR(__xludf.DUMMYFUNCTION("""COMPUTED_VALUE"""),"Chris")</f>
        <v>Chris</v>
      </c>
      <c r="F6753" t="str">
        <f>IFERROR(__xludf.DUMMYFUNCTION("""COMPUTED_VALUE"""),"WAS")</f>
        <v>WAS</v>
      </c>
      <c r="G6753">
        <f>IFERROR(__xludf.DUMMYFUNCTION("""COMPUTED_VALUE"""),19.5)</f>
        <v>19.5</v>
      </c>
    </row>
    <row r="6754">
      <c r="D6754" t="str">
        <f>IFERROR(__xludf.DUMMYFUNCTION("""COMPUTED_VALUE"""),"Thompson")</f>
        <v>Thompson</v>
      </c>
      <c r="E6754" t="str">
        <f>IFERROR(__xludf.DUMMYFUNCTION("""COMPUTED_VALUE"""),"Darian")</f>
        <v>Darian</v>
      </c>
      <c r="F6754" t="str">
        <f>IFERROR(__xludf.DUMMYFUNCTION("""COMPUTED_VALUE"""),"NYG")</f>
        <v>NYG</v>
      </c>
      <c r="G6754">
        <f>IFERROR(__xludf.DUMMYFUNCTION("""COMPUTED_VALUE"""),17.75)</f>
        <v>17.75</v>
      </c>
    </row>
    <row r="6755">
      <c r="D6755" t="str">
        <f>IFERROR(__xludf.DUMMYFUNCTION("""COMPUTED_VALUE"""),"Thompson")</f>
        <v>Thompson</v>
      </c>
      <c r="E6755" t="str">
        <f>IFERROR(__xludf.DUMMYFUNCTION("""COMPUTED_VALUE"""),"Deonte")</f>
        <v>Deonte</v>
      </c>
      <c r="F6755" t="str">
        <f>IFERROR(__xludf.DUMMYFUNCTION("""COMPUTED_VALUE"""),"DAL")</f>
        <v>DAL</v>
      </c>
      <c r="G6755">
        <f>IFERROR(__xludf.DUMMYFUNCTION("""COMPUTED_VALUE"""),18.5)</f>
        <v>18.5</v>
      </c>
    </row>
    <row r="6756">
      <c r="D6756" t="str">
        <f>IFERROR(__xludf.DUMMYFUNCTION("""COMPUTED_VALUE"""),"Thompson")</f>
        <v>Thompson</v>
      </c>
      <c r="E6756" t="str">
        <f>IFERROR(__xludf.DUMMYFUNCTION("""COMPUTED_VALUE"""),"Shaq")</f>
        <v>Shaq</v>
      </c>
      <c r="F6756" t="str">
        <f>IFERROR(__xludf.DUMMYFUNCTION("""COMPUTED_VALUE"""),"CAR")</f>
        <v>CAR</v>
      </c>
      <c r="G6756">
        <f>IFERROR(__xludf.DUMMYFUNCTION("""COMPUTED_VALUE"""),20.0)</f>
        <v>20</v>
      </c>
    </row>
    <row r="6757">
      <c r="D6757" t="str">
        <f>IFERROR(__xludf.DUMMYFUNCTION("""COMPUTED_VALUE"""),"Thompson")</f>
        <v>Thompson</v>
      </c>
      <c r="E6757" t="str">
        <f>IFERROR(__xludf.DUMMYFUNCTION("""COMPUTED_VALUE"""),"Tedric")</f>
        <v>Tedric</v>
      </c>
      <c r="F6757" t="str">
        <f>IFERROR(__xludf.DUMMYFUNCTION("""COMPUTED_VALUE"""),"SEA")</f>
        <v>SEA</v>
      </c>
      <c r="G6757">
        <f>IFERROR(__xludf.DUMMYFUNCTION("""COMPUTED_VALUE"""),18.0)</f>
        <v>18</v>
      </c>
    </row>
    <row r="6758">
      <c r="D6758" t="str">
        <f>IFERROR(__xludf.DUMMYFUNCTION("""COMPUTED_VALUE"""),"Thorpe")</f>
        <v>Thorpe</v>
      </c>
      <c r="E6758" t="str">
        <f>IFERROR(__xludf.DUMMYFUNCTION("""COMPUTED_VALUE"""),"Neiko")</f>
        <v>Neiko</v>
      </c>
      <c r="F6758" t="str">
        <f>IFERROR(__xludf.DUMMYFUNCTION("""COMPUTED_VALUE"""),"SEA")</f>
        <v>SEA</v>
      </c>
      <c r="G6758">
        <f>IFERROR(__xludf.DUMMYFUNCTION("""COMPUTED_VALUE"""),16.25)</f>
        <v>16.25</v>
      </c>
    </row>
    <row r="6759">
      <c r="D6759" t="str">
        <f>IFERROR(__xludf.DUMMYFUNCTION("""COMPUTED_VALUE"""),"Thuney")</f>
        <v>Thuney</v>
      </c>
      <c r="E6759" t="str">
        <f>IFERROR(__xludf.DUMMYFUNCTION("""COMPUTED_VALUE"""),"Joe")</f>
        <v>Joe</v>
      </c>
      <c r="F6759" t="str">
        <f>IFERROR(__xludf.DUMMYFUNCTION("""COMPUTED_VALUE"""),"NE")</f>
        <v>NE</v>
      </c>
      <c r="G6759">
        <f>IFERROR(__xludf.DUMMYFUNCTION("""COMPUTED_VALUE"""),20.0)</f>
        <v>20</v>
      </c>
    </row>
    <row r="6760">
      <c r="D6760" t="str">
        <f>IFERROR(__xludf.DUMMYFUNCTION("""COMPUTED_VALUE"""),"Timmons")</f>
        <v>Timmons</v>
      </c>
      <c r="E6760" t="str">
        <f>IFERROR(__xludf.DUMMYFUNCTION("""COMPUTED_VALUE"""),"Lawrence")</f>
        <v>Lawrence</v>
      </c>
      <c r="F6760" t="str">
        <f>IFERROR(__xludf.DUMMYFUNCTION("""COMPUTED_VALUE"""),"FA")</f>
        <v>FA</v>
      </c>
      <c r="G6760">
        <f>IFERROR(__xludf.DUMMYFUNCTION("""COMPUTED_VALUE"""),15.25)</f>
        <v>15.25</v>
      </c>
    </row>
    <row r="6761">
      <c r="D6761" t="str">
        <f>IFERROR(__xludf.DUMMYFUNCTION("""COMPUTED_VALUE"""),"Timu")</f>
        <v>Timu</v>
      </c>
      <c r="E6761" t="str">
        <f>IFERROR(__xludf.DUMMYFUNCTION("""COMPUTED_VALUE"""),"John")</f>
        <v>John</v>
      </c>
      <c r="F6761" t="str">
        <f>IFERROR(__xludf.DUMMYFUNCTION("""COMPUTED_VALUE"""),"CHI")</f>
        <v>CHI</v>
      </c>
      <c r="G6761">
        <f>IFERROR(__xludf.DUMMYFUNCTION("""COMPUTED_VALUE"""),18.75)</f>
        <v>18.75</v>
      </c>
    </row>
    <row r="6762">
      <c r="D6762" t="str">
        <f>IFERROR(__xludf.DUMMYFUNCTION("""COMPUTED_VALUE"""),"Tobin")</f>
        <v>Tobin</v>
      </c>
      <c r="E6762" t="str">
        <f>IFERROR(__xludf.DUMMYFUNCTION("""COMPUTED_VALUE"""),"Matt")</f>
        <v>Matt</v>
      </c>
      <c r="F6762" t="str">
        <f>IFERROR(__xludf.DUMMYFUNCTION("""COMPUTED_VALUE"""),"NE")</f>
        <v>NE</v>
      </c>
      <c r="G6762">
        <f>IFERROR(__xludf.DUMMYFUNCTION("""COMPUTED_VALUE"""),17.75)</f>
        <v>17.75</v>
      </c>
    </row>
    <row r="6763">
      <c r="D6763" t="str">
        <f>IFERROR(__xludf.DUMMYFUNCTION("""COMPUTED_VALUE"""),"Tocho")</f>
        <v>Tocho</v>
      </c>
      <c r="E6763" t="str">
        <f>IFERROR(__xludf.DUMMYFUNCTION("""COMPUTED_VALUE"""),"Jack")</f>
        <v>Jack</v>
      </c>
      <c r="F6763" t="str">
        <f>IFERROR(__xludf.DUMMYFUNCTION("""COMPUTED_VALUE"""),"MIN")</f>
        <v>MIN</v>
      </c>
      <c r="G6763">
        <f>IFERROR(__xludf.DUMMYFUNCTION("""COMPUTED_VALUE"""),16.75)</f>
        <v>16.75</v>
      </c>
    </row>
    <row r="6764">
      <c r="D6764" t="str">
        <f>IFERROR(__xludf.DUMMYFUNCTION("""COMPUTED_VALUE"""),"Toilolo")</f>
        <v>Toilolo</v>
      </c>
      <c r="E6764" t="str">
        <f>IFERROR(__xludf.DUMMYFUNCTION("""COMPUTED_VALUE"""),"Levine")</f>
        <v>Levine</v>
      </c>
      <c r="F6764" t="str">
        <f>IFERROR(__xludf.DUMMYFUNCTION("""COMPUTED_VALUE"""),"DET")</f>
        <v>DET</v>
      </c>
      <c r="G6764">
        <f>IFERROR(__xludf.DUMMYFUNCTION("""COMPUTED_VALUE"""),18.75)</f>
        <v>18.75</v>
      </c>
    </row>
    <row r="6765">
      <c r="D6765" t="str">
        <f>IFERROR(__xludf.DUMMYFUNCTION("""COMPUTED_VALUE"""),"Tom")</f>
        <v>Tom</v>
      </c>
      <c r="E6765" t="str">
        <f>IFERROR(__xludf.DUMMYFUNCTION("""COMPUTED_VALUE"""),"Cameron")</f>
        <v>Cameron</v>
      </c>
      <c r="F6765" t="str">
        <f>IFERROR(__xludf.DUMMYFUNCTION("""COMPUTED_VALUE"""),"NO")</f>
        <v>NO</v>
      </c>
      <c r="G6765">
        <f>IFERROR(__xludf.DUMMYFUNCTION("""COMPUTED_VALUE"""),15.75)</f>
        <v>15.75</v>
      </c>
    </row>
    <row r="6766">
      <c r="D6766" t="str">
        <f>IFERROR(__xludf.DUMMYFUNCTION("""COMPUTED_VALUE"""),"Tomlinson")</f>
        <v>Tomlinson</v>
      </c>
      <c r="E6766" t="str">
        <f>IFERROR(__xludf.DUMMYFUNCTION("""COMPUTED_VALUE"""),"Dalvin")</f>
        <v>Dalvin</v>
      </c>
      <c r="F6766" t="str">
        <f>IFERROR(__xludf.DUMMYFUNCTION("""COMPUTED_VALUE"""),"NYG")</f>
        <v>NYG</v>
      </c>
      <c r="G6766">
        <f>IFERROR(__xludf.DUMMYFUNCTION("""COMPUTED_VALUE"""),19.25)</f>
        <v>19.25</v>
      </c>
    </row>
    <row r="6767">
      <c r="D6767" t="str">
        <f>IFERROR(__xludf.DUMMYFUNCTION("""COMPUTED_VALUE"""),"Tomlinson")</f>
        <v>Tomlinson</v>
      </c>
      <c r="E6767" t="str">
        <f>IFERROR(__xludf.DUMMYFUNCTION("""COMPUTED_VALUE"""),"Eric")</f>
        <v>Eric</v>
      </c>
      <c r="F6767" t="str">
        <f>IFERROR(__xludf.DUMMYFUNCTION("""COMPUTED_VALUE"""),"NYJ")</f>
        <v>NYJ</v>
      </c>
      <c r="G6767">
        <f>IFERROR(__xludf.DUMMYFUNCTION("""COMPUTED_VALUE"""),17.5)</f>
        <v>17.5</v>
      </c>
    </row>
    <row r="6768">
      <c r="D6768" t="str">
        <f>IFERROR(__xludf.DUMMYFUNCTION("""COMPUTED_VALUE"""),"Tomlinson")</f>
        <v>Tomlinson</v>
      </c>
      <c r="E6768" t="str">
        <f>IFERROR(__xludf.DUMMYFUNCTION("""COMPUTED_VALUE"""),"Laken")</f>
        <v>Laken</v>
      </c>
      <c r="F6768" t="str">
        <f>IFERROR(__xludf.DUMMYFUNCTION("""COMPUTED_VALUE"""),"SF")</f>
        <v>SF</v>
      </c>
      <c r="G6768">
        <f>IFERROR(__xludf.DUMMYFUNCTION("""COMPUTED_VALUE"""),19.0)</f>
        <v>19</v>
      </c>
    </row>
    <row r="6769">
      <c r="D6769" t="str">
        <f>IFERROR(__xludf.DUMMYFUNCTION("""COMPUTED_VALUE"""),"Toner")</f>
        <v>Toner</v>
      </c>
      <c r="E6769" t="str">
        <f>IFERROR(__xludf.DUMMYFUNCTION("""COMPUTED_VALUE"""),"Cole")</f>
        <v>Cole</v>
      </c>
      <c r="F6769" t="str">
        <f>IFERROR(__xludf.DUMMYFUNCTION("""COMPUTED_VALUE"""),"LAC")</f>
        <v>LAC</v>
      </c>
      <c r="G6769">
        <f>IFERROR(__xludf.DUMMYFUNCTION("""COMPUTED_VALUE"""),15.5)</f>
        <v>15.5</v>
      </c>
    </row>
    <row r="6770">
      <c r="D6770" t="str">
        <f>IFERROR(__xludf.DUMMYFUNCTION("""COMPUTED_VALUE"""),"Toomer")</f>
        <v>Toomer</v>
      </c>
      <c r="E6770" t="str">
        <f>IFERROR(__xludf.DUMMYFUNCTION("""COMPUTED_VALUE"""),"Korey")</f>
        <v>Korey</v>
      </c>
      <c r="F6770" t="str">
        <f>IFERROR(__xludf.DUMMYFUNCTION("""COMPUTED_VALUE"""),"SF")</f>
        <v>SF</v>
      </c>
      <c r="G6770">
        <f>IFERROR(__xludf.DUMMYFUNCTION("""COMPUTED_VALUE"""),19.75)</f>
        <v>19.75</v>
      </c>
    </row>
    <row r="6771">
      <c r="D6771" t="str">
        <f>IFERROR(__xludf.DUMMYFUNCTION("""COMPUTED_VALUE"""),"Toussaint")</f>
        <v>Toussaint</v>
      </c>
      <c r="E6771" t="str">
        <f>IFERROR(__xludf.DUMMYFUNCTION("""COMPUTED_VALUE"""),"Fitzgerald")</f>
        <v>Fitzgerald</v>
      </c>
      <c r="F6771" t="str">
        <f>IFERROR(__xludf.DUMMYFUNCTION("""COMPUTED_VALUE"""),"PIT")</f>
        <v>PIT</v>
      </c>
      <c r="G6771">
        <f>IFERROR(__xludf.DUMMYFUNCTION("""COMPUTED_VALUE"""),16.5)</f>
        <v>16.5</v>
      </c>
    </row>
    <row r="6772">
      <c r="D6772" t="str">
        <f>IFERROR(__xludf.DUMMYFUNCTION("""COMPUTED_VALUE"""),"Towbridge")</f>
        <v>Towbridge</v>
      </c>
      <c r="E6772" t="str">
        <f>IFERROR(__xludf.DUMMYFUNCTION("""COMPUTED_VALUE"""),"Keith")</f>
        <v>Keith</v>
      </c>
      <c r="F6772" t="str">
        <f>IFERROR(__xludf.DUMMYFUNCTION("""COMPUTED_VALUE"""),"BUF")</f>
        <v>BUF</v>
      </c>
      <c r="G6772">
        <f>IFERROR(__xludf.DUMMYFUNCTION("""COMPUTED_VALUE"""),17.0)</f>
        <v>17</v>
      </c>
    </row>
    <row r="6773">
      <c r="D6773" t="str">
        <f>IFERROR(__xludf.DUMMYFUNCTION("""COMPUTED_VALUE"""),"Townsend")</f>
        <v>Townsend</v>
      </c>
      <c r="E6773" t="str">
        <f>IFERROR(__xludf.DUMMYFUNCTION("""COMPUTED_VALUE"""),"Johnny")</f>
        <v>Johnny</v>
      </c>
      <c r="F6773" t="str">
        <f>IFERROR(__xludf.DUMMYFUNCTION("""COMPUTED_VALUE"""),"OAK")</f>
        <v>OAK</v>
      </c>
      <c r="G6773">
        <f>IFERROR(__xludf.DUMMYFUNCTION("""COMPUTED_VALUE"""),19.25)</f>
        <v>19.25</v>
      </c>
    </row>
    <row r="6774">
      <c r="D6774" t="str">
        <f>IFERROR(__xludf.DUMMYFUNCTION("""COMPUTED_VALUE"""),"Travis")</f>
        <v>Travis</v>
      </c>
      <c r="E6774" t="str">
        <f>IFERROR(__xludf.DUMMYFUNCTION("""COMPUTED_VALUE"""),"Ross")</f>
        <v>Ross</v>
      </c>
      <c r="F6774" t="str">
        <f>IFERROR(__xludf.DUMMYFUNCTION("""COMPUTED_VALUE"""),"IND")</f>
        <v>IND</v>
      </c>
      <c r="G6774">
        <f>IFERROR(__xludf.DUMMYFUNCTION("""COMPUTED_VALUE"""),17.0)</f>
        <v>17</v>
      </c>
    </row>
    <row r="6775">
      <c r="D6775" t="str">
        <f>IFERROR(__xludf.DUMMYFUNCTION("""COMPUTED_VALUE"""),"Trawick")</f>
        <v>Trawick</v>
      </c>
      <c r="E6775" t="str">
        <f>IFERROR(__xludf.DUMMYFUNCTION("""COMPUTED_VALUE"""),"Brynden")</f>
        <v>Brynden</v>
      </c>
      <c r="F6775" t="str">
        <f>IFERROR(__xludf.DUMMYFUNCTION("""COMPUTED_VALUE"""),"TEN")</f>
        <v>TEN</v>
      </c>
      <c r="G6775">
        <f>IFERROR(__xludf.DUMMYFUNCTION("""COMPUTED_VALUE"""),16.5)</f>
        <v>16.5</v>
      </c>
    </row>
    <row r="6776">
      <c r="D6776" t="str">
        <f>IFERROR(__xludf.DUMMYFUNCTION("""COMPUTED_VALUE"""),"Traylor")</f>
        <v>Traylor</v>
      </c>
      <c r="E6776" t="str">
        <f>IFERROR(__xludf.DUMMYFUNCTION("""COMPUTED_VALUE"""),"Austin")</f>
        <v>Austin</v>
      </c>
      <c r="F6776" t="str">
        <f>IFERROR(__xludf.DUMMYFUNCTION("""COMPUTED_VALUE"""),"DEN")</f>
        <v>DEN</v>
      </c>
      <c r="G6776">
        <f>IFERROR(__xludf.DUMMYFUNCTION("""COMPUTED_VALUE"""),17.25)</f>
        <v>17.25</v>
      </c>
    </row>
    <row r="6777">
      <c r="D6777" t="str">
        <f>IFERROR(__xludf.DUMMYFUNCTION("""COMPUTED_VALUE"""),"Treadwell")</f>
        <v>Treadwell</v>
      </c>
      <c r="E6777" t="str">
        <f>IFERROR(__xludf.DUMMYFUNCTION("""COMPUTED_VALUE"""),"Laquon")</f>
        <v>Laquon</v>
      </c>
      <c r="F6777" t="str">
        <f>IFERROR(__xludf.DUMMYFUNCTION("""COMPUTED_VALUE"""),"MIN")</f>
        <v>MIN</v>
      </c>
      <c r="G6777">
        <f>IFERROR(__xludf.DUMMYFUNCTION("""COMPUTED_VALUE"""),18.25)</f>
        <v>18.25</v>
      </c>
    </row>
    <row r="6778">
      <c r="D6778" t="str">
        <f>IFERROR(__xludf.DUMMYFUNCTION("""COMPUTED_VALUE"""),"Treggs")</f>
        <v>Treggs</v>
      </c>
      <c r="E6778" t="str">
        <f>IFERROR(__xludf.DUMMYFUNCTION("""COMPUTED_VALUE"""),"Bryce")</f>
        <v>Bryce</v>
      </c>
      <c r="F6778" t="str">
        <f>IFERROR(__xludf.DUMMYFUNCTION("""COMPUTED_VALUE"""),"PHI")</f>
        <v>PHI</v>
      </c>
      <c r="G6778">
        <f>IFERROR(__xludf.DUMMYFUNCTION("""COMPUTED_VALUE"""),17.25)</f>
        <v>17.25</v>
      </c>
    </row>
    <row r="6779">
      <c r="D6779" t="str">
        <f>IFERROR(__xludf.DUMMYFUNCTION("""COMPUTED_VALUE"""),"Tretter")</f>
        <v>Tretter</v>
      </c>
      <c r="E6779" t="str">
        <f>IFERROR(__xludf.DUMMYFUNCTION("""COMPUTED_VALUE"""),"JC")</f>
        <v>JC</v>
      </c>
      <c r="F6779" t="str">
        <f>IFERROR(__xludf.DUMMYFUNCTION("""COMPUTED_VALUE"""),"CLE")</f>
        <v>CLE</v>
      </c>
      <c r="G6779">
        <f>IFERROR(__xludf.DUMMYFUNCTION("""COMPUTED_VALUE"""),19.25)</f>
        <v>19.25</v>
      </c>
    </row>
    <row r="6780">
      <c r="D6780" t="str">
        <f>IFERROR(__xludf.DUMMYFUNCTION("""COMPUTED_VALUE"""),"Trevathan")</f>
        <v>Trevathan</v>
      </c>
      <c r="E6780" t="str">
        <f>IFERROR(__xludf.DUMMYFUNCTION("""COMPUTED_VALUE"""),"Danny")</f>
        <v>Danny</v>
      </c>
      <c r="F6780" t="str">
        <f>IFERROR(__xludf.DUMMYFUNCTION("""COMPUTED_VALUE"""),"CHI")</f>
        <v>CHI</v>
      </c>
      <c r="G6780">
        <f>IFERROR(__xludf.DUMMYFUNCTION("""COMPUTED_VALUE"""),21.0)</f>
        <v>21</v>
      </c>
    </row>
    <row r="6781">
      <c r="D6781" t="str">
        <f>IFERROR(__xludf.DUMMYFUNCTION("""COMPUTED_VALUE"""),"Trevathan")</f>
        <v>Trevathan</v>
      </c>
      <c r="E6781" t="str">
        <f>IFERROR(__xludf.DUMMYFUNCTION("""COMPUTED_VALUE"""),"Danny")</f>
        <v>Danny</v>
      </c>
      <c r="F6781" t="str">
        <f>IFERROR(__xludf.DUMMYFUNCTION("""COMPUTED_VALUE"""),"DEN")</f>
        <v>DEN</v>
      </c>
      <c r="G6781">
        <f>IFERROR(__xludf.DUMMYFUNCTION("""COMPUTED_VALUE"""),22.0)</f>
        <v>22</v>
      </c>
    </row>
    <row r="6782">
      <c r="D6782" t="str">
        <f>IFERROR(__xludf.DUMMYFUNCTION("""COMPUTED_VALUE"""),"Trubisky")</f>
        <v>Trubisky</v>
      </c>
      <c r="E6782" t="str">
        <f>IFERROR(__xludf.DUMMYFUNCTION("""COMPUTED_VALUE"""),"Mitchell")</f>
        <v>Mitchell</v>
      </c>
      <c r="F6782" t="str">
        <f>IFERROR(__xludf.DUMMYFUNCTION("""COMPUTED_VALUE"""),"CHI")</f>
        <v>CHI</v>
      </c>
      <c r="G6782">
        <f>IFERROR(__xludf.DUMMYFUNCTION("""COMPUTED_VALUE"""),19.25)</f>
        <v>19.25</v>
      </c>
    </row>
    <row r="6783">
      <c r="D6783" t="str">
        <f>IFERROR(__xludf.DUMMYFUNCTION("""COMPUTED_VALUE"""),"Trufant")</f>
        <v>Trufant</v>
      </c>
      <c r="E6783" t="str">
        <f>IFERROR(__xludf.DUMMYFUNCTION("""COMPUTED_VALUE"""),"Desmond")</f>
        <v>Desmond</v>
      </c>
      <c r="F6783" t="str">
        <f>IFERROR(__xludf.DUMMYFUNCTION("""COMPUTED_VALUE"""),"ATL")</f>
        <v>ATL</v>
      </c>
      <c r="G6783">
        <f>IFERROR(__xludf.DUMMYFUNCTION("""COMPUTED_VALUE"""),21.75)</f>
        <v>21.75</v>
      </c>
    </row>
    <row r="6784">
      <c r="D6784" t="str">
        <f>IFERROR(__xludf.DUMMYFUNCTION("""COMPUTED_VALUE"""),"Tucker")</f>
        <v>Tucker</v>
      </c>
      <c r="E6784" t="str">
        <f>IFERROR(__xludf.DUMMYFUNCTION("""COMPUTED_VALUE"""),"Justin")</f>
        <v>Justin</v>
      </c>
      <c r="F6784" t="str">
        <f>IFERROR(__xludf.DUMMYFUNCTION("""COMPUTED_VALUE"""),"BAL")</f>
        <v>BAL</v>
      </c>
      <c r="G6784">
        <f>IFERROR(__xludf.DUMMYFUNCTION("""COMPUTED_VALUE"""),22.25)</f>
        <v>22.25</v>
      </c>
    </row>
    <row r="6785">
      <c r="D6785" t="str">
        <f>IFERROR(__xludf.DUMMYFUNCTION("""COMPUTED_VALUE"""),"Tucker")</f>
        <v>Tucker</v>
      </c>
      <c r="E6785" t="str">
        <f>IFERROR(__xludf.DUMMYFUNCTION("""COMPUTED_VALUE"""),"Marcus")</f>
        <v>Marcus</v>
      </c>
      <c r="F6785" t="str">
        <f>IFERROR(__xludf.DUMMYFUNCTION("""COMPUTED_VALUE"""),"PIT")</f>
        <v>PIT</v>
      </c>
      <c r="G6785">
        <f>IFERROR(__xludf.DUMMYFUNCTION("""COMPUTED_VALUE"""),15.75)</f>
        <v>15.75</v>
      </c>
    </row>
    <row r="6786">
      <c r="D6786" t="str">
        <f>IFERROR(__xludf.DUMMYFUNCTION("""COMPUTED_VALUE"""),"TuIkolovatu")</f>
        <v>TuIkolovatu</v>
      </c>
      <c r="E6786" t="str">
        <f>IFERROR(__xludf.DUMMYFUNCTION("""COMPUTED_VALUE"""),"Stevie")</f>
        <v>Stevie</v>
      </c>
      <c r="F6786" t="str">
        <f>IFERROR(__xludf.DUMMYFUNCTION("""COMPUTED_VALUE"""),"TB")</f>
        <v>TB</v>
      </c>
      <c r="G6786">
        <f>IFERROR(__xludf.DUMMYFUNCTION("""COMPUTED_VALUE"""),17.75)</f>
        <v>17.75</v>
      </c>
    </row>
    <row r="6787">
      <c r="D6787" t="str">
        <f>IFERROR(__xludf.DUMMYFUNCTION("""COMPUTED_VALUE"""),"Tuitt")</f>
        <v>Tuitt</v>
      </c>
      <c r="E6787" t="str">
        <f>IFERROR(__xludf.DUMMYFUNCTION("""COMPUTED_VALUE"""),"Stephon")</f>
        <v>Stephon</v>
      </c>
      <c r="F6787" t="str">
        <f>IFERROR(__xludf.DUMMYFUNCTION("""COMPUTED_VALUE"""),"PIT")</f>
        <v>PIT</v>
      </c>
      <c r="G6787">
        <f>IFERROR(__xludf.DUMMYFUNCTION("""COMPUTED_VALUE"""),20.25)</f>
        <v>20.25</v>
      </c>
    </row>
    <row r="6788">
      <c r="D6788" t="str">
        <f>IFERROR(__xludf.DUMMYFUNCTION("""COMPUTED_VALUE"""),"Tunsil")</f>
        <v>Tunsil</v>
      </c>
      <c r="E6788" t="str">
        <f>IFERROR(__xludf.DUMMYFUNCTION("""COMPUTED_VALUE"""),"Laremy")</f>
        <v>Laremy</v>
      </c>
      <c r="F6788" t="str">
        <f>IFERROR(__xludf.DUMMYFUNCTION("""COMPUTED_VALUE"""),"MIA")</f>
        <v>MIA</v>
      </c>
      <c r="G6788">
        <f>IFERROR(__xludf.DUMMYFUNCTION("""COMPUTED_VALUE"""),19.25)</f>
        <v>19.25</v>
      </c>
    </row>
    <row r="6789">
      <c r="D6789" t="str">
        <f>IFERROR(__xludf.DUMMYFUNCTION("""COMPUTED_VALUE"""),"Tupou")</f>
        <v>Tupou</v>
      </c>
      <c r="E6789" t="str">
        <f>IFERROR(__xludf.DUMMYFUNCTION("""COMPUTED_VALUE"""),"Josh")</f>
        <v>Josh</v>
      </c>
      <c r="F6789" t="str">
        <f>IFERROR(__xludf.DUMMYFUNCTION("""COMPUTED_VALUE"""),"CIN")</f>
        <v>CIN</v>
      </c>
      <c r="G6789">
        <f>IFERROR(__xludf.DUMMYFUNCTION("""COMPUTED_VALUE"""),15.5)</f>
        <v>15.5</v>
      </c>
    </row>
    <row r="6790">
      <c r="D6790" t="str">
        <f>IFERROR(__xludf.DUMMYFUNCTION("""COMPUTED_VALUE"""),"Turay")</f>
        <v>Turay</v>
      </c>
      <c r="E6790" t="str">
        <f>IFERROR(__xludf.DUMMYFUNCTION("""COMPUTED_VALUE"""),"Kemoko")</f>
        <v>Kemoko</v>
      </c>
      <c r="F6790" t="str">
        <f>IFERROR(__xludf.DUMMYFUNCTION("""COMPUTED_VALUE"""),"IND")</f>
        <v>IND</v>
      </c>
      <c r="G6790">
        <f>IFERROR(__xludf.DUMMYFUNCTION("""COMPUTED_VALUE"""),18.0)</f>
        <v>18</v>
      </c>
    </row>
    <row r="6791">
      <c r="D6791" t="str">
        <f>IFERROR(__xludf.DUMMYFUNCTION("""COMPUTED_VALUE"""),"Turbin")</f>
        <v>Turbin</v>
      </c>
      <c r="E6791" t="str">
        <f>IFERROR(__xludf.DUMMYFUNCTION("""COMPUTED_VALUE"""),"Robert")</f>
        <v>Robert</v>
      </c>
      <c r="F6791" t="str">
        <f>IFERROR(__xludf.DUMMYFUNCTION("""COMPUTED_VALUE"""),"IND")</f>
        <v>IND</v>
      </c>
      <c r="G6791">
        <f>IFERROR(__xludf.DUMMYFUNCTION("""COMPUTED_VALUE"""),18.25)</f>
        <v>18.25</v>
      </c>
    </row>
    <row r="6792">
      <c r="D6792" t="str">
        <f>IFERROR(__xludf.DUMMYFUNCTION("""COMPUTED_VALUE"""),"Turner")</f>
        <v>Turner</v>
      </c>
      <c r="E6792" t="str">
        <f>IFERROR(__xludf.DUMMYFUNCTION("""COMPUTED_VALUE"""),"Billy")</f>
        <v>Billy</v>
      </c>
      <c r="F6792" t="str">
        <f>IFERROR(__xludf.DUMMYFUNCTION("""COMPUTED_VALUE"""),"DEN")</f>
        <v>DEN</v>
      </c>
      <c r="G6792">
        <f>IFERROR(__xludf.DUMMYFUNCTION("""COMPUTED_VALUE"""),17.25)</f>
        <v>17.25</v>
      </c>
    </row>
    <row r="6793">
      <c r="D6793" t="str">
        <f>IFERROR(__xludf.DUMMYFUNCTION("""COMPUTED_VALUE"""),"Turner")</f>
        <v>Turner</v>
      </c>
      <c r="E6793" t="str">
        <f>IFERROR(__xludf.DUMMYFUNCTION("""COMPUTED_VALUE"""),"Trai")</f>
        <v>Trai</v>
      </c>
      <c r="F6793" t="str">
        <f>IFERROR(__xludf.DUMMYFUNCTION("""COMPUTED_VALUE"""),"CAR")</f>
        <v>CAR</v>
      </c>
      <c r="G6793">
        <f>IFERROR(__xludf.DUMMYFUNCTION("""COMPUTED_VALUE"""),20.5)</f>
        <v>20.5</v>
      </c>
    </row>
    <row r="6794">
      <c r="D6794" t="str">
        <f>IFERROR(__xludf.DUMMYFUNCTION("""COMPUTED_VALUE"""),"Tye")</f>
        <v>Tye</v>
      </c>
      <c r="E6794" t="str">
        <f>IFERROR(__xludf.DUMMYFUNCTION("""COMPUTED_VALUE"""),"Will")</f>
        <v>Will</v>
      </c>
      <c r="F6794" t="str">
        <f>IFERROR(__xludf.DUMMYFUNCTION("""COMPUTED_VALUE"""),"NE")</f>
        <v>NE</v>
      </c>
      <c r="G6794">
        <f>IFERROR(__xludf.DUMMYFUNCTION("""COMPUTED_VALUE"""),18.75)</f>
        <v>18.75</v>
      </c>
    </row>
    <row r="6795">
      <c r="D6795" t="str">
        <f>IFERROR(__xludf.DUMMYFUNCTION("""COMPUTED_VALUE"""),"Tyson")</f>
        <v>Tyson</v>
      </c>
      <c r="E6795" t="str">
        <f>IFERROR(__xludf.DUMMYFUNCTION("""COMPUTED_VALUE"""),"Mike")</f>
        <v>Mike</v>
      </c>
      <c r="F6795" t="str">
        <f>IFERROR(__xludf.DUMMYFUNCTION("""COMPUTED_VALUE"""),"SEA")</f>
        <v>SEA</v>
      </c>
      <c r="G6795">
        <f>IFERROR(__xludf.DUMMYFUNCTION("""COMPUTED_VALUE"""),17.0)</f>
        <v>17</v>
      </c>
    </row>
    <row r="6796">
      <c r="D6796" t="str">
        <f>IFERROR(__xludf.DUMMYFUNCTION("""COMPUTED_VALUE"""),"Unger")</f>
        <v>Unger</v>
      </c>
      <c r="E6796" t="str">
        <f>IFERROR(__xludf.DUMMYFUNCTION("""COMPUTED_VALUE"""),"Max")</f>
        <v>Max</v>
      </c>
      <c r="F6796" t="str">
        <f>IFERROR(__xludf.DUMMYFUNCTION("""COMPUTED_VALUE"""),"NO")</f>
        <v>NO</v>
      </c>
      <c r="G6796">
        <f>IFERROR(__xludf.DUMMYFUNCTION("""COMPUTED_VALUE"""),20.0)</f>
        <v>20</v>
      </c>
    </row>
    <row r="6797">
      <c r="D6797" t="str">
        <f>IFERROR(__xludf.DUMMYFUNCTION("""COMPUTED_VALUE"""),"Unrein")</f>
        <v>Unrein</v>
      </c>
      <c r="E6797" t="str">
        <f>IFERROR(__xludf.DUMMYFUNCTION("""COMPUTED_VALUE"""),"Mitch")</f>
        <v>Mitch</v>
      </c>
      <c r="F6797" t="str">
        <f>IFERROR(__xludf.DUMMYFUNCTION("""COMPUTED_VALUE"""),"TB")</f>
        <v>TB</v>
      </c>
      <c r="G6797">
        <f>IFERROR(__xludf.DUMMYFUNCTION("""COMPUTED_VALUE"""),19.5)</f>
        <v>19.5</v>
      </c>
    </row>
    <row r="6798">
      <c r="D6798" t="str">
        <f>IFERROR(__xludf.DUMMYFUNCTION("""COMPUTED_VALUE"""),"Urban")</f>
        <v>Urban</v>
      </c>
      <c r="E6798" t="str">
        <f>IFERROR(__xludf.DUMMYFUNCTION("""COMPUTED_VALUE"""),"Brent")</f>
        <v>Brent</v>
      </c>
      <c r="F6798" t="str">
        <f>IFERROR(__xludf.DUMMYFUNCTION("""COMPUTED_VALUE"""),"BAL")</f>
        <v>BAL</v>
      </c>
      <c r="G6798">
        <f>IFERROR(__xludf.DUMMYFUNCTION("""COMPUTED_VALUE"""),17.5)</f>
        <v>17.5</v>
      </c>
    </row>
    <row r="6799">
      <c r="D6799" t="str">
        <f>IFERROR(__xludf.DUMMYFUNCTION("""COMPUTED_VALUE"""),"Uzomah")</f>
        <v>Uzomah</v>
      </c>
      <c r="E6799" t="str">
        <f>IFERROR(__xludf.DUMMYFUNCTION("""COMPUTED_VALUE"""),"CJ")</f>
        <v>CJ</v>
      </c>
      <c r="F6799" t="str">
        <f>IFERROR(__xludf.DUMMYFUNCTION("""COMPUTED_VALUE"""),"CIN")</f>
        <v>CIN</v>
      </c>
      <c r="G6799">
        <f>IFERROR(__xludf.DUMMYFUNCTION("""COMPUTED_VALUE"""),18.5)</f>
        <v>18.5</v>
      </c>
    </row>
    <row r="6800">
      <c r="D6800" t="str">
        <f>IFERROR(__xludf.DUMMYFUNCTION("""COMPUTED_VALUE"""),"Vaccaro")</f>
        <v>Vaccaro</v>
      </c>
      <c r="E6800" t="str">
        <f>IFERROR(__xludf.DUMMYFUNCTION("""COMPUTED_VALUE"""),"Kenny")</f>
        <v>Kenny</v>
      </c>
      <c r="F6800" t="str">
        <f>IFERROR(__xludf.DUMMYFUNCTION("""COMPUTED_VALUE"""),"FA")</f>
        <v>FA</v>
      </c>
      <c r="G6800">
        <f>IFERROR(__xludf.DUMMYFUNCTION("""COMPUTED_VALUE"""),19.75)</f>
        <v>19.75</v>
      </c>
    </row>
    <row r="6801">
      <c r="D6801" t="str">
        <f>IFERROR(__xludf.DUMMYFUNCTION("""COMPUTED_VALUE"""),"Vaeao")</f>
        <v>Vaeao</v>
      </c>
      <c r="E6801" t="str">
        <f>IFERROR(__xludf.DUMMYFUNCTION("""COMPUTED_VALUE"""),"Destiny")</f>
        <v>Destiny</v>
      </c>
      <c r="F6801" t="str">
        <f>IFERROR(__xludf.DUMMYFUNCTION("""COMPUTED_VALUE"""),"PHI")</f>
        <v>PHI</v>
      </c>
      <c r="G6801">
        <f>IFERROR(__xludf.DUMMYFUNCTION("""COMPUTED_VALUE"""),15.75)</f>
        <v>15.75</v>
      </c>
    </row>
    <row r="6802">
      <c r="D6802" t="str">
        <f>IFERROR(__xludf.DUMMYFUNCTION("""COMPUTED_VALUE"""),"Vaitai")</f>
        <v>Vaitai</v>
      </c>
      <c r="E6802" t="str">
        <f>IFERROR(__xludf.DUMMYFUNCTION("""COMPUTED_VALUE"""),"Hal")</f>
        <v>Hal</v>
      </c>
      <c r="F6802" t="str">
        <f>IFERROR(__xludf.DUMMYFUNCTION("""COMPUTED_VALUE"""),"PHI")</f>
        <v>PHI</v>
      </c>
      <c r="G6802">
        <f>IFERROR(__xludf.DUMMYFUNCTION("""COMPUTED_VALUE"""),18.75)</f>
        <v>18.75</v>
      </c>
    </row>
    <row r="6803">
      <c r="D6803" t="str">
        <f>IFERROR(__xludf.DUMMYFUNCTION("""COMPUTED_VALUE"""),"Valdes-Scantling")</f>
        <v>Valdes-Scantling</v>
      </c>
      <c r="E6803" t="str">
        <f>IFERROR(__xludf.DUMMYFUNCTION("""COMPUTED_VALUE"""),"Marquez")</f>
        <v>Marquez</v>
      </c>
      <c r="F6803" t="str">
        <f>IFERROR(__xludf.DUMMYFUNCTION("""COMPUTED_VALUE"""),"GB")</f>
        <v>GB</v>
      </c>
      <c r="G6803">
        <f>IFERROR(__xludf.DUMMYFUNCTION("""COMPUTED_VALUE"""),18.25)</f>
        <v>18.25</v>
      </c>
    </row>
    <row r="6804">
      <c r="D6804" t="str">
        <f>IFERROR(__xludf.DUMMYFUNCTION("""COMPUTED_VALUE"""),"Valentine")</f>
        <v>Valentine</v>
      </c>
      <c r="E6804" t="str">
        <f>IFERROR(__xludf.DUMMYFUNCTION("""COMPUTED_VALUE"""),"Vincent")</f>
        <v>Vincent</v>
      </c>
      <c r="F6804" t="str">
        <f>IFERROR(__xludf.DUMMYFUNCTION("""COMPUTED_VALUE"""),"NE")</f>
        <v>NE</v>
      </c>
      <c r="G6804">
        <f>IFERROR(__xludf.DUMMYFUNCTION("""COMPUTED_VALUE"""),18.25)</f>
        <v>18.25</v>
      </c>
    </row>
    <row r="6805">
      <c r="D6805" t="str">
        <f>IFERROR(__xludf.DUMMYFUNCTION("""COMPUTED_VALUE"""),"Vallejo")</f>
        <v>Vallejo</v>
      </c>
      <c r="E6805" t="str">
        <f>IFERROR(__xludf.DUMMYFUNCTION("""COMPUTED_VALUE"""),"Tanner")</f>
        <v>Tanner</v>
      </c>
      <c r="F6805" t="str">
        <f>IFERROR(__xludf.DUMMYFUNCTION("""COMPUTED_VALUE"""),"BUF")</f>
        <v>BUF</v>
      </c>
      <c r="G6805">
        <f>IFERROR(__xludf.DUMMYFUNCTION("""COMPUTED_VALUE"""),16.5)</f>
        <v>16.5</v>
      </c>
    </row>
    <row r="6806">
      <c r="D6806" t="str">
        <f>IFERROR(__xludf.DUMMYFUNCTION("""COMPUTED_VALUE"""),"Valles")</f>
        <v>Valles</v>
      </c>
      <c r="E6806" t="str">
        <f>IFERROR(__xludf.DUMMYFUNCTION("""COMPUTED_VALUE"""),"Hakeem")</f>
        <v>Hakeem</v>
      </c>
      <c r="F6806" t="str">
        <f>IFERROR(__xludf.DUMMYFUNCTION("""COMPUTED_VALUE"""),"DET")</f>
        <v>DET</v>
      </c>
      <c r="G6806">
        <f>IFERROR(__xludf.DUMMYFUNCTION("""COMPUTED_VALUE"""),16.0)</f>
        <v>16</v>
      </c>
    </row>
    <row r="6807">
      <c r="D6807" t="str">
        <f>IFERROR(__xludf.DUMMYFUNCTION("""COMPUTED_VALUE"""),"Valoaga")</f>
        <v>Valoaga</v>
      </c>
      <c r="E6807" t="str">
        <f>IFERROR(__xludf.DUMMYFUNCTION("""COMPUTED_VALUE"""),"Jeremiah")</f>
        <v>Jeremiah</v>
      </c>
      <c r="F6807" t="str">
        <f>IFERROR(__xludf.DUMMYFUNCTION("""COMPUTED_VALUE"""),"DET")</f>
        <v>DET</v>
      </c>
      <c r="G6807">
        <f>IFERROR(__xludf.DUMMYFUNCTION("""COMPUTED_VALUE"""),15.75)</f>
        <v>15.75</v>
      </c>
    </row>
    <row r="6808">
      <c r="D6808" t="str">
        <f>IFERROR(__xludf.DUMMYFUNCTION("""COMPUTED_VALUE"""),"Van Noy")</f>
        <v>Van Noy</v>
      </c>
      <c r="E6808" t="str">
        <f>IFERROR(__xludf.DUMMYFUNCTION("""COMPUTED_VALUE"""),"Kyle")</f>
        <v>Kyle</v>
      </c>
      <c r="F6808" t="str">
        <f>IFERROR(__xludf.DUMMYFUNCTION("""COMPUTED_VALUE"""),"NE")</f>
        <v>NE</v>
      </c>
      <c r="G6808">
        <f>IFERROR(__xludf.DUMMYFUNCTION("""COMPUTED_VALUE"""),19.5)</f>
        <v>19.5</v>
      </c>
    </row>
    <row r="6809">
      <c r="D6809" t="str">
        <f>IFERROR(__xludf.DUMMYFUNCTION("""COMPUTED_VALUE"""),"Van Roten")</f>
        <v>Van Roten</v>
      </c>
      <c r="E6809" t="str">
        <f>IFERROR(__xludf.DUMMYFUNCTION("""COMPUTED_VALUE"""),"Greg")</f>
        <v>Greg</v>
      </c>
      <c r="F6809" t="str">
        <f>IFERROR(__xludf.DUMMYFUNCTION("""COMPUTED_VALUE"""),"CAR")</f>
        <v>CAR</v>
      </c>
      <c r="G6809">
        <f>IFERROR(__xludf.DUMMYFUNCTION("""COMPUTED_VALUE"""),17.75)</f>
        <v>17.75</v>
      </c>
    </row>
    <row r="6810">
      <c r="D6810" t="str">
        <f>IFERROR(__xludf.DUMMYFUNCTION("""COMPUTED_VALUE"""),"Vander Esch")</f>
        <v>Vander Esch</v>
      </c>
      <c r="E6810" t="str">
        <f>IFERROR(__xludf.DUMMYFUNCTION("""COMPUTED_VALUE"""),"Leighton")</f>
        <v>Leighton</v>
      </c>
      <c r="F6810" t="str">
        <f>IFERROR(__xludf.DUMMYFUNCTION("""COMPUTED_VALUE"""),"DAL")</f>
        <v>DAL</v>
      </c>
      <c r="G6810">
        <f>IFERROR(__xludf.DUMMYFUNCTION("""COMPUTED_VALUE"""),19.0)</f>
        <v>19</v>
      </c>
    </row>
    <row r="6811">
      <c r="D6811" t="str">
        <f>IFERROR(__xludf.DUMMYFUNCTION("""COMPUTED_VALUE"""),"Vanderdoes")</f>
        <v>Vanderdoes</v>
      </c>
      <c r="E6811" t="str">
        <f>IFERROR(__xludf.DUMMYFUNCTION("""COMPUTED_VALUE"""),"Eddie")</f>
        <v>Eddie</v>
      </c>
      <c r="F6811" t="str">
        <f>IFERROR(__xludf.DUMMYFUNCTION("""COMPUTED_VALUE"""),"OAK")</f>
        <v>OAK</v>
      </c>
      <c r="G6811">
        <f>IFERROR(__xludf.DUMMYFUNCTION("""COMPUTED_VALUE"""),18.0)</f>
        <v>18</v>
      </c>
    </row>
    <row r="6812">
      <c r="D6812" t="str">
        <f>IFERROR(__xludf.DUMMYFUNCTION("""COMPUTED_VALUE"""),"Vannett")</f>
        <v>Vannett</v>
      </c>
      <c r="E6812" t="str">
        <f>IFERROR(__xludf.DUMMYFUNCTION("""COMPUTED_VALUE"""),"Nick")</f>
        <v>Nick</v>
      </c>
      <c r="F6812" t="str">
        <f>IFERROR(__xludf.DUMMYFUNCTION("""COMPUTED_VALUE"""),"SEA")</f>
        <v>SEA</v>
      </c>
      <c r="G6812">
        <f>IFERROR(__xludf.DUMMYFUNCTION("""COMPUTED_VALUE"""),17.5)</f>
        <v>17.5</v>
      </c>
    </row>
    <row r="6813">
      <c r="D6813" t="str">
        <f>IFERROR(__xludf.DUMMYFUNCTION("""COMPUTED_VALUE"""),"Vea")</f>
        <v>Vea</v>
      </c>
      <c r="E6813" t="str">
        <f>IFERROR(__xludf.DUMMYFUNCTION("""COMPUTED_VALUE"""),"Vita")</f>
        <v>Vita</v>
      </c>
      <c r="F6813" t="str">
        <f>IFERROR(__xludf.DUMMYFUNCTION("""COMPUTED_VALUE"""),"TB")</f>
        <v>TB</v>
      </c>
      <c r="G6813">
        <f>IFERROR(__xludf.DUMMYFUNCTION("""COMPUTED_VALUE"""),19.5)</f>
        <v>19.5</v>
      </c>
    </row>
    <row r="6814">
      <c r="D6814" t="str">
        <f>IFERROR(__xludf.DUMMYFUNCTION("""COMPUTED_VALUE"""),"Vea")</f>
        <v>Vea</v>
      </c>
      <c r="E6814" t="str">
        <f>IFERROR(__xludf.DUMMYFUNCTION("""COMPUTED_VALUE"""),"Vita")</f>
        <v>Vita</v>
      </c>
      <c r="F6814" t="str">
        <f>IFERROR(__xludf.DUMMYFUNCTION("""COMPUTED_VALUE"""),"TB")</f>
        <v>TB</v>
      </c>
      <c r="G6814">
        <f>IFERROR(__xludf.DUMMYFUNCTION("""COMPUTED_VALUE"""),21.75)</f>
        <v>21.75</v>
      </c>
    </row>
    <row r="6815">
      <c r="D6815" t="str">
        <f>IFERROR(__xludf.DUMMYFUNCTION("""COMPUTED_VALUE"""),"Veldheer")</f>
        <v>Veldheer</v>
      </c>
      <c r="E6815" t="str">
        <f>IFERROR(__xludf.DUMMYFUNCTION("""COMPUTED_VALUE"""),"Jared")</f>
        <v>Jared</v>
      </c>
      <c r="F6815" t="str">
        <f>IFERROR(__xludf.DUMMYFUNCTION("""COMPUTED_VALUE"""),"DEN")</f>
        <v>DEN</v>
      </c>
      <c r="G6815">
        <f>IFERROR(__xludf.DUMMYFUNCTION("""COMPUTED_VALUE"""),19.25)</f>
        <v>19.25</v>
      </c>
    </row>
    <row r="6816">
      <c r="D6816" t="str">
        <f>IFERROR(__xludf.DUMMYFUNCTION("""COMPUTED_VALUE"""),"Verner")</f>
        <v>Verner</v>
      </c>
      <c r="E6816" t="str">
        <f>IFERROR(__xludf.DUMMYFUNCTION("""COMPUTED_VALUE"""),"Alterraun")</f>
        <v>Alterraun</v>
      </c>
      <c r="F6816" t="str">
        <f>IFERROR(__xludf.DUMMYFUNCTION("""COMPUTED_VALUE"""),"FA")</f>
        <v>FA</v>
      </c>
      <c r="G6816">
        <f>IFERROR(__xludf.DUMMYFUNCTION("""COMPUTED_VALUE"""),15.25)</f>
        <v>15.25</v>
      </c>
    </row>
    <row r="6817">
      <c r="D6817" t="str">
        <f>IFERROR(__xludf.DUMMYFUNCTION("""COMPUTED_VALUE"""),"Vernon")</f>
        <v>Vernon</v>
      </c>
      <c r="E6817" t="str">
        <f>IFERROR(__xludf.DUMMYFUNCTION("""COMPUTED_VALUE"""),"Olivier")</f>
        <v>Olivier</v>
      </c>
      <c r="F6817" t="str">
        <f>IFERROR(__xludf.DUMMYFUNCTION("""COMPUTED_VALUE"""),"NYG")</f>
        <v>NYG</v>
      </c>
      <c r="G6817">
        <f>IFERROR(__xludf.DUMMYFUNCTION("""COMPUTED_VALUE"""),20.0)</f>
        <v>20</v>
      </c>
    </row>
    <row r="6818">
      <c r="D6818" t="str">
        <f>IFERROR(__xludf.DUMMYFUNCTION("""COMPUTED_VALUE"""),"Verrett")</f>
        <v>Verrett</v>
      </c>
      <c r="E6818" t="str">
        <f>IFERROR(__xludf.DUMMYFUNCTION("""COMPUTED_VALUE"""),"Jason")</f>
        <v>Jason</v>
      </c>
      <c r="F6818" t="str">
        <f>IFERROR(__xludf.DUMMYFUNCTION("""COMPUTED_VALUE"""),"LAC")</f>
        <v>LAC</v>
      </c>
      <c r="G6818">
        <f>IFERROR(__xludf.DUMMYFUNCTION("""COMPUTED_VALUE"""),20.75)</f>
        <v>20.75</v>
      </c>
    </row>
    <row r="6819">
      <c r="D6819" t="str">
        <f>IFERROR(__xludf.DUMMYFUNCTION("""COMPUTED_VALUE"""),"Victor")</f>
        <v>Victor</v>
      </c>
      <c r="E6819" t="str">
        <f>IFERROR(__xludf.DUMMYFUNCTION("""COMPUTED_VALUE"""),"Azeem")</f>
        <v>Azeem</v>
      </c>
      <c r="F6819" t="str">
        <f>IFERROR(__xludf.DUMMYFUNCTION("""COMPUTED_VALUE"""),"OAK")</f>
        <v>OAK</v>
      </c>
      <c r="G6819">
        <f>IFERROR(__xludf.DUMMYFUNCTION("""COMPUTED_VALUE"""),17.0)</f>
        <v>17</v>
      </c>
    </row>
    <row r="6820">
      <c r="D6820" t="str">
        <f>IFERROR(__xludf.DUMMYFUNCTION("""COMPUTED_VALUE"""),"Vigil")</f>
        <v>Vigil</v>
      </c>
      <c r="E6820" t="str">
        <f>IFERROR(__xludf.DUMMYFUNCTION("""COMPUTED_VALUE"""),"Nick")</f>
        <v>Nick</v>
      </c>
      <c r="F6820" t="str">
        <f>IFERROR(__xludf.DUMMYFUNCTION("""COMPUTED_VALUE"""),"CIN")</f>
        <v>CIN</v>
      </c>
      <c r="G6820">
        <f>IFERROR(__xludf.DUMMYFUNCTION("""COMPUTED_VALUE"""),17.5)</f>
        <v>17.5</v>
      </c>
    </row>
    <row r="6821">
      <c r="D6821" t="str">
        <f>IFERROR(__xludf.DUMMYFUNCTION("""COMPUTED_VALUE"""),"Vigil")</f>
        <v>Vigil</v>
      </c>
      <c r="E6821" t="str">
        <f>IFERROR(__xludf.DUMMYFUNCTION("""COMPUTED_VALUE"""),"Zach")</f>
        <v>Zach</v>
      </c>
      <c r="F6821" t="str">
        <f>IFERROR(__xludf.DUMMYFUNCTION("""COMPUTED_VALUE"""),"WAS")</f>
        <v>WAS</v>
      </c>
      <c r="G6821">
        <f>IFERROR(__xludf.DUMMYFUNCTION("""COMPUTED_VALUE"""),18.75)</f>
        <v>18.75</v>
      </c>
    </row>
    <row r="6822">
      <c r="D6822" t="str">
        <f>IFERROR(__xludf.DUMMYFUNCTION("""COMPUTED_VALUE"""),"Villanueva")</f>
        <v>Villanueva</v>
      </c>
      <c r="E6822" t="str">
        <f>IFERROR(__xludf.DUMMYFUNCTION("""COMPUTED_VALUE"""),"Alejandro")</f>
        <v>Alejandro</v>
      </c>
      <c r="F6822" t="str">
        <f>IFERROR(__xludf.DUMMYFUNCTION("""COMPUTED_VALUE"""),"PIT")</f>
        <v>PIT</v>
      </c>
      <c r="G6822">
        <f>IFERROR(__xludf.DUMMYFUNCTION("""COMPUTED_VALUE"""),19.5)</f>
        <v>19.5</v>
      </c>
    </row>
    <row r="6823">
      <c r="D6823" t="str">
        <f>IFERROR(__xludf.DUMMYFUNCTION("""COMPUTED_VALUE"""),"Vinatieri")</f>
        <v>Vinatieri</v>
      </c>
      <c r="E6823" t="str">
        <f>IFERROR(__xludf.DUMMYFUNCTION("""COMPUTED_VALUE"""),"Adam")</f>
        <v>Adam</v>
      </c>
      <c r="F6823" t="str">
        <f>IFERROR(__xludf.DUMMYFUNCTION("""COMPUTED_VALUE"""),"IND")</f>
        <v>IND</v>
      </c>
      <c r="G6823">
        <f>IFERROR(__xludf.DUMMYFUNCTION("""COMPUTED_VALUE"""),20.0)</f>
        <v>20</v>
      </c>
    </row>
    <row r="6824">
      <c r="D6824" t="str">
        <f>IFERROR(__xludf.DUMMYFUNCTION("""COMPUTED_VALUE"""),"Virgin")</f>
        <v>Virgin</v>
      </c>
      <c r="E6824" t="str">
        <f>IFERROR(__xludf.DUMMYFUNCTION("""COMPUTED_VALUE"""),"Dee")</f>
        <v>Dee</v>
      </c>
      <c r="F6824" t="str">
        <f>IFERROR(__xludf.DUMMYFUNCTION("""COMPUTED_VALUE"""),"HOU")</f>
        <v>HOU</v>
      </c>
      <c r="G6824">
        <f>IFERROR(__xludf.DUMMYFUNCTION("""COMPUTED_VALUE"""),16.5)</f>
        <v>16.5</v>
      </c>
    </row>
    <row r="6825">
      <c r="D6825" t="str">
        <f>IFERROR(__xludf.DUMMYFUNCTION("""COMPUTED_VALUE"""),"Vitale")</f>
        <v>Vitale</v>
      </c>
      <c r="E6825" t="str">
        <f>IFERROR(__xludf.DUMMYFUNCTION("""COMPUTED_VALUE"""),"Danny")</f>
        <v>Danny</v>
      </c>
      <c r="F6825" t="str">
        <f>IFERROR(__xludf.DUMMYFUNCTION("""COMPUTED_VALUE"""),"CLE")</f>
        <v>CLE</v>
      </c>
      <c r="G6825">
        <f>IFERROR(__xludf.DUMMYFUNCTION("""COMPUTED_VALUE"""),17.25)</f>
        <v>17.25</v>
      </c>
    </row>
    <row r="6826">
      <c r="D6826" t="str">
        <f>IFERROR(__xludf.DUMMYFUNCTION("""COMPUTED_VALUE"""),"Vogel")</f>
        <v>Vogel</v>
      </c>
      <c r="E6826" t="str">
        <f>IFERROR(__xludf.DUMMYFUNCTION("""COMPUTED_VALUE"""),"Justin")</f>
        <v>Justin</v>
      </c>
      <c r="F6826" t="str">
        <f>IFERROR(__xludf.DUMMYFUNCTION("""COMPUTED_VALUE"""),"CLE")</f>
        <v>CLE</v>
      </c>
      <c r="G6826">
        <f>IFERROR(__xludf.DUMMYFUNCTION("""COMPUTED_VALUE"""),19.25)</f>
        <v>19.25</v>
      </c>
    </row>
    <row r="6827">
      <c r="D6827" t="str">
        <f>IFERROR(__xludf.DUMMYFUNCTION("""COMPUTED_VALUE"""),"Vujnovich")</f>
        <v>Vujnovich</v>
      </c>
      <c r="E6827" t="str">
        <f>IFERROR(__xludf.DUMMYFUNCTION("""COMPUTED_VALUE"""),"Jeremy")</f>
        <v>Jeremy</v>
      </c>
      <c r="F6827" t="str">
        <f>IFERROR(__xludf.DUMMYFUNCTION("""COMPUTED_VALUE"""),"IND")</f>
        <v>IND</v>
      </c>
      <c r="G6827">
        <f>IFERROR(__xludf.DUMMYFUNCTION("""COMPUTED_VALUE"""),17.5)</f>
        <v>17.5</v>
      </c>
    </row>
    <row r="6828">
      <c r="D6828" t="str">
        <f>IFERROR(__xludf.DUMMYFUNCTION("""COMPUTED_VALUE"""),"Waddle")</f>
        <v>Waddle</v>
      </c>
      <c r="E6828" t="str">
        <f>IFERROR(__xludf.DUMMYFUNCTION("""COMPUTED_VALUE"""),"LaAdrian")</f>
        <v>LaAdrian</v>
      </c>
      <c r="F6828" t="str">
        <f>IFERROR(__xludf.DUMMYFUNCTION("""COMPUTED_VALUE"""),"NE")</f>
        <v>NE</v>
      </c>
      <c r="G6828">
        <f>IFERROR(__xludf.DUMMYFUNCTION("""COMPUTED_VALUE"""),18.25)</f>
        <v>18.25</v>
      </c>
    </row>
    <row r="6829">
      <c r="D6829" t="str">
        <f>IFERROR(__xludf.DUMMYFUNCTION("""COMPUTED_VALUE"""),"Wagner")</f>
        <v>Wagner</v>
      </c>
      <c r="E6829" t="str">
        <f>IFERROR(__xludf.DUMMYFUNCTION("""COMPUTED_VALUE"""),"Rick")</f>
        <v>Rick</v>
      </c>
      <c r="F6829" t="str">
        <f>IFERROR(__xludf.DUMMYFUNCTION("""COMPUTED_VALUE"""),"DET")</f>
        <v>DET</v>
      </c>
      <c r="G6829">
        <f>IFERROR(__xludf.DUMMYFUNCTION("""COMPUTED_VALUE"""),20.75)</f>
        <v>20.75</v>
      </c>
    </row>
    <row r="6830">
      <c r="D6830" t="str">
        <f>IFERROR(__xludf.DUMMYFUNCTION("""COMPUTED_VALUE"""),"Wake")</f>
        <v>Wake</v>
      </c>
      <c r="E6830" t="str">
        <f>IFERROR(__xludf.DUMMYFUNCTION("""COMPUTED_VALUE"""),"Cameron")</f>
        <v>Cameron</v>
      </c>
      <c r="F6830" t="str">
        <f>IFERROR(__xludf.DUMMYFUNCTION("""COMPUTED_VALUE"""),"MIA")</f>
        <v>MIA</v>
      </c>
      <c r="G6830">
        <f>IFERROR(__xludf.DUMMYFUNCTION("""COMPUTED_VALUE"""),20.25)</f>
        <v>20.25</v>
      </c>
    </row>
    <row r="6831">
      <c r="D6831" t="str">
        <f>IFERROR(__xludf.DUMMYFUNCTION("""COMPUTED_VALUE"""),"Walford")</f>
        <v>Walford</v>
      </c>
      <c r="E6831" t="str">
        <f>IFERROR(__xludf.DUMMYFUNCTION("""COMPUTED_VALUE"""),"Clive")</f>
        <v>Clive</v>
      </c>
      <c r="F6831" t="str">
        <f>IFERROR(__xludf.DUMMYFUNCTION("""COMPUTED_VALUE"""),"NYJ")</f>
        <v>NYJ</v>
      </c>
      <c r="G6831">
        <f>IFERROR(__xludf.DUMMYFUNCTION("""COMPUTED_VALUE"""),18.25)</f>
        <v>18.25</v>
      </c>
    </row>
    <row r="6832">
      <c r="D6832" t="str">
        <f>IFERROR(__xludf.DUMMYFUNCTION("""COMPUTED_VALUE"""),"Walker")</f>
        <v>Walker</v>
      </c>
      <c r="E6832" t="str">
        <f>IFERROR(__xludf.DUMMYFUNCTION("""COMPUTED_VALUE"""),"Delanie")</f>
        <v>Delanie</v>
      </c>
      <c r="F6832" t="str">
        <f>IFERROR(__xludf.DUMMYFUNCTION("""COMPUTED_VALUE"""),"TEN")</f>
        <v>TEN</v>
      </c>
      <c r="G6832">
        <f>IFERROR(__xludf.DUMMYFUNCTION("""COMPUTED_VALUE"""),21.5)</f>
        <v>21.5</v>
      </c>
    </row>
    <row r="6833">
      <c r="D6833" t="str">
        <f>IFERROR(__xludf.DUMMYFUNCTION("""COMPUTED_VALUE"""),"Walker")</f>
        <v>Walker</v>
      </c>
      <c r="E6833" t="str">
        <f>IFERROR(__xludf.DUMMYFUNCTION("""COMPUTED_VALUE"""),"Delanie")</f>
        <v>Delanie</v>
      </c>
      <c r="F6833" t="str">
        <f>IFERROR(__xludf.DUMMYFUNCTION("""COMPUTED_VALUE"""),"TEN")</f>
        <v>TEN</v>
      </c>
      <c r="G6833">
        <f>IFERROR(__xludf.DUMMYFUNCTION("""COMPUTED_VALUE"""),22.5)</f>
        <v>22.5</v>
      </c>
    </row>
    <row r="6834">
      <c r="D6834" t="str">
        <f>IFERROR(__xludf.DUMMYFUNCTION("""COMPUTED_VALUE"""),"Walker")</f>
        <v>Walker</v>
      </c>
      <c r="E6834" t="str">
        <f>IFERROR(__xludf.DUMMYFUNCTION("""COMPUTED_VALUE"""),"DeMarcus")</f>
        <v>DeMarcus</v>
      </c>
      <c r="F6834" t="str">
        <f>IFERROR(__xludf.DUMMYFUNCTION("""COMPUTED_VALUE"""),"DEN")</f>
        <v>DEN</v>
      </c>
      <c r="G6834">
        <f>IFERROR(__xludf.DUMMYFUNCTION("""COMPUTED_VALUE"""),17.75)</f>
        <v>17.75</v>
      </c>
    </row>
    <row r="6835">
      <c r="D6835" t="str">
        <f>IFERROR(__xludf.DUMMYFUNCTION("""COMPUTED_VALUE"""),"Walker")</f>
        <v>Walker</v>
      </c>
      <c r="E6835" t="str">
        <f>IFERROR(__xludf.DUMMYFUNCTION("""COMPUTED_VALUE"""),"Joe")</f>
        <v>Joe</v>
      </c>
      <c r="F6835" t="str">
        <f>IFERROR(__xludf.DUMMYFUNCTION("""COMPUTED_VALUE"""),"PHI")</f>
        <v>PHI</v>
      </c>
      <c r="G6835">
        <f>IFERROR(__xludf.DUMMYFUNCTION("""COMPUTED_VALUE"""),16.75)</f>
        <v>16.75</v>
      </c>
    </row>
    <row r="6836">
      <c r="D6836" t="str">
        <f>IFERROR(__xludf.DUMMYFUNCTION("""COMPUTED_VALUE"""),"Walker")</f>
        <v>Walker</v>
      </c>
      <c r="E6836" t="str">
        <f>IFERROR(__xludf.DUMMYFUNCTION("""COMPUTED_VALUE"""),"Tracy")</f>
        <v>Tracy</v>
      </c>
      <c r="F6836" t="str">
        <f>IFERROR(__xludf.DUMMYFUNCTION("""COMPUTED_VALUE"""),"DET")</f>
        <v>DET</v>
      </c>
      <c r="G6836">
        <f>IFERROR(__xludf.DUMMYFUNCTION("""COMPUTED_VALUE"""),17.75)</f>
        <v>17.75</v>
      </c>
    </row>
    <row r="6837">
      <c r="D6837" t="str">
        <f>IFERROR(__xludf.DUMMYFUNCTION("""COMPUTED_VALUE"""),"Walker Jr")</f>
        <v>Walker Jr</v>
      </c>
      <c r="E6837" t="str">
        <f>IFERROR(__xludf.DUMMYFUNCTION("""COMPUTED_VALUE"""),"Anthony")</f>
        <v>Anthony</v>
      </c>
      <c r="F6837" t="str">
        <f>IFERROR(__xludf.DUMMYFUNCTION("""COMPUTED_VALUE"""),"IND")</f>
        <v>IND</v>
      </c>
      <c r="G6837">
        <f>IFERROR(__xludf.DUMMYFUNCTION("""COMPUTED_VALUE"""),17.25)</f>
        <v>17.25</v>
      </c>
    </row>
    <row r="6838">
      <c r="D6838" t="str">
        <f>IFERROR(__xludf.DUMMYFUNCTION("""COMPUTED_VALUE"""),"Wallace")</f>
        <v>Wallace</v>
      </c>
      <c r="E6838" t="str">
        <f>IFERROR(__xludf.DUMMYFUNCTION("""COMPUTED_VALUE"""),"Aaron")</f>
        <v>Aaron</v>
      </c>
      <c r="F6838" t="str">
        <f>IFERROR(__xludf.DUMMYFUNCTION("""COMPUTED_VALUE"""),"TEN")</f>
        <v>TEN</v>
      </c>
      <c r="G6838">
        <f>IFERROR(__xludf.DUMMYFUNCTION("""COMPUTED_VALUE"""),16.75)</f>
        <v>16.75</v>
      </c>
    </row>
    <row r="6839">
      <c r="D6839" t="str">
        <f>IFERROR(__xludf.DUMMYFUNCTION("""COMPUTED_VALUE"""),"Wallace")</f>
        <v>Wallace</v>
      </c>
      <c r="E6839" t="str">
        <f>IFERROR(__xludf.DUMMYFUNCTION("""COMPUTED_VALUE"""),"Mike")</f>
        <v>Mike</v>
      </c>
      <c r="F6839" t="str">
        <f>IFERROR(__xludf.DUMMYFUNCTION("""COMPUTED_VALUE"""),"PHI")</f>
        <v>PHI</v>
      </c>
      <c r="G6839">
        <f>IFERROR(__xludf.DUMMYFUNCTION("""COMPUTED_VALUE"""),19.75)</f>
        <v>19.75</v>
      </c>
    </row>
    <row r="6840">
      <c r="D6840" t="str">
        <f>IFERROR(__xludf.DUMMYFUNCTION("""COMPUTED_VALUE"""),"Walton")</f>
        <v>Walton</v>
      </c>
      <c r="E6840" t="str">
        <f>IFERROR(__xludf.DUMMYFUNCTION("""COMPUTED_VALUE"""),"LT")</f>
        <v>LT</v>
      </c>
      <c r="F6840" t="str">
        <f>IFERROR(__xludf.DUMMYFUNCTION("""COMPUTED_VALUE"""),"PIT")</f>
        <v>PIT</v>
      </c>
      <c r="G6840">
        <f>IFERROR(__xludf.DUMMYFUNCTION("""COMPUTED_VALUE"""),17.0)</f>
        <v>17</v>
      </c>
    </row>
    <row r="6841">
      <c r="D6841" t="str">
        <f>IFERROR(__xludf.DUMMYFUNCTION("""COMPUTED_VALUE"""),"Walton Jr")</f>
        <v>Walton Jr</v>
      </c>
      <c r="E6841" t="str">
        <f>IFERROR(__xludf.DUMMYFUNCTION("""COMPUTED_VALUE"""),"Mark")</f>
        <v>Mark</v>
      </c>
      <c r="F6841" t="str">
        <f>IFERROR(__xludf.DUMMYFUNCTION("""COMPUTED_VALUE"""),"CIN")</f>
        <v>CIN</v>
      </c>
      <c r="G6841">
        <f>IFERROR(__xludf.DUMMYFUNCTION("""COMPUTED_VALUE"""),17.75)</f>
        <v>17.75</v>
      </c>
    </row>
    <row r="6842">
      <c r="D6842" t="str">
        <f>IFERROR(__xludf.DUMMYFUNCTION("""COMPUTED_VALUE"""),"Ward")</f>
        <v>Ward</v>
      </c>
      <c r="E6842" t="str">
        <f>IFERROR(__xludf.DUMMYFUNCTION("""COMPUTED_VALUE"""),"Channing")</f>
        <v>Channing</v>
      </c>
      <c r="F6842" t="str">
        <f>IFERROR(__xludf.DUMMYFUNCTION("""COMPUTED_VALUE"""),"TB")</f>
        <v>TB</v>
      </c>
      <c r="G6842">
        <f>IFERROR(__xludf.DUMMYFUNCTION("""COMPUTED_VALUE"""),15.75)</f>
        <v>15.75</v>
      </c>
    </row>
    <row r="6843">
      <c r="D6843" t="str">
        <f>IFERROR(__xludf.DUMMYFUNCTION("""COMPUTED_VALUE"""),"Ward")</f>
        <v>Ward</v>
      </c>
      <c r="E6843" t="str">
        <f>IFERROR(__xludf.DUMMYFUNCTION("""COMPUTED_VALUE"""),"Denzel")</f>
        <v>Denzel</v>
      </c>
      <c r="F6843" t="str">
        <f>IFERROR(__xludf.DUMMYFUNCTION("""COMPUTED_VALUE"""),"CLE")</f>
        <v>CLE</v>
      </c>
      <c r="G6843">
        <f>IFERROR(__xludf.DUMMYFUNCTION("""COMPUTED_VALUE"""),19.75)</f>
        <v>19.75</v>
      </c>
    </row>
    <row r="6844">
      <c r="D6844" t="str">
        <f>IFERROR(__xludf.DUMMYFUNCTION("""COMPUTED_VALUE"""),"Ward")</f>
        <v>Ward</v>
      </c>
      <c r="E6844" t="str">
        <f>IFERROR(__xludf.DUMMYFUNCTION("""COMPUTED_VALUE"""),"Jihad")</f>
        <v>Jihad</v>
      </c>
      <c r="F6844" t="str">
        <f>IFERROR(__xludf.DUMMYFUNCTION("""COMPUTED_VALUE"""),"DAL")</f>
        <v>DAL</v>
      </c>
      <c r="G6844">
        <f>IFERROR(__xludf.DUMMYFUNCTION("""COMPUTED_VALUE"""),16.25)</f>
        <v>16.25</v>
      </c>
    </row>
    <row r="6845">
      <c r="D6845" t="str">
        <f>IFERROR(__xludf.DUMMYFUNCTION("""COMPUTED_VALUE"""),"Ward")</f>
        <v>Ward</v>
      </c>
      <c r="E6845" t="str">
        <f>IFERROR(__xludf.DUMMYFUNCTION("""COMPUTED_VALUE"""),"Jimmie")</f>
        <v>Jimmie</v>
      </c>
      <c r="F6845" t="str">
        <f>IFERROR(__xludf.DUMMYFUNCTION("""COMPUTED_VALUE"""),"SF")</f>
        <v>SF</v>
      </c>
      <c r="G6845">
        <f>IFERROR(__xludf.DUMMYFUNCTION("""COMPUTED_VALUE"""),18.5)</f>
        <v>18.5</v>
      </c>
    </row>
    <row r="6846">
      <c r="D6846" t="str">
        <f>IFERROR(__xludf.DUMMYFUNCTION("""COMPUTED_VALUE"""),"Ward")</f>
        <v>Ward</v>
      </c>
      <c r="E6846" t="str">
        <f>IFERROR(__xludf.DUMMYFUNCTION("""COMPUTED_VALUE"""),"TJ")</f>
        <v>TJ</v>
      </c>
      <c r="F6846" t="str">
        <f>IFERROR(__xludf.DUMMYFUNCTION("""COMPUTED_VALUE"""),"FA")</f>
        <v>FA</v>
      </c>
      <c r="G6846">
        <f>IFERROR(__xludf.DUMMYFUNCTION("""COMPUTED_VALUE"""),19.0)</f>
        <v>19</v>
      </c>
    </row>
    <row r="6847">
      <c r="D6847" t="str">
        <f>IFERROR(__xludf.DUMMYFUNCTION("""COMPUTED_VALUE"""),"Ware")</f>
        <v>Ware</v>
      </c>
      <c r="E6847" t="str">
        <f>IFERROR(__xludf.DUMMYFUNCTION("""COMPUTED_VALUE"""),"Jylan")</f>
        <v>Jylan</v>
      </c>
      <c r="F6847" t="str">
        <f>IFERROR(__xludf.DUMMYFUNCTION("""COMPUTED_VALUE"""),"OAK")</f>
        <v>OAK</v>
      </c>
      <c r="G6847">
        <f>IFERROR(__xludf.DUMMYFUNCTION("""COMPUTED_VALUE"""),17.0)</f>
        <v>17</v>
      </c>
    </row>
    <row r="6848">
      <c r="D6848" t="str">
        <f>IFERROR(__xludf.DUMMYFUNCTION("""COMPUTED_VALUE"""),"Ware")</f>
        <v>Ware</v>
      </c>
      <c r="E6848" t="str">
        <f>IFERROR(__xludf.DUMMYFUNCTION("""COMPUTED_VALUE"""),"Spencer")</f>
        <v>Spencer</v>
      </c>
      <c r="F6848" t="str">
        <f>IFERROR(__xludf.DUMMYFUNCTION("""COMPUTED_VALUE"""),"KC")</f>
        <v>KC</v>
      </c>
      <c r="G6848">
        <f>IFERROR(__xludf.DUMMYFUNCTION("""COMPUTED_VALUE"""),19.75)</f>
        <v>19.75</v>
      </c>
    </row>
    <row r="6849">
      <c r="D6849" t="str">
        <f>IFERROR(__xludf.DUMMYFUNCTION("""COMPUTED_VALUE"""),"Warford")</f>
        <v>Warford</v>
      </c>
      <c r="E6849" t="str">
        <f>IFERROR(__xludf.DUMMYFUNCTION("""COMPUTED_VALUE"""),"Larry")</f>
        <v>Larry</v>
      </c>
      <c r="F6849" t="str">
        <f>IFERROR(__xludf.DUMMYFUNCTION("""COMPUTED_VALUE"""),"NO")</f>
        <v>NO</v>
      </c>
      <c r="G6849">
        <f>IFERROR(__xludf.DUMMYFUNCTION("""COMPUTED_VALUE"""),19.5)</f>
        <v>19.5</v>
      </c>
    </row>
    <row r="6850">
      <c r="D6850" t="str">
        <f>IFERROR(__xludf.DUMMYFUNCTION("""COMPUTED_VALUE"""),"Warmack")</f>
        <v>Warmack</v>
      </c>
      <c r="E6850" t="str">
        <f>IFERROR(__xludf.DUMMYFUNCTION("""COMPUTED_VALUE"""),"Chance")</f>
        <v>Chance</v>
      </c>
      <c r="F6850" t="str">
        <f>IFERROR(__xludf.DUMMYFUNCTION("""COMPUTED_VALUE"""),"PHI")</f>
        <v>PHI</v>
      </c>
      <c r="G6850">
        <f>IFERROR(__xludf.DUMMYFUNCTION("""COMPUTED_VALUE"""),18.5)</f>
        <v>18.5</v>
      </c>
    </row>
    <row r="6851">
      <c r="D6851" t="str">
        <f>IFERROR(__xludf.DUMMYFUNCTION("""COMPUTED_VALUE"""),"Warmsley")</f>
        <v>Warmsley</v>
      </c>
      <c r="E6851" t="str">
        <f>IFERROR(__xludf.DUMMYFUNCTION("""COMPUTED_VALUE"""),"Julius")</f>
        <v>Julius</v>
      </c>
      <c r="F6851" t="str">
        <f>IFERROR(__xludf.DUMMYFUNCTION("""COMPUTED_VALUE"""),"TEN")</f>
        <v>TEN</v>
      </c>
      <c r="G6851">
        <f>IFERROR(__xludf.DUMMYFUNCTION("""COMPUTED_VALUE"""),16.25)</f>
        <v>16.25</v>
      </c>
    </row>
    <row r="6852">
      <c r="D6852" t="str">
        <f>IFERROR(__xludf.DUMMYFUNCTION("""COMPUTED_VALUE"""),"Warner")</f>
        <v>Warner</v>
      </c>
      <c r="E6852" t="str">
        <f>IFERROR(__xludf.DUMMYFUNCTION("""COMPUTED_VALUE"""),"Fred")</f>
        <v>Fred</v>
      </c>
      <c r="F6852" t="str">
        <f>IFERROR(__xludf.DUMMYFUNCTION("""COMPUTED_VALUE"""),"SF")</f>
        <v>SF</v>
      </c>
      <c r="G6852">
        <f>IFERROR(__xludf.DUMMYFUNCTION("""COMPUTED_VALUE"""),18.25)</f>
        <v>18.25</v>
      </c>
    </row>
    <row r="6853">
      <c r="D6853" t="str">
        <f>IFERROR(__xludf.DUMMYFUNCTION("""COMPUTED_VALUE"""),"Washington")</f>
        <v>Washington</v>
      </c>
      <c r="E6853" t="str">
        <f>IFERROR(__xludf.DUMMYFUNCTION("""COMPUTED_VALUE"""),"Adolphus")</f>
        <v>Adolphus</v>
      </c>
      <c r="F6853" t="str">
        <f>IFERROR(__xludf.DUMMYFUNCTION("""COMPUTED_VALUE"""),"BUF")</f>
        <v>BUF</v>
      </c>
      <c r="G6853">
        <f>IFERROR(__xludf.DUMMYFUNCTION("""COMPUTED_VALUE"""),17.0)</f>
        <v>17</v>
      </c>
    </row>
    <row r="6854">
      <c r="D6854" t="str">
        <f>IFERROR(__xludf.DUMMYFUNCTION("""COMPUTED_VALUE"""),"Washington")</f>
        <v>Washington</v>
      </c>
      <c r="E6854" t="str">
        <f>IFERROR(__xludf.DUMMYFUNCTION("""COMPUTED_VALUE"""),"Charles")</f>
        <v>Charles</v>
      </c>
      <c r="F6854" t="str">
        <f>IFERROR(__xludf.DUMMYFUNCTION("""COMPUTED_VALUE"""),"DET")</f>
        <v>DET</v>
      </c>
      <c r="G6854">
        <f>IFERROR(__xludf.DUMMYFUNCTION("""COMPUTED_VALUE"""),15.75)</f>
        <v>15.75</v>
      </c>
    </row>
    <row r="6855">
      <c r="D6855" t="str">
        <f>IFERROR(__xludf.DUMMYFUNCTION("""COMPUTED_VALUE"""),"Washington")</f>
        <v>Washington</v>
      </c>
      <c r="E6855" t="str">
        <f>IFERROR(__xludf.DUMMYFUNCTION("""COMPUTED_VALUE"""),"Cornelius")</f>
        <v>Cornelius</v>
      </c>
      <c r="F6855" t="str">
        <f>IFERROR(__xludf.DUMMYFUNCTION("""COMPUTED_VALUE"""),"DET")</f>
        <v>DET</v>
      </c>
      <c r="G6855">
        <f>IFERROR(__xludf.DUMMYFUNCTION("""COMPUTED_VALUE"""),18.5)</f>
        <v>18.5</v>
      </c>
    </row>
    <row r="6856">
      <c r="D6856" t="str">
        <f>IFERROR(__xludf.DUMMYFUNCTION("""COMPUTED_VALUE"""),"Washington")</f>
        <v>Washington</v>
      </c>
      <c r="E6856" t="str">
        <f>IFERROR(__xludf.DUMMYFUNCTION("""COMPUTED_VALUE"""),"DeAndre")</f>
        <v>DeAndre</v>
      </c>
      <c r="F6856" t="str">
        <f>IFERROR(__xludf.DUMMYFUNCTION("""COMPUTED_VALUE"""),"OAK")</f>
        <v>OAK</v>
      </c>
      <c r="G6856">
        <f>IFERROR(__xludf.DUMMYFUNCTION("""COMPUTED_VALUE"""),18.25)</f>
        <v>18.25</v>
      </c>
    </row>
    <row r="6857">
      <c r="D6857" t="str">
        <f>IFERROR(__xludf.DUMMYFUNCTION("""COMPUTED_VALUE"""),"Washington")</f>
        <v>Washington</v>
      </c>
      <c r="E6857" t="str">
        <f>IFERROR(__xludf.DUMMYFUNCTION("""COMPUTED_VALUE"""),"James")</f>
        <v>James</v>
      </c>
      <c r="F6857" t="str">
        <f>IFERROR(__xludf.DUMMYFUNCTION("""COMPUTED_VALUE"""),"PIT")</f>
        <v>PIT</v>
      </c>
      <c r="G6857">
        <f>IFERROR(__xludf.DUMMYFUNCTION("""COMPUTED_VALUE"""),19.0)</f>
        <v>19</v>
      </c>
    </row>
    <row r="6858">
      <c r="D6858" t="str">
        <f>IFERROR(__xludf.DUMMYFUNCTION("""COMPUTED_VALUE"""),"Waters")</f>
        <v>Waters</v>
      </c>
      <c r="E6858" t="str">
        <f>IFERROR(__xludf.DUMMYFUNCTION("""COMPUTED_VALUE"""),"Herb")</f>
        <v>Herb</v>
      </c>
      <c r="F6858" t="str">
        <f>IFERROR(__xludf.DUMMYFUNCTION("""COMPUTED_VALUE"""),"GB")</f>
        <v>GB</v>
      </c>
      <c r="G6858">
        <f>IFERROR(__xludf.DUMMYFUNCTION("""COMPUTED_VALUE"""),15.75)</f>
        <v>15.75</v>
      </c>
    </row>
    <row r="6859">
      <c r="D6859" t="str">
        <f>IFERROR(__xludf.DUMMYFUNCTION("""COMPUTED_VALUE"""),"Watkins")</f>
        <v>Watkins</v>
      </c>
      <c r="E6859" t="str">
        <f>IFERROR(__xludf.DUMMYFUNCTION("""COMPUTED_VALUE"""),"Carlos")</f>
        <v>Carlos</v>
      </c>
      <c r="F6859" t="str">
        <f>IFERROR(__xludf.DUMMYFUNCTION("""COMPUTED_VALUE"""),"HOU")</f>
        <v>HOU</v>
      </c>
      <c r="G6859">
        <f>IFERROR(__xludf.DUMMYFUNCTION("""COMPUTED_VALUE"""),18.25)</f>
        <v>18.25</v>
      </c>
    </row>
    <row r="6860">
      <c r="D6860" t="str">
        <f>IFERROR(__xludf.DUMMYFUNCTION("""COMPUTED_VALUE"""),"Watkins")</f>
        <v>Watkins</v>
      </c>
      <c r="E6860" t="str">
        <f>IFERROR(__xludf.DUMMYFUNCTION("""COMPUTED_VALUE"""),"Jaylen")</f>
        <v>Jaylen</v>
      </c>
      <c r="F6860" t="str">
        <f>IFERROR(__xludf.DUMMYFUNCTION("""COMPUTED_VALUE"""),"LAC")</f>
        <v>LAC</v>
      </c>
      <c r="G6860">
        <f>IFERROR(__xludf.DUMMYFUNCTION("""COMPUTED_VALUE"""),18.5)</f>
        <v>18.5</v>
      </c>
    </row>
    <row r="6861">
      <c r="D6861" t="str">
        <f>IFERROR(__xludf.DUMMYFUNCTION("""COMPUTED_VALUE"""),"Watkins")</f>
        <v>Watkins</v>
      </c>
      <c r="E6861" t="str">
        <f>IFERROR(__xludf.DUMMYFUNCTION("""COMPUTED_VALUE"""),"Sammy")</f>
        <v>Sammy</v>
      </c>
      <c r="F6861" t="str">
        <f>IFERROR(__xludf.DUMMYFUNCTION("""COMPUTED_VALUE"""),"KC")</f>
        <v>KC</v>
      </c>
      <c r="G6861">
        <f>IFERROR(__xludf.DUMMYFUNCTION("""COMPUTED_VALUE"""),20.25)</f>
        <v>20.25</v>
      </c>
    </row>
    <row r="6862">
      <c r="D6862" t="str">
        <f>IFERROR(__xludf.DUMMYFUNCTION("""COMPUTED_VALUE"""),"Watson")</f>
        <v>Watson</v>
      </c>
      <c r="E6862" t="str">
        <f>IFERROR(__xludf.DUMMYFUNCTION("""COMPUTED_VALUE"""),"Dekoda")</f>
        <v>Dekoda</v>
      </c>
      <c r="F6862" t="str">
        <f>IFERROR(__xludf.DUMMYFUNCTION("""COMPUTED_VALUE"""),"SF")</f>
        <v>SF</v>
      </c>
      <c r="G6862">
        <f>IFERROR(__xludf.DUMMYFUNCTION("""COMPUTED_VALUE"""),17.5)</f>
        <v>17.5</v>
      </c>
    </row>
    <row r="6863">
      <c r="D6863" t="str">
        <f>IFERROR(__xludf.DUMMYFUNCTION("""COMPUTED_VALUE"""),"Watson")</f>
        <v>Watson</v>
      </c>
      <c r="E6863" t="str">
        <f>IFERROR(__xludf.DUMMYFUNCTION("""COMPUTED_VALUE"""),"Deshaun")</f>
        <v>Deshaun</v>
      </c>
      <c r="F6863" t="str">
        <f>IFERROR(__xludf.DUMMYFUNCTION("""COMPUTED_VALUE"""),"HOU")</f>
        <v>HOU</v>
      </c>
      <c r="G6863">
        <f>IFERROR(__xludf.DUMMYFUNCTION("""COMPUTED_VALUE"""),20.0)</f>
        <v>20</v>
      </c>
    </row>
    <row r="6864">
      <c r="D6864" t="str">
        <f>IFERROR(__xludf.DUMMYFUNCTION("""COMPUTED_VALUE"""),"Watson")</f>
        <v>Watson</v>
      </c>
      <c r="E6864" t="str">
        <f>IFERROR(__xludf.DUMMYFUNCTION("""COMPUTED_VALUE"""),"Justin")</f>
        <v>Justin</v>
      </c>
      <c r="F6864" t="str">
        <f>IFERROR(__xludf.DUMMYFUNCTION("""COMPUTED_VALUE"""),"TB")</f>
        <v>TB</v>
      </c>
      <c r="G6864">
        <f>IFERROR(__xludf.DUMMYFUNCTION("""COMPUTED_VALUE"""),18.0)</f>
        <v>18</v>
      </c>
    </row>
    <row r="6865">
      <c r="D6865" t="str">
        <f>IFERROR(__xludf.DUMMYFUNCTION("""COMPUTED_VALUE"""),"Watson")</f>
        <v>Watson</v>
      </c>
      <c r="E6865" t="str">
        <f>IFERROR(__xludf.DUMMYFUNCTION("""COMPUTED_VALUE"""),"Menelik")</f>
        <v>Menelik</v>
      </c>
      <c r="F6865" t="str">
        <f>IFERROR(__xludf.DUMMYFUNCTION("""COMPUTED_VALUE"""),"DEN")</f>
        <v>DEN</v>
      </c>
      <c r="G6865">
        <f>IFERROR(__xludf.DUMMYFUNCTION("""COMPUTED_VALUE"""),17.75)</f>
        <v>17.75</v>
      </c>
    </row>
    <row r="6866">
      <c r="D6866" t="str">
        <f>IFERROR(__xludf.DUMMYFUNCTION("""COMPUTED_VALUE"""),"Watt")</f>
        <v>Watt</v>
      </c>
      <c r="E6866" t="str">
        <f>IFERROR(__xludf.DUMMYFUNCTION("""COMPUTED_VALUE"""),"Derek")</f>
        <v>Derek</v>
      </c>
      <c r="F6866" t="str">
        <f>IFERROR(__xludf.DUMMYFUNCTION("""COMPUTED_VALUE"""),"LAC")</f>
        <v>LAC</v>
      </c>
      <c r="G6866">
        <f>IFERROR(__xludf.DUMMYFUNCTION("""COMPUTED_VALUE"""),17.25)</f>
        <v>17.25</v>
      </c>
    </row>
    <row r="6867">
      <c r="D6867" t="str">
        <f>IFERROR(__xludf.DUMMYFUNCTION("""COMPUTED_VALUE"""),"Watt")</f>
        <v>Watt</v>
      </c>
      <c r="E6867" t="str">
        <f>IFERROR(__xludf.DUMMYFUNCTION("""COMPUTED_VALUE"""),"JJ")</f>
        <v>JJ</v>
      </c>
      <c r="F6867" t="str">
        <f>IFERROR(__xludf.DUMMYFUNCTION("""COMPUTED_VALUE"""),"HOU")</f>
        <v>HOU</v>
      </c>
      <c r="G6867">
        <f>IFERROR(__xludf.DUMMYFUNCTION("""COMPUTED_VALUE"""),22.25)</f>
        <v>22.25</v>
      </c>
    </row>
    <row r="6868">
      <c r="D6868" t="str">
        <f>IFERROR(__xludf.DUMMYFUNCTION("""COMPUTED_VALUE"""),"Watt")</f>
        <v>Watt</v>
      </c>
      <c r="E6868" t="str">
        <f>IFERROR(__xludf.DUMMYFUNCTION("""COMPUTED_VALUE"""),"TJ")</f>
        <v>TJ</v>
      </c>
      <c r="F6868" t="str">
        <f>IFERROR(__xludf.DUMMYFUNCTION("""COMPUTED_VALUE"""),"PIT")</f>
        <v>PIT</v>
      </c>
      <c r="G6868">
        <f>IFERROR(__xludf.DUMMYFUNCTION("""COMPUTED_VALUE"""),20.0)</f>
        <v>20</v>
      </c>
    </row>
    <row r="6869">
      <c r="D6869" t="str">
        <f>IFERROR(__xludf.DUMMYFUNCTION("""COMPUTED_VALUE"""),"Watts")</f>
        <v>Watts</v>
      </c>
      <c r="E6869" t="str">
        <f>IFERROR(__xludf.DUMMYFUNCTION("""COMPUTED_VALUE"""),"Armani")</f>
        <v>Armani</v>
      </c>
      <c r="F6869" t="str">
        <f>IFERROR(__xludf.DUMMYFUNCTION("""COMPUTED_VALUE"""),"KC")</f>
        <v>KC</v>
      </c>
      <c r="G6869">
        <f>IFERROR(__xludf.DUMMYFUNCTION("""COMPUTED_VALUE"""),17.0)</f>
        <v>17</v>
      </c>
    </row>
    <row r="6870">
      <c r="D6870" t="str">
        <f>IFERROR(__xludf.DUMMYFUNCTION("""COMPUTED_VALUE"""),"Waynes")</f>
        <v>Waynes</v>
      </c>
      <c r="E6870" t="str">
        <f>IFERROR(__xludf.DUMMYFUNCTION("""COMPUTED_VALUE"""),"Trae")</f>
        <v>Trae</v>
      </c>
      <c r="F6870" t="str">
        <f>IFERROR(__xludf.DUMMYFUNCTION("""COMPUTED_VALUE"""),"MIN")</f>
        <v>MIN</v>
      </c>
      <c r="G6870">
        <f>IFERROR(__xludf.DUMMYFUNCTION("""COMPUTED_VALUE"""),19.75)</f>
        <v>19.75</v>
      </c>
    </row>
    <row r="6871">
      <c r="D6871" t="str">
        <f>IFERROR(__xludf.DUMMYFUNCTION("""COMPUTED_VALUE"""),"Weatherly")</f>
        <v>Weatherly</v>
      </c>
      <c r="E6871" t="str">
        <f>IFERROR(__xludf.DUMMYFUNCTION("""COMPUTED_VALUE"""),"Stephen")</f>
        <v>Stephen</v>
      </c>
      <c r="F6871" t="str">
        <f>IFERROR(__xludf.DUMMYFUNCTION("""COMPUTED_VALUE"""),"MIN")</f>
        <v>MIN</v>
      </c>
      <c r="G6871">
        <f>IFERROR(__xludf.DUMMYFUNCTION("""COMPUTED_VALUE"""),16.0)</f>
        <v>16</v>
      </c>
    </row>
    <row r="6872">
      <c r="D6872" t="str">
        <f>IFERROR(__xludf.DUMMYFUNCTION("""COMPUTED_VALUE"""),"Webb")</f>
        <v>Webb</v>
      </c>
      <c r="E6872" t="str">
        <f>IFERROR(__xludf.DUMMYFUNCTION("""COMPUTED_VALUE"""),"Davis")</f>
        <v>Davis</v>
      </c>
      <c r="F6872" t="str">
        <f>IFERROR(__xludf.DUMMYFUNCTION("""COMPUTED_VALUE"""),"NYG")</f>
        <v>NYG</v>
      </c>
      <c r="G6872">
        <f>IFERROR(__xludf.DUMMYFUNCTION("""COMPUTED_VALUE"""),18.0)</f>
        <v>18</v>
      </c>
    </row>
    <row r="6873">
      <c r="D6873" t="str">
        <f>IFERROR(__xludf.DUMMYFUNCTION("""COMPUTED_VALUE"""),"Webb III")</f>
        <v>Webb III</v>
      </c>
      <c r="E6873" t="str">
        <f>IFERROR(__xludf.DUMMYFUNCTION("""COMPUTED_VALUE"""),"Joe")</f>
        <v>Joe</v>
      </c>
      <c r="F6873" t="str">
        <f>IFERROR(__xludf.DUMMYFUNCTION("""COMPUTED_VALUE"""),"HOU")</f>
        <v>HOU</v>
      </c>
      <c r="G6873">
        <f>IFERROR(__xludf.DUMMYFUNCTION("""COMPUTED_VALUE"""),17.0)</f>
        <v>17</v>
      </c>
    </row>
    <row r="6874">
      <c r="D6874" t="str">
        <f>IFERROR(__xludf.DUMMYFUNCTION("""COMPUTED_VALUE"""),"Webster")</f>
        <v>Webster</v>
      </c>
      <c r="E6874" t="str">
        <f>IFERROR(__xludf.DUMMYFUNCTION("""COMPUTED_VALUE"""),"Kayvon")</f>
        <v>Kayvon</v>
      </c>
      <c r="F6874" t="str">
        <f>IFERROR(__xludf.DUMMYFUNCTION("""COMPUTED_VALUE"""),"FA")</f>
        <v>FA</v>
      </c>
      <c r="G6874">
        <f>IFERROR(__xludf.DUMMYFUNCTION("""COMPUTED_VALUE"""),15.25)</f>
        <v>15.25</v>
      </c>
    </row>
    <row r="6875">
      <c r="D6875" t="str">
        <f>IFERROR(__xludf.DUMMYFUNCTION("""COMPUTED_VALUE"""),"Weddle")</f>
        <v>Weddle</v>
      </c>
      <c r="E6875" t="str">
        <f>IFERROR(__xludf.DUMMYFUNCTION("""COMPUTED_VALUE"""),"Eric")</f>
        <v>Eric</v>
      </c>
      <c r="F6875" t="str">
        <f>IFERROR(__xludf.DUMMYFUNCTION("""COMPUTED_VALUE"""),"BAL")</f>
        <v>BAL</v>
      </c>
      <c r="G6875">
        <f>IFERROR(__xludf.DUMMYFUNCTION("""COMPUTED_VALUE"""),20.25)</f>
        <v>20.25</v>
      </c>
    </row>
    <row r="6876">
      <c r="D6876" t="str">
        <f>IFERROR(__xludf.DUMMYFUNCTION("""COMPUTED_VALUE"""),"Weeden")</f>
        <v>Weeden</v>
      </c>
      <c r="E6876" t="str">
        <f>IFERROR(__xludf.DUMMYFUNCTION("""COMPUTED_VALUE"""),"Brandon")</f>
        <v>Brandon</v>
      </c>
      <c r="F6876" t="str">
        <f>IFERROR(__xludf.DUMMYFUNCTION("""COMPUTED_VALUE"""),"HOU")</f>
        <v>HOU</v>
      </c>
      <c r="G6876">
        <f>IFERROR(__xludf.DUMMYFUNCTION("""COMPUTED_VALUE"""),16.5)</f>
        <v>16.5</v>
      </c>
    </row>
    <row r="6877">
      <c r="D6877" t="str">
        <f>IFERROR(__xludf.DUMMYFUNCTION("""COMPUTED_VALUE"""),"Wells")</f>
        <v>Wells</v>
      </c>
      <c r="E6877" t="str">
        <f>IFERROR(__xludf.DUMMYFUNCTION("""COMPUTED_VALUE"""),"Josh")</f>
        <v>Josh</v>
      </c>
      <c r="F6877" t="str">
        <f>IFERROR(__xludf.DUMMYFUNCTION("""COMPUTED_VALUE"""),"JAX")</f>
        <v>JAX</v>
      </c>
      <c r="G6877">
        <f>IFERROR(__xludf.DUMMYFUNCTION("""COMPUTED_VALUE"""),17.5)</f>
        <v>17.5</v>
      </c>
    </row>
    <row r="6878">
      <c r="D6878" t="str">
        <f>IFERROR(__xludf.DUMMYFUNCTION("""COMPUTED_VALUE"""),"Wentz")</f>
        <v>Wentz</v>
      </c>
      <c r="E6878" t="str">
        <f>IFERROR(__xludf.DUMMYFUNCTION("""COMPUTED_VALUE"""),"Carson")</f>
        <v>Carson</v>
      </c>
      <c r="F6878" t="str">
        <f>IFERROR(__xludf.DUMMYFUNCTION("""COMPUTED_VALUE"""),"PHI")</f>
        <v>PHI</v>
      </c>
      <c r="G6878">
        <f>IFERROR(__xludf.DUMMYFUNCTION("""COMPUTED_VALUE"""),21.25)</f>
        <v>21.25</v>
      </c>
    </row>
    <row r="6879">
      <c r="D6879" t="str">
        <f>IFERROR(__xludf.DUMMYFUNCTION("""COMPUTED_VALUE"""),"Wesley")</f>
        <v>Wesley</v>
      </c>
      <c r="E6879" t="str">
        <f>IFERROR(__xludf.DUMMYFUNCTION("""COMPUTED_VALUE"""),"DeOndre")</f>
        <v>DeOndre</v>
      </c>
      <c r="F6879" t="str">
        <f>IFERROR(__xludf.DUMMYFUNCTION("""COMPUTED_VALUE"""),"BUF")</f>
        <v>BUF</v>
      </c>
      <c r="G6879">
        <f>IFERROR(__xludf.DUMMYFUNCTION("""COMPUTED_VALUE"""),16.75)</f>
        <v>16.75</v>
      </c>
    </row>
    <row r="6880">
      <c r="D6880" t="str">
        <f>IFERROR(__xludf.DUMMYFUNCTION("""COMPUTED_VALUE"""),"West")</f>
        <v>West</v>
      </c>
      <c r="E6880" t="str">
        <f>IFERROR(__xludf.DUMMYFUNCTION("""COMPUTED_VALUE"""),"Charcandrick")</f>
        <v>Charcandrick</v>
      </c>
      <c r="F6880" t="str">
        <f>IFERROR(__xludf.DUMMYFUNCTION("""COMPUTED_VALUE"""),"KC")</f>
        <v>KC</v>
      </c>
      <c r="G6880">
        <f>IFERROR(__xludf.DUMMYFUNCTION("""COMPUTED_VALUE"""),19.0)</f>
        <v>19</v>
      </c>
    </row>
    <row r="6881">
      <c r="D6881" t="str">
        <f>IFERROR(__xludf.DUMMYFUNCTION("""COMPUTED_VALUE"""),"West")</f>
        <v>West</v>
      </c>
      <c r="E6881" t="str">
        <f>IFERROR(__xludf.DUMMYFUNCTION("""COMPUTED_VALUE"""),"Terrance")</f>
        <v>Terrance</v>
      </c>
      <c r="F6881" t="str">
        <f>IFERROR(__xludf.DUMMYFUNCTION("""COMPUTED_VALUE"""),"NO")</f>
        <v>NO</v>
      </c>
      <c r="G6881">
        <f>IFERROR(__xludf.DUMMYFUNCTION("""COMPUTED_VALUE"""),18.25)</f>
        <v>18.25</v>
      </c>
    </row>
    <row r="6882">
      <c r="D6882" t="str">
        <f>IFERROR(__xludf.DUMMYFUNCTION("""COMPUTED_VALUE"""),"Westbrook")</f>
        <v>Westbrook</v>
      </c>
      <c r="E6882" t="str">
        <f>IFERROR(__xludf.DUMMYFUNCTION("""COMPUTED_VALUE"""),"Dede")</f>
        <v>Dede</v>
      </c>
      <c r="F6882" t="str">
        <f>IFERROR(__xludf.DUMMYFUNCTION("""COMPUTED_VALUE"""),"JAX")</f>
        <v>JAX</v>
      </c>
      <c r="G6882">
        <f>IFERROR(__xludf.DUMMYFUNCTION("""COMPUTED_VALUE"""),19.25)</f>
        <v>19.25</v>
      </c>
    </row>
    <row r="6883">
      <c r="D6883" t="str">
        <f>IFERROR(__xludf.DUMMYFUNCTION("""COMPUTED_VALUE"""),"Westbrooks")</f>
        <v>Westbrooks</v>
      </c>
      <c r="E6883" t="str">
        <f>IFERROR(__xludf.DUMMYFUNCTION("""COMPUTED_VALUE"""),"Ethan")</f>
        <v>Ethan</v>
      </c>
      <c r="F6883" t="str">
        <f>IFERROR(__xludf.DUMMYFUNCTION("""COMPUTED_VALUE"""),"LAR")</f>
        <v>LAR</v>
      </c>
      <c r="G6883">
        <f>IFERROR(__xludf.DUMMYFUNCTION("""COMPUTED_VALUE"""),17.75)</f>
        <v>17.75</v>
      </c>
    </row>
    <row r="6884">
      <c r="D6884" t="str">
        <f>IFERROR(__xludf.DUMMYFUNCTION("""COMPUTED_VALUE"""),"Wester")</f>
        <v>Wester</v>
      </c>
      <c r="E6884" t="str">
        <f>IFERROR(__xludf.DUMMYFUNCTION("""COMPUTED_VALUE"""),"Leonard")</f>
        <v>Leonard</v>
      </c>
      <c r="F6884" t="str">
        <f>IFERROR(__xludf.DUMMYFUNCTION("""COMPUTED_VALUE"""),"TB")</f>
        <v>TB</v>
      </c>
      <c r="G6884">
        <f>IFERROR(__xludf.DUMMYFUNCTION("""COMPUTED_VALUE"""),16.25)</f>
        <v>16.25</v>
      </c>
    </row>
    <row r="6885">
      <c r="D6885" t="str">
        <f>IFERROR(__xludf.DUMMYFUNCTION("""COMPUTED_VALUE"""),"Westerman")</f>
        <v>Westerman</v>
      </c>
      <c r="E6885" t="str">
        <f>IFERROR(__xludf.DUMMYFUNCTION("""COMPUTED_VALUE"""),"Christian")</f>
        <v>Christian</v>
      </c>
      <c r="F6885" t="str">
        <f>IFERROR(__xludf.DUMMYFUNCTION("""COMPUTED_VALUE"""),"CIN")</f>
        <v>CIN</v>
      </c>
      <c r="G6885">
        <f>IFERROR(__xludf.DUMMYFUNCTION("""COMPUTED_VALUE"""),17.5)</f>
        <v>17.5</v>
      </c>
    </row>
    <row r="6886">
      <c r="D6886" t="str">
        <f>IFERROR(__xludf.DUMMYFUNCTION("""COMPUTED_VALUE"""),"Wetzel")</f>
        <v>Wetzel</v>
      </c>
      <c r="E6886" t="str">
        <f>IFERROR(__xludf.DUMMYFUNCTION("""COMPUTED_VALUE"""),"John")</f>
        <v>John</v>
      </c>
      <c r="F6886" t="str">
        <f>IFERROR(__xludf.DUMMYFUNCTION("""COMPUTED_VALUE"""),"ARZ")</f>
        <v>ARZ</v>
      </c>
      <c r="G6886">
        <f>IFERROR(__xludf.DUMMYFUNCTION("""COMPUTED_VALUE"""),16.75)</f>
        <v>16.75</v>
      </c>
    </row>
    <row r="6887">
      <c r="D6887" t="str">
        <f>IFERROR(__xludf.DUMMYFUNCTION("""COMPUTED_VALUE"""),"Wheaton")</f>
        <v>Wheaton</v>
      </c>
      <c r="E6887" t="str">
        <f>IFERROR(__xludf.DUMMYFUNCTION("""COMPUTED_VALUE"""),"Markus")</f>
        <v>Markus</v>
      </c>
      <c r="F6887" t="str">
        <f>IFERROR(__xludf.DUMMYFUNCTION("""COMPUTED_VALUE"""),"PHI")</f>
        <v>PHI</v>
      </c>
      <c r="G6887">
        <f>IFERROR(__xludf.DUMMYFUNCTION("""COMPUTED_VALUE"""),17.75)</f>
        <v>17.75</v>
      </c>
    </row>
    <row r="6888">
      <c r="D6888" t="str">
        <f>IFERROR(__xludf.DUMMYFUNCTION("""COMPUTED_VALUE"""),"Wheeler")</f>
        <v>Wheeler</v>
      </c>
      <c r="E6888" t="str">
        <f>IFERROR(__xludf.DUMMYFUNCTION("""COMPUTED_VALUE"""),"Chad")</f>
        <v>Chad</v>
      </c>
      <c r="F6888" t="str">
        <f>IFERROR(__xludf.DUMMYFUNCTION("""COMPUTED_VALUE"""),"NYG")</f>
        <v>NYG</v>
      </c>
      <c r="G6888">
        <f>IFERROR(__xludf.DUMMYFUNCTION("""COMPUTED_VALUE"""),17.25)</f>
        <v>17.25</v>
      </c>
    </row>
    <row r="6889">
      <c r="D6889" t="str">
        <f>IFERROR(__xludf.DUMMYFUNCTION("""COMPUTED_VALUE"""),"White")</f>
        <v>White</v>
      </c>
      <c r="E6889" t="str">
        <f>IFERROR(__xludf.DUMMYFUNCTION("""COMPUTED_VALUE"""),"DeAndrew")</f>
        <v>DeAndrew</v>
      </c>
      <c r="F6889" t="str">
        <f>IFERROR(__xludf.DUMMYFUNCTION("""COMPUTED_VALUE"""),"HOU")</f>
        <v>HOU</v>
      </c>
      <c r="G6889">
        <f>IFERROR(__xludf.DUMMYFUNCTION("""COMPUTED_VALUE"""),16.75)</f>
        <v>16.75</v>
      </c>
    </row>
    <row r="6890">
      <c r="D6890" t="str">
        <f>IFERROR(__xludf.DUMMYFUNCTION("""COMPUTED_VALUE"""),"White")</f>
        <v>White</v>
      </c>
      <c r="E6890" t="str">
        <f>IFERROR(__xludf.DUMMYFUNCTION("""COMPUTED_VALUE"""),"DJ")</f>
        <v>DJ</v>
      </c>
      <c r="F6890" t="str">
        <f>IFERROR(__xludf.DUMMYFUNCTION("""COMPUTED_VALUE"""),"IND")</f>
        <v>IND</v>
      </c>
      <c r="G6890">
        <f>IFERROR(__xludf.DUMMYFUNCTION("""COMPUTED_VALUE"""),16.75)</f>
        <v>16.75</v>
      </c>
    </row>
    <row r="6891">
      <c r="D6891" t="str">
        <f>IFERROR(__xludf.DUMMYFUNCTION("""COMPUTED_VALUE"""),"White")</f>
        <v>White</v>
      </c>
      <c r="E6891" t="str">
        <f>IFERROR(__xludf.DUMMYFUNCTION("""COMPUTED_VALUE"""),"James")</f>
        <v>James</v>
      </c>
      <c r="F6891" t="str">
        <f>IFERROR(__xludf.DUMMYFUNCTION("""COMPUTED_VALUE"""),"NE")</f>
        <v>NE</v>
      </c>
      <c r="G6891">
        <f>IFERROR(__xludf.DUMMYFUNCTION("""COMPUTED_VALUE"""),19.5)</f>
        <v>19.5</v>
      </c>
    </row>
    <row r="6892">
      <c r="D6892" t="str">
        <f>IFERROR(__xludf.DUMMYFUNCTION("""COMPUTED_VALUE"""),"White")</f>
        <v>White</v>
      </c>
      <c r="E6892" t="str">
        <f>IFERROR(__xludf.DUMMYFUNCTION("""COMPUTED_VALUE"""),"Kevin")</f>
        <v>Kevin</v>
      </c>
      <c r="F6892" t="str">
        <f>IFERROR(__xludf.DUMMYFUNCTION("""COMPUTED_VALUE"""),"CHI")</f>
        <v>CHI</v>
      </c>
      <c r="G6892">
        <f>IFERROR(__xludf.DUMMYFUNCTION("""COMPUTED_VALUE"""),18.0)</f>
        <v>18</v>
      </c>
    </row>
    <row r="6893">
      <c r="D6893" t="str">
        <f>IFERROR(__xludf.DUMMYFUNCTION("""COMPUTED_VALUE"""),"White")</f>
        <v>White</v>
      </c>
      <c r="E6893" t="str">
        <f>IFERROR(__xludf.DUMMYFUNCTION("""COMPUTED_VALUE"""),"Kyzir")</f>
        <v>Kyzir</v>
      </c>
      <c r="F6893" t="str">
        <f>IFERROR(__xludf.DUMMYFUNCTION("""COMPUTED_VALUE"""),"LAC")</f>
        <v>LAC</v>
      </c>
      <c r="G6893">
        <f>IFERROR(__xludf.DUMMYFUNCTION("""COMPUTED_VALUE"""),17.5)</f>
        <v>17.5</v>
      </c>
    </row>
    <row r="6894">
      <c r="D6894" t="str">
        <f>IFERROR(__xludf.DUMMYFUNCTION("""COMPUTED_VALUE"""),"White")</f>
        <v>White</v>
      </c>
      <c r="E6894" t="str">
        <f>IFERROR(__xludf.DUMMYFUNCTION("""COMPUTED_VALUE"""),"Marquez")</f>
        <v>Marquez</v>
      </c>
      <c r="F6894" t="str">
        <f>IFERROR(__xludf.DUMMYFUNCTION("""COMPUTED_VALUE"""),"DAL")</f>
        <v>DAL</v>
      </c>
      <c r="G6894">
        <f>IFERROR(__xludf.DUMMYFUNCTION("""COMPUTED_VALUE"""),16.25)</f>
        <v>16.25</v>
      </c>
    </row>
    <row r="6895">
      <c r="D6895" t="str">
        <f>IFERROR(__xludf.DUMMYFUNCTION("""COMPUTED_VALUE"""),"White")</f>
        <v>White</v>
      </c>
      <c r="E6895" t="str">
        <f>IFERROR(__xludf.DUMMYFUNCTION("""COMPUTED_VALUE"""),"Mike")</f>
        <v>Mike</v>
      </c>
      <c r="F6895" t="str">
        <f>IFERROR(__xludf.DUMMYFUNCTION("""COMPUTED_VALUE"""),"DAL")</f>
        <v>DAL</v>
      </c>
      <c r="G6895">
        <f>IFERROR(__xludf.DUMMYFUNCTION("""COMPUTED_VALUE"""),17.25)</f>
        <v>17.25</v>
      </c>
    </row>
    <row r="6896">
      <c r="D6896" t="str">
        <f>IFERROR(__xludf.DUMMYFUNCTION("""COMPUTED_VALUE"""),"White")</f>
        <v>White</v>
      </c>
      <c r="E6896" t="str">
        <f>IFERROR(__xludf.DUMMYFUNCTION("""COMPUTED_VALUE"""),"Tim")</f>
        <v>Tim</v>
      </c>
      <c r="F6896" t="str">
        <f>IFERROR(__xludf.DUMMYFUNCTION("""COMPUTED_VALUE"""),"BAL")</f>
        <v>BAL</v>
      </c>
      <c r="G6896">
        <f>IFERROR(__xludf.DUMMYFUNCTION("""COMPUTED_VALUE"""),15.5)</f>
        <v>15.5</v>
      </c>
    </row>
    <row r="6897">
      <c r="D6897" t="str">
        <f>IFERROR(__xludf.DUMMYFUNCTION("""COMPUTED_VALUE"""),"White")</f>
        <v>White</v>
      </c>
      <c r="E6897" t="str">
        <f>IFERROR(__xludf.DUMMYFUNCTION("""COMPUTED_VALUE"""),"TreDavious")</f>
        <v>TreDavious</v>
      </c>
      <c r="F6897" t="str">
        <f>IFERROR(__xludf.DUMMYFUNCTION("""COMPUTED_VALUE"""),"BUF")</f>
        <v>BUF</v>
      </c>
      <c r="G6897">
        <f>IFERROR(__xludf.DUMMYFUNCTION("""COMPUTED_VALUE"""),21.25)</f>
        <v>21.25</v>
      </c>
    </row>
    <row r="6898">
      <c r="D6898" t="str">
        <f>IFERROR(__xludf.DUMMYFUNCTION("""COMPUTED_VALUE"""),"White")</f>
        <v>White</v>
      </c>
      <c r="E6898" t="str">
        <f>IFERROR(__xludf.DUMMYFUNCTION("""COMPUTED_VALUE"""),"TreDavious")</f>
        <v>TreDavious</v>
      </c>
      <c r="F6898" t="str">
        <f>IFERROR(__xludf.DUMMYFUNCTION("""COMPUTED_VALUE"""),"BUF")</f>
        <v>BUF</v>
      </c>
      <c r="G6898">
        <f>IFERROR(__xludf.DUMMYFUNCTION("""COMPUTED_VALUE"""),22.0)</f>
        <v>22</v>
      </c>
    </row>
    <row r="6899">
      <c r="D6899" t="str">
        <f>IFERROR(__xludf.DUMMYFUNCTION("""COMPUTED_VALUE"""),"Whitehair")</f>
        <v>Whitehair</v>
      </c>
      <c r="E6899" t="str">
        <f>IFERROR(__xludf.DUMMYFUNCTION("""COMPUTED_VALUE"""),"Cody")</f>
        <v>Cody</v>
      </c>
      <c r="F6899" t="str">
        <f>IFERROR(__xludf.DUMMYFUNCTION("""COMPUTED_VALUE"""),"CHI")</f>
        <v>CHI</v>
      </c>
      <c r="G6899">
        <f>IFERROR(__xludf.DUMMYFUNCTION("""COMPUTED_VALUE"""),20.5)</f>
        <v>20.5</v>
      </c>
    </row>
    <row r="6900">
      <c r="D6900" t="str">
        <f>IFERROR(__xludf.DUMMYFUNCTION("""COMPUTED_VALUE"""),"Whitehead")</f>
        <v>Whitehead</v>
      </c>
      <c r="E6900" t="str">
        <f>IFERROR(__xludf.DUMMYFUNCTION("""COMPUTED_VALUE"""),"Jermaine")</f>
        <v>Jermaine</v>
      </c>
      <c r="F6900" t="str">
        <f>IFERROR(__xludf.DUMMYFUNCTION("""COMPUTED_VALUE"""),"GB")</f>
        <v>GB</v>
      </c>
      <c r="G6900">
        <f>IFERROR(__xludf.DUMMYFUNCTION("""COMPUTED_VALUE"""),15.5)</f>
        <v>15.5</v>
      </c>
    </row>
    <row r="6901">
      <c r="D6901" t="str">
        <f>IFERROR(__xludf.DUMMYFUNCTION("""COMPUTED_VALUE"""),"Whitehead")</f>
        <v>Whitehead</v>
      </c>
      <c r="E6901" t="str">
        <f>IFERROR(__xludf.DUMMYFUNCTION("""COMPUTED_VALUE"""),"Jordan")</f>
        <v>Jordan</v>
      </c>
      <c r="F6901" t="str">
        <f>IFERROR(__xludf.DUMMYFUNCTION("""COMPUTED_VALUE"""),"TB")</f>
        <v>TB</v>
      </c>
      <c r="G6901">
        <f>IFERROR(__xludf.DUMMYFUNCTION("""COMPUTED_VALUE"""),17.5)</f>
        <v>17.5</v>
      </c>
    </row>
    <row r="6902">
      <c r="D6902" t="str">
        <f>IFERROR(__xludf.DUMMYFUNCTION("""COMPUTED_VALUE"""),"Whitehead")</f>
        <v>Whitehead</v>
      </c>
      <c r="E6902" t="str">
        <f>IFERROR(__xludf.DUMMYFUNCTION("""COMPUTED_VALUE"""),"Lucky")</f>
        <v>Lucky</v>
      </c>
      <c r="F6902" t="str">
        <f>IFERROR(__xludf.DUMMYFUNCTION("""COMPUTED_VALUE"""),"NYJ")</f>
        <v>NYJ</v>
      </c>
      <c r="G6902">
        <f>IFERROR(__xludf.DUMMYFUNCTION("""COMPUTED_VALUE"""),17.5)</f>
        <v>17.5</v>
      </c>
    </row>
    <row r="6903">
      <c r="D6903" t="str">
        <f>IFERROR(__xludf.DUMMYFUNCTION("""COMPUTED_VALUE"""),"Whitehead")</f>
        <v>Whitehead</v>
      </c>
      <c r="E6903" t="str">
        <f>IFERROR(__xludf.DUMMYFUNCTION("""COMPUTED_VALUE"""),"Tahir")</f>
        <v>Tahir</v>
      </c>
      <c r="F6903" t="str">
        <f>IFERROR(__xludf.DUMMYFUNCTION("""COMPUTED_VALUE"""),"OAK")</f>
        <v>OAK</v>
      </c>
      <c r="G6903">
        <f>IFERROR(__xludf.DUMMYFUNCTION("""COMPUTED_VALUE"""),19.5)</f>
        <v>19.5</v>
      </c>
    </row>
    <row r="6904">
      <c r="D6904" t="str">
        <f>IFERROR(__xludf.DUMMYFUNCTION("""COMPUTED_VALUE"""),"Whitney")</f>
        <v>Whitney</v>
      </c>
      <c r="E6904" t="str">
        <f>IFERROR(__xludf.DUMMYFUNCTION("""COMPUTED_VALUE"""),"Isaac")</f>
        <v>Isaac</v>
      </c>
      <c r="F6904" t="str">
        <f>IFERROR(__xludf.DUMMYFUNCTION("""COMPUTED_VALUE"""),"OAK")</f>
        <v>OAK</v>
      </c>
      <c r="G6904">
        <f>IFERROR(__xludf.DUMMYFUNCTION("""COMPUTED_VALUE"""),15.5)</f>
        <v>15.5</v>
      </c>
    </row>
    <row r="6905">
      <c r="D6905" t="str">
        <f>IFERROR(__xludf.DUMMYFUNCTION("""COMPUTED_VALUE"""),"Whittaker")</f>
        <v>Whittaker</v>
      </c>
      <c r="E6905" t="str">
        <f>IFERROR(__xludf.DUMMYFUNCTION("""COMPUTED_VALUE"""),"Fozzy")</f>
        <v>Fozzy</v>
      </c>
      <c r="F6905" t="str">
        <f>IFERROR(__xludf.DUMMYFUNCTION("""COMPUTED_VALUE"""),"CAR")</f>
        <v>CAR</v>
      </c>
      <c r="G6905">
        <f>IFERROR(__xludf.DUMMYFUNCTION("""COMPUTED_VALUE"""),17.25)</f>
        <v>17.25</v>
      </c>
    </row>
    <row r="6906">
      <c r="D6906" t="str">
        <f>IFERROR(__xludf.DUMMYFUNCTION("""COMPUTED_VALUE"""),"Whitworth")</f>
        <v>Whitworth</v>
      </c>
      <c r="E6906" t="str">
        <f>IFERROR(__xludf.DUMMYFUNCTION("""COMPUTED_VALUE"""),"Andrew")</f>
        <v>Andrew</v>
      </c>
      <c r="F6906" t="str">
        <f>IFERROR(__xludf.DUMMYFUNCTION("""COMPUTED_VALUE"""),"LAR")</f>
        <v>LAR</v>
      </c>
      <c r="G6906">
        <f>IFERROR(__xludf.DUMMYFUNCTION("""COMPUTED_VALUE"""),21.0)</f>
        <v>21</v>
      </c>
    </row>
    <row r="6907">
      <c r="D6907" t="str">
        <f>IFERROR(__xludf.DUMMYFUNCTION("""COMPUTED_VALUE"""),"Wichmann")</f>
        <v>Wichmann</v>
      </c>
      <c r="E6907" t="str">
        <f>IFERROR(__xludf.DUMMYFUNCTION("""COMPUTED_VALUE"""),"Cody")</f>
        <v>Cody</v>
      </c>
      <c r="F6907" t="str">
        <f>IFERROR(__xludf.DUMMYFUNCTION("""COMPUTED_VALUE"""),"TEN")</f>
        <v>TEN</v>
      </c>
      <c r="G6907">
        <f>IFERROR(__xludf.DUMMYFUNCTION("""COMPUTED_VALUE"""),18.25)</f>
        <v>18.25</v>
      </c>
    </row>
    <row r="6908">
      <c r="D6908" t="str">
        <f>IFERROR(__xludf.DUMMYFUNCTION("""COMPUTED_VALUE"""),"Wick")</f>
        <v>Wick</v>
      </c>
      <c r="E6908" t="str">
        <f>IFERROR(__xludf.DUMMYFUNCTION("""COMPUTED_VALUE"""),"Cole")</f>
        <v>Cole</v>
      </c>
      <c r="F6908" t="str">
        <f>IFERROR(__xludf.DUMMYFUNCTION("""COMPUTED_VALUE"""),"SF")</f>
        <v>SF</v>
      </c>
      <c r="G6908">
        <f>IFERROR(__xludf.DUMMYFUNCTION("""COMPUTED_VALUE"""),16.5)</f>
        <v>16.5</v>
      </c>
    </row>
    <row r="6909">
      <c r="D6909" t="str">
        <f>IFERROR(__xludf.DUMMYFUNCTION("""COMPUTED_VALUE"""),"Wiggins")</f>
        <v>Wiggins</v>
      </c>
      <c r="E6909" t="str">
        <f>IFERROR(__xludf.DUMMYFUNCTION("""COMPUTED_VALUE"""),"Kenny")</f>
        <v>Kenny</v>
      </c>
      <c r="F6909" t="str">
        <f>IFERROR(__xludf.DUMMYFUNCTION("""COMPUTED_VALUE"""),"DET")</f>
        <v>DET</v>
      </c>
      <c r="G6909">
        <f>IFERROR(__xludf.DUMMYFUNCTION("""COMPUTED_VALUE"""),17.25)</f>
        <v>17.25</v>
      </c>
    </row>
    <row r="6910">
      <c r="D6910" t="str">
        <f>IFERROR(__xludf.DUMMYFUNCTION("""COMPUTED_VALUE"""),"Wilber")</f>
        <v>Wilber</v>
      </c>
      <c r="E6910" t="str">
        <f>IFERROR(__xludf.DUMMYFUNCTION("""COMPUTED_VALUE"""),"Kyle")</f>
        <v>Kyle</v>
      </c>
      <c r="F6910" t="str">
        <f>IFERROR(__xludf.DUMMYFUNCTION("""COMPUTED_VALUE"""),"OAK")</f>
        <v>OAK</v>
      </c>
      <c r="G6910">
        <f>IFERROR(__xludf.DUMMYFUNCTION("""COMPUTED_VALUE"""),17.25)</f>
        <v>17.25</v>
      </c>
    </row>
    <row r="6911">
      <c r="D6911" t="str">
        <f>IFERROR(__xludf.DUMMYFUNCTION("""COMPUTED_VALUE"""),"Wilds")</f>
        <v>Wilds</v>
      </c>
      <c r="E6911" t="str">
        <f>IFERROR(__xludf.DUMMYFUNCTION("""COMPUTED_VALUE"""),"Brandon")</f>
        <v>Brandon</v>
      </c>
      <c r="F6911" t="str">
        <f>IFERROR(__xludf.DUMMYFUNCTION("""COMPUTED_VALUE"""),"JAX")</f>
        <v>JAX</v>
      </c>
      <c r="G6911">
        <f>IFERROR(__xludf.DUMMYFUNCTION("""COMPUTED_VALUE"""),16.75)</f>
        <v>16.75</v>
      </c>
    </row>
    <row r="6912">
      <c r="D6912" t="str">
        <f>IFERROR(__xludf.DUMMYFUNCTION("""COMPUTED_VALUE"""),"Wilhoite")</f>
        <v>Wilhoite</v>
      </c>
      <c r="E6912" t="str">
        <f>IFERROR(__xludf.DUMMYFUNCTION("""COMPUTED_VALUE"""),"Michael")</f>
        <v>Michael</v>
      </c>
      <c r="F6912" t="str">
        <f>IFERROR(__xludf.DUMMYFUNCTION("""COMPUTED_VALUE"""),"FA")</f>
        <v>FA</v>
      </c>
      <c r="G6912">
        <f>IFERROR(__xludf.DUMMYFUNCTION("""COMPUTED_VALUE"""),19.25)</f>
        <v>19.25</v>
      </c>
    </row>
    <row r="6913">
      <c r="D6913" t="str">
        <f>IFERROR(__xludf.DUMMYFUNCTION("""COMPUTED_VALUE"""),"Wilkerson")</f>
        <v>Wilkerson</v>
      </c>
      <c r="E6913" t="str">
        <f>IFERROR(__xludf.DUMMYFUNCTION("""COMPUTED_VALUE"""),"Muhammad")</f>
        <v>Muhammad</v>
      </c>
      <c r="F6913" t="str">
        <f>IFERROR(__xludf.DUMMYFUNCTION("""COMPUTED_VALUE"""),"GB")</f>
        <v>GB</v>
      </c>
      <c r="G6913">
        <f>IFERROR(__xludf.DUMMYFUNCTION("""COMPUTED_VALUE"""),19.25)</f>
        <v>19.25</v>
      </c>
    </row>
    <row r="6914">
      <c r="D6914" t="str">
        <f>IFERROR(__xludf.DUMMYFUNCTION("""COMPUTED_VALUE"""),"Wilkins")</f>
        <v>Wilkins</v>
      </c>
      <c r="E6914" t="str">
        <f>IFERROR(__xludf.DUMMYFUNCTION("""COMPUTED_VALUE"""),"Jordan")</f>
        <v>Jordan</v>
      </c>
      <c r="F6914" t="str">
        <f>IFERROR(__xludf.DUMMYFUNCTION("""COMPUTED_VALUE"""),"IND")</f>
        <v>IND</v>
      </c>
      <c r="G6914">
        <f>IFERROR(__xludf.DUMMYFUNCTION("""COMPUTED_VALUE"""),18.0)</f>
        <v>18</v>
      </c>
    </row>
    <row r="6915">
      <c r="D6915" t="str">
        <f>IFERROR(__xludf.DUMMYFUNCTION("""COMPUTED_VALUE"""),"Wilkinson")</f>
        <v>Wilkinson</v>
      </c>
      <c r="E6915" t="str">
        <f>IFERROR(__xludf.DUMMYFUNCTION("""COMPUTED_VALUE"""),"Elijah")</f>
        <v>Elijah</v>
      </c>
      <c r="F6915" t="str">
        <f>IFERROR(__xludf.DUMMYFUNCTION("""COMPUTED_VALUE"""),"DEN")</f>
        <v>DEN</v>
      </c>
      <c r="G6915">
        <f>IFERROR(__xludf.DUMMYFUNCTION("""COMPUTED_VALUE"""),16.75)</f>
        <v>16.75</v>
      </c>
    </row>
    <row r="6916">
      <c r="D6916" t="str">
        <f>IFERROR(__xludf.DUMMYFUNCTION("""COMPUTED_VALUE"""),"Williams")</f>
        <v>Williams</v>
      </c>
      <c r="E6916" t="str">
        <f>IFERROR(__xludf.DUMMYFUNCTION("""COMPUTED_VALUE"""),"Andre")</f>
        <v>Andre</v>
      </c>
      <c r="F6916" t="str">
        <f>IFERROR(__xludf.DUMMYFUNCTION("""COMPUTED_VALUE"""),"FA")</f>
        <v>FA</v>
      </c>
      <c r="G6916">
        <f>IFERROR(__xludf.DUMMYFUNCTION("""COMPUTED_VALUE"""),16.75)</f>
        <v>16.75</v>
      </c>
    </row>
    <row r="6917">
      <c r="D6917" t="str">
        <f>IFERROR(__xludf.DUMMYFUNCTION("""COMPUTED_VALUE"""),"Williams")</f>
        <v>Williams</v>
      </c>
      <c r="E6917" t="str">
        <f>IFERROR(__xludf.DUMMYFUNCTION("""COMPUTED_VALUE"""),"Antwione")</f>
        <v>Antwione</v>
      </c>
      <c r="F6917" t="str">
        <f>IFERROR(__xludf.DUMMYFUNCTION("""COMPUTED_VALUE"""),"MIN")</f>
        <v>MIN</v>
      </c>
      <c r="G6917">
        <f>IFERROR(__xludf.DUMMYFUNCTION("""COMPUTED_VALUE"""),17.0)</f>
        <v>17</v>
      </c>
    </row>
    <row r="6918">
      <c r="D6918" t="str">
        <f>IFERROR(__xludf.DUMMYFUNCTION("""COMPUTED_VALUE"""),"Williams")</f>
        <v>Williams</v>
      </c>
      <c r="E6918" t="str">
        <f>IFERROR(__xludf.DUMMYFUNCTION("""COMPUTED_VALUE"""),"Brandon")</f>
        <v>Brandon</v>
      </c>
      <c r="F6918" t="str">
        <f>IFERROR(__xludf.DUMMYFUNCTION("""COMPUTED_VALUE"""),"BAL")</f>
        <v>BAL</v>
      </c>
      <c r="G6918">
        <f>IFERROR(__xludf.DUMMYFUNCTION("""COMPUTED_VALUE"""),20.0)</f>
        <v>20</v>
      </c>
    </row>
    <row r="6919">
      <c r="D6919" t="str">
        <f>IFERROR(__xludf.DUMMYFUNCTION("""COMPUTED_VALUE"""),"Williams")</f>
        <v>Williams</v>
      </c>
      <c r="E6919" t="str">
        <f>IFERROR(__xludf.DUMMYFUNCTION("""COMPUTED_VALUE"""),"Brandon")</f>
        <v>Brandon</v>
      </c>
      <c r="F6919" t="str">
        <f>IFERROR(__xludf.DUMMYFUNCTION("""COMPUTED_VALUE"""),"ARZ")</f>
        <v>ARZ</v>
      </c>
      <c r="G6919">
        <f>IFERROR(__xludf.DUMMYFUNCTION("""COMPUTED_VALUE"""),16.75)</f>
        <v>16.75</v>
      </c>
    </row>
    <row r="6920">
      <c r="D6920" t="str">
        <f>IFERROR(__xludf.DUMMYFUNCTION("""COMPUTED_VALUE"""),"Williams")</f>
        <v>Williams</v>
      </c>
      <c r="E6920" t="str">
        <f>IFERROR(__xludf.DUMMYFUNCTION("""COMPUTED_VALUE"""),"Chad")</f>
        <v>Chad</v>
      </c>
      <c r="F6920" t="str">
        <f>IFERROR(__xludf.DUMMYFUNCTION("""COMPUTED_VALUE"""),"ARZ")</f>
        <v>ARZ</v>
      </c>
      <c r="G6920">
        <f>IFERROR(__xludf.DUMMYFUNCTION("""COMPUTED_VALUE"""),17.75)</f>
        <v>17.75</v>
      </c>
    </row>
    <row r="6921">
      <c r="D6921" t="str">
        <f>IFERROR(__xludf.DUMMYFUNCTION("""COMPUTED_VALUE"""),"Williams")</f>
        <v>Williams</v>
      </c>
      <c r="E6921" t="str">
        <f>IFERROR(__xludf.DUMMYFUNCTION("""COMPUTED_VALUE"""),"Connor")</f>
        <v>Connor</v>
      </c>
      <c r="F6921" t="str">
        <f>IFERROR(__xludf.DUMMYFUNCTION("""COMPUTED_VALUE"""),"DAL")</f>
        <v>DAL</v>
      </c>
      <c r="G6921">
        <f>IFERROR(__xludf.DUMMYFUNCTION("""COMPUTED_VALUE"""),19.0)</f>
        <v>19</v>
      </c>
    </row>
    <row r="6922">
      <c r="D6922" t="str">
        <f>IFERROR(__xludf.DUMMYFUNCTION("""COMPUTED_VALUE"""),"Williams")</f>
        <v>Williams</v>
      </c>
      <c r="E6922" t="str">
        <f>IFERROR(__xludf.DUMMYFUNCTION("""COMPUTED_VALUE"""),"Damien")</f>
        <v>Damien</v>
      </c>
      <c r="F6922" t="str">
        <f>IFERROR(__xludf.DUMMYFUNCTION("""COMPUTED_VALUE"""),"KC")</f>
        <v>KC</v>
      </c>
      <c r="G6922">
        <f>IFERROR(__xludf.DUMMYFUNCTION("""COMPUTED_VALUE"""),19.25)</f>
        <v>19.25</v>
      </c>
    </row>
    <row r="6923">
      <c r="D6923" t="str">
        <f>IFERROR(__xludf.DUMMYFUNCTION("""COMPUTED_VALUE"""),"Williams")</f>
        <v>Williams</v>
      </c>
      <c r="E6923" t="str">
        <f>IFERROR(__xludf.DUMMYFUNCTION("""COMPUTED_VALUE"""),"Darrell")</f>
        <v>Darrell</v>
      </c>
      <c r="F6923" t="str">
        <f>IFERROR(__xludf.DUMMYFUNCTION("""COMPUTED_VALUE"""),"SF")</f>
        <v>SF</v>
      </c>
      <c r="G6923">
        <f>IFERROR(__xludf.DUMMYFUNCTION("""COMPUTED_VALUE"""),16.0)</f>
        <v>16</v>
      </c>
    </row>
    <row r="6924">
      <c r="D6924" t="str">
        <f>IFERROR(__xludf.DUMMYFUNCTION("""COMPUTED_VALUE"""),"Williams")</f>
        <v>Williams</v>
      </c>
      <c r="E6924" t="str">
        <f>IFERROR(__xludf.DUMMYFUNCTION("""COMPUTED_VALUE"""),"Darrell")</f>
        <v>Darrell</v>
      </c>
      <c r="F6924" t="str">
        <f>IFERROR(__xludf.DUMMYFUNCTION("""COMPUTED_VALUE"""),"LAR")</f>
        <v>LAR</v>
      </c>
      <c r="G6924">
        <f>IFERROR(__xludf.DUMMYFUNCTION("""COMPUTED_VALUE"""),16.5)</f>
        <v>16.5</v>
      </c>
    </row>
    <row r="6925">
      <c r="D6925" t="str">
        <f>IFERROR(__xludf.DUMMYFUNCTION("""COMPUTED_VALUE"""),"Williams")</f>
        <v>Williams</v>
      </c>
      <c r="E6925" t="str">
        <f>IFERROR(__xludf.DUMMYFUNCTION("""COMPUTED_VALUE"""),"Daryl")</f>
        <v>Daryl</v>
      </c>
      <c r="F6925" t="str">
        <f>IFERROR(__xludf.DUMMYFUNCTION("""COMPUTED_VALUE"""),"CAR")</f>
        <v>CAR</v>
      </c>
      <c r="G6925">
        <f>IFERROR(__xludf.DUMMYFUNCTION("""COMPUTED_VALUE"""),21.5)</f>
        <v>21.5</v>
      </c>
    </row>
    <row r="6926">
      <c r="D6926" t="str">
        <f>IFERROR(__xludf.DUMMYFUNCTION("""COMPUTED_VALUE"""),"Williams")</f>
        <v>Williams</v>
      </c>
      <c r="E6926" t="str">
        <f>IFERROR(__xludf.DUMMYFUNCTION("""COMPUTED_VALUE"""),"David")</f>
        <v>David</v>
      </c>
      <c r="F6926" t="str">
        <f>IFERROR(__xludf.DUMMYFUNCTION("""COMPUTED_VALUE"""),"DEN")</f>
        <v>DEN</v>
      </c>
      <c r="G6926">
        <f>IFERROR(__xludf.DUMMYFUNCTION("""COMPUTED_VALUE"""),16.5)</f>
        <v>16.5</v>
      </c>
    </row>
    <row r="6927">
      <c r="D6927" t="str">
        <f>IFERROR(__xludf.DUMMYFUNCTION("""COMPUTED_VALUE"""),"Williams")</f>
        <v>Williams</v>
      </c>
      <c r="E6927" t="str">
        <f>IFERROR(__xludf.DUMMYFUNCTION("""COMPUTED_VALUE"""),"DeShawn")</f>
        <v>DeShawn</v>
      </c>
      <c r="F6927" t="str">
        <f>IFERROR(__xludf.DUMMYFUNCTION("""COMPUTED_VALUE"""),"DEN")</f>
        <v>DEN</v>
      </c>
      <c r="G6927">
        <f>IFERROR(__xludf.DUMMYFUNCTION("""COMPUTED_VALUE"""),16.25)</f>
        <v>16.25</v>
      </c>
    </row>
    <row r="6928">
      <c r="D6928" t="str">
        <f>IFERROR(__xludf.DUMMYFUNCTION("""COMPUTED_VALUE"""),"Williams")</f>
        <v>Williams</v>
      </c>
      <c r="E6928" t="str">
        <f>IFERROR(__xludf.DUMMYFUNCTION("""COMPUTED_VALUE"""),"Jamaal")</f>
        <v>Jamaal</v>
      </c>
      <c r="F6928" t="str">
        <f>IFERROR(__xludf.DUMMYFUNCTION("""COMPUTED_VALUE"""),"GB")</f>
        <v>GB</v>
      </c>
      <c r="G6928">
        <f>IFERROR(__xludf.DUMMYFUNCTION("""COMPUTED_VALUE"""),19.5)</f>
        <v>19.5</v>
      </c>
    </row>
    <row r="6929">
      <c r="D6929" t="str">
        <f>IFERROR(__xludf.DUMMYFUNCTION("""COMPUTED_VALUE"""),"Williams")</f>
        <v>Williams</v>
      </c>
      <c r="E6929" t="str">
        <f>IFERROR(__xludf.DUMMYFUNCTION("""COMPUTED_VALUE"""),"Jarveon")</f>
        <v>Jarveon</v>
      </c>
      <c r="F6929" t="str">
        <f>IFERROR(__xludf.DUMMYFUNCTION("""COMPUTED_VALUE"""),"CIN")</f>
        <v>CIN</v>
      </c>
      <c r="G6929">
        <f>IFERROR(__xludf.DUMMYFUNCTION("""COMPUTED_VALUE"""),16.5)</f>
        <v>16.5</v>
      </c>
    </row>
    <row r="6930">
      <c r="D6930" t="str">
        <f>IFERROR(__xludf.DUMMYFUNCTION("""COMPUTED_VALUE"""),"Williams")</f>
        <v>Williams</v>
      </c>
      <c r="E6930" t="str">
        <f>IFERROR(__xludf.DUMMYFUNCTION("""COMPUTED_VALUE"""),"Joe")</f>
        <v>Joe</v>
      </c>
      <c r="F6930" t="str">
        <f>IFERROR(__xludf.DUMMYFUNCTION("""COMPUTED_VALUE"""),"SF")</f>
        <v>SF</v>
      </c>
      <c r="G6930">
        <f>IFERROR(__xludf.DUMMYFUNCTION("""COMPUTED_VALUE"""),17.5)</f>
        <v>17.5</v>
      </c>
    </row>
    <row r="6931">
      <c r="D6931" t="str">
        <f>IFERROR(__xludf.DUMMYFUNCTION("""COMPUTED_VALUE"""),"Williams")</f>
        <v>Williams</v>
      </c>
      <c r="E6931" t="str">
        <f>IFERROR(__xludf.DUMMYFUNCTION("""COMPUTED_VALUE"""),"Jonathan")</f>
        <v>Jonathan</v>
      </c>
      <c r="F6931" t="str">
        <f>IFERROR(__xludf.DUMMYFUNCTION("""COMPUTED_VALUE"""),"FA")</f>
        <v>FA</v>
      </c>
      <c r="G6931">
        <f>IFERROR(__xludf.DUMMYFUNCTION("""COMPUTED_VALUE"""),16.0)</f>
        <v>16</v>
      </c>
    </row>
    <row r="6932">
      <c r="D6932" t="str">
        <f>IFERROR(__xludf.DUMMYFUNCTION("""COMPUTED_VALUE"""),"Williams")</f>
        <v>Williams</v>
      </c>
      <c r="E6932" t="str">
        <f>IFERROR(__xludf.DUMMYFUNCTION("""COMPUTED_VALUE"""),"Jordan")</f>
        <v>Jordan</v>
      </c>
      <c r="F6932" t="str">
        <f>IFERROR(__xludf.DUMMYFUNCTION("""COMPUTED_VALUE"""),"NYG")</f>
        <v>NYG</v>
      </c>
      <c r="G6932">
        <f>IFERROR(__xludf.DUMMYFUNCTION("""COMPUTED_VALUE"""),15.5)</f>
        <v>15.5</v>
      </c>
    </row>
    <row r="6933">
      <c r="D6933" t="str">
        <f>IFERROR(__xludf.DUMMYFUNCTION("""COMPUTED_VALUE"""),"Williams")</f>
        <v>Williams</v>
      </c>
      <c r="E6933" t="str">
        <f>IFERROR(__xludf.DUMMYFUNCTION("""COMPUTED_VALUE"""),"Kerwynn")</f>
        <v>Kerwynn</v>
      </c>
      <c r="F6933" t="str">
        <f>IFERROR(__xludf.DUMMYFUNCTION("""COMPUTED_VALUE"""),"KC")</f>
        <v>KC</v>
      </c>
      <c r="G6933">
        <f>IFERROR(__xludf.DUMMYFUNCTION("""COMPUTED_VALUE"""),18.25)</f>
        <v>18.25</v>
      </c>
    </row>
    <row r="6934">
      <c r="D6934" t="str">
        <f>IFERROR(__xludf.DUMMYFUNCTION("""COMPUTED_VALUE"""),"Williams")</f>
        <v>Williams</v>
      </c>
      <c r="E6934" t="str">
        <f>IFERROR(__xludf.DUMMYFUNCTION("""COMPUTED_VALUE"""),"KWaun")</f>
        <v>KWaun</v>
      </c>
      <c r="F6934" t="str">
        <f>IFERROR(__xludf.DUMMYFUNCTION("""COMPUTED_VALUE"""),"SF")</f>
        <v>SF</v>
      </c>
      <c r="G6934">
        <f>IFERROR(__xludf.DUMMYFUNCTION("""COMPUTED_VALUE"""),18.5)</f>
        <v>18.5</v>
      </c>
    </row>
    <row r="6935">
      <c r="D6935" t="str">
        <f>IFERROR(__xludf.DUMMYFUNCTION("""COMPUTED_VALUE"""),"Williams")</f>
        <v>Williams</v>
      </c>
      <c r="E6935" t="str">
        <f>IFERROR(__xludf.DUMMYFUNCTION("""COMPUTED_VALUE"""),"Kyle")</f>
        <v>Kyle</v>
      </c>
      <c r="F6935" t="str">
        <f>IFERROR(__xludf.DUMMYFUNCTION("""COMPUTED_VALUE"""),"BUF")</f>
        <v>BUF</v>
      </c>
      <c r="G6935">
        <f>IFERROR(__xludf.DUMMYFUNCTION("""COMPUTED_VALUE"""),19.75)</f>
        <v>19.75</v>
      </c>
    </row>
    <row r="6936">
      <c r="D6936" t="str">
        <f>IFERROR(__xludf.DUMMYFUNCTION("""COMPUTED_VALUE"""),"Williams")</f>
        <v>Williams</v>
      </c>
      <c r="E6936" t="str">
        <f>IFERROR(__xludf.DUMMYFUNCTION("""COMPUTED_VALUE"""),"Leonard")</f>
        <v>Leonard</v>
      </c>
      <c r="F6936" t="str">
        <f>IFERROR(__xludf.DUMMYFUNCTION("""COMPUTED_VALUE"""),"NYJ")</f>
        <v>NYJ</v>
      </c>
      <c r="G6936">
        <f>IFERROR(__xludf.DUMMYFUNCTION("""COMPUTED_VALUE"""),20.25)</f>
        <v>20.25</v>
      </c>
    </row>
    <row r="6937">
      <c r="D6937" t="str">
        <f>IFERROR(__xludf.DUMMYFUNCTION("""COMPUTED_VALUE"""),"Williams")</f>
        <v>Williams</v>
      </c>
      <c r="E6937" t="str">
        <f>IFERROR(__xludf.DUMMYFUNCTION("""COMPUTED_VALUE"""),"Marcus")</f>
        <v>Marcus</v>
      </c>
      <c r="F6937" t="str">
        <f>IFERROR(__xludf.DUMMYFUNCTION("""COMPUTED_VALUE"""),"NO")</f>
        <v>NO</v>
      </c>
      <c r="G6937">
        <f>IFERROR(__xludf.DUMMYFUNCTION("""COMPUTED_VALUE"""),20.25)</f>
        <v>20.25</v>
      </c>
    </row>
    <row r="6938">
      <c r="D6938" t="str">
        <f>IFERROR(__xludf.DUMMYFUNCTION("""COMPUTED_VALUE"""),"Williams")</f>
        <v>Williams</v>
      </c>
      <c r="E6938" t="str">
        <f>IFERROR(__xludf.DUMMYFUNCTION("""COMPUTED_VALUE"""),"Marcus")</f>
        <v>Marcus</v>
      </c>
      <c r="F6938" t="str">
        <f>IFERROR(__xludf.DUMMYFUNCTION("""COMPUTED_VALUE"""),"FA")</f>
        <v>FA</v>
      </c>
      <c r="G6938">
        <f>IFERROR(__xludf.DUMMYFUNCTION("""COMPUTED_VALUE"""),18.25)</f>
        <v>18.25</v>
      </c>
    </row>
    <row r="6939">
      <c r="D6939" t="str">
        <f>IFERROR(__xludf.DUMMYFUNCTION("""COMPUTED_VALUE"""),"Williams")</f>
        <v>Williams</v>
      </c>
      <c r="E6939" t="str">
        <f>IFERROR(__xludf.DUMMYFUNCTION("""COMPUTED_VALUE"""),"Marquez")</f>
        <v>Marquez</v>
      </c>
      <c r="F6939" t="str">
        <f>IFERROR(__xludf.DUMMYFUNCTION("""COMPUTED_VALUE"""),"CLE")</f>
        <v>CLE</v>
      </c>
      <c r="G6939">
        <f>IFERROR(__xludf.DUMMYFUNCTION("""COMPUTED_VALUE"""),17.5)</f>
        <v>17.5</v>
      </c>
    </row>
    <row r="6940">
      <c r="D6940" t="str">
        <f>IFERROR(__xludf.DUMMYFUNCTION("""COMPUTED_VALUE"""),"Williams")</f>
        <v>Williams</v>
      </c>
      <c r="E6940" t="str">
        <f>IFERROR(__xludf.DUMMYFUNCTION("""COMPUTED_VALUE"""),"Maxx")</f>
        <v>Maxx</v>
      </c>
      <c r="F6940" t="str">
        <f>IFERROR(__xludf.DUMMYFUNCTION("""COMPUTED_VALUE"""),"BAL")</f>
        <v>BAL</v>
      </c>
      <c r="G6940">
        <f>IFERROR(__xludf.DUMMYFUNCTION("""COMPUTED_VALUE"""),18.75)</f>
        <v>18.75</v>
      </c>
    </row>
    <row r="6941">
      <c r="D6941" t="str">
        <f>IFERROR(__xludf.DUMMYFUNCTION("""COMPUTED_VALUE"""),"Williams")</f>
        <v>Williams</v>
      </c>
      <c r="E6941" t="str">
        <f>IFERROR(__xludf.DUMMYFUNCTION("""COMPUTED_VALUE"""),"Mike")</f>
        <v>Mike</v>
      </c>
      <c r="F6941" t="str">
        <f>IFERROR(__xludf.DUMMYFUNCTION("""COMPUTED_VALUE"""),"LAC")</f>
        <v>LAC</v>
      </c>
      <c r="G6941">
        <f>IFERROR(__xludf.DUMMYFUNCTION("""COMPUTED_VALUE"""),19.25)</f>
        <v>19.25</v>
      </c>
    </row>
    <row r="6942">
      <c r="D6942" t="str">
        <f>IFERROR(__xludf.DUMMYFUNCTION("""COMPUTED_VALUE"""),"Williams")</f>
        <v>Williams</v>
      </c>
      <c r="E6942" t="str">
        <f>IFERROR(__xludf.DUMMYFUNCTION("""COMPUTED_VALUE"""),"PJ")</f>
        <v>PJ</v>
      </c>
      <c r="F6942" t="str">
        <f>IFERROR(__xludf.DUMMYFUNCTION("""COMPUTED_VALUE"""),"NO")</f>
        <v>NO</v>
      </c>
      <c r="G6942">
        <f>IFERROR(__xludf.DUMMYFUNCTION("""COMPUTED_VALUE"""),19.25)</f>
        <v>19.25</v>
      </c>
    </row>
    <row r="6943">
      <c r="D6943" t="str">
        <f>IFERROR(__xludf.DUMMYFUNCTION("""COMPUTED_VALUE"""),"Williams")</f>
        <v>Williams</v>
      </c>
      <c r="E6943" t="str">
        <f>IFERROR(__xludf.DUMMYFUNCTION("""COMPUTED_VALUE"""),"Shawn")</f>
        <v>Shawn</v>
      </c>
      <c r="F6943" t="str">
        <f>IFERROR(__xludf.DUMMYFUNCTION("""COMPUTED_VALUE"""),"CIN")</f>
        <v>CIN</v>
      </c>
      <c r="G6943">
        <f>IFERROR(__xludf.DUMMYFUNCTION("""COMPUTED_VALUE"""),19.5)</f>
        <v>19.5</v>
      </c>
    </row>
    <row r="6944">
      <c r="D6944" t="str">
        <f>IFERROR(__xludf.DUMMYFUNCTION("""COMPUTED_VALUE"""),"Williams")</f>
        <v>Williams</v>
      </c>
      <c r="E6944" t="str">
        <f>IFERROR(__xludf.DUMMYFUNCTION("""COMPUTED_VALUE"""),"Sylvester")</f>
        <v>Sylvester</v>
      </c>
      <c r="F6944" t="str">
        <f>IFERROR(__xludf.DUMMYFUNCTION("""COMPUTED_VALUE"""),"DET")</f>
        <v>DET</v>
      </c>
      <c r="G6944">
        <f>IFERROR(__xludf.DUMMYFUNCTION("""COMPUTED_VALUE"""),18.75)</f>
        <v>18.75</v>
      </c>
    </row>
    <row r="6945">
      <c r="D6945" t="str">
        <f>IFERROR(__xludf.DUMMYFUNCTION("""COMPUTED_VALUE"""),"Williams")</f>
        <v>Williams</v>
      </c>
      <c r="E6945" t="str">
        <f>IFERROR(__xludf.DUMMYFUNCTION("""COMPUTED_VALUE"""),"Teddy")</f>
        <v>Teddy</v>
      </c>
      <c r="F6945" t="str">
        <f>IFERROR(__xludf.DUMMYFUNCTION("""COMPUTED_VALUE"""),"NYG")</f>
        <v>NYG</v>
      </c>
      <c r="G6945">
        <f>IFERROR(__xludf.DUMMYFUNCTION("""COMPUTED_VALUE"""),15.75)</f>
        <v>15.75</v>
      </c>
    </row>
    <row r="6946">
      <c r="D6946" t="str">
        <f>IFERROR(__xludf.DUMMYFUNCTION("""COMPUTED_VALUE"""),"Williams")</f>
        <v>Williams</v>
      </c>
      <c r="E6946" t="str">
        <f>IFERROR(__xludf.DUMMYFUNCTION("""COMPUTED_VALUE"""),"Terrance")</f>
        <v>Terrance</v>
      </c>
      <c r="F6946" t="str">
        <f>IFERROR(__xludf.DUMMYFUNCTION("""COMPUTED_VALUE"""),"DAL")</f>
        <v>DAL</v>
      </c>
      <c r="G6946">
        <f>IFERROR(__xludf.DUMMYFUNCTION("""COMPUTED_VALUE"""),19.0)</f>
        <v>19</v>
      </c>
    </row>
    <row r="6947">
      <c r="D6947" t="str">
        <f>IFERROR(__xludf.DUMMYFUNCTION("""COMPUTED_VALUE"""),"Williams")</f>
        <v>Williams</v>
      </c>
      <c r="E6947" t="str">
        <f>IFERROR(__xludf.DUMMYFUNCTION("""COMPUTED_VALUE"""),"Tim")</f>
        <v>Tim</v>
      </c>
      <c r="F6947" t="str">
        <f>IFERROR(__xludf.DUMMYFUNCTION("""COMPUTED_VALUE"""),"BAL")</f>
        <v>BAL</v>
      </c>
      <c r="G6947">
        <f>IFERROR(__xludf.DUMMYFUNCTION("""COMPUTED_VALUE"""),17.75)</f>
        <v>17.75</v>
      </c>
    </row>
    <row r="6948">
      <c r="D6948" t="str">
        <f>IFERROR(__xludf.DUMMYFUNCTION("""COMPUTED_VALUE"""),"Williams")</f>
        <v>Williams</v>
      </c>
      <c r="E6948" t="str">
        <f>IFERROR(__xludf.DUMMYFUNCTION("""COMPUTED_VALUE"""),"Tramon")</f>
        <v>Tramon</v>
      </c>
      <c r="F6948" t="str">
        <f>IFERROR(__xludf.DUMMYFUNCTION("""COMPUTED_VALUE"""),"GB")</f>
        <v>GB</v>
      </c>
      <c r="G6948">
        <f>IFERROR(__xludf.DUMMYFUNCTION("""COMPUTED_VALUE"""),19.25)</f>
        <v>19.25</v>
      </c>
    </row>
    <row r="6949">
      <c r="D6949" t="str">
        <f>IFERROR(__xludf.DUMMYFUNCTION("""COMPUTED_VALUE"""),"Williams")</f>
        <v>Williams</v>
      </c>
      <c r="E6949" t="str">
        <f>IFERROR(__xludf.DUMMYFUNCTION("""COMPUTED_VALUE"""),"Trent")</f>
        <v>Trent</v>
      </c>
      <c r="F6949" t="str">
        <f>IFERROR(__xludf.DUMMYFUNCTION("""COMPUTED_VALUE"""),"WAS")</f>
        <v>WAS</v>
      </c>
      <c r="G6949">
        <f>IFERROR(__xludf.DUMMYFUNCTION("""COMPUTED_VALUE"""),21.75)</f>
        <v>21.75</v>
      </c>
    </row>
    <row r="6950">
      <c r="D6950" t="str">
        <f>IFERROR(__xludf.DUMMYFUNCTION("""COMPUTED_VALUE"""),"Williams")</f>
        <v>Williams</v>
      </c>
      <c r="E6950" t="str">
        <f>IFERROR(__xludf.DUMMYFUNCTION("""COMPUTED_VALUE"""),"Trevor")</f>
        <v>Trevor</v>
      </c>
      <c r="F6950" t="str">
        <f>IFERROR(__xludf.DUMMYFUNCTION("""COMPUTED_VALUE"""),"LAC")</f>
        <v>LAC</v>
      </c>
      <c r="G6950">
        <f>IFERROR(__xludf.DUMMYFUNCTION("""COMPUTED_VALUE"""),20.0)</f>
        <v>20</v>
      </c>
    </row>
    <row r="6951">
      <c r="D6951" t="str">
        <f>IFERROR(__xludf.DUMMYFUNCTION("""COMPUTED_VALUE"""),"Williams")</f>
        <v>Williams</v>
      </c>
      <c r="E6951" t="str">
        <f>IFERROR(__xludf.DUMMYFUNCTION("""COMPUTED_VALUE"""),"Trey")</f>
        <v>Trey</v>
      </c>
      <c r="F6951" t="str">
        <f>IFERROR(__xludf.DUMMYFUNCTION("""COMPUTED_VALUE"""),"DAL")</f>
        <v>DAL</v>
      </c>
      <c r="G6951">
        <f>IFERROR(__xludf.DUMMYFUNCTION("""COMPUTED_VALUE"""),15.75)</f>
        <v>15.75</v>
      </c>
    </row>
    <row r="6952">
      <c r="D6952" t="str">
        <f>IFERROR(__xludf.DUMMYFUNCTION("""COMPUTED_VALUE"""),"Williams")</f>
        <v>Williams</v>
      </c>
      <c r="E6952" t="str">
        <f>IFERROR(__xludf.DUMMYFUNCTION("""COMPUTED_VALUE"""),"Tyrell")</f>
        <v>Tyrell</v>
      </c>
      <c r="F6952" t="str">
        <f>IFERROR(__xludf.DUMMYFUNCTION("""COMPUTED_VALUE"""),"LAC")</f>
        <v>LAC</v>
      </c>
      <c r="G6952">
        <f>IFERROR(__xludf.DUMMYFUNCTION("""COMPUTED_VALUE"""),19.75)</f>
        <v>19.75</v>
      </c>
    </row>
    <row r="6953">
      <c r="D6953" t="str">
        <f>IFERROR(__xludf.DUMMYFUNCTION("""COMPUTED_VALUE"""),"Williams")</f>
        <v>Williams</v>
      </c>
      <c r="E6953" t="str">
        <f>IFERROR(__xludf.DUMMYFUNCTION("""COMPUTED_VALUE"""),"Vince")</f>
        <v>Vince</v>
      </c>
      <c r="F6953" t="str">
        <f>IFERROR(__xludf.DUMMYFUNCTION("""COMPUTED_VALUE"""),"PIT")</f>
        <v>PIT</v>
      </c>
      <c r="G6953">
        <f>IFERROR(__xludf.DUMMYFUNCTION("""COMPUTED_VALUE"""),19.75)</f>
        <v>19.75</v>
      </c>
    </row>
    <row r="6954">
      <c r="D6954" t="str">
        <f>IFERROR(__xludf.DUMMYFUNCTION("""COMPUTED_VALUE"""),"Williams")</f>
        <v>Williams</v>
      </c>
      <c r="E6954" t="str">
        <f>IFERROR(__xludf.DUMMYFUNCTION("""COMPUTED_VALUE"""),"Xavier")</f>
        <v>Xavier</v>
      </c>
      <c r="F6954" t="str">
        <f>IFERROR(__xludf.DUMMYFUNCTION("""COMPUTED_VALUE"""),"KC")</f>
        <v>KC</v>
      </c>
      <c r="G6954">
        <f>IFERROR(__xludf.DUMMYFUNCTION("""COMPUTED_VALUE"""),19.0)</f>
        <v>19</v>
      </c>
    </row>
    <row r="6955">
      <c r="D6955" t="str">
        <f>IFERROR(__xludf.DUMMYFUNCTION("""COMPUTED_VALUE"""),"Williamson")</f>
        <v>Williamson</v>
      </c>
      <c r="E6955" t="str">
        <f>IFERROR(__xludf.DUMMYFUNCTION("""COMPUTED_VALUE"""),"Avery")</f>
        <v>Avery</v>
      </c>
      <c r="F6955" t="str">
        <f>IFERROR(__xludf.DUMMYFUNCTION("""COMPUTED_VALUE"""),"NYJ")</f>
        <v>NYJ</v>
      </c>
      <c r="G6955">
        <f>IFERROR(__xludf.DUMMYFUNCTION("""COMPUTED_VALUE"""),21.75)</f>
        <v>21.75</v>
      </c>
    </row>
    <row r="6956">
      <c r="D6956" t="str">
        <f>IFERROR(__xludf.DUMMYFUNCTION("""COMPUTED_VALUE"""),"Williamson")</f>
        <v>Williamson</v>
      </c>
      <c r="E6956" t="str">
        <f>IFERROR(__xludf.DUMMYFUNCTION("""COMPUTED_VALUE"""),"Avery")</f>
        <v>Avery</v>
      </c>
      <c r="F6956" t="str">
        <f>IFERROR(__xludf.DUMMYFUNCTION("""COMPUTED_VALUE"""),"NYJ")</f>
        <v>NYJ</v>
      </c>
      <c r="G6956">
        <f>IFERROR(__xludf.DUMMYFUNCTION("""COMPUTED_VALUE"""),20.25)</f>
        <v>20.25</v>
      </c>
    </row>
    <row r="6957">
      <c r="D6957" t="str">
        <f>IFERROR(__xludf.DUMMYFUNCTION("""COMPUTED_VALUE"""),"Willis")</f>
        <v>Willis</v>
      </c>
      <c r="E6957" t="str">
        <f>IFERROR(__xludf.DUMMYFUNCTION("""COMPUTED_VALUE"""),"Jordan")</f>
        <v>Jordan</v>
      </c>
      <c r="F6957" t="str">
        <f>IFERROR(__xludf.DUMMYFUNCTION("""COMPUTED_VALUE"""),"CIN")</f>
        <v>CIN</v>
      </c>
      <c r="G6957">
        <f>IFERROR(__xludf.DUMMYFUNCTION("""COMPUTED_VALUE"""),19.0)</f>
        <v>19</v>
      </c>
    </row>
    <row r="6958">
      <c r="D6958" t="str">
        <f>IFERROR(__xludf.DUMMYFUNCTION("""COMPUTED_VALUE"""),"Willson")</f>
        <v>Willson</v>
      </c>
      <c r="E6958" t="str">
        <f>IFERROR(__xludf.DUMMYFUNCTION("""COMPUTED_VALUE"""),"Luke")</f>
        <v>Luke</v>
      </c>
      <c r="F6958" t="str">
        <f>IFERROR(__xludf.DUMMYFUNCTION("""COMPUTED_VALUE"""),"DET")</f>
        <v>DET</v>
      </c>
      <c r="G6958">
        <f>IFERROR(__xludf.DUMMYFUNCTION("""COMPUTED_VALUE"""),19.25)</f>
        <v>19.25</v>
      </c>
    </row>
    <row r="6959">
      <c r="D6959" t="str">
        <f>IFERROR(__xludf.DUMMYFUNCTION("""COMPUTED_VALUE"""),"Wilson")</f>
        <v>Wilson</v>
      </c>
      <c r="E6959" t="str">
        <f>IFERROR(__xludf.DUMMYFUNCTION("""COMPUTED_VALUE"""),"Albert")</f>
        <v>Albert</v>
      </c>
      <c r="F6959" t="str">
        <f>IFERROR(__xludf.DUMMYFUNCTION("""COMPUTED_VALUE"""),"MIA")</f>
        <v>MIA</v>
      </c>
      <c r="G6959">
        <f>IFERROR(__xludf.DUMMYFUNCTION("""COMPUTED_VALUE"""),18.75)</f>
        <v>18.75</v>
      </c>
    </row>
    <row r="6960">
      <c r="D6960" t="str">
        <f>IFERROR(__xludf.DUMMYFUNCTION("""COMPUTED_VALUE"""),"Wilson")</f>
        <v>Wilson</v>
      </c>
      <c r="E6960" t="str">
        <f>IFERROR(__xludf.DUMMYFUNCTION("""COMPUTED_VALUE"""),"Brandon")</f>
        <v>Brandon</v>
      </c>
      <c r="F6960" t="str">
        <f>IFERROR(__xludf.DUMMYFUNCTION("""COMPUTED_VALUE"""),"CIN")</f>
        <v>CIN</v>
      </c>
      <c r="G6960">
        <f>IFERROR(__xludf.DUMMYFUNCTION("""COMPUTED_VALUE"""),15.5)</f>
        <v>15.5</v>
      </c>
    </row>
    <row r="6961">
      <c r="D6961" t="str">
        <f>IFERROR(__xludf.DUMMYFUNCTION("""COMPUTED_VALUE"""),"Wilson")</f>
        <v>Wilson</v>
      </c>
      <c r="E6961" t="str">
        <f>IFERROR(__xludf.DUMMYFUNCTION("""COMPUTED_VALUE"""),"Cedrick")</f>
        <v>Cedrick</v>
      </c>
      <c r="F6961" t="str">
        <f>IFERROR(__xludf.DUMMYFUNCTION("""COMPUTED_VALUE"""),"DAL")</f>
        <v>DAL</v>
      </c>
      <c r="G6961">
        <f>IFERROR(__xludf.DUMMYFUNCTION("""COMPUTED_VALUE"""),18.25)</f>
        <v>18.25</v>
      </c>
    </row>
    <row r="6962">
      <c r="D6962" t="str">
        <f>IFERROR(__xludf.DUMMYFUNCTION("""COMPUTED_VALUE"""),"Wilson")</f>
        <v>Wilson</v>
      </c>
      <c r="E6962" t="str">
        <f>IFERROR(__xludf.DUMMYFUNCTION("""COMPUTED_VALUE"""),"Damien")</f>
        <v>Damien</v>
      </c>
      <c r="F6962" t="str">
        <f>IFERROR(__xludf.DUMMYFUNCTION("""COMPUTED_VALUE"""),"DAL")</f>
        <v>DAL</v>
      </c>
      <c r="G6962">
        <f>IFERROR(__xludf.DUMMYFUNCTION("""COMPUTED_VALUE"""),17.75)</f>
        <v>17.75</v>
      </c>
    </row>
    <row r="6963">
      <c r="D6963" t="str">
        <f>IFERROR(__xludf.DUMMYFUNCTION("""COMPUTED_VALUE"""),"Wilson")</f>
        <v>Wilson</v>
      </c>
      <c r="E6963" t="str">
        <f>IFERROR(__xludf.DUMMYFUNCTION("""COMPUTED_VALUE"""),"Eric")</f>
        <v>Eric</v>
      </c>
      <c r="F6963" t="str">
        <f>IFERROR(__xludf.DUMMYFUNCTION("""COMPUTED_VALUE"""),"MIN")</f>
        <v>MIN</v>
      </c>
      <c r="G6963">
        <f>IFERROR(__xludf.DUMMYFUNCTION("""COMPUTED_VALUE"""),17.25)</f>
        <v>17.25</v>
      </c>
    </row>
    <row r="6964">
      <c r="D6964" t="str">
        <f>IFERROR(__xludf.DUMMYFUNCTION("""COMPUTED_VALUE"""),"Wilson")</f>
        <v>Wilson</v>
      </c>
      <c r="E6964" t="str">
        <f>IFERROR(__xludf.DUMMYFUNCTION("""COMPUTED_VALUE"""),"Howard")</f>
        <v>Howard</v>
      </c>
      <c r="F6964" t="str">
        <f>IFERROR(__xludf.DUMMYFUNCTION("""COMPUTED_VALUE"""),"CLE")</f>
        <v>CLE</v>
      </c>
      <c r="G6964">
        <f>IFERROR(__xludf.DUMMYFUNCTION("""COMPUTED_VALUE"""),17.25)</f>
        <v>17.25</v>
      </c>
    </row>
    <row r="6965">
      <c r="D6965" t="str">
        <f>IFERROR(__xludf.DUMMYFUNCTION("""COMPUTED_VALUE"""),"Wilson")</f>
        <v>Wilson</v>
      </c>
      <c r="E6965" t="str">
        <f>IFERROR(__xludf.DUMMYFUNCTION("""COMPUTED_VALUE"""),"Jarrod")</f>
        <v>Jarrod</v>
      </c>
      <c r="F6965" t="str">
        <f>IFERROR(__xludf.DUMMYFUNCTION("""COMPUTED_VALUE"""),"JAX")</f>
        <v>JAX</v>
      </c>
      <c r="G6965">
        <f>IFERROR(__xludf.DUMMYFUNCTION("""COMPUTED_VALUE"""),18.0)</f>
        <v>18</v>
      </c>
    </row>
    <row r="6966">
      <c r="D6966" t="str">
        <f>IFERROR(__xludf.DUMMYFUNCTION("""COMPUTED_VALUE"""),"Wilson")</f>
        <v>Wilson</v>
      </c>
      <c r="E6966" t="str">
        <f>IFERROR(__xludf.DUMMYFUNCTION("""COMPUTED_VALUE"""),"Marquess")</f>
        <v>Marquess</v>
      </c>
      <c r="F6966" t="str">
        <f>IFERROR(__xludf.DUMMYFUNCTION("""COMPUTED_VALUE"""),"PHI")</f>
        <v>PHI</v>
      </c>
      <c r="G6966">
        <f>IFERROR(__xludf.DUMMYFUNCTION("""COMPUTED_VALUE"""),18.5)</f>
        <v>18.5</v>
      </c>
    </row>
    <row r="6967">
      <c r="D6967" t="str">
        <f>IFERROR(__xludf.DUMMYFUNCTION("""COMPUTED_VALUE"""),"Wilson")</f>
        <v>Wilson</v>
      </c>
      <c r="E6967" t="str">
        <f>IFERROR(__xludf.DUMMYFUNCTION("""COMPUTED_VALUE"""),"Quincy")</f>
        <v>Quincy</v>
      </c>
      <c r="F6967" t="str">
        <f>IFERROR(__xludf.DUMMYFUNCTION("""COMPUTED_VALUE"""),"IND")</f>
        <v>IND</v>
      </c>
      <c r="G6967">
        <f>IFERROR(__xludf.DUMMYFUNCTION("""COMPUTED_VALUE"""),18.5)</f>
        <v>18.5</v>
      </c>
    </row>
    <row r="6968">
      <c r="D6968" t="str">
        <f>IFERROR(__xludf.DUMMYFUNCTION("""COMPUTED_VALUE"""),"Wilson")</f>
        <v>Wilson</v>
      </c>
      <c r="E6968" t="str">
        <f>IFERROR(__xludf.DUMMYFUNCTION("""COMPUTED_VALUE"""),"Ramik")</f>
        <v>Ramik</v>
      </c>
      <c r="F6968" t="str">
        <f>IFERROR(__xludf.DUMMYFUNCTION("""COMPUTED_VALUE"""),"LAR")</f>
        <v>LAR</v>
      </c>
      <c r="G6968">
        <f>IFERROR(__xludf.DUMMYFUNCTION("""COMPUTED_VALUE"""),19.25)</f>
        <v>19.25</v>
      </c>
    </row>
    <row r="6969">
      <c r="D6969" t="str">
        <f>IFERROR(__xludf.DUMMYFUNCTION("""COMPUTED_VALUE"""),"Wilson")</f>
        <v>Wilson</v>
      </c>
      <c r="E6969" t="str">
        <f>IFERROR(__xludf.DUMMYFUNCTION("""COMPUTED_VALUE"""),"Russell")</f>
        <v>Russell</v>
      </c>
      <c r="F6969" t="str">
        <f>IFERROR(__xludf.DUMMYFUNCTION("""COMPUTED_VALUE"""),"SEA")</f>
        <v>SEA</v>
      </c>
      <c r="G6969">
        <f>IFERROR(__xludf.DUMMYFUNCTION("""COMPUTED_VALUE"""),21.75)</f>
        <v>21.75</v>
      </c>
    </row>
    <row r="6970">
      <c r="D6970" t="str">
        <f>IFERROR(__xludf.DUMMYFUNCTION("""COMPUTED_VALUE"""),"Wilson Jr")</f>
        <v>Wilson Jr</v>
      </c>
      <c r="E6970" t="str">
        <f>IFERROR(__xludf.DUMMYFUNCTION("""COMPUTED_VALUE"""),"Bobo")</f>
        <v>Bobo</v>
      </c>
      <c r="F6970" t="str">
        <f>IFERROR(__xludf.DUMMYFUNCTION("""COMPUTED_VALUE"""),"TB")</f>
        <v>TB</v>
      </c>
      <c r="G6970">
        <f>IFERROR(__xludf.DUMMYFUNCTION("""COMPUTED_VALUE"""),16.5)</f>
        <v>16.5</v>
      </c>
    </row>
    <row r="6971">
      <c r="D6971" t="str">
        <f>IFERROR(__xludf.DUMMYFUNCTION("""COMPUTED_VALUE"""),"Wilson Sr")</f>
        <v>Wilson Sr</v>
      </c>
      <c r="E6971" t="str">
        <f>IFERROR(__xludf.DUMMYFUNCTION("""COMPUTED_VALUE"""),"Tavon")</f>
        <v>Tavon</v>
      </c>
      <c r="F6971" t="str">
        <f>IFERROR(__xludf.DUMMYFUNCTION("""COMPUTED_VALUE"""),"DET")</f>
        <v>DET</v>
      </c>
      <c r="G6971">
        <f>IFERROR(__xludf.DUMMYFUNCTION("""COMPUTED_VALUE"""),19.25)</f>
        <v>19.25</v>
      </c>
    </row>
    <row r="6972">
      <c r="D6972" t="str">
        <f>IFERROR(__xludf.DUMMYFUNCTION("""COMPUTED_VALUE"""),"Wims")</f>
        <v>Wims</v>
      </c>
      <c r="E6972" t="str">
        <f>IFERROR(__xludf.DUMMYFUNCTION("""COMPUTED_VALUE"""),"Javon")</f>
        <v>Javon</v>
      </c>
      <c r="F6972" t="str">
        <f>IFERROR(__xludf.DUMMYFUNCTION("""COMPUTED_VALUE"""),"CHI")</f>
        <v>CHI</v>
      </c>
      <c r="G6972">
        <f>IFERROR(__xludf.DUMMYFUNCTION("""COMPUTED_VALUE"""),17.25)</f>
        <v>17.25</v>
      </c>
    </row>
    <row r="6973">
      <c r="D6973" t="str">
        <f>IFERROR(__xludf.DUMMYFUNCTION("""COMPUTED_VALUE"""),"Wing")</f>
        <v>Wing</v>
      </c>
      <c r="E6973" t="str">
        <f>IFERROR(__xludf.DUMMYFUNCTION("""COMPUTED_VALUE"""),"Brad")</f>
        <v>Brad</v>
      </c>
      <c r="F6973" t="str">
        <f>IFERROR(__xludf.DUMMYFUNCTION("""COMPUTED_VALUE"""),"FA")</f>
        <v>FA</v>
      </c>
      <c r="G6973">
        <f>IFERROR(__xludf.DUMMYFUNCTION("""COMPUTED_VALUE"""),18.75)</f>
        <v>18.75</v>
      </c>
    </row>
    <row r="6974">
      <c r="D6974" t="str">
        <f>IFERROR(__xludf.DUMMYFUNCTION("""COMPUTED_VALUE"""),"Winston")</f>
        <v>Winston</v>
      </c>
      <c r="E6974" t="str">
        <f>IFERROR(__xludf.DUMMYFUNCTION("""COMPUTED_VALUE"""),"Jameis")</f>
        <v>Jameis</v>
      </c>
      <c r="F6974" t="str">
        <f>IFERROR(__xludf.DUMMYFUNCTION("""COMPUTED_VALUE"""),"TB")</f>
        <v>TB</v>
      </c>
      <c r="G6974">
        <f>IFERROR(__xludf.DUMMYFUNCTION("""COMPUTED_VALUE"""),20.0)</f>
        <v>20</v>
      </c>
    </row>
    <row r="6975">
      <c r="D6975" t="str">
        <f>IFERROR(__xludf.DUMMYFUNCTION("""COMPUTED_VALUE"""),"Winters")</f>
        <v>Winters</v>
      </c>
      <c r="E6975" t="str">
        <f>IFERROR(__xludf.DUMMYFUNCTION("""COMPUTED_VALUE"""),"Brian")</f>
        <v>Brian</v>
      </c>
      <c r="F6975" t="str">
        <f>IFERROR(__xludf.DUMMYFUNCTION("""COMPUTED_VALUE"""),"NYJ")</f>
        <v>NYJ</v>
      </c>
      <c r="G6975">
        <f>IFERROR(__xludf.DUMMYFUNCTION("""COMPUTED_VALUE"""),18.0)</f>
        <v>18</v>
      </c>
    </row>
    <row r="6976">
      <c r="D6976" t="str">
        <f>IFERROR(__xludf.DUMMYFUNCTION("""COMPUTED_VALUE"""),"Wise Jr")</f>
        <v>Wise Jr</v>
      </c>
      <c r="E6976" t="str">
        <f>IFERROR(__xludf.DUMMYFUNCTION("""COMPUTED_VALUE"""),"Deatrich")</f>
        <v>Deatrich</v>
      </c>
      <c r="F6976" t="str">
        <f>IFERROR(__xludf.DUMMYFUNCTION("""COMPUTED_VALUE"""),"NE")</f>
        <v>NE</v>
      </c>
      <c r="G6976">
        <f>IFERROR(__xludf.DUMMYFUNCTION("""COMPUTED_VALUE"""),17.75)</f>
        <v>17.75</v>
      </c>
    </row>
    <row r="6977">
      <c r="D6977" t="str">
        <f>IFERROR(__xludf.DUMMYFUNCTION("""COMPUTED_VALUE"""),"Wisniewski")</f>
        <v>Wisniewski</v>
      </c>
      <c r="E6977" t="str">
        <f>IFERROR(__xludf.DUMMYFUNCTION("""COMPUTED_VALUE"""),"Stefen")</f>
        <v>Stefen</v>
      </c>
      <c r="F6977" t="str">
        <f>IFERROR(__xludf.DUMMYFUNCTION("""COMPUTED_VALUE"""),"PHI")</f>
        <v>PHI</v>
      </c>
      <c r="G6977">
        <f>IFERROR(__xludf.DUMMYFUNCTION("""COMPUTED_VALUE"""),19.75)</f>
        <v>19.75</v>
      </c>
    </row>
    <row r="6978">
      <c r="D6978" t="str">
        <f>IFERROR(__xludf.DUMMYFUNCTION("""COMPUTED_VALUE"""),"Witherspoon")</f>
        <v>Witherspoon</v>
      </c>
      <c r="E6978" t="str">
        <f>IFERROR(__xludf.DUMMYFUNCTION("""COMPUTED_VALUE"""),"Ahkello")</f>
        <v>Ahkello</v>
      </c>
      <c r="F6978" t="str">
        <f>IFERROR(__xludf.DUMMYFUNCTION("""COMPUTED_VALUE"""),"SF")</f>
        <v>SF</v>
      </c>
      <c r="G6978">
        <f>IFERROR(__xludf.DUMMYFUNCTION("""COMPUTED_VALUE"""),18.75)</f>
        <v>18.75</v>
      </c>
    </row>
    <row r="6979">
      <c r="D6979" t="str">
        <f>IFERROR(__xludf.DUMMYFUNCTION("""COMPUTED_VALUE"""),"Witzmann")</f>
        <v>Witzmann</v>
      </c>
      <c r="E6979" t="str">
        <f>IFERROR(__xludf.DUMMYFUNCTION("""COMPUTED_VALUE"""),"Bryan")</f>
        <v>Bryan</v>
      </c>
      <c r="F6979" t="str">
        <f>IFERROR(__xludf.DUMMYFUNCTION("""COMPUTED_VALUE"""),"KC")</f>
        <v>KC</v>
      </c>
      <c r="G6979">
        <f>IFERROR(__xludf.DUMMYFUNCTION("""COMPUTED_VALUE"""),18.0)</f>
        <v>18</v>
      </c>
    </row>
    <row r="6980">
      <c r="D6980" t="str">
        <f>IFERROR(__xludf.DUMMYFUNCTION("""COMPUTED_VALUE"""),"Wolfe")</f>
        <v>Wolfe</v>
      </c>
      <c r="E6980" t="str">
        <f>IFERROR(__xludf.DUMMYFUNCTION("""COMPUTED_VALUE"""),"Derek")</f>
        <v>Derek</v>
      </c>
      <c r="F6980" t="str">
        <f>IFERROR(__xludf.DUMMYFUNCTION("""COMPUTED_VALUE"""),"DEN")</f>
        <v>DEN</v>
      </c>
      <c r="G6980">
        <f>IFERROR(__xludf.DUMMYFUNCTION("""COMPUTED_VALUE"""),19.0)</f>
        <v>19</v>
      </c>
    </row>
    <row r="6981">
      <c r="D6981" t="str">
        <f>IFERROR(__xludf.DUMMYFUNCTION("""COMPUTED_VALUE"""),"Woodard")</f>
        <v>Woodard</v>
      </c>
      <c r="E6981" t="str">
        <f>IFERROR(__xludf.DUMMYFUNCTION("""COMPUTED_VALUE"""),"Jonathan")</f>
        <v>Jonathan</v>
      </c>
      <c r="F6981" t="str">
        <f>IFERROR(__xludf.DUMMYFUNCTION("""COMPUTED_VALUE"""),"MIA")</f>
        <v>MIA</v>
      </c>
      <c r="G6981">
        <f>IFERROR(__xludf.DUMMYFUNCTION("""COMPUTED_VALUE"""),17.5)</f>
        <v>17.5</v>
      </c>
    </row>
    <row r="6982">
      <c r="D6982" t="str">
        <f>IFERROR(__xludf.DUMMYFUNCTION("""COMPUTED_VALUE"""),"Woodrum")</f>
        <v>Woodrum</v>
      </c>
      <c r="E6982" t="str">
        <f>IFERROR(__xludf.DUMMYFUNCTION("""COMPUTED_VALUE"""),"Josh")</f>
        <v>Josh</v>
      </c>
      <c r="F6982" t="str">
        <f>IFERROR(__xludf.DUMMYFUNCTION("""COMPUTED_VALUE"""),"BAL")</f>
        <v>BAL</v>
      </c>
      <c r="G6982">
        <f>IFERROR(__xludf.DUMMYFUNCTION("""COMPUTED_VALUE"""),16.0)</f>
        <v>16</v>
      </c>
    </row>
    <row r="6983">
      <c r="D6983" t="str">
        <f>IFERROR(__xludf.DUMMYFUNCTION("""COMPUTED_VALUE"""),"Woods")</f>
        <v>Woods</v>
      </c>
      <c r="E6983" t="str">
        <f>IFERROR(__xludf.DUMMYFUNCTION("""COMPUTED_VALUE"""),"Al")</f>
        <v>Al</v>
      </c>
      <c r="F6983" t="str">
        <f>IFERROR(__xludf.DUMMYFUNCTION("""COMPUTED_VALUE"""),"IND")</f>
        <v>IND</v>
      </c>
      <c r="G6983">
        <f>IFERROR(__xludf.DUMMYFUNCTION("""COMPUTED_VALUE"""),19.5)</f>
        <v>19.5</v>
      </c>
    </row>
    <row r="6984">
      <c r="D6984" t="str">
        <f>IFERROR(__xludf.DUMMYFUNCTION("""COMPUTED_VALUE"""),"Woods")</f>
        <v>Woods</v>
      </c>
      <c r="E6984" t="str">
        <f>IFERROR(__xludf.DUMMYFUNCTION("""COMPUTED_VALUE"""),"Antwaun")</f>
        <v>Antwaun</v>
      </c>
      <c r="F6984" t="str">
        <f>IFERROR(__xludf.DUMMYFUNCTION("""COMPUTED_VALUE"""),"DAL")</f>
        <v>DAL</v>
      </c>
      <c r="G6984">
        <f>IFERROR(__xludf.DUMMYFUNCTION("""COMPUTED_VALUE"""),16.0)</f>
        <v>16</v>
      </c>
    </row>
    <row r="6985">
      <c r="D6985" t="str">
        <f>IFERROR(__xludf.DUMMYFUNCTION("""COMPUTED_VALUE"""),"Woods")</f>
        <v>Woods</v>
      </c>
      <c r="E6985" t="str">
        <f>IFERROR(__xludf.DUMMYFUNCTION("""COMPUTED_VALUE"""),"Robert")</f>
        <v>Robert</v>
      </c>
      <c r="F6985" t="str">
        <f>IFERROR(__xludf.DUMMYFUNCTION("""COMPUTED_VALUE"""),"LAR")</f>
        <v>LAR</v>
      </c>
      <c r="G6985">
        <f>IFERROR(__xludf.DUMMYFUNCTION("""COMPUTED_VALUE"""),20.25)</f>
        <v>20.25</v>
      </c>
    </row>
    <row r="6986">
      <c r="D6986" t="str">
        <f>IFERROR(__xludf.DUMMYFUNCTION("""COMPUTED_VALUE"""),"Woods")</f>
        <v>Woods</v>
      </c>
      <c r="E6986" t="str">
        <f>IFERROR(__xludf.DUMMYFUNCTION("""COMPUTED_VALUE"""),"Xavier")</f>
        <v>Xavier</v>
      </c>
      <c r="F6986" t="str">
        <f>IFERROR(__xludf.DUMMYFUNCTION("""COMPUTED_VALUE"""),"DAL")</f>
        <v>DAL</v>
      </c>
      <c r="G6986">
        <f>IFERROR(__xludf.DUMMYFUNCTION("""COMPUTED_VALUE"""),19.25)</f>
        <v>19.25</v>
      </c>
    </row>
    <row r="6987">
      <c r="D6987" t="str">
        <f>IFERROR(__xludf.DUMMYFUNCTION("""COMPUTED_VALUE"""),"Woodside")</f>
        <v>Woodside</v>
      </c>
      <c r="E6987" t="str">
        <f>IFERROR(__xludf.DUMMYFUNCTION("""COMPUTED_VALUE"""),"Logan")</f>
        <v>Logan</v>
      </c>
      <c r="F6987" t="str">
        <f>IFERROR(__xludf.DUMMYFUNCTION("""COMPUTED_VALUE"""),"CIN")</f>
        <v>CIN</v>
      </c>
      <c r="G6987">
        <f>IFERROR(__xludf.DUMMYFUNCTION("""COMPUTED_VALUE"""),17.0)</f>
        <v>17</v>
      </c>
    </row>
    <row r="6988">
      <c r="D6988" t="str">
        <f>IFERROR(__xludf.DUMMYFUNCTION("""COMPUTED_VALUE"""),"Woodson-Luster")</f>
        <v>Woodson-Luster</v>
      </c>
      <c r="E6988" t="str">
        <f>IFERROR(__xludf.DUMMYFUNCTION("""COMPUTED_VALUE"""),"Xavier")</f>
        <v>Xavier</v>
      </c>
      <c r="F6988" t="str">
        <f>IFERROR(__xludf.DUMMYFUNCTION("""COMPUTED_VALUE"""),"BUF")</f>
        <v>BUF</v>
      </c>
      <c r="G6988">
        <f>IFERROR(__xludf.DUMMYFUNCTION("""COMPUTED_VALUE"""),15.75)</f>
        <v>15.75</v>
      </c>
    </row>
    <row r="6989">
      <c r="D6989" t="str">
        <f>IFERROR(__xludf.DUMMYFUNCTION("""COMPUTED_VALUE"""),"Woodyard")</f>
        <v>Woodyard</v>
      </c>
      <c r="E6989" t="str">
        <f>IFERROR(__xludf.DUMMYFUNCTION("""COMPUTED_VALUE"""),"Wesley")</f>
        <v>Wesley</v>
      </c>
      <c r="F6989" t="str">
        <f>IFERROR(__xludf.DUMMYFUNCTION("""COMPUTED_VALUE"""),"TEN")</f>
        <v>TEN</v>
      </c>
      <c r="G6989">
        <f>IFERROR(__xludf.DUMMYFUNCTION("""COMPUTED_VALUE"""),19.75)</f>
        <v>19.75</v>
      </c>
    </row>
    <row r="6990">
      <c r="D6990" t="str">
        <f>IFERROR(__xludf.DUMMYFUNCTION("""COMPUTED_VALUE"""),"Worley")</f>
        <v>Worley</v>
      </c>
      <c r="E6990" t="str">
        <f>IFERROR(__xludf.DUMMYFUNCTION("""COMPUTED_VALUE"""),"Daryl")</f>
        <v>Daryl</v>
      </c>
      <c r="F6990" t="str">
        <f>IFERROR(__xludf.DUMMYFUNCTION("""COMPUTED_VALUE"""),"OAK")</f>
        <v>OAK</v>
      </c>
      <c r="G6990">
        <f>IFERROR(__xludf.DUMMYFUNCTION("""COMPUTED_VALUE"""),18.5)</f>
        <v>18.5</v>
      </c>
    </row>
    <row r="6991">
      <c r="D6991" t="str">
        <f>IFERROR(__xludf.DUMMYFUNCTION("""COMPUTED_VALUE"""),"Wormley")</f>
        <v>Wormley</v>
      </c>
      <c r="E6991" t="str">
        <f>IFERROR(__xludf.DUMMYFUNCTION("""COMPUTED_VALUE"""),"Chris")</f>
        <v>Chris</v>
      </c>
      <c r="F6991" t="str">
        <f>IFERROR(__xludf.DUMMYFUNCTION("""COMPUTED_VALUE"""),"BAL")</f>
        <v>BAL</v>
      </c>
      <c r="G6991">
        <f>IFERROR(__xludf.DUMMYFUNCTION("""COMPUTED_VALUE"""),17.75)</f>
        <v>17.75</v>
      </c>
    </row>
    <row r="6992">
      <c r="D6992" t="str">
        <f>IFERROR(__xludf.DUMMYFUNCTION("""COMPUTED_VALUE"""),"Worrilow")</f>
        <v>Worrilow</v>
      </c>
      <c r="E6992" t="str">
        <f>IFERROR(__xludf.DUMMYFUNCTION("""COMPUTED_VALUE"""),"Paul")</f>
        <v>Paul</v>
      </c>
      <c r="F6992" t="str">
        <f>IFERROR(__xludf.DUMMYFUNCTION("""COMPUTED_VALUE"""),"PHI")</f>
        <v>PHI</v>
      </c>
      <c r="G6992">
        <f>IFERROR(__xludf.DUMMYFUNCTION("""COMPUTED_VALUE"""),18.25)</f>
        <v>18.25</v>
      </c>
    </row>
    <row r="6993">
      <c r="D6993" t="str">
        <f>IFERROR(__xludf.DUMMYFUNCTION("""COMPUTED_VALUE"""),"Wreh-Wilson")</f>
        <v>Wreh-Wilson</v>
      </c>
      <c r="E6993" t="str">
        <f>IFERROR(__xludf.DUMMYFUNCTION("""COMPUTED_VALUE"""),"Blidi")</f>
        <v>Blidi</v>
      </c>
      <c r="F6993" t="str">
        <f>IFERROR(__xludf.DUMMYFUNCTION("""COMPUTED_VALUE"""),"ATL")</f>
        <v>ATL</v>
      </c>
      <c r="G6993">
        <f>IFERROR(__xludf.DUMMYFUNCTION("""COMPUTED_VALUE"""),18.0)</f>
        <v>18</v>
      </c>
    </row>
    <row r="6994">
      <c r="D6994" t="str">
        <f>IFERROR(__xludf.DUMMYFUNCTION("""COMPUTED_VALUE"""),"Wright")</f>
        <v>Wright</v>
      </c>
      <c r="E6994" t="str">
        <f>IFERROR(__xludf.DUMMYFUNCTION("""COMPUTED_VALUE"""),"Gabe")</f>
        <v>Gabe</v>
      </c>
      <c r="F6994" t="str">
        <f>IFERROR(__xludf.DUMMYFUNCTION("""COMPUTED_VALUE"""),"MIA")</f>
        <v>MIA</v>
      </c>
      <c r="G6994">
        <f>IFERROR(__xludf.DUMMYFUNCTION("""COMPUTED_VALUE"""),17.75)</f>
        <v>17.75</v>
      </c>
    </row>
    <row r="6995">
      <c r="D6995" t="str">
        <f>IFERROR(__xludf.DUMMYFUNCTION("""COMPUTED_VALUE"""),"Wright")</f>
        <v>Wright</v>
      </c>
      <c r="E6995" t="str">
        <f>IFERROR(__xludf.DUMMYFUNCTION("""COMPUTED_VALUE"""),"Kendall")</f>
        <v>Kendall</v>
      </c>
      <c r="F6995" t="str">
        <f>IFERROR(__xludf.DUMMYFUNCTION("""COMPUTED_VALUE"""),"MIN")</f>
        <v>MIN</v>
      </c>
      <c r="G6995">
        <f>IFERROR(__xludf.DUMMYFUNCTION("""COMPUTED_VALUE"""),19.0)</f>
        <v>19</v>
      </c>
    </row>
    <row r="6996">
      <c r="D6996" t="str">
        <f>IFERROR(__xludf.DUMMYFUNCTION("""COMPUTED_VALUE"""),"Wright")</f>
        <v>Wright</v>
      </c>
      <c r="E6996" t="str">
        <f>IFERROR(__xludf.DUMMYFUNCTION("""COMPUTED_VALUE"""),"KJ")</f>
        <v>KJ</v>
      </c>
      <c r="F6996" t="str">
        <f>IFERROR(__xludf.DUMMYFUNCTION("""COMPUTED_VALUE"""),"SEA")</f>
        <v>SEA</v>
      </c>
      <c r="G6996">
        <f>IFERROR(__xludf.DUMMYFUNCTION("""COMPUTED_VALUE"""),20.25)</f>
        <v>20.25</v>
      </c>
    </row>
    <row r="6997">
      <c r="D6997" t="str">
        <f>IFERROR(__xludf.DUMMYFUNCTION("""COMPUTED_VALUE"""),"Wright")</f>
        <v>Wright</v>
      </c>
      <c r="E6997" t="str">
        <f>IFERROR(__xludf.DUMMYFUNCTION("""COMPUTED_VALUE"""),"Shareece")</f>
        <v>Shareece</v>
      </c>
      <c r="F6997" t="str">
        <f>IFERROR(__xludf.DUMMYFUNCTION("""COMPUTED_VALUE"""),"OAK")</f>
        <v>OAK</v>
      </c>
      <c r="G6997">
        <f>IFERROR(__xludf.DUMMYFUNCTION("""COMPUTED_VALUE"""),18.0)</f>
        <v>18</v>
      </c>
    </row>
    <row r="6998">
      <c r="D6998" t="str">
        <f>IFERROR(__xludf.DUMMYFUNCTION("""COMPUTED_VALUE"""),"Wright")</f>
        <v>Wright</v>
      </c>
      <c r="E6998" t="str">
        <f>IFERROR(__xludf.DUMMYFUNCTION("""COMPUTED_VALUE"""),"Timothy")</f>
        <v>Timothy</v>
      </c>
      <c r="F6998" t="str">
        <f>IFERROR(__xludf.DUMMYFUNCTION("""COMPUTED_VALUE"""),"KC")</f>
        <v>KC</v>
      </c>
      <c r="G6998">
        <f>IFERROR(__xludf.DUMMYFUNCTION("""COMPUTED_VALUE"""),17.25)</f>
        <v>17.25</v>
      </c>
    </row>
    <row r="6999">
      <c r="D6999" t="str">
        <f>IFERROR(__xludf.DUMMYFUNCTION("""COMPUTED_VALUE"""),"Wright III")</f>
        <v>Wright III</v>
      </c>
      <c r="E6999" t="str">
        <f>IFERROR(__xludf.DUMMYFUNCTION("""COMPUTED_VALUE"""),"Scooby")</f>
        <v>Scooby</v>
      </c>
      <c r="F6999" t="str">
        <f>IFERROR(__xludf.DUMMYFUNCTION("""COMPUTED_VALUE"""),"ARZ")</f>
        <v>ARZ</v>
      </c>
      <c r="G6999">
        <f>IFERROR(__xludf.DUMMYFUNCTION("""COMPUTED_VALUE"""),18.25)</f>
        <v>18.25</v>
      </c>
    </row>
    <row r="7000">
      <c r="D7000" t="str">
        <f>IFERROR(__xludf.DUMMYFUNCTION("""COMPUTED_VALUE"""),"Wynn")</f>
        <v>Wynn</v>
      </c>
      <c r="E7000" t="str">
        <f>IFERROR(__xludf.DUMMYFUNCTION("""COMPUTED_VALUE"""),"Isaiah")</f>
        <v>Isaiah</v>
      </c>
      <c r="F7000" t="str">
        <f>IFERROR(__xludf.DUMMYFUNCTION("""COMPUTED_VALUE"""),"NE")</f>
        <v>NE</v>
      </c>
      <c r="G7000">
        <f>IFERROR(__xludf.DUMMYFUNCTION("""COMPUTED_VALUE"""),19.25)</f>
        <v>19.25</v>
      </c>
    </row>
    <row r="7001">
      <c r="D7001" t="str">
        <f>IFERROR(__xludf.DUMMYFUNCTION("""COMPUTED_VALUE"""),"Wynn")</f>
        <v>Wynn</v>
      </c>
      <c r="E7001" t="str">
        <f>IFERROR(__xludf.DUMMYFUNCTION("""COMPUTED_VALUE"""),"Kerry")</f>
        <v>Kerry</v>
      </c>
      <c r="F7001" t="str">
        <f>IFERROR(__xludf.DUMMYFUNCTION("""COMPUTED_VALUE"""),"NYG")</f>
        <v>NYG</v>
      </c>
      <c r="G7001">
        <f>IFERROR(__xludf.DUMMYFUNCTION("""COMPUTED_VALUE"""),17.25)</f>
        <v>17.25</v>
      </c>
    </row>
    <row r="7002">
      <c r="D7002" t="str">
        <f>IFERROR(__xludf.DUMMYFUNCTION("""COMPUTED_VALUE"""),"Wynn")</f>
        <v>Wynn</v>
      </c>
      <c r="E7002" t="str">
        <f>IFERROR(__xludf.DUMMYFUNCTION("""COMPUTED_VALUE"""),"Shane")</f>
        <v>Shane</v>
      </c>
      <c r="F7002" t="str">
        <f>IFERROR(__xludf.DUMMYFUNCTION("""COMPUTED_VALUE"""),"JAX")</f>
        <v>JAX</v>
      </c>
      <c r="G7002">
        <f>IFERROR(__xludf.DUMMYFUNCTION("""COMPUTED_VALUE"""),15.75)</f>
        <v>15.75</v>
      </c>
    </row>
    <row r="7003">
      <c r="D7003" t="str">
        <f>IFERROR(__xludf.DUMMYFUNCTION("""COMPUTED_VALUE"""),"Yancey")</f>
        <v>Yancey</v>
      </c>
      <c r="E7003" t="str">
        <f>IFERROR(__xludf.DUMMYFUNCTION("""COMPUTED_VALUE"""),"DeAngelo")</f>
        <v>DeAngelo</v>
      </c>
      <c r="F7003" t="str">
        <f>IFERROR(__xludf.DUMMYFUNCTION("""COMPUTED_VALUE"""),"GB")</f>
        <v>GB</v>
      </c>
      <c r="G7003">
        <f>IFERROR(__xludf.DUMMYFUNCTION("""COMPUTED_VALUE"""),17.0)</f>
        <v>17</v>
      </c>
    </row>
    <row r="7004">
      <c r="D7004" t="str">
        <f>IFERROR(__xludf.DUMMYFUNCTION("""COMPUTED_VALUE"""),"Yanda")</f>
        <v>Yanda</v>
      </c>
      <c r="E7004" t="str">
        <f>IFERROR(__xludf.DUMMYFUNCTION("""COMPUTED_VALUE"""),"Marshal")</f>
        <v>Marshal</v>
      </c>
      <c r="F7004" t="str">
        <f>IFERROR(__xludf.DUMMYFUNCTION("""COMPUTED_VALUE"""),"BAL")</f>
        <v>BAL</v>
      </c>
      <c r="G7004">
        <f>IFERROR(__xludf.DUMMYFUNCTION("""COMPUTED_VALUE"""),21.5)</f>
        <v>21.5</v>
      </c>
    </row>
    <row r="7005">
      <c r="D7005" t="str">
        <f>IFERROR(__xludf.DUMMYFUNCTION("""COMPUTED_VALUE"""),"Yanda")</f>
        <v>Yanda</v>
      </c>
      <c r="E7005" t="str">
        <f>IFERROR(__xludf.DUMMYFUNCTION("""COMPUTED_VALUE"""),"Marshal")</f>
        <v>Marshal</v>
      </c>
      <c r="F7005" t="str">
        <f>IFERROR(__xludf.DUMMYFUNCTION("""COMPUTED_VALUE"""),"BAL")</f>
        <v>BAL</v>
      </c>
      <c r="G7005">
        <f>IFERROR(__xludf.DUMMYFUNCTION("""COMPUTED_VALUE"""),22.25)</f>
        <v>22.25</v>
      </c>
    </row>
    <row r="7006">
      <c r="D7006" t="str">
        <f>IFERROR(__xludf.DUMMYFUNCTION("""COMPUTED_VALUE"""),"Yarbrough")</f>
        <v>Yarbrough</v>
      </c>
      <c r="E7006" t="str">
        <f>IFERROR(__xludf.DUMMYFUNCTION("""COMPUTED_VALUE"""),"Eddie")</f>
        <v>Eddie</v>
      </c>
      <c r="F7006" t="str">
        <f>IFERROR(__xludf.DUMMYFUNCTION("""COMPUTED_VALUE"""),"BUF")</f>
        <v>BUF</v>
      </c>
      <c r="G7006">
        <f>IFERROR(__xludf.DUMMYFUNCTION("""COMPUTED_VALUE"""),18.25)</f>
        <v>18.25</v>
      </c>
    </row>
    <row r="7007">
      <c r="D7007" t="str">
        <f>IFERROR(__xludf.DUMMYFUNCTION("""COMPUTED_VALUE"""),"Yeldon")</f>
        <v>Yeldon</v>
      </c>
      <c r="E7007" t="str">
        <f>IFERROR(__xludf.DUMMYFUNCTION("""COMPUTED_VALUE"""),"TJ")</f>
        <v>TJ</v>
      </c>
      <c r="F7007" t="str">
        <f>IFERROR(__xludf.DUMMYFUNCTION("""COMPUTED_VALUE"""),"JAX")</f>
        <v>JAX</v>
      </c>
      <c r="G7007">
        <f>IFERROR(__xludf.DUMMYFUNCTION("""COMPUTED_VALUE"""),19.25)</f>
        <v>19.25</v>
      </c>
    </row>
    <row r="7008">
      <c r="D7008" t="str">
        <f>IFERROR(__xludf.DUMMYFUNCTION("""COMPUTED_VALUE"""),"Yiadom")</f>
        <v>Yiadom</v>
      </c>
      <c r="E7008" t="str">
        <f>IFERROR(__xludf.DUMMYFUNCTION("""COMPUTED_VALUE"""),"Isaac")</f>
        <v>Isaac</v>
      </c>
      <c r="F7008" t="str">
        <f>IFERROR(__xludf.DUMMYFUNCTION("""COMPUTED_VALUE"""),"DEN")</f>
        <v>DEN</v>
      </c>
      <c r="G7008">
        <f>IFERROR(__xludf.DUMMYFUNCTION("""COMPUTED_VALUE"""),18.0)</f>
        <v>18</v>
      </c>
    </row>
    <row r="7009">
      <c r="D7009" t="str">
        <f>IFERROR(__xludf.DUMMYFUNCTION("""COMPUTED_VALUE"""),"Young")</f>
        <v>Young</v>
      </c>
      <c r="E7009" t="str">
        <f>IFERROR(__xludf.DUMMYFUNCTION("""COMPUTED_VALUE"""),"Avery")</f>
        <v>Avery</v>
      </c>
      <c r="F7009" t="str">
        <f>IFERROR(__xludf.DUMMYFUNCTION("""COMPUTED_VALUE"""),"SEA")</f>
        <v>SEA</v>
      </c>
      <c r="G7009">
        <f>IFERROR(__xludf.DUMMYFUNCTION("""COMPUTED_VALUE"""),15.5)</f>
        <v>15.5</v>
      </c>
    </row>
    <row r="7010">
      <c r="D7010" t="str">
        <f>IFERROR(__xludf.DUMMYFUNCTION("""COMPUTED_VALUE"""),"Young")</f>
        <v>Young</v>
      </c>
      <c r="E7010" t="str">
        <f>IFERROR(__xludf.DUMMYFUNCTION("""COMPUTED_VALUE"""),"Kenny")</f>
        <v>Kenny</v>
      </c>
      <c r="F7010" t="str">
        <f>IFERROR(__xludf.DUMMYFUNCTION("""COMPUTED_VALUE"""),"BAL")</f>
        <v>BAL</v>
      </c>
      <c r="G7010">
        <f>IFERROR(__xludf.DUMMYFUNCTION("""COMPUTED_VALUE"""),18.25)</f>
        <v>18.25</v>
      </c>
    </row>
    <row r="7011">
      <c r="D7011" t="str">
        <f>IFERROR(__xludf.DUMMYFUNCTION("""COMPUTED_VALUE"""),"Young")</f>
        <v>Young</v>
      </c>
      <c r="E7011" t="str">
        <f>IFERROR(__xludf.DUMMYFUNCTION("""COMPUTED_VALUE"""),"Lou")</f>
        <v>Lou</v>
      </c>
      <c r="F7011" t="str">
        <f>IFERROR(__xludf.DUMMYFUNCTION("""COMPUTED_VALUE"""),"ARZ")</f>
        <v>ARZ</v>
      </c>
      <c r="G7011">
        <f>IFERROR(__xludf.DUMMYFUNCTION("""COMPUTED_VALUE"""),15.75)</f>
        <v>15.75</v>
      </c>
    </row>
    <row r="7012">
      <c r="D7012" t="str">
        <f>IFERROR(__xludf.DUMMYFUNCTION("""COMPUTED_VALUE"""),"Young")</f>
        <v>Young</v>
      </c>
      <c r="E7012" t="str">
        <f>IFERROR(__xludf.DUMMYFUNCTION("""COMPUTED_VALUE"""),"Sam")</f>
        <v>Sam</v>
      </c>
      <c r="F7012" t="str">
        <f>IFERROR(__xludf.DUMMYFUNCTION("""COMPUTED_VALUE"""),"MIA")</f>
        <v>MIA</v>
      </c>
      <c r="G7012">
        <f>IFERROR(__xludf.DUMMYFUNCTION("""COMPUTED_VALUE"""),18.0)</f>
        <v>18</v>
      </c>
    </row>
    <row r="7013">
      <c r="D7013" t="str">
        <f>IFERROR(__xludf.DUMMYFUNCTION("""COMPUTED_VALUE"""),"Young")</f>
        <v>Young</v>
      </c>
      <c r="E7013" t="str">
        <f>IFERROR(__xludf.DUMMYFUNCTION("""COMPUTED_VALUE"""),"Steve")</f>
        <v>Steve</v>
      </c>
      <c r="F7013" t="str">
        <f>IFERROR(__xludf.DUMMYFUNCTION("""COMPUTED_VALUE"""),"SF")</f>
        <v>SF</v>
      </c>
      <c r="G7013">
        <f>IFERROR(__xludf.DUMMYFUNCTION("""COMPUTED_VALUE"""),22.0)</f>
        <v>22</v>
      </c>
    </row>
    <row r="7014">
      <c r="D7014" t="str">
        <f>IFERROR(__xludf.DUMMYFUNCTION("""COMPUTED_VALUE"""),"Young")</f>
        <v>Young</v>
      </c>
      <c r="E7014" t="str">
        <f>IFERROR(__xludf.DUMMYFUNCTION("""COMPUTED_VALUE"""),"Steve")</f>
        <v>Steve</v>
      </c>
      <c r="F7014" t="str">
        <f>IFERROR(__xludf.DUMMYFUNCTION("""COMPUTED_VALUE"""),"SF")</f>
        <v>SF</v>
      </c>
      <c r="G7014">
        <f>IFERROR(__xludf.DUMMYFUNCTION("""COMPUTED_VALUE"""),20.75)</f>
        <v>20.75</v>
      </c>
    </row>
    <row r="7015">
      <c r="D7015" t="str">
        <f>IFERROR(__xludf.DUMMYFUNCTION("""COMPUTED_VALUE"""),"Young")</f>
        <v>Young</v>
      </c>
      <c r="E7015" t="str">
        <f>IFERROR(__xludf.DUMMYFUNCTION("""COMPUTED_VALUE"""),"Steve")</f>
        <v>Steve</v>
      </c>
      <c r="F7015" t="str">
        <f>IFERROR(__xludf.DUMMYFUNCTION("""COMPUTED_VALUE"""),"SF")</f>
        <v>SF</v>
      </c>
      <c r="G7015">
        <f>IFERROR(__xludf.DUMMYFUNCTION("""COMPUTED_VALUE"""),20.5)</f>
        <v>20.5</v>
      </c>
    </row>
    <row r="7016">
      <c r="D7016" t="str">
        <f>IFERROR(__xludf.DUMMYFUNCTION("""COMPUTED_VALUE"""),"Young")</f>
        <v>Young</v>
      </c>
      <c r="E7016" t="str">
        <f>IFERROR(__xludf.DUMMYFUNCTION("""COMPUTED_VALUE"""),"Steve")</f>
        <v>Steve</v>
      </c>
      <c r="F7016" t="str">
        <f>IFERROR(__xludf.DUMMYFUNCTION("""COMPUTED_VALUE"""),"SF")</f>
        <v>SF</v>
      </c>
      <c r="G7016">
        <f>IFERROR(__xludf.DUMMYFUNCTION("""COMPUTED_VALUE"""),21.0)</f>
        <v>21</v>
      </c>
    </row>
    <row r="7017">
      <c r="D7017" t="str">
        <f>IFERROR(__xludf.DUMMYFUNCTION("""COMPUTED_VALUE"""),"Young")</f>
        <v>Young</v>
      </c>
      <c r="E7017" t="str">
        <f>IFERROR(__xludf.DUMMYFUNCTION("""COMPUTED_VALUE"""),"Steve")</f>
        <v>Steve</v>
      </c>
      <c r="F7017" t="str">
        <f>IFERROR(__xludf.DUMMYFUNCTION("""COMPUTED_VALUE"""),"SF")</f>
        <v>SF</v>
      </c>
      <c r="G7017">
        <f>IFERROR(__xludf.DUMMYFUNCTION("""COMPUTED_VALUE"""),21.5)</f>
        <v>21.5</v>
      </c>
    </row>
    <row r="7018">
      <c r="D7018" t="str">
        <f>IFERROR(__xludf.DUMMYFUNCTION("""COMPUTED_VALUE"""),"Young")</f>
        <v>Young</v>
      </c>
      <c r="E7018" t="str">
        <f>IFERROR(__xludf.DUMMYFUNCTION("""COMPUTED_VALUE"""),"Steve")</f>
        <v>Steve</v>
      </c>
      <c r="F7018" t="str">
        <f>IFERROR(__xludf.DUMMYFUNCTION("""COMPUTED_VALUE"""),"SF")</f>
        <v>SF</v>
      </c>
      <c r="G7018">
        <f>IFERROR(__xludf.DUMMYFUNCTION("""COMPUTED_VALUE"""),22.5)</f>
        <v>22.5</v>
      </c>
    </row>
    <row r="7019">
      <c r="D7019" t="str">
        <f>IFERROR(__xludf.DUMMYFUNCTION("""COMPUTED_VALUE"""),"Young")</f>
        <v>Young</v>
      </c>
      <c r="E7019" t="str">
        <f>IFERROR(__xludf.DUMMYFUNCTION("""COMPUTED_VALUE"""),"Tavon")</f>
        <v>Tavon</v>
      </c>
      <c r="F7019" t="str">
        <f>IFERROR(__xludf.DUMMYFUNCTION("""COMPUTED_VALUE"""),"BAL")</f>
        <v>BAL</v>
      </c>
      <c r="G7019">
        <f>IFERROR(__xludf.DUMMYFUNCTION("""COMPUTED_VALUE"""),20.0)</f>
        <v>20</v>
      </c>
    </row>
    <row r="7020">
      <c r="D7020" t="str">
        <f>IFERROR(__xludf.DUMMYFUNCTION("""COMPUTED_VALUE"""),"Young")</f>
        <v>Young</v>
      </c>
      <c r="E7020" t="str">
        <f>IFERROR(__xludf.DUMMYFUNCTION("""COMPUTED_VALUE"""),"Trevon")</f>
        <v>Trevon</v>
      </c>
      <c r="F7020" t="str">
        <f>IFERROR(__xludf.DUMMYFUNCTION("""COMPUTED_VALUE"""),"LAR")</f>
        <v>LAR</v>
      </c>
      <c r="G7020">
        <f>IFERROR(__xludf.DUMMYFUNCTION("""COMPUTED_VALUE"""),16.5)</f>
        <v>16.5</v>
      </c>
    </row>
    <row r="7021">
      <c r="D7021" t="str">
        <f>IFERROR(__xludf.DUMMYFUNCTION("""COMPUTED_VALUE"""),"Zeitler")</f>
        <v>Zeitler</v>
      </c>
      <c r="E7021" t="str">
        <f>IFERROR(__xludf.DUMMYFUNCTION("""COMPUTED_VALUE"""),"Kevin")</f>
        <v>Kevin</v>
      </c>
      <c r="F7021" t="str">
        <f>IFERROR(__xludf.DUMMYFUNCTION("""COMPUTED_VALUE"""),"CLE")</f>
        <v>CLE</v>
      </c>
      <c r="G7021">
        <f>IFERROR(__xludf.DUMMYFUNCTION("""COMPUTED_VALUE"""),20.75)</f>
        <v>20.75</v>
      </c>
    </row>
    <row r="7022">
      <c r="D7022" t="str">
        <f>IFERROR(__xludf.DUMMYFUNCTION("""COMPUTED_VALUE"""),"Zenner")</f>
        <v>Zenner</v>
      </c>
      <c r="E7022" t="str">
        <f>IFERROR(__xludf.DUMMYFUNCTION("""COMPUTED_VALUE"""),"Zach")</f>
        <v>Zach</v>
      </c>
      <c r="F7022" t="str">
        <f>IFERROR(__xludf.DUMMYFUNCTION("""COMPUTED_VALUE"""),"DET")</f>
        <v>DET</v>
      </c>
      <c r="G7022">
        <f>IFERROR(__xludf.DUMMYFUNCTION("""COMPUTED_VALUE"""),18.0)</f>
        <v>18</v>
      </c>
    </row>
    <row r="7023">
      <c r="D7023" t="str">
        <f>IFERROR(__xludf.DUMMYFUNCTION("""COMPUTED_VALUE"""),"Zettel")</f>
        <v>Zettel</v>
      </c>
      <c r="E7023" t="str">
        <f>IFERROR(__xludf.DUMMYFUNCTION("""COMPUTED_VALUE"""),"Anthony")</f>
        <v>Anthony</v>
      </c>
      <c r="F7023" t="str">
        <f>IFERROR(__xludf.DUMMYFUNCTION("""COMPUTED_VALUE"""),"DET")</f>
        <v>DET</v>
      </c>
      <c r="G7023">
        <f>IFERROR(__xludf.DUMMYFUNCTION("""COMPUTED_VALUE"""),19.75)</f>
        <v>19.75</v>
      </c>
    </row>
    <row r="7024">
      <c r="D7024" t="str">
        <f>IFERROR(__xludf.DUMMYFUNCTION("""COMPUTED_VALUE"""),"Zombo")</f>
        <v>Zombo</v>
      </c>
      <c r="E7024" t="str">
        <f>IFERROR(__xludf.DUMMYFUNCTION("""COMPUTED_VALUE"""),"Frank")</f>
        <v>Frank</v>
      </c>
      <c r="F7024" t="str">
        <f>IFERROR(__xludf.DUMMYFUNCTION("""COMPUTED_VALUE"""),"KC")</f>
        <v>KC</v>
      </c>
      <c r="G7024">
        <f>IFERROR(__xludf.DUMMYFUNCTION("""COMPUTED_VALUE"""),16.25)</f>
        <v>16.25</v>
      </c>
    </row>
    <row r="7025">
      <c r="D7025" t="str">
        <f>IFERROR(__xludf.DUMMYFUNCTION("""COMPUTED_VALUE"""),"Zuerlein")</f>
        <v>Zuerlein</v>
      </c>
      <c r="E7025" t="str">
        <f>IFERROR(__xludf.DUMMYFUNCTION("""COMPUTED_VALUE"""),"Greg")</f>
        <v>Greg</v>
      </c>
      <c r="F7025" t="str">
        <f>IFERROR(__xludf.DUMMYFUNCTION("""COMPUTED_VALUE"""),"LAR")</f>
        <v>LAR</v>
      </c>
      <c r="G7025">
        <f>IFERROR(__xludf.DUMMYFUNCTION("""COMPUTED_VALUE"""),21.5)</f>
        <v>21.5</v>
      </c>
    </row>
    <row r="7026">
      <c r="D7026" t="str">
        <f>IFERROR(__xludf.DUMMYFUNCTION("""COMPUTED_VALUE"""),"Abdullah")</f>
        <v>Abdullah</v>
      </c>
      <c r="E7026" t="str">
        <f>IFERROR(__xludf.DUMMYFUNCTION("""COMPUTED_VALUE"""),"Ameer")</f>
        <v>Ameer</v>
      </c>
      <c r="F7026" t="str">
        <f>IFERROR(__xludf.DUMMYFUNCTION("""COMPUTED_VALUE"""),"HB")</f>
        <v>HB</v>
      </c>
      <c r="G7026" t="str">
        <f>IFERROR(__xludf.DUMMYFUNCTION("""COMPUTED_VALUE"""),"")</f>
        <v/>
      </c>
    </row>
    <row r="7027">
      <c r="D7027" t="str">
        <f>IFERROR(__xludf.DUMMYFUNCTION("""COMPUTED_VALUE"""),"Aboushi")</f>
        <v>Aboushi</v>
      </c>
      <c r="E7027" t="str">
        <f>IFERROR(__xludf.DUMMYFUNCTION("""COMPUTED_VALUE"""),"Oday")</f>
        <v>Oday</v>
      </c>
      <c r="F7027" t="str">
        <f>IFERROR(__xludf.DUMMYFUNCTION("""COMPUTED_VALUE"""),"RG")</f>
        <v>RG</v>
      </c>
      <c r="G7027" t="str">
        <f>IFERROR(__xludf.DUMMYFUNCTION("""COMPUTED_VALUE"""),"")</f>
        <v/>
      </c>
    </row>
    <row r="7028">
      <c r="D7028" t="str">
        <f>IFERROR(__xludf.DUMMYFUNCTION("""COMPUTED_VALUE"""),"Abram")</f>
        <v>Abram</v>
      </c>
      <c r="E7028" t="str">
        <f>IFERROR(__xludf.DUMMYFUNCTION("""COMPUTED_VALUE"""),"Johnathan")</f>
        <v>Johnathan</v>
      </c>
      <c r="F7028" t="str">
        <f>IFERROR(__xludf.DUMMYFUNCTION("""COMPUTED_VALUE"""),"SS")</f>
        <v>SS</v>
      </c>
      <c r="G7028" t="str">
        <f>IFERROR(__xludf.DUMMYFUNCTION("""COMPUTED_VALUE"""),"")</f>
        <v/>
      </c>
    </row>
    <row r="7029">
      <c r="D7029" t="str">
        <f>IFERROR(__xludf.DUMMYFUNCTION("""COMPUTED_VALUE"""),"Adams")</f>
        <v>Adams</v>
      </c>
      <c r="E7029" t="str">
        <f>IFERROR(__xludf.DUMMYFUNCTION("""COMPUTED_VALUE"""),"Andrew")</f>
        <v>Andrew</v>
      </c>
      <c r="F7029" t="str">
        <f>IFERROR(__xludf.DUMMYFUNCTION("""COMPUTED_VALUE"""),"FS")</f>
        <v>FS</v>
      </c>
      <c r="G7029" t="str">
        <f>IFERROR(__xludf.DUMMYFUNCTION("""COMPUTED_VALUE"""),"")</f>
        <v/>
      </c>
    </row>
    <row r="7030">
      <c r="D7030" t="str">
        <f>IFERROR(__xludf.DUMMYFUNCTION("""COMPUTED_VALUE"""),"Adams")</f>
        <v>Adams</v>
      </c>
      <c r="E7030" t="str">
        <f>IFERROR(__xludf.DUMMYFUNCTION("""COMPUTED_VALUE"""),"Davante")</f>
        <v>Davante</v>
      </c>
      <c r="F7030" t="str">
        <f>IFERROR(__xludf.DUMMYFUNCTION("""COMPUTED_VALUE"""),"WR")</f>
        <v>WR</v>
      </c>
      <c r="G7030" t="str">
        <f>IFERROR(__xludf.DUMMYFUNCTION("""COMPUTED_VALUE"""),"")</f>
        <v/>
      </c>
    </row>
    <row r="7031">
      <c r="D7031" t="str">
        <f>IFERROR(__xludf.DUMMYFUNCTION("""COMPUTED_VALUE"""),"Adams")</f>
        <v>Adams</v>
      </c>
      <c r="E7031" t="str">
        <f>IFERROR(__xludf.DUMMYFUNCTION("""COMPUTED_VALUE"""),"Jamal")</f>
        <v>Jamal</v>
      </c>
      <c r="F7031" t="str">
        <f>IFERROR(__xludf.DUMMYFUNCTION("""COMPUTED_VALUE"""),"SS")</f>
        <v>SS</v>
      </c>
      <c r="G7031" t="str">
        <f>IFERROR(__xludf.DUMMYFUNCTION("""COMPUTED_VALUE"""),"")</f>
        <v/>
      </c>
    </row>
    <row r="7032">
      <c r="D7032" t="str">
        <f>IFERROR(__xludf.DUMMYFUNCTION("""COMPUTED_VALUE"""),"Adams")</f>
        <v>Adams</v>
      </c>
      <c r="E7032" t="str">
        <f>IFERROR(__xludf.DUMMYFUNCTION("""COMPUTED_VALUE"""),"Jerell")</f>
        <v>Jerell</v>
      </c>
      <c r="F7032" t="str">
        <f>IFERROR(__xludf.DUMMYFUNCTION("""COMPUTED_VALUE"""),"TE")</f>
        <v>TE</v>
      </c>
      <c r="G7032" t="str">
        <f>IFERROR(__xludf.DUMMYFUNCTION("""COMPUTED_VALUE"""),"")</f>
        <v/>
      </c>
    </row>
    <row r="7033">
      <c r="D7033" t="str">
        <f>IFERROR(__xludf.DUMMYFUNCTION("""COMPUTED_VALUE"""),"Adams")</f>
        <v>Adams</v>
      </c>
      <c r="E7033" t="str">
        <f>IFERROR(__xludf.DUMMYFUNCTION("""COMPUTED_VALUE"""),"Josh")</f>
        <v>Josh</v>
      </c>
      <c r="F7033" t="str">
        <f>IFERROR(__xludf.DUMMYFUNCTION("""COMPUTED_VALUE"""),"HB")</f>
        <v>HB</v>
      </c>
      <c r="G7033" t="str">
        <f>IFERROR(__xludf.DUMMYFUNCTION("""COMPUTED_VALUE"""),"")</f>
        <v/>
      </c>
    </row>
    <row r="7034">
      <c r="D7034" t="str">
        <f>IFERROR(__xludf.DUMMYFUNCTION("""COMPUTED_VALUE"""),"Adams")</f>
        <v>Adams</v>
      </c>
      <c r="E7034" t="str">
        <f>IFERROR(__xludf.DUMMYFUNCTION("""COMPUTED_VALUE"""),"Keion")</f>
        <v>Keion</v>
      </c>
      <c r="F7034" t="str">
        <f>IFERROR(__xludf.DUMMYFUNCTION("""COMPUTED_VALUE"""),"LOLB")</f>
        <v>LOLB</v>
      </c>
      <c r="G7034" t="str">
        <f>IFERROR(__xludf.DUMMYFUNCTION("""COMPUTED_VALUE"""),"")</f>
        <v/>
      </c>
    </row>
    <row r="7035">
      <c r="D7035" t="str">
        <f>IFERROR(__xludf.DUMMYFUNCTION("""COMPUTED_VALUE"""),"Adams")</f>
        <v>Adams</v>
      </c>
      <c r="E7035" t="str">
        <f>IFERROR(__xludf.DUMMYFUNCTION("""COMPUTED_VALUE"""),"Matthew")</f>
        <v>Matthew</v>
      </c>
      <c r="F7035" t="str">
        <f>IFERROR(__xludf.DUMMYFUNCTION("""COMPUTED_VALUE"""),"ROLB")</f>
        <v>ROLB</v>
      </c>
      <c r="G7035" t="str">
        <f>IFERROR(__xludf.DUMMYFUNCTION("""COMPUTED_VALUE"""),"")</f>
        <v/>
      </c>
    </row>
    <row r="7036">
      <c r="D7036" t="str">
        <f>IFERROR(__xludf.DUMMYFUNCTION("""COMPUTED_VALUE"""),"Adams")</f>
        <v>Adams</v>
      </c>
      <c r="E7036" t="str">
        <f>IFERROR(__xludf.DUMMYFUNCTION("""COMPUTED_VALUE"""),"Montravius")</f>
        <v>Montravius</v>
      </c>
      <c r="F7036" t="str">
        <f>IFERROR(__xludf.DUMMYFUNCTION("""COMPUTED_VALUE"""),"RE")</f>
        <v>RE</v>
      </c>
      <c r="G7036" t="str">
        <f>IFERROR(__xludf.DUMMYFUNCTION("""COMPUTED_VALUE"""),"")</f>
        <v/>
      </c>
    </row>
    <row r="7037">
      <c r="D7037" t="str">
        <f>IFERROR(__xludf.DUMMYFUNCTION("""COMPUTED_VALUE"""),"Adams")</f>
        <v>Adams</v>
      </c>
      <c r="E7037" t="str">
        <f>IFERROR(__xludf.DUMMYFUNCTION("""COMPUTED_VALUE"""),"Paul")</f>
        <v>Paul</v>
      </c>
      <c r="F7037" t="str">
        <f>IFERROR(__xludf.DUMMYFUNCTION("""COMPUTED_VALUE"""),"LT")</f>
        <v>LT</v>
      </c>
      <c r="G7037" t="str">
        <f>IFERROR(__xludf.DUMMYFUNCTION("""COMPUTED_VALUE"""),"")</f>
        <v/>
      </c>
    </row>
    <row r="7038">
      <c r="D7038" t="str">
        <f>IFERROR(__xludf.DUMMYFUNCTION("""COMPUTED_VALUE"""),"Adams")</f>
        <v>Adams</v>
      </c>
      <c r="E7038" t="str">
        <f>IFERROR(__xludf.DUMMYFUNCTION("""COMPUTED_VALUE"""),"Tyrell")</f>
        <v>Tyrell</v>
      </c>
      <c r="F7038" t="str">
        <f>IFERROR(__xludf.DUMMYFUNCTION("""COMPUTED_VALUE"""),"MLB")</f>
        <v>MLB</v>
      </c>
      <c r="G7038" t="str">
        <f>IFERROR(__xludf.DUMMYFUNCTION("""COMPUTED_VALUE"""),"")</f>
        <v/>
      </c>
    </row>
    <row r="7039">
      <c r="D7039" t="str">
        <f>IFERROR(__xludf.DUMMYFUNCTION("""COMPUTED_VALUE"""),"Addae")</f>
        <v>Addae</v>
      </c>
      <c r="E7039" t="str">
        <f>IFERROR(__xludf.DUMMYFUNCTION("""COMPUTED_VALUE"""),"Jahleel")</f>
        <v>Jahleel</v>
      </c>
      <c r="F7039" t="str">
        <f>IFERROR(__xludf.DUMMYFUNCTION("""COMPUTED_VALUE"""),"SS")</f>
        <v>SS</v>
      </c>
      <c r="G7039" t="str">
        <f>IFERROR(__xludf.DUMMYFUNCTION("""COMPUTED_VALUE"""),"")</f>
        <v/>
      </c>
    </row>
    <row r="7040">
      <c r="D7040" t="str">
        <f>IFERROR(__xludf.DUMMYFUNCTION("""COMPUTED_VALUE"""),"Adderley")</f>
        <v>Adderley</v>
      </c>
      <c r="E7040" t="str">
        <f>IFERROR(__xludf.DUMMYFUNCTION("""COMPUTED_VALUE"""),"Nasir")</f>
        <v>Nasir</v>
      </c>
      <c r="F7040" t="str">
        <f>IFERROR(__xludf.DUMMYFUNCTION("""COMPUTED_VALUE"""),"FS")</f>
        <v>FS</v>
      </c>
      <c r="G7040" t="str">
        <f>IFERROR(__xludf.DUMMYFUNCTION("""COMPUTED_VALUE"""),"")</f>
        <v/>
      </c>
    </row>
    <row r="7041">
      <c r="D7041" t="str">
        <f>IFERROR(__xludf.DUMMYFUNCTION("""COMPUTED_VALUE"""),"Addison")</f>
        <v>Addison</v>
      </c>
      <c r="E7041" t="str">
        <f>IFERROR(__xludf.DUMMYFUNCTION("""COMPUTED_VALUE"""),"Mario")</f>
        <v>Mario</v>
      </c>
      <c r="F7041" t="str">
        <f>IFERROR(__xludf.DUMMYFUNCTION("""COMPUTED_VALUE"""),"ROLB")</f>
        <v>ROLB</v>
      </c>
      <c r="G7041" t="str">
        <f>IFERROR(__xludf.DUMMYFUNCTION("""COMPUTED_VALUE"""),"")</f>
        <v/>
      </c>
    </row>
    <row r="7042">
      <c r="D7042" t="str">
        <f>IFERROR(__xludf.DUMMYFUNCTION("""COMPUTED_VALUE"""),"Adeboyejo")</f>
        <v>Adeboyejo</v>
      </c>
      <c r="E7042" t="str">
        <f>IFERROR(__xludf.DUMMYFUNCTION("""COMPUTED_VALUE"""),"Quincy")</f>
        <v>Quincy</v>
      </c>
      <c r="F7042" t="str">
        <f>IFERROR(__xludf.DUMMYFUNCTION("""COMPUTED_VALUE"""),"WR")</f>
        <v>WR</v>
      </c>
      <c r="G7042" t="str">
        <f>IFERROR(__xludf.DUMMYFUNCTION("""COMPUTED_VALUE"""),"")</f>
        <v/>
      </c>
    </row>
    <row r="7043">
      <c r="D7043" t="str">
        <f>IFERROR(__xludf.DUMMYFUNCTION("""COMPUTED_VALUE"""),"Adeniyi")</f>
        <v>Adeniyi</v>
      </c>
      <c r="E7043" t="str">
        <f>IFERROR(__xludf.DUMMYFUNCTION("""COMPUTED_VALUE"""),"Olasunkanmi")</f>
        <v>Olasunkanmi</v>
      </c>
      <c r="F7043" t="str">
        <f>IFERROR(__xludf.DUMMYFUNCTION("""COMPUTED_VALUE"""),"ROLB")</f>
        <v>ROLB</v>
      </c>
      <c r="G7043" t="str">
        <f>IFERROR(__xludf.DUMMYFUNCTION("""COMPUTED_VALUE"""),"")</f>
        <v/>
      </c>
    </row>
    <row r="7044">
      <c r="D7044" t="str">
        <f>IFERROR(__xludf.DUMMYFUNCTION("""COMPUTED_VALUE"""),"Afriyie")</f>
        <v>Afriyie</v>
      </c>
      <c r="E7044" t="str">
        <f>IFERROR(__xludf.DUMMYFUNCTION("""COMPUTED_VALUE"""),"Patrick")</f>
        <v>Patrick</v>
      </c>
      <c r="F7044" t="str">
        <f>IFERROR(__xludf.DUMMYFUNCTION("""COMPUTED_VALUE"""),"RE")</f>
        <v>RE</v>
      </c>
      <c r="G7044" t="str">
        <f>IFERROR(__xludf.DUMMYFUNCTION("""COMPUTED_VALUE"""),"")</f>
        <v/>
      </c>
    </row>
    <row r="7045">
      <c r="D7045" t="str">
        <f>IFERROR(__xludf.DUMMYFUNCTION("""COMPUTED_VALUE"""),"Agholor")</f>
        <v>Agholor</v>
      </c>
      <c r="E7045" t="str">
        <f>IFERROR(__xludf.DUMMYFUNCTION("""COMPUTED_VALUE"""),"Nelson")</f>
        <v>Nelson</v>
      </c>
      <c r="F7045" t="str">
        <f>IFERROR(__xludf.DUMMYFUNCTION("""COMPUTED_VALUE"""),"WR")</f>
        <v>WR</v>
      </c>
      <c r="G7045" t="str">
        <f>IFERROR(__xludf.DUMMYFUNCTION("""COMPUTED_VALUE"""),"")</f>
        <v/>
      </c>
    </row>
    <row r="7046">
      <c r="D7046" t="str">
        <f>IFERROR(__xludf.DUMMYFUNCTION("""COMPUTED_VALUE"""),"Agnew")</f>
        <v>Agnew</v>
      </c>
      <c r="E7046" t="str">
        <f>IFERROR(__xludf.DUMMYFUNCTION("""COMPUTED_VALUE"""),"Jamal")</f>
        <v>Jamal</v>
      </c>
      <c r="F7046" t="str">
        <f>IFERROR(__xludf.DUMMYFUNCTION("""COMPUTED_VALUE"""),"CB")</f>
        <v>CB</v>
      </c>
      <c r="G7046" t="str">
        <f>IFERROR(__xludf.DUMMYFUNCTION("""COMPUTED_VALUE"""),"")</f>
        <v/>
      </c>
    </row>
    <row r="7047">
      <c r="D7047" t="str">
        <f>IFERROR(__xludf.DUMMYFUNCTION("""COMPUTED_VALUE"""),"Agudosi")</f>
        <v>Agudosi</v>
      </c>
      <c r="E7047" t="str">
        <f>IFERROR(__xludf.DUMMYFUNCTION("""COMPUTED_VALUE"""),"Carlton")</f>
        <v>Carlton</v>
      </c>
      <c r="F7047" t="str">
        <f>IFERROR(__xludf.DUMMYFUNCTION("""COMPUTED_VALUE"""),"WR")</f>
        <v>WR</v>
      </c>
      <c r="G7047" t="str">
        <f>IFERROR(__xludf.DUMMYFUNCTION("""COMPUTED_VALUE"""),"")</f>
        <v/>
      </c>
    </row>
    <row r="7048">
      <c r="D7048" t="str">
        <f>IFERROR(__xludf.DUMMYFUNCTION("""COMPUTED_VALUE"""),"Aikens")</f>
        <v>Aikens</v>
      </c>
      <c r="E7048" t="str">
        <f>IFERROR(__xludf.DUMMYFUNCTION("""COMPUTED_VALUE"""),"Walt")</f>
        <v>Walt</v>
      </c>
      <c r="F7048" t="str">
        <f>IFERROR(__xludf.DUMMYFUNCTION("""COMPUTED_VALUE"""),"FS")</f>
        <v>FS</v>
      </c>
      <c r="G7048" t="str">
        <f>IFERROR(__xludf.DUMMYFUNCTION("""COMPUTED_VALUE"""),"")</f>
        <v/>
      </c>
    </row>
    <row r="7049">
      <c r="D7049" t="str">
        <f>IFERROR(__xludf.DUMMYFUNCTION("""COMPUTED_VALUE"""),"Akins")</f>
        <v>Akins</v>
      </c>
      <c r="E7049" t="str">
        <f>IFERROR(__xludf.DUMMYFUNCTION("""COMPUTED_VALUE"""),"Jordan")</f>
        <v>Jordan</v>
      </c>
      <c r="F7049" t="str">
        <f>IFERROR(__xludf.DUMMYFUNCTION("""COMPUTED_VALUE"""),"TE")</f>
        <v>TE</v>
      </c>
      <c r="G7049" t="str">
        <f>IFERROR(__xludf.DUMMYFUNCTION("""COMPUTED_VALUE"""),"")</f>
        <v/>
      </c>
    </row>
    <row r="7050">
      <c r="D7050" t="str">
        <f>IFERROR(__xludf.DUMMYFUNCTION("""COMPUTED_VALUE"""),"Alexander")</f>
        <v>Alexander</v>
      </c>
      <c r="E7050" t="str">
        <f>IFERROR(__xludf.DUMMYFUNCTION("""COMPUTED_VALUE"""),"Adonis")</f>
        <v>Adonis</v>
      </c>
      <c r="F7050" t="str">
        <f>IFERROR(__xludf.DUMMYFUNCTION("""COMPUTED_VALUE"""),"CB")</f>
        <v>CB</v>
      </c>
      <c r="G7050" t="str">
        <f>IFERROR(__xludf.DUMMYFUNCTION("""COMPUTED_VALUE"""),"")</f>
        <v/>
      </c>
    </row>
    <row r="7051">
      <c r="D7051" t="str">
        <f>IFERROR(__xludf.DUMMYFUNCTION("""COMPUTED_VALUE"""),"Alexander")</f>
        <v>Alexander</v>
      </c>
      <c r="E7051" t="str">
        <f>IFERROR(__xludf.DUMMYFUNCTION("""COMPUTED_VALUE"""),"DJ")</f>
        <v>DJ</v>
      </c>
      <c r="F7051" t="str">
        <f>IFERROR(__xludf.DUMMYFUNCTION("""COMPUTED_VALUE"""),"LOLB")</f>
        <v>LOLB</v>
      </c>
      <c r="G7051" t="str">
        <f>IFERROR(__xludf.DUMMYFUNCTION("""COMPUTED_VALUE"""),"")</f>
        <v/>
      </c>
    </row>
    <row r="7052">
      <c r="D7052" t="str">
        <f>IFERROR(__xludf.DUMMYFUNCTION("""COMPUTED_VALUE"""),"Alexander")</f>
        <v>Alexander</v>
      </c>
      <c r="E7052" t="str">
        <f>IFERROR(__xludf.DUMMYFUNCTION("""COMPUTED_VALUE"""),"Jaire")</f>
        <v>Jaire</v>
      </c>
      <c r="F7052" t="str">
        <f>IFERROR(__xludf.DUMMYFUNCTION("""COMPUTED_VALUE"""),"CB")</f>
        <v>CB</v>
      </c>
      <c r="G7052" t="str">
        <f>IFERROR(__xludf.DUMMYFUNCTION("""COMPUTED_VALUE"""),"")</f>
        <v/>
      </c>
    </row>
    <row r="7053">
      <c r="D7053" t="str">
        <f>IFERROR(__xludf.DUMMYFUNCTION("""COMPUTED_VALUE"""),"Alexander")</f>
        <v>Alexander</v>
      </c>
      <c r="E7053" t="str">
        <f>IFERROR(__xludf.DUMMYFUNCTION("""COMPUTED_VALUE"""),"Kwon")</f>
        <v>Kwon</v>
      </c>
      <c r="F7053" t="str">
        <f>IFERROR(__xludf.DUMMYFUNCTION("""COMPUTED_VALUE"""),"MLB")</f>
        <v>MLB</v>
      </c>
      <c r="G7053" t="str">
        <f>IFERROR(__xludf.DUMMYFUNCTION("""COMPUTED_VALUE"""),"")</f>
        <v/>
      </c>
    </row>
    <row r="7054">
      <c r="D7054" t="str">
        <f>IFERROR(__xludf.DUMMYFUNCTION("""COMPUTED_VALUE"""),"Alexander")</f>
        <v>Alexander</v>
      </c>
      <c r="E7054" t="str">
        <f>IFERROR(__xludf.DUMMYFUNCTION("""COMPUTED_VALUE"""),"Lorenzo")</f>
        <v>Lorenzo</v>
      </c>
      <c r="F7054" t="str">
        <f>IFERROR(__xludf.DUMMYFUNCTION("""COMPUTED_VALUE"""),"ROLB")</f>
        <v>ROLB</v>
      </c>
      <c r="G7054" t="str">
        <f>IFERROR(__xludf.DUMMYFUNCTION("""COMPUTED_VALUE"""),"")</f>
        <v/>
      </c>
    </row>
    <row r="7055">
      <c r="D7055" t="str">
        <f>IFERROR(__xludf.DUMMYFUNCTION("""COMPUTED_VALUE"""),"Alexander")</f>
        <v>Alexander</v>
      </c>
      <c r="E7055" t="str">
        <f>IFERROR(__xludf.DUMMYFUNCTION("""COMPUTED_VALUE"""),"Mackensie")</f>
        <v>Mackensie</v>
      </c>
      <c r="F7055" t="str">
        <f>IFERROR(__xludf.DUMMYFUNCTION("""COMPUTED_VALUE"""),"CB")</f>
        <v>CB</v>
      </c>
      <c r="G7055" t="str">
        <f>IFERROR(__xludf.DUMMYFUNCTION("""COMPUTED_VALUE"""),"")</f>
        <v/>
      </c>
    </row>
    <row r="7056">
      <c r="D7056" t="str">
        <f>IFERROR(__xludf.DUMMYFUNCTION("""COMPUTED_VALUE"""),"Alexander")</f>
        <v>Alexander</v>
      </c>
      <c r="E7056" t="str">
        <f>IFERROR(__xludf.DUMMYFUNCTION("""COMPUTED_VALUE"""),"Maurice")</f>
        <v>Maurice</v>
      </c>
      <c r="F7056" t="str">
        <f>IFERROR(__xludf.DUMMYFUNCTION("""COMPUTED_VALUE"""),"MLB")</f>
        <v>MLB</v>
      </c>
      <c r="G7056" t="str">
        <f>IFERROR(__xludf.DUMMYFUNCTION("""COMPUTED_VALUE"""),"")</f>
        <v/>
      </c>
    </row>
    <row r="7057">
      <c r="D7057" t="str">
        <f>IFERROR(__xludf.DUMMYFUNCTION("""COMPUTED_VALUE"""),"Alford")</f>
        <v>Alford</v>
      </c>
      <c r="E7057" t="str">
        <f>IFERROR(__xludf.DUMMYFUNCTION("""COMPUTED_VALUE"""),"Robert")</f>
        <v>Robert</v>
      </c>
      <c r="F7057" t="str">
        <f>IFERROR(__xludf.DUMMYFUNCTION("""COMPUTED_VALUE"""),"CB")</f>
        <v>CB</v>
      </c>
      <c r="G7057" t="str">
        <f>IFERROR(__xludf.DUMMYFUNCTION("""COMPUTED_VALUE"""),"")</f>
        <v/>
      </c>
    </row>
    <row r="7058">
      <c r="D7058" t="str">
        <f>IFERROR(__xludf.DUMMYFUNCTION("""COMPUTED_VALUE"""),"Alie-Cox")</f>
        <v>Alie-Cox</v>
      </c>
      <c r="E7058" t="str">
        <f>IFERROR(__xludf.DUMMYFUNCTION("""COMPUTED_VALUE"""),"Mo")</f>
        <v>Mo</v>
      </c>
      <c r="F7058" t="str">
        <f>IFERROR(__xludf.DUMMYFUNCTION("""COMPUTED_VALUE"""),"TE")</f>
        <v>TE</v>
      </c>
      <c r="G7058" t="str">
        <f>IFERROR(__xludf.DUMMYFUNCTION("""COMPUTED_VALUE"""),"")</f>
        <v/>
      </c>
    </row>
    <row r="7059">
      <c r="D7059" t="str">
        <f>IFERROR(__xludf.DUMMYFUNCTION("""COMPUTED_VALUE"""),"Allegretti")</f>
        <v>Allegretti</v>
      </c>
      <c r="E7059" t="str">
        <f>IFERROR(__xludf.DUMMYFUNCTION("""COMPUTED_VALUE"""),"Nick")</f>
        <v>Nick</v>
      </c>
      <c r="F7059" t="str">
        <f>IFERROR(__xludf.DUMMYFUNCTION("""COMPUTED_VALUE"""),"C")</f>
        <v>C</v>
      </c>
      <c r="G7059" t="str">
        <f>IFERROR(__xludf.DUMMYFUNCTION("""COMPUTED_VALUE"""),"")</f>
        <v/>
      </c>
    </row>
    <row r="7060">
      <c r="D7060" t="str">
        <f>IFERROR(__xludf.DUMMYFUNCTION("""COMPUTED_VALUE"""),"Allen")</f>
        <v>Allen</v>
      </c>
      <c r="E7060" t="str">
        <f>IFERROR(__xludf.DUMMYFUNCTION("""COMPUTED_VALUE"""),"Beau")</f>
        <v>Beau</v>
      </c>
      <c r="F7060" t="str">
        <f>IFERROR(__xludf.DUMMYFUNCTION("""COMPUTED_VALUE"""),"RE")</f>
        <v>RE</v>
      </c>
      <c r="G7060" t="str">
        <f>IFERROR(__xludf.DUMMYFUNCTION("""COMPUTED_VALUE"""),"")</f>
        <v/>
      </c>
    </row>
    <row r="7061">
      <c r="D7061" t="str">
        <f>IFERROR(__xludf.DUMMYFUNCTION("""COMPUTED_VALUE"""),"Allen")</f>
        <v>Allen</v>
      </c>
      <c r="E7061" t="str">
        <f>IFERROR(__xludf.DUMMYFUNCTION("""COMPUTED_VALUE"""),"Brandon")</f>
        <v>Brandon</v>
      </c>
      <c r="F7061" t="str">
        <f>IFERROR(__xludf.DUMMYFUNCTION("""COMPUTED_VALUE"""),"QB")</f>
        <v>QB</v>
      </c>
      <c r="G7061" t="str">
        <f>IFERROR(__xludf.DUMMYFUNCTION("""COMPUTED_VALUE"""),"")</f>
        <v/>
      </c>
    </row>
    <row r="7062">
      <c r="D7062" t="str">
        <f>IFERROR(__xludf.DUMMYFUNCTION("""COMPUTED_VALUE"""),"Allen")</f>
        <v>Allen</v>
      </c>
      <c r="E7062" t="str">
        <f>IFERROR(__xludf.DUMMYFUNCTION("""COMPUTED_VALUE"""),"Brian")</f>
        <v>Brian</v>
      </c>
      <c r="F7062" t="str">
        <f>IFERROR(__xludf.DUMMYFUNCTION("""COMPUTED_VALUE"""),"CB")</f>
        <v>CB</v>
      </c>
      <c r="G7062" t="str">
        <f>IFERROR(__xludf.DUMMYFUNCTION("""COMPUTED_VALUE"""),"")</f>
        <v/>
      </c>
    </row>
    <row r="7063">
      <c r="D7063" t="str">
        <f>IFERROR(__xludf.DUMMYFUNCTION("""COMPUTED_VALUE"""),"Allen")</f>
        <v>Allen</v>
      </c>
      <c r="E7063" t="str">
        <f>IFERROR(__xludf.DUMMYFUNCTION("""COMPUTED_VALUE"""),"Brian")</f>
        <v>Brian</v>
      </c>
      <c r="F7063" t="str">
        <f>IFERROR(__xludf.DUMMYFUNCTION("""COMPUTED_VALUE"""),"C")</f>
        <v>C</v>
      </c>
      <c r="G7063" t="str">
        <f>IFERROR(__xludf.DUMMYFUNCTION("""COMPUTED_VALUE"""),"")</f>
        <v/>
      </c>
    </row>
    <row r="7064">
      <c r="D7064" t="str">
        <f>IFERROR(__xludf.DUMMYFUNCTION("""COMPUTED_VALUE"""),"Allen")</f>
        <v>Allen</v>
      </c>
      <c r="E7064" t="str">
        <f>IFERROR(__xludf.DUMMYFUNCTION("""COMPUTED_VALUE"""),"Chase")</f>
        <v>Chase</v>
      </c>
      <c r="F7064" t="str">
        <f>IFERROR(__xludf.DUMMYFUNCTION("""COMPUTED_VALUE"""),"MLB")</f>
        <v>MLB</v>
      </c>
      <c r="G7064" t="str">
        <f>IFERROR(__xludf.DUMMYFUNCTION("""COMPUTED_VALUE"""),"")</f>
        <v/>
      </c>
    </row>
    <row r="7065">
      <c r="D7065" t="str">
        <f>IFERROR(__xludf.DUMMYFUNCTION("""COMPUTED_VALUE"""),"Allen")</f>
        <v>Allen</v>
      </c>
      <c r="E7065" t="str">
        <f>IFERROR(__xludf.DUMMYFUNCTION("""COMPUTED_VALUE"""),"Dakota")</f>
        <v>Dakota</v>
      </c>
      <c r="F7065" t="str">
        <f>IFERROR(__xludf.DUMMYFUNCTION("""COMPUTED_VALUE"""),"MLB")</f>
        <v>MLB</v>
      </c>
      <c r="G7065" t="str">
        <f>IFERROR(__xludf.DUMMYFUNCTION("""COMPUTED_VALUE"""),"")</f>
        <v/>
      </c>
    </row>
    <row r="7066">
      <c r="D7066" t="str">
        <f>IFERROR(__xludf.DUMMYFUNCTION("""COMPUTED_VALUE"""),"Allen")</f>
        <v>Allen</v>
      </c>
      <c r="E7066" t="str">
        <f>IFERROR(__xludf.DUMMYFUNCTION("""COMPUTED_VALUE"""),"Dwayne")</f>
        <v>Dwayne</v>
      </c>
      <c r="F7066" t="str">
        <f>IFERROR(__xludf.DUMMYFUNCTION("""COMPUTED_VALUE"""),"TE")</f>
        <v>TE</v>
      </c>
      <c r="G7066" t="str">
        <f>IFERROR(__xludf.DUMMYFUNCTION("""COMPUTED_VALUE"""),"")</f>
        <v/>
      </c>
    </row>
    <row r="7067">
      <c r="D7067" t="str">
        <f>IFERROR(__xludf.DUMMYFUNCTION("""COMPUTED_VALUE"""),"Allen")</f>
        <v>Allen</v>
      </c>
      <c r="E7067" t="str">
        <f>IFERROR(__xludf.DUMMYFUNCTION("""COMPUTED_VALUE"""),"Javorius")</f>
        <v>Javorius</v>
      </c>
      <c r="F7067" t="str">
        <f>IFERROR(__xludf.DUMMYFUNCTION("""COMPUTED_VALUE"""),"HB")</f>
        <v>HB</v>
      </c>
      <c r="G7067" t="str">
        <f>IFERROR(__xludf.DUMMYFUNCTION("""COMPUTED_VALUE"""),"")</f>
        <v/>
      </c>
    </row>
    <row r="7068">
      <c r="D7068" t="str">
        <f>IFERROR(__xludf.DUMMYFUNCTION("""COMPUTED_VALUE"""),"Allen")</f>
        <v>Allen</v>
      </c>
      <c r="E7068" t="str">
        <f>IFERROR(__xludf.DUMMYFUNCTION("""COMPUTED_VALUE"""),"Jonathan")</f>
        <v>Jonathan</v>
      </c>
      <c r="F7068" t="str">
        <f>IFERROR(__xludf.DUMMYFUNCTION("""COMPUTED_VALUE"""),"RE")</f>
        <v>RE</v>
      </c>
      <c r="G7068" t="str">
        <f>IFERROR(__xludf.DUMMYFUNCTION("""COMPUTED_VALUE"""),"")</f>
        <v/>
      </c>
    </row>
    <row r="7069">
      <c r="D7069" t="str">
        <f>IFERROR(__xludf.DUMMYFUNCTION("""COMPUTED_VALUE"""),"Allen")</f>
        <v>Allen</v>
      </c>
      <c r="E7069" t="str">
        <f>IFERROR(__xludf.DUMMYFUNCTION("""COMPUTED_VALUE"""),"Josh")</f>
        <v>Josh</v>
      </c>
      <c r="F7069" t="str">
        <f>IFERROR(__xludf.DUMMYFUNCTION("""COMPUTED_VALUE"""),"LE")</f>
        <v>LE</v>
      </c>
      <c r="G7069" t="str">
        <f>IFERROR(__xludf.DUMMYFUNCTION("""COMPUTED_VALUE"""),"")</f>
        <v/>
      </c>
    </row>
    <row r="7070">
      <c r="D7070" t="str">
        <f>IFERROR(__xludf.DUMMYFUNCTION("""COMPUTED_VALUE"""),"Allen")</f>
        <v>Allen</v>
      </c>
      <c r="E7070" t="str">
        <f>IFERROR(__xludf.DUMMYFUNCTION("""COMPUTED_VALUE"""),"Josh")</f>
        <v>Josh</v>
      </c>
      <c r="F7070" t="str">
        <f>IFERROR(__xludf.DUMMYFUNCTION("""COMPUTED_VALUE"""),"QB")</f>
        <v>QB</v>
      </c>
      <c r="G7070" t="str">
        <f>IFERROR(__xludf.DUMMYFUNCTION("""COMPUTED_VALUE"""),"")</f>
        <v/>
      </c>
    </row>
    <row r="7071">
      <c r="D7071" t="str">
        <f>IFERROR(__xludf.DUMMYFUNCTION("""COMPUTED_VALUE"""),"Allen")</f>
        <v>Allen</v>
      </c>
      <c r="E7071" t="str">
        <f>IFERROR(__xludf.DUMMYFUNCTION("""COMPUTED_VALUE"""),"Keenan")</f>
        <v>Keenan</v>
      </c>
      <c r="F7071" t="str">
        <f>IFERROR(__xludf.DUMMYFUNCTION("""COMPUTED_VALUE"""),"WR")</f>
        <v>WR</v>
      </c>
      <c r="G7071" t="str">
        <f>IFERROR(__xludf.DUMMYFUNCTION("""COMPUTED_VALUE"""),"")</f>
        <v/>
      </c>
    </row>
    <row r="7072">
      <c r="D7072" t="str">
        <f>IFERROR(__xludf.DUMMYFUNCTION("""COMPUTED_VALUE"""),"Allen")</f>
        <v>Allen</v>
      </c>
      <c r="E7072" t="str">
        <f>IFERROR(__xludf.DUMMYFUNCTION("""COMPUTED_VALUE"""),"Kyle")</f>
        <v>Kyle</v>
      </c>
      <c r="F7072" t="str">
        <f>IFERROR(__xludf.DUMMYFUNCTION("""COMPUTED_VALUE"""),"QB")</f>
        <v>QB</v>
      </c>
      <c r="G7072" t="str">
        <f>IFERROR(__xludf.DUMMYFUNCTION("""COMPUTED_VALUE"""),"")</f>
        <v/>
      </c>
    </row>
    <row r="7073">
      <c r="D7073" t="str">
        <f>IFERROR(__xludf.DUMMYFUNCTION("""COMPUTED_VALUE"""),"Allen")</f>
        <v>Allen</v>
      </c>
      <c r="E7073" t="str">
        <f>IFERROR(__xludf.DUMMYFUNCTION("""COMPUTED_VALUE"""),"Marcus")</f>
        <v>Marcus</v>
      </c>
      <c r="F7073" t="str">
        <f>IFERROR(__xludf.DUMMYFUNCTION("""COMPUTED_VALUE"""),"FS")</f>
        <v>FS</v>
      </c>
      <c r="G7073" t="str">
        <f>IFERROR(__xludf.DUMMYFUNCTION("""COMPUTED_VALUE"""),"")</f>
        <v/>
      </c>
    </row>
    <row r="7074">
      <c r="D7074" t="str">
        <f>IFERROR(__xludf.DUMMYFUNCTION("""COMPUTED_VALUE"""),"Allen")</f>
        <v>Allen</v>
      </c>
      <c r="E7074" t="str">
        <f>IFERROR(__xludf.DUMMYFUNCTION("""COMPUTED_VALUE"""),"Ricardo")</f>
        <v>Ricardo</v>
      </c>
      <c r="F7074" t="str">
        <f>IFERROR(__xludf.DUMMYFUNCTION("""COMPUTED_VALUE"""),"FS")</f>
        <v>FS</v>
      </c>
      <c r="G7074" t="str">
        <f>IFERROR(__xludf.DUMMYFUNCTION("""COMPUTED_VALUE"""),"")</f>
        <v/>
      </c>
    </row>
    <row r="7075">
      <c r="D7075" t="str">
        <f>IFERROR(__xludf.DUMMYFUNCTION("""COMPUTED_VALUE"""),"Allen")</f>
        <v>Allen</v>
      </c>
      <c r="E7075" t="str">
        <f>IFERROR(__xludf.DUMMYFUNCTION("""COMPUTED_VALUE"""),"Ryan")</f>
        <v>Ryan</v>
      </c>
      <c r="F7075" t="str">
        <f>IFERROR(__xludf.DUMMYFUNCTION("""COMPUTED_VALUE"""),"P")</f>
        <v>P</v>
      </c>
      <c r="G7075" t="str">
        <f>IFERROR(__xludf.DUMMYFUNCTION("""COMPUTED_VALUE"""),"")</f>
        <v/>
      </c>
    </row>
    <row r="7076">
      <c r="D7076" t="str">
        <f>IFERROR(__xludf.DUMMYFUNCTION("""COMPUTED_VALUE"""),"Allen")</f>
        <v>Allen</v>
      </c>
      <c r="E7076" t="str">
        <f>IFERROR(__xludf.DUMMYFUNCTION("""COMPUTED_VALUE"""),"Zach")</f>
        <v>Zach</v>
      </c>
      <c r="F7076" t="str">
        <f>IFERROR(__xludf.DUMMYFUNCTION("""COMPUTED_VALUE"""),"RE")</f>
        <v>RE</v>
      </c>
      <c r="G7076" t="str">
        <f>IFERROR(__xludf.DUMMYFUNCTION("""COMPUTED_VALUE"""),"")</f>
        <v/>
      </c>
    </row>
    <row r="7077">
      <c r="D7077" t="str">
        <f>IFERROR(__xludf.DUMMYFUNCTION("""COMPUTED_VALUE"""),"Allison")</f>
        <v>Allison</v>
      </c>
      <c r="E7077" t="str">
        <f>IFERROR(__xludf.DUMMYFUNCTION("""COMPUTED_VALUE"""),"Geronimo")</f>
        <v>Geronimo</v>
      </c>
      <c r="F7077" t="str">
        <f>IFERROR(__xludf.DUMMYFUNCTION("""COMPUTED_VALUE"""),"WR")</f>
        <v>WR</v>
      </c>
      <c r="G7077" t="str">
        <f>IFERROR(__xludf.DUMMYFUNCTION("""COMPUTED_VALUE"""),"")</f>
        <v/>
      </c>
    </row>
    <row r="7078">
      <c r="D7078" t="str">
        <f>IFERROR(__xludf.DUMMYFUNCTION("""COMPUTED_VALUE"""),"Alonso")</f>
        <v>Alonso</v>
      </c>
      <c r="E7078" t="str">
        <f>IFERROR(__xludf.DUMMYFUNCTION("""COMPUTED_VALUE"""),"Kiko")</f>
        <v>Kiko</v>
      </c>
      <c r="F7078" t="str">
        <f>IFERROR(__xludf.DUMMYFUNCTION("""COMPUTED_VALUE"""),"ROLB")</f>
        <v>ROLB</v>
      </c>
      <c r="G7078" t="str">
        <f>IFERROR(__xludf.DUMMYFUNCTION("""COMPUTED_VALUE"""),"")</f>
        <v/>
      </c>
    </row>
    <row r="7079">
      <c r="D7079" t="str">
        <f>IFERROR(__xludf.DUMMYFUNCTION("""COMPUTED_VALUE"""),"Alualu")</f>
        <v>Alualu</v>
      </c>
      <c r="E7079" t="str">
        <f>IFERROR(__xludf.DUMMYFUNCTION("""COMPUTED_VALUE"""),"Tyson")</f>
        <v>Tyson</v>
      </c>
      <c r="F7079" t="str">
        <f>IFERROR(__xludf.DUMMYFUNCTION("""COMPUTED_VALUE"""),"LE")</f>
        <v>LE</v>
      </c>
      <c r="G7079" t="str">
        <f>IFERROR(__xludf.DUMMYFUNCTION("""COMPUTED_VALUE"""),"")</f>
        <v/>
      </c>
    </row>
    <row r="7080">
      <c r="D7080" t="str">
        <f>IFERROR(__xludf.DUMMYFUNCTION("""COMPUTED_VALUE"""),"Amadi")</f>
        <v>Amadi</v>
      </c>
      <c r="E7080" t="str">
        <f>IFERROR(__xludf.DUMMYFUNCTION("""COMPUTED_VALUE"""),"Ugochukwu")</f>
        <v>Ugochukwu</v>
      </c>
      <c r="F7080" t="str">
        <f>IFERROR(__xludf.DUMMYFUNCTION("""COMPUTED_VALUE"""),"FS")</f>
        <v>FS</v>
      </c>
      <c r="G7080" t="str">
        <f>IFERROR(__xludf.DUMMYFUNCTION("""COMPUTED_VALUE"""),"")</f>
        <v/>
      </c>
    </row>
    <row r="7081">
      <c r="D7081" t="str">
        <f>IFERROR(__xludf.DUMMYFUNCTION("""COMPUTED_VALUE"""),"Amendola")</f>
        <v>Amendola</v>
      </c>
      <c r="E7081" t="str">
        <f>IFERROR(__xludf.DUMMYFUNCTION("""COMPUTED_VALUE"""),"Danny")</f>
        <v>Danny</v>
      </c>
      <c r="F7081" t="str">
        <f>IFERROR(__xludf.DUMMYFUNCTION("""COMPUTED_VALUE"""),"WR")</f>
        <v>WR</v>
      </c>
      <c r="G7081" t="str">
        <f>IFERROR(__xludf.DUMMYFUNCTION("""COMPUTED_VALUE"""),"")</f>
        <v/>
      </c>
    </row>
    <row r="7082">
      <c r="D7082" t="str">
        <f>IFERROR(__xludf.DUMMYFUNCTION("""COMPUTED_VALUE"""),"Amerson")</f>
        <v>Amerson</v>
      </c>
      <c r="E7082" t="str">
        <f>IFERROR(__xludf.DUMMYFUNCTION("""COMPUTED_VALUE"""),"David")</f>
        <v>David</v>
      </c>
      <c r="F7082" t="str">
        <f>IFERROR(__xludf.DUMMYFUNCTION("""COMPUTED_VALUE"""),"CB")</f>
        <v>CB</v>
      </c>
      <c r="G7082" t="str">
        <f>IFERROR(__xludf.DUMMYFUNCTION("""COMPUTED_VALUE"""),"")</f>
        <v/>
      </c>
    </row>
    <row r="7083">
      <c r="D7083" t="str">
        <f>IFERROR(__xludf.DUMMYFUNCTION("""COMPUTED_VALUE"""),"Amichia")</f>
        <v>Amichia</v>
      </c>
      <c r="E7083" t="str">
        <f>IFERROR(__xludf.DUMMYFUNCTION("""COMPUTED_VALUE"""),"Kofi")</f>
        <v>Kofi</v>
      </c>
      <c r="F7083" t="str">
        <f>IFERROR(__xludf.DUMMYFUNCTION("""COMPUTED_VALUE"""),"LG")</f>
        <v>LG</v>
      </c>
      <c r="G7083" t="str">
        <f>IFERROR(__xludf.DUMMYFUNCTION("""COMPUTED_VALUE"""),"")</f>
        <v/>
      </c>
    </row>
    <row r="7084">
      <c r="D7084" t="str">
        <f>IFERROR(__xludf.DUMMYFUNCTION("""COMPUTED_VALUE"""),"Amos")</f>
        <v>Amos</v>
      </c>
      <c r="E7084" t="str">
        <f>IFERROR(__xludf.DUMMYFUNCTION("""COMPUTED_VALUE"""),"Adrian")</f>
        <v>Adrian</v>
      </c>
      <c r="F7084" t="str">
        <f>IFERROR(__xludf.DUMMYFUNCTION("""COMPUTED_VALUE"""),"SS")</f>
        <v>SS</v>
      </c>
      <c r="G7084" t="str">
        <f>IFERROR(__xludf.DUMMYFUNCTION("""COMPUTED_VALUE"""),"")</f>
        <v/>
      </c>
    </row>
    <row r="7085">
      <c r="D7085" t="str">
        <f>IFERROR(__xludf.DUMMYFUNCTION("""COMPUTED_VALUE"""),"Amukamara")</f>
        <v>Amukamara</v>
      </c>
      <c r="E7085" t="str">
        <f>IFERROR(__xludf.DUMMYFUNCTION("""COMPUTED_VALUE"""),"Prince")</f>
        <v>Prince</v>
      </c>
      <c r="F7085" t="str">
        <f>IFERROR(__xludf.DUMMYFUNCTION("""COMPUTED_VALUE"""),"CB")</f>
        <v>CB</v>
      </c>
      <c r="G7085" t="str">
        <f>IFERROR(__xludf.DUMMYFUNCTION("""COMPUTED_VALUE"""),"")</f>
        <v/>
      </c>
    </row>
    <row r="7086">
      <c r="D7086" t="str">
        <f>IFERROR(__xludf.DUMMYFUNCTION("""COMPUTED_VALUE"""),"Anderson")</f>
        <v>Anderson</v>
      </c>
      <c r="E7086" t="str">
        <f>IFERROR(__xludf.DUMMYFUNCTION("""COMPUTED_VALUE"""),"Abdullah")</f>
        <v>Abdullah</v>
      </c>
      <c r="F7086" t="str">
        <f>IFERROR(__xludf.DUMMYFUNCTION("""COMPUTED_VALUE"""),"LE")</f>
        <v>LE</v>
      </c>
      <c r="G7086" t="str">
        <f>IFERROR(__xludf.DUMMYFUNCTION("""COMPUTED_VALUE"""),"")</f>
        <v/>
      </c>
    </row>
    <row r="7087">
      <c r="D7087" t="str">
        <f>IFERROR(__xludf.DUMMYFUNCTION("""COMPUTED_VALUE"""),"Anderson")</f>
        <v>Anderson</v>
      </c>
      <c r="E7087" t="str">
        <f>IFERROR(__xludf.DUMMYFUNCTION("""COMPUTED_VALUE"""),"Bruce")</f>
        <v>Bruce</v>
      </c>
      <c r="F7087" t="str">
        <f>IFERROR(__xludf.DUMMYFUNCTION("""COMPUTED_VALUE"""),"HB")</f>
        <v>HB</v>
      </c>
      <c r="G7087" t="str">
        <f>IFERROR(__xludf.DUMMYFUNCTION("""COMPUTED_VALUE"""),"")</f>
        <v/>
      </c>
    </row>
    <row r="7088">
      <c r="D7088" t="str">
        <f>IFERROR(__xludf.DUMMYFUNCTION("""COMPUTED_VALUE"""),"Anderson")</f>
        <v>Anderson</v>
      </c>
      <c r="E7088" t="str">
        <f>IFERROR(__xludf.DUMMYFUNCTION("""COMPUTED_VALUE"""),"Calvin")</f>
        <v>Calvin</v>
      </c>
      <c r="F7088" t="str">
        <f>IFERROR(__xludf.DUMMYFUNCTION("""COMPUTED_VALUE"""),"LT")</f>
        <v>LT</v>
      </c>
      <c r="G7088" t="str">
        <f>IFERROR(__xludf.DUMMYFUNCTION("""COMPUTED_VALUE"""),"")</f>
        <v/>
      </c>
    </row>
    <row r="7089">
      <c r="D7089" t="str">
        <f>IFERROR(__xludf.DUMMYFUNCTION("""COMPUTED_VALUE"""),"Anderson")</f>
        <v>Anderson</v>
      </c>
      <c r="E7089" t="str">
        <f>IFERROR(__xludf.DUMMYFUNCTION("""COMPUTED_VALUE"""),"CJ")</f>
        <v>CJ</v>
      </c>
      <c r="F7089" t="str">
        <f>IFERROR(__xludf.DUMMYFUNCTION("""COMPUTED_VALUE"""),"HB")</f>
        <v>HB</v>
      </c>
      <c r="G7089" t="str">
        <f>IFERROR(__xludf.DUMMYFUNCTION("""COMPUTED_VALUE"""),"")</f>
        <v/>
      </c>
    </row>
    <row r="7090">
      <c r="D7090" t="str">
        <f>IFERROR(__xludf.DUMMYFUNCTION("""COMPUTED_VALUE"""),"Anderson")</f>
        <v>Anderson</v>
      </c>
      <c r="E7090" t="str">
        <f>IFERROR(__xludf.DUMMYFUNCTION("""COMPUTED_VALUE"""),"Henry")</f>
        <v>Henry</v>
      </c>
      <c r="F7090" t="str">
        <f>IFERROR(__xludf.DUMMYFUNCTION("""COMPUTED_VALUE"""),"RE")</f>
        <v>RE</v>
      </c>
      <c r="G7090" t="str">
        <f>IFERROR(__xludf.DUMMYFUNCTION("""COMPUTED_VALUE"""),"")</f>
        <v/>
      </c>
    </row>
    <row r="7091">
      <c r="D7091" t="str">
        <f>IFERROR(__xludf.DUMMYFUNCTION("""COMPUTED_VALUE"""),"Anderson")</f>
        <v>Anderson</v>
      </c>
      <c r="E7091" t="str">
        <f>IFERROR(__xludf.DUMMYFUNCTION("""COMPUTED_VALUE"""),"Jonathan")</f>
        <v>Jonathan</v>
      </c>
      <c r="F7091" t="str">
        <f>IFERROR(__xludf.DUMMYFUNCTION("""COMPUTED_VALUE"""),"MLB")</f>
        <v>MLB</v>
      </c>
      <c r="G7091" t="str">
        <f>IFERROR(__xludf.DUMMYFUNCTION("""COMPUTED_VALUE"""),"")</f>
        <v/>
      </c>
    </row>
    <row r="7092">
      <c r="D7092" t="str">
        <f>IFERROR(__xludf.DUMMYFUNCTION("""COMPUTED_VALUE"""),"Anderson")</f>
        <v>Anderson</v>
      </c>
      <c r="E7092" t="str">
        <f>IFERROR(__xludf.DUMMYFUNCTION("""COMPUTED_VALUE"""),"Robby")</f>
        <v>Robby</v>
      </c>
      <c r="F7092" t="str">
        <f>IFERROR(__xludf.DUMMYFUNCTION("""COMPUTED_VALUE"""),"WR")</f>
        <v>WR</v>
      </c>
      <c r="G7092" t="str">
        <f>IFERROR(__xludf.DUMMYFUNCTION("""COMPUTED_VALUE"""),"")</f>
        <v/>
      </c>
    </row>
    <row r="7093">
      <c r="D7093" t="str">
        <f>IFERROR(__xludf.DUMMYFUNCTION("""COMPUTED_VALUE"""),"Anderson")</f>
        <v>Anderson</v>
      </c>
      <c r="E7093" t="str">
        <f>IFERROR(__xludf.DUMMYFUNCTION("""COMPUTED_VALUE"""),"Rodney")</f>
        <v>Rodney</v>
      </c>
      <c r="F7093" t="str">
        <f>IFERROR(__xludf.DUMMYFUNCTION("""COMPUTED_VALUE"""),"HB")</f>
        <v>HB</v>
      </c>
      <c r="G7093" t="str">
        <f>IFERROR(__xludf.DUMMYFUNCTION("""COMPUTED_VALUE"""),"")</f>
        <v/>
      </c>
    </row>
    <row r="7094">
      <c r="D7094" t="str">
        <f>IFERROR(__xludf.DUMMYFUNCTION("""COMPUTED_VALUE"""),"Anderson")</f>
        <v>Anderson</v>
      </c>
      <c r="E7094" t="str">
        <f>IFERROR(__xludf.DUMMYFUNCTION("""COMPUTED_VALUE"""),"Ryan")</f>
        <v>Ryan</v>
      </c>
      <c r="F7094" t="str">
        <f>IFERROR(__xludf.DUMMYFUNCTION("""COMPUTED_VALUE"""),"LOLB")</f>
        <v>LOLB</v>
      </c>
      <c r="G7094" t="str">
        <f>IFERROR(__xludf.DUMMYFUNCTION("""COMPUTED_VALUE"""),"")</f>
        <v/>
      </c>
    </row>
    <row r="7095">
      <c r="D7095" t="str">
        <f>IFERROR(__xludf.DUMMYFUNCTION("""COMPUTED_VALUE"""),"Anderson")</f>
        <v>Anderson</v>
      </c>
      <c r="E7095" t="str">
        <f>IFERROR(__xludf.DUMMYFUNCTION("""COMPUTED_VALUE"""),"Stephen")</f>
        <v>Stephen</v>
      </c>
      <c r="F7095" t="str">
        <f>IFERROR(__xludf.DUMMYFUNCTION("""COMPUTED_VALUE"""),"TE")</f>
        <v>TE</v>
      </c>
      <c r="G7095" t="str">
        <f>IFERROR(__xludf.DUMMYFUNCTION("""COMPUTED_VALUE"""),"")</f>
        <v/>
      </c>
    </row>
    <row r="7096">
      <c r="D7096" t="str">
        <f>IFERROR(__xludf.DUMMYFUNCTION("""COMPUTED_VALUE"""),"Andrews")</f>
        <v>Andrews</v>
      </c>
      <c r="E7096" t="str">
        <f>IFERROR(__xludf.DUMMYFUNCTION("""COMPUTED_VALUE"""),"David")</f>
        <v>David</v>
      </c>
      <c r="F7096" t="str">
        <f>IFERROR(__xludf.DUMMYFUNCTION("""COMPUTED_VALUE"""),"C")</f>
        <v>C</v>
      </c>
      <c r="G7096" t="str">
        <f>IFERROR(__xludf.DUMMYFUNCTION("""COMPUTED_VALUE"""),"")</f>
        <v/>
      </c>
    </row>
    <row r="7097">
      <c r="D7097" t="str">
        <f>IFERROR(__xludf.DUMMYFUNCTION("""COMPUTED_VALUE"""),"Andrews")</f>
        <v>Andrews</v>
      </c>
      <c r="E7097" t="str">
        <f>IFERROR(__xludf.DUMMYFUNCTION("""COMPUTED_VALUE"""),"Josh")</f>
        <v>Josh</v>
      </c>
      <c r="F7097" t="str">
        <f>IFERROR(__xludf.DUMMYFUNCTION("""COMPUTED_VALUE"""),"C")</f>
        <v>C</v>
      </c>
      <c r="G7097" t="str">
        <f>IFERROR(__xludf.DUMMYFUNCTION("""COMPUTED_VALUE"""),"")</f>
        <v/>
      </c>
    </row>
    <row r="7098">
      <c r="D7098" t="str">
        <f>IFERROR(__xludf.DUMMYFUNCTION("""COMPUTED_VALUE"""),"Andrews")</f>
        <v>Andrews</v>
      </c>
      <c r="E7098" t="str">
        <f>IFERROR(__xludf.DUMMYFUNCTION("""COMPUTED_VALUE"""),"Mark")</f>
        <v>Mark</v>
      </c>
      <c r="F7098" t="str">
        <f>IFERROR(__xludf.DUMMYFUNCTION("""COMPUTED_VALUE"""),"TE")</f>
        <v>TE</v>
      </c>
      <c r="G7098" t="str">
        <f>IFERROR(__xludf.DUMMYFUNCTION("""COMPUTED_VALUE"""),"")</f>
        <v/>
      </c>
    </row>
    <row r="7099">
      <c r="D7099" t="str">
        <f>IFERROR(__xludf.DUMMYFUNCTION("""COMPUTED_VALUE"""),"Ankou")</f>
        <v>Ankou</v>
      </c>
      <c r="E7099" t="str">
        <f>IFERROR(__xludf.DUMMYFUNCTION("""COMPUTED_VALUE"""),"Eli")</f>
        <v>Eli</v>
      </c>
      <c r="F7099" t="str">
        <f>IFERROR(__xludf.DUMMYFUNCTION("""COMPUTED_VALUE"""),"DT")</f>
        <v>DT</v>
      </c>
      <c r="G7099" t="str">
        <f>IFERROR(__xludf.DUMMYFUNCTION("""COMPUTED_VALUE"""),"")</f>
        <v/>
      </c>
    </row>
    <row r="7100">
      <c r="D7100" t="str">
        <f>IFERROR(__xludf.DUMMYFUNCTION("""COMPUTED_VALUE"""),"Ansah")</f>
        <v>Ansah</v>
      </c>
      <c r="E7100" t="str">
        <f>IFERROR(__xludf.DUMMYFUNCTION("""COMPUTED_VALUE"""),"Ezekiel")</f>
        <v>Ezekiel</v>
      </c>
      <c r="F7100" t="str">
        <f>IFERROR(__xludf.DUMMYFUNCTION("""COMPUTED_VALUE"""),"RE")</f>
        <v>RE</v>
      </c>
      <c r="G7100" t="str">
        <f>IFERROR(__xludf.DUMMYFUNCTION("""COMPUTED_VALUE"""),"")</f>
        <v/>
      </c>
    </row>
    <row r="7101">
      <c r="D7101" t="str">
        <f>IFERROR(__xludf.DUMMYFUNCTION("""COMPUTED_VALUE"""),"Anzalone")</f>
        <v>Anzalone</v>
      </c>
      <c r="E7101" t="str">
        <f>IFERROR(__xludf.DUMMYFUNCTION("""COMPUTED_VALUE"""),"Alex")</f>
        <v>Alex</v>
      </c>
      <c r="F7101" t="str">
        <f>IFERROR(__xludf.DUMMYFUNCTION("""COMPUTED_VALUE"""),"MLB")</f>
        <v>MLB</v>
      </c>
      <c r="G7101" t="str">
        <f>IFERROR(__xludf.DUMMYFUNCTION("""COMPUTED_VALUE"""),"")</f>
        <v/>
      </c>
    </row>
    <row r="7102">
      <c r="D7102" t="str">
        <f>IFERROR(__xludf.DUMMYFUNCTION("""COMPUTED_VALUE"""),"Apke")</f>
        <v>Apke</v>
      </c>
      <c r="E7102" t="str">
        <f>IFERROR(__xludf.DUMMYFUNCTION("""COMPUTED_VALUE"""),"Troy")</f>
        <v>Troy</v>
      </c>
      <c r="F7102" t="str">
        <f>IFERROR(__xludf.DUMMYFUNCTION("""COMPUTED_VALUE"""),"FS")</f>
        <v>FS</v>
      </c>
      <c r="G7102" t="str">
        <f>IFERROR(__xludf.DUMMYFUNCTION("""COMPUTED_VALUE"""),"")</f>
        <v/>
      </c>
    </row>
    <row r="7103">
      <c r="D7103" t="str">
        <f>IFERROR(__xludf.DUMMYFUNCTION("""COMPUTED_VALUE"""),"Apple")</f>
        <v>Apple</v>
      </c>
      <c r="E7103" t="str">
        <f>IFERROR(__xludf.DUMMYFUNCTION("""COMPUTED_VALUE"""),"Eli")</f>
        <v>Eli</v>
      </c>
      <c r="F7103" t="str">
        <f>IFERROR(__xludf.DUMMYFUNCTION("""COMPUTED_VALUE"""),"CB")</f>
        <v>CB</v>
      </c>
      <c r="G7103" t="str">
        <f>IFERROR(__xludf.DUMMYFUNCTION("""COMPUTED_VALUE"""),"")</f>
        <v/>
      </c>
    </row>
    <row r="7104">
      <c r="D7104" t="str">
        <f>IFERROR(__xludf.DUMMYFUNCTION("""COMPUTED_VALUE"""),"Arcega-Whiteside")</f>
        <v>Arcega-Whiteside</v>
      </c>
      <c r="E7104" t="str">
        <f>IFERROR(__xludf.DUMMYFUNCTION("""COMPUTED_VALUE"""),"JJ")</f>
        <v>JJ</v>
      </c>
      <c r="F7104" t="str">
        <f>IFERROR(__xludf.DUMMYFUNCTION("""COMPUTED_VALUE"""),"WR")</f>
        <v>WR</v>
      </c>
      <c r="G7104" t="str">
        <f>IFERROR(__xludf.DUMMYFUNCTION("""COMPUTED_VALUE"""),"")</f>
        <v/>
      </c>
    </row>
    <row r="7105">
      <c r="D7105" t="str">
        <f>IFERROR(__xludf.DUMMYFUNCTION("""COMPUTED_VALUE"""),"Armah")</f>
        <v>Armah</v>
      </c>
      <c r="E7105" t="str">
        <f>IFERROR(__xludf.DUMMYFUNCTION("""COMPUTED_VALUE"""),"Alex")</f>
        <v>Alex</v>
      </c>
      <c r="F7105" t="str">
        <f>IFERROR(__xludf.DUMMYFUNCTION("""COMPUTED_VALUE"""),"FB")</f>
        <v>FB</v>
      </c>
      <c r="G7105" t="str">
        <f>IFERROR(__xludf.DUMMYFUNCTION("""COMPUTED_VALUE"""),"")</f>
        <v/>
      </c>
    </row>
    <row r="7106">
      <c r="D7106" t="str">
        <f>IFERROR(__xludf.DUMMYFUNCTION("""COMPUTED_VALUE"""),"Armstead")</f>
        <v>Armstead</v>
      </c>
      <c r="E7106" t="str">
        <f>IFERROR(__xludf.DUMMYFUNCTION("""COMPUTED_VALUE"""),"Arik")</f>
        <v>Arik</v>
      </c>
      <c r="F7106" t="str">
        <f>IFERROR(__xludf.DUMMYFUNCTION("""COMPUTED_VALUE"""),"DT")</f>
        <v>DT</v>
      </c>
      <c r="G7106" t="str">
        <f>IFERROR(__xludf.DUMMYFUNCTION("""COMPUTED_VALUE"""),"")</f>
        <v/>
      </c>
    </row>
    <row r="7107">
      <c r="D7107" t="str">
        <f>IFERROR(__xludf.DUMMYFUNCTION("""COMPUTED_VALUE"""),"Armstead")</f>
        <v>Armstead</v>
      </c>
      <c r="E7107" t="str">
        <f>IFERROR(__xludf.DUMMYFUNCTION("""COMPUTED_VALUE"""),"Ryquell")</f>
        <v>Ryquell</v>
      </c>
      <c r="F7107" t="str">
        <f>IFERROR(__xludf.DUMMYFUNCTION("""COMPUTED_VALUE"""),"HB")</f>
        <v>HB</v>
      </c>
      <c r="G7107" t="str">
        <f>IFERROR(__xludf.DUMMYFUNCTION("""COMPUTED_VALUE"""),"")</f>
        <v/>
      </c>
    </row>
    <row r="7108">
      <c r="D7108" t="str">
        <f>IFERROR(__xludf.DUMMYFUNCTION("""COMPUTED_VALUE"""),"Armstead")</f>
        <v>Armstead</v>
      </c>
      <c r="E7108" t="str">
        <f>IFERROR(__xludf.DUMMYFUNCTION("""COMPUTED_VALUE"""),"Terron")</f>
        <v>Terron</v>
      </c>
      <c r="F7108" t="str">
        <f>IFERROR(__xludf.DUMMYFUNCTION("""COMPUTED_VALUE"""),"LT")</f>
        <v>LT</v>
      </c>
      <c r="G7108" t="str">
        <f>IFERROR(__xludf.DUMMYFUNCTION("""COMPUTED_VALUE"""),"")</f>
        <v/>
      </c>
    </row>
    <row r="7109">
      <c r="D7109" t="str">
        <f>IFERROR(__xludf.DUMMYFUNCTION("""COMPUTED_VALUE"""),"Armstrong")</f>
        <v>Armstrong</v>
      </c>
      <c r="E7109" t="str">
        <f>IFERROR(__xludf.DUMMYFUNCTION("""COMPUTED_VALUE"""),"Cornell")</f>
        <v>Cornell</v>
      </c>
      <c r="F7109" t="str">
        <f>IFERROR(__xludf.DUMMYFUNCTION("""COMPUTED_VALUE"""),"CB")</f>
        <v>CB</v>
      </c>
      <c r="G7109" t="str">
        <f>IFERROR(__xludf.DUMMYFUNCTION("""COMPUTED_VALUE"""),"")</f>
        <v/>
      </c>
    </row>
    <row r="7110">
      <c r="D7110" t="str">
        <f>IFERROR(__xludf.DUMMYFUNCTION("""COMPUTED_VALUE"""),"Armstrong")</f>
        <v>Armstrong</v>
      </c>
      <c r="E7110" t="str">
        <f>IFERROR(__xludf.DUMMYFUNCTION("""COMPUTED_VALUE"""),"Dorance")</f>
        <v>Dorance</v>
      </c>
      <c r="F7110" t="str">
        <f>IFERROR(__xludf.DUMMYFUNCTION("""COMPUTED_VALUE"""),"LE")</f>
        <v>LE</v>
      </c>
      <c r="G7110" t="str">
        <f>IFERROR(__xludf.DUMMYFUNCTION("""COMPUTED_VALUE"""),"")</f>
        <v/>
      </c>
    </row>
    <row r="7111">
      <c r="D7111" t="str">
        <f>IFERROR(__xludf.DUMMYFUNCTION("""COMPUTED_VALUE"""),"Armstrong")</f>
        <v>Armstrong</v>
      </c>
      <c r="E7111" t="str">
        <f>IFERROR(__xludf.DUMMYFUNCTION("""COMPUTED_VALUE"""),"Ray-Ray")</f>
        <v>Ray-Ray</v>
      </c>
      <c r="F7111" t="str">
        <f>IFERROR(__xludf.DUMMYFUNCTION("""COMPUTED_VALUE"""),"ROLB")</f>
        <v>ROLB</v>
      </c>
      <c r="G7111" t="str">
        <f>IFERROR(__xludf.DUMMYFUNCTION("""COMPUTED_VALUE"""),"")</f>
        <v/>
      </c>
    </row>
    <row r="7112">
      <c r="D7112" t="str">
        <f>IFERROR(__xludf.DUMMYFUNCTION("""COMPUTED_VALUE"""),"Arnold")</f>
        <v>Arnold</v>
      </c>
      <c r="E7112" t="str">
        <f>IFERROR(__xludf.DUMMYFUNCTION("""COMPUTED_VALUE"""),"Dan")</f>
        <v>Dan</v>
      </c>
      <c r="F7112" t="str">
        <f>IFERROR(__xludf.DUMMYFUNCTION("""COMPUTED_VALUE"""),"TE")</f>
        <v>TE</v>
      </c>
      <c r="G7112" t="str">
        <f>IFERROR(__xludf.DUMMYFUNCTION("""COMPUTED_VALUE"""),"")</f>
        <v/>
      </c>
    </row>
    <row r="7113">
      <c r="D7113" t="str">
        <f>IFERROR(__xludf.DUMMYFUNCTION("""COMPUTED_VALUE"""),"Artis-Payne")</f>
        <v>Artis-Payne</v>
      </c>
      <c r="E7113" t="str">
        <f>IFERROR(__xludf.DUMMYFUNCTION("""COMPUTED_VALUE"""),"Cameron")</f>
        <v>Cameron</v>
      </c>
      <c r="F7113" t="str">
        <f>IFERROR(__xludf.DUMMYFUNCTION("""COMPUTED_VALUE"""),"HB")</f>
        <v>HB</v>
      </c>
      <c r="G7113" t="str">
        <f>IFERROR(__xludf.DUMMYFUNCTION("""COMPUTED_VALUE"""),"")</f>
        <v/>
      </c>
    </row>
    <row r="7114">
      <c r="D7114" t="str">
        <f>IFERROR(__xludf.DUMMYFUNCTION("""COMPUTED_VALUE"""),"Aruna")</f>
        <v>Aruna</v>
      </c>
      <c r="E7114" t="str">
        <f>IFERROR(__xludf.DUMMYFUNCTION("""COMPUTED_VALUE"""),"Ade")</f>
        <v>Ade</v>
      </c>
      <c r="F7114" t="str">
        <f>IFERROR(__xludf.DUMMYFUNCTION("""COMPUTED_VALUE"""),"RE")</f>
        <v>RE</v>
      </c>
      <c r="G7114" t="str">
        <f>IFERROR(__xludf.DUMMYFUNCTION("""COMPUTED_VALUE"""),"")</f>
        <v/>
      </c>
    </row>
    <row r="7115">
      <c r="D7115" t="str">
        <f>IFERROR(__xludf.DUMMYFUNCTION("""COMPUTED_VALUE"""),"Asafo-Adjei")</f>
        <v>Asafo-Adjei</v>
      </c>
      <c r="E7115" t="str">
        <f>IFERROR(__xludf.DUMMYFUNCTION("""COMPUTED_VALUE"""),"George")</f>
        <v>George</v>
      </c>
      <c r="F7115" t="str">
        <f>IFERROR(__xludf.DUMMYFUNCTION("""COMPUTED_VALUE"""),"RG")</f>
        <v>RG</v>
      </c>
      <c r="G7115" t="str">
        <f>IFERROR(__xludf.DUMMYFUNCTION("""COMPUTED_VALUE"""),"")</f>
        <v/>
      </c>
    </row>
    <row r="7116">
      <c r="D7116" t="str">
        <f>IFERROR(__xludf.DUMMYFUNCTION("""COMPUTED_VALUE"""),"Ateman")</f>
        <v>Ateman</v>
      </c>
      <c r="E7116" t="str">
        <f>IFERROR(__xludf.DUMMYFUNCTION("""COMPUTED_VALUE"""),"Marcell")</f>
        <v>Marcell</v>
      </c>
      <c r="F7116" t="str">
        <f>IFERROR(__xludf.DUMMYFUNCTION("""COMPUTED_VALUE"""),"WR")</f>
        <v>WR</v>
      </c>
      <c r="G7116" t="str">
        <f>IFERROR(__xludf.DUMMYFUNCTION("""COMPUTED_VALUE"""),"")</f>
        <v/>
      </c>
    </row>
    <row r="7117">
      <c r="D7117" t="str">
        <f>IFERROR(__xludf.DUMMYFUNCTION("""COMPUTED_VALUE"""),"Atkins")</f>
        <v>Atkins</v>
      </c>
      <c r="E7117" t="str">
        <f>IFERROR(__xludf.DUMMYFUNCTION("""COMPUTED_VALUE"""),"Geno")</f>
        <v>Geno</v>
      </c>
      <c r="F7117" t="str">
        <f>IFERROR(__xludf.DUMMYFUNCTION("""COMPUTED_VALUE"""),"DT")</f>
        <v>DT</v>
      </c>
      <c r="G7117" t="str">
        <f>IFERROR(__xludf.DUMMYFUNCTION("""COMPUTED_VALUE"""),"")</f>
        <v/>
      </c>
    </row>
    <row r="7118">
      <c r="D7118" t="str">
        <f>IFERROR(__xludf.DUMMYFUNCTION("""COMPUTED_VALUE"""),"Atkins")</f>
        <v>Atkins</v>
      </c>
      <c r="E7118" t="str">
        <f>IFERROR(__xludf.DUMMYFUNCTION("""COMPUTED_VALUE"""),"John")</f>
        <v>John</v>
      </c>
      <c r="F7118" t="str">
        <f>IFERROR(__xludf.DUMMYFUNCTION("""COMPUTED_VALUE"""),"DT")</f>
        <v>DT</v>
      </c>
      <c r="G7118" t="str">
        <f>IFERROR(__xludf.DUMMYFUNCTION("""COMPUTED_VALUE"""),"")</f>
        <v/>
      </c>
    </row>
    <row r="7119">
      <c r="D7119" t="str">
        <f>IFERROR(__xludf.DUMMYFUNCTION("""COMPUTED_VALUE"""),"Attaochu")</f>
        <v>Attaochu</v>
      </c>
      <c r="E7119" t="str">
        <f>IFERROR(__xludf.DUMMYFUNCTION("""COMPUTED_VALUE"""),"Jeremiah")</f>
        <v>Jeremiah</v>
      </c>
      <c r="F7119" t="str">
        <f>IFERROR(__xludf.DUMMYFUNCTION("""COMPUTED_VALUE"""),"ROLB")</f>
        <v>ROLB</v>
      </c>
      <c r="G7119" t="str">
        <f>IFERROR(__xludf.DUMMYFUNCTION("""COMPUTED_VALUE"""),"")</f>
        <v/>
      </c>
    </row>
    <row r="7120">
      <c r="D7120" t="str">
        <f>IFERROR(__xludf.DUMMYFUNCTION("""COMPUTED_VALUE"""),"Auclair")</f>
        <v>Auclair</v>
      </c>
      <c r="E7120" t="str">
        <f>IFERROR(__xludf.DUMMYFUNCTION("""COMPUTED_VALUE"""),"Antony")</f>
        <v>Antony</v>
      </c>
      <c r="F7120" t="str">
        <f>IFERROR(__xludf.DUMMYFUNCTION("""COMPUTED_VALUE"""),"TE")</f>
        <v>TE</v>
      </c>
      <c r="G7120" t="str">
        <f>IFERROR(__xludf.DUMMYFUNCTION("""COMPUTED_VALUE"""),"")</f>
        <v/>
      </c>
    </row>
    <row r="7121">
      <c r="D7121" t="str">
        <f>IFERROR(__xludf.DUMMYFUNCTION("""COMPUTED_VALUE"""),"Austin")</f>
        <v>Austin</v>
      </c>
      <c r="E7121" t="str">
        <f>IFERROR(__xludf.DUMMYFUNCTION("""COMPUTED_VALUE"""),"Blessuan")</f>
        <v>Blessuan</v>
      </c>
      <c r="F7121" t="str">
        <f>IFERROR(__xludf.DUMMYFUNCTION("""COMPUTED_VALUE"""),"CB")</f>
        <v>CB</v>
      </c>
      <c r="G7121" t="str">
        <f>IFERROR(__xludf.DUMMYFUNCTION("""COMPUTED_VALUE"""),"")</f>
        <v/>
      </c>
    </row>
    <row r="7122">
      <c r="D7122" t="str">
        <f>IFERROR(__xludf.DUMMYFUNCTION("""COMPUTED_VALUE"""),"Austin")</f>
        <v>Austin</v>
      </c>
      <c r="E7122" t="str">
        <f>IFERROR(__xludf.DUMMYFUNCTION("""COMPUTED_VALUE"""),"Tavon")</f>
        <v>Tavon</v>
      </c>
      <c r="F7122" t="str">
        <f>IFERROR(__xludf.DUMMYFUNCTION("""COMPUTED_VALUE"""),"WR")</f>
        <v>WR</v>
      </c>
      <c r="G7122" t="str">
        <f>IFERROR(__xludf.DUMMYFUNCTION("""COMPUTED_VALUE"""),"")</f>
        <v/>
      </c>
    </row>
    <row r="7123">
      <c r="D7123" t="str">
        <f>IFERROR(__xludf.DUMMYFUNCTION("""COMPUTED_VALUE"""),"Autry")</f>
        <v>Autry</v>
      </c>
      <c r="E7123" t="str">
        <f>IFERROR(__xludf.DUMMYFUNCTION("""COMPUTED_VALUE"""),"Denico")</f>
        <v>Denico</v>
      </c>
      <c r="F7123" t="str">
        <f>IFERROR(__xludf.DUMMYFUNCTION("""COMPUTED_VALUE"""),"DT")</f>
        <v>DT</v>
      </c>
      <c r="G7123" t="str">
        <f>IFERROR(__xludf.DUMMYFUNCTION("""COMPUTED_VALUE"""),"")</f>
        <v/>
      </c>
    </row>
    <row r="7124">
      <c r="D7124" t="str">
        <f>IFERROR(__xludf.DUMMYFUNCTION("""COMPUTED_VALUE"""),"Averett")</f>
        <v>Averett</v>
      </c>
      <c r="E7124" t="str">
        <f>IFERROR(__xludf.DUMMYFUNCTION("""COMPUTED_VALUE"""),"Anthony")</f>
        <v>Anthony</v>
      </c>
      <c r="F7124" t="str">
        <f>IFERROR(__xludf.DUMMYFUNCTION("""COMPUTED_VALUE"""),"CB")</f>
        <v>CB</v>
      </c>
      <c r="G7124" t="str">
        <f>IFERROR(__xludf.DUMMYFUNCTION("""COMPUTED_VALUE"""),"")</f>
        <v/>
      </c>
    </row>
    <row r="7125">
      <c r="D7125" t="str">
        <f>IFERROR(__xludf.DUMMYFUNCTION("""COMPUTED_VALUE"""),"Avery")</f>
        <v>Avery</v>
      </c>
      <c r="E7125" t="str">
        <f>IFERROR(__xludf.DUMMYFUNCTION("""COMPUTED_VALUE"""),"Genard")</f>
        <v>Genard</v>
      </c>
      <c r="F7125" t="str">
        <f>IFERROR(__xludf.DUMMYFUNCTION("""COMPUTED_VALUE"""),"LOLB")</f>
        <v>LOLB</v>
      </c>
      <c r="G7125" t="str">
        <f>IFERROR(__xludf.DUMMYFUNCTION("""COMPUTED_VALUE"""),"")</f>
        <v/>
      </c>
    </row>
    <row r="7126">
      <c r="D7126" t="str">
        <f>IFERROR(__xludf.DUMMYFUNCTION("""COMPUTED_VALUE"""),"Awuzie")</f>
        <v>Awuzie</v>
      </c>
      <c r="E7126" t="str">
        <f>IFERROR(__xludf.DUMMYFUNCTION("""COMPUTED_VALUE"""),"Chidobe")</f>
        <v>Chidobe</v>
      </c>
      <c r="F7126" t="str">
        <f>IFERROR(__xludf.DUMMYFUNCTION("""COMPUTED_VALUE"""),"CB")</f>
        <v>CB</v>
      </c>
      <c r="G7126" t="str">
        <f>IFERROR(__xludf.DUMMYFUNCTION("""COMPUTED_VALUE"""),"")</f>
        <v/>
      </c>
    </row>
    <row r="7127">
      <c r="D7127" t="str">
        <f>IFERROR(__xludf.DUMMYFUNCTION("""COMPUTED_VALUE"""),"Bademosi")</f>
        <v>Bademosi</v>
      </c>
      <c r="E7127" t="str">
        <f>IFERROR(__xludf.DUMMYFUNCTION("""COMPUTED_VALUE"""),"Johnson")</f>
        <v>Johnson</v>
      </c>
      <c r="F7127" t="str">
        <f>IFERROR(__xludf.DUMMYFUNCTION("""COMPUTED_VALUE"""),"CB")</f>
        <v>CB</v>
      </c>
      <c r="G7127" t="str">
        <f>IFERROR(__xludf.DUMMYFUNCTION("""COMPUTED_VALUE"""),"")</f>
        <v/>
      </c>
    </row>
    <row r="7128">
      <c r="D7128" t="str">
        <f>IFERROR(__xludf.DUMMYFUNCTION("""COMPUTED_VALUE"""),"Badgley")</f>
        <v>Badgley</v>
      </c>
      <c r="E7128" t="str">
        <f>IFERROR(__xludf.DUMMYFUNCTION("""COMPUTED_VALUE"""),"Michael")</f>
        <v>Michael</v>
      </c>
      <c r="F7128" t="str">
        <f>IFERROR(__xludf.DUMMYFUNCTION("""COMPUTED_VALUE"""),"K")</f>
        <v>K</v>
      </c>
      <c r="G7128" t="str">
        <f>IFERROR(__xludf.DUMMYFUNCTION("""COMPUTED_VALUE"""),"")</f>
        <v/>
      </c>
    </row>
    <row r="7129">
      <c r="D7129" t="str">
        <f>IFERROR(__xludf.DUMMYFUNCTION("""COMPUTED_VALUE"""),"Bailey")</f>
        <v>Bailey</v>
      </c>
      <c r="E7129" t="str">
        <f>IFERROR(__xludf.DUMMYFUNCTION("""COMPUTED_VALUE"""),"Dan")</f>
        <v>Dan</v>
      </c>
      <c r="F7129" t="str">
        <f>IFERROR(__xludf.DUMMYFUNCTION("""COMPUTED_VALUE"""),"K")</f>
        <v>K</v>
      </c>
      <c r="G7129" t="str">
        <f>IFERROR(__xludf.DUMMYFUNCTION("""COMPUTED_VALUE"""),"")</f>
        <v/>
      </c>
    </row>
    <row r="7130">
      <c r="D7130" t="str">
        <f>IFERROR(__xludf.DUMMYFUNCTION("""COMPUTED_VALUE"""),"Bailey")</f>
        <v>Bailey</v>
      </c>
      <c r="E7130" t="str">
        <f>IFERROR(__xludf.DUMMYFUNCTION("""COMPUTED_VALUE"""),"Jake")</f>
        <v>Jake</v>
      </c>
      <c r="F7130" t="str">
        <f>IFERROR(__xludf.DUMMYFUNCTION("""COMPUTED_VALUE"""),"P")</f>
        <v>P</v>
      </c>
      <c r="G7130" t="str">
        <f>IFERROR(__xludf.DUMMYFUNCTION("""COMPUTED_VALUE"""),"")</f>
        <v/>
      </c>
    </row>
    <row r="7131">
      <c r="D7131" t="str">
        <f>IFERROR(__xludf.DUMMYFUNCTION("""COMPUTED_VALUE"""),"Bailey")</f>
        <v>Bailey</v>
      </c>
      <c r="E7131" t="str">
        <f>IFERROR(__xludf.DUMMYFUNCTION("""COMPUTED_VALUE"""),"Zack")</f>
        <v>Zack</v>
      </c>
      <c r="F7131" t="str">
        <f>IFERROR(__xludf.DUMMYFUNCTION("""COMPUTED_VALUE"""),"LG")</f>
        <v>LG</v>
      </c>
      <c r="G7131" t="str">
        <f>IFERROR(__xludf.DUMMYFUNCTION("""COMPUTED_VALUE"""),"")</f>
        <v/>
      </c>
    </row>
    <row r="7132">
      <c r="D7132" t="str">
        <f>IFERROR(__xludf.DUMMYFUNCTION("""COMPUTED_VALUE"""),"Baity")</f>
        <v>Baity</v>
      </c>
      <c r="E7132" t="str">
        <f>IFERROR(__xludf.DUMMYFUNCTION("""COMPUTED_VALUE"""),"Derrick")</f>
        <v>Derrick</v>
      </c>
      <c r="F7132" t="str">
        <f>IFERROR(__xludf.DUMMYFUNCTION("""COMPUTED_VALUE"""),"CB")</f>
        <v>CB</v>
      </c>
      <c r="G7132" t="str">
        <f>IFERROR(__xludf.DUMMYFUNCTION("""COMPUTED_VALUE"""),"")</f>
        <v/>
      </c>
    </row>
    <row r="7133">
      <c r="D7133" t="str">
        <f>IFERROR(__xludf.DUMMYFUNCTION("""COMPUTED_VALUE"""),"Baker")</f>
        <v>Baker</v>
      </c>
      <c r="E7133" t="str">
        <f>IFERROR(__xludf.DUMMYFUNCTION("""COMPUTED_VALUE"""),"Budda")</f>
        <v>Budda</v>
      </c>
      <c r="F7133" t="str">
        <f>IFERROR(__xludf.DUMMYFUNCTION("""COMPUTED_VALUE"""),"FS")</f>
        <v>FS</v>
      </c>
      <c r="G7133" t="str">
        <f>IFERROR(__xludf.DUMMYFUNCTION("""COMPUTED_VALUE"""),"")</f>
        <v/>
      </c>
    </row>
    <row r="7134">
      <c r="D7134" t="str">
        <f>IFERROR(__xludf.DUMMYFUNCTION("""COMPUTED_VALUE"""),"Baker")</f>
        <v>Baker</v>
      </c>
      <c r="E7134" t="str">
        <f>IFERROR(__xludf.DUMMYFUNCTION("""COMPUTED_VALUE"""),"DeAndre")</f>
        <v>DeAndre</v>
      </c>
      <c r="F7134" t="str">
        <f>IFERROR(__xludf.DUMMYFUNCTION("""COMPUTED_VALUE"""),"CB")</f>
        <v>CB</v>
      </c>
      <c r="G7134" t="str">
        <f>IFERROR(__xludf.DUMMYFUNCTION("""COMPUTED_VALUE"""),"")</f>
        <v/>
      </c>
    </row>
    <row r="7135">
      <c r="D7135" t="str">
        <f>IFERROR(__xludf.DUMMYFUNCTION("""COMPUTED_VALUE"""),"Baker")</f>
        <v>Baker</v>
      </c>
      <c r="E7135" t="str">
        <f>IFERROR(__xludf.DUMMYFUNCTION("""COMPUTED_VALUE"""),"Jerome")</f>
        <v>Jerome</v>
      </c>
      <c r="F7135" t="str">
        <f>IFERROR(__xludf.DUMMYFUNCTION("""COMPUTED_VALUE"""),"LOLB")</f>
        <v>LOLB</v>
      </c>
      <c r="G7135" t="str">
        <f>IFERROR(__xludf.DUMMYFUNCTION("""COMPUTED_VALUE"""),"")</f>
        <v/>
      </c>
    </row>
    <row r="7136">
      <c r="D7136" t="str">
        <f>IFERROR(__xludf.DUMMYFUNCTION("""COMPUTED_VALUE"""),"Bakhtiari")</f>
        <v>Bakhtiari</v>
      </c>
      <c r="E7136" t="str">
        <f>IFERROR(__xludf.DUMMYFUNCTION("""COMPUTED_VALUE"""),"David")</f>
        <v>David</v>
      </c>
      <c r="F7136" t="str">
        <f>IFERROR(__xludf.DUMMYFUNCTION("""COMPUTED_VALUE"""),"LT")</f>
        <v>LT</v>
      </c>
      <c r="G7136" t="str">
        <f>IFERROR(__xludf.DUMMYFUNCTION("""COMPUTED_VALUE"""),"")</f>
        <v/>
      </c>
    </row>
    <row r="7137">
      <c r="D7137" t="str">
        <f>IFERROR(__xludf.DUMMYFUNCTION("""COMPUTED_VALUE"""),"Ballage")</f>
        <v>Ballage</v>
      </c>
      <c r="E7137" t="str">
        <f>IFERROR(__xludf.DUMMYFUNCTION("""COMPUTED_VALUE"""),"Kalen")</f>
        <v>Kalen</v>
      </c>
      <c r="F7137" t="str">
        <f>IFERROR(__xludf.DUMMYFUNCTION("""COMPUTED_VALUE"""),"HB")</f>
        <v>HB</v>
      </c>
      <c r="G7137" t="str">
        <f>IFERROR(__xludf.DUMMYFUNCTION("""COMPUTED_VALUE"""),"")</f>
        <v/>
      </c>
    </row>
    <row r="7138">
      <c r="D7138" t="str">
        <f>IFERROR(__xludf.DUMMYFUNCTION("""COMPUTED_VALUE"""),"Ballentine")</f>
        <v>Ballentine</v>
      </c>
      <c r="E7138" t="str">
        <f>IFERROR(__xludf.DUMMYFUNCTION("""COMPUTED_VALUE"""),"Corey")</f>
        <v>Corey</v>
      </c>
      <c r="F7138" t="str">
        <f>IFERROR(__xludf.DUMMYFUNCTION("""COMPUTED_VALUE"""),"CB")</f>
        <v>CB</v>
      </c>
      <c r="G7138" t="str">
        <f>IFERROR(__xludf.DUMMYFUNCTION("""COMPUTED_VALUE"""),"")</f>
        <v/>
      </c>
    </row>
    <row r="7139">
      <c r="D7139" t="str">
        <f>IFERROR(__xludf.DUMMYFUNCTION("""COMPUTED_VALUE"""),"Banjo")</f>
        <v>Banjo</v>
      </c>
      <c r="E7139" t="str">
        <f>IFERROR(__xludf.DUMMYFUNCTION("""COMPUTED_VALUE"""),"Chris")</f>
        <v>Chris</v>
      </c>
      <c r="F7139" t="str">
        <f>IFERROR(__xludf.DUMMYFUNCTION("""COMPUTED_VALUE"""),"FS")</f>
        <v>FS</v>
      </c>
      <c r="G7139" t="str">
        <f>IFERROR(__xludf.DUMMYFUNCTION("""COMPUTED_VALUE"""),"")</f>
        <v/>
      </c>
    </row>
    <row r="7140">
      <c r="D7140" t="str">
        <f>IFERROR(__xludf.DUMMYFUNCTION("""COMPUTED_VALUE"""),"Banner")</f>
        <v>Banner</v>
      </c>
      <c r="E7140" t="str">
        <f>IFERROR(__xludf.DUMMYFUNCTION("""COMPUTED_VALUE"""),"Zach")</f>
        <v>Zach</v>
      </c>
      <c r="F7140" t="str">
        <f>IFERROR(__xludf.DUMMYFUNCTION("""COMPUTED_VALUE"""),"RT")</f>
        <v>RT</v>
      </c>
      <c r="G7140" t="str">
        <f>IFERROR(__xludf.DUMMYFUNCTION("""COMPUTED_VALUE"""),"")</f>
        <v/>
      </c>
    </row>
    <row r="7141">
      <c r="D7141" t="str">
        <f>IFERROR(__xludf.DUMMYFUNCTION("""COMPUTED_VALUE"""),"Banogu")</f>
        <v>Banogu</v>
      </c>
      <c r="E7141" t="str">
        <f>IFERROR(__xludf.DUMMYFUNCTION("""COMPUTED_VALUE"""),"Ben")</f>
        <v>Ben</v>
      </c>
      <c r="F7141" t="str">
        <f>IFERROR(__xludf.DUMMYFUNCTION("""COMPUTED_VALUE"""),"LE")</f>
        <v>LE</v>
      </c>
      <c r="G7141" t="str">
        <f>IFERROR(__xludf.DUMMYFUNCTION("""COMPUTED_VALUE"""),"")</f>
        <v/>
      </c>
    </row>
    <row r="7142">
      <c r="D7142" t="str">
        <f>IFERROR(__xludf.DUMMYFUNCTION("""COMPUTED_VALUE"""),"Barber")</f>
        <v>Barber</v>
      </c>
      <c r="E7142" t="str">
        <f>IFERROR(__xludf.DUMMYFUNCTION("""COMPUTED_VALUE"""),"Peyton")</f>
        <v>Peyton</v>
      </c>
      <c r="F7142" t="str">
        <f>IFERROR(__xludf.DUMMYFUNCTION("""COMPUTED_VALUE"""),"HB")</f>
        <v>HB</v>
      </c>
      <c r="G7142" t="str">
        <f>IFERROR(__xludf.DUMMYFUNCTION("""COMPUTED_VALUE"""),"")</f>
        <v/>
      </c>
    </row>
    <row r="7143">
      <c r="D7143" t="str">
        <f>IFERROR(__xludf.DUMMYFUNCTION("""COMPUTED_VALUE"""),"Barclay")</f>
        <v>Barclay</v>
      </c>
      <c r="E7143" t="str">
        <f>IFERROR(__xludf.DUMMYFUNCTION("""COMPUTED_VALUE"""),"Don")</f>
        <v>Don</v>
      </c>
      <c r="F7143" t="str">
        <f>IFERROR(__xludf.DUMMYFUNCTION("""COMPUTED_VALUE"""),"LG")</f>
        <v>LG</v>
      </c>
      <c r="G7143" t="str">
        <f>IFERROR(__xludf.DUMMYFUNCTION("""COMPUTED_VALUE"""),"")</f>
        <v/>
      </c>
    </row>
    <row r="7144">
      <c r="D7144" t="str">
        <f>IFERROR(__xludf.DUMMYFUNCTION("""COMPUTED_VALUE"""),"Barkley")</f>
        <v>Barkley</v>
      </c>
      <c r="E7144" t="str">
        <f>IFERROR(__xludf.DUMMYFUNCTION("""COMPUTED_VALUE"""),"Matt")</f>
        <v>Matt</v>
      </c>
      <c r="F7144" t="str">
        <f>IFERROR(__xludf.DUMMYFUNCTION("""COMPUTED_VALUE"""),"QB")</f>
        <v>QB</v>
      </c>
      <c r="G7144" t="str">
        <f>IFERROR(__xludf.DUMMYFUNCTION("""COMPUTED_VALUE"""),"")</f>
        <v/>
      </c>
    </row>
    <row r="7145">
      <c r="D7145" t="str">
        <f>IFERROR(__xludf.DUMMYFUNCTION("""COMPUTED_VALUE"""),"Barkley")</f>
        <v>Barkley</v>
      </c>
      <c r="E7145" t="str">
        <f>IFERROR(__xludf.DUMMYFUNCTION("""COMPUTED_VALUE"""),"Saquon")</f>
        <v>Saquon</v>
      </c>
      <c r="F7145" t="str">
        <f>IFERROR(__xludf.DUMMYFUNCTION("""COMPUTED_VALUE"""),"HB")</f>
        <v>HB</v>
      </c>
      <c r="G7145" t="str">
        <f>IFERROR(__xludf.DUMMYFUNCTION("""COMPUTED_VALUE"""),"")</f>
        <v/>
      </c>
    </row>
    <row r="7146">
      <c r="D7146" t="str">
        <f>IFERROR(__xludf.DUMMYFUNCTION("""COMPUTED_VALUE"""),"Barner")</f>
        <v>Barner</v>
      </c>
      <c r="E7146" t="str">
        <f>IFERROR(__xludf.DUMMYFUNCTION("""COMPUTED_VALUE"""),"Kenjon")</f>
        <v>Kenjon</v>
      </c>
      <c r="F7146" t="str">
        <f>IFERROR(__xludf.DUMMYFUNCTION("""COMPUTED_VALUE"""),"HB")</f>
        <v>HB</v>
      </c>
      <c r="G7146" t="str">
        <f>IFERROR(__xludf.DUMMYFUNCTION("""COMPUTED_VALUE"""),"")</f>
        <v/>
      </c>
    </row>
    <row r="7147">
      <c r="D7147" t="str">
        <f>IFERROR(__xludf.DUMMYFUNCTION("""COMPUTED_VALUE"""),"Barnes")</f>
        <v>Barnes</v>
      </c>
      <c r="E7147" t="str">
        <f>IFERROR(__xludf.DUMMYFUNCTION("""COMPUTED_VALUE"""),"Alex")</f>
        <v>Alex</v>
      </c>
      <c r="F7147" t="str">
        <f>IFERROR(__xludf.DUMMYFUNCTION("""COMPUTED_VALUE"""),"HB")</f>
        <v>HB</v>
      </c>
      <c r="G7147" t="str">
        <f>IFERROR(__xludf.DUMMYFUNCTION("""COMPUTED_VALUE"""),"")</f>
        <v/>
      </c>
    </row>
    <row r="7148">
      <c r="D7148" t="str">
        <f>IFERROR(__xludf.DUMMYFUNCTION("""COMPUTED_VALUE"""),"Barnett")</f>
        <v>Barnett</v>
      </c>
      <c r="E7148" t="str">
        <f>IFERROR(__xludf.DUMMYFUNCTION("""COMPUTED_VALUE"""),"Derek")</f>
        <v>Derek</v>
      </c>
      <c r="F7148" t="str">
        <f>IFERROR(__xludf.DUMMYFUNCTION("""COMPUTED_VALUE"""),"LE")</f>
        <v>LE</v>
      </c>
      <c r="G7148" t="str">
        <f>IFERROR(__xludf.DUMMYFUNCTION("""COMPUTED_VALUE"""),"")</f>
        <v/>
      </c>
    </row>
    <row r="7149">
      <c r="D7149" t="str">
        <f>IFERROR(__xludf.DUMMYFUNCTION("""COMPUTED_VALUE"""),"Barr")</f>
        <v>Barr</v>
      </c>
      <c r="E7149" t="str">
        <f>IFERROR(__xludf.DUMMYFUNCTION("""COMPUTED_VALUE"""),"Anthony")</f>
        <v>Anthony</v>
      </c>
      <c r="F7149" t="str">
        <f>IFERROR(__xludf.DUMMYFUNCTION("""COMPUTED_VALUE"""),"LOLB")</f>
        <v>LOLB</v>
      </c>
      <c r="G7149" t="str">
        <f>IFERROR(__xludf.DUMMYFUNCTION("""COMPUTED_VALUE"""),"")</f>
        <v/>
      </c>
    </row>
    <row r="7150">
      <c r="D7150" t="str">
        <f>IFERROR(__xludf.DUMMYFUNCTION("""COMPUTED_VALUE"""),"Barrett")</f>
        <v>Barrett</v>
      </c>
      <c r="E7150" t="str">
        <f>IFERROR(__xludf.DUMMYFUNCTION("""COMPUTED_VALUE"""),"Alex")</f>
        <v>Alex</v>
      </c>
      <c r="F7150" t="str">
        <f>IFERROR(__xludf.DUMMYFUNCTION("""COMPUTED_VALUE"""),"RE")</f>
        <v>RE</v>
      </c>
      <c r="G7150" t="str">
        <f>IFERROR(__xludf.DUMMYFUNCTION("""COMPUTED_VALUE"""),"")</f>
        <v/>
      </c>
    </row>
    <row r="7151">
      <c r="D7151" t="str">
        <f>IFERROR(__xludf.DUMMYFUNCTION("""COMPUTED_VALUE"""),"Barrett")</f>
        <v>Barrett</v>
      </c>
      <c r="E7151" t="str">
        <f>IFERROR(__xludf.DUMMYFUNCTION("""COMPUTED_VALUE"""),"JT")</f>
        <v>JT</v>
      </c>
      <c r="F7151" t="str">
        <f>IFERROR(__xludf.DUMMYFUNCTION("""COMPUTED_VALUE"""),"QB")</f>
        <v>QB</v>
      </c>
      <c r="G7151" t="str">
        <f>IFERROR(__xludf.DUMMYFUNCTION("""COMPUTED_VALUE"""),"")</f>
        <v/>
      </c>
    </row>
    <row r="7152">
      <c r="D7152" t="str">
        <f>IFERROR(__xludf.DUMMYFUNCTION("""COMPUTED_VALUE"""),"Barrett")</f>
        <v>Barrett</v>
      </c>
      <c r="E7152" t="str">
        <f>IFERROR(__xludf.DUMMYFUNCTION("""COMPUTED_VALUE"""),"Shaquil")</f>
        <v>Shaquil</v>
      </c>
      <c r="F7152" t="str">
        <f>IFERROR(__xludf.DUMMYFUNCTION("""COMPUTED_VALUE"""),"LOLB")</f>
        <v>LOLB</v>
      </c>
      <c r="G7152" t="str">
        <f>IFERROR(__xludf.DUMMYFUNCTION("""COMPUTED_VALUE"""),"")</f>
        <v/>
      </c>
    </row>
    <row r="7153">
      <c r="D7153" t="str">
        <f>IFERROR(__xludf.DUMMYFUNCTION("""COMPUTED_VALUE"""),"Barron")</f>
        <v>Barron</v>
      </c>
      <c r="E7153" t="str">
        <f>IFERROR(__xludf.DUMMYFUNCTION("""COMPUTED_VALUE"""),"Mark")</f>
        <v>Mark</v>
      </c>
      <c r="F7153" t="str">
        <f>IFERROR(__xludf.DUMMYFUNCTION("""COMPUTED_VALUE"""),"MLB")</f>
        <v>MLB</v>
      </c>
      <c r="G7153" t="str">
        <f>IFERROR(__xludf.DUMMYFUNCTION("""COMPUTED_VALUE"""),"")</f>
        <v/>
      </c>
    </row>
    <row r="7154">
      <c r="D7154" t="str">
        <f>IFERROR(__xludf.DUMMYFUNCTION("""COMPUTED_VALUE"""),"Bars")</f>
        <v>Bars</v>
      </c>
      <c r="E7154" t="str">
        <f>IFERROR(__xludf.DUMMYFUNCTION("""COMPUTED_VALUE"""),"Alex")</f>
        <v>Alex</v>
      </c>
      <c r="F7154" t="str">
        <f>IFERROR(__xludf.DUMMYFUNCTION("""COMPUTED_VALUE"""),"LG")</f>
        <v>LG</v>
      </c>
      <c r="G7154" t="str">
        <f>IFERROR(__xludf.DUMMYFUNCTION("""COMPUTED_VALUE"""),"")</f>
        <v/>
      </c>
    </row>
    <row r="7155">
      <c r="D7155" t="str">
        <f>IFERROR(__xludf.DUMMYFUNCTION("""COMPUTED_VALUE"""),"Barton")</f>
        <v>Barton</v>
      </c>
      <c r="E7155" t="str">
        <f>IFERROR(__xludf.DUMMYFUNCTION("""COMPUTED_VALUE"""),"Cody")</f>
        <v>Cody</v>
      </c>
      <c r="F7155" t="str">
        <f>IFERROR(__xludf.DUMMYFUNCTION("""COMPUTED_VALUE"""),"LOLB")</f>
        <v>LOLB</v>
      </c>
      <c r="G7155" t="str">
        <f>IFERROR(__xludf.DUMMYFUNCTION("""COMPUTED_VALUE"""),"")</f>
        <v/>
      </c>
    </row>
    <row r="7156">
      <c r="D7156" t="str">
        <f>IFERROR(__xludf.DUMMYFUNCTION("""COMPUTED_VALUE"""),"Barton")</f>
        <v>Barton</v>
      </c>
      <c r="E7156" t="str">
        <f>IFERROR(__xludf.DUMMYFUNCTION("""COMPUTED_VALUE"""),"Jackson")</f>
        <v>Jackson</v>
      </c>
      <c r="F7156" t="str">
        <f>IFERROR(__xludf.DUMMYFUNCTION("""COMPUTED_VALUE"""),"LT")</f>
        <v>LT</v>
      </c>
      <c r="G7156" t="str">
        <f>IFERROR(__xludf.DUMMYFUNCTION("""COMPUTED_VALUE"""),"")</f>
        <v/>
      </c>
    </row>
    <row r="7157">
      <c r="D7157" t="str">
        <f>IFERROR(__xludf.DUMMYFUNCTION("""COMPUTED_VALUE"""),"Basham")</f>
        <v>Basham</v>
      </c>
      <c r="E7157" t="str">
        <f>IFERROR(__xludf.DUMMYFUNCTION("""COMPUTED_VALUE"""),"Tarell")</f>
        <v>Tarell</v>
      </c>
      <c r="F7157" t="str">
        <f>IFERROR(__xludf.DUMMYFUNCTION("""COMPUTED_VALUE"""),"LOLB")</f>
        <v>LOLB</v>
      </c>
      <c r="G7157" t="str">
        <f>IFERROR(__xludf.DUMMYFUNCTION("""COMPUTED_VALUE"""),"")</f>
        <v/>
      </c>
    </row>
    <row r="7158">
      <c r="D7158" t="str">
        <f>IFERROR(__xludf.DUMMYFUNCTION("""COMPUTED_VALUE"""),"Bates")</f>
        <v>Bates</v>
      </c>
      <c r="E7158" t="str">
        <f>IFERROR(__xludf.DUMMYFUNCTION("""COMPUTED_VALUE"""),"Daren")</f>
        <v>Daren</v>
      </c>
      <c r="F7158" t="str">
        <f>IFERROR(__xludf.DUMMYFUNCTION("""COMPUTED_VALUE"""),"MLB")</f>
        <v>MLB</v>
      </c>
      <c r="G7158" t="str">
        <f>IFERROR(__xludf.DUMMYFUNCTION("""COMPUTED_VALUE"""),"")</f>
        <v/>
      </c>
    </row>
    <row r="7159">
      <c r="D7159" t="str">
        <f>IFERROR(__xludf.DUMMYFUNCTION("""COMPUTED_VALUE"""),"Bates")</f>
        <v>Bates</v>
      </c>
      <c r="E7159" t="str">
        <f>IFERROR(__xludf.DUMMYFUNCTION("""COMPUTED_VALUE"""),"Jessie")</f>
        <v>Jessie</v>
      </c>
      <c r="F7159" t="str">
        <f>IFERROR(__xludf.DUMMYFUNCTION("""COMPUTED_VALUE"""),"FS")</f>
        <v>FS</v>
      </c>
      <c r="G7159" t="str">
        <f>IFERROR(__xludf.DUMMYFUNCTION("""COMPUTED_VALUE"""),"")</f>
        <v/>
      </c>
    </row>
    <row r="7160">
      <c r="D7160" t="str">
        <f>IFERROR(__xludf.DUMMYFUNCTION("""COMPUTED_VALUE"""),"Batson")</f>
        <v>Batson</v>
      </c>
      <c r="E7160" t="str">
        <f>IFERROR(__xludf.DUMMYFUNCTION("""COMPUTED_VALUE"""),"Cameron")</f>
        <v>Cameron</v>
      </c>
      <c r="F7160" t="str">
        <f>IFERROR(__xludf.DUMMYFUNCTION("""COMPUTED_VALUE"""),"WR")</f>
        <v>WR</v>
      </c>
      <c r="G7160" t="str">
        <f>IFERROR(__xludf.DUMMYFUNCTION("""COMPUTED_VALUE"""),"")</f>
        <v/>
      </c>
    </row>
    <row r="7161">
      <c r="D7161" t="str">
        <f>IFERROR(__xludf.DUMMYFUNCTION("""COMPUTED_VALUE"""),"Bausby")</f>
        <v>Bausby</v>
      </c>
      <c r="E7161" t="str">
        <f>IFERROR(__xludf.DUMMYFUNCTION("""COMPUTED_VALUE"""),"DeVante")</f>
        <v>DeVante</v>
      </c>
      <c r="F7161" t="str">
        <f>IFERROR(__xludf.DUMMYFUNCTION("""COMPUTED_VALUE"""),"CB")</f>
        <v>CB</v>
      </c>
      <c r="G7161" t="str">
        <f>IFERROR(__xludf.DUMMYFUNCTION("""COMPUTED_VALUE"""),"")</f>
        <v/>
      </c>
    </row>
    <row r="7162">
      <c r="D7162" t="str">
        <f>IFERROR(__xludf.DUMMYFUNCTION("""COMPUTED_VALUE"""),"Bawden")</f>
        <v>Bawden</v>
      </c>
      <c r="E7162" t="str">
        <f>IFERROR(__xludf.DUMMYFUNCTION("""COMPUTED_VALUE"""),"Nick")</f>
        <v>Nick</v>
      </c>
      <c r="F7162" t="str">
        <f>IFERROR(__xludf.DUMMYFUNCTION("""COMPUTED_VALUE"""),"FB")</f>
        <v>FB</v>
      </c>
      <c r="G7162" t="str">
        <f>IFERROR(__xludf.DUMMYFUNCTION("""COMPUTED_VALUE"""),"")</f>
        <v/>
      </c>
    </row>
    <row r="7163">
      <c r="D7163" t="str">
        <f>IFERROR(__xludf.DUMMYFUNCTION("""COMPUTED_VALUE"""),"Baylis")</f>
        <v>Baylis</v>
      </c>
      <c r="E7163" t="str">
        <f>IFERROR(__xludf.DUMMYFUNCTION("""COMPUTED_VALUE"""),"Evan")</f>
        <v>Evan</v>
      </c>
      <c r="F7163" t="str">
        <f>IFERROR(__xludf.DUMMYFUNCTION("""COMPUTED_VALUE"""),"TE")</f>
        <v>TE</v>
      </c>
      <c r="G7163" t="str">
        <f>IFERROR(__xludf.DUMMYFUNCTION("""COMPUTED_VALUE"""),"")</f>
        <v/>
      </c>
    </row>
    <row r="7164">
      <c r="D7164" t="str">
        <f>IFERROR(__xludf.DUMMYFUNCTION("""COMPUTED_VALUE"""),"Beachum")</f>
        <v>Beachum</v>
      </c>
      <c r="E7164" t="str">
        <f>IFERROR(__xludf.DUMMYFUNCTION("""COMPUTED_VALUE"""),"Kelvin")</f>
        <v>Kelvin</v>
      </c>
      <c r="F7164" t="str">
        <f>IFERROR(__xludf.DUMMYFUNCTION("""COMPUTED_VALUE"""),"LT")</f>
        <v>LT</v>
      </c>
      <c r="G7164" t="str">
        <f>IFERROR(__xludf.DUMMYFUNCTION("""COMPUTED_VALUE"""),"")</f>
        <v/>
      </c>
    </row>
    <row r="7165">
      <c r="D7165" t="str">
        <f>IFERROR(__xludf.DUMMYFUNCTION("""COMPUTED_VALUE"""),"Beal")</f>
        <v>Beal</v>
      </c>
      <c r="E7165" t="str">
        <f>IFERROR(__xludf.DUMMYFUNCTION("""COMPUTED_VALUE"""),"Sam")</f>
        <v>Sam</v>
      </c>
      <c r="F7165" t="str">
        <f>IFERROR(__xludf.DUMMYFUNCTION("""COMPUTED_VALUE"""),"CB")</f>
        <v>CB</v>
      </c>
      <c r="G7165" t="str">
        <f>IFERROR(__xludf.DUMMYFUNCTION("""COMPUTED_VALUE"""),"")</f>
        <v/>
      </c>
    </row>
    <row r="7166">
      <c r="D7166" t="str">
        <f>IFERROR(__xludf.DUMMYFUNCTION("""COMPUTED_VALUE"""),"Beasley")</f>
        <v>Beasley</v>
      </c>
      <c r="E7166" t="str">
        <f>IFERROR(__xludf.DUMMYFUNCTION("""COMPUTED_VALUE"""),"Cole")</f>
        <v>Cole</v>
      </c>
      <c r="F7166" t="str">
        <f>IFERROR(__xludf.DUMMYFUNCTION("""COMPUTED_VALUE"""),"WR")</f>
        <v>WR</v>
      </c>
      <c r="G7166" t="str">
        <f>IFERROR(__xludf.DUMMYFUNCTION("""COMPUTED_VALUE"""),"")</f>
        <v/>
      </c>
    </row>
    <row r="7167">
      <c r="D7167" t="str">
        <f>IFERROR(__xludf.DUMMYFUNCTION("""COMPUTED_VALUE"""),"Beasley")</f>
        <v>Beasley</v>
      </c>
      <c r="E7167" t="str">
        <f>IFERROR(__xludf.DUMMYFUNCTION("""COMPUTED_VALUE"""),"Vic")</f>
        <v>Vic</v>
      </c>
      <c r="F7167" t="str">
        <f>IFERROR(__xludf.DUMMYFUNCTION("""COMPUTED_VALUE"""),"LE")</f>
        <v>LE</v>
      </c>
      <c r="G7167" t="str">
        <f>IFERROR(__xludf.DUMMYFUNCTION("""COMPUTED_VALUE"""),"")</f>
        <v/>
      </c>
    </row>
    <row r="7168">
      <c r="D7168" t="str">
        <f>IFERROR(__xludf.DUMMYFUNCTION("""COMPUTED_VALUE"""),"Beathard")</f>
        <v>Beathard</v>
      </c>
      <c r="E7168" t="str">
        <f>IFERROR(__xludf.DUMMYFUNCTION("""COMPUTED_VALUE"""),"CJ")</f>
        <v>CJ</v>
      </c>
      <c r="F7168" t="str">
        <f>IFERROR(__xludf.DUMMYFUNCTION("""COMPUTED_VALUE"""),"QB")</f>
        <v>QB</v>
      </c>
      <c r="G7168" t="str">
        <f>IFERROR(__xludf.DUMMYFUNCTION("""COMPUTED_VALUE"""),"")</f>
        <v/>
      </c>
    </row>
    <row r="7169">
      <c r="D7169" t="str">
        <f>IFERROR(__xludf.DUMMYFUNCTION("""COMPUTED_VALUE"""),"Beavers")</f>
        <v>Beavers</v>
      </c>
      <c r="E7169" t="str">
        <f>IFERROR(__xludf.DUMMYFUNCTION("""COMPUTED_VALUE"""),"Willie")</f>
        <v>Willie</v>
      </c>
      <c r="F7169" t="str">
        <f>IFERROR(__xludf.DUMMYFUNCTION("""COMPUTED_VALUE"""),"RT")</f>
        <v>RT</v>
      </c>
      <c r="G7169" t="str">
        <f>IFERROR(__xludf.DUMMYFUNCTION("""COMPUTED_VALUE"""),"")</f>
        <v/>
      </c>
    </row>
    <row r="7170">
      <c r="D7170" t="str">
        <f>IFERROR(__xludf.DUMMYFUNCTION("""COMPUTED_VALUE"""),"Beckham")</f>
        <v>Beckham</v>
      </c>
      <c r="E7170" t="str">
        <f>IFERROR(__xludf.DUMMYFUNCTION("""COMPUTED_VALUE"""),"Odell")</f>
        <v>Odell</v>
      </c>
      <c r="F7170" t="str">
        <f>IFERROR(__xludf.DUMMYFUNCTION("""COMPUTED_VALUE"""),"WR")</f>
        <v>WR</v>
      </c>
      <c r="G7170" t="str">
        <f>IFERROR(__xludf.DUMMYFUNCTION("""COMPUTED_VALUE"""),"")</f>
        <v/>
      </c>
    </row>
    <row r="7171">
      <c r="D7171" t="str">
        <f>IFERROR(__xludf.DUMMYFUNCTION("""COMPUTED_VALUE"""),"Beckner")</f>
        <v>Beckner</v>
      </c>
      <c r="E7171" t="str">
        <f>IFERROR(__xludf.DUMMYFUNCTION("""COMPUTED_VALUE"""),"Terry")</f>
        <v>Terry</v>
      </c>
      <c r="F7171" t="str">
        <f>IFERROR(__xludf.DUMMYFUNCTION("""COMPUTED_VALUE"""),"LE")</f>
        <v>LE</v>
      </c>
      <c r="G7171" t="str">
        <f>IFERROR(__xludf.DUMMYFUNCTION("""COMPUTED_VALUE"""),"")</f>
        <v/>
      </c>
    </row>
    <row r="7172">
      <c r="D7172" t="str">
        <f>IFERROR(__xludf.DUMMYFUNCTION("""COMPUTED_VALUE"""),"Beckwith")</f>
        <v>Beckwith</v>
      </c>
      <c r="E7172" t="str">
        <f>IFERROR(__xludf.DUMMYFUNCTION("""COMPUTED_VALUE"""),"Kendell")</f>
        <v>Kendell</v>
      </c>
      <c r="F7172" t="str">
        <f>IFERROR(__xludf.DUMMYFUNCTION("""COMPUTED_VALUE"""),"MLB")</f>
        <v>MLB</v>
      </c>
      <c r="G7172" t="str">
        <f>IFERROR(__xludf.DUMMYFUNCTION("""COMPUTED_VALUE"""),"")</f>
        <v/>
      </c>
    </row>
    <row r="7173">
      <c r="D7173" t="str">
        <f>IFERROR(__xludf.DUMMYFUNCTION("""COMPUTED_VALUE"""),"Beebe")</f>
        <v>Beebe</v>
      </c>
      <c r="E7173" t="str">
        <f>IFERROR(__xludf.DUMMYFUNCTION("""COMPUTED_VALUE"""),"Chad")</f>
        <v>Chad</v>
      </c>
      <c r="F7173" t="str">
        <f>IFERROR(__xludf.DUMMYFUNCTION("""COMPUTED_VALUE"""),"WR")</f>
        <v>WR</v>
      </c>
      <c r="G7173" t="str">
        <f>IFERROR(__xludf.DUMMYFUNCTION("""COMPUTED_VALUE"""),"")</f>
        <v/>
      </c>
    </row>
    <row r="7174">
      <c r="D7174" t="str">
        <f>IFERROR(__xludf.DUMMYFUNCTION("""COMPUTED_VALUE"""),"Bell")</f>
        <v>Bell</v>
      </c>
      <c r="E7174" t="str">
        <f>IFERROR(__xludf.DUMMYFUNCTION("""COMPUTED_VALUE"""),"Blake")</f>
        <v>Blake</v>
      </c>
      <c r="F7174" t="str">
        <f>IFERROR(__xludf.DUMMYFUNCTION("""COMPUTED_VALUE"""),"TE")</f>
        <v>TE</v>
      </c>
      <c r="G7174" t="str">
        <f>IFERROR(__xludf.DUMMYFUNCTION("""COMPUTED_VALUE"""),"")</f>
        <v/>
      </c>
    </row>
    <row r="7175">
      <c r="D7175" t="str">
        <f>IFERROR(__xludf.DUMMYFUNCTION("""COMPUTED_VALUE"""),"Bell")</f>
        <v>Bell</v>
      </c>
      <c r="E7175" t="str">
        <f>IFERROR(__xludf.DUMMYFUNCTION("""COMPUTED_VALUE"""),"LeVeon")</f>
        <v>LeVeon</v>
      </c>
      <c r="F7175" t="str">
        <f>IFERROR(__xludf.DUMMYFUNCTION("""COMPUTED_VALUE"""),"HB")</f>
        <v>HB</v>
      </c>
      <c r="G7175" t="str">
        <f>IFERROR(__xludf.DUMMYFUNCTION("""COMPUTED_VALUE"""),"")</f>
        <v/>
      </c>
    </row>
    <row r="7176">
      <c r="D7176" t="str">
        <f>IFERROR(__xludf.DUMMYFUNCTION("""COMPUTED_VALUE"""),"Bell")</f>
        <v>Bell</v>
      </c>
      <c r="E7176" t="str">
        <f>IFERROR(__xludf.DUMMYFUNCTION("""COMPUTED_VALUE"""),"Quinton")</f>
        <v>Quinton</v>
      </c>
      <c r="F7176" t="str">
        <f>IFERROR(__xludf.DUMMYFUNCTION("""COMPUTED_VALUE"""),"RE")</f>
        <v>RE</v>
      </c>
      <c r="G7176" t="str">
        <f>IFERROR(__xludf.DUMMYFUNCTION("""COMPUTED_VALUE"""),"")</f>
        <v/>
      </c>
    </row>
    <row r="7177">
      <c r="D7177" t="str">
        <f>IFERROR(__xludf.DUMMYFUNCTION("""COMPUTED_VALUE"""),"Bell")</f>
        <v>Bell</v>
      </c>
      <c r="E7177" t="str">
        <f>IFERROR(__xludf.DUMMYFUNCTION("""COMPUTED_VALUE"""),"Vonn")</f>
        <v>Vonn</v>
      </c>
      <c r="F7177" t="str">
        <f>IFERROR(__xludf.DUMMYFUNCTION("""COMPUTED_VALUE"""),"SS")</f>
        <v>SS</v>
      </c>
      <c r="G7177" t="str">
        <f>IFERROR(__xludf.DUMMYFUNCTION("""COMPUTED_VALUE"""),"")</f>
        <v/>
      </c>
    </row>
    <row r="7178">
      <c r="D7178" t="str">
        <f>IFERROR(__xludf.DUMMYFUNCTION("""COMPUTED_VALUE"""),"Bellamy")</f>
        <v>Bellamy</v>
      </c>
      <c r="E7178" t="str">
        <f>IFERROR(__xludf.DUMMYFUNCTION("""COMPUTED_VALUE"""),"Davin")</f>
        <v>Davin</v>
      </c>
      <c r="F7178" t="str">
        <f>IFERROR(__xludf.DUMMYFUNCTION("""COMPUTED_VALUE"""),"LOLB")</f>
        <v>LOLB</v>
      </c>
      <c r="G7178" t="str">
        <f>IFERROR(__xludf.DUMMYFUNCTION("""COMPUTED_VALUE"""),"")</f>
        <v/>
      </c>
    </row>
    <row r="7179">
      <c r="D7179" t="str">
        <f>IFERROR(__xludf.DUMMYFUNCTION("""COMPUTED_VALUE"""),"Bellamy")</f>
        <v>Bellamy</v>
      </c>
      <c r="E7179" t="str">
        <f>IFERROR(__xludf.DUMMYFUNCTION("""COMPUTED_VALUE"""),"Josh")</f>
        <v>Josh</v>
      </c>
      <c r="F7179" t="str">
        <f>IFERROR(__xludf.DUMMYFUNCTION("""COMPUTED_VALUE"""),"WR")</f>
        <v>WR</v>
      </c>
      <c r="G7179" t="str">
        <f>IFERROR(__xludf.DUMMYFUNCTION("""COMPUTED_VALUE"""),"")</f>
        <v/>
      </c>
    </row>
    <row r="7180">
      <c r="D7180" t="str">
        <f>IFERROR(__xludf.DUMMYFUNCTION("""COMPUTED_VALUE"""),"Benenoch")</f>
        <v>Benenoch</v>
      </c>
      <c r="E7180" t="str">
        <f>IFERROR(__xludf.DUMMYFUNCTION("""COMPUTED_VALUE"""),"Caleb")</f>
        <v>Caleb</v>
      </c>
      <c r="F7180" t="str">
        <f>IFERROR(__xludf.DUMMYFUNCTION("""COMPUTED_VALUE"""),"RT")</f>
        <v>RT</v>
      </c>
      <c r="G7180" t="str">
        <f>IFERROR(__xludf.DUMMYFUNCTION("""COMPUTED_VALUE"""),"")</f>
        <v/>
      </c>
    </row>
    <row r="7181">
      <c r="D7181" t="str">
        <f>IFERROR(__xludf.DUMMYFUNCTION("""COMPUTED_VALUE"""),"Benjamin")</f>
        <v>Benjamin</v>
      </c>
      <c r="E7181" t="str">
        <f>IFERROR(__xludf.DUMMYFUNCTION("""COMPUTED_VALUE"""),"Travis")</f>
        <v>Travis</v>
      </c>
      <c r="F7181" t="str">
        <f>IFERROR(__xludf.DUMMYFUNCTION("""COMPUTED_VALUE"""),"WR")</f>
        <v>WR</v>
      </c>
      <c r="G7181" t="str">
        <f>IFERROR(__xludf.DUMMYFUNCTION("""COMPUTED_VALUE"""),"")</f>
        <v/>
      </c>
    </row>
    <row r="7182">
      <c r="D7182" t="str">
        <f>IFERROR(__xludf.DUMMYFUNCTION("""COMPUTED_VALUE"""),"Benkert")</f>
        <v>Benkert</v>
      </c>
      <c r="E7182" t="str">
        <f>IFERROR(__xludf.DUMMYFUNCTION("""COMPUTED_VALUE"""),"Kurt")</f>
        <v>Kurt</v>
      </c>
      <c r="F7182" t="str">
        <f>IFERROR(__xludf.DUMMYFUNCTION("""COMPUTED_VALUE"""),"QB")</f>
        <v>QB</v>
      </c>
      <c r="G7182" t="str">
        <f>IFERROR(__xludf.DUMMYFUNCTION("""COMPUTED_VALUE"""),"")</f>
        <v/>
      </c>
    </row>
    <row r="7183">
      <c r="D7183" t="str">
        <f>IFERROR(__xludf.DUMMYFUNCTION("""COMPUTED_VALUE"""),"Bennett")</f>
        <v>Bennett</v>
      </c>
      <c r="E7183" t="str">
        <f>IFERROR(__xludf.DUMMYFUNCTION("""COMPUTED_VALUE"""),"Michael")</f>
        <v>Michael</v>
      </c>
      <c r="F7183" t="str">
        <f>IFERROR(__xludf.DUMMYFUNCTION("""COMPUTED_VALUE"""),"LE")</f>
        <v>LE</v>
      </c>
      <c r="G7183" t="str">
        <f>IFERROR(__xludf.DUMMYFUNCTION("""COMPUTED_VALUE"""),"")</f>
        <v/>
      </c>
    </row>
    <row r="7184">
      <c r="D7184" t="str">
        <f>IFERROR(__xludf.DUMMYFUNCTION("""COMPUTED_VALUE"""),"Bennett")</f>
        <v>Bennett</v>
      </c>
      <c r="E7184" t="str">
        <f>IFERROR(__xludf.DUMMYFUNCTION("""COMPUTED_VALUE"""),"Michael")</f>
        <v>Michael</v>
      </c>
      <c r="F7184" t="str">
        <f>IFERROR(__xludf.DUMMYFUNCTION("""COMPUTED_VALUE"""),"DT")</f>
        <v>DT</v>
      </c>
      <c r="G7184" t="str">
        <f>IFERROR(__xludf.DUMMYFUNCTION("""COMPUTED_VALUE"""),"")</f>
        <v/>
      </c>
    </row>
    <row r="7185">
      <c r="D7185" t="str">
        <f>IFERROR(__xludf.DUMMYFUNCTION("""COMPUTED_VALUE"""),"Bentley")</f>
        <v>Bentley</v>
      </c>
      <c r="E7185" t="str">
        <f>IFERROR(__xludf.DUMMYFUNCTION("""COMPUTED_VALUE"""),"JaWhaun")</f>
        <v>JaWhaun</v>
      </c>
      <c r="F7185" t="str">
        <f>IFERROR(__xludf.DUMMYFUNCTION("""COMPUTED_VALUE"""),"MLB")</f>
        <v>MLB</v>
      </c>
      <c r="G7185" t="str">
        <f>IFERROR(__xludf.DUMMYFUNCTION("""COMPUTED_VALUE"""),"")</f>
        <v/>
      </c>
    </row>
    <row r="7186">
      <c r="D7186" t="str">
        <f>IFERROR(__xludf.DUMMYFUNCTION("""COMPUTED_VALUE"""),"Benzschawel")</f>
        <v>Benzschawel</v>
      </c>
      <c r="E7186" t="str">
        <f>IFERROR(__xludf.DUMMYFUNCTION("""COMPUTED_VALUE"""),"Beau")</f>
        <v>Beau</v>
      </c>
      <c r="F7186" t="str">
        <f>IFERROR(__xludf.DUMMYFUNCTION("""COMPUTED_VALUE"""),"RG")</f>
        <v>RG</v>
      </c>
      <c r="G7186" t="str">
        <f>IFERROR(__xludf.DUMMYFUNCTION("""COMPUTED_VALUE"""),"")</f>
        <v/>
      </c>
    </row>
    <row r="7187">
      <c r="D7187" t="str">
        <f>IFERROR(__xludf.DUMMYFUNCTION("""COMPUTED_VALUE"""),"Bergstrom")</f>
        <v>Bergstrom</v>
      </c>
      <c r="E7187" t="str">
        <f>IFERROR(__xludf.DUMMYFUNCTION("""COMPUTED_VALUE"""),"Tony")</f>
        <v>Tony</v>
      </c>
      <c r="F7187" t="str">
        <f>IFERROR(__xludf.DUMMYFUNCTION("""COMPUTED_VALUE"""),"C")</f>
        <v>C</v>
      </c>
      <c r="G7187" t="str">
        <f>IFERROR(__xludf.DUMMYFUNCTION("""COMPUTED_VALUE"""),"")</f>
        <v/>
      </c>
    </row>
    <row r="7188">
      <c r="D7188" t="str">
        <f>IFERROR(__xludf.DUMMYFUNCTION("""COMPUTED_VALUE"""),"Bernard")</f>
        <v>Bernard</v>
      </c>
      <c r="E7188" t="str">
        <f>IFERROR(__xludf.DUMMYFUNCTION("""COMPUTED_VALUE"""),"Giovani")</f>
        <v>Giovani</v>
      </c>
      <c r="F7188" t="str">
        <f>IFERROR(__xludf.DUMMYFUNCTION("""COMPUTED_VALUE"""),"HB")</f>
        <v>HB</v>
      </c>
      <c r="G7188" t="str">
        <f>IFERROR(__xludf.DUMMYFUNCTION("""COMPUTED_VALUE"""),"")</f>
        <v/>
      </c>
    </row>
    <row r="7189">
      <c r="D7189" t="str">
        <f>IFERROR(__xludf.DUMMYFUNCTION("""COMPUTED_VALUE"""),"Berrios")</f>
        <v>Berrios</v>
      </c>
      <c r="E7189" t="str">
        <f>IFERROR(__xludf.DUMMYFUNCTION("""COMPUTED_VALUE"""),"Braxton")</f>
        <v>Braxton</v>
      </c>
      <c r="F7189" t="str">
        <f>IFERROR(__xludf.DUMMYFUNCTION("""COMPUTED_VALUE"""),"WR")</f>
        <v>WR</v>
      </c>
      <c r="G7189" t="str">
        <f>IFERROR(__xludf.DUMMYFUNCTION("""COMPUTED_VALUE"""),"")</f>
        <v/>
      </c>
    </row>
    <row r="7190">
      <c r="D7190" t="str">
        <f>IFERROR(__xludf.DUMMYFUNCTION("""COMPUTED_VALUE"""),"Berry")</f>
        <v>Berry</v>
      </c>
      <c r="E7190" t="str">
        <f>IFERROR(__xludf.DUMMYFUNCTION("""COMPUTED_VALUE"""),"Jordan")</f>
        <v>Jordan</v>
      </c>
      <c r="F7190" t="str">
        <f>IFERROR(__xludf.DUMMYFUNCTION("""COMPUTED_VALUE"""),"P")</f>
        <v>P</v>
      </c>
      <c r="G7190" t="str">
        <f>IFERROR(__xludf.DUMMYFUNCTION("""COMPUTED_VALUE"""),"")</f>
        <v/>
      </c>
    </row>
    <row r="7191">
      <c r="D7191" t="str">
        <f>IFERROR(__xludf.DUMMYFUNCTION("""COMPUTED_VALUE"""),"Bethea")</f>
        <v>Bethea</v>
      </c>
      <c r="E7191" t="str">
        <f>IFERROR(__xludf.DUMMYFUNCTION("""COMPUTED_VALUE"""),"Antoine")</f>
        <v>Antoine</v>
      </c>
      <c r="F7191" t="str">
        <f>IFERROR(__xludf.DUMMYFUNCTION("""COMPUTED_VALUE"""),"FS")</f>
        <v>FS</v>
      </c>
      <c r="G7191" t="str">
        <f>IFERROR(__xludf.DUMMYFUNCTION("""COMPUTED_VALUE"""),"")</f>
        <v/>
      </c>
    </row>
    <row r="7192">
      <c r="D7192" t="str">
        <f>IFERROR(__xludf.DUMMYFUNCTION("""COMPUTED_VALUE"""),"Bethel")</f>
        <v>Bethel</v>
      </c>
      <c r="E7192" t="str">
        <f>IFERROR(__xludf.DUMMYFUNCTION("""COMPUTED_VALUE"""),"Justin")</f>
        <v>Justin</v>
      </c>
      <c r="F7192" t="str">
        <f>IFERROR(__xludf.DUMMYFUNCTION("""COMPUTED_VALUE"""),"CB")</f>
        <v>CB</v>
      </c>
      <c r="G7192" t="str">
        <f>IFERROR(__xludf.DUMMYFUNCTION("""COMPUTED_VALUE"""),"")</f>
        <v/>
      </c>
    </row>
    <row r="7193">
      <c r="D7193" t="str">
        <f>IFERROR(__xludf.DUMMYFUNCTION("""COMPUTED_VALUE"""),"Bibbs")</f>
        <v>Bibbs</v>
      </c>
      <c r="E7193" t="str">
        <f>IFERROR(__xludf.DUMMYFUNCTION("""COMPUTED_VALUE"""),"Kapri")</f>
        <v>Kapri</v>
      </c>
      <c r="F7193" t="str">
        <f>IFERROR(__xludf.DUMMYFUNCTION("""COMPUTED_VALUE"""),"HB")</f>
        <v>HB</v>
      </c>
      <c r="G7193" t="str">
        <f>IFERROR(__xludf.DUMMYFUNCTION("""COMPUTED_VALUE"""),"")</f>
        <v/>
      </c>
    </row>
    <row r="7194">
      <c r="D7194" t="str">
        <f>IFERROR(__xludf.DUMMYFUNCTION("""COMPUTED_VALUE"""),"Biegel")</f>
        <v>Biegel</v>
      </c>
      <c r="E7194" t="str">
        <f>IFERROR(__xludf.DUMMYFUNCTION("""COMPUTED_VALUE"""),"Vince")</f>
        <v>Vince</v>
      </c>
      <c r="F7194" t="str">
        <f>IFERROR(__xludf.DUMMYFUNCTION("""COMPUTED_VALUE"""),"LOLB")</f>
        <v>LOLB</v>
      </c>
      <c r="G7194" t="str">
        <f>IFERROR(__xludf.DUMMYFUNCTION("""COMPUTED_VALUE"""),"")</f>
        <v/>
      </c>
    </row>
    <row r="7195">
      <c r="D7195" t="str">
        <f>IFERROR(__xludf.DUMMYFUNCTION("""COMPUTED_VALUE"""),"Bierria")</f>
        <v>Bierria</v>
      </c>
      <c r="E7195" t="str">
        <f>IFERROR(__xludf.DUMMYFUNCTION("""COMPUTED_VALUE"""),"Keishawn")</f>
        <v>Keishawn</v>
      </c>
      <c r="F7195" t="str">
        <f>IFERROR(__xludf.DUMMYFUNCTION("""COMPUTED_VALUE"""),"MLB")</f>
        <v>MLB</v>
      </c>
      <c r="G7195" t="str">
        <f>IFERROR(__xludf.DUMMYFUNCTION("""COMPUTED_VALUE"""),"")</f>
        <v/>
      </c>
    </row>
    <row r="7196">
      <c r="D7196" t="str">
        <f>IFERROR(__xludf.DUMMYFUNCTION("""COMPUTED_VALUE"""),"Billings")</f>
        <v>Billings</v>
      </c>
      <c r="E7196" t="str">
        <f>IFERROR(__xludf.DUMMYFUNCTION("""COMPUTED_VALUE"""),"Andrew")</f>
        <v>Andrew</v>
      </c>
      <c r="F7196" t="str">
        <f>IFERROR(__xludf.DUMMYFUNCTION("""COMPUTED_VALUE"""),"DT")</f>
        <v>DT</v>
      </c>
      <c r="G7196" t="str">
        <f>IFERROR(__xludf.DUMMYFUNCTION("""COMPUTED_VALUE"""),"")</f>
        <v/>
      </c>
    </row>
    <row r="7197">
      <c r="D7197" t="str">
        <f>IFERROR(__xludf.DUMMYFUNCTION("""COMPUTED_VALUE"""),"Bitonio")</f>
        <v>Bitonio</v>
      </c>
      <c r="E7197" t="str">
        <f>IFERROR(__xludf.DUMMYFUNCTION("""COMPUTED_VALUE"""),"Joel")</f>
        <v>Joel</v>
      </c>
      <c r="F7197" t="str">
        <f>IFERROR(__xludf.DUMMYFUNCTION("""COMPUTED_VALUE"""),"LG")</f>
        <v>LG</v>
      </c>
      <c r="G7197" t="str">
        <f>IFERROR(__xludf.DUMMYFUNCTION("""COMPUTED_VALUE"""),"")</f>
        <v/>
      </c>
    </row>
    <row r="7198">
      <c r="D7198" t="str">
        <f>IFERROR(__xludf.DUMMYFUNCTION("""COMPUTED_VALUE"""),"Blacknall")</f>
        <v>Blacknall</v>
      </c>
      <c r="E7198" t="str">
        <f>IFERROR(__xludf.DUMMYFUNCTION("""COMPUTED_VALUE"""),"Saeed")</f>
        <v>Saeed</v>
      </c>
      <c r="F7198" t="str">
        <f>IFERROR(__xludf.DUMMYFUNCTION("""COMPUTED_VALUE"""),"WR")</f>
        <v>WR</v>
      </c>
      <c r="G7198" t="str">
        <f>IFERROR(__xludf.DUMMYFUNCTION("""COMPUTED_VALUE"""),"")</f>
        <v/>
      </c>
    </row>
    <row r="7199">
      <c r="D7199" t="str">
        <f>IFERROR(__xludf.DUMMYFUNCTION("""COMPUTED_VALUE"""),"Blackson")</f>
        <v>Blackson</v>
      </c>
      <c r="E7199" t="str">
        <f>IFERROR(__xludf.DUMMYFUNCTION("""COMPUTED_VALUE"""),"Angelo")</f>
        <v>Angelo</v>
      </c>
      <c r="F7199" t="str">
        <f>IFERROR(__xludf.DUMMYFUNCTION("""COMPUTED_VALUE"""),"RE")</f>
        <v>RE</v>
      </c>
      <c r="G7199" t="str">
        <f>IFERROR(__xludf.DUMMYFUNCTION("""COMPUTED_VALUE"""),"")</f>
        <v/>
      </c>
    </row>
    <row r="7200">
      <c r="D7200" t="str">
        <f>IFERROR(__xludf.DUMMYFUNCTION("""COMPUTED_VALUE"""),"Blair")</f>
        <v>Blair</v>
      </c>
      <c r="E7200" t="str">
        <f>IFERROR(__xludf.DUMMYFUNCTION("""COMPUTED_VALUE"""),"Marquise")</f>
        <v>Marquise</v>
      </c>
      <c r="F7200" t="str">
        <f>IFERROR(__xludf.DUMMYFUNCTION("""COMPUTED_VALUE"""),"SS")</f>
        <v>SS</v>
      </c>
      <c r="G7200" t="str">
        <f>IFERROR(__xludf.DUMMYFUNCTION("""COMPUTED_VALUE"""),"")</f>
        <v/>
      </c>
    </row>
    <row r="7201">
      <c r="D7201" t="str">
        <f>IFERROR(__xludf.DUMMYFUNCTION("""COMPUTED_VALUE"""),"Blair")</f>
        <v>Blair</v>
      </c>
      <c r="E7201" t="str">
        <f>IFERROR(__xludf.DUMMYFUNCTION("""COMPUTED_VALUE"""),"Ronald")</f>
        <v>Ronald</v>
      </c>
      <c r="F7201" t="str">
        <f>IFERROR(__xludf.DUMMYFUNCTION("""COMPUTED_VALUE"""),"RE")</f>
        <v>RE</v>
      </c>
      <c r="G7201" t="str">
        <f>IFERROR(__xludf.DUMMYFUNCTION("""COMPUTED_VALUE"""),"")</f>
        <v/>
      </c>
    </row>
    <row r="7202">
      <c r="D7202" t="str">
        <f>IFERROR(__xludf.DUMMYFUNCTION("""COMPUTED_VALUE"""),"Blanding")</f>
        <v>Blanding</v>
      </c>
      <c r="E7202" t="str">
        <f>IFERROR(__xludf.DUMMYFUNCTION("""COMPUTED_VALUE"""),"Quin")</f>
        <v>Quin</v>
      </c>
      <c r="F7202" t="str">
        <f>IFERROR(__xludf.DUMMYFUNCTION("""COMPUTED_VALUE"""),"FS")</f>
        <v>FS</v>
      </c>
      <c r="G7202" t="str">
        <f>IFERROR(__xludf.DUMMYFUNCTION("""COMPUTED_VALUE"""),"")</f>
        <v/>
      </c>
    </row>
    <row r="7203">
      <c r="D7203" t="str">
        <f>IFERROR(__xludf.DUMMYFUNCTION("""COMPUTED_VALUE"""),"Blanton")</f>
        <v>Blanton</v>
      </c>
      <c r="E7203" t="str">
        <f>IFERROR(__xludf.DUMMYFUNCTION("""COMPUTED_VALUE"""),"Kendall")</f>
        <v>Kendall</v>
      </c>
      <c r="F7203" t="str">
        <f>IFERROR(__xludf.DUMMYFUNCTION("""COMPUTED_VALUE"""),"TE")</f>
        <v>TE</v>
      </c>
      <c r="G7203" t="str">
        <f>IFERROR(__xludf.DUMMYFUNCTION("""COMPUTED_VALUE"""),"")</f>
        <v/>
      </c>
    </row>
    <row r="7204">
      <c r="D7204" t="str">
        <f>IFERROR(__xludf.DUMMYFUNCTION("""COMPUTED_VALUE"""),"Blough")</f>
        <v>Blough</v>
      </c>
      <c r="E7204" t="str">
        <f>IFERROR(__xludf.DUMMYFUNCTION("""COMPUTED_VALUE"""),"David")</f>
        <v>David</v>
      </c>
      <c r="F7204" t="str">
        <f>IFERROR(__xludf.DUMMYFUNCTION("""COMPUTED_VALUE"""),"QB")</f>
        <v>QB</v>
      </c>
      <c r="G7204" t="str">
        <f>IFERROR(__xludf.DUMMYFUNCTION("""COMPUTED_VALUE"""),"")</f>
        <v/>
      </c>
    </row>
    <row r="7205">
      <c r="D7205" t="str">
        <f>IFERROR(__xludf.DUMMYFUNCTION("""COMPUTED_VALUE"""),"Blue")</f>
        <v>Blue</v>
      </c>
      <c r="E7205" t="str">
        <f>IFERROR(__xludf.DUMMYFUNCTION("""COMPUTED_VALUE"""),"Alfred")</f>
        <v>Alfred</v>
      </c>
      <c r="F7205" t="str">
        <f>IFERROR(__xludf.DUMMYFUNCTION("""COMPUTED_VALUE"""),"HB")</f>
        <v>HB</v>
      </c>
      <c r="G7205" t="str">
        <f>IFERROR(__xludf.DUMMYFUNCTION("""COMPUTED_VALUE"""),"")</f>
        <v/>
      </c>
    </row>
    <row r="7206">
      <c r="D7206" t="str">
        <f>IFERROR(__xludf.DUMMYFUNCTION("""COMPUTED_VALUE"""),"Blythe")</f>
        <v>Blythe</v>
      </c>
      <c r="E7206" t="str">
        <f>IFERROR(__xludf.DUMMYFUNCTION("""COMPUTED_VALUE"""),"Austin")</f>
        <v>Austin</v>
      </c>
      <c r="F7206" t="str">
        <f>IFERROR(__xludf.DUMMYFUNCTION("""COMPUTED_VALUE"""),"RG")</f>
        <v>RG</v>
      </c>
      <c r="G7206" t="str">
        <f>IFERROR(__xludf.DUMMYFUNCTION("""COMPUTED_VALUE"""),"")</f>
        <v/>
      </c>
    </row>
    <row r="7207">
      <c r="D7207" t="str">
        <f>IFERROR(__xludf.DUMMYFUNCTION("""COMPUTED_VALUE"""),"Board")</f>
        <v>Board</v>
      </c>
      <c r="E7207" t="str">
        <f>IFERROR(__xludf.DUMMYFUNCTION("""COMPUTED_VALUE"""),"Chris")</f>
        <v>Chris</v>
      </c>
      <c r="F7207" t="str">
        <f>IFERROR(__xludf.DUMMYFUNCTION("""COMPUTED_VALUE"""),"MLB")</f>
        <v>MLB</v>
      </c>
      <c r="G7207" t="str">
        <f>IFERROR(__xludf.DUMMYFUNCTION("""COMPUTED_VALUE"""),"")</f>
        <v/>
      </c>
    </row>
    <row r="7208">
      <c r="D7208" t="str">
        <f>IFERROR(__xludf.DUMMYFUNCTION("""COMPUTED_VALUE"""),"Boddy-Calhoun")</f>
        <v>Boddy-Calhoun</v>
      </c>
      <c r="E7208" t="str">
        <f>IFERROR(__xludf.DUMMYFUNCTION("""COMPUTED_VALUE"""),"Briean")</f>
        <v>Briean</v>
      </c>
      <c r="F7208" t="str">
        <f>IFERROR(__xludf.DUMMYFUNCTION("""COMPUTED_VALUE"""),"FS")</f>
        <v>FS</v>
      </c>
      <c r="G7208" t="str">
        <f>IFERROR(__xludf.DUMMYFUNCTION("""COMPUTED_VALUE"""),"")</f>
        <v/>
      </c>
    </row>
    <row r="7209">
      <c r="D7209" t="str">
        <f>IFERROR(__xludf.DUMMYFUNCTION("""COMPUTED_VALUE"""),"Bodine")</f>
        <v>Bodine</v>
      </c>
      <c r="E7209" t="str">
        <f>IFERROR(__xludf.DUMMYFUNCTION("""COMPUTED_VALUE"""),"Russell")</f>
        <v>Russell</v>
      </c>
      <c r="F7209" t="str">
        <f>IFERROR(__xludf.DUMMYFUNCTION("""COMPUTED_VALUE"""),"C")</f>
        <v>C</v>
      </c>
      <c r="G7209" t="str">
        <f>IFERROR(__xludf.DUMMYFUNCTION("""COMPUTED_VALUE"""),"")</f>
        <v/>
      </c>
    </row>
    <row r="7210">
      <c r="D7210" t="str">
        <f>IFERROR(__xludf.DUMMYFUNCTION("""COMPUTED_VALUE"""),"Boehm")</f>
        <v>Boehm</v>
      </c>
      <c r="E7210" t="str">
        <f>IFERROR(__xludf.DUMMYFUNCTION("""COMPUTED_VALUE"""),"Evan")</f>
        <v>Evan</v>
      </c>
      <c r="F7210" t="str">
        <f>IFERROR(__xludf.DUMMYFUNCTION("""COMPUTED_VALUE"""),"LG")</f>
        <v>LG</v>
      </c>
      <c r="G7210" t="str">
        <f>IFERROR(__xludf.DUMMYFUNCTION("""COMPUTED_VALUE"""),"")</f>
        <v/>
      </c>
    </row>
    <row r="7211">
      <c r="D7211" t="str">
        <f>IFERROR(__xludf.DUMMYFUNCTION("""COMPUTED_VALUE"""),"Boehringer")</f>
        <v>Boehringer</v>
      </c>
      <c r="E7211" t="str">
        <f>IFERROR(__xludf.DUMMYFUNCTION("""COMPUTED_VALUE"""),"Moritz")</f>
        <v>Moritz</v>
      </c>
      <c r="F7211" t="str">
        <f>IFERROR(__xludf.DUMMYFUNCTION("""COMPUTED_VALUE"""),"TE")</f>
        <v>TE</v>
      </c>
      <c r="G7211" t="str">
        <f>IFERROR(__xludf.DUMMYFUNCTION("""COMPUTED_VALUE"""),"")</f>
        <v/>
      </c>
    </row>
    <row r="7212">
      <c r="D7212" t="str">
        <f>IFERROR(__xludf.DUMMYFUNCTION("""COMPUTED_VALUE"""),"Boettger")</f>
        <v>Boettger</v>
      </c>
      <c r="E7212" t="str">
        <f>IFERROR(__xludf.DUMMYFUNCTION("""COMPUTED_VALUE"""),"Ike")</f>
        <v>Ike</v>
      </c>
      <c r="F7212" t="str">
        <f>IFERROR(__xludf.DUMMYFUNCTION("""COMPUTED_VALUE"""),"RG")</f>
        <v>RG</v>
      </c>
      <c r="G7212" t="str">
        <f>IFERROR(__xludf.DUMMYFUNCTION("""COMPUTED_VALUE"""),"")</f>
        <v/>
      </c>
    </row>
    <row r="7213">
      <c r="D7213" t="str">
        <f>IFERROR(__xludf.DUMMYFUNCTION("""COMPUTED_VALUE"""),"Bojorquez")</f>
        <v>Bojorquez</v>
      </c>
      <c r="E7213" t="str">
        <f>IFERROR(__xludf.DUMMYFUNCTION("""COMPUTED_VALUE"""),"Corey")</f>
        <v>Corey</v>
      </c>
      <c r="F7213" t="str">
        <f>IFERROR(__xludf.DUMMYFUNCTION("""COMPUTED_VALUE"""),"P")</f>
        <v>P</v>
      </c>
      <c r="G7213" t="str">
        <f>IFERROR(__xludf.DUMMYFUNCTION("""COMPUTED_VALUE"""),"")</f>
        <v/>
      </c>
    </row>
    <row r="7214">
      <c r="D7214" t="str">
        <f>IFERROR(__xludf.DUMMYFUNCTION("""COMPUTED_VALUE"""),"Bolden")</f>
        <v>Bolden</v>
      </c>
      <c r="E7214" t="str">
        <f>IFERROR(__xludf.DUMMYFUNCTION("""COMPUTED_VALUE"""),"Brandon")</f>
        <v>Brandon</v>
      </c>
      <c r="F7214" t="str">
        <f>IFERROR(__xludf.DUMMYFUNCTION("""COMPUTED_VALUE"""),"HB")</f>
        <v>HB</v>
      </c>
      <c r="G7214" t="str">
        <f>IFERROR(__xludf.DUMMYFUNCTION("""COMPUTED_VALUE"""),"")</f>
        <v/>
      </c>
    </row>
    <row r="7215">
      <c r="D7215" t="str">
        <f>IFERROR(__xludf.DUMMYFUNCTION("""COMPUTED_VALUE"""),"Bolden")</f>
        <v>Bolden</v>
      </c>
      <c r="E7215" t="str">
        <f>IFERROR(__xludf.DUMMYFUNCTION("""COMPUTED_VALUE"""),"Victor")</f>
        <v>Victor</v>
      </c>
      <c r="F7215" t="str">
        <f>IFERROR(__xludf.DUMMYFUNCTION("""COMPUTED_VALUE"""),"WR")</f>
        <v>WR</v>
      </c>
      <c r="G7215" t="str">
        <f>IFERROR(__xludf.DUMMYFUNCTION("""COMPUTED_VALUE"""),"")</f>
        <v/>
      </c>
    </row>
    <row r="7216">
      <c r="D7216" t="str">
        <f>IFERROR(__xludf.DUMMYFUNCTION("""COMPUTED_VALUE"""),"Boling")</f>
        <v>Boling</v>
      </c>
      <c r="E7216" t="str">
        <f>IFERROR(__xludf.DUMMYFUNCTION("""COMPUTED_VALUE"""),"Clint")</f>
        <v>Clint</v>
      </c>
      <c r="F7216" t="str">
        <f>IFERROR(__xludf.DUMMYFUNCTION("""COMPUTED_VALUE"""),"RG")</f>
        <v>RG</v>
      </c>
      <c r="G7216" t="str">
        <f>IFERROR(__xludf.DUMMYFUNCTION("""COMPUTED_VALUE"""),"")</f>
        <v/>
      </c>
    </row>
    <row r="7217">
      <c r="D7217" t="str">
        <f>IFERROR(__xludf.DUMMYFUNCTION("""COMPUTED_VALUE"""),"Bolles")</f>
        <v>Bolles</v>
      </c>
      <c r="E7217" t="str">
        <f>IFERROR(__xludf.DUMMYFUNCTION("""COMPUTED_VALUE"""),"Garett")</f>
        <v>Garett</v>
      </c>
      <c r="F7217" t="str">
        <f>IFERROR(__xludf.DUMMYFUNCTION("""COMPUTED_VALUE"""),"LT")</f>
        <v>LT</v>
      </c>
      <c r="G7217" t="str">
        <f>IFERROR(__xludf.DUMMYFUNCTION("""COMPUTED_VALUE"""),"")</f>
        <v/>
      </c>
    </row>
    <row r="7218">
      <c r="D7218" t="str">
        <f>IFERROR(__xludf.DUMMYFUNCTION("""COMPUTED_VALUE"""),"Bond")</f>
        <v>Bond</v>
      </c>
      <c r="E7218" t="str">
        <f>IFERROR(__xludf.DUMMYFUNCTION("""COMPUTED_VALUE"""),"Devante")</f>
        <v>Devante</v>
      </c>
      <c r="F7218" t="str">
        <f>IFERROR(__xludf.DUMMYFUNCTION("""COMPUTED_VALUE"""),"ROLB")</f>
        <v>ROLB</v>
      </c>
      <c r="G7218" t="str">
        <f>IFERROR(__xludf.DUMMYFUNCTION("""COMPUTED_VALUE"""),"")</f>
        <v/>
      </c>
    </row>
    <row r="7219">
      <c r="D7219" t="str">
        <f>IFERROR(__xludf.DUMMYFUNCTION("""COMPUTED_VALUE"""),"Booker")</f>
        <v>Booker</v>
      </c>
      <c r="E7219" t="str">
        <f>IFERROR(__xludf.DUMMYFUNCTION("""COMPUTED_VALUE"""),"Devontae")</f>
        <v>Devontae</v>
      </c>
      <c r="F7219" t="str">
        <f>IFERROR(__xludf.DUMMYFUNCTION("""COMPUTED_VALUE"""),"HB")</f>
        <v>HB</v>
      </c>
      <c r="G7219" t="str">
        <f>IFERROR(__xludf.DUMMYFUNCTION("""COMPUTED_VALUE"""),"")</f>
        <v/>
      </c>
    </row>
    <row r="7220">
      <c r="D7220" t="str">
        <f>IFERROR(__xludf.DUMMYFUNCTION("""COMPUTED_VALUE"""),"Boone")</f>
        <v>Boone</v>
      </c>
      <c r="E7220" t="str">
        <f>IFERROR(__xludf.DUMMYFUNCTION("""COMPUTED_VALUE"""),"Mike")</f>
        <v>Mike</v>
      </c>
      <c r="F7220" t="str">
        <f>IFERROR(__xludf.DUMMYFUNCTION("""COMPUTED_VALUE"""),"HB")</f>
        <v>HB</v>
      </c>
      <c r="G7220" t="str">
        <f>IFERROR(__xludf.DUMMYFUNCTION("""COMPUTED_VALUE"""),"")</f>
        <v/>
      </c>
    </row>
    <row r="7221">
      <c r="D7221" t="str">
        <f>IFERROR(__xludf.DUMMYFUNCTION("""COMPUTED_VALUE"""),"Boozer")</f>
        <v>Boozer</v>
      </c>
      <c r="E7221" t="str">
        <f>IFERROR(__xludf.DUMMYFUNCTION("""COMPUTED_VALUE"""),"Cole")</f>
        <v>Cole</v>
      </c>
      <c r="F7221" t="str">
        <f>IFERROR(__xludf.DUMMYFUNCTION("""COMPUTED_VALUE"""),"LT")</f>
        <v>LT</v>
      </c>
      <c r="G7221" t="str">
        <f>IFERROR(__xludf.DUMMYFUNCTION("""COMPUTED_VALUE"""),"")</f>
        <v/>
      </c>
    </row>
    <row r="7222">
      <c r="D7222" t="str">
        <f>IFERROR(__xludf.DUMMYFUNCTION("""COMPUTED_VALUE"""),"Borders")</f>
        <v>Borders</v>
      </c>
      <c r="E7222" t="str">
        <f>IFERROR(__xludf.DUMMYFUNCTION("""COMPUTED_VALUE"""),"Breon")</f>
        <v>Breon</v>
      </c>
      <c r="F7222" t="str">
        <f>IFERROR(__xludf.DUMMYFUNCTION("""COMPUTED_VALUE"""),"CB")</f>
        <v>CB</v>
      </c>
      <c r="G7222" t="str">
        <f>IFERROR(__xludf.DUMMYFUNCTION("""COMPUTED_VALUE"""),"")</f>
        <v/>
      </c>
    </row>
    <row r="7223">
      <c r="D7223" t="str">
        <f>IFERROR(__xludf.DUMMYFUNCTION("""COMPUTED_VALUE"""),"Bortles")</f>
        <v>Bortles</v>
      </c>
      <c r="E7223" t="str">
        <f>IFERROR(__xludf.DUMMYFUNCTION("""COMPUTED_VALUE"""),"Blake")</f>
        <v>Blake</v>
      </c>
      <c r="F7223" t="str">
        <f>IFERROR(__xludf.DUMMYFUNCTION("""COMPUTED_VALUE"""),"QB")</f>
        <v>QB</v>
      </c>
      <c r="G7223" t="str">
        <f>IFERROR(__xludf.DUMMYFUNCTION("""COMPUTED_VALUE"""),"")</f>
        <v/>
      </c>
    </row>
    <row r="7224">
      <c r="D7224" t="str">
        <f>IFERROR(__xludf.DUMMYFUNCTION("""COMPUTED_VALUE"""),"Bosa")</f>
        <v>Bosa</v>
      </c>
      <c r="E7224" t="str">
        <f>IFERROR(__xludf.DUMMYFUNCTION("""COMPUTED_VALUE"""),"Joey")</f>
        <v>Joey</v>
      </c>
      <c r="F7224" t="str">
        <f>IFERROR(__xludf.DUMMYFUNCTION("""COMPUTED_VALUE"""),"LE")</f>
        <v>LE</v>
      </c>
      <c r="G7224" t="str">
        <f>IFERROR(__xludf.DUMMYFUNCTION("""COMPUTED_VALUE"""),"")</f>
        <v/>
      </c>
    </row>
    <row r="7225">
      <c r="D7225" t="str">
        <f>IFERROR(__xludf.DUMMYFUNCTION("""COMPUTED_VALUE"""),"Bosa")</f>
        <v>Bosa</v>
      </c>
      <c r="E7225" t="str">
        <f>IFERROR(__xludf.DUMMYFUNCTION("""COMPUTED_VALUE"""),"Nick")</f>
        <v>Nick</v>
      </c>
      <c r="F7225" t="str">
        <f>IFERROR(__xludf.DUMMYFUNCTION("""COMPUTED_VALUE"""),"RE")</f>
        <v>RE</v>
      </c>
      <c r="G7225" t="str">
        <f>IFERROR(__xludf.DUMMYFUNCTION("""COMPUTED_VALUE"""),"")</f>
        <v/>
      </c>
    </row>
    <row r="7226">
      <c r="D7226" t="str">
        <f>IFERROR(__xludf.DUMMYFUNCTION("""COMPUTED_VALUE"""),"Bosher")</f>
        <v>Bosher</v>
      </c>
      <c r="E7226" t="str">
        <f>IFERROR(__xludf.DUMMYFUNCTION("""COMPUTED_VALUE"""),"Matt")</f>
        <v>Matt</v>
      </c>
      <c r="F7226" t="str">
        <f>IFERROR(__xludf.DUMMYFUNCTION("""COMPUTED_VALUE"""),"P")</f>
        <v>P</v>
      </c>
      <c r="G7226" t="str">
        <f>IFERROR(__xludf.DUMMYFUNCTION("""COMPUTED_VALUE"""),"")</f>
        <v/>
      </c>
    </row>
    <row r="7227">
      <c r="D7227" t="str">
        <f>IFERROR(__xludf.DUMMYFUNCTION("""COMPUTED_VALUE"""),"Bostic")</f>
        <v>Bostic</v>
      </c>
      <c r="E7227" t="str">
        <f>IFERROR(__xludf.DUMMYFUNCTION("""COMPUTED_VALUE"""),"Jon")</f>
        <v>Jon</v>
      </c>
      <c r="F7227" t="str">
        <f>IFERROR(__xludf.DUMMYFUNCTION("""COMPUTED_VALUE"""),"MLB")</f>
        <v>MLB</v>
      </c>
      <c r="G7227" t="str">
        <f>IFERROR(__xludf.DUMMYFUNCTION("""COMPUTED_VALUE"""),"")</f>
        <v/>
      </c>
    </row>
    <row r="7228">
      <c r="D7228" t="str">
        <f>IFERROR(__xludf.DUMMYFUNCTION("""COMPUTED_VALUE"""),"Boswell")</f>
        <v>Boswell</v>
      </c>
      <c r="E7228" t="str">
        <f>IFERROR(__xludf.DUMMYFUNCTION("""COMPUTED_VALUE"""),"Chris")</f>
        <v>Chris</v>
      </c>
      <c r="F7228" t="str">
        <f>IFERROR(__xludf.DUMMYFUNCTION("""COMPUTED_VALUE"""),"K")</f>
        <v>K</v>
      </c>
      <c r="G7228" t="str">
        <f>IFERROR(__xludf.DUMMYFUNCTION("""COMPUTED_VALUE"""),"")</f>
        <v/>
      </c>
    </row>
    <row r="7229">
      <c r="D7229" t="str">
        <f>IFERROR(__xludf.DUMMYFUNCTION("""COMPUTED_VALUE"""),"Bourne")</f>
        <v>Bourne</v>
      </c>
      <c r="E7229" t="str">
        <f>IFERROR(__xludf.DUMMYFUNCTION("""COMPUTED_VALUE"""),"Kendrick")</f>
        <v>Kendrick</v>
      </c>
      <c r="F7229" t="str">
        <f>IFERROR(__xludf.DUMMYFUNCTION("""COMPUTED_VALUE"""),"WR")</f>
        <v>WR</v>
      </c>
      <c r="G7229" t="str">
        <f>IFERROR(__xludf.DUMMYFUNCTION("""COMPUTED_VALUE"""),"")</f>
        <v/>
      </c>
    </row>
    <row r="7230">
      <c r="D7230" t="str">
        <f>IFERROR(__xludf.DUMMYFUNCTION("""COMPUTED_VALUE"""),"Bouye")</f>
        <v>Bouye</v>
      </c>
      <c r="E7230" t="str">
        <f>IFERROR(__xludf.DUMMYFUNCTION("""COMPUTED_VALUE"""),"AJ")</f>
        <v>AJ</v>
      </c>
      <c r="F7230" t="str">
        <f>IFERROR(__xludf.DUMMYFUNCTION("""COMPUTED_VALUE"""),"CB")</f>
        <v>CB</v>
      </c>
      <c r="G7230" t="str">
        <f>IFERROR(__xludf.DUMMYFUNCTION("""COMPUTED_VALUE"""),"")</f>
        <v/>
      </c>
    </row>
    <row r="7231">
      <c r="D7231" t="str">
        <f>IFERROR(__xludf.DUMMYFUNCTION("""COMPUTED_VALUE"""),"Bower")</f>
        <v>Bower</v>
      </c>
      <c r="E7231" t="str">
        <f>IFERROR(__xludf.DUMMYFUNCTION("""COMPUTED_VALUE"""),"Tashawn")</f>
        <v>Tashawn</v>
      </c>
      <c r="F7231" t="str">
        <f>IFERROR(__xludf.DUMMYFUNCTION("""COMPUTED_VALUE"""),"LE")</f>
        <v>LE</v>
      </c>
      <c r="G7231" t="str">
        <f>IFERROR(__xludf.DUMMYFUNCTION("""COMPUTED_VALUE"""),"")</f>
        <v/>
      </c>
    </row>
    <row r="7232">
      <c r="D7232" t="str">
        <f>IFERROR(__xludf.DUMMYFUNCTION("""COMPUTED_VALUE"""),"Bowser")</f>
        <v>Bowser</v>
      </c>
      <c r="E7232" t="str">
        <f>IFERROR(__xludf.DUMMYFUNCTION("""COMPUTED_VALUE"""),"Tyus")</f>
        <v>Tyus</v>
      </c>
      <c r="F7232" t="str">
        <f>IFERROR(__xludf.DUMMYFUNCTION("""COMPUTED_VALUE"""),"LOLB")</f>
        <v>LOLB</v>
      </c>
      <c r="G7232" t="str">
        <f>IFERROR(__xludf.DUMMYFUNCTION("""COMPUTED_VALUE"""),"")</f>
        <v/>
      </c>
    </row>
    <row r="7233">
      <c r="D7233" t="str">
        <f>IFERROR(__xludf.DUMMYFUNCTION("""COMPUTED_VALUE"""),"Boyd")</f>
        <v>Boyd</v>
      </c>
      <c r="E7233" t="str">
        <f>IFERROR(__xludf.DUMMYFUNCTION("""COMPUTED_VALUE"""),"Kris")</f>
        <v>Kris</v>
      </c>
      <c r="F7233" t="str">
        <f>IFERROR(__xludf.DUMMYFUNCTION("""COMPUTED_VALUE"""),"CB")</f>
        <v>CB</v>
      </c>
      <c r="G7233" t="str">
        <f>IFERROR(__xludf.DUMMYFUNCTION("""COMPUTED_VALUE"""),"")</f>
        <v/>
      </c>
    </row>
    <row r="7234">
      <c r="D7234" t="str">
        <f>IFERROR(__xludf.DUMMYFUNCTION("""COMPUTED_VALUE"""),"Boyd")</f>
        <v>Boyd</v>
      </c>
      <c r="E7234" t="str">
        <f>IFERROR(__xludf.DUMMYFUNCTION("""COMPUTED_VALUE"""),"Tyler")</f>
        <v>Tyler</v>
      </c>
      <c r="F7234" t="str">
        <f>IFERROR(__xludf.DUMMYFUNCTION("""COMPUTED_VALUE"""),"WR")</f>
        <v>WR</v>
      </c>
      <c r="G7234" t="str">
        <f>IFERROR(__xludf.DUMMYFUNCTION("""COMPUTED_VALUE"""),"")</f>
        <v/>
      </c>
    </row>
    <row r="7235">
      <c r="D7235" t="str">
        <f>IFERROR(__xludf.DUMMYFUNCTION("""COMPUTED_VALUE"""),"Boykin")</f>
        <v>Boykin</v>
      </c>
      <c r="E7235" t="str">
        <f>IFERROR(__xludf.DUMMYFUNCTION("""COMPUTED_VALUE"""),"Miles")</f>
        <v>Miles</v>
      </c>
      <c r="F7235" t="str">
        <f>IFERROR(__xludf.DUMMYFUNCTION("""COMPUTED_VALUE"""),"WR")</f>
        <v>WR</v>
      </c>
      <c r="G7235" t="str">
        <f>IFERROR(__xludf.DUMMYFUNCTION("""COMPUTED_VALUE"""),"")</f>
        <v/>
      </c>
    </row>
    <row r="7236">
      <c r="D7236" t="str">
        <f>IFERROR(__xludf.DUMMYFUNCTION("""COMPUTED_VALUE"""),"Boyle")</f>
        <v>Boyle</v>
      </c>
      <c r="E7236" t="str">
        <f>IFERROR(__xludf.DUMMYFUNCTION("""COMPUTED_VALUE"""),"Nick")</f>
        <v>Nick</v>
      </c>
      <c r="F7236" t="str">
        <f>IFERROR(__xludf.DUMMYFUNCTION("""COMPUTED_VALUE"""),"TE")</f>
        <v>TE</v>
      </c>
      <c r="G7236" t="str">
        <f>IFERROR(__xludf.DUMMYFUNCTION("""COMPUTED_VALUE"""),"")</f>
        <v/>
      </c>
    </row>
    <row r="7237">
      <c r="D7237" t="str">
        <f>IFERROR(__xludf.DUMMYFUNCTION("""COMPUTED_VALUE"""),"Boyle")</f>
        <v>Boyle</v>
      </c>
      <c r="E7237" t="str">
        <f>IFERROR(__xludf.DUMMYFUNCTION("""COMPUTED_VALUE"""),"Tim")</f>
        <v>Tim</v>
      </c>
      <c r="F7237" t="str">
        <f>IFERROR(__xludf.DUMMYFUNCTION("""COMPUTED_VALUE"""),"QB")</f>
        <v>QB</v>
      </c>
      <c r="G7237" t="str">
        <f>IFERROR(__xludf.DUMMYFUNCTION("""COMPUTED_VALUE"""),"")</f>
        <v/>
      </c>
    </row>
    <row r="7238">
      <c r="D7238" t="str">
        <f>IFERROR(__xludf.DUMMYFUNCTION("""COMPUTED_VALUE"""),"Bozeman")</f>
        <v>Bozeman</v>
      </c>
      <c r="E7238" t="str">
        <f>IFERROR(__xludf.DUMMYFUNCTION("""COMPUTED_VALUE"""),"Bradley")</f>
        <v>Bradley</v>
      </c>
      <c r="F7238" t="str">
        <f>IFERROR(__xludf.DUMMYFUNCTION("""COMPUTED_VALUE"""),"C")</f>
        <v>C</v>
      </c>
      <c r="G7238" t="str">
        <f>IFERROR(__xludf.DUMMYFUNCTION("""COMPUTED_VALUE"""),"")</f>
        <v/>
      </c>
    </row>
    <row r="7239">
      <c r="D7239" t="str">
        <f>IFERROR(__xludf.DUMMYFUNCTION("""COMPUTED_VALUE"""),"Bradberry")</f>
        <v>Bradberry</v>
      </c>
      <c r="E7239" t="str">
        <f>IFERROR(__xludf.DUMMYFUNCTION("""COMPUTED_VALUE"""),"James")</f>
        <v>James</v>
      </c>
      <c r="F7239" t="str">
        <f>IFERROR(__xludf.DUMMYFUNCTION("""COMPUTED_VALUE"""),"CB")</f>
        <v>CB</v>
      </c>
      <c r="G7239" t="str">
        <f>IFERROR(__xludf.DUMMYFUNCTION("""COMPUTED_VALUE"""),"")</f>
        <v/>
      </c>
    </row>
    <row r="7240">
      <c r="D7240" t="str">
        <f>IFERROR(__xludf.DUMMYFUNCTION("""COMPUTED_VALUE"""),"Bradbury")</f>
        <v>Bradbury</v>
      </c>
      <c r="E7240" t="str">
        <f>IFERROR(__xludf.DUMMYFUNCTION("""COMPUTED_VALUE"""),"Garrett")</f>
        <v>Garrett</v>
      </c>
      <c r="F7240" t="str">
        <f>IFERROR(__xludf.DUMMYFUNCTION("""COMPUTED_VALUE"""),"C")</f>
        <v>C</v>
      </c>
      <c r="G7240" t="str">
        <f>IFERROR(__xludf.DUMMYFUNCTION("""COMPUTED_VALUE"""),"")</f>
        <v/>
      </c>
    </row>
    <row r="7241">
      <c r="D7241" t="str">
        <f>IFERROR(__xludf.DUMMYFUNCTION("""COMPUTED_VALUE"""),"Braden")</f>
        <v>Braden</v>
      </c>
      <c r="E7241" t="str">
        <f>IFERROR(__xludf.DUMMYFUNCTION("""COMPUTED_VALUE"""),"Ben")</f>
        <v>Ben</v>
      </c>
      <c r="F7241" t="str">
        <f>IFERROR(__xludf.DUMMYFUNCTION("""COMPUTED_VALUE"""),"RG")</f>
        <v>RG</v>
      </c>
      <c r="G7241" t="str">
        <f>IFERROR(__xludf.DUMMYFUNCTION("""COMPUTED_VALUE"""),"")</f>
        <v/>
      </c>
    </row>
    <row r="7242">
      <c r="D7242" t="str">
        <f>IFERROR(__xludf.DUMMYFUNCTION("""COMPUTED_VALUE"""),"Bradham")</f>
        <v>Bradham</v>
      </c>
      <c r="E7242" t="str">
        <f>IFERROR(__xludf.DUMMYFUNCTION("""COMPUTED_VALUE"""),"Nigel")</f>
        <v>Nigel</v>
      </c>
      <c r="F7242" t="str">
        <f>IFERROR(__xludf.DUMMYFUNCTION("""COMPUTED_VALUE"""),"ROLB")</f>
        <v>ROLB</v>
      </c>
      <c r="G7242" t="str">
        <f>IFERROR(__xludf.DUMMYFUNCTION("""COMPUTED_VALUE"""),"")</f>
        <v/>
      </c>
    </row>
    <row r="7243">
      <c r="D7243" t="str">
        <f>IFERROR(__xludf.DUMMYFUNCTION("""COMPUTED_VALUE"""),"Bradley")</f>
        <v>Bradley</v>
      </c>
      <c r="E7243" t="str">
        <f>IFERROR(__xludf.DUMMYFUNCTION("""COMPUTED_VALUE"""),"Hunter")</f>
        <v>Hunter</v>
      </c>
      <c r="F7243" t="str">
        <f>IFERROR(__xludf.DUMMYFUNCTION("""COMPUTED_VALUE"""),"TE")</f>
        <v>TE</v>
      </c>
      <c r="G7243" t="str">
        <f>IFERROR(__xludf.DUMMYFUNCTION("""COMPUTED_VALUE"""),"")</f>
        <v/>
      </c>
    </row>
    <row r="7244">
      <c r="D7244" t="str">
        <f>IFERROR(__xludf.DUMMYFUNCTION("""COMPUTED_VALUE"""),"Brady")</f>
        <v>Brady</v>
      </c>
      <c r="E7244" t="str">
        <f>IFERROR(__xludf.DUMMYFUNCTION("""COMPUTED_VALUE"""),"Tom")</f>
        <v>Tom</v>
      </c>
      <c r="F7244" t="str">
        <f>IFERROR(__xludf.DUMMYFUNCTION("""COMPUTED_VALUE"""),"QB")</f>
        <v>QB</v>
      </c>
      <c r="G7244" t="str">
        <f>IFERROR(__xludf.DUMMYFUNCTION("""COMPUTED_VALUE"""),"")</f>
        <v/>
      </c>
    </row>
    <row r="7245">
      <c r="D7245" t="str">
        <f>IFERROR(__xludf.DUMMYFUNCTION("""COMPUTED_VALUE"""),"Brady")</f>
        <v>Brady</v>
      </c>
      <c r="E7245" t="str">
        <f>IFERROR(__xludf.DUMMYFUNCTION("""COMPUTED_VALUE"""),"Tyre")</f>
        <v>Tyre</v>
      </c>
      <c r="F7245" t="str">
        <f>IFERROR(__xludf.DUMMYFUNCTION("""COMPUTED_VALUE"""),"WR")</f>
        <v>WR</v>
      </c>
      <c r="G7245" t="str">
        <f>IFERROR(__xludf.DUMMYFUNCTION("""COMPUTED_VALUE"""),"")</f>
        <v/>
      </c>
    </row>
    <row r="7246">
      <c r="D7246" t="str">
        <f>IFERROR(__xludf.DUMMYFUNCTION("""COMPUTED_VALUE"""),"Brailford")</f>
        <v>Brailford</v>
      </c>
      <c r="E7246" t="str">
        <f>IFERROR(__xludf.DUMMYFUNCTION("""COMPUTED_VALUE"""),"Jordan")</f>
        <v>Jordan</v>
      </c>
      <c r="F7246" t="str">
        <f>IFERROR(__xludf.DUMMYFUNCTION("""COMPUTED_VALUE"""),"LOLB")</f>
        <v>LOLB</v>
      </c>
      <c r="G7246" t="str">
        <f>IFERROR(__xludf.DUMMYFUNCTION("""COMPUTED_VALUE"""),"")</f>
        <v/>
      </c>
    </row>
    <row r="7247">
      <c r="D7247" t="str">
        <f>IFERROR(__xludf.DUMMYFUNCTION("""COMPUTED_VALUE"""),"Branch")</f>
        <v>Branch</v>
      </c>
      <c r="E7247" t="str">
        <f>IFERROR(__xludf.DUMMYFUNCTION("""COMPUTED_VALUE"""),"Marcelis")</f>
        <v>Marcelis</v>
      </c>
      <c r="F7247" t="str">
        <f>IFERROR(__xludf.DUMMYFUNCTION("""COMPUTED_VALUE"""),"SS")</f>
        <v>SS</v>
      </c>
      <c r="G7247" t="str">
        <f>IFERROR(__xludf.DUMMYFUNCTION("""COMPUTED_VALUE"""),"")</f>
        <v/>
      </c>
    </row>
    <row r="7248">
      <c r="D7248" t="str">
        <f>IFERROR(__xludf.DUMMYFUNCTION("""COMPUTED_VALUE"""),"Brantley")</f>
        <v>Brantley</v>
      </c>
      <c r="E7248" t="str">
        <f>IFERROR(__xludf.DUMMYFUNCTION("""COMPUTED_VALUE"""),"Caleb")</f>
        <v>Caleb</v>
      </c>
      <c r="F7248" t="str">
        <f>IFERROR(__xludf.DUMMYFUNCTION("""COMPUTED_VALUE"""),"LE")</f>
        <v>LE</v>
      </c>
      <c r="G7248" t="str">
        <f>IFERROR(__xludf.DUMMYFUNCTION("""COMPUTED_VALUE"""),"")</f>
        <v/>
      </c>
    </row>
    <row r="7249">
      <c r="D7249" t="str">
        <f>IFERROR(__xludf.DUMMYFUNCTION("""COMPUTED_VALUE"""),"Brate")</f>
        <v>Brate</v>
      </c>
      <c r="E7249" t="str">
        <f>IFERROR(__xludf.DUMMYFUNCTION("""COMPUTED_VALUE"""),"Cameron")</f>
        <v>Cameron</v>
      </c>
      <c r="F7249" t="str">
        <f>IFERROR(__xludf.DUMMYFUNCTION("""COMPUTED_VALUE"""),"TE")</f>
        <v>TE</v>
      </c>
      <c r="G7249" t="str">
        <f>IFERROR(__xludf.DUMMYFUNCTION("""COMPUTED_VALUE"""),"")</f>
        <v/>
      </c>
    </row>
    <row r="7250">
      <c r="D7250" t="str">
        <f>IFERROR(__xludf.DUMMYFUNCTION("""COMPUTED_VALUE"""),"Braunecker")</f>
        <v>Braunecker</v>
      </c>
      <c r="E7250" t="str">
        <f>IFERROR(__xludf.DUMMYFUNCTION("""COMPUTED_VALUE"""),"Ben")</f>
        <v>Ben</v>
      </c>
      <c r="F7250" t="str">
        <f>IFERROR(__xludf.DUMMYFUNCTION("""COMPUTED_VALUE"""),"TE")</f>
        <v>TE</v>
      </c>
      <c r="G7250" t="str">
        <f>IFERROR(__xludf.DUMMYFUNCTION("""COMPUTED_VALUE"""),"")</f>
        <v/>
      </c>
    </row>
    <row r="7251">
      <c r="D7251" t="str">
        <f>IFERROR(__xludf.DUMMYFUNCTION("""COMPUTED_VALUE"""),"Bray")</f>
        <v>Bray</v>
      </c>
      <c r="E7251" t="str">
        <f>IFERROR(__xludf.DUMMYFUNCTION("""COMPUTED_VALUE"""),"Tyler")</f>
        <v>Tyler</v>
      </c>
      <c r="F7251" t="str">
        <f>IFERROR(__xludf.DUMMYFUNCTION("""COMPUTED_VALUE"""),"QB")</f>
        <v>QB</v>
      </c>
      <c r="G7251" t="str">
        <f>IFERROR(__xludf.DUMMYFUNCTION("""COMPUTED_VALUE"""),"")</f>
        <v/>
      </c>
    </row>
    <row r="7252">
      <c r="D7252" t="str">
        <f>IFERROR(__xludf.DUMMYFUNCTION("""COMPUTED_VALUE"""),"Breeland")</f>
        <v>Breeland</v>
      </c>
      <c r="E7252" t="str">
        <f>IFERROR(__xludf.DUMMYFUNCTION("""COMPUTED_VALUE"""),"Bashaud")</f>
        <v>Bashaud</v>
      </c>
      <c r="F7252" t="str">
        <f>IFERROR(__xludf.DUMMYFUNCTION("""COMPUTED_VALUE"""),"CB")</f>
        <v>CB</v>
      </c>
      <c r="G7252" t="str">
        <f>IFERROR(__xludf.DUMMYFUNCTION("""COMPUTED_VALUE"""),"")</f>
        <v/>
      </c>
    </row>
    <row r="7253">
      <c r="D7253" t="str">
        <f>IFERROR(__xludf.DUMMYFUNCTION("""COMPUTED_VALUE"""),"Brees")</f>
        <v>Brees</v>
      </c>
      <c r="E7253" t="str">
        <f>IFERROR(__xludf.DUMMYFUNCTION("""COMPUTED_VALUE"""),"Drew")</f>
        <v>Drew</v>
      </c>
      <c r="F7253" t="str">
        <f>IFERROR(__xludf.DUMMYFUNCTION("""COMPUTED_VALUE"""),"QB")</f>
        <v>QB</v>
      </c>
      <c r="G7253" t="str">
        <f>IFERROR(__xludf.DUMMYFUNCTION("""COMPUTED_VALUE"""),"")</f>
        <v/>
      </c>
    </row>
    <row r="7254">
      <c r="D7254" t="str">
        <f>IFERROR(__xludf.DUMMYFUNCTION("""COMPUTED_VALUE"""),"Breida")</f>
        <v>Breida</v>
      </c>
      <c r="E7254" t="str">
        <f>IFERROR(__xludf.DUMMYFUNCTION("""COMPUTED_VALUE"""),"Matt")</f>
        <v>Matt</v>
      </c>
      <c r="F7254" t="str">
        <f>IFERROR(__xludf.DUMMYFUNCTION("""COMPUTED_VALUE"""),"HB")</f>
        <v>HB</v>
      </c>
      <c r="G7254" t="str">
        <f>IFERROR(__xludf.DUMMYFUNCTION("""COMPUTED_VALUE"""),"")</f>
        <v/>
      </c>
    </row>
    <row r="7255">
      <c r="D7255" t="str">
        <f>IFERROR(__xludf.DUMMYFUNCTION("""COMPUTED_VALUE"""),"Brendel")</f>
        <v>Brendel</v>
      </c>
      <c r="E7255" t="str">
        <f>IFERROR(__xludf.DUMMYFUNCTION("""COMPUTED_VALUE"""),"Jake")</f>
        <v>Jake</v>
      </c>
      <c r="F7255" t="str">
        <f>IFERROR(__xludf.DUMMYFUNCTION("""COMPUTED_VALUE"""),"C")</f>
        <v>C</v>
      </c>
      <c r="G7255" t="str">
        <f>IFERROR(__xludf.DUMMYFUNCTION("""COMPUTED_VALUE"""),"")</f>
        <v/>
      </c>
    </row>
    <row r="7256">
      <c r="D7256" t="str">
        <f>IFERROR(__xludf.DUMMYFUNCTION("""COMPUTED_VALUE"""),"Brent")</f>
        <v>Brent</v>
      </c>
      <c r="E7256" t="str">
        <f>IFERROR(__xludf.DUMMYFUNCTION("""COMPUTED_VALUE"""),"KJ")</f>
        <v>KJ</v>
      </c>
      <c r="F7256" t="str">
        <f>IFERROR(__xludf.DUMMYFUNCTION("""COMPUTED_VALUE"""),"WR")</f>
        <v>WR</v>
      </c>
      <c r="G7256" t="str">
        <f>IFERROR(__xludf.DUMMYFUNCTION("""COMPUTED_VALUE"""),"")</f>
        <v/>
      </c>
    </row>
    <row r="7257">
      <c r="D7257" t="str">
        <f>IFERROR(__xludf.DUMMYFUNCTION("""COMPUTED_VALUE"""),"Brewer")</f>
        <v>Brewer</v>
      </c>
      <c r="E7257" t="str">
        <f>IFERROR(__xludf.DUMMYFUNCTION("""COMPUTED_VALUE"""),"Aaron")</f>
        <v>Aaron</v>
      </c>
      <c r="F7257" t="str">
        <f>IFERROR(__xludf.DUMMYFUNCTION("""COMPUTED_VALUE"""),"TE")</f>
        <v>TE</v>
      </c>
      <c r="G7257" t="str">
        <f>IFERROR(__xludf.DUMMYFUNCTION("""COMPUTED_VALUE"""),"")</f>
        <v/>
      </c>
    </row>
    <row r="7258">
      <c r="D7258" t="str">
        <f>IFERROR(__xludf.DUMMYFUNCTION("""COMPUTED_VALUE"""),"Brice")</f>
        <v>Brice</v>
      </c>
      <c r="E7258" t="str">
        <f>IFERROR(__xludf.DUMMYFUNCTION("""COMPUTED_VALUE"""),"Kentrell")</f>
        <v>Kentrell</v>
      </c>
      <c r="F7258" t="str">
        <f>IFERROR(__xludf.DUMMYFUNCTION("""COMPUTED_VALUE"""),"SS")</f>
        <v>SS</v>
      </c>
      <c r="G7258" t="str">
        <f>IFERROR(__xludf.DUMMYFUNCTION("""COMPUTED_VALUE"""),"")</f>
        <v/>
      </c>
    </row>
    <row r="7259">
      <c r="D7259" t="str">
        <f>IFERROR(__xludf.DUMMYFUNCTION("""COMPUTED_VALUE"""),"Bridgewater")</f>
        <v>Bridgewater</v>
      </c>
      <c r="E7259" t="str">
        <f>IFERROR(__xludf.DUMMYFUNCTION("""COMPUTED_VALUE"""),"Teddy")</f>
        <v>Teddy</v>
      </c>
      <c r="F7259" t="str">
        <f>IFERROR(__xludf.DUMMYFUNCTION("""COMPUTED_VALUE"""),"QB")</f>
        <v>QB</v>
      </c>
      <c r="G7259" t="str">
        <f>IFERROR(__xludf.DUMMYFUNCTION("""COMPUTED_VALUE"""),"")</f>
        <v/>
      </c>
    </row>
    <row r="7260">
      <c r="D7260" t="str">
        <f>IFERROR(__xludf.DUMMYFUNCTION("""COMPUTED_VALUE"""),"Brinkley")</f>
        <v>Brinkley</v>
      </c>
      <c r="E7260" t="str">
        <f>IFERROR(__xludf.DUMMYFUNCTION("""COMPUTED_VALUE"""),"Beau")</f>
        <v>Beau</v>
      </c>
      <c r="F7260" t="str">
        <f>IFERROR(__xludf.DUMMYFUNCTION("""COMPUTED_VALUE"""),"TE")</f>
        <v>TE</v>
      </c>
      <c r="G7260" t="str">
        <f>IFERROR(__xludf.DUMMYFUNCTION("""COMPUTED_VALUE"""),"")</f>
        <v/>
      </c>
    </row>
    <row r="7261">
      <c r="D7261" t="str">
        <f>IFERROR(__xludf.DUMMYFUNCTION("""COMPUTED_VALUE"""),"Brissett")</f>
        <v>Brissett</v>
      </c>
      <c r="E7261" t="str">
        <f>IFERROR(__xludf.DUMMYFUNCTION("""COMPUTED_VALUE"""),"Jacoby")</f>
        <v>Jacoby</v>
      </c>
      <c r="F7261" t="str">
        <f>IFERROR(__xludf.DUMMYFUNCTION("""COMPUTED_VALUE"""),"QB")</f>
        <v>QB</v>
      </c>
      <c r="G7261" t="str">
        <f>IFERROR(__xludf.DUMMYFUNCTION("""COMPUTED_VALUE"""),"")</f>
        <v/>
      </c>
    </row>
    <row r="7262">
      <c r="D7262" t="str">
        <f>IFERROR(__xludf.DUMMYFUNCTION("""COMPUTED_VALUE"""),"Britt")</f>
        <v>Britt</v>
      </c>
      <c r="E7262" t="str">
        <f>IFERROR(__xludf.DUMMYFUNCTION("""COMPUTED_VALUE"""),"Justin")</f>
        <v>Justin</v>
      </c>
      <c r="F7262" t="str">
        <f>IFERROR(__xludf.DUMMYFUNCTION("""COMPUTED_VALUE"""),"C")</f>
        <v>C</v>
      </c>
      <c r="G7262" t="str">
        <f>IFERROR(__xludf.DUMMYFUNCTION("""COMPUTED_VALUE"""),"")</f>
        <v/>
      </c>
    </row>
    <row r="7263">
      <c r="D7263" t="str">
        <f>IFERROR(__xludf.DUMMYFUNCTION("""COMPUTED_VALUE"""),"Brock")</f>
        <v>Brock</v>
      </c>
      <c r="E7263" t="str">
        <f>IFERROR(__xludf.DUMMYFUNCTION("""COMPUTED_VALUE"""),"Tramaine")</f>
        <v>Tramaine</v>
      </c>
      <c r="F7263" t="str">
        <f>IFERROR(__xludf.DUMMYFUNCTION("""COMPUTED_VALUE"""),"CB")</f>
        <v>CB</v>
      </c>
      <c r="G7263" t="str">
        <f>IFERROR(__xludf.DUMMYFUNCTION("""COMPUTED_VALUE"""),"")</f>
        <v/>
      </c>
    </row>
    <row r="7264">
      <c r="D7264" t="str">
        <f>IFERROR(__xludf.DUMMYFUNCTION("""COMPUTED_VALUE"""),"Brockers")</f>
        <v>Brockers</v>
      </c>
      <c r="E7264" t="str">
        <f>IFERROR(__xludf.DUMMYFUNCTION("""COMPUTED_VALUE"""),"Michael")</f>
        <v>Michael</v>
      </c>
      <c r="F7264" t="str">
        <f>IFERROR(__xludf.DUMMYFUNCTION("""COMPUTED_VALUE"""),"LE")</f>
        <v>LE</v>
      </c>
      <c r="G7264" t="str">
        <f>IFERROR(__xludf.DUMMYFUNCTION("""COMPUTED_VALUE"""),"")</f>
        <v/>
      </c>
    </row>
    <row r="7265">
      <c r="D7265" t="str">
        <f>IFERROR(__xludf.DUMMYFUNCTION("""COMPUTED_VALUE"""),"Brooks")</f>
        <v>Brooks</v>
      </c>
      <c r="E7265" t="str">
        <f>IFERROR(__xludf.DUMMYFUNCTION("""COMPUTED_VALUE"""),"Brandon")</f>
        <v>Brandon</v>
      </c>
      <c r="F7265" t="str">
        <f>IFERROR(__xludf.DUMMYFUNCTION("""COMPUTED_VALUE"""),"RG")</f>
        <v>RG</v>
      </c>
      <c r="G7265" t="str">
        <f>IFERROR(__xludf.DUMMYFUNCTION("""COMPUTED_VALUE"""),"")</f>
        <v/>
      </c>
    </row>
    <row r="7266">
      <c r="D7266" t="str">
        <f>IFERROR(__xludf.DUMMYFUNCTION("""COMPUTED_VALUE"""),"Brooks")</f>
        <v>Brooks</v>
      </c>
      <c r="E7266" t="str">
        <f>IFERROR(__xludf.DUMMYFUNCTION("""COMPUTED_VALUE"""),"Terrence")</f>
        <v>Terrence</v>
      </c>
      <c r="F7266" t="str">
        <f>IFERROR(__xludf.DUMMYFUNCTION("""COMPUTED_VALUE"""),"SS")</f>
        <v>SS</v>
      </c>
      <c r="G7266" t="str">
        <f>IFERROR(__xludf.DUMMYFUNCTION("""COMPUTED_VALUE"""),"")</f>
        <v/>
      </c>
    </row>
    <row r="7267">
      <c r="D7267" t="str">
        <f>IFERROR(__xludf.DUMMYFUNCTION("""COMPUTED_VALUE"""),"Brothers")</f>
        <v>Brothers</v>
      </c>
      <c r="E7267" t="str">
        <f>IFERROR(__xludf.DUMMYFUNCTION("""COMPUTED_VALUE"""),"Kentrell")</f>
        <v>Kentrell</v>
      </c>
      <c r="F7267" t="str">
        <f>IFERROR(__xludf.DUMMYFUNCTION("""COMPUTED_VALUE"""),"MLB")</f>
        <v>MLB</v>
      </c>
      <c r="G7267" t="str">
        <f>IFERROR(__xludf.DUMMYFUNCTION("""COMPUTED_VALUE"""),"")</f>
        <v/>
      </c>
    </row>
    <row r="7268">
      <c r="D7268" t="str">
        <f>IFERROR(__xludf.DUMMYFUNCTION("""COMPUTED_VALUE"""),"Broughton")</f>
        <v>Broughton</v>
      </c>
      <c r="E7268" t="str">
        <f>IFERROR(__xludf.DUMMYFUNCTION("""COMPUTED_VALUE"""),"Cortez")</f>
        <v>Cortez</v>
      </c>
      <c r="F7268" t="str">
        <f>IFERROR(__xludf.DUMMYFUNCTION("""COMPUTED_VALUE"""),"DT")</f>
        <v>DT</v>
      </c>
      <c r="G7268" t="str">
        <f>IFERROR(__xludf.DUMMYFUNCTION("""COMPUTED_VALUE"""),"")</f>
        <v/>
      </c>
    </row>
    <row r="7269">
      <c r="D7269" t="str">
        <f>IFERROR(__xludf.DUMMYFUNCTION("""COMPUTED_VALUE"""),"Brown")</f>
        <v>Brown</v>
      </c>
      <c r="E7269" t="str">
        <f>IFERROR(__xludf.DUMMYFUNCTION("""COMPUTED_VALUE"""),"AJ")</f>
        <v>AJ</v>
      </c>
      <c r="F7269" t="str">
        <f>IFERROR(__xludf.DUMMYFUNCTION("""COMPUTED_VALUE"""),"WR")</f>
        <v>WR</v>
      </c>
      <c r="G7269" t="str">
        <f>IFERROR(__xludf.DUMMYFUNCTION("""COMPUTED_VALUE"""),"")</f>
        <v/>
      </c>
    </row>
    <row r="7270">
      <c r="D7270" t="str">
        <f>IFERROR(__xludf.DUMMYFUNCTION("""COMPUTED_VALUE"""),"Brown")</f>
        <v>Brown</v>
      </c>
      <c r="E7270" t="str">
        <f>IFERROR(__xludf.DUMMYFUNCTION("""COMPUTED_VALUE"""),"Andrew")</f>
        <v>Andrew</v>
      </c>
      <c r="F7270" t="str">
        <f>IFERROR(__xludf.DUMMYFUNCTION("""COMPUTED_VALUE"""),"DT")</f>
        <v>DT</v>
      </c>
      <c r="G7270" t="str">
        <f>IFERROR(__xludf.DUMMYFUNCTION("""COMPUTED_VALUE"""),"")</f>
        <v/>
      </c>
    </row>
    <row r="7271">
      <c r="D7271" t="str">
        <f>IFERROR(__xludf.DUMMYFUNCTION("""COMPUTED_VALUE"""),"Brown")</f>
        <v>Brown</v>
      </c>
      <c r="E7271" t="str">
        <f>IFERROR(__xludf.DUMMYFUNCTION("""COMPUTED_VALUE"""),"Anthony")</f>
        <v>Anthony</v>
      </c>
      <c r="F7271" t="str">
        <f>IFERROR(__xludf.DUMMYFUNCTION("""COMPUTED_VALUE"""),"CB")</f>
        <v>CB</v>
      </c>
      <c r="G7271" t="str">
        <f>IFERROR(__xludf.DUMMYFUNCTION("""COMPUTED_VALUE"""),"")</f>
        <v/>
      </c>
    </row>
    <row r="7272">
      <c r="D7272" t="str">
        <f>IFERROR(__xludf.DUMMYFUNCTION("""COMPUTED_VALUE"""),"Brown")</f>
        <v>Brown</v>
      </c>
      <c r="E7272" t="str">
        <f>IFERROR(__xludf.DUMMYFUNCTION("""COMPUTED_VALUE"""),"Antonio")</f>
        <v>Antonio</v>
      </c>
      <c r="F7272" t="str">
        <f>IFERROR(__xludf.DUMMYFUNCTION("""COMPUTED_VALUE"""),"WR")</f>
        <v>WR</v>
      </c>
      <c r="G7272" t="str">
        <f>IFERROR(__xludf.DUMMYFUNCTION("""COMPUTED_VALUE"""),"")</f>
        <v/>
      </c>
    </row>
    <row r="7273">
      <c r="D7273" t="str">
        <f>IFERROR(__xludf.DUMMYFUNCTION("""COMPUTED_VALUE"""),"Brown")</f>
        <v>Brown</v>
      </c>
      <c r="E7273" t="str">
        <f>IFERROR(__xludf.DUMMYFUNCTION("""COMPUTED_VALUE"""),"Billy")</f>
        <v>Billy</v>
      </c>
      <c r="F7273" t="str">
        <f>IFERROR(__xludf.DUMMYFUNCTION("""COMPUTED_VALUE"""),"TE")</f>
        <v>TE</v>
      </c>
      <c r="G7273" t="str">
        <f>IFERROR(__xludf.DUMMYFUNCTION("""COMPUTED_VALUE"""),"")</f>
        <v/>
      </c>
    </row>
    <row r="7274">
      <c r="D7274" t="str">
        <f>IFERROR(__xludf.DUMMYFUNCTION("""COMPUTED_VALUE"""),"Brown")</f>
        <v>Brown</v>
      </c>
      <c r="E7274" t="str">
        <f>IFERROR(__xludf.DUMMYFUNCTION("""COMPUTED_VALUE"""),"Daniel")</f>
        <v>Daniel</v>
      </c>
      <c r="F7274" t="str">
        <f>IFERROR(__xludf.DUMMYFUNCTION("""COMPUTED_VALUE"""),"TE")</f>
        <v>TE</v>
      </c>
      <c r="G7274" t="str">
        <f>IFERROR(__xludf.DUMMYFUNCTION("""COMPUTED_VALUE"""),"")</f>
        <v/>
      </c>
    </row>
    <row r="7275">
      <c r="D7275" t="str">
        <f>IFERROR(__xludf.DUMMYFUNCTION("""COMPUTED_VALUE"""),"Brown")</f>
        <v>Brown</v>
      </c>
      <c r="E7275" t="str">
        <f>IFERROR(__xludf.DUMMYFUNCTION("""COMPUTED_VALUE"""),"Duane")</f>
        <v>Duane</v>
      </c>
      <c r="F7275" t="str">
        <f>IFERROR(__xludf.DUMMYFUNCTION("""COMPUTED_VALUE"""),"LT")</f>
        <v>LT</v>
      </c>
      <c r="G7275" t="str">
        <f>IFERROR(__xludf.DUMMYFUNCTION("""COMPUTED_VALUE"""),"")</f>
        <v/>
      </c>
    </row>
    <row r="7276">
      <c r="D7276" t="str">
        <f>IFERROR(__xludf.DUMMYFUNCTION("""COMPUTED_VALUE"""),"Brown")</f>
        <v>Brown</v>
      </c>
      <c r="E7276" t="str">
        <f>IFERROR(__xludf.DUMMYFUNCTION("""COMPUTED_VALUE"""),"Evan")</f>
        <v>Evan</v>
      </c>
      <c r="F7276" t="str">
        <f>IFERROR(__xludf.DUMMYFUNCTION("""COMPUTED_VALUE"""),"LG")</f>
        <v>LG</v>
      </c>
      <c r="G7276" t="str">
        <f>IFERROR(__xludf.DUMMYFUNCTION("""COMPUTED_VALUE"""),"")</f>
        <v/>
      </c>
    </row>
    <row r="7277">
      <c r="D7277" t="str">
        <f>IFERROR(__xludf.DUMMYFUNCTION("""COMPUTED_VALUE"""),"Brown")</f>
        <v>Brown</v>
      </c>
      <c r="E7277" t="str">
        <f>IFERROR(__xludf.DUMMYFUNCTION("""COMPUTED_VALUE"""),"Fadol")</f>
        <v>Fadol</v>
      </c>
      <c r="F7277" t="str">
        <f>IFERROR(__xludf.DUMMYFUNCTION("""COMPUTED_VALUE"""),"LE")</f>
        <v>LE</v>
      </c>
      <c r="G7277" t="str">
        <f>IFERROR(__xludf.DUMMYFUNCTION("""COMPUTED_VALUE"""),"")</f>
        <v/>
      </c>
    </row>
    <row r="7278">
      <c r="D7278" t="str">
        <f>IFERROR(__xludf.DUMMYFUNCTION("""COMPUTED_VALUE"""),"Brown")</f>
        <v>Brown</v>
      </c>
      <c r="E7278" t="str">
        <f>IFERROR(__xludf.DUMMYFUNCTION("""COMPUTED_VALUE"""),"Jamon")</f>
        <v>Jamon</v>
      </c>
      <c r="F7278" t="str">
        <f>IFERROR(__xludf.DUMMYFUNCTION("""COMPUTED_VALUE"""),"RG")</f>
        <v>RG</v>
      </c>
      <c r="G7278" t="str">
        <f>IFERROR(__xludf.DUMMYFUNCTION("""COMPUTED_VALUE"""),"")</f>
        <v/>
      </c>
    </row>
    <row r="7279">
      <c r="D7279" t="str">
        <f>IFERROR(__xludf.DUMMYFUNCTION("""COMPUTED_VALUE"""),"Brown")</f>
        <v>Brown</v>
      </c>
      <c r="E7279" t="str">
        <f>IFERROR(__xludf.DUMMYFUNCTION("""COMPUTED_VALUE"""),"Jaron")</f>
        <v>Jaron</v>
      </c>
      <c r="F7279" t="str">
        <f>IFERROR(__xludf.DUMMYFUNCTION("""COMPUTED_VALUE"""),"WR")</f>
        <v>WR</v>
      </c>
      <c r="G7279" t="str">
        <f>IFERROR(__xludf.DUMMYFUNCTION("""COMPUTED_VALUE"""),"")</f>
        <v/>
      </c>
    </row>
    <row r="7280">
      <c r="D7280" t="str">
        <f>IFERROR(__xludf.DUMMYFUNCTION("""COMPUTED_VALUE"""),"Brown")</f>
        <v>Brown</v>
      </c>
      <c r="E7280" t="str">
        <f>IFERROR(__xludf.DUMMYFUNCTION("""COMPUTED_VALUE"""),"Jatavis")</f>
        <v>Jatavis</v>
      </c>
      <c r="F7280" t="str">
        <f>IFERROR(__xludf.DUMMYFUNCTION("""COMPUTED_VALUE"""),"LOLB")</f>
        <v>LOLB</v>
      </c>
      <c r="G7280" t="str">
        <f>IFERROR(__xludf.DUMMYFUNCTION("""COMPUTED_VALUE"""),"")</f>
        <v/>
      </c>
    </row>
    <row r="7281">
      <c r="D7281" t="str">
        <f>IFERROR(__xludf.DUMMYFUNCTION("""COMPUTED_VALUE"""),"Brown")</f>
        <v>Brown</v>
      </c>
      <c r="E7281" t="str">
        <f>IFERROR(__xludf.DUMMYFUNCTION("""COMPUTED_VALUE"""),"Jayon")</f>
        <v>Jayon</v>
      </c>
      <c r="F7281" t="str">
        <f>IFERROR(__xludf.DUMMYFUNCTION("""COMPUTED_VALUE"""),"MLB")</f>
        <v>MLB</v>
      </c>
      <c r="G7281" t="str">
        <f>IFERROR(__xludf.DUMMYFUNCTION("""COMPUTED_VALUE"""),"")</f>
        <v/>
      </c>
    </row>
    <row r="7282">
      <c r="D7282" t="str">
        <f>IFERROR(__xludf.DUMMYFUNCTION("""COMPUTED_VALUE"""),"Brown")</f>
        <v>Brown</v>
      </c>
      <c r="E7282" t="str">
        <f>IFERROR(__xludf.DUMMYFUNCTION("""COMPUTED_VALUE"""),"John")</f>
        <v>John</v>
      </c>
      <c r="F7282" t="str">
        <f>IFERROR(__xludf.DUMMYFUNCTION("""COMPUTED_VALUE"""),"WR")</f>
        <v>WR</v>
      </c>
      <c r="G7282" t="str">
        <f>IFERROR(__xludf.DUMMYFUNCTION("""COMPUTED_VALUE"""),"")</f>
        <v/>
      </c>
    </row>
    <row r="7283">
      <c r="D7283" t="str">
        <f>IFERROR(__xludf.DUMMYFUNCTION("""COMPUTED_VALUE"""),"Brown")</f>
        <v>Brown</v>
      </c>
      <c r="E7283" t="str">
        <f>IFERROR(__xludf.DUMMYFUNCTION("""COMPUTED_VALUE"""),"Jonathan")</f>
        <v>Jonathan</v>
      </c>
      <c r="F7283" t="str">
        <f>IFERROR(__xludf.DUMMYFUNCTION("""COMPUTED_VALUE"""),"K")</f>
        <v>K</v>
      </c>
      <c r="G7283" t="str">
        <f>IFERROR(__xludf.DUMMYFUNCTION("""COMPUTED_VALUE"""),"")</f>
        <v/>
      </c>
    </row>
    <row r="7284">
      <c r="D7284" t="str">
        <f>IFERROR(__xludf.DUMMYFUNCTION("""COMPUTED_VALUE"""),"Brown")</f>
        <v>Brown</v>
      </c>
      <c r="E7284" t="str">
        <f>IFERROR(__xludf.DUMMYFUNCTION("""COMPUTED_VALUE"""),"Jordan")</f>
        <v>Jordan</v>
      </c>
      <c r="F7284" t="str">
        <f>IFERROR(__xludf.DUMMYFUNCTION("""COMPUTED_VALUE"""),"CB")</f>
        <v>CB</v>
      </c>
      <c r="G7284" t="str">
        <f>IFERROR(__xludf.DUMMYFUNCTION("""COMPUTED_VALUE"""),"")</f>
        <v/>
      </c>
    </row>
    <row r="7285">
      <c r="D7285" t="str">
        <f>IFERROR(__xludf.DUMMYFUNCTION("""COMPUTED_VALUE"""),"Brown")</f>
        <v>Brown</v>
      </c>
      <c r="E7285" t="str">
        <f>IFERROR(__xludf.DUMMYFUNCTION("""COMPUTED_VALUE"""),"Malcolm")</f>
        <v>Malcolm</v>
      </c>
      <c r="F7285" t="str">
        <f>IFERROR(__xludf.DUMMYFUNCTION("""COMPUTED_VALUE"""),"HB")</f>
        <v>HB</v>
      </c>
      <c r="G7285" t="str">
        <f>IFERROR(__xludf.DUMMYFUNCTION("""COMPUTED_VALUE"""),"")</f>
        <v/>
      </c>
    </row>
    <row r="7286">
      <c r="D7286" t="str">
        <f>IFERROR(__xludf.DUMMYFUNCTION("""COMPUTED_VALUE"""),"Brown")</f>
        <v>Brown</v>
      </c>
      <c r="E7286" t="str">
        <f>IFERROR(__xludf.DUMMYFUNCTION("""COMPUTED_VALUE"""),"Malcom")</f>
        <v>Malcom</v>
      </c>
      <c r="F7286" t="str">
        <f>IFERROR(__xludf.DUMMYFUNCTION("""COMPUTED_VALUE"""),"DT")</f>
        <v>DT</v>
      </c>
      <c r="G7286" t="str">
        <f>IFERROR(__xludf.DUMMYFUNCTION("""COMPUTED_VALUE"""),"")</f>
        <v/>
      </c>
    </row>
    <row r="7287">
      <c r="D7287" t="str">
        <f>IFERROR(__xludf.DUMMYFUNCTION("""COMPUTED_VALUE"""),"Brown")</f>
        <v>Brown</v>
      </c>
      <c r="E7287" t="str">
        <f>IFERROR(__xludf.DUMMYFUNCTION("""COMPUTED_VALUE"""),"Marquise")</f>
        <v>Marquise</v>
      </c>
      <c r="F7287" t="str">
        <f>IFERROR(__xludf.DUMMYFUNCTION("""COMPUTED_VALUE"""),"WR")</f>
        <v>WR</v>
      </c>
      <c r="G7287" t="str">
        <f>IFERROR(__xludf.DUMMYFUNCTION("""COMPUTED_VALUE"""),"")</f>
        <v/>
      </c>
    </row>
    <row r="7288">
      <c r="D7288" t="str">
        <f>IFERROR(__xludf.DUMMYFUNCTION("""COMPUTED_VALUE"""),"Brown")</f>
        <v>Brown</v>
      </c>
      <c r="E7288" t="str">
        <f>IFERROR(__xludf.DUMMYFUNCTION("""COMPUTED_VALUE"""),"Noah")</f>
        <v>Noah</v>
      </c>
      <c r="F7288" t="str">
        <f>IFERROR(__xludf.DUMMYFUNCTION("""COMPUTED_VALUE"""),"WR")</f>
        <v>WR</v>
      </c>
      <c r="G7288" t="str">
        <f>IFERROR(__xludf.DUMMYFUNCTION("""COMPUTED_VALUE"""),"")</f>
        <v/>
      </c>
    </row>
    <row r="7289">
      <c r="D7289" t="str">
        <f>IFERROR(__xludf.DUMMYFUNCTION("""COMPUTED_VALUE"""),"Brown")</f>
        <v>Brown</v>
      </c>
      <c r="E7289" t="str">
        <f>IFERROR(__xludf.DUMMYFUNCTION("""COMPUTED_VALUE"""),"Orlando")</f>
        <v>Orlando</v>
      </c>
      <c r="F7289" t="str">
        <f>IFERROR(__xludf.DUMMYFUNCTION("""COMPUTED_VALUE"""),"RT")</f>
        <v>RT</v>
      </c>
      <c r="G7289" t="str">
        <f>IFERROR(__xludf.DUMMYFUNCTION("""COMPUTED_VALUE"""),"")</f>
        <v/>
      </c>
    </row>
    <row r="7290">
      <c r="D7290" t="str">
        <f>IFERROR(__xludf.DUMMYFUNCTION("""COMPUTED_VALUE"""),"Brown")</f>
        <v>Brown</v>
      </c>
      <c r="E7290" t="str">
        <f>IFERROR(__xludf.DUMMYFUNCTION("""COMPUTED_VALUE"""),"Pharaoh")</f>
        <v>Pharaoh</v>
      </c>
      <c r="F7290" t="str">
        <f>IFERROR(__xludf.DUMMYFUNCTION("""COMPUTED_VALUE"""),"TE")</f>
        <v>TE</v>
      </c>
      <c r="G7290" t="str">
        <f>IFERROR(__xludf.DUMMYFUNCTION("""COMPUTED_VALUE"""),"")</f>
        <v/>
      </c>
    </row>
    <row r="7291">
      <c r="D7291" t="str">
        <f>IFERROR(__xludf.DUMMYFUNCTION("""COMPUTED_VALUE"""),"Brown")</f>
        <v>Brown</v>
      </c>
      <c r="E7291" t="str">
        <f>IFERROR(__xludf.DUMMYFUNCTION("""COMPUTED_VALUE"""),"Preston")</f>
        <v>Preston</v>
      </c>
      <c r="F7291" t="str">
        <f>IFERROR(__xludf.DUMMYFUNCTION("""COMPUTED_VALUE"""),"MLB")</f>
        <v>MLB</v>
      </c>
      <c r="G7291" t="str">
        <f>IFERROR(__xludf.DUMMYFUNCTION("""COMPUTED_VALUE"""),"")</f>
        <v/>
      </c>
    </row>
    <row r="7292">
      <c r="D7292" t="str">
        <f>IFERROR(__xludf.DUMMYFUNCTION("""COMPUTED_VALUE"""),"Brown")</f>
        <v>Brown</v>
      </c>
      <c r="E7292" t="str">
        <f>IFERROR(__xludf.DUMMYFUNCTION("""COMPUTED_VALUE"""),"Tony")</f>
        <v>Tony</v>
      </c>
      <c r="F7292" t="str">
        <f>IFERROR(__xludf.DUMMYFUNCTION("""COMPUTED_VALUE"""),"CB")</f>
        <v>CB</v>
      </c>
      <c r="G7292" t="str">
        <f>IFERROR(__xludf.DUMMYFUNCTION("""COMPUTED_VALUE"""),"")</f>
        <v/>
      </c>
    </row>
    <row r="7293">
      <c r="D7293" t="str">
        <f>IFERROR(__xludf.DUMMYFUNCTION("""COMPUTED_VALUE"""),"Brown")</f>
        <v>Brown</v>
      </c>
      <c r="E7293" t="str">
        <f>IFERROR(__xludf.DUMMYFUNCTION("""COMPUTED_VALUE"""),"Trent")</f>
        <v>Trent</v>
      </c>
      <c r="F7293" t="str">
        <f>IFERROR(__xludf.DUMMYFUNCTION("""COMPUTED_VALUE"""),"RT")</f>
        <v>RT</v>
      </c>
      <c r="G7293" t="str">
        <f>IFERROR(__xludf.DUMMYFUNCTION("""COMPUTED_VALUE"""),"")</f>
        <v/>
      </c>
    </row>
    <row r="7294">
      <c r="D7294" t="str">
        <f>IFERROR(__xludf.DUMMYFUNCTION("""COMPUTED_VALUE"""),"Brown")</f>
        <v>Brown</v>
      </c>
      <c r="E7294" t="str">
        <f>IFERROR(__xludf.DUMMYFUNCTION("""COMPUTED_VALUE"""),"Zach")</f>
        <v>Zach</v>
      </c>
      <c r="F7294" t="str">
        <f>IFERROR(__xludf.DUMMYFUNCTION("""COMPUTED_VALUE"""),"MLB")</f>
        <v>MLB</v>
      </c>
      <c r="G7294" t="str">
        <f>IFERROR(__xludf.DUMMYFUNCTION("""COMPUTED_VALUE"""),"")</f>
        <v/>
      </c>
    </row>
    <row r="7295">
      <c r="D7295" t="str">
        <f>IFERROR(__xludf.DUMMYFUNCTION("""COMPUTED_VALUE"""),"Brunskill")</f>
        <v>Brunskill</v>
      </c>
      <c r="E7295" t="str">
        <f>IFERROR(__xludf.DUMMYFUNCTION("""COMPUTED_VALUE"""),"Daniel")</f>
        <v>Daniel</v>
      </c>
      <c r="F7295" t="str">
        <f>IFERROR(__xludf.DUMMYFUNCTION("""COMPUTED_VALUE"""),"LT")</f>
        <v>LT</v>
      </c>
      <c r="G7295" t="str">
        <f>IFERROR(__xludf.DUMMYFUNCTION("""COMPUTED_VALUE"""),"")</f>
        <v/>
      </c>
    </row>
    <row r="7296">
      <c r="D7296" t="str">
        <f>IFERROR(__xludf.DUMMYFUNCTION("""COMPUTED_VALUE"""),"Bryan")</f>
        <v>Bryan</v>
      </c>
      <c r="E7296" t="str">
        <f>IFERROR(__xludf.DUMMYFUNCTION("""COMPUTED_VALUE"""),"Taven")</f>
        <v>Taven</v>
      </c>
      <c r="F7296" t="str">
        <f>IFERROR(__xludf.DUMMYFUNCTION("""COMPUTED_VALUE"""),"RE")</f>
        <v>RE</v>
      </c>
      <c r="G7296" t="str">
        <f>IFERROR(__xludf.DUMMYFUNCTION("""COMPUTED_VALUE"""),"")</f>
        <v/>
      </c>
    </row>
    <row r="7297">
      <c r="D7297" t="str">
        <f>IFERROR(__xludf.DUMMYFUNCTION("""COMPUTED_VALUE"""),"Bryant")</f>
        <v>Bryant</v>
      </c>
      <c r="E7297" t="str">
        <f>IFERROR(__xludf.DUMMYFUNCTION("""COMPUTED_VALUE"""),"Austin")</f>
        <v>Austin</v>
      </c>
      <c r="F7297" t="str">
        <f>IFERROR(__xludf.DUMMYFUNCTION("""COMPUTED_VALUE"""),"LE")</f>
        <v>LE</v>
      </c>
      <c r="G7297" t="str">
        <f>IFERROR(__xludf.DUMMYFUNCTION("""COMPUTED_VALUE"""),"")</f>
        <v/>
      </c>
    </row>
    <row r="7298">
      <c r="D7298" t="str">
        <f>IFERROR(__xludf.DUMMYFUNCTION("""COMPUTED_VALUE"""),"Bryant")</f>
        <v>Bryant</v>
      </c>
      <c r="E7298" t="str">
        <f>IFERROR(__xludf.DUMMYFUNCTION("""COMPUTED_VALUE"""),"Brandon")</f>
        <v>Brandon</v>
      </c>
      <c r="F7298" t="str">
        <f>IFERROR(__xludf.DUMMYFUNCTION("""COMPUTED_VALUE"""),"SS")</f>
        <v>SS</v>
      </c>
      <c r="G7298" t="str">
        <f>IFERROR(__xludf.DUMMYFUNCTION("""COMPUTED_VALUE"""),"")</f>
        <v/>
      </c>
    </row>
    <row r="7299">
      <c r="D7299" t="str">
        <f>IFERROR(__xludf.DUMMYFUNCTION("""COMPUTED_VALUE"""),"Bucannon")</f>
        <v>Bucannon</v>
      </c>
      <c r="E7299" t="str">
        <f>IFERROR(__xludf.DUMMYFUNCTION("""COMPUTED_VALUE"""),"Deone")</f>
        <v>Deone</v>
      </c>
      <c r="F7299" t="str">
        <f>IFERROR(__xludf.DUMMYFUNCTION("""COMPUTED_VALUE"""),"MLB")</f>
        <v>MLB</v>
      </c>
      <c r="G7299" t="str">
        <f>IFERROR(__xludf.DUMMYFUNCTION("""COMPUTED_VALUE"""),"")</f>
        <v/>
      </c>
    </row>
    <row r="7300">
      <c r="D7300" t="str">
        <f>IFERROR(__xludf.DUMMYFUNCTION("""COMPUTED_VALUE"""),"Buckner")</f>
        <v>Buckner</v>
      </c>
      <c r="E7300" t="str">
        <f>IFERROR(__xludf.DUMMYFUNCTION("""COMPUTED_VALUE"""),"DeForest")</f>
        <v>DeForest</v>
      </c>
      <c r="F7300" t="str">
        <f>IFERROR(__xludf.DUMMYFUNCTION("""COMPUTED_VALUE"""),"DT")</f>
        <v>DT</v>
      </c>
      <c r="G7300" t="str">
        <f>IFERROR(__xludf.DUMMYFUNCTION("""COMPUTED_VALUE"""),"")</f>
        <v/>
      </c>
    </row>
    <row r="7301">
      <c r="D7301" t="str">
        <f>IFERROR(__xludf.DUMMYFUNCTION("""COMPUTED_VALUE"""),"Buggs")</f>
        <v>Buggs</v>
      </c>
      <c r="E7301" t="str">
        <f>IFERROR(__xludf.DUMMYFUNCTION("""COMPUTED_VALUE"""),"Isaiah")</f>
        <v>Isaiah</v>
      </c>
      <c r="F7301" t="str">
        <f>IFERROR(__xludf.DUMMYFUNCTION("""COMPUTED_VALUE"""),"RE")</f>
        <v>RE</v>
      </c>
      <c r="G7301" t="str">
        <f>IFERROR(__xludf.DUMMYFUNCTION("""COMPUTED_VALUE"""),"")</f>
        <v/>
      </c>
    </row>
    <row r="7302">
      <c r="D7302" t="str">
        <f>IFERROR(__xludf.DUMMYFUNCTION("""COMPUTED_VALUE"""),"Bulaga")</f>
        <v>Bulaga</v>
      </c>
      <c r="E7302" t="str">
        <f>IFERROR(__xludf.DUMMYFUNCTION("""COMPUTED_VALUE"""),"Bryan")</f>
        <v>Bryan</v>
      </c>
      <c r="F7302" t="str">
        <f>IFERROR(__xludf.DUMMYFUNCTION("""COMPUTED_VALUE"""),"RT")</f>
        <v>RT</v>
      </c>
      <c r="G7302" t="str">
        <f>IFERROR(__xludf.DUMMYFUNCTION("""COMPUTED_VALUE"""),"")</f>
        <v/>
      </c>
    </row>
    <row r="7303">
      <c r="D7303" t="str">
        <f>IFERROR(__xludf.DUMMYFUNCTION("""COMPUTED_VALUE"""),"Bullard")</f>
        <v>Bullard</v>
      </c>
      <c r="E7303" t="str">
        <f>IFERROR(__xludf.DUMMYFUNCTION("""COMPUTED_VALUE"""),"Jonathan")</f>
        <v>Jonathan</v>
      </c>
      <c r="F7303" t="str">
        <f>IFERROR(__xludf.DUMMYFUNCTION("""COMPUTED_VALUE"""),"RE")</f>
        <v>RE</v>
      </c>
      <c r="G7303" t="str">
        <f>IFERROR(__xludf.DUMMYFUNCTION("""COMPUTED_VALUE"""),"")</f>
        <v/>
      </c>
    </row>
    <row r="7304">
      <c r="D7304" t="str">
        <f>IFERROR(__xludf.DUMMYFUNCTION("""COMPUTED_VALUE"""),"Bullock")</f>
        <v>Bullock</v>
      </c>
      <c r="E7304" t="str">
        <f>IFERROR(__xludf.DUMMYFUNCTION("""COMPUTED_VALUE"""),"Randy")</f>
        <v>Randy</v>
      </c>
      <c r="F7304" t="str">
        <f>IFERROR(__xludf.DUMMYFUNCTION("""COMPUTED_VALUE"""),"K")</f>
        <v>K</v>
      </c>
      <c r="G7304" t="str">
        <f>IFERROR(__xludf.DUMMYFUNCTION("""COMPUTED_VALUE"""),"")</f>
        <v/>
      </c>
    </row>
    <row r="7305">
      <c r="D7305" t="str">
        <f>IFERROR(__xludf.DUMMYFUNCTION("""COMPUTED_VALUE"""),"Bullough")</f>
        <v>Bullough</v>
      </c>
      <c r="E7305" t="str">
        <f>IFERROR(__xludf.DUMMYFUNCTION("""COMPUTED_VALUE"""),"Riley")</f>
        <v>Riley</v>
      </c>
      <c r="F7305" t="str">
        <f>IFERROR(__xludf.DUMMYFUNCTION("""COMPUTED_VALUE"""),"MLB")</f>
        <v>MLB</v>
      </c>
      <c r="G7305" t="str">
        <f>IFERROR(__xludf.DUMMYFUNCTION("""COMPUTED_VALUE"""),"")</f>
        <v/>
      </c>
    </row>
    <row r="7306">
      <c r="D7306" t="str">
        <f>IFERROR(__xludf.DUMMYFUNCTION("""COMPUTED_VALUE"""),"Burbridge")</f>
        <v>Burbridge</v>
      </c>
      <c r="E7306" t="str">
        <f>IFERROR(__xludf.DUMMYFUNCTION("""COMPUTED_VALUE"""),"Aaron")</f>
        <v>Aaron</v>
      </c>
      <c r="F7306" t="str">
        <f>IFERROR(__xludf.DUMMYFUNCTION("""COMPUTED_VALUE"""),"WR")</f>
        <v>WR</v>
      </c>
      <c r="G7306" t="str">
        <f>IFERROR(__xludf.DUMMYFUNCTION("""COMPUTED_VALUE"""),"")</f>
        <v/>
      </c>
    </row>
    <row r="7307">
      <c r="D7307" t="str">
        <f>IFERROR(__xludf.DUMMYFUNCTION("""COMPUTED_VALUE"""),"Burfict")</f>
        <v>Burfict</v>
      </c>
      <c r="E7307" t="str">
        <f>IFERROR(__xludf.DUMMYFUNCTION("""COMPUTED_VALUE"""),"Vontaze")</f>
        <v>Vontaze</v>
      </c>
      <c r="F7307" t="str">
        <f>IFERROR(__xludf.DUMMYFUNCTION("""COMPUTED_VALUE"""),"ROLB")</f>
        <v>ROLB</v>
      </c>
      <c r="G7307" t="str">
        <f>IFERROR(__xludf.DUMMYFUNCTION("""COMPUTED_VALUE"""),"")</f>
        <v/>
      </c>
    </row>
    <row r="7308">
      <c r="D7308" t="str">
        <f>IFERROR(__xludf.DUMMYFUNCTION("""COMPUTED_VALUE"""),"Burgess")</f>
        <v>Burgess</v>
      </c>
      <c r="E7308" t="str">
        <f>IFERROR(__xludf.DUMMYFUNCTION("""COMPUTED_VALUE"""),"James")</f>
        <v>James</v>
      </c>
      <c r="F7308" t="str">
        <f>IFERROR(__xludf.DUMMYFUNCTION("""COMPUTED_VALUE"""),"MLB")</f>
        <v>MLB</v>
      </c>
      <c r="G7308" t="str">
        <f>IFERROR(__xludf.DUMMYFUNCTION("""COMPUTED_VALUE"""),"")</f>
        <v/>
      </c>
    </row>
    <row r="7309">
      <c r="D7309" t="str">
        <f>IFERROR(__xludf.DUMMYFUNCTION("""COMPUTED_VALUE"""),"Burkhead")</f>
        <v>Burkhead</v>
      </c>
      <c r="E7309" t="str">
        <f>IFERROR(__xludf.DUMMYFUNCTION("""COMPUTED_VALUE"""),"Rex")</f>
        <v>Rex</v>
      </c>
      <c r="F7309" t="str">
        <f>IFERROR(__xludf.DUMMYFUNCTION("""COMPUTED_VALUE"""),"HB")</f>
        <v>HB</v>
      </c>
      <c r="G7309" t="str">
        <f>IFERROR(__xludf.DUMMYFUNCTION("""COMPUTED_VALUE"""),"")</f>
        <v/>
      </c>
    </row>
    <row r="7310">
      <c r="D7310" t="str">
        <f>IFERROR(__xludf.DUMMYFUNCTION("""COMPUTED_VALUE"""),"Burks")</f>
        <v>Burks</v>
      </c>
      <c r="E7310" t="str">
        <f>IFERROR(__xludf.DUMMYFUNCTION("""COMPUTED_VALUE"""),"Oren")</f>
        <v>Oren</v>
      </c>
      <c r="F7310" t="str">
        <f>IFERROR(__xludf.DUMMYFUNCTION("""COMPUTED_VALUE"""),"MLB")</f>
        <v>MLB</v>
      </c>
      <c r="G7310" t="str">
        <f>IFERROR(__xludf.DUMMYFUNCTION("""COMPUTED_VALUE"""),"")</f>
        <v/>
      </c>
    </row>
    <row r="7311">
      <c r="D7311" t="str">
        <f>IFERROR(__xludf.DUMMYFUNCTION("""COMPUTED_VALUE"""),"Burnett")</f>
        <v>Burnett</v>
      </c>
      <c r="E7311" t="str">
        <f>IFERROR(__xludf.DUMMYFUNCTION("""COMPUTED_VALUE"""),"Deontay")</f>
        <v>Deontay</v>
      </c>
      <c r="F7311" t="str">
        <f>IFERROR(__xludf.DUMMYFUNCTION("""COMPUTED_VALUE"""),"WR")</f>
        <v>WR</v>
      </c>
      <c r="G7311" t="str">
        <f>IFERROR(__xludf.DUMMYFUNCTION("""COMPUTED_VALUE"""),"")</f>
        <v/>
      </c>
    </row>
    <row r="7312">
      <c r="D7312" t="str">
        <f>IFERROR(__xludf.DUMMYFUNCTION("""COMPUTED_VALUE"""),"Burnett")</f>
        <v>Burnett</v>
      </c>
      <c r="E7312" t="str">
        <f>IFERROR(__xludf.DUMMYFUNCTION("""COMPUTED_VALUE"""),"Morgan")</f>
        <v>Morgan</v>
      </c>
      <c r="F7312" t="str">
        <f>IFERROR(__xludf.DUMMYFUNCTION("""COMPUTED_VALUE"""),"SS")</f>
        <v>SS</v>
      </c>
      <c r="G7312" t="str">
        <f>IFERROR(__xludf.DUMMYFUNCTION("""COMPUTED_VALUE"""),"")</f>
        <v/>
      </c>
    </row>
    <row r="7313">
      <c r="D7313" t="str">
        <f>IFERROR(__xludf.DUMMYFUNCTION("""COMPUTED_VALUE"""),"Burns")</f>
        <v>Burns</v>
      </c>
      <c r="E7313" t="str">
        <f>IFERROR(__xludf.DUMMYFUNCTION("""COMPUTED_VALUE"""),"Artie")</f>
        <v>Artie</v>
      </c>
      <c r="F7313" t="str">
        <f>IFERROR(__xludf.DUMMYFUNCTION("""COMPUTED_VALUE"""),"CB")</f>
        <v>CB</v>
      </c>
      <c r="G7313" t="str">
        <f>IFERROR(__xludf.DUMMYFUNCTION("""COMPUTED_VALUE"""),"")</f>
        <v/>
      </c>
    </row>
    <row r="7314">
      <c r="D7314" t="str">
        <f>IFERROR(__xludf.DUMMYFUNCTION("""COMPUTED_VALUE"""),"Burns")</f>
        <v>Burns</v>
      </c>
      <c r="E7314" t="str">
        <f>IFERROR(__xludf.DUMMYFUNCTION("""COMPUTED_VALUE"""),"Brian")</f>
        <v>Brian</v>
      </c>
      <c r="F7314" t="str">
        <f>IFERROR(__xludf.DUMMYFUNCTION("""COMPUTED_VALUE"""),"LOLB")</f>
        <v>LOLB</v>
      </c>
      <c r="G7314" t="str">
        <f>IFERROR(__xludf.DUMMYFUNCTION("""COMPUTED_VALUE"""),"")</f>
        <v/>
      </c>
    </row>
    <row r="7315">
      <c r="D7315" t="str">
        <f>IFERROR(__xludf.DUMMYFUNCTION("""COMPUTED_VALUE"""),"Burr-Kirven")</f>
        <v>Burr-Kirven</v>
      </c>
      <c r="E7315" t="str">
        <f>IFERROR(__xludf.DUMMYFUNCTION("""COMPUTED_VALUE"""),"Ben")</f>
        <v>Ben</v>
      </c>
      <c r="F7315" t="str">
        <f>IFERROR(__xludf.DUMMYFUNCTION("""COMPUTED_VALUE"""),"MLB")</f>
        <v>MLB</v>
      </c>
      <c r="G7315" t="str">
        <f>IFERROR(__xludf.DUMMYFUNCTION("""COMPUTED_VALUE"""),"")</f>
        <v/>
      </c>
    </row>
    <row r="7316">
      <c r="D7316" t="str">
        <f>IFERROR(__xludf.DUMMYFUNCTION("""COMPUTED_VALUE"""),"Burris")</f>
        <v>Burris</v>
      </c>
      <c r="E7316" t="str">
        <f>IFERROR(__xludf.DUMMYFUNCTION("""COMPUTED_VALUE"""),"Juston")</f>
        <v>Juston</v>
      </c>
      <c r="F7316" t="str">
        <f>IFERROR(__xludf.DUMMYFUNCTION("""COMPUTED_VALUE"""),"CB")</f>
        <v>CB</v>
      </c>
      <c r="G7316" t="str">
        <f>IFERROR(__xludf.DUMMYFUNCTION("""COMPUTED_VALUE"""),"")</f>
        <v/>
      </c>
    </row>
    <row r="7317">
      <c r="D7317" t="str">
        <f>IFERROR(__xludf.DUMMYFUNCTION("""COMPUTED_VALUE"""),"Burton")</f>
        <v>Burton</v>
      </c>
      <c r="E7317" t="str">
        <f>IFERROR(__xludf.DUMMYFUNCTION("""COMPUTED_VALUE"""),"Deante")</f>
        <v>Deante</v>
      </c>
      <c r="F7317" t="str">
        <f>IFERROR(__xludf.DUMMYFUNCTION("""COMPUTED_VALUE"""),"CB")</f>
        <v>CB</v>
      </c>
      <c r="G7317" t="str">
        <f>IFERROR(__xludf.DUMMYFUNCTION("""COMPUTED_VALUE"""),"")</f>
        <v/>
      </c>
    </row>
    <row r="7318">
      <c r="D7318" t="str">
        <f>IFERROR(__xludf.DUMMYFUNCTION("""COMPUTED_VALUE"""),"Burton")</f>
        <v>Burton</v>
      </c>
      <c r="E7318" t="str">
        <f>IFERROR(__xludf.DUMMYFUNCTION("""COMPUTED_VALUE"""),"Michael")</f>
        <v>Michael</v>
      </c>
      <c r="F7318" t="str">
        <f>IFERROR(__xludf.DUMMYFUNCTION("""COMPUTED_VALUE"""),"FB")</f>
        <v>FB</v>
      </c>
      <c r="G7318" t="str">
        <f>IFERROR(__xludf.DUMMYFUNCTION("""COMPUTED_VALUE"""),"")</f>
        <v/>
      </c>
    </row>
    <row r="7319">
      <c r="D7319" t="str">
        <f>IFERROR(__xludf.DUMMYFUNCTION("""COMPUTED_VALUE"""),"Burton")</f>
        <v>Burton</v>
      </c>
      <c r="E7319" t="str">
        <f>IFERROR(__xludf.DUMMYFUNCTION("""COMPUTED_VALUE"""),"Trey")</f>
        <v>Trey</v>
      </c>
      <c r="F7319" t="str">
        <f>IFERROR(__xludf.DUMMYFUNCTION("""COMPUTED_VALUE"""),"TE")</f>
        <v>TE</v>
      </c>
      <c r="G7319" t="str">
        <f>IFERROR(__xludf.DUMMYFUNCTION("""COMPUTED_VALUE"""),"")</f>
        <v/>
      </c>
    </row>
    <row r="7320">
      <c r="D7320" t="str">
        <f>IFERROR(__xludf.DUMMYFUNCTION("""COMPUTED_VALUE"""),"Burwell")</f>
        <v>Burwell</v>
      </c>
      <c r="E7320" t="str">
        <f>IFERROR(__xludf.DUMMYFUNCTION("""COMPUTED_VALUE"""),"Tyreek")</f>
        <v>Tyreek</v>
      </c>
      <c r="F7320" t="str">
        <f>IFERROR(__xludf.DUMMYFUNCTION("""COMPUTED_VALUE"""),"LT")</f>
        <v>LT</v>
      </c>
      <c r="G7320" t="str">
        <f>IFERROR(__xludf.DUMMYFUNCTION("""COMPUTED_VALUE"""),"")</f>
        <v/>
      </c>
    </row>
    <row r="7321">
      <c r="D7321" t="str">
        <f>IFERROR(__xludf.DUMMYFUNCTION("""COMPUTED_VALUE"""),"Bush")</f>
        <v>Bush</v>
      </c>
      <c r="E7321" t="str">
        <f>IFERROR(__xludf.DUMMYFUNCTION("""COMPUTED_VALUE"""),"Deon")</f>
        <v>Deon</v>
      </c>
      <c r="F7321" t="str">
        <f>IFERROR(__xludf.DUMMYFUNCTION("""COMPUTED_VALUE"""),"SS")</f>
        <v>SS</v>
      </c>
      <c r="G7321" t="str">
        <f>IFERROR(__xludf.DUMMYFUNCTION("""COMPUTED_VALUE"""),"")</f>
        <v/>
      </c>
    </row>
    <row r="7322">
      <c r="D7322" t="str">
        <f>IFERROR(__xludf.DUMMYFUNCTION("""COMPUTED_VALUE"""),"Bush")</f>
        <v>Bush</v>
      </c>
      <c r="E7322" t="str">
        <f>IFERROR(__xludf.DUMMYFUNCTION("""COMPUTED_VALUE"""),"Devin")</f>
        <v>Devin</v>
      </c>
      <c r="F7322" t="str">
        <f>IFERROR(__xludf.DUMMYFUNCTION("""COMPUTED_VALUE"""),"MLB")</f>
        <v>MLB</v>
      </c>
      <c r="G7322" t="str">
        <f>IFERROR(__xludf.DUMMYFUNCTION("""COMPUTED_VALUE"""),"")</f>
        <v/>
      </c>
    </row>
    <row r="7323">
      <c r="D7323" t="str">
        <f>IFERROR(__xludf.DUMMYFUNCTION("""COMPUTED_VALUE"""),"Bush")</f>
        <v>Bush</v>
      </c>
      <c r="E7323" t="str">
        <f>IFERROR(__xludf.DUMMYFUNCTION("""COMPUTED_VALUE"""),"Rafael")</f>
        <v>Rafael</v>
      </c>
      <c r="F7323" t="str">
        <f>IFERROR(__xludf.DUMMYFUNCTION("""COMPUTED_VALUE"""),"SS")</f>
        <v>SS</v>
      </c>
      <c r="G7323" t="str">
        <f>IFERROR(__xludf.DUMMYFUNCTION("""COMPUTED_VALUE"""),"")</f>
        <v/>
      </c>
    </row>
    <row r="7324">
      <c r="D7324" t="str">
        <f>IFERROR(__xludf.DUMMYFUNCTION("""COMPUTED_VALUE"""),"Butker")</f>
        <v>Butker</v>
      </c>
      <c r="E7324" t="str">
        <f>IFERROR(__xludf.DUMMYFUNCTION("""COMPUTED_VALUE"""),"Harrison")</f>
        <v>Harrison</v>
      </c>
      <c r="F7324" t="str">
        <f>IFERROR(__xludf.DUMMYFUNCTION("""COMPUTED_VALUE"""),"K")</f>
        <v>K</v>
      </c>
      <c r="G7324" t="str">
        <f>IFERROR(__xludf.DUMMYFUNCTION("""COMPUTED_VALUE"""),"")</f>
        <v/>
      </c>
    </row>
    <row r="7325">
      <c r="D7325" t="str">
        <f>IFERROR(__xludf.DUMMYFUNCTION("""COMPUTED_VALUE"""),"Butler")</f>
        <v>Butler</v>
      </c>
      <c r="E7325" t="str">
        <f>IFERROR(__xludf.DUMMYFUNCTION("""COMPUTED_VALUE"""),"Adam")</f>
        <v>Adam</v>
      </c>
      <c r="F7325" t="str">
        <f>IFERROR(__xludf.DUMMYFUNCTION("""COMPUTED_VALUE"""),"DT")</f>
        <v>DT</v>
      </c>
      <c r="G7325" t="str">
        <f>IFERROR(__xludf.DUMMYFUNCTION("""COMPUTED_VALUE"""),"")</f>
        <v/>
      </c>
    </row>
    <row r="7326">
      <c r="D7326" t="str">
        <f>IFERROR(__xludf.DUMMYFUNCTION("""COMPUTED_VALUE"""),"Butler")</f>
        <v>Butler</v>
      </c>
      <c r="E7326" t="str">
        <f>IFERROR(__xludf.DUMMYFUNCTION("""COMPUTED_VALUE"""),"Brice")</f>
        <v>Brice</v>
      </c>
      <c r="F7326" t="str">
        <f>IFERROR(__xludf.DUMMYFUNCTION("""COMPUTED_VALUE"""),"WR")</f>
        <v>WR</v>
      </c>
      <c r="G7326" t="str">
        <f>IFERROR(__xludf.DUMMYFUNCTION("""COMPUTED_VALUE"""),"")</f>
        <v/>
      </c>
    </row>
    <row r="7327">
      <c r="D7327" t="str">
        <f>IFERROR(__xludf.DUMMYFUNCTION("""COMPUTED_VALUE"""),"Butler")</f>
        <v>Butler</v>
      </c>
      <c r="E7327" t="str">
        <f>IFERROR(__xludf.DUMMYFUNCTION("""COMPUTED_VALUE"""),"Hakeem")</f>
        <v>Hakeem</v>
      </c>
      <c r="F7327" t="str">
        <f>IFERROR(__xludf.DUMMYFUNCTION("""COMPUTED_VALUE"""),"WR")</f>
        <v>WR</v>
      </c>
      <c r="G7327" t="str">
        <f>IFERROR(__xludf.DUMMYFUNCTION("""COMPUTED_VALUE"""),"")</f>
        <v/>
      </c>
    </row>
    <row r="7328">
      <c r="D7328" t="str">
        <f>IFERROR(__xludf.DUMMYFUNCTION("""COMPUTED_VALUE"""),"Butler")</f>
        <v>Butler</v>
      </c>
      <c r="E7328" t="str">
        <f>IFERROR(__xludf.DUMMYFUNCTION("""COMPUTED_VALUE"""),"Malcolm")</f>
        <v>Malcolm</v>
      </c>
      <c r="F7328" t="str">
        <f>IFERROR(__xludf.DUMMYFUNCTION("""COMPUTED_VALUE"""),"CB")</f>
        <v>CB</v>
      </c>
      <c r="G7328" t="str">
        <f>IFERROR(__xludf.DUMMYFUNCTION("""COMPUTED_VALUE"""),"")</f>
        <v/>
      </c>
    </row>
    <row r="7329">
      <c r="D7329" t="str">
        <f>IFERROR(__xludf.DUMMYFUNCTION("""COMPUTED_VALUE"""),"Butler")</f>
        <v>Butler</v>
      </c>
      <c r="E7329" t="str">
        <f>IFERROR(__xludf.DUMMYFUNCTION("""COMPUTED_VALUE"""),"Paul")</f>
        <v>Paul</v>
      </c>
      <c r="F7329" t="str">
        <f>IFERROR(__xludf.DUMMYFUNCTION("""COMPUTED_VALUE"""),"TE")</f>
        <v>TE</v>
      </c>
      <c r="G7329" t="str">
        <f>IFERROR(__xludf.DUMMYFUNCTION("""COMPUTED_VALUE"""),"")</f>
        <v/>
      </c>
    </row>
    <row r="7330">
      <c r="D7330" t="str">
        <f>IFERROR(__xludf.DUMMYFUNCTION("""COMPUTED_VALUE"""),"Butler")</f>
        <v>Butler</v>
      </c>
      <c r="E7330" t="str">
        <f>IFERROR(__xludf.DUMMYFUNCTION("""COMPUTED_VALUE"""),"Vernon")</f>
        <v>Vernon</v>
      </c>
      <c r="F7330" t="str">
        <f>IFERROR(__xludf.DUMMYFUNCTION("""COMPUTED_VALUE"""),"LE")</f>
        <v>LE</v>
      </c>
      <c r="G7330" t="str">
        <f>IFERROR(__xludf.DUMMYFUNCTION("""COMPUTED_VALUE"""),"")</f>
        <v/>
      </c>
    </row>
    <row r="7331">
      <c r="D7331" t="str">
        <f>IFERROR(__xludf.DUMMYFUNCTION("""COMPUTED_VALUE"""),"Butt")</f>
        <v>Butt</v>
      </c>
      <c r="E7331" t="str">
        <f>IFERROR(__xludf.DUMMYFUNCTION("""COMPUTED_VALUE"""),"Jake")</f>
        <v>Jake</v>
      </c>
      <c r="F7331" t="str">
        <f>IFERROR(__xludf.DUMMYFUNCTION("""COMPUTED_VALUE"""),"TE")</f>
        <v>TE</v>
      </c>
      <c r="G7331" t="str">
        <f>IFERROR(__xludf.DUMMYFUNCTION("""COMPUTED_VALUE"""),"")</f>
        <v/>
      </c>
    </row>
    <row r="7332">
      <c r="D7332" t="str">
        <f>IFERROR(__xludf.DUMMYFUNCTION("""COMPUTED_VALUE"""),"Byard")</f>
        <v>Byard</v>
      </c>
      <c r="E7332" t="str">
        <f>IFERROR(__xludf.DUMMYFUNCTION("""COMPUTED_VALUE"""),"Kevin")</f>
        <v>Kevin</v>
      </c>
      <c r="F7332" t="str">
        <f>IFERROR(__xludf.DUMMYFUNCTION("""COMPUTED_VALUE"""),"FS")</f>
        <v>FS</v>
      </c>
      <c r="G7332" t="str">
        <f>IFERROR(__xludf.DUMMYFUNCTION("""COMPUTED_VALUE"""),"")</f>
        <v/>
      </c>
    </row>
    <row r="7333">
      <c r="D7333" t="str">
        <f>IFERROR(__xludf.DUMMYFUNCTION("""COMPUTED_VALUE"""),"Byrd")</f>
        <v>Byrd</v>
      </c>
      <c r="E7333" t="str">
        <f>IFERROR(__xludf.DUMMYFUNCTION("""COMPUTED_VALUE"""),"Damiere")</f>
        <v>Damiere</v>
      </c>
      <c r="F7333" t="str">
        <f>IFERROR(__xludf.DUMMYFUNCTION("""COMPUTED_VALUE"""),"WR")</f>
        <v>WR</v>
      </c>
      <c r="G7333" t="str">
        <f>IFERROR(__xludf.DUMMYFUNCTION("""COMPUTED_VALUE"""),"")</f>
        <v/>
      </c>
    </row>
    <row r="7334">
      <c r="D7334" t="str">
        <f>IFERROR(__xludf.DUMMYFUNCTION("""COMPUTED_VALUE"""),"Cabinda")</f>
        <v>Cabinda</v>
      </c>
      <c r="E7334" t="str">
        <f>IFERROR(__xludf.DUMMYFUNCTION("""COMPUTED_VALUE"""),"Jason")</f>
        <v>Jason</v>
      </c>
      <c r="F7334" t="str">
        <f>IFERROR(__xludf.DUMMYFUNCTION("""COMPUTED_VALUE"""),"MLB")</f>
        <v>MLB</v>
      </c>
      <c r="G7334" t="str">
        <f>IFERROR(__xludf.DUMMYFUNCTION("""COMPUTED_VALUE"""),"")</f>
        <v/>
      </c>
    </row>
    <row r="7335">
      <c r="D7335" t="str">
        <f>IFERROR(__xludf.DUMMYFUNCTION("""COMPUTED_VALUE"""),"Cain")</f>
        <v>Cain</v>
      </c>
      <c r="E7335" t="str">
        <f>IFERROR(__xludf.DUMMYFUNCTION("""COMPUTED_VALUE"""),"Deon")</f>
        <v>Deon</v>
      </c>
      <c r="F7335" t="str">
        <f>IFERROR(__xludf.DUMMYFUNCTION("""COMPUTED_VALUE"""),"WR")</f>
        <v>WR</v>
      </c>
      <c r="G7335" t="str">
        <f>IFERROR(__xludf.DUMMYFUNCTION("""COMPUTED_VALUE"""),"")</f>
        <v/>
      </c>
    </row>
    <row r="7336">
      <c r="D7336" t="str">
        <f>IFERROR(__xludf.DUMMYFUNCTION("""COMPUTED_VALUE"""),"Cajuste")</f>
        <v>Cajuste</v>
      </c>
      <c r="E7336" t="str">
        <f>IFERROR(__xludf.DUMMYFUNCTION("""COMPUTED_VALUE"""),"Yodny")</f>
        <v>Yodny</v>
      </c>
      <c r="F7336" t="str">
        <f>IFERROR(__xludf.DUMMYFUNCTION("""COMPUTED_VALUE"""),"LT")</f>
        <v>LT</v>
      </c>
      <c r="G7336" t="str">
        <f>IFERROR(__xludf.DUMMYFUNCTION("""COMPUTED_VALUE"""),"")</f>
        <v/>
      </c>
    </row>
    <row r="7337">
      <c r="D7337" t="str">
        <f>IFERROR(__xludf.DUMMYFUNCTION("""COMPUTED_VALUE"""),"Calhoun")</f>
        <v>Calhoun</v>
      </c>
      <c r="E7337" t="str">
        <f>IFERROR(__xludf.DUMMYFUNCTION("""COMPUTED_VALUE"""),"Shaq")</f>
        <v>Shaq</v>
      </c>
      <c r="F7337" t="str">
        <f>IFERROR(__xludf.DUMMYFUNCTION("""COMPUTED_VALUE"""),"LG")</f>
        <v>LG</v>
      </c>
      <c r="G7337" t="str">
        <f>IFERROR(__xludf.DUMMYFUNCTION("""COMPUTED_VALUE"""),"")</f>
        <v/>
      </c>
    </row>
    <row r="7338">
      <c r="D7338" t="str">
        <f>IFERROR(__xludf.DUMMYFUNCTION("""COMPUTED_VALUE"""),"Calhoun")</f>
        <v>Calhoun</v>
      </c>
      <c r="E7338" t="str">
        <f>IFERROR(__xludf.DUMMYFUNCTION("""COMPUTED_VALUE"""),"Shilique")</f>
        <v>Shilique</v>
      </c>
      <c r="F7338" t="str">
        <f>IFERROR(__xludf.DUMMYFUNCTION("""COMPUTED_VALUE"""),"LE")</f>
        <v>LE</v>
      </c>
      <c r="G7338" t="str">
        <f>IFERROR(__xludf.DUMMYFUNCTION("""COMPUTED_VALUE"""),"")</f>
        <v/>
      </c>
    </row>
    <row r="7339">
      <c r="D7339" t="str">
        <f>IFERROR(__xludf.DUMMYFUNCTION("""COMPUTED_VALUE"""),"Calhoun")</f>
        <v>Calhoun</v>
      </c>
      <c r="E7339" t="str">
        <f>IFERROR(__xludf.DUMMYFUNCTION("""COMPUTED_VALUE"""),"Taveze")</f>
        <v>Taveze</v>
      </c>
      <c r="F7339" t="str">
        <f>IFERROR(__xludf.DUMMYFUNCTION("""COMPUTED_VALUE"""),"CB")</f>
        <v>CB</v>
      </c>
      <c r="G7339" t="str">
        <f>IFERROR(__xludf.DUMMYFUNCTION("""COMPUTED_VALUE"""),"")</f>
        <v/>
      </c>
    </row>
    <row r="7340">
      <c r="D7340" t="str">
        <f>IFERROR(__xludf.DUMMYFUNCTION("""COMPUTED_VALUE"""),"Calitro")</f>
        <v>Calitro</v>
      </c>
      <c r="E7340" t="str">
        <f>IFERROR(__xludf.DUMMYFUNCTION("""COMPUTED_VALUE"""),"Austin")</f>
        <v>Austin</v>
      </c>
      <c r="F7340" t="str">
        <f>IFERROR(__xludf.DUMMYFUNCTION("""COMPUTED_VALUE"""),"MLB")</f>
        <v>MLB</v>
      </c>
      <c r="G7340" t="str">
        <f>IFERROR(__xludf.DUMMYFUNCTION("""COMPUTED_VALUE"""),"")</f>
        <v/>
      </c>
    </row>
    <row r="7341">
      <c r="D7341" t="str">
        <f>IFERROR(__xludf.DUMMYFUNCTION("""COMPUTED_VALUE"""),"Callahan")</f>
        <v>Callahan</v>
      </c>
      <c r="E7341" t="str">
        <f>IFERROR(__xludf.DUMMYFUNCTION("""COMPUTED_VALUE"""),"Bryce")</f>
        <v>Bryce</v>
      </c>
      <c r="F7341" t="str">
        <f>IFERROR(__xludf.DUMMYFUNCTION("""COMPUTED_VALUE"""),"CB")</f>
        <v>CB</v>
      </c>
      <c r="G7341" t="str">
        <f>IFERROR(__xludf.DUMMYFUNCTION("""COMPUTED_VALUE"""),"")</f>
        <v/>
      </c>
    </row>
    <row r="7342">
      <c r="D7342" t="str">
        <f>IFERROR(__xludf.DUMMYFUNCTION("""COMPUTED_VALUE"""),"Callaway")</f>
        <v>Callaway</v>
      </c>
      <c r="E7342" t="str">
        <f>IFERROR(__xludf.DUMMYFUNCTION("""COMPUTED_VALUE"""),"Antonio")</f>
        <v>Antonio</v>
      </c>
      <c r="F7342" t="str">
        <f>IFERROR(__xludf.DUMMYFUNCTION("""COMPUTED_VALUE"""),"WR")</f>
        <v>WR</v>
      </c>
      <c r="G7342" t="str">
        <f>IFERROR(__xludf.DUMMYFUNCTION("""COMPUTED_VALUE"""),"")</f>
        <v/>
      </c>
    </row>
    <row r="7343">
      <c r="D7343" t="str">
        <f>IFERROR(__xludf.DUMMYFUNCTION("""COMPUTED_VALUE"""),"Campbell")</f>
        <v>Campbell</v>
      </c>
      <c r="E7343" t="str">
        <f>IFERROR(__xludf.DUMMYFUNCTION("""COMPUTED_VALUE"""),"Calais")</f>
        <v>Calais</v>
      </c>
      <c r="F7343" t="str">
        <f>IFERROR(__xludf.DUMMYFUNCTION("""COMPUTED_VALUE"""),"LE")</f>
        <v>LE</v>
      </c>
      <c r="G7343" t="str">
        <f>IFERROR(__xludf.DUMMYFUNCTION("""COMPUTED_VALUE"""),"")</f>
        <v/>
      </c>
    </row>
    <row r="7344">
      <c r="D7344" t="str">
        <f>IFERROR(__xludf.DUMMYFUNCTION("""COMPUTED_VALUE"""),"Campbell")</f>
        <v>Campbell</v>
      </c>
      <c r="E7344" t="str">
        <f>IFERROR(__xludf.DUMMYFUNCTION("""COMPUTED_VALUE"""),"Christian")</f>
        <v>Christian</v>
      </c>
      <c r="F7344" t="str">
        <f>IFERROR(__xludf.DUMMYFUNCTION("""COMPUTED_VALUE"""),"CB")</f>
        <v>CB</v>
      </c>
      <c r="G7344" t="str">
        <f>IFERROR(__xludf.DUMMYFUNCTION("""COMPUTED_VALUE"""),"")</f>
        <v/>
      </c>
    </row>
    <row r="7345">
      <c r="D7345" t="str">
        <f>IFERROR(__xludf.DUMMYFUNCTION("""COMPUTED_VALUE"""),"Campbell")</f>
        <v>Campbell</v>
      </c>
      <c r="E7345" t="str">
        <f>IFERROR(__xludf.DUMMYFUNCTION("""COMPUTED_VALUE"""),"DeVondre")</f>
        <v>DeVondre</v>
      </c>
      <c r="F7345" t="str">
        <f>IFERROR(__xludf.DUMMYFUNCTION("""COMPUTED_VALUE"""),"ROLB")</f>
        <v>ROLB</v>
      </c>
      <c r="G7345" t="str">
        <f>IFERROR(__xludf.DUMMYFUNCTION("""COMPUTED_VALUE"""),"")</f>
        <v/>
      </c>
    </row>
    <row r="7346">
      <c r="D7346" t="str">
        <f>IFERROR(__xludf.DUMMYFUNCTION("""COMPUTED_VALUE"""),"Campbell")</f>
        <v>Campbell</v>
      </c>
      <c r="E7346" t="str">
        <f>IFERROR(__xludf.DUMMYFUNCTION("""COMPUTED_VALUE"""),"Parris")</f>
        <v>Parris</v>
      </c>
      <c r="F7346" t="str">
        <f>IFERROR(__xludf.DUMMYFUNCTION("""COMPUTED_VALUE"""),"WR")</f>
        <v>WR</v>
      </c>
      <c r="G7346" t="str">
        <f>IFERROR(__xludf.DUMMYFUNCTION("""COMPUTED_VALUE"""),"")</f>
        <v/>
      </c>
    </row>
    <row r="7347">
      <c r="D7347" t="str">
        <f>IFERROR(__xludf.DUMMYFUNCTION("""COMPUTED_VALUE"""),"Canaday")</f>
        <v>Canaday</v>
      </c>
      <c r="E7347" t="str">
        <f>IFERROR(__xludf.DUMMYFUNCTION("""COMPUTED_VALUE"""),"Kameron")</f>
        <v>Kameron</v>
      </c>
      <c r="F7347" t="str">
        <f>IFERROR(__xludf.DUMMYFUNCTION("""COMPUTED_VALUE"""),"TE")</f>
        <v>TE</v>
      </c>
      <c r="G7347" t="str">
        <f>IFERROR(__xludf.DUMMYFUNCTION("""COMPUTED_VALUE"""),"")</f>
        <v/>
      </c>
    </row>
    <row r="7348">
      <c r="D7348" t="str">
        <f>IFERROR(__xludf.DUMMYFUNCTION("""COMPUTED_VALUE"""),"Canady")</f>
        <v>Canady</v>
      </c>
      <c r="E7348" t="str">
        <f>IFERROR(__xludf.DUMMYFUNCTION("""COMPUTED_VALUE"""),"Maurice")</f>
        <v>Maurice</v>
      </c>
      <c r="F7348" t="str">
        <f>IFERROR(__xludf.DUMMYFUNCTION("""COMPUTED_VALUE"""),"CB")</f>
        <v>CB</v>
      </c>
      <c r="G7348" t="str">
        <f>IFERROR(__xludf.DUMMYFUNCTION("""COMPUTED_VALUE"""),"")</f>
        <v/>
      </c>
    </row>
    <row r="7349">
      <c r="D7349" t="str">
        <f>IFERROR(__xludf.DUMMYFUNCTION("""COMPUTED_VALUE"""),"Cann")</f>
        <v>Cann</v>
      </c>
      <c r="E7349" t="str">
        <f>IFERROR(__xludf.DUMMYFUNCTION("""COMPUTED_VALUE"""),"AJ")</f>
        <v>AJ</v>
      </c>
      <c r="F7349" t="str">
        <f>IFERROR(__xludf.DUMMYFUNCTION("""COMPUTED_VALUE"""),"RG")</f>
        <v>RG</v>
      </c>
      <c r="G7349" t="str">
        <f>IFERROR(__xludf.DUMMYFUNCTION("""COMPUTED_VALUE"""),"")</f>
        <v/>
      </c>
    </row>
    <row r="7350">
      <c r="D7350" t="str">
        <f>IFERROR(__xludf.DUMMYFUNCTION("""COMPUTED_VALUE"""),"Cannon")</f>
        <v>Cannon</v>
      </c>
      <c r="E7350" t="str">
        <f>IFERROR(__xludf.DUMMYFUNCTION("""COMPUTED_VALUE"""),"Marcus")</f>
        <v>Marcus</v>
      </c>
      <c r="F7350" t="str">
        <f>IFERROR(__xludf.DUMMYFUNCTION("""COMPUTED_VALUE"""),"RT")</f>
        <v>RT</v>
      </c>
      <c r="G7350" t="str">
        <f>IFERROR(__xludf.DUMMYFUNCTION("""COMPUTED_VALUE"""),"")</f>
        <v/>
      </c>
    </row>
    <row r="7351">
      <c r="D7351" t="str">
        <f>IFERROR(__xludf.DUMMYFUNCTION("""COMPUTED_VALUE"""),"Cannon")</f>
        <v>Cannon</v>
      </c>
      <c r="E7351" t="str">
        <f>IFERROR(__xludf.DUMMYFUNCTION("""COMPUTED_VALUE"""),"Trenton")</f>
        <v>Trenton</v>
      </c>
      <c r="F7351" t="str">
        <f>IFERROR(__xludf.DUMMYFUNCTION("""COMPUTED_VALUE"""),"HB")</f>
        <v>HB</v>
      </c>
      <c r="G7351" t="str">
        <f>IFERROR(__xludf.DUMMYFUNCTION("""COMPUTED_VALUE"""),"")</f>
        <v/>
      </c>
    </row>
    <row r="7352">
      <c r="D7352" t="str">
        <f>IFERROR(__xludf.DUMMYFUNCTION("""COMPUTED_VALUE"""),"Cantrell")</f>
        <v>Cantrell</v>
      </c>
      <c r="E7352" t="str">
        <f>IFERROR(__xludf.DUMMYFUNCTION("""COMPUTED_VALUE"""),"Dylan")</f>
        <v>Dylan</v>
      </c>
      <c r="F7352" t="str">
        <f>IFERROR(__xludf.DUMMYFUNCTION("""COMPUTED_VALUE"""),"WR")</f>
        <v>WR</v>
      </c>
      <c r="G7352" t="str">
        <f>IFERROR(__xludf.DUMMYFUNCTION("""COMPUTED_VALUE"""),"")</f>
        <v/>
      </c>
    </row>
    <row r="7353">
      <c r="D7353" t="str">
        <f>IFERROR(__xludf.DUMMYFUNCTION("""COMPUTED_VALUE"""),"Cappa")</f>
        <v>Cappa</v>
      </c>
      <c r="E7353" t="str">
        <f>IFERROR(__xludf.DUMMYFUNCTION("""COMPUTED_VALUE"""),"Alex")</f>
        <v>Alex</v>
      </c>
      <c r="F7353" t="str">
        <f>IFERROR(__xludf.DUMMYFUNCTION("""COMPUTED_VALUE"""),"RG")</f>
        <v>RG</v>
      </c>
      <c r="G7353" t="str">
        <f>IFERROR(__xludf.DUMMYFUNCTION("""COMPUTED_VALUE"""),"")</f>
        <v/>
      </c>
    </row>
    <row r="7354">
      <c r="D7354" t="str">
        <f>IFERROR(__xludf.DUMMYFUNCTION("""COMPUTED_VALUE"""),"Cardona")</f>
        <v>Cardona</v>
      </c>
      <c r="E7354" t="str">
        <f>IFERROR(__xludf.DUMMYFUNCTION("""COMPUTED_VALUE"""),"Joe")</f>
        <v>Joe</v>
      </c>
      <c r="F7354" t="str">
        <f>IFERROR(__xludf.DUMMYFUNCTION("""COMPUTED_VALUE"""),"TE")</f>
        <v>TE</v>
      </c>
      <c r="G7354" t="str">
        <f>IFERROR(__xludf.DUMMYFUNCTION("""COMPUTED_VALUE"""),"")</f>
        <v/>
      </c>
    </row>
    <row r="7355">
      <c r="D7355" t="str">
        <f>IFERROR(__xludf.DUMMYFUNCTION("""COMPUTED_VALUE"""),"Carlson")</f>
        <v>Carlson</v>
      </c>
      <c r="E7355" t="str">
        <f>IFERROR(__xludf.DUMMYFUNCTION("""COMPUTED_VALUE"""),"Daniel")</f>
        <v>Daniel</v>
      </c>
      <c r="F7355" t="str">
        <f>IFERROR(__xludf.DUMMYFUNCTION("""COMPUTED_VALUE"""),"K")</f>
        <v>K</v>
      </c>
      <c r="G7355" t="str">
        <f>IFERROR(__xludf.DUMMYFUNCTION("""COMPUTED_VALUE"""),"")</f>
        <v/>
      </c>
    </row>
    <row r="7356">
      <c r="D7356" t="str">
        <f>IFERROR(__xludf.DUMMYFUNCTION("""COMPUTED_VALUE"""),"Carney")</f>
        <v>Carney</v>
      </c>
      <c r="E7356" t="str">
        <f>IFERROR(__xludf.DUMMYFUNCTION("""COMPUTED_VALUE"""),"Malik")</f>
        <v>Malik</v>
      </c>
      <c r="F7356" t="str">
        <f>IFERROR(__xludf.DUMMYFUNCTION("""COMPUTED_VALUE"""),"RE")</f>
        <v>RE</v>
      </c>
      <c r="G7356" t="str">
        <f>IFERROR(__xludf.DUMMYFUNCTION("""COMPUTED_VALUE"""),"")</f>
        <v/>
      </c>
    </row>
    <row r="7357">
      <c r="D7357" t="str">
        <f>IFERROR(__xludf.DUMMYFUNCTION("""COMPUTED_VALUE"""),"Carpenter")</f>
        <v>Carpenter</v>
      </c>
      <c r="E7357" t="str">
        <f>IFERROR(__xludf.DUMMYFUNCTION("""COMPUTED_VALUE"""),"James")</f>
        <v>James</v>
      </c>
      <c r="F7357" t="str">
        <f>IFERROR(__xludf.DUMMYFUNCTION("""COMPUTED_VALUE"""),"LG")</f>
        <v>LG</v>
      </c>
      <c r="G7357" t="str">
        <f>IFERROR(__xludf.DUMMYFUNCTION("""COMPUTED_VALUE"""),"")</f>
        <v/>
      </c>
    </row>
    <row r="7358">
      <c r="D7358" t="str">
        <f>IFERROR(__xludf.DUMMYFUNCTION("""COMPUTED_VALUE"""),"Carr")</f>
        <v>Carr</v>
      </c>
      <c r="E7358" t="str">
        <f>IFERROR(__xludf.DUMMYFUNCTION("""COMPUTED_VALUE"""),"Austin")</f>
        <v>Austin</v>
      </c>
      <c r="F7358" t="str">
        <f>IFERROR(__xludf.DUMMYFUNCTION("""COMPUTED_VALUE"""),"WR")</f>
        <v>WR</v>
      </c>
      <c r="G7358" t="str">
        <f>IFERROR(__xludf.DUMMYFUNCTION("""COMPUTED_VALUE"""),"")</f>
        <v/>
      </c>
    </row>
    <row r="7359">
      <c r="D7359" t="str">
        <f>IFERROR(__xludf.DUMMYFUNCTION("""COMPUTED_VALUE"""),"Carr")</f>
        <v>Carr</v>
      </c>
      <c r="E7359" t="str">
        <f>IFERROR(__xludf.DUMMYFUNCTION("""COMPUTED_VALUE"""),"Brandon")</f>
        <v>Brandon</v>
      </c>
      <c r="F7359" t="str">
        <f>IFERROR(__xludf.DUMMYFUNCTION("""COMPUTED_VALUE"""),"CB")</f>
        <v>CB</v>
      </c>
      <c r="G7359" t="str">
        <f>IFERROR(__xludf.DUMMYFUNCTION("""COMPUTED_VALUE"""),"")</f>
        <v/>
      </c>
    </row>
    <row r="7360">
      <c r="D7360" t="str">
        <f>IFERROR(__xludf.DUMMYFUNCTION("""COMPUTED_VALUE"""),"Carr")</f>
        <v>Carr</v>
      </c>
      <c r="E7360" t="str">
        <f>IFERROR(__xludf.DUMMYFUNCTION("""COMPUTED_VALUE"""),"Derek")</f>
        <v>Derek</v>
      </c>
      <c r="F7360" t="str">
        <f>IFERROR(__xludf.DUMMYFUNCTION("""COMPUTED_VALUE"""),"QB")</f>
        <v>QB</v>
      </c>
      <c r="G7360" t="str">
        <f>IFERROR(__xludf.DUMMYFUNCTION("""COMPUTED_VALUE"""),"")</f>
        <v/>
      </c>
    </row>
    <row r="7361">
      <c r="D7361" t="str">
        <f>IFERROR(__xludf.DUMMYFUNCTION("""COMPUTED_VALUE"""),"Carradine")</f>
        <v>Carradine</v>
      </c>
      <c r="E7361" t="str">
        <f>IFERROR(__xludf.DUMMYFUNCTION("""COMPUTED_VALUE"""),"Tank")</f>
        <v>Tank</v>
      </c>
      <c r="F7361" t="str">
        <f>IFERROR(__xludf.DUMMYFUNCTION("""COMPUTED_VALUE"""),"RE")</f>
        <v>RE</v>
      </c>
      <c r="G7361" t="str">
        <f>IFERROR(__xludf.DUMMYFUNCTION("""COMPUTED_VALUE"""),"")</f>
        <v/>
      </c>
    </row>
    <row r="7362">
      <c r="D7362" t="str">
        <f>IFERROR(__xludf.DUMMYFUNCTION("""COMPUTED_VALUE"""),"Carraway")</f>
        <v>Carraway</v>
      </c>
      <c r="E7362" t="str">
        <f>IFERROR(__xludf.DUMMYFUNCTION("""COMPUTED_VALUE"""),"Josh")</f>
        <v>Josh</v>
      </c>
      <c r="F7362" t="str">
        <f>IFERROR(__xludf.DUMMYFUNCTION("""COMPUTED_VALUE"""),"ROLB")</f>
        <v>ROLB</v>
      </c>
      <c r="G7362" t="str">
        <f>IFERROR(__xludf.DUMMYFUNCTION("""COMPUTED_VALUE"""),"")</f>
        <v/>
      </c>
    </row>
    <row r="7363">
      <c r="D7363" t="str">
        <f>IFERROR(__xludf.DUMMYFUNCTION("""COMPUTED_VALUE"""),"Carrie")</f>
        <v>Carrie</v>
      </c>
      <c r="E7363" t="str">
        <f>IFERROR(__xludf.DUMMYFUNCTION("""COMPUTED_VALUE"""),"TJ")</f>
        <v>TJ</v>
      </c>
      <c r="F7363" t="str">
        <f>IFERROR(__xludf.DUMMYFUNCTION("""COMPUTED_VALUE"""),"CB")</f>
        <v>CB</v>
      </c>
      <c r="G7363" t="str">
        <f>IFERROR(__xludf.DUMMYFUNCTION("""COMPUTED_VALUE"""),"")</f>
        <v/>
      </c>
    </row>
    <row r="7364">
      <c r="D7364" t="str">
        <f>IFERROR(__xludf.DUMMYFUNCTION("""COMPUTED_VALUE"""),"Carrier")</f>
        <v>Carrier</v>
      </c>
      <c r="E7364" t="str">
        <f>IFERROR(__xludf.DUMMYFUNCTION("""COMPUTED_VALUE"""),"Derek")</f>
        <v>Derek</v>
      </c>
      <c r="F7364" t="str">
        <f>IFERROR(__xludf.DUMMYFUNCTION("""COMPUTED_VALUE"""),"TE")</f>
        <v>TE</v>
      </c>
      <c r="G7364" t="str">
        <f>IFERROR(__xludf.DUMMYFUNCTION("""COMPUTED_VALUE"""),"")</f>
        <v/>
      </c>
    </row>
    <row r="7365">
      <c r="D7365" t="str">
        <f>IFERROR(__xludf.DUMMYFUNCTION("""COMPUTED_VALUE"""),"Carson")</f>
        <v>Carson</v>
      </c>
      <c r="E7365" t="str">
        <f>IFERROR(__xludf.DUMMYFUNCTION("""COMPUTED_VALUE"""),"Chris")</f>
        <v>Chris</v>
      </c>
      <c r="F7365" t="str">
        <f>IFERROR(__xludf.DUMMYFUNCTION("""COMPUTED_VALUE"""),"HB")</f>
        <v>HB</v>
      </c>
      <c r="G7365" t="str">
        <f>IFERROR(__xludf.DUMMYFUNCTION("""COMPUTED_VALUE"""),"")</f>
        <v/>
      </c>
    </row>
    <row r="7366">
      <c r="D7366" t="str">
        <f>IFERROR(__xludf.DUMMYFUNCTION("""COMPUTED_VALUE"""),"Carson")</f>
        <v>Carson</v>
      </c>
      <c r="E7366" t="str">
        <f>IFERROR(__xludf.DUMMYFUNCTION("""COMPUTED_VALUE"""),"Tra")</f>
        <v>Tra</v>
      </c>
      <c r="F7366" t="str">
        <f>IFERROR(__xludf.DUMMYFUNCTION("""COMPUTED_VALUE"""),"HB")</f>
        <v>HB</v>
      </c>
      <c r="G7366" t="str">
        <f>IFERROR(__xludf.DUMMYFUNCTION("""COMPUTED_VALUE"""),"")</f>
        <v/>
      </c>
    </row>
    <row r="7367">
      <c r="D7367" t="str">
        <f>IFERROR(__xludf.DUMMYFUNCTION("""COMPUTED_VALUE"""),"Carter")</f>
        <v>Carter</v>
      </c>
      <c r="E7367" t="str">
        <f>IFERROR(__xludf.DUMMYFUNCTION("""COMPUTED_VALUE"""),"Bruce")</f>
        <v>Bruce</v>
      </c>
      <c r="F7367" t="str">
        <f>IFERROR(__xludf.DUMMYFUNCTION("""COMPUTED_VALUE"""),"MLB")</f>
        <v>MLB</v>
      </c>
      <c r="G7367" t="str">
        <f>IFERROR(__xludf.DUMMYFUNCTION("""COMPUTED_VALUE"""),"")</f>
        <v/>
      </c>
    </row>
    <row r="7368">
      <c r="D7368" t="str">
        <f>IFERROR(__xludf.DUMMYFUNCTION("""COMPUTED_VALUE"""),"Carter")</f>
        <v>Carter</v>
      </c>
      <c r="E7368" t="str">
        <f>IFERROR(__xludf.DUMMYFUNCTION("""COMPUTED_VALUE"""),"Cethan")</f>
        <v>Cethan</v>
      </c>
      <c r="F7368" t="str">
        <f>IFERROR(__xludf.DUMMYFUNCTION("""COMPUTED_VALUE"""),"FB")</f>
        <v>FB</v>
      </c>
      <c r="G7368" t="str">
        <f>IFERROR(__xludf.DUMMYFUNCTION("""COMPUTED_VALUE"""),"")</f>
        <v/>
      </c>
    </row>
    <row r="7369">
      <c r="D7369" t="str">
        <f>IFERROR(__xludf.DUMMYFUNCTION("""COMPUTED_VALUE"""),"Carter")</f>
        <v>Carter</v>
      </c>
      <c r="E7369" t="str">
        <f>IFERROR(__xludf.DUMMYFUNCTION("""COMPUTED_VALUE"""),"DeAndre")</f>
        <v>DeAndre</v>
      </c>
      <c r="F7369" t="str">
        <f>IFERROR(__xludf.DUMMYFUNCTION("""COMPUTED_VALUE"""),"WR")</f>
        <v>WR</v>
      </c>
      <c r="G7369" t="str">
        <f>IFERROR(__xludf.DUMMYFUNCTION("""COMPUTED_VALUE"""),"")</f>
        <v/>
      </c>
    </row>
    <row r="7370">
      <c r="D7370" t="str">
        <f>IFERROR(__xludf.DUMMYFUNCTION("""COMPUTED_VALUE"""),"Carter")</f>
        <v>Carter</v>
      </c>
      <c r="E7370" t="str">
        <f>IFERROR(__xludf.DUMMYFUNCTION("""COMPUTED_VALUE"""),"Jamal")</f>
        <v>Jamal</v>
      </c>
      <c r="F7370" t="str">
        <f>IFERROR(__xludf.DUMMYFUNCTION("""COMPUTED_VALUE"""),"FS")</f>
        <v>FS</v>
      </c>
      <c r="G7370" t="str">
        <f>IFERROR(__xludf.DUMMYFUNCTION("""COMPUTED_VALUE"""),"")</f>
        <v/>
      </c>
    </row>
    <row r="7371">
      <c r="D7371" t="str">
        <f>IFERROR(__xludf.DUMMYFUNCTION("""COMPUTED_VALUE"""),"Carter")</f>
        <v>Carter</v>
      </c>
      <c r="E7371" t="str">
        <f>IFERROR(__xludf.DUMMYFUNCTION("""COMPUTED_VALUE"""),"Jermaine")</f>
        <v>Jermaine</v>
      </c>
      <c r="F7371" t="str">
        <f>IFERROR(__xludf.DUMMYFUNCTION("""COMPUTED_VALUE"""),"MLB")</f>
        <v>MLB</v>
      </c>
      <c r="G7371" t="str">
        <f>IFERROR(__xludf.DUMMYFUNCTION("""COMPUTED_VALUE"""),"")</f>
        <v/>
      </c>
    </row>
    <row r="7372">
      <c r="D7372" t="str">
        <f>IFERROR(__xludf.DUMMYFUNCTION("""COMPUTED_VALUE"""),"Carter")</f>
        <v>Carter</v>
      </c>
      <c r="E7372" t="str">
        <f>IFERROR(__xludf.DUMMYFUNCTION("""COMPUTED_VALUE"""),"Lorenzo")</f>
        <v>Lorenzo</v>
      </c>
      <c r="F7372" t="str">
        <f>IFERROR(__xludf.DUMMYFUNCTION("""COMPUTED_VALUE"""),"LOLB")</f>
        <v>LOLB</v>
      </c>
      <c r="G7372" t="str">
        <f>IFERROR(__xludf.DUMMYFUNCTION("""COMPUTED_VALUE"""),"")</f>
        <v/>
      </c>
    </row>
    <row r="7373">
      <c r="D7373" t="str">
        <f>IFERROR(__xludf.DUMMYFUNCTION("""COMPUTED_VALUE"""),"Casey")</f>
        <v>Casey</v>
      </c>
      <c r="E7373" t="str">
        <f>IFERROR(__xludf.DUMMYFUNCTION("""COMPUTED_VALUE"""),"Jurrell")</f>
        <v>Jurrell</v>
      </c>
      <c r="F7373" t="str">
        <f>IFERROR(__xludf.DUMMYFUNCTION("""COMPUTED_VALUE"""),"RE")</f>
        <v>RE</v>
      </c>
      <c r="G7373" t="str">
        <f>IFERROR(__xludf.DUMMYFUNCTION("""COMPUTED_VALUE"""),"")</f>
        <v/>
      </c>
    </row>
    <row r="7374">
      <c r="D7374" t="str">
        <f>IFERROR(__xludf.DUMMYFUNCTION("""COMPUTED_VALUE"""),"Cashman")</f>
        <v>Cashman</v>
      </c>
      <c r="E7374" t="str">
        <f>IFERROR(__xludf.DUMMYFUNCTION("""COMPUTED_VALUE"""),"Blake")</f>
        <v>Blake</v>
      </c>
      <c r="F7374" t="str">
        <f>IFERROR(__xludf.DUMMYFUNCTION("""COMPUTED_VALUE"""),"MLB")</f>
        <v>MLB</v>
      </c>
      <c r="G7374" t="str">
        <f>IFERROR(__xludf.DUMMYFUNCTION("""COMPUTED_VALUE"""),"")</f>
        <v/>
      </c>
    </row>
    <row r="7375">
      <c r="D7375" t="str">
        <f>IFERROR(__xludf.DUMMYFUNCTION("""COMPUTED_VALUE"""),"Castonzo")</f>
        <v>Castonzo</v>
      </c>
      <c r="E7375" t="str">
        <f>IFERROR(__xludf.DUMMYFUNCTION("""COMPUTED_VALUE"""),"Anthony")</f>
        <v>Anthony</v>
      </c>
      <c r="F7375" t="str">
        <f>IFERROR(__xludf.DUMMYFUNCTION("""COMPUTED_VALUE"""),"LT")</f>
        <v>LT</v>
      </c>
      <c r="G7375" t="str">
        <f>IFERROR(__xludf.DUMMYFUNCTION("""COMPUTED_VALUE"""),"")</f>
        <v/>
      </c>
    </row>
    <row r="7376">
      <c r="D7376" t="str">
        <f>IFERROR(__xludf.DUMMYFUNCTION("""COMPUTED_VALUE"""),"Catalina")</f>
        <v>Catalina</v>
      </c>
      <c r="E7376" t="str">
        <f>IFERROR(__xludf.DUMMYFUNCTION("""COMPUTED_VALUE"""),"Tyler")</f>
        <v>Tyler</v>
      </c>
      <c r="F7376" t="str">
        <f>IFERROR(__xludf.DUMMYFUNCTION("""COMPUTED_VALUE"""),"RG")</f>
        <v>RG</v>
      </c>
      <c r="G7376" t="str">
        <f>IFERROR(__xludf.DUMMYFUNCTION("""COMPUTED_VALUE"""),"")</f>
        <v/>
      </c>
    </row>
    <row r="7377">
      <c r="D7377" t="str">
        <f>IFERROR(__xludf.DUMMYFUNCTION("""COMPUTED_VALUE"""),"Catanzaro")</f>
        <v>Catanzaro</v>
      </c>
      <c r="E7377" t="str">
        <f>IFERROR(__xludf.DUMMYFUNCTION("""COMPUTED_VALUE"""),"Chandler")</f>
        <v>Chandler</v>
      </c>
      <c r="F7377" t="str">
        <f>IFERROR(__xludf.DUMMYFUNCTION("""COMPUTED_VALUE"""),"K")</f>
        <v>K</v>
      </c>
      <c r="G7377" t="str">
        <f>IFERROR(__xludf.DUMMYFUNCTION("""COMPUTED_VALUE"""),"")</f>
        <v/>
      </c>
    </row>
    <row r="7378">
      <c r="D7378" t="str">
        <f>IFERROR(__xludf.DUMMYFUNCTION("""COMPUTED_VALUE"""),"Celek")</f>
        <v>Celek</v>
      </c>
      <c r="E7378" t="str">
        <f>IFERROR(__xludf.DUMMYFUNCTION("""COMPUTED_VALUE"""),"Garrett")</f>
        <v>Garrett</v>
      </c>
      <c r="F7378" t="str">
        <f>IFERROR(__xludf.DUMMYFUNCTION("""COMPUTED_VALUE"""),"TE")</f>
        <v>TE</v>
      </c>
      <c r="G7378" t="str">
        <f>IFERROR(__xludf.DUMMYFUNCTION("""COMPUTED_VALUE"""),"")</f>
        <v/>
      </c>
    </row>
    <row r="7379">
      <c r="D7379" t="str">
        <f>IFERROR(__xludf.DUMMYFUNCTION("""COMPUTED_VALUE"""),"Chachere")</f>
        <v>Chachere</v>
      </c>
      <c r="E7379" t="str">
        <f>IFERROR(__xludf.DUMMYFUNCTION("""COMPUTED_VALUE"""),"Andre")</f>
        <v>Andre</v>
      </c>
      <c r="F7379" t="str">
        <f>IFERROR(__xludf.DUMMYFUNCTION("""COMPUTED_VALUE"""),"CB")</f>
        <v>CB</v>
      </c>
      <c r="G7379" t="str">
        <f>IFERROR(__xludf.DUMMYFUNCTION("""COMPUTED_VALUE"""),"")</f>
        <v/>
      </c>
    </row>
    <row r="7380">
      <c r="D7380" t="str">
        <f>IFERROR(__xludf.DUMMYFUNCTION("""COMPUTED_VALUE"""),"Chandler")</f>
        <v>Chandler</v>
      </c>
      <c r="E7380" t="str">
        <f>IFERROR(__xludf.DUMMYFUNCTION("""COMPUTED_VALUE"""),"Sean")</f>
        <v>Sean</v>
      </c>
      <c r="F7380" t="str">
        <f>IFERROR(__xludf.DUMMYFUNCTION("""COMPUTED_VALUE"""),"FS")</f>
        <v>FS</v>
      </c>
      <c r="G7380" t="str">
        <f>IFERROR(__xludf.DUMMYFUNCTION("""COMPUTED_VALUE"""),"")</f>
        <v/>
      </c>
    </row>
    <row r="7381">
      <c r="D7381" t="str">
        <f>IFERROR(__xludf.DUMMYFUNCTION("""COMPUTED_VALUE"""),"Chark")</f>
        <v>Chark</v>
      </c>
      <c r="E7381" t="str">
        <f>IFERROR(__xludf.DUMMYFUNCTION("""COMPUTED_VALUE"""),"DJ")</f>
        <v>DJ</v>
      </c>
      <c r="F7381" t="str">
        <f>IFERROR(__xludf.DUMMYFUNCTION("""COMPUTED_VALUE"""),"WR")</f>
        <v>WR</v>
      </c>
      <c r="G7381" t="str">
        <f>IFERROR(__xludf.DUMMYFUNCTION("""COMPUTED_VALUE"""),"")</f>
        <v/>
      </c>
    </row>
    <row r="7382">
      <c r="D7382" t="str">
        <f>IFERROR(__xludf.DUMMYFUNCTION("""COMPUTED_VALUE"""),"Charles")</f>
        <v>Charles</v>
      </c>
      <c r="E7382" t="str">
        <f>IFERROR(__xludf.DUMMYFUNCTION("""COMPUTED_VALUE"""),"Orson")</f>
        <v>Orson</v>
      </c>
      <c r="F7382" t="str">
        <f>IFERROR(__xludf.DUMMYFUNCTION("""COMPUTED_VALUE"""),"TE")</f>
        <v>TE</v>
      </c>
      <c r="G7382" t="str">
        <f>IFERROR(__xludf.DUMMYFUNCTION("""COMPUTED_VALUE"""),"")</f>
        <v/>
      </c>
    </row>
    <row r="7383">
      <c r="D7383" t="str">
        <f>IFERROR(__xludf.DUMMYFUNCTION("""COMPUTED_VALUE"""),"Charlton")</f>
        <v>Charlton</v>
      </c>
      <c r="E7383" t="str">
        <f>IFERROR(__xludf.DUMMYFUNCTION("""COMPUTED_VALUE"""),"Taco")</f>
        <v>Taco</v>
      </c>
      <c r="F7383" t="str">
        <f>IFERROR(__xludf.DUMMYFUNCTION("""COMPUTED_VALUE"""),"RE")</f>
        <v>RE</v>
      </c>
      <c r="G7383" t="str">
        <f>IFERROR(__xludf.DUMMYFUNCTION("""COMPUTED_VALUE"""),"")</f>
        <v/>
      </c>
    </row>
    <row r="7384">
      <c r="D7384" t="str">
        <f>IFERROR(__xludf.DUMMYFUNCTION("""COMPUTED_VALUE"""),"Chesson")</f>
        <v>Chesson</v>
      </c>
      <c r="E7384" t="str">
        <f>IFERROR(__xludf.DUMMYFUNCTION("""COMPUTED_VALUE"""),"Jehu")</f>
        <v>Jehu</v>
      </c>
      <c r="F7384" t="str">
        <f>IFERROR(__xludf.DUMMYFUNCTION("""COMPUTED_VALUE"""),"WR")</f>
        <v>WR</v>
      </c>
      <c r="G7384" t="str">
        <f>IFERROR(__xludf.DUMMYFUNCTION("""COMPUTED_VALUE"""),"")</f>
        <v/>
      </c>
    </row>
    <row r="7385">
      <c r="D7385" t="str">
        <f>IFERROR(__xludf.DUMMYFUNCTION("""COMPUTED_VALUE"""),"Chickillo")</f>
        <v>Chickillo</v>
      </c>
      <c r="E7385" t="str">
        <f>IFERROR(__xludf.DUMMYFUNCTION("""COMPUTED_VALUE"""),"Anthony")</f>
        <v>Anthony</v>
      </c>
      <c r="F7385" t="str">
        <f>IFERROR(__xludf.DUMMYFUNCTION("""COMPUTED_VALUE"""),"LOLB")</f>
        <v>LOLB</v>
      </c>
      <c r="G7385" t="str">
        <f>IFERROR(__xludf.DUMMYFUNCTION("""COMPUTED_VALUE"""),"")</f>
        <v/>
      </c>
    </row>
    <row r="7386">
      <c r="D7386" t="str">
        <f>IFERROR(__xludf.DUMMYFUNCTION("""COMPUTED_VALUE"""),"Christian")</f>
        <v>Christian</v>
      </c>
      <c r="E7386" t="str">
        <f>IFERROR(__xludf.DUMMYFUNCTION("""COMPUTED_VALUE"""),"Geron")</f>
        <v>Geron</v>
      </c>
      <c r="F7386" t="str">
        <f>IFERROR(__xludf.DUMMYFUNCTION("""COMPUTED_VALUE"""),"LT")</f>
        <v>LT</v>
      </c>
      <c r="G7386" t="str">
        <f>IFERROR(__xludf.DUMMYFUNCTION("""COMPUTED_VALUE"""),"")</f>
        <v/>
      </c>
    </row>
    <row r="7387">
      <c r="D7387" t="str">
        <f>IFERROR(__xludf.DUMMYFUNCTION("""COMPUTED_VALUE"""),"Christian")</f>
        <v>Christian</v>
      </c>
      <c r="E7387" t="str">
        <f>IFERROR(__xludf.DUMMYFUNCTION("""COMPUTED_VALUE"""),"Marqui")</f>
        <v>Marqui</v>
      </c>
      <c r="F7387" t="str">
        <f>IFERROR(__xludf.DUMMYFUNCTION("""COMPUTED_VALUE"""),"FS")</f>
        <v>FS</v>
      </c>
      <c r="G7387" t="str">
        <f>IFERROR(__xludf.DUMMYFUNCTION("""COMPUTED_VALUE"""),"")</f>
        <v/>
      </c>
    </row>
    <row r="7388">
      <c r="D7388" t="str">
        <f>IFERROR(__xludf.DUMMYFUNCTION("""COMPUTED_VALUE"""),"Christmas")</f>
        <v>Christmas</v>
      </c>
      <c r="E7388" t="str">
        <f>IFERROR(__xludf.DUMMYFUNCTION("""COMPUTED_VALUE"""),"Demarcus")</f>
        <v>Demarcus</v>
      </c>
      <c r="F7388" t="str">
        <f>IFERROR(__xludf.DUMMYFUNCTION("""COMPUTED_VALUE"""),"DT")</f>
        <v>DT</v>
      </c>
      <c r="G7388" t="str">
        <f>IFERROR(__xludf.DUMMYFUNCTION("""COMPUTED_VALUE"""),"")</f>
        <v/>
      </c>
    </row>
    <row r="7389">
      <c r="D7389" t="str">
        <f>IFERROR(__xludf.DUMMYFUNCTION("""COMPUTED_VALUE"""),"Chubb")</f>
        <v>Chubb</v>
      </c>
      <c r="E7389" t="str">
        <f>IFERROR(__xludf.DUMMYFUNCTION("""COMPUTED_VALUE"""),"Bradley")</f>
        <v>Bradley</v>
      </c>
      <c r="F7389" t="str">
        <f>IFERROR(__xludf.DUMMYFUNCTION("""COMPUTED_VALUE"""),"ROLB")</f>
        <v>ROLB</v>
      </c>
      <c r="G7389" t="str">
        <f>IFERROR(__xludf.DUMMYFUNCTION("""COMPUTED_VALUE"""),"")</f>
        <v/>
      </c>
    </row>
    <row r="7390">
      <c r="D7390" t="str">
        <f>IFERROR(__xludf.DUMMYFUNCTION("""COMPUTED_VALUE"""),"Chubb")</f>
        <v>Chubb</v>
      </c>
      <c r="E7390" t="str">
        <f>IFERROR(__xludf.DUMMYFUNCTION("""COMPUTED_VALUE"""),"Brandon")</f>
        <v>Brandon</v>
      </c>
      <c r="F7390" t="str">
        <f>IFERROR(__xludf.DUMMYFUNCTION("""COMPUTED_VALUE"""),"MLB")</f>
        <v>MLB</v>
      </c>
      <c r="G7390" t="str">
        <f>IFERROR(__xludf.DUMMYFUNCTION("""COMPUTED_VALUE"""),"")</f>
        <v/>
      </c>
    </row>
    <row r="7391">
      <c r="D7391" t="str">
        <f>IFERROR(__xludf.DUMMYFUNCTION("""COMPUTED_VALUE"""),"Chubb")</f>
        <v>Chubb</v>
      </c>
      <c r="E7391" t="str">
        <f>IFERROR(__xludf.DUMMYFUNCTION("""COMPUTED_VALUE"""),"Nick")</f>
        <v>Nick</v>
      </c>
      <c r="F7391" t="str">
        <f>IFERROR(__xludf.DUMMYFUNCTION("""COMPUTED_VALUE"""),"HB")</f>
        <v>HB</v>
      </c>
      <c r="G7391" t="str">
        <f>IFERROR(__xludf.DUMMYFUNCTION("""COMPUTED_VALUE"""),"")</f>
        <v/>
      </c>
    </row>
    <row r="7392">
      <c r="D7392" t="str">
        <f>IFERROR(__xludf.DUMMYFUNCTION("""COMPUTED_VALUE"""),"Chung")</f>
        <v>Chung</v>
      </c>
      <c r="E7392" t="str">
        <f>IFERROR(__xludf.DUMMYFUNCTION("""COMPUTED_VALUE"""),"Patrick")</f>
        <v>Patrick</v>
      </c>
      <c r="F7392" t="str">
        <f>IFERROR(__xludf.DUMMYFUNCTION("""COMPUTED_VALUE"""),"SS")</f>
        <v>SS</v>
      </c>
      <c r="G7392" t="str">
        <f>IFERROR(__xludf.DUMMYFUNCTION("""COMPUTED_VALUE"""),"")</f>
        <v/>
      </c>
    </row>
    <row r="7393">
      <c r="D7393" t="str">
        <f>IFERROR(__xludf.DUMMYFUNCTION("""COMPUTED_VALUE"""),"Cichy")</f>
        <v>Cichy</v>
      </c>
      <c r="E7393" t="str">
        <f>IFERROR(__xludf.DUMMYFUNCTION("""COMPUTED_VALUE"""),"Jack")</f>
        <v>Jack</v>
      </c>
      <c r="F7393" t="str">
        <f>IFERROR(__xludf.DUMMYFUNCTION("""COMPUTED_VALUE"""),"MLB")</f>
        <v>MLB</v>
      </c>
      <c r="G7393" t="str">
        <f>IFERROR(__xludf.DUMMYFUNCTION("""COMPUTED_VALUE"""),"")</f>
        <v/>
      </c>
    </row>
    <row r="7394">
      <c r="D7394" t="str">
        <f>IFERROR(__xludf.DUMMYFUNCTION("""COMPUTED_VALUE"""),"Clapp")</f>
        <v>Clapp</v>
      </c>
      <c r="E7394" t="str">
        <f>IFERROR(__xludf.DUMMYFUNCTION("""COMPUTED_VALUE"""),"Will")</f>
        <v>Will</v>
      </c>
      <c r="F7394" t="str">
        <f>IFERROR(__xludf.DUMMYFUNCTION("""COMPUTED_VALUE"""),"LG")</f>
        <v>LG</v>
      </c>
      <c r="G7394" t="str">
        <f>IFERROR(__xludf.DUMMYFUNCTION("""COMPUTED_VALUE"""),"")</f>
        <v/>
      </c>
    </row>
    <row r="7395">
      <c r="D7395" t="str">
        <f>IFERROR(__xludf.DUMMYFUNCTION("""COMPUTED_VALUE"""),"Clark")</f>
        <v>Clark</v>
      </c>
      <c r="E7395" t="str">
        <f>IFERROR(__xludf.DUMMYFUNCTION("""COMPUTED_VALUE"""),"Chuck")</f>
        <v>Chuck</v>
      </c>
      <c r="F7395" t="str">
        <f>IFERROR(__xludf.DUMMYFUNCTION("""COMPUTED_VALUE"""),"FS")</f>
        <v>FS</v>
      </c>
      <c r="G7395" t="str">
        <f>IFERROR(__xludf.DUMMYFUNCTION("""COMPUTED_VALUE"""),"")</f>
        <v/>
      </c>
    </row>
    <row r="7396">
      <c r="D7396" t="str">
        <f>IFERROR(__xludf.DUMMYFUNCTION("""COMPUTED_VALUE"""),"Clark")</f>
        <v>Clark</v>
      </c>
      <c r="E7396" t="str">
        <f>IFERROR(__xludf.DUMMYFUNCTION("""COMPUTED_VALUE"""),"Frank")</f>
        <v>Frank</v>
      </c>
      <c r="F7396" t="str">
        <f>IFERROR(__xludf.DUMMYFUNCTION("""COMPUTED_VALUE"""),"RE")</f>
        <v>RE</v>
      </c>
      <c r="G7396" t="str">
        <f>IFERROR(__xludf.DUMMYFUNCTION("""COMPUTED_VALUE"""),"")</f>
        <v/>
      </c>
    </row>
    <row r="7397">
      <c r="D7397" t="str">
        <f>IFERROR(__xludf.DUMMYFUNCTION("""COMPUTED_VALUE"""),"Clark")</f>
        <v>Clark</v>
      </c>
      <c r="E7397" t="str">
        <f>IFERROR(__xludf.DUMMYFUNCTION("""COMPUTED_VALUE"""),"Jeremy")</f>
        <v>Jeremy</v>
      </c>
      <c r="F7397" t="str">
        <f>IFERROR(__xludf.DUMMYFUNCTION("""COMPUTED_VALUE"""),"CB")</f>
        <v>CB</v>
      </c>
      <c r="G7397" t="str">
        <f>IFERROR(__xludf.DUMMYFUNCTION("""COMPUTED_VALUE"""),"")</f>
        <v/>
      </c>
    </row>
    <row r="7398">
      <c r="D7398" t="str">
        <f>IFERROR(__xludf.DUMMYFUNCTION("""COMPUTED_VALUE"""),"Clark")</f>
        <v>Clark</v>
      </c>
      <c r="E7398" t="str">
        <f>IFERROR(__xludf.DUMMYFUNCTION("""COMPUTED_VALUE"""),"Kenny")</f>
        <v>Kenny</v>
      </c>
      <c r="F7398" t="str">
        <f>IFERROR(__xludf.DUMMYFUNCTION("""COMPUTED_VALUE"""),"DT")</f>
        <v>DT</v>
      </c>
      <c r="G7398" t="str">
        <f>IFERROR(__xludf.DUMMYFUNCTION("""COMPUTED_VALUE"""),"")</f>
        <v/>
      </c>
    </row>
    <row r="7399">
      <c r="D7399" t="str">
        <f>IFERROR(__xludf.DUMMYFUNCTION("""COMPUTED_VALUE"""),"Clark")</f>
        <v>Clark</v>
      </c>
      <c r="E7399" t="str">
        <f>IFERROR(__xludf.DUMMYFUNCTION("""COMPUTED_VALUE"""),"LeRaven")</f>
        <v>LeRaven</v>
      </c>
      <c r="F7399" t="str">
        <f>IFERROR(__xludf.DUMMYFUNCTION("""COMPUTED_VALUE"""),"LT")</f>
        <v>LT</v>
      </c>
      <c r="G7399" t="str">
        <f>IFERROR(__xludf.DUMMYFUNCTION("""COMPUTED_VALUE"""),"")</f>
        <v/>
      </c>
    </row>
    <row r="7400">
      <c r="D7400" t="str">
        <f>IFERROR(__xludf.DUMMYFUNCTION("""COMPUTED_VALUE"""),"Clay")</f>
        <v>Clay</v>
      </c>
      <c r="E7400" t="str">
        <f>IFERROR(__xludf.DUMMYFUNCTION("""COMPUTED_VALUE"""),"Charles")</f>
        <v>Charles</v>
      </c>
      <c r="F7400" t="str">
        <f>IFERROR(__xludf.DUMMYFUNCTION("""COMPUTED_VALUE"""),"TE")</f>
        <v>TE</v>
      </c>
      <c r="G7400" t="str">
        <f>IFERROR(__xludf.DUMMYFUNCTION("""COMPUTED_VALUE"""),"")</f>
        <v/>
      </c>
    </row>
    <row r="7401">
      <c r="D7401" t="str">
        <f>IFERROR(__xludf.DUMMYFUNCTION("""COMPUTED_VALUE"""),"Clayborn")</f>
        <v>Clayborn</v>
      </c>
      <c r="E7401" t="str">
        <f>IFERROR(__xludf.DUMMYFUNCTION("""COMPUTED_VALUE"""),"Adrian")</f>
        <v>Adrian</v>
      </c>
      <c r="F7401" t="str">
        <f>IFERROR(__xludf.DUMMYFUNCTION("""COMPUTED_VALUE"""),"RE")</f>
        <v>RE</v>
      </c>
      <c r="G7401" t="str">
        <f>IFERROR(__xludf.DUMMYFUNCTION("""COMPUTED_VALUE"""),"")</f>
        <v/>
      </c>
    </row>
    <row r="7402">
      <c r="D7402" t="str">
        <f>IFERROR(__xludf.DUMMYFUNCTION("""COMPUTED_VALUE"""),"Clement")</f>
        <v>Clement</v>
      </c>
      <c r="E7402" t="str">
        <f>IFERROR(__xludf.DUMMYFUNCTION("""COMPUTED_VALUE"""),"Corey")</f>
        <v>Corey</v>
      </c>
      <c r="F7402" t="str">
        <f>IFERROR(__xludf.DUMMYFUNCTION("""COMPUTED_VALUE"""),"HB")</f>
        <v>HB</v>
      </c>
      <c r="G7402" t="str">
        <f>IFERROR(__xludf.DUMMYFUNCTION("""COMPUTED_VALUE"""),"")</f>
        <v/>
      </c>
    </row>
    <row r="7403">
      <c r="D7403" t="str">
        <f>IFERROR(__xludf.DUMMYFUNCTION("""COMPUTED_VALUE"""),"Clemmings")</f>
        <v>Clemmings</v>
      </c>
      <c r="E7403" t="str">
        <f>IFERROR(__xludf.DUMMYFUNCTION("""COMPUTED_VALUE"""),"TJ")</f>
        <v>TJ</v>
      </c>
      <c r="F7403" t="str">
        <f>IFERROR(__xludf.DUMMYFUNCTION("""COMPUTED_VALUE"""),"RG")</f>
        <v>RG</v>
      </c>
      <c r="G7403" t="str">
        <f>IFERROR(__xludf.DUMMYFUNCTION("""COMPUTED_VALUE"""),"")</f>
        <v/>
      </c>
    </row>
    <row r="7404">
      <c r="D7404" t="str">
        <f>IFERROR(__xludf.DUMMYFUNCTION("""COMPUTED_VALUE"""),"Cliett")</f>
        <v>Cliett</v>
      </c>
      <c r="E7404" t="str">
        <f>IFERROR(__xludf.DUMMYFUNCTION("""COMPUTED_VALUE"""),"Reshard")</f>
        <v>Reshard</v>
      </c>
      <c r="F7404" t="str">
        <f>IFERROR(__xludf.DUMMYFUNCTION("""COMPUTED_VALUE"""),"ROLB")</f>
        <v>ROLB</v>
      </c>
      <c r="G7404" t="str">
        <f>IFERROR(__xludf.DUMMYFUNCTION("""COMPUTED_VALUE"""),"")</f>
        <v/>
      </c>
    </row>
    <row r="7405">
      <c r="D7405" t="str">
        <f>IFERROR(__xludf.DUMMYFUNCTION("""COMPUTED_VALUE"""),"Clowney")</f>
        <v>Clowney</v>
      </c>
      <c r="E7405" t="str">
        <f>IFERROR(__xludf.DUMMYFUNCTION("""COMPUTED_VALUE"""),"Jadeveon")</f>
        <v>Jadeveon</v>
      </c>
      <c r="F7405" t="str">
        <f>IFERROR(__xludf.DUMMYFUNCTION("""COMPUTED_VALUE"""),"ROLB")</f>
        <v>ROLB</v>
      </c>
      <c r="G7405" t="str">
        <f>IFERROR(__xludf.DUMMYFUNCTION("""COMPUTED_VALUE"""),"")</f>
        <v/>
      </c>
    </row>
    <row r="7406">
      <c r="D7406" t="str">
        <f>IFERROR(__xludf.DUMMYFUNCTION("""COMPUTED_VALUE"""),"Cobb")</f>
        <v>Cobb</v>
      </c>
      <c r="E7406" t="str">
        <f>IFERROR(__xludf.DUMMYFUNCTION("""COMPUTED_VALUE"""),"Randall")</f>
        <v>Randall</v>
      </c>
      <c r="F7406" t="str">
        <f>IFERROR(__xludf.DUMMYFUNCTION("""COMPUTED_VALUE"""),"WR")</f>
        <v>WR</v>
      </c>
      <c r="G7406" t="str">
        <f>IFERROR(__xludf.DUMMYFUNCTION("""COMPUTED_VALUE"""),"")</f>
        <v/>
      </c>
    </row>
    <row r="7407">
      <c r="D7407" t="str">
        <f>IFERROR(__xludf.DUMMYFUNCTION("""COMPUTED_VALUE"""),"Cobbs")</f>
        <v>Cobbs</v>
      </c>
      <c r="E7407" t="str">
        <f>IFERROR(__xludf.DUMMYFUNCTION("""COMPUTED_VALUE"""),"Simmie")</f>
        <v>Simmie</v>
      </c>
      <c r="F7407" t="str">
        <f>IFERROR(__xludf.DUMMYFUNCTION("""COMPUTED_VALUE"""),"WR")</f>
        <v>WR</v>
      </c>
      <c r="G7407" t="str">
        <f>IFERROR(__xludf.DUMMYFUNCTION("""COMPUTED_VALUE"""),"")</f>
        <v/>
      </c>
    </row>
    <row r="7408">
      <c r="D7408" t="str">
        <f>IFERROR(__xludf.DUMMYFUNCTION("""COMPUTED_VALUE"""),"Cockrell")</f>
        <v>Cockrell</v>
      </c>
      <c r="E7408" t="str">
        <f>IFERROR(__xludf.DUMMYFUNCTION("""COMPUTED_VALUE"""),"Ross")</f>
        <v>Ross</v>
      </c>
      <c r="F7408" t="str">
        <f>IFERROR(__xludf.DUMMYFUNCTION("""COMPUTED_VALUE"""),"CB")</f>
        <v>CB</v>
      </c>
      <c r="G7408" t="str">
        <f>IFERROR(__xludf.DUMMYFUNCTION("""COMPUTED_VALUE"""),"")</f>
        <v/>
      </c>
    </row>
    <row r="7409">
      <c r="D7409" t="str">
        <f>IFERROR(__xludf.DUMMYFUNCTION("""COMPUTED_VALUE"""),"Cohen")</f>
        <v>Cohen</v>
      </c>
      <c r="E7409" t="str">
        <f>IFERROR(__xludf.DUMMYFUNCTION("""COMPUTED_VALUE"""),"Tarik")</f>
        <v>Tarik</v>
      </c>
      <c r="F7409" t="str">
        <f>IFERROR(__xludf.DUMMYFUNCTION("""COMPUTED_VALUE"""),"HB")</f>
        <v>HB</v>
      </c>
      <c r="G7409" t="str">
        <f>IFERROR(__xludf.DUMMYFUNCTION("""COMPUTED_VALUE"""),"")</f>
        <v/>
      </c>
    </row>
    <row r="7410">
      <c r="D7410" t="str">
        <f>IFERROR(__xludf.DUMMYFUNCTION("""COMPUTED_VALUE"""),"Colbert")</f>
        <v>Colbert</v>
      </c>
      <c r="E7410" t="str">
        <f>IFERROR(__xludf.DUMMYFUNCTION("""COMPUTED_VALUE"""),"Adrian")</f>
        <v>Adrian</v>
      </c>
      <c r="F7410" t="str">
        <f>IFERROR(__xludf.DUMMYFUNCTION("""COMPUTED_VALUE"""),"FS")</f>
        <v>FS</v>
      </c>
      <c r="G7410" t="str">
        <f>IFERROR(__xludf.DUMMYFUNCTION("""COMPUTED_VALUE"""),"")</f>
        <v/>
      </c>
    </row>
    <row r="7411">
      <c r="D7411" t="str">
        <f>IFERROR(__xludf.DUMMYFUNCTION("""COMPUTED_VALUE"""),"Colburn")</f>
        <v>Colburn</v>
      </c>
      <c r="E7411" t="str">
        <f>IFERROR(__xludf.DUMMYFUNCTION("""COMPUTED_VALUE"""),"Matt")</f>
        <v>Matt</v>
      </c>
      <c r="F7411" t="str">
        <f>IFERROR(__xludf.DUMMYFUNCTION("""COMPUTED_VALUE"""),"HB")</f>
        <v>HB</v>
      </c>
      <c r="G7411" t="str">
        <f>IFERROR(__xludf.DUMMYFUNCTION("""COMPUTED_VALUE"""),"")</f>
        <v/>
      </c>
    </row>
    <row r="7412">
      <c r="D7412" t="str">
        <f>IFERROR(__xludf.DUMMYFUNCTION("""COMPUTED_VALUE"""),"Cole")</f>
        <v>Cole</v>
      </c>
      <c r="E7412" t="str">
        <f>IFERROR(__xludf.DUMMYFUNCTION("""COMPUTED_VALUE"""),"Dylan")</f>
        <v>Dylan</v>
      </c>
      <c r="F7412" t="str">
        <f>IFERROR(__xludf.DUMMYFUNCTION("""COMPUTED_VALUE"""),"MLB")</f>
        <v>MLB</v>
      </c>
      <c r="G7412" t="str">
        <f>IFERROR(__xludf.DUMMYFUNCTION("""COMPUTED_VALUE"""),"")</f>
        <v/>
      </c>
    </row>
    <row r="7413">
      <c r="D7413" t="str">
        <f>IFERROR(__xludf.DUMMYFUNCTION("""COMPUTED_VALUE"""),"Cole")</f>
        <v>Cole</v>
      </c>
      <c r="E7413" t="str">
        <f>IFERROR(__xludf.DUMMYFUNCTION("""COMPUTED_VALUE"""),"Keelan")</f>
        <v>Keelan</v>
      </c>
      <c r="F7413" t="str">
        <f>IFERROR(__xludf.DUMMYFUNCTION("""COMPUTED_VALUE"""),"WR")</f>
        <v>WR</v>
      </c>
      <c r="G7413" t="str">
        <f>IFERROR(__xludf.DUMMYFUNCTION("""COMPUTED_VALUE"""),"")</f>
        <v/>
      </c>
    </row>
    <row r="7414">
      <c r="D7414" t="str">
        <f>IFERROR(__xludf.DUMMYFUNCTION("""COMPUTED_VALUE"""),"Cole")</f>
        <v>Cole</v>
      </c>
      <c r="E7414" t="str">
        <f>IFERROR(__xludf.DUMMYFUNCTION("""COMPUTED_VALUE"""),"Mason")</f>
        <v>Mason</v>
      </c>
      <c r="F7414" t="str">
        <f>IFERROR(__xludf.DUMMYFUNCTION("""COMPUTED_VALUE"""),"C")</f>
        <v>C</v>
      </c>
      <c r="G7414" t="str">
        <f>IFERROR(__xludf.DUMMYFUNCTION("""COMPUTED_VALUE"""),"")</f>
        <v/>
      </c>
    </row>
    <row r="7415">
      <c r="D7415" t="str">
        <f>IFERROR(__xludf.DUMMYFUNCTION("""COMPUTED_VALUE"""),"Coleman")</f>
        <v>Coleman</v>
      </c>
      <c r="E7415" t="str">
        <f>IFERROR(__xludf.DUMMYFUNCTION("""COMPUTED_VALUE"""),"Corey")</f>
        <v>Corey</v>
      </c>
      <c r="F7415" t="str">
        <f>IFERROR(__xludf.DUMMYFUNCTION("""COMPUTED_VALUE"""),"WR")</f>
        <v>WR</v>
      </c>
      <c r="G7415" t="str">
        <f>IFERROR(__xludf.DUMMYFUNCTION("""COMPUTED_VALUE"""),"")</f>
        <v/>
      </c>
    </row>
    <row r="7416">
      <c r="D7416" t="str">
        <f>IFERROR(__xludf.DUMMYFUNCTION("""COMPUTED_VALUE"""),"Coleman")</f>
        <v>Coleman</v>
      </c>
      <c r="E7416" t="str">
        <f>IFERROR(__xludf.DUMMYFUNCTION("""COMPUTED_VALUE"""),"Justin")</f>
        <v>Justin</v>
      </c>
      <c r="F7416" t="str">
        <f>IFERROR(__xludf.DUMMYFUNCTION("""COMPUTED_VALUE"""),"CB")</f>
        <v>CB</v>
      </c>
      <c r="G7416" t="str">
        <f>IFERROR(__xludf.DUMMYFUNCTION("""COMPUTED_VALUE"""),"")</f>
        <v/>
      </c>
    </row>
    <row r="7417">
      <c r="D7417" t="str">
        <f>IFERROR(__xludf.DUMMYFUNCTION("""COMPUTED_VALUE"""),"Coleman")</f>
        <v>Coleman</v>
      </c>
      <c r="E7417" t="str">
        <f>IFERROR(__xludf.DUMMYFUNCTION("""COMPUTED_VALUE"""),"Shon")</f>
        <v>Shon</v>
      </c>
      <c r="F7417" t="str">
        <f>IFERROR(__xludf.DUMMYFUNCTION("""COMPUTED_VALUE"""),"LT")</f>
        <v>LT</v>
      </c>
      <c r="G7417" t="str">
        <f>IFERROR(__xludf.DUMMYFUNCTION("""COMPUTED_VALUE"""),"")</f>
        <v/>
      </c>
    </row>
    <row r="7418">
      <c r="D7418" t="str">
        <f>IFERROR(__xludf.DUMMYFUNCTION("""COMPUTED_VALUE"""),"Coleman")</f>
        <v>Coleman</v>
      </c>
      <c r="E7418" t="str">
        <f>IFERROR(__xludf.DUMMYFUNCTION("""COMPUTED_VALUE"""),"Tevin")</f>
        <v>Tevin</v>
      </c>
      <c r="F7418" t="str">
        <f>IFERROR(__xludf.DUMMYFUNCTION("""COMPUTED_VALUE"""),"HB")</f>
        <v>HB</v>
      </c>
      <c r="G7418" t="str">
        <f>IFERROR(__xludf.DUMMYFUNCTION("""COMPUTED_VALUE"""),"")</f>
        <v/>
      </c>
    </row>
    <row r="7419">
      <c r="D7419" t="str">
        <f>IFERROR(__xludf.DUMMYFUNCTION("""COMPUTED_VALUE"""),"Coley")</f>
        <v>Coley</v>
      </c>
      <c r="E7419" t="str">
        <f>IFERROR(__xludf.DUMMYFUNCTION("""COMPUTED_VALUE"""),"Trevon")</f>
        <v>Trevon</v>
      </c>
      <c r="F7419" t="str">
        <f>IFERROR(__xludf.DUMMYFUNCTION("""COMPUTED_VALUE"""),"DT")</f>
        <v>DT</v>
      </c>
      <c r="G7419" t="str">
        <f>IFERROR(__xludf.DUMMYFUNCTION("""COMPUTED_VALUE"""),"")</f>
        <v/>
      </c>
    </row>
    <row r="7420">
      <c r="D7420" t="str">
        <f>IFERROR(__xludf.DUMMYFUNCTION("""COMPUTED_VALUE"""),"Collier")</f>
        <v>Collier</v>
      </c>
      <c r="E7420" t="str">
        <f>IFERROR(__xludf.DUMMYFUNCTION("""COMPUTED_VALUE"""),"LJ")</f>
        <v>LJ</v>
      </c>
      <c r="F7420" t="str">
        <f>IFERROR(__xludf.DUMMYFUNCTION("""COMPUTED_VALUE"""),"RE")</f>
        <v>RE</v>
      </c>
      <c r="G7420" t="str">
        <f>IFERROR(__xludf.DUMMYFUNCTION("""COMPUTED_VALUE"""),"")</f>
        <v/>
      </c>
    </row>
    <row r="7421">
      <c r="D7421" t="str">
        <f>IFERROR(__xludf.DUMMYFUNCTION("""COMPUTED_VALUE"""),"Collins")</f>
        <v>Collins</v>
      </c>
      <c r="E7421" t="str">
        <f>IFERROR(__xludf.DUMMYFUNCTION("""COMPUTED_VALUE"""),"Aviante")</f>
        <v>Aviante</v>
      </c>
      <c r="F7421" t="str">
        <f>IFERROR(__xludf.DUMMYFUNCTION("""COMPUTED_VALUE"""),"LT")</f>
        <v>LT</v>
      </c>
      <c r="G7421" t="str">
        <f>IFERROR(__xludf.DUMMYFUNCTION("""COMPUTED_VALUE"""),"")</f>
        <v/>
      </c>
    </row>
    <row r="7422">
      <c r="D7422" t="str">
        <f>IFERROR(__xludf.DUMMYFUNCTION("""COMPUTED_VALUE"""),"Collins")</f>
        <v>Collins</v>
      </c>
      <c r="E7422" t="str">
        <f>IFERROR(__xludf.DUMMYFUNCTION("""COMPUTED_VALUE"""),"Jalen")</f>
        <v>Jalen</v>
      </c>
      <c r="F7422" t="str">
        <f>IFERROR(__xludf.DUMMYFUNCTION("""COMPUTED_VALUE"""),"CB")</f>
        <v>CB</v>
      </c>
      <c r="G7422" t="str">
        <f>IFERROR(__xludf.DUMMYFUNCTION("""COMPUTED_VALUE"""),"")</f>
        <v/>
      </c>
    </row>
    <row r="7423">
      <c r="D7423" t="str">
        <f>IFERROR(__xludf.DUMMYFUNCTION("""COMPUTED_VALUE"""),"Collins")</f>
        <v>Collins</v>
      </c>
      <c r="E7423" t="str">
        <f>IFERROR(__xludf.DUMMYFUNCTION("""COMPUTED_VALUE"""),"Jamie")</f>
        <v>Jamie</v>
      </c>
      <c r="F7423" t="str">
        <f>IFERROR(__xludf.DUMMYFUNCTION("""COMPUTED_VALUE"""),"LOLB")</f>
        <v>LOLB</v>
      </c>
      <c r="G7423" t="str">
        <f>IFERROR(__xludf.DUMMYFUNCTION("""COMPUTED_VALUE"""),"")</f>
        <v/>
      </c>
    </row>
    <row r="7424">
      <c r="D7424" t="str">
        <f>IFERROR(__xludf.DUMMYFUNCTION("""COMPUTED_VALUE"""),"Collins")</f>
        <v>Collins</v>
      </c>
      <c r="E7424" t="str">
        <f>IFERROR(__xludf.DUMMYFUNCTION("""COMPUTED_VALUE"""),"Lael")</f>
        <v>Lael</v>
      </c>
      <c r="F7424" t="str">
        <f>IFERROR(__xludf.DUMMYFUNCTION("""COMPUTED_VALUE"""),"RT")</f>
        <v>RT</v>
      </c>
      <c r="G7424" t="str">
        <f>IFERROR(__xludf.DUMMYFUNCTION("""COMPUTED_VALUE"""),"")</f>
        <v/>
      </c>
    </row>
    <row r="7425">
      <c r="D7425" t="str">
        <f>IFERROR(__xludf.DUMMYFUNCTION("""COMPUTED_VALUE"""),"Collins")</f>
        <v>Collins</v>
      </c>
      <c r="E7425" t="str">
        <f>IFERROR(__xludf.DUMMYFUNCTION("""COMPUTED_VALUE"""),"Landon")</f>
        <v>Landon</v>
      </c>
      <c r="F7425" t="str">
        <f>IFERROR(__xludf.DUMMYFUNCTION("""COMPUTED_VALUE"""),"SS")</f>
        <v>SS</v>
      </c>
      <c r="G7425" t="str">
        <f>IFERROR(__xludf.DUMMYFUNCTION("""COMPUTED_VALUE"""),"")</f>
        <v/>
      </c>
    </row>
    <row r="7426">
      <c r="D7426" t="str">
        <f>IFERROR(__xludf.DUMMYFUNCTION("""COMPUTED_VALUE"""),"Collins")</f>
        <v>Collins</v>
      </c>
      <c r="E7426" t="str">
        <f>IFERROR(__xludf.DUMMYFUNCTION("""COMPUTED_VALUE"""),"Maliek")</f>
        <v>Maliek</v>
      </c>
      <c r="F7426" t="str">
        <f>IFERROR(__xludf.DUMMYFUNCTION("""COMPUTED_VALUE"""),"DT")</f>
        <v>DT</v>
      </c>
      <c r="G7426" t="str">
        <f>IFERROR(__xludf.DUMMYFUNCTION("""COMPUTED_VALUE"""),"")</f>
        <v/>
      </c>
    </row>
    <row r="7427">
      <c r="D7427" t="str">
        <f>IFERROR(__xludf.DUMMYFUNCTION("""COMPUTED_VALUE"""),"Colquitt")</f>
        <v>Colquitt</v>
      </c>
      <c r="E7427" t="str">
        <f>IFERROR(__xludf.DUMMYFUNCTION("""COMPUTED_VALUE"""),"Britton")</f>
        <v>Britton</v>
      </c>
      <c r="F7427" t="str">
        <f>IFERROR(__xludf.DUMMYFUNCTION("""COMPUTED_VALUE"""),"P")</f>
        <v>P</v>
      </c>
      <c r="G7427" t="str">
        <f>IFERROR(__xludf.DUMMYFUNCTION("""COMPUTED_VALUE"""),"")</f>
        <v/>
      </c>
    </row>
    <row r="7428">
      <c r="D7428" t="str">
        <f>IFERROR(__xludf.DUMMYFUNCTION("""COMPUTED_VALUE"""),"Colquitt")</f>
        <v>Colquitt</v>
      </c>
      <c r="E7428" t="str">
        <f>IFERROR(__xludf.DUMMYFUNCTION("""COMPUTED_VALUE"""),"Dustin")</f>
        <v>Dustin</v>
      </c>
      <c r="F7428" t="str">
        <f>IFERROR(__xludf.DUMMYFUNCTION("""COMPUTED_VALUE"""),"P")</f>
        <v>P</v>
      </c>
      <c r="G7428" t="str">
        <f>IFERROR(__xludf.DUMMYFUNCTION("""COMPUTED_VALUE"""),"")</f>
        <v/>
      </c>
    </row>
    <row r="7429">
      <c r="D7429" t="str">
        <f>IFERROR(__xludf.DUMMYFUNCTION("""COMPUTED_VALUE"""),"Colvin")</f>
        <v>Colvin</v>
      </c>
      <c r="E7429" t="str">
        <f>IFERROR(__xludf.DUMMYFUNCTION("""COMPUTED_VALUE"""),"Aaron")</f>
        <v>Aaron</v>
      </c>
      <c r="F7429" t="str">
        <f>IFERROR(__xludf.DUMMYFUNCTION("""COMPUTED_VALUE"""),"CB")</f>
        <v>CB</v>
      </c>
      <c r="G7429" t="str">
        <f>IFERROR(__xludf.DUMMYFUNCTION("""COMPUTED_VALUE"""),"")</f>
        <v/>
      </c>
    </row>
    <row r="7430">
      <c r="D7430" t="str">
        <f>IFERROR(__xludf.DUMMYFUNCTION("""COMPUTED_VALUE"""),"Cominsky")</f>
        <v>Cominsky</v>
      </c>
      <c r="E7430" t="str">
        <f>IFERROR(__xludf.DUMMYFUNCTION("""COMPUTED_VALUE"""),"John")</f>
        <v>John</v>
      </c>
      <c r="F7430" t="str">
        <f>IFERROR(__xludf.DUMMYFUNCTION("""COMPUTED_VALUE"""),"LE")</f>
        <v>LE</v>
      </c>
      <c r="G7430" t="str">
        <f>IFERROR(__xludf.DUMMYFUNCTION("""COMPUTED_VALUE"""),"")</f>
        <v/>
      </c>
    </row>
    <row r="7431">
      <c r="D7431" t="str">
        <f>IFERROR(__xludf.DUMMYFUNCTION("""COMPUTED_VALUE"""),"Compton")</f>
        <v>Compton</v>
      </c>
      <c r="E7431" t="str">
        <f>IFERROR(__xludf.DUMMYFUNCTION("""COMPUTED_VALUE"""),"Tom")</f>
        <v>Tom</v>
      </c>
      <c r="F7431" t="str">
        <f>IFERROR(__xludf.DUMMYFUNCTION("""COMPUTED_VALUE"""),"LG")</f>
        <v>LG</v>
      </c>
      <c r="G7431" t="str">
        <f>IFERROR(__xludf.DUMMYFUNCTION("""COMPUTED_VALUE"""),"")</f>
        <v/>
      </c>
    </row>
    <row r="7432">
      <c r="D7432" t="str">
        <f>IFERROR(__xludf.DUMMYFUNCTION("""COMPUTED_VALUE"""),"Conklin")</f>
        <v>Conklin</v>
      </c>
      <c r="E7432" t="str">
        <f>IFERROR(__xludf.DUMMYFUNCTION("""COMPUTED_VALUE"""),"Jack")</f>
        <v>Jack</v>
      </c>
      <c r="F7432" t="str">
        <f>IFERROR(__xludf.DUMMYFUNCTION("""COMPUTED_VALUE"""),"RT")</f>
        <v>RT</v>
      </c>
      <c r="G7432" t="str">
        <f>IFERROR(__xludf.DUMMYFUNCTION("""COMPUTED_VALUE"""),"")</f>
        <v/>
      </c>
    </row>
    <row r="7433">
      <c r="D7433" t="str">
        <f>IFERROR(__xludf.DUMMYFUNCTION("""COMPUTED_VALUE"""),"Conklin")</f>
        <v>Conklin</v>
      </c>
      <c r="E7433" t="str">
        <f>IFERROR(__xludf.DUMMYFUNCTION("""COMPUTED_VALUE"""),"Tyler")</f>
        <v>Tyler</v>
      </c>
      <c r="F7433" t="str">
        <f>IFERROR(__xludf.DUMMYFUNCTION("""COMPUTED_VALUE"""),"TE")</f>
        <v>TE</v>
      </c>
      <c r="G7433" t="str">
        <f>IFERROR(__xludf.DUMMYFUNCTION("""COMPUTED_VALUE"""),"")</f>
        <v/>
      </c>
    </row>
    <row r="7434">
      <c r="D7434" t="str">
        <f>IFERROR(__xludf.DUMMYFUNCTION("""COMPUTED_VALUE"""),"Conley")</f>
        <v>Conley</v>
      </c>
      <c r="E7434" t="str">
        <f>IFERROR(__xludf.DUMMYFUNCTION("""COMPUTED_VALUE"""),"Chris")</f>
        <v>Chris</v>
      </c>
      <c r="F7434" t="str">
        <f>IFERROR(__xludf.DUMMYFUNCTION("""COMPUTED_VALUE"""),"WR")</f>
        <v>WR</v>
      </c>
      <c r="G7434" t="str">
        <f>IFERROR(__xludf.DUMMYFUNCTION("""COMPUTED_VALUE"""),"")</f>
        <v/>
      </c>
    </row>
    <row r="7435">
      <c r="D7435" t="str">
        <f>IFERROR(__xludf.DUMMYFUNCTION("""COMPUTED_VALUE"""),"Conley")</f>
        <v>Conley</v>
      </c>
      <c r="E7435" t="str">
        <f>IFERROR(__xludf.DUMMYFUNCTION("""COMPUTED_VALUE"""),"Gareon")</f>
        <v>Gareon</v>
      </c>
      <c r="F7435" t="str">
        <f>IFERROR(__xludf.DUMMYFUNCTION("""COMPUTED_VALUE"""),"CB")</f>
        <v>CB</v>
      </c>
      <c r="G7435" t="str">
        <f>IFERROR(__xludf.DUMMYFUNCTION("""COMPUTED_VALUE"""),"")</f>
        <v/>
      </c>
    </row>
    <row r="7436">
      <c r="D7436" t="str">
        <f>IFERROR(__xludf.DUMMYFUNCTION("""COMPUTED_VALUE"""),"Connelly")</f>
        <v>Connelly</v>
      </c>
      <c r="E7436" t="str">
        <f>IFERROR(__xludf.DUMMYFUNCTION("""COMPUTED_VALUE"""),"Ryan")</f>
        <v>Ryan</v>
      </c>
      <c r="F7436" t="str">
        <f>IFERROR(__xludf.DUMMYFUNCTION("""COMPUTED_VALUE"""),"MLB")</f>
        <v>MLB</v>
      </c>
      <c r="G7436" t="str">
        <f>IFERROR(__xludf.DUMMYFUNCTION("""COMPUTED_VALUE"""),"")</f>
        <v/>
      </c>
    </row>
    <row r="7437">
      <c r="D7437" t="str">
        <f>IFERROR(__xludf.DUMMYFUNCTION("""COMPUTED_VALUE"""),"Conner")</f>
        <v>Conner</v>
      </c>
      <c r="E7437" t="str">
        <f>IFERROR(__xludf.DUMMYFUNCTION("""COMPUTED_VALUE"""),"James")</f>
        <v>James</v>
      </c>
      <c r="F7437" t="str">
        <f>IFERROR(__xludf.DUMMYFUNCTION("""COMPUTED_VALUE"""),"HB")</f>
        <v>HB</v>
      </c>
      <c r="G7437" t="str">
        <f>IFERROR(__xludf.DUMMYFUNCTION("""COMPUTED_VALUE"""),"")</f>
        <v/>
      </c>
    </row>
    <row r="7438">
      <c r="D7438" t="str">
        <f>IFERROR(__xludf.DUMMYFUNCTION("""COMPUTED_VALUE"""),"Cook")</f>
        <v>Cook</v>
      </c>
      <c r="E7438" t="str">
        <f>IFERROR(__xludf.DUMMYFUNCTION("""COMPUTED_VALUE"""),"Connor")</f>
        <v>Connor</v>
      </c>
      <c r="F7438" t="str">
        <f>IFERROR(__xludf.DUMMYFUNCTION("""COMPUTED_VALUE"""),"QB")</f>
        <v>QB</v>
      </c>
      <c r="G7438" t="str">
        <f>IFERROR(__xludf.DUMMYFUNCTION("""COMPUTED_VALUE"""),"")</f>
        <v/>
      </c>
    </row>
    <row r="7439">
      <c r="D7439" t="str">
        <f>IFERROR(__xludf.DUMMYFUNCTION("""COMPUTED_VALUE"""),"Cook")</f>
        <v>Cook</v>
      </c>
      <c r="E7439" t="str">
        <f>IFERROR(__xludf.DUMMYFUNCTION("""COMPUTED_VALUE"""),"Dalvin")</f>
        <v>Dalvin</v>
      </c>
      <c r="F7439" t="str">
        <f>IFERROR(__xludf.DUMMYFUNCTION("""COMPUTED_VALUE"""),"HB")</f>
        <v>HB</v>
      </c>
      <c r="G7439" t="str">
        <f>IFERROR(__xludf.DUMMYFUNCTION("""COMPUTED_VALUE"""),"")</f>
        <v/>
      </c>
    </row>
    <row r="7440">
      <c r="D7440" t="str">
        <f>IFERROR(__xludf.DUMMYFUNCTION("""COMPUTED_VALUE"""),"Cook")</f>
        <v>Cook</v>
      </c>
      <c r="E7440" t="str">
        <f>IFERROR(__xludf.DUMMYFUNCTION("""COMPUTED_VALUE"""),"Jared")</f>
        <v>Jared</v>
      </c>
      <c r="F7440" t="str">
        <f>IFERROR(__xludf.DUMMYFUNCTION("""COMPUTED_VALUE"""),"TE")</f>
        <v>TE</v>
      </c>
      <c r="G7440" t="str">
        <f>IFERROR(__xludf.DUMMYFUNCTION("""COMPUTED_VALUE"""),"")</f>
        <v/>
      </c>
    </row>
    <row r="7441">
      <c r="D7441" t="str">
        <f>IFERROR(__xludf.DUMMYFUNCTION("""COMPUTED_VALUE"""),"Cooke")</f>
        <v>Cooke</v>
      </c>
      <c r="E7441" t="str">
        <f>IFERROR(__xludf.DUMMYFUNCTION("""COMPUTED_VALUE"""),"Logan")</f>
        <v>Logan</v>
      </c>
      <c r="F7441" t="str">
        <f>IFERROR(__xludf.DUMMYFUNCTION("""COMPUTED_VALUE"""),"P")</f>
        <v>P</v>
      </c>
      <c r="G7441" t="str">
        <f>IFERROR(__xludf.DUMMYFUNCTION("""COMPUTED_VALUE"""),"")</f>
        <v/>
      </c>
    </row>
    <row r="7442">
      <c r="D7442" t="str">
        <f>IFERROR(__xludf.DUMMYFUNCTION("""COMPUTED_VALUE"""),"Cooks")</f>
        <v>Cooks</v>
      </c>
      <c r="E7442" t="str">
        <f>IFERROR(__xludf.DUMMYFUNCTION("""COMPUTED_VALUE"""),"Brandin")</f>
        <v>Brandin</v>
      </c>
      <c r="F7442" t="str">
        <f>IFERROR(__xludf.DUMMYFUNCTION("""COMPUTED_VALUE"""),"WR")</f>
        <v>WR</v>
      </c>
      <c r="G7442" t="str">
        <f>IFERROR(__xludf.DUMMYFUNCTION("""COMPUTED_VALUE"""),"")</f>
        <v/>
      </c>
    </row>
    <row r="7443">
      <c r="D7443" t="str">
        <f>IFERROR(__xludf.DUMMYFUNCTION("""COMPUTED_VALUE"""),"Cooper")</f>
        <v>Cooper</v>
      </c>
      <c r="E7443" t="str">
        <f>IFERROR(__xludf.DUMMYFUNCTION("""COMPUTED_VALUE"""),"Amari")</f>
        <v>Amari</v>
      </c>
      <c r="F7443" t="str">
        <f>IFERROR(__xludf.DUMMYFUNCTION("""COMPUTED_VALUE"""),"WR")</f>
        <v>WR</v>
      </c>
      <c r="G7443" t="str">
        <f>IFERROR(__xludf.DUMMYFUNCTION("""COMPUTED_VALUE"""),"")</f>
        <v/>
      </c>
    </row>
    <row r="7444">
      <c r="D7444" t="str">
        <f>IFERROR(__xludf.DUMMYFUNCTION("""COMPUTED_VALUE"""),"Cooper")</f>
        <v>Cooper</v>
      </c>
      <c r="E7444" t="str">
        <f>IFERROR(__xludf.DUMMYFUNCTION("""COMPUTED_VALUE"""),"Chris")</f>
        <v>Chris</v>
      </c>
      <c r="F7444" t="str">
        <f>IFERROR(__xludf.DUMMYFUNCTION("""COMPUTED_VALUE"""),"FS")</f>
        <v>FS</v>
      </c>
      <c r="G7444" t="str">
        <f>IFERROR(__xludf.DUMMYFUNCTION("""COMPUTED_VALUE"""),"")</f>
        <v/>
      </c>
    </row>
    <row r="7445">
      <c r="D7445" t="str">
        <f>IFERROR(__xludf.DUMMYFUNCTION("""COMPUTED_VALUE"""),"Cooper")</f>
        <v>Cooper</v>
      </c>
      <c r="E7445" t="str">
        <f>IFERROR(__xludf.DUMMYFUNCTION("""COMPUTED_VALUE"""),"Marcus")</f>
        <v>Marcus</v>
      </c>
      <c r="F7445" t="str">
        <f>IFERROR(__xludf.DUMMYFUNCTION("""COMPUTED_VALUE"""),"CB")</f>
        <v>CB</v>
      </c>
      <c r="G7445" t="str">
        <f>IFERROR(__xludf.DUMMYFUNCTION("""COMPUTED_VALUE"""),"")</f>
        <v/>
      </c>
    </row>
    <row r="7446">
      <c r="D7446" t="str">
        <f>IFERROR(__xludf.DUMMYFUNCTION("""COMPUTED_VALUE"""),"Cooper")</f>
        <v>Cooper</v>
      </c>
      <c r="E7446" t="str">
        <f>IFERROR(__xludf.DUMMYFUNCTION("""COMPUTED_VALUE"""),"Pharoh")</f>
        <v>Pharoh</v>
      </c>
      <c r="F7446" t="str">
        <f>IFERROR(__xludf.DUMMYFUNCTION("""COMPUTED_VALUE"""),"WR")</f>
        <v>WR</v>
      </c>
      <c r="G7446" t="str">
        <f>IFERROR(__xludf.DUMMYFUNCTION("""COMPUTED_VALUE"""),"")</f>
        <v/>
      </c>
    </row>
    <row r="7447">
      <c r="D7447" t="str">
        <f>IFERROR(__xludf.DUMMYFUNCTION("""COMPUTED_VALUE"""),"Copeland")</f>
        <v>Copeland</v>
      </c>
      <c r="E7447" t="str">
        <f>IFERROR(__xludf.DUMMYFUNCTION("""COMPUTED_VALUE"""),"Brandon")</f>
        <v>Brandon</v>
      </c>
      <c r="F7447" t="str">
        <f>IFERROR(__xludf.DUMMYFUNCTION("""COMPUTED_VALUE"""),"ROLB")</f>
        <v>ROLB</v>
      </c>
      <c r="G7447" t="str">
        <f>IFERROR(__xludf.DUMMYFUNCTION("""COMPUTED_VALUE"""),"")</f>
        <v/>
      </c>
    </row>
    <row r="7448">
      <c r="D7448" t="str">
        <f>IFERROR(__xludf.DUMMYFUNCTION("""COMPUTED_VALUE"""),"Corbett")</f>
        <v>Corbett</v>
      </c>
      <c r="E7448" t="str">
        <f>IFERROR(__xludf.DUMMYFUNCTION("""COMPUTED_VALUE"""),"Austin")</f>
        <v>Austin</v>
      </c>
      <c r="F7448" t="str">
        <f>IFERROR(__xludf.DUMMYFUNCTION("""COMPUTED_VALUE"""),"RG")</f>
        <v>RG</v>
      </c>
      <c r="G7448" t="str">
        <f>IFERROR(__xludf.DUMMYFUNCTION("""COMPUTED_VALUE"""),"")</f>
        <v/>
      </c>
    </row>
    <row r="7449">
      <c r="D7449" t="str">
        <f>IFERROR(__xludf.DUMMYFUNCTION("""COMPUTED_VALUE"""),"Core")</f>
        <v>Core</v>
      </c>
      <c r="E7449" t="str">
        <f>IFERROR(__xludf.DUMMYFUNCTION("""COMPUTED_VALUE"""),"Cody")</f>
        <v>Cody</v>
      </c>
      <c r="F7449" t="str">
        <f>IFERROR(__xludf.DUMMYFUNCTION("""COMPUTED_VALUE"""),"WR")</f>
        <v>WR</v>
      </c>
      <c r="G7449" t="str">
        <f>IFERROR(__xludf.DUMMYFUNCTION("""COMPUTED_VALUE"""),"")</f>
        <v/>
      </c>
    </row>
    <row r="7450">
      <c r="D7450" t="str">
        <f>IFERROR(__xludf.DUMMYFUNCTION("""COMPUTED_VALUE"""),"Correa")</f>
        <v>Correa</v>
      </c>
      <c r="E7450" t="str">
        <f>IFERROR(__xludf.DUMMYFUNCTION("""COMPUTED_VALUE"""),"Kamalei")</f>
        <v>Kamalei</v>
      </c>
      <c r="F7450" t="str">
        <f>IFERROR(__xludf.DUMMYFUNCTION("""COMPUTED_VALUE"""),"ROLB")</f>
        <v>ROLB</v>
      </c>
      <c r="G7450" t="str">
        <f>IFERROR(__xludf.DUMMYFUNCTION("""COMPUTED_VALUE"""),"")</f>
        <v/>
      </c>
    </row>
    <row r="7451">
      <c r="D7451" t="str">
        <f>IFERROR(__xludf.DUMMYFUNCTION("""COMPUTED_VALUE"""),"Cothran")</f>
        <v>Cothran</v>
      </c>
      <c r="E7451" t="str">
        <f>IFERROR(__xludf.DUMMYFUNCTION("""COMPUTED_VALUE"""),"Curtis")</f>
        <v>Curtis</v>
      </c>
      <c r="F7451" t="str">
        <f>IFERROR(__xludf.DUMMYFUNCTION("""COMPUTED_VALUE"""),"DT")</f>
        <v>DT</v>
      </c>
      <c r="G7451" t="str">
        <f>IFERROR(__xludf.DUMMYFUNCTION("""COMPUTED_VALUE"""),"")</f>
        <v/>
      </c>
    </row>
    <row r="7452">
      <c r="D7452" t="str">
        <f>IFERROR(__xludf.DUMMYFUNCTION("""COMPUTED_VALUE"""),"Countess")</f>
        <v>Countess</v>
      </c>
      <c r="E7452" t="str">
        <f>IFERROR(__xludf.DUMMYFUNCTION("""COMPUTED_VALUE"""),"Blake")</f>
        <v>Blake</v>
      </c>
      <c r="F7452" t="str">
        <f>IFERROR(__xludf.DUMMYFUNCTION("""COMPUTED_VALUE"""),"SS")</f>
        <v>SS</v>
      </c>
      <c r="G7452" t="str">
        <f>IFERROR(__xludf.DUMMYFUNCTION("""COMPUTED_VALUE"""),"")</f>
        <v/>
      </c>
    </row>
    <row r="7453">
      <c r="D7453" t="str">
        <f>IFERROR(__xludf.DUMMYFUNCTION("""COMPUTED_VALUE"""),"Cousins")</f>
        <v>Cousins</v>
      </c>
      <c r="E7453" t="str">
        <f>IFERROR(__xludf.DUMMYFUNCTION("""COMPUTED_VALUE"""),"Kirk")</f>
        <v>Kirk</v>
      </c>
      <c r="F7453" t="str">
        <f>IFERROR(__xludf.DUMMYFUNCTION("""COMPUTED_VALUE"""),"QB")</f>
        <v>QB</v>
      </c>
      <c r="G7453" t="str">
        <f>IFERROR(__xludf.DUMMYFUNCTION("""COMPUTED_VALUE"""),"")</f>
        <v/>
      </c>
    </row>
    <row r="7454">
      <c r="D7454" t="str">
        <f>IFERROR(__xludf.DUMMYFUNCTION("""COMPUTED_VALUE"""),"Coutee")</f>
        <v>Coutee</v>
      </c>
      <c r="E7454" t="str">
        <f>IFERROR(__xludf.DUMMYFUNCTION("""COMPUTED_VALUE"""),"Keke")</f>
        <v>Keke</v>
      </c>
      <c r="F7454" t="str">
        <f>IFERROR(__xludf.DUMMYFUNCTION("""COMPUTED_VALUE"""),"WR")</f>
        <v>WR</v>
      </c>
      <c r="G7454" t="str">
        <f>IFERROR(__xludf.DUMMYFUNCTION("""COMPUTED_VALUE"""),"")</f>
        <v/>
      </c>
    </row>
    <row r="7455">
      <c r="D7455" t="str">
        <f>IFERROR(__xludf.DUMMYFUNCTION("""COMPUTED_VALUE"""),"Covington")</f>
        <v>Covington</v>
      </c>
      <c r="E7455" t="str">
        <f>IFERROR(__xludf.DUMMYFUNCTION("""COMPUTED_VALUE"""),"Chris")</f>
        <v>Chris</v>
      </c>
      <c r="F7455" t="str">
        <f>IFERROR(__xludf.DUMMYFUNCTION("""COMPUTED_VALUE"""),"LOLB")</f>
        <v>LOLB</v>
      </c>
      <c r="G7455" t="str">
        <f>IFERROR(__xludf.DUMMYFUNCTION("""COMPUTED_VALUE"""),"")</f>
        <v/>
      </c>
    </row>
    <row r="7456">
      <c r="D7456" t="str">
        <f>IFERROR(__xludf.DUMMYFUNCTION("""COMPUTED_VALUE"""),"Covington")</f>
        <v>Covington</v>
      </c>
      <c r="E7456" t="str">
        <f>IFERROR(__xludf.DUMMYFUNCTION("""COMPUTED_VALUE"""),"Christian")</f>
        <v>Christian</v>
      </c>
      <c r="F7456" t="str">
        <f>IFERROR(__xludf.DUMMYFUNCTION("""COMPUTED_VALUE"""),"DT")</f>
        <v>DT</v>
      </c>
      <c r="G7456" t="str">
        <f>IFERROR(__xludf.DUMMYFUNCTION("""COMPUTED_VALUE"""),"")</f>
        <v/>
      </c>
    </row>
    <row r="7457">
      <c r="D7457" t="str">
        <f>IFERROR(__xludf.DUMMYFUNCTION("""COMPUTED_VALUE"""),"Coward")</f>
        <v>Coward</v>
      </c>
      <c r="E7457" t="str">
        <f>IFERROR(__xludf.DUMMYFUNCTION("""COMPUTED_VALUE"""),"Rashaad")</f>
        <v>Rashaad</v>
      </c>
      <c r="F7457" t="str">
        <f>IFERROR(__xludf.DUMMYFUNCTION("""COMPUTED_VALUE"""),"RT")</f>
        <v>RT</v>
      </c>
      <c r="G7457" t="str">
        <f>IFERROR(__xludf.DUMMYFUNCTION("""COMPUTED_VALUE"""),"")</f>
        <v/>
      </c>
    </row>
    <row r="7458">
      <c r="D7458" t="str">
        <f>IFERROR(__xludf.DUMMYFUNCTION("""COMPUTED_VALUE"""),"Cowart")</f>
        <v>Cowart</v>
      </c>
      <c r="E7458" t="str">
        <f>IFERROR(__xludf.DUMMYFUNCTION("""COMPUTED_VALUE"""),"Byron")</f>
        <v>Byron</v>
      </c>
      <c r="F7458" t="str">
        <f>IFERROR(__xludf.DUMMYFUNCTION("""COMPUTED_VALUE"""),"DT")</f>
        <v>DT</v>
      </c>
      <c r="G7458" t="str">
        <f>IFERROR(__xludf.DUMMYFUNCTION("""COMPUTED_VALUE"""),"")</f>
        <v/>
      </c>
    </row>
    <row r="7459">
      <c r="D7459" t="str">
        <f>IFERROR(__xludf.DUMMYFUNCTION("""COMPUTED_VALUE"""),"Cowser")</f>
        <v>Cowser</v>
      </c>
      <c r="E7459" t="str">
        <f>IFERROR(__xludf.DUMMYFUNCTION("""COMPUTED_VALUE"""),"James")</f>
        <v>James</v>
      </c>
      <c r="F7459" t="str">
        <f>IFERROR(__xludf.DUMMYFUNCTION("""COMPUTED_VALUE"""),"LE")</f>
        <v>LE</v>
      </c>
      <c r="G7459" t="str">
        <f>IFERROR(__xludf.DUMMYFUNCTION("""COMPUTED_VALUE"""),"")</f>
        <v/>
      </c>
    </row>
    <row r="7460">
      <c r="D7460" t="str">
        <f>IFERROR(__xludf.DUMMYFUNCTION("""COMPUTED_VALUE"""),"Cox")</f>
        <v>Cox</v>
      </c>
      <c r="E7460" t="str">
        <f>IFERROR(__xludf.DUMMYFUNCTION("""COMPUTED_VALUE"""),"Bryan")</f>
        <v>Bryan</v>
      </c>
      <c r="F7460" t="str">
        <f>IFERROR(__xludf.DUMMYFUNCTION("""COMPUTED_VALUE"""),"LOLB")</f>
        <v>LOLB</v>
      </c>
      <c r="G7460" t="str">
        <f>IFERROR(__xludf.DUMMYFUNCTION("""COMPUTED_VALUE"""),"")</f>
        <v/>
      </c>
    </row>
    <row r="7461">
      <c r="D7461" t="str">
        <f>IFERROR(__xludf.DUMMYFUNCTION("""COMPUTED_VALUE"""),"Cox")</f>
        <v>Cox</v>
      </c>
      <c r="E7461" t="str">
        <f>IFERROR(__xludf.DUMMYFUNCTION("""COMPUTED_VALUE"""),"Chandler")</f>
        <v>Chandler</v>
      </c>
      <c r="F7461" t="str">
        <f>IFERROR(__xludf.DUMMYFUNCTION("""COMPUTED_VALUE"""),"FB")</f>
        <v>FB</v>
      </c>
      <c r="G7461" t="str">
        <f>IFERROR(__xludf.DUMMYFUNCTION("""COMPUTED_VALUE"""),"")</f>
        <v/>
      </c>
    </row>
    <row r="7462">
      <c r="D7462" t="str">
        <f>IFERROR(__xludf.DUMMYFUNCTION("""COMPUTED_VALUE"""),"Cox")</f>
        <v>Cox</v>
      </c>
      <c r="E7462" t="str">
        <f>IFERROR(__xludf.DUMMYFUNCTION("""COMPUTED_VALUE"""),"Demetrious")</f>
        <v>Demetrious</v>
      </c>
      <c r="F7462" t="str">
        <f>IFERROR(__xludf.DUMMYFUNCTION("""COMPUTED_VALUE"""),"SS")</f>
        <v>SS</v>
      </c>
      <c r="G7462" t="str">
        <f>IFERROR(__xludf.DUMMYFUNCTION("""COMPUTED_VALUE"""),"")</f>
        <v/>
      </c>
    </row>
    <row r="7463">
      <c r="D7463" t="str">
        <f>IFERROR(__xludf.DUMMYFUNCTION("""COMPUTED_VALUE"""),"Cox")</f>
        <v>Cox</v>
      </c>
      <c r="E7463" t="str">
        <f>IFERROR(__xludf.DUMMYFUNCTION("""COMPUTED_VALUE"""),"Fletcher")</f>
        <v>Fletcher</v>
      </c>
      <c r="F7463" t="str">
        <f>IFERROR(__xludf.DUMMYFUNCTION("""COMPUTED_VALUE"""),"DT")</f>
        <v>DT</v>
      </c>
      <c r="G7463" t="str">
        <f>IFERROR(__xludf.DUMMYFUNCTION("""COMPUTED_VALUE"""),"")</f>
        <v/>
      </c>
    </row>
    <row r="7464">
      <c r="D7464" t="str">
        <f>IFERROR(__xludf.DUMMYFUNCTION("""COMPUTED_VALUE"""),"Cox")</f>
        <v>Cox</v>
      </c>
      <c r="E7464" t="str">
        <f>IFERROR(__xludf.DUMMYFUNCTION("""COMPUTED_VALUE"""),"Morgan")</f>
        <v>Morgan</v>
      </c>
      <c r="F7464" t="str">
        <f>IFERROR(__xludf.DUMMYFUNCTION("""COMPUTED_VALUE"""),"TE")</f>
        <v>TE</v>
      </c>
      <c r="G7464" t="str">
        <f>IFERROR(__xludf.DUMMYFUNCTION("""COMPUTED_VALUE"""),"")</f>
        <v/>
      </c>
    </row>
    <row r="7465">
      <c r="D7465" t="str">
        <f>IFERROR(__xludf.DUMMYFUNCTION("""COMPUTED_VALUE"""),"Cracraft")</f>
        <v>Cracraft</v>
      </c>
      <c r="E7465" t="str">
        <f>IFERROR(__xludf.DUMMYFUNCTION("""COMPUTED_VALUE"""),"River")</f>
        <v>River</v>
      </c>
      <c r="F7465" t="str">
        <f>IFERROR(__xludf.DUMMYFUNCTION("""COMPUTED_VALUE"""),"WR")</f>
        <v>WR</v>
      </c>
      <c r="G7465" t="str">
        <f>IFERROR(__xludf.DUMMYFUNCTION("""COMPUTED_VALUE"""),"")</f>
        <v/>
      </c>
    </row>
    <row r="7466">
      <c r="D7466" t="str">
        <f>IFERROR(__xludf.DUMMYFUNCTION("""COMPUTED_VALUE"""),"Cravens")</f>
        <v>Cravens</v>
      </c>
      <c r="E7466" t="str">
        <f>IFERROR(__xludf.DUMMYFUNCTION("""COMPUTED_VALUE"""),"Sua")</f>
        <v>Sua</v>
      </c>
      <c r="F7466" t="str">
        <f>IFERROR(__xludf.DUMMYFUNCTION("""COMPUTED_VALUE"""),"SS")</f>
        <v>SS</v>
      </c>
      <c r="G7466" t="str">
        <f>IFERROR(__xludf.DUMMYFUNCTION("""COMPUTED_VALUE"""),"")</f>
        <v/>
      </c>
    </row>
    <row r="7467">
      <c r="D7467" t="str">
        <f>IFERROR(__xludf.DUMMYFUNCTION("""COMPUTED_VALUE"""),"Crawford")</f>
        <v>Crawford</v>
      </c>
      <c r="E7467" t="str">
        <f>IFERROR(__xludf.DUMMYFUNCTION("""COMPUTED_VALUE"""),"Jack")</f>
        <v>Jack</v>
      </c>
      <c r="F7467" t="str">
        <f>IFERROR(__xludf.DUMMYFUNCTION("""COMPUTED_VALUE"""),"DT")</f>
        <v>DT</v>
      </c>
      <c r="G7467" t="str">
        <f>IFERROR(__xludf.DUMMYFUNCTION("""COMPUTED_VALUE"""),"")</f>
        <v/>
      </c>
    </row>
    <row r="7468">
      <c r="D7468" t="str">
        <f>IFERROR(__xludf.DUMMYFUNCTION("""COMPUTED_VALUE"""),"Crawford")</f>
        <v>Crawford</v>
      </c>
      <c r="E7468" t="str">
        <f>IFERROR(__xludf.DUMMYFUNCTION("""COMPUTED_VALUE"""),"James")</f>
        <v>James</v>
      </c>
      <c r="F7468" t="str">
        <f>IFERROR(__xludf.DUMMYFUNCTION("""COMPUTED_VALUE"""),"MLB")</f>
        <v>MLB</v>
      </c>
      <c r="G7468" t="str">
        <f>IFERROR(__xludf.DUMMYFUNCTION("""COMPUTED_VALUE"""),"")</f>
        <v/>
      </c>
    </row>
    <row r="7469">
      <c r="D7469" t="str">
        <f>IFERROR(__xludf.DUMMYFUNCTION("""COMPUTED_VALUE"""),"Crawford")</f>
        <v>Crawford</v>
      </c>
      <c r="E7469" t="str">
        <f>IFERROR(__xludf.DUMMYFUNCTION("""COMPUTED_VALUE"""),"Tyrone")</f>
        <v>Tyrone</v>
      </c>
      <c r="F7469" t="str">
        <f>IFERROR(__xludf.DUMMYFUNCTION("""COMPUTED_VALUE"""),"RE")</f>
        <v>RE</v>
      </c>
      <c r="G7469" t="str">
        <f>IFERROR(__xludf.DUMMYFUNCTION("""COMPUTED_VALUE"""),"")</f>
        <v/>
      </c>
    </row>
    <row r="7470">
      <c r="D7470" t="str">
        <f>IFERROR(__xludf.DUMMYFUNCTION("""COMPUTED_VALUE"""),"Crawford")</f>
        <v>Crawford</v>
      </c>
      <c r="E7470" t="str">
        <f>IFERROR(__xludf.DUMMYFUNCTION("""COMPUTED_VALUE"""),"Xavier")</f>
        <v>Xavier</v>
      </c>
      <c r="F7470" t="str">
        <f>IFERROR(__xludf.DUMMYFUNCTION("""COMPUTED_VALUE"""),"CB")</f>
        <v>CB</v>
      </c>
      <c r="G7470" t="str">
        <f>IFERROR(__xludf.DUMMYFUNCTION("""COMPUTED_VALUE"""),"")</f>
        <v/>
      </c>
    </row>
    <row r="7471">
      <c r="D7471" t="str">
        <f>IFERROR(__xludf.DUMMYFUNCTION("""COMPUTED_VALUE"""),"Crawley")</f>
        <v>Crawley</v>
      </c>
      <c r="E7471" t="str">
        <f>IFERROR(__xludf.DUMMYFUNCTION("""COMPUTED_VALUE"""),"Ken")</f>
        <v>Ken</v>
      </c>
      <c r="F7471" t="str">
        <f>IFERROR(__xludf.DUMMYFUNCTION("""COMPUTED_VALUE"""),"CB")</f>
        <v>CB</v>
      </c>
      <c r="G7471" t="str">
        <f>IFERROR(__xludf.DUMMYFUNCTION("""COMPUTED_VALUE"""),"")</f>
        <v/>
      </c>
    </row>
    <row r="7472">
      <c r="D7472" t="str">
        <f>IFERROR(__xludf.DUMMYFUNCTION("""COMPUTED_VALUE"""),"Croom")</f>
        <v>Croom</v>
      </c>
      <c r="E7472" t="str">
        <f>IFERROR(__xludf.DUMMYFUNCTION("""COMPUTED_VALUE"""),"Jason")</f>
        <v>Jason</v>
      </c>
      <c r="F7472" t="str">
        <f>IFERROR(__xludf.DUMMYFUNCTION("""COMPUTED_VALUE"""),"TE")</f>
        <v>TE</v>
      </c>
      <c r="G7472" t="str">
        <f>IFERROR(__xludf.DUMMYFUNCTION("""COMPUTED_VALUE"""),"")</f>
        <v/>
      </c>
    </row>
    <row r="7473">
      <c r="D7473" t="str">
        <f>IFERROR(__xludf.DUMMYFUNCTION("""COMPUTED_VALUE"""),"Crosby")</f>
        <v>Crosby</v>
      </c>
      <c r="E7473" t="str">
        <f>IFERROR(__xludf.DUMMYFUNCTION("""COMPUTED_VALUE"""),"Mason")</f>
        <v>Mason</v>
      </c>
      <c r="F7473" t="str">
        <f>IFERROR(__xludf.DUMMYFUNCTION("""COMPUTED_VALUE"""),"K")</f>
        <v>K</v>
      </c>
      <c r="G7473" t="str">
        <f>IFERROR(__xludf.DUMMYFUNCTION("""COMPUTED_VALUE"""),"")</f>
        <v/>
      </c>
    </row>
    <row r="7474">
      <c r="D7474" t="str">
        <f>IFERROR(__xludf.DUMMYFUNCTION("""COMPUTED_VALUE"""),"Crosby")</f>
        <v>Crosby</v>
      </c>
      <c r="E7474" t="str">
        <f>IFERROR(__xludf.DUMMYFUNCTION("""COMPUTED_VALUE"""),"Maxx")</f>
        <v>Maxx</v>
      </c>
      <c r="F7474" t="str">
        <f>IFERROR(__xludf.DUMMYFUNCTION("""COMPUTED_VALUE"""),"RE")</f>
        <v>RE</v>
      </c>
      <c r="G7474" t="str">
        <f>IFERROR(__xludf.DUMMYFUNCTION("""COMPUTED_VALUE"""),"")</f>
        <v/>
      </c>
    </row>
    <row r="7475">
      <c r="D7475" t="str">
        <f>IFERROR(__xludf.DUMMYFUNCTION("""COMPUTED_VALUE"""),"Crosby")</f>
        <v>Crosby</v>
      </c>
      <c r="E7475" t="str">
        <f>IFERROR(__xludf.DUMMYFUNCTION("""COMPUTED_VALUE"""),"Tyrell")</f>
        <v>Tyrell</v>
      </c>
      <c r="F7475" t="str">
        <f>IFERROR(__xludf.DUMMYFUNCTION("""COMPUTED_VALUE"""),"LT")</f>
        <v>LT</v>
      </c>
      <c r="G7475" t="str">
        <f>IFERROR(__xludf.DUMMYFUNCTION("""COMPUTED_VALUE"""),"")</f>
        <v/>
      </c>
    </row>
    <row r="7476">
      <c r="D7476" t="str">
        <f>IFERROR(__xludf.DUMMYFUNCTION("""COMPUTED_VALUE"""),"Crossen")</f>
        <v>Crossen</v>
      </c>
      <c r="E7476" t="str">
        <f>IFERROR(__xludf.DUMMYFUNCTION("""COMPUTED_VALUE"""),"Keion")</f>
        <v>Keion</v>
      </c>
      <c r="F7476" t="str">
        <f>IFERROR(__xludf.DUMMYFUNCTION("""COMPUTED_VALUE"""),"CB")</f>
        <v>CB</v>
      </c>
      <c r="G7476" t="str">
        <f>IFERROR(__xludf.DUMMYFUNCTION("""COMPUTED_VALUE"""),"")</f>
        <v/>
      </c>
    </row>
    <row r="7477">
      <c r="D7477" t="str">
        <f>IFERROR(__xludf.DUMMYFUNCTION("""COMPUTED_VALUE"""),"Crowder")</f>
        <v>Crowder</v>
      </c>
      <c r="E7477" t="str">
        <f>IFERROR(__xludf.DUMMYFUNCTION("""COMPUTED_VALUE"""),"Jamison")</f>
        <v>Jamison</v>
      </c>
      <c r="F7477" t="str">
        <f>IFERROR(__xludf.DUMMYFUNCTION("""COMPUTED_VALUE"""),"WR")</f>
        <v>WR</v>
      </c>
      <c r="G7477" t="str">
        <f>IFERROR(__xludf.DUMMYFUNCTION("""COMPUTED_VALUE"""),"")</f>
        <v/>
      </c>
    </row>
    <row r="7478">
      <c r="D7478" t="str">
        <f>IFERROR(__xludf.DUMMYFUNCTION("""COMPUTED_VALUE"""),"Crowell")</f>
        <v>Crowell</v>
      </c>
      <c r="E7478" t="str">
        <f>IFERROR(__xludf.DUMMYFUNCTION("""COMPUTED_VALUE"""),"Isaiah")</f>
        <v>Isaiah</v>
      </c>
      <c r="F7478" t="str">
        <f>IFERROR(__xludf.DUMMYFUNCTION("""COMPUTED_VALUE"""),"HB")</f>
        <v>HB</v>
      </c>
      <c r="G7478" t="str">
        <f>IFERROR(__xludf.DUMMYFUNCTION("""COMPUTED_VALUE"""),"")</f>
        <v/>
      </c>
    </row>
    <row r="7479">
      <c r="D7479" t="str">
        <f>IFERROR(__xludf.DUMMYFUNCTION("""COMPUTED_VALUE"""),"Cruikshank")</f>
        <v>Cruikshank</v>
      </c>
      <c r="E7479" t="str">
        <f>IFERROR(__xludf.DUMMYFUNCTION("""COMPUTED_VALUE"""),"Dane")</f>
        <v>Dane</v>
      </c>
      <c r="F7479" t="str">
        <f>IFERROR(__xludf.DUMMYFUNCTION("""COMPUTED_VALUE"""),"FS")</f>
        <v>FS</v>
      </c>
      <c r="G7479" t="str">
        <f>IFERROR(__xludf.DUMMYFUNCTION("""COMPUTED_VALUE"""),"")</f>
        <v/>
      </c>
    </row>
    <row r="7480">
      <c r="D7480" t="str">
        <f>IFERROR(__xludf.DUMMYFUNCTION("""COMPUTED_VALUE"""),"Culkin")</f>
        <v>Culkin</v>
      </c>
      <c r="E7480" t="str">
        <f>IFERROR(__xludf.DUMMYFUNCTION("""COMPUTED_VALUE"""),"Sean")</f>
        <v>Sean</v>
      </c>
      <c r="F7480" t="str">
        <f>IFERROR(__xludf.DUMMYFUNCTION("""COMPUTED_VALUE"""),"TE")</f>
        <v>TE</v>
      </c>
      <c r="G7480" t="str">
        <f>IFERROR(__xludf.DUMMYFUNCTION("""COMPUTED_VALUE"""),"")</f>
        <v/>
      </c>
    </row>
    <row r="7481">
      <c r="D7481" t="str">
        <f>IFERROR(__xludf.DUMMYFUNCTION("""COMPUTED_VALUE"""),"Cunningham")</f>
        <v>Cunningham</v>
      </c>
      <c r="E7481" t="str">
        <f>IFERROR(__xludf.DUMMYFUNCTION("""COMPUTED_VALUE"""),"Benny")</f>
        <v>Benny</v>
      </c>
      <c r="F7481" t="str">
        <f>IFERROR(__xludf.DUMMYFUNCTION("""COMPUTED_VALUE"""),"HB")</f>
        <v>HB</v>
      </c>
      <c r="G7481" t="str">
        <f>IFERROR(__xludf.DUMMYFUNCTION("""COMPUTED_VALUE"""),"")</f>
        <v/>
      </c>
    </row>
    <row r="7482">
      <c r="D7482" t="str">
        <f>IFERROR(__xludf.DUMMYFUNCTION("""COMPUTED_VALUE"""),"Cunningham")</f>
        <v>Cunningham</v>
      </c>
      <c r="E7482" t="str">
        <f>IFERROR(__xludf.DUMMYFUNCTION("""COMPUTED_VALUE"""),"Jerome")</f>
        <v>Jerome</v>
      </c>
      <c r="F7482" t="str">
        <f>IFERROR(__xludf.DUMMYFUNCTION("""COMPUTED_VALUE"""),"TE")</f>
        <v>TE</v>
      </c>
      <c r="G7482" t="str">
        <f>IFERROR(__xludf.DUMMYFUNCTION("""COMPUTED_VALUE"""),"")</f>
        <v/>
      </c>
    </row>
    <row r="7483">
      <c r="D7483" t="str">
        <f>IFERROR(__xludf.DUMMYFUNCTION("""COMPUTED_VALUE"""),"Cunningham")</f>
        <v>Cunningham</v>
      </c>
      <c r="E7483" t="str">
        <f>IFERROR(__xludf.DUMMYFUNCTION("""COMPUTED_VALUE"""),"Korey")</f>
        <v>Korey</v>
      </c>
      <c r="F7483" t="str">
        <f>IFERROR(__xludf.DUMMYFUNCTION("""COMPUTED_VALUE"""),"LT")</f>
        <v>LT</v>
      </c>
      <c r="G7483" t="str">
        <f>IFERROR(__xludf.DUMMYFUNCTION("""COMPUTED_VALUE"""),"")</f>
        <v/>
      </c>
    </row>
    <row r="7484">
      <c r="D7484" t="str">
        <f>IFERROR(__xludf.DUMMYFUNCTION("""COMPUTED_VALUE"""),"Cunningham")</f>
        <v>Cunningham</v>
      </c>
      <c r="E7484" t="str">
        <f>IFERROR(__xludf.DUMMYFUNCTION("""COMPUTED_VALUE"""),"Zach")</f>
        <v>Zach</v>
      </c>
      <c r="F7484" t="str">
        <f>IFERROR(__xludf.DUMMYFUNCTION("""COMPUTED_VALUE"""),"MLB")</f>
        <v>MLB</v>
      </c>
      <c r="G7484" t="str">
        <f>IFERROR(__xludf.DUMMYFUNCTION("""COMPUTED_VALUE"""),"")</f>
        <v/>
      </c>
    </row>
    <row r="7485">
      <c r="D7485" t="str">
        <f>IFERROR(__xludf.DUMMYFUNCTION("""COMPUTED_VALUE"""),"Currie")</f>
        <v>Currie</v>
      </c>
      <c r="E7485" t="str">
        <f>IFERROR(__xludf.DUMMYFUNCTION("""COMPUTED_VALUE"""),"Justin")</f>
        <v>Justin</v>
      </c>
      <c r="F7485" t="str">
        <f>IFERROR(__xludf.DUMMYFUNCTION("""COMPUTED_VALUE"""),"MLB")</f>
        <v>MLB</v>
      </c>
      <c r="G7485" t="str">
        <f>IFERROR(__xludf.DUMMYFUNCTION("""COMPUTED_VALUE"""),"")</f>
        <v/>
      </c>
    </row>
    <row r="7486">
      <c r="D7486" t="str">
        <f>IFERROR(__xludf.DUMMYFUNCTION("""COMPUTED_VALUE"""),"Curry")</f>
        <v>Curry</v>
      </c>
      <c r="E7486" t="str">
        <f>IFERROR(__xludf.DUMMYFUNCTION("""COMPUTED_VALUE"""),"Vinny")</f>
        <v>Vinny</v>
      </c>
      <c r="F7486" t="str">
        <f>IFERROR(__xludf.DUMMYFUNCTION("""COMPUTED_VALUE"""),"LE")</f>
        <v>LE</v>
      </c>
      <c r="G7486" t="str">
        <f>IFERROR(__xludf.DUMMYFUNCTION("""COMPUTED_VALUE"""),"")</f>
        <v/>
      </c>
    </row>
    <row r="7487">
      <c r="D7487" t="str">
        <f>IFERROR(__xludf.DUMMYFUNCTION("""COMPUTED_VALUE"""),"Custis")</f>
        <v>Custis</v>
      </c>
      <c r="E7487" t="str">
        <f>IFERROR(__xludf.DUMMYFUNCTION("""COMPUTED_VALUE"""),"Jamal")</f>
        <v>Jamal</v>
      </c>
      <c r="F7487" t="str">
        <f>IFERROR(__xludf.DUMMYFUNCTION("""COMPUTED_VALUE"""),"WR")</f>
        <v>WR</v>
      </c>
      <c r="G7487" t="str">
        <f>IFERROR(__xludf.DUMMYFUNCTION("""COMPUTED_VALUE"""),"")</f>
        <v/>
      </c>
    </row>
    <row r="7488">
      <c r="D7488" t="str">
        <f>IFERROR(__xludf.DUMMYFUNCTION("""COMPUTED_VALUE"""),"Cutting")</f>
        <v>Cutting</v>
      </c>
      <c r="E7488" t="str">
        <f>IFERROR(__xludf.DUMMYFUNCTION("""COMPUTED_VALUE"""),"Austin")</f>
        <v>Austin</v>
      </c>
      <c r="F7488" t="str">
        <f>IFERROR(__xludf.DUMMYFUNCTION("""COMPUTED_VALUE"""),"TE")</f>
        <v>TE</v>
      </c>
      <c r="G7488" t="str">
        <f>IFERROR(__xludf.DUMMYFUNCTION("""COMPUTED_VALUE"""),"")</f>
        <v/>
      </c>
    </row>
    <row r="7489">
      <c r="D7489" t="str">
        <f>IFERROR(__xludf.DUMMYFUNCTION("""COMPUTED_VALUE"""),"Dahl")</f>
        <v>Dahl</v>
      </c>
      <c r="E7489" t="str">
        <f>IFERROR(__xludf.DUMMYFUNCTION("""COMPUTED_VALUE"""),"Joe")</f>
        <v>Joe</v>
      </c>
      <c r="F7489" t="str">
        <f>IFERROR(__xludf.DUMMYFUNCTION("""COMPUTED_VALUE"""),"LG")</f>
        <v>LG</v>
      </c>
      <c r="G7489" t="str">
        <f>IFERROR(__xludf.DUMMYFUNCTION("""COMPUTED_VALUE"""),"")</f>
        <v/>
      </c>
    </row>
    <row r="7490">
      <c r="D7490" t="str">
        <f>IFERROR(__xludf.DUMMYFUNCTION("""COMPUTED_VALUE"""),"Daley")</f>
        <v>Daley</v>
      </c>
      <c r="E7490" t="str">
        <f>IFERROR(__xludf.DUMMYFUNCTION("""COMPUTED_VALUE"""),"Dennis")</f>
        <v>Dennis</v>
      </c>
      <c r="F7490" t="str">
        <f>IFERROR(__xludf.DUMMYFUNCTION("""COMPUTED_VALUE"""),"RT")</f>
        <v>RT</v>
      </c>
      <c r="G7490" t="str">
        <f>IFERROR(__xludf.DUMMYFUNCTION("""COMPUTED_VALUE"""),"")</f>
        <v/>
      </c>
    </row>
    <row r="7491">
      <c r="D7491" t="str">
        <f>IFERROR(__xludf.DUMMYFUNCTION("""COMPUTED_VALUE"""),"Dalton")</f>
        <v>Dalton</v>
      </c>
      <c r="E7491" t="str">
        <f>IFERROR(__xludf.DUMMYFUNCTION("""COMPUTED_VALUE"""),"Andy")</f>
        <v>Andy</v>
      </c>
      <c r="F7491" t="str">
        <f>IFERROR(__xludf.DUMMYFUNCTION("""COMPUTED_VALUE"""),"QB")</f>
        <v>QB</v>
      </c>
      <c r="G7491" t="str">
        <f>IFERROR(__xludf.DUMMYFUNCTION("""COMPUTED_VALUE"""),"")</f>
        <v/>
      </c>
    </row>
    <row r="7492">
      <c r="D7492" t="str">
        <f>IFERROR(__xludf.DUMMYFUNCTION("""COMPUTED_VALUE"""),"Dangerfield")</f>
        <v>Dangerfield</v>
      </c>
      <c r="E7492" t="str">
        <f>IFERROR(__xludf.DUMMYFUNCTION("""COMPUTED_VALUE"""),"Jordan")</f>
        <v>Jordan</v>
      </c>
      <c r="F7492" t="str">
        <f>IFERROR(__xludf.DUMMYFUNCTION("""COMPUTED_VALUE"""),"FS")</f>
        <v>FS</v>
      </c>
      <c r="G7492" t="str">
        <f>IFERROR(__xludf.DUMMYFUNCTION("""COMPUTED_VALUE"""),"")</f>
        <v/>
      </c>
    </row>
    <row r="7493">
      <c r="D7493" t="str">
        <f>IFERROR(__xludf.DUMMYFUNCTION("""COMPUTED_VALUE"""),"Daniel")</f>
        <v>Daniel</v>
      </c>
      <c r="E7493" t="str">
        <f>IFERROR(__xludf.DUMMYFUNCTION("""COMPUTED_VALUE"""),"Chase")</f>
        <v>Chase</v>
      </c>
      <c r="F7493" t="str">
        <f>IFERROR(__xludf.DUMMYFUNCTION("""COMPUTED_VALUE"""),"QB")</f>
        <v>QB</v>
      </c>
      <c r="G7493" t="str">
        <f>IFERROR(__xludf.DUMMYFUNCTION("""COMPUTED_VALUE"""),"")</f>
        <v/>
      </c>
    </row>
    <row r="7494">
      <c r="D7494" t="str">
        <f>IFERROR(__xludf.DUMMYFUNCTION("""COMPUTED_VALUE"""),"Daniel")</f>
        <v>Daniel</v>
      </c>
      <c r="E7494" t="str">
        <f>IFERROR(__xludf.DUMMYFUNCTION("""COMPUTED_VALUE"""),"Trevor")</f>
        <v>Trevor</v>
      </c>
      <c r="F7494" t="str">
        <f>IFERROR(__xludf.DUMMYFUNCTION("""COMPUTED_VALUE"""),"P")</f>
        <v>P</v>
      </c>
      <c r="G7494" t="str">
        <f>IFERROR(__xludf.DUMMYFUNCTION("""COMPUTED_VALUE"""),"")</f>
        <v/>
      </c>
    </row>
    <row r="7495">
      <c r="D7495" t="str">
        <f>IFERROR(__xludf.DUMMYFUNCTION("""COMPUTED_VALUE"""),"Daniels")</f>
        <v>Daniels</v>
      </c>
      <c r="E7495" t="str">
        <f>IFERROR(__xludf.DUMMYFUNCTION("""COMPUTED_VALUE"""),"Darrell")</f>
        <v>Darrell</v>
      </c>
      <c r="F7495" t="str">
        <f>IFERROR(__xludf.DUMMYFUNCTION("""COMPUTED_VALUE"""),"TE")</f>
        <v>TE</v>
      </c>
      <c r="G7495" t="str">
        <f>IFERROR(__xludf.DUMMYFUNCTION("""COMPUTED_VALUE"""),"")</f>
        <v/>
      </c>
    </row>
    <row r="7496">
      <c r="D7496" t="str">
        <f>IFERROR(__xludf.DUMMYFUNCTION("""COMPUTED_VALUE"""),"Daniels")</f>
        <v>Daniels</v>
      </c>
      <c r="E7496" t="str">
        <f>IFERROR(__xludf.DUMMYFUNCTION("""COMPUTED_VALUE"""),"James")</f>
        <v>James</v>
      </c>
      <c r="F7496" t="str">
        <f>IFERROR(__xludf.DUMMYFUNCTION("""COMPUTED_VALUE"""),"LG")</f>
        <v>LG</v>
      </c>
      <c r="G7496" t="str">
        <f>IFERROR(__xludf.DUMMYFUNCTION("""COMPUTED_VALUE"""),"")</f>
        <v/>
      </c>
    </row>
    <row r="7497">
      <c r="D7497" t="str">
        <f>IFERROR(__xludf.DUMMYFUNCTION("""COMPUTED_VALUE"""),"Daniels")</f>
        <v>Daniels</v>
      </c>
      <c r="E7497" t="str">
        <f>IFERROR(__xludf.DUMMYFUNCTION("""COMPUTED_VALUE"""),"Mike")</f>
        <v>Mike</v>
      </c>
      <c r="F7497" t="str">
        <f>IFERROR(__xludf.DUMMYFUNCTION("""COMPUTED_VALUE"""),"RE")</f>
        <v>RE</v>
      </c>
      <c r="G7497" t="str">
        <f>IFERROR(__xludf.DUMMYFUNCTION("""COMPUTED_VALUE"""),"")</f>
        <v/>
      </c>
    </row>
    <row r="7498">
      <c r="D7498" t="str">
        <f>IFERROR(__xludf.DUMMYFUNCTION("""COMPUTED_VALUE"""),"Darby")</f>
        <v>Darby</v>
      </c>
      <c r="E7498" t="str">
        <f>IFERROR(__xludf.DUMMYFUNCTION("""COMPUTED_VALUE"""),"Ronald")</f>
        <v>Ronald</v>
      </c>
      <c r="F7498" t="str">
        <f>IFERROR(__xludf.DUMMYFUNCTION("""COMPUTED_VALUE"""),"CB")</f>
        <v>CB</v>
      </c>
      <c r="G7498" t="str">
        <f>IFERROR(__xludf.DUMMYFUNCTION("""COMPUTED_VALUE"""),"")</f>
        <v/>
      </c>
    </row>
    <row r="7499">
      <c r="D7499" t="str">
        <f>IFERROR(__xludf.DUMMYFUNCTION("""COMPUTED_VALUE"""),"Dareus")</f>
        <v>Dareus</v>
      </c>
      <c r="E7499" t="str">
        <f>IFERROR(__xludf.DUMMYFUNCTION("""COMPUTED_VALUE"""),"Marcell")</f>
        <v>Marcell</v>
      </c>
      <c r="F7499" t="str">
        <f>IFERROR(__xludf.DUMMYFUNCTION("""COMPUTED_VALUE"""),"DT")</f>
        <v>DT</v>
      </c>
      <c r="G7499" t="str">
        <f>IFERROR(__xludf.DUMMYFUNCTION("""COMPUTED_VALUE"""),"")</f>
        <v/>
      </c>
    </row>
    <row r="7500">
      <c r="D7500" t="str">
        <f>IFERROR(__xludf.DUMMYFUNCTION("""COMPUTED_VALUE"""),"Darnold")</f>
        <v>Darnold</v>
      </c>
      <c r="E7500" t="str">
        <f>IFERROR(__xludf.DUMMYFUNCTION("""COMPUTED_VALUE"""),"Sam")</f>
        <v>Sam</v>
      </c>
      <c r="F7500" t="str">
        <f>IFERROR(__xludf.DUMMYFUNCTION("""COMPUTED_VALUE"""),"QB")</f>
        <v>QB</v>
      </c>
      <c r="G7500" t="str">
        <f>IFERROR(__xludf.DUMMYFUNCTION("""COMPUTED_VALUE"""),"")</f>
        <v/>
      </c>
    </row>
    <row r="7501">
      <c r="D7501" t="str">
        <f>IFERROR(__xludf.DUMMYFUNCTION("""COMPUTED_VALUE"""),"Darr")</f>
        <v>Darr</v>
      </c>
      <c r="E7501" t="str">
        <f>IFERROR(__xludf.DUMMYFUNCTION("""COMPUTED_VALUE"""),"Matt")</f>
        <v>Matt</v>
      </c>
      <c r="F7501" t="str">
        <f>IFERROR(__xludf.DUMMYFUNCTION("""COMPUTED_VALUE"""),"P")</f>
        <v>P</v>
      </c>
      <c r="G7501" t="str">
        <f>IFERROR(__xludf.DUMMYFUNCTION("""COMPUTED_VALUE"""),"")</f>
        <v/>
      </c>
    </row>
    <row r="7502">
      <c r="D7502" t="str">
        <f>IFERROR(__xludf.DUMMYFUNCTION("""COMPUTED_VALUE"""),"Davenport")</f>
        <v>Davenport</v>
      </c>
      <c r="E7502" t="str">
        <f>IFERROR(__xludf.DUMMYFUNCTION("""COMPUTED_VALUE"""),"Julien")</f>
        <v>Julien</v>
      </c>
      <c r="F7502" t="str">
        <f>IFERROR(__xludf.DUMMYFUNCTION("""COMPUTED_VALUE"""),"LT")</f>
        <v>LT</v>
      </c>
      <c r="G7502" t="str">
        <f>IFERROR(__xludf.DUMMYFUNCTION("""COMPUTED_VALUE"""),"")</f>
        <v/>
      </c>
    </row>
    <row r="7503">
      <c r="D7503" t="str">
        <f>IFERROR(__xludf.DUMMYFUNCTION("""COMPUTED_VALUE"""),"Davenport")</f>
        <v>Davenport</v>
      </c>
      <c r="E7503" t="str">
        <f>IFERROR(__xludf.DUMMYFUNCTION("""COMPUTED_VALUE"""),"Marcus")</f>
        <v>Marcus</v>
      </c>
      <c r="F7503" t="str">
        <f>IFERROR(__xludf.DUMMYFUNCTION("""COMPUTED_VALUE"""),"RE")</f>
        <v>RE</v>
      </c>
      <c r="G7503" t="str">
        <f>IFERROR(__xludf.DUMMYFUNCTION("""COMPUTED_VALUE"""),"")</f>
        <v/>
      </c>
    </row>
    <row r="7504">
      <c r="D7504" t="str">
        <f>IFERROR(__xludf.DUMMYFUNCTION("""COMPUTED_VALUE"""),"David")</f>
        <v>David</v>
      </c>
      <c r="E7504" t="str">
        <f>IFERROR(__xludf.DUMMYFUNCTION("""COMPUTED_VALUE"""),"Lavonte")</f>
        <v>Lavonte</v>
      </c>
      <c r="F7504" t="str">
        <f>IFERROR(__xludf.DUMMYFUNCTION("""COMPUTED_VALUE"""),"MLB")</f>
        <v>MLB</v>
      </c>
      <c r="G7504" t="str">
        <f>IFERROR(__xludf.DUMMYFUNCTION("""COMPUTED_VALUE"""),"")</f>
        <v/>
      </c>
    </row>
    <row r="7505">
      <c r="D7505" t="str">
        <f>IFERROR(__xludf.DUMMYFUNCTION("""COMPUTED_VALUE"""),"Davis")</f>
        <v>Davis</v>
      </c>
      <c r="E7505" t="str">
        <f>IFERROR(__xludf.DUMMYFUNCTION("""COMPUTED_VALUE"""),"Carl")</f>
        <v>Carl</v>
      </c>
      <c r="F7505" t="str">
        <f>IFERROR(__xludf.DUMMYFUNCTION("""COMPUTED_VALUE"""),"DT")</f>
        <v>DT</v>
      </c>
      <c r="G7505" t="str">
        <f>IFERROR(__xludf.DUMMYFUNCTION("""COMPUTED_VALUE"""),"")</f>
        <v/>
      </c>
    </row>
    <row r="7506">
      <c r="D7506" t="str">
        <f>IFERROR(__xludf.DUMMYFUNCTION("""COMPUTED_VALUE"""),"Davis")</f>
        <v>Davis</v>
      </c>
      <c r="E7506" t="str">
        <f>IFERROR(__xludf.DUMMYFUNCTION("""COMPUTED_VALUE"""),"Carlton")</f>
        <v>Carlton</v>
      </c>
      <c r="F7506" t="str">
        <f>IFERROR(__xludf.DUMMYFUNCTION("""COMPUTED_VALUE"""),"CB")</f>
        <v>CB</v>
      </c>
      <c r="G7506" t="str">
        <f>IFERROR(__xludf.DUMMYFUNCTION("""COMPUTED_VALUE"""),"")</f>
        <v/>
      </c>
    </row>
    <row r="7507">
      <c r="D7507" t="str">
        <f>IFERROR(__xludf.DUMMYFUNCTION("""COMPUTED_VALUE"""),"Davis")</f>
        <v>Davis</v>
      </c>
      <c r="E7507" t="str">
        <f>IFERROR(__xludf.DUMMYFUNCTION("""COMPUTED_VALUE"""),"Cody")</f>
        <v>Cody</v>
      </c>
      <c r="F7507" t="str">
        <f>IFERROR(__xludf.DUMMYFUNCTION("""COMPUTED_VALUE"""),"FS")</f>
        <v>FS</v>
      </c>
      <c r="G7507" t="str">
        <f>IFERROR(__xludf.DUMMYFUNCTION("""COMPUTED_VALUE"""),"")</f>
        <v/>
      </c>
    </row>
    <row r="7508">
      <c r="D7508" t="str">
        <f>IFERROR(__xludf.DUMMYFUNCTION("""COMPUTED_VALUE"""),"Davis")</f>
        <v>Davis</v>
      </c>
      <c r="E7508" t="str">
        <f>IFERROR(__xludf.DUMMYFUNCTION("""COMPUTED_VALUE"""),"Corey")</f>
        <v>Corey</v>
      </c>
      <c r="F7508" t="str">
        <f>IFERROR(__xludf.DUMMYFUNCTION("""COMPUTED_VALUE"""),"WR")</f>
        <v>WR</v>
      </c>
      <c r="G7508" t="str">
        <f>IFERROR(__xludf.DUMMYFUNCTION("""COMPUTED_VALUE"""),"")</f>
        <v/>
      </c>
    </row>
    <row r="7509">
      <c r="D7509" t="str">
        <f>IFERROR(__xludf.DUMMYFUNCTION("""COMPUTED_VALUE"""),"Davis")</f>
        <v>Davis</v>
      </c>
      <c r="E7509" t="str">
        <f>IFERROR(__xludf.DUMMYFUNCTION("""COMPUTED_VALUE"""),"Demario")</f>
        <v>Demario</v>
      </c>
      <c r="F7509" t="str">
        <f>IFERROR(__xludf.DUMMYFUNCTION("""COMPUTED_VALUE"""),"ROLB")</f>
        <v>ROLB</v>
      </c>
      <c r="G7509" t="str">
        <f>IFERROR(__xludf.DUMMYFUNCTION("""COMPUTED_VALUE"""),"")</f>
        <v/>
      </c>
    </row>
    <row r="7510">
      <c r="D7510" t="str">
        <f>IFERROR(__xludf.DUMMYFUNCTION("""COMPUTED_VALUE"""),"Davis")</f>
        <v>Davis</v>
      </c>
      <c r="E7510" t="str">
        <f>IFERROR(__xludf.DUMMYFUNCTION("""COMPUTED_VALUE"""),"Deshaun")</f>
        <v>Deshaun</v>
      </c>
      <c r="F7510" t="str">
        <f>IFERROR(__xludf.DUMMYFUNCTION("""COMPUTED_VALUE"""),"MLB")</f>
        <v>MLB</v>
      </c>
      <c r="G7510" t="str">
        <f>IFERROR(__xludf.DUMMYFUNCTION("""COMPUTED_VALUE"""),"")</f>
        <v/>
      </c>
    </row>
    <row r="7511">
      <c r="D7511" t="str">
        <f>IFERROR(__xludf.DUMMYFUNCTION("""COMPUTED_VALUE"""),"Davis")</f>
        <v>Davis</v>
      </c>
      <c r="E7511" t="str">
        <f>IFERROR(__xludf.DUMMYFUNCTION("""COMPUTED_VALUE"""),"Geremy")</f>
        <v>Geremy</v>
      </c>
      <c r="F7511" t="str">
        <f>IFERROR(__xludf.DUMMYFUNCTION("""COMPUTED_VALUE"""),"WR")</f>
        <v>WR</v>
      </c>
      <c r="G7511" t="str">
        <f>IFERROR(__xludf.DUMMYFUNCTION("""COMPUTED_VALUE"""),"")</f>
        <v/>
      </c>
    </row>
    <row r="7512">
      <c r="D7512" t="str">
        <f>IFERROR(__xludf.DUMMYFUNCTION("""COMPUTED_VALUE"""),"Davis")</f>
        <v>Davis</v>
      </c>
      <c r="E7512" t="str">
        <f>IFERROR(__xludf.DUMMYFUNCTION("""COMPUTED_VALUE"""),"Jalen")</f>
        <v>Jalen</v>
      </c>
      <c r="F7512" t="str">
        <f>IFERROR(__xludf.DUMMYFUNCTION("""COMPUTED_VALUE"""),"CB")</f>
        <v>CB</v>
      </c>
      <c r="G7512" t="str">
        <f>IFERROR(__xludf.DUMMYFUNCTION("""COMPUTED_VALUE"""),"")</f>
        <v/>
      </c>
    </row>
    <row r="7513">
      <c r="D7513" t="str">
        <f>IFERROR(__xludf.DUMMYFUNCTION("""COMPUTED_VALUE"""),"Davis")</f>
        <v>Davis</v>
      </c>
      <c r="E7513" t="str">
        <f>IFERROR(__xludf.DUMMYFUNCTION("""COMPUTED_VALUE"""),"Jarrad")</f>
        <v>Jarrad</v>
      </c>
      <c r="F7513" t="str">
        <f>IFERROR(__xludf.DUMMYFUNCTION("""COMPUTED_VALUE"""),"MLB")</f>
        <v>MLB</v>
      </c>
      <c r="G7513" t="str">
        <f>IFERROR(__xludf.DUMMYFUNCTION("""COMPUTED_VALUE"""),"")</f>
        <v/>
      </c>
    </row>
    <row r="7514">
      <c r="D7514" t="str">
        <f>IFERROR(__xludf.DUMMYFUNCTION("""COMPUTED_VALUE"""),"Davis")</f>
        <v>Davis</v>
      </c>
      <c r="E7514" t="str">
        <f>IFERROR(__xludf.DUMMYFUNCTION("""COMPUTED_VALUE"""),"Jawill")</f>
        <v>Jawill</v>
      </c>
      <c r="F7514" t="str">
        <f>IFERROR(__xludf.DUMMYFUNCTION("""COMPUTED_VALUE"""),"WR")</f>
        <v>WR</v>
      </c>
      <c r="G7514" t="str">
        <f>IFERROR(__xludf.DUMMYFUNCTION("""COMPUTED_VALUE"""),"")</f>
        <v/>
      </c>
    </row>
    <row r="7515">
      <c r="D7515" t="str">
        <f>IFERROR(__xludf.DUMMYFUNCTION("""COMPUTED_VALUE"""),"Davis")</f>
        <v>Davis</v>
      </c>
      <c r="E7515" t="str">
        <f>IFERROR(__xludf.DUMMYFUNCTION("""COMPUTED_VALUE"""),"Jesse")</f>
        <v>Jesse</v>
      </c>
      <c r="F7515" t="str">
        <f>IFERROR(__xludf.DUMMYFUNCTION("""COMPUTED_VALUE"""),"RG")</f>
        <v>RG</v>
      </c>
      <c r="G7515" t="str">
        <f>IFERROR(__xludf.DUMMYFUNCTION("""COMPUTED_VALUE"""),"")</f>
        <v/>
      </c>
    </row>
    <row r="7516">
      <c r="D7516" t="str">
        <f>IFERROR(__xludf.DUMMYFUNCTION("""COMPUTED_VALUE"""),"Davis")</f>
        <v>Davis</v>
      </c>
      <c r="E7516" t="str">
        <f>IFERROR(__xludf.DUMMYFUNCTION("""COMPUTED_VALUE"""),"Justin")</f>
        <v>Justin</v>
      </c>
      <c r="F7516" t="str">
        <f>IFERROR(__xludf.DUMMYFUNCTION("""COMPUTED_VALUE"""),"HB")</f>
        <v>HB</v>
      </c>
      <c r="G7516" t="str">
        <f>IFERROR(__xludf.DUMMYFUNCTION("""COMPUTED_VALUE"""),"")</f>
        <v/>
      </c>
    </row>
    <row r="7517">
      <c r="D7517" t="str">
        <f>IFERROR(__xludf.DUMMYFUNCTION("""COMPUTED_VALUE"""),"Davis")</f>
        <v>Davis</v>
      </c>
      <c r="E7517" t="str">
        <f>IFERROR(__xludf.DUMMYFUNCTION("""COMPUTED_VALUE"""),"Keionta")</f>
        <v>Keionta</v>
      </c>
      <c r="F7517" t="str">
        <f>IFERROR(__xludf.DUMMYFUNCTION("""COMPUTED_VALUE"""),"RE")</f>
        <v>RE</v>
      </c>
      <c r="G7517" t="str">
        <f>IFERROR(__xludf.DUMMYFUNCTION("""COMPUTED_VALUE"""),"")</f>
        <v/>
      </c>
    </row>
    <row r="7518">
      <c r="D7518" t="str">
        <f>IFERROR(__xludf.DUMMYFUNCTION("""COMPUTED_VALUE"""),"Davis")</f>
        <v>Davis</v>
      </c>
      <c r="E7518" t="str">
        <f>IFERROR(__xludf.DUMMYFUNCTION("""COMPUTED_VALUE"""),"Michael")</f>
        <v>Michael</v>
      </c>
      <c r="F7518" t="str">
        <f>IFERROR(__xludf.DUMMYFUNCTION("""COMPUTED_VALUE"""),"CB")</f>
        <v>CB</v>
      </c>
      <c r="G7518" t="str">
        <f>IFERROR(__xludf.DUMMYFUNCTION("""COMPUTED_VALUE"""),"")</f>
        <v/>
      </c>
    </row>
    <row r="7519">
      <c r="D7519" t="str">
        <f>IFERROR(__xludf.DUMMYFUNCTION("""COMPUTED_VALUE"""),"Davis")</f>
        <v>Davis</v>
      </c>
      <c r="E7519" t="str">
        <f>IFERROR(__xludf.DUMMYFUNCTION("""COMPUTED_VALUE"""),"Mike")</f>
        <v>Mike</v>
      </c>
      <c r="F7519" t="str">
        <f>IFERROR(__xludf.DUMMYFUNCTION("""COMPUTED_VALUE"""),"HB")</f>
        <v>HB</v>
      </c>
      <c r="G7519" t="str">
        <f>IFERROR(__xludf.DUMMYFUNCTION("""COMPUTED_VALUE"""),"")</f>
        <v/>
      </c>
    </row>
    <row r="7520">
      <c r="D7520" t="str">
        <f>IFERROR(__xludf.DUMMYFUNCTION("""COMPUTED_VALUE"""),"Davis")</f>
        <v>Davis</v>
      </c>
      <c r="E7520" t="str">
        <f>IFERROR(__xludf.DUMMYFUNCTION("""COMPUTED_VALUE"""),"Nate")</f>
        <v>Nate</v>
      </c>
      <c r="F7520" t="str">
        <f>IFERROR(__xludf.DUMMYFUNCTION("""COMPUTED_VALUE"""),"RG")</f>
        <v>RG</v>
      </c>
      <c r="G7520" t="str">
        <f>IFERROR(__xludf.DUMMYFUNCTION("""COMPUTED_VALUE"""),"")</f>
        <v/>
      </c>
    </row>
    <row r="7521">
      <c r="D7521" t="str">
        <f>IFERROR(__xludf.DUMMYFUNCTION("""COMPUTED_VALUE"""),"Davis")</f>
        <v>Davis</v>
      </c>
      <c r="E7521" t="str">
        <f>IFERROR(__xludf.DUMMYFUNCTION("""COMPUTED_VALUE"""),"Reggie")</f>
        <v>Reggie</v>
      </c>
      <c r="F7521" t="str">
        <f>IFERROR(__xludf.DUMMYFUNCTION("""COMPUTED_VALUE"""),"WR")</f>
        <v>WR</v>
      </c>
      <c r="G7521" t="str">
        <f>IFERROR(__xludf.DUMMYFUNCTION("""COMPUTED_VALUE"""),"")</f>
        <v/>
      </c>
    </row>
    <row r="7522">
      <c r="D7522" t="str">
        <f>IFERROR(__xludf.DUMMYFUNCTION("""COMPUTED_VALUE"""),"Davis")</f>
        <v>Davis</v>
      </c>
      <c r="E7522" t="str">
        <f>IFERROR(__xludf.DUMMYFUNCTION("""COMPUTED_VALUE"""),"Robert")</f>
        <v>Robert</v>
      </c>
      <c r="F7522" t="str">
        <f>IFERROR(__xludf.DUMMYFUNCTION("""COMPUTED_VALUE"""),"WR")</f>
        <v>WR</v>
      </c>
      <c r="G7522" t="str">
        <f>IFERROR(__xludf.DUMMYFUNCTION("""COMPUTED_VALUE"""),"")</f>
        <v/>
      </c>
    </row>
    <row r="7523">
      <c r="D7523" t="str">
        <f>IFERROR(__xludf.DUMMYFUNCTION("""COMPUTED_VALUE"""),"Davis")</f>
        <v>Davis</v>
      </c>
      <c r="E7523" t="str">
        <f>IFERROR(__xludf.DUMMYFUNCTION("""COMPUTED_VALUE"""),"Sean")</f>
        <v>Sean</v>
      </c>
      <c r="F7523" t="str">
        <f>IFERROR(__xludf.DUMMYFUNCTION("""COMPUTED_VALUE"""),"FS")</f>
        <v>FS</v>
      </c>
      <c r="G7523" t="str">
        <f>IFERROR(__xludf.DUMMYFUNCTION("""COMPUTED_VALUE"""),"")</f>
        <v/>
      </c>
    </row>
    <row r="7524">
      <c r="D7524" t="str">
        <f>IFERROR(__xludf.DUMMYFUNCTION("""COMPUTED_VALUE"""),"Davis")</f>
        <v>Davis</v>
      </c>
      <c r="E7524" t="str">
        <f>IFERROR(__xludf.DUMMYFUNCTION("""COMPUTED_VALUE"""),"Tae")</f>
        <v>Tae</v>
      </c>
      <c r="F7524" t="str">
        <f>IFERROR(__xludf.DUMMYFUNCTION("""COMPUTED_VALUE"""),"MLB")</f>
        <v>MLB</v>
      </c>
      <c r="G7524" t="str">
        <f>IFERROR(__xludf.DUMMYFUNCTION("""COMPUTED_VALUE"""),"")</f>
        <v/>
      </c>
    </row>
    <row r="7525">
      <c r="D7525" t="str">
        <f>IFERROR(__xludf.DUMMYFUNCTION("""COMPUTED_VALUE"""),"Davis")</f>
        <v>Davis</v>
      </c>
      <c r="E7525" t="str">
        <f>IFERROR(__xludf.DUMMYFUNCTION("""COMPUTED_VALUE"""),"Thomas")</f>
        <v>Thomas</v>
      </c>
      <c r="F7525" t="str">
        <f>IFERROR(__xludf.DUMMYFUNCTION("""COMPUTED_VALUE"""),"ROLB")</f>
        <v>ROLB</v>
      </c>
      <c r="G7525" t="str">
        <f>IFERROR(__xludf.DUMMYFUNCTION("""COMPUTED_VALUE"""),"")</f>
        <v/>
      </c>
    </row>
    <row r="7526">
      <c r="D7526" t="str">
        <f>IFERROR(__xludf.DUMMYFUNCTION("""COMPUTED_VALUE"""),"Davis")</f>
        <v>Davis</v>
      </c>
      <c r="E7526" t="str">
        <f>IFERROR(__xludf.DUMMYFUNCTION("""COMPUTED_VALUE"""),"Todd")</f>
        <v>Todd</v>
      </c>
      <c r="F7526" t="str">
        <f>IFERROR(__xludf.DUMMYFUNCTION("""COMPUTED_VALUE"""),"MLB")</f>
        <v>MLB</v>
      </c>
      <c r="G7526" t="str">
        <f>IFERROR(__xludf.DUMMYFUNCTION("""COMPUTED_VALUE"""),"")</f>
        <v/>
      </c>
    </row>
    <row r="7527">
      <c r="D7527" t="str">
        <f>IFERROR(__xludf.DUMMYFUNCTION("""COMPUTED_VALUE"""),"Davis")</f>
        <v>Davis</v>
      </c>
      <c r="E7527" t="str">
        <f>IFERROR(__xludf.DUMMYFUNCTION("""COMPUTED_VALUE"""),"Trevor")</f>
        <v>Trevor</v>
      </c>
      <c r="F7527" t="str">
        <f>IFERROR(__xludf.DUMMYFUNCTION("""COMPUTED_VALUE"""),"WR")</f>
        <v>WR</v>
      </c>
      <c r="G7527" t="str">
        <f>IFERROR(__xludf.DUMMYFUNCTION("""COMPUTED_VALUE"""),"")</f>
        <v/>
      </c>
    </row>
    <row r="7528">
      <c r="D7528" t="str">
        <f>IFERROR(__xludf.DUMMYFUNCTION("""COMPUTED_VALUE"""),"Davis")</f>
        <v>Davis</v>
      </c>
      <c r="E7528" t="str">
        <f>IFERROR(__xludf.DUMMYFUNCTION("""COMPUTED_VALUE"""),"Vernon")</f>
        <v>Vernon</v>
      </c>
      <c r="F7528" t="str">
        <f>IFERROR(__xludf.DUMMYFUNCTION("""COMPUTED_VALUE"""),"TE")</f>
        <v>TE</v>
      </c>
      <c r="G7528" t="str">
        <f>IFERROR(__xludf.DUMMYFUNCTION("""COMPUTED_VALUE"""),"")</f>
        <v/>
      </c>
    </row>
    <row r="7529">
      <c r="D7529" t="str">
        <f>IFERROR(__xludf.DUMMYFUNCTION("""COMPUTED_VALUE"""),"Davison")</f>
        <v>Davison</v>
      </c>
      <c r="E7529" t="str">
        <f>IFERROR(__xludf.DUMMYFUNCTION("""COMPUTED_VALUE"""),"Tyeler")</f>
        <v>Tyeler</v>
      </c>
      <c r="F7529" t="str">
        <f>IFERROR(__xludf.DUMMYFUNCTION("""COMPUTED_VALUE"""),"DT")</f>
        <v>DT</v>
      </c>
      <c r="G7529" t="str">
        <f>IFERROR(__xludf.DUMMYFUNCTION("""COMPUTED_VALUE"""),"")</f>
        <v/>
      </c>
    </row>
    <row r="7530">
      <c r="D7530" t="str">
        <f>IFERROR(__xludf.DUMMYFUNCTION("""COMPUTED_VALUE"""),"Dawkins")</f>
        <v>Dawkins</v>
      </c>
      <c r="E7530" t="str">
        <f>IFERROR(__xludf.DUMMYFUNCTION("""COMPUTED_VALUE"""),"Dalyn")</f>
        <v>Dalyn</v>
      </c>
      <c r="F7530" t="str">
        <f>IFERROR(__xludf.DUMMYFUNCTION("""COMPUTED_VALUE"""),"HB")</f>
        <v>HB</v>
      </c>
      <c r="G7530" t="str">
        <f>IFERROR(__xludf.DUMMYFUNCTION("""COMPUTED_VALUE"""),"")</f>
        <v/>
      </c>
    </row>
    <row r="7531">
      <c r="D7531" t="str">
        <f>IFERROR(__xludf.DUMMYFUNCTION("""COMPUTED_VALUE"""),"Dawkins")</f>
        <v>Dawkins</v>
      </c>
      <c r="E7531" t="str">
        <f>IFERROR(__xludf.DUMMYFUNCTION("""COMPUTED_VALUE"""),"Dion")</f>
        <v>Dion</v>
      </c>
      <c r="F7531" t="str">
        <f>IFERROR(__xludf.DUMMYFUNCTION("""COMPUTED_VALUE"""),"LT")</f>
        <v>LT</v>
      </c>
      <c r="G7531" t="str">
        <f>IFERROR(__xludf.DUMMYFUNCTION("""COMPUTED_VALUE"""),"")</f>
        <v/>
      </c>
    </row>
    <row r="7532">
      <c r="D7532" t="str">
        <f>IFERROR(__xludf.DUMMYFUNCTION("""COMPUTED_VALUE"""),"Dawson")</f>
        <v>Dawson</v>
      </c>
      <c r="E7532" t="str">
        <f>IFERROR(__xludf.DUMMYFUNCTION("""COMPUTED_VALUE"""),"Duke")</f>
        <v>Duke</v>
      </c>
      <c r="F7532" t="str">
        <f>IFERROR(__xludf.DUMMYFUNCTION("""COMPUTED_VALUE"""),"FS")</f>
        <v>FS</v>
      </c>
      <c r="G7532" t="str">
        <f>IFERROR(__xludf.DUMMYFUNCTION("""COMPUTED_VALUE"""),"")</f>
        <v/>
      </c>
    </row>
    <row r="7533">
      <c r="D7533" t="str">
        <f>IFERROR(__xludf.DUMMYFUNCTION("""COMPUTED_VALUE"""),"Day")</f>
        <v>Day</v>
      </c>
      <c r="E7533" t="str">
        <f>IFERROR(__xludf.DUMMYFUNCTION("""COMPUTED_VALUE"""),"Sheldon")</f>
        <v>Sheldon</v>
      </c>
      <c r="F7533" t="str">
        <f>IFERROR(__xludf.DUMMYFUNCTION("""COMPUTED_VALUE"""),"DT")</f>
        <v>DT</v>
      </c>
      <c r="G7533" t="str">
        <f>IFERROR(__xludf.DUMMYFUNCTION("""COMPUTED_VALUE"""),"")</f>
        <v/>
      </c>
    </row>
    <row r="7534">
      <c r="D7534" t="str">
        <f>IFERROR(__xludf.DUMMYFUNCTION("""COMPUTED_VALUE"""),"Dayes")</f>
        <v>Dayes</v>
      </c>
      <c r="E7534" t="str">
        <f>IFERROR(__xludf.DUMMYFUNCTION("""COMPUTED_VALUE"""),"Matthew")</f>
        <v>Matthew</v>
      </c>
      <c r="F7534" t="str">
        <f>IFERROR(__xludf.DUMMYFUNCTION("""COMPUTED_VALUE"""),"HB")</f>
        <v>HB</v>
      </c>
      <c r="G7534" t="str">
        <f>IFERROR(__xludf.DUMMYFUNCTION("""COMPUTED_VALUE"""),"")</f>
        <v/>
      </c>
    </row>
    <row r="7535">
      <c r="D7535" t="str">
        <f>IFERROR(__xludf.DUMMYFUNCTION("""COMPUTED_VALUE"""),"de")</f>
        <v>de</v>
      </c>
      <c r="E7535" t="str">
        <f>IFERROR(__xludf.DUMMYFUNCTION("""COMPUTED_VALUE"""),"Gerhard")</f>
        <v>Gerhard</v>
      </c>
      <c r="F7535" t="str">
        <f>IFERROR(__xludf.DUMMYFUNCTION("""COMPUTED_VALUE"""),"RT")</f>
        <v>RT</v>
      </c>
      <c r="G7535" t="str">
        <f>IFERROR(__xludf.DUMMYFUNCTION("""COMPUTED_VALUE"""),"")</f>
        <v/>
      </c>
    </row>
    <row r="7536">
      <c r="D7536" t="str">
        <f>IFERROR(__xludf.DUMMYFUNCTION("""COMPUTED_VALUE"""),"Dean")</f>
        <v>Dean</v>
      </c>
      <c r="E7536" t="str">
        <f>IFERROR(__xludf.DUMMYFUNCTION("""COMPUTED_VALUE"""),"Jamel")</f>
        <v>Jamel</v>
      </c>
      <c r="F7536" t="str">
        <f>IFERROR(__xludf.DUMMYFUNCTION("""COMPUTED_VALUE"""),"CB")</f>
        <v>CB</v>
      </c>
      <c r="G7536" t="str">
        <f>IFERROR(__xludf.DUMMYFUNCTION("""COMPUTED_VALUE"""),"")</f>
        <v/>
      </c>
    </row>
    <row r="7537">
      <c r="D7537" t="str">
        <f>IFERROR(__xludf.DUMMYFUNCTION("""COMPUTED_VALUE"""),"Deayon")</f>
        <v>Deayon</v>
      </c>
      <c r="E7537" t="str">
        <f>IFERROR(__xludf.DUMMYFUNCTION("""COMPUTED_VALUE"""),"Donte")</f>
        <v>Donte</v>
      </c>
      <c r="F7537" t="str">
        <f>IFERROR(__xludf.DUMMYFUNCTION("""COMPUTED_VALUE"""),"CB")</f>
        <v>CB</v>
      </c>
      <c r="G7537" t="str">
        <f>IFERROR(__xludf.DUMMYFUNCTION("""COMPUTED_VALUE"""),"")</f>
        <v/>
      </c>
    </row>
    <row r="7538">
      <c r="D7538" t="str">
        <f>IFERROR(__xludf.DUMMYFUNCTION("""COMPUTED_VALUE"""),"DeCastro")</f>
        <v>DeCastro</v>
      </c>
      <c r="E7538" t="str">
        <f>IFERROR(__xludf.DUMMYFUNCTION("""COMPUTED_VALUE"""),"David")</f>
        <v>David</v>
      </c>
      <c r="F7538" t="str">
        <f>IFERROR(__xludf.DUMMYFUNCTION("""COMPUTED_VALUE"""),"RG")</f>
        <v>RG</v>
      </c>
      <c r="G7538" t="str">
        <f>IFERROR(__xludf.DUMMYFUNCTION("""COMPUTED_VALUE"""),"")</f>
        <v/>
      </c>
    </row>
    <row r="7539">
      <c r="D7539" t="str">
        <f>IFERROR(__xludf.DUMMYFUNCTION("""COMPUTED_VALUE"""),"Decker")</f>
        <v>Decker</v>
      </c>
      <c r="E7539" t="str">
        <f>IFERROR(__xludf.DUMMYFUNCTION("""COMPUTED_VALUE"""),"Taylor")</f>
        <v>Taylor</v>
      </c>
      <c r="F7539" t="str">
        <f>IFERROR(__xludf.DUMMYFUNCTION("""COMPUTED_VALUE"""),"LT")</f>
        <v>LT</v>
      </c>
      <c r="G7539" t="str">
        <f>IFERROR(__xludf.DUMMYFUNCTION("""COMPUTED_VALUE"""),"")</f>
        <v/>
      </c>
    </row>
    <row r="7540">
      <c r="D7540" t="str">
        <f>IFERROR(__xludf.DUMMYFUNCTION("""COMPUTED_VALUE"""),"DeCoud")</f>
        <v>DeCoud</v>
      </c>
      <c r="E7540" t="str">
        <f>IFERROR(__xludf.DUMMYFUNCTION("""COMPUTED_VALUE"""),"Treston")</f>
        <v>Treston</v>
      </c>
      <c r="F7540" t="str">
        <f>IFERROR(__xludf.DUMMYFUNCTION("""COMPUTED_VALUE"""),"CB")</f>
        <v>CB</v>
      </c>
      <c r="G7540" t="str">
        <f>IFERROR(__xludf.DUMMYFUNCTION("""COMPUTED_VALUE"""),"")</f>
        <v/>
      </c>
    </row>
    <row r="7541">
      <c r="D7541" t="str">
        <f>IFERROR(__xludf.DUMMYFUNCTION("""COMPUTED_VALUE"""),"Deiter")</f>
        <v>Deiter</v>
      </c>
      <c r="E7541" t="str">
        <f>IFERROR(__xludf.DUMMYFUNCTION("""COMPUTED_VALUE"""),"Michael")</f>
        <v>Michael</v>
      </c>
      <c r="F7541" t="str">
        <f>IFERROR(__xludf.DUMMYFUNCTION("""COMPUTED_VALUE"""),"LG")</f>
        <v>LG</v>
      </c>
      <c r="G7541" t="str">
        <f>IFERROR(__xludf.DUMMYFUNCTION("""COMPUTED_VALUE"""),"")</f>
        <v/>
      </c>
    </row>
    <row r="7542">
      <c r="D7542" t="str">
        <f>IFERROR(__xludf.DUMMYFUNCTION("""COMPUTED_VALUE"""),"DeLuca")</f>
        <v>DeLuca</v>
      </c>
      <c r="E7542" t="str">
        <f>IFERROR(__xludf.DUMMYFUNCTION("""COMPUTED_VALUE"""),"Nick")</f>
        <v>Nick</v>
      </c>
      <c r="F7542" t="str">
        <f>IFERROR(__xludf.DUMMYFUNCTION("""COMPUTED_VALUE"""),"LOLB")</f>
        <v>LOLB</v>
      </c>
      <c r="G7542" t="str">
        <f>IFERROR(__xludf.DUMMYFUNCTION("""COMPUTED_VALUE"""),"")</f>
        <v/>
      </c>
    </row>
    <row r="7543">
      <c r="D7543" t="str">
        <f>IFERROR(__xludf.DUMMYFUNCTION("""COMPUTED_VALUE"""),"Demby")</f>
        <v>Demby</v>
      </c>
      <c r="E7543" t="str">
        <f>IFERROR(__xludf.DUMMYFUNCTION("""COMPUTED_VALUE"""),"Jamil")</f>
        <v>Jamil</v>
      </c>
      <c r="F7543" t="str">
        <f>IFERROR(__xludf.DUMMYFUNCTION("""COMPUTED_VALUE"""),"RG")</f>
        <v>RG</v>
      </c>
      <c r="G7543" t="str">
        <f>IFERROR(__xludf.DUMMYFUNCTION("""COMPUTED_VALUE"""),"")</f>
        <v/>
      </c>
    </row>
    <row r="7544">
      <c r="D7544" t="str">
        <f>IFERROR(__xludf.DUMMYFUNCTION("""COMPUTED_VALUE"""),"Denis")</f>
        <v>Denis</v>
      </c>
      <c r="E7544" t="str">
        <f>IFERROR(__xludf.DUMMYFUNCTION("""COMPUTED_VALUE"""),"Lukas")</f>
        <v>Lukas</v>
      </c>
      <c r="F7544" t="str">
        <f>IFERROR(__xludf.DUMMYFUNCTION("""COMPUTED_VALUE"""),"FS")</f>
        <v>FS</v>
      </c>
      <c r="G7544" t="str">
        <f>IFERROR(__xludf.DUMMYFUNCTION("""COMPUTED_VALUE"""),"")</f>
        <v/>
      </c>
    </row>
    <row r="7545">
      <c r="D7545" t="str">
        <f>IFERROR(__xludf.DUMMYFUNCTION("""COMPUTED_VALUE"""),"Denmark")</f>
        <v>Denmark</v>
      </c>
      <c r="E7545" t="str">
        <f>IFERROR(__xludf.DUMMYFUNCTION("""COMPUTED_VALUE"""),"Stephen")</f>
        <v>Stephen</v>
      </c>
      <c r="F7545" t="str">
        <f>IFERROR(__xludf.DUMMYFUNCTION("""COMPUTED_VALUE"""),"CB")</f>
        <v>CB</v>
      </c>
      <c r="G7545" t="str">
        <f>IFERROR(__xludf.DUMMYFUNCTION("""COMPUTED_VALUE"""),"")</f>
        <v/>
      </c>
    </row>
    <row r="7546">
      <c r="D7546" t="str">
        <f>IFERROR(__xludf.DUMMYFUNCTION("""COMPUTED_VALUE"""),"Dennard")</f>
        <v>Dennard</v>
      </c>
      <c r="E7546" t="str">
        <f>IFERROR(__xludf.DUMMYFUNCTION("""COMPUTED_VALUE"""),"Darqueze")</f>
        <v>Darqueze</v>
      </c>
      <c r="F7546" t="str">
        <f>IFERROR(__xludf.DUMMYFUNCTION("""COMPUTED_VALUE"""),"CB")</f>
        <v>CB</v>
      </c>
      <c r="G7546" t="str">
        <f>IFERROR(__xludf.DUMMYFUNCTION("""COMPUTED_VALUE"""),"")</f>
        <v/>
      </c>
    </row>
    <row r="7547">
      <c r="D7547" t="str">
        <f>IFERROR(__xludf.DUMMYFUNCTION("""COMPUTED_VALUE"""),"Denney")</f>
        <v>Denney</v>
      </c>
      <c r="E7547" t="str">
        <f>IFERROR(__xludf.DUMMYFUNCTION("""COMPUTED_VALUE"""),"John")</f>
        <v>John</v>
      </c>
      <c r="F7547" t="str">
        <f>IFERROR(__xludf.DUMMYFUNCTION("""COMPUTED_VALUE"""),"TE")</f>
        <v>TE</v>
      </c>
      <c r="G7547" t="str">
        <f>IFERROR(__xludf.DUMMYFUNCTION("""COMPUTED_VALUE"""),"")</f>
        <v/>
      </c>
    </row>
    <row r="7548">
      <c r="D7548" t="str">
        <f>IFERROR(__xludf.DUMMYFUNCTION("""COMPUTED_VALUE"""),"DeOssie")</f>
        <v>DeOssie</v>
      </c>
      <c r="E7548" t="str">
        <f>IFERROR(__xludf.DUMMYFUNCTION("""COMPUTED_VALUE"""),"Zak")</f>
        <v>Zak</v>
      </c>
      <c r="F7548" t="str">
        <f>IFERROR(__xludf.DUMMYFUNCTION("""COMPUTED_VALUE"""),"TE")</f>
        <v>TE</v>
      </c>
      <c r="G7548" t="str">
        <f>IFERROR(__xludf.DUMMYFUNCTION("""COMPUTED_VALUE"""),"")</f>
        <v/>
      </c>
    </row>
    <row r="7549">
      <c r="D7549" t="str">
        <f>IFERROR(__xludf.DUMMYFUNCTION("""COMPUTED_VALUE"""),"DePaola")</f>
        <v>DePaola</v>
      </c>
      <c r="E7549" t="str">
        <f>IFERROR(__xludf.DUMMYFUNCTION("""COMPUTED_VALUE"""),"Andrew")</f>
        <v>Andrew</v>
      </c>
      <c r="F7549" t="str">
        <f>IFERROR(__xludf.DUMMYFUNCTION("""COMPUTED_VALUE"""),"TE")</f>
        <v>TE</v>
      </c>
      <c r="G7549" t="str">
        <f>IFERROR(__xludf.DUMMYFUNCTION("""COMPUTED_VALUE"""),"")</f>
        <v/>
      </c>
    </row>
    <row r="7550">
      <c r="D7550" t="str">
        <f>IFERROR(__xludf.DUMMYFUNCTION("""COMPUTED_VALUE"""),"Desir")</f>
        <v>Desir</v>
      </c>
      <c r="E7550" t="str">
        <f>IFERROR(__xludf.DUMMYFUNCTION("""COMPUTED_VALUE"""),"Pierre")</f>
        <v>Pierre</v>
      </c>
      <c r="F7550" t="str">
        <f>IFERROR(__xludf.DUMMYFUNCTION("""COMPUTED_VALUE"""),"CB")</f>
        <v>CB</v>
      </c>
      <c r="G7550" t="str">
        <f>IFERROR(__xludf.DUMMYFUNCTION("""COMPUTED_VALUE"""),"")</f>
        <v/>
      </c>
    </row>
    <row r="7551">
      <c r="D7551" t="str">
        <f>IFERROR(__xludf.DUMMYFUNCTION("""COMPUTED_VALUE"""),"DeValve")</f>
        <v>DeValve</v>
      </c>
      <c r="E7551" t="str">
        <f>IFERROR(__xludf.DUMMYFUNCTION("""COMPUTED_VALUE"""),"Seth")</f>
        <v>Seth</v>
      </c>
      <c r="F7551" t="str">
        <f>IFERROR(__xludf.DUMMYFUNCTION("""COMPUTED_VALUE"""),"TE")</f>
        <v>TE</v>
      </c>
      <c r="G7551" t="str">
        <f>IFERROR(__xludf.DUMMYFUNCTION("""COMPUTED_VALUE"""),"")</f>
        <v/>
      </c>
    </row>
    <row r="7552">
      <c r="D7552" t="str">
        <f>IFERROR(__xludf.DUMMYFUNCTION("""COMPUTED_VALUE"""),"Develin")</f>
        <v>Develin</v>
      </c>
      <c r="E7552" t="str">
        <f>IFERROR(__xludf.DUMMYFUNCTION("""COMPUTED_VALUE"""),"James")</f>
        <v>James</v>
      </c>
      <c r="F7552" t="str">
        <f>IFERROR(__xludf.DUMMYFUNCTION("""COMPUTED_VALUE"""),"FB")</f>
        <v>FB</v>
      </c>
      <c r="G7552" t="str">
        <f>IFERROR(__xludf.DUMMYFUNCTION("""COMPUTED_VALUE"""),"")</f>
        <v/>
      </c>
    </row>
    <row r="7553">
      <c r="D7553" t="str">
        <f>IFERROR(__xludf.DUMMYFUNCTION("""COMPUTED_VALUE"""),"Devey")</f>
        <v>Devey</v>
      </c>
      <c r="E7553" t="str">
        <f>IFERROR(__xludf.DUMMYFUNCTION("""COMPUTED_VALUE"""),"Jordan")</f>
        <v>Jordan</v>
      </c>
      <c r="F7553" t="str">
        <f>IFERROR(__xludf.DUMMYFUNCTION("""COMPUTED_VALUE"""),"C")</f>
        <v>C</v>
      </c>
      <c r="G7553" t="str">
        <f>IFERROR(__xludf.DUMMYFUNCTION("""COMPUTED_VALUE"""),"")</f>
        <v/>
      </c>
    </row>
    <row r="7554">
      <c r="D7554" t="str">
        <f>IFERROR(__xludf.DUMMYFUNCTION("""COMPUTED_VALUE"""),"Dickerson")</f>
        <v>Dickerson</v>
      </c>
      <c r="E7554" t="str">
        <f>IFERROR(__xludf.DUMMYFUNCTION("""COMPUTED_VALUE"""),"Garrett")</f>
        <v>Garrett</v>
      </c>
      <c r="F7554" t="str">
        <f>IFERROR(__xludf.DUMMYFUNCTION("""COMPUTED_VALUE"""),"TE")</f>
        <v>TE</v>
      </c>
      <c r="G7554" t="str">
        <f>IFERROR(__xludf.DUMMYFUNCTION("""COMPUTED_VALUE"""),"")</f>
        <v/>
      </c>
    </row>
    <row r="7555">
      <c r="D7555" t="str">
        <f>IFERROR(__xludf.DUMMYFUNCTION("""COMPUTED_VALUE"""),"Dickerson")</f>
        <v>Dickerson</v>
      </c>
      <c r="E7555" t="str">
        <f>IFERROR(__xludf.DUMMYFUNCTION("""COMPUTED_VALUE"""),"Matt")</f>
        <v>Matt</v>
      </c>
      <c r="F7555" t="str">
        <f>IFERROR(__xludf.DUMMYFUNCTION("""COMPUTED_VALUE"""),"LE")</f>
        <v>LE</v>
      </c>
      <c r="G7555" t="str">
        <f>IFERROR(__xludf.DUMMYFUNCTION("""COMPUTED_VALUE"""),"")</f>
        <v/>
      </c>
    </row>
    <row r="7556">
      <c r="D7556" t="str">
        <f>IFERROR(__xludf.DUMMYFUNCTION("""COMPUTED_VALUE"""),"Dickson")</f>
        <v>Dickson</v>
      </c>
      <c r="E7556" t="str">
        <f>IFERROR(__xludf.DUMMYFUNCTION("""COMPUTED_VALUE"""),"Ed")</f>
        <v>Ed</v>
      </c>
      <c r="F7556" t="str">
        <f>IFERROR(__xludf.DUMMYFUNCTION("""COMPUTED_VALUE"""),"TE")</f>
        <v>TE</v>
      </c>
      <c r="G7556" t="str">
        <f>IFERROR(__xludf.DUMMYFUNCTION("""COMPUTED_VALUE"""),"")</f>
        <v/>
      </c>
    </row>
    <row r="7557">
      <c r="D7557" t="str">
        <f>IFERROR(__xludf.DUMMYFUNCTION("""COMPUTED_VALUE"""),"Dickson")</f>
        <v>Dickson</v>
      </c>
      <c r="E7557" t="str">
        <f>IFERROR(__xludf.DUMMYFUNCTION("""COMPUTED_VALUE"""),"Michael")</f>
        <v>Michael</v>
      </c>
      <c r="F7557" t="str">
        <f>IFERROR(__xludf.DUMMYFUNCTION("""COMPUTED_VALUE"""),"P")</f>
        <v>P</v>
      </c>
      <c r="G7557" t="str">
        <f>IFERROR(__xludf.DUMMYFUNCTION("""COMPUTED_VALUE"""),"")</f>
        <v/>
      </c>
    </row>
    <row r="7558">
      <c r="D7558" t="str">
        <f>IFERROR(__xludf.DUMMYFUNCTION("""COMPUTED_VALUE"""),"Dieter")</f>
        <v>Dieter</v>
      </c>
      <c r="E7558" t="str">
        <f>IFERROR(__xludf.DUMMYFUNCTION("""COMPUTED_VALUE"""),"Gehrig")</f>
        <v>Gehrig</v>
      </c>
      <c r="F7558" t="str">
        <f>IFERROR(__xludf.DUMMYFUNCTION("""COMPUTED_VALUE"""),"WR")</f>
        <v>WR</v>
      </c>
      <c r="G7558" t="str">
        <f>IFERROR(__xludf.DUMMYFUNCTION("""COMPUTED_VALUE"""),"")</f>
        <v/>
      </c>
    </row>
    <row r="7559">
      <c r="D7559" t="str">
        <f>IFERROR(__xludf.DUMMYFUNCTION("""COMPUTED_VALUE"""),"Diggs")</f>
        <v>Diggs</v>
      </c>
      <c r="E7559" t="str">
        <f>IFERROR(__xludf.DUMMYFUNCTION("""COMPUTED_VALUE"""),"Quandre")</f>
        <v>Quandre</v>
      </c>
      <c r="F7559" t="str">
        <f>IFERROR(__xludf.DUMMYFUNCTION("""COMPUTED_VALUE"""),"SS")</f>
        <v>SS</v>
      </c>
      <c r="G7559" t="str">
        <f>IFERROR(__xludf.DUMMYFUNCTION("""COMPUTED_VALUE"""),"")</f>
        <v/>
      </c>
    </row>
    <row r="7560">
      <c r="D7560" t="str">
        <f>IFERROR(__xludf.DUMMYFUNCTION("""COMPUTED_VALUE"""),"Diggs")</f>
        <v>Diggs</v>
      </c>
      <c r="E7560" t="str">
        <f>IFERROR(__xludf.DUMMYFUNCTION("""COMPUTED_VALUE"""),"Stefon")</f>
        <v>Stefon</v>
      </c>
      <c r="F7560" t="str">
        <f>IFERROR(__xludf.DUMMYFUNCTION("""COMPUTED_VALUE"""),"WR")</f>
        <v>WR</v>
      </c>
      <c r="G7560" t="str">
        <f>IFERROR(__xludf.DUMMYFUNCTION("""COMPUTED_VALUE"""),"")</f>
        <v/>
      </c>
    </row>
    <row r="7561">
      <c r="D7561" t="str">
        <f>IFERROR(__xludf.DUMMYFUNCTION("""COMPUTED_VALUE"""),"DiLauro")</f>
        <v>DiLauro</v>
      </c>
      <c r="E7561" t="str">
        <f>IFERROR(__xludf.DUMMYFUNCTION("""COMPUTED_VALUE"""),"Christian")</f>
        <v>Christian</v>
      </c>
      <c r="F7561" t="str">
        <f>IFERROR(__xludf.DUMMYFUNCTION("""COMPUTED_VALUE"""),"RT")</f>
        <v>RT</v>
      </c>
      <c r="G7561" t="str">
        <f>IFERROR(__xludf.DUMMYFUNCTION("""COMPUTED_VALUE"""),"")</f>
        <v/>
      </c>
    </row>
    <row r="7562">
      <c r="D7562" t="str">
        <f>IFERROR(__xludf.DUMMYFUNCTION("""COMPUTED_VALUE"""),"Dillard")</f>
        <v>Dillard</v>
      </c>
      <c r="E7562" t="str">
        <f>IFERROR(__xludf.DUMMYFUNCTION("""COMPUTED_VALUE"""),"Andre")</f>
        <v>Andre</v>
      </c>
      <c r="F7562" t="str">
        <f>IFERROR(__xludf.DUMMYFUNCTION("""COMPUTED_VALUE"""),"LT")</f>
        <v>LT</v>
      </c>
      <c r="G7562" t="str">
        <f>IFERROR(__xludf.DUMMYFUNCTION("""COMPUTED_VALUE"""),"")</f>
        <v/>
      </c>
    </row>
    <row r="7563">
      <c r="D7563" t="str">
        <f>IFERROR(__xludf.DUMMYFUNCTION("""COMPUTED_VALUE"""),"DiMarco")</f>
        <v>DiMarco</v>
      </c>
      <c r="E7563" t="str">
        <f>IFERROR(__xludf.DUMMYFUNCTION("""COMPUTED_VALUE"""),"Patrick")</f>
        <v>Patrick</v>
      </c>
      <c r="F7563" t="str">
        <f>IFERROR(__xludf.DUMMYFUNCTION("""COMPUTED_VALUE"""),"FB")</f>
        <v>FB</v>
      </c>
      <c r="G7563" t="str">
        <f>IFERROR(__xludf.DUMMYFUNCTION("""COMPUTED_VALUE"""),"")</f>
        <v/>
      </c>
    </row>
    <row r="7564">
      <c r="D7564" t="str">
        <f>IFERROR(__xludf.DUMMYFUNCTION("""COMPUTED_VALUE"""),"Dion")</f>
        <v>Dion</v>
      </c>
      <c r="E7564" t="str">
        <f>IFERROR(__xludf.DUMMYFUNCTION("""COMPUTED_VALUE"""),"Shaun")</f>
        <v>Shaun</v>
      </c>
      <c r="F7564" t="str">
        <f>IFERROR(__xludf.DUMMYFUNCTION("""COMPUTED_VALUE"""),"MLB")</f>
        <v>MLB</v>
      </c>
      <c r="G7564" t="str">
        <f>IFERROR(__xludf.DUMMYFUNCTION("""COMPUTED_VALUE"""),"")</f>
        <v/>
      </c>
    </row>
    <row r="7565">
      <c r="D7565" t="str">
        <f>IFERROR(__xludf.DUMMYFUNCTION("""COMPUTED_VALUE"""),"Dissly")</f>
        <v>Dissly</v>
      </c>
      <c r="E7565" t="str">
        <f>IFERROR(__xludf.DUMMYFUNCTION("""COMPUTED_VALUE"""),"Will")</f>
        <v>Will</v>
      </c>
      <c r="F7565" t="str">
        <f>IFERROR(__xludf.DUMMYFUNCTION("""COMPUTED_VALUE"""),"TE")</f>
        <v>TE</v>
      </c>
      <c r="G7565" t="str">
        <f>IFERROR(__xludf.DUMMYFUNCTION("""COMPUTED_VALUE"""),"")</f>
        <v/>
      </c>
    </row>
    <row r="7566">
      <c r="D7566" t="str">
        <f>IFERROR(__xludf.DUMMYFUNCTION("""COMPUTED_VALUE"""),"Dixon")</f>
        <v>Dixon</v>
      </c>
      <c r="E7566" t="str">
        <f>IFERROR(__xludf.DUMMYFUNCTION("""COMPUTED_VALUE"""),"Johnnie")</f>
        <v>Johnnie</v>
      </c>
      <c r="F7566" t="str">
        <f>IFERROR(__xludf.DUMMYFUNCTION("""COMPUTED_VALUE"""),"WR")</f>
        <v>WR</v>
      </c>
      <c r="G7566" t="str">
        <f>IFERROR(__xludf.DUMMYFUNCTION("""COMPUTED_VALUE"""),"")</f>
        <v/>
      </c>
    </row>
    <row r="7567">
      <c r="D7567" t="str">
        <f>IFERROR(__xludf.DUMMYFUNCTION("""COMPUTED_VALUE"""),"Dixon")</f>
        <v>Dixon</v>
      </c>
      <c r="E7567" t="str">
        <f>IFERROR(__xludf.DUMMYFUNCTION("""COMPUTED_VALUE"""),"Kenneth")</f>
        <v>Kenneth</v>
      </c>
      <c r="F7567" t="str">
        <f>IFERROR(__xludf.DUMMYFUNCTION("""COMPUTED_VALUE"""),"HB")</f>
        <v>HB</v>
      </c>
      <c r="G7567" t="str">
        <f>IFERROR(__xludf.DUMMYFUNCTION("""COMPUTED_VALUE"""),"")</f>
        <v/>
      </c>
    </row>
    <row r="7568">
      <c r="D7568" t="str">
        <f>IFERROR(__xludf.DUMMYFUNCTION("""COMPUTED_VALUE"""),"Dixon")</f>
        <v>Dixon</v>
      </c>
      <c r="E7568" t="str">
        <f>IFERROR(__xludf.DUMMYFUNCTION("""COMPUTED_VALUE"""),"Riley")</f>
        <v>Riley</v>
      </c>
      <c r="F7568" t="str">
        <f>IFERROR(__xludf.DUMMYFUNCTION("""COMPUTED_VALUE"""),"P")</f>
        <v>P</v>
      </c>
      <c r="G7568" t="str">
        <f>IFERROR(__xludf.DUMMYFUNCTION("""COMPUTED_VALUE"""),"")</f>
        <v/>
      </c>
    </row>
    <row r="7569">
      <c r="D7569" t="str">
        <f>IFERROR(__xludf.DUMMYFUNCTION("""COMPUTED_VALUE"""),"Dobbs")</f>
        <v>Dobbs</v>
      </c>
      <c r="E7569" t="str">
        <f>IFERROR(__xludf.DUMMYFUNCTION("""COMPUTED_VALUE"""),"Joshua")</f>
        <v>Joshua</v>
      </c>
      <c r="F7569" t="str">
        <f>IFERROR(__xludf.DUMMYFUNCTION("""COMPUTED_VALUE"""),"QB")</f>
        <v>QB</v>
      </c>
      <c r="G7569" t="str">
        <f>IFERROR(__xludf.DUMMYFUNCTION("""COMPUTED_VALUE"""),"")</f>
        <v/>
      </c>
    </row>
    <row r="7570">
      <c r="D7570" t="str">
        <f>IFERROR(__xludf.DUMMYFUNCTION("""COMPUTED_VALUE"""),"Doctson")</f>
        <v>Doctson</v>
      </c>
      <c r="E7570" t="str">
        <f>IFERROR(__xludf.DUMMYFUNCTION("""COMPUTED_VALUE"""),"Josh")</f>
        <v>Josh</v>
      </c>
      <c r="F7570" t="str">
        <f>IFERROR(__xludf.DUMMYFUNCTION("""COMPUTED_VALUE"""),"WR")</f>
        <v>WR</v>
      </c>
      <c r="G7570" t="str">
        <f>IFERROR(__xludf.DUMMYFUNCTION("""COMPUTED_VALUE"""),"")</f>
        <v/>
      </c>
    </row>
    <row r="7571">
      <c r="D7571" t="str">
        <f>IFERROR(__xludf.DUMMYFUNCTION("""COMPUTED_VALUE"""),"Dogbe")</f>
        <v>Dogbe</v>
      </c>
      <c r="E7571" t="str">
        <f>IFERROR(__xludf.DUMMYFUNCTION("""COMPUTED_VALUE"""),"Michael")</f>
        <v>Michael</v>
      </c>
      <c r="F7571" t="str">
        <f>IFERROR(__xludf.DUMMYFUNCTION("""COMPUTED_VALUE"""),"RE")</f>
        <v>RE</v>
      </c>
      <c r="G7571" t="str">
        <f>IFERROR(__xludf.DUMMYFUNCTION("""COMPUTED_VALUE"""),"")</f>
        <v/>
      </c>
    </row>
    <row r="7572">
      <c r="D7572" t="str">
        <f>IFERROR(__xludf.DUMMYFUNCTION("""COMPUTED_VALUE"""),"Donald")</f>
        <v>Donald</v>
      </c>
      <c r="E7572" t="str">
        <f>IFERROR(__xludf.DUMMYFUNCTION("""COMPUTED_VALUE"""),"Aaron")</f>
        <v>Aaron</v>
      </c>
      <c r="F7572" t="str">
        <f>IFERROR(__xludf.DUMMYFUNCTION("""COMPUTED_VALUE"""),"RE")</f>
        <v>RE</v>
      </c>
      <c r="G7572" t="str">
        <f>IFERROR(__xludf.DUMMYFUNCTION("""COMPUTED_VALUE"""),"")</f>
        <v/>
      </c>
    </row>
    <row r="7573">
      <c r="D7573" t="str">
        <f>IFERROR(__xludf.DUMMYFUNCTION("""COMPUTED_VALUE"""),"Donnal")</f>
        <v>Donnal</v>
      </c>
      <c r="E7573" t="str">
        <f>IFERROR(__xludf.DUMMYFUNCTION("""COMPUTED_VALUE"""),"Andrew")</f>
        <v>Andrew</v>
      </c>
      <c r="F7573" t="str">
        <f>IFERROR(__xludf.DUMMYFUNCTION("""COMPUTED_VALUE"""),"RT")</f>
        <v>RT</v>
      </c>
      <c r="G7573" t="str">
        <f>IFERROR(__xludf.DUMMYFUNCTION("""COMPUTED_VALUE"""),"")</f>
        <v/>
      </c>
    </row>
    <row r="7574">
      <c r="D7574" t="str">
        <f>IFERROR(__xludf.DUMMYFUNCTION("""COMPUTED_VALUE"""),"Donnerson")</f>
        <v>Donnerson</v>
      </c>
      <c r="E7574" t="str">
        <f>IFERROR(__xludf.DUMMYFUNCTION("""COMPUTED_VALUE"""),"Kendall")</f>
        <v>Kendall</v>
      </c>
      <c r="F7574" t="str">
        <f>IFERROR(__xludf.DUMMYFUNCTION("""COMPUTED_VALUE"""),"ROLB")</f>
        <v>ROLB</v>
      </c>
      <c r="G7574" t="str">
        <f>IFERROR(__xludf.DUMMYFUNCTION("""COMPUTED_VALUE"""),"")</f>
        <v/>
      </c>
    </row>
    <row r="7575">
      <c r="D7575" t="str">
        <f>IFERROR(__xludf.DUMMYFUNCTION("""COMPUTED_VALUE"""),"Dooley")</f>
        <v>Dooley</v>
      </c>
      <c r="E7575" t="str">
        <f>IFERROR(__xludf.DUMMYFUNCTION("""COMPUTED_VALUE"""),"Garret")</f>
        <v>Garret</v>
      </c>
      <c r="F7575" t="str">
        <f>IFERROR(__xludf.DUMMYFUNCTION("""COMPUTED_VALUE"""),"LOLB")</f>
        <v>LOLB</v>
      </c>
      <c r="G7575" t="str">
        <f>IFERROR(__xludf.DUMMYFUNCTION("""COMPUTED_VALUE"""),"")</f>
        <v/>
      </c>
    </row>
    <row r="7576">
      <c r="D7576" t="str">
        <f>IFERROR(__xludf.DUMMYFUNCTION("""COMPUTED_VALUE"""),"Dora")</f>
        <v>Dora</v>
      </c>
      <c r="E7576" t="str">
        <f>IFERROR(__xludf.DUMMYFUNCTION("""COMPUTED_VALUE"""),"Vontarrius")</f>
        <v>Vontarrius</v>
      </c>
      <c r="F7576" t="str">
        <f>IFERROR(__xludf.DUMMYFUNCTION("""COMPUTED_VALUE"""),"ROLB")</f>
        <v>ROLB</v>
      </c>
      <c r="G7576" t="str">
        <f>IFERROR(__xludf.DUMMYFUNCTION("""COMPUTED_VALUE"""),"")</f>
        <v/>
      </c>
    </row>
    <row r="7577">
      <c r="D7577" t="str">
        <f>IFERROR(__xludf.DUMMYFUNCTION("""COMPUTED_VALUE"""),"Dorleant")</f>
        <v>Dorleant</v>
      </c>
      <c r="E7577" t="str">
        <f>IFERROR(__xludf.DUMMYFUNCTION("""COMPUTED_VALUE"""),"Makinton")</f>
        <v>Makinton</v>
      </c>
      <c r="F7577" t="str">
        <f>IFERROR(__xludf.DUMMYFUNCTION("""COMPUTED_VALUE"""),"CB")</f>
        <v>CB</v>
      </c>
      <c r="G7577" t="str">
        <f>IFERROR(__xludf.DUMMYFUNCTION("""COMPUTED_VALUE"""),"")</f>
        <v/>
      </c>
    </row>
    <row r="7578">
      <c r="D7578" t="str">
        <f>IFERROR(__xludf.DUMMYFUNCTION("""COMPUTED_VALUE"""),"Dorsett")</f>
        <v>Dorsett</v>
      </c>
      <c r="E7578" t="str">
        <f>IFERROR(__xludf.DUMMYFUNCTION("""COMPUTED_VALUE"""),"Phillip")</f>
        <v>Phillip</v>
      </c>
      <c r="F7578" t="str">
        <f>IFERROR(__xludf.DUMMYFUNCTION("""COMPUTED_VALUE"""),"WR")</f>
        <v>WR</v>
      </c>
      <c r="G7578" t="str">
        <f>IFERROR(__xludf.DUMMYFUNCTION("""COMPUTED_VALUE"""),"")</f>
        <v/>
      </c>
    </row>
    <row r="7579">
      <c r="D7579" t="str">
        <f>IFERROR(__xludf.DUMMYFUNCTION("""COMPUTED_VALUE"""),"Dortch")</f>
        <v>Dortch</v>
      </c>
      <c r="E7579" t="str">
        <f>IFERROR(__xludf.DUMMYFUNCTION("""COMPUTED_VALUE"""),"Greg")</f>
        <v>Greg</v>
      </c>
      <c r="F7579" t="str">
        <f>IFERROR(__xludf.DUMMYFUNCTION("""COMPUTED_VALUE"""),"WR")</f>
        <v>WR</v>
      </c>
      <c r="G7579" t="str">
        <f>IFERROR(__xludf.DUMMYFUNCTION("""COMPUTED_VALUE"""),"")</f>
        <v/>
      </c>
    </row>
    <row r="7580">
      <c r="D7580" t="str">
        <f>IFERROR(__xludf.DUMMYFUNCTION("""COMPUTED_VALUE"""),"Doss")</f>
        <v>Doss</v>
      </c>
      <c r="E7580" t="str">
        <f>IFERROR(__xludf.DUMMYFUNCTION("""COMPUTED_VALUE"""),"Lorenzo")</f>
        <v>Lorenzo</v>
      </c>
      <c r="F7580" t="str">
        <f>IFERROR(__xludf.DUMMYFUNCTION("""COMPUTED_VALUE"""),"CB")</f>
        <v>CB</v>
      </c>
      <c r="G7580" t="str">
        <f>IFERROR(__xludf.DUMMYFUNCTION("""COMPUTED_VALUE"""),"")</f>
        <v/>
      </c>
    </row>
    <row r="7581">
      <c r="D7581" t="str">
        <f>IFERROR(__xludf.DUMMYFUNCTION("""COMPUTED_VALUE"""),"Dotson")</f>
        <v>Dotson</v>
      </c>
      <c r="E7581" t="str">
        <f>IFERROR(__xludf.DUMMYFUNCTION("""COMPUTED_VALUE"""),"Demar")</f>
        <v>Demar</v>
      </c>
      <c r="F7581" t="str">
        <f>IFERROR(__xludf.DUMMYFUNCTION("""COMPUTED_VALUE"""),"RT")</f>
        <v>RT</v>
      </c>
      <c r="G7581" t="str">
        <f>IFERROR(__xludf.DUMMYFUNCTION("""COMPUTED_VALUE"""),"")</f>
        <v/>
      </c>
    </row>
    <row r="7582">
      <c r="D7582" t="str">
        <f>IFERROR(__xludf.DUMMYFUNCTION("""COMPUTED_VALUE"""),"Douglas")</f>
        <v>Douglas</v>
      </c>
      <c r="E7582" t="str">
        <f>IFERROR(__xludf.DUMMYFUNCTION("""COMPUTED_VALUE"""),"Jamil")</f>
        <v>Jamil</v>
      </c>
      <c r="F7582" t="str">
        <f>IFERROR(__xludf.DUMMYFUNCTION("""COMPUTED_VALUE"""),"LG")</f>
        <v>LG</v>
      </c>
      <c r="G7582" t="str">
        <f>IFERROR(__xludf.DUMMYFUNCTION("""COMPUTED_VALUE"""),"")</f>
        <v/>
      </c>
    </row>
    <row r="7583">
      <c r="D7583" t="str">
        <f>IFERROR(__xludf.DUMMYFUNCTION("""COMPUTED_VALUE"""),"Douglas")</f>
        <v>Douglas</v>
      </c>
      <c r="E7583" t="str">
        <f>IFERROR(__xludf.DUMMYFUNCTION("""COMPUTED_VALUE"""),"Rasul")</f>
        <v>Rasul</v>
      </c>
      <c r="F7583" t="str">
        <f>IFERROR(__xludf.DUMMYFUNCTION("""COMPUTED_VALUE"""),"CB")</f>
        <v>CB</v>
      </c>
      <c r="G7583" t="str">
        <f>IFERROR(__xludf.DUMMYFUNCTION("""COMPUTED_VALUE"""),"")</f>
        <v/>
      </c>
    </row>
    <row r="7584">
      <c r="D7584" t="str">
        <f>IFERROR(__xludf.DUMMYFUNCTION("""COMPUTED_VALUE"""),"Downs")</f>
        <v>Downs</v>
      </c>
      <c r="E7584" t="str">
        <f>IFERROR(__xludf.DUMMYFUNCTION("""COMPUTED_VALUE"""),"Devante")</f>
        <v>Devante</v>
      </c>
      <c r="F7584" t="str">
        <f>IFERROR(__xludf.DUMMYFUNCTION("""COMPUTED_VALUE"""),"MLB")</f>
        <v>MLB</v>
      </c>
      <c r="G7584" t="str">
        <f>IFERROR(__xludf.DUMMYFUNCTION("""COMPUTED_VALUE"""),"")</f>
        <v/>
      </c>
    </row>
    <row r="7585">
      <c r="D7585" t="str">
        <f>IFERROR(__xludf.DUMMYFUNCTION("""COMPUTED_VALUE"""),"Doyle")</f>
        <v>Doyle</v>
      </c>
      <c r="E7585" t="str">
        <f>IFERROR(__xludf.DUMMYFUNCTION("""COMPUTED_VALUE"""),"Jack")</f>
        <v>Jack</v>
      </c>
      <c r="F7585" t="str">
        <f>IFERROR(__xludf.DUMMYFUNCTION("""COMPUTED_VALUE"""),"TE")</f>
        <v>TE</v>
      </c>
      <c r="G7585" t="str">
        <f>IFERROR(__xludf.DUMMYFUNCTION("""COMPUTED_VALUE"""),"")</f>
        <v/>
      </c>
    </row>
    <row r="7586">
      <c r="D7586" t="str">
        <f>IFERROR(__xludf.DUMMYFUNCTION("""COMPUTED_VALUE"""),"Dozier")</f>
        <v>Dozier</v>
      </c>
      <c r="E7586" t="str">
        <f>IFERROR(__xludf.DUMMYFUNCTION("""COMPUTED_VALUE"""),"Dakota")</f>
        <v>Dakota</v>
      </c>
      <c r="F7586" t="str">
        <f>IFERROR(__xludf.DUMMYFUNCTION("""COMPUTED_VALUE"""),"LG")</f>
        <v>LG</v>
      </c>
      <c r="G7586" t="str">
        <f>IFERROR(__xludf.DUMMYFUNCTION("""COMPUTED_VALUE"""),"")</f>
        <v/>
      </c>
    </row>
    <row r="7587">
      <c r="D7587" t="str">
        <f>IFERROR(__xludf.DUMMYFUNCTION("""COMPUTED_VALUE"""),"Drake")</f>
        <v>Drake</v>
      </c>
      <c r="E7587" t="str">
        <f>IFERROR(__xludf.DUMMYFUNCTION("""COMPUTED_VALUE"""),"Kenyan")</f>
        <v>Kenyan</v>
      </c>
      <c r="F7587" t="str">
        <f>IFERROR(__xludf.DUMMYFUNCTION("""COMPUTED_VALUE"""),"HB")</f>
        <v>HB</v>
      </c>
      <c r="G7587" t="str">
        <f>IFERROR(__xludf.DUMMYFUNCTION("""COMPUTED_VALUE"""),"")</f>
        <v/>
      </c>
    </row>
    <row r="7588">
      <c r="D7588" t="str">
        <f>IFERROR(__xludf.DUMMYFUNCTION("""COMPUTED_VALUE"""),"Drango")</f>
        <v>Drango</v>
      </c>
      <c r="E7588" t="str">
        <f>IFERROR(__xludf.DUMMYFUNCTION("""COMPUTED_VALUE"""),"Spencer")</f>
        <v>Spencer</v>
      </c>
      <c r="F7588" t="str">
        <f>IFERROR(__xludf.DUMMYFUNCTION("""COMPUTED_VALUE"""),"RG")</f>
        <v>RG</v>
      </c>
      <c r="G7588" t="str">
        <f>IFERROR(__xludf.DUMMYFUNCTION("""COMPUTED_VALUE"""),"")</f>
        <v/>
      </c>
    </row>
    <row r="7589">
      <c r="D7589" t="str">
        <f>IFERROR(__xludf.DUMMYFUNCTION("""COMPUTED_VALUE"""),"Driskel")</f>
        <v>Driskel</v>
      </c>
      <c r="E7589" t="str">
        <f>IFERROR(__xludf.DUMMYFUNCTION("""COMPUTED_VALUE"""),"Jeff")</f>
        <v>Jeff</v>
      </c>
      <c r="F7589" t="str">
        <f>IFERROR(__xludf.DUMMYFUNCTION("""COMPUTED_VALUE"""),"QB")</f>
        <v>QB</v>
      </c>
      <c r="G7589" t="str">
        <f>IFERROR(__xludf.DUMMYFUNCTION("""COMPUTED_VALUE"""),"")</f>
        <v/>
      </c>
    </row>
    <row r="7590">
      <c r="D7590" t="str">
        <f>IFERROR(__xludf.DUMMYFUNCTION("""COMPUTED_VALUE"""),"Ducasse")</f>
        <v>Ducasse</v>
      </c>
      <c r="E7590" t="str">
        <f>IFERROR(__xludf.DUMMYFUNCTION("""COMPUTED_VALUE"""),"Vladimir")</f>
        <v>Vladimir</v>
      </c>
      <c r="F7590" t="str">
        <f>IFERROR(__xludf.DUMMYFUNCTION("""COMPUTED_VALUE"""),"LG")</f>
        <v>LG</v>
      </c>
      <c r="G7590" t="str">
        <f>IFERROR(__xludf.DUMMYFUNCTION("""COMPUTED_VALUE"""),"")</f>
        <v/>
      </c>
    </row>
    <row r="7591">
      <c r="D7591" t="str">
        <f>IFERROR(__xludf.DUMMYFUNCTION("""COMPUTED_VALUE"""),"Dunbar")</f>
        <v>Dunbar</v>
      </c>
      <c r="E7591" t="str">
        <f>IFERROR(__xludf.DUMMYFUNCTION("""COMPUTED_VALUE"""),"Quinton")</f>
        <v>Quinton</v>
      </c>
      <c r="F7591" t="str">
        <f>IFERROR(__xludf.DUMMYFUNCTION("""COMPUTED_VALUE"""),"CB")</f>
        <v>CB</v>
      </c>
      <c r="G7591" t="str">
        <f>IFERROR(__xludf.DUMMYFUNCTION("""COMPUTED_VALUE"""),"")</f>
        <v/>
      </c>
    </row>
    <row r="7592">
      <c r="D7592" t="str">
        <f>IFERROR(__xludf.DUMMYFUNCTION("""COMPUTED_VALUE"""),"Dunlap")</f>
        <v>Dunlap</v>
      </c>
      <c r="E7592" t="str">
        <f>IFERROR(__xludf.DUMMYFUNCTION("""COMPUTED_VALUE"""),"Carlos")</f>
        <v>Carlos</v>
      </c>
      <c r="F7592" t="str">
        <f>IFERROR(__xludf.DUMMYFUNCTION("""COMPUTED_VALUE"""),"LE")</f>
        <v>LE</v>
      </c>
      <c r="G7592" t="str">
        <f>IFERROR(__xludf.DUMMYFUNCTION("""COMPUTED_VALUE"""),"")</f>
        <v/>
      </c>
    </row>
    <row r="7593">
      <c r="D7593" t="str">
        <f>IFERROR(__xludf.DUMMYFUNCTION("""COMPUTED_VALUE"""),"Dunn")</f>
        <v>Dunn</v>
      </c>
      <c r="E7593" t="str">
        <f>IFERROR(__xludf.DUMMYFUNCTION("""COMPUTED_VALUE"""),"Brandon")</f>
        <v>Brandon</v>
      </c>
      <c r="F7593" t="str">
        <f>IFERROR(__xludf.DUMMYFUNCTION("""COMPUTED_VALUE"""),"DT")</f>
        <v>DT</v>
      </c>
      <c r="G7593" t="str">
        <f>IFERROR(__xludf.DUMMYFUNCTION("""COMPUTED_VALUE"""),"")</f>
        <v/>
      </c>
    </row>
    <row r="7594">
      <c r="D7594" t="str">
        <f>IFERROR(__xludf.DUMMYFUNCTION("""COMPUTED_VALUE"""),"Dunn")</f>
        <v>Dunn</v>
      </c>
      <c r="E7594" t="str">
        <f>IFERROR(__xludf.DUMMYFUNCTION("""COMPUTED_VALUE"""),"Casey")</f>
        <v>Casey</v>
      </c>
      <c r="F7594" t="str">
        <f>IFERROR(__xludf.DUMMYFUNCTION("""COMPUTED_VALUE"""),"C")</f>
        <v>C</v>
      </c>
      <c r="G7594" t="str">
        <f>IFERROR(__xludf.DUMMYFUNCTION("""COMPUTED_VALUE"""),"")</f>
        <v/>
      </c>
    </row>
    <row r="7595">
      <c r="D7595" t="str">
        <f>IFERROR(__xludf.DUMMYFUNCTION("""COMPUTED_VALUE"""),"Dunn")</f>
        <v>Dunn</v>
      </c>
      <c r="E7595" t="str">
        <f>IFERROR(__xludf.DUMMYFUNCTION("""COMPUTED_VALUE"""),"Michael")</f>
        <v>Michael</v>
      </c>
      <c r="F7595" t="str">
        <f>IFERROR(__xludf.DUMMYFUNCTION("""COMPUTED_VALUE"""),"RG")</f>
        <v>RG</v>
      </c>
      <c r="G7595" t="str">
        <f>IFERROR(__xludf.DUMMYFUNCTION("""COMPUTED_VALUE"""),"")</f>
        <v/>
      </c>
    </row>
    <row r="7596">
      <c r="D7596" t="str">
        <f>IFERROR(__xludf.DUMMYFUNCTION("""COMPUTED_VALUE"""),"Dupree")</f>
        <v>Dupree</v>
      </c>
      <c r="E7596" t="str">
        <f>IFERROR(__xludf.DUMMYFUNCTION("""COMPUTED_VALUE"""),"Bud")</f>
        <v>Bud</v>
      </c>
      <c r="F7596" t="str">
        <f>IFERROR(__xludf.DUMMYFUNCTION("""COMPUTED_VALUE"""),"ROLB")</f>
        <v>ROLB</v>
      </c>
      <c r="G7596" t="str">
        <f>IFERROR(__xludf.DUMMYFUNCTION("""COMPUTED_VALUE"""),"")</f>
        <v/>
      </c>
    </row>
    <row r="7597">
      <c r="D7597" t="str">
        <f>IFERROR(__xludf.DUMMYFUNCTION("""COMPUTED_VALUE"""),"Dural")</f>
        <v>Dural</v>
      </c>
      <c r="E7597" t="str">
        <f>IFERROR(__xludf.DUMMYFUNCTION("""COMPUTED_VALUE"""),"Travin")</f>
        <v>Travin</v>
      </c>
      <c r="F7597" t="str">
        <f>IFERROR(__xludf.DUMMYFUNCTION("""COMPUTED_VALUE"""),"WR")</f>
        <v>WR</v>
      </c>
      <c r="G7597" t="str">
        <f>IFERROR(__xludf.DUMMYFUNCTION("""COMPUTED_VALUE"""),"")</f>
        <v/>
      </c>
    </row>
    <row r="7598">
      <c r="D7598" t="str">
        <f>IFERROR(__xludf.DUMMYFUNCTION("""COMPUTED_VALUE"""),"Durden")</f>
        <v>Durden</v>
      </c>
      <c r="E7598" t="str">
        <f>IFERROR(__xludf.DUMMYFUNCTION("""COMPUTED_VALUE"""),"Kenneth")</f>
        <v>Kenneth</v>
      </c>
      <c r="F7598" t="str">
        <f>IFERROR(__xludf.DUMMYFUNCTION("""COMPUTED_VALUE"""),"CB")</f>
        <v>CB</v>
      </c>
      <c r="G7598" t="str">
        <f>IFERROR(__xludf.DUMMYFUNCTION("""COMPUTED_VALUE"""),"")</f>
        <v/>
      </c>
    </row>
    <row r="7599">
      <c r="D7599" t="str">
        <f>IFERROR(__xludf.DUMMYFUNCTION("""COMPUTED_VALUE"""),"Duvernay-Tardif")</f>
        <v>Duvernay-Tardif</v>
      </c>
      <c r="E7599" t="str">
        <f>IFERROR(__xludf.DUMMYFUNCTION("""COMPUTED_VALUE"""),"Laurent")</f>
        <v>Laurent</v>
      </c>
      <c r="F7599" t="str">
        <f>IFERROR(__xludf.DUMMYFUNCTION("""COMPUTED_VALUE"""),"RG")</f>
        <v>RG</v>
      </c>
      <c r="G7599" t="str">
        <f>IFERROR(__xludf.DUMMYFUNCTION("""COMPUTED_VALUE"""),"")</f>
        <v/>
      </c>
    </row>
    <row r="7600">
      <c r="D7600" t="str">
        <f>IFERROR(__xludf.DUMMYFUNCTION("""COMPUTED_VALUE"""),"Dzubnar")</f>
        <v>Dzubnar</v>
      </c>
      <c r="E7600" t="str">
        <f>IFERROR(__xludf.DUMMYFUNCTION("""COMPUTED_VALUE"""),"Nick")</f>
        <v>Nick</v>
      </c>
      <c r="F7600" t="str">
        <f>IFERROR(__xludf.DUMMYFUNCTION("""COMPUTED_VALUE"""),"MLB")</f>
        <v>MLB</v>
      </c>
      <c r="G7600" t="str">
        <f>IFERROR(__xludf.DUMMYFUNCTION("""COMPUTED_VALUE"""),"")</f>
        <v/>
      </c>
    </row>
    <row r="7601">
      <c r="D7601" t="str">
        <f>IFERROR(__xludf.DUMMYFUNCTION("""COMPUTED_VALUE"""),"East")</f>
        <v>East</v>
      </c>
      <c r="E7601" t="str">
        <f>IFERROR(__xludf.DUMMYFUNCTION("""COMPUTED_VALUE"""),"Andrew")</f>
        <v>Andrew</v>
      </c>
      <c r="F7601" t="str">
        <f>IFERROR(__xludf.DUMMYFUNCTION("""COMPUTED_VALUE"""),"TE")</f>
        <v>TE</v>
      </c>
      <c r="G7601" t="str">
        <f>IFERROR(__xludf.DUMMYFUNCTION("""COMPUTED_VALUE"""),"")</f>
        <v/>
      </c>
    </row>
    <row r="7602">
      <c r="D7602" t="str">
        <f>IFERROR(__xludf.DUMMYFUNCTION("""COMPUTED_VALUE"""),"Easton")</f>
        <v>Easton</v>
      </c>
      <c r="E7602" t="str">
        <f>IFERROR(__xludf.DUMMYFUNCTION("""COMPUTED_VALUE"""),"Nick")</f>
        <v>Nick</v>
      </c>
      <c r="F7602" t="str">
        <f>IFERROR(__xludf.DUMMYFUNCTION("""COMPUTED_VALUE"""),"C")</f>
        <v>C</v>
      </c>
      <c r="G7602" t="str">
        <f>IFERROR(__xludf.DUMMYFUNCTION("""COMPUTED_VALUE"""),"")</f>
        <v/>
      </c>
    </row>
    <row r="7603">
      <c r="D7603" t="str">
        <f>IFERROR(__xludf.DUMMYFUNCTION("""COMPUTED_VALUE"""),"Ebner")</f>
        <v>Ebner</v>
      </c>
      <c r="E7603" t="str">
        <f>IFERROR(__xludf.DUMMYFUNCTION("""COMPUTED_VALUE"""),"Nate")</f>
        <v>Nate</v>
      </c>
      <c r="F7603" t="str">
        <f>IFERROR(__xludf.DUMMYFUNCTION("""COMPUTED_VALUE"""),"FS")</f>
        <v>FS</v>
      </c>
      <c r="G7603" t="str">
        <f>IFERROR(__xludf.DUMMYFUNCTION("""COMPUTED_VALUE"""),"")</f>
        <v/>
      </c>
    </row>
    <row r="7604">
      <c r="D7604" t="str">
        <f>IFERROR(__xludf.DUMMYFUNCTION("""COMPUTED_VALUE"""),"Ebron")</f>
        <v>Ebron</v>
      </c>
      <c r="E7604" t="str">
        <f>IFERROR(__xludf.DUMMYFUNCTION("""COMPUTED_VALUE"""),"Eric")</f>
        <v>Eric</v>
      </c>
      <c r="F7604" t="str">
        <f>IFERROR(__xludf.DUMMYFUNCTION("""COMPUTED_VALUE"""),"TE")</f>
        <v>TE</v>
      </c>
      <c r="G7604" t="str">
        <f>IFERROR(__xludf.DUMMYFUNCTION("""COMPUTED_VALUE"""),"")</f>
        <v/>
      </c>
    </row>
    <row r="7605">
      <c r="D7605" t="str">
        <f>IFERROR(__xludf.DUMMYFUNCTION("""COMPUTED_VALUE"""),"Ebukam")</f>
        <v>Ebukam</v>
      </c>
      <c r="E7605" t="str">
        <f>IFERROR(__xludf.DUMMYFUNCTION("""COMPUTED_VALUE"""),"Samson")</f>
        <v>Samson</v>
      </c>
      <c r="F7605" t="str">
        <f>IFERROR(__xludf.DUMMYFUNCTION("""COMPUTED_VALUE"""),"LOLB")</f>
        <v>LOLB</v>
      </c>
      <c r="G7605" t="str">
        <f>IFERROR(__xludf.DUMMYFUNCTION("""COMPUTED_VALUE"""),"")</f>
        <v/>
      </c>
    </row>
    <row r="7606">
      <c r="D7606" t="str">
        <f>IFERROR(__xludf.DUMMYFUNCTION("""COMPUTED_VALUE"""),"Edelman")</f>
        <v>Edelman</v>
      </c>
      <c r="E7606" t="str">
        <f>IFERROR(__xludf.DUMMYFUNCTION("""COMPUTED_VALUE"""),"Julian")</f>
        <v>Julian</v>
      </c>
      <c r="F7606" t="str">
        <f>IFERROR(__xludf.DUMMYFUNCTION("""COMPUTED_VALUE"""),"WR")</f>
        <v>WR</v>
      </c>
      <c r="G7606" t="str">
        <f>IFERROR(__xludf.DUMMYFUNCTION("""COMPUTED_VALUE"""),"")</f>
        <v/>
      </c>
    </row>
    <row r="7607">
      <c r="D7607" t="str">
        <f>IFERROR(__xludf.DUMMYFUNCTION("""COMPUTED_VALUE"""),"Edmonds")</f>
        <v>Edmonds</v>
      </c>
      <c r="E7607" t="str">
        <f>IFERROR(__xludf.DUMMYFUNCTION("""COMPUTED_VALUE"""),"Chase")</f>
        <v>Chase</v>
      </c>
      <c r="F7607" t="str">
        <f>IFERROR(__xludf.DUMMYFUNCTION("""COMPUTED_VALUE"""),"HB")</f>
        <v>HB</v>
      </c>
      <c r="G7607" t="str">
        <f>IFERROR(__xludf.DUMMYFUNCTION("""COMPUTED_VALUE"""),"")</f>
        <v/>
      </c>
    </row>
    <row r="7608">
      <c r="D7608" t="str">
        <f>IFERROR(__xludf.DUMMYFUNCTION("""COMPUTED_VALUE"""),"Edmunds")</f>
        <v>Edmunds</v>
      </c>
      <c r="E7608" t="str">
        <f>IFERROR(__xludf.DUMMYFUNCTION("""COMPUTED_VALUE"""),"Terrell")</f>
        <v>Terrell</v>
      </c>
      <c r="F7608" t="str">
        <f>IFERROR(__xludf.DUMMYFUNCTION("""COMPUTED_VALUE"""),"SS")</f>
        <v>SS</v>
      </c>
      <c r="G7608" t="str">
        <f>IFERROR(__xludf.DUMMYFUNCTION("""COMPUTED_VALUE"""),"")</f>
        <v/>
      </c>
    </row>
    <row r="7609">
      <c r="D7609" t="str">
        <f>IFERROR(__xludf.DUMMYFUNCTION("""COMPUTED_VALUE"""),"Edmunds")</f>
        <v>Edmunds</v>
      </c>
      <c r="E7609" t="str">
        <f>IFERROR(__xludf.DUMMYFUNCTION("""COMPUTED_VALUE"""),"Tremaine")</f>
        <v>Tremaine</v>
      </c>
      <c r="F7609" t="str">
        <f>IFERROR(__xludf.DUMMYFUNCTION("""COMPUTED_VALUE"""),"MLB")</f>
        <v>MLB</v>
      </c>
      <c r="G7609" t="str">
        <f>IFERROR(__xludf.DUMMYFUNCTION("""COMPUTED_VALUE"""),"")</f>
        <v/>
      </c>
    </row>
    <row r="7610">
      <c r="D7610" t="str">
        <f>IFERROR(__xludf.DUMMYFUNCTION("""COMPUTED_VALUE"""),"Edmunds")</f>
        <v>Edmunds</v>
      </c>
      <c r="E7610" t="str">
        <f>IFERROR(__xludf.DUMMYFUNCTION("""COMPUTED_VALUE"""),"Trey")</f>
        <v>Trey</v>
      </c>
      <c r="F7610" t="str">
        <f>IFERROR(__xludf.DUMMYFUNCTION("""COMPUTED_VALUE"""),"HB")</f>
        <v>HB</v>
      </c>
      <c r="G7610" t="str">
        <f>IFERROR(__xludf.DUMMYFUNCTION("""COMPUTED_VALUE"""),"")</f>
        <v/>
      </c>
    </row>
    <row r="7611">
      <c r="D7611" t="str">
        <f>IFERROR(__xludf.DUMMYFUNCTION("""COMPUTED_VALUE"""),"Edoga")</f>
        <v>Edoga</v>
      </c>
      <c r="E7611" t="str">
        <f>IFERROR(__xludf.DUMMYFUNCTION("""COMPUTED_VALUE"""),"Chuma")</f>
        <v>Chuma</v>
      </c>
      <c r="F7611" t="str">
        <f>IFERROR(__xludf.DUMMYFUNCTION("""COMPUTED_VALUE"""),"RT")</f>
        <v>RT</v>
      </c>
      <c r="G7611" t="str">
        <f>IFERROR(__xludf.DUMMYFUNCTION("""COMPUTED_VALUE"""),"")</f>
        <v/>
      </c>
    </row>
    <row r="7612">
      <c r="D7612" t="str">
        <f>IFERROR(__xludf.DUMMYFUNCTION("""COMPUTED_VALUE"""),"Edwards")</f>
        <v>Edwards</v>
      </c>
      <c r="E7612" t="str">
        <f>IFERROR(__xludf.DUMMYFUNCTION("""COMPUTED_VALUE"""),"David")</f>
        <v>David</v>
      </c>
      <c r="F7612" t="str">
        <f>IFERROR(__xludf.DUMMYFUNCTION("""COMPUTED_VALUE"""),"RT")</f>
        <v>RT</v>
      </c>
      <c r="G7612" t="str">
        <f>IFERROR(__xludf.DUMMYFUNCTION("""COMPUTED_VALUE"""),"")</f>
        <v/>
      </c>
    </row>
    <row r="7613">
      <c r="D7613" t="str">
        <f>IFERROR(__xludf.DUMMYFUNCTION("""COMPUTED_VALUE"""),"Edwards")</f>
        <v>Edwards</v>
      </c>
      <c r="E7613" t="str">
        <f>IFERROR(__xludf.DUMMYFUNCTION("""COMPUTED_VALUE"""),"Gus")</f>
        <v>Gus</v>
      </c>
      <c r="F7613" t="str">
        <f>IFERROR(__xludf.DUMMYFUNCTION("""COMPUTED_VALUE"""),"HB")</f>
        <v>HB</v>
      </c>
      <c r="G7613" t="str">
        <f>IFERROR(__xludf.DUMMYFUNCTION("""COMPUTED_VALUE"""),"")</f>
        <v/>
      </c>
    </row>
    <row r="7614">
      <c r="D7614" t="str">
        <f>IFERROR(__xludf.DUMMYFUNCTION("""COMPUTED_VALUE"""),"Edwards")</f>
        <v>Edwards</v>
      </c>
      <c r="E7614" t="str">
        <f>IFERROR(__xludf.DUMMYFUNCTION("""COMPUTED_VALUE"""),"Lac")</f>
        <v>Lac</v>
      </c>
      <c r="F7614" t="str">
        <f>IFERROR(__xludf.DUMMYFUNCTION("""COMPUTED_VALUE"""),"P")</f>
        <v>P</v>
      </c>
      <c r="G7614" t="str">
        <f>IFERROR(__xludf.DUMMYFUNCTION("""COMPUTED_VALUE"""),"")</f>
        <v/>
      </c>
    </row>
    <row r="7615">
      <c r="D7615" t="str">
        <f>IFERROR(__xludf.DUMMYFUNCTION("""COMPUTED_VALUE"""),"Edwards")</f>
        <v>Edwards</v>
      </c>
      <c r="E7615" t="str">
        <f>IFERROR(__xludf.DUMMYFUNCTION("""COMPUTED_VALUE"""),"Mario")</f>
        <v>Mario</v>
      </c>
      <c r="F7615" t="str">
        <f>IFERROR(__xludf.DUMMYFUNCTION("""COMPUTED_VALUE"""),"DT")</f>
        <v>DT</v>
      </c>
      <c r="G7615" t="str">
        <f>IFERROR(__xludf.DUMMYFUNCTION("""COMPUTED_VALUE"""),"")</f>
        <v/>
      </c>
    </row>
    <row r="7616">
      <c r="D7616" t="str">
        <f>IFERROR(__xludf.DUMMYFUNCTION("""COMPUTED_VALUE"""),"Edwards")</f>
        <v>Edwards</v>
      </c>
      <c r="E7616" t="str">
        <f>IFERROR(__xludf.DUMMYFUNCTION("""COMPUTED_VALUE"""),"Mike")</f>
        <v>Mike</v>
      </c>
      <c r="F7616" t="str">
        <f>IFERROR(__xludf.DUMMYFUNCTION("""COMPUTED_VALUE"""),"FS")</f>
        <v>FS</v>
      </c>
      <c r="G7616" t="str">
        <f>IFERROR(__xludf.DUMMYFUNCTION("""COMPUTED_VALUE"""),"")</f>
        <v/>
      </c>
    </row>
    <row r="7617">
      <c r="D7617" t="str">
        <f>IFERROR(__xludf.DUMMYFUNCTION("""COMPUTED_VALUE"""),"Egbule")</f>
        <v>Egbule</v>
      </c>
      <c r="E7617" t="str">
        <f>IFERROR(__xludf.DUMMYFUNCTION("""COMPUTED_VALUE"""),"Emeke")</f>
        <v>Emeke</v>
      </c>
      <c r="F7617" t="str">
        <f>IFERROR(__xludf.DUMMYFUNCTION("""COMPUTED_VALUE"""),"LOLB")</f>
        <v>LOLB</v>
      </c>
      <c r="G7617" t="str">
        <f>IFERROR(__xludf.DUMMYFUNCTION("""COMPUTED_VALUE"""),"")</f>
        <v/>
      </c>
    </row>
    <row r="7618">
      <c r="D7618" t="str">
        <f>IFERROR(__xludf.DUMMYFUNCTION("""COMPUTED_VALUE"""),"Eifert")</f>
        <v>Eifert</v>
      </c>
      <c r="E7618" t="str">
        <f>IFERROR(__xludf.DUMMYFUNCTION("""COMPUTED_VALUE"""),"Tyler")</f>
        <v>Tyler</v>
      </c>
      <c r="F7618" t="str">
        <f>IFERROR(__xludf.DUMMYFUNCTION("""COMPUTED_VALUE"""),"TE")</f>
        <v>TE</v>
      </c>
      <c r="G7618" t="str">
        <f>IFERROR(__xludf.DUMMYFUNCTION("""COMPUTED_VALUE"""),"")</f>
        <v/>
      </c>
    </row>
    <row r="7619">
      <c r="D7619" t="str">
        <f>IFERROR(__xludf.DUMMYFUNCTION("""COMPUTED_VALUE"""),"Ejiofor")</f>
        <v>Ejiofor</v>
      </c>
      <c r="E7619" t="str">
        <f>IFERROR(__xludf.DUMMYFUNCTION("""COMPUTED_VALUE"""),"Duke")</f>
        <v>Duke</v>
      </c>
      <c r="F7619" t="str">
        <f>IFERROR(__xludf.DUMMYFUNCTION("""COMPUTED_VALUE"""),"ROLB")</f>
        <v>ROLB</v>
      </c>
      <c r="G7619" t="str">
        <f>IFERROR(__xludf.DUMMYFUNCTION("""COMPUTED_VALUE"""),"")</f>
        <v/>
      </c>
    </row>
    <row r="7620">
      <c r="D7620" t="str">
        <f>IFERROR(__xludf.DUMMYFUNCTION("""COMPUTED_VALUE"""),"Ekeler")</f>
        <v>Ekeler</v>
      </c>
      <c r="E7620" t="str">
        <f>IFERROR(__xludf.DUMMYFUNCTION("""COMPUTED_VALUE"""),"Austin")</f>
        <v>Austin</v>
      </c>
      <c r="F7620" t="str">
        <f>IFERROR(__xludf.DUMMYFUNCTION("""COMPUTED_VALUE"""),"HB")</f>
        <v>HB</v>
      </c>
      <c r="G7620" t="str">
        <f>IFERROR(__xludf.DUMMYFUNCTION("""COMPUTED_VALUE"""),"")</f>
        <v/>
      </c>
    </row>
    <row r="7621">
      <c r="D7621" t="str">
        <f>IFERROR(__xludf.DUMMYFUNCTION("""COMPUTED_VALUE"""),"Ekuale")</f>
        <v>Ekuale</v>
      </c>
      <c r="E7621" t="str">
        <f>IFERROR(__xludf.DUMMYFUNCTION("""COMPUTED_VALUE"""),"Daniel")</f>
        <v>Daniel</v>
      </c>
      <c r="F7621" t="str">
        <f>IFERROR(__xludf.DUMMYFUNCTION("""COMPUTED_VALUE"""),"DT")</f>
        <v>DT</v>
      </c>
      <c r="G7621" t="str">
        <f>IFERROR(__xludf.DUMMYFUNCTION("""COMPUTED_VALUE"""),"")</f>
        <v/>
      </c>
    </row>
    <row r="7622">
      <c r="D7622" t="str">
        <f>IFERROR(__xludf.DUMMYFUNCTION("""COMPUTED_VALUE"""),"Elder")</f>
        <v>Elder</v>
      </c>
      <c r="E7622" t="str">
        <f>IFERROR(__xludf.DUMMYFUNCTION("""COMPUTED_VALUE"""),"Corn")</f>
        <v>Corn</v>
      </c>
      <c r="F7622" t="str">
        <f>IFERROR(__xludf.DUMMYFUNCTION("""COMPUTED_VALUE"""),"CB")</f>
        <v>CB</v>
      </c>
      <c r="G7622" t="str">
        <f>IFERROR(__xludf.DUMMYFUNCTION("""COMPUTED_VALUE"""),"")</f>
        <v/>
      </c>
    </row>
    <row r="7623">
      <c r="D7623" t="str">
        <f>IFERROR(__xludf.DUMMYFUNCTION("""COMPUTED_VALUE"""),"Eldrenkamp")</f>
        <v>Eldrenkamp</v>
      </c>
      <c r="E7623" t="str">
        <f>IFERROR(__xludf.DUMMYFUNCTION("""COMPUTED_VALUE"""),"Jake")</f>
        <v>Jake</v>
      </c>
      <c r="F7623" t="str">
        <f>IFERROR(__xludf.DUMMYFUNCTION("""COMPUTED_VALUE"""),"RG")</f>
        <v>RG</v>
      </c>
      <c r="G7623" t="str">
        <f>IFERROR(__xludf.DUMMYFUNCTION("""COMPUTED_VALUE"""),"")</f>
        <v/>
      </c>
    </row>
    <row r="7624">
      <c r="D7624" t="str">
        <f>IFERROR(__xludf.DUMMYFUNCTION("""COMPUTED_VALUE"""),"Elflein")</f>
        <v>Elflein</v>
      </c>
      <c r="E7624" t="str">
        <f>IFERROR(__xludf.DUMMYFUNCTION("""COMPUTED_VALUE"""),"Pat")</f>
        <v>Pat</v>
      </c>
      <c r="F7624" t="str">
        <f>IFERROR(__xludf.DUMMYFUNCTION("""COMPUTED_VALUE"""),"LG")</f>
        <v>LG</v>
      </c>
      <c r="G7624" t="str">
        <f>IFERROR(__xludf.DUMMYFUNCTION("""COMPUTED_VALUE"""),"")</f>
        <v/>
      </c>
    </row>
    <row r="7625">
      <c r="D7625" t="str">
        <f>IFERROR(__xludf.DUMMYFUNCTION("""COMPUTED_VALUE"""),"Ellerbee")</f>
        <v>Ellerbee</v>
      </c>
      <c r="E7625" t="str">
        <f>IFERROR(__xludf.DUMMYFUNCTION("""COMPUTED_VALUE"""),"Emmanuel")</f>
        <v>Emmanuel</v>
      </c>
      <c r="F7625" t="str">
        <f>IFERROR(__xludf.DUMMYFUNCTION("""COMPUTED_VALUE"""),"ROLB")</f>
        <v>ROLB</v>
      </c>
      <c r="G7625" t="str">
        <f>IFERROR(__xludf.DUMMYFUNCTION("""COMPUTED_VALUE"""),"")</f>
        <v/>
      </c>
    </row>
    <row r="7626">
      <c r="D7626" t="str">
        <f>IFERROR(__xludf.DUMMYFUNCTION("""COMPUTED_VALUE"""),"Ellington")</f>
        <v>Ellington</v>
      </c>
      <c r="E7626" t="str">
        <f>IFERROR(__xludf.DUMMYFUNCTION("""COMPUTED_VALUE"""),"Andre")</f>
        <v>Andre</v>
      </c>
      <c r="F7626" t="str">
        <f>IFERROR(__xludf.DUMMYFUNCTION("""COMPUTED_VALUE"""),"HB")</f>
        <v>HB</v>
      </c>
      <c r="G7626" t="str">
        <f>IFERROR(__xludf.DUMMYFUNCTION("""COMPUTED_VALUE"""),"")</f>
        <v/>
      </c>
    </row>
    <row r="7627">
      <c r="D7627" t="str">
        <f>IFERROR(__xludf.DUMMYFUNCTION("""COMPUTED_VALUE"""),"Elliott")</f>
        <v>Elliott</v>
      </c>
      <c r="E7627" t="str">
        <f>IFERROR(__xludf.DUMMYFUNCTION("""COMPUTED_VALUE"""),"DeShon")</f>
        <v>DeShon</v>
      </c>
      <c r="F7627" t="str">
        <f>IFERROR(__xludf.DUMMYFUNCTION("""COMPUTED_VALUE"""),"FS")</f>
        <v>FS</v>
      </c>
      <c r="G7627" t="str">
        <f>IFERROR(__xludf.DUMMYFUNCTION("""COMPUTED_VALUE"""),"")</f>
        <v/>
      </c>
    </row>
    <row r="7628">
      <c r="D7628" t="str">
        <f>IFERROR(__xludf.DUMMYFUNCTION("""COMPUTED_VALUE"""),"Elliott")</f>
        <v>Elliott</v>
      </c>
      <c r="E7628" t="str">
        <f>IFERROR(__xludf.DUMMYFUNCTION("""COMPUTED_VALUE"""),"Ezekiel")</f>
        <v>Ezekiel</v>
      </c>
      <c r="F7628" t="str">
        <f>IFERROR(__xludf.DUMMYFUNCTION("""COMPUTED_VALUE"""),"HB")</f>
        <v>HB</v>
      </c>
      <c r="G7628" t="str">
        <f>IFERROR(__xludf.DUMMYFUNCTION("""COMPUTED_VALUE"""),"")</f>
        <v/>
      </c>
    </row>
    <row r="7629">
      <c r="D7629" t="str">
        <f>IFERROR(__xludf.DUMMYFUNCTION("""COMPUTED_VALUE"""),"Elliott")</f>
        <v>Elliott</v>
      </c>
      <c r="E7629" t="str">
        <f>IFERROR(__xludf.DUMMYFUNCTION("""COMPUTED_VALUE"""),"Jake")</f>
        <v>Jake</v>
      </c>
      <c r="F7629" t="str">
        <f>IFERROR(__xludf.DUMMYFUNCTION("""COMPUTED_VALUE"""),"K")</f>
        <v>K</v>
      </c>
      <c r="G7629" t="str">
        <f>IFERROR(__xludf.DUMMYFUNCTION("""COMPUTED_VALUE"""),"")</f>
        <v/>
      </c>
    </row>
    <row r="7630">
      <c r="D7630" t="str">
        <f>IFERROR(__xludf.DUMMYFUNCTION("""COMPUTED_VALUE"""),"Elliott")</f>
        <v>Elliott</v>
      </c>
      <c r="E7630" t="str">
        <f>IFERROR(__xludf.DUMMYFUNCTION("""COMPUTED_VALUE"""),"Javien")</f>
        <v>Javien</v>
      </c>
      <c r="F7630" t="str">
        <f>IFERROR(__xludf.DUMMYFUNCTION("""COMPUTED_VALUE"""),"CB")</f>
        <v>CB</v>
      </c>
      <c r="G7630" t="str">
        <f>IFERROR(__xludf.DUMMYFUNCTION("""COMPUTED_VALUE"""),"")</f>
        <v/>
      </c>
    </row>
    <row r="7631">
      <c r="D7631" t="str">
        <f>IFERROR(__xludf.DUMMYFUNCTION("""COMPUTED_VALUE"""),"Elliott")</f>
        <v>Elliott</v>
      </c>
      <c r="E7631" t="str">
        <f>IFERROR(__xludf.DUMMYFUNCTION("""COMPUTED_VALUE"""),"Jayrone")</f>
        <v>Jayrone</v>
      </c>
      <c r="F7631" t="str">
        <f>IFERROR(__xludf.DUMMYFUNCTION("""COMPUTED_VALUE"""),"ROLB")</f>
        <v>ROLB</v>
      </c>
      <c r="G7631" t="str">
        <f>IFERROR(__xludf.DUMMYFUNCTION("""COMPUTED_VALUE"""),"")</f>
        <v/>
      </c>
    </row>
    <row r="7632">
      <c r="D7632" t="str">
        <f>IFERROR(__xludf.DUMMYFUNCTION("""COMPUTED_VALUE"""),"Ellis")</f>
        <v>Ellis</v>
      </c>
      <c r="E7632" t="str">
        <f>IFERROR(__xludf.DUMMYFUNCTION("""COMPUTED_VALUE"""),"Justin")</f>
        <v>Justin</v>
      </c>
      <c r="F7632" t="str">
        <f>IFERROR(__xludf.DUMMYFUNCTION("""COMPUTED_VALUE"""),"DT")</f>
        <v>DT</v>
      </c>
      <c r="G7632" t="str">
        <f>IFERROR(__xludf.DUMMYFUNCTION("""COMPUTED_VALUE"""),"")</f>
        <v/>
      </c>
    </row>
    <row r="7633">
      <c r="D7633" t="str">
        <f>IFERROR(__xludf.DUMMYFUNCTION("""COMPUTED_VALUE"""),"Ellison")</f>
        <v>Ellison</v>
      </c>
      <c r="E7633" t="str">
        <f>IFERROR(__xludf.DUMMYFUNCTION("""COMPUTED_VALUE"""),"Rhett")</f>
        <v>Rhett</v>
      </c>
      <c r="F7633" t="str">
        <f>IFERROR(__xludf.DUMMYFUNCTION("""COMPUTED_VALUE"""),"TE")</f>
        <v>TE</v>
      </c>
      <c r="G7633" t="str">
        <f>IFERROR(__xludf.DUMMYFUNCTION("""COMPUTED_VALUE"""),"")</f>
        <v/>
      </c>
    </row>
    <row r="7634">
      <c r="D7634" t="str">
        <f>IFERROR(__xludf.DUMMYFUNCTION("""COMPUTED_VALUE"""),"Elliss")</f>
        <v>Elliss</v>
      </c>
      <c r="E7634" t="str">
        <f>IFERROR(__xludf.DUMMYFUNCTION("""COMPUTED_VALUE"""),"Kaden")</f>
        <v>Kaden</v>
      </c>
      <c r="F7634" t="str">
        <f>IFERROR(__xludf.DUMMYFUNCTION("""COMPUTED_VALUE"""),"ROLB")</f>
        <v>ROLB</v>
      </c>
      <c r="G7634" t="str">
        <f>IFERROR(__xludf.DUMMYFUNCTION("""COMPUTED_VALUE"""),"")</f>
        <v/>
      </c>
    </row>
    <row r="7635">
      <c r="D7635" t="str">
        <f>IFERROR(__xludf.DUMMYFUNCTION("""COMPUTED_VALUE"""),"Eluemunor")</f>
        <v>Eluemunor</v>
      </c>
      <c r="E7635" t="str">
        <f>IFERROR(__xludf.DUMMYFUNCTION("""COMPUTED_VALUE"""),"Jermaine")</f>
        <v>Jermaine</v>
      </c>
      <c r="F7635" t="str">
        <f>IFERROR(__xludf.DUMMYFUNCTION("""COMPUTED_VALUE"""),"RG")</f>
        <v>RG</v>
      </c>
      <c r="G7635" t="str">
        <f>IFERROR(__xludf.DUMMYFUNCTION("""COMPUTED_VALUE"""),"")</f>
        <v/>
      </c>
    </row>
    <row r="7636">
      <c r="D7636" t="str">
        <f>IFERROR(__xludf.DUMMYFUNCTION("""COMPUTED_VALUE"""),"Engram")</f>
        <v>Engram</v>
      </c>
      <c r="E7636" t="str">
        <f>IFERROR(__xludf.DUMMYFUNCTION("""COMPUTED_VALUE"""),"Evan")</f>
        <v>Evan</v>
      </c>
      <c r="F7636" t="str">
        <f>IFERROR(__xludf.DUMMYFUNCTION("""COMPUTED_VALUE"""),"TE")</f>
        <v>TE</v>
      </c>
      <c r="G7636" t="str">
        <f>IFERROR(__xludf.DUMMYFUNCTION("""COMPUTED_VALUE"""),"")</f>
        <v/>
      </c>
    </row>
    <row r="7637">
      <c r="D7637" t="str">
        <f>IFERROR(__xludf.DUMMYFUNCTION("""COMPUTED_VALUE"""),"Enunwa")</f>
        <v>Enunwa</v>
      </c>
      <c r="E7637" t="str">
        <f>IFERROR(__xludf.DUMMYFUNCTION("""COMPUTED_VALUE"""),"Quincy")</f>
        <v>Quincy</v>
      </c>
      <c r="F7637" t="str">
        <f>IFERROR(__xludf.DUMMYFUNCTION("""COMPUTED_VALUE"""),"WR")</f>
        <v>WR</v>
      </c>
      <c r="G7637" t="str">
        <f>IFERROR(__xludf.DUMMYFUNCTION("""COMPUTED_VALUE"""),"")</f>
        <v/>
      </c>
    </row>
    <row r="7638">
      <c r="D7638" t="str">
        <f>IFERROR(__xludf.DUMMYFUNCTION("""COMPUTED_VALUE"""),"Epps")</f>
        <v>Epps</v>
      </c>
      <c r="E7638" t="str">
        <f>IFERROR(__xludf.DUMMYFUNCTION("""COMPUTED_VALUE"""),"Marcus")</f>
        <v>Marcus</v>
      </c>
      <c r="F7638" t="str">
        <f>IFERROR(__xludf.DUMMYFUNCTION("""COMPUTED_VALUE"""),"FS")</f>
        <v>FS</v>
      </c>
      <c r="G7638" t="str">
        <f>IFERROR(__xludf.DUMMYFUNCTION("""COMPUTED_VALUE"""),"")</f>
        <v/>
      </c>
    </row>
    <row r="7639">
      <c r="D7639" t="str">
        <f>IFERROR(__xludf.DUMMYFUNCTION("""COMPUTED_VALUE"""),"Erickson")</f>
        <v>Erickson</v>
      </c>
      <c r="E7639" t="str">
        <f>IFERROR(__xludf.DUMMYFUNCTION("""COMPUTED_VALUE"""),"Alex")</f>
        <v>Alex</v>
      </c>
      <c r="F7639" t="str">
        <f>IFERROR(__xludf.DUMMYFUNCTION("""COMPUTED_VALUE"""),"WR")</f>
        <v>WR</v>
      </c>
      <c r="G7639" t="str">
        <f>IFERROR(__xludf.DUMMYFUNCTION("""COMPUTED_VALUE"""),"")</f>
        <v/>
      </c>
    </row>
    <row r="7640">
      <c r="D7640" t="str">
        <f>IFERROR(__xludf.DUMMYFUNCTION("""COMPUTED_VALUE"""),"Ernsberger")</f>
        <v>Ernsberger</v>
      </c>
      <c r="E7640" t="str">
        <f>IFERROR(__xludf.DUMMYFUNCTION("""COMPUTED_VALUE"""),"Donnie")</f>
        <v>Donnie</v>
      </c>
      <c r="F7640" t="str">
        <f>IFERROR(__xludf.DUMMYFUNCTION("""COMPUTED_VALUE"""),"TE")</f>
        <v>TE</v>
      </c>
      <c r="G7640" t="str">
        <f>IFERROR(__xludf.DUMMYFUNCTION("""COMPUTED_VALUE"""),"")</f>
        <v/>
      </c>
    </row>
    <row r="7641">
      <c r="D7641" t="str">
        <f>IFERROR(__xludf.DUMMYFUNCTION("""COMPUTED_VALUE"""),"Ertz")</f>
        <v>Ertz</v>
      </c>
      <c r="E7641" t="str">
        <f>IFERROR(__xludf.DUMMYFUNCTION("""COMPUTED_VALUE"""),"Zach")</f>
        <v>Zach</v>
      </c>
      <c r="F7641" t="str">
        <f>IFERROR(__xludf.DUMMYFUNCTION("""COMPUTED_VALUE"""),"TE")</f>
        <v>TE</v>
      </c>
      <c r="G7641" t="str">
        <f>IFERROR(__xludf.DUMMYFUNCTION("""COMPUTED_VALUE"""),"")</f>
        <v/>
      </c>
    </row>
    <row r="7642">
      <c r="D7642" t="str">
        <f>IFERROR(__xludf.DUMMYFUNCTION("""COMPUTED_VALUE"""),"Ervin")</f>
        <v>Ervin</v>
      </c>
      <c r="E7642" t="str">
        <f>IFERROR(__xludf.DUMMYFUNCTION("""COMPUTED_VALUE"""),"Tyler")</f>
        <v>Tyler</v>
      </c>
      <c r="F7642" t="str">
        <f>IFERROR(__xludf.DUMMYFUNCTION("""COMPUTED_VALUE"""),"HB")</f>
        <v>HB</v>
      </c>
      <c r="G7642" t="str">
        <f>IFERROR(__xludf.DUMMYFUNCTION("""COMPUTED_VALUE"""),"")</f>
        <v/>
      </c>
    </row>
    <row r="7643">
      <c r="D7643" t="str">
        <f>IFERROR(__xludf.DUMMYFUNCTION("""COMPUTED_VALUE"""),"Erving")</f>
        <v>Erving</v>
      </c>
      <c r="E7643" t="str">
        <f>IFERROR(__xludf.DUMMYFUNCTION("""COMPUTED_VALUE"""),"Cameron")</f>
        <v>Cameron</v>
      </c>
      <c r="F7643" t="str">
        <f>IFERROR(__xludf.DUMMYFUNCTION("""COMPUTED_VALUE"""),"LG")</f>
        <v>LG</v>
      </c>
      <c r="G7643" t="str">
        <f>IFERROR(__xludf.DUMMYFUNCTION("""COMPUTED_VALUE"""),"")</f>
        <v/>
      </c>
    </row>
    <row r="7644">
      <c r="D7644" t="str">
        <f>IFERROR(__xludf.DUMMYFUNCTION("""COMPUTED_VALUE"""),"Etling")</f>
        <v>Etling</v>
      </c>
      <c r="E7644" t="str">
        <f>IFERROR(__xludf.DUMMYFUNCTION("""COMPUTED_VALUE"""),"Danny")</f>
        <v>Danny</v>
      </c>
      <c r="F7644" t="str">
        <f>IFERROR(__xludf.DUMMYFUNCTION("""COMPUTED_VALUE"""),"QB")</f>
        <v>QB</v>
      </c>
      <c r="G7644" t="str">
        <f>IFERROR(__xludf.DUMMYFUNCTION("""COMPUTED_VALUE"""),"")</f>
        <v/>
      </c>
    </row>
    <row r="7645">
      <c r="D7645" t="str">
        <f>IFERROR(__xludf.DUMMYFUNCTION("""COMPUTED_VALUE"""),"Evans")</f>
        <v>Evans</v>
      </c>
      <c r="E7645" t="str">
        <f>IFERROR(__xludf.DUMMYFUNCTION("""COMPUTED_VALUE"""),"Bobby")</f>
        <v>Bobby</v>
      </c>
      <c r="F7645" t="str">
        <f>IFERROR(__xludf.DUMMYFUNCTION("""COMPUTED_VALUE"""),"LT")</f>
        <v>LT</v>
      </c>
      <c r="G7645" t="str">
        <f>IFERROR(__xludf.DUMMYFUNCTION("""COMPUTED_VALUE"""),"")</f>
        <v/>
      </c>
    </row>
    <row r="7646">
      <c r="D7646" t="str">
        <f>IFERROR(__xludf.DUMMYFUNCTION("""COMPUTED_VALUE"""),"Evans")</f>
        <v>Evans</v>
      </c>
      <c r="E7646" t="str">
        <f>IFERROR(__xludf.DUMMYFUNCTION("""COMPUTED_VALUE"""),"Jordan")</f>
        <v>Jordan</v>
      </c>
      <c r="F7646" t="str">
        <f>IFERROR(__xludf.DUMMYFUNCTION("""COMPUTED_VALUE"""),"ROLB")</f>
        <v>ROLB</v>
      </c>
      <c r="G7646" t="str">
        <f>IFERROR(__xludf.DUMMYFUNCTION("""COMPUTED_VALUE"""),"")</f>
        <v/>
      </c>
    </row>
    <row r="7647">
      <c r="D7647" t="str">
        <f>IFERROR(__xludf.DUMMYFUNCTION("""COMPUTED_VALUE"""),"Evans")</f>
        <v>Evans</v>
      </c>
      <c r="E7647" t="str">
        <f>IFERROR(__xludf.DUMMYFUNCTION("""COMPUTED_VALUE"""),"Justin")</f>
        <v>Justin</v>
      </c>
      <c r="F7647" t="str">
        <f>IFERROR(__xludf.DUMMYFUNCTION("""COMPUTED_VALUE"""),"FS")</f>
        <v>FS</v>
      </c>
      <c r="G7647" t="str">
        <f>IFERROR(__xludf.DUMMYFUNCTION("""COMPUTED_VALUE"""),"")</f>
        <v/>
      </c>
    </row>
    <row r="7648">
      <c r="D7648" t="str">
        <f>IFERROR(__xludf.DUMMYFUNCTION("""COMPUTED_VALUE"""),"Evans")</f>
        <v>Evans</v>
      </c>
      <c r="E7648" t="str">
        <f>IFERROR(__xludf.DUMMYFUNCTION("""COMPUTED_VALUE"""),"Marwin")</f>
        <v>Marwin</v>
      </c>
      <c r="F7648" t="str">
        <f>IFERROR(__xludf.DUMMYFUNCTION("""COMPUTED_VALUE"""),"SS")</f>
        <v>SS</v>
      </c>
      <c r="G7648" t="str">
        <f>IFERROR(__xludf.DUMMYFUNCTION("""COMPUTED_VALUE"""),"")</f>
        <v/>
      </c>
    </row>
    <row r="7649">
      <c r="D7649" t="str">
        <f>IFERROR(__xludf.DUMMYFUNCTION("""COMPUTED_VALUE"""),"Evans")</f>
        <v>Evans</v>
      </c>
      <c r="E7649" t="str">
        <f>IFERROR(__xludf.DUMMYFUNCTION("""COMPUTED_VALUE"""),"Mike")</f>
        <v>Mike</v>
      </c>
      <c r="F7649" t="str">
        <f>IFERROR(__xludf.DUMMYFUNCTION("""COMPUTED_VALUE"""),"WR")</f>
        <v>WR</v>
      </c>
      <c r="G7649" t="str">
        <f>IFERROR(__xludf.DUMMYFUNCTION("""COMPUTED_VALUE"""),"")</f>
        <v/>
      </c>
    </row>
    <row r="7650">
      <c r="D7650" t="str">
        <f>IFERROR(__xludf.DUMMYFUNCTION("""COMPUTED_VALUE"""),"Evans")</f>
        <v>Evans</v>
      </c>
      <c r="E7650" t="str">
        <f>IFERROR(__xludf.DUMMYFUNCTION("""COMPUTED_VALUE"""),"Rashaan")</f>
        <v>Rashaan</v>
      </c>
      <c r="F7650" t="str">
        <f>IFERROR(__xludf.DUMMYFUNCTION("""COMPUTED_VALUE"""),"MLB")</f>
        <v>MLB</v>
      </c>
      <c r="G7650" t="str">
        <f>IFERROR(__xludf.DUMMYFUNCTION("""COMPUTED_VALUE"""),"")</f>
        <v/>
      </c>
    </row>
    <row r="7651">
      <c r="D7651" t="str">
        <f>IFERROR(__xludf.DUMMYFUNCTION("""COMPUTED_VALUE"""),"Everett")</f>
        <v>Everett</v>
      </c>
      <c r="E7651" t="str">
        <f>IFERROR(__xludf.DUMMYFUNCTION("""COMPUTED_VALUE"""),"Deshazor")</f>
        <v>Deshazor</v>
      </c>
      <c r="F7651" t="str">
        <f>IFERROR(__xludf.DUMMYFUNCTION("""COMPUTED_VALUE"""),"SS")</f>
        <v>SS</v>
      </c>
      <c r="G7651" t="str">
        <f>IFERROR(__xludf.DUMMYFUNCTION("""COMPUTED_VALUE"""),"")</f>
        <v/>
      </c>
    </row>
    <row r="7652">
      <c r="D7652" t="str">
        <f>IFERROR(__xludf.DUMMYFUNCTION("""COMPUTED_VALUE"""),"Everett")</f>
        <v>Everett</v>
      </c>
      <c r="E7652" t="str">
        <f>IFERROR(__xludf.DUMMYFUNCTION("""COMPUTED_VALUE"""),"Gerald")</f>
        <v>Gerald</v>
      </c>
      <c r="F7652" t="str">
        <f>IFERROR(__xludf.DUMMYFUNCTION("""COMPUTED_VALUE"""),"TE")</f>
        <v>TE</v>
      </c>
      <c r="G7652" t="str">
        <f>IFERROR(__xludf.DUMMYFUNCTION("""COMPUTED_VALUE"""),"")</f>
        <v/>
      </c>
    </row>
    <row r="7653">
      <c r="D7653" t="str">
        <f>IFERROR(__xludf.DUMMYFUNCTION("""COMPUTED_VALUE"""),"Exum")</f>
        <v>Exum</v>
      </c>
      <c r="E7653" t="str">
        <f>IFERROR(__xludf.DUMMYFUNCTION("""COMPUTED_VALUE"""),"Antone")</f>
        <v>Antone</v>
      </c>
      <c r="F7653" t="str">
        <f>IFERROR(__xludf.DUMMYFUNCTION("""COMPUTED_VALUE"""),"FS")</f>
        <v>FS</v>
      </c>
      <c r="G7653" t="str">
        <f>IFERROR(__xludf.DUMMYFUNCTION("""COMPUTED_VALUE"""),"")</f>
        <v/>
      </c>
    </row>
    <row r="7654">
      <c r="D7654" t="str">
        <f>IFERROR(__xludf.DUMMYFUNCTION("""COMPUTED_VALUE"""),"Fabiano")</f>
        <v>Fabiano</v>
      </c>
      <c r="E7654" t="str">
        <f>IFERROR(__xludf.DUMMYFUNCTION("""COMPUTED_VALUE"""),"Anthony")</f>
        <v>Anthony</v>
      </c>
      <c r="F7654" t="str">
        <f>IFERROR(__xludf.DUMMYFUNCTION("""COMPUTED_VALUE"""),"C")</f>
        <v>C</v>
      </c>
      <c r="G7654" t="str">
        <f>IFERROR(__xludf.DUMMYFUNCTION("""COMPUTED_VALUE"""),"")</f>
        <v/>
      </c>
    </row>
    <row r="7655">
      <c r="D7655" t="str">
        <f>IFERROR(__xludf.DUMMYFUNCTION("""COMPUTED_VALUE"""),"Fackrell")</f>
        <v>Fackrell</v>
      </c>
      <c r="E7655" t="str">
        <f>IFERROR(__xludf.DUMMYFUNCTION("""COMPUTED_VALUE"""),"Kyler")</f>
        <v>Kyler</v>
      </c>
      <c r="F7655" t="str">
        <f>IFERROR(__xludf.DUMMYFUNCTION("""COMPUTED_VALUE"""),"ROLB")</f>
        <v>ROLB</v>
      </c>
      <c r="G7655" t="str">
        <f>IFERROR(__xludf.DUMMYFUNCTION("""COMPUTED_VALUE"""),"")</f>
        <v/>
      </c>
    </row>
    <row r="7656">
      <c r="D7656" t="str">
        <f>IFERROR(__xludf.DUMMYFUNCTION("""COMPUTED_VALUE"""),"Facyson")</f>
        <v>Facyson</v>
      </c>
      <c r="E7656" t="str">
        <f>IFERROR(__xludf.DUMMYFUNCTION("""COMPUTED_VALUE"""),"Brandon")</f>
        <v>Brandon</v>
      </c>
      <c r="F7656" t="str">
        <f>IFERROR(__xludf.DUMMYFUNCTION("""COMPUTED_VALUE"""),"CB")</f>
        <v>CB</v>
      </c>
      <c r="G7656" t="str">
        <f>IFERROR(__xludf.DUMMYFUNCTION("""COMPUTED_VALUE"""),"")</f>
        <v/>
      </c>
    </row>
    <row r="7657">
      <c r="D7657" t="str">
        <f>IFERROR(__xludf.DUMMYFUNCTION("""COMPUTED_VALUE"""),"Fairbairn")</f>
        <v>Fairbairn</v>
      </c>
      <c r="E7657" t="str">
        <f>IFERROR(__xludf.DUMMYFUNCTION("""COMPUTED_VALUE"""),"Kaimi")</f>
        <v>Kaimi</v>
      </c>
      <c r="F7657" t="str">
        <f>IFERROR(__xludf.DUMMYFUNCTION("""COMPUTED_VALUE"""),"K")</f>
        <v>K</v>
      </c>
      <c r="G7657" t="str">
        <f>IFERROR(__xludf.DUMMYFUNCTION("""COMPUTED_VALUE"""),"")</f>
        <v/>
      </c>
    </row>
    <row r="7658">
      <c r="D7658" t="str">
        <f>IFERROR(__xludf.DUMMYFUNCTION("""COMPUTED_VALUE"""),"Falah")</f>
        <v>Falah</v>
      </c>
      <c r="E7658" t="str">
        <f>IFERROR(__xludf.DUMMYFUNCTION("""COMPUTED_VALUE"""),"Nico")</f>
        <v>Nico</v>
      </c>
      <c r="F7658" t="str">
        <f>IFERROR(__xludf.DUMMYFUNCTION("""COMPUTED_VALUE"""),"C")</f>
        <v>C</v>
      </c>
      <c r="G7658" t="str">
        <f>IFERROR(__xludf.DUMMYFUNCTION("""COMPUTED_VALUE"""),"")</f>
        <v/>
      </c>
    </row>
    <row r="7659">
      <c r="D7659" t="str">
        <f>IFERROR(__xludf.DUMMYFUNCTION("""COMPUTED_VALUE"""),"Falk")</f>
        <v>Falk</v>
      </c>
      <c r="E7659" t="str">
        <f>IFERROR(__xludf.DUMMYFUNCTION("""COMPUTED_VALUE"""),"Luke")</f>
        <v>Luke</v>
      </c>
      <c r="F7659" t="str">
        <f>IFERROR(__xludf.DUMMYFUNCTION("""COMPUTED_VALUE"""),"QB")</f>
        <v>QB</v>
      </c>
      <c r="G7659" t="str">
        <f>IFERROR(__xludf.DUMMYFUNCTION("""COMPUTED_VALUE"""),"")</f>
        <v/>
      </c>
    </row>
    <row r="7660">
      <c r="D7660" t="str">
        <f>IFERROR(__xludf.DUMMYFUNCTION("""COMPUTED_VALUE"""),"Fant")</f>
        <v>Fant</v>
      </c>
      <c r="E7660" t="str">
        <f>IFERROR(__xludf.DUMMYFUNCTION("""COMPUTED_VALUE"""),"George")</f>
        <v>George</v>
      </c>
      <c r="F7660" t="str">
        <f>IFERROR(__xludf.DUMMYFUNCTION("""COMPUTED_VALUE"""),"RT")</f>
        <v>RT</v>
      </c>
      <c r="G7660" t="str">
        <f>IFERROR(__xludf.DUMMYFUNCTION("""COMPUTED_VALUE"""),"")</f>
        <v/>
      </c>
    </row>
    <row r="7661">
      <c r="D7661" t="str">
        <f>IFERROR(__xludf.DUMMYFUNCTION("""COMPUTED_VALUE"""),"Fant")</f>
        <v>Fant</v>
      </c>
      <c r="E7661" t="str">
        <f>IFERROR(__xludf.DUMMYFUNCTION("""COMPUTED_VALUE"""),"Noah")</f>
        <v>Noah</v>
      </c>
      <c r="F7661" t="str">
        <f>IFERROR(__xludf.DUMMYFUNCTION("""COMPUTED_VALUE"""),"TE")</f>
        <v>TE</v>
      </c>
      <c r="G7661" t="str">
        <f>IFERROR(__xludf.DUMMYFUNCTION("""COMPUTED_VALUE"""),"")</f>
        <v/>
      </c>
    </row>
    <row r="7662">
      <c r="D7662" t="str">
        <f>IFERROR(__xludf.DUMMYFUNCTION("""COMPUTED_VALUE"""),"Fant")</f>
        <v>Fant</v>
      </c>
      <c r="E7662" t="str">
        <f>IFERROR(__xludf.DUMMYFUNCTION("""COMPUTED_VALUE"""),"Rashard")</f>
        <v>Rashard</v>
      </c>
      <c r="F7662" t="str">
        <f>IFERROR(__xludf.DUMMYFUNCTION("""COMPUTED_VALUE"""),"CB")</f>
        <v>CB</v>
      </c>
      <c r="G7662" t="str">
        <f>IFERROR(__xludf.DUMMYFUNCTION("""COMPUTED_VALUE"""),"")</f>
        <v/>
      </c>
    </row>
    <row r="7663">
      <c r="D7663" t="str">
        <f>IFERROR(__xludf.DUMMYFUNCTION("""COMPUTED_VALUE"""),"Farley")</f>
        <v>Farley</v>
      </c>
      <c r="E7663" t="str">
        <f>IFERROR(__xludf.DUMMYFUNCTION("""COMPUTED_VALUE"""),"Matthias")</f>
        <v>Matthias</v>
      </c>
      <c r="F7663" t="str">
        <f>IFERROR(__xludf.DUMMYFUNCTION("""COMPUTED_VALUE"""),"SS")</f>
        <v>SS</v>
      </c>
      <c r="G7663" t="str">
        <f>IFERROR(__xludf.DUMMYFUNCTION("""COMPUTED_VALUE"""),"")</f>
        <v/>
      </c>
    </row>
    <row r="7664">
      <c r="D7664" t="str">
        <f>IFERROR(__xludf.DUMMYFUNCTION("""COMPUTED_VALUE"""),"Farrow")</f>
        <v>Farrow</v>
      </c>
      <c r="E7664" t="str">
        <f>IFERROR(__xludf.DUMMYFUNCTION("""COMPUTED_VALUE"""),"Kenneth")</f>
        <v>Kenneth</v>
      </c>
      <c r="F7664" t="str">
        <f>IFERROR(__xludf.DUMMYFUNCTION("""COMPUTED_VALUE"""),"HB")</f>
        <v>HB</v>
      </c>
      <c r="G7664" t="str">
        <f>IFERROR(__xludf.DUMMYFUNCTION("""COMPUTED_VALUE"""),"")</f>
        <v/>
      </c>
    </row>
    <row r="7665">
      <c r="D7665" t="str">
        <f>IFERROR(__xludf.DUMMYFUNCTION("""COMPUTED_VALUE"""),"Fatukasi")</f>
        <v>Fatukasi</v>
      </c>
      <c r="E7665" t="str">
        <f>IFERROR(__xludf.DUMMYFUNCTION("""COMPUTED_VALUE"""),"Folorunso")</f>
        <v>Folorunso</v>
      </c>
      <c r="F7665" t="str">
        <f>IFERROR(__xludf.DUMMYFUNCTION("""COMPUTED_VALUE"""),"RE")</f>
        <v>RE</v>
      </c>
      <c r="G7665" t="str">
        <f>IFERROR(__xludf.DUMMYFUNCTION("""COMPUTED_VALUE"""),"")</f>
        <v/>
      </c>
    </row>
    <row r="7666">
      <c r="D7666" t="str">
        <f>IFERROR(__xludf.DUMMYFUNCTION("""COMPUTED_VALUE"""),"Feeney")</f>
        <v>Feeney</v>
      </c>
      <c r="E7666" t="str">
        <f>IFERROR(__xludf.DUMMYFUNCTION("""COMPUTED_VALUE"""),"Dan")</f>
        <v>Dan</v>
      </c>
      <c r="F7666" t="str">
        <f>IFERROR(__xludf.DUMMYFUNCTION("""COMPUTED_VALUE"""),"LG")</f>
        <v>LG</v>
      </c>
      <c r="G7666" t="str">
        <f>IFERROR(__xludf.DUMMYFUNCTION("""COMPUTED_VALUE"""),"")</f>
        <v/>
      </c>
    </row>
    <row r="7667">
      <c r="D7667" t="str">
        <f>IFERROR(__xludf.DUMMYFUNCTION("""COMPUTED_VALUE"""),"Feiler")</f>
        <v>Feiler</v>
      </c>
      <c r="E7667" t="str">
        <f>IFERROR(__xludf.DUMMYFUNCTION("""COMPUTED_VALUE"""),"Matt")</f>
        <v>Matt</v>
      </c>
      <c r="F7667" t="str">
        <f>IFERROR(__xludf.DUMMYFUNCTION("""COMPUTED_VALUE"""),"RT")</f>
        <v>RT</v>
      </c>
      <c r="G7667" t="str">
        <f>IFERROR(__xludf.DUMMYFUNCTION("""COMPUTED_VALUE"""),"")</f>
        <v/>
      </c>
    </row>
    <row r="7668">
      <c r="D7668" t="str">
        <f>IFERROR(__xludf.DUMMYFUNCTION("""COMPUTED_VALUE"""),"Fejedelem")</f>
        <v>Fejedelem</v>
      </c>
      <c r="E7668" t="str">
        <f>IFERROR(__xludf.DUMMYFUNCTION("""COMPUTED_VALUE"""),"Clayton")</f>
        <v>Clayton</v>
      </c>
      <c r="F7668" t="str">
        <f>IFERROR(__xludf.DUMMYFUNCTION("""COMPUTED_VALUE"""),"FS")</f>
        <v>FS</v>
      </c>
      <c r="G7668" t="str">
        <f>IFERROR(__xludf.DUMMYFUNCTION("""COMPUTED_VALUE"""),"")</f>
        <v/>
      </c>
    </row>
    <row r="7669">
      <c r="D7669" t="str">
        <f>IFERROR(__xludf.DUMMYFUNCTION("""COMPUTED_VALUE"""),"Feliciano")</f>
        <v>Feliciano</v>
      </c>
      <c r="E7669" t="str">
        <f>IFERROR(__xludf.DUMMYFUNCTION("""COMPUTED_VALUE"""),"Jon")</f>
        <v>Jon</v>
      </c>
      <c r="F7669" t="str">
        <f>IFERROR(__xludf.DUMMYFUNCTION("""COMPUTED_VALUE"""),"RG")</f>
        <v>RG</v>
      </c>
      <c r="G7669" t="str">
        <f>IFERROR(__xludf.DUMMYFUNCTION("""COMPUTED_VALUE"""),"")</f>
        <v/>
      </c>
    </row>
    <row r="7670">
      <c r="D7670" t="str">
        <f>IFERROR(__xludf.DUMMYFUNCTION("""COMPUTED_VALUE"""),"Fells")</f>
        <v>Fells</v>
      </c>
      <c r="E7670" t="str">
        <f>IFERROR(__xludf.DUMMYFUNCTION("""COMPUTED_VALUE"""),"Darren")</f>
        <v>Darren</v>
      </c>
      <c r="F7670" t="str">
        <f>IFERROR(__xludf.DUMMYFUNCTION("""COMPUTED_VALUE"""),"TE")</f>
        <v>TE</v>
      </c>
      <c r="G7670" t="str">
        <f>IFERROR(__xludf.DUMMYFUNCTION("""COMPUTED_VALUE"""),"")</f>
        <v/>
      </c>
    </row>
    <row r="7671">
      <c r="D7671" t="str">
        <f>IFERROR(__xludf.DUMMYFUNCTION("""COMPUTED_VALUE"""),"Fenton")</f>
        <v>Fenton</v>
      </c>
      <c r="E7671" t="str">
        <f>IFERROR(__xludf.DUMMYFUNCTION("""COMPUTED_VALUE"""),"Rashad")</f>
        <v>Rashad</v>
      </c>
      <c r="F7671" t="str">
        <f>IFERROR(__xludf.DUMMYFUNCTION("""COMPUTED_VALUE"""),"CB")</f>
        <v>CB</v>
      </c>
      <c r="G7671" t="str">
        <f>IFERROR(__xludf.DUMMYFUNCTION("""COMPUTED_VALUE"""),"")</f>
        <v/>
      </c>
    </row>
    <row r="7672">
      <c r="D7672" t="str">
        <f>IFERROR(__xludf.DUMMYFUNCTION("""COMPUTED_VALUE"""),"Ferentz")</f>
        <v>Ferentz</v>
      </c>
      <c r="E7672" t="str">
        <f>IFERROR(__xludf.DUMMYFUNCTION("""COMPUTED_VALUE"""),"James")</f>
        <v>James</v>
      </c>
      <c r="F7672" t="str">
        <f>IFERROR(__xludf.DUMMYFUNCTION("""COMPUTED_VALUE"""),"C")</f>
        <v>C</v>
      </c>
      <c r="G7672" t="str">
        <f>IFERROR(__xludf.DUMMYFUNCTION("""COMPUTED_VALUE"""),"")</f>
        <v/>
      </c>
    </row>
    <row r="7673">
      <c r="D7673" t="str">
        <f>IFERROR(__xludf.DUMMYFUNCTION("""COMPUTED_VALUE"""),"Ferguson")</f>
        <v>Ferguson</v>
      </c>
      <c r="E7673" t="str">
        <f>IFERROR(__xludf.DUMMYFUNCTION("""COMPUTED_VALUE"""),"Jaylon")</f>
        <v>Jaylon</v>
      </c>
      <c r="F7673" t="str">
        <f>IFERROR(__xludf.DUMMYFUNCTION("""COMPUTED_VALUE"""),"ROLB")</f>
        <v>ROLB</v>
      </c>
      <c r="G7673" t="str">
        <f>IFERROR(__xludf.DUMMYFUNCTION("""COMPUTED_VALUE"""),"")</f>
        <v/>
      </c>
    </row>
    <row r="7674">
      <c r="D7674" t="str">
        <f>IFERROR(__xludf.DUMMYFUNCTION("""COMPUTED_VALUE"""),"Ferguson")</f>
        <v>Ferguson</v>
      </c>
      <c r="E7674" t="str">
        <f>IFERROR(__xludf.DUMMYFUNCTION("""COMPUTED_VALUE"""),"Josh")</f>
        <v>Josh</v>
      </c>
      <c r="F7674" t="str">
        <f>IFERROR(__xludf.DUMMYFUNCTION("""COMPUTED_VALUE"""),"HB")</f>
        <v>HB</v>
      </c>
      <c r="G7674" t="str">
        <f>IFERROR(__xludf.DUMMYFUNCTION("""COMPUTED_VALUE"""),"")</f>
        <v/>
      </c>
    </row>
    <row r="7675">
      <c r="D7675" t="str">
        <f>IFERROR(__xludf.DUMMYFUNCTION("""COMPUTED_VALUE"""),"Ferguson")</f>
        <v>Ferguson</v>
      </c>
      <c r="E7675" t="str">
        <f>IFERROR(__xludf.DUMMYFUNCTION("""COMPUTED_VALUE"""),"Reid")</f>
        <v>Reid</v>
      </c>
      <c r="F7675" t="str">
        <f>IFERROR(__xludf.DUMMYFUNCTION("""COMPUTED_VALUE"""),"TE")</f>
        <v>TE</v>
      </c>
      <c r="G7675" t="str">
        <f>IFERROR(__xludf.DUMMYFUNCTION("""COMPUTED_VALUE"""),"")</f>
        <v/>
      </c>
    </row>
    <row r="7676">
      <c r="D7676" t="str">
        <f>IFERROR(__xludf.DUMMYFUNCTION("""COMPUTED_VALUE"""),"Ferrell")</f>
        <v>Ferrell</v>
      </c>
      <c r="E7676" t="str">
        <f>IFERROR(__xludf.DUMMYFUNCTION("""COMPUTED_VALUE"""),"Clelin")</f>
        <v>Clelin</v>
      </c>
      <c r="F7676" t="str">
        <f>IFERROR(__xludf.DUMMYFUNCTION("""COMPUTED_VALUE"""),"LE")</f>
        <v>LE</v>
      </c>
      <c r="G7676" t="str">
        <f>IFERROR(__xludf.DUMMYFUNCTION("""COMPUTED_VALUE"""),"")</f>
        <v/>
      </c>
    </row>
    <row r="7677">
      <c r="D7677" t="str">
        <f>IFERROR(__xludf.DUMMYFUNCTION("""COMPUTED_VALUE"""),"Ficken")</f>
        <v>Ficken</v>
      </c>
      <c r="E7677" t="str">
        <f>IFERROR(__xludf.DUMMYFUNCTION("""COMPUTED_VALUE"""),"Sam")</f>
        <v>Sam</v>
      </c>
      <c r="F7677" t="str">
        <f>IFERROR(__xludf.DUMMYFUNCTION("""COMPUTED_VALUE"""),"K")</f>
        <v>K</v>
      </c>
      <c r="G7677" t="str">
        <f>IFERROR(__xludf.DUMMYFUNCTION("""COMPUTED_VALUE"""),"")</f>
        <v/>
      </c>
    </row>
    <row r="7678">
      <c r="D7678" t="str">
        <f>IFERROR(__xludf.DUMMYFUNCTION("""COMPUTED_VALUE"""),"Fields")</f>
        <v>Fields</v>
      </c>
      <c r="E7678" t="str">
        <f>IFERROR(__xludf.DUMMYFUNCTION("""COMPUTED_VALUE"""),"Mark")</f>
        <v>Mark</v>
      </c>
      <c r="F7678" t="str">
        <f>IFERROR(__xludf.DUMMYFUNCTION("""COMPUTED_VALUE"""),"CB")</f>
        <v>CB</v>
      </c>
      <c r="G7678" t="str">
        <f>IFERROR(__xludf.DUMMYFUNCTION("""COMPUTED_VALUE"""),"")</f>
        <v/>
      </c>
    </row>
    <row r="7679">
      <c r="D7679" t="str">
        <f>IFERROR(__xludf.DUMMYFUNCTION("""COMPUTED_VALUE"""),"Finch")</f>
        <v>Finch</v>
      </c>
      <c r="E7679" t="str">
        <f>IFERROR(__xludf.DUMMYFUNCTION("""COMPUTED_VALUE"""),"Sharif")</f>
        <v>Sharif</v>
      </c>
      <c r="F7679" t="str">
        <f>IFERROR(__xludf.DUMMYFUNCTION("""COMPUTED_VALUE"""),"LOLB")</f>
        <v>LOLB</v>
      </c>
      <c r="G7679" t="str">
        <f>IFERROR(__xludf.DUMMYFUNCTION("""COMPUTED_VALUE"""),"")</f>
        <v/>
      </c>
    </row>
    <row r="7680">
      <c r="D7680" t="str">
        <f>IFERROR(__xludf.DUMMYFUNCTION("""COMPUTED_VALUE"""),"Finley")</f>
        <v>Finley</v>
      </c>
      <c r="E7680" t="str">
        <f>IFERROR(__xludf.DUMMYFUNCTION("""COMPUTED_VALUE"""),"Ryan")</f>
        <v>Ryan</v>
      </c>
      <c r="F7680" t="str">
        <f>IFERROR(__xludf.DUMMYFUNCTION("""COMPUTED_VALUE"""),"QB")</f>
        <v>QB</v>
      </c>
      <c r="G7680" t="str">
        <f>IFERROR(__xludf.DUMMYFUNCTION("""COMPUTED_VALUE"""),"")</f>
        <v/>
      </c>
    </row>
    <row r="7681">
      <c r="D7681" t="str">
        <f>IFERROR(__xludf.DUMMYFUNCTION("""COMPUTED_VALUE"""),"Finney")</f>
        <v>Finney</v>
      </c>
      <c r="E7681" t="str">
        <f>IFERROR(__xludf.DUMMYFUNCTION("""COMPUTED_VALUE"""),"BJ")</f>
        <v>BJ</v>
      </c>
      <c r="F7681" t="str">
        <f>IFERROR(__xludf.DUMMYFUNCTION("""COMPUTED_VALUE"""),"LG")</f>
        <v>LG</v>
      </c>
      <c r="G7681" t="str">
        <f>IFERROR(__xludf.DUMMYFUNCTION("""COMPUTED_VALUE"""),"")</f>
        <v/>
      </c>
    </row>
    <row r="7682">
      <c r="D7682" t="str">
        <f>IFERROR(__xludf.DUMMYFUNCTION("""COMPUTED_VALUE"""),"Firkser")</f>
        <v>Firkser</v>
      </c>
      <c r="E7682" t="str">
        <f>IFERROR(__xludf.DUMMYFUNCTION("""COMPUTED_VALUE"""),"Anthony")</f>
        <v>Anthony</v>
      </c>
      <c r="F7682" t="str">
        <f>IFERROR(__xludf.DUMMYFUNCTION("""COMPUTED_VALUE"""),"TE")</f>
        <v>TE</v>
      </c>
      <c r="G7682" t="str">
        <f>IFERROR(__xludf.DUMMYFUNCTION("""COMPUTED_VALUE"""),"")</f>
        <v/>
      </c>
    </row>
    <row r="7683">
      <c r="D7683" t="str">
        <f>IFERROR(__xludf.DUMMYFUNCTION("""COMPUTED_VALUE"""),"Fisher")</f>
        <v>Fisher</v>
      </c>
      <c r="E7683" t="str">
        <f>IFERROR(__xludf.DUMMYFUNCTION("""COMPUTED_VALUE"""),"Eric")</f>
        <v>Eric</v>
      </c>
      <c r="F7683" t="str">
        <f>IFERROR(__xludf.DUMMYFUNCTION("""COMPUTED_VALUE"""),"LT")</f>
        <v>LT</v>
      </c>
      <c r="G7683" t="str">
        <f>IFERROR(__xludf.DUMMYFUNCTION("""COMPUTED_VALUE"""),"")</f>
        <v/>
      </c>
    </row>
    <row r="7684">
      <c r="D7684" t="str">
        <f>IFERROR(__xludf.DUMMYFUNCTION("""COMPUTED_VALUE"""),"Fitts")</f>
        <v>Fitts</v>
      </c>
      <c r="E7684" t="str">
        <f>IFERROR(__xludf.DUMMYFUNCTION("""COMPUTED_VALUE"""),"Kylie")</f>
        <v>Kylie</v>
      </c>
      <c r="F7684" t="str">
        <f>IFERROR(__xludf.DUMMYFUNCTION("""COMPUTED_VALUE"""),"LOLB")</f>
        <v>LOLB</v>
      </c>
      <c r="G7684" t="str">
        <f>IFERROR(__xludf.DUMMYFUNCTION("""COMPUTED_VALUE"""),"")</f>
        <v/>
      </c>
    </row>
    <row r="7685">
      <c r="D7685" t="str">
        <f>IFERROR(__xludf.DUMMYFUNCTION("""COMPUTED_VALUE"""),"Fitzgerald")</f>
        <v>Fitzgerald</v>
      </c>
      <c r="E7685" t="str">
        <f>IFERROR(__xludf.DUMMYFUNCTION("""COMPUTED_VALUE"""),"Larry")</f>
        <v>Larry</v>
      </c>
      <c r="F7685" t="str">
        <f>IFERROR(__xludf.DUMMYFUNCTION("""COMPUTED_VALUE"""),"WR")</f>
        <v>WR</v>
      </c>
      <c r="G7685" t="str">
        <f>IFERROR(__xludf.DUMMYFUNCTION("""COMPUTED_VALUE"""),"")</f>
        <v/>
      </c>
    </row>
    <row r="7686">
      <c r="D7686" t="str">
        <f>IFERROR(__xludf.DUMMYFUNCTION("""COMPUTED_VALUE"""),"Fitzgerald")</f>
        <v>Fitzgerald</v>
      </c>
      <c r="E7686" t="str">
        <f>IFERROR(__xludf.DUMMYFUNCTION("""COMPUTED_VALUE"""),"Nick")</f>
        <v>Nick</v>
      </c>
      <c r="F7686" t="str">
        <f>IFERROR(__xludf.DUMMYFUNCTION("""COMPUTED_VALUE"""),"QB")</f>
        <v>QB</v>
      </c>
      <c r="G7686" t="str">
        <f>IFERROR(__xludf.DUMMYFUNCTION("""COMPUTED_VALUE"""),"")</f>
        <v/>
      </c>
    </row>
    <row r="7687">
      <c r="D7687" t="str">
        <f>IFERROR(__xludf.DUMMYFUNCTION("""COMPUTED_VALUE"""),"Fitzpatrick")</f>
        <v>Fitzpatrick</v>
      </c>
      <c r="E7687" t="str">
        <f>IFERROR(__xludf.DUMMYFUNCTION("""COMPUTED_VALUE"""),"Minkah")</f>
        <v>Minkah</v>
      </c>
      <c r="F7687" t="str">
        <f>IFERROR(__xludf.DUMMYFUNCTION("""COMPUTED_VALUE"""),"FS")</f>
        <v>FS</v>
      </c>
      <c r="G7687" t="str">
        <f>IFERROR(__xludf.DUMMYFUNCTION("""COMPUTED_VALUE"""),"")</f>
        <v/>
      </c>
    </row>
    <row r="7688">
      <c r="D7688" t="str">
        <f>IFERROR(__xludf.DUMMYFUNCTION("""COMPUTED_VALUE"""),"Fitzpatrick")</f>
        <v>Fitzpatrick</v>
      </c>
      <c r="E7688" t="str">
        <f>IFERROR(__xludf.DUMMYFUNCTION("""COMPUTED_VALUE"""),"Ryan")</f>
        <v>Ryan</v>
      </c>
      <c r="F7688" t="str">
        <f>IFERROR(__xludf.DUMMYFUNCTION("""COMPUTED_VALUE"""),"QB")</f>
        <v>QB</v>
      </c>
      <c r="G7688" t="str">
        <f>IFERROR(__xludf.DUMMYFUNCTION("""COMPUTED_VALUE"""),"")</f>
        <v/>
      </c>
    </row>
    <row r="7689">
      <c r="D7689" t="str">
        <f>IFERROR(__xludf.DUMMYFUNCTION("""COMPUTED_VALUE"""),"Flacco")</f>
        <v>Flacco</v>
      </c>
      <c r="E7689" t="str">
        <f>IFERROR(__xludf.DUMMYFUNCTION("""COMPUTED_VALUE"""),"Joe")</f>
        <v>Joe</v>
      </c>
      <c r="F7689" t="str">
        <f>IFERROR(__xludf.DUMMYFUNCTION("""COMPUTED_VALUE"""),"QB")</f>
        <v>QB</v>
      </c>
      <c r="G7689" t="str">
        <f>IFERROR(__xludf.DUMMYFUNCTION("""COMPUTED_VALUE"""),"")</f>
        <v/>
      </c>
    </row>
    <row r="7690">
      <c r="D7690" t="str">
        <f>IFERROR(__xludf.DUMMYFUNCTION("""COMPUTED_VALUE"""),"Flanagan")</f>
        <v>Flanagan</v>
      </c>
      <c r="E7690" t="str">
        <f>IFERROR(__xludf.DUMMYFUNCTION("""COMPUTED_VALUE"""),"Matt")</f>
        <v>Matt</v>
      </c>
      <c r="F7690" t="str">
        <f>IFERROR(__xludf.DUMMYFUNCTION("""COMPUTED_VALUE"""),"TE")</f>
        <v>TE</v>
      </c>
      <c r="G7690" t="str">
        <f>IFERROR(__xludf.DUMMYFUNCTION("""COMPUTED_VALUE"""),"")</f>
        <v/>
      </c>
    </row>
    <row r="7691">
      <c r="D7691" t="str">
        <f>IFERROR(__xludf.DUMMYFUNCTION("""COMPUTED_VALUE"""),"Fleming")</f>
        <v>Fleming</v>
      </c>
      <c r="E7691" t="str">
        <f>IFERROR(__xludf.DUMMYFUNCTION("""COMPUTED_VALUE"""),"Cameron")</f>
        <v>Cameron</v>
      </c>
      <c r="F7691" t="str">
        <f>IFERROR(__xludf.DUMMYFUNCTION("""COMPUTED_VALUE"""),"RT")</f>
        <v>RT</v>
      </c>
      <c r="G7691" t="str">
        <f>IFERROR(__xludf.DUMMYFUNCTION("""COMPUTED_VALUE"""),"")</f>
        <v/>
      </c>
    </row>
    <row r="7692">
      <c r="D7692" t="str">
        <f>IFERROR(__xludf.DUMMYFUNCTION("""COMPUTED_VALUE"""),"Flowers")</f>
        <v>Flowers</v>
      </c>
      <c r="E7692" t="str">
        <f>IFERROR(__xludf.DUMMYFUNCTION("""COMPUTED_VALUE"""),"Ereck")</f>
        <v>Ereck</v>
      </c>
      <c r="F7692" t="str">
        <f>IFERROR(__xludf.DUMMYFUNCTION("""COMPUTED_VALUE"""),"LG")</f>
        <v>LG</v>
      </c>
      <c r="G7692" t="str">
        <f>IFERROR(__xludf.DUMMYFUNCTION("""COMPUTED_VALUE"""),"")</f>
        <v/>
      </c>
    </row>
    <row r="7693">
      <c r="D7693" t="str">
        <f>IFERROR(__xludf.DUMMYFUNCTION("""COMPUTED_VALUE"""),"Flowers")</f>
        <v>Flowers</v>
      </c>
      <c r="E7693" t="str">
        <f>IFERROR(__xludf.DUMMYFUNCTION("""COMPUTED_VALUE"""),"Marquis")</f>
        <v>Marquis</v>
      </c>
      <c r="F7693" t="str">
        <f>IFERROR(__xludf.DUMMYFUNCTION("""COMPUTED_VALUE"""),"MLB")</f>
        <v>MLB</v>
      </c>
      <c r="G7693" t="str">
        <f>IFERROR(__xludf.DUMMYFUNCTION("""COMPUTED_VALUE"""),"")</f>
        <v/>
      </c>
    </row>
    <row r="7694">
      <c r="D7694" t="str">
        <f>IFERROR(__xludf.DUMMYFUNCTION("""COMPUTED_VALUE"""),"Flowers")</f>
        <v>Flowers</v>
      </c>
      <c r="E7694" t="str">
        <f>IFERROR(__xludf.DUMMYFUNCTION("""COMPUTED_VALUE"""),"Quinton")</f>
        <v>Quinton</v>
      </c>
      <c r="F7694" t="str">
        <f>IFERROR(__xludf.DUMMYFUNCTION("""COMPUTED_VALUE"""),"HB")</f>
        <v>HB</v>
      </c>
      <c r="G7694" t="str">
        <f>IFERROR(__xludf.DUMMYFUNCTION("""COMPUTED_VALUE"""),"")</f>
        <v/>
      </c>
    </row>
    <row r="7695">
      <c r="D7695" t="str">
        <f>IFERROR(__xludf.DUMMYFUNCTION("""COMPUTED_VALUE"""),"Flowers")</f>
        <v>Flowers</v>
      </c>
      <c r="E7695" t="str">
        <f>IFERROR(__xludf.DUMMYFUNCTION("""COMPUTED_VALUE"""),"Tre")</f>
        <v>Tre</v>
      </c>
      <c r="F7695" t="str">
        <f>IFERROR(__xludf.DUMMYFUNCTION("""COMPUTED_VALUE"""),"CB")</f>
        <v>CB</v>
      </c>
      <c r="G7695" t="str">
        <f>IFERROR(__xludf.DUMMYFUNCTION("""COMPUTED_VALUE"""),"")</f>
        <v/>
      </c>
    </row>
    <row r="7696">
      <c r="D7696" t="str">
        <f>IFERROR(__xludf.DUMMYFUNCTION("""COMPUTED_VALUE"""),"Flowers")</f>
        <v>Flowers</v>
      </c>
      <c r="E7696" t="str">
        <f>IFERROR(__xludf.DUMMYFUNCTION("""COMPUTED_VALUE"""),"Trey")</f>
        <v>Trey</v>
      </c>
      <c r="F7696" t="str">
        <f>IFERROR(__xludf.DUMMYFUNCTION("""COMPUTED_VALUE"""),"RE")</f>
        <v>RE</v>
      </c>
      <c r="G7696" t="str">
        <f>IFERROR(__xludf.DUMMYFUNCTION("""COMPUTED_VALUE"""),"")</f>
        <v/>
      </c>
    </row>
    <row r="7697">
      <c r="D7697" t="str">
        <f>IFERROR(__xludf.DUMMYFUNCTION("""COMPUTED_VALUE"""),"Floyd")</f>
        <v>Floyd</v>
      </c>
      <c r="E7697" t="str">
        <f>IFERROR(__xludf.DUMMYFUNCTION("""COMPUTED_VALUE"""),"Leonard")</f>
        <v>Leonard</v>
      </c>
      <c r="F7697" t="str">
        <f>IFERROR(__xludf.DUMMYFUNCTION("""COMPUTED_VALUE"""),"ROLB")</f>
        <v>ROLB</v>
      </c>
      <c r="G7697" t="str">
        <f>IFERROR(__xludf.DUMMYFUNCTION("""COMPUTED_VALUE"""),"")</f>
        <v/>
      </c>
    </row>
    <row r="7698">
      <c r="D7698" t="str">
        <f>IFERROR(__xludf.DUMMYFUNCTION("""COMPUTED_VALUE"""),"Floyd")</f>
        <v>Floyd</v>
      </c>
      <c r="E7698" t="str">
        <f>IFERROR(__xludf.DUMMYFUNCTION("""COMPUTED_VALUE"""),"Michael")</f>
        <v>Michael</v>
      </c>
      <c r="F7698" t="str">
        <f>IFERROR(__xludf.DUMMYFUNCTION("""COMPUTED_VALUE"""),"WR")</f>
        <v>WR</v>
      </c>
      <c r="G7698" t="str">
        <f>IFERROR(__xludf.DUMMYFUNCTION("""COMPUTED_VALUE"""),"")</f>
        <v/>
      </c>
    </row>
    <row r="7699">
      <c r="D7699" t="str">
        <f>IFERROR(__xludf.DUMMYFUNCTION("""COMPUTED_VALUE"""),"Fluellen")</f>
        <v>Fluellen</v>
      </c>
      <c r="E7699" t="str">
        <f>IFERROR(__xludf.DUMMYFUNCTION("""COMPUTED_VALUE"""),"David")</f>
        <v>David</v>
      </c>
      <c r="F7699" t="str">
        <f>IFERROR(__xludf.DUMMYFUNCTION("""COMPUTED_VALUE"""),"HB")</f>
        <v>HB</v>
      </c>
      <c r="G7699" t="str">
        <f>IFERROR(__xludf.DUMMYFUNCTION("""COMPUTED_VALUE"""),"")</f>
        <v/>
      </c>
    </row>
    <row r="7700">
      <c r="D7700" t="str">
        <f>IFERROR(__xludf.DUMMYFUNCTION("""COMPUTED_VALUE"""),"Fluker")</f>
        <v>Fluker</v>
      </c>
      <c r="E7700" t="str">
        <f>IFERROR(__xludf.DUMMYFUNCTION("""COMPUTED_VALUE"""),"DJ")</f>
        <v>DJ</v>
      </c>
      <c r="F7700" t="str">
        <f>IFERROR(__xludf.DUMMYFUNCTION("""COMPUTED_VALUE"""),"RG")</f>
        <v>RG</v>
      </c>
      <c r="G7700" t="str">
        <f>IFERROR(__xludf.DUMMYFUNCTION("""COMPUTED_VALUE"""),"")</f>
        <v/>
      </c>
    </row>
    <row r="7701">
      <c r="D7701" t="str">
        <f>IFERROR(__xludf.DUMMYFUNCTION("""COMPUTED_VALUE"""),"Foles")</f>
        <v>Foles</v>
      </c>
      <c r="E7701" t="str">
        <f>IFERROR(__xludf.DUMMYFUNCTION("""COMPUTED_VALUE"""),"Nick")</f>
        <v>Nick</v>
      </c>
      <c r="F7701" t="str">
        <f>IFERROR(__xludf.DUMMYFUNCTION("""COMPUTED_VALUE"""),"QB")</f>
        <v>QB</v>
      </c>
      <c r="G7701" t="str">
        <f>IFERROR(__xludf.DUMMYFUNCTION("""COMPUTED_VALUE"""),"")</f>
        <v/>
      </c>
    </row>
    <row r="7702">
      <c r="D7702" t="str">
        <f>IFERROR(__xludf.DUMMYFUNCTION("""COMPUTED_VALUE"""),"Forbes")</f>
        <v>Forbes</v>
      </c>
      <c r="E7702" t="str">
        <f>IFERROR(__xludf.DUMMYFUNCTION("""COMPUTED_VALUE"""),"Drew")</f>
        <v>Drew</v>
      </c>
      <c r="F7702" t="str">
        <f>IFERROR(__xludf.DUMMYFUNCTION("""COMPUTED_VALUE"""),"LG")</f>
        <v>LG</v>
      </c>
      <c r="G7702" t="str">
        <f>IFERROR(__xludf.DUMMYFUNCTION("""COMPUTED_VALUE"""),"")</f>
        <v/>
      </c>
    </row>
    <row r="7703">
      <c r="D7703" t="str">
        <f>IFERROR(__xludf.DUMMYFUNCTION("""COMPUTED_VALUE"""),"Ford")</f>
        <v>Ford</v>
      </c>
      <c r="E7703" t="str">
        <f>IFERROR(__xludf.DUMMYFUNCTION("""COMPUTED_VALUE"""),"Cody")</f>
        <v>Cody</v>
      </c>
      <c r="F7703" t="str">
        <f>IFERROR(__xludf.DUMMYFUNCTION("""COMPUTED_VALUE"""),"RT")</f>
        <v>RT</v>
      </c>
      <c r="G7703" t="str">
        <f>IFERROR(__xludf.DUMMYFUNCTION("""COMPUTED_VALUE"""),"")</f>
        <v/>
      </c>
    </row>
    <row r="7704">
      <c r="D7704" t="str">
        <f>IFERROR(__xludf.DUMMYFUNCTION("""COMPUTED_VALUE"""),"Ford")</f>
        <v>Ford</v>
      </c>
      <c r="E7704" t="str">
        <f>IFERROR(__xludf.DUMMYFUNCTION("""COMPUTED_VALUE"""),"Dee")</f>
        <v>Dee</v>
      </c>
      <c r="F7704" t="str">
        <f>IFERROR(__xludf.DUMMYFUNCTION("""COMPUTED_VALUE"""),"LE")</f>
        <v>LE</v>
      </c>
      <c r="G7704" t="str">
        <f>IFERROR(__xludf.DUMMYFUNCTION("""COMPUTED_VALUE"""),"")</f>
        <v/>
      </c>
    </row>
    <row r="7705">
      <c r="D7705" t="str">
        <f>IFERROR(__xludf.DUMMYFUNCTION("""COMPUTED_VALUE"""),"Ford")</f>
        <v>Ford</v>
      </c>
      <c r="E7705" t="str">
        <f>IFERROR(__xludf.DUMMYFUNCTION("""COMPUTED_VALUE"""),"Isaiah")</f>
        <v>Isaiah</v>
      </c>
      <c r="F7705" t="str">
        <f>IFERROR(__xludf.DUMMYFUNCTION("""COMPUTED_VALUE"""),"WR")</f>
        <v>WR</v>
      </c>
      <c r="G7705" t="str">
        <f>IFERROR(__xludf.DUMMYFUNCTION("""COMPUTED_VALUE"""),"")</f>
        <v/>
      </c>
    </row>
    <row r="7706">
      <c r="D7706" t="str">
        <f>IFERROR(__xludf.DUMMYFUNCTION("""COMPUTED_VALUE"""),"Ford")</f>
        <v>Ford</v>
      </c>
      <c r="E7706" t="str">
        <f>IFERROR(__xludf.DUMMYFUNCTION("""COMPUTED_VALUE"""),"Mike")</f>
        <v>Mike</v>
      </c>
      <c r="F7706" t="str">
        <f>IFERROR(__xludf.DUMMYFUNCTION("""COMPUTED_VALUE"""),"CB")</f>
        <v>CB</v>
      </c>
      <c r="G7706" t="str">
        <f>IFERROR(__xludf.DUMMYFUNCTION("""COMPUTED_VALUE"""),"")</f>
        <v/>
      </c>
    </row>
    <row r="7707">
      <c r="D7707" t="str">
        <f>IFERROR(__xludf.DUMMYFUNCTION("""COMPUTED_VALUE"""),"Ford")</f>
        <v>Ford</v>
      </c>
      <c r="E7707" t="str">
        <f>IFERROR(__xludf.DUMMYFUNCTION("""COMPUTED_VALUE"""),"Poona")</f>
        <v>Poona</v>
      </c>
      <c r="F7707" t="str">
        <f>IFERROR(__xludf.DUMMYFUNCTION("""COMPUTED_VALUE"""),"DT")</f>
        <v>DT</v>
      </c>
      <c r="G7707" t="str">
        <f>IFERROR(__xludf.DUMMYFUNCTION("""COMPUTED_VALUE"""),"")</f>
        <v/>
      </c>
    </row>
    <row r="7708">
      <c r="D7708" t="str">
        <f>IFERROR(__xludf.DUMMYFUNCTION("""COMPUTED_VALUE"""),"Ford")</f>
        <v>Ford</v>
      </c>
      <c r="E7708" t="str">
        <f>IFERROR(__xludf.DUMMYFUNCTION("""COMPUTED_VALUE"""),"Rudy")</f>
        <v>Rudy</v>
      </c>
      <c r="F7708" t="str">
        <f>IFERROR(__xludf.DUMMYFUNCTION("""COMPUTED_VALUE"""),"SS")</f>
        <v>SS</v>
      </c>
      <c r="G7708" t="str">
        <f>IFERROR(__xludf.DUMMYFUNCTION("""COMPUTED_VALUE"""),"")</f>
        <v/>
      </c>
    </row>
    <row r="7709">
      <c r="D7709" t="str">
        <f>IFERROR(__xludf.DUMMYFUNCTION("""COMPUTED_VALUE"""),"Foreman")</f>
        <v>Foreman</v>
      </c>
      <c r="E7709" t="str">
        <f>IFERROR(__xludf.DUMMYFUNCTION("""COMPUTED_VALUE"""),"DOnta")</f>
        <v>DOnta</v>
      </c>
      <c r="F7709" t="str">
        <f>IFERROR(__xludf.DUMMYFUNCTION("""COMPUTED_VALUE"""),"HB")</f>
        <v>HB</v>
      </c>
      <c r="G7709" t="str">
        <f>IFERROR(__xludf.DUMMYFUNCTION("""COMPUTED_VALUE"""),"")</f>
        <v/>
      </c>
    </row>
    <row r="7710">
      <c r="D7710" t="str">
        <f>IFERROR(__xludf.DUMMYFUNCTION("""COMPUTED_VALUE"""),"Fort")</f>
        <v>Fort</v>
      </c>
      <c r="E7710" t="str">
        <f>IFERROR(__xludf.DUMMYFUNCTION("""COMPUTED_VALUE"""),"LJ")</f>
        <v>LJ</v>
      </c>
      <c r="F7710" t="str">
        <f>IFERROR(__xludf.DUMMYFUNCTION("""COMPUTED_VALUE"""),"MLB")</f>
        <v>MLB</v>
      </c>
      <c r="G7710" t="str">
        <f>IFERROR(__xludf.DUMMYFUNCTION("""COMPUTED_VALUE"""),"")</f>
        <v/>
      </c>
    </row>
    <row r="7711">
      <c r="D7711" t="str">
        <f>IFERROR(__xludf.DUMMYFUNCTION("""COMPUTED_VALUE"""),"Foster")</f>
        <v>Foster</v>
      </c>
      <c r="E7711" t="str">
        <f>IFERROR(__xludf.DUMMYFUNCTION("""COMPUTED_VALUE"""),"DJ")</f>
        <v>DJ</v>
      </c>
      <c r="F7711" t="str">
        <f>IFERROR(__xludf.DUMMYFUNCTION("""COMPUTED_VALUE"""),"HB")</f>
        <v>HB</v>
      </c>
      <c r="G7711" t="str">
        <f>IFERROR(__xludf.DUMMYFUNCTION("""COMPUTED_VALUE"""),"")</f>
        <v/>
      </c>
    </row>
    <row r="7712">
      <c r="D7712" t="str">
        <f>IFERROR(__xludf.DUMMYFUNCTION("""COMPUTED_VALUE"""),"Foster")</f>
        <v>Foster</v>
      </c>
      <c r="E7712" t="str">
        <f>IFERROR(__xludf.DUMMYFUNCTION("""COMPUTED_VALUE"""),"Mason")</f>
        <v>Mason</v>
      </c>
      <c r="F7712" t="str">
        <f>IFERROR(__xludf.DUMMYFUNCTION("""COMPUTED_VALUE"""),"MLB")</f>
        <v>MLB</v>
      </c>
      <c r="G7712" t="str">
        <f>IFERROR(__xludf.DUMMYFUNCTION("""COMPUTED_VALUE"""),"")</f>
        <v/>
      </c>
    </row>
    <row r="7713">
      <c r="D7713" t="str">
        <f>IFERROR(__xludf.DUMMYFUNCTION("""COMPUTED_VALUE"""),"Foster")</f>
        <v>Foster</v>
      </c>
      <c r="E7713" t="str">
        <f>IFERROR(__xludf.DUMMYFUNCTION("""COMPUTED_VALUE"""),"Ramon")</f>
        <v>Ramon</v>
      </c>
      <c r="F7713" t="str">
        <f>IFERROR(__xludf.DUMMYFUNCTION("""COMPUTED_VALUE"""),"LG")</f>
        <v>LG</v>
      </c>
      <c r="G7713" t="str">
        <f>IFERROR(__xludf.DUMMYFUNCTION("""COMPUTED_VALUE"""),"")</f>
        <v/>
      </c>
    </row>
    <row r="7714">
      <c r="D7714" t="str">
        <f>IFERROR(__xludf.DUMMYFUNCTION("""COMPUTED_VALUE"""),"Foster")</f>
        <v>Foster</v>
      </c>
      <c r="E7714" t="str">
        <f>IFERROR(__xludf.DUMMYFUNCTION("""COMPUTED_VALUE"""),"Reuben")</f>
        <v>Reuben</v>
      </c>
      <c r="F7714" t="str">
        <f>IFERROR(__xludf.DUMMYFUNCTION("""COMPUTED_VALUE"""),"MLB")</f>
        <v>MLB</v>
      </c>
      <c r="G7714" t="str">
        <f>IFERROR(__xludf.DUMMYFUNCTION("""COMPUTED_VALUE"""),"")</f>
        <v/>
      </c>
    </row>
    <row r="7715">
      <c r="D7715" t="str">
        <f>IFERROR(__xludf.DUMMYFUNCTION("""COMPUTED_VALUE"""),"Foster")</f>
        <v>Foster</v>
      </c>
      <c r="E7715" t="str">
        <f>IFERROR(__xludf.DUMMYFUNCTION("""COMPUTED_VALUE"""),"Robert")</f>
        <v>Robert</v>
      </c>
      <c r="F7715" t="str">
        <f>IFERROR(__xludf.DUMMYFUNCTION("""COMPUTED_VALUE"""),"WR")</f>
        <v>WR</v>
      </c>
      <c r="G7715" t="str">
        <f>IFERROR(__xludf.DUMMYFUNCTION("""COMPUTED_VALUE"""),"")</f>
        <v/>
      </c>
    </row>
    <row r="7716">
      <c r="D7716" t="str">
        <f>IFERROR(__xludf.DUMMYFUNCTION("""COMPUTED_VALUE"""),"Fountain")</f>
        <v>Fountain</v>
      </c>
      <c r="E7716" t="str">
        <f>IFERROR(__xludf.DUMMYFUNCTION("""COMPUTED_VALUE"""),"Reece")</f>
        <v>Reece</v>
      </c>
      <c r="F7716" t="str">
        <f>IFERROR(__xludf.DUMMYFUNCTION("""COMPUTED_VALUE"""),"WR")</f>
        <v>WR</v>
      </c>
      <c r="G7716" t="str">
        <f>IFERROR(__xludf.DUMMYFUNCTION("""COMPUTED_VALUE"""),"")</f>
        <v/>
      </c>
    </row>
    <row r="7717">
      <c r="D7717" t="str">
        <f>IFERROR(__xludf.DUMMYFUNCTION("""COMPUTED_VALUE"""),"Fournette")</f>
        <v>Fournette</v>
      </c>
      <c r="E7717" t="str">
        <f>IFERROR(__xludf.DUMMYFUNCTION("""COMPUTED_VALUE"""),"Leonard")</f>
        <v>Leonard</v>
      </c>
      <c r="F7717" t="str">
        <f>IFERROR(__xludf.DUMMYFUNCTION("""COMPUTED_VALUE"""),"HB")</f>
        <v>HB</v>
      </c>
      <c r="G7717" t="str">
        <f>IFERROR(__xludf.DUMMYFUNCTION("""COMPUTED_VALUE"""),"")</f>
        <v/>
      </c>
    </row>
    <row r="7718">
      <c r="D7718" t="str">
        <f>IFERROR(__xludf.DUMMYFUNCTION("""COMPUTED_VALUE"""),"Fowler")</f>
        <v>Fowler</v>
      </c>
      <c r="E7718" t="str">
        <f>IFERROR(__xludf.DUMMYFUNCTION("""COMPUTED_VALUE"""),"Bennie")</f>
        <v>Bennie</v>
      </c>
      <c r="F7718" t="str">
        <f>IFERROR(__xludf.DUMMYFUNCTION("""COMPUTED_VALUE"""),"WR")</f>
        <v>WR</v>
      </c>
      <c r="G7718" t="str">
        <f>IFERROR(__xludf.DUMMYFUNCTION("""COMPUTED_VALUE"""),"")</f>
        <v/>
      </c>
    </row>
    <row r="7719">
      <c r="D7719" t="str">
        <f>IFERROR(__xludf.DUMMYFUNCTION("""COMPUTED_VALUE"""),"Fowler")</f>
        <v>Fowler</v>
      </c>
      <c r="E7719" t="str">
        <f>IFERROR(__xludf.DUMMYFUNCTION("""COMPUTED_VALUE"""),"Dante")</f>
        <v>Dante</v>
      </c>
      <c r="F7719" t="str">
        <f>IFERROR(__xludf.DUMMYFUNCTION("""COMPUTED_VALUE"""),"ROLB")</f>
        <v>ROLB</v>
      </c>
      <c r="G7719" t="str">
        <f>IFERROR(__xludf.DUMMYFUNCTION("""COMPUTED_VALUE"""),"")</f>
        <v/>
      </c>
    </row>
    <row r="7720">
      <c r="D7720" t="str">
        <f>IFERROR(__xludf.DUMMYFUNCTION("""COMPUTED_VALUE"""),"Fox")</f>
        <v>Fox</v>
      </c>
      <c r="E7720" t="str">
        <f>IFERROR(__xludf.DUMMYFUNCTION("""COMPUTED_VALUE"""),"Jack")</f>
        <v>Jack</v>
      </c>
      <c r="F7720" t="str">
        <f>IFERROR(__xludf.DUMMYFUNCTION("""COMPUTED_VALUE"""),"P")</f>
        <v>P</v>
      </c>
      <c r="G7720" t="str">
        <f>IFERROR(__xludf.DUMMYFUNCTION("""COMPUTED_VALUE"""),"")</f>
        <v/>
      </c>
    </row>
    <row r="7721">
      <c r="D7721" t="str">
        <f>IFERROR(__xludf.DUMMYFUNCTION("""COMPUTED_VALUE"""),"Fox")</f>
        <v>Fox</v>
      </c>
      <c r="E7721" t="str">
        <f>IFERROR(__xludf.DUMMYFUNCTION("""COMPUTED_VALUE"""),"Morgan")</f>
        <v>Morgan</v>
      </c>
      <c r="F7721" t="str">
        <f>IFERROR(__xludf.DUMMYFUNCTION("""COMPUTED_VALUE"""),"LE")</f>
        <v>LE</v>
      </c>
      <c r="G7721" t="str">
        <f>IFERROR(__xludf.DUMMYFUNCTION("""COMPUTED_VALUE"""),"")</f>
        <v/>
      </c>
    </row>
    <row r="7722">
      <c r="D7722" t="str">
        <f>IFERROR(__xludf.DUMMYFUNCTION("""COMPUTED_VALUE"""),"Franklin")</f>
        <v>Franklin</v>
      </c>
      <c r="E7722" t="str">
        <f>IFERROR(__xludf.DUMMYFUNCTION("""COMPUTED_VALUE"""),"John")</f>
        <v>John</v>
      </c>
      <c r="F7722" t="str">
        <f>IFERROR(__xludf.DUMMYFUNCTION("""COMPUTED_VALUE"""),"CB")</f>
        <v>CB</v>
      </c>
      <c r="G7722" t="str">
        <f>IFERROR(__xludf.DUMMYFUNCTION("""COMPUTED_VALUE"""),"")</f>
        <v/>
      </c>
    </row>
    <row r="7723">
      <c r="D7723" t="str">
        <f>IFERROR(__xludf.DUMMYFUNCTION("""COMPUTED_VALUE"""),"Franklin")</f>
        <v>Franklin</v>
      </c>
      <c r="E7723" t="str">
        <f>IFERROR(__xludf.DUMMYFUNCTION("""COMPUTED_VALUE"""),"Zaire")</f>
        <v>Zaire</v>
      </c>
      <c r="F7723" t="str">
        <f>IFERROR(__xludf.DUMMYFUNCTION("""COMPUTED_VALUE"""),"ROLB")</f>
        <v>ROLB</v>
      </c>
      <c r="G7723" t="str">
        <f>IFERROR(__xludf.DUMMYFUNCTION("""COMPUTED_VALUE"""),"")</f>
        <v/>
      </c>
    </row>
    <row r="7724">
      <c r="D7724" t="str">
        <f>IFERROR(__xludf.DUMMYFUNCTION("""COMPUTED_VALUE"""),"Franklin-Myers")</f>
        <v>Franklin-Myers</v>
      </c>
      <c r="E7724" t="str">
        <f>IFERROR(__xludf.DUMMYFUNCTION("""COMPUTED_VALUE"""),"John")</f>
        <v>John</v>
      </c>
      <c r="F7724" t="str">
        <f>IFERROR(__xludf.DUMMYFUNCTION("""COMPUTED_VALUE"""),"LE")</f>
        <v>LE</v>
      </c>
      <c r="G7724" t="str">
        <f>IFERROR(__xludf.DUMMYFUNCTION("""COMPUTED_VALUE"""),"")</f>
        <v/>
      </c>
    </row>
    <row r="7725">
      <c r="D7725" t="str">
        <f>IFERROR(__xludf.DUMMYFUNCTION("""COMPUTED_VALUE"""),"Franks")</f>
        <v>Franks</v>
      </c>
      <c r="E7725" t="str">
        <f>IFERROR(__xludf.DUMMYFUNCTION("""COMPUTED_VALUE"""),"Jordan")</f>
        <v>Jordan</v>
      </c>
      <c r="F7725" t="str">
        <f>IFERROR(__xludf.DUMMYFUNCTION("""COMPUTED_VALUE"""),"TE")</f>
        <v>TE</v>
      </c>
      <c r="G7725" t="str">
        <f>IFERROR(__xludf.DUMMYFUNCTION("""COMPUTED_VALUE"""),"")</f>
        <v/>
      </c>
    </row>
    <row r="7726">
      <c r="D7726" t="str">
        <f>IFERROR(__xludf.DUMMYFUNCTION("""COMPUTED_VALUE"""),"Frazier")</f>
        <v>Frazier</v>
      </c>
      <c r="E7726" t="str">
        <f>IFERROR(__xludf.DUMMYFUNCTION("""COMPUTED_VALUE"""),"Kavon")</f>
        <v>Kavon</v>
      </c>
      <c r="F7726" t="str">
        <f>IFERROR(__xludf.DUMMYFUNCTION("""COMPUTED_VALUE"""),"SS")</f>
        <v>SS</v>
      </c>
      <c r="G7726" t="str">
        <f>IFERROR(__xludf.DUMMYFUNCTION("""COMPUTED_VALUE"""),"")</f>
        <v/>
      </c>
    </row>
    <row r="7727">
      <c r="D7727" t="str">
        <f>IFERROR(__xludf.DUMMYFUNCTION("""COMPUTED_VALUE"""),"Frederick")</f>
        <v>Frederick</v>
      </c>
      <c r="E7727" t="str">
        <f>IFERROR(__xludf.DUMMYFUNCTION("""COMPUTED_VALUE"""),"Travis")</f>
        <v>Travis</v>
      </c>
      <c r="F7727" t="str">
        <f>IFERROR(__xludf.DUMMYFUNCTION("""COMPUTED_VALUE"""),"C")</f>
        <v>C</v>
      </c>
      <c r="G7727" t="str">
        <f>IFERROR(__xludf.DUMMYFUNCTION("""COMPUTED_VALUE"""),"")</f>
        <v/>
      </c>
    </row>
    <row r="7728">
      <c r="D7728" t="str">
        <f>IFERROR(__xludf.DUMMYFUNCTION("""COMPUTED_VALUE"""),"Freeman")</f>
        <v>Freeman</v>
      </c>
      <c r="E7728" t="str">
        <f>IFERROR(__xludf.DUMMYFUNCTION("""COMPUTED_VALUE"""),"Devonta")</f>
        <v>Devonta</v>
      </c>
      <c r="F7728" t="str">
        <f>IFERROR(__xludf.DUMMYFUNCTION("""COMPUTED_VALUE"""),"HB")</f>
        <v>HB</v>
      </c>
      <c r="G7728" t="str">
        <f>IFERROR(__xludf.DUMMYFUNCTION("""COMPUTED_VALUE"""),"")</f>
        <v/>
      </c>
    </row>
    <row r="7729">
      <c r="D7729" t="str">
        <f>IFERROR(__xludf.DUMMYFUNCTION("""COMPUTED_VALUE"""),"Freeman")</f>
        <v>Freeman</v>
      </c>
      <c r="E7729" t="str">
        <f>IFERROR(__xludf.DUMMYFUNCTION("""COMPUTED_VALUE"""),"Royce")</f>
        <v>Royce</v>
      </c>
      <c r="F7729" t="str">
        <f>IFERROR(__xludf.DUMMYFUNCTION("""COMPUTED_VALUE"""),"HB")</f>
        <v>HB</v>
      </c>
      <c r="G7729" t="str">
        <f>IFERROR(__xludf.DUMMYFUNCTION("""COMPUTED_VALUE"""),"")</f>
        <v/>
      </c>
    </row>
    <row r="7730">
      <c r="D7730" t="str">
        <f>IFERROR(__xludf.DUMMYFUNCTION("""COMPUTED_VALUE"""),"Froholdt")</f>
        <v>Froholdt</v>
      </c>
      <c r="E7730" t="str">
        <f>IFERROR(__xludf.DUMMYFUNCTION("""COMPUTED_VALUE"""),"Hjalte")</f>
        <v>Hjalte</v>
      </c>
      <c r="F7730" t="str">
        <f>IFERROR(__xludf.DUMMYFUNCTION("""COMPUTED_VALUE"""),"LG")</f>
        <v>LG</v>
      </c>
      <c r="G7730" t="str">
        <f>IFERROR(__xludf.DUMMYFUNCTION("""COMPUTED_VALUE"""),"")</f>
        <v/>
      </c>
    </row>
    <row r="7731">
      <c r="D7731" t="str">
        <f>IFERROR(__xludf.DUMMYFUNCTION("""COMPUTED_VALUE"""),"Fulgham")</f>
        <v>Fulgham</v>
      </c>
      <c r="E7731" t="str">
        <f>IFERROR(__xludf.DUMMYFUNCTION("""COMPUTED_VALUE"""),"Travis")</f>
        <v>Travis</v>
      </c>
      <c r="F7731" t="str">
        <f>IFERROR(__xludf.DUMMYFUNCTION("""COMPUTED_VALUE"""),"WR")</f>
        <v>WR</v>
      </c>
      <c r="G7731" t="str">
        <f>IFERROR(__xludf.DUMMYFUNCTION("""COMPUTED_VALUE"""),"")</f>
        <v/>
      </c>
    </row>
    <row r="7732">
      <c r="D7732" t="str">
        <f>IFERROR(__xludf.DUMMYFUNCTION("""COMPUTED_VALUE"""),"Fuller")</f>
        <v>Fuller</v>
      </c>
      <c r="E7732" t="str">
        <f>IFERROR(__xludf.DUMMYFUNCTION("""COMPUTED_VALUE"""),"Kendall")</f>
        <v>Kendall</v>
      </c>
      <c r="F7732" t="str">
        <f>IFERROR(__xludf.DUMMYFUNCTION("""COMPUTED_VALUE"""),"CB")</f>
        <v>CB</v>
      </c>
      <c r="G7732" t="str">
        <f>IFERROR(__xludf.DUMMYFUNCTION("""COMPUTED_VALUE"""),"")</f>
        <v/>
      </c>
    </row>
    <row r="7733">
      <c r="D7733" t="str">
        <f>IFERROR(__xludf.DUMMYFUNCTION("""COMPUTED_VALUE"""),"Fuller")</f>
        <v>Fuller</v>
      </c>
      <c r="E7733" t="str">
        <f>IFERROR(__xludf.DUMMYFUNCTION("""COMPUTED_VALUE"""),"Kyle")</f>
        <v>Kyle</v>
      </c>
      <c r="F7733" t="str">
        <f>IFERROR(__xludf.DUMMYFUNCTION("""COMPUTED_VALUE"""),"CB")</f>
        <v>CB</v>
      </c>
      <c r="G7733" t="str">
        <f>IFERROR(__xludf.DUMMYFUNCTION("""COMPUTED_VALUE"""),"")</f>
        <v/>
      </c>
    </row>
    <row r="7734">
      <c r="D7734" t="str">
        <f>IFERROR(__xludf.DUMMYFUNCTION("""COMPUTED_VALUE"""),"Fuller")</f>
        <v>Fuller</v>
      </c>
      <c r="E7734" t="str">
        <f>IFERROR(__xludf.DUMMYFUNCTION("""COMPUTED_VALUE"""),"Kyle")</f>
        <v>Kyle</v>
      </c>
      <c r="F7734" t="str">
        <f>IFERROR(__xludf.DUMMYFUNCTION("""COMPUTED_VALUE"""),"RG")</f>
        <v>RG</v>
      </c>
      <c r="G7734" t="str">
        <f>IFERROR(__xludf.DUMMYFUNCTION("""COMPUTED_VALUE"""),"")</f>
        <v/>
      </c>
    </row>
    <row r="7735">
      <c r="D7735" t="str">
        <f>IFERROR(__xludf.DUMMYFUNCTION("""COMPUTED_VALUE"""),"Fuller")</f>
        <v>Fuller</v>
      </c>
      <c r="E7735" t="str">
        <f>IFERROR(__xludf.DUMMYFUNCTION("""COMPUTED_VALUE"""),"Will")</f>
        <v>Will</v>
      </c>
      <c r="F7735" t="str">
        <f>IFERROR(__xludf.DUMMYFUNCTION("""COMPUTED_VALUE"""),"WR")</f>
        <v>WR</v>
      </c>
      <c r="G7735" t="str">
        <f>IFERROR(__xludf.DUMMYFUNCTION("""COMPUTED_VALUE"""),"")</f>
        <v/>
      </c>
    </row>
    <row r="7736">
      <c r="D7736" t="str">
        <f>IFERROR(__xludf.DUMMYFUNCTION("""COMPUTED_VALUE"""),"Fulton")</f>
        <v>Fulton</v>
      </c>
      <c r="E7736" t="str">
        <f>IFERROR(__xludf.DUMMYFUNCTION("""COMPUTED_VALUE"""),"Zach")</f>
        <v>Zach</v>
      </c>
      <c r="F7736" t="str">
        <f>IFERROR(__xludf.DUMMYFUNCTION("""COMPUTED_VALUE"""),"RG")</f>
        <v>RG</v>
      </c>
      <c r="G7736" t="str">
        <f>IFERROR(__xludf.DUMMYFUNCTION("""COMPUTED_VALUE"""),"")</f>
        <v/>
      </c>
    </row>
    <row r="7737">
      <c r="D7737" t="str">
        <f>IFERROR(__xludf.DUMMYFUNCTION("""COMPUTED_VALUE"""),"Fumagalli")</f>
        <v>Fumagalli</v>
      </c>
      <c r="E7737" t="str">
        <f>IFERROR(__xludf.DUMMYFUNCTION("""COMPUTED_VALUE"""),"Troy")</f>
        <v>Troy</v>
      </c>
      <c r="F7737" t="str">
        <f>IFERROR(__xludf.DUMMYFUNCTION("""COMPUTED_VALUE"""),"TE")</f>
        <v>TE</v>
      </c>
      <c r="G7737" t="str">
        <f>IFERROR(__xludf.DUMMYFUNCTION("""COMPUTED_VALUE"""),"")</f>
        <v/>
      </c>
    </row>
    <row r="7738">
      <c r="D7738" t="str">
        <f>IFERROR(__xludf.DUMMYFUNCTION("""COMPUTED_VALUE"""),"Funchess")</f>
        <v>Funchess</v>
      </c>
      <c r="E7738" t="str">
        <f>IFERROR(__xludf.DUMMYFUNCTION("""COMPUTED_VALUE"""),"Devin")</f>
        <v>Devin</v>
      </c>
      <c r="F7738" t="str">
        <f>IFERROR(__xludf.DUMMYFUNCTION("""COMPUTED_VALUE"""),"WR")</f>
        <v>WR</v>
      </c>
      <c r="G7738" t="str">
        <f>IFERROR(__xludf.DUMMYFUNCTION("""COMPUTED_VALUE"""),"")</f>
        <v/>
      </c>
    </row>
    <row r="7739">
      <c r="D7739" t="str">
        <f>IFERROR(__xludf.DUMMYFUNCTION("""COMPUTED_VALUE"""),"Gabbert")</f>
        <v>Gabbert</v>
      </c>
      <c r="E7739" t="str">
        <f>IFERROR(__xludf.DUMMYFUNCTION("""COMPUTED_VALUE"""),"Blaine")</f>
        <v>Blaine</v>
      </c>
      <c r="F7739" t="str">
        <f>IFERROR(__xludf.DUMMYFUNCTION("""COMPUTED_VALUE"""),"QB")</f>
        <v>QB</v>
      </c>
      <c r="G7739" t="str">
        <f>IFERROR(__xludf.DUMMYFUNCTION("""COMPUTED_VALUE"""),"")</f>
        <v/>
      </c>
    </row>
    <row r="7740">
      <c r="D7740" t="str">
        <f>IFERROR(__xludf.DUMMYFUNCTION("""COMPUTED_VALUE"""),"Gabriel")</f>
        <v>Gabriel</v>
      </c>
      <c r="E7740" t="str">
        <f>IFERROR(__xludf.DUMMYFUNCTION("""COMPUTED_VALUE"""),"Taylor")</f>
        <v>Taylor</v>
      </c>
      <c r="F7740" t="str">
        <f>IFERROR(__xludf.DUMMYFUNCTION("""COMPUTED_VALUE"""),"WR")</f>
        <v>WR</v>
      </c>
      <c r="G7740" t="str">
        <f>IFERROR(__xludf.DUMMYFUNCTION("""COMPUTED_VALUE"""),"")</f>
        <v/>
      </c>
    </row>
    <row r="7741">
      <c r="D7741" t="str">
        <f>IFERROR(__xludf.DUMMYFUNCTION("""COMPUTED_VALUE"""),"Gafford")</f>
        <v>Gafford</v>
      </c>
      <c r="E7741" t="str">
        <f>IFERROR(__xludf.DUMMYFUNCTION("""COMPUTED_VALUE"""),"Rico")</f>
        <v>Rico</v>
      </c>
      <c r="F7741" t="str">
        <f>IFERROR(__xludf.DUMMYFUNCTION("""COMPUTED_VALUE"""),"WR")</f>
        <v>WR</v>
      </c>
      <c r="G7741" t="str">
        <f>IFERROR(__xludf.DUMMYFUNCTION("""COMPUTED_VALUE"""),"")</f>
        <v/>
      </c>
    </row>
    <row r="7742">
      <c r="D7742" t="str">
        <f>IFERROR(__xludf.DUMMYFUNCTION("""COMPUTED_VALUE"""),"Gage")</f>
        <v>Gage</v>
      </c>
      <c r="E7742" t="str">
        <f>IFERROR(__xludf.DUMMYFUNCTION("""COMPUTED_VALUE"""),"Russell")</f>
        <v>Russell</v>
      </c>
      <c r="F7742" t="str">
        <f>IFERROR(__xludf.DUMMYFUNCTION("""COMPUTED_VALUE"""),"WR")</f>
        <v>WR</v>
      </c>
      <c r="G7742" t="str">
        <f>IFERROR(__xludf.DUMMYFUNCTION("""COMPUTED_VALUE"""),"")</f>
        <v/>
      </c>
    </row>
    <row r="7743">
      <c r="D7743" t="str">
        <f>IFERROR(__xludf.DUMMYFUNCTION("""COMPUTED_VALUE"""),"Gaillard")</f>
        <v>Gaillard</v>
      </c>
      <c r="E7743" t="str">
        <f>IFERROR(__xludf.DUMMYFUNCTION("""COMPUTED_VALUE"""),"Lamont")</f>
        <v>Lamont</v>
      </c>
      <c r="F7743" t="str">
        <f>IFERROR(__xludf.DUMMYFUNCTION("""COMPUTED_VALUE"""),"C")</f>
        <v>C</v>
      </c>
      <c r="G7743" t="str">
        <f>IFERROR(__xludf.DUMMYFUNCTION("""COMPUTED_VALUE"""),"")</f>
        <v/>
      </c>
    </row>
    <row r="7744">
      <c r="D7744" t="str">
        <f>IFERROR(__xludf.DUMMYFUNCTION("""COMPUTED_VALUE"""),"Gaines")</f>
        <v>Gaines</v>
      </c>
      <c r="E7744" t="str">
        <f>IFERROR(__xludf.DUMMYFUNCTION("""COMPUTED_VALUE"""),"EJ")</f>
        <v>EJ</v>
      </c>
      <c r="F7744" t="str">
        <f>IFERROR(__xludf.DUMMYFUNCTION("""COMPUTED_VALUE"""),"CB")</f>
        <v>CB</v>
      </c>
      <c r="G7744" t="str">
        <f>IFERROR(__xludf.DUMMYFUNCTION("""COMPUTED_VALUE"""),"")</f>
        <v/>
      </c>
    </row>
    <row r="7745">
      <c r="D7745" t="str">
        <f>IFERROR(__xludf.DUMMYFUNCTION("""COMPUTED_VALUE"""),"Gaines")</f>
        <v>Gaines</v>
      </c>
      <c r="E7745" t="str">
        <f>IFERROR(__xludf.DUMMYFUNCTION("""COMPUTED_VALUE"""),"Greg")</f>
        <v>Greg</v>
      </c>
      <c r="F7745" t="str">
        <f>IFERROR(__xludf.DUMMYFUNCTION("""COMPUTED_VALUE"""),"DT")</f>
        <v>DT</v>
      </c>
      <c r="G7745" t="str">
        <f>IFERROR(__xludf.DUMMYFUNCTION("""COMPUTED_VALUE"""),"")</f>
        <v/>
      </c>
    </row>
    <row r="7746">
      <c r="D7746" t="str">
        <f>IFERROR(__xludf.DUMMYFUNCTION("""COMPUTED_VALUE"""),"Gaines")</f>
        <v>Gaines</v>
      </c>
      <c r="E7746" t="str">
        <f>IFERROR(__xludf.DUMMYFUNCTION("""COMPUTED_VALUE"""),"Phillip")</f>
        <v>Phillip</v>
      </c>
      <c r="F7746" t="str">
        <f>IFERROR(__xludf.DUMMYFUNCTION("""COMPUTED_VALUE"""),"CB")</f>
        <v>CB</v>
      </c>
      <c r="G7746" t="str">
        <f>IFERROR(__xludf.DUMMYFUNCTION("""COMPUTED_VALUE"""),"")</f>
        <v/>
      </c>
    </row>
    <row r="7747">
      <c r="D7747" t="str">
        <f>IFERROR(__xludf.DUMMYFUNCTION("""COMPUTED_VALUE"""),"Gallman")</f>
        <v>Gallman</v>
      </c>
      <c r="E7747" t="str">
        <f>IFERROR(__xludf.DUMMYFUNCTION("""COMPUTED_VALUE"""),"Wayne")</f>
        <v>Wayne</v>
      </c>
      <c r="F7747" t="str">
        <f>IFERROR(__xludf.DUMMYFUNCTION("""COMPUTED_VALUE"""),"HB")</f>
        <v>HB</v>
      </c>
      <c r="G7747" t="str">
        <f>IFERROR(__xludf.DUMMYFUNCTION("""COMPUTED_VALUE"""),"")</f>
        <v/>
      </c>
    </row>
    <row r="7748">
      <c r="D7748" t="str">
        <f>IFERROR(__xludf.DUMMYFUNCTION("""COMPUTED_VALUE"""),"Gallup")</f>
        <v>Gallup</v>
      </c>
      <c r="E7748" t="str">
        <f>IFERROR(__xludf.DUMMYFUNCTION("""COMPUTED_VALUE"""),"Michael")</f>
        <v>Michael</v>
      </c>
      <c r="F7748" t="str">
        <f>IFERROR(__xludf.DUMMYFUNCTION("""COMPUTED_VALUE"""),"WR")</f>
        <v>WR</v>
      </c>
      <c r="G7748" t="str">
        <f>IFERROR(__xludf.DUMMYFUNCTION("""COMPUTED_VALUE"""),"")</f>
        <v/>
      </c>
    </row>
    <row r="7749">
      <c r="D7749" t="str">
        <f>IFERROR(__xludf.DUMMYFUNCTION("""COMPUTED_VALUE"""),"Gano")</f>
        <v>Gano</v>
      </c>
      <c r="E7749" t="str">
        <f>IFERROR(__xludf.DUMMYFUNCTION("""COMPUTED_VALUE"""),"Graham")</f>
        <v>Graham</v>
      </c>
      <c r="F7749" t="str">
        <f>IFERROR(__xludf.DUMMYFUNCTION("""COMPUTED_VALUE"""),"K")</f>
        <v>K</v>
      </c>
      <c r="G7749" t="str">
        <f>IFERROR(__xludf.DUMMYFUNCTION("""COMPUTED_VALUE"""),"")</f>
        <v/>
      </c>
    </row>
    <row r="7750">
      <c r="D7750" t="str">
        <f>IFERROR(__xludf.DUMMYFUNCTION("""COMPUTED_VALUE"""),"Garcia")</f>
        <v>Garcia</v>
      </c>
      <c r="E7750" t="str">
        <f>IFERROR(__xludf.DUMMYFUNCTION("""COMPUTED_VALUE"""),"Antonio")</f>
        <v>Antonio</v>
      </c>
      <c r="F7750" t="str">
        <f>IFERROR(__xludf.DUMMYFUNCTION("""COMPUTED_VALUE"""),"RT")</f>
        <v>RT</v>
      </c>
      <c r="G7750" t="str">
        <f>IFERROR(__xludf.DUMMYFUNCTION("""COMPUTED_VALUE"""),"")</f>
        <v/>
      </c>
    </row>
    <row r="7751">
      <c r="D7751" t="str">
        <f>IFERROR(__xludf.DUMMYFUNCTION("""COMPUTED_VALUE"""),"Garcia")</f>
        <v>Garcia</v>
      </c>
      <c r="E7751" t="str">
        <f>IFERROR(__xludf.DUMMYFUNCTION("""COMPUTED_VALUE"""),"Max")</f>
        <v>Max</v>
      </c>
      <c r="F7751" t="str">
        <f>IFERROR(__xludf.DUMMYFUNCTION("""COMPUTED_VALUE"""),"LG")</f>
        <v>LG</v>
      </c>
      <c r="G7751" t="str">
        <f>IFERROR(__xludf.DUMMYFUNCTION("""COMPUTED_VALUE"""),"")</f>
        <v/>
      </c>
    </row>
    <row r="7752">
      <c r="D7752" t="str">
        <f>IFERROR(__xludf.DUMMYFUNCTION("""COMPUTED_VALUE"""),"Gardeck")</f>
        <v>Gardeck</v>
      </c>
      <c r="E7752" t="str">
        <f>IFERROR(__xludf.DUMMYFUNCTION("""COMPUTED_VALUE"""),"Dennis")</f>
        <v>Dennis</v>
      </c>
      <c r="F7752" t="str">
        <f>IFERROR(__xludf.DUMMYFUNCTION("""COMPUTED_VALUE"""),"MLB")</f>
        <v>MLB</v>
      </c>
      <c r="G7752" t="str">
        <f>IFERROR(__xludf.DUMMYFUNCTION("""COMPUTED_VALUE"""),"")</f>
        <v/>
      </c>
    </row>
    <row r="7753">
      <c r="D7753" t="str">
        <f>IFERROR(__xludf.DUMMYFUNCTION("""COMPUTED_VALUE"""),"Gardner-Johnson")</f>
        <v>Gardner-Johnson</v>
      </c>
      <c r="E7753" t="str">
        <f>IFERROR(__xludf.DUMMYFUNCTION("""COMPUTED_VALUE"""),"Chauncey")</f>
        <v>Chauncey</v>
      </c>
      <c r="F7753" t="str">
        <f>IFERROR(__xludf.DUMMYFUNCTION("""COMPUTED_VALUE"""),"FS")</f>
        <v>FS</v>
      </c>
      <c r="G7753" t="str">
        <f>IFERROR(__xludf.DUMMYFUNCTION("""COMPUTED_VALUE"""),"")</f>
        <v/>
      </c>
    </row>
    <row r="7754">
      <c r="D7754" t="str">
        <f>IFERROR(__xludf.DUMMYFUNCTION("""COMPUTED_VALUE"""),"Garland")</f>
        <v>Garland</v>
      </c>
      <c r="E7754" t="str">
        <f>IFERROR(__xludf.DUMMYFUNCTION("""COMPUTED_VALUE"""),"Ben")</f>
        <v>Ben</v>
      </c>
      <c r="F7754" t="str">
        <f>IFERROR(__xludf.DUMMYFUNCTION("""COMPUTED_VALUE"""),"LG")</f>
        <v>LG</v>
      </c>
      <c r="G7754" t="str">
        <f>IFERROR(__xludf.DUMMYFUNCTION("""COMPUTED_VALUE"""),"")</f>
        <v/>
      </c>
    </row>
    <row r="7755">
      <c r="D7755" t="str">
        <f>IFERROR(__xludf.DUMMYFUNCTION("""COMPUTED_VALUE"""),"Garnett")</f>
        <v>Garnett</v>
      </c>
      <c r="E7755" t="str">
        <f>IFERROR(__xludf.DUMMYFUNCTION("""COMPUTED_VALUE"""),"Joshua")</f>
        <v>Joshua</v>
      </c>
      <c r="F7755" t="str">
        <f>IFERROR(__xludf.DUMMYFUNCTION("""COMPUTED_VALUE"""),"RG")</f>
        <v>RG</v>
      </c>
      <c r="G7755" t="str">
        <f>IFERROR(__xludf.DUMMYFUNCTION("""COMPUTED_VALUE"""),"")</f>
        <v/>
      </c>
    </row>
    <row r="7756">
      <c r="D7756" t="str">
        <f>IFERROR(__xludf.DUMMYFUNCTION("""COMPUTED_VALUE"""),"Garoppolo")</f>
        <v>Garoppolo</v>
      </c>
      <c r="E7756" t="str">
        <f>IFERROR(__xludf.DUMMYFUNCTION("""COMPUTED_VALUE"""),"Jimmy")</f>
        <v>Jimmy</v>
      </c>
      <c r="F7756" t="str">
        <f>IFERROR(__xludf.DUMMYFUNCTION("""COMPUTED_VALUE"""),"QB")</f>
        <v>QB</v>
      </c>
      <c r="G7756" t="str">
        <f>IFERROR(__xludf.DUMMYFUNCTION("""COMPUTED_VALUE"""),"")</f>
        <v/>
      </c>
    </row>
    <row r="7757">
      <c r="D7757" t="str">
        <f>IFERROR(__xludf.DUMMYFUNCTION("""COMPUTED_VALUE"""),"Garrett")</f>
        <v>Garrett</v>
      </c>
      <c r="E7757" t="str">
        <f>IFERROR(__xludf.DUMMYFUNCTION("""COMPUTED_VALUE"""),"Myles")</f>
        <v>Myles</v>
      </c>
      <c r="F7757" t="str">
        <f>IFERROR(__xludf.DUMMYFUNCTION("""COMPUTED_VALUE"""),"RE")</f>
        <v>RE</v>
      </c>
      <c r="G7757" t="str">
        <f>IFERROR(__xludf.DUMMYFUNCTION("""COMPUTED_VALUE"""),"")</f>
        <v/>
      </c>
    </row>
    <row r="7758">
      <c r="D7758" t="str">
        <f>IFERROR(__xludf.DUMMYFUNCTION("""COMPUTED_VALUE"""),"Gary")</f>
        <v>Gary</v>
      </c>
      <c r="E7758" t="str">
        <f>IFERROR(__xludf.DUMMYFUNCTION("""COMPUTED_VALUE"""),"Rashan")</f>
        <v>Rashan</v>
      </c>
      <c r="F7758" t="str">
        <f>IFERROR(__xludf.DUMMYFUNCTION("""COMPUTED_VALUE"""),"LE")</f>
        <v>LE</v>
      </c>
      <c r="G7758" t="str">
        <f>IFERROR(__xludf.DUMMYFUNCTION("""COMPUTED_VALUE"""),"")</f>
        <v/>
      </c>
    </row>
    <row r="7759">
      <c r="D7759" t="str">
        <f>IFERROR(__xludf.DUMMYFUNCTION("""COMPUTED_VALUE"""),"Gaskin")</f>
        <v>Gaskin</v>
      </c>
      <c r="E7759" t="str">
        <f>IFERROR(__xludf.DUMMYFUNCTION("""COMPUTED_VALUE"""),"Myles")</f>
        <v>Myles</v>
      </c>
      <c r="F7759" t="str">
        <f>IFERROR(__xludf.DUMMYFUNCTION("""COMPUTED_VALUE"""),"HB")</f>
        <v>HB</v>
      </c>
      <c r="G7759" t="str">
        <f>IFERROR(__xludf.DUMMYFUNCTION("""COMPUTED_VALUE"""),"")</f>
        <v/>
      </c>
    </row>
    <row r="7760">
      <c r="D7760" t="str">
        <f>IFERROR(__xludf.DUMMYFUNCTION("""COMPUTED_VALUE"""),"Gates")</f>
        <v>Gates</v>
      </c>
      <c r="E7760" t="str">
        <f>IFERROR(__xludf.DUMMYFUNCTION("""COMPUTED_VALUE"""),"Nick")</f>
        <v>Nick</v>
      </c>
      <c r="F7760" t="str">
        <f>IFERROR(__xludf.DUMMYFUNCTION("""COMPUTED_VALUE"""),"LT")</f>
        <v>LT</v>
      </c>
      <c r="G7760" t="str">
        <f>IFERROR(__xludf.DUMMYFUNCTION("""COMPUTED_VALUE"""),"")</f>
        <v/>
      </c>
    </row>
    <row r="7761">
      <c r="D7761" t="str">
        <f>IFERROR(__xludf.DUMMYFUNCTION("""COMPUTED_VALUE"""),"Gathers")</f>
        <v>Gathers</v>
      </c>
      <c r="E7761" t="str">
        <f>IFERROR(__xludf.DUMMYFUNCTION("""COMPUTED_VALUE"""),"Rico")</f>
        <v>Rico</v>
      </c>
      <c r="F7761" t="str">
        <f>IFERROR(__xludf.DUMMYFUNCTION("""COMPUTED_VALUE"""),"TE")</f>
        <v>TE</v>
      </c>
      <c r="G7761" t="str">
        <f>IFERROR(__xludf.DUMMYFUNCTION("""COMPUTED_VALUE"""),"")</f>
        <v/>
      </c>
    </row>
    <row r="7762">
      <c r="D7762" t="str">
        <f>IFERROR(__xludf.DUMMYFUNCTION("""COMPUTED_VALUE"""),"Gaulden")</f>
        <v>Gaulden</v>
      </c>
      <c r="E7762" t="str">
        <f>IFERROR(__xludf.DUMMYFUNCTION("""COMPUTED_VALUE"""),"Rashaan")</f>
        <v>Rashaan</v>
      </c>
      <c r="F7762" t="str">
        <f>IFERROR(__xludf.DUMMYFUNCTION("""COMPUTED_VALUE"""),"FS")</f>
        <v>FS</v>
      </c>
      <c r="G7762" t="str">
        <f>IFERROR(__xludf.DUMMYFUNCTION("""COMPUTED_VALUE"""),"")</f>
        <v/>
      </c>
    </row>
    <row r="7763">
      <c r="D7763" t="str">
        <f>IFERROR(__xludf.DUMMYFUNCTION("""COMPUTED_VALUE"""),"Gay")</f>
        <v>Gay</v>
      </c>
      <c r="E7763" t="str">
        <f>IFERROR(__xludf.DUMMYFUNCTION("""COMPUTED_VALUE"""),"Matt")</f>
        <v>Matt</v>
      </c>
      <c r="F7763" t="str">
        <f>IFERROR(__xludf.DUMMYFUNCTION("""COMPUTED_VALUE"""),"K")</f>
        <v>K</v>
      </c>
      <c r="G7763" t="str">
        <f>IFERROR(__xludf.DUMMYFUNCTION("""COMPUTED_VALUE"""),"")</f>
        <v/>
      </c>
    </row>
    <row r="7764">
      <c r="D7764" t="str">
        <f>IFERROR(__xludf.DUMMYFUNCTION("""COMPUTED_VALUE"""),"Geathers")</f>
        <v>Geathers</v>
      </c>
      <c r="E7764" t="str">
        <f>IFERROR(__xludf.DUMMYFUNCTION("""COMPUTED_VALUE"""),"Clayton")</f>
        <v>Clayton</v>
      </c>
      <c r="F7764" t="str">
        <f>IFERROR(__xludf.DUMMYFUNCTION("""COMPUTED_VALUE"""),"SS")</f>
        <v>SS</v>
      </c>
      <c r="G7764" t="str">
        <f>IFERROR(__xludf.DUMMYFUNCTION("""COMPUTED_VALUE"""),"")</f>
        <v/>
      </c>
    </row>
    <row r="7765">
      <c r="D7765" t="str">
        <f>IFERROR(__xludf.DUMMYFUNCTION("""COMPUTED_VALUE"""),"Gedeon")</f>
        <v>Gedeon</v>
      </c>
      <c r="E7765" t="str">
        <f>IFERROR(__xludf.DUMMYFUNCTION("""COMPUTED_VALUE"""),"Ben")</f>
        <v>Ben</v>
      </c>
      <c r="F7765" t="str">
        <f>IFERROR(__xludf.DUMMYFUNCTION("""COMPUTED_VALUE"""),"ROLB")</f>
        <v>ROLB</v>
      </c>
      <c r="G7765" t="str">
        <f>IFERROR(__xludf.DUMMYFUNCTION("""COMPUTED_VALUE"""),"")</f>
        <v/>
      </c>
    </row>
    <row r="7766">
      <c r="D7766" t="str">
        <f>IFERROR(__xludf.DUMMYFUNCTION("""COMPUTED_VALUE"""),"Gentry")</f>
        <v>Gentry</v>
      </c>
      <c r="E7766" t="str">
        <f>IFERROR(__xludf.DUMMYFUNCTION("""COMPUTED_VALUE"""),"Tanner")</f>
        <v>Tanner</v>
      </c>
      <c r="F7766" t="str">
        <f>IFERROR(__xludf.DUMMYFUNCTION("""COMPUTED_VALUE"""),"WR")</f>
        <v>WR</v>
      </c>
      <c r="G7766" t="str">
        <f>IFERROR(__xludf.DUMMYFUNCTION("""COMPUTED_VALUE"""),"")</f>
        <v/>
      </c>
    </row>
    <row r="7767">
      <c r="D7767" t="str">
        <f>IFERROR(__xludf.DUMMYFUNCTION("""COMPUTED_VALUE"""),"Gentry")</f>
        <v>Gentry</v>
      </c>
      <c r="E7767" t="str">
        <f>IFERROR(__xludf.DUMMYFUNCTION("""COMPUTED_VALUE"""),"Zach")</f>
        <v>Zach</v>
      </c>
      <c r="F7767" t="str">
        <f>IFERROR(__xludf.DUMMYFUNCTION("""COMPUTED_VALUE"""),"TE")</f>
        <v>TE</v>
      </c>
      <c r="G7767" t="str">
        <f>IFERROR(__xludf.DUMMYFUNCTION("""COMPUTED_VALUE"""),"")</f>
        <v/>
      </c>
    </row>
    <row r="7768">
      <c r="D7768" t="str">
        <f>IFERROR(__xludf.DUMMYFUNCTION("""COMPUTED_VALUE"""),"Gerry")</f>
        <v>Gerry</v>
      </c>
      <c r="E7768" t="str">
        <f>IFERROR(__xludf.DUMMYFUNCTION("""COMPUTED_VALUE"""),"Nathan")</f>
        <v>Nathan</v>
      </c>
      <c r="F7768" t="str">
        <f>IFERROR(__xludf.DUMMYFUNCTION("""COMPUTED_VALUE"""),"LOLB")</f>
        <v>LOLB</v>
      </c>
      <c r="G7768" t="str">
        <f>IFERROR(__xludf.DUMMYFUNCTION("""COMPUTED_VALUE"""),"")</f>
        <v/>
      </c>
    </row>
    <row r="7769">
      <c r="D7769" t="str">
        <f>IFERROR(__xludf.DUMMYFUNCTION("""COMPUTED_VALUE"""),"Gesicki")</f>
        <v>Gesicki</v>
      </c>
      <c r="E7769" t="str">
        <f>IFERROR(__xludf.DUMMYFUNCTION("""COMPUTED_VALUE"""),"Mike")</f>
        <v>Mike</v>
      </c>
      <c r="F7769" t="str">
        <f>IFERROR(__xludf.DUMMYFUNCTION("""COMPUTED_VALUE"""),"TE")</f>
        <v>TE</v>
      </c>
      <c r="G7769" t="str">
        <f>IFERROR(__xludf.DUMMYFUNCTION("""COMPUTED_VALUE"""),"")</f>
        <v/>
      </c>
    </row>
    <row r="7770">
      <c r="D7770" t="str">
        <f>IFERROR(__xludf.DUMMYFUNCTION("""COMPUTED_VALUE"""),"Gettis")</f>
        <v>Gettis</v>
      </c>
      <c r="E7770" t="str">
        <f>IFERROR(__xludf.DUMMYFUNCTION("""COMPUTED_VALUE"""),"Adam")</f>
        <v>Adam</v>
      </c>
      <c r="F7770" t="str">
        <f>IFERROR(__xludf.DUMMYFUNCTION("""COMPUTED_VALUE"""),"LG")</f>
        <v>LG</v>
      </c>
      <c r="G7770" t="str">
        <f>IFERROR(__xludf.DUMMYFUNCTION("""COMPUTED_VALUE"""),"")</f>
        <v/>
      </c>
    </row>
    <row r="7771">
      <c r="D7771" t="str">
        <f>IFERROR(__xludf.DUMMYFUNCTION("""COMPUTED_VALUE"""),"Gholston")</f>
        <v>Gholston</v>
      </c>
      <c r="E7771" t="str">
        <f>IFERROR(__xludf.DUMMYFUNCTION("""COMPUTED_VALUE"""),"William")</f>
        <v>William</v>
      </c>
      <c r="F7771" t="str">
        <f>IFERROR(__xludf.DUMMYFUNCTION("""COMPUTED_VALUE"""),"LE")</f>
        <v>LE</v>
      </c>
      <c r="G7771" t="str">
        <f>IFERROR(__xludf.DUMMYFUNCTION("""COMPUTED_VALUE"""),"")</f>
        <v/>
      </c>
    </row>
    <row r="7772">
      <c r="D7772" t="str">
        <f>IFERROR(__xludf.DUMMYFUNCTION("""COMPUTED_VALUE"""),"Gibson")</f>
        <v>Gibson</v>
      </c>
      <c r="E7772" t="str">
        <f>IFERROR(__xludf.DUMMYFUNCTION("""COMPUTED_VALUE"""),"Shelton")</f>
        <v>Shelton</v>
      </c>
      <c r="F7772" t="str">
        <f>IFERROR(__xludf.DUMMYFUNCTION("""COMPUTED_VALUE"""),"WR")</f>
        <v>WR</v>
      </c>
      <c r="G7772" t="str">
        <f>IFERROR(__xludf.DUMMYFUNCTION("""COMPUTED_VALUE"""),"")</f>
        <v/>
      </c>
    </row>
    <row r="7773">
      <c r="D7773" t="str">
        <f>IFERROR(__xludf.DUMMYFUNCTION("""COMPUTED_VALUE"""),"Gilbert")</f>
        <v>Gilbert</v>
      </c>
      <c r="E7773" t="str">
        <f>IFERROR(__xludf.DUMMYFUNCTION("""COMPUTED_VALUE"""),"Garrett")</f>
        <v>Garrett</v>
      </c>
      <c r="F7773" t="str">
        <f>IFERROR(__xludf.DUMMYFUNCTION("""COMPUTED_VALUE"""),"QB")</f>
        <v>QB</v>
      </c>
      <c r="G7773" t="str">
        <f>IFERROR(__xludf.DUMMYFUNCTION("""COMPUTED_VALUE"""),"")</f>
        <v/>
      </c>
    </row>
    <row r="7774">
      <c r="D7774" t="str">
        <f>IFERROR(__xludf.DUMMYFUNCTION("""COMPUTED_VALUE"""),"Gilbert")</f>
        <v>Gilbert</v>
      </c>
      <c r="E7774" t="str">
        <f>IFERROR(__xludf.DUMMYFUNCTION("""COMPUTED_VALUE"""),"Marcus")</f>
        <v>Marcus</v>
      </c>
      <c r="F7774" t="str">
        <f>IFERROR(__xludf.DUMMYFUNCTION("""COMPUTED_VALUE"""),"RT")</f>
        <v>RT</v>
      </c>
      <c r="G7774" t="str">
        <f>IFERROR(__xludf.DUMMYFUNCTION("""COMPUTED_VALUE"""),"")</f>
        <v/>
      </c>
    </row>
    <row r="7775">
      <c r="D7775" t="str">
        <f>IFERROR(__xludf.DUMMYFUNCTION("""COMPUTED_VALUE"""),"Gilbert")</f>
        <v>Gilbert</v>
      </c>
      <c r="E7775" t="str">
        <f>IFERROR(__xludf.DUMMYFUNCTION("""COMPUTED_VALUE"""),"Reggie")</f>
        <v>Reggie</v>
      </c>
      <c r="F7775" t="str">
        <f>IFERROR(__xludf.DUMMYFUNCTION("""COMPUTED_VALUE"""),"LOLB")</f>
        <v>LOLB</v>
      </c>
      <c r="G7775" t="str">
        <f>IFERROR(__xludf.DUMMYFUNCTION("""COMPUTED_VALUE"""),"")</f>
        <v/>
      </c>
    </row>
    <row r="7776">
      <c r="D7776" t="str">
        <f>IFERROR(__xludf.DUMMYFUNCTION("""COMPUTED_VALUE"""),"Gilbert")</f>
        <v>Gilbert</v>
      </c>
      <c r="E7776" t="str">
        <f>IFERROR(__xludf.DUMMYFUNCTION("""COMPUTED_VALUE"""),"Ulysees")</f>
        <v>Ulysees</v>
      </c>
      <c r="F7776" t="str">
        <f>IFERROR(__xludf.DUMMYFUNCTION("""COMPUTED_VALUE"""),"MLB")</f>
        <v>MLB</v>
      </c>
      <c r="G7776" t="str">
        <f>IFERROR(__xludf.DUMMYFUNCTION("""COMPUTED_VALUE"""),"")</f>
        <v/>
      </c>
    </row>
    <row r="7777">
      <c r="D7777" t="str">
        <f>IFERROR(__xludf.DUMMYFUNCTION("""COMPUTED_VALUE"""),"Giles-Harris")</f>
        <v>Giles-Harris</v>
      </c>
      <c r="E7777" t="str">
        <f>IFERROR(__xludf.DUMMYFUNCTION("""COMPUTED_VALUE"""),"Joe")</f>
        <v>Joe</v>
      </c>
      <c r="F7777" t="str">
        <f>IFERROR(__xludf.DUMMYFUNCTION("""COMPUTED_VALUE"""),"MLB")</f>
        <v>MLB</v>
      </c>
      <c r="G7777" t="str">
        <f>IFERROR(__xludf.DUMMYFUNCTION("""COMPUTED_VALUE"""),"")</f>
        <v/>
      </c>
    </row>
    <row r="7778">
      <c r="D7778" t="str">
        <f>IFERROR(__xludf.DUMMYFUNCTION("""COMPUTED_VALUE"""),"Gillaspia")</f>
        <v>Gillaspia</v>
      </c>
      <c r="E7778" t="str">
        <f>IFERROR(__xludf.DUMMYFUNCTION("""COMPUTED_VALUE"""),"Cullen")</f>
        <v>Cullen</v>
      </c>
      <c r="F7778" t="str">
        <f>IFERROR(__xludf.DUMMYFUNCTION("""COMPUTED_VALUE"""),"FB")</f>
        <v>FB</v>
      </c>
      <c r="G7778" t="str">
        <f>IFERROR(__xludf.DUMMYFUNCTION("""COMPUTED_VALUE"""),"")</f>
        <v/>
      </c>
    </row>
    <row r="7779">
      <c r="D7779" t="str">
        <f>IFERROR(__xludf.DUMMYFUNCTION("""COMPUTED_VALUE"""),"Gilmore")</f>
        <v>Gilmore</v>
      </c>
      <c r="E7779" t="str">
        <f>IFERROR(__xludf.DUMMYFUNCTION("""COMPUTED_VALUE"""),"Stephon")</f>
        <v>Stephon</v>
      </c>
      <c r="F7779" t="str">
        <f>IFERROR(__xludf.DUMMYFUNCTION("""COMPUTED_VALUE"""),"CB")</f>
        <v>CB</v>
      </c>
      <c r="G7779" t="str">
        <f>IFERROR(__xludf.DUMMYFUNCTION("""COMPUTED_VALUE"""),"")</f>
        <v/>
      </c>
    </row>
    <row r="7780">
      <c r="D7780" t="str">
        <f>IFERROR(__xludf.DUMMYFUNCTION("""COMPUTED_VALUE"""),"Ginn")</f>
        <v>Ginn</v>
      </c>
      <c r="E7780" t="str">
        <f>IFERROR(__xludf.DUMMYFUNCTION("""COMPUTED_VALUE"""),"Ted")</f>
        <v>Ted</v>
      </c>
      <c r="F7780" t="str">
        <f>IFERROR(__xludf.DUMMYFUNCTION("""COMPUTED_VALUE"""),"WR")</f>
        <v>WR</v>
      </c>
      <c r="G7780" t="str">
        <f>IFERROR(__xludf.DUMMYFUNCTION("""COMPUTED_VALUE"""),"")</f>
        <v/>
      </c>
    </row>
    <row r="7781">
      <c r="D7781" t="str">
        <f>IFERROR(__xludf.DUMMYFUNCTION("""COMPUTED_VALUE"""),"Gipson")</f>
        <v>Gipson</v>
      </c>
      <c r="E7781" t="str">
        <f>IFERROR(__xludf.DUMMYFUNCTION("""COMPUTED_VALUE"""),"Tashaun")</f>
        <v>Tashaun</v>
      </c>
      <c r="F7781" t="str">
        <f>IFERROR(__xludf.DUMMYFUNCTION("""COMPUTED_VALUE"""),"SS")</f>
        <v>SS</v>
      </c>
      <c r="G7781" t="str">
        <f>IFERROR(__xludf.DUMMYFUNCTION("""COMPUTED_VALUE"""),"")</f>
        <v/>
      </c>
    </row>
    <row r="7782">
      <c r="D7782" t="str">
        <f>IFERROR(__xludf.DUMMYFUNCTION("""COMPUTED_VALUE"""),"Glasgow")</f>
        <v>Glasgow</v>
      </c>
      <c r="E7782" t="str">
        <f>IFERROR(__xludf.DUMMYFUNCTION("""COMPUTED_VALUE"""),"Graham")</f>
        <v>Graham</v>
      </c>
      <c r="F7782" t="str">
        <f>IFERROR(__xludf.DUMMYFUNCTION("""COMPUTED_VALUE"""),"C")</f>
        <v>C</v>
      </c>
      <c r="G7782" t="str">
        <f>IFERROR(__xludf.DUMMYFUNCTION("""COMPUTED_VALUE"""),"")</f>
        <v/>
      </c>
    </row>
    <row r="7783">
      <c r="D7783" t="str">
        <f>IFERROR(__xludf.DUMMYFUNCTION("""COMPUTED_VALUE"""),"Glasgow")</f>
        <v>Glasgow</v>
      </c>
      <c r="E7783" t="str">
        <f>IFERROR(__xludf.DUMMYFUNCTION("""COMPUTED_VALUE"""),"Ryan")</f>
        <v>Ryan</v>
      </c>
      <c r="F7783" t="str">
        <f>IFERROR(__xludf.DUMMYFUNCTION("""COMPUTED_VALUE"""),"DT")</f>
        <v>DT</v>
      </c>
      <c r="G7783" t="str">
        <f>IFERROR(__xludf.DUMMYFUNCTION("""COMPUTED_VALUE"""),"")</f>
        <v/>
      </c>
    </row>
    <row r="7784">
      <c r="D7784" t="str">
        <f>IFERROR(__xludf.DUMMYFUNCTION("""COMPUTED_VALUE"""),"Glenn")</f>
        <v>Glenn</v>
      </c>
      <c r="E7784" t="str">
        <f>IFERROR(__xludf.DUMMYFUNCTION("""COMPUTED_VALUE"""),"Cordy")</f>
        <v>Cordy</v>
      </c>
      <c r="F7784" t="str">
        <f>IFERROR(__xludf.DUMMYFUNCTION("""COMPUTED_VALUE"""),"LG")</f>
        <v>LG</v>
      </c>
      <c r="G7784" t="str">
        <f>IFERROR(__xludf.DUMMYFUNCTION("""COMPUTED_VALUE"""),"")</f>
        <v/>
      </c>
    </row>
    <row r="7785">
      <c r="D7785" t="str">
        <f>IFERROR(__xludf.DUMMYFUNCTION("""COMPUTED_VALUE"""),"Glennon")</f>
        <v>Glennon</v>
      </c>
      <c r="E7785" t="str">
        <f>IFERROR(__xludf.DUMMYFUNCTION("""COMPUTED_VALUE"""),"Mike")</f>
        <v>Mike</v>
      </c>
      <c r="F7785" t="str">
        <f>IFERROR(__xludf.DUMMYFUNCTION("""COMPUTED_VALUE"""),"QB")</f>
        <v>QB</v>
      </c>
      <c r="G7785" t="str">
        <f>IFERROR(__xludf.DUMMYFUNCTION("""COMPUTED_VALUE"""),"")</f>
        <v/>
      </c>
    </row>
    <row r="7786">
      <c r="D7786" t="str">
        <f>IFERROR(__xludf.DUMMYFUNCTION("""COMPUTED_VALUE"""),"Glowinski")</f>
        <v>Glowinski</v>
      </c>
      <c r="E7786" t="str">
        <f>IFERROR(__xludf.DUMMYFUNCTION("""COMPUTED_VALUE"""),"Mark")</f>
        <v>Mark</v>
      </c>
      <c r="F7786" t="str">
        <f>IFERROR(__xludf.DUMMYFUNCTION("""COMPUTED_VALUE"""),"RG")</f>
        <v>RG</v>
      </c>
      <c r="G7786" t="str">
        <f>IFERROR(__xludf.DUMMYFUNCTION("""COMPUTED_VALUE"""),"")</f>
        <v/>
      </c>
    </row>
    <row r="7787">
      <c r="D7787" t="str">
        <f>IFERROR(__xludf.DUMMYFUNCTION("""COMPUTED_VALUE"""),"Godchaux")</f>
        <v>Godchaux</v>
      </c>
      <c r="E7787" t="str">
        <f>IFERROR(__xludf.DUMMYFUNCTION("""COMPUTED_VALUE"""),"Davon")</f>
        <v>Davon</v>
      </c>
      <c r="F7787" t="str">
        <f>IFERROR(__xludf.DUMMYFUNCTION("""COMPUTED_VALUE"""),"DT")</f>
        <v>DT</v>
      </c>
      <c r="G7787" t="str">
        <f>IFERROR(__xludf.DUMMYFUNCTION("""COMPUTED_VALUE"""),"")</f>
        <v/>
      </c>
    </row>
    <row r="7788">
      <c r="D7788" t="str">
        <f>IFERROR(__xludf.DUMMYFUNCTION("""COMPUTED_VALUE"""),"Godwin")</f>
        <v>Godwin</v>
      </c>
      <c r="E7788" t="str">
        <f>IFERROR(__xludf.DUMMYFUNCTION("""COMPUTED_VALUE"""),"Chris")</f>
        <v>Chris</v>
      </c>
      <c r="F7788" t="str">
        <f>IFERROR(__xludf.DUMMYFUNCTION("""COMPUTED_VALUE"""),"WR")</f>
        <v>WR</v>
      </c>
      <c r="G7788" t="str">
        <f>IFERROR(__xludf.DUMMYFUNCTION("""COMPUTED_VALUE"""),"")</f>
        <v/>
      </c>
    </row>
    <row r="7789">
      <c r="D7789" t="str">
        <f>IFERROR(__xludf.DUMMYFUNCTION("""COMPUTED_VALUE"""),"Godwin")</f>
        <v>Godwin</v>
      </c>
      <c r="E7789" t="str">
        <f>IFERROR(__xludf.DUMMYFUNCTION("""COMPUTED_VALUE"""),"Terry")</f>
        <v>Terry</v>
      </c>
      <c r="F7789" t="str">
        <f>IFERROR(__xludf.DUMMYFUNCTION("""COMPUTED_VALUE"""),"WR")</f>
        <v>WR</v>
      </c>
      <c r="G7789" t="str">
        <f>IFERROR(__xludf.DUMMYFUNCTION("""COMPUTED_VALUE"""),"")</f>
        <v/>
      </c>
    </row>
    <row r="7790">
      <c r="D7790" t="str">
        <f>IFERROR(__xludf.DUMMYFUNCTION("""COMPUTED_VALUE"""),"Goedert")</f>
        <v>Goedert</v>
      </c>
      <c r="E7790" t="str">
        <f>IFERROR(__xludf.DUMMYFUNCTION("""COMPUTED_VALUE"""),"Dallas")</f>
        <v>Dallas</v>
      </c>
      <c r="F7790" t="str">
        <f>IFERROR(__xludf.DUMMYFUNCTION("""COMPUTED_VALUE"""),"TE")</f>
        <v>TE</v>
      </c>
      <c r="G7790" t="str">
        <f>IFERROR(__xludf.DUMMYFUNCTION("""COMPUTED_VALUE"""),"")</f>
        <v/>
      </c>
    </row>
    <row r="7791">
      <c r="D7791" t="str">
        <f>IFERROR(__xludf.DUMMYFUNCTION("""COMPUTED_VALUE"""),"Goff")</f>
        <v>Goff</v>
      </c>
      <c r="E7791" t="str">
        <f>IFERROR(__xludf.DUMMYFUNCTION("""COMPUTED_VALUE"""),"Jared")</f>
        <v>Jared</v>
      </c>
      <c r="F7791" t="str">
        <f>IFERROR(__xludf.DUMMYFUNCTION("""COMPUTED_VALUE"""),"QB")</f>
        <v>QB</v>
      </c>
      <c r="G7791" t="str">
        <f>IFERROR(__xludf.DUMMYFUNCTION("""COMPUTED_VALUE"""),"")</f>
        <v/>
      </c>
    </row>
    <row r="7792">
      <c r="D7792" t="str">
        <f>IFERROR(__xludf.DUMMYFUNCTION("""COMPUTED_VALUE"""),"Golden")</f>
        <v>Golden</v>
      </c>
      <c r="E7792" t="str">
        <f>IFERROR(__xludf.DUMMYFUNCTION("""COMPUTED_VALUE"""),"Markus")</f>
        <v>Markus</v>
      </c>
      <c r="F7792" t="str">
        <f>IFERROR(__xludf.DUMMYFUNCTION("""COMPUTED_VALUE"""),"LOLB")</f>
        <v>LOLB</v>
      </c>
      <c r="G7792" t="str">
        <f>IFERROR(__xludf.DUMMYFUNCTION("""COMPUTED_VALUE"""),"")</f>
        <v/>
      </c>
    </row>
    <row r="7793">
      <c r="D7793" t="str">
        <f>IFERROR(__xludf.DUMMYFUNCTION("""COMPUTED_VALUE"""),"Golditch")</f>
        <v>Golditch</v>
      </c>
      <c r="E7793" t="str">
        <f>IFERROR(__xludf.DUMMYFUNCTION("""COMPUTED_VALUE"""),"Zack")</f>
        <v>Zack</v>
      </c>
      <c r="F7793" t="str">
        <f>IFERROR(__xludf.DUMMYFUNCTION("""COMPUTED_VALUE"""),"RT")</f>
        <v>RT</v>
      </c>
      <c r="G7793" t="str">
        <f>IFERROR(__xludf.DUMMYFUNCTION("""COMPUTED_VALUE"""),"")</f>
        <v/>
      </c>
    </row>
    <row r="7794">
      <c r="D7794" t="str">
        <f>IFERROR(__xludf.DUMMYFUNCTION("""COMPUTED_VALUE"""),"Goldman")</f>
        <v>Goldman</v>
      </c>
      <c r="E7794" t="str">
        <f>IFERROR(__xludf.DUMMYFUNCTION("""COMPUTED_VALUE"""),"Eddie")</f>
        <v>Eddie</v>
      </c>
      <c r="F7794" t="str">
        <f>IFERROR(__xludf.DUMMYFUNCTION("""COMPUTED_VALUE"""),"DT")</f>
        <v>DT</v>
      </c>
      <c r="G7794" t="str">
        <f>IFERROR(__xludf.DUMMYFUNCTION("""COMPUTED_VALUE"""),"")</f>
        <v/>
      </c>
    </row>
    <row r="7795">
      <c r="D7795" t="str">
        <f>IFERROR(__xludf.DUMMYFUNCTION("""COMPUTED_VALUE"""),"Golladay")</f>
        <v>Golladay</v>
      </c>
      <c r="E7795" t="str">
        <f>IFERROR(__xludf.DUMMYFUNCTION("""COMPUTED_VALUE"""),"Kenny")</f>
        <v>Kenny</v>
      </c>
      <c r="F7795" t="str">
        <f>IFERROR(__xludf.DUMMYFUNCTION("""COMPUTED_VALUE"""),"WR")</f>
        <v>WR</v>
      </c>
      <c r="G7795" t="str">
        <f>IFERROR(__xludf.DUMMYFUNCTION("""COMPUTED_VALUE"""),"")</f>
        <v/>
      </c>
    </row>
    <row r="7796">
      <c r="D7796" t="str">
        <f>IFERROR(__xludf.DUMMYFUNCTION("""COMPUTED_VALUE"""),"Gono")</f>
        <v>Gono</v>
      </c>
      <c r="E7796" t="str">
        <f>IFERROR(__xludf.DUMMYFUNCTION("""COMPUTED_VALUE"""),"Matt")</f>
        <v>Matt</v>
      </c>
      <c r="F7796" t="str">
        <f>IFERROR(__xludf.DUMMYFUNCTION("""COMPUTED_VALUE"""),"RT")</f>
        <v>RT</v>
      </c>
      <c r="G7796" t="str">
        <f>IFERROR(__xludf.DUMMYFUNCTION("""COMPUTED_VALUE"""),"")</f>
        <v/>
      </c>
    </row>
    <row r="7797">
      <c r="D7797" t="str">
        <f>IFERROR(__xludf.DUMMYFUNCTION("""COMPUTED_VALUE"""),"Gonzalez")</f>
        <v>Gonzalez</v>
      </c>
      <c r="E7797" t="str">
        <f>IFERROR(__xludf.DUMMYFUNCTION("""COMPUTED_VALUE"""),"Zane")</f>
        <v>Zane</v>
      </c>
      <c r="F7797" t="str">
        <f>IFERROR(__xludf.DUMMYFUNCTION("""COMPUTED_VALUE"""),"K")</f>
        <v>K</v>
      </c>
      <c r="G7797" t="str">
        <f>IFERROR(__xludf.DUMMYFUNCTION("""COMPUTED_VALUE"""),"")</f>
        <v/>
      </c>
    </row>
    <row r="7798">
      <c r="D7798" t="str">
        <f>IFERROR(__xludf.DUMMYFUNCTION("""COMPUTED_VALUE"""),"Good")</f>
        <v>Good</v>
      </c>
      <c r="E7798" t="str">
        <f>IFERROR(__xludf.DUMMYFUNCTION("""COMPUTED_VALUE"""),"Denzelle")</f>
        <v>Denzelle</v>
      </c>
      <c r="F7798" t="str">
        <f>IFERROR(__xludf.DUMMYFUNCTION("""COMPUTED_VALUE"""),"RT")</f>
        <v>RT</v>
      </c>
      <c r="G7798" t="str">
        <f>IFERROR(__xludf.DUMMYFUNCTION("""COMPUTED_VALUE"""),"")</f>
        <v/>
      </c>
    </row>
    <row r="7799">
      <c r="D7799" t="str">
        <f>IFERROR(__xludf.DUMMYFUNCTION("""COMPUTED_VALUE"""),"Goode")</f>
        <v>Goode</v>
      </c>
      <c r="E7799" t="str">
        <f>IFERROR(__xludf.DUMMYFUNCTION("""COMPUTED_VALUE"""),"Najee")</f>
        <v>Najee</v>
      </c>
      <c r="F7799" t="str">
        <f>IFERROR(__xludf.DUMMYFUNCTION("""COMPUTED_VALUE"""),"MLB")</f>
        <v>MLB</v>
      </c>
      <c r="G7799" t="str">
        <f>IFERROR(__xludf.DUMMYFUNCTION("""COMPUTED_VALUE"""),"")</f>
        <v/>
      </c>
    </row>
    <row r="7800">
      <c r="D7800" t="str">
        <f>IFERROR(__xludf.DUMMYFUNCTION("""COMPUTED_VALUE"""),"Goodson")</f>
        <v>Goodson</v>
      </c>
      <c r="E7800" t="str">
        <f>IFERROR(__xludf.DUMMYFUNCTION("""COMPUTED_VALUE"""),"BJ")</f>
        <v>BJ</v>
      </c>
      <c r="F7800" t="str">
        <f>IFERROR(__xludf.DUMMYFUNCTION("""COMPUTED_VALUE"""),"MLB")</f>
        <v>MLB</v>
      </c>
      <c r="G7800" t="str">
        <f>IFERROR(__xludf.DUMMYFUNCTION("""COMPUTED_VALUE"""),"")</f>
        <v/>
      </c>
    </row>
    <row r="7801">
      <c r="D7801" t="str">
        <f>IFERROR(__xludf.DUMMYFUNCTION("""COMPUTED_VALUE"""),"Goodwin")</f>
        <v>Goodwin</v>
      </c>
      <c r="E7801" t="str">
        <f>IFERROR(__xludf.DUMMYFUNCTION("""COMPUTED_VALUE"""),"CJ")</f>
        <v>CJ</v>
      </c>
      <c r="F7801" t="str">
        <f>IFERROR(__xludf.DUMMYFUNCTION("""COMPUTED_VALUE"""),"CB")</f>
        <v>CB</v>
      </c>
      <c r="G7801" t="str">
        <f>IFERROR(__xludf.DUMMYFUNCTION("""COMPUTED_VALUE"""),"")</f>
        <v/>
      </c>
    </row>
    <row r="7802">
      <c r="D7802" t="str">
        <f>IFERROR(__xludf.DUMMYFUNCTION("""COMPUTED_VALUE"""),"Goodwin")</f>
        <v>Goodwin</v>
      </c>
      <c r="E7802" t="str">
        <f>IFERROR(__xludf.DUMMYFUNCTION("""COMPUTED_VALUE"""),"Marquise")</f>
        <v>Marquise</v>
      </c>
      <c r="F7802" t="str">
        <f>IFERROR(__xludf.DUMMYFUNCTION("""COMPUTED_VALUE"""),"WR")</f>
        <v>WR</v>
      </c>
      <c r="G7802" t="str">
        <f>IFERROR(__xludf.DUMMYFUNCTION("""COMPUTED_VALUE"""),"")</f>
        <v/>
      </c>
    </row>
    <row r="7803">
      <c r="D7803" t="str">
        <f>IFERROR(__xludf.DUMMYFUNCTION("""COMPUTED_VALUE"""),"Gordon")</f>
        <v>Gordon</v>
      </c>
      <c r="E7803" t="str">
        <f>IFERROR(__xludf.DUMMYFUNCTION("""COMPUTED_VALUE"""),"Dillon")</f>
        <v>Dillon</v>
      </c>
      <c r="F7803" t="str">
        <f>IFERROR(__xludf.DUMMYFUNCTION("""COMPUTED_VALUE"""),"LT")</f>
        <v>LT</v>
      </c>
      <c r="G7803" t="str">
        <f>IFERROR(__xludf.DUMMYFUNCTION("""COMPUTED_VALUE"""),"")</f>
        <v/>
      </c>
    </row>
    <row r="7804">
      <c r="D7804" t="str">
        <f>IFERROR(__xludf.DUMMYFUNCTION("""COMPUTED_VALUE"""),"Gordon")</f>
        <v>Gordon</v>
      </c>
      <c r="E7804" t="str">
        <f>IFERROR(__xludf.DUMMYFUNCTION("""COMPUTED_VALUE"""),"Josh")</f>
        <v>Josh</v>
      </c>
      <c r="F7804" t="str">
        <f>IFERROR(__xludf.DUMMYFUNCTION("""COMPUTED_VALUE"""),"WR")</f>
        <v>WR</v>
      </c>
      <c r="G7804" t="str">
        <f>IFERROR(__xludf.DUMMYFUNCTION("""COMPUTED_VALUE"""),"")</f>
        <v/>
      </c>
    </row>
    <row r="7805">
      <c r="D7805" t="str">
        <f>IFERROR(__xludf.DUMMYFUNCTION("""COMPUTED_VALUE"""),"Gordon")</f>
        <v>Gordon</v>
      </c>
      <c r="E7805" t="str">
        <f>IFERROR(__xludf.DUMMYFUNCTION("""COMPUTED_VALUE"""),"Melvin")</f>
        <v>Melvin</v>
      </c>
      <c r="F7805" t="str">
        <f>IFERROR(__xludf.DUMMYFUNCTION("""COMPUTED_VALUE"""),"HB")</f>
        <v>HB</v>
      </c>
      <c r="G7805" t="str">
        <f>IFERROR(__xludf.DUMMYFUNCTION("""COMPUTED_VALUE"""),"")</f>
        <v/>
      </c>
    </row>
    <row r="7806">
      <c r="D7806" t="str">
        <f>IFERROR(__xludf.DUMMYFUNCTION("""COMPUTED_VALUE"""),"Gore")</f>
        <v>Gore</v>
      </c>
      <c r="E7806" t="str">
        <f>IFERROR(__xludf.DUMMYFUNCTION("""COMPUTED_VALUE"""),"Frank")</f>
        <v>Frank</v>
      </c>
      <c r="F7806" t="str">
        <f>IFERROR(__xludf.DUMMYFUNCTION("""COMPUTED_VALUE"""),"HB")</f>
        <v>HB</v>
      </c>
      <c r="G7806" t="str">
        <f>IFERROR(__xludf.DUMMYFUNCTION("""COMPUTED_VALUE"""),"")</f>
        <v/>
      </c>
    </row>
    <row r="7807">
      <c r="D7807" t="str">
        <f>IFERROR(__xludf.DUMMYFUNCTION("""COMPUTED_VALUE"""),"Gossett")</f>
        <v>Gossett</v>
      </c>
      <c r="E7807" t="str">
        <f>IFERROR(__xludf.DUMMYFUNCTION("""COMPUTED_VALUE"""),"Colby")</f>
        <v>Colby</v>
      </c>
      <c r="F7807" t="str">
        <f>IFERROR(__xludf.DUMMYFUNCTION("""COMPUTED_VALUE"""),"RG")</f>
        <v>RG</v>
      </c>
      <c r="G7807" t="str">
        <f>IFERROR(__xludf.DUMMYFUNCTION("""COMPUTED_VALUE"""),"")</f>
        <v/>
      </c>
    </row>
    <row r="7808">
      <c r="D7808" t="str">
        <f>IFERROR(__xludf.DUMMYFUNCTION("""COMPUTED_VALUE"""),"Gostkowski")</f>
        <v>Gostkowski</v>
      </c>
      <c r="E7808" t="str">
        <f>IFERROR(__xludf.DUMMYFUNCTION("""COMPUTED_VALUE"""),"Stephen")</f>
        <v>Stephen</v>
      </c>
      <c r="F7808" t="str">
        <f>IFERROR(__xludf.DUMMYFUNCTION("""COMPUTED_VALUE"""),"K")</f>
        <v>K</v>
      </c>
      <c r="G7808" t="str">
        <f>IFERROR(__xludf.DUMMYFUNCTION("""COMPUTED_VALUE"""),"")</f>
        <v/>
      </c>
    </row>
    <row r="7809">
      <c r="D7809" t="str">
        <f>IFERROR(__xludf.DUMMYFUNCTION("""COMPUTED_VALUE"""),"Gotsis")</f>
        <v>Gotsis</v>
      </c>
      <c r="E7809" t="str">
        <f>IFERROR(__xludf.DUMMYFUNCTION("""COMPUTED_VALUE"""),"Adam")</f>
        <v>Adam</v>
      </c>
      <c r="F7809" t="str">
        <f>IFERROR(__xludf.DUMMYFUNCTION("""COMPUTED_VALUE"""),"RE")</f>
        <v>RE</v>
      </c>
      <c r="G7809" t="str">
        <f>IFERROR(__xludf.DUMMYFUNCTION("""COMPUTED_VALUE"""),"")</f>
        <v/>
      </c>
    </row>
    <row r="7810">
      <c r="D7810" t="str">
        <f>IFERROR(__xludf.DUMMYFUNCTION("""COMPUTED_VALUE"""),"Gould")</f>
        <v>Gould</v>
      </c>
      <c r="E7810" t="str">
        <f>IFERROR(__xludf.DUMMYFUNCTION("""COMPUTED_VALUE"""),"Robbie")</f>
        <v>Robbie</v>
      </c>
      <c r="F7810" t="str">
        <f>IFERROR(__xludf.DUMMYFUNCTION("""COMPUTED_VALUE"""),"K")</f>
        <v>K</v>
      </c>
      <c r="G7810" t="str">
        <f>IFERROR(__xludf.DUMMYFUNCTION("""COMPUTED_VALUE"""),"")</f>
        <v/>
      </c>
    </row>
    <row r="7811">
      <c r="D7811" t="str">
        <f>IFERROR(__xludf.DUMMYFUNCTION("""COMPUTED_VALUE"""),"Grace")</f>
        <v>Grace</v>
      </c>
      <c r="E7811" t="str">
        <f>IFERROR(__xludf.DUMMYFUNCTION("""COMPUTED_VALUE"""),"Jermaine")</f>
        <v>Jermaine</v>
      </c>
      <c r="F7811" t="str">
        <f>IFERROR(__xludf.DUMMYFUNCTION("""COMPUTED_VALUE"""),"ROLB")</f>
        <v>ROLB</v>
      </c>
      <c r="G7811" t="str">
        <f>IFERROR(__xludf.DUMMYFUNCTION("""COMPUTED_VALUE"""),"")</f>
        <v/>
      </c>
    </row>
    <row r="7812">
      <c r="D7812" t="str">
        <f>IFERROR(__xludf.DUMMYFUNCTION("""COMPUTED_VALUE"""),"Graham")</f>
        <v>Graham</v>
      </c>
      <c r="E7812" t="str">
        <f>IFERROR(__xludf.DUMMYFUNCTION("""COMPUTED_VALUE"""),"Brandon")</f>
        <v>Brandon</v>
      </c>
      <c r="F7812" t="str">
        <f>IFERROR(__xludf.DUMMYFUNCTION("""COMPUTED_VALUE"""),"RE")</f>
        <v>RE</v>
      </c>
      <c r="G7812" t="str">
        <f>IFERROR(__xludf.DUMMYFUNCTION("""COMPUTED_VALUE"""),"")</f>
        <v/>
      </c>
    </row>
    <row r="7813">
      <c r="D7813" t="str">
        <f>IFERROR(__xludf.DUMMYFUNCTION("""COMPUTED_VALUE"""),"Graham")</f>
        <v>Graham</v>
      </c>
      <c r="E7813" t="str">
        <f>IFERROR(__xludf.DUMMYFUNCTION("""COMPUTED_VALUE"""),"Jimmy")</f>
        <v>Jimmy</v>
      </c>
      <c r="F7813" t="str">
        <f>IFERROR(__xludf.DUMMYFUNCTION("""COMPUTED_VALUE"""),"TE")</f>
        <v>TE</v>
      </c>
      <c r="G7813" t="str">
        <f>IFERROR(__xludf.DUMMYFUNCTION("""COMPUTED_VALUE"""),"")</f>
        <v/>
      </c>
    </row>
    <row r="7814">
      <c r="D7814" t="str">
        <f>IFERROR(__xludf.DUMMYFUNCTION("""COMPUTED_VALUE"""),"Granderson")</f>
        <v>Granderson</v>
      </c>
      <c r="E7814" t="str">
        <f>IFERROR(__xludf.DUMMYFUNCTION("""COMPUTED_VALUE"""),"Carl")</f>
        <v>Carl</v>
      </c>
      <c r="F7814" t="str">
        <f>IFERROR(__xludf.DUMMYFUNCTION("""COMPUTED_VALUE"""),"LE")</f>
        <v>LE</v>
      </c>
      <c r="G7814" t="str">
        <f>IFERROR(__xludf.DUMMYFUNCTION("""COMPUTED_VALUE"""),"")</f>
        <v/>
      </c>
    </row>
    <row r="7815">
      <c r="D7815" t="str">
        <f>IFERROR(__xludf.DUMMYFUNCTION("""COMPUTED_VALUE"""),"Grant")</f>
        <v>Grant</v>
      </c>
      <c r="E7815" t="str">
        <f>IFERROR(__xludf.DUMMYFUNCTION("""COMPUTED_VALUE"""),"Jakeem")</f>
        <v>Jakeem</v>
      </c>
      <c r="F7815" t="str">
        <f>IFERROR(__xludf.DUMMYFUNCTION("""COMPUTED_VALUE"""),"WR")</f>
        <v>WR</v>
      </c>
      <c r="G7815" t="str">
        <f>IFERROR(__xludf.DUMMYFUNCTION("""COMPUTED_VALUE"""),"")</f>
        <v/>
      </c>
    </row>
    <row r="7816">
      <c r="D7816" t="str">
        <f>IFERROR(__xludf.DUMMYFUNCTION("""COMPUTED_VALUE"""),"Grant")</f>
        <v>Grant</v>
      </c>
      <c r="E7816" t="str">
        <f>IFERROR(__xludf.DUMMYFUNCTION("""COMPUTED_VALUE"""),"Ryan")</f>
        <v>Ryan</v>
      </c>
      <c r="F7816" t="str">
        <f>IFERROR(__xludf.DUMMYFUNCTION("""COMPUTED_VALUE"""),"WR")</f>
        <v>WR</v>
      </c>
      <c r="G7816" t="str">
        <f>IFERROR(__xludf.DUMMYFUNCTION("""COMPUTED_VALUE"""),"")</f>
        <v/>
      </c>
    </row>
    <row r="7817">
      <c r="D7817" t="str">
        <f>IFERROR(__xludf.DUMMYFUNCTION("""COMPUTED_VALUE"""),"Grasu")</f>
        <v>Grasu</v>
      </c>
      <c r="E7817" t="str">
        <f>IFERROR(__xludf.DUMMYFUNCTION("""COMPUTED_VALUE"""),"Hroniss")</f>
        <v>Hroniss</v>
      </c>
      <c r="F7817" t="str">
        <f>IFERROR(__xludf.DUMMYFUNCTION("""COMPUTED_VALUE"""),"C")</f>
        <v>C</v>
      </c>
      <c r="G7817" t="str">
        <f>IFERROR(__xludf.DUMMYFUNCTION("""COMPUTED_VALUE"""),"")</f>
        <v/>
      </c>
    </row>
    <row r="7818">
      <c r="D7818" t="str">
        <f>IFERROR(__xludf.DUMMYFUNCTION("""COMPUTED_VALUE"""),"Gray")</f>
        <v>Gray</v>
      </c>
      <c r="E7818" t="str">
        <f>IFERROR(__xludf.DUMMYFUNCTION("""COMPUTED_VALUE"""),"Alex")</f>
        <v>Alex</v>
      </c>
      <c r="F7818" t="str">
        <f>IFERROR(__xludf.DUMMYFUNCTION("""COMPUTED_VALUE"""),"TE")</f>
        <v>TE</v>
      </c>
      <c r="G7818" t="str">
        <f>IFERROR(__xludf.DUMMYFUNCTION("""COMPUTED_VALUE"""),"")</f>
        <v/>
      </c>
    </row>
    <row r="7819">
      <c r="D7819" t="str">
        <f>IFERROR(__xludf.DUMMYFUNCTION("""COMPUTED_VALUE"""),"Gray")</f>
        <v>Gray</v>
      </c>
      <c r="E7819" t="str">
        <f>IFERROR(__xludf.DUMMYFUNCTION("""COMPUTED_VALUE"""),"Derwin")</f>
        <v>Derwin</v>
      </c>
      <c r="F7819" t="str">
        <f>IFERROR(__xludf.DUMMYFUNCTION("""COMPUTED_VALUE"""),"LT")</f>
        <v>LT</v>
      </c>
      <c r="G7819" t="str">
        <f>IFERROR(__xludf.DUMMYFUNCTION("""COMPUTED_VALUE"""),"")</f>
        <v/>
      </c>
    </row>
    <row r="7820">
      <c r="D7820" t="str">
        <f>IFERROR(__xludf.DUMMYFUNCTION("""COMPUTED_VALUE"""),"Gray")</f>
        <v>Gray</v>
      </c>
      <c r="E7820" t="str">
        <f>IFERROR(__xludf.DUMMYFUNCTION("""COMPUTED_VALUE"""),"Devin")</f>
        <v>Devin</v>
      </c>
      <c r="F7820" t="str">
        <f>IFERROR(__xludf.DUMMYFUNCTION("""COMPUTED_VALUE"""),"WR")</f>
        <v>WR</v>
      </c>
      <c r="G7820" t="str">
        <f>IFERROR(__xludf.DUMMYFUNCTION("""COMPUTED_VALUE"""),"")</f>
        <v/>
      </c>
    </row>
    <row r="7821">
      <c r="D7821" t="str">
        <f>IFERROR(__xludf.DUMMYFUNCTION("""COMPUTED_VALUE"""),"Gray")</f>
        <v>Gray</v>
      </c>
      <c r="E7821" t="str">
        <f>IFERROR(__xludf.DUMMYFUNCTION("""COMPUTED_VALUE"""),"JT")</f>
        <v>JT</v>
      </c>
      <c r="F7821" t="str">
        <f>IFERROR(__xludf.DUMMYFUNCTION("""COMPUTED_VALUE"""),"SS")</f>
        <v>SS</v>
      </c>
      <c r="G7821" t="str">
        <f>IFERROR(__xludf.DUMMYFUNCTION("""COMPUTED_VALUE"""),"")</f>
        <v/>
      </c>
    </row>
    <row r="7822">
      <c r="D7822" t="str">
        <f>IFERROR(__xludf.DUMMYFUNCTION("""COMPUTED_VALUE"""),"Green")</f>
        <v>Green</v>
      </c>
      <c r="E7822" t="str">
        <f>IFERROR(__xludf.DUMMYFUNCTION("""COMPUTED_VALUE"""),"AJ")</f>
        <v>AJ</v>
      </c>
      <c r="F7822" t="str">
        <f>IFERROR(__xludf.DUMMYFUNCTION("""COMPUTED_VALUE"""),"WR")</f>
        <v>WR</v>
      </c>
      <c r="G7822" t="str">
        <f>IFERROR(__xludf.DUMMYFUNCTION("""COMPUTED_VALUE"""),"")</f>
        <v/>
      </c>
    </row>
    <row r="7823">
      <c r="D7823" t="str">
        <f>IFERROR(__xludf.DUMMYFUNCTION("""COMPUTED_VALUE"""),"Green")</f>
        <v>Green</v>
      </c>
      <c r="E7823" t="str">
        <f>IFERROR(__xludf.DUMMYFUNCTION("""COMPUTED_VALUE"""),"Chaz")</f>
        <v>Chaz</v>
      </c>
      <c r="F7823" t="str">
        <f>IFERROR(__xludf.DUMMYFUNCTION("""COMPUTED_VALUE"""),"RT")</f>
        <v>RT</v>
      </c>
      <c r="G7823" t="str">
        <f>IFERROR(__xludf.DUMMYFUNCTION("""COMPUTED_VALUE"""),"")</f>
        <v/>
      </c>
    </row>
    <row r="7824">
      <c r="D7824" t="str">
        <f>IFERROR(__xludf.DUMMYFUNCTION("""COMPUTED_VALUE"""),"Green")</f>
        <v>Green</v>
      </c>
      <c r="E7824" t="str">
        <f>IFERROR(__xludf.DUMMYFUNCTION("""COMPUTED_VALUE"""),"Gerri")</f>
        <v>Gerri</v>
      </c>
      <c r="F7824" t="str">
        <f>IFERROR(__xludf.DUMMYFUNCTION("""COMPUTED_VALUE"""),"LE")</f>
        <v>LE</v>
      </c>
      <c r="G7824" t="str">
        <f>IFERROR(__xludf.DUMMYFUNCTION("""COMPUTED_VALUE"""),"")</f>
        <v/>
      </c>
    </row>
    <row r="7825">
      <c r="D7825" t="str">
        <f>IFERROR(__xludf.DUMMYFUNCTION("""COMPUTED_VALUE"""),"Green")</f>
        <v>Green</v>
      </c>
      <c r="E7825" t="str">
        <f>IFERROR(__xludf.DUMMYFUNCTION("""COMPUTED_VALUE"""),"Marcus")</f>
        <v>Marcus</v>
      </c>
      <c r="F7825" t="str">
        <f>IFERROR(__xludf.DUMMYFUNCTION("""COMPUTED_VALUE"""),"HB")</f>
        <v>HB</v>
      </c>
      <c r="G7825" t="str">
        <f>IFERROR(__xludf.DUMMYFUNCTION("""COMPUTED_VALUE"""),"")</f>
        <v/>
      </c>
    </row>
    <row r="7826">
      <c r="D7826" t="str">
        <f>IFERROR(__xludf.DUMMYFUNCTION("""COMPUTED_VALUE"""),"Green")</f>
        <v>Green</v>
      </c>
      <c r="E7826" t="str">
        <f>IFERROR(__xludf.DUMMYFUNCTION("""COMPUTED_VALUE"""),"Rasheem")</f>
        <v>Rasheem</v>
      </c>
      <c r="F7826" t="str">
        <f>IFERROR(__xludf.DUMMYFUNCTION("""COMPUTED_VALUE"""),"RE")</f>
        <v>RE</v>
      </c>
      <c r="G7826" t="str">
        <f>IFERROR(__xludf.DUMMYFUNCTION("""COMPUTED_VALUE"""),"")</f>
        <v/>
      </c>
    </row>
    <row r="7827">
      <c r="D7827" t="str">
        <f>IFERROR(__xludf.DUMMYFUNCTION("""COMPUTED_VALUE"""),"Green")</f>
        <v>Green</v>
      </c>
      <c r="E7827" t="str">
        <f>IFERROR(__xludf.DUMMYFUNCTION("""COMPUTED_VALUE"""),"Virgil")</f>
        <v>Virgil</v>
      </c>
      <c r="F7827" t="str">
        <f>IFERROR(__xludf.DUMMYFUNCTION("""COMPUTED_VALUE"""),"TE")</f>
        <v>TE</v>
      </c>
      <c r="G7827" t="str">
        <f>IFERROR(__xludf.DUMMYFUNCTION("""COMPUTED_VALUE"""),"")</f>
        <v/>
      </c>
    </row>
    <row r="7828">
      <c r="D7828" t="str">
        <f>IFERROR(__xludf.DUMMYFUNCTION("""COMPUTED_VALUE"""),"Greene")</f>
        <v>Greene</v>
      </c>
      <c r="E7828" t="str">
        <f>IFERROR(__xludf.DUMMYFUNCTION("""COMPUTED_VALUE"""),"Donnell")</f>
        <v>Donnell</v>
      </c>
      <c r="F7828" t="str">
        <f>IFERROR(__xludf.DUMMYFUNCTION("""COMPUTED_VALUE"""),"LT")</f>
        <v>LT</v>
      </c>
      <c r="G7828" t="str">
        <f>IFERROR(__xludf.DUMMYFUNCTION("""COMPUTED_VALUE"""),"")</f>
        <v/>
      </c>
    </row>
    <row r="7829">
      <c r="D7829" t="str">
        <f>IFERROR(__xludf.DUMMYFUNCTION("""COMPUTED_VALUE"""),"Greene")</f>
        <v>Greene</v>
      </c>
      <c r="E7829" t="str">
        <f>IFERROR(__xludf.DUMMYFUNCTION("""COMPUTED_VALUE"""),"Raven")</f>
        <v>Raven</v>
      </c>
      <c r="F7829" t="str">
        <f>IFERROR(__xludf.DUMMYFUNCTION("""COMPUTED_VALUE"""),"FS")</f>
        <v>FS</v>
      </c>
      <c r="G7829" t="str">
        <f>IFERROR(__xludf.DUMMYFUNCTION("""COMPUTED_VALUE"""),"")</f>
        <v/>
      </c>
    </row>
    <row r="7830">
      <c r="D7830" t="str">
        <f>IFERROR(__xludf.DUMMYFUNCTION("""COMPUTED_VALUE"""),"Greenidge")</f>
        <v>Greenidge</v>
      </c>
      <c r="E7830" t="str">
        <f>IFERROR(__xludf.DUMMYFUNCTION("""COMPUTED_VALUE"""),"Ethan")</f>
        <v>Ethan</v>
      </c>
      <c r="F7830" t="str">
        <f>IFERROR(__xludf.DUMMYFUNCTION("""COMPUTED_VALUE"""),"RG")</f>
        <v>RG</v>
      </c>
      <c r="G7830" t="str">
        <f>IFERROR(__xludf.DUMMYFUNCTION("""COMPUTED_VALUE"""),"")</f>
        <v/>
      </c>
    </row>
    <row r="7831">
      <c r="D7831" t="str">
        <f>IFERROR(__xludf.DUMMYFUNCTION("""COMPUTED_VALUE"""),"Greenlaw")</f>
        <v>Greenlaw</v>
      </c>
      <c r="E7831" t="str">
        <f>IFERROR(__xludf.DUMMYFUNCTION("""COMPUTED_VALUE"""),"Dre")</f>
        <v>Dre</v>
      </c>
      <c r="F7831" t="str">
        <f>IFERROR(__xludf.DUMMYFUNCTION("""COMPUTED_VALUE"""),"MLB")</f>
        <v>MLB</v>
      </c>
      <c r="G7831" t="str">
        <f>IFERROR(__xludf.DUMMYFUNCTION("""COMPUTED_VALUE"""),"")</f>
        <v/>
      </c>
    </row>
    <row r="7832">
      <c r="D7832" t="str">
        <f>IFERROR(__xludf.DUMMYFUNCTION("""COMPUTED_VALUE"""),"Gregory")</f>
        <v>Gregory</v>
      </c>
      <c r="E7832" t="str">
        <f>IFERROR(__xludf.DUMMYFUNCTION("""COMPUTED_VALUE"""),"Randy")</f>
        <v>Randy</v>
      </c>
      <c r="F7832" t="str">
        <f>IFERROR(__xludf.DUMMYFUNCTION("""COMPUTED_VALUE"""),"RE")</f>
        <v>RE</v>
      </c>
      <c r="G7832" t="str">
        <f>IFERROR(__xludf.DUMMYFUNCTION("""COMPUTED_VALUE"""),"")</f>
        <v/>
      </c>
    </row>
    <row r="7833">
      <c r="D7833" t="str">
        <f>IFERROR(__xludf.DUMMYFUNCTION("""COMPUTED_VALUE"""),"Grier")</f>
        <v>Grier</v>
      </c>
      <c r="E7833" t="str">
        <f>IFERROR(__xludf.DUMMYFUNCTION("""COMPUTED_VALUE"""),"Will")</f>
        <v>Will</v>
      </c>
      <c r="F7833" t="str">
        <f>IFERROR(__xludf.DUMMYFUNCTION("""COMPUTED_VALUE"""),"QB")</f>
        <v>QB</v>
      </c>
      <c r="G7833" t="str">
        <f>IFERROR(__xludf.DUMMYFUNCTION("""COMPUTED_VALUE"""),"")</f>
        <v/>
      </c>
    </row>
    <row r="7834">
      <c r="D7834" t="str">
        <f>IFERROR(__xludf.DUMMYFUNCTION("""COMPUTED_VALUE"""),"Griffen")</f>
        <v>Griffen</v>
      </c>
      <c r="E7834" t="str">
        <f>IFERROR(__xludf.DUMMYFUNCTION("""COMPUTED_VALUE"""),"Everson")</f>
        <v>Everson</v>
      </c>
      <c r="F7834" t="str">
        <f>IFERROR(__xludf.DUMMYFUNCTION("""COMPUTED_VALUE"""),"RE")</f>
        <v>RE</v>
      </c>
      <c r="G7834" t="str">
        <f>IFERROR(__xludf.DUMMYFUNCTION("""COMPUTED_VALUE"""),"")</f>
        <v/>
      </c>
    </row>
    <row r="7835">
      <c r="D7835" t="str">
        <f>IFERROR(__xludf.DUMMYFUNCTION("""COMPUTED_VALUE"""),"Griffey")</f>
        <v>Griffey</v>
      </c>
      <c r="E7835" t="str">
        <f>IFERROR(__xludf.DUMMYFUNCTION("""COMPUTED_VALUE"""),"Trey")</f>
        <v>Trey</v>
      </c>
      <c r="F7835" t="str">
        <f>IFERROR(__xludf.DUMMYFUNCTION("""COMPUTED_VALUE"""),"WR")</f>
        <v>WR</v>
      </c>
      <c r="G7835" t="str">
        <f>IFERROR(__xludf.DUMMYFUNCTION("""COMPUTED_VALUE"""),"")</f>
        <v/>
      </c>
    </row>
    <row r="7836">
      <c r="D7836" t="str">
        <f>IFERROR(__xludf.DUMMYFUNCTION("""COMPUTED_VALUE"""),"Griffin")</f>
        <v>Griffin</v>
      </c>
      <c r="E7836" t="str">
        <f>IFERROR(__xludf.DUMMYFUNCTION("""COMPUTED_VALUE"""),"Garrett")</f>
        <v>Garrett</v>
      </c>
      <c r="F7836" t="str">
        <f>IFERROR(__xludf.DUMMYFUNCTION("""COMPUTED_VALUE"""),"TE")</f>
        <v>TE</v>
      </c>
      <c r="G7836" t="str">
        <f>IFERROR(__xludf.DUMMYFUNCTION("""COMPUTED_VALUE"""),"")</f>
        <v/>
      </c>
    </row>
    <row r="7837">
      <c r="D7837" t="str">
        <f>IFERROR(__xludf.DUMMYFUNCTION("""COMPUTED_VALUE"""),"Griffin")</f>
        <v>Griffin</v>
      </c>
      <c r="E7837" t="str">
        <f>IFERROR(__xludf.DUMMYFUNCTION("""COMPUTED_VALUE"""),"Robert")</f>
        <v>Robert</v>
      </c>
      <c r="F7837" t="str">
        <f>IFERROR(__xludf.DUMMYFUNCTION("""COMPUTED_VALUE"""),"QB")</f>
        <v>QB</v>
      </c>
      <c r="G7837" t="str">
        <f>IFERROR(__xludf.DUMMYFUNCTION("""COMPUTED_VALUE"""),"")</f>
        <v/>
      </c>
    </row>
    <row r="7838">
      <c r="D7838" t="str">
        <f>IFERROR(__xludf.DUMMYFUNCTION("""COMPUTED_VALUE"""),"Griffin")</f>
        <v>Griffin</v>
      </c>
      <c r="E7838" t="str">
        <f>IFERROR(__xludf.DUMMYFUNCTION("""COMPUTED_VALUE"""),"Ryan")</f>
        <v>Ryan</v>
      </c>
      <c r="F7838" t="str">
        <f>IFERROR(__xludf.DUMMYFUNCTION("""COMPUTED_VALUE"""),"QB")</f>
        <v>QB</v>
      </c>
      <c r="G7838" t="str">
        <f>IFERROR(__xludf.DUMMYFUNCTION("""COMPUTED_VALUE"""),"")</f>
        <v/>
      </c>
    </row>
    <row r="7839">
      <c r="D7839" t="str">
        <f>IFERROR(__xludf.DUMMYFUNCTION("""COMPUTED_VALUE"""),"Griffin")</f>
        <v>Griffin</v>
      </c>
      <c r="E7839" t="str">
        <f>IFERROR(__xludf.DUMMYFUNCTION("""COMPUTED_VALUE"""),"Shaquem")</f>
        <v>Shaquem</v>
      </c>
      <c r="F7839" t="str">
        <f>IFERROR(__xludf.DUMMYFUNCTION("""COMPUTED_VALUE"""),"ROLB")</f>
        <v>ROLB</v>
      </c>
      <c r="G7839" t="str">
        <f>IFERROR(__xludf.DUMMYFUNCTION("""COMPUTED_VALUE"""),"")</f>
        <v/>
      </c>
    </row>
    <row r="7840">
      <c r="D7840" t="str">
        <f>IFERROR(__xludf.DUMMYFUNCTION("""COMPUTED_VALUE"""),"Griffin")</f>
        <v>Griffin</v>
      </c>
      <c r="E7840" t="str">
        <f>IFERROR(__xludf.DUMMYFUNCTION("""COMPUTED_VALUE"""),"Shaquill")</f>
        <v>Shaquill</v>
      </c>
      <c r="F7840" t="str">
        <f>IFERROR(__xludf.DUMMYFUNCTION("""COMPUTED_VALUE"""),"CB")</f>
        <v>CB</v>
      </c>
      <c r="G7840" t="str">
        <f>IFERROR(__xludf.DUMMYFUNCTION("""COMPUTED_VALUE"""),"")</f>
        <v/>
      </c>
    </row>
    <row r="7841">
      <c r="D7841" t="str">
        <f>IFERROR(__xludf.DUMMYFUNCTION("""COMPUTED_VALUE"""),"Grimble")</f>
        <v>Grimble</v>
      </c>
      <c r="E7841" t="str">
        <f>IFERROR(__xludf.DUMMYFUNCTION("""COMPUTED_VALUE"""),"Xavier")</f>
        <v>Xavier</v>
      </c>
      <c r="F7841" t="str">
        <f>IFERROR(__xludf.DUMMYFUNCTION("""COMPUTED_VALUE"""),"TE")</f>
        <v>TE</v>
      </c>
      <c r="G7841" t="str">
        <f>IFERROR(__xludf.DUMMYFUNCTION("""COMPUTED_VALUE"""),"")</f>
        <v/>
      </c>
    </row>
    <row r="7842">
      <c r="D7842" t="str">
        <f>IFERROR(__xludf.DUMMYFUNCTION("""COMPUTED_VALUE"""),"Grissom")</f>
        <v>Grissom</v>
      </c>
      <c r="E7842" t="str">
        <f>IFERROR(__xludf.DUMMYFUNCTION("""COMPUTED_VALUE"""),"Geneo")</f>
        <v>Geneo</v>
      </c>
      <c r="F7842" t="str">
        <f>IFERROR(__xludf.DUMMYFUNCTION("""COMPUTED_VALUE"""),"RE")</f>
        <v>RE</v>
      </c>
      <c r="G7842" t="str">
        <f>IFERROR(__xludf.DUMMYFUNCTION("""COMPUTED_VALUE"""),"")</f>
        <v/>
      </c>
    </row>
    <row r="7843">
      <c r="D7843" t="str">
        <f>IFERROR(__xludf.DUMMYFUNCTION("""COMPUTED_VALUE"""),"Groy")</f>
        <v>Groy</v>
      </c>
      <c r="E7843" t="str">
        <f>IFERROR(__xludf.DUMMYFUNCTION("""COMPUTED_VALUE"""),"Ryan")</f>
        <v>Ryan</v>
      </c>
      <c r="F7843" t="str">
        <f>IFERROR(__xludf.DUMMYFUNCTION("""COMPUTED_VALUE"""),"C")</f>
        <v>C</v>
      </c>
      <c r="G7843" t="str">
        <f>IFERROR(__xludf.DUMMYFUNCTION("""COMPUTED_VALUE"""),"")</f>
        <v/>
      </c>
    </row>
    <row r="7844">
      <c r="D7844" t="str">
        <f>IFERROR(__xludf.DUMMYFUNCTION("""COMPUTED_VALUE"""),"Grugier-Hill")</f>
        <v>Grugier-Hill</v>
      </c>
      <c r="E7844" t="str">
        <f>IFERROR(__xludf.DUMMYFUNCTION("""COMPUTED_VALUE"""),"Kamu")</f>
        <v>Kamu</v>
      </c>
      <c r="F7844" t="str">
        <f>IFERROR(__xludf.DUMMYFUNCTION("""COMPUTED_VALUE"""),"LOLB")</f>
        <v>LOLB</v>
      </c>
      <c r="G7844" t="str">
        <f>IFERROR(__xludf.DUMMYFUNCTION("""COMPUTED_VALUE"""),"")</f>
        <v/>
      </c>
    </row>
    <row r="7845">
      <c r="D7845" t="str">
        <f>IFERROR(__xludf.DUMMYFUNCTION("""COMPUTED_VALUE"""),"Guice")</f>
        <v>Guice</v>
      </c>
      <c r="E7845" t="str">
        <f>IFERROR(__xludf.DUMMYFUNCTION("""COMPUTED_VALUE"""),"Derrius")</f>
        <v>Derrius</v>
      </c>
      <c r="F7845" t="str">
        <f>IFERROR(__xludf.DUMMYFUNCTION("""COMPUTED_VALUE"""),"HB")</f>
        <v>HB</v>
      </c>
      <c r="G7845" t="str">
        <f>IFERROR(__xludf.DUMMYFUNCTION("""COMPUTED_VALUE"""),"")</f>
        <v/>
      </c>
    </row>
    <row r="7846">
      <c r="D7846" t="str">
        <f>IFERROR(__xludf.DUMMYFUNCTION("""COMPUTED_VALUE"""),"Gunter")</f>
        <v>Gunter</v>
      </c>
      <c r="E7846" t="str">
        <f>IFERROR(__xludf.DUMMYFUNCTION("""COMPUTED_VALUE"""),"Rodney")</f>
        <v>Rodney</v>
      </c>
      <c r="F7846" t="str">
        <f>IFERROR(__xludf.DUMMYFUNCTION("""COMPUTED_VALUE"""),"LE")</f>
        <v>LE</v>
      </c>
      <c r="G7846" t="str">
        <f>IFERROR(__xludf.DUMMYFUNCTION("""COMPUTED_VALUE"""),"")</f>
        <v/>
      </c>
    </row>
    <row r="7847">
      <c r="D7847" t="str">
        <f>IFERROR(__xludf.DUMMYFUNCTION("""COMPUTED_VALUE"""),"Gurley")</f>
        <v>Gurley</v>
      </c>
      <c r="E7847" t="str">
        <f>IFERROR(__xludf.DUMMYFUNCTION("""COMPUTED_VALUE"""),"Todd")</f>
        <v>Todd</v>
      </c>
      <c r="F7847" t="str">
        <f>IFERROR(__xludf.DUMMYFUNCTION("""COMPUTED_VALUE"""),"HB")</f>
        <v>HB</v>
      </c>
      <c r="G7847" t="str">
        <f>IFERROR(__xludf.DUMMYFUNCTION("""COMPUTED_VALUE"""),"")</f>
        <v/>
      </c>
    </row>
    <row r="7848">
      <c r="D7848" t="str">
        <f>IFERROR(__xludf.DUMMYFUNCTION("""COMPUTED_VALUE"""),"Guy")</f>
        <v>Guy</v>
      </c>
      <c r="E7848" t="str">
        <f>IFERROR(__xludf.DUMMYFUNCTION("""COMPUTED_VALUE"""),"Lawrence")</f>
        <v>Lawrence</v>
      </c>
      <c r="F7848" t="str">
        <f>IFERROR(__xludf.DUMMYFUNCTION("""COMPUTED_VALUE"""),"DT")</f>
        <v>DT</v>
      </c>
      <c r="G7848" t="str">
        <f>IFERROR(__xludf.DUMMYFUNCTION("""COMPUTED_VALUE"""),"")</f>
        <v/>
      </c>
    </row>
    <row r="7849">
      <c r="D7849" t="str">
        <f>IFERROR(__xludf.DUMMYFUNCTION("""COMPUTED_VALUE"""),"Ha")</f>
        <v>Ha</v>
      </c>
      <c r="E7849" t="str">
        <f>IFERROR(__xludf.DUMMYFUNCTION("""COMPUTED_VALUE"""),"Ha")</f>
        <v>Ha</v>
      </c>
      <c r="F7849" t="str">
        <f>IFERROR(__xludf.DUMMYFUNCTION("""COMPUTED_VALUE"""),"SS")</f>
        <v>SS</v>
      </c>
      <c r="G7849" t="str">
        <f>IFERROR(__xludf.DUMMYFUNCTION("""COMPUTED_VALUE"""),"")</f>
        <v/>
      </c>
    </row>
    <row r="7850">
      <c r="D7850" t="str">
        <f>IFERROR(__xludf.DUMMYFUNCTION("""COMPUTED_VALUE"""),"Haack")</f>
        <v>Haack</v>
      </c>
      <c r="E7850" t="str">
        <f>IFERROR(__xludf.DUMMYFUNCTION("""COMPUTED_VALUE"""),"Matt")</f>
        <v>Matt</v>
      </c>
      <c r="F7850" t="str">
        <f>IFERROR(__xludf.DUMMYFUNCTION("""COMPUTED_VALUE"""),"P")</f>
        <v>P</v>
      </c>
      <c r="G7850" t="str">
        <f>IFERROR(__xludf.DUMMYFUNCTION("""COMPUTED_VALUE"""),"")</f>
        <v/>
      </c>
    </row>
    <row r="7851">
      <c r="D7851" t="str">
        <f>IFERROR(__xludf.DUMMYFUNCTION("""COMPUTED_VALUE"""),"Haden")</f>
        <v>Haden</v>
      </c>
      <c r="E7851" t="str">
        <f>IFERROR(__xludf.DUMMYFUNCTION("""COMPUTED_VALUE"""),"Joe")</f>
        <v>Joe</v>
      </c>
      <c r="F7851" t="str">
        <f>IFERROR(__xludf.DUMMYFUNCTION("""COMPUTED_VALUE"""),"CB")</f>
        <v>CB</v>
      </c>
      <c r="G7851" t="str">
        <f>IFERROR(__xludf.DUMMYFUNCTION("""COMPUTED_VALUE"""),"")</f>
        <v/>
      </c>
    </row>
    <row r="7852">
      <c r="D7852" t="str">
        <f>IFERROR(__xludf.DUMMYFUNCTION("""COMPUTED_VALUE"""),"Haeg")</f>
        <v>Haeg</v>
      </c>
      <c r="E7852" t="str">
        <f>IFERROR(__xludf.DUMMYFUNCTION("""COMPUTED_VALUE"""),"Joe")</f>
        <v>Joe</v>
      </c>
      <c r="F7852" t="str">
        <f>IFERROR(__xludf.DUMMYFUNCTION("""COMPUTED_VALUE"""),"RT")</f>
        <v>RT</v>
      </c>
      <c r="G7852" t="str">
        <f>IFERROR(__xludf.DUMMYFUNCTION("""COMPUTED_VALUE"""),"")</f>
        <v/>
      </c>
    </row>
    <row r="7853">
      <c r="D7853" t="str">
        <f>IFERROR(__xludf.DUMMYFUNCTION("""COMPUTED_VALUE"""),"Hageman")</f>
        <v>Hageman</v>
      </c>
      <c r="E7853" t="str">
        <f>IFERROR(__xludf.DUMMYFUNCTION("""COMPUTED_VALUE"""),"RaShede")</f>
        <v>RaShede</v>
      </c>
      <c r="F7853" t="str">
        <f>IFERROR(__xludf.DUMMYFUNCTION("""COMPUTED_VALUE"""),"DT")</f>
        <v>DT</v>
      </c>
      <c r="G7853" t="str">
        <f>IFERROR(__xludf.DUMMYFUNCTION("""COMPUTED_VALUE"""),"")</f>
        <v/>
      </c>
    </row>
    <row r="7854">
      <c r="D7854" t="str">
        <f>IFERROR(__xludf.DUMMYFUNCTION("""COMPUTED_VALUE"""),"Hager")</f>
        <v>Hager</v>
      </c>
      <c r="E7854" t="str">
        <f>IFERROR(__xludf.DUMMYFUNCTION("""COMPUTED_VALUE"""),"Bryce")</f>
        <v>Bryce</v>
      </c>
      <c r="F7854" t="str">
        <f>IFERROR(__xludf.DUMMYFUNCTION("""COMPUTED_VALUE"""),"MLB")</f>
        <v>MLB</v>
      </c>
      <c r="G7854" t="str">
        <f>IFERROR(__xludf.DUMMYFUNCTION("""COMPUTED_VALUE"""),"")</f>
        <v/>
      </c>
    </row>
    <row r="7855">
      <c r="D7855" t="str">
        <f>IFERROR(__xludf.DUMMYFUNCTION("""COMPUTED_VALUE"""),"Hairston")</f>
        <v>Hairston</v>
      </c>
      <c r="E7855" t="str">
        <f>IFERROR(__xludf.DUMMYFUNCTION("""COMPUTED_VALUE"""),"Nate")</f>
        <v>Nate</v>
      </c>
      <c r="F7855" t="str">
        <f>IFERROR(__xludf.DUMMYFUNCTION("""COMPUTED_VALUE"""),"CB")</f>
        <v>CB</v>
      </c>
      <c r="G7855" t="str">
        <f>IFERROR(__xludf.DUMMYFUNCTION("""COMPUTED_VALUE"""),"")</f>
        <v/>
      </c>
    </row>
    <row r="7856">
      <c r="D7856" t="str">
        <f>IFERROR(__xludf.DUMMYFUNCTION("""COMPUTED_VALUE"""),"Halapio")</f>
        <v>Halapio</v>
      </c>
      <c r="E7856" t="str">
        <f>IFERROR(__xludf.DUMMYFUNCTION("""COMPUTED_VALUE"""),"Jon")</f>
        <v>Jon</v>
      </c>
      <c r="F7856" t="str">
        <f>IFERROR(__xludf.DUMMYFUNCTION("""COMPUTED_VALUE"""),"C")</f>
        <v>C</v>
      </c>
      <c r="G7856" t="str">
        <f>IFERROR(__xludf.DUMMYFUNCTION("""COMPUTED_VALUE"""),"")</f>
        <v/>
      </c>
    </row>
    <row r="7857">
      <c r="D7857" t="str">
        <f>IFERROR(__xludf.DUMMYFUNCTION("""COMPUTED_VALUE"""),"Haley")</f>
        <v>Haley</v>
      </c>
      <c r="E7857" t="str">
        <f>IFERROR(__xludf.DUMMYFUNCTION("""COMPUTED_VALUE"""),"Grant")</f>
        <v>Grant</v>
      </c>
      <c r="F7857" t="str">
        <f>IFERROR(__xludf.DUMMYFUNCTION("""COMPUTED_VALUE"""),"CB")</f>
        <v>CB</v>
      </c>
      <c r="G7857" t="str">
        <f>IFERROR(__xludf.DUMMYFUNCTION("""COMPUTED_VALUE"""),"")</f>
        <v/>
      </c>
    </row>
    <row r="7858">
      <c r="D7858" t="str">
        <f>IFERROR(__xludf.DUMMYFUNCTION("""COMPUTED_VALUE"""),"Hall")</f>
        <v>Hall</v>
      </c>
      <c r="E7858" t="str">
        <f>IFERROR(__xludf.DUMMYFUNCTION("""COMPUTED_VALUE"""),"Daeshon")</f>
        <v>Daeshon</v>
      </c>
      <c r="F7858" t="str">
        <f>IFERROR(__xludf.DUMMYFUNCTION("""COMPUTED_VALUE"""),"RE")</f>
        <v>RE</v>
      </c>
      <c r="G7858" t="str">
        <f>IFERROR(__xludf.DUMMYFUNCTION("""COMPUTED_VALUE"""),"")</f>
        <v/>
      </c>
    </row>
    <row r="7859">
      <c r="D7859" t="str">
        <f>IFERROR(__xludf.DUMMYFUNCTION("""COMPUTED_VALUE"""),"Hall")</f>
        <v>Hall</v>
      </c>
      <c r="E7859" t="str">
        <f>IFERROR(__xludf.DUMMYFUNCTION("""COMPUTED_VALUE"""),"Deiondre")</f>
        <v>Deiondre</v>
      </c>
      <c r="F7859" t="str">
        <f>IFERROR(__xludf.DUMMYFUNCTION("""COMPUTED_VALUE"""),"SS")</f>
        <v>SS</v>
      </c>
      <c r="G7859" t="str">
        <f>IFERROR(__xludf.DUMMYFUNCTION("""COMPUTED_VALUE"""),"")</f>
        <v/>
      </c>
    </row>
    <row r="7860">
      <c r="D7860" t="str">
        <f>IFERROR(__xludf.DUMMYFUNCTION("""COMPUTED_VALUE"""),"Hall")</f>
        <v>Hall</v>
      </c>
      <c r="E7860" t="str">
        <f>IFERROR(__xludf.DUMMYFUNCTION("""COMPUTED_VALUE"""),"Emanuel")</f>
        <v>Emanuel</v>
      </c>
      <c r="F7860" t="str">
        <f>IFERROR(__xludf.DUMMYFUNCTION("""COMPUTED_VALUE"""),"WR")</f>
        <v>WR</v>
      </c>
      <c r="G7860" t="str">
        <f>IFERROR(__xludf.DUMMYFUNCTION("""COMPUTED_VALUE"""),"")</f>
        <v/>
      </c>
    </row>
    <row r="7861">
      <c r="D7861" t="str">
        <f>IFERROR(__xludf.DUMMYFUNCTION("""COMPUTED_VALUE"""),"Hall")</f>
        <v>Hall</v>
      </c>
      <c r="E7861" t="str">
        <f>IFERROR(__xludf.DUMMYFUNCTION("""COMPUTED_VALUE"""),"Marvin")</f>
        <v>Marvin</v>
      </c>
      <c r="F7861" t="str">
        <f>IFERROR(__xludf.DUMMYFUNCTION("""COMPUTED_VALUE"""),"WR")</f>
        <v>WR</v>
      </c>
      <c r="G7861" t="str">
        <f>IFERROR(__xludf.DUMMYFUNCTION("""COMPUTED_VALUE"""),"")</f>
        <v/>
      </c>
    </row>
    <row r="7862">
      <c r="D7862" t="str">
        <f>IFERROR(__xludf.DUMMYFUNCTION("""COMPUTED_VALUE"""),"Hall")</f>
        <v>Hall</v>
      </c>
      <c r="E7862" t="str">
        <f>IFERROR(__xludf.DUMMYFUNCTION("""COMPUTED_VALUE"""),"PJ")</f>
        <v>PJ</v>
      </c>
      <c r="F7862" t="str">
        <f>IFERROR(__xludf.DUMMYFUNCTION("""COMPUTED_VALUE"""),"DT")</f>
        <v>DT</v>
      </c>
      <c r="G7862" t="str">
        <f>IFERROR(__xludf.DUMMYFUNCTION("""COMPUTED_VALUE"""),"")</f>
        <v/>
      </c>
    </row>
    <row r="7863">
      <c r="D7863" t="str">
        <f>IFERROR(__xludf.DUMMYFUNCTION("""COMPUTED_VALUE"""),"Ham")</f>
        <v>Ham</v>
      </c>
      <c r="E7863" t="str">
        <f>IFERROR(__xludf.DUMMYFUNCTION("""COMPUTED_VALUE"""),"CJ")</f>
        <v>CJ</v>
      </c>
      <c r="F7863" t="str">
        <f>IFERROR(__xludf.DUMMYFUNCTION("""COMPUTED_VALUE"""),"FB")</f>
        <v>FB</v>
      </c>
      <c r="G7863" t="str">
        <f>IFERROR(__xludf.DUMMYFUNCTION("""COMPUTED_VALUE"""),"")</f>
        <v/>
      </c>
    </row>
    <row r="7864">
      <c r="D7864" t="str">
        <f>IFERROR(__xludf.DUMMYFUNCTION("""COMPUTED_VALUE"""),"Hamilton")</f>
        <v>Hamilton</v>
      </c>
      <c r="E7864" t="str">
        <f>IFERROR(__xludf.DUMMYFUNCTION("""COMPUTED_VALUE"""),"Antonio")</f>
        <v>Antonio</v>
      </c>
      <c r="F7864" t="str">
        <f>IFERROR(__xludf.DUMMYFUNCTION("""COMPUTED_VALUE"""),"CB")</f>
        <v>CB</v>
      </c>
      <c r="G7864" t="str">
        <f>IFERROR(__xludf.DUMMYFUNCTION("""COMPUTED_VALUE"""),"")</f>
        <v/>
      </c>
    </row>
    <row r="7865">
      <c r="D7865" t="str">
        <f>IFERROR(__xludf.DUMMYFUNCTION("""COMPUTED_VALUE"""),"Hamilton")</f>
        <v>Hamilton</v>
      </c>
      <c r="E7865" t="str">
        <f>IFERROR(__xludf.DUMMYFUNCTION("""COMPUTED_VALUE"""),"DaeSean")</f>
        <v>DaeSean</v>
      </c>
      <c r="F7865" t="str">
        <f>IFERROR(__xludf.DUMMYFUNCTION("""COMPUTED_VALUE"""),"WR")</f>
        <v>WR</v>
      </c>
      <c r="G7865" t="str">
        <f>IFERROR(__xludf.DUMMYFUNCTION("""COMPUTED_VALUE"""),"")</f>
        <v/>
      </c>
    </row>
    <row r="7866">
      <c r="D7866" t="str">
        <f>IFERROR(__xludf.DUMMYFUNCTION("""COMPUTED_VALUE"""),"Hamilton")</f>
        <v>Hamilton</v>
      </c>
      <c r="E7866" t="str">
        <f>IFERROR(__xludf.DUMMYFUNCTION("""COMPUTED_VALUE"""),"Justin")</f>
        <v>Justin</v>
      </c>
      <c r="F7866" t="str">
        <f>IFERROR(__xludf.DUMMYFUNCTION("""COMPUTED_VALUE"""),"DT")</f>
        <v>DT</v>
      </c>
      <c r="G7866" t="str">
        <f>IFERROR(__xludf.DUMMYFUNCTION("""COMPUTED_VALUE"""),"")</f>
        <v/>
      </c>
    </row>
    <row r="7867">
      <c r="D7867" t="str">
        <f>IFERROR(__xludf.DUMMYFUNCTION("""COMPUTED_VALUE"""),"Hamilton")</f>
        <v>Hamilton</v>
      </c>
      <c r="E7867" t="str">
        <f>IFERROR(__xludf.DUMMYFUNCTION("""COMPUTED_VALUE"""),"Woodrow")</f>
        <v>Woodrow</v>
      </c>
      <c r="F7867" t="str">
        <f>IFERROR(__xludf.DUMMYFUNCTION("""COMPUTED_VALUE"""),"DT")</f>
        <v>DT</v>
      </c>
      <c r="G7867" t="str">
        <f>IFERROR(__xludf.DUMMYFUNCTION("""COMPUTED_VALUE"""),"")</f>
        <v/>
      </c>
    </row>
    <row r="7868">
      <c r="D7868" t="str">
        <f>IFERROR(__xludf.DUMMYFUNCTION("""COMPUTED_VALUE"""),"Hampton")</f>
        <v>Hampton</v>
      </c>
      <c r="E7868" t="str">
        <f>IFERROR(__xludf.DUMMYFUNCTION("""COMPUTED_VALUE"""),"Saquan")</f>
        <v>Saquan</v>
      </c>
      <c r="F7868" t="str">
        <f>IFERROR(__xludf.DUMMYFUNCTION("""COMPUTED_VALUE"""),"SS")</f>
        <v>SS</v>
      </c>
      <c r="G7868" t="str">
        <f>IFERROR(__xludf.DUMMYFUNCTION("""COMPUTED_VALUE"""),"")</f>
        <v/>
      </c>
    </row>
    <row r="7869">
      <c r="D7869" t="str">
        <f>IFERROR(__xludf.DUMMYFUNCTION("""COMPUTED_VALUE"""),"Hand")</f>
        <v>Hand</v>
      </c>
      <c r="E7869" t="str">
        <f>IFERROR(__xludf.DUMMYFUNCTION("""COMPUTED_VALUE"""),"DaShawn")</f>
        <v>DaShawn</v>
      </c>
      <c r="F7869" t="str">
        <f>IFERROR(__xludf.DUMMYFUNCTION("""COMPUTED_VALUE"""),"LE")</f>
        <v>LE</v>
      </c>
      <c r="G7869" t="str">
        <f>IFERROR(__xludf.DUMMYFUNCTION("""COMPUTED_VALUE"""),"")</f>
        <v/>
      </c>
    </row>
    <row r="7870">
      <c r="D7870" t="str">
        <f>IFERROR(__xludf.DUMMYFUNCTION("""COMPUTED_VALUE"""),"Hankins")</f>
        <v>Hankins</v>
      </c>
      <c r="E7870" t="str">
        <f>IFERROR(__xludf.DUMMYFUNCTION("""COMPUTED_VALUE"""),"Johnathan")</f>
        <v>Johnathan</v>
      </c>
      <c r="F7870" t="str">
        <f>IFERROR(__xludf.DUMMYFUNCTION("""COMPUTED_VALUE"""),"DT")</f>
        <v>DT</v>
      </c>
      <c r="G7870" t="str">
        <f>IFERROR(__xludf.DUMMYFUNCTION("""COMPUTED_VALUE"""),"")</f>
        <v/>
      </c>
    </row>
    <row r="7871">
      <c r="D7871" t="str">
        <f>IFERROR(__xludf.DUMMYFUNCTION("""COMPUTED_VALUE"""),"Hardee")</f>
        <v>Hardee</v>
      </c>
      <c r="E7871" t="str">
        <f>IFERROR(__xludf.DUMMYFUNCTION("""COMPUTED_VALUE"""),"Justin")</f>
        <v>Justin</v>
      </c>
      <c r="F7871" t="str">
        <f>IFERROR(__xludf.DUMMYFUNCTION("""COMPUTED_VALUE"""),"CB")</f>
        <v>CB</v>
      </c>
      <c r="G7871" t="str">
        <f>IFERROR(__xludf.DUMMYFUNCTION("""COMPUTED_VALUE"""),"")</f>
        <v/>
      </c>
    </row>
    <row r="7872">
      <c r="D7872" t="str">
        <f>IFERROR(__xludf.DUMMYFUNCTION("""COMPUTED_VALUE"""),"Hardman")</f>
        <v>Hardman</v>
      </c>
      <c r="E7872" t="str">
        <f>IFERROR(__xludf.DUMMYFUNCTION("""COMPUTED_VALUE"""),"Mecole")</f>
        <v>Mecole</v>
      </c>
      <c r="F7872" t="str">
        <f>IFERROR(__xludf.DUMMYFUNCTION("""COMPUTED_VALUE"""),"WR")</f>
        <v>WR</v>
      </c>
      <c r="G7872" t="str">
        <f>IFERROR(__xludf.DUMMYFUNCTION("""COMPUTED_VALUE"""),"")</f>
        <v/>
      </c>
    </row>
    <row r="7873">
      <c r="D7873" t="str">
        <f>IFERROR(__xludf.DUMMYFUNCTION("""COMPUTED_VALUE"""),"Hardy")</f>
        <v>Hardy</v>
      </c>
      <c r="E7873" t="str">
        <f>IFERROR(__xludf.DUMMYFUNCTION("""COMPUTED_VALUE"""),"Justin")</f>
        <v>Justin</v>
      </c>
      <c r="F7873" t="str">
        <f>IFERROR(__xludf.DUMMYFUNCTION("""COMPUTED_VALUE"""),"WR")</f>
        <v>WR</v>
      </c>
      <c r="G7873" t="str">
        <f>IFERROR(__xludf.DUMMYFUNCTION("""COMPUTED_VALUE"""),"")</f>
        <v/>
      </c>
    </row>
    <row r="7874">
      <c r="D7874" t="str">
        <f>IFERROR(__xludf.DUMMYFUNCTION("""COMPUTED_VALUE"""),"Hargrave")</f>
        <v>Hargrave</v>
      </c>
      <c r="E7874" t="str">
        <f>IFERROR(__xludf.DUMMYFUNCTION("""COMPUTED_VALUE"""),"Javon")</f>
        <v>Javon</v>
      </c>
      <c r="F7874" t="str">
        <f>IFERROR(__xludf.DUMMYFUNCTION("""COMPUTED_VALUE"""),"DT")</f>
        <v>DT</v>
      </c>
      <c r="G7874" t="str">
        <f>IFERROR(__xludf.DUMMYFUNCTION("""COMPUTED_VALUE"""),"")</f>
        <v/>
      </c>
    </row>
    <row r="7875">
      <c r="D7875" t="str">
        <f>IFERROR(__xludf.DUMMYFUNCTION("""COMPUTED_VALUE"""),"Hargreaves")</f>
        <v>Hargreaves</v>
      </c>
      <c r="E7875" t="str">
        <f>IFERROR(__xludf.DUMMYFUNCTION("""COMPUTED_VALUE"""),"Vernon")</f>
        <v>Vernon</v>
      </c>
      <c r="F7875" t="str">
        <f>IFERROR(__xludf.DUMMYFUNCTION("""COMPUTED_VALUE"""),"CB")</f>
        <v>CB</v>
      </c>
      <c r="G7875" t="str">
        <f>IFERROR(__xludf.DUMMYFUNCTION("""COMPUTED_VALUE"""),"")</f>
        <v/>
      </c>
    </row>
    <row r="7876">
      <c r="D7876" t="str">
        <f>IFERROR(__xludf.DUMMYFUNCTION("""COMPUTED_VALUE"""),"Harlow")</f>
        <v>Harlow</v>
      </c>
      <c r="E7876" t="str">
        <f>IFERROR(__xludf.DUMMYFUNCTION("""COMPUTED_VALUE"""),"Sean")</f>
        <v>Sean</v>
      </c>
      <c r="F7876" t="str">
        <f>IFERROR(__xludf.DUMMYFUNCTION("""COMPUTED_VALUE"""),"LG")</f>
        <v>LG</v>
      </c>
      <c r="G7876" t="str">
        <f>IFERROR(__xludf.DUMMYFUNCTION("""COMPUTED_VALUE"""),"")</f>
        <v/>
      </c>
    </row>
    <row r="7877">
      <c r="D7877" t="str">
        <f>IFERROR(__xludf.DUMMYFUNCTION("""COMPUTED_VALUE"""),"Harmon")</f>
        <v>Harmon</v>
      </c>
      <c r="E7877" t="str">
        <f>IFERROR(__xludf.DUMMYFUNCTION("""COMPUTED_VALUE"""),"Duron")</f>
        <v>Duron</v>
      </c>
      <c r="F7877" t="str">
        <f>IFERROR(__xludf.DUMMYFUNCTION("""COMPUTED_VALUE"""),"SS")</f>
        <v>SS</v>
      </c>
      <c r="G7877" t="str">
        <f>IFERROR(__xludf.DUMMYFUNCTION("""COMPUTED_VALUE"""),"")</f>
        <v/>
      </c>
    </row>
    <row r="7878">
      <c r="D7878" t="str">
        <f>IFERROR(__xludf.DUMMYFUNCTION("""COMPUTED_VALUE"""),"Harmon")</f>
        <v>Harmon</v>
      </c>
      <c r="E7878" t="str">
        <f>IFERROR(__xludf.DUMMYFUNCTION("""COMPUTED_VALUE"""),"Kelvin")</f>
        <v>Kelvin</v>
      </c>
      <c r="F7878" t="str">
        <f>IFERROR(__xludf.DUMMYFUNCTION("""COMPUTED_VALUE"""),"WR")</f>
        <v>WR</v>
      </c>
      <c r="G7878" t="str">
        <f>IFERROR(__xludf.DUMMYFUNCTION("""COMPUTED_VALUE"""),"")</f>
        <v/>
      </c>
    </row>
    <row r="7879">
      <c r="D7879" t="str">
        <f>IFERROR(__xludf.DUMMYFUNCTION("""COMPUTED_VALUE"""),"Harold")</f>
        <v>Harold</v>
      </c>
      <c r="E7879" t="str">
        <f>IFERROR(__xludf.DUMMYFUNCTION("""COMPUTED_VALUE"""),"Eli")</f>
        <v>Eli</v>
      </c>
      <c r="F7879" t="str">
        <f>IFERROR(__xludf.DUMMYFUNCTION("""COMPUTED_VALUE"""),"LOLB")</f>
        <v>LOLB</v>
      </c>
      <c r="G7879" t="str">
        <f>IFERROR(__xludf.DUMMYFUNCTION("""COMPUTED_VALUE"""),"")</f>
        <v/>
      </c>
    </row>
    <row r="7880">
      <c r="D7880" t="str">
        <f>IFERROR(__xludf.DUMMYFUNCTION("""COMPUTED_VALUE"""),"Harris")</f>
        <v>Harris</v>
      </c>
      <c r="E7880" t="str">
        <f>IFERROR(__xludf.DUMMYFUNCTION("""COMPUTED_VALUE"""),"Anthony")</f>
        <v>Anthony</v>
      </c>
      <c r="F7880" t="str">
        <f>IFERROR(__xludf.DUMMYFUNCTION("""COMPUTED_VALUE"""),"FS")</f>
        <v>FS</v>
      </c>
      <c r="G7880" t="str">
        <f>IFERROR(__xludf.DUMMYFUNCTION("""COMPUTED_VALUE"""),"")</f>
        <v/>
      </c>
    </row>
    <row r="7881">
      <c r="D7881" t="str">
        <f>IFERROR(__xludf.DUMMYFUNCTION("""COMPUTED_VALUE"""),"Harris")</f>
        <v>Harris</v>
      </c>
      <c r="E7881" t="str">
        <f>IFERROR(__xludf.DUMMYFUNCTION("""COMPUTED_VALUE"""),"Charles")</f>
        <v>Charles</v>
      </c>
      <c r="F7881" t="str">
        <f>IFERROR(__xludf.DUMMYFUNCTION("""COMPUTED_VALUE"""),"LE")</f>
        <v>LE</v>
      </c>
      <c r="G7881" t="str">
        <f>IFERROR(__xludf.DUMMYFUNCTION("""COMPUTED_VALUE"""),"")</f>
        <v/>
      </c>
    </row>
    <row r="7882">
      <c r="D7882" t="str">
        <f>IFERROR(__xludf.DUMMYFUNCTION("""COMPUTED_VALUE"""),"Harris")</f>
        <v>Harris</v>
      </c>
      <c r="E7882" t="str">
        <f>IFERROR(__xludf.DUMMYFUNCTION("""COMPUTED_VALUE"""),"Chris")</f>
        <v>Chris</v>
      </c>
      <c r="F7882" t="str">
        <f>IFERROR(__xludf.DUMMYFUNCTION("""COMPUTED_VALUE"""),"CB")</f>
        <v>CB</v>
      </c>
      <c r="G7882" t="str">
        <f>IFERROR(__xludf.DUMMYFUNCTION("""COMPUTED_VALUE"""),"")</f>
        <v/>
      </c>
    </row>
    <row r="7883">
      <c r="D7883" t="str">
        <f>IFERROR(__xludf.DUMMYFUNCTION("""COMPUTED_VALUE"""),"Harris")</f>
        <v>Harris</v>
      </c>
      <c r="E7883" t="str">
        <f>IFERROR(__xludf.DUMMYFUNCTION("""COMPUTED_VALUE"""),"Clark")</f>
        <v>Clark</v>
      </c>
      <c r="F7883" t="str">
        <f>IFERROR(__xludf.DUMMYFUNCTION("""COMPUTED_VALUE"""),"TE")</f>
        <v>TE</v>
      </c>
      <c r="G7883" t="str">
        <f>IFERROR(__xludf.DUMMYFUNCTION("""COMPUTED_VALUE"""),"")</f>
        <v/>
      </c>
    </row>
    <row r="7884">
      <c r="D7884" t="str">
        <f>IFERROR(__xludf.DUMMYFUNCTION("""COMPUTED_VALUE"""),"Harris")</f>
        <v>Harris</v>
      </c>
      <c r="E7884" t="str">
        <f>IFERROR(__xludf.DUMMYFUNCTION("""COMPUTED_VALUE"""),"Damien")</f>
        <v>Damien</v>
      </c>
      <c r="F7884" t="str">
        <f>IFERROR(__xludf.DUMMYFUNCTION("""COMPUTED_VALUE"""),"HB")</f>
        <v>HB</v>
      </c>
      <c r="G7884" t="str">
        <f>IFERROR(__xludf.DUMMYFUNCTION("""COMPUTED_VALUE"""),"")</f>
        <v/>
      </c>
    </row>
    <row r="7885">
      <c r="D7885" t="str">
        <f>IFERROR(__xludf.DUMMYFUNCTION("""COMPUTED_VALUE"""),"Harris")</f>
        <v>Harris</v>
      </c>
      <c r="E7885" t="str">
        <f>IFERROR(__xludf.DUMMYFUNCTION("""COMPUTED_VALUE"""),"Davontae")</f>
        <v>Davontae</v>
      </c>
      <c r="F7885" t="str">
        <f>IFERROR(__xludf.DUMMYFUNCTION("""COMPUTED_VALUE"""),"CB")</f>
        <v>CB</v>
      </c>
      <c r="G7885" t="str">
        <f>IFERROR(__xludf.DUMMYFUNCTION("""COMPUTED_VALUE"""),"")</f>
        <v/>
      </c>
    </row>
    <row r="7886">
      <c r="D7886" t="str">
        <f>IFERROR(__xludf.DUMMYFUNCTION("""COMPUTED_VALUE"""),"Harris")</f>
        <v>Harris</v>
      </c>
      <c r="E7886" t="str">
        <f>IFERROR(__xludf.DUMMYFUNCTION("""COMPUTED_VALUE"""),"Demetrius")</f>
        <v>Demetrius</v>
      </c>
      <c r="F7886" t="str">
        <f>IFERROR(__xludf.DUMMYFUNCTION("""COMPUTED_VALUE"""),"TE")</f>
        <v>TE</v>
      </c>
      <c r="G7886" t="str">
        <f>IFERROR(__xludf.DUMMYFUNCTION("""COMPUTED_VALUE"""),"")</f>
        <v/>
      </c>
    </row>
    <row r="7887">
      <c r="D7887" t="str">
        <f>IFERROR(__xludf.DUMMYFUNCTION("""COMPUTED_VALUE"""),"Harris")</f>
        <v>Harris</v>
      </c>
      <c r="E7887" t="str">
        <f>IFERROR(__xludf.DUMMYFUNCTION("""COMPUTED_VALUE"""),"Demone")</f>
        <v>Demone</v>
      </c>
      <c r="F7887" t="str">
        <f>IFERROR(__xludf.DUMMYFUNCTION("""COMPUTED_VALUE"""),"LOLB")</f>
        <v>LOLB</v>
      </c>
      <c r="G7887" t="str">
        <f>IFERROR(__xludf.DUMMYFUNCTION("""COMPUTED_VALUE"""),"")</f>
        <v/>
      </c>
    </row>
    <row r="7888">
      <c r="D7888" t="str">
        <f>IFERROR(__xludf.DUMMYFUNCTION("""COMPUTED_VALUE"""),"Harris")</f>
        <v>Harris</v>
      </c>
      <c r="E7888" t="str">
        <f>IFERROR(__xludf.DUMMYFUNCTION("""COMPUTED_VALUE"""),"Dwayne")</f>
        <v>Dwayne</v>
      </c>
      <c r="F7888" t="str">
        <f>IFERROR(__xludf.DUMMYFUNCTION("""COMPUTED_VALUE"""),"WR")</f>
        <v>WR</v>
      </c>
      <c r="G7888" t="str">
        <f>IFERROR(__xludf.DUMMYFUNCTION("""COMPUTED_VALUE"""),"")</f>
        <v/>
      </c>
    </row>
    <row r="7889">
      <c r="D7889" t="str">
        <f>IFERROR(__xludf.DUMMYFUNCTION("""COMPUTED_VALUE"""),"Harris")</f>
        <v>Harris</v>
      </c>
      <c r="E7889" t="str">
        <f>IFERROR(__xludf.DUMMYFUNCTION("""COMPUTED_VALUE"""),"Erik")</f>
        <v>Erik</v>
      </c>
      <c r="F7889" t="str">
        <f>IFERROR(__xludf.DUMMYFUNCTION("""COMPUTED_VALUE"""),"FS")</f>
        <v>FS</v>
      </c>
      <c r="G7889" t="str">
        <f>IFERROR(__xludf.DUMMYFUNCTION("""COMPUTED_VALUE"""),"")</f>
        <v/>
      </c>
    </row>
    <row r="7890">
      <c r="D7890" t="str">
        <f>IFERROR(__xludf.DUMMYFUNCTION("""COMPUTED_VALUE"""),"Harris")</f>
        <v>Harris</v>
      </c>
      <c r="E7890" t="str">
        <f>IFERROR(__xludf.DUMMYFUNCTION("""COMPUTED_VALUE"""),"Josh")</f>
        <v>Josh</v>
      </c>
      <c r="F7890" t="str">
        <f>IFERROR(__xludf.DUMMYFUNCTION("""COMPUTED_VALUE"""),"TE")</f>
        <v>TE</v>
      </c>
      <c r="G7890" t="str">
        <f>IFERROR(__xludf.DUMMYFUNCTION("""COMPUTED_VALUE"""),"")</f>
        <v/>
      </c>
    </row>
    <row r="7891">
      <c r="D7891" t="str">
        <f>IFERROR(__xludf.DUMMYFUNCTION("""COMPUTED_VALUE"""),"Harris")</f>
        <v>Harris</v>
      </c>
      <c r="E7891" t="str">
        <f>IFERROR(__xludf.DUMMYFUNCTION("""COMPUTED_VALUE"""),"Marcell")</f>
        <v>Marcell</v>
      </c>
      <c r="F7891" t="str">
        <f>IFERROR(__xludf.DUMMYFUNCTION("""COMPUTED_VALUE"""),"SS")</f>
        <v>SS</v>
      </c>
      <c r="G7891" t="str">
        <f>IFERROR(__xludf.DUMMYFUNCTION("""COMPUTED_VALUE"""),"")</f>
        <v/>
      </c>
    </row>
    <row r="7892">
      <c r="D7892" t="str">
        <f>IFERROR(__xludf.DUMMYFUNCTION("""COMPUTED_VALUE"""),"Harris")</f>
        <v>Harris</v>
      </c>
      <c r="E7892" t="str">
        <f>IFERROR(__xludf.DUMMYFUNCTION("""COMPUTED_VALUE"""),"Maurice")</f>
        <v>Maurice</v>
      </c>
      <c r="F7892" t="str">
        <f>IFERROR(__xludf.DUMMYFUNCTION("""COMPUTED_VALUE"""),"WR")</f>
        <v>WR</v>
      </c>
      <c r="G7892" t="str">
        <f>IFERROR(__xludf.DUMMYFUNCTION("""COMPUTED_VALUE"""),"")</f>
        <v/>
      </c>
    </row>
    <row r="7893">
      <c r="D7893" t="str">
        <f>IFERROR(__xludf.DUMMYFUNCTION("""COMPUTED_VALUE"""),"Harris")</f>
        <v>Harris</v>
      </c>
      <c r="E7893" t="str">
        <f>IFERROR(__xludf.DUMMYFUNCTION("""COMPUTED_VALUE"""),"Nigel")</f>
        <v>Nigel</v>
      </c>
      <c r="F7893" t="str">
        <f>IFERROR(__xludf.DUMMYFUNCTION("""COMPUTED_VALUE"""),"MLB")</f>
        <v>MLB</v>
      </c>
      <c r="G7893" t="str">
        <f>IFERROR(__xludf.DUMMYFUNCTION("""COMPUTED_VALUE"""),"")</f>
        <v/>
      </c>
    </row>
    <row r="7894">
      <c r="D7894" t="str">
        <f>IFERROR(__xludf.DUMMYFUNCTION("""COMPUTED_VALUE"""),"Harris")</f>
        <v>Harris</v>
      </c>
      <c r="E7894" t="str">
        <f>IFERROR(__xludf.DUMMYFUNCTION("""COMPUTED_VALUE"""),"Shelby")</f>
        <v>Shelby</v>
      </c>
      <c r="F7894" t="str">
        <f>IFERROR(__xludf.DUMMYFUNCTION("""COMPUTED_VALUE"""),"DT")</f>
        <v>DT</v>
      </c>
      <c r="G7894" t="str">
        <f>IFERROR(__xludf.DUMMYFUNCTION("""COMPUTED_VALUE"""),"")</f>
        <v/>
      </c>
    </row>
    <row r="7895">
      <c r="D7895" t="str">
        <f>IFERROR(__xludf.DUMMYFUNCTION("""COMPUTED_VALUE"""),"Harris")</f>
        <v>Harris</v>
      </c>
      <c r="E7895" t="str">
        <f>IFERROR(__xludf.DUMMYFUNCTION("""COMPUTED_VALUE"""),"Tim")</f>
        <v>Tim</v>
      </c>
      <c r="F7895" t="str">
        <f>IFERROR(__xludf.DUMMYFUNCTION("""COMPUTED_VALUE"""),"CB")</f>
        <v>CB</v>
      </c>
      <c r="G7895" t="str">
        <f>IFERROR(__xludf.DUMMYFUNCTION("""COMPUTED_VALUE"""),"")</f>
        <v/>
      </c>
    </row>
    <row r="7896">
      <c r="D7896" t="str">
        <f>IFERROR(__xludf.DUMMYFUNCTION("""COMPUTED_VALUE"""),"Harris")</f>
        <v>Harris</v>
      </c>
      <c r="E7896" t="str">
        <f>IFERROR(__xludf.DUMMYFUNCTION("""COMPUTED_VALUE"""),"Will")</f>
        <v>Will</v>
      </c>
      <c r="F7896" t="str">
        <f>IFERROR(__xludf.DUMMYFUNCTION("""COMPUTED_VALUE"""),"FS")</f>
        <v>FS</v>
      </c>
      <c r="G7896" t="str">
        <f>IFERROR(__xludf.DUMMYFUNCTION("""COMPUTED_VALUE"""),"")</f>
        <v/>
      </c>
    </row>
    <row r="7897">
      <c r="D7897" t="str">
        <f>IFERROR(__xludf.DUMMYFUNCTION("""COMPUTED_VALUE"""),"Harrison")</f>
        <v>Harrison</v>
      </c>
      <c r="E7897" t="str">
        <f>IFERROR(__xludf.DUMMYFUNCTION("""COMPUTED_VALUE"""),"Damon")</f>
        <v>Damon</v>
      </c>
      <c r="F7897" t="str">
        <f>IFERROR(__xludf.DUMMYFUNCTION("""COMPUTED_VALUE"""),"DT")</f>
        <v>DT</v>
      </c>
      <c r="G7897" t="str">
        <f>IFERROR(__xludf.DUMMYFUNCTION("""COMPUTED_VALUE"""),"")</f>
        <v/>
      </c>
    </row>
    <row r="7898">
      <c r="D7898" t="str">
        <f>IFERROR(__xludf.DUMMYFUNCTION("""COMPUTED_VALUE"""),"Harrison")</f>
        <v>Harrison</v>
      </c>
      <c r="E7898" t="str">
        <f>IFERROR(__xludf.DUMMYFUNCTION("""COMPUTED_VALUE"""),"Jonotthan")</f>
        <v>Jonotthan</v>
      </c>
      <c r="F7898" t="str">
        <f>IFERROR(__xludf.DUMMYFUNCTION("""COMPUTED_VALUE"""),"C")</f>
        <v>C</v>
      </c>
      <c r="G7898" t="str">
        <f>IFERROR(__xludf.DUMMYFUNCTION("""COMPUTED_VALUE"""),"")</f>
        <v/>
      </c>
    </row>
    <row r="7899">
      <c r="D7899" t="str">
        <f>IFERROR(__xludf.DUMMYFUNCTION("""COMPUTED_VALUE"""),"Harrison")</f>
        <v>Harrison</v>
      </c>
      <c r="E7899" t="str">
        <f>IFERROR(__xludf.DUMMYFUNCTION("""COMPUTED_VALUE"""),"Ronnie")</f>
        <v>Ronnie</v>
      </c>
      <c r="F7899" t="str">
        <f>IFERROR(__xludf.DUMMYFUNCTION("""COMPUTED_VALUE"""),"SS")</f>
        <v>SS</v>
      </c>
      <c r="G7899" t="str">
        <f>IFERROR(__xludf.DUMMYFUNCTION("""COMPUTED_VALUE"""),"")</f>
        <v/>
      </c>
    </row>
    <row r="7900">
      <c r="D7900" t="str">
        <f>IFERROR(__xludf.DUMMYFUNCTION("""COMPUTED_VALUE"""),"Harry")</f>
        <v>Harry</v>
      </c>
      <c r="E7900" t="str">
        <f>IFERROR(__xludf.DUMMYFUNCTION("""COMPUTED_VALUE"""),"NKeal")</f>
        <v>NKeal</v>
      </c>
      <c r="F7900" t="str">
        <f>IFERROR(__xludf.DUMMYFUNCTION("""COMPUTED_VALUE"""),"WR")</f>
        <v>WR</v>
      </c>
      <c r="G7900" t="str">
        <f>IFERROR(__xludf.DUMMYFUNCTION("""COMPUTED_VALUE"""),"")</f>
        <v/>
      </c>
    </row>
    <row r="7901">
      <c r="D7901" t="str">
        <f>IFERROR(__xludf.DUMMYFUNCTION("""COMPUTED_VALUE"""),"Hart")</f>
        <v>Hart</v>
      </c>
      <c r="E7901" t="str">
        <f>IFERROR(__xludf.DUMMYFUNCTION("""COMPUTED_VALUE"""),"Bobby")</f>
        <v>Bobby</v>
      </c>
      <c r="F7901" t="str">
        <f>IFERROR(__xludf.DUMMYFUNCTION("""COMPUTED_VALUE"""),"RT")</f>
        <v>RT</v>
      </c>
      <c r="G7901" t="str">
        <f>IFERROR(__xludf.DUMMYFUNCTION("""COMPUTED_VALUE"""),"")</f>
        <v/>
      </c>
    </row>
    <row r="7902">
      <c r="D7902" t="str">
        <f>IFERROR(__xludf.DUMMYFUNCTION("""COMPUTED_VALUE"""),"Harvey-Clemons")</f>
        <v>Harvey-Clemons</v>
      </c>
      <c r="E7902" t="str">
        <f>IFERROR(__xludf.DUMMYFUNCTION("""COMPUTED_VALUE"""),"Josh")</f>
        <v>Josh</v>
      </c>
      <c r="F7902" t="str">
        <f>IFERROR(__xludf.DUMMYFUNCTION("""COMPUTED_VALUE"""),"MLB")</f>
        <v>MLB</v>
      </c>
      <c r="G7902" t="str">
        <f>IFERROR(__xludf.DUMMYFUNCTION("""COMPUTED_VALUE"""),"")</f>
        <v/>
      </c>
    </row>
    <row r="7903">
      <c r="D7903" t="str">
        <f>IFERROR(__xludf.DUMMYFUNCTION("""COMPUTED_VALUE"""),"Haskins")</f>
        <v>Haskins</v>
      </c>
      <c r="E7903" t="str">
        <f>IFERROR(__xludf.DUMMYFUNCTION("""COMPUTED_VALUE"""),"Dwayne")</f>
        <v>Dwayne</v>
      </c>
      <c r="F7903" t="str">
        <f>IFERROR(__xludf.DUMMYFUNCTION("""COMPUTED_VALUE"""),"QB")</f>
        <v>QB</v>
      </c>
      <c r="G7903" t="str">
        <f>IFERROR(__xludf.DUMMYFUNCTION("""COMPUTED_VALUE"""),"")</f>
        <v/>
      </c>
    </row>
    <row r="7904">
      <c r="D7904" t="str">
        <f>IFERROR(__xludf.DUMMYFUNCTION("""COMPUTED_VALUE"""),"Hassenauer")</f>
        <v>Hassenauer</v>
      </c>
      <c r="E7904" t="str">
        <f>IFERROR(__xludf.DUMMYFUNCTION("""COMPUTED_VALUE"""),"JC")</f>
        <v>JC</v>
      </c>
      <c r="F7904" t="str">
        <f>IFERROR(__xludf.DUMMYFUNCTION("""COMPUTED_VALUE"""),"C")</f>
        <v>C</v>
      </c>
      <c r="G7904" t="str">
        <f>IFERROR(__xludf.DUMMYFUNCTION("""COMPUTED_VALUE"""),"")</f>
        <v/>
      </c>
    </row>
    <row r="7905">
      <c r="D7905" t="str">
        <f>IFERROR(__xludf.DUMMYFUNCTION("""COMPUTED_VALUE"""),"Hatcher")</f>
        <v>Hatcher</v>
      </c>
      <c r="E7905" t="str">
        <f>IFERROR(__xludf.DUMMYFUNCTION("""COMPUTED_VALUE"""),"Keon")</f>
        <v>Keon</v>
      </c>
      <c r="F7905" t="str">
        <f>IFERROR(__xludf.DUMMYFUNCTION("""COMPUTED_VALUE"""),"WR")</f>
        <v>WR</v>
      </c>
      <c r="G7905" t="str">
        <f>IFERROR(__xludf.DUMMYFUNCTION("""COMPUTED_VALUE"""),"")</f>
        <v/>
      </c>
    </row>
    <row r="7906">
      <c r="D7906" t="str">
        <f>IFERROR(__xludf.DUMMYFUNCTION("""COMPUTED_VALUE"""),"Hatfield")</f>
        <v>Hatfield</v>
      </c>
      <c r="E7906" t="str">
        <f>IFERROR(__xludf.DUMMYFUNCTION("""COMPUTED_VALUE"""),"Dominique")</f>
        <v>Dominique</v>
      </c>
      <c r="F7906" t="str">
        <f>IFERROR(__xludf.DUMMYFUNCTION("""COMPUTED_VALUE"""),"CB")</f>
        <v>CB</v>
      </c>
      <c r="G7906" t="str">
        <f>IFERROR(__xludf.DUMMYFUNCTION("""COMPUTED_VALUE"""),"")</f>
        <v/>
      </c>
    </row>
    <row r="7907">
      <c r="D7907" t="str">
        <f>IFERROR(__xludf.DUMMYFUNCTION("""COMPUTED_VALUE"""),"Hauschka")</f>
        <v>Hauschka</v>
      </c>
      <c r="E7907" t="str">
        <f>IFERROR(__xludf.DUMMYFUNCTION("""COMPUTED_VALUE"""),"Stephen")</f>
        <v>Stephen</v>
      </c>
      <c r="F7907" t="str">
        <f>IFERROR(__xludf.DUMMYFUNCTION("""COMPUTED_VALUE"""),"K")</f>
        <v>K</v>
      </c>
      <c r="G7907" t="str">
        <f>IFERROR(__xludf.DUMMYFUNCTION("""COMPUTED_VALUE"""),"")</f>
        <v/>
      </c>
    </row>
    <row r="7908">
      <c r="D7908" t="str">
        <f>IFERROR(__xludf.DUMMYFUNCTION("""COMPUTED_VALUE"""),"Havenstein")</f>
        <v>Havenstein</v>
      </c>
      <c r="E7908" t="str">
        <f>IFERROR(__xludf.DUMMYFUNCTION("""COMPUTED_VALUE"""),"Rob")</f>
        <v>Rob</v>
      </c>
      <c r="F7908" t="str">
        <f>IFERROR(__xludf.DUMMYFUNCTION("""COMPUTED_VALUE"""),"RT")</f>
        <v>RT</v>
      </c>
      <c r="G7908" t="str">
        <f>IFERROR(__xludf.DUMMYFUNCTION("""COMPUTED_VALUE"""),"")</f>
        <v/>
      </c>
    </row>
    <row r="7909">
      <c r="D7909" t="str">
        <f>IFERROR(__xludf.DUMMYFUNCTION("""COMPUTED_VALUE"""),"Hawkins")</f>
        <v>Hawkins</v>
      </c>
      <c r="E7909" t="str">
        <f>IFERROR(__xludf.DUMMYFUNCTION("""COMPUTED_VALUE"""),"Jerald")</f>
        <v>Jerald</v>
      </c>
      <c r="F7909" t="str">
        <f>IFERROR(__xludf.DUMMYFUNCTION("""COMPUTED_VALUE"""),"LT")</f>
        <v>LT</v>
      </c>
      <c r="G7909" t="str">
        <f>IFERROR(__xludf.DUMMYFUNCTION("""COMPUTED_VALUE"""),"")</f>
        <v/>
      </c>
    </row>
    <row r="7910">
      <c r="D7910" t="str">
        <f>IFERROR(__xludf.DUMMYFUNCTION("""COMPUTED_VALUE"""),"Hawkins")</f>
        <v>Hawkins</v>
      </c>
      <c r="E7910" t="str">
        <f>IFERROR(__xludf.DUMMYFUNCTION("""COMPUTED_VALUE"""),"Josh")</f>
        <v>Josh</v>
      </c>
      <c r="F7910" t="str">
        <f>IFERROR(__xludf.DUMMYFUNCTION("""COMPUTED_VALUE"""),"CB")</f>
        <v>CB</v>
      </c>
      <c r="G7910" t="str">
        <f>IFERROR(__xludf.DUMMYFUNCTION("""COMPUTED_VALUE"""),"")</f>
        <v/>
      </c>
    </row>
    <row r="7911">
      <c r="D7911" t="str">
        <f>IFERROR(__xludf.DUMMYFUNCTION("""COMPUTED_VALUE"""),"Hayden")</f>
        <v>Hayden</v>
      </c>
      <c r="E7911" t="str">
        <f>IFERROR(__xludf.DUMMYFUNCTION("""COMPUTED_VALUE"""),"DJ")</f>
        <v>DJ</v>
      </c>
      <c r="F7911" t="str">
        <f>IFERROR(__xludf.DUMMYFUNCTION("""COMPUTED_VALUE"""),"CB")</f>
        <v>CB</v>
      </c>
      <c r="G7911" t="str">
        <f>IFERROR(__xludf.DUMMYFUNCTION("""COMPUTED_VALUE"""),"")</f>
        <v/>
      </c>
    </row>
    <row r="7912">
      <c r="D7912" t="str">
        <f>IFERROR(__xludf.DUMMYFUNCTION("""COMPUTED_VALUE"""),"Haynes")</f>
        <v>Haynes</v>
      </c>
      <c r="E7912" t="str">
        <f>IFERROR(__xludf.DUMMYFUNCTION("""COMPUTED_VALUE"""),"Marquis")</f>
        <v>Marquis</v>
      </c>
      <c r="F7912" t="str">
        <f>IFERROR(__xludf.DUMMYFUNCTION("""COMPUTED_VALUE"""),"RE")</f>
        <v>RE</v>
      </c>
      <c r="G7912" t="str">
        <f>IFERROR(__xludf.DUMMYFUNCTION("""COMPUTED_VALUE"""),"")</f>
        <v/>
      </c>
    </row>
    <row r="7913">
      <c r="D7913" t="str">
        <f>IFERROR(__xludf.DUMMYFUNCTION("""COMPUTED_VALUE"""),"Haynes")</f>
        <v>Haynes</v>
      </c>
      <c r="E7913" t="str">
        <f>IFERROR(__xludf.DUMMYFUNCTION("""COMPUTED_VALUE"""),"Phil")</f>
        <v>Phil</v>
      </c>
      <c r="F7913" t="str">
        <f>IFERROR(__xludf.DUMMYFUNCTION("""COMPUTED_VALUE"""),"LG")</f>
        <v>LG</v>
      </c>
      <c r="G7913" t="str">
        <f>IFERROR(__xludf.DUMMYFUNCTION("""COMPUTED_VALUE"""),"")</f>
        <v/>
      </c>
    </row>
    <row r="7914">
      <c r="D7914" t="str">
        <f>IFERROR(__xludf.DUMMYFUNCTION("""COMPUTED_VALUE"""),"Hayward")</f>
        <v>Hayward</v>
      </c>
      <c r="E7914" t="str">
        <f>IFERROR(__xludf.DUMMYFUNCTION("""COMPUTED_VALUE"""),"Casey")</f>
        <v>Casey</v>
      </c>
      <c r="F7914" t="str">
        <f>IFERROR(__xludf.DUMMYFUNCTION("""COMPUTED_VALUE"""),"CB")</f>
        <v>CB</v>
      </c>
      <c r="G7914" t="str">
        <f>IFERROR(__xludf.DUMMYFUNCTION("""COMPUTED_VALUE"""),"")</f>
        <v/>
      </c>
    </row>
    <row r="7915">
      <c r="D7915" t="str">
        <f>IFERROR(__xludf.DUMMYFUNCTION("""COMPUTED_VALUE"""),"Hearn")</f>
        <v>Hearn</v>
      </c>
      <c r="E7915" t="str">
        <f>IFERROR(__xludf.DUMMYFUNCTION("""COMPUTED_VALUE"""),"Taylor")</f>
        <v>Taylor</v>
      </c>
      <c r="F7915" t="str">
        <f>IFERROR(__xludf.DUMMYFUNCTION("""COMPUTED_VALUE"""),"RG")</f>
        <v>RG</v>
      </c>
      <c r="G7915" t="str">
        <f>IFERROR(__xludf.DUMMYFUNCTION("""COMPUTED_VALUE"""),"")</f>
        <v/>
      </c>
    </row>
    <row r="7916">
      <c r="D7916" t="str">
        <f>IFERROR(__xludf.DUMMYFUNCTION("""COMPUTED_VALUE"""),"Heath")</f>
        <v>Heath</v>
      </c>
      <c r="E7916" t="str">
        <f>IFERROR(__xludf.DUMMYFUNCTION("""COMPUTED_VALUE"""),"Jeff")</f>
        <v>Jeff</v>
      </c>
      <c r="F7916" t="str">
        <f>IFERROR(__xludf.DUMMYFUNCTION("""COMPUTED_VALUE"""),"SS")</f>
        <v>SS</v>
      </c>
      <c r="G7916" t="str">
        <f>IFERROR(__xludf.DUMMYFUNCTION("""COMPUTED_VALUE"""),"")</f>
        <v/>
      </c>
    </row>
    <row r="7917">
      <c r="D7917" t="str">
        <f>IFERROR(__xludf.DUMMYFUNCTION("""COMPUTED_VALUE"""),"Heath")</f>
        <v>Heath</v>
      </c>
      <c r="E7917" t="str">
        <f>IFERROR(__xludf.DUMMYFUNCTION("""COMPUTED_VALUE"""),"Joel")</f>
        <v>Joel</v>
      </c>
      <c r="F7917" t="str">
        <f>IFERROR(__xludf.DUMMYFUNCTION("""COMPUTED_VALUE"""),"RE")</f>
        <v>RE</v>
      </c>
      <c r="G7917" t="str">
        <f>IFERROR(__xludf.DUMMYFUNCTION("""COMPUTED_VALUE"""),"")</f>
        <v/>
      </c>
    </row>
    <row r="7918">
      <c r="D7918" t="str">
        <f>IFERROR(__xludf.DUMMYFUNCTION("""COMPUTED_VALUE"""),"Hector")</f>
        <v>Hector</v>
      </c>
      <c r="E7918" t="str">
        <f>IFERROR(__xludf.DUMMYFUNCTION("""COMPUTED_VALUE"""),"Bruce")</f>
        <v>Bruce</v>
      </c>
      <c r="F7918" t="str">
        <f>IFERROR(__xludf.DUMMYFUNCTION("""COMPUTED_VALUE"""),"DT")</f>
        <v>DT</v>
      </c>
      <c r="G7918" t="str">
        <f>IFERROR(__xludf.DUMMYFUNCTION("""COMPUTED_VALUE"""),"")</f>
        <v/>
      </c>
    </row>
    <row r="7919">
      <c r="D7919" t="str">
        <f>IFERROR(__xludf.DUMMYFUNCTION("""COMPUTED_VALUE"""),"Heinicke")</f>
        <v>Heinicke</v>
      </c>
      <c r="E7919" t="str">
        <f>IFERROR(__xludf.DUMMYFUNCTION("""COMPUTED_VALUE"""),"Taylor")</f>
        <v>Taylor</v>
      </c>
      <c r="F7919" t="str">
        <f>IFERROR(__xludf.DUMMYFUNCTION("""COMPUTED_VALUE"""),"QB")</f>
        <v>QB</v>
      </c>
      <c r="G7919" t="str">
        <f>IFERROR(__xludf.DUMMYFUNCTION("""COMPUTED_VALUE"""),"")</f>
        <v/>
      </c>
    </row>
    <row r="7920">
      <c r="D7920" t="str">
        <f>IFERROR(__xludf.DUMMYFUNCTION("""COMPUTED_VALUE"""),"Hekker")</f>
        <v>Hekker</v>
      </c>
      <c r="E7920" t="str">
        <f>IFERROR(__xludf.DUMMYFUNCTION("""COMPUTED_VALUE"""),"Johnny")</f>
        <v>Johnny</v>
      </c>
      <c r="F7920" t="str">
        <f>IFERROR(__xludf.DUMMYFUNCTION("""COMPUTED_VALUE"""),"P")</f>
        <v>P</v>
      </c>
      <c r="G7920" t="str">
        <f>IFERROR(__xludf.DUMMYFUNCTION("""COMPUTED_VALUE"""),"")</f>
        <v/>
      </c>
    </row>
    <row r="7921">
      <c r="D7921" t="str">
        <f>IFERROR(__xludf.DUMMYFUNCTION("""COMPUTED_VALUE"""),"Helm")</f>
        <v>Helm</v>
      </c>
      <c r="E7921" t="str">
        <f>IFERROR(__xludf.DUMMYFUNCTION("""COMPUTED_VALUE"""),"Daniel")</f>
        <v>Daniel</v>
      </c>
      <c r="F7921" t="str">
        <f>IFERROR(__xludf.DUMMYFUNCTION("""COMPUTED_VALUE"""),"TE")</f>
        <v>TE</v>
      </c>
      <c r="G7921" t="str">
        <f>IFERROR(__xludf.DUMMYFUNCTION("""COMPUTED_VALUE"""),"")</f>
        <v/>
      </c>
    </row>
    <row r="7922">
      <c r="D7922" t="str">
        <f>IFERROR(__xludf.DUMMYFUNCTION("""COMPUTED_VALUE"""),"Hemingway")</f>
        <v>Hemingway</v>
      </c>
      <c r="E7922" t="str">
        <f>IFERROR(__xludf.DUMMYFUNCTION("""COMPUTED_VALUE"""),"Temarrick")</f>
        <v>Temarrick</v>
      </c>
      <c r="F7922" t="str">
        <f>IFERROR(__xludf.DUMMYFUNCTION("""COMPUTED_VALUE"""),"TE")</f>
        <v>TE</v>
      </c>
      <c r="G7922" t="str">
        <f>IFERROR(__xludf.DUMMYFUNCTION("""COMPUTED_VALUE"""),"")</f>
        <v/>
      </c>
    </row>
    <row r="7923">
      <c r="D7923" t="str">
        <f>IFERROR(__xludf.DUMMYFUNCTION("""COMPUTED_VALUE"""),"Henderson")</f>
        <v>Henderson</v>
      </c>
      <c r="E7923" t="str">
        <f>IFERROR(__xludf.DUMMYFUNCTION("""COMPUTED_VALUE"""),"Darrell")</f>
        <v>Darrell</v>
      </c>
      <c r="F7923" t="str">
        <f>IFERROR(__xludf.DUMMYFUNCTION("""COMPUTED_VALUE"""),"HB")</f>
        <v>HB</v>
      </c>
      <c r="G7923" t="str">
        <f>IFERROR(__xludf.DUMMYFUNCTION("""COMPUTED_VALUE"""),"")</f>
        <v/>
      </c>
    </row>
    <row r="7924">
      <c r="D7924" t="str">
        <f>IFERROR(__xludf.DUMMYFUNCTION("""COMPUTED_VALUE"""),"Henderson")</f>
        <v>Henderson</v>
      </c>
      <c r="E7924" t="str">
        <f>IFERROR(__xludf.DUMMYFUNCTION("""COMPUTED_VALUE"""),"DeAngelo")</f>
        <v>DeAngelo</v>
      </c>
      <c r="F7924" t="str">
        <f>IFERROR(__xludf.DUMMYFUNCTION("""COMPUTED_VALUE"""),"HB")</f>
        <v>HB</v>
      </c>
      <c r="G7924" t="str">
        <f>IFERROR(__xludf.DUMMYFUNCTION("""COMPUTED_VALUE"""),"")</f>
        <v/>
      </c>
    </row>
    <row r="7925">
      <c r="D7925" t="str">
        <f>IFERROR(__xludf.DUMMYFUNCTION("""COMPUTED_VALUE"""),"Henderson")</f>
        <v>Henderson</v>
      </c>
      <c r="E7925" t="str">
        <f>IFERROR(__xludf.DUMMYFUNCTION("""COMPUTED_VALUE"""),"Quadree")</f>
        <v>Quadree</v>
      </c>
      <c r="F7925" t="str">
        <f>IFERROR(__xludf.DUMMYFUNCTION("""COMPUTED_VALUE"""),"WR")</f>
        <v>WR</v>
      </c>
      <c r="G7925" t="str">
        <f>IFERROR(__xludf.DUMMYFUNCTION("""COMPUTED_VALUE"""),"")</f>
        <v/>
      </c>
    </row>
    <row r="7926">
      <c r="D7926" t="str">
        <f>IFERROR(__xludf.DUMMYFUNCTION("""COMPUTED_VALUE"""),"Henderson")</f>
        <v>Henderson</v>
      </c>
      <c r="E7926" t="str">
        <f>IFERROR(__xludf.DUMMYFUNCTION("""COMPUTED_VALUE"""),"Seantrel")</f>
        <v>Seantrel</v>
      </c>
      <c r="F7926" t="str">
        <f>IFERROR(__xludf.DUMMYFUNCTION("""COMPUTED_VALUE"""),"RT")</f>
        <v>RT</v>
      </c>
      <c r="G7926" t="str">
        <f>IFERROR(__xludf.DUMMYFUNCTION("""COMPUTED_VALUE"""),"")</f>
        <v/>
      </c>
    </row>
    <row r="7927">
      <c r="D7927" t="str">
        <f>IFERROR(__xludf.DUMMYFUNCTION("""COMPUTED_VALUE"""),"Henderson")</f>
        <v>Henderson</v>
      </c>
      <c r="E7927" t="str">
        <f>IFERROR(__xludf.DUMMYFUNCTION("""COMPUTED_VALUE"""),"Trayvon")</f>
        <v>Trayvon</v>
      </c>
      <c r="F7927" t="str">
        <f>IFERROR(__xludf.DUMMYFUNCTION("""COMPUTED_VALUE"""),"SS")</f>
        <v>SS</v>
      </c>
      <c r="G7927" t="str">
        <f>IFERROR(__xludf.DUMMYFUNCTION("""COMPUTED_VALUE"""),"")</f>
        <v/>
      </c>
    </row>
    <row r="7928">
      <c r="D7928" t="str">
        <f>IFERROR(__xludf.DUMMYFUNCTION("""COMPUTED_VALUE"""),"Hendrickson")</f>
        <v>Hendrickson</v>
      </c>
      <c r="E7928" t="str">
        <f>IFERROR(__xludf.DUMMYFUNCTION("""COMPUTED_VALUE"""),"Trey")</f>
        <v>Trey</v>
      </c>
      <c r="F7928" t="str">
        <f>IFERROR(__xludf.DUMMYFUNCTION("""COMPUTED_VALUE"""),"RE")</f>
        <v>RE</v>
      </c>
      <c r="G7928" t="str">
        <f>IFERROR(__xludf.DUMMYFUNCTION("""COMPUTED_VALUE"""),"")</f>
        <v/>
      </c>
    </row>
    <row r="7929">
      <c r="D7929" t="str">
        <f>IFERROR(__xludf.DUMMYFUNCTION("""COMPUTED_VALUE"""),"Hendy")</f>
        <v>Hendy</v>
      </c>
      <c r="E7929" t="str">
        <f>IFERROR(__xludf.DUMMYFUNCTION("""COMPUTED_VALUE"""),"AJ")</f>
        <v>AJ</v>
      </c>
      <c r="F7929" t="str">
        <f>IFERROR(__xludf.DUMMYFUNCTION("""COMPUTED_VALUE"""),"SS")</f>
        <v>SS</v>
      </c>
      <c r="G7929" t="str">
        <f>IFERROR(__xludf.DUMMYFUNCTION("""COMPUTED_VALUE"""),"")</f>
        <v/>
      </c>
    </row>
    <row r="7930">
      <c r="D7930" t="str">
        <f>IFERROR(__xludf.DUMMYFUNCTION("""COMPUTED_VALUE"""),"Henne")</f>
        <v>Henne</v>
      </c>
      <c r="E7930" t="str">
        <f>IFERROR(__xludf.DUMMYFUNCTION("""COMPUTED_VALUE"""),"Chad")</f>
        <v>Chad</v>
      </c>
      <c r="F7930" t="str">
        <f>IFERROR(__xludf.DUMMYFUNCTION("""COMPUTED_VALUE"""),"QB")</f>
        <v>QB</v>
      </c>
      <c r="G7930" t="str">
        <f>IFERROR(__xludf.DUMMYFUNCTION("""COMPUTED_VALUE"""),"")</f>
        <v/>
      </c>
    </row>
    <row r="7931">
      <c r="D7931" t="str">
        <f>IFERROR(__xludf.DUMMYFUNCTION("""COMPUTED_VALUE"""),"Hennessy")</f>
        <v>Hennessy</v>
      </c>
      <c r="E7931" t="str">
        <f>IFERROR(__xludf.DUMMYFUNCTION("""COMPUTED_VALUE"""),"Thomas")</f>
        <v>Thomas</v>
      </c>
      <c r="F7931" t="str">
        <f>IFERROR(__xludf.DUMMYFUNCTION("""COMPUTED_VALUE"""),"TE")</f>
        <v>TE</v>
      </c>
      <c r="G7931" t="str">
        <f>IFERROR(__xludf.DUMMYFUNCTION("""COMPUTED_VALUE"""),"")</f>
        <v/>
      </c>
    </row>
    <row r="7932">
      <c r="D7932" t="str">
        <f>IFERROR(__xludf.DUMMYFUNCTION("""COMPUTED_VALUE"""),"Henry")</f>
        <v>Henry</v>
      </c>
      <c r="E7932" t="str">
        <f>IFERROR(__xludf.DUMMYFUNCTION("""COMPUTED_VALUE"""),"Derrick")</f>
        <v>Derrick</v>
      </c>
      <c r="F7932" t="str">
        <f>IFERROR(__xludf.DUMMYFUNCTION("""COMPUTED_VALUE"""),"HB")</f>
        <v>HB</v>
      </c>
      <c r="G7932" t="str">
        <f>IFERROR(__xludf.DUMMYFUNCTION("""COMPUTED_VALUE"""),"")</f>
        <v/>
      </c>
    </row>
    <row r="7933">
      <c r="D7933" t="str">
        <f>IFERROR(__xludf.DUMMYFUNCTION("""COMPUTED_VALUE"""),"Henry")</f>
        <v>Henry</v>
      </c>
      <c r="E7933" t="str">
        <f>IFERROR(__xludf.DUMMYFUNCTION("""COMPUTED_VALUE"""),"Hunter")</f>
        <v>Hunter</v>
      </c>
      <c r="F7933" t="str">
        <f>IFERROR(__xludf.DUMMYFUNCTION("""COMPUTED_VALUE"""),"TE")</f>
        <v>TE</v>
      </c>
      <c r="G7933" t="str">
        <f>IFERROR(__xludf.DUMMYFUNCTION("""COMPUTED_VALUE"""),"")</f>
        <v/>
      </c>
    </row>
    <row r="7934">
      <c r="D7934" t="str">
        <f>IFERROR(__xludf.DUMMYFUNCTION("""COMPUTED_VALUE"""),"Henry")</f>
        <v>Henry</v>
      </c>
      <c r="E7934" t="str">
        <f>IFERROR(__xludf.DUMMYFUNCTION("""COMPUTED_VALUE"""),"Willie")</f>
        <v>Willie</v>
      </c>
      <c r="F7934" t="str">
        <f>IFERROR(__xludf.DUMMYFUNCTION("""COMPUTED_VALUE"""),"RE")</f>
        <v>RE</v>
      </c>
      <c r="G7934" t="str">
        <f>IFERROR(__xludf.DUMMYFUNCTION("""COMPUTED_VALUE"""),"")</f>
        <v/>
      </c>
    </row>
    <row r="7935">
      <c r="D7935" t="str">
        <f>IFERROR(__xludf.DUMMYFUNCTION("""COMPUTED_VALUE"""),"Hernandez")</f>
        <v>Hernandez</v>
      </c>
      <c r="E7935" t="str">
        <f>IFERROR(__xludf.DUMMYFUNCTION("""COMPUTED_VALUE"""),"Will")</f>
        <v>Will</v>
      </c>
      <c r="F7935" t="str">
        <f>IFERROR(__xludf.DUMMYFUNCTION("""COMPUTED_VALUE"""),"LG")</f>
        <v>LG</v>
      </c>
      <c r="G7935" t="str">
        <f>IFERROR(__xludf.DUMMYFUNCTION("""COMPUTED_VALUE"""),"")</f>
        <v/>
      </c>
    </row>
    <row r="7936">
      <c r="D7936" t="str">
        <f>IFERROR(__xludf.DUMMYFUNCTION("""COMPUTED_VALUE"""),"Herndon")</f>
        <v>Herndon</v>
      </c>
      <c r="E7936" t="str">
        <f>IFERROR(__xludf.DUMMYFUNCTION("""COMPUTED_VALUE"""),"Christopher")</f>
        <v>Christopher</v>
      </c>
      <c r="F7936" t="str">
        <f>IFERROR(__xludf.DUMMYFUNCTION("""COMPUTED_VALUE"""),"TE")</f>
        <v>TE</v>
      </c>
      <c r="G7936" t="str">
        <f>IFERROR(__xludf.DUMMYFUNCTION("""COMPUTED_VALUE"""),"")</f>
        <v/>
      </c>
    </row>
    <row r="7937">
      <c r="D7937" t="str">
        <f>IFERROR(__xludf.DUMMYFUNCTION("""COMPUTED_VALUE"""),"Herndon")</f>
        <v>Herndon</v>
      </c>
      <c r="E7937" t="str">
        <f>IFERROR(__xludf.DUMMYFUNCTION("""COMPUTED_VALUE"""),"Tre")</f>
        <v>Tre</v>
      </c>
      <c r="F7937" t="str">
        <f>IFERROR(__xludf.DUMMYFUNCTION("""COMPUTED_VALUE"""),"CB")</f>
        <v>CB</v>
      </c>
      <c r="G7937" t="str">
        <f>IFERROR(__xludf.DUMMYFUNCTION("""COMPUTED_VALUE"""),"")</f>
        <v/>
      </c>
    </row>
    <row r="7938">
      <c r="D7938" t="str">
        <f>IFERROR(__xludf.DUMMYFUNCTION("""COMPUTED_VALUE"""),"Hester")</f>
        <v>Hester</v>
      </c>
      <c r="E7938" t="str">
        <f>IFERROR(__xludf.DUMMYFUNCTION("""COMPUTED_VALUE"""),"Treyvon")</f>
        <v>Treyvon</v>
      </c>
      <c r="F7938" t="str">
        <f>IFERROR(__xludf.DUMMYFUNCTION("""COMPUTED_VALUE"""),"DT")</f>
        <v>DT</v>
      </c>
      <c r="G7938" t="str">
        <f>IFERROR(__xludf.DUMMYFUNCTION("""COMPUTED_VALUE"""),"")</f>
        <v/>
      </c>
    </row>
    <row r="7939">
      <c r="D7939" t="str">
        <f>IFERROR(__xludf.DUMMYFUNCTION("""COMPUTED_VALUE"""),"Heuerman")</f>
        <v>Heuerman</v>
      </c>
      <c r="E7939" t="str">
        <f>IFERROR(__xludf.DUMMYFUNCTION("""COMPUTED_VALUE"""),"Jeff")</f>
        <v>Jeff</v>
      </c>
      <c r="F7939" t="str">
        <f>IFERROR(__xludf.DUMMYFUNCTION("""COMPUTED_VALUE"""),"TE")</f>
        <v>TE</v>
      </c>
      <c r="G7939" t="str">
        <f>IFERROR(__xludf.DUMMYFUNCTION("""COMPUTED_VALUE"""),"")</f>
        <v/>
      </c>
    </row>
    <row r="7940">
      <c r="D7940" t="str">
        <f>IFERROR(__xludf.DUMMYFUNCTION("""COMPUTED_VALUE"""),"Hewitt")</f>
        <v>Hewitt</v>
      </c>
      <c r="E7940" t="str">
        <f>IFERROR(__xludf.DUMMYFUNCTION("""COMPUTED_VALUE"""),"Neville")</f>
        <v>Neville</v>
      </c>
      <c r="F7940" t="str">
        <f>IFERROR(__xludf.DUMMYFUNCTION("""COMPUTED_VALUE"""),"MLB")</f>
        <v>MLB</v>
      </c>
      <c r="G7940" t="str">
        <f>IFERROR(__xludf.DUMMYFUNCTION("""COMPUTED_VALUE"""),"")</f>
        <v/>
      </c>
    </row>
    <row r="7941">
      <c r="D7941" t="str">
        <f>IFERROR(__xludf.DUMMYFUNCTION("""COMPUTED_VALUE"""),"Heyward")</f>
        <v>Heyward</v>
      </c>
      <c r="E7941" t="str">
        <f>IFERROR(__xludf.DUMMYFUNCTION("""COMPUTED_VALUE"""),"Cameron")</f>
        <v>Cameron</v>
      </c>
      <c r="F7941" t="str">
        <f>IFERROR(__xludf.DUMMYFUNCTION("""COMPUTED_VALUE"""),"RE")</f>
        <v>RE</v>
      </c>
      <c r="G7941" t="str">
        <f>IFERROR(__xludf.DUMMYFUNCTION("""COMPUTED_VALUE"""),"")</f>
        <v/>
      </c>
    </row>
    <row r="7942">
      <c r="D7942" t="str">
        <f>IFERROR(__xludf.DUMMYFUNCTION("""COMPUTED_VALUE"""),"Hicks")</f>
        <v>Hicks</v>
      </c>
      <c r="E7942" t="str">
        <f>IFERROR(__xludf.DUMMYFUNCTION("""COMPUTED_VALUE"""),"Akiem")</f>
        <v>Akiem</v>
      </c>
      <c r="F7942" t="str">
        <f>IFERROR(__xludf.DUMMYFUNCTION("""COMPUTED_VALUE"""),"LE")</f>
        <v>LE</v>
      </c>
      <c r="G7942" t="str">
        <f>IFERROR(__xludf.DUMMYFUNCTION("""COMPUTED_VALUE"""),"")</f>
        <v/>
      </c>
    </row>
    <row r="7943">
      <c r="D7943" t="str">
        <f>IFERROR(__xludf.DUMMYFUNCTION("""COMPUTED_VALUE"""),"Hicks")</f>
        <v>Hicks</v>
      </c>
      <c r="E7943" t="str">
        <f>IFERROR(__xludf.DUMMYFUNCTION("""COMPUTED_VALUE"""),"Jordan")</f>
        <v>Jordan</v>
      </c>
      <c r="F7943" t="str">
        <f>IFERROR(__xludf.DUMMYFUNCTION("""COMPUTED_VALUE"""),"MLB")</f>
        <v>MLB</v>
      </c>
      <c r="G7943" t="str">
        <f>IFERROR(__xludf.DUMMYFUNCTION("""COMPUTED_VALUE"""),"")</f>
        <v/>
      </c>
    </row>
    <row r="7944">
      <c r="D7944" t="str">
        <f>IFERROR(__xludf.DUMMYFUNCTION("""COMPUTED_VALUE"""),"Higbee")</f>
        <v>Higbee</v>
      </c>
      <c r="E7944" t="str">
        <f>IFERROR(__xludf.DUMMYFUNCTION("""COMPUTED_VALUE"""),"Tyler")</f>
        <v>Tyler</v>
      </c>
      <c r="F7944" t="str">
        <f>IFERROR(__xludf.DUMMYFUNCTION("""COMPUTED_VALUE"""),"TE")</f>
        <v>TE</v>
      </c>
      <c r="G7944" t="str">
        <f>IFERROR(__xludf.DUMMYFUNCTION("""COMPUTED_VALUE"""),"")</f>
        <v/>
      </c>
    </row>
    <row r="7945">
      <c r="D7945" t="str">
        <f>IFERROR(__xludf.DUMMYFUNCTION("""COMPUTED_VALUE"""),"Higgins")</f>
        <v>Higgins</v>
      </c>
      <c r="E7945" t="str">
        <f>IFERROR(__xludf.DUMMYFUNCTION("""COMPUTED_VALUE"""),"Rashard")</f>
        <v>Rashard</v>
      </c>
      <c r="F7945" t="str">
        <f>IFERROR(__xludf.DUMMYFUNCTION("""COMPUTED_VALUE"""),"WR")</f>
        <v>WR</v>
      </c>
      <c r="G7945" t="str">
        <f>IFERROR(__xludf.DUMMYFUNCTION("""COMPUTED_VALUE"""),"")</f>
        <v/>
      </c>
    </row>
    <row r="7946">
      <c r="D7946" t="str">
        <f>IFERROR(__xludf.DUMMYFUNCTION("""COMPUTED_VALUE"""),"Hightower")</f>
        <v>Hightower</v>
      </c>
      <c r="E7946" t="str">
        <f>IFERROR(__xludf.DUMMYFUNCTION("""COMPUTED_VALUE"""),"Donta")</f>
        <v>Donta</v>
      </c>
      <c r="F7946" t="str">
        <f>IFERROR(__xludf.DUMMYFUNCTION("""COMPUTED_VALUE"""),"ROLB")</f>
        <v>ROLB</v>
      </c>
      <c r="G7946" t="str">
        <f>IFERROR(__xludf.DUMMYFUNCTION("""COMPUTED_VALUE"""),"")</f>
        <v/>
      </c>
    </row>
    <row r="7947">
      <c r="D7947" t="str">
        <f>IFERROR(__xludf.DUMMYFUNCTION("""COMPUTED_VALUE"""),"Hikutini")</f>
        <v>Hikutini</v>
      </c>
      <c r="E7947" t="str">
        <f>IFERROR(__xludf.DUMMYFUNCTION("""COMPUTED_VALUE"""),"Cole")</f>
        <v>Cole</v>
      </c>
      <c r="F7947" t="str">
        <f>IFERROR(__xludf.DUMMYFUNCTION("""COMPUTED_VALUE"""),"TE")</f>
        <v>TE</v>
      </c>
      <c r="G7947" t="str">
        <f>IFERROR(__xludf.DUMMYFUNCTION("""COMPUTED_VALUE"""),"")</f>
        <v/>
      </c>
    </row>
    <row r="7948">
      <c r="D7948" t="str">
        <f>IFERROR(__xludf.DUMMYFUNCTION("""COMPUTED_VALUE"""),"Hill")</f>
        <v>Hill</v>
      </c>
      <c r="E7948" t="str">
        <f>IFERROR(__xludf.DUMMYFUNCTION("""COMPUTED_VALUE"""),"BJ")</f>
        <v>BJ</v>
      </c>
      <c r="F7948" t="str">
        <f>IFERROR(__xludf.DUMMYFUNCTION("""COMPUTED_VALUE"""),"RE")</f>
        <v>RE</v>
      </c>
      <c r="G7948" t="str">
        <f>IFERROR(__xludf.DUMMYFUNCTION("""COMPUTED_VALUE"""),"")</f>
        <v/>
      </c>
    </row>
    <row r="7949">
      <c r="D7949" t="str">
        <f>IFERROR(__xludf.DUMMYFUNCTION("""COMPUTED_VALUE"""),"Hill")</f>
        <v>Hill</v>
      </c>
      <c r="E7949" t="str">
        <f>IFERROR(__xludf.DUMMYFUNCTION("""COMPUTED_VALUE"""),"Brian")</f>
        <v>Brian</v>
      </c>
      <c r="F7949" t="str">
        <f>IFERROR(__xludf.DUMMYFUNCTION("""COMPUTED_VALUE"""),"HB")</f>
        <v>HB</v>
      </c>
      <c r="G7949" t="str">
        <f>IFERROR(__xludf.DUMMYFUNCTION("""COMPUTED_VALUE"""),"")</f>
        <v/>
      </c>
    </row>
    <row r="7950">
      <c r="D7950" t="str">
        <f>IFERROR(__xludf.DUMMYFUNCTION("""COMPUTED_VALUE"""),"Hill")</f>
        <v>Hill</v>
      </c>
      <c r="E7950" t="str">
        <f>IFERROR(__xludf.DUMMYFUNCTION("""COMPUTED_VALUE"""),"Delano")</f>
        <v>Delano</v>
      </c>
      <c r="F7950" t="str">
        <f>IFERROR(__xludf.DUMMYFUNCTION("""COMPUTED_VALUE"""),"FS")</f>
        <v>FS</v>
      </c>
      <c r="G7950" t="str">
        <f>IFERROR(__xludf.DUMMYFUNCTION("""COMPUTED_VALUE"""),"")</f>
        <v/>
      </c>
    </row>
    <row r="7951">
      <c r="D7951" t="str">
        <f>IFERROR(__xludf.DUMMYFUNCTION("""COMPUTED_VALUE"""),"Hill")</f>
        <v>Hill</v>
      </c>
      <c r="E7951" t="str">
        <f>IFERROR(__xludf.DUMMYFUNCTION("""COMPUTED_VALUE"""),"Holton")</f>
        <v>Holton</v>
      </c>
      <c r="F7951" t="str">
        <f>IFERROR(__xludf.DUMMYFUNCTION("""COMPUTED_VALUE"""),"CB")</f>
        <v>CB</v>
      </c>
      <c r="G7951" t="str">
        <f>IFERROR(__xludf.DUMMYFUNCTION("""COMPUTED_VALUE"""),"")</f>
        <v/>
      </c>
    </row>
    <row r="7952">
      <c r="D7952" t="str">
        <f>IFERROR(__xludf.DUMMYFUNCTION("""COMPUTED_VALUE"""),"Hill")</f>
        <v>Hill</v>
      </c>
      <c r="E7952" t="str">
        <f>IFERROR(__xludf.DUMMYFUNCTION("""COMPUTED_VALUE"""),"Josh")</f>
        <v>Josh</v>
      </c>
      <c r="F7952" t="str">
        <f>IFERROR(__xludf.DUMMYFUNCTION("""COMPUTED_VALUE"""),"TE")</f>
        <v>TE</v>
      </c>
      <c r="G7952" t="str">
        <f>IFERROR(__xludf.DUMMYFUNCTION("""COMPUTED_VALUE"""),"")</f>
        <v/>
      </c>
    </row>
    <row r="7953">
      <c r="D7953" t="str">
        <f>IFERROR(__xludf.DUMMYFUNCTION("""COMPUTED_VALUE"""),"Hill")</f>
        <v>Hill</v>
      </c>
      <c r="E7953" t="str">
        <f>IFERROR(__xludf.DUMMYFUNCTION("""COMPUTED_VALUE"""),"Justice")</f>
        <v>Justice</v>
      </c>
      <c r="F7953" t="str">
        <f>IFERROR(__xludf.DUMMYFUNCTION("""COMPUTED_VALUE"""),"HB")</f>
        <v>HB</v>
      </c>
      <c r="G7953" t="str">
        <f>IFERROR(__xludf.DUMMYFUNCTION("""COMPUTED_VALUE"""),"")</f>
        <v/>
      </c>
    </row>
    <row r="7954">
      <c r="D7954" t="str">
        <f>IFERROR(__xludf.DUMMYFUNCTION("""COMPUTED_VALUE"""),"Hill")</f>
        <v>Hill</v>
      </c>
      <c r="E7954" t="str">
        <f>IFERROR(__xludf.DUMMYFUNCTION("""COMPUTED_VALUE"""),"Rashod")</f>
        <v>Rashod</v>
      </c>
      <c r="F7954" t="str">
        <f>IFERROR(__xludf.DUMMYFUNCTION("""COMPUTED_VALUE"""),"RT")</f>
        <v>RT</v>
      </c>
      <c r="G7954" t="str">
        <f>IFERROR(__xludf.DUMMYFUNCTION("""COMPUTED_VALUE"""),"")</f>
        <v/>
      </c>
    </row>
    <row r="7955">
      <c r="D7955" t="str">
        <f>IFERROR(__xludf.DUMMYFUNCTION("""COMPUTED_VALUE"""),"Hill")</f>
        <v>Hill</v>
      </c>
      <c r="E7955" t="str">
        <f>IFERROR(__xludf.DUMMYFUNCTION("""COMPUTED_VALUE"""),"Taysom")</f>
        <v>Taysom</v>
      </c>
      <c r="F7955" t="str">
        <f>IFERROR(__xludf.DUMMYFUNCTION("""COMPUTED_VALUE"""),"QB")</f>
        <v>QB</v>
      </c>
      <c r="G7955" t="str">
        <f>IFERROR(__xludf.DUMMYFUNCTION("""COMPUTED_VALUE"""),"")</f>
        <v/>
      </c>
    </row>
    <row r="7956">
      <c r="D7956" t="str">
        <f>IFERROR(__xludf.DUMMYFUNCTION("""COMPUTED_VALUE"""),"Hill")</f>
        <v>Hill</v>
      </c>
      <c r="E7956" t="str">
        <f>IFERROR(__xludf.DUMMYFUNCTION("""COMPUTED_VALUE"""),"Troy")</f>
        <v>Troy</v>
      </c>
      <c r="F7956" t="str">
        <f>IFERROR(__xludf.DUMMYFUNCTION("""COMPUTED_VALUE"""),"CB")</f>
        <v>CB</v>
      </c>
      <c r="G7956" t="str">
        <f>IFERROR(__xludf.DUMMYFUNCTION("""COMPUTED_VALUE"""),"")</f>
        <v/>
      </c>
    </row>
    <row r="7957">
      <c r="D7957" t="str">
        <f>IFERROR(__xludf.DUMMYFUNCTION("""COMPUTED_VALUE"""),"Hill")</f>
        <v>Hill</v>
      </c>
      <c r="E7957" t="str">
        <f>IFERROR(__xludf.DUMMYFUNCTION("""COMPUTED_VALUE"""),"Trysten")</f>
        <v>Trysten</v>
      </c>
      <c r="F7957" t="str">
        <f>IFERROR(__xludf.DUMMYFUNCTION("""COMPUTED_VALUE"""),"DT")</f>
        <v>DT</v>
      </c>
      <c r="G7957" t="str">
        <f>IFERROR(__xludf.DUMMYFUNCTION("""COMPUTED_VALUE"""),"")</f>
        <v/>
      </c>
    </row>
    <row r="7958">
      <c r="D7958" t="str">
        <f>IFERROR(__xludf.DUMMYFUNCTION("""COMPUTED_VALUE"""),"Hill")</f>
        <v>Hill</v>
      </c>
      <c r="E7958" t="str">
        <f>IFERROR(__xludf.DUMMYFUNCTION("""COMPUTED_VALUE"""),"Tyreek")</f>
        <v>Tyreek</v>
      </c>
      <c r="F7958" t="str">
        <f>IFERROR(__xludf.DUMMYFUNCTION("""COMPUTED_VALUE"""),"WR")</f>
        <v>WR</v>
      </c>
      <c r="G7958" t="str">
        <f>IFERROR(__xludf.DUMMYFUNCTION("""COMPUTED_VALUE"""),"")</f>
        <v/>
      </c>
    </row>
    <row r="7959">
      <c r="D7959" t="str">
        <f>IFERROR(__xludf.DUMMYFUNCTION("""COMPUTED_VALUE"""),"Hilland")</f>
        <v>Hilland</v>
      </c>
      <c r="E7959" t="str">
        <f>IFERROR(__xludf.DUMMYFUNCTION("""COMPUTED_VALUE"""),"Connor")</f>
        <v>Connor</v>
      </c>
      <c r="F7959" t="str">
        <f>IFERROR(__xludf.DUMMYFUNCTION("""COMPUTED_VALUE"""),"LG")</f>
        <v>LG</v>
      </c>
      <c r="G7959" t="str">
        <f>IFERROR(__xludf.DUMMYFUNCTION("""COMPUTED_VALUE"""),"")</f>
        <v/>
      </c>
    </row>
    <row r="7960">
      <c r="D7960" t="str">
        <f>IFERROR(__xludf.DUMMYFUNCTION("""COMPUTED_VALUE"""),"Hilliard")</f>
        <v>Hilliard</v>
      </c>
      <c r="E7960" t="str">
        <f>IFERROR(__xludf.DUMMYFUNCTION("""COMPUTED_VALUE"""),"Dontrell")</f>
        <v>Dontrell</v>
      </c>
      <c r="F7960" t="str">
        <f>IFERROR(__xludf.DUMMYFUNCTION("""COMPUTED_VALUE"""),"HB")</f>
        <v>HB</v>
      </c>
      <c r="G7960" t="str">
        <f>IFERROR(__xludf.DUMMYFUNCTION("""COMPUTED_VALUE"""),"")</f>
        <v/>
      </c>
    </row>
    <row r="7961">
      <c r="D7961" t="str">
        <f>IFERROR(__xludf.DUMMYFUNCTION("""COMPUTED_VALUE"""),"Hilton")</f>
        <v>Hilton</v>
      </c>
      <c r="E7961" t="str">
        <f>IFERROR(__xludf.DUMMYFUNCTION("""COMPUTED_VALUE"""),"Mike")</f>
        <v>Mike</v>
      </c>
      <c r="F7961" t="str">
        <f>IFERROR(__xludf.DUMMYFUNCTION("""COMPUTED_VALUE"""),"CB")</f>
        <v>CB</v>
      </c>
      <c r="G7961" t="str">
        <f>IFERROR(__xludf.DUMMYFUNCTION("""COMPUTED_VALUE"""),"")</f>
        <v/>
      </c>
    </row>
    <row r="7962">
      <c r="D7962" t="str">
        <f>IFERROR(__xludf.DUMMYFUNCTION("""COMPUTED_VALUE"""),"Hilton")</f>
        <v>Hilton</v>
      </c>
      <c r="E7962" t="str">
        <f>IFERROR(__xludf.DUMMYFUNCTION("""COMPUTED_VALUE"""),"TY")</f>
        <v>TY</v>
      </c>
      <c r="F7962" t="str">
        <f>IFERROR(__xludf.DUMMYFUNCTION("""COMPUTED_VALUE"""),"WR")</f>
        <v>WR</v>
      </c>
      <c r="G7962" t="str">
        <f>IFERROR(__xludf.DUMMYFUNCTION("""COMPUTED_VALUE"""),"")</f>
        <v/>
      </c>
    </row>
    <row r="7963">
      <c r="D7963" t="str">
        <f>IFERROR(__xludf.DUMMYFUNCTION("""COMPUTED_VALUE"""),"Hines")</f>
        <v>Hines</v>
      </c>
      <c r="E7963" t="str">
        <f>IFERROR(__xludf.DUMMYFUNCTION("""COMPUTED_VALUE"""),"Nyheim")</f>
        <v>Nyheim</v>
      </c>
      <c r="F7963" t="str">
        <f>IFERROR(__xludf.DUMMYFUNCTION("""COMPUTED_VALUE"""),"HB")</f>
        <v>HB</v>
      </c>
      <c r="G7963" t="str">
        <f>IFERROR(__xludf.DUMMYFUNCTION("""COMPUTED_VALUE"""),"")</f>
        <v/>
      </c>
    </row>
    <row r="7964">
      <c r="D7964" t="str">
        <f>IFERROR(__xludf.DUMMYFUNCTION("""COMPUTED_VALUE"""),"Hitchens")</f>
        <v>Hitchens</v>
      </c>
      <c r="E7964" t="str">
        <f>IFERROR(__xludf.DUMMYFUNCTION("""COMPUTED_VALUE"""),"Anthony")</f>
        <v>Anthony</v>
      </c>
      <c r="F7964" t="str">
        <f>IFERROR(__xludf.DUMMYFUNCTION("""COMPUTED_VALUE"""),"ROLB")</f>
        <v>ROLB</v>
      </c>
      <c r="G7964" t="str">
        <f>IFERROR(__xludf.DUMMYFUNCTION("""COMPUTED_VALUE"""),"")</f>
        <v/>
      </c>
    </row>
    <row r="7965">
      <c r="D7965" t="str">
        <f>IFERROR(__xludf.DUMMYFUNCTION("""COMPUTED_VALUE"""),"Hockenson")</f>
        <v>Hockenson</v>
      </c>
      <c r="E7965" t="str">
        <f>IFERROR(__xludf.DUMMYFUNCTION("""COMPUTED_VALUE"""),"TJ")</f>
        <v>TJ</v>
      </c>
      <c r="F7965" t="str">
        <f>IFERROR(__xludf.DUMMYFUNCTION("""COMPUTED_VALUE"""),"TE")</f>
        <v>TE</v>
      </c>
      <c r="G7965" t="str">
        <f>IFERROR(__xludf.DUMMYFUNCTION("""COMPUTED_VALUE"""),"")</f>
        <v/>
      </c>
    </row>
    <row r="7966">
      <c r="D7966" t="str">
        <f>IFERROR(__xludf.DUMMYFUNCTION("""COMPUTED_VALUE"""),"Hodge")</f>
        <v>Hodge</v>
      </c>
      <c r="E7966" t="str">
        <f>IFERROR(__xludf.DUMMYFUNCTION("""COMPUTED_VALUE"""),"KhaDarel")</f>
        <v>KhaDarel</v>
      </c>
      <c r="F7966" t="str">
        <f>IFERROR(__xludf.DUMMYFUNCTION("""COMPUTED_VALUE"""),"WR")</f>
        <v>WR</v>
      </c>
      <c r="G7966" t="str">
        <f>IFERROR(__xludf.DUMMYFUNCTION("""COMPUTED_VALUE"""),"")</f>
        <v/>
      </c>
    </row>
    <row r="7967">
      <c r="D7967" t="str">
        <f>IFERROR(__xludf.DUMMYFUNCTION("""COMPUTED_VALUE"""),"Hogan")</f>
        <v>Hogan</v>
      </c>
      <c r="E7967" t="str">
        <f>IFERROR(__xludf.DUMMYFUNCTION("""COMPUTED_VALUE"""),"Chris")</f>
        <v>Chris</v>
      </c>
      <c r="F7967" t="str">
        <f>IFERROR(__xludf.DUMMYFUNCTION("""COMPUTED_VALUE"""),"WR")</f>
        <v>WR</v>
      </c>
      <c r="G7967" t="str">
        <f>IFERROR(__xludf.DUMMYFUNCTION("""COMPUTED_VALUE"""),"")</f>
        <v/>
      </c>
    </row>
    <row r="7968">
      <c r="D7968" t="str">
        <f>IFERROR(__xludf.DUMMYFUNCTION("""COMPUTED_VALUE"""),"Hogan")</f>
        <v>Hogan</v>
      </c>
      <c r="E7968" t="str">
        <f>IFERROR(__xludf.DUMMYFUNCTION("""COMPUTED_VALUE"""),"Kevin")</f>
        <v>Kevin</v>
      </c>
      <c r="F7968" t="str">
        <f>IFERROR(__xludf.DUMMYFUNCTION("""COMPUTED_VALUE"""),"QB")</f>
        <v>QB</v>
      </c>
      <c r="G7968" t="str">
        <f>IFERROR(__xludf.DUMMYFUNCTION("""COMPUTED_VALUE"""),"")</f>
        <v/>
      </c>
    </row>
    <row r="7969">
      <c r="D7969" t="str">
        <f>IFERROR(__xludf.DUMMYFUNCTION("""COMPUTED_VALUE"""),"Holba")</f>
        <v>Holba</v>
      </c>
      <c r="E7969" t="str">
        <f>IFERROR(__xludf.DUMMYFUNCTION("""COMPUTED_VALUE"""),"Colin")</f>
        <v>Colin</v>
      </c>
      <c r="F7969" t="str">
        <f>IFERROR(__xludf.DUMMYFUNCTION("""COMPUTED_VALUE"""),"TE")</f>
        <v>TE</v>
      </c>
      <c r="G7969" t="str">
        <f>IFERROR(__xludf.DUMMYFUNCTION("""COMPUTED_VALUE"""),"")</f>
        <v/>
      </c>
    </row>
    <row r="7970">
      <c r="D7970" t="str">
        <f>IFERROR(__xludf.DUMMYFUNCTION("""COMPUTED_VALUE"""),"Holcomb")</f>
        <v>Holcomb</v>
      </c>
      <c r="E7970" t="str">
        <f>IFERROR(__xludf.DUMMYFUNCTION("""COMPUTED_VALUE"""),"Cole")</f>
        <v>Cole</v>
      </c>
      <c r="F7970" t="str">
        <f>IFERROR(__xludf.DUMMYFUNCTION("""COMPUTED_VALUE"""),"MLB")</f>
        <v>MLB</v>
      </c>
      <c r="G7970" t="str">
        <f>IFERROR(__xludf.DUMMYFUNCTION("""COMPUTED_VALUE"""),"")</f>
        <v/>
      </c>
    </row>
    <row r="7971">
      <c r="D7971" t="str">
        <f>IFERROR(__xludf.DUMMYFUNCTION("""COMPUTED_VALUE"""),"Holden")</f>
        <v>Holden</v>
      </c>
      <c r="E7971" t="str">
        <f>IFERROR(__xludf.DUMMYFUNCTION("""COMPUTED_VALUE"""),"Will")</f>
        <v>Will</v>
      </c>
      <c r="F7971" t="str">
        <f>IFERROR(__xludf.DUMMYFUNCTION("""COMPUTED_VALUE"""),"RT")</f>
        <v>RT</v>
      </c>
      <c r="G7971" t="str">
        <f>IFERROR(__xludf.DUMMYFUNCTION("""COMPUTED_VALUE"""),"")</f>
        <v/>
      </c>
    </row>
    <row r="7972">
      <c r="D7972" t="str">
        <f>IFERROR(__xludf.DUMMYFUNCTION("""COMPUTED_VALUE"""),"Holder")</f>
        <v>Holder</v>
      </c>
      <c r="E7972" t="str">
        <f>IFERROR(__xludf.DUMMYFUNCTION("""COMPUTED_VALUE"""),"Alijah")</f>
        <v>Alijah</v>
      </c>
      <c r="F7972" t="str">
        <f>IFERROR(__xludf.DUMMYFUNCTION("""COMPUTED_VALUE"""),"CB")</f>
        <v>CB</v>
      </c>
      <c r="G7972" t="str">
        <f>IFERROR(__xludf.DUMMYFUNCTION("""COMPUTED_VALUE"""),"")</f>
        <v/>
      </c>
    </row>
    <row r="7973">
      <c r="D7973" t="str">
        <f>IFERROR(__xludf.DUMMYFUNCTION("""COMPUTED_VALUE"""),"Holland")</f>
        <v>Holland</v>
      </c>
      <c r="E7973" t="str">
        <f>IFERROR(__xludf.DUMMYFUNCTION("""COMPUTED_VALUE"""),"Jeff")</f>
        <v>Jeff</v>
      </c>
      <c r="F7973" t="str">
        <f>IFERROR(__xludf.DUMMYFUNCTION("""COMPUTED_VALUE"""),"LOLB")</f>
        <v>LOLB</v>
      </c>
      <c r="G7973" t="str">
        <f>IFERROR(__xludf.DUMMYFUNCTION("""COMPUTED_VALUE"""),"")</f>
        <v/>
      </c>
    </row>
    <row r="7974">
      <c r="D7974" t="str">
        <f>IFERROR(__xludf.DUMMYFUNCTION("""COMPUTED_VALUE"""),"Hollins")</f>
        <v>Hollins</v>
      </c>
      <c r="E7974" t="str">
        <f>IFERROR(__xludf.DUMMYFUNCTION("""COMPUTED_VALUE"""),"Justin")</f>
        <v>Justin</v>
      </c>
      <c r="F7974" t="str">
        <f>IFERROR(__xludf.DUMMYFUNCTION("""COMPUTED_VALUE"""),"LOLB")</f>
        <v>LOLB</v>
      </c>
      <c r="G7974" t="str">
        <f>IFERROR(__xludf.DUMMYFUNCTION("""COMPUTED_VALUE"""),"")</f>
        <v/>
      </c>
    </row>
    <row r="7975">
      <c r="D7975" t="str">
        <f>IFERROR(__xludf.DUMMYFUNCTION("""COMPUTED_VALUE"""),"Hollins")</f>
        <v>Hollins</v>
      </c>
      <c r="E7975" t="str">
        <f>IFERROR(__xludf.DUMMYFUNCTION("""COMPUTED_VALUE"""),"Mack")</f>
        <v>Mack</v>
      </c>
      <c r="F7975" t="str">
        <f>IFERROR(__xludf.DUMMYFUNCTION("""COMPUTED_VALUE"""),"WR")</f>
        <v>WR</v>
      </c>
      <c r="G7975" t="str">
        <f>IFERROR(__xludf.DUMMYFUNCTION("""COMPUTED_VALUE"""),"")</f>
        <v/>
      </c>
    </row>
    <row r="7976">
      <c r="D7976" t="str">
        <f>IFERROR(__xludf.DUMMYFUNCTION("""COMPUTED_VALUE"""),"Hollister")</f>
        <v>Hollister</v>
      </c>
      <c r="E7976" t="str">
        <f>IFERROR(__xludf.DUMMYFUNCTION("""COMPUTED_VALUE"""),"Jacob")</f>
        <v>Jacob</v>
      </c>
      <c r="F7976" t="str">
        <f>IFERROR(__xludf.DUMMYFUNCTION("""COMPUTED_VALUE"""),"TE")</f>
        <v>TE</v>
      </c>
      <c r="G7976" t="str">
        <f>IFERROR(__xludf.DUMMYFUNCTION("""COMPUTED_VALUE"""),"")</f>
        <v/>
      </c>
    </row>
    <row r="7977">
      <c r="D7977" t="str">
        <f>IFERROR(__xludf.DUMMYFUNCTION("""COMPUTED_VALUE"""),"Hollman")</f>
        <v>Hollman</v>
      </c>
      <c r="E7977" t="str">
        <f>IFERROR(__xludf.DUMMYFUNCTION("""COMPUTED_VALUE"""),"KaDar")</f>
        <v>KaDar</v>
      </c>
      <c r="F7977" t="str">
        <f>IFERROR(__xludf.DUMMYFUNCTION("""COMPUTED_VALUE"""),"CB")</f>
        <v>CB</v>
      </c>
      <c r="G7977" t="str">
        <f>IFERROR(__xludf.DUMMYFUNCTION("""COMPUTED_VALUE"""),"")</f>
        <v/>
      </c>
    </row>
    <row r="7978">
      <c r="D7978" t="str">
        <f>IFERROR(__xludf.DUMMYFUNCTION("""COMPUTED_VALUE"""),"Holmes")</f>
        <v>Holmes</v>
      </c>
      <c r="E7978" t="str">
        <f>IFERROR(__xludf.DUMMYFUNCTION("""COMPUTED_VALUE"""),"Andre")</f>
        <v>Andre</v>
      </c>
      <c r="F7978" t="str">
        <f>IFERROR(__xludf.DUMMYFUNCTION("""COMPUTED_VALUE"""),"WR")</f>
        <v>WR</v>
      </c>
      <c r="G7978" t="str">
        <f>IFERROR(__xludf.DUMMYFUNCTION("""COMPUTED_VALUE"""),"")</f>
        <v/>
      </c>
    </row>
    <row r="7979">
      <c r="D7979" t="str">
        <f>IFERROR(__xludf.DUMMYFUNCTION("""COMPUTED_VALUE"""),"Holmes")</f>
        <v>Holmes</v>
      </c>
      <c r="E7979" t="str">
        <f>IFERROR(__xludf.DUMMYFUNCTION("""COMPUTED_VALUE"""),"Jalyn")</f>
        <v>Jalyn</v>
      </c>
      <c r="F7979" t="str">
        <f>IFERROR(__xludf.DUMMYFUNCTION("""COMPUTED_VALUE"""),"DT")</f>
        <v>DT</v>
      </c>
      <c r="G7979" t="str">
        <f>IFERROR(__xludf.DUMMYFUNCTION("""COMPUTED_VALUE"""),"")</f>
        <v/>
      </c>
    </row>
    <row r="7980">
      <c r="D7980" t="str">
        <f>IFERROR(__xludf.DUMMYFUNCTION("""COMPUTED_VALUE"""),"Holmes")</f>
        <v>Holmes</v>
      </c>
      <c r="E7980" t="str">
        <f>IFERROR(__xludf.DUMMYFUNCTION("""COMPUTED_VALUE"""),"Tyrone")</f>
        <v>Tyrone</v>
      </c>
      <c r="F7980" t="str">
        <f>IFERROR(__xludf.DUMMYFUNCTION("""COMPUTED_VALUE"""),"LOLB")</f>
        <v>LOLB</v>
      </c>
      <c r="G7980" t="str">
        <f>IFERROR(__xludf.DUMMYFUNCTION("""COMPUTED_VALUE"""),"")</f>
        <v/>
      </c>
    </row>
    <row r="7981">
      <c r="D7981" t="str">
        <f>IFERROR(__xludf.DUMMYFUNCTION("""COMPUTED_VALUE"""),"Holton")</f>
        <v>Holton</v>
      </c>
      <c r="E7981" t="str">
        <f>IFERROR(__xludf.DUMMYFUNCTION("""COMPUTED_VALUE"""),"Johnny")</f>
        <v>Johnny</v>
      </c>
      <c r="F7981" t="str">
        <f>IFERROR(__xludf.DUMMYFUNCTION("""COMPUTED_VALUE"""),"WR")</f>
        <v>WR</v>
      </c>
      <c r="G7981" t="str">
        <f>IFERROR(__xludf.DUMMYFUNCTION("""COMPUTED_VALUE"""),"")</f>
        <v/>
      </c>
    </row>
    <row r="7982">
      <c r="D7982" t="str">
        <f>IFERROR(__xludf.DUMMYFUNCTION("""COMPUTED_VALUE"""),"Holyfield")</f>
        <v>Holyfield</v>
      </c>
      <c r="E7982" t="str">
        <f>IFERROR(__xludf.DUMMYFUNCTION("""COMPUTED_VALUE"""),"Elijah")</f>
        <v>Elijah</v>
      </c>
      <c r="F7982" t="str">
        <f>IFERROR(__xludf.DUMMYFUNCTION("""COMPUTED_VALUE"""),"HB")</f>
        <v>HB</v>
      </c>
      <c r="G7982" t="str">
        <f>IFERROR(__xludf.DUMMYFUNCTION("""COMPUTED_VALUE"""),"")</f>
        <v/>
      </c>
    </row>
    <row r="7983">
      <c r="D7983" t="str">
        <f>IFERROR(__xludf.DUMMYFUNCTION("""COMPUTED_VALUE"""),"Homer")</f>
        <v>Homer</v>
      </c>
      <c r="E7983" t="str">
        <f>IFERROR(__xludf.DUMMYFUNCTION("""COMPUTED_VALUE"""),"Travis")</f>
        <v>Travis</v>
      </c>
      <c r="F7983" t="str">
        <f>IFERROR(__xludf.DUMMYFUNCTION("""COMPUTED_VALUE"""),"HB")</f>
        <v>HB</v>
      </c>
      <c r="G7983" t="str">
        <f>IFERROR(__xludf.DUMMYFUNCTION("""COMPUTED_VALUE"""),"")</f>
        <v/>
      </c>
    </row>
    <row r="7984">
      <c r="D7984" t="str">
        <f>IFERROR(__xludf.DUMMYFUNCTION("""COMPUTED_VALUE"""),"Hood")</f>
        <v>Hood</v>
      </c>
      <c r="E7984" t="str">
        <f>IFERROR(__xludf.DUMMYFUNCTION("""COMPUTED_VALUE"""),"Elijah")</f>
        <v>Elijah</v>
      </c>
      <c r="F7984" t="str">
        <f>IFERROR(__xludf.DUMMYFUNCTION("""COMPUTED_VALUE"""),"HB")</f>
        <v>HB</v>
      </c>
      <c r="G7984" t="str">
        <f>IFERROR(__xludf.DUMMYFUNCTION("""COMPUTED_VALUE"""),"")</f>
        <v/>
      </c>
    </row>
    <row r="7985">
      <c r="D7985" t="str">
        <f>IFERROR(__xludf.DUMMYFUNCTION("""COMPUTED_VALUE"""),"Hooker")</f>
        <v>Hooker</v>
      </c>
      <c r="E7985" t="str">
        <f>IFERROR(__xludf.DUMMYFUNCTION("""COMPUTED_VALUE"""),"Amani")</f>
        <v>Amani</v>
      </c>
      <c r="F7985" t="str">
        <f>IFERROR(__xludf.DUMMYFUNCTION("""COMPUTED_VALUE"""),"SS")</f>
        <v>SS</v>
      </c>
      <c r="G7985" t="str">
        <f>IFERROR(__xludf.DUMMYFUNCTION("""COMPUTED_VALUE"""),"")</f>
        <v/>
      </c>
    </row>
    <row r="7986">
      <c r="D7986" t="str">
        <f>IFERROR(__xludf.DUMMYFUNCTION("""COMPUTED_VALUE"""),"Hooker")</f>
        <v>Hooker</v>
      </c>
      <c r="E7986" t="str">
        <f>IFERROR(__xludf.DUMMYFUNCTION("""COMPUTED_VALUE"""),"Malik")</f>
        <v>Malik</v>
      </c>
      <c r="F7986" t="str">
        <f>IFERROR(__xludf.DUMMYFUNCTION("""COMPUTED_VALUE"""),"FS")</f>
        <v>FS</v>
      </c>
      <c r="G7986" t="str">
        <f>IFERROR(__xludf.DUMMYFUNCTION("""COMPUTED_VALUE"""),"")</f>
        <v/>
      </c>
    </row>
    <row r="7987">
      <c r="D7987" t="str">
        <f>IFERROR(__xludf.DUMMYFUNCTION("""COMPUTED_VALUE"""),"Hooks")</f>
        <v>Hooks</v>
      </c>
      <c r="E7987" t="str">
        <f>IFERROR(__xludf.DUMMYFUNCTION("""COMPUTED_VALUE"""),"Lavon")</f>
        <v>Lavon</v>
      </c>
      <c r="F7987" t="str">
        <f>IFERROR(__xludf.DUMMYFUNCTION("""COMPUTED_VALUE"""),"LE")</f>
        <v>LE</v>
      </c>
      <c r="G7987" t="str">
        <f>IFERROR(__xludf.DUMMYFUNCTION("""COMPUTED_VALUE"""),"")</f>
        <v/>
      </c>
    </row>
    <row r="7988">
      <c r="D7988" t="str">
        <f>IFERROR(__xludf.DUMMYFUNCTION("""COMPUTED_VALUE"""),"Hooper")</f>
        <v>Hooper</v>
      </c>
      <c r="E7988" t="str">
        <f>IFERROR(__xludf.DUMMYFUNCTION("""COMPUTED_VALUE"""),"Austin")</f>
        <v>Austin</v>
      </c>
      <c r="F7988" t="str">
        <f>IFERROR(__xludf.DUMMYFUNCTION("""COMPUTED_VALUE"""),"TE")</f>
        <v>TE</v>
      </c>
      <c r="G7988" t="str">
        <f>IFERROR(__xludf.DUMMYFUNCTION("""COMPUTED_VALUE"""),"")</f>
        <v/>
      </c>
    </row>
    <row r="7989">
      <c r="D7989" t="str">
        <f>IFERROR(__xludf.DUMMYFUNCTION("""COMPUTED_VALUE"""),"Hopkins")</f>
        <v>Hopkins</v>
      </c>
      <c r="E7989" t="str">
        <f>IFERROR(__xludf.DUMMYFUNCTION("""COMPUTED_VALUE"""),"DeAndre")</f>
        <v>DeAndre</v>
      </c>
      <c r="F7989" t="str">
        <f>IFERROR(__xludf.DUMMYFUNCTION("""COMPUTED_VALUE"""),"WR")</f>
        <v>WR</v>
      </c>
      <c r="G7989" t="str">
        <f>IFERROR(__xludf.DUMMYFUNCTION("""COMPUTED_VALUE"""),"")</f>
        <v/>
      </c>
    </row>
    <row r="7990">
      <c r="D7990" t="str">
        <f>IFERROR(__xludf.DUMMYFUNCTION("""COMPUTED_VALUE"""),"Hopkins")</f>
        <v>Hopkins</v>
      </c>
      <c r="E7990" t="str">
        <f>IFERROR(__xludf.DUMMYFUNCTION("""COMPUTED_VALUE"""),"Dustin")</f>
        <v>Dustin</v>
      </c>
      <c r="F7990" t="str">
        <f>IFERROR(__xludf.DUMMYFUNCTION("""COMPUTED_VALUE"""),"K")</f>
        <v>K</v>
      </c>
      <c r="G7990" t="str">
        <f>IFERROR(__xludf.DUMMYFUNCTION("""COMPUTED_VALUE"""),"")</f>
        <v/>
      </c>
    </row>
    <row r="7991">
      <c r="D7991" t="str">
        <f>IFERROR(__xludf.DUMMYFUNCTION("""COMPUTED_VALUE"""),"Hopkins")</f>
        <v>Hopkins</v>
      </c>
      <c r="E7991" t="str">
        <f>IFERROR(__xludf.DUMMYFUNCTION("""COMPUTED_VALUE"""),"Trey")</f>
        <v>Trey</v>
      </c>
      <c r="F7991" t="str">
        <f>IFERROR(__xludf.DUMMYFUNCTION("""COMPUTED_VALUE"""),"LG")</f>
        <v>LG</v>
      </c>
      <c r="G7991" t="str">
        <f>IFERROR(__xludf.DUMMYFUNCTION("""COMPUTED_VALUE"""),"")</f>
        <v/>
      </c>
    </row>
    <row r="7992">
      <c r="D7992" t="str">
        <f>IFERROR(__xludf.DUMMYFUNCTION("""COMPUTED_VALUE"""),"Horton")</f>
        <v>Horton</v>
      </c>
      <c r="E7992" t="str">
        <f>IFERROR(__xludf.DUMMYFUNCTION("""COMPUTED_VALUE"""),"Wes")</f>
        <v>Wes</v>
      </c>
      <c r="F7992" t="str">
        <f>IFERROR(__xludf.DUMMYFUNCTION("""COMPUTED_VALUE"""),"LE")</f>
        <v>LE</v>
      </c>
      <c r="G7992" t="str">
        <f>IFERROR(__xludf.DUMMYFUNCTION("""COMPUTED_VALUE"""),"")</f>
        <v/>
      </c>
    </row>
    <row r="7993">
      <c r="D7993" t="str">
        <f>IFERROR(__xludf.DUMMYFUNCTION("""COMPUTED_VALUE"""),"Houston")</f>
        <v>Houston</v>
      </c>
      <c r="E7993" t="str">
        <f>IFERROR(__xludf.DUMMYFUNCTION("""COMPUTED_VALUE"""),"Justin")</f>
        <v>Justin</v>
      </c>
      <c r="F7993" t="str">
        <f>IFERROR(__xludf.DUMMYFUNCTION("""COMPUTED_VALUE"""),"RE")</f>
        <v>RE</v>
      </c>
      <c r="G7993" t="str">
        <f>IFERROR(__xludf.DUMMYFUNCTION("""COMPUTED_VALUE"""),"")</f>
        <v/>
      </c>
    </row>
    <row r="7994">
      <c r="D7994" t="str">
        <f>IFERROR(__xludf.DUMMYFUNCTION("""COMPUTED_VALUE"""),"Houston-Carson")</f>
        <v>Houston-Carson</v>
      </c>
      <c r="E7994" t="str">
        <f>IFERROR(__xludf.DUMMYFUNCTION("""COMPUTED_VALUE"""),"DeAndre")</f>
        <v>DeAndre</v>
      </c>
      <c r="F7994" t="str">
        <f>IFERROR(__xludf.DUMMYFUNCTION("""COMPUTED_VALUE"""),"FS")</f>
        <v>FS</v>
      </c>
      <c r="G7994" t="str">
        <f>IFERROR(__xludf.DUMMYFUNCTION("""COMPUTED_VALUE"""),"")</f>
        <v/>
      </c>
    </row>
    <row r="7995">
      <c r="D7995" t="str">
        <f>IFERROR(__xludf.DUMMYFUNCTION("""COMPUTED_VALUE"""),"Howard")</f>
        <v>Howard</v>
      </c>
      <c r="E7995" t="str">
        <f>IFERROR(__xludf.DUMMYFUNCTION("""COMPUTED_VALUE"""),"AJ")</f>
        <v>AJ</v>
      </c>
      <c r="F7995" t="str">
        <f>IFERROR(__xludf.DUMMYFUNCTION("""COMPUTED_VALUE"""),"FS")</f>
        <v>FS</v>
      </c>
      <c r="G7995" t="str">
        <f>IFERROR(__xludf.DUMMYFUNCTION("""COMPUTED_VALUE"""),"")</f>
        <v/>
      </c>
    </row>
    <row r="7996">
      <c r="D7996" t="str">
        <f>IFERROR(__xludf.DUMMYFUNCTION("""COMPUTED_VALUE"""),"Howard")</f>
        <v>Howard</v>
      </c>
      <c r="E7996" t="str">
        <f>IFERROR(__xludf.DUMMYFUNCTION("""COMPUTED_VALUE"""),"Bug")</f>
        <v>Bug</v>
      </c>
      <c r="F7996" t="str">
        <f>IFERROR(__xludf.DUMMYFUNCTION("""COMPUTED_VALUE"""),"WR")</f>
        <v>WR</v>
      </c>
      <c r="G7996" t="str">
        <f>IFERROR(__xludf.DUMMYFUNCTION("""COMPUTED_VALUE"""),"")</f>
        <v/>
      </c>
    </row>
    <row r="7997">
      <c r="D7997" t="str">
        <f>IFERROR(__xludf.DUMMYFUNCTION("""COMPUTED_VALUE"""),"Howard")</f>
        <v>Howard</v>
      </c>
      <c r="E7997" t="str">
        <f>IFERROR(__xludf.DUMMYFUNCTION("""COMPUTED_VALUE"""),"Jordan")</f>
        <v>Jordan</v>
      </c>
      <c r="F7997" t="str">
        <f>IFERROR(__xludf.DUMMYFUNCTION("""COMPUTED_VALUE"""),"HB")</f>
        <v>HB</v>
      </c>
      <c r="G7997" t="str">
        <f>IFERROR(__xludf.DUMMYFUNCTION("""COMPUTED_VALUE"""),"")</f>
        <v/>
      </c>
    </row>
    <row r="7998">
      <c r="D7998" t="str">
        <f>IFERROR(__xludf.DUMMYFUNCTION("""COMPUTED_VALUE"""),"Howard")</f>
        <v>Howard</v>
      </c>
      <c r="E7998" t="str">
        <f>IFERROR(__xludf.DUMMYFUNCTION("""COMPUTED_VALUE"""),"OJ")</f>
        <v>OJ</v>
      </c>
      <c r="F7998" t="str">
        <f>IFERROR(__xludf.DUMMYFUNCTION("""COMPUTED_VALUE"""),"TE")</f>
        <v>TE</v>
      </c>
      <c r="G7998" t="str">
        <f>IFERROR(__xludf.DUMMYFUNCTION("""COMPUTED_VALUE"""),"")</f>
        <v/>
      </c>
    </row>
    <row r="7999">
      <c r="D7999" t="str">
        <f>IFERROR(__xludf.DUMMYFUNCTION("""COMPUTED_VALUE"""),"Howard")</f>
        <v>Howard</v>
      </c>
      <c r="E7999" t="str">
        <f>IFERROR(__xludf.DUMMYFUNCTION("""COMPUTED_VALUE"""),"Travin")</f>
        <v>Travin</v>
      </c>
      <c r="F7999" t="str">
        <f>IFERROR(__xludf.DUMMYFUNCTION("""COMPUTED_VALUE"""),"MLB")</f>
        <v>MLB</v>
      </c>
      <c r="G7999" t="str">
        <f>IFERROR(__xludf.DUMMYFUNCTION("""COMPUTED_VALUE"""),"")</f>
        <v/>
      </c>
    </row>
    <row r="8000">
      <c r="D8000" t="str">
        <f>IFERROR(__xludf.DUMMYFUNCTION("""COMPUTED_VALUE"""),"Howard")</f>
        <v>Howard</v>
      </c>
      <c r="E8000" t="str">
        <f>IFERROR(__xludf.DUMMYFUNCTION("""COMPUTED_VALUE"""),"Tytus")</f>
        <v>Tytus</v>
      </c>
      <c r="F8000" t="str">
        <f>IFERROR(__xludf.DUMMYFUNCTION("""COMPUTED_VALUE"""),"RT")</f>
        <v>RT</v>
      </c>
      <c r="G8000" t="str">
        <f>IFERROR(__xludf.DUMMYFUNCTION("""COMPUTED_VALUE"""),"")</f>
        <v/>
      </c>
    </row>
    <row r="8001">
      <c r="D8001" t="str">
        <f>IFERROR(__xludf.DUMMYFUNCTION("""COMPUTED_VALUE"""),"Howard")</f>
        <v>Howard</v>
      </c>
      <c r="E8001" t="str">
        <f>IFERROR(__xludf.DUMMYFUNCTION("""COMPUTED_VALUE"""),"Xavien")</f>
        <v>Xavien</v>
      </c>
      <c r="F8001" t="str">
        <f>IFERROR(__xludf.DUMMYFUNCTION("""COMPUTED_VALUE"""),"CB")</f>
        <v>CB</v>
      </c>
      <c r="G8001" t="str">
        <f>IFERROR(__xludf.DUMMYFUNCTION("""COMPUTED_VALUE"""),"")</f>
        <v/>
      </c>
    </row>
    <row r="8002">
      <c r="D8002" t="str">
        <f>IFERROR(__xludf.DUMMYFUNCTION("""COMPUTED_VALUE"""),"Howell")</f>
        <v>Howell</v>
      </c>
      <c r="E8002" t="str">
        <f>IFERROR(__xludf.DUMMYFUNCTION("""COMPUTED_VALUE"""),"Buddy")</f>
        <v>Buddy</v>
      </c>
      <c r="F8002" t="str">
        <f>IFERROR(__xludf.DUMMYFUNCTION("""COMPUTED_VALUE"""),"HB")</f>
        <v>HB</v>
      </c>
      <c r="G8002" t="str">
        <f>IFERROR(__xludf.DUMMYFUNCTION("""COMPUTED_VALUE"""),"")</f>
        <v/>
      </c>
    </row>
    <row r="8003">
      <c r="D8003" t="str">
        <f>IFERROR(__xludf.DUMMYFUNCTION("""COMPUTED_VALUE"""),"Hoyer")</f>
        <v>Hoyer</v>
      </c>
      <c r="E8003" t="str">
        <f>IFERROR(__xludf.DUMMYFUNCTION("""COMPUTED_VALUE"""),"Brian")</f>
        <v>Brian</v>
      </c>
      <c r="F8003" t="str">
        <f>IFERROR(__xludf.DUMMYFUNCTION("""COMPUTED_VALUE"""),"QB")</f>
        <v>QB</v>
      </c>
      <c r="G8003" t="str">
        <f>IFERROR(__xludf.DUMMYFUNCTION("""COMPUTED_VALUE"""),"")</f>
        <v/>
      </c>
    </row>
    <row r="8004">
      <c r="D8004" t="str">
        <f>IFERROR(__xludf.DUMMYFUNCTION("""COMPUTED_VALUE"""),"Hrynkiewicz")</f>
        <v>Hrynkiewicz</v>
      </c>
      <c r="E8004" t="str">
        <f>IFERROR(__xludf.DUMMYFUNCTION("""COMPUTED_VALUE"""),"Vitas")</f>
        <v>Vitas</v>
      </c>
      <c r="F8004" t="str">
        <f>IFERROR(__xludf.DUMMYFUNCTION("""COMPUTED_VALUE"""),"C")</f>
        <v>C</v>
      </c>
      <c r="G8004" t="str">
        <f>IFERROR(__xludf.DUMMYFUNCTION("""COMPUTED_VALUE"""),"")</f>
        <v/>
      </c>
    </row>
    <row r="8005">
      <c r="D8005" t="str">
        <f>IFERROR(__xludf.DUMMYFUNCTION("""COMPUTED_VALUE"""),"Hubbard")</f>
        <v>Hubbard</v>
      </c>
      <c r="E8005" t="str">
        <f>IFERROR(__xludf.DUMMYFUNCTION("""COMPUTED_VALUE"""),"Chris")</f>
        <v>Chris</v>
      </c>
      <c r="F8005" t="str">
        <f>IFERROR(__xludf.DUMMYFUNCTION("""COMPUTED_VALUE"""),"RT")</f>
        <v>RT</v>
      </c>
      <c r="G8005" t="str">
        <f>IFERROR(__xludf.DUMMYFUNCTION("""COMPUTED_VALUE"""),"")</f>
        <v/>
      </c>
    </row>
    <row r="8006">
      <c r="D8006" t="str">
        <f>IFERROR(__xludf.DUMMYFUNCTION("""COMPUTED_VALUE"""),"Hubbard")</f>
        <v>Hubbard</v>
      </c>
      <c r="E8006" t="str">
        <f>IFERROR(__xludf.DUMMYFUNCTION("""COMPUTED_VALUE"""),"Sam")</f>
        <v>Sam</v>
      </c>
      <c r="F8006" t="str">
        <f>IFERROR(__xludf.DUMMYFUNCTION("""COMPUTED_VALUE"""),"RE")</f>
        <v>RE</v>
      </c>
      <c r="G8006" t="str">
        <f>IFERROR(__xludf.DUMMYFUNCTION("""COMPUTED_VALUE"""),"")</f>
        <v/>
      </c>
    </row>
    <row r="8007">
      <c r="D8007" t="str">
        <f>IFERROR(__xludf.DUMMYFUNCTION("""COMPUTED_VALUE"""),"Huber")</f>
        <v>Huber</v>
      </c>
      <c r="E8007" t="str">
        <f>IFERROR(__xludf.DUMMYFUNCTION("""COMPUTED_VALUE"""),"Kevin")</f>
        <v>Kevin</v>
      </c>
      <c r="F8007" t="str">
        <f>IFERROR(__xludf.DUMMYFUNCTION("""COMPUTED_VALUE"""),"P")</f>
        <v>P</v>
      </c>
      <c r="G8007" t="str">
        <f>IFERROR(__xludf.DUMMYFUNCTION("""COMPUTED_VALUE"""),"")</f>
        <v/>
      </c>
    </row>
    <row r="8008">
      <c r="D8008" t="str">
        <f>IFERROR(__xludf.DUMMYFUNCTION("""COMPUTED_VALUE"""),"Hudson")</f>
        <v>Hudson</v>
      </c>
      <c r="E8008" t="str">
        <f>IFERROR(__xludf.DUMMYFUNCTION("""COMPUTED_VALUE"""),"Rodney")</f>
        <v>Rodney</v>
      </c>
      <c r="F8008" t="str">
        <f>IFERROR(__xludf.DUMMYFUNCTION("""COMPUTED_VALUE"""),"C")</f>
        <v>C</v>
      </c>
      <c r="G8008" t="str">
        <f>IFERROR(__xludf.DUMMYFUNCTION("""COMPUTED_VALUE"""),"")</f>
        <v/>
      </c>
    </row>
    <row r="8009">
      <c r="D8009" t="str">
        <f>IFERROR(__xludf.DUMMYFUNCTION("""COMPUTED_VALUE"""),"Hudson")</f>
        <v>Hudson</v>
      </c>
      <c r="E8009" t="str">
        <f>IFERROR(__xludf.DUMMYFUNCTION("""COMPUTED_VALUE"""),"Tanner")</f>
        <v>Tanner</v>
      </c>
      <c r="F8009" t="str">
        <f>IFERROR(__xludf.DUMMYFUNCTION("""COMPUTED_VALUE"""),"TE")</f>
        <v>TE</v>
      </c>
      <c r="G8009" t="str">
        <f>IFERROR(__xludf.DUMMYFUNCTION("""COMPUTED_VALUE"""),"")</f>
        <v/>
      </c>
    </row>
    <row r="8010">
      <c r="D8010" t="str">
        <f>IFERROR(__xludf.DUMMYFUNCTION("""COMPUTED_VALUE"""),"Huggins")</f>
        <v>Huggins</v>
      </c>
      <c r="E8010" t="str">
        <f>IFERROR(__xludf.DUMMYFUNCTION("""COMPUTED_VALUE"""),"Albert")</f>
        <v>Albert</v>
      </c>
      <c r="F8010" t="str">
        <f>IFERROR(__xludf.DUMMYFUNCTION("""COMPUTED_VALUE"""),"DT")</f>
        <v>DT</v>
      </c>
      <c r="G8010" t="str">
        <f>IFERROR(__xludf.DUMMYFUNCTION("""COMPUTED_VALUE"""),"")</f>
        <v/>
      </c>
    </row>
    <row r="8011">
      <c r="D8011" t="str">
        <f>IFERROR(__xludf.DUMMYFUNCTION("""COMPUTED_VALUE"""),"Hughes")</f>
        <v>Hughes</v>
      </c>
      <c r="E8011" t="str">
        <f>IFERROR(__xludf.DUMMYFUNCTION("""COMPUTED_VALUE"""),"Jerry")</f>
        <v>Jerry</v>
      </c>
      <c r="F8011" t="str">
        <f>IFERROR(__xludf.DUMMYFUNCTION("""COMPUTED_VALUE"""),"RE")</f>
        <v>RE</v>
      </c>
      <c r="G8011" t="str">
        <f>IFERROR(__xludf.DUMMYFUNCTION("""COMPUTED_VALUE"""),"")</f>
        <v/>
      </c>
    </row>
    <row r="8012">
      <c r="D8012" t="str">
        <f>IFERROR(__xludf.DUMMYFUNCTION("""COMPUTED_VALUE"""),"Hughes")</f>
        <v>Hughes</v>
      </c>
      <c r="E8012" t="str">
        <f>IFERROR(__xludf.DUMMYFUNCTION("""COMPUTED_VALUE"""),"Michael")</f>
        <v>Michael</v>
      </c>
      <c r="F8012" t="str">
        <f>IFERROR(__xludf.DUMMYFUNCTION("""COMPUTED_VALUE"""),"DT")</f>
        <v>DT</v>
      </c>
      <c r="G8012" t="str">
        <f>IFERROR(__xludf.DUMMYFUNCTION("""COMPUTED_VALUE"""),"")</f>
        <v/>
      </c>
    </row>
    <row r="8013">
      <c r="D8013" t="str">
        <f>IFERROR(__xludf.DUMMYFUNCTION("""COMPUTED_VALUE"""),"Hughes")</f>
        <v>Hughes</v>
      </c>
      <c r="E8013" t="str">
        <f>IFERROR(__xludf.DUMMYFUNCTION("""COMPUTED_VALUE"""),"Mike")</f>
        <v>Mike</v>
      </c>
      <c r="F8013" t="str">
        <f>IFERROR(__xludf.DUMMYFUNCTION("""COMPUTED_VALUE"""),"CB")</f>
        <v>CB</v>
      </c>
      <c r="G8013" t="str">
        <f>IFERROR(__xludf.DUMMYFUNCTION("""COMPUTED_VALUE"""),"")</f>
        <v/>
      </c>
    </row>
    <row r="8014">
      <c r="D8014" t="str">
        <f>IFERROR(__xludf.DUMMYFUNCTION("""COMPUTED_VALUE"""),"Hughlett")</f>
        <v>Hughlett</v>
      </c>
      <c r="E8014" t="str">
        <f>IFERROR(__xludf.DUMMYFUNCTION("""COMPUTED_VALUE"""),"Charley")</f>
        <v>Charley</v>
      </c>
      <c r="F8014" t="str">
        <f>IFERROR(__xludf.DUMMYFUNCTION("""COMPUTED_VALUE"""),"TE")</f>
        <v>TE</v>
      </c>
      <c r="G8014" t="str">
        <f>IFERROR(__xludf.DUMMYFUNCTION("""COMPUTED_VALUE"""),"")</f>
        <v/>
      </c>
    </row>
    <row r="8015">
      <c r="D8015" t="str">
        <f>IFERROR(__xludf.DUMMYFUNCTION("""COMPUTED_VALUE"""),"Hull")</f>
        <v>Hull</v>
      </c>
      <c r="E8015" t="str">
        <f>IFERROR(__xludf.DUMMYFUNCTION("""COMPUTED_VALUE"""),"Mike")</f>
        <v>Mike</v>
      </c>
      <c r="F8015" t="str">
        <f>IFERROR(__xludf.DUMMYFUNCTION("""COMPUTED_VALUE"""),"ROLB")</f>
        <v>ROLB</v>
      </c>
      <c r="G8015" t="str">
        <f>IFERROR(__xludf.DUMMYFUNCTION("""COMPUTED_VALUE"""),"")</f>
        <v/>
      </c>
    </row>
    <row r="8016">
      <c r="D8016" t="str">
        <f>IFERROR(__xludf.DUMMYFUNCTION("""COMPUTED_VALUE"""),"Humphrey")</f>
        <v>Humphrey</v>
      </c>
      <c r="E8016" t="str">
        <f>IFERROR(__xludf.DUMMYFUNCTION("""COMPUTED_VALUE"""),"LilJordan")</f>
        <v>LilJordan</v>
      </c>
      <c r="F8016" t="str">
        <f>IFERROR(__xludf.DUMMYFUNCTION("""COMPUTED_VALUE"""),"WR")</f>
        <v>WR</v>
      </c>
      <c r="G8016" t="str">
        <f>IFERROR(__xludf.DUMMYFUNCTION("""COMPUTED_VALUE"""),"")</f>
        <v/>
      </c>
    </row>
    <row r="8017">
      <c r="D8017" t="str">
        <f>IFERROR(__xludf.DUMMYFUNCTION("""COMPUTED_VALUE"""),"Humphrey")</f>
        <v>Humphrey</v>
      </c>
      <c r="E8017" t="str">
        <f>IFERROR(__xludf.DUMMYFUNCTION("""COMPUTED_VALUE"""),"Marlon")</f>
        <v>Marlon</v>
      </c>
      <c r="F8017" t="str">
        <f>IFERROR(__xludf.DUMMYFUNCTION("""COMPUTED_VALUE"""),"CB")</f>
        <v>CB</v>
      </c>
      <c r="G8017" t="str">
        <f>IFERROR(__xludf.DUMMYFUNCTION("""COMPUTED_VALUE"""),"")</f>
        <v/>
      </c>
    </row>
    <row r="8018">
      <c r="D8018" t="str">
        <f>IFERROR(__xludf.DUMMYFUNCTION("""COMPUTED_VALUE"""),"Humphries")</f>
        <v>Humphries</v>
      </c>
      <c r="E8018" t="str">
        <f>IFERROR(__xludf.DUMMYFUNCTION("""COMPUTED_VALUE"""),"Adam")</f>
        <v>Adam</v>
      </c>
      <c r="F8018" t="str">
        <f>IFERROR(__xludf.DUMMYFUNCTION("""COMPUTED_VALUE"""),"WR")</f>
        <v>WR</v>
      </c>
      <c r="G8018" t="str">
        <f>IFERROR(__xludf.DUMMYFUNCTION("""COMPUTED_VALUE"""),"")</f>
        <v/>
      </c>
    </row>
    <row r="8019">
      <c r="D8019" t="str">
        <f>IFERROR(__xludf.DUMMYFUNCTION("""COMPUTED_VALUE"""),"Humphries")</f>
        <v>Humphries</v>
      </c>
      <c r="E8019" t="str">
        <f>IFERROR(__xludf.DUMMYFUNCTION("""COMPUTED_VALUE"""),"DJ")</f>
        <v>DJ</v>
      </c>
      <c r="F8019" t="str">
        <f>IFERROR(__xludf.DUMMYFUNCTION("""COMPUTED_VALUE"""),"LT")</f>
        <v>LT</v>
      </c>
      <c r="G8019" t="str">
        <f>IFERROR(__xludf.DUMMYFUNCTION("""COMPUTED_VALUE"""),"")</f>
        <v/>
      </c>
    </row>
    <row r="8020">
      <c r="D8020" t="str">
        <f>IFERROR(__xludf.DUMMYFUNCTION("""COMPUTED_VALUE"""),"Hundley")</f>
        <v>Hundley</v>
      </c>
      <c r="E8020" t="str">
        <f>IFERROR(__xludf.DUMMYFUNCTION("""COMPUTED_VALUE"""),"Brett")</f>
        <v>Brett</v>
      </c>
      <c r="F8020" t="str">
        <f>IFERROR(__xludf.DUMMYFUNCTION("""COMPUTED_VALUE"""),"QB")</f>
        <v>QB</v>
      </c>
      <c r="G8020" t="str">
        <f>IFERROR(__xludf.DUMMYFUNCTION("""COMPUTED_VALUE"""),"")</f>
        <v/>
      </c>
    </row>
    <row r="8021">
      <c r="D8021" t="str">
        <f>IFERROR(__xludf.DUMMYFUNCTION("""COMPUTED_VALUE"""),"Hunt")</f>
        <v>Hunt</v>
      </c>
      <c r="E8021" t="str">
        <f>IFERROR(__xludf.DUMMYFUNCTION("""COMPUTED_VALUE"""),"Joey")</f>
        <v>Joey</v>
      </c>
      <c r="F8021" t="str">
        <f>IFERROR(__xludf.DUMMYFUNCTION("""COMPUTED_VALUE"""),"C")</f>
        <v>C</v>
      </c>
      <c r="G8021" t="str">
        <f>IFERROR(__xludf.DUMMYFUNCTION("""COMPUTED_VALUE"""),"")</f>
        <v/>
      </c>
    </row>
    <row r="8022">
      <c r="D8022" t="str">
        <f>IFERROR(__xludf.DUMMYFUNCTION("""COMPUTED_VALUE"""),"Hunt")</f>
        <v>Hunt</v>
      </c>
      <c r="E8022" t="str">
        <f>IFERROR(__xludf.DUMMYFUNCTION("""COMPUTED_VALUE"""),"Kareem")</f>
        <v>Kareem</v>
      </c>
      <c r="F8022" t="str">
        <f>IFERROR(__xludf.DUMMYFUNCTION("""COMPUTED_VALUE"""),"HB")</f>
        <v>HB</v>
      </c>
      <c r="G8022" t="str">
        <f>IFERROR(__xludf.DUMMYFUNCTION("""COMPUTED_VALUE"""),"")</f>
        <v/>
      </c>
    </row>
    <row r="8023">
      <c r="D8023" t="str">
        <f>IFERROR(__xludf.DUMMYFUNCTION("""COMPUTED_VALUE"""),"Hunt")</f>
        <v>Hunt</v>
      </c>
      <c r="E8023" t="str">
        <f>IFERROR(__xludf.DUMMYFUNCTION("""COMPUTED_VALUE"""),"Margus")</f>
        <v>Margus</v>
      </c>
      <c r="F8023" t="str">
        <f>IFERROR(__xludf.DUMMYFUNCTION("""COMPUTED_VALUE"""),"DT")</f>
        <v>DT</v>
      </c>
      <c r="G8023" t="str">
        <f>IFERROR(__xludf.DUMMYFUNCTION("""COMPUTED_VALUE"""),"")</f>
        <v/>
      </c>
    </row>
    <row r="8024">
      <c r="D8024" t="str">
        <f>IFERROR(__xludf.DUMMYFUNCTION("""COMPUTED_VALUE"""),"Hunter")</f>
        <v>Hunter</v>
      </c>
      <c r="E8024" t="str">
        <f>IFERROR(__xludf.DUMMYFUNCTION("""COMPUTED_VALUE"""),"Danielle")</f>
        <v>Danielle</v>
      </c>
      <c r="F8024" t="str">
        <f>IFERROR(__xludf.DUMMYFUNCTION("""COMPUTED_VALUE"""),"LE")</f>
        <v>LE</v>
      </c>
      <c r="G8024" t="str">
        <f>IFERROR(__xludf.DUMMYFUNCTION("""COMPUTED_VALUE"""),"")</f>
        <v/>
      </c>
    </row>
    <row r="8025">
      <c r="D8025" t="str">
        <f>IFERROR(__xludf.DUMMYFUNCTION("""COMPUTED_VALUE"""),"Hunter")</f>
        <v>Hunter</v>
      </c>
      <c r="E8025" t="str">
        <f>IFERROR(__xludf.DUMMYFUNCTION("""COMPUTED_VALUE"""),"Ryan")</f>
        <v>Ryan</v>
      </c>
      <c r="F8025" t="str">
        <f>IFERROR(__xludf.DUMMYFUNCTION("""COMPUTED_VALUE"""),"RG")</f>
        <v>RG</v>
      </c>
      <c r="G8025" t="str">
        <f>IFERROR(__xludf.DUMMYFUNCTION("""COMPUTED_VALUE"""),"")</f>
        <v/>
      </c>
    </row>
    <row r="8026">
      <c r="D8026" t="str">
        <f>IFERROR(__xludf.DUMMYFUNCTION("""COMPUTED_VALUE"""),"Hurd")</f>
        <v>Hurd</v>
      </c>
      <c r="E8026" t="str">
        <f>IFERROR(__xludf.DUMMYFUNCTION("""COMPUTED_VALUE"""),"Jalen")</f>
        <v>Jalen</v>
      </c>
      <c r="F8026" t="str">
        <f>IFERROR(__xludf.DUMMYFUNCTION("""COMPUTED_VALUE"""),"WR")</f>
        <v>WR</v>
      </c>
      <c r="G8026" t="str">
        <f>IFERROR(__xludf.DUMMYFUNCTION("""COMPUTED_VALUE"""),"")</f>
        <v/>
      </c>
    </row>
    <row r="8027">
      <c r="D8027" t="str">
        <f>IFERROR(__xludf.DUMMYFUNCTION("""COMPUTED_VALUE"""),"Hurns")</f>
        <v>Hurns</v>
      </c>
      <c r="E8027" t="str">
        <f>IFERROR(__xludf.DUMMYFUNCTION("""COMPUTED_VALUE"""),"Allen")</f>
        <v>Allen</v>
      </c>
      <c r="F8027" t="str">
        <f>IFERROR(__xludf.DUMMYFUNCTION("""COMPUTED_VALUE"""),"WR")</f>
        <v>WR</v>
      </c>
      <c r="G8027" t="str">
        <f>IFERROR(__xludf.DUMMYFUNCTION("""COMPUTED_VALUE"""),"")</f>
        <v/>
      </c>
    </row>
    <row r="8028">
      <c r="D8028" t="str">
        <f>IFERROR(__xludf.DUMMYFUNCTION("""COMPUTED_VALUE"""),"Hurst")</f>
        <v>Hurst</v>
      </c>
      <c r="E8028" t="str">
        <f>IFERROR(__xludf.DUMMYFUNCTION("""COMPUTED_VALUE"""),"Hayden")</f>
        <v>Hayden</v>
      </c>
      <c r="F8028" t="str">
        <f>IFERROR(__xludf.DUMMYFUNCTION("""COMPUTED_VALUE"""),"TE")</f>
        <v>TE</v>
      </c>
      <c r="G8028" t="str">
        <f>IFERROR(__xludf.DUMMYFUNCTION("""COMPUTED_VALUE"""),"")</f>
        <v/>
      </c>
    </row>
    <row r="8029">
      <c r="D8029" t="str">
        <f>IFERROR(__xludf.DUMMYFUNCTION("""COMPUTED_VALUE"""),"Hurst")</f>
        <v>Hurst</v>
      </c>
      <c r="E8029" t="str">
        <f>IFERROR(__xludf.DUMMYFUNCTION("""COMPUTED_VALUE"""),"James")</f>
        <v>James</v>
      </c>
      <c r="F8029" t="str">
        <f>IFERROR(__xludf.DUMMYFUNCTION("""COMPUTED_VALUE"""),"LG")</f>
        <v>LG</v>
      </c>
      <c r="G8029" t="str">
        <f>IFERROR(__xludf.DUMMYFUNCTION("""COMPUTED_VALUE"""),"")</f>
        <v/>
      </c>
    </row>
    <row r="8030">
      <c r="D8030" t="str">
        <f>IFERROR(__xludf.DUMMYFUNCTION("""COMPUTED_VALUE"""),"Hurst")</f>
        <v>Hurst</v>
      </c>
      <c r="E8030" t="str">
        <f>IFERROR(__xludf.DUMMYFUNCTION("""COMPUTED_VALUE"""),"Maurice")</f>
        <v>Maurice</v>
      </c>
      <c r="F8030" t="str">
        <f>IFERROR(__xludf.DUMMYFUNCTION("""COMPUTED_VALUE"""),"DT")</f>
        <v>DT</v>
      </c>
      <c r="G8030" t="str">
        <f>IFERROR(__xludf.DUMMYFUNCTION("""COMPUTED_VALUE"""),"")</f>
        <v/>
      </c>
    </row>
    <row r="8031">
      <c r="D8031" t="str">
        <f>IFERROR(__xludf.DUMMYFUNCTION("""COMPUTED_VALUE"""),"Hyde")</f>
        <v>Hyde</v>
      </c>
      <c r="E8031" t="str">
        <f>IFERROR(__xludf.DUMMYFUNCTION("""COMPUTED_VALUE"""),"Carlos")</f>
        <v>Carlos</v>
      </c>
      <c r="F8031" t="str">
        <f>IFERROR(__xludf.DUMMYFUNCTION("""COMPUTED_VALUE"""),"HB")</f>
        <v>HB</v>
      </c>
      <c r="G8031" t="str">
        <f>IFERROR(__xludf.DUMMYFUNCTION("""COMPUTED_VALUE"""),"")</f>
        <v/>
      </c>
    </row>
    <row r="8032">
      <c r="D8032" t="str">
        <f>IFERROR(__xludf.DUMMYFUNCTION("""COMPUTED_VALUE"""),"Hyde")</f>
        <v>Hyde</v>
      </c>
      <c r="E8032" t="str">
        <f>IFERROR(__xludf.DUMMYFUNCTION("""COMPUTED_VALUE"""),"Micah")</f>
        <v>Micah</v>
      </c>
      <c r="F8032" t="str">
        <f>IFERROR(__xludf.DUMMYFUNCTION("""COMPUTED_VALUE"""),"FS")</f>
        <v>FS</v>
      </c>
      <c r="G8032" t="str">
        <f>IFERROR(__xludf.DUMMYFUNCTION("""COMPUTED_VALUE"""),"")</f>
        <v/>
      </c>
    </row>
    <row r="8033">
      <c r="D8033" t="str">
        <f>IFERROR(__xludf.DUMMYFUNCTION("""COMPUTED_VALUE"""),"Hyder")</f>
        <v>Hyder</v>
      </c>
      <c r="E8033" t="str">
        <f>IFERROR(__xludf.DUMMYFUNCTION("""COMPUTED_VALUE"""),"Kerry")</f>
        <v>Kerry</v>
      </c>
      <c r="F8033" t="str">
        <f>IFERROR(__xludf.DUMMYFUNCTION("""COMPUTED_VALUE"""),"LE")</f>
        <v>LE</v>
      </c>
      <c r="G8033" t="str">
        <f>IFERROR(__xludf.DUMMYFUNCTION("""COMPUTED_VALUE"""),"")</f>
        <v/>
      </c>
    </row>
    <row r="8034">
      <c r="D8034" t="str">
        <f>IFERROR(__xludf.DUMMYFUNCTION("""COMPUTED_VALUE"""),"Ifedi")</f>
        <v>Ifedi</v>
      </c>
      <c r="E8034" t="str">
        <f>IFERROR(__xludf.DUMMYFUNCTION("""COMPUTED_VALUE"""),"Germain")</f>
        <v>Germain</v>
      </c>
      <c r="F8034" t="str">
        <f>IFERROR(__xludf.DUMMYFUNCTION("""COMPUTED_VALUE"""),"RT")</f>
        <v>RT</v>
      </c>
      <c r="G8034" t="str">
        <f>IFERROR(__xludf.DUMMYFUNCTION("""COMPUTED_VALUE"""),"")</f>
        <v/>
      </c>
    </row>
    <row r="8035">
      <c r="D8035" t="str">
        <f>IFERROR(__xludf.DUMMYFUNCTION("""COMPUTED_VALUE"""),"Igwebuike")</f>
        <v>Igwebuike</v>
      </c>
      <c r="E8035" t="str">
        <f>IFERROR(__xludf.DUMMYFUNCTION("""COMPUTED_VALUE"""),"Godwin")</f>
        <v>Godwin</v>
      </c>
      <c r="F8035" t="str">
        <f>IFERROR(__xludf.DUMMYFUNCTION("""COMPUTED_VALUE"""),"SS")</f>
        <v>SS</v>
      </c>
      <c r="G8035" t="str">
        <f>IFERROR(__xludf.DUMMYFUNCTION("""COMPUTED_VALUE"""),"")</f>
        <v/>
      </c>
    </row>
    <row r="8036">
      <c r="D8036" t="str">
        <f>IFERROR(__xludf.DUMMYFUNCTION("""COMPUTED_VALUE"""),"Iloka")</f>
        <v>Iloka</v>
      </c>
      <c r="E8036" t="str">
        <f>IFERROR(__xludf.DUMMYFUNCTION("""COMPUTED_VALUE"""),"George")</f>
        <v>George</v>
      </c>
      <c r="F8036" t="str">
        <f>IFERROR(__xludf.DUMMYFUNCTION("""COMPUTED_VALUE"""),"SS")</f>
        <v>SS</v>
      </c>
      <c r="G8036" t="str">
        <f>IFERROR(__xludf.DUMMYFUNCTION("""COMPUTED_VALUE"""),"")</f>
        <v/>
      </c>
    </row>
    <row r="8037">
      <c r="D8037" t="str">
        <f>IFERROR(__xludf.DUMMYFUNCTION("""COMPUTED_VALUE"""),"Incognito")</f>
        <v>Incognito</v>
      </c>
      <c r="E8037" t="str">
        <f>IFERROR(__xludf.DUMMYFUNCTION("""COMPUTED_VALUE"""),"Richie")</f>
        <v>Richie</v>
      </c>
      <c r="F8037" t="str">
        <f>IFERROR(__xludf.DUMMYFUNCTION("""COMPUTED_VALUE"""),"LG")</f>
        <v>LG</v>
      </c>
      <c r="G8037" t="str">
        <f>IFERROR(__xludf.DUMMYFUNCTION("""COMPUTED_VALUE"""),"")</f>
        <v/>
      </c>
    </row>
    <row r="8038">
      <c r="D8038" t="str">
        <f>IFERROR(__xludf.DUMMYFUNCTION("""COMPUTED_VALUE"""),"Ingram")</f>
        <v>Ingram</v>
      </c>
      <c r="E8038" t="str">
        <f>IFERROR(__xludf.DUMMYFUNCTION("""COMPUTED_VALUE"""),"Mark")</f>
        <v>Mark</v>
      </c>
      <c r="F8038" t="str">
        <f>IFERROR(__xludf.DUMMYFUNCTION("""COMPUTED_VALUE"""),"HB")</f>
        <v>HB</v>
      </c>
      <c r="G8038" t="str">
        <f>IFERROR(__xludf.DUMMYFUNCTION("""COMPUTED_VALUE"""),"")</f>
        <v/>
      </c>
    </row>
    <row r="8039">
      <c r="D8039" t="str">
        <f>IFERROR(__xludf.DUMMYFUNCTION("""COMPUTED_VALUE"""),"Ingram")</f>
        <v>Ingram</v>
      </c>
      <c r="E8039" t="str">
        <f>IFERROR(__xludf.DUMMYFUNCTION("""COMPUTED_VALUE"""),"Melvin")</f>
        <v>Melvin</v>
      </c>
      <c r="F8039" t="str">
        <f>IFERROR(__xludf.DUMMYFUNCTION("""COMPUTED_VALUE"""),"RE")</f>
        <v>RE</v>
      </c>
      <c r="G8039" t="str">
        <f>IFERROR(__xludf.DUMMYFUNCTION("""COMPUTED_VALUE"""),"")</f>
        <v/>
      </c>
    </row>
    <row r="8040">
      <c r="D8040" t="str">
        <f>IFERROR(__xludf.DUMMYFUNCTION("""COMPUTED_VALUE"""),"Inman")</f>
        <v>Inman</v>
      </c>
      <c r="E8040" t="str">
        <f>IFERROR(__xludf.DUMMYFUNCTION("""COMPUTED_VALUE"""),"Dontrelle")</f>
        <v>Dontrelle</v>
      </c>
      <c r="F8040" t="str">
        <f>IFERROR(__xludf.DUMMYFUNCTION("""COMPUTED_VALUE"""),"WR")</f>
        <v>WR</v>
      </c>
      <c r="G8040" t="str">
        <f>IFERROR(__xludf.DUMMYFUNCTION("""COMPUTED_VALUE"""),"")</f>
        <v/>
      </c>
    </row>
    <row r="8041">
      <c r="D8041" t="str">
        <f>IFERROR(__xludf.DUMMYFUNCTION("""COMPUTED_VALUE"""),"Ioannidis")</f>
        <v>Ioannidis</v>
      </c>
      <c r="E8041" t="str">
        <f>IFERROR(__xludf.DUMMYFUNCTION("""COMPUTED_VALUE"""),"Matthew")</f>
        <v>Matthew</v>
      </c>
      <c r="F8041" t="str">
        <f>IFERROR(__xludf.DUMMYFUNCTION("""COMPUTED_VALUE"""),"LE")</f>
        <v>LE</v>
      </c>
      <c r="G8041" t="str">
        <f>IFERROR(__xludf.DUMMYFUNCTION("""COMPUTED_VALUE"""),"")</f>
        <v/>
      </c>
    </row>
    <row r="8042">
      <c r="D8042" t="str">
        <f>IFERROR(__xludf.DUMMYFUNCTION("""COMPUTED_VALUE"""),"Irvin")</f>
        <v>Irvin</v>
      </c>
      <c r="E8042" t="str">
        <f>IFERROR(__xludf.DUMMYFUNCTION("""COMPUTED_VALUE"""),"Bruce")</f>
        <v>Bruce</v>
      </c>
      <c r="F8042" t="str">
        <f>IFERROR(__xludf.DUMMYFUNCTION("""COMPUTED_VALUE"""),"LOLB")</f>
        <v>LOLB</v>
      </c>
      <c r="G8042" t="str">
        <f>IFERROR(__xludf.DUMMYFUNCTION("""COMPUTED_VALUE"""),"")</f>
        <v/>
      </c>
    </row>
    <row r="8043">
      <c r="D8043" t="str">
        <f>IFERROR(__xludf.DUMMYFUNCTION("""COMPUTED_VALUE"""),"Irving")</f>
        <v>Irving</v>
      </c>
      <c r="E8043" t="str">
        <f>IFERROR(__xludf.DUMMYFUNCTION("""COMPUTED_VALUE"""),"Isaiah")</f>
        <v>Isaiah</v>
      </c>
      <c r="F8043" t="str">
        <f>IFERROR(__xludf.DUMMYFUNCTION("""COMPUTED_VALUE"""),"ROLB")</f>
        <v>ROLB</v>
      </c>
      <c r="G8043" t="str">
        <f>IFERROR(__xludf.DUMMYFUNCTION("""COMPUTED_VALUE"""),"")</f>
        <v/>
      </c>
    </row>
    <row r="8044">
      <c r="D8044" t="str">
        <f>IFERROR(__xludf.DUMMYFUNCTION("""COMPUTED_VALUE"""),"Isabella")</f>
        <v>Isabella</v>
      </c>
      <c r="E8044" t="str">
        <f>IFERROR(__xludf.DUMMYFUNCTION("""COMPUTED_VALUE"""),"Andy")</f>
        <v>Andy</v>
      </c>
      <c r="F8044" t="str">
        <f>IFERROR(__xludf.DUMMYFUNCTION("""COMPUTED_VALUE"""),"WR")</f>
        <v>WR</v>
      </c>
      <c r="G8044" t="str">
        <f>IFERROR(__xludf.DUMMYFUNCTION("""COMPUTED_VALUE"""),"")</f>
        <v/>
      </c>
    </row>
    <row r="8045">
      <c r="D8045" t="str">
        <f>IFERROR(__xludf.DUMMYFUNCTION("""COMPUTED_VALUE"""),"Ishmael")</f>
        <v>Ishmael</v>
      </c>
      <c r="E8045" t="str">
        <f>IFERROR(__xludf.DUMMYFUNCTION("""COMPUTED_VALUE"""),"Kemal")</f>
        <v>Kemal</v>
      </c>
      <c r="F8045" t="str">
        <f>IFERROR(__xludf.DUMMYFUNCTION("""COMPUTED_VALUE"""),"LOLB")</f>
        <v>LOLB</v>
      </c>
      <c r="G8045" t="str">
        <f>IFERROR(__xludf.DUMMYFUNCTION("""COMPUTED_VALUE"""),"")</f>
        <v/>
      </c>
    </row>
    <row r="8046">
      <c r="D8046" t="str">
        <f>IFERROR(__xludf.DUMMYFUNCTION("""COMPUTED_VALUE"""),"Ishmael")</f>
        <v>Ishmael</v>
      </c>
      <c r="E8046" t="str">
        <f>IFERROR(__xludf.DUMMYFUNCTION("""COMPUTED_VALUE"""),"Steve")</f>
        <v>Steve</v>
      </c>
      <c r="F8046" t="str">
        <f>IFERROR(__xludf.DUMMYFUNCTION("""COMPUTED_VALUE"""),"WR")</f>
        <v>WR</v>
      </c>
      <c r="G8046" t="str">
        <f>IFERROR(__xludf.DUMMYFUNCTION("""COMPUTED_VALUE"""),"")</f>
        <v/>
      </c>
    </row>
    <row r="8047">
      <c r="D8047" t="str">
        <f>IFERROR(__xludf.DUMMYFUNCTION("""COMPUTED_VALUE"""),"Isidora")</f>
        <v>Isidora</v>
      </c>
      <c r="E8047" t="str">
        <f>IFERROR(__xludf.DUMMYFUNCTION("""COMPUTED_VALUE"""),"Danny")</f>
        <v>Danny</v>
      </c>
      <c r="F8047" t="str">
        <f>IFERROR(__xludf.DUMMYFUNCTION("""COMPUTED_VALUE"""),"RG")</f>
        <v>RG</v>
      </c>
      <c r="G8047" t="str">
        <f>IFERROR(__xludf.DUMMYFUNCTION("""COMPUTED_VALUE"""),"")</f>
        <v/>
      </c>
    </row>
    <row r="8048">
      <c r="D8048" t="str">
        <f>IFERROR(__xludf.DUMMYFUNCTION("""COMPUTED_VALUE"""),"Iupati")</f>
        <v>Iupati</v>
      </c>
      <c r="E8048" t="str">
        <f>IFERROR(__xludf.DUMMYFUNCTION("""COMPUTED_VALUE"""),"Mike")</f>
        <v>Mike</v>
      </c>
      <c r="F8048" t="str">
        <f>IFERROR(__xludf.DUMMYFUNCTION("""COMPUTED_VALUE"""),"LG")</f>
        <v>LG</v>
      </c>
      <c r="G8048" t="str">
        <f>IFERROR(__xludf.DUMMYFUNCTION("""COMPUTED_VALUE"""),"")</f>
        <v/>
      </c>
    </row>
    <row r="8049">
      <c r="D8049" t="str">
        <f>IFERROR(__xludf.DUMMYFUNCTION("""COMPUTED_VALUE"""),"Ivie")</f>
        <v>Ivie</v>
      </c>
      <c r="E8049" t="str">
        <f>IFERROR(__xludf.DUMMYFUNCTION("""COMPUTED_VALUE"""),"Joey")</f>
        <v>Joey</v>
      </c>
      <c r="F8049" t="str">
        <f>IFERROR(__xludf.DUMMYFUNCTION("""COMPUTED_VALUE"""),"DT")</f>
        <v>DT</v>
      </c>
      <c r="G8049" t="str">
        <f>IFERROR(__xludf.DUMMYFUNCTION("""COMPUTED_VALUE"""),"")</f>
        <v/>
      </c>
    </row>
    <row r="8050">
      <c r="D8050" t="str">
        <f>IFERROR(__xludf.DUMMYFUNCTION("""COMPUTED_VALUE"""),"Iyiegbuniwe")</f>
        <v>Iyiegbuniwe</v>
      </c>
      <c r="E8050" t="str">
        <f>IFERROR(__xludf.DUMMYFUNCTION("""COMPUTED_VALUE"""),"Joel")</f>
        <v>Joel</v>
      </c>
      <c r="F8050" t="str">
        <f>IFERROR(__xludf.DUMMYFUNCTION("""COMPUTED_VALUE"""),"MLB")</f>
        <v>MLB</v>
      </c>
      <c r="G8050" t="str">
        <f>IFERROR(__xludf.DUMMYFUNCTION("""COMPUTED_VALUE"""),"")</f>
        <v/>
      </c>
    </row>
    <row r="8051">
      <c r="D8051" t="str">
        <f>IFERROR(__xludf.DUMMYFUNCTION("""COMPUTED_VALUE"""),"Izzo")</f>
        <v>Izzo</v>
      </c>
      <c r="E8051" t="str">
        <f>IFERROR(__xludf.DUMMYFUNCTION("""COMPUTED_VALUE"""),"Ryan")</f>
        <v>Ryan</v>
      </c>
      <c r="F8051" t="str">
        <f>IFERROR(__xludf.DUMMYFUNCTION("""COMPUTED_VALUE"""),"TE")</f>
        <v>TE</v>
      </c>
      <c r="G8051" t="str">
        <f>IFERROR(__xludf.DUMMYFUNCTION("""COMPUTED_VALUE"""),"")</f>
        <v/>
      </c>
    </row>
    <row r="8052">
      <c r="D8052" t="str">
        <f>IFERROR(__xludf.DUMMYFUNCTION("""COMPUTED_VALUE"""),"Jack")</f>
        <v>Jack</v>
      </c>
      <c r="E8052" t="str">
        <f>IFERROR(__xludf.DUMMYFUNCTION("""COMPUTED_VALUE"""),"Myles")</f>
        <v>Myles</v>
      </c>
      <c r="F8052" t="str">
        <f>IFERROR(__xludf.DUMMYFUNCTION("""COMPUTED_VALUE"""),"MLB")</f>
        <v>MLB</v>
      </c>
      <c r="G8052" t="str">
        <f>IFERROR(__xludf.DUMMYFUNCTION("""COMPUTED_VALUE"""),"")</f>
        <v/>
      </c>
    </row>
    <row r="8053">
      <c r="D8053" t="str">
        <f>IFERROR(__xludf.DUMMYFUNCTION("""COMPUTED_VALUE"""),"Jackson")</f>
        <v>Jackson</v>
      </c>
      <c r="E8053" t="str">
        <f>IFERROR(__xludf.DUMMYFUNCTION("""COMPUTED_VALUE"""),"Adoree")</f>
        <v>Adoree</v>
      </c>
      <c r="F8053" t="str">
        <f>IFERROR(__xludf.DUMMYFUNCTION("""COMPUTED_VALUE"""),"CB")</f>
        <v>CB</v>
      </c>
      <c r="G8053" t="str">
        <f>IFERROR(__xludf.DUMMYFUNCTION("""COMPUTED_VALUE"""),"")</f>
        <v/>
      </c>
    </row>
    <row r="8054">
      <c r="D8054" t="str">
        <f>IFERROR(__xludf.DUMMYFUNCTION("""COMPUTED_VALUE"""),"Jackson")</f>
        <v>Jackson</v>
      </c>
      <c r="E8054" t="str">
        <f>IFERROR(__xludf.DUMMYFUNCTION("""COMPUTED_VALUE"""),"Bennett")</f>
        <v>Bennett</v>
      </c>
      <c r="F8054" t="str">
        <f>IFERROR(__xludf.DUMMYFUNCTION("""COMPUTED_VALUE"""),"FS")</f>
        <v>FS</v>
      </c>
      <c r="G8054" t="str">
        <f>IFERROR(__xludf.DUMMYFUNCTION("""COMPUTED_VALUE"""),"")</f>
        <v/>
      </c>
    </row>
    <row r="8055">
      <c r="D8055" t="str">
        <f>IFERROR(__xludf.DUMMYFUNCTION("""COMPUTED_VALUE"""),"Jackson")</f>
        <v>Jackson</v>
      </c>
      <c r="E8055" t="str">
        <f>IFERROR(__xludf.DUMMYFUNCTION("""COMPUTED_VALUE"""),"Blake")</f>
        <v>Blake</v>
      </c>
      <c r="F8055" t="str">
        <f>IFERROR(__xludf.DUMMYFUNCTION("""COMPUTED_VALUE"""),"WR")</f>
        <v>WR</v>
      </c>
      <c r="G8055" t="str">
        <f>IFERROR(__xludf.DUMMYFUNCTION("""COMPUTED_VALUE"""),"")</f>
        <v/>
      </c>
    </row>
    <row r="8056">
      <c r="D8056" t="str">
        <f>IFERROR(__xludf.DUMMYFUNCTION("""COMPUTED_VALUE"""),"Jackson")</f>
        <v>Jackson</v>
      </c>
      <c r="E8056" t="str">
        <f>IFERROR(__xludf.DUMMYFUNCTION("""COMPUTED_VALUE"""),"Branden")</f>
        <v>Branden</v>
      </c>
      <c r="F8056" t="str">
        <f>IFERROR(__xludf.DUMMYFUNCTION("""COMPUTED_VALUE"""),"RE")</f>
        <v>RE</v>
      </c>
      <c r="G8056" t="str">
        <f>IFERROR(__xludf.DUMMYFUNCTION("""COMPUTED_VALUE"""),"")</f>
        <v/>
      </c>
    </row>
    <row r="8057">
      <c r="D8057" t="str">
        <f>IFERROR(__xludf.DUMMYFUNCTION("""COMPUTED_VALUE"""),"Jackson")</f>
        <v>Jackson</v>
      </c>
      <c r="E8057" t="str">
        <f>IFERROR(__xludf.DUMMYFUNCTION("""COMPUTED_VALUE"""),"Darius")</f>
        <v>Darius</v>
      </c>
      <c r="F8057" t="str">
        <f>IFERROR(__xludf.DUMMYFUNCTION("""COMPUTED_VALUE"""),"HB")</f>
        <v>HB</v>
      </c>
      <c r="G8057" t="str">
        <f>IFERROR(__xludf.DUMMYFUNCTION("""COMPUTED_VALUE"""),"")</f>
        <v/>
      </c>
    </row>
    <row r="8058">
      <c r="D8058" t="str">
        <f>IFERROR(__xludf.DUMMYFUNCTION("""COMPUTED_VALUE"""),"Jackson")</f>
        <v>Jackson</v>
      </c>
      <c r="E8058" t="str">
        <f>IFERROR(__xludf.DUMMYFUNCTION("""COMPUTED_VALUE"""),"DeSean")</f>
        <v>DeSean</v>
      </c>
      <c r="F8058" t="str">
        <f>IFERROR(__xludf.DUMMYFUNCTION("""COMPUTED_VALUE"""),"WR")</f>
        <v>WR</v>
      </c>
      <c r="G8058" t="str">
        <f>IFERROR(__xludf.DUMMYFUNCTION("""COMPUTED_VALUE"""),"")</f>
        <v/>
      </c>
    </row>
    <row r="8059">
      <c r="D8059" t="str">
        <f>IFERROR(__xludf.DUMMYFUNCTION("""COMPUTED_VALUE"""),"Jackson")</f>
        <v>Jackson</v>
      </c>
      <c r="E8059" t="str">
        <f>IFERROR(__xludf.DUMMYFUNCTION("""COMPUTED_VALUE"""),"Donte")</f>
        <v>Donte</v>
      </c>
      <c r="F8059" t="str">
        <f>IFERROR(__xludf.DUMMYFUNCTION("""COMPUTED_VALUE"""),"CB")</f>
        <v>CB</v>
      </c>
      <c r="G8059" t="str">
        <f>IFERROR(__xludf.DUMMYFUNCTION("""COMPUTED_VALUE"""),"")</f>
        <v/>
      </c>
    </row>
    <row r="8060">
      <c r="D8060" t="str">
        <f>IFERROR(__xludf.DUMMYFUNCTION("""COMPUTED_VALUE"""),"Jackson")</f>
        <v>Jackson</v>
      </c>
      <c r="E8060" t="str">
        <f>IFERROR(__xludf.DUMMYFUNCTION("""COMPUTED_VALUE"""),"Eddie")</f>
        <v>Eddie</v>
      </c>
      <c r="F8060" t="str">
        <f>IFERROR(__xludf.DUMMYFUNCTION("""COMPUTED_VALUE"""),"FS")</f>
        <v>FS</v>
      </c>
      <c r="G8060" t="str">
        <f>IFERROR(__xludf.DUMMYFUNCTION("""COMPUTED_VALUE"""),"")</f>
        <v/>
      </c>
    </row>
    <row r="8061">
      <c r="D8061" t="str">
        <f>IFERROR(__xludf.DUMMYFUNCTION("""COMPUTED_VALUE"""),"Jackson")</f>
        <v>Jackson</v>
      </c>
      <c r="E8061" t="str">
        <f>IFERROR(__xludf.DUMMYFUNCTION("""COMPUTED_VALUE"""),"Gabe")</f>
        <v>Gabe</v>
      </c>
      <c r="F8061" t="str">
        <f>IFERROR(__xludf.DUMMYFUNCTION("""COMPUTED_VALUE"""),"RG")</f>
        <v>RG</v>
      </c>
      <c r="G8061" t="str">
        <f>IFERROR(__xludf.DUMMYFUNCTION("""COMPUTED_VALUE"""),"")</f>
        <v/>
      </c>
    </row>
    <row r="8062">
      <c r="D8062" t="str">
        <f>IFERROR(__xludf.DUMMYFUNCTION("""COMPUTED_VALUE"""),"Jackson")</f>
        <v>Jackson</v>
      </c>
      <c r="E8062" t="str">
        <f>IFERROR(__xludf.DUMMYFUNCTION("""COMPUTED_VALUE"""),"JC")</f>
        <v>JC</v>
      </c>
      <c r="F8062" t="str">
        <f>IFERROR(__xludf.DUMMYFUNCTION("""COMPUTED_VALUE"""),"CB")</f>
        <v>CB</v>
      </c>
      <c r="G8062" t="str">
        <f>IFERROR(__xludf.DUMMYFUNCTION("""COMPUTED_VALUE"""),"")</f>
        <v/>
      </c>
    </row>
    <row r="8063">
      <c r="D8063" t="str">
        <f>IFERROR(__xludf.DUMMYFUNCTION("""COMPUTED_VALUE"""),"Jackson")</f>
        <v>Jackson</v>
      </c>
      <c r="E8063" t="str">
        <f>IFERROR(__xludf.DUMMYFUNCTION("""COMPUTED_VALUE"""),"Joe")</f>
        <v>Joe</v>
      </c>
      <c r="F8063" t="str">
        <f>IFERROR(__xludf.DUMMYFUNCTION("""COMPUTED_VALUE"""),"RE")</f>
        <v>RE</v>
      </c>
      <c r="G8063" t="str">
        <f>IFERROR(__xludf.DUMMYFUNCTION("""COMPUTED_VALUE"""),"")</f>
        <v/>
      </c>
    </row>
    <row r="8064">
      <c r="D8064" t="str">
        <f>IFERROR(__xludf.DUMMYFUNCTION("""COMPUTED_VALUE"""),"Jackson")</f>
        <v>Jackson</v>
      </c>
      <c r="E8064" t="str">
        <f>IFERROR(__xludf.DUMMYFUNCTION("""COMPUTED_VALUE"""),"Josh")</f>
        <v>Josh</v>
      </c>
      <c r="F8064" t="str">
        <f>IFERROR(__xludf.DUMMYFUNCTION("""COMPUTED_VALUE"""),"CB")</f>
        <v>CB</v>
      </c>
      <c r="G8064" t="str">
        <f>IFERROR(__xludf.DUMMYFUNCTION("""COMPUTED_VALUE"""),"")</f>
        <v/>
      </c>
    </row>
    <row r="8065">
      <c r="D8065" t="str">
        <f>IFERROR(__xludf.DUMMYFUNCTION("""COMPUTED_VALUE"""),"Jackson")</f>
        <v>Jackson</v>
      </c>
      <c r="E8065" t="str">
        <f>IFERROR(__xludf.DUMMYFUNCTION("""COMPUTED_VALUE"""),"Justin")</f>
        <v>Justin</v>
      </c>
      <c r="F8065" t="str">
        <f>IFERROR(__xludf.DUMMYFUNCTION("""COMPUTED_VALUE"""),"HB")</f>
        <v>HB</v>
      </c>
      <c r="G8065" t="str">
        <f>IFERROR(__xludf.DUMMYFUNCTION("""COMPUTED_VALUE"""),"")</f>
        <v/>
      </c>
    </row>
    <row r="8066">
      <c r="D8066" t="str">
        <f>IFERROR(__xludf.DUMMYFUNCTION("""COMPUTED_VALUE"""),"Jackson")</f>
        <v>Jackson</v>
      </c>
      <c r="E8066" t="str">
        <f>IFERROR(__xludf.DUMMYFUNCTION("""COMPUTED_VALUE"""),"Kareem")</f>
        <v>Kareem</v>
      </c>
      <c r="F8066" t="str">
        <f>IFERROR(__xludf.DUMMYFUNCTION("""COMPUTED_VALUE"""),"CB")</f>
        <v>CB</v>
      </c>
      <c r="G8066" t="str">
        <f>IFERROR(__xludf.DUMMYFUNCTION("""COMPUTED_VALUE"""),"")</f>
        <v/>
      </c>
    </row>
    <row r="8067">
      <c r="D8067" t="str">
        <f>IFERROR(__xludf.DUMMYFUNCTION("""COMPUTED_VALUE"""),"Jackson")</f>
        <v>Jackson</v>
      </c>
      <c r="E8067" t="str">
        <f>IFERROR(__xludf.DUMMYFUNCTION("""COMPUTED_VALUE"""),"Lamar")</f>
        <v>Lamar</v>
      </c>
      <c r="F8067" t="str">
        <f>IFERROR(__xludf.DUMMYFUNCTION("""COMPUTED_VALUE"""),"QB")</f>
        <v>QB</v>
      </c>
      <c r="G8067" t="str">
        <f>IFERROR(__xludf.DUMMYFUNCTION("""COMPUTED_VALUE"""),"")</f>
        <v/>
      </c>
    </row>
    <row r="8068">
      <c r="D8068" t="str">
        <f>IFERROR(__xludf.DUMMYFUNCTION("""COMPUTED_VALUE"""),"Jackson")</f>
        <v>Jackson</v>
      </c>
      <c r="E8068" t="str">
        <f>IFERROR(__xludf.DUMMYFUNCTION("""COMPUTED_VALUE"""),"Malik")</f>
        <v>Malik</v>
      </c>
      <c r="F8068" t="str">
        <f>IFERROR(__xludf.DUMMYFUNCTION("""COMPUTED_VALUE"""),"DT")</f>
        <v>DT</v>
      </c>
      <c r="G8068" t="str">
        <f>IFERROR(__xludf.DUMMYFUNCTION("""COMPUTED_VALUE"""),"")</f>
        <v/>
      </c>
    </row>
    <row r="8069">
      <c r="D8069" t="str">
        <f>IFERROR(__xludf.DUMMYFUNCTION("""COMPUTED_VALUE"""),"Jackson")</f>
        <v>Jackson</v>
      </c>
      <c r="E8069" t="str">
        <f>IFERROR(__xludf.DUMMYFUNCTION("""COMPUTED_VALUE"""),"Michael")</f>
        <v>Michael</v>
      </c>
      <c r="F8069" t="str">
        <f>IFERROR(__xludf.DUMMYFUNCTION("""COMPUTED_VALUE"""),"CB")</f>
        <v>CB</v>
      </c>
      <c r="G8069" t="str">
        <f>IFERROR(__xludf.DUMMYFUNCTION("""COMPUTED_VALUE"""),"")</f>
        <v/>
      </c>
    </row>
    <row r="8070">
      <c r="D8070" t="str">
        <f>IFERROR(__xludf.DUMMYFUNCTION("""COMPUTED_VALUE"""),"Jackson")</f>
        <v>Jackson</v>
      </c>
      <c r="E8070" t="str">
        <f>IFERROR(__xludf.DUMMYFUNCTION("""COMPUTED_VALUE"""),"Robert")</f>
        <v>Robert</v>
      </c>
      <c r="F8070" t="str">
        <f>IFERROR(__xludf.DUMMYFUNCTION("""COMPUTED_VALUE"""),"CB")</f>
        <v>CB</v>
      </c>
      <c r="G8070" t="str">
        <f>IFERROR(__xludf.DUMMYFUNCTION("""COMPUTED_VALUE"""),"")</f>
        <v/>
      </c>
    </row>
    <row r="8071">
      <c r="D8071" t="str">
        <f>IFERROR(__xludf.DUMMYFUNCTION("""COMPUTED_VALUE"""),"Jackson")</f>
        <v>Jackson</v>
      </c>
      <c r="E8071" t="str">
        <f>IFERROR(__xludf.DUMMYFUNCTION("""COMPUTED_VALUE"""),"Tyree")</f>
        <v>Tyree</v>
      </c>
      <c r="F8071" t="str">
        <f>IFERROR(__xludf.DUMMYFUNCTION("""COMPUTED_VALUE"""),"QB")</f>
        <v>QB</v>
      </c>
      <c r="G8071" t="str">
        <f>IFERROR(__xludf.DUMMYFUNCTION("""COMPUTED_VALUE"""),"")</f>
        <v/>
      </c>
    </row>
    <row r="8072">
      <c r="D8072" t="str">
        <f>IFERROR(__xludf.DUMMYFUNCTION("""COMPUTED_VALUE"""),"Jackson")</f>
        <v>Jackson</v>
      </c>
      <c r="E8072" t="str">
        <f>IFERROR(__xludf.DUMMYFUNCTION("""COMPUTED_VALUE"""),"William")</f>
        <v>William</v>
      </c>
      <c r="F8072" t="str">
        <f>IFERROR(__xludf.DUMMYFUNCTION("""COMPUTED_VALUE"""),"CB")</f>
        <v>CB</v>
      </c>
      <c r="G8072" t="str">
        <f>IFERROR(__xludf.DUMMYFUNCTION("""COMPUTED_VALUE"""),"")</f>
        <v/>
      </c>
    </row>
    <row r="8073">
      <c r="D8073" t="str">
        <f>IFERROR(__xludf.DUMMYFUNCTION("""COMPUTED_VALUE"""),"Jacobs")</f>
        <v>Jacobs</v>
      </c>
      <c r="E8073" t="str">
        <f>IFERROR(__xludf.DUMMYFUNCTION("""COMPUTED_VALUE"""),"Josh")</f>
        <v>Josh</v>
      </c>
      <c r="F8073" t="str">
        <f>IFERROR(__xludf.DUMMYFUNCTION("""COMPUTED_VALUE"""),"HB")</f>
        <v>HB</v>
      </c>
      <c r="G8073" t="str">
        <f>IFERROR(__xludf.DUMMYFUNCTION("""COMPUTED_VALUE"""),"")</f>
        <v/>
      </c>
    </row>
    <row r="8074">
      <c r="D8074" t="str">
        <f>IFERROR(__xludf.DUMMYFUNCTION("""COMPUTED_VALUE"""),"Jacobs")</f>
        <v>Jacobs</v>
      </c>
      <c r="E8074" t="str">
        <f>IFERROR(__xludf.DUMMYFUNCTION("""COMPUTED_VALUE"""),"Leon")</f>
        <v>Leon</v>
      </c>
      <c r="F8074" t="str">
        <f>IFERROR(__xludf.DUMMYFUNCTION("""COMPUTED_VALUE"""),"LOLB")</f>
        <v>LOLB</v>
      </c>
      <c r="G8074" t="str">
        <f>IFERROR(__xludf.DUMMYFUNCTION("""COMPUTED_VALUE"""),"")</f>
        <v/>
      </c>
    </row>
    <row r="8075">
      <c r="D8075" t="str">
        <f>IFERROR(__xludf.DUMMYFUNCTION("""COMPUTED_VALUE"""),"Jamerson")</f>
        <v>Jamerson</v>
      </c>
      <c r="E8075" t="str">
        <f>IFERROR(__xludf.DUMMYFUNCTION("""COMPUTED_VALUE"""),"Natrell")</f>
        <v>Natrell</v>
      </c>
      <c r="F8075" t="str">
        <f>IFERROR(__xludf.DUMMYFUNCTION("""COMPUTED_VALUE"""),"CB")</f>
        <v>CB</v>
      </c>
      <c r="G8075" t="str">
        <f>IFERROR(__xludf.DUMMYFUNCTION("""COMPUTED_VALUE"""),"")</f>
        <v/>
      </c>
    </row>
    <row r="8076">
      <c r="D8076" t="str">
        <f>IFERROR(__xludf.DUMMYFUNCTION("""COMPUTED_VALUE"""),"James")</f>
        <v>James</v>
      </c>
      <c r="E8076" t="str">
        <f>IFERROR(__xludf.DUMMYFUNCTION("""COMPUTED_VALUE"""),"Craig")</f>
        <v>Craig</v>
      </c>
      <c r="F8076" t="str">
        <f>IFERROR(__xludf.DUMMYFUNCTION("""COMPUTED_VALUE"""),"CB")</f>
        <v>CB</v>
      </c>
      <c r="G8076" t="str">
        <f>IFERROR(__xludf.DUMMYFUNCTION("""COMPUTED_VALUE"""),"")</f>
        <v/>
      </c>
    </row>
    <row r="8077">
      <c r="D8077" t="str">
        <f>IFERROR(__xludf.DUMMYFUNCTION("""COMPUTED_VALUE"""),"James")</f>
        <v>James</v>
      </c>
      <c r="E8077" t="str">
        <f>IFERROR(__xludf.DUMMYFUNCTION("""COMPUTED_VALUE"""),"Derwin")</f>
        <v>Derwin</v>
      </c>
      <c r="F8077" t="str">
        <f>IFERROR(__xludf.DUMMYFUNCTION("""COMPUTED_VALUE"""),"SS")</f>
        <v>SS</v>
      </c>
      <c r="G8077" t="str">
        <f>IFERROR(__xludf.DUMMYFUNCTION("""COMPUTED_VALUE"""),"")</f>
        <v/>
      </c>
    </row>
    <row r="8078">
      <c r="D8078" t="str">
        <f>IFERROR(__xludf.DUMMYFUNCTION("""COMPUTED_VALUE"""),"James")</f>
        <v>James</v>
      </c>
      <c r="E8078" t="str">
        <f>IFERROR(__xludf.DUMMYFUNCTION("""COMPUTED_VALUE"""),"JaWuan")</f>
        <v>JaWuan</v>
      </c>
      <c r="F8078" t="str">
        <f>IFERROR(__xludf.DUMMYFUNCTION("""COMPUTED_VALUE"""),"RT")</f>
        <v>RT</v>
      </c>
      <c r="G8078" t="str">
        <f>IFERROR(__xludf.DUMMYFUNCTION("""COMPUTED_VALUE"""),"")</f>
        <v/>
      </c>
    </row>
    <row r="8079">
      <c r="D8079" t="str">
        <f>IFERROR(__xludf.DUMMYFUNCTION("""COMPUTED_VALUE"""),"James")</f>
        <v>James</v>
      </c>
      <c r="E8079" t="str">
        <f>IFERROR(__xludf.DUMMYFUNCTION("""COMPUTED_VALUE"""),"Jesse")</f>
        <v>Jesse</v>
      </c>
      <c r="F8079" t="str">
        <f>IFERROR(__xludf.DUMMYFUNCTION("""COMPUTED_VALUE"""),"TE")</f>
        <v>TE</v>
      </c>
      <c r="G8079" t="str">
        <f>IFERROR(__xludf.DUMMYFUNCTION("""COMPUTED_VALUE"""),"")</f>
        <v/>
      </c>
    </row>
    <row r="8080">
      <c r="D8080" t="str">
        <f>IFERROR(__xludf.DUMMYFUNCTION("""COMPUTED_VALUE"""),"James")</f>
        <v>James</v>
      </c>
      <c r="E8080" t="str">
        <f>IFERROR(__xludf.DUMMYFUNCTION("""COMPUTED_VALUE"""),"Richie")</f>
        <v>Richie</v>
      </c>
      <c r="F8080" t="str">
        <f>IFERROR(__xludf.DUMMYFUNCTION("""COMPUTED_VALUE"""),"WR")</f>
        <v>WR</v>
      </c>
      <c r="G8080" t="str">
        <f>IFERROR(__xludf.DUMMYFUNCTION("""COMPUTED_VALUE"""),"")</f>
        <v/>
      </c>
    </row>
    <row r="8081">
      <c r="D8081" t="str">
        <f>IFERROR(__xludf.DUMMYFUNCTION("""COMPUTED_VALUE"""),"Janovich")</f>
        <v>Janovich</v>
      </c>
      <c r="E8081" t="str">
        <f>IFERROR(__xludf.DUMMYFUNCTION("""COMPUTED_VALUE"""),"Andy")</f>
        <v>Andy</v>
      </c>
      <c r="F8081" t="str">
        <f>IFERROR(__xludf.DUMMYFUNCTION("""COMPUTED_VALUE"""),"FB")</f>
        <v>FB</v>
      </c>
      <c r="G8081" t="str">
        <f>IFERROR(__xludf.DUMMYFUNCTION("""COMPUTED_VALUE"""),"")</f>
        <v/>
      </c>
    </row>
    <row r="8082">
      <c r="D8082" t="str">
        <f>IFERROR(__xludf.DUMMYFUNCTION("""COMPUTED_VALUE"""),"Jansen")</f>
        <v>Jansen</v>
      </c>
      <c r="E8082" t="str">
        <f>IFERROR(__xludf.DUMMYFUNCTION("""COMPUTED_VALUE"""),"JJ")</f>
        <v>JJ</v>
      </c>
      <c r="F8082" t="str">
        <f>IFERROR(__xludf.DUMMYFUNCTION("""COMPUTED_VALUE"""),"TE")</f>
        <v>TE</v>
      </c>
      <c r="G8082" t="str">
        <f>IFERROR(__xludf.DUMMYFUNCTION("""COMPUTED_VALUE"""),"")</f>
        <v/>
      </c>
    </row>
    <row r="8083">
      <c r="D8083" t="str">
        <f>IFERROR(__xludf.DUMMYFUNCTION("""COMPUTED_VALUE"""),"Jarrett")</f>
        <v>Jarrett</v>
      </c>
      <c r="E8083" t="str">
        <f>IFERROR(__xludf.DUMMYFUNCTION("""COMPUTED_VALUE"""),"Grady")</f>
        <v>Grady</v>
      </c>
      <c r="F8083" t="str">
        <f>IFERROR(__xludf.DUMMYFUNCTION("""COMPUTED_VALUE"""),"DT")</f>
        <v>DT</v>
      </c>
      <c r="G8083" t="str">
        <f>IFERROR(__xludf.DUMMYFUNCTION("""COMPUTED_VALUE"""),"")</f>
        <v/>
      </c>
    </row>
    <row r="8084">
      <c r="D8084" t="str">
        <f>IFERROR(__xludf.DUMMYFUNCTION("""COMPUTED_VALUE"""),"Jarwin")</f>
        <v>Jarwin</v>
      </c>
      <c r="E8084" t="str">
        <f>IFERROR(__xludf.DUMMYFUNCTION("""COMPUTED_VALUE"""),"Blake")</f>
        <v>Blake</v>
      </c>
      <c r="F8084" t="str">
        <f>IFERROR(__xludf.DUMMYFUNCTION("""COMPUTED_VALUE"""),"TE")</f>
        <v>TE</v>
      </c>
      <c r="G8084" t="str">
        <f>IFERROR(__xludf.DUMMYFUNCTION("""COMPUTED_VALUE"""),"")</f>
        <v/>
      </c>
    </row>
    <row r="8085">
      <c r="D8085" t="str">
        <f>IFERROR(__xludf.DUMMYFUNCTION("""COMPUTED_VALUE"""),"Jean-Baptiste")</f>
        <v>Jean-Baptiste</v>
      </c>
      <c r="E8085" t="str">
        <f>IFERROR(__xludf.DUMMYFUNCTION("""COMPUTED_VALUE"""),"Stanley")</f>
        <v>Stanley</v>
      </c>
      <c r="F8085" t="str">
        <f>IFERROR(__xludf.DUMMYFUNCTION("""COMPUTED_VALUE"""),"CB")</f>
        <v>CB</v>
      </c>
      <c r="G8085" t="str">
        <f>IFERROR(__xludf.DUMMYFUNCTION("""COMPUTED_VALUE"""),"")</f>
        <v/>
      </c>
    </row>
    <row r="8086">
      <c r="D8086" t="str">
        <f>IFERROR(__xludf.DUMMYFUNCTION("""COMPUTED_VALUE"""),"Jefferson")</f>
        <v>Jefferson</v>
      </c>
      <c r="E8086" t="str">
        <f>IFERROR(__xludf.DUMMYFUNCTION("""COMPUTED_VALUE"""),"Malik")</f>
        <v>Malik</v>
      </c>
      <c r="F8086" t="str">
        <f>IFERROR(__xludf.DUMMYFUNCTION("""COMPUTED_VALUE"""),"ROLB")</f>
        <v>ROLB</v>
      </c>
      <c r="G8086" t="str">
        <f>IFERROR(__xludf.DUMMYFUNCTION("""COMPUTED_VALUE"""),"")</f>
        <v/>
      </c>
    </row>
    <row r="8087">
      <c r="D8087" t="str">
        <f>IFERROR(__xludf.DUMMYFUNCTION("""COMPUTED_VALUE"""),"Jefferson")</f>
        <v>Jefferson</v>
      </c>
      <c r="E8087" t="str">
        <f>IFERROR(__xludf.DUMMYFUNCTION("""COMPUTED_VALUE"""),"Quinton")</f>
        <v>Quinton</v>
      </c>
      <c r="F8087" t="str">
        <f>IFERROR(__xludf.DUMMYFUNCTION("""COMPUTED_VALUE"""),"LE")</f>
        <v>LE</v>
      </c>
      <c r="G8087" t="str">
        <f>IFERROR(__xludf.DUMMYFUNCTION("""COMPUTED_VALUE"""),"")</f>
        <v/>
      </c>
    </row>
    <row r="8088">
      <c r="D8088" t="str">
        <f>IFERROR(__xludf.DUMMYFUNCTION("""COMPUTED_VALUE"""),"Jefferson")</f>
        <v>Jefferson</v>
      </c>
      <c r="E8088" t="str">
        <f>IFERROR(__xludf.DUMMYFUNCTION("""COMPUTED_VALUE"""),"Tony")</f>
        <v>Tony</v>
      </c>
      <c r="F8088" t="str">
        <f>IFERROR(__xludf.DUMMYFUNCTION("""COMPUTED_VALUE"""),"SS")</f>
        <v>SS</v>
      </c>
      <c r="G8088" t="str">
        <f>IFERROR(__xludf.DUMMYFUNCTION("""COMPUTED_VALUE"""),"")</f>
        <v/>
      </c>
    </row>
    <row r="8089">
      <c r="D8089" t="str">
        <f>IFERROR(__xludf.DUMMYFUNCTION("""COMPUTED_VALUE"""),"Jeffery")</f>
        <v>Jeffery</v>
      </c>
      <c r="E8089" t="str">
        <f>IFERROR(__xludf.DUMMYFUNCTION("""COMPUTED_VALUE"""),"Alshon")</f>
        <v>Alshon</v>
      </c>
      <c r="F8089" t="str">
        <f>IFERROR(__xludf.DUMMYFUNCTION("""COMPUTED_VALUE"""),"WR")</f>
        <v>WR</v>
      </c>
      <c r="G8089" t="str">
        <f>IFERROR(__xludf.DUMMYFUNCTION("""COMPUTED_VALUE"""),"")</f>
        <v/>
      </c>
    </row>
    <row r="8090">
      <c r="D8090" t="str">
        <f>IFERROR(__xludf.DUMMYFUNCTION("""COMPUTED_VALUE"""),"Jelks")</f>
        <v>Jelks</v>
      </c>
      <c r="E8090" t="str">
        <f>IFERROR(__xludf.DUMMYFUNCTION("""COMPUTED_VALUE"""),"Jalen")</f>
        <v>Jalen</v>
      </c>
      <c r="F8090" t="str">
        <f>IFERROR(__xludf.DUMMYFUNCTION("""COMPUTED_VALUE"""),"LE")</f>
        <v>LE</v>
      </c>
      <c r="G8090" t="str">
        <f>IFERROR(__xludf.DUMMYFUNCTION("""COMPUTED_VALUE"""),"")</f>
        <v/>
      </c>
    </row>
    <row r="8091">
      <c r="D8091" t="str">
        <f>IFERROR(__xludf.DUMMYFUNCTION("""COMPUTED_VALUE"""),"Jenkins")</f>
        <v>Jenkins</v>
      </c>
      <c r="E8091" t="str">
        <f>IFERROR(__xludf.DUMMYFUNCTION("""COMPUTED_VALUE"""),"Elgton")</f>
        <v>Elgton</v>
      </c>
      <c r="F8091" t="str">
        <f>IFERROR(__xludf.DUMMYFUNCTION("""COMPUTED_VALUE"""),"RG")</f>
        <v>RG</v>
      </c>
      <c r="G8091" t="str">
        <f>IFERROR(__xludf.DUMMYFUNCTION("""COMPUTED_VALUE"""),"")</f>
        <v/>
      </c>
    </row>
    <row r="8092">
      <c r="D8092" t="str">
        <f>IFERROR(__xludf.DUMMYFUNCTION("""COMPUTED_VALUE"""),"Jenkins")</f>
        <v>Jenkins</v>
      </c>
      <c r="E8092" t="str">
        <f>IFERROR(__xludf.DUMMYFUNCTION("""COMPUTED_VALUE"""),"Janoris")</f>
        <v>Janoris</v>
      </c>
      <c r="F8092" t="str">
        <f>IFERROR(__xludf.DUMMYFUNCTION("""COMPUTED_VALUE"""),"CB")</f>
        <v>CB</v>
      </c>
      <c r="G8092" t="str">
        <f>IFERROR(__xludf.DUMMYFUNCTION("""COMPUTED_VALUE"""),"")</f>
        <v/>
      </c>
    </row>
    <row r="8093">
      <c r="D8093" t="str">
        <f>IFERROR(__xludf.DUMMYFUNCTION("""COMPUTED_VALUE"""),"Jenkins")</f>
        <v>Jenkins</v>
      </c>
      <c r="E8093" t="str">
        <f>IFERROR(__xludf.DUMMYFUNCTION("""COMPUTED_VALUE"""),"John")</f>
        <v>John</v>
      </c>
      <c r="F8093" t="str">
        <f>IFERROR(__xludf.DUMMYFUNCTION("""COMPUTED_VALUE"""),"DT")</f>
        <v>DT</v>
      </c>
      <c r="G8093" t="str">
        <f>IFERROR(__xludf.DUMMYFUNCTION("""COMPUTED_VALUE"""),"")</f>
        <v/>
      </c>
    </row>
    <row r="8094">
      <c r="D8094" t="str">
        <f>IFERROR(__xludf.DUMMYFUNCTION("""COMPUTED_VALUE"""),"Jenkins")</f>
        <v>Jenkins</v>
      </c>
      <c r="E8094" t="str">
        <f>IFERROR(__xludf.DUMMYFUNCTION("""COMPUTED_VALUE"""),"Jordan")</f>
        <v>Jordan</v>
      </c>
      <c r="F8094" t="str">
        <f>IFERROR(__xludf.DUMMYFUNCTION("""COMPUTED_VALUE"""),"LOLB")</f>
        <v>LOLB</v>
      </c>
      <c r="G8094" t="str">
        <f>IFERROR(__xludf.DUMMYFUNCTION("""COMPUTED_VALUE"""),"")</f>
        <v/>
      </c>
    </row>
    <row r="8095">
      <c r="D8095" t="str">
        <f>IFERROR(__xludf.DUMMYFUNCTION("""COMPUTED_VALUE"""),"Jenkins")</f>
        <v>Jenkins</v>
      </c>
      <c r="E8095" t="str">
        <f>IFERROR(__xludf.DUMMYFUNCTION("""COMPUTED_VALUE"""),"Malcolm")</f>
        <v>Malcolm</v>
      </c>
      <c r="F8095" t="str">
        <f>IFERROR(__xludf.DUMMYFUNCTION("""COMPUTED_VALUE"""),"SS")</f>
        <v>SS</v>
      </c>
      <c r="G8095" t="str">
        <f>IFERROR(__xludf.DUMMYFUNCTION("""COMPUTED_VALUE"""),"")</f>
        <v/>
      </c>
    </row>
    <row r="8096">
      <c r="D8096" t="str">
        <f>IFERROR(__xludf.DUMMYFUNCTION("""COMPUTED_VALUE"""),"Jenkins")</f>
        <v>Jenkins</v>
      </c>
      <c r="E8096" t="str">
        <f>IFERROR(__xludf.DUMMYFUNCTION("""COMPUTED_VALUE"""),"Rayshawn")</f>
        <v>Rayshawn</v>
      </c>
      <c r="F8096" t="str">
        <f>IFERROR(__xludf.DUMMYFUNCTION("""COMPUTED_VALUE"""),"FS")</f>
        <v>FS</v>
      </c>
      <c r="G8096" t="str">
        <f>IFERROR(__xludf.DUMMYFUNCTION("""COMPUTED_VALUE"""),"")</f>
        <v/>
      </c>
    </row>
    <row r="8097">
      <c r="D8097" t="str">
        <f>IFERROR(__xludf.DUMMYFUNCTION("""COMPUTED_VALUE"""),"Jennings")</f>
        <v>Jennings</v>
      </c>
      <c r="E8097" t="str">
        <f>IFERROR(__xludf.DUMMYFUNCTION("""COMPUTED_VALUE"""),"Darius")</f>
        <v>Darius</v>
      </c>
      <c r="F8097" t="str">
        <f>IFERROR(__xludf.DUMMYFUNCTION("""COMPUTED_VALUE"""),"WR")</f>
        <v>WR</v>
      </c>
      <c r="G8097" t="str">
        <f>IFERROR(__xludf.DUMMYFUNCTION("""COMPUTED_VALUE"""),"")</f>
        <v/>
      </c>
    </row>
    <row r="8098">
      <c r="D8098" t="str">
        <f>IFERROR(__xludf.DUMMYFUNCTION("""COMPUTED_VALUE"""),"Jennings")</f>
        <v>Jennings</v>
      </c>
      <c r="E8098" t="str">
        <f>IFERROR(__xludf.DUMMYFUNCTION("""COMPUTED_VALUE"""),"Gary")</f>
        <v>Gary</v>
      </c>
      <c r="F8098" t="str">
        <f>IFERROR(__xludf.DUMMYFUNCTION("""COMPUTED_VALUE"""),"WR")</f>
        <v>WR</v>
      </c>
      <c r="G8098" t="str">
        <f>IFERROR(__xludf.DUMMYFUNCTION("""COMPUTED_VALUE"""),"")</f>
        <v/>
      </c>
    </row>
    <row r="8099">
      <c r="D8099" t="str">
        <f>IFERROR(__xludf.DUMMYFUNCTION("""COMPUTED_VALUE"""),"Jensen")</f>
        <v>Jensen</v>
      </c>
      <c r="E8099" t="str">
        <f>IFERROR(__xludf.DUMMYFUNCTION("""COMPUTED_VALUE"""),"Ryan")</f>
        <v>Ryan</v>
      </c>
      <c r="F8099" t="str">
        <f>IFERROR(__xludf.DUMMYFUNCTION("""COMPUTED_VALUE"""),"C")</f>
        <v>C</v>
      </c>
      <c r="G8099" t="str">
        <f>IFERROR(__xludf.DUMMYFUNCTION("""COMPUTED_VALUE"""),"")</f>
        <v/>
      </c>
    </row>
    <row r="8100">
      <c r="D8100" t="str">
        <f>IFERROR(__xludf.DUMMYFUNCTION("""COMPUTED_VALUE"""),"Jernigan")</f>
        <v>Jernigan</v>
      </c>
      <c r="E8100" t="str">
        <f>IFERROR(__xludf.DUMMYFUNCTION("""COMPUTED_VALUE"""),"Tim")</f>
        <v>Tim</v>
      </c>
      <c r="F8100" t="str">
        <f>IFERROR(__xludf.DUMMYFUNCTION("""COMPUTED_VALUE"""),"DT")</f>
        <v>DT</v>
      </c>
      <c r="G8100" t="str">
        <f>IFERROR(__xludf.DUMMYFUNCTION("""COMPUTED_VALUE"""),"")</f>
        <v/>
      </c>
    </row>
    <row r="8101">
      <c r="D8101" t="str">
        <f>IFERROR(__xludf.DUMMYFUNCTION("""COMPUTED_VALUE"""),"Jewell")</f>
        <v>Jewell</v>
      </c>
      <c r="E8101" t="str">
        <f>IFERROR(__xludf.DUMMYFUNCTION("""COMPUTED_VALUE"""),"Josey")</f>
        <v>Josey</v>
      </c>
      <c r="F8101" t="str">
        <f>IFERROR(__xludf.DUMMYFUNCTION("""COMPUTED_VALUE"""),"MLB")</f>
        <v>MLB</v>
      </c>
      <c r="G8101" t="str">
        <f>IFERROR(__xludf.DUMMYFUNCTION("""COMPUTED_VALUE"""),"")</f>
        <v/>
      </c>
    </row>
    <row r="8102">
      <c r="D8102" t="str">
        <f>IFERROR(__xludf.DUMMYFUNCTION("""COMPUTED_VALUE"""),"John")</f>
        <v>John</v>
      </c>
      <c r="E8102" t="str">
        <f>IFERROR(__xludf.DUMMYFUNCTION("""COMPUTED_VALUE"""),"Ulrick")</f>
        <v>Ulrick</v>
      </c>
      <c r="F8102" t="str">
        <f>IFERROR(__xludf.DUMMYFUNCTION("""COMPUTED_VALUE"""),"RT")</f>
        <v>RT</v>
      </c>
      <c r="G8102" t="str">
        <f>IFERROR(__xludf.DUMMYFUNCTION("""COMPUTED_VALUE"""),"")</f>
        <v/>
      </c>
    </row>
    <row r="8103">
      <c r="D8103" t="str">
        <f>IFERROR(__xludf.DUMMYFUNCTION("""COMPUTED_VALUE"""),"Johnson")</f>
        <v>Johnson</v>
      </c>
      <c r="E8103" t="str">
        <f>IFERROR(__xludf.DUMMYFUNCTION("""COMPUTED_VALUE"""),"AJ")</f>
        <v>AJ</v>
      </c>
      <c r="F8103" t="str">
        <f>IFERROR(__xludf.DUMMYFUNCTION("""COMPUTED_VALUE"""),"MLB")</f>
        <v>MLB</v>
      </c>
      <c r="G8103" t="str">
        <f>IFERROR(__xludf.DUMMYFUNCTION("""COMPUTED_VALUE"""),"")</f>
        <v/>
      </c>
    </row>
    <row r="8104">
      <c r="D8104" t="str">
        <f>IFERROR(__xludf.DUMMYFUNCTION("""COMPUTED_VALUE"""),"Johnson")</f>
        <v>Johnson</v>
      </c>
      <c r="E8104" t="str">
        <f>IFERROR(__xludf.DUMMYFUNCTION("""COMPUTED_VALUE"""),"Anthony")</f>
        <v>Anthony</v>
      </c>
      <c r="F8104" t="str">
        <f>IFERROR(__xludf.DUMMYFUNCTION("""COMPUTED_VALUE"""),"WR")</f>
        <v>WR</v>
      </c>
      <c r="G8104" t="str">
        <f>IFERROR(__xludf.DUMMYFUNCTION("""COMPUTED_VALUE"""),"")</f>
        <v/>
      </c>
    </row>
    <row r="8105">
      <c r="D8105" t="str">
        <f>IFERROR(__xludf.DUMMYFUNCTION("""COMPUTED_VALUE"""),"Johnson")</f>
        <v>Johnson</v>
      </c>
      <c r="E8105" t="str">
        <f>IFERROR(__xludf.DUMMYFUNCTION("""COMPUTED_VALUE"""),"Austin")</f>
        <v>Austin</v>
      </c>
      <c r="F8105" t="str">
        <f>IFERROR(__xludf.DUMMYFUNCTION("""COMPUTED_VALUE"""),"DT")</f>
        <v>DT</v>
      </c>
      <c r="G8105" t="str">
        <f>IFERROR(__xludf.DUMMYFUNCTION("""COMPUTED_VALUE"""),"")</f>
        <v/>
      </c>
    </row>
    <row r="8106">
      <c r="D8106" t="str">
        <f>IFERROR(__xludf.DUMMYFUNCTION("""COMPUTED_VALUE"""),"Johnson")</f>
        <v>Johnson</v>
      </c>
      <c r="E8106" t="str">
        <f>IFERROR(__xludf.DUMMYFUNCTION("""COMPUTED_VALUE"""),"Charles")</f>
        <v>Charles</v>
      </c>
      <c r="F8106" t="str">
        <f>IFERROR(__xludf.DUMMYFUNCTION("""COMPUTED_VALUE"""),"WR")</f>
        <v>WR</v>
      </c>
      <c r="G8106" t="str">
        <f>IFERROR(__xludf.DUMMYFUNCTION("""COMPUTED_VALUE"""),"")</f>
        <v/>
      </c>
    </row>
    <row r="8107">
      <c r="D8107" t="str">
        <f>IFERROR(__xludf.DUMMYFUNCTION("""COMPUTED_VALUE"""),"Johnson")</f>
        <v>Johnson</v>
      </c>
      <c r="E8107" t="str">
        <f>IFERROR(__xludf.DUMMYFUNCTION("""COMPUTED_VALUE"""),"Danny")</f>
        <v>Danny</v>
      </c>
      <c r="F8107" t="str">
        <f>IFERROR(__xludf.DUMMYFUNCTION("""COMPUTED_VALUE"""),"CB")</f>
        <v>CB</v>
      </c>
      <c r="G8107" t="str">
        <f>IFERROR(__xludf.DUMMYFUNCTION("""COMPUTED_VALUE"""),"")</f>
        <v/>
      </c>
    </row>
    <row r="8108">
      <c r="D8108" t="str">
        <f>IFERROR(__xludf.DUMMYFUNCTION("""COMPUTED_VALUE"""),"Johnson")</f>
        <v>Johnson</v>
      </c>
      <c r="E8108" t="str">
        <f>IFERROR(__xludf.DUMMYFUNCTION("""COMPUTED_VALUE"""),"Darryl")</f>
        <v>Darryl</v>
      </c>
      <c r="F8108" t="str">
        <f>IFERROR(__xludf.DUMMYFUNCTION("""COMPUTED_VALUE"""),"LE")</f>
        <v>LE</v>
      </c>
      <c r="G8108" t="str">
        <f>IFERROR(__xludf.DUMMYFUNCTION("""COMPUTED_VALUE"""),"")</f>
        <v/>
      </c>
    </row>
    <row r="8109">
      <c r="D8109" t="str">
        <f>IFERROR(__xludf.DUMMYFUNCTION("""COMPUTED_VALUE"""),"Johnson")</f>
        <v>Johnson</v>
      </c>
      <c r="E8109" t="str">
        <f>IFERROR(__xludf.DUMMYFUNCTION("""COMPUTED_VALUE"""),"David")</f>
        <v>David</v>
      </c>
      <c r="F8109" t="str">
        <f>IFERROR(__xludf.DUMMYFUNCTION("""COMPUTED_VALUE"""),"HB")</f>
        <v>HB</v>
      </c>
      <c r="G8109" t="str">
        <f>IFERROR(__xludf.DUMMYFUNCTION("""COMPUTED_VALUE"""),"")</f>
        <v/>
      </c>
    </row>
    <row r="8110">
      <c r="D8110" t="str">
        <f>IFERROR(__xludf.DUMMYFUNCTION("""COMPUTED_VALUE"""),"Johnson")</f>
        <v>Johnson</v>
      </c>
      <c r="E8110" t="str">
        <f>IFERROR(__xludf.DUMMYFUNCTION("""COMPUTED_VALUE"""),"Diontae")</f>
        <v>Diontae</v>
      </c>
      <c r="F8110" t="str">
        <f>IFERROR(__xludf.DUMMYFUNCTION("""COMPUTED_VALUE"""),"WR")</f>
        <v>WR</v>
      </c>
      <c r="G8110" t="str">
        <f>IFERROR(__xludf.DUMMYFUNCTION("""COMPUTED_VALUE"""),"")</f>
        <v/>
      </c>
    </row>
    <row r="8111">
      <c r="D8111" t="str">
        <f>IFERROR(__xludf.DUMMYFUNCTION("""COMPUTED_VALUE"""),"Johnson")</f>
        <v>Johnson</v>
      </c>
      <c r="E8111" t="str">
        <f>IFERROR(__xludf.DUMMYFUNCTION("""COMPUTED_VALUE"""),"Dorian")</f>
        <v>Dorian</v>
      </c>
      <c r="F8111" t="str">
        <f>IFERROR(__xludf.DUMMYFUNCTION("""COMPUTED_VALUE"""),"RG")</f>
        <v>RG</v>
      </c>
      <c r="G8111" t="str">
        <f>IFERROR(__xludf.DUMMYFUNCTION("""COMPUTED_VALUE"""),"")</f>
        <v/>
      </c>
    </row>
    <row r="8112">
      <c r="D8112" t="str">
        <f>IFERROR(__xludf.DUMMYFUNCTION("""COMPUTED_VALUE"""),"Johnson")</f>
        <v>Johnson</v>
      </c>
      <c r="E8112" t="str">
        <f>IFERROR(__xludf.DUMMYFUNCTION("""COMPUTED_VALUE"""),"Duke")</f>
        <v>Duke</v>
      </c>
      <c r="F8112" t="str">
        <f>IFERROR(__xludf.DUMMYFUNCTION("""COMPUTED_VALUE"""),"HB")</f>
        <v>HB</v>
      </c>
      <c r="G8112" t="str">
        <f>IFERROR(__xludf.DUMMYFUNCTION("""COMPUTED_VALUE"""),"")</f>
        <v/>
      </c>
    </row>
    <row r="8113">
      <c r="D8113" t="str">
        <f>IFERROR(__xludf.DUMMYFUNCTION("""COMPUTED_VALUE"""),"Johnson")</f>
        <v>Johnson</v>
      </c>
      <c r="E8113" t="str">
        <f>IFERROR(__xludf.DUMMYFUNCTION("""COMPUTED_VALUE"""),"Fred")</f>
        <v>Fred</v>
      </c>
      <c r="F8113" t="str">
        <f>IFERROR(__xludf.DUMMYFUNCTION("""COMPUTED_VALUE"""),"RG")</f>
        <v>RG</v>
      </c>
      <c r="G8113" t="str">
        <f>IFERROR(__xludf.DUMMYFUNCTION("""COMPUTED_VALUE"""),"")</f>
        <v/>
      </c>
    </row>
    <row r="8114">
      <c r="D8114" t="str">
        <f>IFERROR(__xludf.DUMMYFUNCTION("""COMPUTED_VALUE"""),"Johnson")</f>
        <v>Johnson</v>
      </c>
      <c r="E8114" t="str">
        <f>IFERROR(__xludf.DUMMYFUNCTION("""COMPUTED_VALUE"""),"Gary")</f>
        <v>Gary</v>
      </c>
      <c r="F8114" t="str">
        <f>IFERROR(__xludf.DUMMYFUNCTION("""COMPUTED_VALUE"""),"MLB")</f>
        <v>MLB</v>
      </c>
      <c r="G8114" t="str">
        <f>IFERROR(__xludf.DUMMYFUNCTION("""COMPUTED_VALUE"""),"")</f>
        <v/>
      </c>
    </row>
    <row r="8115">
      <c r="D8115" t="str">
        <f>IFERROR(__xludf.DUMMYFUNCTION("""COMPUTED_VALUE"""),"Johnson")</f>
        <v>Johnson</v>
      </c>
      <c r="E8115" t="str">
        <f>IFERROR(__xludf.DUMMYFUNCTION("""COMPUTED_VALUE"""),"Isaiah")</f>
        <v>Isaiah</v>
      </c>
      <c r="F8115" t="str">
        <f>IFERROR(__xludf.DUMMYFUNCTION("""COMPUTED_VALUE"""),"CB")</f>
        <v>CB</v>
      </c>
      <c r="G8115" t="str">
        <f>IFERROR(__xludf.DUMMYFUNCTION("""COMPUTED_VALUE"""),"")</f>
        <v/>
      </c>
    </row>
    <row r="8116">
      <c r="D8116" t="str">
        <f>IFERROR(__xludf.DUMMYFUNCTION("""COMPUTED_VALUE"""),"Johnson")</f>
        <v>Johnson</v>
      </c>
      <c r="E8116" t="str">
        <f>IFERROR(__xludf.DUMMYFUNCTION("""COMPUTED_VALUE"""),"Isaiah")</f>
        <v>Isaiah</v>
      </c>
      <c r="F8116" t="str">
        <f>IFERROR(__xludf.DUMMYFUNCTION("""COMPUTED_VALUE"""),"SS")</f>
        <v>SS</v>
      </c>
      <c r="G8116" t="str">
        <f>IFERROR(__xludf.DUMMYFUNCTION("""COMPUTED_VALUE"""),"")</f>
        <v/>
      </c>
    </row>
    <row r="8117">
      <c r="D8117" t="str">
        <f>IFERROR(__xludf.DUMMYFUNCTION("""COMPUTED_VALUE"""),"Johnson")</f>
        <v>Johnson</v>
      </c>
      <c r="E8117" t="str">
        <f>IFERROR(__xludf.DUMMYFUNCTION("""COMPUTED_VALUE"""),"Isaiah")</f>
        <v>Isaiah</v>
      </c>
      <c r="F8117" t="str">
        <f>IFERROR(__xludf.DUMMYFUNCTION("""COMPUTED_VALUE"""),"SS")</f>
        <v>SS</v>
      </c>
      <c r="G8117" t="str">
        <f>IFERROR(__xludf.DUMMYFUNCTION("""COMPUTED_VALUE"""),"")</f>
        <v/>
      </c>
    </row>
    <row r="8118">
      <c r="D8118" t="str">
        <f>IFERROR(__xludf.DUMMYFUNCTION("""COMPUTED_VALUE"""),"Johnson")</f>
        <v>Johnson</v>
      </c>
      <c r="E8118" t="str">
        <f>IFERROR(__xludf.DUMMYFUNCTION("""COMPUTED_VALUE"""),"Jaleel")</f>
        <v>Jaleel</v>
      </c>
      <c r="F8118" t="str">
        <f>IFERROR(__xludf.DUMMYFUNCTION("""COMPUTED_VALUE"""),"DT")</f>
        <v>DT</v>
      </c>
      <c r="G8118" t="str">
        <f>IFERROR(__xludf.DUMMYFUNCTION("""COMPUTED_VALUE"""),"")</f>
        <v/>
      </c>
    </row>
    <row r="8119">
      <c r="D8119" t="str">
        <f>IFERROR(__xludf.DUMMYFUNCTION("""COMPUTED_VALUE"""),"Johnson")</f>
        <v>Johnson</v>
      </c>
      <c r="E8119" t="str">
        <f>IFERROR(__xludf.DUMMYFUNCTION("""COMPUTED_VALUE"""),"Jaquan")</f>
        <v>Jaquan</v>
      </c>
      <c r="F8119" t="str">
        <f>IFERROR(__xludf.DUMMYFUNCTION("""COMPUTED_VALUE"""),"FS")</f>
        <v>FS</v>
      </c>
      <c r="G8119" t="str">
        <f>IFERROR(__xludf.DUMMYFUNCTION("""COMPUTED_VALUE"""),"")</f>
        <v/>
      </c>
    </row>
    <row r="8120">
      <c r="D8120" t="str">
        <f>IFERROR(__xludf.DUMMYFUNCTION("""COMPUTED_VALUE"""),"Johnson")</f>
        <v>Johnson</v>
      </c>
      <c r="E8120" t="str">
        <f>IFERROR(__xludf.DUMMYFUNCTION("""COMPUTED_VALUE"""),"John")</f>
        <v>John</v>
      </c>
      <c r="F8120" t="str">
        <f>IFERROR(__xludf.DUMMYFUNCTION("""COMPUTED_VALUE"""),"SS")</f>
        <v>SS</v>
      </c>
      <c r="G8120" t="str">
        <f>IFERROR(__xludf.DUMMYFUNCTION("""COMPUTED_VALUE"""),"")</f>
        <v/>
      </c>
    </row>
    <row r="8121">
      <c r="D8121" t="str">
        <f>IFERROR(__xludf.DUMMYFUNCTION("""COMPUTED_VALUE"""),"Johnson")</f>
        <v>Johnson</v>
      </c>
      <c r="E8121" t="str">
        <f>IFERROR(__xludf.DUMMYFUNCTION("""COMPUTED_VALUE"""),"KeeSean")</f>
        <v>KeeSean</v>
      </c>
      <c r="F8121" t="str">
        <f>IFERROR(__xludf.DUMMYFUNCTION("""COMPUTED_VALUE"""),"WR")</f>
        <v>WR</v>
      </c>
      <c r="G8121" t="str">
        <f>IFERROR(__xludf.DUMMYFUNCTION("""COMPUTED_VALUE"""),"")</f>
        <v/>
      </c>
    </row>
    <row r="8122">
      <c r="D8122" t="str">
        <f>IFERROR(__xludf.DUMMYFUNCTION("""COMPUTED_VALUE"""),"Johnson")</f>
        <v>Johnson</v>
      </c>
      <c r="E8122" t="str">
        <f>IFERROR(__xludf.DUMMYFUNCTION("""COMPUTED_VALUE"""),"Kerryon")</f>
        <v>Kerryon</v>
      </c>
      <c r="F8122" t="str">
        <f>IFERROR(__xludf.DUMMYFUNCTION("""COMPUTED_VALUE"""),"HB")</f>
        <v>HB</v>
      </c>
      <c r="G8122" t="str">
        <f>IFERROR(__xludf.DUMMYFUNCTION("""COMPUTED_VALUE"""),"")</f>
        <v/>
      </c>
    </row>
    <row r="8123">
      <c r="D8123" t="str">
        <f>IFERROR(__xludf.DUMMYFUNCTION("""COMPUTED_VALUE"""),"Johnson")</f>
        <v>Johnson</v>
      </c>
      <c r="E8123" t="str">
        <f>IFERROR(__xludf.DUMMYFUNCTION("""COMPUTED_VALUE"""),"Kevin")</f>
        <v>Kevin</v>
      </c>
      <c r="F8123" t="str">
        <f>IFERROR(__xludf.DUMMYFUNCTION("""COMPUTED_VALUE"""),"CB")</f>
        <v>CB</v>
      </c>
      <c r="G8123" t="str">
        <f>IFERROR(__xludf.DUMMYFUNCTION("""COMPUTED_VALUE"""),"")</f>
        <v/>
      </c>
    </row>
    <row r="8124">
      <c r="D8124" t="str">
        <f>IFERROR(__xludf.DUMMYFUNCTION("""COMPUTED_VALUE"""),"Johnson")</f>
        <v>Johnson</v>
      </c>
      <c r="E8124" t="str">
        <f>IFERROR(__xludf.DUMMYFUNCTION("""COMPUTED_VALUE"""),"Lane")</f>
        <v>Lane</v>
      </c>
      <c r="F8124" t="str">
        <f>IFERROR(__xludf.DUMMYFUNCTION("""COMPUTED_VALUE"""),"RT")</f>
        <v>RT</v>
      </c>
      <c r="G8124" t="str">
        <f>IFERROR(__xludf.DUMMYFUNCTION("""COMPUTED_VALUE"""),"")</f>
        <v/>
      </c>
    </row>
    <row r="8125">
      <c r="D8125" t="str">
        <f>IFERROR(__xludf.DUMMYFUNCTION("""COMPUTED_VALUE"""),"Johnson")</f>
        <v>Johnson</v>
      </c>
      <c r="E8125" t="str">
        <f>IFERROR(__xludf.DUMMYFUNCTION("""COMPUTED_VALUE"""),"Lonnie")</f>
        <v>Lonnie</v>
      </c>
      <c r="F8125" t="str">
        <f>IFERROR(__xludf.DUMMYFUNCTION("""COMPUTED_VALUE"""),"CB")</f>
        <v>CB</v>
      </c>
      <c r="G8125" t="str">
        <f>IFERROR(__xludf.DUMMYFUNCTION("""COMPUTED_VALUE"""),"")</f>
        <v/>
      </c>
    </row>
    <row r="8126">
      <c r="D8126" t="str">
        <f>IFERROR(__xludf.DUMMYFUNCTION("""COMPUTED_VALUE"""),"Johnson")</f>
        <v>Johnson</v>
      </c>
      <c r="E8126" t="str">
        <f>IFERROR(__xludf.DUMMYFUNCTION("""COMPUTED_VALUE"""),"Marcus")</f>
        <v>Marcus</v>
      </c>
      <c r="F8126" t="str">
        <f>IFERROR(__xludf.DUMMYFUNCTION("""COMPUTED_VALUE"""),"WR")</f>
        <v>WR</v>
      </c>
      <c r="G8126" t="str">
        <f>IFERROR(__xludf.DUMMYFUNCTION("""COMPUTED_VALUE"""),"")</f>
        <v/>
      </c>
    </row>
    <row r="8127">
      <c r="D8127" t="str">
        <f>IFERROR(__xludf.DUMMYFUNCTION("""COMPUTED_VALUE"""),"Johnson")</f>
        <v>Johnson</v>
      </c>
      <c r="E8127" t="str">
        <f>IFERROR(__xludf.DUMMYFUNCTION("""COMPUTED_VALUE"""),"Olabisi")</f>
        <v>Olabisi</v>
      </c>
      <c r="F8127" t="str">
        <f>IFERROR(__xludf.DUMMYFUNCTION("""COMPUTED_VALUE"""),"WR")</f>
        <v>WR</v>
      </c>
      <c r="G8127" t="str">
        <f>IFERROR(__xludf.DUMMYFUNCTION("""COMPUTED_VALUE"""),"")</f>
        <v/>
      </c>
    </row>
    <row r="8128">
      <c r="D8128" t="str">
        <f>IFERROR(__xludf.DUMMYFUNCTION("""COMPUTED_VALUE"""),"Johnson")</f>
        <v>Johnson</v>
      </c>
      <c r="E8128" t="str">
        <f>IFERROR(__xludf.DUMMYFUNCTION("""COMPUTED_VALUE"""),"PJ")</f>
        <v>PJ</v>
      </c>
      <c r="F8128" t="str">
        <f>IFERROR(__xludf.DUMMYFUNCTION("""COMPUTED_VALUE"""),"DT")</f>
        <v>DT</v>
      </c>
      <c r="G8128" t="str">
        <f>IFERROR(__xludf.DUMMYFUNCTION("""COMPUTED_VALUE"""),"")</f>
        <v/>
      </c>
    </row>
    <row r="8129">
      <c r="D8129" t="str">
        <f>IFERROR(__xludf.DUMMYFUNCTION("""COMPUTED_VALUE"""),"Johnson")</f>
        <v>Johnson</v>
      </c>
      <c r="E8129" t="str">
        <f>IFERROR(__xludf.DUMMYFUNCTION("""COMPUTED_VALUE"""),"Roderick")</f>
        <v>Roderick</v>
      </c>
      <c r="F8129" t="str">
        <f>IFERROR(__xludf.DUMMYFUNCTION("""COMPUTED_VALUE"""),"RT")</f>
        <v>RT</v>
      </c>
      <c r="G8129" t="str">
        <f>IFERROR(__xludf.DUMMYFUNCTION("""COMPUTED_VALUE"""),"")</f>
        <v/>
      </c>
    </row>
    <row r="8130">
      <c r="D8130" t="str">
        <f>IFERROR(__xludf.DUMMYFUNCTION("""COMPUTED_VALUE"""),"Johnson")</f>
        <v>Johnson</v>
      </c>
      <c r="E8130" t="str">
        <f>IFERROR(__xludf.DUMMYFUNCTION("""COMPUTED_VALUE"""),"Taron")</f>
        <v>Taron</v>
      </c>
      <c r="F8130" t="str">
        <f>IFERROR(__xludf.DUMMYFUNCTION("""COMPUTED_VALUE"""),"CB")</f>
        <v>CB</v>
      </c>
      <c r="G8130" t="str">
        <f>IFERROR(__xludf.DUMMYFUNCTION("""COMPUTED_VALUE"""),"")</f>
        <v/>
      </c>
    </row>
    <row r="8131">
      <c r="D8131" t="str">
        <f>IFERROR(__xludf.DUMMYFUNCTION("""COMPUTED_VALUE"""),"Johnson")</f>
        <v>Johnson</v>
      </c>
      <c r="E8131" t="str">
        <f>IFERROR(__xludf.DUMMYFUNCTION("""COMPUTED_VALUE"""),"Trevon")</f>
        <v>Trevon</v>
      </c>
      <c r="F8131" t="str">
        <f>IFERROR(__xludf.DUMMYFUNCTION("""COMPUTED_VALUE"""),"MLB")</f>
        <v>MLB</v>
      </c>
      <c r="G8131" t="str">
        <f>IFERROR(__xludf.DUMMYFUNCTION("""COMPUTED_VALUE"""),"")</f>
        <v/>
      </c>
    </row>
    <row r="8132">
      <c r="D8132" t="str">
        <f>IFERROR(__xludf.DUMMYFUNCTION("""COMPUTED_VALUE"""),"Johnson")</f>
        <v>Johnson</v>
      </c>
      <c r="E8132" t="str">
        <f>IFERROR(__xludf.DUMMYFUNCTION("""COMPUTED_VALUE"""),"Trumaine")</f>
        <v>Trumaine</v>
      </c>
      <c r="F8132" t="str">
        <f>IFERROR(__xludf.DUMMYFUNCTION("""COMPUTED_VALUE"""),"CB")</f>
        <v>CB</v>
      </c>
      <c r="G8132" t="str">
        <f>IFERROR(__xludf.DUMMYFUNCTION("""COMPUTED_VALUE"""),"")</f>
        <v/>
      </c>
    </row>
    <row r="8133">
      <c r="D8133" t="str">
        <f>IFERROR(__xludf.DUMMYFUNCTION("""COMPUTED_VALUE"""),"Johnson")</f>
        <v>Johnson</v>
      </c>
      <c r="E8133" t="str">
        <f>IFERROR(__xludf.DUMMYFUNCTION("""COMPUTED_VALUE"""),"Ty")</f>
        <v>Ty</v>
      </c>
      <c r="F8133" t="str">
        <f>IFERROR(__xludf.DUMMYFUNCTION("""COMPUTED_VALUE"""),"HB")</f>
        <v>HB</v>
      </c>
      <c r="G8133" t="str">
        <f>IFERROR(__xludf.DUMMYFUNCTION("""COMPUTED_VALUE"""),"")</f>
        <v/>
      </c>
    </row>
    <row r="8134">
      <c r="D8134" t="str">
        <f>IFERROR(__xludf.DUMMYFUNCTION("""COMPUTED_VALUE"""),"Johnston")</f>
        <v>Johnston</v>
      </c>
      <c r="E8134" t="str">
        <f>IFERROR(__xludf.DUMMYFUNCTION("""COMPUTED_VALUE"""),"Cameron")</f>
        <v>Cameron</v>
      </c>
      <c r="F8134" t="str">
        <f>IFERROR(__xludf.DUMMYFUNCTION("""COMPUTED_VALUE"""),"P")</f>
        <v>P</v>
      </c>
      <c r="G8134" t="str">
        <f>IFERROR(__xludf.DUMMYFUNCTION("""COMPUTED_VALUE"""),"")</f>
        <v/>
      </c>
    </row>
    <row r="8135">
      <c r="D8135" t="str">
        <f>IFERROR(__xludf.DUMMYFUNCTION("""COMPUTED_VALUE"""),"Jones")</f>
        <v>Jones</v>
      </c>
      <c r="E8135" t="str">
        <f>IFERROR(__xludf.DUMMYFUNCTION("""COMPUTED_VALUE"""),"Aaron")</f>
        <v>Aaron</v>
      </c>
      <c r="F8135" t="str">
        <f>IFERROR(__xludf.DUMMYFUNCTION("""COMPUTED_VALUE"""),"HB")</f>
        <v>HB</v>
      </c>
      <c r="G8135" t="str">
        <f>IFERROR(__xludf.DUMMYFUNCTION("""COMPUTED_VALUE"""),"")</f>
        <v/>
      </c>
    </row>
    <row r="8136">
      <c r="D8136" t="str">
        <f>IFERROR(__xludf.DUMMYFUNCTION("""COMPUTED_VALUE"""),"Jones")</f>
        <v>Jones</v>
      </c>
      <c r="E8136" t="str">
        <f>IFERROR(__xludf.DUMMYFUNCTION("""COMPUTED_VALUE"""),"Abry")</f>
        <v>Abry</v>
      </c>
      <c r="F8136" t="str">
        <f>IFERROR(__xludf.DUMMYFUNCTION("""COMPUTED_VALUE"""),"DT")</f>
        <v>DT</v>
      </c>
      <c r="G8136" t="str">
        <f>IFERROR(__xludf.DUMMYFUNCTION("""COMPUTED_VALUE"""),"")</f>
        <v/>
      </c>
    </row>
    <row r="8137">
      <c r="D8137" t="str">
        <f>IFERROR(__xludf.DUMMYFUNCTION("""COMPUTED_VALUE"""),"Jones")</f>
        <v>Jones</v>
      </c>
      <c r="E8137" t="str">
        <f>IFERROR(__xludf.DUMMYFUNCTION("""COMPUTED_VALUE"""),"Alvin")</f>
        <v>Alvin</v>
      </c>
      <c r="F8137" t="str">
        <f>IFERROR(__xludf.DUMMYFUNCTION("""COMPUTED_VALUE"""),"MLB")</f>
        <v>MLB</v>
      </c>
      <c r="G8137" t="str">
        <f>IFERROR(__xludf.DUMMYFUNCTION("""COMPUTED_VALUE"""),"")</f>
        <v/>
      </c>
    </row>
    <row r="8138">
      <c r="D8138" t="str">
        <f>IFERROR(__xludf.DUMMYFUNCTION("""COMPUTED_VALUE"""),"Jones")</f>
        <v>Jones</v>
      </c>
      <c r="E8138" t="str">
        <f>IFERROR(__xludf.DUMMYFUNCTION("""COMPUTED_VALUE"""),"Andy")</f>
        <v>Andy</v>
      </c>
      <c r="F8138" t="str">
        <f>IFERROR(__xludf.DUMMYFUNCTION("""COMPUTED_VALUE"""),"WR")</f>
        <v>WR</v>
      </c>
      <c r="G8138" t="str">
        <f>IFERROR(__xludf.DUMMYFUNCTION("""COMPUTED_VALUE"""),"")</f>
        <v/>
      </c>
    </row>
    <row r="8139">
      <c r="D8139" t="str">
        <f>IFERROR(__xludf.DUMMYFUNCTION("""COMPUTED_VALUE"""),"Jones")</f>
        <v>Jones</v>
      </c>
      <c r="E8139" t="str">
        <f>IFERROR(__xludf.DUMMYFUNCTION("""COMPUTED_VALUE"""),"Ben")</f>
        <v>Ben</v>
      </c>
      <c r="F8139" t="str">
        <f>IFERROR(__xludf.DUMMYFUNCTION("""COMPUTED_VALUE"""),"C")</f>
        <v>C</v>
      </c>
      <c r="G8139" t="str">
        <f>IFERROR(__xludf.DUMMYFUNCTION("""COMPUTED_VALUE"""),"")</f>
        <v/>
      </c>
    </row>
    <row r="8140">
      <c r="D8140" t="str">
        <f>IFERROR(__xludf.DUMMYFUNCTION("""COMPUTED_VALUE"""),"Jones")</f>
        <v>Jones</v>
      </c>
      <c r="E8140" t="str">
        <f>IFERROR(__xludf.DUMMYFUNCTION("""COMPUTED_VALUE"""),"Brett")</f>
        <v>Brett</v>
      </c>
      <c r="F8140" t="str">
        <f>IFERROR(__xludf.DUMMYFUNCTION("""COMPUTED_VALUE"""),"C")</f>
        <v>C</v>
      </c>
      <c r="G8140" t="str">
        <f>IFERROR(__xludf.DUMMYFUNCTION("""COMPUTED_VALUE"""),"")</f>
        <v/>
      </c>
    </row>
    <row r="8141">
      <c r="D8141" t="str">
        <f>IFERROR(__xludf.DUMMYFUNCTION("""COMPUTED_VALUE"""),"Jones")</f>
        <v>Jones</v>
      </c>
      <c r="E8141" t="str">
        <f>IFERROR(__xludf.DUMMYFUNCTION("""COMPUTED_VALUE"""),"Byron")</f>
        <v>Byron</v>
      </c>
      <c r="F8141" t="str">
        <f>IFERROR(__xludf.DUMMYFUNCTION("""COMPUTED_VALUE"""),"CB")</f>
        <v>CB</v>
      </c>
      <c r="G8141" t="str">
        <f>IFERROR(__xludf.DUMMYFUNCTION("""COMPUTED_VALUE"""),"")</f>
        <v/>
      </c>
    </row>
    <row r="8142">
      <c r="D8142" t="str">
        <f>IFERROR(__xludf.DUMMYFUNCTION("""COMPUTED_VALUE"""),"Jones")</f>
        <v>Jones</v>
      </c>
      <c r="E8142" t="str">
        <f>IFERROR(__xludf.DUMMYFUNCTION("""COMPUTED_VALUE"""),"Cardale")</f>
        <v>Cardale</v>
      </c>
      <c r="F8142" t="str">
        <f>IFERROR(__xludf.DUMMYFUNCTION("""COMPUTED_VALUE"""),"QB")</f>
        <v>QB</v>
      </c>
      <c r="G8142" t="str">
        <f>IFERROR(__xludf.DUMMYFUNCTION("""COMPUTED_VALUE"""),"")</f>
        <v/>
      </c>
    </row>
    <row r="8143">
      <c r="D8143" t="str">
        <f>IFERROR(__xludf.DUMMYFUNCTION("""COMPUTED_VALUE"""),"Jones")</f>
        <v>Jones</v>
      </c>
      <c r="E8143" t="str">
        <f>IFERROR(__xludf.DUMMYFUNCTION("""COMPUTED_VALUE"""),"Chandler")</f>
        <v>Chandler</v>
      </c>
      <c r="F8143" t="str">
        <f>IFERROR(__xludf.DUMMYFUNCTION("""COMPUTED_VALUE"""),"ROLB")</f>
        <v>ROLB</v>
      </c>
      <c r="G8143" t="str">
        <f>IFERROR(__xludf.DUMMYFUNCTION("""COMPUTED_VALUE"""),"")</f>
        <v/>
      </c>
    </row>
    <row r="8144">
      <c r="D8144" t="str">
        <f>IFERROR(__xludf.DUMMYFUNCTION("""COMPUTED_VALUE"""),"Jones")</f>
        <v>Jones</v>
      </c>
      <c r="E8144" t="str">
        <f>IFERROR(__xludf.DUMMYFUNCTION("""COMPUTED_VALUE"""),"Chris")</f>
        <v>Chris</v>
      </c>
      <c r="F8144" t="str">
        <f>IFERROR(__xludf.DUMMYFUNCTION("""COMPUTED_VALUE"""),"DT")</f>
        <v>DT</v>
      </c>
      <c r="G8144" t="str">
        <f>IFERROR(__xludf.DUMMYFUNCTION("""COMPUTED_VALUE"""),"")</f>
        <v/>
      </c>
    </row>
    <row r="8145">
      <c r="D8145" t="str">
        <f>IFERROR(__xludf.DUMMYFUNCTION("""COMPUTED_VALUE"""),"Jones")</f>
        <v>Jones</v>
      </c>
      <c r="E8145" t="str">
        <f>IFERROR(__xludf.DUMMYFUNCTION("""COMPUTED_VALUE"""),"Chris")</f>
        <v>Chris</v>
      </c>
      <c r="F8145" t="str">
        <f>IFERROR(__xludf.DUMMYFUNCTION("""COMPUTED_VALUE"""),"P")</f>
        <v>P</v>
      </c>
      <c r="G8145" t="str">
        <f>IFERROR(__xludf.DUMMYFUNCTION("""COMPUTED_VALUE"""),"")</f>
        <v/>
      </c>
    </row>
    <row r="8146">
      <c r="D8146" t="str">
        <f>IFERROR(__xludf.DUMMYFUNCTION("""COMPUTED_VALUE"""),"Jones")</f>
        <v>Jones</v>
      </c>
      <c r="E8146" t="str">
        <f>IFERROR(__xludf.DUMMYFUNCTION("""COMPUTED_VALUE"""),"Chris")</f>
        <v>Chris</v>
      </c>
      <c r="F8146" t="str">
        <f>IFERROR(__xludf.DUMMYFUNCTION("""COMPUTED_VALUE"""),"CB")</f>
        <v>CB</v>
      </c>
      <c r="G8146" t="str">
        <f>IFERROR(__xludf.DUMMYFUNCTION("""COMPUTED_VALUE"""),"")</f>
        <v/>
      </c>
    </row>
    <row r="8147">
      <c r="D8147" t="str">
        <f>IFERROR(__xludf.DUMMYFUNCTION("""COMPUTED_VALUE"""),"Jones")</f>
        <v>Jones</v>
      </c>
      <c r="E8147" t="str">
        <f>IFERROR(__xludf.DUMMYFUNCTION("""COMPUTED_VALUE"""),"Christian")</f>
        <v>Christian</v>
      </c>
      <c r="F8147" t="str">
        <f>IFERROR(__xludf.DUMMYFUNCTION("""COMPUTED_VALUE"""),"ROLB")</f>
        <v>ROLB</v>
      </c>
      <c r="G8147" t="str">
        <f>IFERROR(__xludf.DUMMYFUNCTION("""COMPUTED_VALUE"""),"")</f>
        <v/>
      </c>
    </row>
    <row r="8148">
      <c r="D8148" t="str">
        <f>IFERROR(__xludf.DUMMYFUNCTION("""COMPUTED_VALUE"""),"Jones")</f>
        <v>Jones</v>
      </c>
      <c r="E8148" t="str">
        <f>IFERROR(__xludf.DUMMYFUNCTION("""COMPUTED_VALUE"""),"Colin")</f>
        <v>Colin</v>
      </c>
      <c r="F8148" t="str">
        <f>IFERROR(__xludf.DUMMYFUNCTION("""COMPUTED_VALUE"""),"SS")</f>
        <v>SS</v>
      </c>
      <c r="G8148" t="str">
        <f>IFERROR(__xludf.DUMMYFUNCTION("""COMPUTED_VALUE"""),"")</f>
        <v/>
      </c>
    </row>
    <row r="8149">
      <c r="D8149" t="str">
        <f>IFERROR(__xludf.DUMMYFUNCTION("""COMPUTED_VALUE"""),"Jones")</f>
        <v>Jones</v>
      </c>
      <c r="E8149" t="str">
        <f>IFERROR(__xludf.DUMMYFUNCTION("""COMPUTED_VALUE"""),"Cyrus")</f>
        <v>Cyrus</v>
      </c>
      <c r="F8149" t="str">
        <f>IFERROR(__xludf.DUMMYFUNCTION("""COMPUTED_VALUE"""),"SS")</f>
        <v>SS</v>
      </c>
      <c r="G8149" t="str">
        <f>IFERROR(__xludf.DUMMYFUNCTION("""COMPUTED_VALUE"""),"")</f>
        <v/>
      </c>
    </row>
    <row r="8150">
      <c r="D8150" t="str">
        <f>IFERROR(__xludf.DUMMYFUNCTION("""COMPUTED_VALUE"""),"Jones")</f>
        <v>Jones</v>
      </c>
      <c r="E8150" t="str">
        <f>IFERROR(__xludf.DUMMYFUNCTION("""COMPUTED_VALUE"""),"Daniel")</f>
        <v>Daniel</v>
      </c>
      <c r="F8150" t="str">
        <f>IFERROR(__xludf.DUMMYFUNCTION("""COMPUTED_VALUE"""),"QB")</f>
        <v>QB</v>
      </c>
      <c r="G8150" t="str">
        <f>IFERROR(__xludf.DUMMYFUNCTION("""COMPUTED_VALUE"""),"")</f>
        <v/>
      </c>
    </row>
    <row r="8151">
      <c r="D8151" t="str">
        <f>IFERROR(__xludf.DUMMYFUNCTION("""COMPUTED_VALUE"""),"Jones")</f>
        <v>Jones</v>
      </c>
      <c r="E8151" t="str">
        <f>IFERROR(__xludf.DUMMYFUNCTION("""COMPUTED_VALUE"""),"DaQuan")</f>
        <v>DaQuan</v>
      </c>
      <c r="F8151" t="str">
        <f>IFERROR(__xludf.DUMMYFUNCTION("""COMPUTED_VALUE"""),"DT")</f>
        <v>DT</v>
      </c>
      <c r="G8151" t="str">
        <f>IFERROR(__xludf.DUMMYFUNCTION("""COMPUTED_VALUE"""),"")</f>
        <v/>
      </c>
    </row>
    <row r="8152">
      <c r="D8152" t="str">
        <f>IFERROR(__xludf.DUMMYFUNCTION("""COMPUTED_VALUE"""),"Jones")</f>
        <v>Jones</v>
      </c>
      <c r="E8152" t="str">
        <f>IFERROR(__xludf.DUMMYFUNCTION("""COMPUTED_VALUE"""),"Datone")</f>
        <v>Datone</v>
      </c>
      <c r="F8152" t="str">
        <f>IFERROR(__xludf.DUMMYFUNCTION("""COMPUTED_VALUE"""),"DT")</f>
        <v>DT</v>
      </c>
      <c r="G8152" t="str">
        <f>IFERROR(__xludf.DUMMYFUNCTION("""COMPUTED_VALUE"""),"")</f>
        <v/>
      </c>
    </row>
    <row r="8153">
      <c r="D8153" t="str">
        <f>IFERROR(__xludf.DUMMYFUNCTION("""COMPUTED_VALUE"""),"Jones")</f>
        <v>Jones</v>
      </c>
      <c r="E8153" t="str">
        <f>IFERROR(__xludf.DUMMYFUNCTION("""COMPUTED_VALUE"""),"Deion")</f>
        <v>Deion</v>
      </c>
      <c r="F8153" t="str">
        <f>IFERROR(__xludf.DUMMYFUNCTION("""COMPUTED_VALUE"""),"MLB")</f>
        <v>MLB</v>
      </c>
      <c r="G8153" t="str">
        <f>IFERROR(__xludf.DUMMYFUNCTION("""COMPUTED_VALUE"""),"")</f>
        <v/>
      </c>
    </row>
    <row r="8154">
      <c r="D8154" t="str">
        <f>IFERROR(__xludf.DUMMYFUNCTION("""COMPUTED_VALUE"""),"Jones")</f>
        <v>Jones</v>
      </c>
      <c r="E8154" t="str">
        <f>IFERROR(__xludf.DUMMYFUNCTION("""COMPUTED_VALUE"""),"Derrick")</f>
        <v>Derrick</v>
      </c>
      <c r="F8154" t="str">
        <f>IFERROR(__xludf.DUMMYFUNCTION("""COMPUTED_VALUE"""),"CB")</f>
        <v>CB</v>
      </c>
      <c r="G8154" t="str">
        <f>IFERROR(__xludf.DUMMYFUNCTION("""COMPUTED_VALUE"""),"")</f>
        <v/>
      </c>
    </row>
    <row r="8155">
      <c r="D8155" t="str">
        <f>IFERROR(__xludf.DUMMYFUNCTION("""COMPUTED_VALUE"""),"Jones")</f>
        <v>Jones</v>
      </c>
      <c r="E8155" t="str">
        <f>IFERROR(__xludf.DUMMYFUNCTION("""COMPUTED_VALUE"""),"DJ")</f>
        <v>DJ</v>
      </c>
      <c r="F8155" t="str">
        <f>IFERROR(__xludf.DUMMYFUNCTION("""COMPUTED_VALUE"""),"DT")</f>
        <v>DT</v>
      </c>
      <c r="G8155" t="str">
        <f>IFERROR(__xludf.DUMMYFUNCTION("""COMPUTED_VALUE"""),"")</f>
        <v/>
      </c>
    </row>
    <row r="8156">
      <c r="D8156" t="str">
        <f>IFERROR(__xludf.DUMMYFUNCTION("""COMPUTED_VALUE"""),"Jones")</f>
        <v>Jones</v>
      </c>
      <c r="E8156" t="str">
        <f>IFERROR(__xludf.DUMMYFUNCTION("""COMPUTED_VALUE"""),"DreMont")</f>
        <v>DreMont</v>
      </c>
      <c r="F8156" t="str">
        <f>IFERROR(__xludf.DUMMYFUNCTION("""COMPUTED_VALUE"""),"RE")</f>
        <v>RE</v>
      </c>
      <c r="G8156" t="str">
        <f>IFERROR(__xludf.DUMMYFUNCTION("""COMPUTED_VALUE"""),"")</f>
        <v/>
      </c>
    </row>
    <row r="8157">
      <c r="D8157" t="str">
        <f>IFERROR(__xludf.DUMMYFUNCTION("""COMPUTED_VALUE"""),"Jones")</f>
        <v>Jones</v>
      </c>
      <c r="E8157" t="str">
        <f>IFERROR(__xludf.DUMMYFUNCTION("""COMPUTED_VALUE"""),"Jamarco")</f>
        <v>Jamarco</v>
      </c>
      <c r="F8157" t="str">
        <f>IFERROR(__xludf.DUMMYFUNCTION("""COMPUTED_VALUE"""),"LT")</f>
        <v>LT</v>
      </c>
      <c r="G8157" t="str">
        <f>IFERROR(__xludf.DUMMYFUNCTION("""COMPUTED_VALUE"""),"")</f>
        <v/>
      </c>
    </row>
    <row r="8158">
      <c r="D8158" t="str">
        <f>IFERROR(__xludf.DUMMYFUNCTION("""COMPUTED_VALUE"""),"Jones")</f>
        <v>Jones</v>
      </c>
      <c r="E8158" t="str">
        <f>IFERROR(__xludf.DUMMYFUNCTION("""COMPUTED_VALUE"""),"JJ")</f>
        <v>JJ</v>
      </c>
      <c r="F8158" t="str">
        <f>IFERROR(__xludf.DUMMYFUNCTION("""COMPUTED_VALUE"""),"WR")</f>
        <v>WR</v>
      </c>
      <c r="G8158" t="str">
        <f>IFERROR(__xludf.DUMMYFUNCTION("""COMPUTED_VALUE"""),"")</f>
        <v/>
      </c>
    </row>
    <row r="8159">
      <c r="D8159" t="str">
        <f>IFERROR(__xludf.DUMMYFUNCTION("""COMPUTED_VALUE"""),"Jones")</f>
        <v>Jones</v>
      </c>
      <c r="E8159" t="str">
        <f>IFERROR(__xludf.DUMMYFUNCTION("""COMPUTED_VALUE"""),"Jonathan")</f>
        <v>Jonathan</v>
      </c>
      <c r="F8159" t="str">
        <f>IFERROR(__xludf.DUMMYFUNCTION("""COMPUTED_VALUE"""),"CB")</f>
        <v>CB</v>
      </c>
      <c r="G8159" t="str">
        <f>IFERROR(__xludf.DUMMYFUNCTION("""COMPUTED_VALUE"""),"")</f>
        <v/>
      </c>
    </row>
    <row r="8160">
      <c r="D8160" t="str">
        <f>IFERROR(__xludf.DUMMYFUNCTION("""COMPUTED_VALUE"""),"Jones")</f>
        <v>Jones</v>
      </c>
      <c r="E8160" t="str">
        <f>IFERROR(__xludf.DUMMYFUNCTION("""COMPUTED_VALUE"""),"Joseph")</f>
        <v>Joseph</v>
      </c>
      <c r="F8160" t="str">
        <f>IFERROR(__xludf.DUMMYFUNCTION("""COMPUTED_VALUE"""),"MLB")</f>
        <v>MLB</v>
      </c>
      <c r="G8160" t="str">
        <f>IFERROR(__xludf.DUMMYFUNCTION("""COMPUTED_VALUE"""),"")</f>
        <v/>
      </c>
    </row>
    <row r="8161">
      <c r="D8161" t="str">
        <f>IFERROR(__xludf.DUMMYFUNCTION("""COMPUTED_VALUE"""),"Jones")</f>
        <v>Jones</v>
      </c>
      <c r="E8161" t="str">
        <f>IFERROR(__xludf.DUMMYFUNCTION("""COMPUTED_VALUE"""),"Josh")</f>
        <v>Josh</v>
      </c>
      <c r="F8161" t="str">
        <f>IFERROR(__xludf.DUMMYFUNCTION("""COMPUTED_VALUE"""),"FS")</f>
        <v>FS</v>
      </c>
      <c r="G8161" t="str">
        <f>IFERROR(__xludf.DUMMYFUNCTION("""COMPUTED_VALUE"""),"")</f>
        <v/>
      </c>
    </row>
    <row r="8162">
      <c r="D8162" t="str">
        <f>IFERROR(__xludf.DUMMYFUNCTION("""COMPUTED_VALUE"""),"Jones")</f>
        <v>Jones</v>
      </c>
      <c r="E8162" t="str">
        <f>IFERROR(__xludf.DUMMYFUNCTION("""COMPUTED_VALUE"""),"JT")</f>
        <v>JT</v>
      </c>
      <c r="F8162" t="str">
        <f>IFERROR(__xludf.DUMMYFUNCTION("""COMPUTED_VALUE"""),"LOLB")</f>
        <v>LOLB</v>
      </c>
      <c r="G8162" t="str">
        <f>IFERROR(__xludf.DUMMYFUNCTION("""COMPUTED_VALUE"""),"")</f>
        <v/>
      </c>
    </row>
    <row r="8163">
      <c r="D8163" t="str">
        <f>IFERROR(__xludf.DUMMYFUNCTION("""COMPUTED_VALUE"""),"Jones")</f>
        <v>Jones</v>
      </c>
      <c r="E8163" t="str">
        <f>IFERROR(__xludf.DUMMYFUNCTION("""COMPUTED_VALUE"""),"Julio")</f>
        <v>Julio</v>
      </c>
      <c r="F8163" t="str">
        <f>IFERROR(__xludf.DUMMYFUNCTION("""COMPUTED_VALUE"""),"WR")</f>
        <v>WR</v>
      </c>
      <c r="G8163" t="str">
        <f>IFERROR(__xludf.DUMMYFUNCTION("""COMPUTED_VALUE"""),"")</f>
        <v/>
      </c>
    </row>
    <row r="8164">
      <c r="D8164" t="str">
        <f>IFERROR(__xludf.DUMMYFUNCTION("""COMPUTED_VALUE"""),"Jones")</f>
        <v>Jones</v>
      </c>
      <c r="E8164" t="str">
        <f>IFERROR(__xludf.DUMMYFUNCTION("""COMPUTED_VALUE"""),"Justin")</f>
        <v>Justin</v>
      </c>
      <c r="F8164" t="str">
        <f>IFERROR(__xludf.DUMMYFUNCTION("""COMPUTED_VALUE"""),"DT")</f>
        <v>DT</v>
      </c>
      <c r="G8164" t="str">
        <f>IFERROR(__xludf.DUMMYFUNCTION("""COMPUTED_VALUE"""),"")</f>
        <v/>
      </c>
    </row>
    <row r="8165">
      <c r="D8165" t="str">
        <f>IFERROR(__xludf.DUMMYFUNCTION("""COMPUTED_VALUE"""),"Jones")</f>
        <v>Jones</v>
      </c>
      <c r="E8165" t="str">
        <f>IFERROR(__xludf.DUMMYFUNCTION("""COMPUTED_VALUE"""),"Marvin")</f>
        <v>Marvin</v>
      </c>
      <c r="F8165" t="str">
        <f>IFERROR(__xludf.DUMMYFUNCTION("""COMPUTED_VALUE"""),"WR")</f>
        <v>WR</v>
      </c>
      <c r="G8165" t="str">
        <f>IFERROR(__xludf.DUMMYFUNCTION("""COMPUTED_VALUE"""),"")</f>
        <v/>
      </c>
    </row>
    <row r="8166">
      <c r="D8166" t="str">
        <f>IFERROR(__xludf.DUMMYFUNCTION("""COMPUTED_VALUE"""),"Jones")</f>
        <v>Jones</v>
      </c>
      <c r="E8166" t="str">
        <f>IFERROR(__xludf.DUMMYFUNCTION("""COMPUTED_VALUE"""),"Nazair")</f>
        <v>Nazair</v>
      </c>
      <c r="F8166" t="str">
        <f>IFERROR(__xludf.DUMMYFUNCTION("""COMPUTED_VALUE"""),"DT")</f>
        <v>DT</v>
      </c>
      <c r="G8166" t="str">
        <f>IFERROR(__xludf.DUMMYFUNCTION("""COMPUTED_VALUE"""),"")</f>
        <v/>
      </c>
    </row>
    <row r="8167">
      <c r="D8167" t="str">
        <f>IFERROR(__xludf.DUMMYFUNCTION("""COMPUTED_VALUE"""),"Jones")</f>
        <v>Jones</v>
      </c>
      <c r="E8167" t="str">
        <f>IFERROR(__xludf.DUMMYFUNCTION("""COMPUTED_VALUE"""),"Reshad")</f>
        <v>Reshad</v>
      </c>
      <c r="F8167" t="str">
        <f>IFERROR(__xludf.DUMMYFUNCTION("""COMPUTED_VALUE"""),"SS")</f>
        <v>SS</v>
      </c>
      <c r="G8167" t="str">
        <f>IFERROR(__xludf.DUMMYFUNCTION("""COMPUTED_VALUE"""),"")</f>
        <v/>
      </c>
    </row>
    <row r="8168">
      <c r="D8168" t="str">
        <f>IFERROR(__xludf.DUMMYFUNCTION("""COMPUTED_VALUE"""),"Jones")</f>
        <v>Jones</v>
      </c>
      <c r="E8168" t="str">
        <f>IFERROR(__xludf.DUMMYFUNCTION("""COMPUTED_VALUE"""),"Ronald")</f>
        <v>Ronald</v>
      </c>
      <c r="F8168" t="str">
        <f>IFERROR(__xludf.DUMMYFUNCTION("""COMPUTED_VALUE"""),"HB")</f>
        <v>HB</v>
      </c>
      <c r="G8168" t="str">
        <f>IFERROR(__xludf.DUMMYFUNCTION("""COMPUTED_VALUE"""),"")</f>
        <v/>
      </c>
    </row>
    <row r="8169">
      <c r="D8169" t="str">
        <f>IFERROR(__xludf.DUMMYFUNCTION("""COMPUTED_VALUE"""),"Jones")</f>
        <v>Jones</v>
      </c>
      <c r="E8169" t="str">
        <f>IFERROR(__xludf.DUMMYFUNCTION("""COMPUTED_VALUE"""),"Sam")</f>
        <v>Sam</v>
      </c>
      <c r="F8169" t="str">
        <f>IFERROR(__xludf.DUMMYFUNCTION("""COMPUTED_VALUE"""),"C")</f>
        <v>C</v>
      </c>
      <c r="G8169" t="str">
        <f>IFERROR(__xludf.DUMMYFUNCTION("""COMPUTED_VALUE"""),"")</f>
        <v/>
      </c>
    </row>
    <row r="8170">
      <c r="D8170" t="str">
        <f>IFERROR(__xludf.DUMMYFUNCTION("""COMPUTED_VALUE"""),"Jones")</f>
        <v>Jones</v>
      </c>
      <c r="E8170" t="str">
        <f>IFERROR(__xludf.DUMMYFUNCTION("""COMPUTED_VALUE"""),"Sidney")</f>
        <v>Sidney</v>
      </c>
      <c r="F8170" t="str">
        <f>IFERROR(__xludf.DUMMYFUNCTION("""COMPUTED_VALUE"""),"CB")</f>
        <v>CB</v>
      </c>
      <c r="G8170" t="str">
        <f>IFERROR(__xludf.DUMMYFUNCTION("""COMPUTED_VALUE"""),"")</f>
        <v/>
      </c>
    </row>
    <row r="8171">
      <c r="D8171" t="str">
        <f>IFERROR(__xludf.DUMMYFUNCTION("""COMPUTED_VALUE"""),"Jones")</f>
        <v>Jones</v>
      </c>
      <c r="E8171" t="str">
        <f>IFERROR(__xludf.DUMMYFUNCTION("""COMPUTED_VALUE"""),"Taiwan")</f>
        <v>Taiwan</v>
      </c>
      <c r="F8171" t="str">
        <f>IFERROR(__xludf.DUMMYFUNCTION("""COMPUTED_VALUE"""),"HB")</f>
        <v>HB</v>
      </c>
      <c r="G8171" t="str">
        <f>IFERROR(__xludf.DUMMYFUNCTION("""COMPUTED_VALUE"""),"")</f>
        <v/>
      </c>
    </row>
    <row r="8172">
      <c r="D8172" t="str">
        <f>IFERROR(__xludf.DUMMYFUNCTION("""COMPUTED_VALUE"""),"Jones")</f>
        <v>Jones</v>
      </c>
      <c r="E8172" t="str">
        <f>IFERROR(__xludf.DUMMYFUNCTION("""COMPUTED_VALUE"""),"Zay")</f>
        <v>Zay</v>
      </c>
      <c r="F8172" t="str">
        <f>IFERROR(__xludf.DUMMYFUNCTION("""COMPUTED_VALUE"""),"WR")</f>
        <v>WR</v>
      </c>
      <c r="G8172" t="str">
        <f>IFERROR(__xludf.DUMMYFUNCTION("""COMPUTED_VALUE"""),"")</f>
        <v/>
      </c>
    </row>
    <row r="8173">
      <c r="D8173" t="str">
        <f>IFERROR(__xludf.DUMMYFUNCTION("""COMPUTED_VALUE"""),"Jones-Quartey")</f>
        <v>Jones-Quartey</v>
      </c>
      <c r="E8173" t="str">
        <f>IFERROR(__xludf.DUMMYFUNCTION("""COMPUTED_VALUE"""),"Harold")</f>
        <v>Harold</v>
      </c>
      <c r="F8173" t="str">
        <f>IFERROR(__xludf.DUMMYFUNCTION("""COMPUTED_VALUE"""),"SS")</f>
        <v>SS</v>
      </c>
      <c r="G8173" t="str">
        <f>IFERROR(__xludf.DUMMYFUNCTION("""COMPUTED_VALUE"""),"")</f>
        <v/>
      </c>
    </row>
    <row r="8174">
      <c r="D8174" t="str">
        <f>IFERROR(__xludf.DUMMYFUNCTION("""COMPUTED_VALUE"""),"Jones-Smith")</f>
        <v>Jones-Smith</v>
      </c>
      <c r="E8174" t="str">
        <f>IFERROR(__xludf.DUMMYFUNCTION("""COMPUTED_VALUE"""),"Jaryd")</f>
        <v>Jaryd</v>
      </c>
      <c r="F8174" t="str">
        <f>IFERROR(__xludf.DUMMYFUNCTION("""COMPUTED_VALUE"""),"RT")</f>
        <v>RT</v>
      </c>
      <c r="G8174" t="str">
        <f>IFERROR(__xludf.DUMMYFUNCTION("""COMPUTED_VALUE"""),"")</f>
        <v/>
      </c>
    </row>
    <row r="8175">
      <c r="D8175" t="str">
        <f>IFERROR(__xludf.DUMMYFUNCTION("""COMPUTED_VALUE"""),"Jordan")</f>
        <v>Jordan</v>
      </c>
      <c r="E8175" t="str">
        <f>IFERROR(__xludf.DUMMYFUNCTION("""COMPUTED_VALUE"""),"Cameron")</f>
        <v>Cameron</v>
      </c>
      <c r="F8175" t="str">
        <f>IFERROR(__xludf.DUMMYFUNCTION("""COMPUTED_VALUE"""),"LE")</f>
        <v>LE</v>
      </c>
      <c r="G8175" t="str">
        <f>IFERROR(__xludf.DUMMYFUNCTION("""COMPUTED_VALUE"""),"")</f>
        <v/>
      </c>
    </row>
    <row r="8176">
      <c r="D8176" t="str">
        <f>IFERROR(__xludf.DUMMYFUNCTION("""COMPUTED_VALUE"""),"Jordan")</f>
        <v>Jordan</v>
      </c>
      <c r="E8176" t="str">
        <f>IFERROR(__xludf.DUMMYFUNCTION("""COMPUTED_VALUE"""),"Michael")</f>
        <v>Michael</v>
      </c>
      <c r="F8176" t="str">
        <f>IFERROR(__xludf.DUMMYFUNCTION("""COMPUTED_VALUE"""),"CB")</f>
        <v>CB</v>
      </c>
      <c r="G8176" t="str">
        <f>IFERROR(__xludf.DUMMYFUNCTION("""COMPUTED_VALUE"""),"")</f>
        <v/>
      </c>
    </row>
    <row r="8177">
      <c r="D8177" t="str">
        <f>IFERROR(__xludf.DUMMYFUNCTION("""COMPUTED_VALUE"""),"Jordan")</f>
        <v>Jordan</v>
      </c>
      <c r="E8177" t="str">
        <f>IFERROR(__xludf.DUMMYFUNCTION("""COMPUTED_VALUE"""),"Michael")</f>
        <v>Michael</v>
      </c>
      <c r="F8177" t="str">
        <f>IFERROR(__xludf.DUMMYFUNCTION("""COMPUTED_VALUE"""),"C")</f>
        <v>C</v>
      </c>
      <c r="G8177" t="str">
        <f>IFERROR(__xludf.DUMMYFUNCTION("""COMPUTED_VALUE"""),"")</f>
        <v/>
      </c>
    </row>
    <row r="8178">
      <c r="D8178" t="str">
        <f>IFERROR(__xludf.DUMMYFUNCTION("""COMPUTED_VALUE"""),"Joseph")</f>
        <v>Joseph</v>
      </c>
      <c r="E8178" t="str">
        <f>IFERROR(__xludf.DUMMYFUNCTION("""COMPUTED_VALUE"""),"Dieugot")</f>
        <v>Dieugot</v>
      </c>
      <c r="F8178" t="str">
        <f>IFERROR(__xludf.DUMMYFUNCTION("""COMPUTED_VALUE"""),"LT")</f>
        <v>LT</v>
      </c>
      <c r="G8178" t="str">
        <f>IFERROR(__xludf.DUMMYFUNCTION("""COMPUTED_VALUE"""),"")</f>
        <v/>
      </c>
    </row>
    <row r="8179">
      <c r="D8179" t="str">
        <f>IFERROR(__xludf.DUMMYFUNCTION("""COMPUTED_VALUE"""),"Joseph")</f>
        <v>Joseph</v>
      </c>
      <c r="E8179" t="str">
        <f>IFERROR(__xludf.DUMMYFUNCTION("""COMPUTED_VALUE"""),"Greg")</f>
        <v>Greg</v>
      </c>
      <c r="F8179" t="str">
        <f>IFERROR(__xludf.DUMMYFUNCTION("""COMPUTED_VALUE"""),"K")</f>
        <v>K</v>
      </c>
      <c r="G8179" t="str">
        <f>IFERROR(__xludf.DUMMYFUNCTION("""COMPUTED_VALUE"""),"")</f>
        <v/>
      </c>
    </row>
    <row r="8180">
      <c r="D8180" t="str">
        <f>IFERROR(__xludf.DUMMYFUNCTION("""COMPUTED_VALUE"""),"Joseph")</f>
        <v>Joseph</v>
      </c>
      <c r="E8180" t="str">
        <f>IFERROR(__xludf.DUMMYFUNCTION("""COMPUTED_VALUE"""),"Johnathan")</f>
        <v>Johnathan</v>
      </c>
      <c r="F8180" t="str">
        <f>IFERROR(__xludf.DUMMYFUNCTION("""COMPUTED_VALUE"""),"CB")</f>
        <v>CB</v>
      </c>
      <c r="G8180" t="str">
        <f>IFERROR(__xludf.DUMMYFUNCTION("""COMPUTED_VALUE"""),"")</f>
        <v/>
      </c>
    </row>
    <row r="8181">
      <c r="D8181" t="str">
        <f>IFERROR(__xludf.DUMMYFUNCTION("""COMPUTED_VALUE"""),"Joseph")</f>
        <v>Joseph</v>
      </c>
      <c r="E8181" t="str">
        <f>IFERROR(__xludf.DUMMYFUNCTION("""COMPUTED_VALUE"""),"Karl")</f>
        <v>Karl</v>
      </c>
      <c r="F8181" t="str">
        <f>IFERROR(__xludf.DUMMYFUNCTION("""COMPUTED_VALUE"""),"SS")</f>
        <v>SS</v>
      </c>
      <c r="G8181" t="str">
        <f>IFERROR(__xludf.DUMMYFUNCTION("""COMPUTED_VALUE"""),"")</f>
        <v/>
      </c>
    </row>
    <row r="8182">
      <c r="D8182" t="str">
        <f>IFERROR(__xludf.DUMMYFUNCTION("""COMPUTED_VALUE"""),"Joseph")</f>
        <v>Joseph</v>
      </c>
      <c r="E8182" t="str">
        <f>IFERROR(__xludf.DUMMYFUNCTION("""COMPUTED_VALUE"""),"Linval")</f>
        <v>Linval</v>
      </c>
      <c r="F8182" t="str">
        <f>IFERROR(__xludf.DUMMYFUNCTION("""COMPUTED_VALUE"""),"DT")</f>
        <v>DT</v>
      </c>
      <c r="G8182" t="str">
        <f>IFERROR(__xludf.DUMMYFUNCTION("""COMPUTED_VALUE"""),"")</f>
        <v/>
      </c>
    </row>
    <row r="8183">
      <c r="D8183" t="str">
        <f>IFERROR(__xludf.DUMMYFUNCTION("""COMPUTED_VALUE"""),"Joseph")</f>
        <v>Joseph</v>
      </c>
      <c r="E8183" t="str">
        <f>IFERROR(__xludf.DUMMYFUNCTION("""COMPUTED_VALUE"""),"Michael")</f>
        <v>Michael</v>
      </c>
      <c r="F8183" t="str">
        <f>IFERROR(__xludf.DUMMYFUNCTION("""COMPUTED_VALUE"""),"CB")</f>
        <v>CB</v>
      </c>
      <c r="G8183" t="str">
        <f>IFERROR(__xludf.DUMMYFUNCTION("""COMPUTED_VALUE"""),"")</f>
        <v/>
      </c>
    </row>
    <row r="8184">
      <c r="D8184" t="str">
        <f>IFERROR(__xludf.DUMMYFUNCTION("""COMPUTED_VALUE"""),"Joseph")</f>
        <v>Joseph</v>
      </c>
      <c r="E8184" t="str">
        <f>IFERROR(__xludf.DUMMYFUNCTION("""COMPUTED_VALUE"""),"Vosean")</f>
        <v>Vosean</v>
      </c>
      <c r="F8184" t="str">
        <f>IFERROR(__xludf.DUMMYFUNCTION("""COMPUTED_VALUE"""),"MLB")</f>
        <v>MLB</v>
      </c>
      <c r="G8184" t="str">
        <f>IFERROR(__xludf.DUMMYFUNCTION("""COMPUTED_VALUE"""),"")</f>
        <v/>
      </c>
    </row>
    <row r="8185">
      <c r="D8185" t="str">
        <f>IFERROR(__xludf.DUMMYFUNCTION("""COMPUTED_VALUE"""),"Joseph-Day")</f>
        <v>Joseph-Day</v>
      </c>
      <c r="E8185" t="str">
        <f>IFERROR(__xludf.DUMMYFUNCTION("""COMPUTED_VALUE"""),"Sebastian")</f>
        <v>Sebastian</v>
      </c>
      <c r="F8185" t="str">
        <f>IFERROR(__xludf.DUMMYFUNCTION("""COMPUTED_VALUE"""),"DT")</f>
        <v>DT</v>
      </c>
      <c r="G8185" t="str">
        <f>IFERROR(__xludf.DUMMYFUNCTION("""COMPUTED_VALUE"""),"")</f>
        <v/>
      </c>
    </row>
    <row r="8186">
      <c r="D8186" t="str">
        <f>IFERROR(__xludf.DUMMYFUNCTION("""COMPUTED_VALUE"""),"Joyner")</f>
        <v>Joyner</v>
      </c>
      <c r="E8186" t="str">
        <f>IFERROR(__xludf.DUMMYFUNCTION("""COMPUTED_VALUE"""),"Lamarcus")</f>
        <v>Lamarcus</v>
      </c>
      <c r="F8186" t="str">
        <f>IFERROR(__xludf.DUMMYFUNCTION("""COMPUTED_VALUE"""),"FS")</f>
        <v>FS</v>
      </c>
      <c r="G8186" t="str">
        <f>IFERROR(__xludf.DUMMYFUNCTION("""COMPUTED_VALUE"""),"")</f>
        <v/>
      </c>
    </row>
    <row r="8187">
      <c r="D8187" t="str">
        <f>IFERROR(__xludf.DUMMYFUNCTION("""COMPUTED_VALUE"""),"Judon")</f>
        <v>Judon</v>
      </c>
      <c r="E8187" t="str">
        <f>IFERROR(__xludf.DUMMYFUNCTION("""COMPUTED_VALUE"""),"Matthew")</f>
        <v>Matthew</v>
      </c>
      <c r="F8187" t="str">
        <f>IFERROR(__xludf.DUMMYFUNCTION("""COMPUTED_VALUE"""),"LOLB")</f>
        <v>LOLB</v>
      </c>
      <c r="G8187" t="str">
        <f>IFERROR(__xludf.DUMMYFUNCTION("""COMPUTED_VALUE"""),"")</f>
        <v/>
      </c>
    </row>
    <row r="8188">
      <c r="D8188" t="str">
        <f>IFERROR(__xludf.DUMMYFUNCTION("""COMPUTED_VALUE"""),"Juszczyk")</f>
        <v>Juszczyk</v>
      </c>
      <c r="E8188" t="str">
        <f>IFERROR(__xludf.DUMMYFUNCTION("""COMPUTED_VALUE"""),"Kyle")</f>
        <v>Kyle</v>
      </c>
      <c r="F8188" t="str">
        <f>IFERROR(__xludf.DUMMYFUNCTION("""COMPUTED_VALUE"""),"FB")</f>
        <v>FB</v>
      </c>
      <c r="G8188" t="str">
        <f>IFERROR(__xludf.DUMMYFUNCTION("""COMPUTED_VALUE"""),"")</f>
        <v/>
      </c>
    </row>
    <row r="8189">
      <c r="D8189" t="str">
        <f>IFERROR(__xludf.DUMMYFUNCTION("""COMPUTED_VALUE"""),"Kalambayi")</f>
        <v>Kalambayi</v>
      </c>
      <c r="E8189" t="str">
        <f>IFERROR(__xludf.DUMMYFUNCTION("""COMPUTED_VALUE"""),"Peter")</f>
        <v>Peter</v>
      </c>
      <c r="F8189" t="str">
        <f>IFERROR(__xludf.DUMMYFUNCTION("""COMPUTED_VALUE"""),"LOLB")</f>
        <v>LOLB</v>
      </c>
      <c r="G8189" t="str">
        <f>IFERROR(__xludf.DUMMYFUNCTION("""COMPUTED_VALUE"""),"")</f>
        <v/>
      </c>
    </row>
    <row r="8190">
      <c r="D8190" t="str">
        <f>IFERROR(__xludf.DUMMYFUNCTION("""COMPUTED_VALUE"""),"Kalil")</f>
        <v>Kalil</v>
      </c>
      <c r="E8190" t="str">
        <f>IFERROR(__xludf.DUMMYFUNCTION("""COMPUTED_VALUE"""),"Matt")</f>
        <v>Matt</v>
      </c>
      <c r="F8190" t="str">
        <f>IFERROR(__xludf.DUMMYFUNCTION("""COMPUTED_VALUE"""),"LT")</f>
        <v>LT</v>
      </c>
      <c r="G8190" t="str">
        <f>IFERROR(__xludf.DUMMYFUNCTION("""COMPUTED_VALUE"""),"")</f>
        <v/>
      </c>
    </row>
    <row r="8191">
      <c r="D8191" t="str">
        <f>IFERROR(__xludf.DUMMYFUNCTION("""COMPUTED_VALUE"""),"Kalis")</f>
        <v>Kalis</v>
      </c>
      <c r="E8191" t="str">
        <f>IFERROR(__xludf.DUMMYFUNCTION("""COMPUTED_VALUE"""),"Kyle")</f>
        <v>Kyle</v>
      </c>
      <c r="F8191" t="str">
        <f>IFERROR(__xludf.DUMMYFUNCTION("""COMPUTED_VALUE"""),"RG")</f>
        <v>RG</v>
      </c>
      <c r="G8191" t="str">
        <f>IFERROR(__xludf.DUMMYFUNCTION("""COMPUTED_VALUE"""),"")</f>
        <v/>
      </c>
    </row>
    <row r="8192">
      <c r="D8192" t="str">
        <f>IFERROR(__xludf.DUMMYFUNCTION("""COMPUTED_VALUE"""),"Kalu")</f>
        <v>Kalu</v>
      </c>
      <c r="E8192" t="str">
        <f>IFERROR(__xludf.DUMMYFUNCTION("""COMPUTED_VALUE"""),"Joshua")</f>
        <v>Joshua</v>
      </c>
      <c r="F8192" t="str">
        <f>IFERROR(__xludf.DUMMYFUNCTION("""COMPUTED_VALUE"""),"CB")</f>
        <v>CB</v>
      </c>
      <c r="G8192" t="str">
        <f>IFERROR(__xludf.DUMMYFUNCTION("""COMPUTED_VALUE"""),"")</f>
        <v/>
      </c>
    </row>
    <row r="8193">
      <c r="D8193" t="str">
        <f>IFERROR(__xludf.DUMMYFUNCTION("""COMPUTED_VALUE"""),"Kamalu")</f>
        <v>Kamalu</v>
      </c>
      <c r="E8193" t="str">
        <f>IFERROR(__xludf.DUMMYFUNCTION("""COMPUTED_VALUE"""),"Ufomba")</f>
        <v>Ufomba</v>
      </c>
      <c r="F8193" t="str">
        <f>IFERROR(__xludf.DUMMYFUNCTION("""COMPUTED_VALUE"""),"ROLB")</f>
        <v>ROLB</v>
      </c>
      <c r="G8193" t="str">
        <f>IFERROR(__xludf.DUMMYFUNCTION("""COMPUTED_VALUE"""),"")</f>
        <v/>
      </c>
    </row>
    <row r="8194">
      <c r="D8194" t="str">
        <f>IFERROR(__xludf.DUMMYFUNCTION("""COMPUTED_VALUE"""),"Kamara")</f>
        <v>Kamara</v>
      </c>
      <c r="E8194" t="str">
        <f>IFERROR(__xludf.DUMMYFUNCTION("""COMPUTED_VALUE"""),"Alvin")</f>
        <v>Alvin</v>
      </c>
      <c r="F8194" t="str">
        <f>IFERROR(__xludf.DUMMYFUNCTION("""COMPUTED_VALUE"""),"HB")</f>
        <v>HB</v>
      </c>
      <c r="G8194" t="str">
        <f>IFERROR(__xludf.DUMMYFUNCTION("""COMPUTED_VALUE"""),"")</f>
        <v/>
      </c>
    </row>
    <row r="8195">
      <c r="D8195" t="str">
        <f>IFERROR(__xludf.DUMMYFUNCTION("""COMPUTED_VALUE"""),"Kanoff")</f>
        <v>Kanoff</v>
      </c>
      <c r="E8195" t="str">
        <f>IFERROR(__xludf.DUMMYFUNCTION("""COMPUTED_VALUE"""),"Chad")</f>
        <v>Chad</v>
      </c>
      <c r="F8195" t="str">
        <f>IFERROR(__xludf.DUMMYFUNCTION("""COMPUTED_VALUE"""),"QB")</f>
        <v>QB</v>
      </c>
      <c r="G8195" t="str">
        <f>IFERROR(__xludf.DUMMYFUNCTION("""COMPUTED_VALUE"""),"")</f>
        <v/>
      </c>
    </row>
    <row r="8196">
      <c r="D8196" t="str">
        <f>IFERROR(__xludf.DUMMYFUNCTION("""COMPUTED_VALUE"""),"Karras")</f>
        <v>Karras</v>
      </c>
      <c r="E8196" t="str">
        <f>IFERROR(__xludf.DUMMYFUNCTION("""COMPUTED_VALUE"""),"Ted")</f>
        <v>Ted</v>
      </c>
      <c r="F8196" t="str">
        <f>IFERROR(__xludf.DUMMYFUNCTION("""COMPUTED_VALUE"""),"LG")</f>
        <v>LG</v>
      </c>
      <c r="G8196" t="str">
        <f>IFERROR(__xludf.DUMMYFUNCTION("""COMPUTED_VALUE"""),"")</f>
        <v/>
      </c>
    </row>
    <row r="8197">
      <c r="D8197" t="str">
        <f>IFERROR(__xludf.DUMMYFUNCTION("""COMPUTED_VALUE"""),"Kaufusi")</f>
        <v>Kaufusi</v>
      </c>
      <c r="E8197" t="str">
        <f>IFERROR(__xludf.DUMMYFUNCTION("""COMPUTED_VALUE"""),"Bronson")</f>
        <v>Bronson</v>
      </c>
      <c r="F8197" t="str">
        <f>IFERROR(__xludf.DUMMYFUNCTION("""COMPUTED_VALUE"""),"LE")</f>
        <v>LE</v>
      </c>
      <c r="G8197" t="str">
        <f>IFERROR(__xludf.DUMMYFUNCTION("""COMPUTED_VALUE"""),"")</f>
        <v/>
      </c>
    </row>
    <row r="8198">
      <c r="D8198" t="str">
        <f>IFERROR(__xludf.DUMMYFUNCTION("""COMPUTED_VALUE"""),"Kazee")</f>
        <v>Kazee</v>
      </c>
      <c r="E8198" t="str">
        <f>IFERROR(__xludf.DUMMYFUNCTION("""COMPUTED_VALUE"""),"Damontae")</f>
        <v>Damontae</v>
      </c>
      <c r="F8198" t="str">
        <f>IFERROR(__xludf.DUMMYFUNCTION("""COMPUTED_VALUE"""),"FS")</f>
        <v>FS</v>
      </c>
      <c r="G8198" t="str">
        <f>IFERROR(__xludf.DUMMYFUNCTION("""COMPUTED_VALUE"""),"")</f>
        <v/>
      </c>
    </row>
    <row r="8199">
      <c r="D8199" t="str">
        <f>IFERROR(__xludf.DUMMYFUNCTION("""COMPUTED_VALUE"""),"Kearse")</f>
        <v>Kearse</v>
      </c>
      <c r="E8199" t="str">
        <f>IFERROR(__xludf.DUMMYFUNCTION("""COMPUTED_VALUE"""),"Jayron")</f>
        <v>Jayron</v>
      </c>
      <c r="F8199" t="str">
        <f>IFERROR(__xludf.DUMMYFUNCTION("""COMPUTED_VALUE"""),"SS")</f>
        <v>SS</v>
      </c>
      <c r="G8199" t="str">
        <f>IFERROR(__xludf.DUMMYFUNCTION("""COMPUTED_VALUE"""),"")</f>
        <v/>
      </c>
    </row>
    <row r="8200">
      <c r="D8200" t="str">
        <f>IFERROR(__xludf.DUMMYFUNCTION("""COMPUTED_VALUE"""),"Kearse")</f>
        <v>Kearse</v>
      </c>
      <c r="E8200" t="str">
        <f>IFERROR(__xludf.DUMMYFUNCTION("""COMPUTED_VALUE"""),"Jermaine")</f>
        <v>Jermaine</v>
      </c>
      <c r="F8200" t="str">
        <f>IFERROR(__xludf.DUMMYFUNCTION("""COMPUTED_VALUE"""),"WR")</f>
        <v>WR</v>
      </c>
      <c r="G8200" t="str">
        <f>IFERROR(__xludf.DUMMYFUNCTION("""COMPUTED_VALUE"""),"")</f>
        <v/>
      </c>
    </row>
    <row r="8201">
      <c r="D8201" t="str">
        <f>IFERROR(__xludf.DUMMYFUNCTION("""COMPUTED_VALUE"""),"Keenum")</f>
        <v>Keenum</v>
      </c>
      <c r="E8201" t="str">
        <f>IFERROR(__xludf.DUMMYFUNCTION("""COMPUTED_VALUE"""),"Case")</f>
        <v>Case</v>
      </c>
      <c r="F8201" t="str">
        <f>IFERROR(__xludf.DUMMYFUNCTION("""COMPUTED_VALUE"""),"QB")</f>
        <v>QB</v>
      </c>
      <c r="G8201" t="str">
        <f>IFERROR(__xludf.DUMMYFUNCTION("""COMPUTED_VALUE"""),"")</f>
        <v/>
      </c>
    </row>
    <row r="8202">
      <c r="D8202" t="str">
        <f>IFERROR(__xludf.DUMMYFUNCTION("""COMPUTED_VALUE"""),"Keke")</f>
        <v>Keke</v>
      </c>
      <c r="E8202" t="str">
        <f>IFERROR(__xludf.DUMMYFUNCTION("""COMPUTED_VALUE"""),"Kingsley")</f>
        <v>Kingsley</v>
      </c>
      <c r="F8202" t="str">
        <f>IFERROR(__xludf.DUMMYFUNCTION("""COMPUTED_VALUE"""),"RE")</f>
        <v>RE</v>
      </c>
      <c r="G8202" t="str">
        <f>IFERROR(__xludf.DUMMYFUNCTION("""COMPUTED_VALUE"""),"")</f>
        <v/>
      </c>
    </row>
    <row r="8203">
      <c r="D8203" t="str">
        <f>IFERROR(__xludf.DUMMYFUNCTION("""COMPUTED_VALUE"""),"Kelce")</f>
        <v>Kelce</v>
      </c>
      <c r="E8203" t="str">
        <f>IFERROR(__xludf.DUMMYFUNCTION("""COMPUTED_VALUE"""),"Jason")</f>
        <v>Jason</v>
      </c>
      <c r="F8203" t="str">
        <f>IFERROR(__xludf.DUMMYFUNCTION("""COMPUTED_VALUE"""),"C")</f>
        <v>C</v>
      </c>
      <c r="G8203" t="str">
        <f>IFERROR(__xludf.DUMMYFUNCTION("""COMPUTED_VALUE"""),"")</f>
        <v/>
      </c>
    </row>
    <row r="8204">
      <c r="D8204" t="str">
        <f>IFERROR(__xludf.DUMMYFUNCTION("""COMPUTED_VALUE"""),"Kelce")</f>
        <v>Kelce</v>
      </c>
      <c r="E8204" t="str">
        <f>IFERROR(__xludf.DUMMYFUNCTION("""COMPUTED_VALUE"""),"Travis")</f>
        <v>Travis</v>
      </c>
      <c r="F8204" t="str">
        <f>IFERROR(__xludf.DUMMYFUNCTION("""COMPUTED_VALUE"""),"TE")</f>
        <v>TE</v>
      </c>
      <c r="G8204" t="str">
        <f>IFERROR(__xludf.DUMMYFUNCTION("""COMPUTED_VALUE"""),"")</f>
        <v/>
      </c>
    </row>
    <row r="8205">
      <c r="D8205" t="str">
        <f>IFERROR(__xludf.DUMMYFUNCTION("""COMPUTED_VALUE"""),"Kelemete")</f>
        <v>Kelemete</v>
      </c>
      <c r="E8205" t="str">
        <f>IFERROR(__xludf.DUMMYFUNCTION("""COMPUTED_VALUE"""),"Senio")</f>
        <v>Senio</v>
      </c>
      <c r="F8205" t="str">
        <f>IFERROR(__xludf.DUMMYFUNCTION("""COMPUTED_VALUE"""),"LG")</f>
        <v>LG</v>
      </c>
      <c r="G8205" t="str">
        <f>IFERROR(__xludf.DUMMYFUNCTION("""COMPUTED_VALUE"""),"")</f>
        <v/>
      </c>
    </row>
    <row r="8206">
      <c r="D8206" t="str">
        <f>IFERROR(__xludf.DUMMYFUNCTION("""COMPUTED_VALUE"""),"Kelly")</f>
        <v>Kelly</v>
      </c>
      <c r="E8206" t="str">
        <f>IFERROR(__xludf.DUMMYFUNCTION("""COMPUTED_VALUE"""),"Dennis")</f>
        <v>Dennis</v>
      </c>
      <c r="F8206" t="str">
        <f>IFERROR(__xludf.DUMMYFUNCTION("""COMPUTED_VALUE"""),"RT")</f>
        <v>RT</v>
      </c>
      <c r="G8206" t="str">
        <f>IFERROR(__xludf.DUMMYFUNCTION("""COMPUTED_VALUE"""),"")</f>
        <v/>
      </c>
    </row>
    <row r="8207">
      <c r="D8207" t="str">
        <f>IFERROR(__xludf.DUMMYFUNCTION("""COMPUTED_VALUE"""),"Kelly")</f>
        <v>Kelly</v>
      </c>
      <c r="E8207" t="str">
        <f>IFERROR(__xludf.DUMMYFUNCTION("""COMPUTED_VALUE"""),"Jermaine")</f>
        <v>Jermaine</v>
      </c>
      <c r="F8207" t="str">
        <f>IFERROR(__xludf.DUMMYFUNCTION("""COMPUTED_VALUE"""),"CB")</f>
        <v>CB</v>
      </c>
      <c r="G8207" t="str">
        <f>IFERROR(__xludf.DUMMYFUNCTION("""COMPUTED_VALUE"""),"")</f>
        <v/>
      </c>
    </row>
    <row r="8208">
      <c r="D8208" t="str">
        <f>IFERROR(__xludf.DUMMYFUNCTION("""COMPUTED_VALUE"""),"Kelly")</f>
        <v>Kelly</v>
      </c>
      <c r="E8208" t="str">
        <f>IFERROR(__xludf.DUMMYFUNCTION("""COMPUTED_VALUE"""),"John")</f>
        <v>John</v>
      </c>
      <c r="F8208" t="str">
        <f>IFERROR(__xludf.DUMMYFUNCTION("""COMPUTED_VALUE"""),"HB")</f>
        <v>HB</v>
      </c>
      <c r="G8208" t="str">
        <f>IFERROR(__xludf.DUMMYFUNCTION("""COMPUTED_VALUE"""),"")</f>
        <v/>
      </c>
    </row>
    <row r="8209">
      <c r="D8209" t="str">
        <f>IFERROR(__xludf.DUMMYFUNCTION("""COMPUTED_VALUE"""),"Kelly")</f>
        <v>Kelly</v>
      </c>
      <c r="E8209" t="str">
        <f>IFERROR(__xludf.DUMMYFUNCTION("""COMPUTED_VALUE"""),"Kameron")</f>
        <v>Kameron</v>
      </c>
      <c r="F8209" t="str">
        <f>IFERROR(__xludf.DUMMYFUNCTION("""COMPUTED_VALUE"""),"SS")</f>
        <v>SS</v>
      </c>
      <c r="G8209" t="str">
        <f>IFERROR(__xludf.DUMMYFUNCTION("""COMPUTED_VALUE"""),"")</f>
        <v/>
      </c>
    </row>
    <row r="8210">
      <c r="D8210" t="str">
        <f>IFERROR(__xludf.DUMMYFUNCTION("""COMPUTED_VALUE"""),"Kelly")</f>
        <v>Kelly</v>
      </c>
      <c r="E8210" t="str">
        <f>IFERROR(__xludf.DUMMYFUNCTION("""COMPUTED_VALUE"""),"Ryan")</f>
        <v>Ryan</v>
      </c>
      <c r="F8210" t="str">
        <f>IFERROR(__xludf.DUMMYFUNCTION("""COMPUTED_VALUE"""),"C")</f>
        <v>C</v>
      </c>
      <c r="G8210" t="str">
        <f>IFERROR(__xludf.DUMMYFUNCTION("""COMPUTED_VALUE"""),"")</f>
        <v/>
      </c>
    </row>
    <row r="8211">
      <c r="D8211" t="str">
        <f>IFERROR(__xludf.DUMMYFUNCTION("""COMPUTED_VALUE"""),"Kemp")</f>
        <v>Kemp</v>
      </c>
      <c r="E8211" t="str">
        <f>IFERROR(__xludf.DUMMYFUNCTION("""COMPUTED_VALUE"""),"Marcus")</f>
        <v>Marcus</v>
      </c>
      <c r="F8211" t="str">
        <f>IFERROR(__xludf.DUMMYFUNCTION("""COMPUTED_VALUE"""),"WR")</f>
        <v>WR</v>
      </c>
      <c r="G8211" t="str">
        <f>IFERROR(__xludf.DUMMYFUNCTION("""COMPUTED_VALUE"""),"")</f>
        <v/>
      </c>
    </row>
    <row r="8212">
      <c r="D8212" t="str">
        <f>IFERROR(__xludf.DUMMYFUNCTION("""COMPUTED_VALUE"""),"Kendricks")</f>
        <v>Kendricks</v>
      </c>
      <c r="E8212" t="str">
        <f>IFERROR(__xludf.DUMMYFUNCTION("""COMPUTED_VALUE"""),"Eric")</f>
        <v>Eric</v>
      </c>
      <c r="F8212" t="str">
        <f>IFERROR(__xludf.DUMMYFUNCTION("""COMPUTED_VALUE"""),"MLB")</f>
        <v>MLB</v>
      </c>
      <c r="G8212" t="str">
        <f>IFERROR(__xludf.DUMMYFUNCTION("""COMPUTED_VALUE"""),"")</f>
        <v/>
      </c>
    </row>
    <row r="8213">
      <c r="D8213" t="str">
        <f>IFERROR(__xludf.DUMMYFUNCTION("""COMPUTED_VALUE"""),"Kendricks")</f>
        <v>Kendricks</v>
      </c>
      <c r="E8213" t="str">
        <f>IFERROR(__xludf.DUMMYFUNCTION("""COMPUTED_VALUE"""),"Mychal")</f>
        <v>Mychal</v>
      </c>
      <c r="F8213" t="str">
        <f>IFERROR(__xludf.DUMMYFUNCTION("""COMPUTED_VALUE"""),"ROLB")</f>
        <v>ROLB</v>
      </c>
      <c r="G8213" t="str">
        <f>IFERROR(__xludf.DUMMYFUNCTION("""COMPUTED_VALUE"""),"")</f>
        <v/>
      </c>
    </row>
    <row r="8214">
      <c r="D8214" t="str">
        <f>IFERROR(__xludf.DUMMYFUNCTION("""COMPUTED_VALUE"""),"Kennard")</f>
        <v>Kennard</v>
      </c>
      <c r="E8214" t="str">
        <f>IFERROR(__xludf.DUMMYFUNCTION("""COMPUTED_VALUE"""),"Devon")</f>
        <v>Devon</v>
      </c>
      <c r="F8214" t="str">
        <f>IFERROR(__xludf.DUMMYFUNCTION("""COMPUTED_VALUE"""),"LOLB")</f>
        <v>LOLB</v>
      </c>
      <c r="G8214" t="str">
        <f>IFERROR(__xludf.DUMMYFUNCTION("""COMPUTED_VALUE"""),"")</f>
        <v/>
      </c>
    </row>
    <row r="8215">
      <c r="D8215" t="str">
        <f>IFERROR(__xludf.DUMMYFUNCTION("""COMPUTED_VALUE"""),"Kerin")</f>
        <v>Kerin</v>
      </c>
      <c r="E8215" t="str">
        <f>IFERROR(__xludf.DUMMYFUNCTION("""COMPUTED_VALUE"""),"Zac")</f>
        <v>Zac</v>
      </c>
      <c r="F8215" t="str">
        <f>IFERROR(__xludf.DUMMYFUNCTION("""COMPUTED_VALUE"""),"RG")</f>
        <v>RG</v>
      </c>
      <c r="G8215" t="str">
        <f>IFERROR(__xludf.DUMMYFUNCTION("""COMPUTED_VALUE"""),"")</f>
        <v/>
      </c>
    </row>
    <row r="8216">
      <c r="D8216" t="str">
        <f>IFERROR(__xludf.DUMMYFUNCTION("""COMPUTED_VALUE"""),"Kern")</f>
        <v>Kern</v>
      </c>
      <c r="E8216" t="str">
        <f>IFERROR(__xludf.DUMMYFUNCTION("""COMPUTED_VALUE"""),"Brett")</f>
        <v>Brett</v>
      </c>
      <c r="F8216" t="str">
        <f>IFERROR(__xludf.DUMMYFUNCTION("""COMPUTED_VALUE"""),"P")</f>
        <v>P</v>
      </c>
      <c r="G8216" t="str">
        <f>IFERROR(__xludf.DUMMYFUNCTION("""COMPUTED_VALUE"""),"")</f>
        <v/>
      </c>
    </row>
    <row r="8217">
      <c r="D8217" t="str">
        <f>IFERROR(__xludf.DUMMYFUNCTION("""COMPUTED_VALUE"""),"Kerr")</f>
        <v>Kerr</v>
      </c>
      <c r="E8217" t="str">
        <f>IFERROR(__xludf.DUMMYFUNCTION("""COMPUTED_VALUE"""),"Zach")</f>
        <v>Zach</v>
      </c>
      <c r="F8217" t="str">
        <f>IFERROR(__xludf.DUMMYFUNCTION("""COMPUTED_VALUE"""),"LE")</f>
        <v>LE</v>
      </c>
      <c r="G8217" t="str">
        <f>IFERROR(__xludf.DUMMYFUNCTION("""COMPUTED_VALUE"""),"")</f>
        <v/>
      </c>
    </row>
    <row r="8218">
      <c r="D8218" t="str">
        <f>IFERROR(__xludf.DUMMYFUNCTION("""COMPUTED_VALUE"""),"Kerrigan")</f>
        <v>Kerrigan</v>
      </c>
      <c r="E8218" t="str">
        <f>IFERROR(__xludf.DUMMYFUNCTION("""COMPUTED_VALUE"""),"Ryan")</f>
        <v>Ryan</v>
      </c>
      <c r="F8218" t="str">
        <f>IFERROR(__xludf.DUMMYFUNCTION("""COMPUTED_VALUE"""),"LOLB")</f>
        <v>LOLB</v>
      </c>
      <c r="G8218" t="str">
        <f>IFERROR(__xludf.DUMMYFUNCTION("""COMPUTED_VALUE"""),"")</f>
        <v/>
      </c>
    </row>
    <row r="8219">
      <c r="D8219" t="str">
        <f>IFERROR(__xludf.DUMMYFUNCTION("""COMPUTED_VALUE"""),"Kessler")</f>
        <v>Kessler</v>
      </c>
      <c r="E8219" t="str">
        <f>IFERROR(__xludf.DUMMYFUNCTION("""COMPUTED_VALUE"""),"Cody")</f>
        <v>Cody</v>
      </c>
      <c r="F8219" t="str">
        <f>IFERROR(__xludf.DUMMYFUNCTION("""COMPUTED_VALUE"""),"QB")</f>
        <v>QB</v>
      </c>
      <c r="G8219" t="str">
        <f>IFERROR(__xludf.DUMMYFUNCTION("""COMPUTED_VALUE"""),"")</f>
        <v/>
      </c>
    </row>
    <row r="8220">
      <c r="D8220" t="str">
        <f>IFERROR(__xludf.DUMMYFUNCTION("""COMPUTED_VALUE"""),"Key")</f>
        <v>Key</v>
      </c>
      <c r="E8220" t="str">
        <f>IFERROR(__xludf.DUMMYFUNCTION("""COMPUTED_VALUE"""),"Arden")</f>
        <v>Arden</v>
      </c>
      <c r="F8220" t="str">
        <f>IFERROR(__xludf.DUMMYFUNCTION("""COMPUTED_VALUE"""),"RE")</f>
        <v>RE</v>
      </c>
      <c r="G8220" t="str">
        <f>IFERROR(__xludf.DUMMYFUNCTION("""COMPUTED_VALUE"""),"")</f>
        <v/>
      </c>
    </row>
    <row r="8221">
      <c r="D8221" t="str">
        <f>IFERROR(__xludf.DUMMYFUNCTION("""COMPUTED_VALUE"""),"Kidsy")</f>
        <v>Kidsy</v>
      </c>
      <c r="E8221" t="str">
        <f>IFERROR(__xludf.DUMMYFUNCTION("""COMPUTED_VALUE"""),"Darvin")</f>
        <v>Darvin</v>
      </c>
      <c r="F8221" t="str">
        <f>IFERROR(__xludf.DUMMYFUNCTION("""COMPUTED_VALUE"""),"WR")</f>
        <v>WR</v>
      </c>
      <c r="G8221" t="str">
        <f>IFERROR(__xludf.DUMMYFUNCTION("""COMPUTED_VALUE"""),"")</f>
        <v/>
      </c>
    </row>
    <row r="8222">
      <c r="D8222" t="str">
        <f>IFERROR(__xludf.DUMMYFUNCTION("""COMPUTED_VALUE"""),"Kilgo")</f>
        <v>Kilgo</v>
      </c>
      <c r="E8222" t="str">
        <f>IFERROR(__xludf.DUMMYFUNCTION("""COMPUTED_VALUE"""),"Darius")</f>
        <v>Darius</v>
      </c>
      <c r="F8222" t="str">
        <f>IFERROR(__xludf.DUMMYFUNCTION("""COMPUTED_VALUE"""),"DT")</f>
        <v>DT</v>
      </c>
      <c r="G8222" t="str">
        <f>IFERROR(__xludf.DUMMYFUNCTION("""COMPUTED_VALUE"""),"")</f>
        <v/>
      </c>
    </row>
    <row r="8223">
      <c r="D8223" t="str">
        <f>IFERROR(__xludf.DUMMYFUNCTION("""COMPUTED_VALUE"""),"Kilgore")</f>
        <v>Kilgore</v>
      </c>
      <c r="E8223" t="str">
        <f>IFERROR(__xludf.DUMMYFUNCTION("""COMPUTED_VALUE"""),"Daniel")</f>
        <v>Daniel</v>
      </c>
      <c r="F8223" t="str">
        <f>IFERROR(__xludf.DUMMYFUNCTION("""COMPUTED_VALUE"""),"C")</f>
        <v>C</v>
      </c>
      <c r="G8223" t="str">
        <f>IFERROR(__xludf.DUMMYFUNCTION("""COMPUTED_VALUE"""),"")</f>
        <v/>
      </c>
    </row>
    <row r="8224">
      <c r="D8224" t="str">
        <f>IFERROR(__xludf.DUMMYFUNCTION("""COMPUTED_VALUE"""),"Killebrew")</f>
        <v>Killebrew</v>
      </c>
      <c r="E8224" t="str">
        <f>IFERROR(__xludf.DUMMYFUNCTION("""COMPUTED_VALUE"""),"Miles")</f>
        <v>Miles</v>
      </c>
      <c r="F8224" t="str">
        <f>IFERROR(__xludf.DUMMYFUNCTION("""COMPUTED_VALUE"""),"SS")</f>
        <v>SS</v>
      </c>
      <c r="G8224" t="str">
        <f>IFERROR(__xludf.DUMMYFUNCTION("""COMPUTED_VALUE"""),"")</f>
        <v/>
      </c>
    </row>
    <row r="8225">
      <c r="D8225" t="str">
        <f>IFERROR(__xludf.DUMMYFUNCTION("""COMPUTED_VALUE"""),"Kindred")</f>
        <v>Kindred</v>
      </c>
      <c r="E8225" t="str">
        <f>IFERROR(__xludf.DUMMYFUNCTION("""COMPUTED_VALUE"""),"Derrick")</f>
        <v>Derrick</v>
      </c>
      <c r="F8225" t="str">
        <f>IFERROR(__xludf.DUMMYFUNCTION("""COMPUTED_VALUE"""),"SS")</f>
        <v>SS</v>
      </c>
      <c r="G8225" t="str">
        <f>IFERROR(__xludf.DUMMYFUNCTION("""COMPUTED_VALUE"""),"")</f>
        <v/>
      </c>
    </row>
    <row r="8226">
      <c r="D8226" t="str">
        <f>IFERROR(__xludf.DUMMYFUNCTION("""COMPUTED_VALUE"""),"King")</f>
        <v>King</v>
      </c>
      <c r="E8226" t="str">
        <f>IFERROR(__xludf.DUMMYFUNCTION("""COMPUTED_VALUE"""),"Akeem")</f>
        <v>Akeem</v>
      </c>
      <c r="F8226" t="str">
        <f>IFERROR(__xludf.DUMMYFUNCTION("""COMPUTED_VALUE"""),"CB")</f>
        <v>CB</v>
      </c>
      <c r="G8226" t="str">
        <f>IFERROR(__xludf.DUMMYFUNCTION("""COMPUTED_VALUE"""),"")</f>
        <v/>
      </c>
    </row>
    <row r="8227">
      <c r="D8227" t="str">
        <f>IFERROR(__xludf.DUMMYFUNCTION("""COMPUTED_VALUE"""),"King")</f>
        <v>King</v>
      </c>
      <c r="E8227" t="str">
        <f>IFERROR(__xludf.DUMMYFUNCTION("""COMPUTED_VALUE"""),"Brandon")</f>
        <v>Brandon</v>
      </c>
      <c r="F8227" t="str">
        <f>IFERROR(__xludf.DUMMYFUNCTION("""COMPUTED_VALUE"""),"LOLB")</f>
        <v>LOLB</v>
      </c>
      <c r="G8227" t="str">
        <f>IFERROR(__xludf.DUMMYFUNCTION("""COMPUTED_VALUE"""),"")</f>
        <v/>
      </c>
    </row>
    <row r="8228">
      <c r="D8228" t="str">
        <f>IFERROR(__xludf.DUMMYFUNCTION("""COMPUTED_VALUE"""),"King")</f>
        <v>King</v>
      </c>
      <c r="E8228" t="str">
        <f>IFERROR(__xludf.DUMMYFUNCTION("""COMPUTED_VALUE"""),"Desmond")</f>
        <v>Desmond</v>
      </c>
      <c r="F8228" t="str">
        <f>IFERROR(__xludf.DUMMYFUNCTION("""COMPUTED_VALUE"""),"CB")</f>
        <v>CB</v>
      </c>
      <c r="G8228" t="str">
        <f>IFERROR(__xludf.DUMMYFUNCTION("""COMPUTED_VALUE"""),"")</f>
        <v/>
      </c>
    </row>
    <row r="8229">
      <c r="D8229" t="str">
        <f>IFERROR(__xludf.DUMMYFUNCTION("""COMPUTED_VALUE"""),"King")</f>
        <v>King</v>
      </c>
      <c r="E8229" t="str">
        <f>IFERROR(__xludf.DUMMYFUNCTION("""COMPUTED_VALUE"""),"Kevin")</f>
        <v>Kevin</v>
      </c>
      <c r="F8229" t="str">
        <f>IFERROR(__xludf.DUMMYFUNCTION("""COMPUTED_VALUE"""),"CB")</f>
        <v>CB</v>
      </c>
      <c r="G8229" t="str">
        <f>IFERROR(__xludf.DUMMYFUNCTION("""COMPUTED_VALUE"""),"")</f>
        <v/>
      </c>
    </row>
    <row r="8230">
      <c r="D8230" t="str">
        <f>IFERROR(__xludf.DUMMYFUNCTION("""COMPUTED_VALUE"""),"Kirk")</f>
        <v>Kirk</v>
      </c>
      <c r="E8230" t="str">
        <f>IFERROR(__xludf.DUMMYFUNCTION("""COMPUTED_VALUE"""),"Christian")</f>
        <v>Christian</v>
      </c>
      <c r="F8230" t="str">
        <f>IFERROR(__xludf.DUMMYFUNCTION("""COMPUTED_VALUE"""),"WR")</f>
        <v>WR</v>
      </c>
      <c r="G8230" t="str">
        <f>IFERROR(__xludf.DUMMYFUNCTION("""COMPUTED_VALUE"""),"")</f>
        <v/>
      </c>
    </row>
    <row r="8231">
      <c r="D8231" t="str">
        <f>IFERROR(__xludf.DUMMYFUNCTION("""COMPUTED_VALUE"""),"Kirkland")</f>
        <v>Kirkland</v>
      </c>
      <c r="E8231" t="str">
        <f>IFERROR(__xludf.DUMMYFUNCTION("""COMPUTED_VALUE"""),"Denver")</f>
        <v>Denver</v>
      </c>
      <c r="F8231" t="str">
        <f>IFERROR(__xludf.DUMMYFUNCTION("""COMPUTED_VALUE"""),"RG")</f>
        <v>RG</v>
      </c>
      <c r="G8231" t="str">
        <f>IFERROR(__xludf.DUMMYFUNCTION("""COMPUTED_VALUE"""),"")</f>
        <v/>
      </c>
    </row>
    <row r="8232">
      <c r="D8232" t="str">
        <f>IFERROR(__xludf.DUMMYFUNCTION("""COMPUTED_VALUE"""),"Kirkpatrick")</f>
        <v>Kirkpatrick</v>
      </c>
      <c r="E8232" t="str">
        <f>IFERROR(__xludf.DUMMYFUNCTION("""COMPUTED_VALUE"""),"Dre")</f>
        <v>Dre</v>
      </c>
      <c r="F8232" t="str">
        <f>IFERROR(__xludf.DUMMYFUNCTION("""COMPUTED_VALUE"""),"CB")</f>
        <v>CB</v>
      </c>
      <c r="G8232" t="str">
        <f>IFERROR(__xludf.DUMMYFUNCTION("""COMPUTED_VALUE"""),"")</f>
        <v/>
      </c>
    </row>
    <row r="8233">
      <c r="D8233" t="str">
        <f>IFERROR(__xludf.DUMMYFUNCTION("""COMPUTED_VALUE"""),"Kirksey")</f>
        <v>Kirksey</v>
      </c>
      <c r="E8233" t="str">
        <f>IFERROR(__xludf.DUMMYFUNCTION("""COMPUTED_VALUE"""),"Christian")</f>
        <v>Christian</v>
      </c>
      <c r="F8233" t="str">
        <f>IFERROR(__xludf.DUMMYFUNCTION("""COMPUTED_VALUE"""),"ROLB")</f>
        <v>ROLB</v>
      </c>
      <c r="G8233" t="str">
        <f>IFERROR(__xludf.DUMMYFUNCTION("""COMPUTED_VALUE"""),"")</f>
        <v/>
      </c>
    </row>
    <row r="8234">
      <c r="D8234" t="str">
        <f>IFERROR(__xludf.DUMMYFUNCTION("""COMPUTED_VALUE"""),"Kirkwood")</f>
        <v>Kirkwood</v>
      </c>
      <c r="E8234" t="str">
        <f>IFERROR(__xludf.DUMMYFUNCTION("""COMPUTED_VALUE"""),"Keith")</f>
        <v>Keith</v>
      </c>
      <c r="F8234" t="str">
        <f>IFERROR(__xludf.DUMMYFUNCTION("""COMPUTED_VALUE"""),"WR")</f>
        <v>WR</v>
      </c>
      <c r="G8234" t="str">
        <f>IFERROR(__xludf.DUMMYFUNCTION("""COMPUTED_VALUE"""),"")</f>
        <v/>
      </c>
    </row>
    <row r="8235">
      <c r="D8235" t="str">
        <f>IFERROR(__xludf.DUMMYFUNCTION("""COMPUTED_VALUE"""),"Kiser")</f>
        <v>Kiser</v>
      </c>
      <c r="E8235" t="str">
        <f>IFERROR(__xludf.DUMMYFUNCTION("""COMPUTED_VALUE"""),"Micah")</f>
        <v>Micah</v>
      </c>
      <c r="F8235" t="str">
        <f>IFERROR(__xludf.DUMMYFUNCTION("""COMPUTED_VALUE"""),"MLB")</f>
        <v>MLB</v>
      </c>
      <c r="G8235" t="str">
        <f>IFERROR(__xludf.DUMMYFUNCTION("""COMPUTED_VALUE"""),"")</f>
        <v/>
      </c>
    </row>
    <row r="8236">
      <c r="D8236" t="str">
        <f>IFERROR(__xludf.DUMMYFUNCTION("""COMPUTED_VALUE"""),"Kittle")</f>
        <v>Kittle</v>
      </c>
      <c r="E8236" t="str">
        <f>IFERROR(__xludf.DUMMYFUNCTION("""COMPUTED_VALUE"""),"George")</f>
        <v>George</v>
      </c>
      <c r="F8236" t="str">
        <f>IFERROR(__xludf.DUMMYFUNCTION("""COMPUTED_VALUE"""),"TE")</f>
        <v>TE</v>
      </c>
      <c r="G8236" t="str">
        <f>IFERROR(__xludf.DUMMYFUNCTION("""COMPUTED_VALUE"""),"")</f>
        <v/>
      </c>
    </row>
    <row r="8237">
      <c r="D8237" t="str">
        <f>IFERROR(__xludf.DUMMYFUNCTION("""COMPUTED_VALUE"""),"Kizer")</f>
        <v>Kizer</v>
      </c>
      <c r="E8237" t="str">
        <f>IFERROR(__xludf.DUMMYFUNCTION("""COMPUTED_VALUE"""),"DeShone")</f>
        <v>DeShone</v>
      </c>
      <c r="F8237" t="str">
        <f>IFERROR(__xludf.DUMMYFUNCTION("""COMPUTED_VALUE"""),"QB")</f>
        <v>QB</v>
      </c>
      <c r="G8237" t="str">
        <f>IFERROR(__xludf.DUMMYFUNCTION("""COMPUTED_VALUE"""),"")</f>
        <v/>
      </c>
    </row>
    <row r="8238">
      <c r="D8238" t="str">
        <f>IFERROR(__xludf.DUMMYFUNCTION("""COMPUTED_VALUE"""),"Klein")</f>
        <v>Klein</v>
      </c>
      <c r="E8238" t="str">
        <f>IFERROR(__xludf.DUMMYFUNCTION("""COMPUTED_VALUE"""),"AJ")</f>
        <v>AJ</v>
      </c>
      <c r="F8238" t="str">
        <f>IFERROR(__xludf.DUMMYFUNCTION("""COMPUTED_VALUE"""),"LOLB")</f>
        <v>LOLB</v>
      </c>
      <c r="G8238" t="str">
        <f>IFERROR(__xludf.DUMMYFUNCTION("""COMPUTED_VALUE"""),"")</f>
        <v/>
      </c>
    </row>
    <row r="8239">
      <c r="D8239" t="str">
        <f>IFERROR(__xludf.DUMMYFUNCTION("""COMPUTED_VALUE"""),"Kline")</f>
        <v>Kline</v>
      </c>
      <c r="E8239" t="str">
        <f>IFERROR(__xludf.DUMMYFUNCTION("""COMPUTED_VALUE"""),"Josh")</f>
        <v>Josh</v>
      </c>
      <c r="F8239" t="str">
        <f>IFERROR(__xludf.DUMMYFUNCTION("""COMPUTED_VALUE"""),"RG")</f>
        <v>RG</v>
      </c>
      <c r="G8239" t="str">
        <f>IFERROR(__xludf.DUMMYFUNCTION("""COMPUTED_VALUE"""),"")</f>
        <v/>
      </c>
    </row>
    <row r="8240">
      <c r="D8240" t="str">
        <f>IFERROR(__xludf.DUMMYFUNCTION("""COMPUTED_VALUE"""),"Knight")</f>
        <v>Knight</v>
      </c>
      <c r="E8240" t="str">
        <f>IFERROR(__xludf.DUMMYFUNCTION("""COMPUTED_VALUE"""),"Brandon")</f>
        <v>Brandon</v>
      </c>
      <c r="F8240" t="str">
        <f>IFERROR(__xludf.DUMMYFUNCTION("""COMPUTED_VALUE"""),"RT")</f>
        <v>RT</v>
      </c>
      <c r="G8240" t="str">
        <f>IFERROR(__xludf.DUMMYFUNCTION("""COMPUTED_VALUE"""),"")</f>
        <v/>
      </c>
    </row>
    <row r="8241">
      <c r="D8241" t="str">
        <f>IFERROR(__xludf.DUMMYFUNCTION("""COMPUTED_VALUE"""),"Knox")</f>
        <v>Knox</v>
      </c>
      <c r="E8241" t="str">
        <f>IFERROR(__xludf.DUMMYFUNCTION("""COMPUTED_VALUE"""),"Dawson")</f>
        <v>Dawson</v>
      </c>
      <c r="F8241" t="str">
        <f>IFERROR(__xludf.DUMMYFUNCTION("""COMPUTED_VALUE"""),"TE")</f>
        <v>TE</v>
      </c>
      <c r="G8241" t="str">
        <f>IFERROR(__xludf.DUMMYFUNCTION("""COMPUTED_VALUE"""),"")</f>
        <v/>
      </c>
    </row>
    <row r="8242">
      <c r="D8242" t="str">
        <f>IFERROR(__xludf.DUMMYFUNCTION("""COMPUTED_VALUE"""),"Koch")</f>
        <v>Koch</v>
      </c>
      <c r="E8242" t="str">
        <f>IFERROR(__xludf.DUMMYFUNCTION("""COMPUTED_VALUE"""),"Sam")</f>
        <v>Sam</v>
      </c>
      <c r="F8242" t="str">
        <f>IFERROR(__xludf.DUMMYFUNCTION("""COMPUTED_VALUE"""),"P")</f>
        <v>P</v>
      </c>
      <c r="G8242" t="str">
        <f>IFERROR(__xludf.DUMMYFUNCTION("""COMPUTED_VALUE"""),"")</f>
        <v/>
      </c>
    </row>
    <row r="8243">
      <c r="D8243" t="str">
        <f>IFERROR(__xludf.DUMMYFUNCTION("""COMPUTED_VALUE"""),"Koloamatangi")</f>
        <v>Koloamatangi</v>
      </c>
      <c r="E8243" t="str">
        <f>IFERROR(__xludf.DUMMYFUNCTION("""COMPUTED_VALUE"""),"Leo")</f>
        <v>Leo</v>
      </c>
      <c r="F8243" t="str">
        <f>IFERROR(__xludf.DUMMYFUNCTION("""COMPUTED_VALUE"""),"C")</f>
        <v>C</v>
      </c>
      <c r="G8243" t="str">
        <f>IFERROR(__xludf.DUMMYFUNCTION("""COMPUTED_VALUE"""),"")</f>
        <v/>
      </c>
    </row>
    <row r="8244">
      <c r="D8244" t="str">
        <f>IFERROR(__xludf.DUMMYFUNCTION("""COMPUTED_VALUE"""),"Kolone")</f>
        <v>Kolone</v>
      </c>
      <c r="E8244" t="str">
        <f>IFERROR(__xludf.DUMMYFUNCTION("""COMPUTED_VALUE"""),"Jeremiah")</f>
        <v>Jeremiah</v>
      </c>
      <c r="F8244" t="str">
        <f>IFERROR(__xludf.DUMMYFUNCTION("""COMPUTED_VALUE"""),"LG")</f>
        <v>LG</v>
      </c>
      <c r="G8244" t="str">
        <f>IFERROR(__xludf.DUMMYFUNCTION("""COMPUTED_VALUE"""),"")</f>
        <v/>
      </c>
    </row>
    <row r="8245">
      <c r="D8245" t="str">
        <f>IFERROR(__xludf.DUMMYFUNCTION("""COMPUTED_VALUE"""),"Koyack")</f>
        <v>Koyack</v>
      </c>
      <c r="E8245" t="str">
        <f>IFERROR(__xludf.DUMMYFUNCTION("""COMPUTED_VALUE"""),"Ben")</f>
        <v>Ben</v>
      </c>
      <c r="F8245" t="str">
        <f>IFERROR(__xludf.DUMMYFUNCTION("""COMPUTED_VALUE"""),"TE")</f>
        <v>TE</v>
      </c>
      <c r="G8245" t="str">
        <f>IFERROR(__xludf.DUMMYFUNCTION("""COMPUTED_VALUE"""),"")</f>
        <v/>
      </c>
    </row>
    <row r="8246">
      <c r="D8246" t="str">
        <f>IFERROR(__xludf.DUMMYFUNCTION("""COMPUTED_VALUE"""),"Kpassagnon")</f>
        <v>Kpassagnon</v>
      </c>
      <c r="E8246" t="str">
        <f>IFERROR(__xludf.DUMMYFUNCTION("""COMPUTED_VALUE"""),"Tanoh")</f>
        <v>Tanoh</v>
      </c>
      <c r="F8246" t="str">
        <f>IFERROR(__xludf.DUMMYFUNCTION("""COMPUTED_VALUE"""),"RE")</f>
        <v>RE</v>
      </c>
      <c r="G8246" t="str">
        <f>IFERROR(__xludf.DUMMYFUNCTION("""COMPUTED_VALUE"""),"")</f>
        <v/>
      </c>
    </row>
    <row r="8247">
      <c r="D8247" t="str">
        <f>IFERROR(__xludf.DUMMYFUNCTION("""COMPUTED_VALUE"""),"Kreiter")</f>
        <v>Kreiter</v>
      </c>
      <c r="E8247" t="str">
        <f>IFERROR(__xludf.DUMMYFUNCTION("""COMPUTED_VALUE"""),"Casey")</f>
        <v>Casey</v>
      </c>
      <c r="F8247" t="str">
        <f>IFERROR(__xludf.DUMMYFUNCTION("""COMPUTED_VALUE"""),"TE")</f>
        <v>TE</v>
      </c>
      <c r="G8247" t="str">
        <f>IFERROR(__xludf.DUMMYFUNCTION("""COMPUTED_VALUE"""),"")</f>
        <v/>
      </c>
    </row>
    <row r="8248">
      <c r="D8248" t="str">
        <f>IFERROR(__xludf.DUMMYFUNCTION("""COMPUTED_VALUE"""),"Kroft")</f>
        <v>Kroft</v>
      </c>
      <c r="E8248" t="str">
        <f>IFERROR(__xludf.DUMMYFUNCTION("""COMPUTED_VALUE"""),"Tyler")</f>
        <v>Tyler</v>
      </c>
      <c r="F8248" t="str">
        <f>IFERROR(__xludf.DUMMYFUNCTION("""COMPUTED_VALUE"""),"TE")</f>
        <v>TE</v>
      </c>
      <c r="G8248" t="str">
        <f>IFERROR(__xludf.DUMMYFUNCTION("""COMPUTED_VALUE"""),"")</f>
        <v/>
      </c>
    </row>
    <row r="8249">
      <c r="D8249" t="str">
        <f>IFERROR(__xludf.DUMMYFUNCTION("""COMPUTED_VALUE"""),"Kuechly")</f>
        <v>Kuechly</v>
      </c>
      <c r="E8249" t="str">
        <f>IFERROR(__xludf.DUMMYFUNCTION("""COMPUTED_VALUE"""),"Luke")</f>
        <v>Luke</v>
      </c>
      <c r="F8249" t="str">
        <f>IFERROR(__xludf.DUMMYFUNCTION("""COMPUTED_VALUE"""),"MLB")</f>
        <v>MLB</v>
      </c>
      <c r="G8249" t="str">
        <f>IFERROR(__xludf.DUMMYFUNCTION("""COMPUTED_VALUE"""),"")</f>
        <v/>
      </c>
    </row>
    <row r="8250">
      <c r="D8250" t="str">
        <f>IFERROR(__xludf.DUMMYFUNCTION("""COMPUTED_VALUE"""),"Kumerow")</f>
        <v>Kumerow</v>
      </c>
      <c r="E8250" t="str">
        <f>IFERROR(__xludf.DUMMYFUNCTION("""COMPUTED_VALUE"""),"Jake")</f>
        <v>Jake</v>
      </c>
      <c r="F8250" t="str">
        <f>IFERROR(__xludf.DUMMYFUNCTION("""COMPUTED_VALUE"""),"WR")</f>
        <v>WR</v>
      </c>
      <c r="G8250" t="str">
        <f>IFERROR(__xludf.DUMMYFUNCTION("""COMPUTED_VALUE"""),"")</f>
        <v/>
      </c>
    </row>
    <row r="8251">
      <c r="D8251" t="str">
        <f>IFERROR(__xludf.DUMMYFUNCTION("""COMPUTED_VALUE"""),"Kupp")</f>
        <v>Kupp</v>
      </c>
      <c r="E8251" t="str">
        <f>IFERROR(__xludf.DUMMYFUNCTION("""COMPUTED_VALUE"""),"Cooper")</f>
        <v>Cooper</v>
      </c>
      <c r="F8251" t="str">
        <f>IFERROR(__xludf.DUMMYFUNCTION("""COMPUTED_VALUE"""),"WR")</f>
        <v>WR</v>
      </c>
      <c r="G8251" t="str">
        <f>IFERROR(__xludf.DUMMYFUNCTION("""COMPUTED_VALUE"""),"")</f>
        <v/>
      </c>
    </row>
    <row r="8252">
      <c r="D8252" t="str">
        <f>IFERROR(__xludf.DUMMYFUNCTION("""COMPUTED_VALUE"""),"Kupp")</f>
        <v>Kupp</v>
      </c>
      <c r="E8252" t="str">
        <f>IFERROR(__xludf.DUMMYFUNCTION("""COMPUTED_VALUE"""),"Ketner")</f>
        <v>Ketner</v>
      </c>
      <c r="F8252" t="str">
        <f>IFERROR(__xludf.DUMMYFUNCTION("""COMPUTED_VALUE"""),"MLB")</f>
        <v>MLB</v>
      </c>
      <c r="G8252" t="str">
        <f>IFERROR(__xludf.DUMMYFUNCTION("""COMPUTED_VALUE"""),"")</f>
        <v/>
      </c>
    </row>
    <row r="8253">
      <c r="D8253" t="str">
        <f>IFERROR(__xludf.DUMMYFUNCTION("""COMPUTED_VALUE"""),"Kush")</f>
        <v>Kush</v>
      </c>
      <c r="E8253" t="str">
        <f>IFERROR(__xludf.DUMMYFUNCTION("""COMPUTED_VALUE"""),"Eric")</f>
        <v>Eric</v>
      </c>
      <c r="F8253" t="str">
        <f>IFERROR(__xludf.DUMMYFUNCTION("""COMPUTED_VALUE"""),"RG")</f>
        <v>RG</v>
      </c>
      <c r="G8253" t="str">
        <f>IFERROR(__xludf.DUMMYFUNCTION("""COMPUTED_VALUE"""),"")</f>
        <v/>
      </c>
    </row>
    <row r="8254">
      <c r="D8254" t="str">
        <f>IFERROR(__xludf.DUMMYFUNCTION("""COMPUTED_VALUE"""),"Kwiatkoski")</f>
        <v>Kwiatkoski</v>
      </c>
      <c r="E8254" t="str">
        <f>IFERROR(__xludf.DUMMYFUNCTION("""COMPUTED_VALUE"""),"Nick")</f>
        <v>Nick</v>
      </c>
      <c r="F8254" t="str">
        <f>IFERROR(__xludf.DUMMYFUNCTION("""COMPUTED_VALUE"""),"MLB")</f>
        <v>MLB</v>
      </c>
      <c r="G8254" t="str">
        <f>IFERROR(__xludf.DUMMYFUNCTION("""COMPUTED_VALUE"""),"")</f>
        <v/>
      </c>
    </row>
    <row r="8255">
      <c r="D8255" t="str">
        <f>IFERROR(__xludf.DUMMYFUNCTION("""COMPUTED_VALUE"""),"Lacey")</f>
        <v>Lacey</v>
      </c>
      <c r="E8255" t="str">
        <f>IFERROR(__xludf.DUMMYFUNCTION("""COMPUTED_VALUE"""),"Deon")</f>
        <v>Deon</v>
      </c>
      <c r="F8255" t="str">
        <f>IFERROR(__xludf.DUMMYFUNCTION("""COMPUTED_VALUE"""),"ROLB")</f>
        <v>ROLB</v>
      </c>
      <c r="G8255" t="str">
        <f>IFERROR(__xludf.DUMMYFUNCTION("""COMPUTED_VALUE"""),"")</f>
        <v/>
      </c>
    </row>
    <row r="8256">
      <c r="D8256" t="str">
        <f>IFERROR(__xludf.DUMMYFUNCTION("""COMPUTED_VALUE"""),"LaCosse")</f>
        <v>LaCosse</v>
      </c>
      <c r="E8256" t="str">
        <f>IFERROR(__xludf.DUMMYFUNCTION("""COMPUTED_VALUE"""),"Matt")</f>
        <v>Matt</v>
      </c>
      <c r="F8256" t="str">
        <f>IFERROR(__xludf.DUMMYFUNCTION("""COMPUTED_VALUE"""),"TE")</f>
        <v>TE</v>
      </c>
      <c r="G8256" t="str">
        <f>IFERROR(__xludf.DUMMYFUNCTION("""COMPUTED_VALUE"""),"")</f>
        <v/>
      </c>
    </row>
    <row r="8257">
      <c r="D8257" t="str">
        <f>IFERROR(__xludf.DUMMYFUNCTION("""COMPUTED_VALUE"""),"Ladler")</f>
        <v>Ladler</v>
      </c>
      <c r="E8257" t="str">
        <f>IFERROR(__xludf.DUMMYFUNCTION("""COMPUTED_VALUE"""),"Kenny")</f>
        <v>Kenny</v>
      </c>
      <c r="F8257" t="str">
        <f>IFERROR(__xludf.DUMMYFUNCTION("""COMPUTED_VALUE"""),"SS")</f>
        <v>SS</v>
      </c>
      <c r="G8257" t="str">
        <f>IFERROR(__xludf.DUMMYFUNCTION("""COMPUTED_VALUE"""),"")</f>
        <v/>
      </c>
    </row>
    <row r="8258">
      <c r="D8258" t="str">
        <f>IFERROR(__xludf.DUMMYFUNCTION("""COMPUTED_VALUE"""),"LaDouceur")</f>
        <v>LaDouceur</v>
      </c>
      <c r="E8258" t="str">
        <f>IFERROR(__xludf.DUMMYFUNCTION("""COMPUTED_VALUE"""),"LP")</f>
        <v>LP</v>
      </c>
      <c r="F8258" t="str">
        <f>IFERROR(__xludf.DUMMYFUNCTION("""COMPUTED_VALUE"""),"TE")</f>
        <v>TE</v>
      </c>
      <c r="G8258" t="str">
        <f>IFERROR(__xludf.DUMMYFUNCTION("""COMPUTED_VALUE"""),"")</f>
        <v/>
      </c>
    </row>
    <row r="8259">
      <c r="D8259" t="str">
        <f>IFERROR(__xludf.DUMMYFUNCTION("""COMPUTED_VALUE"""),"Lamar")</f>
        <v>Lamar</v>
      </c>
      <c r="E8259" t="str">
        <f>IFERROR(__xludf.DUMMYFUNCTION("""COMPUTED_VALUE"""),"Tre")</f>
        <v>Tre</v>
      </c>
      <c r="F8259" t="str">
        <f>IFERROR(__xludf.DUMMYFUNCTION("""COMPUTED_VALUE"""),"MLB")</f>
        <v>MLB</v>
      </c>
      <c r="G8259" t="str">
        <f>IFERROR(__xludf.DUMMYFUNCTION("""COMPUTED_VALUE"""),"")</f>
        <v/>
      </c>
    </row>
    <row r="8260">
      <c r="D8260" t="str">
        <f>IFERROR(__xludf.DUMMYFUNCTION("""COMPUTED_VALUE"""),"Lambo")</f>
        <v>Lambo</v>
      </c>
      <c r="E8260" t="str">
        <f>IFERROR(__xludf.DUMMYFUNCTION("""COMPUTED_VALUE"""),"Josh")</f>
        <v>Josh</v>
      </c>
      <c r="F8260" t="str">
        <f>IFERROR(__xludf.DUMMYFUNCTION("""COMPUTED_VALUE"""),"K")</f>
        <v>K</v>
      </c>
      <c r="G8260" t="str">
        <f>IFERROR(__xludf.DUMMYFUNCTION("""COMPUTED_VALUE"""),"")</f>
        <v/>
      </c>
    </row>
    <row r="8261">
      <c r="D8261" t="str">
        <f>IFERROR(__xludf.DUMMYFUNCTION("""COMPUTED_VALUE"""),"Lamm")</f>
        <v>Lamm</v>
      </c>
      <c r="E8261" t="str">
        <f>IFERROR(__xludf.DUMMYFUNCTION("""COMPUTED_VALUE"""),"Kendall")</f>
        <v>Kendall</v>
      </c>
      <c r="F8261" t="str">
        <f>IFERROR(__xludf.DUMMYFUNCTION("""COMPUTED_VALUE"""),"RT")</f>
        <v>RT</v>
      </c>
      <c r="G8261" t="str">
        <f>IFERROR(__xludf.DUMMYFUNCTION("""COMPUTED_VALUE"""),"")</f>
        <v/>
      </c>
    </row>
    <row r="8262">
      <c r="D8262" t="str">
        <f>IFERROR(__xludf.DUMMYFUNCTION("""COMPUTED_VALUE"""),"Lammons")</f>
        <v>Lammons</v>
      </c>
      <c r="E8262" t="str">
        <f>IFERROR(__xludf.DUMMYFUNCTION("""COMPUTED_VALUE"""),"Chris")</f>
        <v>Chris</v>
      </c>
      <c r="F8262" t="str">
        <f>IFERROR(__xludf.DUMMYFUNCTION("""COMPUTED_VALUE"""),"SS")</f>
        <v>SS</v>
      </c>
      <c r="G8262" t="str">
        <f>IFERROR(__xludf.DUMMYFUNCTION("""COMPUTED_VALUE"""),"")</f>
        <v/>
      </c>
    </row>
    <row r="8263">
      <c r="D8263" t="str">
        <f>IFERROR(__xludf.DUMMYFUNCTION("""COMPUTED_VALUE"""),"Lamp")</f>
        <v>Lamp</v>
      </c>
      <c r="E8263" t="str">
        <f>IFERROR(__xludf.DUMMYFUNCTION("""COMPUTED_VALUE"""),"Forrest")</f>
        <v>Forrest</v>
      </c>
      <c r="F8263" t="str">
        <f>IFERROR(__xludf.DUMMYFUNCTION("""COMPUTED_VALUE"""),"RG")</f>
        <v>RG</v>
      </c>
      <c r="G8263" t="str">
        <f>IFERROR(__xludf.DUMMYFUNCTION("""COMPUTED_VALUE"""),"")</f>
        <v/>
      </c>
    </row>
    <row r="8264">
      <c r="D8264" t="str">
        <f>IFERROR(__xludf.DUMMYFUNCTION("""COMPUTED_VALUE"""),"Lancaster")</f>
        <v>Lancaster</v>
      </c>
      <c r="E8264" t="str">
        <f>IFERROR(__xludf.DUMMYFUNCTION("""COMPUTED_VALUE"""),"Tyler")</f>
        <v>Tyler</v>
      </c>
      <c r="F8264" t="str">
        <f>IFERROR(__xludf.DUMMYFUNCTION("""COMPUTED_VALUE"""),"DT")</f>
        <v>DT</v>
      </c>
      <c r="G8264" t="str">
        <f>IFERROR(__xludf.DUMMYFUNCTION("""COMPUTED_VALUE"""),"")</f>
        <v/>
      </c>
    </row>
    <row r="8265">
      <c r="D8265" t="str">
        <f>IFERROR(__xludf.DUMMYFUNCTION("""COMPUTED_VALUE"""),"Landrum")</f>
        <v>Landrum</v>
      </c>
      <c r="E8265" t="str">
        <f>IFERROR(__xludf.DUMMYFUNCTION("""COMPUTED_VALUE"""),"Chris")</f>
        <v>Chris</v>
      </c>
      <c r="F8265" t="str">
        <f>IFERROR(__xludf.DUMMYFUNCTION("""COMPUTED_VALUE"""),"ROLB")</f>
        <v>ROLB</v>
      </c>
      <c r="G8265" t="str">
        <f>IFERROR(__xludf.DUMMYFUNCTION("""COMPUTED_VALUE"""),"")</f>
        <v/>
      </c>
    </row>
    <row r="8266">
      <c r="D8266" t="str">
        <f>IFERROR(__xludf.DUMMYFUNCTION("""COMPUTED_VALUE"""),"Landry")</f>
        <v>Landry</v>
      </c>
      <c r="E8266" t="str">
        <f>IFERROR(__xludf.DUMMYFUNCTION("""COMPUTED_VALUE"""),"Harold")</f>
        <v>Harold</v>
      </c>
      <c r="F8266" t="str">
        <f>IFERROR(__xludf.DUMMYFUNCTION("""COMPUTED_VALUE"""),"ROLB")</f>
        <v>ROLB</v>
      </c>
      <c r="G8266" t="str">
        <f>IFERROR(__xludf.DUMMYFUNCTION("""COMPUTED_VALUE"""),"")</f>
        <v/>
      </c>
    </row>
    <row r="8267">
      <c r="D8267" t="str">
        <f>IFERROR(__xludf.DUMMYFUNCTION("""COMPUTED_VALUE"""),"Landry")</f>
        <v>Landry</v>
      </c>
      <c r="E8267" t="str">
        <f>IFERROR(__xludf.DUMMYFUNCTION("""COMPUTED_VALUE"""),"Jarvis")</f>
        <v>Jarvis</v>
      </c>
      <c r="F8267" t="str">
        <f>IFERROR(__xludf.DUMMYFUNCTION("""COMPUTED_VALUE"""),"WR")</f>
        <v>WR</v>
      </c>
      <c r="G8267" t="str">
        <f>IFERROR(__xludf.DUMMYFUNCTION("""COMPUTED_VALUE"""),"")</f>
        <v/>
      </c>
    </row>
    <row r="8268">
      <c r="D8268" t="str">
        <f>IFERROR(__xludf.DUMMYFUNCTION("""COMPUTED_VALUE"""),"Langford")</f>
        <v>Langford</v>
      </c>
      <c r="E8268" t="str">
        <f>IFERROR(__xludf.DUMMYFUNCTION("""COMPUTED_VALUE"""),"Jeremy")</f>
        <v>Jeremy</v>
      </c>
      <c r="F8268" t="str">
        <f>IFERROR(__xludf.DUMMYFUNCTION("""COMPUTED_VALUE"""),"HB")</f>
        <v>HB</v>
      </c>
      <c r="G8268" t="str">
        <f>IFERROR(__xludf.DUMMYFUNCTION("""COMPUTED_VALUE"""),"")</f>
        <v/>
      </c>
    </row>
    <row r="8269">
      <c r="D8269" t="str">
        <f>IFERROR(__xludf.DUMMYFUNCTION("""COMPUTED_VALUE"""),"Langi")</f>
        <v>Langi</v>
      </c>
      <c r="E8269" t="str">
        <f>IFERROR(__xludf.DUMMYFUNCTION("""COMPUTED_VALUE"""),"Harvey")</f>
        <v>Harvey</v>
      </c>
      <c r="F8269" t="str">
        <f>IFERROR(__xludf.DUMMYFUNCTION("""COMPUTED_VALUE"""),"MLB")</f>
        <v>MLB</v>
      </c>
      <c r="G8269" t="str">
        <f>IFERROR(__xludf.DUMMYFUNCTION("""COMPUTED_VALUE"""),"")</f>
        <v/>
      </c>
    </row>
    <row r="8270">
      <c r="D8270" t="str">
        <f>IFERROR(__xludf.DUMMYFUNCTION("""COMPUTED_VALUE"""),"Langley")</f>
        <v>Langley</v>
      </c>
      <c r="E8270" t="str">
        <f>IFERROR(__xludf.DUMMYFUNCTION("""COMPUTED_VALUE"""),"Brendan")</f>
        <v>Brendan</v>
      </c>
      <c r="F8270" t="str">
        <f>IFERROR(__xludf.DUMMYFUNCTION("""COMPUTED_VALUE"""),"WR")</f>
        <v>WR</v>
      </c>
      <c r="G8270" t="str">
        <f>IFERROR(__xludf.DUMMYFUNCTION("""COMPUTED_VALUE"""),"")</f>
        <v/>
      </c>
    </row>
    <row r="8271">
      <c r="D8271" t="str">
        <f>IFERROR(__xludf.DUMMYFUNCTION("""COMPUTED_VALUE"""),"Lanier")</f>
        <v>Lanier</v>
      </c>
      <c r="E8271" t="str">
        <f>IFERROR(__xludf.DUMMYFUNCTION("""COMPUTED_VALUE"""),"Anthony")</f>
        <v>Anthony</v>
      </c>
      <c r="F8271" t="str">
        <f>IFERROR(__xludf.DUMMYFUNCTION("""COMPUTED_VALUE"""),"RE")</f>
        <v>RE</v>
      </c>
      <c r="G8271" t="str">
        <f>IFERROR(__xludf.DUMMYFUNCTION("""COMPUTED_VALUE"""),"")</f>
        <v/>
      </c>
    </row>
    <row r="8272">
      <c r="D8272" t="str">
        <f>IFERROR(__xludf.DUMMYFUNCTION("""COMPUTED_VALUE"""),"LARey")</f>
        <v>LARey</v>
      </c>
      <c r="E8272" t="str">
        <f>IFERROR(__xludf.DUMMYFUNCTION("""COMPUTED_VALUE"""),"Jalen")</f>
        <v>Jalen</v>
      </c>
      <c r="F8272" t="str">
        <f>IFERROR(__xludf.DUMMYFUNCTION("""COMPUTED_VALUE"""),"CB")</f>
        <v>CB</v>
      </c>
      <c r="G8272" t="str">
        <f>IFERROR(__xludf.DUMMYFUNCTION("""COMPUTED_VALUE"""),"")</f>
        <v/>
      </c>
    </row>
    <row r="8273">
      <c r="D8273" t="str">
        <f>IFERROR(__xludf.DUMMYFUNCTION("""COMPUTED_VALUE"""),"Larsen")</f>
        <v>Larsen</v>
      </c>
      <c r="E8273" t="str">
        <f>IFERROR(__xludf.DUMMYFUNCTION("""COMPUTED_VALUE"""),"Ted")</f>
        <v>Ted</v>
      </c>
      <c r="F8273" t="str">
        <f>IFERROR(__xludf.DUMMYFUNCTION("""COMPUTED_VALUE"""),"LG")</f>
        <v>LG</v>
      </c>
      <c r="G8273" t="str">
        <f>IFERROR(__xludf.DUMMYFUNCTION("""COMPUTED_VALUE"""),"")</f>
        <v/>
      </c>
    </row>
    <row r="8274">
      <c r="D8274" t="str">
        <f>IFERROR(__xludf.DUMMYFUNCTION("""COMPUTED_VALUE"""),"Larsen")</f>
        <v>Larsen</v>
      </c>
      <c r="E8274" t="str">
        <f>IFERROR(__xludf.DUMMYFUNCTION("""COMPUTED_VALUE"""),"Tyler")</f>
        <v>Tyler</v>
      </c>
      <c r="F8274" t="str">
        <f>IFERROR(__xludf.DUMMYFUNCTION("""COMPUTED_VALUE"""),"C")</f>
        <v>C</v>
      </c>
      <c r="G8274" t="str">
        <f>IFERROR(__xludf.DUMMYFUNCTION("""COMPUTED_VALUE"""),"")</f>
        <v/>
      </c>
    </row>
    <row r="8275">
      <c r="D8275" t="str">
        <f>IFERROR(__xludf.DUMMYFUNCTION("""COMPUTED_VALUE"""),"Lasley")</f>
        <v>Lasley</v>
      </c>
      <c r="E8275" t="str">
        <f>IFERROR(__xludf.DUMMYFUNCTION("""COMPUTED_VALUE"""),"Jordan")</f>
        <v>Jordan</v>
      </c>
      <c r="F8275" t="str">
        <f>IFERROR(__xludf.DUMMYFUNCTION("""COMPUTED_VALUE"""),"WR")</f>
        <v>WR</v>
      </c>
      <c r="G8275" t="str">
        <f>IFERROR(__xludf.DUMMYFUNCTION("""COMPUTED_VALUE"""),"")</f>
        <v/>
      </c>
    </row>
    <row r="8276">
      <c r="D8276" t="str">
        <f>IFERROR(__xludf.DUMMYFUNCTION("""COMPUTED_VALUE"""),"Latimer")</f>
        <v>Latimer</v>
      </c>
      <c r="E8276" t="str">
        <f>IFERROR(__xludf.DUMMYFUNCTION("""COMPUTED_VALUE"""),"Cody")</f>
        <v>Cody</v>
      </c>
      <c r="F8276" t="str">
        <f>IFERROR(__xludf.DUMMYFUNCTION("""COMPUTED_VALUE"""),"WR")</f>
        <v>WR</v>
      </c>
      <c r="G8276" t="str">
        <f>IFERROR(__xludf.DUMMYFUNCTION("""COMPUTED_VALUE"""),"")</f>
        <v/>
      </c>
    </row>
    <row r="8277">
      <c r="D8277" t="str">
        <f>IFERROR(__xludf.DUMMYFUNCTION("""COMPUTED_VALUE"""),"Lattimore")</f>
        <v>Lattimore</v>
      </c>
      <c r="E8277" t="str">
        <f>IFERROR(__xludf.DUMMYFUNCTION("""COMPUTED_VALUE"""),"Marshon")</f>
        <v>Marshon</v>
      </c>
      <c r="F8277" t="str">
        <f>IFERROR(__xludf.DUMMYFUNCTION("""COMPUTED_VALUE"""),"CB")</f>
        <v>CB</v>
      </c>
      <c r="G8277" t="str">
        <f>IFERROR(__xludf.DUMMYFUNCTION("""COMPUTED_VALUE"""),"")</f>
        <v/>
      </c>
    </row>
    <row r="8278">
      <c r="D8278" t="str">
        <f>IFERROR(__xludf.DUMMYFUNCTION("""COMPUTED_VALUE"""),"Lauletta")</f>
        <v>Lauletta</v>
      </c>
      <c r="E8278" t="str">
        <f>IFERROR(__xludf.DUMMYFUNCTION("""COMPUTED_VALUE"""),"Kyle")</f>
        <v>Kyle</v>
      </c>
      <c r="F8278" t="str">
        <f>IFERROR(__xludf.DUMMYFUNCTION("""COMPUTED_VALUE"""),"QB")</f>
        <v>QB</v>
      </c>
      <c r="G8278" t="str">
        <f>IFERROR(__xludf.DUMMYFUNCTION("""COMPUTED_VALUE"""),"")</f>
        <v/>
      </c>
    </row>
    <row r="8279">
      <c r="D8279" t="str">
        <f>IFERROR(__xludf.DUMMYFUNCTION("""COMPUTED_VALUE"""),"Lawler")</f>
        <v>Lawler</v>
      </c>
      <c r="E8279" t="str">
        <f>IFERROR(__xludf.DUMMYFUNCTION("""COMPUTED_VALUE"""),"Justin")</f>
        <v>Justin</v>
      </c>
      <c r="F8279" t="str">
        <f>IFERROR(__xludf.DUMMYFUNCTION("""COMPUTED_VALUE"""),"LOLB")</f>
        <v>LOLB</v>
      </c>
      <c r="G8279" t="str">
        <f>IFERROR(__xludf.DUMMYFUNCTION("""COMPUTED_VALUE"""),"")</f>
        <v/>
      </c>
    </row>
    <row r="8280">
      <c r="D8280" t="str">
        <f>IFERROR(__xludf.DUMMYFUNCTION("""COMPUTED_VALUE"""),"Lawrence")</f>
        <v>Lawrence</v>
      </c>
      <c r="E8280" t="str">
        <f>IFERROR(__xludf.DUMMYFUNCTION("""COMPUTED_VALUE"""),"DeMarcus")</f>
        <v>DeMarcus</v>
      </c>
      <c r="F8280" t="str">
        <f>IFERROR(__xludf.DUMMYFUNCTION("""COMPUTED_VALUE"""),"LE")</f>
        <v>LE</v>
      </c>
      <c r="G8280" t="str">
        <f>IFERROR(__xludf.DUMMYFUNCTION("""COMPUTED_VALUE"""),"")</f>
        <v/>
      </c>
    </row>
    <row r="8281">
      <c r="D8281" t="str">
        <f>IFERROR(__xludf.DUMMYFUNCTION("""COMPUTED_VALUE"""),"Lawrence")</f>
        <v>Lawrence</v>
      </c>
      <c r="E8281" t="str">
        <f>IFERROR(__xludf.DUMMYFUNCTION("""COMPUTED_VALUE"""),"Devaroe")</f>
        <v>Devaroe</v>
      </c>
      <c r="F8281" t="str">
        <f>IFERROR(__xludf.DUMMYFUNCTION("""COMPUTED_VALUE"""),"DT")</f>
        <v>DT</v>
      </c>
      <c r="G8281" t="str">
        <f>IFERROR(__xludf.DUMMYFUNCTION("""COMPUTED_VALUE"""),"")</f>
        <v/>
      </c>
    </row>
    <row r="8282">
      <c r="D8282" t="str">
        <f>IFERROR(__xludf.DUMMYFUNCTION("""COMPUTED_VALUE"""),"Lawrence")</f>
        <v>Lawrence</v>
      </c>
      <c r="E8282" t="str">
        <f>IFERROR(__xludf.DUMMYFUNCTION("""COMPUTED_VALUE"""),"Dexter")</f>
        <v>Dexter</v>
      </c>
      <c r="F8282" t="str">
        <f>IFERROR(__xludf.DUMMYFUNCTION("""COMPUTED_VALUE"""),"DT")</f>
        <v>DT</v>
      </c>
      <c r="G8282" t="str">
        <f>IFERROR(__xludf.DUMMYFUNCTION("""COMPUTED_VALUE"""),"")</f>
        <v/>
      </c>
    </row>
    <row r="8283">
      <c r="D8283" t="str">
        <f>IFERROR(__xludf.DUMMYFUNCTION("""COMPUTED_VALUE"""),"Lawson")</f>
        <v>Lawson</v>
      </c>
      <c r="E8283" t="str">
        <f>IFERROR(__xludf.DUMMYFUNCTION("""COMPUTED_VALUE"""),"Carl")</f>
        <v>Carl</v>
      </c>
      <c r="F8283" t="str">
        <f>IFERROR(__xludf.DUMMYFUNCTION("""COMPUTED_VALUE"""),"RE")</f>
        <v>RE</v>
      </c>
      <c r="G8283" t="str">
        <f>IFERROR(__xludf.DUMMYFUNCTION("""COMPUTED_VALUE"""),"")</f>
        <v/>
      </c>
    </row>
    <row r="8284">
      <c r="D8284" t="str">
        <f>IFERROR(__xludf.DUMMYFUNCTION("""COMPUTED_VALUE"""),"Lawson")</f>
        <v>Lawson</v>
      </c>
      <c r="E8284" t="str">
        <f>IFERROR(__xludf.DUMMYFUNCTION("""COMPUTED_VALUE"""),"Nevin")</f>
        <v>Nevin</v>
      </c>
      <c r="F8284" t="str">
        <f>IFERROR(__xludf.DUMMYFUNCTION("""COMPUTED_VALUE"""),"CB")</f>
        <v>CB</v>
      </c>
      <c r="G8284" t="str">
        <f>IFERROR(__xludf.DUMMYFUNCTION("""COMPUTED_VALUE"""),"")</f>
        <v/>
      </c>
    </row>
    <row r="8285">
      <c r="D8285" t="str">
        <f>IFERROR(__xludf.DUMMYFUNCTION("""COMPUTED_VALUE"""),"Lawson")</f>
        <v>Lawson</v>
      </c>
      <c r="E8285" t="str">
        <f>IFERROR(__xludf.DUMMYFUNCTION("""COMPUTED_VALUE"""),"Shaq")</f>
        <v>Shaq</v>
      </c>
      <c r="F8285" t="str">
        <f>IFERROR(__xludf.DUMMYFUNCTION("""COMPUTED_VALUE"""),"LE")</f>
        <v>LE</v>
      </c>
      <c r="G8285" t="str">
        <f>IFERROR(__xludf.DUMMYFUNCTION("""COMPUTED_VALUE"""),"")</f>
        <v/>
      </c>
    </row>
    <row r="8286">
      <c r="D8286" t="str">
        <f>IFERROR(__xludf.DUMMYFUNCTION("""COMPUTED_VALUE"""),"Layne")</f>
        <v>Layne</v>
      </c>
      <c r="E8286" t="str">
        <f>IFERROR(__xludf.DUMMYFUNCTION("""COMPUTED_VALUE"""),"Justin")</f>
        <v>Justin</v>
      </c>
      <c r="F8286" t="str">
        <f>IFERROR(__xludf.DUMMYFUNCTION("""COMPUTED_VALUE"""),"CB")</f>
        <v>CB</v>
      </c>
      <c r="G8286" t="str">
        <f>IFERROR(__xludf.DUMMYFUNCTION("""COMPUTED_VALUE"""),"")</f>
        <v/>
      </c>
    </row>
    <row r="8287">
      <c r="D8287" t="str">
        <f>IFERROR(__xludf.DUMMYFUNCTION("""COMPUTED_VALUE"""),"Lazard")</f>
        <v>Lazard</v>
      </c>
      <c r="E8287" t="str">
        <f>IFERROR(__xludf.DUMMYFUNCTION("""COMPUTED_VALUE"""),"Allen")</f>
        <v>Allen</v>
      </c>
      <c r="F8287" t="str">
        <f>IFERROR(__xludf.DUMMYFUNCTION("""COMPUTED_VALUE"""),"WR")</f>
        <v>WR</v>
      </c>
      <c r="G8287" t="str">
        <f>IFERROR(__xludf.DUMMYFUNCTION("""COMPUTED_VALUE"""),"")</f>
        <v/>
      </c>
    </row>
    <row r="8288">
      <c r="D8288" t="str">
        <f>IFERROR(__xludf.DUMMYFUNCTION("""COMPUTED_VALUE"""),"Leary")</f>
        <v>Leary</v>
      </c>
      <c r="E8288" t="str">
        <f>IFERROR(__xludf.DUMMYFUNCTION("""COMPUTED_VALUE"""),"Ron")</f>
        <v>Ron</v>
      </c>
      <c r="F8288" t="str">
        <f>IFERROR(__xludf.DUMMYFUNCTION("""COMPUTED_VALUE"""),"LG")</f>
        <v>LG</v>
      </c>
      <c r="G8288" t="str">
        <f>IFERROR(__xludf.DUMMYFUNCTION("""COMPUTED_VALUE"""),"")</f>
        <v/>
      </c>
    </row>
    <row r="8289">
      <c r="D8289" t="str">
        <f>IFERROR(__xludf.DUMMYFUNCTION("""COMPUTED_VALUE"""),"Leavitt")</f>
        <v>Leavitt</v>
      </c>
      <c r="E8289" t="str">
        <f>IFERROR(__xludf.DUMMYFUNCTION("""COMPUTED_VALUE"""),"Dallin")</f>
        <v>Dallin</v>
      </c>
      <c r="F8289" t="str">
        <f>IFERROR(__xludf.DUMMYFUNCTION("""COMPUTED_VALUE"""),"SS")</f>
        <v>SS</v>
      </c>
      <c r="G8289" t="str">
        <f>IFERROR(__xludf.DUMMYFUNCTION("""COMPUTED_VALUE"""),"")</f>
        <v/>
      </c>
    </row>
    <row r="8290">
      <c r="D8290" t="str">
        <f>IFERROR(__xludf.DUMMYFUNCTION("""COMPUTED_VALUE"""),"LeBlanc")</f>
        <v>LeBlanc</v>
      </c>
      <c r="E8290" t="str">
        <f>IFERROR(__xludf.DUMMYFUNCTION("""COMPUTED_VALUE"""),"CreVon")</f>
        <v>CreVon</v>
      </c>
      <c r="F8290" t="str">
        <f>IFERROR(__xludf.DUMMYFUNCTION("""COMPUTED_VALUE"""),"CB")</f>
        <v>CB</v>
      </c>
      <c r="G8290" t="str">
        <f>IFERROR(__xludf.DUMMYFUNCTION("""COMPUTED_VALUE"""),"")</f>
        <v/>
      </c>
    </row>
    <row r="8291">
      <c r="D8291" t="str">
        <f>IFERROR(__xludf.DUMMYFUNCTION("""COMPUTED_VALUE"""),"Ledbetter")</f>
        <v>Ledbetter</v>
      </c>
      <c r="E8291" t="str">
        <f>IFERROR(__xludf.DUMMYFUNCTION("""COMPUTED_VALUE"""),"Jeremiah")</f>
        <v>Jeremiah</v>
      </c>
      <c r="F8291" t="str">
        <f>IFERROR(__xludf.DUMMYFUNCTION("""COMPUTED_VALUE"""),"RE")</f>
        <v>RE</v>
      </c>
      <c r="G8291" t="str">
        <f>IFERROR(__xludf.DUMMYFUNCTION("""COMPUTED_VALUE"""),"")</f>
        <v/>
      </c>
    </row>
    <row r="8292">
      <c r="D8292" t="str">
        <f>IFERROR(__xludf.DUMMYFUNCTION("""COMPUTED_VALUE"""),"Ledbetter")</f>
        <v>Ledbetter</v>
      </c>
      <c r="E8292" t="str">
        <f>IFERROR(__xludf.DUMMYFUNCTION("""COMPUTED_VALUE"""),"Jonathan")</f>
        <v>Jonathan</v>
      </c>
      <c r="F8292" t="str">
        <f>IFERROR(__xludf.DUMMYFUNCTION("""COMPUTED_VALUE"""),"LE")</f>
        <v>LE</v>
      </c>
      <c r="G8292" t="str">
        <f>IFERROR(__xludf.DUMMYFUNCTION("""COMPUTED_VALUE"""),"")</f>
        <v/>
      </c>
    </row>
    <row r="8293">
      <c r="D8293" t="str">
        <f>IFERROR(__xludf.DUMMYFUNCTION("""COMPUTED_VALUE"""),"Lee")</f>
        <v>Lee</v>
      </c>
      <c r="E8293" t="str">
        <f>IFERROR(__xludf.DUMMYFUNCTION("""COMPUTED_VALUE"""),"Andy")</f>
        <v>Andy</v>
      </c>
      <c r="F8293" t="str">
        <f>IFERROR(__xludf.DUMMYFUNCTION("""COMPUTED_VALUE"""),"P")</f>
        <v>P</v>
      </c>
      <c r="G8293" t="str">
        <f>IFERROR(__xludf.DUMMYFUNCTION("""COMPUTED_VALUE"""),"")</f>
        <v/>
      </c>
    </row>
    <row r="8294">
      <c r="D8294" t="str">
        <f>IFERROR(__xludf.DUMMYFUNCTION("""COMPUTED_VALUE"""),"Lee")</f>
        <v>Lee</v>
      </c>
      <c r="E8294" t="str">
        <f>IFERROR(__xludf.DUMMYFUNCTION("""COMPUTED_VALUE"""),"Darron")</f>
        <v>Darron</v>
      </c>
      <c r="F8294" t="str">
        <f>IFERROR(__xludf.DUMMYFUNCTION("""COMPUTED_VALUE"""),"MLB")</f>
        <v>MLB</v>
      </c>
      <c r="G8294" t="str">
        <f>IFERROR(__xludf.DUMMYFUNCTION("""COMPUTED_VALUE"""),"")</f>
        <v/>
      </c>
    </row>
    <row r="8295">
      <c r="D8295" t="str">
        <f>IFERROR(__xludf.DUMMYFUNCTION("""COMPUTED_VALUE"""),"Lee")</f>
        <v>Lee</v>
      </c>
      <c r="E8295" t="str">
        <f>IFERROR(__xludf.DUMMYFUNCTION("""COMPUTED_VALUE"""),"Elijah")</f>
        <v>Elijah</v>
      </c>
      <c r="F8295" t="str">
        <f>IFERROR(__xludf.DUMMYFUNCTION("""COMPUTED_VALUE"""),"ROLB")</f>
        <v>ROLB</v>
      </c>
      <c r="G8295" t="str">
        <f>IFERROR(__xludf.DUMMYFUNCTION("""COMPUTED_VALUE"""),"")</f>
        <v/>
      </c>
    </row>
    <row r="8296">
      <c r="D8296" t="str">
        <f>IFERROR(__xludf.DUMMYFUNCTION("""COMPUTED_VALUE"""),"Lee")</f>
        <v>Lee</v>
      </c>
      <c r="E8296" t="str">
        <f>IFERROR(__xludf.DUMMYFUNCTION("""COMPUTED_VALUE"""),"Eric")</f>
        <v>Eric</v>
      </c>
      <c r="F8296" t="str">
        <f>IFERROR(__xludf.DUMMYFUNCTION("""COMPUTED_VALUE"""),"LE")</f>
        <v>LE</v>
      </c>
      <c r="G8296" t="str">
        <f>IFERROR(__xludf.DUMMYFUNCTION("""COMPUTED_VALUE"""),"")</f>
        <v/>
      </c>
    </row>
    <row r="8297">
      <c r="D8297" t="str">
        <f>IFERROR(__xludf.DUMMYFUNCTION("""COMPUTED_VALUE"""),"Lee")</f>
        <v>Lee</v>
      </c>
      <c r="E8297" t="str">
        <f>IFERROR(__xludf.DUMMYFUNCTION("""COMPUTED_VALUE"""),"Marqise")</f>
        <v>Marqise</v>
      </c>
      <c r="F8297" t="str">
        <f>IFERROR(__xludf.DUMMYFUNCTION("""COMPUTED_VALUE"""),"WR")</f>
        <v>WR</v>
      </c>
      <c r="G8297" t="str">
        <f>IFERROR(__xludf.DUMMYFUNCTION("""COMPUTED_VALUE"""),"")</f>
        <v/>
      </c>
    </row>
    <row r="8298">
      <c r="D8298" t="str">
        <f>IFERROR(__xludf.DUMMYFUNCTION("""COMPUTED_VALUE"""),"Lee")</f>
        <v>Lee</v>
      </c>
      <c r="E8298" t="str">
        <f>IFERROR(__xludf.DUMMYFUNCTION("""COMPUTED_VALUE"""),"Marquel")</f>
        <v>Marquel</v>
      </c>
      <c r="F8298" t="str">
        <f>IFERROR(__xludf.DUMMYFUNCTION("""COMPUTED_VALUE"""),"ROLB")</f>
        <v>ROLB</v>
      </c>
      <c r="G8298" t="str">
        <f>IFERROR(__xludf.DUMMYFUNCTION("""COMPUTED_VALUE"""),"")</f>
        <v/>
      </c>
    </row>
    <row r="8299">
      <c r="D8299" t="str">
        <f>IFERROR(__xludf.DUMMYFUNCTION("""COMPUTED_VALUE"""),"Lee")</f>
        <v>Lee</v>
      </c>
      <c r="E8299" t="str">
        <f>IFERROR(__xludf.DUMMYFUNCTION("""COMPUTED_VALUE"""),"Sean")</f>
        <v>Sean</v>
      </c>
      <c r="F8299" t="str">
        <f>IFERROR(__xludf.DUMMYFUNCTION("""COMPUTED_VALUE"""),"LOLB")</f>
        <v>LOLB</v>
      </c>
      <c r="G8299" t="str">
        <f>IFERROR(__xludf.DUMMYFUNCTION("""COMPUTED_VALUE"""),"")</f>
        <v/>
      </c>
    </row>
    <row r="8300">
      <c r="D8300" t="str">
        <f>IFERROR(__xludf.DUMMYFUNCTION("""COMPUTED_VALUE"""),"Lee")</f>
        <v>Lee</v>
      </c>
      <c r="E8300" t="str">
        <f>IFERROR(__xludf.DUMMYFUNCTION("""COMPUTED_VALUE"""),"Tanner")</f>
        <v>Tanner</v>
      </c>
      <c r="F8300" t="str">
        <f>IFERROR(__xludf.DUMMYFUNCTION("""COMPUTED_VALUE"""),"QB")</f>
        <v>QB</v>
      </c>
      <c r="G8300" t="str">
        <f>IFERROR(__xludf.DUMMYFUNCTION("""COMPUTED_VALUE"""),"")</f>
        <v/>
      </c>
    </row>
    <row r="8301">
      <c r="D8301" t="str">
        <f>IFERROR(__xludf.DUMMYFUNCTION("""COMPUTED_VALUE"""),"Leggett")</f>
        <v>Leggett</v>
      </c>
      <c r="E8301" t="str">
        <f>IFERROR(__xludf.DUMMYFUNCTION("""COMPUTED_VALUE"""),"Jordan")</f>
        <v>Jordan</v>
      </c>
      <c r="F8301" t="str">
        <f>IFERROR(__xludf.DUMMYFUNCTION("""COMPUTED_VALUE"""),"TE")</f>
        <v>TE</v>
      </c>
      <c r="G8301" t="str">
        <f>IFERROR(__xludf.DUMMYFUNCTION("""COMPUTED_VALUE"""),"")</f>
        <v/>
      </c>
    </row>
    <row r="8302">
      <c r="D8302" t="str">
        <f>IFERROR(__xludf.DUMMYFUNCTION("""COMPUTED_VALUE"""),"Leno")</f>
        <v>Leno</v>
      </c>
      <c r="E8302" t="str">
        <f>IFERROR(__xludf.DUMMYFUNCTION("""COMPUTED_VALUE"""),"Charles")</f>
        <v>Charles</v>
      </c>
      <c r="F8302" t="str">
        <f>IFERROR(__xludf.DUMMYFUNCTION("""COMPUTED_VALUE"""),"LT")</f>
        <v>LT</v>
      </c>
      <c r="G8302" t="str">
        <f>IFERROR(__xludf.DUMMYFUNCTION("""COMPUTED_VALUE"""),"")</f>
        <v/>
      </c>
    </row>
    <row r="8303">
      <c r="D8303" t="str">
        <f>IFERROR(__xludf.DUMMYFUNCTION("""COMPUTED_VALUE"""),"Lenoir")</f>
        <v>Lenoir</v>
      </c>
      <c r="E8303" t="str">
        <f>IFERROR(__xludf.DUMMYFUNCTION("""COMPUTED_VALUE"""),"Lance")</f>
        <v>Lance</v>
      </c>
      <c r="F8303" t="str">
        <f>IFERROR(__xludf.DUMMYFUNCTION("""COMPUTED_VALUE"""),"WR")</f>
        <v>WR</v>
      </c>
      <c r="G8303" t="str">
        <f>IFERROR(__xludf.DUMMYFUNCTION("""COMPUTED_VALUE"""),"")</f>
        <v/>
      </c>
    </row>
    <row r="8304">
      <c r="D8304" t="str">
        <f>IFERROR(__xludf.DUMMYFUNCTION("""COMPUTED_VALUE"""),"Leonard")</f>
        <v>Leonard</v>
      </c>
      <c r="E8304" t="str">
        <f>IFERROR(__xludf.DUMMYFUNCTION("""COMPUTED_VALUE"""),"Darius")</f>
        <v>Darius</v>
      </c>
      <c r="F8304" t="str">
        <f>IFERROR(__xludf.DUMMYFUNCTION("""COMPUTED_VALUE"""),"LOLB")</f>
        <v>LOLB</v>
      </c>
      <c r="G8304" t="str">
        <f>IFERROR(__xludf.DUMMYFUNCTION("""COMPUTED_VALUE"""),"")</f>
        <v/>
      </c>
    </row>
    <row r="8305">
      <c r="D8305" t="str">
        <f>IFERROR(__xludf.DUMMYFUNCTION("""COMPUTED_VALUE"""),"Leonard")</f>
        <v>Leonard</v>
      </c>
      <c r="E8305" t="str">
        <f>IFERROR(__xludf.DUMMYFUNCTION("""COMPUTED_VALUE"""),"Rick")</f>
        <v>Rick</v>
      </c>
      <c r="F8305" t="str">
        <f>IFERROR(__xludf.DUMMYFUNCTION("""COMPUTED_VALUE"""),"RT")</f>
        <v>RT</v>
      </c>
      <c r="G8305" t="str">
        <f>IFERROR(__xludf.DUMMYFUNCTION("""COMPUTED_VALUE"""),"")</f>
        <v/>
      </c>
    </row>
    <row r="8306">
      <c r="D8306" t="str">
        <f>IFERROR(__xludf.DUMMYFUNCTION("""COMPUTED_VALUE"""),"Levin")</f>
        <v>Levin</v>
      </c>
      <c r="E8306" t="str">
        <f>IFERROR(__xludf.DUMMYFUNCTION("""COMPUTED_VALUE"""),"Corey")</f>
        <v>Corey</v>
      </c>
      <c r="F8306" t="str">
        <f>IFERROR(__xludf.DUMMYFUNCTION("""COMPUTED_VALUE"""),"C")</f>
        <v>C</v>
      </c>
      <c r="G8306" t="str">
        <f>IFERROR(__xludf.DUMMYFUNCTION("""COMPUTED_VALUE"""),"")</f>
        <v/>
      </c>
    </row>
    <row r="8307">
      <c r="D8307" t="str">
        <f>IFERROR(__xludf.DUMMYFUNCTION("""COMPUTED_VALUE"""),"Levine")</f>
        <v>Levine</v>
      </c>
      <c r="E8307" t="str">
        <f>IFERROR(__xludf.DUMMYFUNCTION("""COMPUTED_VALUE"""),"Anthony")</f>
        <v>Anthony</v>
      </c>
      <c r="F8307" t="str">
        <f>IFERROR(__xludf.DUMMYFUNCTION("""COMPUTED_VALUE"""),"SS")</f>
        <v>SS</v>
      </c>
      <c r="G8307" t="str">
        <f>IFERROR(__xludf.DUMMYFUNCTION("""COMPUTED_VALUE"""),"")</f>
        <v/>
      </c>
    </row>
    <row r="8308">
      <c r="D8308" t="str">
        <f>IFERROR(__xludf.DUMMYFUNCTION("""COMPUTED_VALUE"""),"Lewan")</f>
        <v>Lewan</v>
      </c>
      <c r="E8308" t="str">
        <f>IFERROR(__xludf.DUMMYFUNCTION("""COMPUTED_VALUE"""),"Taylor")</f>
        <v>Taylor</v>
      </c>
      <c r="F8308" t="str">
        <f>IFERROR(__xludf.DUMMYFUNCTION("""COMPUTED_VALUE"""),"LT")</f>
        <v>LT</v>
      </c>
      <c r="G8308" t="str">
        <f>IFERROR(__xludf.DUMMYFUNCTION("""COMPUTED_VALUE"""),"")</f>
        <v/>
      </c>
    </row>
    <row r="8309">
      <c r="D8309" t="str">
        <f>IFERROR(__xludf.DUMMYFUNCTION("""COMPUTED_VALUE"""),"Lewis")</f>
        <v>Lewis</v>
      </c>
      <c r="E8309" t="str">
        <f>IFERROR(__xludf.DUMMYFUNCTION("""COMPUTED_VALUE"""),"Alex")</f>
        <v>Alex</v>
      </c>
      <c r="F8309" t="str">
        <f>IFERROR(__xludf.DUMMYFUNCTION("""COMPUTED_VALUE"""),"LG")</f>
        <v>LG</v>
      </c>
      <c r="G8309" t="str">
        <f>IFERROR(__xludf.DUMMYFUNCTION("""COMPUTED_VALUE"""),"")</f>
        <v/>
      </c>
    </row>
    <row r="8310">
      <c r="D8310" t="str">
        <f>IFERROR(__xludf.DUMMYFUNCTION("""COMPUTED_VALUE"""),"Lewis")</f>
        <v>Lewis</v>
      </c>
      <c r="E8310" t="str">
        <f>IFERROR(__xludf.DUMMYFUNCTION("""COMPUTED_VALUE"""),"Dion")</f>
        <v>Dion</v>
      </c>
      <c r="F8310" t="str">
        <f>IFERROR(__xludf.DUMMYFUNCTION("""COMPUTED_VALUE"""),"HB")</f>
        <v>HB</v>
      </c>
      <c r="G8310" t="str">
        <f>IFERROR(__xludf.DUMMYFUNCTION("""COMPUTED_VALUE"""),"")</f>
        <v/>
      </c>
    </row>
    <row r="8311">
      <c r="D8311" t="str">
        <f>IFERROR(__xludf.DUMMYFUNCTION("""COMPUTED_VALUE"""),"Lewis")</f>
        <v>Lewis</v>
      </c>
      <c r="E8311" t="str">
        <f>IFERROR(__xludf.DUMMYFUNCTION("""COMPUTED_VALUE"""),"Donnie")</f>
        <v>Donnie</v>
      </c>
      <c r="F8311" t="str">
        <f>IFERROR(__xludf.DUMMYFUNCTION("""COMPUTED_VALUE"""),"CB")</f>
        <v>CB</v>
      </c>
      <c r="G8311" t="str">
        <f>IFERROR(__xludf.DUMMYFUNCTION("""COMPUTED_VALUE"""),"")</f>
        <v/>
      </c>
    </row>
    <row r="8312">
      <c r="D8312" t="str">
        <f>IFERROR(__xludf.DUMMYFUNCTION("""COMPUTED_VALUE"""),"Lewis")</f>
        <v>Lewis</v>
      </c>
      <c r="E8312" t="str">
        <f>IFERROR(__xludf.DUMMYFUNCTION("""COMPUTED_VALUE"""),"Jourdan")</f>
        <v>Jourdan</v>
      </c>
      <c r="F8312" t="str">
        <f>IFERROR(__xludf.DUMMYFUNCTION("""COMPUTED_VALUE"""),"CB")</f>
        <v>CB</v>
      </c>
      <c r="G8312" t="str">
        <f>IFERROR(__xludf.DUMMYFUNCTION("""COMPUTED_VALUE"""),"")</f>
        <v/>
      </c>
    </row>
    <row r="8313">
      <c r="D8313" t="str">
        <f>IFERROR(__xludf.DUMMYFUNCTION("""COMPUTED_VALUE"""),"Lewis")</f>
        <v>Lewis</v>
      </c>
      <c r="E8313" t="str">
        <f>IFERROR(__xludf.DUMMYFUNCTION("""COMPUTED_VALUE"""),"LaTroy")</f>
        <v>LaTroy</v>
      </c>
      <c r="F8313" t="str">
        <f>IFERROR(__xludf.DUMMYFUNCTION("""COMPUTED_VALUE"""),"LOLB")</f>
        <v>LOLB</v>
      </c>
      <c r="G8313" t="str">
        <f>IFERROR(__xludf.DUMMYFUNCTION("""COMPUTED_VALUE"""),"")</f>
        <v/>
      </c>
    </row>
    <row r="8314">
      <c r="D8314" t="str">
        <f>IFERROR(__xludf.DUMMYFUNCTION("""COMPUTED_VALUE"""),"Lewis")</f>
        <v>Lewis</v>
      </c>
      <c r="E8314" t="str">
        <f>IFERROR(__xludf.DUMMYFUNCTION("""COMPUTED_VALUE"""),"Marcedes")</f>
        <v>Marcedes</v>
      </c>
      <c r="F8314" t="str">
        <f>IFERROR(__xludf.DUMMYFUNCTION("""COMPUTED_VALUE"""),"TE")</f>
        <v>TE</v>
      </c>
      <c r="G8314" t="str">
        <f>IFERROR(__xludf.DUMMYFUNCTION("""COMPUTED_VALUE"""),"")</f>
        <v/>
      </c>
    </row>
    <row r="8315">
      <c r="D8315" t="str">
        <f>IFERROR(__xludf.DUMMYFUNCTION("""COMPUTED_VALUE"""),"Lewis")</f>
        <v>Lewis</v>
      </c>
      <c r="E8315" t="str">
        <f>IFERROR(__xludf.DUMMYFUNCTION("""COMPUTED_VALUE"""),"Ryan")</f>
        <v>Ryan</v>
      </c>
      <c r="F8315" t="str">
        <f>IFERROR(__xludf.DUMMYFUNCTION("""COMPUTED_VALUE"""),"CB")</f>
        <v>CB</v>
      </c>
      <c r="G8315" t="str">
        <f>IFERROR(__xludf.DUMMYFUNCTION("""COMPUTED_VALUE"""),"")</f>
        <v/>
      </c>
    </row>
    <row r="8316">
      <c r="D8316" t="str">
        <f>IFERROR(__xludf.DUMMYFUNCTION("""COMPUTED_VALUE"""),"Lewis")</f>
        <v>Lewis</v>
      </c>
      <c r="E8316" t="str">
        <f>IFERROR(__xludf.DUMMYFUNCTION("""COMPUTED_VALUE"""),"Tommylee")</f>
        <v>Tommylee</v>
      </c>
      <c r="F8316" t="str">
        <f>IFERROR(__xludf.DUMMYFUNCTION("""COMPUTED_VALUE"""),"WR")</f>
        <v>WR</v>
      </c>
      <c r="G8316" t="str">
        <f>IFERROR(__xludf.DUMMYFUNCTION("""COMPUTED_VALUE"""),"")</f>
        <v/>
      </c>
    </row>
    <row r="8317">
      <c r="D8317" t="str">
        <f>IFERROR(__xludf.DUMMYFUNCTION("""COMPUTED_VALUE"""),"Lewis")</f>
        <v>Lewis</v>
      </c>
      <c r="E8317" t="str">
        <f>IFERROR(__xludf.DUMMYFUNCTION("""COMPUTED_VALUE"""),"Tyquan")</f>
        <v>Tyquan</v>
      </c>
      <c r="F8317" t="str">
        <f>IFERROR(__xludf.DUMMYFUNCTION("""COMPUTED_VALUE"""),"RE")</f>
        <v>RE</v>
      </c>
      <c r="G8317" t="str">
        <f>IFERROR(__xludf.DUMMYFUNCTION("""COMPUTED_VALUE"""),"")</f>
        <v/>
      </c>
    </row>
    <row r="8318">
      <c r="D8318" t="str">
        <f>IFERROR(__xludf.DUMMYFUNCTION("""COMPUTED_VALUE"""),"Lewis-Marshall")</f>
        <v>Lewis-Marshall</v>
      </c>
      <c r="E8318" t="str">
        <f>IFERROR(__xludf.DUMMYFUNCTION("""COMPUTED_VALUE"""),"Iman")</f>
        <v>Iman</v>
      </c>
      <c r="F8318" t="str">
        <f>IFERROR(__xludf.DUMMYFUNCTION("""COMPUTED_VALUE"""),"CB")</f>
        <v>CB</v>
      </c>
      <c r="G8318" t="str">
        <f>IFERROR(__xludf.DUMMYFUNCTION("""COMPUTED_VALUE"""),"")</f>
        <v/>
      </c>
    </row>
    <row r="8319">
      <c r="D8319" t="str">
        <f>IFERROR(__xludf.DUMMYFUNCTION("""COMPUTED_VALUE"""),"Lewis-Moore")</f>
        <v>Lewis-Moore</v>
      </c>
      <c r="E8319" t="str">
        <f>IFERROR(__xludf.DUMMYFUNCTION("""COMPUTED_VALUE"""),"Kapron")</f>
        <v>Kapron</v>
      </c>
      <c r="F8319" t="str">
        <f>IFERROR(__xludf.DUMMYFUNCTION("""COMPUTED_VALUE"""),"LE")</f>
        <v>LE</v>
      </c>
      <c r="G8319" t="str">
        <f>IFERROR(__xludf.DUMMYFUNCTION("""COMPUTED_VALUE"""),"")</f>
        <v/>
      </c>
    </row>
    <row r="8320">
      <c r="D8320" t="str">
        <f>IFERROR(__xludf.DUMMYFUNCTION("""COMPUTED_VALUE"""),"Liedtke")</f>
        <v>Liedtke</v>
      </c>
      <c r="E8320" t="str">
        <f>IFERROR(__xludf.DUMMYFUNCTION("""COMPUTED_VALUE"""),"Mike")</f>
        <v>Mike</v>
      </c>
      <c r="F8320" t="str">
        <f>IFERROR(__xludf.DUMMYFUNCTION("""COMPUTED_VALUE"""),"LG")</f>
        <v>LG</v>
      </c>
      <c r="G8320" t="str">
        <f>IFERROR(__xludf.DUMMYFUNCTION("""COMPUTED_VALUE"""),"")</f>
        <v/>
      </c>
    </row>
    <row r="8321">
      <c r="D8321" t="str">
        <f>IFERROR(__xludf.DUMMYFUNCTION("""COMPUTED_VALUE"""),"Liggins")</f>
        <v>Liggins</v>
      </c>
      <c r="E8321" t="str">
        <f>IFERROR(__xludf.DUMMYFUNCTION("""COMPUTED_VALUE"""),"Justice")</f>
        <v>Justice</v>
      </c>
      <c r="F8321" t="str">
        <f>IFERROR(__xludf.DUMMYFUNCTION("""COMPUTED_VALUE"""),"WR")</f>
        <v>WR</v>
      </c>
      <c r="G8321" t="str">
        <f>IFERROR(__xludf.DUMMYFUNCTION("""COMPUTED_VALUE"""),"")</f>
        <v/>
      </c>
    </row>
    <row r="8322">
      <c r="D8322" t="str">
        <f>IFERROR(__xludf.DUMMYFUNCTION("""COMPUTED_VALUE"""),"Light")</f>
        <v>Light</v>
      </c>
      <c r="E8322" t="str">
        <f>IFERROR(__xludf.DUMMYFUNCTION("""COMPUTED_VALUE"""),"Alex")</f>
        <v>Alex</v>
      </c>
      <c r="F8322" t="str">
        <f>IFERROR(__xludf.DUMMYFUNCTION("""COMPUTED_VALUE"""),"LT")</f>
        <v>LT</v>
      </c>
      <c r="G8322" t="str">
        <f>IFERROR(__xludf.DUMMYFUNCTION("""COMPUTED_VALUE"""),"")</f>
        <v/>
      </c>
    </row>
    <row r="8323">
      <c r="D8323" t="str">
        <f>IFERROR(__xludf.DUMMYFUNCTION("""COMPUTED_VALUE"""),"Linder")</f>
        <v>Linder</v>
      </c>
      <c r="E8323" t="str">
        <f>IFERROR(__xludf.DUMMYFUNCTION("""COMPUTED_VALUE"""),"Brandon")</f>
        <v>Brandon</v>
      </c>
      <c r="F8323" t="str">
        <f>IFERROR(__xludf.DUMMYFUNCTION("""COMPUTED_VALUE"""),"C")</f>
        <v>C</v>
      </c>
      <c r="G8323" t="str">
        <f>IFERROR(__xludf.DUMMYFUNCTION("""COMPUTED_VALUE"""),"")</f>
        <v/>
      </c>
    </row>
    <row r="8324">
      <c r="D8324" t="str">
        <f>IFERROR(__xludf.DUMMYFUNCTION("""COMPUTED_VALUE"""),"Lindsay")</f>
        <v>Lindsay</v>
      </c>
      <c r="E8324" t="str">
        <f>IFERROR(__xludf.DUMMYFUNCTION("""COMPUTED_VALUE"""),"Phillip")</f>
        <v>Phillip</v>
      </c>
      <c r="F8324" t="str">
        <f>IFERROR(__xludf.DUMMYFUNCTION("""COMPUTED_VALUE"""),"HB")</f>
        <v>HB</v>
      </c>
      <c r="G8324" t="str">
        <f>IFERROR(__xludf.DUMMYFUNCTION("""COMPUTED_VALUE"""),"")</f>
        <v/>
      </c>
    </row>
    <row r="8325">
      <c r="D8325" t="str">
        <f>IFERROR(__xludf.DUMMYFUNCTION("""COMPUTED_VALUE"""),"Lindstrom")</f>
        <v>Lindstrom</v>
      </c>
      <c r="E8325" t="str">
        <f>IFERROR(__xludf.DUMMYFUNCTION("""COMPUTED_VALUE"""),"Chris")</f>
        <v>Chris</v>
      </c>
      <c r="F8325" t="str">
        <f>IFERROR(__xludf.DUMMYFUNCTION("""COMPUTED_VALUE"""),"RG")</f>
        <v>RG</v>
      </c>
      <c r="G8325" t="str">
        <f>IFERROR(__xludf.DUMMYFUNCTION("""COMPUTED_VALUE"""),"")</f>
        <v/>
      </c>
    </row>
    <row r="8326">
      <c r="D8326" t="str">
        <f>IFERROR(__xludf.DUMMYFUNCTION("""COMPUTED_VALUE"""),"Line")</f>
        <v>Line</v>
      </c>
      <c r="E8326" t="str">
        <f>IFERROR(__xludf.DUMMYFUNCTION("""COMPUTED_VALUE"""),"Zach")</f>
        <v>Zach</v>
      </c>
      <c r="F8326" t="str">
        <f>IFERROR(__xludf.DUMMYFUNCTION("""COMPUTED_VALUE"""),"FB")</f>
        <v>FB</v>
      </c>
      <c r="G8326" t="str">
        <f>IFERROR(__xludf.DUMMYFUNCTION("""COMPUTED_VALUE"""),"")</f>
        <v/>
      </c>
    </row>
    <row r="8327">
      <c r="D8327" t="str">
        <f>IFERROR(__xludf.DUMMYFUNCTION("""COMPUTED_VALUE"""),"Linsley")</f>
        <v>Linsley</v>
      </c>
      <c r="E8327" t="str">
        <f>IFERROR(__xludf.DUMMYFUNCTION("""COMPUTED_VALUE"""),"Corey")</f>
        <v>Corey</v>
      </c>
      <c r="F8327" t="str">
        <f>IFERROR(__xludf.DUMMYFUNCTION("""COMPUTED_VALUE"""),"C")</f>
        <v>C</v>
      </c>
      <c r="G8327" t="str">
        <f>IFERROR(__xludf.DUMMYFUNCTION("""COMPUTED_VALUE"""),"")</f>
        <v/>
      </c>
    </row>
    <row r="8328">
      <c r="D8328" t="str">
        <f>IFERROR(__xludf.DUMMYFUNCTION("""COMPUTED_VALUE"""),"Lippett")</f>
        <v>Lippett</v>
      </c>
      <c r="E8328" t="str">
        <f>IFERROR(__xludf.DUMMYFUNCTION("""COMPUTED_VALUE"""),"Tony")</f>
        <v>Tony</v>
      </c>
      <c r="F8328" t="str">
        <f>IFERROR(__xludf.DUMMYFUNCTION("""COMPUTED_VALUE"""),"CB")</f>
        <v>CB</v>
      </c>
      <c r="G8328" t="str">
        <f>IFERROR(__xludf.DUMMYFUNCTION("""COMPUTED_VALUE"""),"")</f>
        <v/>
      </c>
    </row>
    <row r="8329">
      <c r="D8329" t="str">
        <f>IFERROR(__xludf.DUMMYFUNCTION("""COMPUTED_VALUE"""),"Little")</f>
        <v>Little</v>
      </c>
      <c r="E8329" t="str">
        <f>IFERROR(__xludf.DUMMYFUNCTION("""COMPUTED_VALUE"""),"Greg")</f>
        <v>Greg</v>
      </c>
      <c r="F8329" t="str">
        <f>IFERROR(__xludf.DUMMYFUNCTION("""COMPUTED_VALUE"""),"LT")</f>
        <v>LT</v>
      </c>
      <c r="G8329" t="str">
        <f>IFERROR(__xludf.DUMMYFUNCTION("""COMPUTED_VALUE"""),"")</f>
        <v/>
      </c>
    </row>
    <row r="8330">
      <c r="D8330" t="str">
        <f>IFERROR(__xludf.DUMMYFUNCTION("""COMPUTED_VALUE"""),"Littleton")</f>
        <v>Littleton</v>
      </c>
      <c r="E8330" t="str">
        <f>IFERROR(__xludf.DUMMYFUNCTION("""COMPUTED_VALUE"""),"Cory")</f>
        <v>Cory</v>
      </c>
      <c r="F8330" t="str">
        <f>IFERROR(__xludf.DUMMYFUNCTION("""COMPUTED_VALUE"""),"MLB")</f>
        <v>MLB</v>
      </c>
      <c r="G8330" t="str">
        <f>IFERROR(__xludf.DUMMYFUNCTION("""COMPUTED_VALUE"""),"")</f>
        <v/>
      </c>
    </row>
    <row r="8331">
      <c r="D8331" t="str">
        <f>IFERROR(__xludf.DUMMYFUNCTION("""COMPUTED_VALUE"""),"Litton")</f>
        <v>Litton</v>
      </c>
      <c r="E8331" t="str">
        <f>IFERROR(__xludf.DUMMYFUNCTION("""COMPUTED_VALUE"""),"Chase")</f>
        <v>Chase</v>
      </c>
      <c r="F8331" t="str">
        <f>IFERROR(__xludf.DUMMYFUNCTION("""COMPUTED_VALUE"""),"QB")</f>
        <v>QB</v>
      </c>
      <c r="G8331" t="str">
        <f>IFERROR(__xludf.DUMMYFUNCTION("""COMPUTED_VALUE"""),"")</f>
        <v/>
      </c>
    </row>
    <row r="8332">
      <c r="D8332" t="str">
        <f>IFERROR(__xludf.DUMMYFUNCTION("""COMPUTED_VALUE"""),"Lock")</f>
        <v>Lock</v>
      </c>
      <c r="E8332" t="str">
        <f>IFERROR(__xludf.DUMMYFUNCTION("""COMPUTED_VALUE"""),"Drew")</f>
        <v>Drew</v>
      </c>
      <c r="F8332" t="str">
        <f>IFERROR(__xludf.DUMMYFUNCTION("""COMPUTED_VALUE"""),"QB")</f>
        <v>QB</v>
      </c>
      <c r="G8332" t="str">
        <f>IFERROR(__xludf.DUMMYFUNCTION("""COMPUTED_VALUE"""),"")</f>
        <v/>
      </c>
    </row>
    <row r="8333">
      <c r="D8333" t="str">
        <f>IFERROR(__xludf.DUMMYFUNCTION("""COMPUTED_VALUE"""),"Lockett")</f>
        <v>Lockett</v>
      </c>
      <c r="E8333" t="str">
        <f>IFERROR(__xludf.DUMMYFUNCTION("""COMPUTED_VALUE"""),"Tyler")</f>
        <v>Tyler</v>
      </c>
      <c r="F8333" t="str">
        <f>IFERROR(__xludf.DUMMYFUNCTION("""COMPUTED_VALUE"""),"WR")</f>
        <v>WR</v>
      </c>
      <c r="G8333" t="str">
        <f>IFERROR(__xludf.DUMMYFUNCTION("""COMPUTED_VALUE"""),"")</f>
        <v/>
      </c>
    </row>
    <row r="8334">
      <c r="D8334" t="str">
        <f>IFERROR(__xludf.DUMMYFUNCTION("""COMPUTED_VALUE"""),"Lodge")</f>
        <v>Lodge</v>
      </c>
      <c r="E8334" t="str">
        <f>IFERROR(__xludf.DUMMYFUNCTION("""COMPUTED_VALUE"""),"DaMarkus")</f>
        <v>DaMarkus</v>
      </c>
      <c r="F8334" t="str">
        <f>IFERROR(__xludf.DUMMYFUNCTION("""COMPUTED_VALUE"""),"WR")</f>
        <v>WR</v>
      </c>
      <c r="G8334" t="str">
        <f>IFERROR(__xludf.DUMMYFUNCTION("""COMPUTED_VALUE"""),"")</f>
        <v/>
      </c>
    </row>
    <row r="8335">
      <c r="D8335" t="str">
        <f>IFERROR(__xludf.DUMMYFUNCTION("""COMPUTED_VALUE"""),"Loewen")</f>
        <v>Loewen</v>
      </c>
      <c r="E8335" t="str">
        <f>IFERROR(__xludf.DUMMYFUNCTION("""COMPUTED_VALUE"""),"Mitchell")</f>
        <v>Mitchell</v>
      </c>
      <c r="F8335" t="str">
        <f>IFERROR(__xludf.DUMMYFUNCTION("""COMPUTED_VALUE"""),"DT")</f>
        <v>DT</v>
      </c>
      <c r="G8335" t="str">
        <f>IFERROR(__xludf.DUMMYFUNCTION("""COMPUTED_VALUE"""),"")</f>
        <v/>
      </c>
    </row>
    <row r="8336">
      <c r="D8336" t="str">
        <f>IFERROR(__xludf.DUMMYFUNCTION("""COMPUTED_VALUE"""),"Logan")</f>
        <v>Logan</v>
      </c>
      <c r="E8336" t="str">
        <f>IFERROR(__xludf.DUMMYFUNCTION("""COMPUTED_VALUE"""),"TJ")</f>
        <v>TJ</v>
      </c>
      <c r="F8336" t="str">
        <f>IFERROR(__xludf.DUMMYFUNCTION("""COMPUTED_VALUE"""),"HB")</f>
        <v>HB</v>
      </c>
      <c r="G8336" t="str">
        <f>IFERROR(__xludf.DUMMYFUNCTION("""COMPUTED_VALUE"""),"")</f>
        <v/>
      </c>
    </row>
    <row r="8337">
      <c r="D8337" t="str">
        <f>IFERROR(__xludf.DUMMYFUNCTION("""COMPUTED_VALUE"""),"Long")</f>
        <v>Long</v>
      </c>
      <c r="E8337" t="str">
        <f>IFERROR(__xludf.DUMMYFUNCTION("""COMPUTED_VALUE"""),"David")</f>
        <v>David</v>
      </c>
      <c r="F8337" t="str">
        <f>IFERROR(__xludf.DUMMYFUNCTION("""COMPUTED_VALUE"""),"CB")</f>
        <v>CB</v>
      </c>
      <c r="G8337" t="str">
        <f>IFERROR(__xludf.DUMMYFUNCTION("""COMPUTED_VALUE"""),"")</f>
        <v/>
      </c>
    </row>
    <row r="8338">
      <c r="D8338" t="str">
        <f>IFERROR(__xludf.DUMMYFUNCTION("""COMPUTED_VALUE"""),"Long")</f>
        <v>Long</v>
      </c>
      <c r="E8338" t="str">
        <f>IFERROR(__xludf.DUMMYFUNCTION("""COMPUTED_VALUE"""),"David")</f>
        <v>David</v>
      </c>
      <c r="F8338" t="str">
        <f>IFERROR(__xludf.DUMMYFUNCTION("""COMPUTED_VALUE"""),"MLB")</f>
        <v>MLB</v>
      </c>
      <c r="G8338" t="str">
        <f>IFERROR(__xludf.DUMMYFUNCTION("""COMPUTED_VALUE"""),"")</f>
        <v/>
      </c>
    </row>
    <row r="8339">
      <c r="D8339" t="str">
        <f>IFERROR(__xludf.DUMMYFUNCTION("""COMPUTED_VALUE"""),"Long")</f>
        <v>Long</v>
      </c>
      <c r="E8339" t="str">
        <f>IFERROR(__xludf.DUMMYFUNCTION("""COMPUTED_VALUE"""),"Kyle")</f>
        <v>Kyle</v>
      </c>
      <c r="F8339" t="str">
        <f>IFERROR(__xludf.DUMMYFUNCTION("""COMPUTED_VALUE"""),"RG")</f>
        <v>RG</v>
      </c>
      <c r="G8339" t="str">
        <f>IFERROR(__xludf.DUMMYFUNCTION("""COMPUTED_VALUE"""),"")</f>
        <v/>
      </c>
    </row>
    <row r="8340">
      <c r="D8340" t="str">
        <f>IFERROR(__xludf.DUMMYFUNCTION("""COMPUTED_VALUE"""),"Long")</f>
        <v>Long</v>
      </c>
      <c r="E8340" t="str">
        <f>IFERROR(__xludf.DUMMYFUNCTION("""COMPUTED_VALUE"""),"Spencer")</f>
        <v>Spencer</v>
      </c>
      <c r="F8340" t="str">
        <f>IFERROR(__xludf.DUMMYFUNCTION("""COMPUTED_VALUE"""),"C")</f>
        <v>C</v>
      </c>
      <c r="G8340" t="str">
        <f>IFERROR(__xludf.DUMMYFUNCTION("""COMPUTED_VALUE"""),"")</f>
        <v/>
      </c>
    </row>
    <row r="8341">
      <c r="D8341" t="str">
        <f>IFERROR(__xludf.DUMMYFUNCTION("""COMPUTED_VALUE"""),"Long")</f>
        <v>Long</v>
      </c>
      <c r="E8341" t="str">
        <f>IFERROR(__xludf.DUMMYFUNCTION("""COMPUTED_VALUE"""),"Ty")</f>
        <v>Ty</v>
      </c>
      <c r="F8341" t="str">
        <f>IFERROR(__xludf.DUMMYFUNCTION("""COMPUTED_VALUE"""),"P")</f>
        <v>P</v>
      </c>
      <c r="G8341" t="str">
        <f>IFERROR(__xludf.DUMMYFUNCTION("""COMPUTED_VALUE"""),"")</f>
        <v/>
      </c>
    </row>
    <row r="8342">
      <c r="D8342" t="str">
        <f>IFERROR(__xludf.DUMMYFUNCTION("""COMPUTED_VALUE"""),"Longa")</f>
        <v>Longa</v>
      </c>
      <c r="E8342" t="str">
        <f>IFERROR(__xludf.DUMMYFUNCTION("""COMPUTED_VALUE"""),"Steve")</f>
        <v>Steve</v>
      </c>
      <c r="F8342" t="str">
        <f>IFERROR(__xludf.DUMMYFUNCTION("""COMPUTED_VALUE"""),"LOLB")</f>
        <v>LOLB</v>
      </c>
      <c r="G8342" t="str">
        <f>IFERROR(__xludf.DUMMYFUNCTION("""COMPUTED_VALUE"""),"")</f>
        <v/>
      </c>
    </row>
    <row r="8343">
      <c r="D8343" t="str">
        <f>IFERROR(__xludf.DUMMYFUNCTION("""COMPUTED_VALUE"""),"Looney")</f>
        <v>Looney</v>
      </c>
      <c r="E8343" t="str">
        <f>IFERROR(__xludf.DUMMYFUNCTION("""COMPUTED_VALUE"""),"James")</f>
        <v>James</v>
      </c>
      <c r="F8343" t="str">
        <f>IFERROR(__xludf.DUMMYFUNCTION("""COMPUTED_VALUE"""),"LE")</f>
        <v>LE</v>
      </c>
      <c r="G8343" t="str">
        <f>IFERROR(__xludf.DUMMYFUNCTION("""COMPUTED_VALUE"""),"")</f>
        <v/>
      </c>
    </row>
    <row r="8344">
      <c r="D8344" t="str">
        <f>IFERROR(__xludf.DUMMYFUNCTION("""COMPUTED_VALUE"""),"Looney")</f>
        <v>Looney</v>
      </c>
      <c r="E8344" t="str">
        <f>IFERROR(__xludf.DUMMYFUNCTION("""COMPUTED_VALUE"""),"Joe")</f>
        <v>Joe</v>
      </c>
      <c r="F8344" t="str">
        <f>IFERROR(__xludf.DUMMYFUNCTION("""COMPUTED_VALUE"""),"C")</f>
        <v>C</v>
      </c>
      <c r="G8344" t="str">
        <f>IFERROR(__xludf.DUMMYFUNCTION("""COMPUTED_VALUE"""),"")</f>
        <v/>
      </c>
    </row>
    <row r="8345">
      <c r="D8345" t="str">
        <f>IFERROR(__xludf.DUMMYFUNCTION("""COMPUTED_VALUE"""),"Lotulelei")</f>
        <v>Lotulelei</v>
      </c>
      <c r="E8345" t="str">
        <f>IFERROR(__xludf.DUMMYFUNCTION("""COMPUTED_VALUE"""),"Star")</f>
        <v>Star</v>
      </c>
      <c r="F8345" t="str">
        <f>IFERROR(__xludf.DUMMYFUNCTION("""COMPUTED_VALUE"""),"DT")</f>
        <v>DT</v>
      </c>
      <c r="G8345" t="str">
        <f>IFERROR(__xludf.DUMMYFUNCTION("""COMPUTED_VALUE"""),"")</f>
        <v/>
      </c>
    </row>
    <row r="8346">
      <c r="D8346" t="str">
        <f>IFERROR(__xludf.DUMMYFUNCTION("""COMPUTED_VALUE"""),"Louis")</f>
        <v>Louis</v>
      </c>
      <c r="E8346" t="str">
        <f>IFERROR(__xludf.DUMMYFUNCTION("""COMPUTED_VALUE"""),"Ricardo")</f>
        <v>Ricardo</v>
      </c>
      <c r="F8346" t="str">
        <f>IFERROR(__xludf.DUMMYFUNCTION("""COMPUTED_VALUE"""),"WR")</f>
        <v>WR</v>
      </c>
      <c r="G8346" t="str">
        <f>IFERROR(__xludf.DUMMYFUNCTION("""COMPUTED_VALUE"""),"")</f>
        <v/>
      </c>
    </row>
    <row r="8347">
      <c r="D8347" t="str">
        <f>IFERROR(__xludf.DUMMYFUNCTION("""COMPUTED_VALUE"""),"Lovato")</f>
        <v>Lovato</v>
      </c>
      <c r="E8347" t="str">
        <f>IFERROR(__xludf.DUMMYFUNCTION("""COMPUTED_VALUE"""),"Rick")</f>
        <v>Rick</v>
      </c>
      <c r="F8347" t="str">
        <f>IFERROR(__xludf.DUMMYFUNCTION("""COMPUTED_VALUE"""),"TE")</f>
        <v>TE</v>
      </c>
      <c r="G8347" t="str">
        <f>IFERROR(__xludf.DUMMYFUNCTION("""COMPUTED_VALUE"""),"")</f>
        <v/>
      </c>
    </row>
    <row r="8348">
      <c r="D8348" t="str">
        <f>IFERROR(__xludf.DUMMYFUNCTION("""COMPUTED_VALUE"""),"Love")</f>
        <v>Love</v>
      </c>
      <c r="E8348" t="str">
        <f>IFERROR(__xludf.DUMMYFUNCTION("""COMPUTED_VALUE"""),"Bryce")</f>
        <v>Bryce</v>
      </c>
      <c r="F8348" t="str">
        <f>IFERROR(__xludf.DUMMYFUNCTION("""COMPUTED_VALUE"""),"HB")</f>
        <v>HB</v>
      </c>
      <c r="G8348" t="str">
        <f>IFERROR(__xludf.DUMMYFUNCTION("""COMPUTED_VALUE"""),"")</f>
        <v/>
      </c>
    </row>
    <row r="8349">
      <c r="D8349" t="str">
        <f>IFERROR(__xludf.DUMMYFUNCTION("""COMPUTED_VALUE"""),"Love")</f>
        <v>Love</v>
      </c>
      <c r="E8349" t="str">
        <f>IFERROR(__xludf.DUMMYFUNCTION("""COMPUTED_VALUE"""),"Julian")</f>
        <v>Julian</v>
      </c>
      <c r="F8349" t="str">
        <f>IFERROR(__xludf.DUMMYFUNCTION("""COMPUTED_VALUE"""),"CB")</f>
        <v>CB</v>
      </c>
      <c r="G8349" t="str">
        <f>IFERROR(__xludf.DUMMYFUNCTION("""COMPUTED_VALUE"""),"")</f>
        <v/>
      </c>
    </row>
    <row r="8350">
      <c r="D8350" t="str">
        <f>IFERROR(__xludf.DUMMYFUNCTION("""COMPUTED_VALUE"""),"Love")</f>
        <v>Love</v>
      </c>
      <c r="E8350" t="str">
        <f>IFERROR(__xludf.DUMMYFUNCTION("""COMPUTED_VALUE"""),"Kyle")</f>
        <v>Kyle</v>
      </c>
      <c r="F8350" t="str">
        <f>IFERROR(__xludf.DUMMYFUNCTION("""COMPUTED_VALUE"""),"RE")</f>
        <v>RE</v>
      </c>
      <c r="G8350" t="str">
        <f>IFERROR(__xludf.DUMMYFUNCTION("""COMPUTED_VALUE"""),"")</f>
        <v/>
      </c>
    </row>
    <row r="8351">
      <c r="D8351" t="str">
        <f>IFERROR(__xludf.DUMMYFUNCTION("""COMPUTED_VALUE"""),"Love")</f>
        <v>Love</v>
      </c>
      <c r="E8351" t="str">
        <f>IFERROR(__xludf.DUMMYFUNCTION("""COMPUTED_VALUE"""),"Mike")</f>
        <v>Mike</v>
      </c>
      <c r="F8351" t="str">
        <f>IFERROR(__xludf.DUMMYFUNCTION("""COMPUTED_VALUE"""),"RE")</f>
        <v>RE</v>
      </c>
      <c r="G8351" t="str">
        <f>IFERROR(__xludf.DUMMYFUNCTION("""COMPUTED_VALUE"""),"")</f>
        <v/>
      </c>
    </row>
    <row r="8352">
      <c r="D8352" t="str">
        <f>IFERROR(__xludf.DUMMYFUNCTION("""COMPUTED_VALUE"""),"Lowry")</f>
        <v>Lowry</v>
      </c>
      <c r="E8352" t="str">
        <f>IFERROR(__xludf.DUMMYFUNCTION("""COMPUTED_VALUE"""),"Dean")</f>
        <v>Dean</v>
      </c>
      <c r="F8352" t="str">
        <f>IFERROR(__xludf.DUMMYFUNCTION("""COMPUTED_VALUE"""),"LE")</f>
        <v>LE</v>
      </c>
      <c r="G8352" t="str">
        <f>IFERROR(__xludf.DUMMYFUNCTION("""COMPUTED_VALUE"""),"")</f>
        <v/>
      </c>
    </row>
    <row r="8353">
      <c r="D8353" t="str">
        <f>IFERROR(__xludf.DUMMYFUNCTION("""COMPUTED_VALUE"""),"Luani")</f>
        <v>Luani</v>
      </c>
      <c r="E8353" t="str">
        <f>IFERROR(__xludf.DUMMYFUNCTION("""COMPUTED_VALUE"""),"Shalom")</f>
        <v>Shalom</v>
      </c>
      <c r="F8353" t="str">
        <f>IFERROR(__xludf.DUMMYFUNCTION("""COMPUTED_VALUE"""),"SS")</f>
        <v>SS</v>
      </c>
      <c r="G8353" t="str">
        <f>IFERROR(__xludf.DUMMYFUNCTION("""COMPUTED_VALUE"""),"")</f>
        <v/>
      </c>
    </row>
    <row r="8354">
      <c r="D8354" t="str">
        <f>IFERROR(__xludf.DUMMYFUNCTION("""COMPUTED_VALUE"""),"Lucas")</f>
        <v>Lucas</v>
      </c>
      <c r="E8354" t="str">
        <f>IFERROR(__xludf.DUMMYFUNCTION("""COMPUTED_VALUE"""),"Cornelius")</f>
        <v>Cornelius</v>
      </c>
      <c r="F8354" t="str">
        <f>IFERROR(__xludf.DUMMYFUNCTION("""COMPUTED_VALUE"""),"RT")</f>
        <v>RT</v>
      </c>
      <c r="G8354" t="str">
        <f>IFERROR(__xludf.DUMMYFUNCTION("""COMPUTED_VALUE"""),"")</f>
        <v/>
      </c>
    </row>
    <row r="8355">
      <c r="D8355" t="str">
        <f>IFERROR(__xludf.DUMMYFUNCTION("""COMPUTED_VALUE"""),"Lucas")</f>
        <v>Lucas</v>
      </c>
      <c r="E8355" t="str">
        <f>IFERROR(__xludf.DUMMYFUNCTION("""COMPUTED_VALUE"""),"Jordan")</f>
        <v>Jordan</v>
      </c>
      <c r="F8355" t="str">
        <f>IFERROR(__xludf.DUMMYFUNCTION("""COMPUTED_VALUE"""),"FS")</f>
        <v>FS</v>
      </c>
      <c r="G8355" t="str">
        <f>IFERROR(__xludf.DUMMYFUNCTION("""COMPUTED_VALUE"""),"")</f>
        <v/>
      </c>
    </row>
    <row r="8356">
      <c r="D8356" t="str">
        <f>IFERROR(__xludf.DUMMYFUNCTION("""COMPUTED_VALUE"""),"Luck")</f>
        <v>Luck</v>
      </c>
      <c r="E8356" t="str">
        <f>IFERROR(__xludf.DUMMYFUNCTION("""COMPUTED_VALUE"""),"Andrew")</f>
        <v>Andrew</v>
      </c>
      <c r="F8356" t="str">
        <f>IFERROR(__xludf.DUMMYFUNCTION("""COMPUTED_VALUE"""),"QB")</f>
        <v>QB</v>
      </c>
      <c r="G8356" t="str">
        <f>IFERROR(__xludf.DUMMYFUNCTION("""COMPUTED_VALUE"""),"")</f>
        <v/>
      </c>
    </row>
    <row r="8357">
      <c r="D8357" t="str">
        <f>IFERROR(__xludf.DUMMYFUNCTION("""COMPUTED_VALUE"""),"Luke")</f>
        <v>Luke</v>
      </c>
      <c r="E8357" t="str">
        <f>IFERROR(__xludf.DUMMYFUNCTION("""COMPUTED_VALUE"""),"Cole")</f>
        <v>Cole</v>
      </c>
      <c r="F8357" t="str">
        <f>IFERROR(__xludf.DUMMYFUNCTION("""COMPUTED_VALUE"""),"CB")</f>
        <v>CB</v>
      </c>
      <c r="G8357" t="str">
        <f>IFERROR(__xludf.DUMMYFUNCTION("""COMPUTED_VALUE"""),"")</f>
        <v/>
      </c>
    </row>
    <row r="8358">
      <c r="D8358" t="str">
        <f>IFERROR(__xludf.DUMMYFUNCTION("""COMPUTED_VALUE"""),"Lutz")</f>
        <v>Lutz</v>
      </c>
      <c r="E8358" t="str">
        <f>IFERROR(__xludf.DUMMYFUNCTION("""COMPUTED_VALUE"""),"Wil")</f>
        <v>Wil</v>
      </c>
      <c r="F8358" t="str">
        <f>IFERROR(__xludf.DUMMYFUNCTION("""COMPUTED_VALUE"""),"K")</f>
        <v>K</v>
      </c>
      <c r="G8358" t="str">
        <f>IFERROR(__xludf.DUMMYFUNCTION("""COMPUTED_VALUE"""),"")</f>
        <v/>
      </c>
    </row>
    <row r="8359">
      <c r="D8359" t="str">
        <f>IFERROR(__xludf.DUMMYFUNCTION("""COMPUTED_VALUE"""),"Luvu")</f>
        <v>Luvu</v>
      </c>
      <c r="E8359" t="str">
        <f>IFERROR(__xludf.DUMMYFUNCTION("""COMPUTED_VALUE"""),"Frankie")</f>
        <v>Frankie</v>
      </c>
      <c r="F8359" t="str">
        <f>IFERROR(__xludf.DUMMYFUNCTION("""COMPUTED_VALUE"""),"LOLB")</f>
        <v>LOLB</v>
      </c>
      <c r="G8359" t="str">
        <f>IFERROR(__xludf.DUMMYFUNCTION("""COMPUTED_VALUE"""),"")</f>
        <v/>
      </c>
    </row>
    <row r="8360">
      <c r="D8360" t="str">
        <f>IFERROR(__xludf.DUMMYFUNCTION("""COMPUTED_VALUE"""),"Lynch")</f>
        <v>Lynch</v>
      </c>
      <c r="E8360" t="str">
        <f>IFERROR(__xludf.DUMMYFUNCTION("""COMPUTED_VALUE"""),"Aaron")</f>
        <v>Aaron</v>
      </c>
      <c r="F8360" t="str">
        <f>IFERROR(__xludf.DUMMYFUNCTION("""COMPUTED_VALUE"""),"LOLB")</f>
        <v>LOLB</v>
      </c>
      <c r="G8360" t="str">
        <f>IFERROR(__xludf.DUMMYFUNCTION("""COMPUTED_VALUE"""),"")</f>
        <v/>
      </c>
    </row>
    <row r="8361">
      <c r="D8361" t="str">
        <f>IFERROR(__xludf.DUMMYFUNCTION("""COMPUTED_VALUE"""),"Lynch")</f>
        <v>Lynch</v>
      </c>
      <c r="E8361" t="str">
        <f>IFERROR(__xludf.DUMMYFUNCTION("""COMPUTED_VALUE"""),"Paxton")</f>
        <v>Paxton</v>
      </c>
      <c r="F8361" t="str">
        <f>IFERROR(__xludf.DUMMYFUNCTION("""COMPUTED_VALUE"""),"QB")</f>
        <v>QB</v>
      </c>
      <c r="G8361" t="str">
        <f>IFERROR(__xludf.DUMMYFUNCTION("""COMPUTED_VALUE"""),"")</f>
        <v/>
      </c>
    </row>
    <row r="8362">
      <c r="D8362" t="str">
        <f>IFERROR(__xludf.DUMMYFUNCTION("""COMPUTED_VALUE"""),"Mabin")</f>
        <v>Mabin</v>
      </c>
      <c r="E8362" t="str">
        <f>IFERROR(__xludf.DUMMYFUNCTION("""COMPUTED_VALUE"""),"Greg")</f>
        <v>Greg</v>
      </c>
      <c r="F8362" t="str">
        <f>IFERROR(__xludf.DUMMYFUNCTION("""COMPUTED_VALUE"""),"CB")</f>
        <v>CB</v>
      </c>
      <c r="G8362" t="str">
        <f>IFERROR(__xludf.DUMMYFUNCTION("""COMPUTED_VALUE"""),"")</f>
        <v/>
      </c>
    </row>
    <row r="8363">
      <c r="D8363" t="str">
        <f>IFERROR(__xludf.DUMMYFUNCTION("""COMPUTED_VALUE"""),"Mack")</f>
        <v>Mack</v>
      </c>
      <c r="E8363" t="str">
        <f>IFERROR(__xludf.DUMMYFUNCTION("""COMPUTED_VALUE"""),"Alex")</f>
        <v>Alex</v>
      </c>
      <c r="F8363" t="str">
        <f>IFERROR(__xludf.DUMMYFUNCTION("""COMPUTED_VALUE"""),"C")</f>
        <v>C</v>
      </c>
      <c r="G8363" t="str">
        <f>IFERROR(__xludf.DUMMYFUNCTION("""COMPUTED_VALUE"""),"")</f>
        <v/>
      </c>
    </row>
    <row r="8364">
      <c r="D8364" t="str">
        <f>IFERROR(__xludf.DUMMYFUNCTION("""COMPUTED_VALUE"""),"Mack")</f>
        <v>Mack</v>
      </c>
      <c r="E8364" t="str">
        <f>IFERROR(__xludf.DUMMYFUNCTION("""COMPUTED_VALUE"""),"Alize")</f>
        <v>Alize</v>
      </c>
      <c r="F8364" t="str">
        <f>IFERROR(__xludf.DUMMYFUNCTION("""COMPUTED_VALUE"""),"TE")</f>
        <v>TE</v>
      </c>
      <c r="G8364" t="str">
        <f>IFERROR(__xludf.DUMMYFUNCTION("""COMPUTED_VALUE"""),"")</f>
        <v/>
      </c>
    </row>
    <row r="8365">
      <c r="D8365" t="str">
        <f>IFERROR(__xludf.DUMMYFUNCTION("""COMPUTED_VALUE"""),"Mack")</f>
        <v>Mack</v>
      </c>
      <c r="E8365" t="str">
        <f>IFERROR(__xludf.DUMMYFUNCTION("""COMPUTED_VALUE"""),"Daylon")</f>
        <v>Daylon</v>
      </c>
      <c r="F8365" t="str">
        <f>IFERROR(__xludf.DUMMYFUNCTION("""COMPUTED_VALUE"""),"DT")</f>
        <v>DT</v>
      </c>
      <c r="G8365" t="str">
        <f>IFERROR(__xludf.DUMMYFUNCTION("""COMPUTED_VALUE"""),"")</f>
        <v/>
      </c>
    </row>
    <row r="8366">
      <c r="D8366" t="str">
        <f>IFERROR(__xludf.DUMMYFUNCTION("""COMPUTED_VALUE"""),"Mack")</f>
        <v>Mack</v>
      </c>
      <c r="E8366" t="str">
        <f>IFERROR(__xludf.DUMMYFUNCTION("""COMPUTED_VALUE"""),"Khalil")</f>
        <v>Khalil</v>
      </c>
      <c r="F8366" t="str">
        <f>IFERROR(__xludf.DUMMYFUNCTION("""COMPUTED_VALUE"""),"LOLB")</f>
        <v>LOLB</v>
      </c>
      <c r="G8366" t="str">
        <f>IFERROR(__xludf.DUMMYFUNCTION("""COMPUTED_VALUE"""),"")</f>
        <v/>
      </c>
    </row>
    <row r="8367">
      <c r="D8367" t="str">
        <f>IFERROR(__xludf.DUMMYFUNCTION("""COMPUTED_VALUE"""),"Mack")</f>
        <v>Mack</v>
      </c>
      <c r="E8367" t="str">
        <f>IFERROR(__xludf.DUMMYFUNCTION("""COMPUTED_VALUE"""),"Marlon")</f>
        <v>Marlon</v>
      </c>
      <c r="F8367" t="str">
        <f>IFERROR(__xludf.DUMMYFUNCTION("""COMPUTED_VALUE"""),"HB")</f>
        <v>HB</v>
      </c>
      <c r="G8367" t="str">
        <f>IFERROR(__xludf.DUMMYFUNCTION("""COMPUTED_VALUE"""),"")</f>
        <v/>
      </c>
    </row>
    <row r="8368">
      <c r="D8368" t="str">
        <f>IFERROR(__xludf.DUMMYFUNCTION("""COMPUTED_VALUE"""),"Maddox")</f>
        <v>Maddox</v>
      </c>
      <c r="E8368" t="str">
        <f>IFERROR(__xludf.DUMMYFUNCTION("""COMPUTED_VALUE"""),"Avonte")</f>
        <v>Avonte</v>
      </c>
      <c r="F8368" t="str">
        <f>IFERROR(__xludf.DUMMYFUNCTION("""COMPUTED_VALUE"""),"CB")</f>
        <v>CB</v>
      </c>
      <c r="G8368" t="str">
        <f>IFERROR(__xludf.DUMMYFUNCTION("""COMPUTED_VALUE"""),"")</f>
        <v/>
      </c>
    </row>
    <row r="8369">
      <c r="D8369" t="str">
        <f>IFERROR(__xludf.DUMMYFUNCTION("""COMPUTED_VALUE"""),"Madison")</f>
        <v>Madison</v>
      </c>
      <c r="E8369" t="str">
        <f>IFERROR(__xludf.DUMMYFUNCTION("""COMPUTED_VALUE"""),"Cole")</f>
        <v>Cole</v>
      </c>
      <c r="F8369" t="str">
        <f>IFERROR(__xludf.DUMMYFUNCTION("""COMPUTED_VALUE"""),"RG")</f>
        <v>RG</v>
      </c>
      <c r="G8369" t="str">
        <f>IFERROR(__xludf.DUMMYFUNCTION("""COMPUTED_VALUE"""),"")</f>
        <v/>
      </c>
    </row>
    <row r="8370">
      <c r="D8370" t="str">
        <f>IFERROR(__xludf.DUMMYFUNCTION("""COMPUTED_VALUE"""),"Magnuson")</f>
        <v>Magnuson</v>
      </c>
      <c r="E8370" t="str">
        <f>IFERROR(__xludf.DUMMYFUNCTION("""COMPUTED_VALUE"""),"Erik")</f>
        <v>Erik</v>
      </c>
      <c r="F8370" t="str">
        <f>IFERROR(__xludf.DUMMYFUNCTION("""COMPUTED_VALUE"""),"C")</f>
        <v>C</v>
      </c>
      <c r="G8370" t="str">
        <f>IFERROR(__xludf.DUMMYFUNCTION("""COMPUTED_VALUE"""),"")</f>
        <v/>
      </c>
    </row>
    <row r="8371">
      <c r="D8371" t="str">
        <f>IFERROR(__xludf.DUMMYFUNCTION("""COMPUTED_VALUE"""),"Maher")</f>
        <v>Maher</v>
      </c>
      <c r="E8371" t="str">
        <f>IFERROR(__xludf.DUMMYFUNCTION("""COMPUTED_VALUE"""),"Brett")</f>
        <v>Brett</v>
      </c>
      <c r="F8371" t="str">
        <f>IFERROR(__xludf.DUMMYFUNCTION("""COMPUTED_VALUE"""),"K")</f>
        <v>K</v>
      </c>
      <c r="G8371" t="str">
        <f>IFERROR(__xludf.DUMMYFUNCTION("""COMPUTED_VALUE"""),"")</f>
        <v/>
      </c>
    </row>
    <row r="8372">
      <c r="D8372" t="str">
        <f>IFERROR(__xludf.DUMMYFUNCTION("""COMPUTED_VALUE"""),"Mahomes")</f>
        <v>Mahomes</v>
      </c>
      <c r="E8372" t="str">
        <f>IFERROR(__xludf.DUMMYFUNCTION("""COMPUTED_VALUE"""),"Patrick")</f>
        <v>Patrick</v>
      </c>
      <c r="F8372" t="str">
        <f>IFERROR(__xludf.DUMMYFUNCTION("""COMPUTED_VALUE"""),"QB")</f>
        <v>QB</v>
      </c>
      <c r="G8372" t="str">
        <f>IFERROR(__xludf.DUMMYFUNCTION("""COMPUTED_VALUE"""),"")</f>
        <v/>
      </c>
    </row>
    <row r="8373">
      <c r="D8373" t="str">
        <f>IFERROR(__xludf.DUMMYFUNCTION("""COMPUTED_VALUE"""),"Mailata")</f>
        <v>Mailata</v>
      </c>
      <c r="E8373" t="str">
        <f>IFERROR(__xludf.DUMMYFUNCTION("""COMPUTED_VALUE"""),"Jordan")</f>
        <v>Jordan</v>
      </c>
      <c r="F8373" t="str">
        <f>IFERROR(__xludf.DUMMYFUNCTION("""COMPUTED_VALUE"""),"LT")</f>
        <v>LT</v>
      </c>
      <c r="G8373" t="str">
        <f>IFERROR(__xludf.DUMMYFUNCTION("""COMPUTED_VALUE"""),"")</f>
        <v/>
      </c>
    </row>
    <row r="8374">
      <c r="D8374" t="str">
        <f>IFERROR(__xludf.DUMMYFUNCTION("""COMPUTED_VALUE"""),"Malone")</f>
        <v>Malone</v>
      </c>
      <c r="E8374" t="str">
        <f>IFERROR(__xludf.DUMMYFUNCTION("""COMPUTED_VALUE"""),"Josh")</f>
        <v>Josh</v>
      </c>
      <c r="F8374" t="str">
        <f>IFERROR(__xludf.DUMMYFUNCTION("""COMPUTED_VALUE"""),"WR")</f>
        <v>WR</v>
      </c>
      <c r="G8374" t="str">
        <f>IFERROR(__xludf.DUMMYFUNCTION("""COMPUTED_VALUE"""),"")</f>
        <v/>
      </c>
    </row>
    <row r="8375">
      <c r="D8375" t="str">
        <f>IFERROR(__xludf.DUMMYFUNCTION("""COMPUTED_VALUE"""),"Malveaux")</f>
        <v>Malveaux</v>
      </c>
      <c r="E8375" t="str">
        <f>IFERROR(__xludf.DUMMYFUNCTION("""COMPUTED_VALUE"""),"Cameron")</f>
        <v>Cameron</v>
      </c>
      <c r="F8375" t="str">
        <f>IFERROR(__xludf.DUMMYFUNCTION("""COMPUTED_VALUE"""),"LOLB")</f>
        <v>LOLB</v>
      </c>
      <c r="G8375" t="str">
        <f>IFERROR(__xludf.DUMMYFUNCTION("""COMPUTED_VALUE"""),"")</f>
        <v/>
      </c>
    </row>
    <row r="8376">
      <c r="D8376" t="str">
        <f>IFERROR(__xludf.DUMMYFUNCTION("""COMPUTED_VALUE"""),"Mancz")</f>
        <v>Mancz</v>
      </c>
      <c r="E8376" t="str">
        <f>IFERROR(__xludf.DUMMYFUNCTION("""COMPUTED_VALUE"""),"Greg")</f>
        <v>Greg</v>
      </c>
      <c r="F8376" t="str">
        <f>IFERROR(__xludf.DUMMYFUNCTION("""COMPUTED_VALUE"""),"C")</f>
        <v>C</v>
      </c>
      <c r="G8376" t="str">
        <f>IFERROR(__xludf.DUMMYFUNCTION("""COMPUTED_VALUE"""),"")</f>
        <v/>
      </c>
    </row>
    <row r="8377">
      <c r="D8377" t="str">
        <f>IFERROR(__xludf.DUMMYFUNCTION("""COMPUTED_VALUE"""),"Manhertz")</f>
        <v>Manhertz</v>
      </c>
      <c r="E8377" t="str">
        <f>IFERROR(__xludf.DUMMYFUNCTION("""COMPUTED_VALUE"""),"Chris")</f>
        <v>Chris</v>
      </c>
      <c r="F8377" t="str">
        <f>IFERROR(__xludf.DUMMYFUNCTION("""COMPUTED_VALUE"""),"TE")</f>
        <v>TE</v>
      </c>
      <c r="G8377" t="str">
        <f>IFERROR(__xludf.DUMMYFUNCTION("""COMPUTED_VALUE"""),"")</f>
        <v/>
      </c>
    </row>
    <row r="8378">
      <c r="D8378" t="str">
        <f>IFERROR(__xludf.DUMMYFUNCTION("""COMPUTED_VALUE"""),"Manning")</f>
        <v>Manning</v>
      </c>
      <c r="E8378" t="str">
        <f>IFERROR(__xludf.DUMMYFUNCTION("""COMPUTED_VALUE"""),"Eli")</f>
        <v>Eli</v>
      </c>
      <c r="F8378" t="str">
        <f>IFERROR(__xludf.DUMMYFUNCTION("""COMPUTED_VALUE"""),"QB")</f>
        <v>QB</v>
      </c>
      <c r="G8378" t="str">
        <f>IFERROR(__xludf.DUMMYFUNCTION("""COMPUTED_VALUE"""),"")</f>
        <v/>
      </c>
    </row>
    <row r="8379">
      <c r="D8379" t="str">
        <f>IFERROR(__xludf.DUMMYFUNCTION("""COMPUTED_VALUE"""),"Mannion")</f>
        <v>Mannion</v>
      </c>
      <c r="E8379" t="str">
        <f>IFERROR(__xludf.DUMMYFUNCTION("""COMPUTED_VALUE"""),"Sean")</f>
        <v>Sean</v>
      </c>
      <c r="F8379" t="str">
        <f>IFERROR(__xludf.DUMMYFUNCTION("""COMPUTED_VALUE"""),"QB")</f>
        <v>QB</v>
      </c>
      <c r="G8379" t="str">
        <f>IFERROR(__xludf.DUMMYFUNCTION("""COMPUTED_VALUE"""),"")</f>
        <v/>
      </c>
    </row>
    <row r="8380">
      <c r="D8380" t="str">
        <f>IFERROR(__xludf.DUMMYFUNCTION("""COMPUTED_VALUE"""),"March-Lillard")</f>
        <v>March-Lillard</v>
      </c>
      <c r="E8380" t="str">
        <f>IFERROR(__xludf.DUMMYFUNCTION("""COMPUTED_VALUE"""),"Justin")</f>
        <v>Justin</v>
      </c>
      <c r="F8380" t="str">
        <f>IFERROR(__xludf.DUMMYFUNCTION("""COMPUTED_VALUE"""),"LOLB")</f>
        <v>LOLB</v>
      </c>
      <c r="G8380" t="str">
        <f>IFERROR(__xludf.DUMMYFUNCTION("""COMPUTED_VALUE"""),"")</f>
        <v/>
      </c>
    </row>
    <row r="8381">
      <c r="D8381" t="str">
        <f>IFERROR(__xludf.DUMMYFUNCTION("""COMPUTED_VALUE"""),"Mariota")</f>
        <v>Mariota</v>
      </c>
      <c r="E8381" t="str">
        <f>IFERROR(__xludf.DUMMYFUNCTION("""COMPUTED_VALUE"""),"Marcus")</f>
        <v>Marcus</v>
      </c>
      <c r="F8381" t="str">
        <f>IFERROR(__xludf.DUMMYFUNCTION("""COMPUTED_VALUE"""),"QB")</f>
        <v>QB</v>
      </c>
      <c r="G8381" t="str">
        <f>IFERROR(__xludf.DUMMYFUNCTION("""COMPUTED_VALUE"""),"")</f>
        <v/>
      </c>
    </row>
    <row r="8382">
      <c r="D8382" t="str">
        <f>IFERROR(__xludf.DUMMYFUNCTION("""COMPUTED_VALUE"""),"Marlowe")</f>
        <v>Marlowe</v>
      </c>
      <c r="E8382" t="str">
        <f>IFERROR(__xludf.DUMMYFUNCTION("""COMPUTED_VALUE"""),"Dean")</f>
        <v>Dean</v>
      </c>
      <c r="F8382" t="str">
        <f>IFERROR(__xludf.DUMMYFUNCTION("""COMPUTED_VALUE"""),"FS")</f>
        <v>FS</v>
      </c>
      <c r="G8382" t="str">
        <f>IFERROR(__xludf.DUMMYFUNCTION("""COMPUTED_VALUE"""),"")</f>
        <v/>
      </c>
    </row>
    <row r="8383">
      <c r="D8383" t="str">
        <f>IFERROR(__xludf.DUMMYFUNCTION("""COMPUTED_VALUE"""),"Marpet")</f>
        <v>Marpet</v>
      </c>
      <c r="E8383" t="str">
        <f>IFERROR(__xludf.DUMMYFUNCTION("""COMPUTED_VALUE"""),"Ali")</f>
        <v>Ali</v>
      </c>
      <c r="F8383" t="str">
        <f>IFERROR(__xludf.DUMMYFUNCTION("""COMPUTED_VALUE"""),"LG")</f>
        <v>LG</v>
      </c>
      <c r="G8383" t="str">
        <f>IFERROR(__xludf.DUMMYFUNCTION("""COMPUTED_VALUE"""),"")</f>
        <v/>
      </c>
    </row>
    <row r="8384">
      <c r="D8384" t="str">
        <f>IFERROR(__xludf.DUMMYFUNCTION("""COMPUTED_VALUE"""),"Marsh")</f>
        <v>Marsh</v>
      </c>
      <c r="E8384" t="str">
        <f>IFERROR(__xludf.DUMMYFUNCTION("""COMPUTED_VALUE"""),"Cassius")</f>
        <v>Cassius</v>
      </c>
      <c r="F8384" t="str">
        <f>IFERROR(__xludf.DUMMYFUNCTION("""COMPUTED_VALUE"""),"LE")</f>
        <v>LE</v>
      </c>
      <c r="G8384" t="str">
        <f>IFERROR(__xludf.DUMMYFUNCTION("""COMPUTED_VALUE"""),"")</f>
        <v/>
      </c>
    </row>
    <row r="8385">
      <c r="D8385" t="str">
        <f>IFERROR(__xludf.DUMMYFUNCTION("""COMPUTED_VALUE"""),"Marshall")</f>
        <v>Marshall</v>
      </c>
      <c r="E8385" t="str">
        <f>IFERROR(__xludf.DUMMYFUNCTION("""COMPUTED_VALUE"""),"Brandon")</f>
        <v>Brandon</v>
      </c>
      <c r="F8385" t="str">
        <f>IFERROR(__xludf.DUMMYFUNCTION("""COMPUTED_VALUE"""),"MLB")</f>
        <v>MLB</v>
      </c>
      <c r="G8385" t="str">
        <f>IFERROR(__xludf.DUMMYFUNCTION("""COMPUTED_VALUE"""),"")</f>
        <v/>
      </c>
    </row>
    <row r="8386">
      <c r="D8386" t="str">
        <f>IFERROR(__xludf.DUMMYFUNCTION("""COMPUTED_VALUE"""),"Marshall")</f>
        <v>Marshall</v>
      </c>
      <c r="E8386" t="str">
        <f>IFERROR(__xludf.DUMMYFUNCTION("""COMPUTED_VALUE"""),"Trey")</f>
        <v>Trey</v>
      </c>
      <c r="F8386" t="str">
        <f>IFERROR(__xludf.DUMMYFUNCTION("""COMPUTED_VALUE"""),"SS")</f>
        <v>SS</v>
      </c>
      <c r="G8386" t="str">
        <f>IFERROR(__xludf.DUMMYFUNCTION("""COMPUTED_VALUE"""),"")</f>
        <v/>
      </c>
    </row>
    <row r="8387">
      <c r="D8387" t="str">
        <f>IFERROR(__xludf.DUMMYFUNCTION("""COMPUTED_VALUE"""),"Martin")</f>
        <v>Martin</v>
      </c>
      <c r="E8387" t="str">
        <f>IFERROR(__xludf.DUMMYFUNCTION("""COMPUTED_VALUE"""),"Doug")</f>
        <v>Doug</v>
      </c>
      <c r="F8387" t="str">
        <f>IFERROR(__xludf.DUMMYFUNCTION("""COMPUTED_VALUE"""),"HB")</f>
        <v>HB</v>
      </c>
      <c r="G8387" t="str">
        <f>IFERROR(__xludf.DUMMYFUNCTION("""COMPUTED_VALUE"""),"")</f>
        <v/>
      </c>
    </row>
    <row r="8388">
      <c r="D8388" t="str">
        <f>IFERROR(__xludf.DUMMYFUNCTION("""COMPUTED_VALUE"""),"Martin")</f>
        <v>Martin</v>
      </c>
      <c r="E8388" t="str">
        <f>IFERROR(__xludf.DUMMYFUNCTION("""COMPUTED_VALUE"""),"Jacob")</f>
        <v>Jacob</v>
      </c>
      <c r="F8388" t="str">
        <f>IFERROR(__xludf.DUMMYFUNCTION("""COMPUTED_VALUE"""),"LE")</f>
        <v>LE</v>
      </c>
      <c r="G8388" t="str">
        <f>IFERROR(__xludf.DUMMYFUNCTION("""COMPUTED_VALUE"""),"")</f>
        <v/>
      </c>
    </row>
    <row r="8389">
      <c r="D8389" t="str">
        <f>IFERROR(__xludf.DUMMYFUNCTION("""COMPUTED_VALUE"""),"Martin")</f>
        <v>Martin</v>
      </c>
      <c r="E8389" t="str">
        <f>IFERROR(__xludf.DUMMYFUNCTION("""COMPUTED_VALUE"""),"Kareem")</f>
        <v>Kareem</v>
      </c>
      <c r="F8389" t="str">
        <f>IFERROR(__xludf.DUMMYFUNCTION("""COMPUTED_VALUE"""),"ROLB")</f>
        <v>ROLB</v>
      </c>
      <c r="G8389" t="str">
        <f>IFERROR(__xludf.DUMMYFUNCTION("""COMPUTED_VALUE"""),"")</f>
        <v/>
      </c>
    </row>
    <row r="8390">
      <c r="D8390" t="str">
        <f>IFERROR(__xludf.DUMMYFUNCTION("""COMPUTED_VALUE"""),"Martin")</f>
        <v>Martin</v>
      </c>
      <c r="E8390" t="str">
        <f>IFERROR(__xludf.DUMMYFUNCTION("""COMPUTED_VALUE"""),"Nick")</f>
        <v>Nick</v>
      </c>
      <c r="F8390" t="str">
        <f>IFERROR(__xludf.DUMMYFUNCTION("""COMPUTED_VALUE"""),"C")</f>
        <v>C</v>
      </c>
      <c r="G8390" t="str">
        <f>IFERROR(__xludf.DUMMYFUNCTION("""COMPUTED_VALUE"""),"")</f>
        <v/>
      </c>
    </row>
    <row r="8391">
      <c r="D8391" t="str">
        <f>IFERROR(__xludf.DUMMYFUNCTION("""COMPUTED_VALUE"""),"Martin")</f>
        <v>Martin</v>
      </c>
      <c r="E8391" t="str">
        <f>IFERROR(__xludf.DUMMYFUNCTION("""COMPUTED_VALUE"""),"Sam")</f>
        <v>Sam</v>
      </c>
      <c r="F8391" t="str">
        <f>IFERROR(__xludf.DUMMYFUNCTION("""COMPUTED_VALUE"""),"P")</f>
        <v>P</v>
      </c>
      <c r="G8391" t="str">
        <f>IFERROR(__xludf.DUMMYFUNCTION("""COMPUTED_VALUE"""),"")</f>
        <v/>
      </c>
    </row>
    <row r="8392">
      <c r="D8392" t="str">
        <f>IFERROR(__xludf.DUMMYFUNCTION("""COMPUTED_VALUE"""),"Martin")</f>
        <v>Martin</v>
      </c>
      <c r="E8392" t="str">
        <f>IFERROR(__xludf.DUMMYFUNCTION("""COMPUTED_VALUE"""),"Wes")</f>
        <v>Wes</v>
      </c>
      <c r="F8392" t="str">
        <f>IFERROR(__xludf.DUMMYFUNCTION("""COMPUTED_VALUE"""),"LG")</f>
        <v>LG</v>
      </c>
      <c r="G8392" t="str">
        <f>IFERROR(__xludf.DUMMYFUNCTION("""COMPUTED_VALUE"""),"")</f>
        <v/>
      </c>
    </row>
    <row r="8393">
      <c r="D8393" t="str">
        <f>IFERROR(__xludf.DUMMYFUNCTION("""COMPUTED_VALUE"""),"Martin")</f>
        <v>Martin</v>
      </c>
      <c r="E8393" t="str">
        <f>IFERROR(__xludf.DUMMYFUNCTION("""COMPUTED_VALUE"""),"Zack")</f>
        <v>Zack</v>
      </c>
      <c r="F8393" t="str">
        <f>IFERROR(__xludf.DUMMYFUNCTION("""COMPUTED_VALUE"""),"RG")</f>
        <v>RG</v>
      </c>
      <c r="G8393" t="str">
        <f>IFERROR(__xludf.DUMMYFUNCTION("""COMPUTED_VALUE"""),"")</f>
        <v/>
      </c>
    </row>
    <row r="8394">
      <c r="D8394" t="str">
        <f>IFERROR(__xludf.DUMMYFUNCTION("""COMPUTED_VALUE"""),"Martinez")</f>
        <v>Martinez</v>
      </c>
      <c r="E8394" t="str">
        <f>IFERROR(__xludf.DUMMYFUNCTION("""COMPUTED_VALUE"""),"Blake")</f>
        <v>Blake</v>
      </c>
      <c r="F8394" t="str">
        <f>IFERROR(__xludf.DUMMYFUNCTION("""COMPUTED_VALUE"""),"MLB")</f>
        <v>MLB</v>
      </c>
      <c r="G8394" t="str">
        <f>IFERROR(__xludf.DUMMYFUNCTION("""COMPUTED_VALUE"""),"")</f>
        <v/>
      </c>
    </row>
    <row r="8395">
      <c r="D8395" t="str">
        <f>IFERROR(__xludf.DUMMYFUNCTION("""COMPUTED_VALUE"""),"Martini")</f>
        <v>Martini</v>
      </c>
      <c r="E8395" t="str">
        <f>IFERROR(__xludf.DUMMYFUNCTION("""COMPUTED_VALUE"""),"Greer")</f>
        <v>Greer</v>
      </c>
      <c r="F8395" t="str">
        <f>IFERROR(__xludf.DUMMYFUNCTION("""COMPUTED_VALUE"""),"MLB")</f>
        <v>MLB</v>
      </c>
      <c r="G8395" t="str">
        <f>IFERROR(__xludf.DUMMYFUNCTION("""COMPUTED_VALUE"""),"")</f>
        <v/>
      </c>
    </row>
    <row r="8396">
      <c r="D8396" t="str">
        <f>IFERROR(__xludf.DUMMYFUNCTION("""COMPUTED_VALUE"""),"Marz")</f>
        <v>Marz</v>
      </c>
      <c r="E8396" t="str">
        <f>IFERROR(__xludf.DUMMYFUNCTION("""COMPUTED_VALUE"""),"Tyler")</f>
        <v>Tyler</v>
      </c>
      <c r="F8396" t="str">
        <f>IFERROR(__xludf.DUMMYFUNCTION("""COMPUTED_VALUE"""),"LT")</f>
        <v>LT</v>
      </c>
      <c r="G8396" t="str">
        <f>IFERROR(__xludf.DUMMYFUNCTION("""COMPUTED_VALUE"""),"")</f>
        <v/>
      </c>
    </row>
    <row r="8397">
      <c r="D8397" t="str">
        <f>IFERROR(__xludf.DUMMYFUNCTION("""COMPUTED_VALUE"""),"Mason")</f>
        <v>Mason</v>
      </c>
      <c r="E8397" t="str">
        <f>IFERROR(__xludf.DUMMYFUNCTION("""COMPUTED_VALUE"""),"Shaq")</f>
        <v>Shaq</v>
      </c>
      <c r="F8397" t="str">
        <f>IFERROR(__xludf.DUMMYFUNCTION("""COMPUTED_VALUE"""),"RG")</f>
        <v>RG</v>
      </c>
      <c r="G8397" t="str">
        <f>IFERROR(__xludf.DUMMYFUNCTION("""COMPUTED_VALUE"""),"")</f>
        <v/>
      </c>
    </row>
    <row r="8398">
      <c r="D8398" t="str">
        <f>IFERROR(__xludf.DUMMYFUNCTION("""COMPUTED_VALUE"""),"Massie")</f>
        <v>Massie</v>
      </c>
      <c r="E8398" t="str">
        <f>IFERROR(__xludf.DUMMYFUNCTION("""COMPUTED_VALUE"""),"Bobby")</f>
        <v>Bobby</v>
      </c>
      <c r="F8398" t="str">
        <f>IFERROR(__xludf.DUMMYFUNCTION("""COMPUTED_VALUE"""),"RT")</f>
        <v>RT</v>
      </c>
      <c r="G8398" t="str">
        <f>IFERROR(__xludf.DUMMYFUNCTION("""COMPUTED_VALUE"""),"")</f>
        <v/>
      </c>
    </row>
    <row r="8399">
      <c r="D8399" t="str">
        <f>IFERROR(__xludf.DUMMYFUNCTION("""COMPUTED_VALUE"""),"Mataafa")</f>
        <v>Mataafa</v>
      </c>
      <c r="E8399" t="str">
        <f>IFERROR(__xludf.DUMMYFUNCTION("""COMPUTED_VALUE"""),"Hercules")</f>
        <v>Hercules</v>
      </c>
      <c r="F8399" t="str">
        <f>IFERROR(__xludf.DUMMYFUNCTION("""COMPUTED_VALUE"""),"DT")</f>
        <v>DT</v>
      </c>
      <c r="G8399" t="str">
        <f>IFERROR(__xludf.DUMMYFUNCTION("""COMPUTED_VALUE"""),"")</f>
        <v/>
      </c>
    </row>
    <row r="8400">
      <c r="D8400" t="str">
        <f>IFERROR(__xludf.DUMMYFUNCTION("""COMPUTED_VALUE"""),"Matakevich")</f>
        <v>Matakevich</v>
      </c>
      <c r="E8400" t="str">
        <f>IFERROR(__xludf.DUMMYFUNCTION("""COMPUTED_VALUE"""),"Tyler")</f>
        <v>Tyler</v>
      </c>
      <c r="F8400" t="str">
        <f>IFERROR(__xludf.DUMMYFUNCTION("""COMPUTED_VALUE"""),"MLB")</f>
        <v>MLB</v>
      </c>
      <c r="G8400" t="str">
        <f>IFERROR(__xludf.DUMMYFUNCTION("""COMPUTED_VALUE"""),"")</f>
        <v/>
      </c>
    </row>
    <row r="8401">
      <c r="D8401" t="str">
        <f>IFERROR(__xludf.DUMMYFUNCTION("""COMPUTED_VALUE"""),"Mathieu")</f>
        <v>Mathieu</v>
      </c>
      <c r="E8401" t="str">
        <f>IFERROR(__xludf.DUMMYFUNCTION("""COMPUTED_VALUE"""),"Tyrann")</f>
        <v>Tyrann</v>
      </c>
      <c r="F8401" t="str">
        <f>IFERROR(__xludf.DUMMYFUNCTION("""COMPUTED_VALUE"""),"SS")</f>
        <v>SS</v>
      </c>
      <c r="G8401" t="str">
        <f>IFERROR(__xludf.DUMMYFUNCTION("""COMPUTED_VALUE"""),"")</f>
        <v/>
      </c>
    </row>
    <row r="8402">
      <c r="D8402" t="str">
        <f>IFERROR(__xludf.DUMMYFUNCTION("""COMPUTED_VALUE"""),"Matthews")</f>
        <v>Matthews</v>
      </c>
      <c r="E8402" t="str">
        <f>IFERROR(__xludf.DUMMYFUNCTION("""COMPUTED_VALUE"""),"Clay")</f>
        <v>Clay</v>
      </c>
      <c r="F8402" t="str">
        <f>IFERROR(__xludf.DUMMYFUNCTION("""COMPUTED_VALUE"""),"ROLB")</f>
        <v>ROLB</v>
      </c>
      <c r="G8402" t="str">
        <f>IFERROR(__xludf.DUMMYFUNCTION("""COMPUTED_VALUE"""),"")</f>
        <v/>
      </c>
    </row>
    <row r="8403">
      <c r="D8403" t="str">
        <f>IFERROR(__xludf.DUMMYFUNCTION("""COMPUTED_VALUE"""),"Matthews")</f>
        <v>Matthews</v>
      </c>
      <c r="E8403" t="str">
        <f>IFERROR(__xludf.DUMMYFUNCTION("""COMPUTED_VALUE"""),"Jake")</f>
        <v>Jake</v>
      </c>
      <c r="F8403" t="str">
        <f>IFERROR(__xludf.DUMMYFUNCTION("""COMPUTED_VALUE"""),"LT")</f>
        <v>LT</v>
      </c>
      <c r="G8403" t="str">
        <f>IFERROR(__xludf.DUMMYFUNCTION("""COMPUTED_VALUE"""),"")</f>
        <v/>
      </c>
    </row>
    <row r="8404">
      <c r="D8404" t="str">
        <f>IFERROR(__xludf.DUMMYFUNCTION("""COMPUTED_VALUE"""),"Matthews")</f>
        <v>Matthews</v>
      </c>
      <c r="E8404" t="str">
        <f>IFERROR(__xludf.DUMMYFUNCTION("""COMPUTED_VALUE"""),"Jordan")</f>
        <v>Jordan</v>
      </c>
      <c r="F8404" t="str">
        <f>IFERROR(__xludf.DUMMYFUNCTION("""COMPUTED_VALUE"""),"WR")</f>
        <v>WR</v>
      </c>
      <c r="G8404" t="str">
        <f>IFERROR(__xludf.DUMMYFUNCTION("""COMPUTED_VALUE"""),"")</f>
        <v/>
      </c>
    </row>
    <row r="8405">
      <c r="D8405" t="str">
        <f>IFERROR(__xludf.DUMMYFUNCTION("""COMPUTED_VALUE"""),"Matthews")</f>
        <v>Matthews</v>
      </c>
      <c r="E8405" t="str">
        <f>IFERROR(__xludf.DUMMYFUNCTION("""COMPUTED_VALUE"""),"Tray")</f>
        <v>Tray</v>
      </c>
      <c r="F8405" t="str">
        <f>IFERROR(__xludf.DUMMYFUNCTION("""COMPUTED_VALUE"""),"SS")</f>
        <v>SS</v>
      </c>
      <c r="G8405" t="str">
        <f>IFERROR(__xludf.DUMMYFUNCTION("""COMPUTED_VALUE"""),"")</f>
        <v/>
      </c>
    </row>
    <row r="8406">
      <c r="D8406" t="str">
        <f>IFERROR(__xludf.DUMMYFUNCTION("""COMPUTED_VALUE"""),"Mattison")</f>
        <v>Mattison</v>
      </c>
      <c r="E8406" t="str">
        <f>IFERROR(__xludf.DUMMYFUNCTION("""COMPUTED_VALUE"""),"Alexander")</f>
        <v>Alexander</v>
      </c>
      <c r="F8406" t="str">
        <f>IFERROR(__xludf.DUMMYFUNCTION("""COMPUTED_VALUE"""),"HB")</f>
        <v>HB</v>
      </c>
      <c r="G8406" t="str">
        <f>IFERROR(__xludf.DUMMYFUNCTION("""COMPUTED_VALUE"""),"")</f>
        <v/>
      </c>
    </row>
    <row r="8407">
      <c r="D8407" t="str">
        <f>IFERROR(__xludf.DUMMYFUNCTION("""COMPUTED_VALUE"""),"Maulet")</f>
        <v>Maulet</v>
      </c>
      <c r="E8407" t="str">
        <f>IFERROR(__xludf.DUMMYFUNCTION("""COMPUTED_VALUE"""),"Arthur")</f>
        <v>Arthur</v>
      </c>
      <c r="F8407" t="str">
        <f>IFERROR(__xludf.DUMMYFUNCTION("""COMPUTED_VALUE"""),"CB")</f>
        <v>CB</v>
      </c>
      <c r="G8407" t="str">
        <f>IFERROR(__xludf.DUMMYFUNCTION("""COMPUTED_VALUE"""),"")</f>
        <v/>
      </c>
    </row>
    <row r="8408">
      <c r="D8408" t="str">
        <f>IFERROR(__xludf.DUMMYFUNCTION("""COMPUTED_VALUE"""),"Mauro")</f>
        <v>Mauro</v>
      </c>
      <c r="E8408" t="str">
        <f>IFERROR(__xludf.DUMMYFUNCTION("""COMPUTED_VALUE"""),"Josh")</f>
        <v>Josh</v>
      </c>
      <c r="F8408" t="str">
        <f>IFERROR(__xludf.DUMMYFUNCTION("""COMPUTED_VALUE"""),"LE")</f>
        <v>LE</v>
      </c>
      <c r="G8408" t="str">
        <f>IFERROR(__xludf.DUMMYFUNCTION("""COMPUTED_VALUE"""),"")</f>
        <v/>
      </c>
    </row>
    <row r="8409">
      <c r="D8409" t="str">
        <f>IFERROR(__xludf.DUMMYFUNCTION("""COMPUTED_VALUE"""),"Maye")</f>
        <v>Maye</v>
      </c>
      <c r="E8409" t="str">
        <f>IFERROR(__xludf.DUMMYFUNCTION("""COMPUTED_VALUE"""),"Marcus")</f>
        <v>Marcus</v>
      </c>
      <c r="F8409" t="str">
        <f>IFERROR(__xludf.DUMMYFUNCTION("""COMPUTED_VALUE"""),"FS")</f>
        <v>FS</v>
      </c>
      <c r="G8409" t="str">
        <f>IFERROR(__xludf.DUMMYFUNCTION("""COMPUTED_VALUE"""),"")</f>
        <v/>
      </c>
    </row>
    <row r="8410">
      <c r="D8410" t="str">
        <f>IFERROR(__xludf.DUMMYFUNCTION("""COMPUTED_VALUE"""),"Mayfield")</f>
        <v>Mayfield</v>
      </c>
      <c r="E8410" t="str">
        <f>IFERROR(__xludf.DUMMYFUNCTION("""COMPUTED_VALUE"""),"Baker")</f>
        <v>Baker</v>
      </c>
      <c r="F8410" t="str">
        <f>IFERROR(__xludf.DUMMYFUNCTION("""COMPUTED_VALUE"""),"QB")</f>
        <v>QB</v>
      </c>
      <c r="G8410" t="str">
        <f>IFERROR(__xludf.DUMMYFUNCTION("""COMPUTED_VALUE"""),"")</f>
        <v/>
      </c>
    </row>
    <row r="8411">
      <c r="D8411" t="str">
        <f>IFERROR(__xludf.DUMMYFUNCTION("""COMPUTED_VALUE"""),"Mayle")</f>
        <v>Mayle</v>
      </c>
      <c r="E8411" t="str">
        <f>IFERROR(__xludf.DUMMYFUNCTION("""COMPUTED_VALUE"""),"Vince")</f>
        <v>Vince</v>
      </c>
      <c r="F8411" t="str">
        <f>IFERROR(__xludf.DUMMYFUNCTION("""COMPUTED_VALUE"""),"TE")</f>
        <v>TE</v>
      </c>
      <c r="G8411" t="str">
        <f>IFERROR(__xludf.DUMMYFUNCTION("""COMPUTED_VALUE"""),"")</f>
        <v/>
      </c>
    </row>
    <row r="8412">
      <c r="D8412" t="str">
        <f>IFERROR(__xludf.DUMMYFUNCTION("""COMPUTED_VALUE"""),"Mayo")</f>
        <v>Mayo</v>
      </c>
      <c r="E8412" t="str">
        <f>IFERROR(__xludf.DUMMYFUNCTION("""COMPUTED_VALUE"""),"David")</f>
        <v>David</v>
      </c>
      <c r="F8412" t="str">
        <f>IFERROR(__xludf.DUMMYFUNCTION("""COMPUTED_VALUE"""),"MLB")</f>
        <v>MLB</v>
      </c>
      <c r="G8412" t="str">
        <f>IFERROR(__xludf.DUMMYFUNCTION("""COMPUTED_VALUE"""),"")</f>
        <v/>
      </c>
    </row>
    <row r="8413">
      <c r="D8413" t="str">
        <f>IFERROR(__xludf.DUMMYFUNCTION("""COMPUTED_VALUE"""),"Mayowa")</f>
        <v>Mayowa</v>
      </c>
      <c r="E8413" t="str">
        <f>IFERROR(__xludf.DUMMYFUNCTION("""COMPUTED_VALUE"""),"Benson")</f>
        <v>Benson</v>
      </c>
      <c r="F8413" t="str">
        <f>IFERROR(__xludf.DUMMYFUNCTION("""COMPUTED_VALUE"""),"LE")</f>
        <v>LE</v>
      </c>
      <c r="G8413" t="str">
        <f>IFERROR(__xludf.DUMMYFUNCTION("""COMPUTED_VALUE"""),"")</f>
        <v/>
      </c>
    </row>
    <row r="8414">
      <c r="D8414" t="str">
        <f>IFERROR(__xludf.DUMMYFUNCTION("""COMPUTED_VALUE"""),"Mbu")</f>
        <v>Mbu</v>
      </c>
      <c r="E8414" t="str">
        <f>IFERROR(__xludf.DUMMYFUNCTION("""COMPUTED_VALUE"""),"Joey")</f>
        <v>Joey</v>
      </c>
      <c r="F8414" t="str">
        <f>IFERROR(__xludf.DUMMYFUNCTION("""COMPUTED_VALUE"""),"DT")</f>
        <v>DT</v>
      </c>
      <c r="G8414" t="str">
        <f>IFERROR(__xludf.DUMMYFUNCTION("""COMPUTED_VALUE"""),"")</f>
        <v/>
      </c>
    </row>
    <row r="8415">
      <c r="D8415" t="str">
        <f>IFERROR(__xludf.DUMMYFUNCTION("""COMPUTED_VALUE"""),"McCaffrey")</f>
        <v>McCaffrey</v>
      </c>
      <c r="E8415" t="str">
        <f>IFERROR(__xludf.DUMMYFUNCTION("""COMPUTED_VALUE"""),"Christian")</f>
        <v>Christian</v>
      </c>
      <c r="F8415" t="str">
        <f>IFERROR(__xludf.DUMMYFUNCTION("""COMPUTED_VALUE"""),"HB")</f>
        <v>HB</v>
      </c>
      <c r="G8415" t="str">
        <f>IFERROR(__xludf.DUMMYFUNCTION("""COMPUTED_VALUE"""),"")</f>
        <v/>
      </c>
    </row>
    <row r="8416">
      <c r="D8416" t="str">
        <f>IFERROR(__xludf.DUMMYFUNCTION("""COMPUTED_VALUE"""),"McCain")</f>
        <v>McCain</v>
      </c>
      <c r="E8416" t="str">
        <f>IFERROR(__xludf.DUMMYFUNCTION("""COMPUTED_VALUE"""),"Bobby")</f>
        <v>Bobby</v>
      </c>
      <c r="F8416" t="str">
        <f>IFERROR(__xludf.DUMMYFUNCTION("""COMPUTED_VALUE"""),"CB")</f>
        <v>CB</v>
      </c>
      <c r="G8416" t="str">
        <f>IFERROR(__xludf.DUMMYFUNCTION("""COMPUTED_VALUE"""),"")</f>
        <v/>
      </c>
    </row>
    <row r="8417">
      <c r="D8417" t="str">
        <f>IFERROR(__xludf.DUMMYFUNCTION("""COMPUTED_VALUE"""),"McCarron")</f>
        <v>McCarron</v>
      </c>
      <c r="E8417" t="str">
        <f>IFERROR(__xludf.DUMMYFUNCTION("""COMPUTED_VALUE"""),"AJ")</f>
        <v>AJ</v>
      </c>
      <c r="F8417" t="str">
        <f>IFERROR(__xludf.DUMMYFUNCTION("""COMPUTED_VALUE"""),"QB")</f>
        <v>QB</v>
      </c>
      <c r="G8417" t="str">
        <f>IFERROR(__xludf.DUMMYFUNCTION("""COMPUTED_VALUE"""),"")</f>
        <v/>
      </c>
    </row>
    <row r="8418">
      <c r="D8418" t="str">
        <f>IFERROR(__xludf.DUMMYFUNCTION("""COMPUTED_VALUE"""),"McClain")</f>
        <v>McClain</v>
      </c>
      <c r="E8418" t="str">
        <f>IFERROR(__xludf.DUMMYFUNCTION("""COMPUTED_VALUE"""),"Terrell")</f>
        <v>Terrell</v>
      </c>
      <c r="F8418" t="str">
        <f>IFERROR(__xludf.DUMMYFUNCTION("""COMPUTED_VALUE"""),"DT")</f>
        <v>DT</v>
      </c>
      <c r="G8418" t="str">
        <f>IFERROR(__xludf.DUMMYFUNCTION("""COMPUTED_VALUE"""),"")</f>
        <v/>
      </c>
    </row>
    <row r="8419">
      <c r="D8419" t="str">
        <f>IFERROR(__xludf.DUMMYFUNCTION("""COMPUTED_VALUE"""),"McCloud")</f>
        <v>McCloud</v>
      </c>
      <c r="E8419" t="str">
        <f>IFERROR(__xludf.DUMMYFUNCTION("""COMPUTED_VALUE"""),"Ray-Ray")</f>
        <v>Ray-Ray</v>
      </c>
      <c r="F8419" t="str">
        <f>IFERROR(__xludf.DUMMYFUNCTION("""COMPUTED_VALUE"""),"WR")</f>
        <v>WR</v>
      </c>
      <c r="G8419" t="str">
        <f>IFERROR(__xludf.DUMMYFUNCTION("""COMPUTED_VALUE"""),"")</f>
        <v/>
      </c>
    </row>
    <row r="8420">
      <c r="D8420" t="str">
        <f>IFERROR(__xludf.DUMMYFUNCTION("""COMPUTED_VALUE"""),"McCourty")</f>
        <v>McCourty</v>
      </c>
      <c r="E8420" t="str">
        <f>IFERROR(__xludf.DUMMYFUNCTION("""COMPUTED_VALUE"""),"Devin")</f>
        <v>Devin</v>
      </c>
      <c r="F8420" t="str">
        <f>IFERROR(__xludf.DUMMYFUNCTION("""COMPUTED_VALUE"""),"FS")</f>
        <v>FS</v>
      </c>
      <c r="G8420" t="str">
        <f>IFERROR(__xludf.DUMMYFUNCTION("""COMPUTED_VALUE"""),"")</f>
        <v/>
      </c>
    </row>
    <row r="8421">
      <c r="D8421" t="str">
        <f>IFERROR(__xludf.DUMMYFUNCTION("""COMPUTED_VALUE"""),"McCourty")</f>
        <v>McCourty</v>
      </c>
      <c r="E8421" t="str">
        <f>IFERROR(__xludf.DUMMYFUNCTION("""COMPUTED_VALUE"""),"Jason")</f>
        <v>Jason</v>
      </c>
      <c r="F8421" t="str">
        <f>IFERROR(__xludf.DUMMYFUNCTION("""COMPUTED_VALUE"""),"CB")</f>
        <v>CB</v>
      </c>
      <c r="G8421" t="str">
        <f>IFERROR(__xludf.DUMMYFUNCTION("""COMPUTED_VALUE"""),"")</f>
        <v/>
      </c>
    </row>
    <row r="8422">
      <c r="D8422" t="str">
        <f>IFERROR(__xludf.DUMMYFUNCTION("""COMPUTED_VALUE"""),"McCoy")</f>
        <v>McCoy</v>
      </c>
      <c r="E8422" t="str">
        <f>IFERROR(__xludf.DUMMYFUNCTION("""COMPUTED_VALUE"""),"Colt")</f>
        <v>Colt</v>
      </c>
      <c r="F8422" t="str">
        <f>IFERROR(__xludf.DUMMYFUNCTION("""COMPUTED_VALUE"""),"QB")</f>
        <v>QB</v>
      </c>
      <c r="G8422" t="str">
        <f>IFERROR(__xludf.DUMMYFUNCTION("""COMPUTED_VALUE"""),"")</f>
        <v/>
      </c>
    </row>
    <row r="8423">
      <c r="D8423" t="str">
        <f>IFERROR(__xludf.DUMMYFUNCTION("""COMPUTED_VALUE"""),"McCoy")</f>
        <v>McCoy</v>
      </c>
      <c r="E8423" t="str">
        <f>IFERROR(__xludf.DUMMYFUNCTION("""COMPUTED_VALUE"""),"Erik")</f>
        <v>Erik</v>
      </c>
      <c r="F8423" t="str">
        <f>IFERROR(__xludf.DUMMYFUNCTION("""COMPUTED_VALUE"""),"C")</f>
        <v>C</v>
      </c>
      <c r="G8423" t="str">
        <f>IFERROR(__xludf.DUMMYFUNCTION("""COMPUTED_VALUE"""),"")</f>
        <v/>
      </c>
    </row>
    <row r="8424">
      <c r="D8424" t="str">
        <f>IFERROR(__xludf.DUMMYFUNCTION("""COMPUTED_VALUE"""),"McCoy")</f>
        <v>McCoy</v>
      </c>
      <c r="E8424" t="str">
        <f>IFERROR(__xludf.DUMMYFUNCTION("""COMPUTED_VALUE"""),"Gerald")</f>
        <v>Gerald</v>
      </c>
      <c r="F8424" t="str">
        <f>IFERROR(__xludf.DUMMYFUNCTION("""COMPUTED_VALUE"""),"RE")</f>
        <v>RE</v>
      </c>
      <c r="G8424" t="str">
        <f>IFERROR(__xludf.DUMMYFUNCTION("""COMPUTED_VALUE"""),"")</f>
        <v/>
      </c>
    </row>
    <row r="8425">
      <c r="D8425" t="str">
        <f>IFERROR(__xludf.DUMMYFUNCTION("""COMPUTED_VALUE"""),"McCoy")</f>
        <v>McCoy</v>
      </c>
      <c r="E8425" t="str">
        <f>IFERROR(__xludf.DUMMYFUNCTION("""COMPUTED_VALUE"""),"LeSean")</f>
        <v>LeSean</v>
      </c>
      <c r="F8425" t="str">
        <f>IFERROR(__xludf.DUMMYFUNCTION("""COMPUTED_VALUE"""),"HB")</f>
        <v>HB</v>
      </c>
      <c r="G8425" t="str">
        <f>IFERROR(__xludf.DUMMYFUNCTION("""COMPUTED_VALUE"""),"")</f>
        <v/>
      </c>
    </row>
    <row r="8426">
      <c r="D8426" t="str">
        <f>IFERROR(__xludf.DUMMYFUNCTION("""COMPUTED_VALUE"""),"McCray")</f>
        <v>McCray</v>
      </c>
      <c r="E8426" t="str">
        <f>IFERROR(__xludf.DUMMYFUNCTION("""COMPUTED_VALUE"""),"Justin")</f>
        <v>Justin</v>
      </c>
      <c r="F8426" t="str">
        <f>IFERROR(__xludf.DUMMYFUNCTION("""COMPUTED_VALUE"""),"RG")</f>
        <v>RG</v>
      </c>
      <c r="G8426" t="str">
        <f>IFERROR(__xludf.DUMMYFUNCTION("""COMPUTED_VALUE"""),"")</f>
        <v/>
      </c>
    </row>
    <row r="8427">
      <c r="D8427" t="str">
        <f>IFERROR(__xludf.DUMMYFUNCTION("""COMPUTED_VALUE"""),"McCray")</f>
        <v>McCray</v>
      </c>
      <c r="E8427" t="str">
        <f>IFERROR(__xludf.DUMMYFUNCTION("""COMPUTED_VALUE"""),"Lerentee")</f>
        <v>Lerentee</v>
      </c>
      <c r="F8427" t="str">
        <f>IFERROR(__xludf.DUMMYFUNCTION("""COMPUTED_VALUE"""),"RE")</f>
        <v>RE</v>
      </c>
      <c r="G8427" t="str">
        <f>IFERROR(__xludf.DUMMYFUNCTION("""COMPUTED_VALUE"""),"")</f>
        <v/>
      </c>
    </row>
    <row r="8428">
      <c r="D8428" t="str">
        <f>IFERROR(__xludf.DUMMYFUNCTION("""COMPUTED_VALUE"""),"McCullers")</f>
        <v>McCullers</v>
      </c>
      <c r="E8428" t="str">
        <f>IFERROR(__xludf.DUMMYFUNCTION("""COMPUTED_VALUE"""),"Dan")</f>
        <v>Dan</v>
      </c>
      <c r="F8428" t="str">
        <f>IFERROR(__xludf.DUMMYFUNCTION("""COMPUTED_VALUE"""),"DT")</f>
        <v>DT</v>
      </c>
      <c r="G8428" t="str">
        <f>IFERROR(__xludf.DUMMYFUNCTION("""COMPUTED_VALUE"""),"")</f>
        <v/>
      </c>
    </row>
    <row r="8429">
      <c r="D8429" t="str">
        <f>IFERROR(__xludf.DUMMYFUNCTION("""COMPUTED_VALUE"""),"McDermott")</f>
        <v>McDermott</v>
      </c>
      <c r="E8429" t="str">
        <f>IFERROR(__xludf.DUMMYFUNCTION("""COMPUTED_VALUE"""),"Conor")</f>
        <v>Conor</v>
      </c>
      <c r="F8429" t="str">
        <f>IFERROR(__xludf.DUMMYFUNCTION("""COMPUTED_VALUE"""),"RT")</f>
        <v>RT</v>
      </c>
      <c r="G8429" t="str">
        <f>IFERROR(__xludf.DUMMYFUNCTION("""COMPUTED_VALUE"""),"")</f>
        <v/>
      </c>
    </row>
    <row r="8430">
      <c r="D8430" t="str">
        <f>IFERROR(__xludf.DUMMYFUNCTION("""COMPUTED_VALUE"""),"McDermott")</f>
        <v>McDermott</v>
      </c>
      <c r="E8430" t="str">
        <f>IFERROR(__xludf.DUMMYFUNCTION("""COMPUTED_VALUE"""),"KC")</f>
        <v>KC</v>
      </c>
      <c r="F8430" t="str">
        <f>IFERROR(__xludf.DUMMYFUNCTION("""COMPUTED_VALUE"""),"LG")</f>
        <v>LG</v>
      </c>
      <c r="G8430" t="str">
        <f>IFERROR(__xludf.DUMMYFUNCTION("""COMPUTED_VALUE"""),"")</f>
        <v/>
      </c>
    </row>
    <row r="8431">
      <c r="D8431" t="str">
        <f>IFERROR(__xludf.DUMMYFUNCTION("""COMPUTED_VALUE"""),"McDermott")</f>
        <v>McDermott</v>
      </c>
      <c r="E8431" t="str">
        <f>IFERROR(__xludf.DUMMYFUNCTION("""COMPUTED_VALUE"""),"Kevin")</f>
        <v>Kevin</v>
      </c>
      <c r="F8431" t="str">
        <f>IFERROR(__xludf.DUMMYFUNCTION("""COMPUTED_VALUE"""),"TE")</f>
        <v>TE</v>
      </c>
      <c r="G8431" t="str">
        <f>IFERROR(__xludf.DUMMYFUNCTION("""COMPUTED_VALUE"""),"")</f>
        <v/>
      </c>
    </row>
    <row r="8432">
      <c r="D8432" t="str">
        <f>IFERROR(__xludf.DUMMYFUNCTION("""COMPUTED_VALUE"""),"McDonald")</f>
        <v>McDonald</v>
      </c>
      <c r="E8432" t="str">
        <f>IFERROR(__xludf.DUMMYFUNCTION("""COMPUTED_VALUE"""),"TJ")</f>
        <v>TJ</v>
      </c>
      <c r="F8432" t="str">
        <f>IFERROR(__xludf.DUMMYFUNCTION("""COMPUTED_VALUE"""),"FS")</f>
        <v>FS</v>
      </c>
      <c r="G8432" t="str">
        <f>IFERROR(__xludf.DUMMYFUNCTION("""COMPUTED_VALUE"""),"")</f>
        <v/>
      </c>
    </row>
    <row r="8433">
      <c r="D8433" t="str">
        <f>IFERROR(__xludf.DUMMYFUNCTION("""COMPUTED_VALUE"""),"McDonald")</f>
        <v>McDonald</v>
      </c>
      <c r="E8433" t="str">
        <f>IFERROR(__xludf.DUMMYFUNCTION("""COMPUTED_VALUE"""),"Vance")</f>
        <v>Vance</v>
      </c>
      <c r="F8433" t="str">
        <f>IFERROR(__xludf.DUMMYFUNCTION("""COMPUTED_VALUE"""),"TE")</f>
        <v>TE</v>
      </c>
      <c r="G8433" t="str">
        <f>IFERROR(__xludf.DUMMYFUNCTION("""COMPUTED_VALUE"""),"")</f>
        <v/>
      </c>
    </row>
    <row r="8434">
      <c r="D8434" t="str">
        <f>IFERROR(__xludf.DUMMYFUNCTION("""COMPUTED_VALUE"""),"McDougald")</f>
        <v>McDougald</v>
      </c>
      <c r="E8434" t="str">
        <f>IFERROR(__xludf.DUMMYFUNCTION("""COMPUTED_VALUE"""),"Bradley")</f>
        <v>Bradley</v>
      </c>
      <c r="F8434" t="str">
        <f>IFERROR(__xludf.DUMMYFUNCTION("""COMPUTED_VALUE"""),"FS")</f>
        <v>FS</v>
      </c>
      <c r="G8434" t="str">
        <f>IFERROR(__xludf.DUMMYFUNCTION("""COMPUTED_VALUE"""),"")</f>
        <v/>
      </c>
    </row>
    <row r="8435">
      <c r="D8435" t="str">
        <f>IFERROR(__xludf.DUMMYFUNCTION("""COMPUTED_VALUE"""),"McGary")</f>
        <v>McGary</v>
      </c>
      <c r="E8435" t="str">
        <f>IFERROR(__xludf.DUMMYFUNCTION("""COMPUTED_VALUE"""),"Kaleb")</f>
        <v>Kaleb</v>
      </c>
      <c r="F8435" t="str">
        <f>IFERROR(__xludf.DUMMYFUNCTION("""COMPUTED_VALUE"""),"RT")</f>
        <v>RT</v>
      </c>
      <c r="G8435" t="str">
        <f>IFERROR(__xludf.DUMMYFUNCTION("""COMPUTED_VALUE"""),"")</f>
        <v/>
      </c>
    </row>
    <row r="8436">
      <c r="D8436" t="str">
        <f>IFERROR(__xludf.DUMMYFUNCTION("""COMPUTED_VALUE"""),"McGill")</f>
        <v>McGill</v>
      </c>
      <c r="E8436" t="str">
        <f>IFERROR(__xludf.DUMMYFUNCTION("""COMPUTED_VALUE"""),"TY")</f>
        <v>TY</v>
      </c>
      <c r="F8436" t="str">
        <f>IFERROR(__xludf.DUMMYFUNCTION("""COMPUTED_VALUE"""),"DT")</f>
        <v>DT</v>
      </c>
      <c r="G8436" t="str">
        <f>IFERROR(__xludf.DUMMYFUNCTION("""COMPUTED_VALUE"""),"")</f>
        <v/>
      </c>
    </row>
    <row r="8437">
      <c r="D8437" t="str">
        <f>IFERROR(__xludf.DUMMYFUNCTION("""COMPUTED_VALUE"""),"McGlinchey")</f>
        <v>McGlinchey</v>
      </c>
      <c r="E8437" t="str">
        <f>IFERROR(__xludf.DUMMYFUNCTION("""COMPUTED_VALUE"""),"Mike")</f>
        <v>Mike</v>
      </c>
      <c r="F8437" t="str">
        <f>IFERROR(__xludf.DUMMYFUNCTION("""COMPUTED_VALUE"""),"RT")</f>
        <v>RT</v>
      </c>
      <c r="G8437" t="str">
        <f>IFERROR(__xludf.DUMMYFUNCTION("""COMPUTED_VALUE"""),"")</f>
        <v/>
      </c>
    </row>
    <row r="8438">
      <c r="D8438" t="str">
        <f>IFERROR(__xludf.DUMMYFUNCTION("""COMPUTED_VALUE"""),"McGough")</f>
        <v>McGough</v>
      </c>
      <c r="E8438" t="str">
        <f>IFERROR(__xludf.DUMMYFUNCTION("""COMPUTED_VALUE"""),"Alex")</f>
        <v>Alex</v>
      </c>
      <c r="F8438" t="str">
        <f>IFERROR(__xludf.DUMMYFUNCTION("""COMPUTED_VALUE"""),"QB")</f>
        <v>QB</v>
      </c>
      <c r="G8438" t="str">
        <f>IFERROR(__xludf.DUMMYFUNCTION("""COMPUTED_VALUE"""),"")</f>
        <v/>
      </c>
    </row>
    <row r="8439">
      <c r="D8439" t="str">
        <f>IFERROR(__xludf.DUMMYFUNCTION("""COMPUTED_VALUE"""),"McGovern")</f>
        <v>McGovern</v>
      </c>
      <c r="E8439" t="str">
        <f>IFERROR(__xludf.DUMMYFUNCTION("""COMPUTED_VALUE"""),"Connor")</f>
        <v>Connor</v>
      </c>
      <c r="F8439" t="str">
        <f>IFERROR(__xludf.DUMMYFUNCTION("""COMPUTED_VALUE"""),"RG")</f>
        <v>RG</v>
      </c>
      <c r="G8439" t="str">
        <f>IFERROR(__xludf.DUMMYFUNCTION("""COMPUTED_VALUE"""),"")</f>
        <v/>
      </c>
    </row>
    <row r="8440">
      <c r="D8440" t="str">
        <f>IFERROR(__xludf.DUMMYFUNCTION("""COMPUTED_VALUE"""),"McGovern")</f>
        <v>McGovern</v>
      </c>
      <c r="E8440" t="str">
        <f>IFERROR(__xludf.DUMMYFUNCTION("""COMPUTED_VALUE"""),"Connor")</f>
        <v>Connor</v>
      </c>
      <c r="F8440" t="str">
        <f>IFERROR(__xludf.DUMMYFUNCTION("""COMPUTED_VALUE"""),"RG")</f>
        <v>RG</v>
      </c>
      <c r="G8440" t="str">
        <f>IFERROR(__xludf.DUMMYFUNCTION("""COMPUTED_VALUE"""),"")</f>
        <v/>
      </c>
    </row>
    <row r="8441">
      <c r="D8441" t="str">
        <f>IFERROR(__xludf.DUMMYFUNCTION("""COMPUTED_VALUE"""),"McGuire")</f>
        <v>McGuire</v>
      </c>
      <c r="E8441" t="str">
        <f>IFERROR(__xludf.DUMMYFUNCTION("""COMPUTED_VALUE"""),"Elijah")</f>
        <v>Elijah</v>
      </c>
      <c r="F8441" t="str">
        <f>IFERROR(__xludf.DUMMYFUNCTION("""COMPUTED_VALUE"""),"HB")</f>
        <v>HB</v>
      </c>
      <c r="G8441" t="str">
        <f>IFERROR(__xludf.DUMMYFUNCTION("""COMPUTED_VALUE"""),"")</f>
        <v/>
      </c>
    </row>
    <row r="8442">
      <c r="D8442" t="str">
        <f>IFERROR(__xludf.DUMMYFUNCTION("""COMPUTED_VALUE"""),"McIntosh")</f>
        <v>McIntosh</v>
      </c>
      <c r="E8442" t="str">
        <f>IFERROR(__xludf.DUMMYFUNCTION("""COMPUTED_VALUE"""),"RJ")</f>
        <v>RJ</v>
      </c>
      <c r="F8442" t="str">
        <f>IFERROR(__xludf.DUMMYFUNCTION("""COMPUTED_VALUE"""),"RE")</f>
        <v>RE</v>
      </c>
      <c r="G8442" t="str">
        <f>IFERROR(__xludf.DUMMYFUNCTION("""COMPUTED_VALUE"""),"")</f>
        <v/>
      </c>
    </row>
    <row r="8443">
      <c r="D8443" t="str">
        <f>IFERROR(__xludf.DUMMYFUNCTION("""COMPUTED_VALUE"""),"McKenzie")</f>
        <v>McKenzie</v>
      </c>
      <c r="E8443" t="str">
        <f>IFERROR(__xludf.DUMMYFUNCTION("""COMPUTED_VALUE"""),"Isaiah")</f>
        <v>Isaiah</v>
      </c>
      <c r="F8443" t="str">
        <f>IFERROR(__xludf.DUMMYFUNCTION("""COMPUTED_VALUE"""),"WR")</f>
        <v>WR</v>
      </c>
      <c r="G8443" t="str">
        <f>IFERROR(__xludf.DUMMYFUNCTION("""COMPUTED_VALUE"""),"")</f>
        <v/>
      </c>
    </row>
    <row r="8444">
      <c r="D8444" t="str">
        <f>IFERROR(__xludf.DUMMYFUNCTION("""COMPUTED_VALUE"""),"McKenzie")</f>
        <v>McKenzie</v>
      </c>
      <c r="E8444" t="str">
        <f>IFERROR(__xludf.DUMMYFUNCTION("""COMPUTED_VALUE"""),"Kahlil")</f>
        <v>Kahlil</v>
      </c>
      <c r="F8444" t="str">
        <f>IFERROR(__xludf.DUMMYFUNCTION("""COMPUTED_VALUE"""),"LG")</f>
        <v>LG</v>
      </c>
      <c r="G8444" t="str">
        <f>IFERROR(__xludf.DUMMYFUNCTION("""COMPUTED_VALUE"""),"")</f>
        <v/>
      </c>
    </row>
    <row r="8445">
      <c r="D8445" t="str">
        <f>IFERROR(__xludf.DUMMYFUNCTION("""COMPUTED_VALUE"""),"McKinley")</f>
        <v>McKinley</v>
      </c>
      <c r="E8445" t="str">
        <f>IFERROR(__xludf.DUMMYFUNCTION("""COMPUTED_VALUE"""),"Takkarist")</f>
        <v>Takkarist</v>
      </c>
      <c r="F8445" t="str">
        <f>IFERROR(__xludf.DUMMYFUNCTION("""COMPUTED_VALUE"""),"RE")</f>
        <v>RE</v>
      </c>
      <c r="G8445" t="str">
        <f>IFERROR(__xludf.DUMMYFUNCTION("""COMPUTED_VALUE"""),"")</f>
        <v/>
      </c>
    </row>
    <row r="8446">
      <c r="D8446" t="str">
        <f>IFERROR(__xludf.DUMMYFUNCTION("""COMPUTED_VALUE"""),"McKinney")</f>
        <v>McKinney</v>
      </c>
      <c r="E8446" t="str">
        <f>IFERROR(__xludf.DUMMYFUNCTION("""COMPUTED_VALUE"""),"Benardrick")</f>
        <v>Benardrick</v>
      </c>
      <c r="F8446" t="str">
        <f>IFERROR(__xludf.DUMMYFUNCTION("""COMPUTED_VALUE"""),"MLB")</f>
        <v>MLB</v>
      </c>
      <c r="G8446" t="str">
        <f>IFERROR(__xludf.DUMMYFUNCTION("""COMPUTED_VALUE"""),"")</f>
        <v/>
      </c>
    </row>
    <row r="8447">
      <c r="D8447" t="str">
        <f>IFERROR(__xludf.DUMMYFUNCTION("""COMPUTED_VALUE"""),"McKinnon")</f>
        <v>McKinnon</v>
      </c>
      <c r="E8447" t="str">
        <f>IFERROR(__xludf.DUMMYFUNCTION("""COMPUTED_VALUE"""),"Jeremiah")</f>
        <v>Jeremiah</v>
      </c>
      <c r="F8447" t="str">
        <f>IFERROR(__xludf.DUMMYFUNCTION("""COMPUTED_VALUE"""),"CB")</f>
        <v>CB</v>
      </c>
      <c r="G8447" t="str">
        <f>IFERROR(__xludf.DUMMYFUNCTION("""COMPUTED_VALUE"""),"")</f>
        <v/>
      </c>
    </row>
    <row r="8448">
      <c r="D8448" t="str">
        <f>IFERROR(__xludf.DUMMYFUNCTION("""COMPUTED_VALUE"""),"McKinnon")</f>
        <v>McKinnon</v>
      </c>
      <c r="E8448" t="str">
        <f>IFERROR(__xludf.DUMMYFUNCTION("""COMPUTED_VALUE"""),"Jerick")</f>
        <v>Jerick</v>
      </c>
      <c r="F8448" t="str">
        <f>IFERROR(__xludf.DUMMYFUNCTION("""COMPUTED_VALUE"""),"HB")</f>
        <v>HB</v>
      </c>
      <c r="G8448" t="str">
        <f>IFERROR(__xludf.DUMMYFUNCTION("""COMPUTED_VALUE"""),"")</f>
        <v/>
      </c>
    </row>
    <row r="8449">
      <c r="D8449" t="str">
        <f>IFERROR(__xludf.DUMMYFUNCTION("""COMPUTED_VALUE"""),"McKinzy")</f>
        <v>McKinzy</v>
      </c>
      <c r="E8449" t="str">
        <f>IFERROR(__xludf.DUMMYFUNCTION("""COMPUTED_VALUE"""),"Cassanova")</f>
        <v>Cassanova</v>
      </c>
      <c r="F8449" t="str">
        <f>IFERROR(__xludf.DUMMYFUNCTION("""COMPUTED_VALUE"""),"ROLB")</f>
        <v>ROLB</v>
      </c>
      <c r="G8449" t="str">
        <f>IFERROR(__xludf.DUMMYFUNCTION("""COMPUTED_VALUE"""),"")</f>
        <v/>
      </c>
    </row>
    <row r="8450">
      <c r="D8450" t="str">
        <f>IFERROR(__xludf.DUMMYFUNCTION("""COMPUTED_VALUE"""),"McKissic")</f>
        <v>McKissic</v>
      </c>
      <c r="E8450" t="str">
        <f>IFERROR(__xludf.DUMMYFUNCTION("""COMPUTED_VALUE"""),"JD")</f>
        <v>JD</v>
      </c>
      <c r="F8450" t="str">
        <f>IFERROR(__xludf.DUMMYFUNCTION("""COMPUTED_VALUE"""),"HB")</f>
        <v>HB</v>
      </c>
      <c r="G8450" t="str">
        <f>IFERROR(__xludf.DUMMYFUNCTION("""COMPUTED_VALUE"""),"")</f>
        <v/>
      </c>
    </row>
    <row r="8451">
      <c r="D8451" t="str">
        <f>IFERROR(__xludf.DUMMYFUNCTION("""COMPUTED_VALUE"""),"McLaurin")</f>
        <v>McLaurin</v>
      </c>
      <c r="E8451" t="str">
        <f>IFERROR(__xludf.DUMMYFUNCTION("""COMPUTED_VALUE"""),"Mark")</f>
        <v>Mark</v>
      </c>
      <c r="F8451" t="str">
        <f>IFERROR(__xludf.DUMMYFUNCTION("""COMPUTED_VALUE"""),"SS")</f>
        <v>SS</v>
      </c>
      <c r="G8451" t="str">
        <f>IFERROR(__xludf.DUMMYFUNCTION("""COMPUTED_VALUE"""),"")</f>
        <v/>
      </c>
    </row>
    <row r="8452">
      <c r="D8452" t="str">
        <f>IFERROR(__xludf.DUMMYFUNCTION("""COMPUTED_VALUE"""),"McLaurin")</f>
        <v>McLaurin</v>
      </c>
      <c r="E8452" t="str">
        <f>IFERROR(__xludf.DUMMYFUNCTION("""COMPUTED_VALUE"""),"Terry")</f>
        <v>Terry</v>
      </c>
      <c r="F8452" t="str">
        <f>IFERROR(__xludf.DUMMYFUNCTION("""COMPUTED_VALUE"""),"WR")</f>
        <v>WR</v>
      </c>
      <c r="G8452" t="str">
        <f>IFERROR(__xludf.DUMMYFUNCTION("""COMPUTED_VALUE"""),"")</f>
        <v/>
      </c>
    </row>
    <row r="8453">
      <c r="D8453" t="str">
        <f>IFERROR(__xludf.DUMMYFUNCTION("""COMPUTED_VALUE"""),"McLendon")</f>
        <v>McLendon</v>
      </c>
      <c r="E8453" t="str">
        <f>IFERROR(__xludf.DUMMYFUNCTION("""COMPUTED_VALUE"""),"Steve")</f>
        <v>Steve</v>
      </c>
      <c r="F8453" t="str">
        <f>IFERROR(__xludf.DUMMYFUNCTION("""COMPUTED_VALUE"""),"DT")</f>
        <v>DT</v>
      </c>
      <c r="G8453" t="str">
        <f>IFERROR(__xludf.DUMMYFUNCTION("""COMPUTED_VALUE"""),"")</f>
        <v/>
      </c>
    </row>
    <row r="8454">
      <c r="D8454" t="str">
        <f>IFERROR(__xludf.DUMMYFUNCTION("""COMPUTED_VALUE"""),"McLeod")</f>
        <v>McLeod</v>
      </c>
      <c r="E8454" t="str">
        <f>IFERROR(__xludf.DUMMYFUNCTION("""COMPUTED_VALUE"""),"Rodney")</f>
        <v>Rodney</v>
      </c>
      <c r="F8454" t="str">
        <f>IFERROR(__xludf.DUMMYFUNCTION("""COMPUTED_VALUE"""),"FS")</f>
        <v>FS</v>
      </c>
      <c r="G8454" t="str">
        <f>IFERROR(__xludf.DUMMYFUNCTION("""COMPUTED_VALUE"""),"")</f>
        <v/>
      </c>
    </row>
    <row r="8455">
      <c r="D8455" t="str">
        <f>IFERROR(__xludf.DUMMYFUNCTION("""COMPUTED_VALUE"""),"McManis")</f>
        <v>McManis</v>
      </c>
      <c r="E8455" t="str">
        <f>IFERROR(__xludf.DUMMYFUNCTION("""COMPUTED_VALUE"""),"Sherrick")</f>
        <v>Sherrick</v>
      </c>
      <c r="F8455" t="str">
        <f>IFERROR(__xludf.DUMMYFUNCTION("""COMPUTED_VALUE"""),"CB")</f>
        <v>CB</v>
      </c>
      <c r="G8455" t="str">
        <f>IFERROR(__xludf.DUMMYFUNCTION("""COMPUTED_VALUE"""),"")</f>
        <v/>
      </c>
    </row>
    <row r="8456">
      <c r="D8456" t="str">
        <f>IFERROR(__xludf.DUMMYFUNCTION("""COMPUTED_VALUE"""),"McManus")</f>
        <v>McManus</v>
      </c>
      <c r="E8456" t="str">
        <f>IFERROR(__xludf.DUMMYFUNCTION("""COMPUTED_VALUE"""),"Brandon")</f>
        <v>Brandon</v>
      </c>
      <c r="F8456" t="str">
        <f>IFERROR(__xludf.DUMMYFUNCTION("""COMPUTED_VALUE"""),"K")</f>
        <v>K</v>
      </c>
      <c r="G8456" t="str">
        <f>IFERROR(__xludf.DUMMYFUNCTION("""COMPUTED_VALUE"""),"")</f>
        <v/>
      </c>
    </row>
    <row r="8457">
      <c r="D8457" t="str">
        <f>IFERROR(__xludf.DUMMYFUNCTION("""COMPUTED_VALUE"""),"McMillan")</f>
        <v>McMillan</v>
      </c>
      <c r="E8457" t="str">
        <f>IFERROR(__xludf.DUMMYFUNCTION("""COMPUTED_VALUE"""),"Raekwon")</f>
        <v>Raekwon</v>
      </c>
      <c r="F8457" t="str">
        <f>IFERROR(__xludf.DUMMYFUNCTION("""COMPUTED_VALUE"""),"MLB")</f>
        <v>MLB</v>
      </c>
      <c r="G8457" t="str">
        <f>IFERROR(__xludf.DUMMYFUNCTION("""COMPUTED_VALUE"""),"")</f>
        <v/>
      </c>
    </row>
    <row r="8458">
      <c r="D8458" t="str">
        <f>IFERROR(__xludf.DUMMYFUNCTION("""COMPUTED_VALUE"""),"McNichols")</f>
        <v>McNichols</v>
      </c>
      <c r="E8458" t="str">
        <f>IFERROR(__xludf.DUMMYFUNCTION("""COMPUTED_VALUE"""),"Jeremy")</f>
        <v>Jeremy</v>
      </c>
      <c r="F8458" t="str">
        <f>IFERROR(__xludf.DUMMYFUNCTION("""COMPUTED_VALUE"""),"HB")</f>
        <v>HB</v>
      </c>
      <c r="G8458" t="str">
        <f>IFERROR(__xludf.DUMMYFUNCTION("""COMPUTED_VALUE"""),"")</f>
        <v/>
      </c>
    </row>
    <row r="8459">
      <c r="D8459" t="str">
        <f>IFERROR(__xludf.DUMMYFUNCTION("""COMPUTED_VALUE"""),"McPhee")</f>
        <v>McPhee</v>
      </c>
      <c r="E8459" t="str">
        <f>IFERROR(__xludf.DUMMYFUNCTION("""COMPUTED_VALUE"""),"Pernell")</f>
        <v>Pernell</v>
      </c>
      <c r="F8459" t="str">
        <f>IFERROR(__xludf.DUMMYFUNCTION("""COMPUTED_VALUE"""),"ROLB")</f>
        <v>ROLB</v>
      </c>
      <c r="G8459" t="str">
        <f>IFERROR(__xludf.DUMMYFUNCTION("""COMPUTED_VALUE"""),"")</f>
        <v/>
      </c>
    </row>
    <row r="8460">
      <c r="D8460" t="str">
        <f>IFERROR(__xludf.DUMMYFUNCTION("""COMPUTED_VALUE"""),"McQuaide")</f>
        <v>McQuaide</v>
      </c>
      <c r="E8460" t="str">
        <f>IFERROR(__xludf.DUMMYFUNCTION("""COMPUTED_VALUE"""),"Jake")</f>
        <v>Jake</v>
      </c>
      <c r="F8460" t="str">
        <f>IFERROR(__xludf.DUMMYFUNCTION("""COMPUTED_VALUE"""),"TE")</f>
        <v>TE</v>
      </c>
      <c r="G8460" t="str">
        <f>IFERROR(__xludf.DUMMYFUNCTION("""COMPUTED_VALUE"""),"")</f>
        <v/>
      </c>
    </row>
    <row r="8461">
      <c r="D8461" t="str">
        <f>IFERROR(__xludf.DUMMYFUNCTION("""COMPUTED_VALUE"""),"McRae")</f>
        <v>McRae</v>
      </c>
      <c r="E8461" t="str">
        <f>IFERROR(__xludf.DUMMYFUNCTION("""COMPUTED_VALUE"""),"Tony")</f>
        <v>Tony</v>
      </c>
      <c r="F8461" t="str">
        <f>IFERROR(__xludf.DUMMYFUNCTION("""COMPUTED_VALUE"""),"CB")</f>
        <v>CB</v>
      </c>
      <c r="G8461" t="str">
        <f>IFERROR(__xludf.DUMMYFUNCTION("""COMPUTED_VALUE"""),"")</f>
        <v/>
      </c>
    </row>
    <row r="8462">
      <c r="D8462" t="str">
        <f>IFERROR(__xludf.DUMMYFUNCTION("""COMPUTED_VALUE"""),"McSorley")</f>
        <v>McSorley</v>
      </c>
      <c r="E8462" t="str">
        <f>IFERROR(__xludf.DUMMYFUNCTION("""COMPUTED_VALUE"""),"Trace")</f>
        <v>Trace</v>
      </c>
      <c r="F8462" t="str">
        <f>IFERROR(__xludf.DUMMYFUNCTION("""COMPUTED_VALUE"""),"QB")</f>
        <v>QB</v>
      </c>
      <c r="G8462" t="str">
        <f>IFERROR(__xludf.DUMMYFUNCTION("""COMPUTED_VALUE"""),"")</f>
        <v/>
      </c>
    </row>
    <row r="8463">
      <c r="D8463" t="str">
        <f>IFERROR(__xludf.DUMMYFUNCTION("""COMPUTED_VALUE"""),"McTyer")</f>
        <v>McTyer</v>
      </c>
      <c r="E8463" t="str">
        <f>IFERROR(__xludf.DUMMYFUNCTION("""COMPUTED_VALUE"""),"Torry")</f>
        <v>Torry</v>
      </c>
      <c r="F8463" t="str">
        <f>IFERROR(__xludf.DUMMYFUNCTION("""COMPUTED_VALUE"""),"CB")</f>
        <v>CB</v>
      </c>
      <c r="G8463" t="str">
        <f>IFERROR(__xludf.DUMMYFUNCTION("""COMPUTED_VALUE"""),"")</f>
        <v/>
      </c>
    </row>
    <row r="8464">
      <c r="D8464" t="str">
        <f>IFERROR(__xludf.DUMMYFUNCTION("""COMPUTED_VALUE"""),"Meander")</f>
        <v>Meander</v>
      </c>
      <c r="E8464" t="str">
        <f>IFERROR(__xludf.DUMMYFUNCTION("""COMPUTED_VALUE"""),"Montrel")</f>
        <v>Montrel</v>
      </c>
      <c r="F8464" t="str">
        <f>IFERROR(__xludf.DUMMYFUNCTION("""COMPUTED_VALUE"""),"CB")</f>
        <v>CB</v>
      </c>
      <c r="G8464" t="str">
        <f>IFERROR(__xludf.DUMMYFUNCTION("""COMPUTED_VALUE"""),"")</f>
        <v/>
      </c>
    </row>
    <row r="8465">
      <c r="D8465" t="str">
        <f>IFERROR(__xludf.DUMMYFUNCTION("""COMPUTED_VALUE"""),"Means")</f>
        <v>Means</v>
      </c>
      <c r="E8465" t="str">
        <f>IFERROR(__xludf.DUMMYFUNCTION("""COMPUTED_VALUE"""),"Steven")</f>
        <v>Steven</v>
      </c>
      <c r="F8465" t="str">
        <f>IFERROR(__xludf.DUMMYFUNCTION("""COMPUTED_VALUE"""),"LE")</f>
        <v>LE</v>
      </c>
      <c r="G8465" t="str">
        <f>IFERROR(__xludf.DUMMYFUNCTION("""COMPUTED_VALUE"""),"")</f>
        <v/>
      </c>
    </row>
    <row r="8466">
      <c r="D8466" t="str">
        <f>IFERROR(__xludf.DUMMYFUNCTION("""COMPUTED_VALUE"""),"Mebane")</f>
        <v>Mebane</v>
      </c>
      <c r="E8466" t="str">
        <f>IFERROR(__xludf.DUMMYFUNCTION("""COMPUTED_VALUE"""),"Brandon")</f>
        <v>Brandon</v>
      </c>
      <c r="F8466" t="str">
        <f>IFERROR(__xludf.DUMMYFUNCTION("""COMPUTED_VALUE"""),"DT")</f>
        <v>DT</v>
      </c>
      <c r="G8466" t="str">
        <f>IFERROR(__xludf.DUMMYFUNCTION("""COMPUTED_VALUE"""),"")</f>
        <v/>
      </c>
    </row>
    <row r="8467">
      <c r="D8467" t="str">
        <f>IFERROR(__xludf.DUMMYFUNCTION("""COMPUTED_VALUE"""),"Meder")</f>
        <v>Meder</v>
      </c>
      <c r="E8467" t="str">
        <f>IFERROR(__xludf.DUMMYFUNCTION("""COMPUTED_VALUE"""),"Jamie")</f>
        <v>Jamie</v>
      </c>
      <c r="F8467" t="str">
        <f>IFERROR(__xludf.DUMMYFUNCTION("""COMPUTED_VALUE"""),"DT")</f>
        <v>DT</v>
      </c>
      <c r="G8467" t="str">
        <f>IFERROR(__xludf.DUMMYFUNCTION("""COMPUTED_VALUE"""),"")</f>
        <v/>
      </c>
    </row>
    <row r="8468">
      <c r="D8468" t="str">
        <f>IFERROR(__xludf.DUMMYFUNCTION("""COMPUTED_VALUE"""),"Meeks")</f>
        <v>Meeks</v>
      </c>
      <c r="E8468" t="str">
        <f>IFERROR(__xludf.DUMMYFUNCTION("""COMPUTED_VALUE"""),"Quenton")</f>
        <v>Quenton</v>
      </c>
      <c r="F8468" t="str">
        <f>IFERROR(__xludf.DUMMYFUNCTION("""COMPUTED_VALUE"""),"CB")</f>
        <v>CB</v>
      </c>
      <c r="G8468" t="str">
        <f>IFERROR(__xludf.DUMMYFUNCTION("""COMPUTED_VALUE"""),"")</f>
        <v/>
      </c>
    </row>
    <row r="8469">
      <c r="D8469" t="str">
        <f>IFERROR(__xludf.DUMMYFUNCTION("""COMPUTED_VALUE"""),"Melifonwu")</f>
        <v>Melifonwu</v>
      </c>
      <c r="E8469" t="str">
        <f>IFERROR(__xludf.DUMMYFUNCTION("""COMPUTED_VALUE"""),"Obi")</f>
        <v>Obi</v>
      </c>
      <c r="F8469" t="str">
        <f>IFERROR(__xludf.DUMMYFUNCTION("""COMPUTED_VALUE"""),"SS")</f>
        <v>SS</v>
      </c>
      <c r="G8469" t="str">
        <f>IFERROR(__xludf.DUMMYFUNCTION("""COMPUTED_VALUE"""),"")</f>
        <v/>
      </c>
    </row>
    <row r="8470">
      <c r="D8470" t="str">
        <f>IFERROR(__xludf.DUMMYFUNCTION("""COMPUTED_VALUE"""),"Melvin")</f>
        <v>Melvin</v>
      </c>
      <c r="E8470" t="str">
        <f>IFERROR(__xludf.DUMMYFUNCTION("""COMPUTED_VALUE"""),"Rashaan")</f>
        <v>Rashaan</v>
      </c>
      <c r="F8470" t="str">
        <f>IFERROR(__xludf.DUMMYFUNCTION("""COMPUTED_VALUE"""),"CB")</f>
        <v>CB</v>
      </c>
      <c r="G8470" t="str">
        <f>IFERROR(__xludf.DUMMYFUNCTION("""COMPUTED_VALUE"""),"")</f>
        <v/>
      </c>
    </row>
    <row r="8471">
      <c r="D8471" t="str">
        <f>IFERROR(__xludf.DUMMYFUNCTION("""COMPUTED_VALUE"""),"Mercilus")</f>
        <v>Mercilus</v>
      </c>
      <c r="E8471" t="str">
        <f>IFERROR(__xludf.DUMMYFUNCTION("""COMPUTED_VALUE"""),"Whitney")</f>
        <v>Whitney</v>
      </c>
      <c r="F8471" t="str">
        <f>IFERROR(__xludf.DUMMYFUNCTION("""COMPUTED_VALUE"""),"LOLB")</f>
        <v>LOLB</v>
      </c>
      <c r="G8471" t="str">
        <f>IFERROR(__xludf.DUMMYFUNCTION("""COMPUTED_VALUE"""),"")</f>
        <v/>
      </c>
    </row>
    <row r="8472">
      <c r="D8472" t="str">
        <f>IFERROR(__xludf.DUMMYFUNCTION("""COMPUTED_VALUE"""),"Meredith")</f>
        <v>Meredith</v>
      </c>
      <c r="E8472" t="str">
        <f>IFERROR(__xludf.DUMMYFUNCTION("""COMPUTED_VALUE"""),"Cameron")</f>
        <v>Cameron</v>
      </c>
      <c r="F8472" t="str">
        <f>IFERROR(__xludf.DUMMYFUNCTION("""COMPUTED_VALUE"""),"WR")</f>
        <v>WR</v>
      </c>
      <c r="G8472" t="str">
        <f>IFERROR(__xludf.DUMMYFUNCTION("""COMPUTED_VALUE"""),"")</f>
        <v/>
      </c>
    </row>
    <row r="8473">
      <c r="D8473" t="str">
        <f>IFERROR(__xludf.DUMMYFUNCTION("""COMPUTED_VALUE"""),"Metcalf")</f>
        <v>Metcalf</v>
      </c>
      <c r="E8473" t="str">
        <f>IFERROR(__xludf.DUMMYFUNCTION("""COMPUTED_VALUE"""),"D.K.")</f>
        <v>D.K.</v>
      </c>
      <c r="F8473" t="str">
        <f>IFERROR(__xludf.DUMMYFUNCTION("""COMPUTED_VALUE"""),"WR")</f>
        <v>WR</v>
      </c>
      <c r="G8473" t="str">
        <f>IFERROR(__xludf.DUMMYFUNCTION("""COMPUTED_VALUE"""),"")</f>
        <v/>
      </c>
    </row>
    <row r="8474">
      <c r="D8474" t="str">
        <f>IFERROR(__xludf.DUMMYFUNCTION("""COMPUTED_VALUE"""),"Michel")</f>
        <v>Michel</v>
      </c>
      <c r="E8474" t="str">
        <f>IFERROR(__xludf.DUMMYFUNCTION("""COMPUTED_VALUE"""),"Sony")</f>
        <v>Sony</v>
      </c>
      <c r="F8474" t="str">
        <f>IFERROR(__xludf.DUMMYFUNCTION("""COMPUTED_VALUE"""),"HB")</f>
        <v>HB</v>
      </c>
      <c r="G8474" t="str">
        <f>IFERROR(__xludf.DUMMYFUNCTION("""COMPUTED_VALUE"""),"")</f>
        <v/>
      </c>
    </row>
    <row r="8475">
      <c r="D8475" t="str">
        <f>IFERROR(__xludf.DUMMYFUNCTION("""COMPUTED_VALUE"""),"Middleton")</f>
        <v>Middleton</v>
      </c>
      <c r="E8475" t="str">
        <f>IFERROR(__xludf.DUMMYFUNCTION("""COMPUTED_VALUE"""),"Doug")</f>
        <v>Doug</v>
      </c>
      <c r="F8475" t="str">
        <f>IFERROR(__xludf.DUMMYFUNCTION("""COMPUTED_VALUE"""),"FS")</f>
        <v>FS</v>
      </c>
      <c r="G8475" t="str">
        <f>IFERROR(__xludf.DUMMYFUNCTION("""COMPUTED_VALUE"""),"")</f>
        <v/>
      </c>
    </row>
    <row r="8476">
      <c r="D8476" t="str">
        <f>IFERROR(__xludf.DUMMYFUNCTION("""COMPUTED_VALUE"""),"Mihalik")</f>
        <v>Mihalik</v>
      </c>
      <c r="E8476" t="str">
        <f>IFERROR(__xludf.DUMMYFUNCTION("""COMPUTED_VALUE"""),"Brian")</f>
        <v>Brian</v>
      </c>
      <c r="F8476" t="str">
        <f>IFERROR(__xludf.DUMMYFUNCTION("""COMPUTED_VALUE"""),"RT")</f>
        <v>RT</v>
      </c>
      <c r="G8476" t="str">
        <f>IFERROR(__xludf.DUMMYFUNCTION("""COMPUTED_VALUE"""),"")</f>
        <v/>
      </c>
    </row>
    <row r="8477">
      <c r="D8477" t="str">
        <f>IFERROR(__xludf.DUMMYFUNCTION("""COMPUTED_VALUE"""),"Milano")</f>
        <v>Milano</v>
      </c>
      <c r="E8477" t="str">
        <f>IFERROR(__xludf.DUMMYFUNCTION("""COMPUTED_VALUE"""),"Matt")</f>
        <v>Matt</v>
      </c>
      <c r="F8477" t="str">
        <f>IFERROR(__xludf.DUMMYFUNCTION("""COMPUTED_VALUE"""),"LOLB")</f>
        <v>LOLB</v>
      </c>
      <c r="G8477" t="str">
        <f>IFERROR(__xludf.DUMMYFUNCTION("""COMPUTED_VALUE"""),"")</f>
        <v/>
      </c>
    </row>
    <row r="8478">
      <c r="D8478" t="str">
        <f>IFERROR(__xludf.DUMMYFUNCTION("""COMPUTED_VALUE"""),"Miles")</f>
        <v>Miles</v>
      </c>
      <c r="E8478" t="str">
        <f>IFERROR(__xludf.DUMMYFUNCTION("""COMPUTED_VALUE"""),"Joshua")</f>
        <v>Joshua</v>
      </c>
      <c r="F8478" t="str">
        <f>IFERROR(__xludf.DUMMYFUNCTION("""COMPUTED_VALUE"""),"RT")</f>
        <v>RT</v>
      </c>
      <c r="G8478" t="str">
        <f>IFERROR(__xludf.DUMMYFUNCTION("""COMPUTED_VALUE"""),"")</f>
        <v/>
      </c>
    </row>
    <row r="8479">
      <c r="D8479" t="str">
        <f>IFERROR(__xludf.DUMMYFUNCTION("""COMPUTED_VALUE"""),"Miller")</f>
        <v>Miller</v>
      </c>
      <c r="E8479" t="str">
        <f>IFERROR(__xludf.DUMMYFUNCTION("""COMPUTED_VALUE"""),"Anthony")</f>
        <v>Anthony</v>
      </c>
      <c r="F8479" t="str">
        <f>IFERROR(__xludf.DUMMYFUNCTION("""COMPUTED_VALUE"""),"WR")</f>
        <v>WR</v>
      </c>
      <c r="G8479" t="str">
        <f>IFERROR(__xludf.DUMMYFUNCTION("""COMPUTED_VALUE"""),"")</f>
        <v/>
      </c>
    </row>
    <row r="8480">
      <c r="D8480" t="str">
        <f>IFERROR(__xludf.DUMMYFUNCTION("""COMPUTED_VALUE"""),"Miller")</f>
        <v>Miller</v>
      </c>
      <c r="E8480" t="str">
        <f>IFERROR(__xludf.DUMMYFUNCTION("""COMPUTED_VALUE"""),"Braxton")</f>
        <v>Braxton</v>
      </c>
      <c r="F8480" t="str">
        <f>IFERROR(__xludf.DUMMYFUNCTION("""COMPUTED_VALUE"""),"WR")</f>
        <v>WR</v>
      </c>
      <c r="G8480" t="str">
        <f>IFERROR(__xludf.DUMMYFUNCTION("""COMPUTED_VALUE"""),"")</f>
        <v/>
      </c>
    </row>
    <row r="8481">
      <c r="D8481" t="str">
        <f>IFERROR(__xludf.DUMMYFUNCTION("""COMPUTED_VALUE"""),"Miller")</f>
        <v>Miller</v>
      </c>
      <c r="E8481" t="str">
        <f>IFERROR(__xludf.DUMMYFUNCTION("""COMPUTED_VALUE"""),"Christian")</f>
        <v>Christian</v>
      </c>
      <c r="F8481" t="str">
        <f>IFERROR(__xludf.DUMMYFUNCTION("""COMPUTED_VALUE"""),"ROLB")</f>
        <v>ROLB</v>
      </c>
      <c r="G8481" t="str">
        <f>IFERROR(__xludf.DUMMYFUNCTION("""COMPUTED_VALUE"""),"")</f>
        <v/>
      </c>
    </row>
    <row r="8482">
      <c r="D8482" t="str">
        <f>IFERROR(__xludf.DUMMYFUNCTION("""COMPUTED_VALUE"""),"Miller")</f>
        <v>Miller</v>
      </c>
      <c r="E8482" t="str">
        <f>IFERROR(__xludf.DUMMYFUNCTION("""COMPUTED_VALUE"""),"John")</f>
        <v>John</v>
      </c>
      <c r="F8482" t="str">
        <f>IFERROR(__xludf.DUMMYFUNCTION("""COMPUTED_VALUE"""),"RG")</f>
        <v>RG</v>
      </c>
      <c r="G8482" t="str">
        <f>IFERROR(__xludf.DUMMYFUNCTION("""COMPUTED_VALUE"""),"")</f>
        <v/>
      </c>
    </row>
    <row r="8483">
      <c r="D8483" t="str">
        <f>IFERROR(__xludf.DUMMYFUNCTION("""COMPUTED_VALUE"""),"Miller")</f>
        <v>Miller</v>
      </c>
      <c r="E8483" t="str">
        <f>IFERROR(__xludf.DUMMYFUNCTION("""COMPUTED_VALUE"""),"Jordan")</f>
        <v>Jordan</v>
      </c>
      <c r="F8483" t="str">
        <f>IFERROR(__xludf.DUMMYFUNCTION("""COMPUTED_VALUE"""),"CB")</f>
        <v>CB</v>
      </c>
      <c r="G8483" t="str">
        <f>IFERROR(__xludf.DUMMYFUNCTION("""COMPUTED_VALUE"""),"")</f>
        <v/>
      </c>
    </row>
    <row r="8484">
      <c r="D8484" t="str">
        <f>IFERROR(__xludf.DUMMYFUNCTION("""COMPUTED_VALUE"""),"Miller")</f>
        <v>Miller</v>
      </c>
      <c r="E8484" t="str">
        <f>IFERROR(__xludf.DUMMYFUNCTION("""COMPUTED_VALUE"""),"Kolton")</f>
        <v>Kolton</v>
      </c>
      <c r="F8484" t="str">
        <f>IFERROR(__xludf.DUMMYFUNCTION("""COMPUTED_VALUE"""),"LT")</f>
        <v>LT</v>
      </c>
      <c r="G8484" t="str">
        <f>IFERROR(__xludf.DUMMYFUNCTION("""COMPUTED_VALUE"""),"")</f>
        <v/>
      </c>
    </row>
    <row r="8485">
      <c r="D8485" t="str">
        <f>IFERROR(__xludf.DUMMYFUNCTION("""COMPUTED_VALUE"""),"Miller")</f>
        <v>Miller</v>
      </c>
      <c r="E8485" t="str">
        <f>IFERROR(__xludf.DUMMYFUNCTION("""COMPUTED_VALUE"""),"Lamar")</f>
        <v>Lamar</v>
      </c>
      <c r="F8485" t="str">
        <f>IFERROR(__xludf.DUMMYFUNCTION("""COMPUTED_VALUE"""),"HB")</f>
        <v>HB</v>
      </c>
      <c r="G8485" t="str">
        <f>IFERROR(__xludf.DUMMYFUNCTION("""COMPUTED_VALUE"""),"")</f>
        <v/>
      </c>
    </row>
    <row r="8486">
      <c r="D8486" t="str">
        <f>IFERROR(__xludf.DUMMYFUNCTION("""COMPUTED_VALUE"""),"Miller")</f>
        <v>Miller</v>
      </c>
      <c r="E8486" t="str">
        <f>IFERROR(__xludf.DUMMYFUNCTION("""COMPUTED_VALUE"""),"Scott")</f>
        <v>Scott</v>
      </c>
      <c r="F8486" t="str">
        <f>IFERROR(__xludf.DUMMYFUNCTION("""COMPUTED_VALUE"""),"WR")</f>
        <v>WR</v>
      </c>
      <c r="G8486" t="str">
        <f>IFERROR(__xludf.DUMMYFUNCTION("""COMPUTED_VALUE"""),"")</f>
        <v/>
      </c>
    </row>
    <row r="8487">
      <c r="D8487" t="str">
        <f>IFERROR(__xludf.DUMMYFUNCTION("""COMPUTED_VALUE"""),"Miller")</f>
        <v>Miller</v>
      </c>
      <c r="E8487" t="str">
        <f>IFERROR(__xludf.DUMMYFUNCTION("""COMPUTED_VALUE"""),"Shareef")</f>
        <v>Shareef</v>
      </c>
      <c r="F8487" t="str">
        <f>IFERROR(__xludf.DUMMYFUNCTION("""COMPUTED_VALUE"""),"RE")</f>
        <v>RE</v>
      </c>
      <c r="G8487" t="str">
        <f>IFERROR(__xludf.DUMMYFUNCTION("""COMPUTED_VALUE"""),"")</f>
        <v/>
      </c>
    </row>
    <row r="8488">
      <c r="D8488" t="str">
        <f>IFERROR(__xludf.DUMMYFUNCTION("""COMPUTED_VALUE"""),"Miller")</f>
        <v>Miller</v>
      </c>
      <c r="E8488" t="str">
        <f>IFERROR(__xludf.DUMMYFUNCTION("""COMPUTED_VALUE"""),"Von")</f>
        <v>Von</v>
      </c>
      <c r="F8488" t="str">
        <f>IFERROR(__xludf.DUMMYFUNCTION("""COMPUTED_VALUE"""),"LOLB")</f>
        <v>LOLB</v>
      </c>
      <c r="G8488" t="str">
        <f>IFERROR(__xludf.DUMMYFUNCTION("""COMPUTED_VALUE"""),"")</f>
        <v/>
      </c>
    </row>
    <row r="8489">
      <c r="D8489" t="str">
        <f>IFERROR(__xludf.DUMMYFUNCTION("""COMPUTED_VALUE"""),"Milligan")</f>
        <v>Milligan</v>
      </c>
      <c r="E8489" t="str">
        <f>IFERROR(__xludf.DUMMYFUNCTION("""COMPUTED_VALUE"""),"Rolan")</f>
        <v>Rolan</v>
      </c>
      <c r="F8489" t="str">
        <f>IFERROR(__xludf.DUMMYFUNCTION("""COMPUTED_VALUE"""),"SS")</f>
        <v>SS</v>
      </c>
      <c r="G8489" t="str">
        <f>IFERROR(__xludf.DUMMYFUNCTION("""COMPUTED_VALUE"""),"")</f>
        <v/>
      </c>
    </row>
    <row r="8490">
      <c r="D8490" t="str">
        <f>IFERROR(__xludf.DUMMYFUNCTION("""COMPUTED_VALUE"""),"Mills")</f>
        <v>Mills</v>
      </c>
      <c r="E8490" t="str">
        <f>IFERROR(__xludf.DUMMYFUNCTION("""COMPUTED_VALUE"""),"Jalen")</f>
        <v>Jalen</v>
      </c>
      <c r="F8490" t="str">
        <f>IFERROR(__xludf.DUMMYFUNCTION("""COMPUTED_VALUE"""),"CB")</f>
        <v>CB</v>
      </c>
      <c r="G8490" t="str">
        <f>IFERROR(__xludf.DUMMYFUNCTION("""COMPUTED_VALUE"""),"")</f>
        <v/>
      </c>
    </row>
    <row r="8491">
      <c r="D8491" t="str">
        <f>IFERROR(__xludf.DUMMYFUNCTION("""COMPUTED_VALUE"""),"Mills")</f>
        <v>Mills</v>
      </c>
      <c r="E8491" t="str">
        <f>IFERROR(__xludf.DUMMYFUNCTION("""COMPUTED_VALUE"""),"Jordan")</f>
        <v>Jordan</v>
      </c>
      <c r="F8491" t="str">
        <f>IFERROR(__xludf.DUMMYFUNCTION("""COMPUTED_VALUE"""),"RT")</f>
        <v>RT</v>
      </c>
      <c r="G8491" t="str">
        <f>IFERROR(__xludf.DUMMYFUNCTION("""COMPUTED_VALUE"""),"")</f>
        <v/>
      </c>
    </row>
    <row r="8492">
      <c r="D8492" t="str">
        <f>IFERROR(__xludf.DUMMYFUNCTION("""COMPUTED_VALUE"""),"Milton")</f>
        <v>Milton</v>
      </c>
      <c r="E8492" t="str">
        <f>IFERROR(__xludf.DUMMYFUNCTION("""COMPUTED_VALUE"""),"Chris")</f>
        <v>Chris</v>
      </c>
      <c r="F8492" t="str">
        <f>IFERROR(__xludf.DUMMYFUNCTION("""COMPUTED_VALUE"""),"CB")</f>
        <v>CB</v>
      </c>
      <c r="G8492" t="str">
        <f>IFERROR(__xludf.DUMMYFUNCTION("""COMPUTED_VALUE"""),"")</f>
        <v/>
      </c>
    </row>
    <row r="8493">
      <c r="D8493" t="str">
        <f>IFERROR(__xludf.DUMMYFUNCTION("""COMPUTED_VALUE"""),"Mincy")</f>
        <v>Mincy</v>
      </c>
      <c r="E8493" t="str">
        <f>IFERROR(__xludf.DUMMYFUNCTION("""COMPUTED_VALUE"""),"Jonathon")</f>
        <v>Jonathon</v>
      </c>
      <c r="F8493" t="str">
        <f>IFERROR(__xludf.DUMMYFUNCTION("""COMPUTED_VALUE"""),"CB")</f>
        <v>CB</v>
      </c>
      <c r="G8493" t="str">
        <f>IFERROR(__xludf.DUMMYFUNCTION("""COMPUTED_VALUE"""),"")</f>
        <v/>
      </c>
    </row>
    <row r="8494">
      <c r="D8494" t="str">
        <f>IFERROR(__xludf.DUMMYFUNCTION("""COMPUTED_VALUE"""),"Mingo")</f>
        <v>Mingo</v>
      </c>
      <c r="E8494" t="str">
        <f>IFERROR(__xludf.DUMMYFUNCTION("""COMPUTED_VALUE"""),"Barkevious")</f>
        <v>Barkevious</v>
      </c>
      <c r="F8494" t="str">
        <f>IFERROR(__xludf.DUMMYFUNCTION("""COMPUTED_VALUE"""),"LOLB")</f>
        <v>LOLB</v>
      </c>
      <c r="G8494" t="str">
        <f>IFERROR(__xludf.DUMMYFUNCTION("""COMPUTED_VALUE"""),"")</f>
        <v/>
      </c>
    </row>
    <row r="8495">
      <c r="D8495" t="str">
        <f>IFERROR(__xludf.DUMMYFUNCTION("""COMPUTED_VALUE"""),"Minshew")</f>
        <v>Minshew</v>
      </c>
      <c r="E8495" t="str">
        <f>IFERROR(__xludf.DUMMYFUNCTION("""COMPUTED_VALUE"""),"Gardner")</f>
        <v>Gardner</v>
      </c>
      <c r="F8495" t="str">
        <f>IFERROR(__xludf.DUMMYFUNCTION("""COMPUTED_VALUE"""),"QB")</f>
        <v>QB</v>
      </c>
      <c r="G8495" t="str">
        <f>IFERROR(__xludf.DUMMYFUNCTION("""COMPUTED_VALUE"""),"")</f>
        <v/>
      </c>
    </row>
    <row r="8496">
      <c r="D8496" t="str">
        <f>IFERROR(__xludf.DUMMYFUNCTION("""COMPUTED_VALUE"""),"Mitchell")</f>
        <v>Mitchell</v>
      </c>
      <c r="E8496" t="str">
        <f>IFERROR(__xludf.DUMMYFUNCTION("""COMPUTED_VALUE"""),"Dillon")</f>
        <v>Dillon</v>
      </c>
      <c r="F8496" t="str">
        <f>IFERROR(__xludf.DUMMYFUNCTION("""COMPUTED_VALUE"""),"WR")</f>
        <v>WR</v>
      </c>
      <c r="G8496" t="str">
        <f>IFERROR(__xludf.DUMMYFUNCTION("""COMPUTED_VALUE"""),"")</f>
        <v/>
      </c>
    </row>
    <row r="8497">
      <c r="D8497" t="str">
        <f>IFERROR(__xludf.DUMMYFUNCTION("""COMPUTED_VALUE"""),"Mitchell")</f>
        <v>Mitchell</v>
      </c>
      <c r="E8497" t="str">
        <f>IFERROR(__xludf.DUMMYFUNCTION("""COMPUTED_VALUE"""),"Steven")</f>
        <v>Steven</v>
      </c>
      <c r="F8497" t="str">
        <f>IFERROR(__xludf.DUMMYFUNCTION("""COMPUTED_VALUE"""),"WR")</f>
        <v>WR</v>
      </c>
      <c r="G8497" t="str">
        <f>IFERROR(__xludf.DUMMYFUNCTION("""COMPUTED_VALUE"""),"")</f>
        <v/>
      </c>
    </row>
    <row r="8498">
      <c r="D8498" t="str">
        <f>IFERROR(__xludf.DUMMYFUNCTION("""COMPUTED_VALUE"""),"Mitchell")</f>
        <v>Mitchell</v>
      </c>
      <c r="E8498" t="str">
        <f>IFERROR(__xludf.DUMMYFUNCTION("""COMPUTED_VALUE"""),"Terrance")</f>
        <v>Terrance</v>
      </c>
      <c r="F8498" t="str">
        <f>IFERROR(__xludf.DUMMYFUNCTION("""COMPUTED_VALUE"""),"CB")</f>
        <v>CB</v>
      </c>
      <c r="G8498" t="str">
        <f>IFERROR(__xludf.DUMMYFUNCTION("""COMPUTED_VALUE"""),"")</f>
        <v/>
      </c>
    </row>
    <row r="8499">
      <c r="D8499" t="str">
        <f>IFERROR(__xludf.DUMMYFUNCTION("""COMPUTED_VALUE"""),"Mixon")</f>
        <v>Mixon</v>
      </c>
      <c r="E8499" t="str">
        <f>IFERROR(__xludf.DUMMYFUNCTION("""COMPUTED_VALUE"""),"Joe")</f>
        <v>Joe</v>
      </c>
      <c r="F8499" t="str">
        <f>IFERROR(__xludf.DUMMYFUNCTION("""COMPUTED_VALUE"""),"HB")</f>
        <v>HB</v>
      </c>
      <c r="G8499" t="str">
        <f>IFERROR(__xludf.DUMMYFUNCTION("""COMPUTED_VALUE"""),"")</f>
        <v/>
      </c>
    </row>
    <row r="8500">
      <c r="D8500" t="str">
        <f>IFERROR(__xludf.DUMMYFUNCTION("""COMPUTED_VALUE"""),"Mizzell")</f>
        <v>Mizzell</v>
      </c>
      <c r="E8500" t="str">
        <f>IFERROR(__xludf.DUMMYFUNCTION("""COMPUTED_VALUE"""),"Taquan")</f>
        <v>Taquan</v>
      </c>
      <c r="F8500" t="str">
        <f>IFERROR(__xludf.DUMMYFUNCTION("""COMPUTED_VALUE"""),"WR")</f>
        <v>WR</v>
      </c>
      <c r="G8500" t="str">
        <f>IFERROR(__xludf.DUMMYFUNCTION("""COMPUTED_VALUE"""),"")</f>
        <v/>
      </c>
    </row>
    <row r="8501">
      <c r="D8501" t="str">
        <f>IFERROR(__xludf.DUMMYFUNCTION("""COMPUTED_VALUE"""),"Moncrief")</f>
        <v>Moncrief</v>
      </c>
      <c r="E8501" t="str">
        <f>IFERROR(__xludf.DUMMYFUNCTION("""COMPUTED_VALUE"""),"Donte")</f>
        <v>Donte</v>
      </c>
      <c r="F8501" t="str">
        <f>IFERROR(__xludf.DUMMYFUNCTION("""COMPUTED_VALUE"""),"WR")</f>
        <v>WR</v>
      </c>
      <c r="G8501" t="str">
        <f>IFERROR(__xludf.DUMMYFUNCTION("""COMPUTED_VALUE"""),"")</f>
        <v/>
      </c>
    </row>
    <row r="8502">
      <c r="D8502" t="str">
        <f>IFERROR(__xludf.DUMMYFUNCTION("""COMPUTED_VALUE"""),"Montgomery")</f>
        <v>Montgomery</v>
      </c>
      <c r="E8502" t="str">
        <f>IFERROR(__xludf.DUMMYFUNCTION("""COMPUTED_VALUE"""),"David")</f>
        <v>David</v>
      </c>
      <c r="F8502" t="str">
        <f>IFERROR(__xludf.DUMMYFUNCTION("""COMPUTED_VALUE"""),"HB")</f>
        <v>HB</v>
      </c>
      <c r="G8502" t="str">
        <f>IFERROR(__xludf.DUMMYFUNCTION("""COMPUTED_VALUE"""),"")</f>
        <v/>
      </c>
    </row>
    <row r="8503">
      <c r="D8503" t="str">
        <f>IFERROR(__xludf.DUMMYFUNCTION("""COMPUTED_VALUE"""),"Montgomery")</f>
        <v>Montgomery</v>
      </c>
      <c r="E8503" t="str">
        <f>IFERROR(__xludf.DUMMYFUNCTION("""COMPUTED_VALUE"""),"Ty")</f>
        <v>Ty</v>
      </c>
      <c r="F8503" t="str">
        <f>IFERROR(__xludf.DUMMYFUNCTION("""COMPUTED_VALUE"""),"HB")</f>
        <v>HB</v>
      </c>
      <c r="G8503" t="str">
        <f>IFERROR(__xludf.DUMMYFUNCTION("""COMPUTED_VALUE"""),"")</f>
        <v/>
      </c>
    </row>
    <row r="8504">
      <c r="D8504" t="str">
        <f>IFERROR(__xludf.DUMMYFUNCTION("""COMPUTED_VALUE"""),"Moore")</f>
        <v>Moore</v>
      </c>
      <c r="E8504" t="str">
        <f>IFERROR(__xludf.DUMMYFUNCTION("""COMPUTED_VALUE"""),"AJ")</f>
        <v>AJ</v>
      </c>
      <c r="F8504" t="str">
        <f>IFERROR(__xludf.DUMMYFUNCTION("""COMPUTED_VALUE"""),"FS")</f>
        <v>FS</v>
      </c>
      <c r="G8504" t="str">
        <f>IFERROR(__xludf.DUMMYFUNCTION("""COMPUTED_VALUE"""),"")</f>
        <v/>
      </c>
    </row>
    <row r="8505">
      <c r="D8505" t="str">
        <f>IFERROR(__xludf.DUMMYFUNCTION("""COMPUTED_VALUE"""),"Moore")</f>
        <v>Moore</v>
      </c>
      <c r="E8505" t="str">
        <f>IFERROR(__xludf.DUMMYFUNCTION("""COMPUTED_VALUE"""),"Chris")</f>
        <v>Chris</v>
      </c>
      <c r="F8505" t="str">
        <f>IFERROR(__xludf.DUMMYFUNCTION("""COMPUTED_VALUE"""),"WR")</f>
        <v>WR</v>
      </c>
      <c r="G8505" t="str">
        <f>IFERROR(__xludf.DUMMYFUNCTION("""COMPUTED_VALUE"""),"")</f>
        <v/>
      </c>
    </row>
    <row r="8506">
      <c r="D8506" t="str">
        <f>IFERROR(__xludf.DUMMYFUNCTION("""COMPUTED_VALUE"""),"Moore")</f>
        <v>Moore</v>
      </c>
      <c r="E8506" t="str">
        <f>IFERROR(__xludf.DUMMYFUNCTION("""COMPUTED_VALUE"""),"David")</f>
        <v>David</v>
      </c>
      <c r="F8506" t="str">
        <f>IFERROR(__xludf.DUMMYFUNCTION("""COMPUTED_VALUE"""),"WR")</f>
        <v>WR</v>
      </c>
      <c r="G8506" t="str">
        <f>IFERROR(__xludf.DUMMYFUNCTION("""COMPUTED_VALUE"""),"")</f>
        <v/>
      </c>
    </row>
    <row r="8507">
      <c r="D8507" t="str">
        <f>IFERROR(__xludf.DUMMYFUNCTION("""COMPUTED_VALUE"""),"Moore")</f>
        <v>Moore</v>
      </c>
      <c r="E8507" t="str">
        <f>IFERROR(__xludf.DUMMYFUNCTION("""COMPUTED_VALUE"""),"DJ")</f>
        <v>DJ</v>
      </c>
      <c r="F8507" t="str">
        <f>IFERROR(__xludf.DUMMYFUNCTION("""COMPUTED_VALUE"""),"WR")</f>
        <v>WR</v>
      </c>
      <c r="G8507" t="str">
        <f>IFERROR(__xludf.DUMMYFUNCTION("""COMPUTED_VALUE"""),"")</f>
        <v/>
      </c>
    </row>
    <row r="8508">
      <c r="D8508" t="str">
        <f>IFERROR(__xludf.DUMMYFUNCTION("""COMPUTED_VALUE"""),"Moore")</f>
        <v>Moore</v>
      </c>
      <c r="E8508" t="str">
        <f>IFERROR(__xludf.DUMMYFUNCTION("""COMPUTED_VALUE"""),"Jalin")</f>
        <v>Jalin</v>
      </c>
      <c r="F8508" t="str">
        <f>IFERROR(__xludf.DUMMYFUNCTION("""COMPUTED_VALUE"""),"HB")</f>
        <v>HB</v>
      </c>
      <c r="G8508" t="str">
        <f>IFERROR(__xludf.DUMMYFUNCTION("""COMPUTED_VALUE"""),"")</f>
        <v/>
      </c>
    </row>
    <row r="8509">
      <c r="D8509" t="str">
        <f>IFERROR(__xludf.DUMMYFUNCTION("""COMPUTED_VALUE"""),"Moore")</f>
        <v>Moore</v>
      </c>
      <c r="E8509" t="str">
        <f>IFERROR(__xludf.DUMMYFUNCTION("""COMPUTED_VALUE"""),"JMon")</f>
        <v>JMon</v>
      </c>
      <c r="F8509" t="str">
        <f>IFERROR(__xludf.DUMMYFUNCTION("""COMPUTED_VALUE"""),"WR")</f>
        <v>WR</v>
      </c>
      <c r="G8509" t="str">
        <f>IFERROR(__xludf.DUMMYFUNCTION("""COMPUTED_VALUE"""),"")</f>
        <v/>
      </c>
    </row>
    <row r="8510">
      <c r="D8510" t="str">
        <f>IFERROR(__xludf.DUMMYFUNCTION("""COMPUTED_VALUE"""),"Moore")</f>
        <v>Moore</v>
      </c>
      <c r="E8510" t="str">
        <f>IFERROR(__xludf.DUMMYFUNCTION("""COMPUTED_VALUE"""),"Kamrin")</f>
        <v>Kamrin</v>
      </c>
      <c r="F8510" t="str">
        <f>IFERROR(__xludf.DUMMYFUNCTION("""COMPUTED_VALUE"""),"FS")</f>
        <v>FS</v>
      </c>
      <c r="G8510" t="str">
        <f>IFERROR(__xludf.DUMMYFUNCTION("""COMPUTED_VALUE"""),"")</f>
        <v/>
      </c>
    </row>
    <row r="8511">
      <c r="D8511" t="str">
        <f>IFERROR(__xludf.DUMMYFUNCTION("""COMPUTED_VALUE"""),"Moore")</f>
        <v>Moore</v>
      </c>
      <c r="E8511" t="str">
        <f>IFERROR(__xludf.DUMMYFUNCTION("""COMPUTED_VALUE"""),"Kenny")</f>
        <v>Kenny</v>
      </c>
      <c r="F8511" t="str">
        <f>IFERROR(__xludf.DUMMYFUNCTION("""COMPUTED_VALUE"""),"CB")</f>
        <v>CB</v>
      </c>
      <c r="G8511" t="str">
        <f>IFERROR(__xludf.DUMMYFUNCTION("""COMPUTED_VALUE"""),"")</f>
        <v/>
      </c>
    </row>
    <row r="8512">
      <c r="D8512" t="str">
        <f>IFERROR(__xludf.DUMMYFUNCTION("""COMPUTED_VALUE"""),"Moore")</f>
        <v>Moore</v>
      </c>
      <c r="E8512" t="str">
        <f>IFERROR(__xludf.DUMMYFUNCTION("""COMPUTED_VALUE"""),"Skai")</f>
        <v>Skai</v>
      </c>
      <c r="F8512" t="str">
        <f>IFERROR(__xludf.DUMMYFUNCTION("""COMPUTED_VALUE"""),"MLB")</f>
        <v>MLB</v>
      </c>
      <c r="G8512" t="str">
        <f>IFERROR(__xludf.DUMMYFUNCTION("""COMPUTED_VALUE"""),"")</f>
        <v/>
      </c>
    </row>
    <row r="8513">
      <c r="D8513" t="str">
        <f>IFERROR(__xludf.DUMMYFUNCTION("""COMPUTED_VALUE"""),"Moore")</f>
        <v>Moore</v>
      </c>
      <c r="E8513" t="str">
        <f>IFERROR(__xludf.DUMMYFUNCTION("""COMPUTED_VALUE"""),"Steven")</f>
        <v>Steven</v>
      </c>
      <c r="F8513" t="str">
        <f>IFERROR(__xludf.DUMMYFUNCTION("""COMPUTED_VALUE"""),"RT")</f>
        <v>RT</v>
      </c>
      <c r="G8513" t="str">
        <f>IFERROR(__xludf.DUMMYFUNCTION("""COMPUTED_VALUE"""),"")</f>
        <v/>
      </c>
    </row>
    <row r="8514">
      <c r="D8514" t="str">
        <f>IFERROR(__xludf.DUMMYFUNCTION("""COMPUTED_VALUE"""),"Moore")</f>
        <v>Moore</v>
      </c>
      <c r="E8514" t="str">
        <f>IFERROR(__xludf.DUMMYFUNCTION("""COMPUTED_VALUE"""),"Tarvarius")</f>
        <v>Tarvarius</v>
      </c>
      <c r="F8514" t="str">
        <f>IFERROR(__xludf.DUMMYFUNCTION("""COMPUTED_VALUE"""),"FS")</f>
        <v>FS</v>
      </c>
      <c r="G8514" t="str">
        <f>IFERROR(__xludf.DUMMYFUNCTION("""COMPUTED_VALUE"""),"")</f>
        <v/>
      </c>
    </row>
    <row r="8515">
      <c r="D8515" t="str">
        <f>IFERROR(__xludf.DUMMYFUNCTION("""COMPUTED_VALUE"""),"Moreau")</f>
        <v>Moreau</v>
      </c>
      <c r="E8515" t="str">
        <f>IFERROR(__xludf.DUMMYFUNCTION("""COMPUTED_VALUE"""),"Fabian")</f>
        <v>Fabian</v>
      </c>
      <c r="F8515" t="str">
        <f>IFERROR(__xludf.DUMMYFUNCTION("""COMPUTED_VALUE"""),"CB")</f>
        <v>CB</v>
      </c>
      <c r="G8515" t="str">
        <f>IFERROR(__xludf.DUMMYFUNCTION("""COMPUTED_VALUE"""),"")</f>
        <v/>
      </c>
    </row>
    <row r="8516">
      <c r="D8516" t="str">
        <f>IFERROR(__xludf.DUMMYFUNCTION("""COMPUTED_VALUE"""),"Moreau")</f>
        <v>Moreau</v>
      </c>
      <c r="E8516" t="str">
        <f>IFERROR(__xludf.DUMMYFUNCTION("""COMPUTED_VALUE"""),"Foster")</f>
        <v>Foster</v>
      </c>
      <c r="F8516" t="str">
        <f>IFERROR(__xludf.DUMMYFUNCTION("""COMPUTED_VALUE"""),"TE")</f>
        <v>TE</v>
      </c>
      <c r="G8516" t="str">
        <f>IFERROR(__xludf.DUMMYFUNCTION("""COMPUTED_VALUE"""),"")</f>
        <v/>
      </c>
    </row>
    <row r="8517">
      <c r="D8517" t="str">
        <f>IFERROR(__xludf.DUMMYFUNCTION("""COMPUTED_VALUE"""),"Moreland")</f>
        <v>Moreland</v>
      </c>
      <c r="E8517" t="str">
        <f>IFERROR(__xludf.DUMMYFUNCTION("""COMPUTED_VALUE"""),"Jimmy")</f>
        <v>Jimmy</v>
      </c>
      <c r="F8517" t="str">
        <f>IFERROR(__xludf.DUMMYFUNCTION("""COMPUTED_VALUE"""),"CB")</f>
        <v>CB</v>
      </c>
      <c r="G8517" t="str">
        <f>IFERROR(__xludf.DUMMYFUNCTION("""COMPUTED_VALUE"""),"")</f>
        <v/>
      </c>
    </row>
    <row r="8518">
      <c r="D8518" t="str">
        <f>IFERROR(__xludf.DUMMYFUNCTION("""COMPUTED_VALUE"""),"Morgan")</f>
        <v>Morgan</v>
      </c>
      <c r="E8518" t="str">
        <f>IFERROR(__xludf.DUMMYFUNCTION("""COMPUTED_VALUE"""),"David")</f>
        <v>David</v>
      </c>
      <c r="F8518" t="str">
        <f>IFERROR(__xludf.DUMMYFUNCTION("""COMPUTED_VALUE"""),"TE")</f>
        <v>TE</v>
      </c>
      <c r="G8518" t="str">
        <f>IFERROR(__xludf.DUMMYFUNCTION("""COMPUTED_VALUE"""),"")</f>
        <v/>
      </c>
    </row>
    <row r="8519">
      <c r="D8519" t="str">
        <f>IFERROR(__xludf.DUMMYFUNCTION("""COMPUTED_VALUE"""),"Morgan")</f>
        <v>Morgan</v>
      </c>
      <c r="E8519" t="str">
        <f>IFERROR(__xludf.DUMMYFUNCTION("""COMPUTED_VALUE"""),"Jordan")</f>
        <v>Jordan</v>
      </c>
      <c r="F8519" t="str">
        <f>IFERROR(__xludf.DUMMYFUNCTION("""COMPUTED_VALUE"""),"LG")</f>
        <v>LG</v>
      </c>
      <c r="G8519" t="str">
        <f>IFERROR(__xludf.DUMMYFUNCTION("""COMPUTED_VALUE"""),"")</f>
        <v/>
      </c>
    </row>
    <row r="8520">
      <c r="D8520" t="str">
        <f>IFERROR(__xludf.DUMMYFUNCTION("""COMPUTED_VALUE"""),"Morgan")</f>
        <v>Morgan</v>
      </c>
      <c r="E8520" t="str">
        <f>IFERROR(__xludf.DUMMYFUNCTION("""COMPUTED_VALUE"""),"Stanley")</f>
        <v>Stanley</v>
      </c>
      <c r="F8520" t="str">
        <f>IFERROR(__xludf.DUMMYFUNCTION("""COMPUTED_VALUE"""),"WR")</f>
        <v>WR</v>
      </c>
      <c r="G8520" t="str">
        <f>IFERROR(__xludf.DUMMYFUNCTION("""COMPUTED_VALUE"""),"")</f>
        <v/>
      </c>
    </row>
    <row r="8521">
      <c r="D8521" t="str">
        <f>IFERROR(__xludf.DUMMYFUNCTION("""COMPUTED_VALUE"""),"Morris")</f>
        <v>Morris</v>
      </c>
      <c r="E8521" t="str">
        <f>IFERROR(__xludf.DUMMYFUNCTION("""COMPUTED_VALUE"""),"Patrick")</f>
        <v>Patrick</v>
      </c>
      <c r="F8521" t="str">
        <f>IFERROR(__xludf.DUMMYFUNCTION("""COMPUTED_VALUE"""),"C")</f>
        <v>C</v>
      </c>
      <c r="G8521" t="str">
        <f>IFERROR(__xludf.DUMMYFUNCTION("""COMPUTED_VALUE"""),"")</f>
        <v/>
      </c>
    </row>
    <row r="8522">
      <c r="D8522" t="str">
        <f>IFERROR(__xludf.DUMMYFUNCTION("""COMPUTED_VALUE"""),"Morrow")</f>
        <v>Morrow</v>
      </c>
      <c r="E8522" t="str">
        <f>IFERROR(__xludf.DUMMYFUNCTION("""COMPUTED_VALUE"""),"Nicholas")</f>
        <v>Nicholas</v>
      </c>
      <c r="F8522" t="str">
        <f>IFERROR(__xludf.DUMMYFUNCTION("""COMPUTED_VALUE"""),"MLB")</f>
        <v>MLB</v>
      </c>
      <c r="G8522" t="str">
        <f>IFERROR(__xludf.DUMMYFUNCTION("""COMPUTED_VALUE"""),"")</f>
        <v/>
      </c>
    </row>
    <row r="8523">
      <c r="D8523" t="str">
        <f>IFERROR(__xludf.DUMMYFUNCTION("""COMPUTED_VALUE"""),"Morse")</f>
        <v>Morse</v>
      </c>
      <c r="E8523" t="str">
        <f>IFERROR(__xludf.DUMMYFUNCTION("""COMPUTED_VALUE"""),"Mitch")</f>
        <v>Mitch</v>
      </c>
      <c r="F8523" t="str">
        <f>IFERROR(__xludf.DUMMYFUNCTION("""COMPUTED_VALUE"""),"C")</f>
        <v>C</v>
      </c>
      <c r="G8523" t="str">
        <f>IFERROR(__xludf.DUMMYFUNCTION("""COMPUTED_VALUE"""),"")</f>
        <v/>
      </c>
    </row>
    <row r="8524">
      <c r="D8524" t="str">
        <f>IFERROR(__xludf.DUMMYFUNCTION("""COMPUTED_VALUE"""),"Morstead")</f>
        <v>Morstead</v>
      </c>
      <c r="E8524" t="str">
        <f>IFERROR(__xludf.DUMMYFUNCTION("""COMPUTED_VALUE"""),"Thomas")</f>
        <v>Thomas</v>
      </c>
      <c r="F8524" t="str">
        <f>IFERROR(__xludf.DUMMYFUNCTION("""COMPUTED_VALUE"""),"P")</f>
        <v>P</v>
      </c>
      <c r="G8524" t="str">
        <f>IFERROR(__xludf.DUMMYFUNCTION("""COMPUTED_VALUE"""),"")</f>
        <v/>
      </c>
    </row>
    <row r="8525">
      <c r="D8525" t="str">
        <f>IFERROR(__xludf.DUMMYFUNCTION("""COMPUTED_VALUE"""),"Moses")</f>
        <v>Moses</v>
      </c>
      <c r="E8525" t="str">
        <f>IFERROR(__xludf.DUMMYFUNCTION("""COMPUTED_VALUE"""),"Morgan")</f>
        <v>Morgan</v>
      </c>
      <c r="F8525" t="str">
        <f>IFERROR(__xludf.DUMMYFUNCTION("""COMPUTED_VALUE"""),"RT")</f>
        <v>RT</v>
      </c>
      <c r="G8525" t="str">
        <f>IFERROR(__xludf.DUMMYFUNCTION("""COMPUTED_VALUE"""),"")</f>
        <v/>
      </c>
    </row>
    <row r="8526">
      <c r="D8526" t="str">
        <f>IFERROR(__xludf.DUMMYFUNCTION("""COMPUTED_VALUE"""),"Mosley")</f>
        <v>Mosley</v>
      </c>
      <c r="E8526" t="str">
        <f>IFERROR(__xludf.DUMMYFUNCTION("""COMPUTED_VALUE"""),"CJ")</f>
        <v>CJ</v>
      </c>
      <c r="F8526" t="str">
        <f>IFERROR(__xludf.DUMMYFUNCTION("""COMPUTED_VALUE"""),"MLB")</f>
        <v>MLB</v>
      </c>
      <c r="G8526" t="str">
        <f>IFERROR(__xludf.DUMMYFUNCTION("""COMPUTED_VALUE"""),"")</f>
        <v/>
      </c>
    </row>
    <row r="8527">
      <c r="D8527" t="str">
        <f>IFERROR(__xludf.DUMMYFUNCTION("""COMPUTED_VALUE"""),"Moss")</f>
        <v>Moss</v>
      </c>
      <c r="E8527" t="str">
        <f>IFERROR(__xludf.DUMMYFUNCTION("""COMPUTED_VALUE"""),"Avery")</f>
        <v>Avery</v>
      </c>
      <c r="F8527" t="str">
        <f>IFERROR(__xludf.DUMMYFUNCTION("""COMPUTED_VALUE"""),"ROLB")</f>
        <v>ROLB</v>
      </c>
      <c r="G8527" t="str">
        <f>IFERROR(__xludf.DUMMYFUNCTION("""COMPUTED_VALUE"""),"")</f>
        <v/>
      </c>
    </row>
    <row r="8528">
      <c r="D8528" t="str">
        <f>IFERROR(__xludf.DUMMYFUNCTION("""COMPUTED_VALUE"""),"Mostert")</f>
        <v>Mostert</v>
      </c>
      <c r="E8528" t="str">
        <f>IFERROR(__xludf.DUMMYFUNCTION("""COMPUTED_VALUE"""),"Raheem")</f>
        <v>Raheem</v>
      </c>
      <c r="F8528" t="str">
        <f>IFERROR(__xludf.DUMMYFUNCTION("""COMPUTED_VALUE"""),"HB")</f>
        <v>HB</v>
      </c>
      <c r="G8528" t="str">
        <f>IFERROR(__xludf.DUMMYFUNCTION("""COMPUTED_VALUE"""),"")</f>
        <v/>
      </c>
    </row>
    <row r="8529">
      <c r="D8529" t="str">
        <f>IFERROR(__xludf.DUMMYFUNCTION("""COMPUTED_VALUE"""),"Moton")</f>
        <v>Moton</v>
      </c>
      <c r="E8529" t="str">
        <f>IFERROR(__xludf.DUMMYFUNCTION("""COMPUTED_VALUE"""),"Taylor")</f>
        <v>Taylor</v>
      </c>
      <c r="F8529" t="str">
        <f>IFERROR(__xludf.DUMMYFUNCTION("""COMPUTED_VALUE"""),"LT")</f>
        <v>LT</v>
      </c>
      <c r="G8529" t="str">
        <f>IFERROR(__xludf.DUMMYFUNCTION("""COMPUTED_VALUE"""),"")</f>
        <v/>
      </c>
    </row>
    <row r="8530">
      <c r="D8530" t="str">
        <f>IFERROR(__xludf.DUMMYFUNCTION("""COMPUTED_VALUE"""),"Muhammad")</f>
        <v>Muhammad</v>
      </c>
      <c r="E8530" t="str">
        <f>IFERROR(__xludf.DUMMYFUNCTION("""COMPUTED_VALUE"""),"Al-Quadin")</f>
        <v>Al-Quadin</v>
      </c>
      <c r="F8530" t="str">
        <f>IFERROR(__xludf.DUMMYFUNCTION("""COMPUTED_VALUE"""),"RE")</f>
        <v>RE</v>
      </c>
      <c r="G8530" t="str">
        <f>IFERROR(__xludf.DUMMYFUNCTION("""COMPUTED_VALUE"""),"")</f>
        <v/>
      </c>
    </row>
    <row r="8531">
      <c r="D8531" t="str">
        <f>IFERROR(__xludf.DUMMYFUNCTION("""COMPUTED_VALUE"""),"Muhammad")</f>
        <v>Muhammad</v>
      </c>
      <c r="E8531" t="str">
        <f>IFERROR(__xludf.DUMMYFUNCTION("""COMPUTED_VALUE"""),"Khalfani")</f>
        <v>Khalfani</v>
      </c>
      <c r="F8531" t="str">
        <f>IFERROR(__xludf.DUMMYFUNCTION("""COMPUTED_VALUE"""),"HB")</f>
        <v>HB</v>
      </c>
      <c r="G8531" t="str">
        <f>IFERROR(__xludf.DUMMYFUNCTION("""COMPUTED_VALUE"""),"")</f>
        <v/>
      </c>
    </row>
    <row r="8532">
      <c r="D8532" t="str">
        <f>IFERROR(__xludf.DUMMYFUNCTION("""COMPUTED_VALUE"""),"Muhlbach")</f>
        <v>Muhlbach</v>
      </c>
      <c r="E8532" t="str">
        <f>IFERROR(__xludf.DUMMYFUNCTION("""COMPUTED_VALUE"""),"Don")</f>
        <v>Don</v>
      </c>
      <c r="F8532" t="str">
        <f>IFERROR(__xludf.DUMMYFUNCTION("""COMPUTED_VALUE"""),"TE")</f>
        <v>TE</v>
      </c>
      <c r="G8532" t="str">
        <f>IFERROR(__xludf.DUMMYFUNCTION("""COMPUTED_VALUE"""),"")</f>
        <v/>
      </c>
    </row>
    <row r="8533">
      <c r="D8533" t="str">
        <f>IFERROR(__xludf.DUMMYFUNCTION("""COMPUTED_VALUE"""),"Mullen")</f>
        <v>Mullen</v>
      </c>
      <c r="E8533" t="str">
        <f>IFERROR(__xludf.DUMMYFUNCTION("""COMPUTED_VALUE"""),"Trayvon")</f>
        <v>Trayvon</v>
      </c>
      <c r="F8533" t="str">
        <f>IFERROR(__xludf.DUMMYFUNCTION("""COMPUTED_VALUE"""),"CB")</f>
        <v>CB</v>
      </c>
      <c r="G8533" t="str">
        <f>IFERROR(__xludf.DUMMYFUNCTION("""COMPUTED_VALUE"""),"")</f>
        <v/>
      </c>
    </row>
    <row r="8534">
      <c r="D8534" t="str">
        <f>IFERROR(__xludf.DUMMYFUNCTION("""COMPUTED_VALUE"""),"Mullens")</f>
        <v>Mullens</v>
      </c>
      <c r="E8534" t="str">
        <f>IFERROR(__xludf.DUMMYFUNCTION("""COMPUTED_VALUE"""),"Nick")</f>
        <v>Nick</v>
      </c>
      <c r="F8534" t="str">
        <f>IFERROR(__xludf.DUMMYFUNCTION("""COMPUTED_VALUE"""),"QB")</f>
        <v>QB</v>
      </c>
      <c r="G8534" t="str">
        <f>IFERROR(__xludf.DUMMYFUNCTION("""COMPUTED_VALUE"""),"")</f>
        <v/>
      </c>
    </row>
    <row r="8535">
      <c r="D8535" t="str">
        <f>IFERROR(__xludf.DUMMYFUNCTION("""COMPUTED_VALUE"""),"Mundt")</f>
        <v>Mundt</v>
      </c>
      <c r="E8535" t="str">
        <f>IFERROR(__xludf.DUMMYFUNCTION("""COMPUTED_VALUE"""),"Johnny")</f>
        <v>Johnny</v>
      </c>
      <c r="F8535" t="str">
        <f>IFERROR(__xludf.DUMMYFUNCTION("""COMPUTED_VALUE"""),"TE")</f>
        <v>TE</v>
      </c>
      <c r="G8535" t="str">
        <f>IFERROR(__xludf.DUMMYFUNCTION("""COMPUTED_VALUE"""),"")</f>
        <v/>
      </c>
    </row>
    <row r="8536">
      <c r="D8536" t="str">
        <f>IFERROR(__xludf.DUMMYFUNCTION("""COMPUTED_VALUE"""),"Munson")</f>
        <v>Munson</v>
      </c>
      <c r="E8536" t="str">
        <f>IFERROR(__xludf.DUMMYFUNCTION("""COMPUTED_VALUE"""),"Calvin")</f>
        <v>Calvin</v>
      </c>
      <c r="F8536" t="str">
        <f>IFERROR(__xludf.DUMMYFUNCTION("""COMPUTED_VALUE"""),"MLB")</f>
        <v>MLB</v>
      </c>
      <c r="G8536" t="str">
        <f>IFERROR(__xludf.DUMMYFUNCTION("""COMPUTED_VALUE"""),"")</f>
        <v/>
      </c>
    </row>
    <row r="8537">
      <c r="D8537" t="str">
        <f>IFERROR(__xludf.DUMMYFUNCTION("""COMPUTED_VALUE"""),"Murphy")</f>
        <v>Murphy</v>
      </c>
      <c r="E8537" t="str">
        <f>IFERROR(__xludf.DUMMYFUNCTION("""COMPUTED_VALUE"""),"Byron")</f>
        <v>Byron</v>
      </c>
      <c r="F8537" t="str">
        <f>IFERROR(__xludf.DUMMYFUNCTION("""COMPUTED_VALUE"""),"CB")</f>
        <v>CB</v>
      </c>
      <c r="G8537" t="str">
        <f>IFERROR(__xludf.DUMMYFUNCTION("""COMPUTED_VALUE"""),"")</f>
        <v/>
      </c>
    </row>
    <row r="8538">
      <c r="D8538" t="str">
        <f>IFERROR(__xludf.DUMMYFUNCTION("""COMPUTED_VALUE"""),"Murphy")</f>
        <v>Murphy</v>
      </c>
      <c r="E8538" t="str">
        <f>IFERROR(__xludf.DUMMYFUNCTION("""COMPUTED_VALUE"""),"Pace")</f>
        <v>Pace</v>
      </c>
      <c r="F8538" t="str">
        <f>IFERROR(__xludf.DUMMYFUNCTION("""COMPUTED_VALUE"""),"LT")</f>
        <v>LT</v>
      </c>
      <c r="G8538" t="str">
        <f>IFERROR(__xludf.DUMMYFUNCTION("""COMPUTED_VALUE"""),"")</f>
        <v/>
      </c>
    </row>
    <row r="8539">
      <c r="D8539" t="str">
        <f>IFERROR(__xludf.DUMMYFUNCTION("""COMPUTED_VALUE"""),"Murphy")</f>
        <v>Murphy</v>
      </c>
      <c r="E8539" t="str">
        <f>IFERROR(__xludf.DUMMYFUNCTION("""COMPUTED_VALUE"""),"Trent")</f>
        <v>Trent</v>
      </c>
      <c r="F8539" t="str">
        <f>IFERROR(__xludf.DUMMYFUNCTION("""COMPUTED_VALUE"""),"LE")</f>
        <v>LE</v>
      </c>
      <c r="G8539" t="str">
        <f>IFERROR(__xludf.DUMMYFUNCTION("""COMPUTED_VALUE"""),"")</f>
        <v/>
      </c>
    </row>
    <row r="8540">
      <c r="D8540" t="str">
        <f>IFERROR(__xludf.DUMMYFUNCTION("""COMPUTED_VALUE"""),"Murphy-Bunting")</f>
        <v>Murphy-Bunting</v>
      </c>
      <c r="E8540" t="str">
        <f>IFERROR(__xludf.DUMMYFUNCTION("""COMPUTED_VALUE"""),"Sean")</f>
        <v>Sean</v>
      </c>
      <c r="F8540" t="str">
        <f>IFERROR(__xludf.DUMMYFUNCTION("""COMPUTED_VALUE"""),"CB")</f>
        <v>CB</v>
      </c>
      <c r="G8540" t="str">
        <f>IFERROR(__xludf.DUMMYFUNCTION("""COMPUTED_VALUE"""),"")</f>
        <v/>
      </c>
    </row>
    <row r="8541">
      <c r="D8541" t="str">
        <f>IFERROR(__xludf.DUMMYFUNCTION("""COMPUTED_VALUE"""),"Murray")</f>
        <v>Murray</v>
      </c>
      <c r="E8541" t="str">
        <f>IFERROR(__xludf.DUMMYFUNCTION("""COMPUTED_VALUE"""),"Eric")</f>
        <v>Eric</v>
      </c>
      <c r="F8541" t="str">
        <f>IFERROR(__xludf.DUMMYFUNCTION("""COMPUTED_VALUE"""),"FS")</f>
        <v>FS</v>
      </c>
      <c r="G8541" t="str">
        <f>IFERROR(__xludf.DUMMYFUNCTION("""COMPUTED_VALUE"""),"")</f>
        <v/>
      </c>
    </row>
    <row r="8542">
      <c r="D8542" t="str">
        <f>IFERROR(__xludf.DUMMYFUNCTION("""COMPUTED_VALUE"""),"Murray")</f>
        <v>Murray</v>
      </c>
      <c r="E8542" t="str">
        <f>IFERROR(__xludf.DUMMYFUNCTION("""COMPUTED_VALUE"""),"Jimmy")</f>
        <v>Jimmy</v>
      </c>
      <c r="F8542" t="str">
        <f>IFERROR(__xludf.DUMMYFUNCTION("""COMPUTED_VALUE"""),"C")</f>
        <v>C</v>
      </c>
      <c r="G8542" t="str">
        <f>IFERROR(__xludf.DUMMYFUNCTION("""COMPUTED_VALUE"""),"")</f>
        <v/>
      </c>
    </row>
    <row r="8543">
      <c r="D8543" t="str">
        <f>IFERROR(__xludf.DUMMYFUNCTION("""COMPUTED_VALUE"""),"Murray")</f>
        <v>Murray</v>
      </c>
      <c r="E8543" t="str">
        <f>IFERROR(__xludf.DUMMYFUNCTION("""COMPUTED_VALUE"""),"Kyler")</f>
        <v>Kyler</v>
      </c>
      <c r="F8543" t="str">
        <f>IFERROR(__xludf.DUMMYFUNCTION("""COMPUTED_VALUE"""),"QB")</f>
        <v>QB</v>
      </c>
      <c r="G8543" t="str">
        <f>IFERROR(__xludf.DUMMYFUNCTION("""COMPUTED_VALUE"""),"")</f>
        <v/>
      </c>
    </row>
    <row r="8544">
      <c r="D8544" t="str">
        <f>IFERROR(__xludf.DUMMYFUNCTION("""COMPUTED_VALUE"""),"Murray")</f>
        <v>Murray</v>
      </c>
      <c r="E8544" t="str">
        <f>IFERROR(__xludf.DUMMYFUNCTION("""COMPUTED_VALUE"""),"Latavius")</f>
        <v>Latavius</v>
      </c>
      <c r="F8544" t="str">
        <f>IFERROR(__xludf.DUMMYFUNCTION("""COMPUTED_VALUE"""),"HB")</f>
        <v>HB</v>
      </c>
      <c r="G8544" t="str">
        <f>IFERROR(__xludf.DUMMYFUNCTION("""COMPUTED_VALUE"""),"")</f>
        <v/>
      </c>
    </row>
    <row r="8545">
      <c r="D8545" t="str">
        <f>IFERROR(__xludf.DUMMYFUNCTION("""COMPUTED_VALUE"""),"Myers")</f>
        <v>Myers</v>
      </c>
      <c r="E8545" t="str">
        <f>IFERROR(__xludf.DUMMYFUNCTION("""COMPUTED_VALUE"""),"Jason")</f>
        <v>Jason</v>
      </c>
      <c r="F8545" t="str">
        <f>IFERROR(__xludf.DUMMYFUNCTION("""COMPUTED_VALUE"""),"K")</f>
        <v>K</v>
      </c>
      <c r="G8545" t="str">
        <f>IFERROR(__xludf.DUMMYFUNCTION("""COMPUTED_VALUE"""),"")</f>
        <v/>
      </c>
    </row>
    <row r="8546">
      <c r="D8546" t="str">
        <f>IFERROR(__xludf.DUMMYFUNCTION("""COMPUTED_VALUE"""),"Nacua")</f>
        <v>Nacua</v>
      </c>
      <c r="E8546" t="str">
        <f>IFERROR(__xludf.DUMMYFUNCTION("""COMPUTED_VALUE"""),"Kai")</f>
        <v>Kai</v>
      </c>
      <c r="F8546" t="str">
        <f>IFERROR(__xludf.DUMMYFUNCTION("""COMPUTED_VALUE"""),"FS")</f>
        <v>FS</v>
      </c>
      <c r="G8546" t="str">
        <f>IFERROR(__xludf.DUMMYFUNCTION("""COMPUTED_VALUE"""),"")</f>
        <v/>
      </c>
    </row>
    <row r="8547">
      <c r="D8547" t="str">
        <f>IFERROR(__xludf.DUMMYFUNCTION("""COMPUTED_VALUE"""),"Nall")</f>
        <v>Nall</v>
      </c>
      <c r="E8547" t="str">
        <f>IFERROR(__xludf.DUMMYFUNCTION("""COMPUTED_VALUE"""),"Ryan")</f>
        <v>Ryan</v>
      </c>
      <c r="F8547" t="str">
        <f>IFERROR(__xludf.DUMMYFUNCTION("""COMPUTED_VALUE"""),"HB")</f>
        <v>HB</v>
      </c>
      <c r="G8547" t="str">
        <f>IFERROR(__xludf.DUMMYFUNCTION("""COMPUTED_VALUE"""),"")</f>
        <v/>
      </c>
    </row>
    <row r="8548">
      <c r="D8548" t="str">
        <f>IFERROR(__xludf.DUMMYFUNCTION("""COMPUTED_VALUE"""),"Nassib")</f>
        <v>Nassib</v>
      </c>
      <c r="E8548" t="str">
        <f>IFERROR(__xludf.DUMMYFUNCTION("""COMPUTED_VALUE"""),"Carl")</f>
        <v>Carl</v>
      </c>
      <c r="F8548" t="str">
        <f>IFERROR(__xludf.DUMMYFUNCTION("""COMPUTED_VALUE"""),"LOLB")</f>
        <v>LOLB</v>
      </c>
      <c r="G8548" t="str">
        <f>IFERROR(__xludf.DUMMYFUNCTION("""COMPUTED_VALUE"""),"")</f>
        <v/>
      </c>
    </row>
    <row r="8549">
      <c r="D8549" t="str">
        <f>IFERROR(__xludf.DUMMYFUNCTION("""COMPUTED_VALUE"""),"Natson")</f>
        <v>Natson</v>
      </c>
      <c r="E8549" t="str">
        <f>IFERROR(__xludf.DUMMYFUNCTION("""COMPUTED_VALUE"""),"JoJo")</f>
        <v>JoJo</v>
      </c>
      <c r="F8549" t="str">
        <f>IFERROR(__xludf.DUMMYFUNCTION("""COMPUTED_VALUE"""),"WR")</f>
        <v>WR</v>
      </c>
      <c r="G8549" t="str">
        <f>IFERROR(__xludf.DUMMYFUNCTION("""COMPUTED_VALUE"""),"")</f>
        <v/>
      </c>
    </row>
    <row r="8550">
      <c r="D8550" t="str">
        <f>IFERROR(__xludf.DUMMYFUNCTION("""COMPUTED_VALUE"""),"Nauta")</f>
        <v>Nauta</v>
      </c>
      <c r="E8550" t="str">
        <f>IFERROR(__xludf.DUMMYFUNCTION("""COMPUTED_VALUE"""),"Isaac")</f>
        <v>Isaac</v>
      </c>
      <c r="F8550" t="str">
        <f>IFERROR(__xludf.DUMMYFUNCTION("""COMPUTED_VALUE"""),"TE")</f>
        <v>TE</v>
      </c>
      <c r="G8550" t="str">
        <f>IFERROR(__xludf.DUMMYFUNCTION("""COMPUTED_VALUE"""),"")</f>
        <v/>
      </c>
    </row>
    <row r="8551">
      <c r="D8551" t="str">
        <f>IFERROR(__xludf.DUMMYFUNCTION("""COMPUTED_VALUE"""),"Neal")</f>
        <v>Neal</v>
      </c>
      <c r="E8551" t="str">
        <f>IFERROR(__xludf.DUMMYFUNCTION("""COMPUTED_VALUE"""),"Keanu")</f>
        <v>Keanu</v>
      </c>
      <c r="F8551" t="str">
        <f>IFERROR(__xludf.DUMMYFUNCTION("""COMPUTED_VALUE"""),"SS")</f>
        <v>SS</v>
      </c>
      <c r="G8551" t="str">
        <f>IFERROR(__xludf.DUMMYFUNCTION("""COMPUTED_VALUE"""),"")</f>
        <v/>
      </c>
    </row>
    <row r="8552">
      <c r="D8552" t="str">
        <f>IFERROR(__xludf.DUMMYFUNCTION("""COMPUTED_VALUE"""),"Neal")</f>
        <v>Neal</v>
      </c>
      <c r="E8552" t="str">
        <f>IFERROR(__xludf.DUMMYFUNCTION("""COMPUTED_VALUE"""),"Ryan")</f>
        <v>Ryan</v>
      </c>
      <c r="F8552" t="str">
        <f>IFERROR(__xludf.DUMMYFUNCTION("""COMPUTED_VALUE"""),"CB")</f>
        <v>CB</v>
      </c>
      <c r="G8552" t="str">
        <f>IFERROR(__xludf.DUMMYFUNCTION("""COMPUTED_VALUE"""),"")</f>
        <v/>
      </c>
    </row>
    <row r="8553">
      <c r="D8553" t="str">
        <f>IFERROR(__xludf.DUMMYFUNCTION("""COMPUTED_VALUE"""),"Neal")</f>
        <v>Neal</v>
      </c>
      <c r="E8553" t="str">
        <f>IFERROR(__xludf.DUMMYFUNCTION("""COMPUTED_VALUE"""),"Siran")</f>
        <v>Siran</v>
      </c>
      <c r="F8553" t="str">
        <f>IFERROR(__xludf.DUMMYFUNCTION("""COMPUTED_VALUE"""),"SS")</f>
        <v>SS</v>
      </c>
      <c r="G8553" t="str">
        <f>IFERROR(__xludf.DUMMYFUNCTION("""COMPUTED_VALUE"""),"")</f>
        <v/>
      </c>
    </row>
    <row r="8554">
      <c r="D8554" t="str">
        <f>IFERROR(__xludf.DUMMYFUNCTION("""COMPUTED_VALUE"""),"Neary")</f>
        <v>Neary</v>
      </c>
      <c r="E8554" t="str">
        <f>IFERROR(__xludf.DUMMYFUNCTION("""COMPUTED_VALUE"""),"Aaron")</f>
        <v>Aaron</v>
      </c>
      <c r="F8554" t="str">
        <f>IFERROR(__xludf.DUMMYFUNCTION("""COMPUTED_VALUE"""),"LG")</f>
        <v>LG</v>
      </c>
      <c r="G8554" t="str">
        <f>IFERROR(__xludf.DUMMYFUNCTION("""COMPUTED_VALUE"""),"")</f>
        <v/>
      </c>
    </row>
    <row r="8555">
      <c r="D8555" t="str">
        <f>IFERROR(__xludf.DUMMYFUNCTION("""COMPUTED_VALUE"""),"Neasman")</f>
        <v>Neasman</v>
      </c>
      <c r="E8555" t="str">
        <f>IFERROR(__xludf.DUMMYFUNCTION("""COMPUTED_VALUE"""),"Sharrod")</f>
        <v>Sharrod</v>
      </c>
      <c r="F8555" t="str">
        <f>IFERROR(__xludf.DUMMYFUNCTION("""COMPUTED_VALUE"""),"SS")</f>
        <v>SS</v>
      </c>
      <c r="G8555" t="str">
        <f>IFERROR(__xludf.DUMMYFUNCTION("""COMPUTED_VALUE"""),"")</f>
        <v/>
      </c>
    </row>
    <row r="8556">
      <c r="D8556" t="str">
        <f>IFERROR(__xludf.DUMMYFUNCTION("""COMPUTED_VALUE"""),"Nelson")</f>
        <v>Nelson</v>
      </c>
      <c r="E8556" t="str">
        <f>IFERROR(__xludf.DUMMYFUNCTION("""COMPUTED_VALUE"""),"Anthony")</f>
        <v>Anthony</v>
      </c>
      <c r="F8556" t="str">
        <f>IFERROR(__xludf.DUMMYFUNCTION("""COMPUTED_VALUE"""),"LOLB")</f>
        <v>LOLB</v>
      </c>
      <c r="G8556" t="str">
        <f>IFERROR(__xludf.DUMMYFUNCTION("""COMPUTED_VALUE"""),"")</f>
        <v/>
      </c>
    </row>
    <row r="8557">
      <c r="D8557" t="str">
        <f>IFERROR(__xludf.DUMMYFUNCTION("""COMPUTED_VALUE"""),"Nelson")</f>
        <v>Nelson</v>
      </c>
      <c r="E8557" t="str">
        <f>IFERROR(__xludf.DUMMYFUNCTION("""COMPUTED_VALUE"""),"Corey")</f>
        <v>Corey</v>
      </c>
      <c r="F8557" t="str">
        <f>IFERROR(__xludf.DUMMYFUNCTION("""COMPUTED_VALUE"""),"MLB")</f>
        <v>MLB</v>
      </c>
      <c r="G8557" t="str">
        <f>IFERROR(__xludf.DUMMYFUNCTION("""COMPUTED_VALUE"""),"")</f>
        <v/>
      </c>
    </row>
    <row r="8558">
      <c r="D8558" t="str">
        <f>IFERROR(__xludf.DUMMYFUNCTION("""COMPUTED_VALUE"""),"Nelson")</f>
        <v>Nelson</v>
      </c>
      <c r="E8558" t="str">
        <f>IFERROR(__xludf.DUMMYFUNCTION("""COMPUTED_VALUE"""),"JJ")</f>
        <v>JJ</v>
      </c>
      <c r="F8558" t="str">
        <f>IFERROR(__xludf.DUMMYFUNCTION("""COMPUTED_VALUE"""),"WR")</f>
        <v>WR</v>
      </c>
      <c r="G8558" t="str">
        <f>IFERROR(__xludf.DUMMYFUNCTION("""COMPUTED_VALUE"""),"")</f>
        <v/>
      </c>
    </row>
    <row r="8559">
      <c r="D8559" t="str">
        <f>IFERROR(__xludf.DUMMYFUNCTION("""COMPUTED_VALUE"""),"Nelson")</f>
        <v>Nelson</v>
      </c>
      <c r="E8559" t="str">
        <f>IFERROR(__xludf.DUMMYFUNCTION("""COMPUTED_VALUE"""),"Kyle")</f>
        <v>Kyle</v>
      </c>
      <c r="F8559" t="str">
        <f>IFERROR(__xludf.DUMMYFUNCTION("""COMPUTED_VALUE"""),"TE")</f>
        <v>TE</v>
      </c>
      <c r="G8559" t="str">
        <f>IFERROR(__xludf.DUMMYFUNCTION("""COMPUTED_VALUE"""),"")</f>
        <v/>
      </c>
    </row>
    <row r="8560">
      <c r="D8560" t="str">
        <f>IFERROR(__xludf.DUMMYFUNCTION("""COMPUTED_VALUE"""),"Nelson")</f>
        <v>Nelson</v>
      </c>
      <c r="E8560" t="str">
        <f>IFERROR(__xludf.DUMMYFUNCTION("""COMPUTED_VALUE"""),"Nick")</f>
        <v>Nick</v>
      </c>
      <c r="F8560" t="str">
        <f>IFERROR(__xludf.DUMMYFUNCTION("""COMPUTED_VALUE"""),"CB")</f>
        <v>CB</v>
      </c>
      <c r="G8560" t="str">
        <f>IFERROR(__xludf.DUMMYFUNCTION("""COMPUTED_VALUE"""),"")</f>
        <v/>
      </c>
    </row>
    <row r="8561">
      <c r="D8561" t="str">
        <f>IFERROR(__xludf.DUMMYFUNCTION("""COMPUTED_VALUE"""),"Nelson")</f>
        <v>Nelson</v>
      </c>
      <c r="E8561" t="str">
        <f>IFERROR(__xludf.DUMMYFUNCTION("""COMPUTED_VALUE"""),"Quenton")</f>
        <v>Quenton</v>
      </c>
      <c r="F8561" t="str">
        <f>IFERROR(__xludf.DUMMYFUNCTION("""COMPUTED_VALUE"""),"LG")</f>
        <v>LG</v>
      </c>
      <c r="G8561" t="str">
        <f>IFERROR(__xludf.DUMMYFUNCTION("""COMPUTED_VALUE"""),"")</f>
        <v/>
      </c>
    </row>
    <row r="8562">
      <c r="D8562" t="str">
        <f>IFERROR(__xludf.DUMMYFUNCTION("""COMPUTED_VALUE"""),"Nelson")</f>
        <v>Nelson</v>
      </c>
      <c r="E8562" t="str">
        <f>IFERROR(__xludf.DUMMYFUNCTION("""COMPUTED_VALUE"""),"Steven")</f>
        <v>Steven</v>
      </c>
      <c r="F8562" t="str">
        <f>IFERROR(__xludf.DUMMYFUNCTION("""COMPUTED_VALUE"""),"CB")</f>
        <v>CB</v>
      </c>
      <c r="G8562" t="str">
        <f>IFERROR(__xludf.DUMMYFUNCTION("""COMPUTED_VALUE"""),"")</f>
        <v/>
      </c>
    </row>
    <row r="8563">
      <c r="D8563" t="str">
        <f>IFERROR(__xludf.DUMMYFUNCTION("""COMPUTED_VALUE"""),"Newhouse")</f>
        <v>Newhouse</v>
      </c>
      <c r="E8563" t="str">
        <f>IFERROR(__xludf.DUMMYFUNCTION("""COMPUTED_VALUE"""),"Marshall")</f>
        <v>Marshall</v>
      </c>
      <c r="F8563" t="str">
        <f>IFERROR(__xludf.DUMMYFUNCTION("""COMPUTED_VALUE"""),"LT")</f>
        <v>LT</v>
      </c>
      <c r="G8563" t="str">
        <f>IFERROR(__xludf.DUMMYFUNCTION("""COMPUTED_VALUE"""),"")</f>
        <v/>
      </c>
    </row>
    <row r="8564">
      <c r="D8564" t="str">
        <f>IFERROR(__xludf.DUMMYFUNCTION("""COMPUTED_VALUE"""),"Newsome")</f>
        <v>Newsome</v>
      </c>
      <c r="E8564" t="str">
        <f>IFERROR(__xludf.DUMMYFUNCTION("""COMPUTED_VALUE"""),"Detrez")</f>
        <v>Detrez</v>
      </c>
      <c r="F8564" t="str">
        <f>IFERROR(__xludf.DUMMYFUNCTION("""COMPUTED_VALUE"""),"HB")</f>
        <v>HB</v>
      </c>
      <c r="G8564" t="str">
        <f>IFERROR(__xludf.DUMMYFUNCTION("""COMPUTED_VALUE"""),"")</f>
        <v/>
      </c>
    </row>
    <row r="8565">
      <c r="D8565" t="str">
        <f>IFERROR(__xludf.DUMMYFUNCTION("""COMPUTED_VALUE"""),"Newton")</f>
        <v>Newton</v>
      </c>
      <c r="E8565" t="str">
        <f>IFERROR(__xludf.DUMMYFUNCTION("""COMPUTED_VALUE"""),"Cam")</f>
        <v>Cam</v>
      </c>
      <c r="F8565" t="str">
        <f>IFERROR(__xludf.DUMMYFUNCTION("""COMPUTED_VALUE"""),"QB")</f>
        <v>QB</v>
      </c>
      <c r="G8565" t="str">
        <f>IFERROR(__xludf.DUMMYFUNCTION("""COMPUTED_VALUE"""),"")</f>
        <v/>
      </c>
    </row>
    <row r="8566">
      <c r="D8566" t="str">
        <f>IFERROR(__xludf.DUMMYFUNCTION("""COMPUTED_VALUE"""),"Ngakoue")</f>
        <v>Ngakoue</v>
      </c>
      <c r="E8566" t="str">
        <f>IFERROR(__xludf.DUMMYFUNCTION("""COMPUTED_VALUE"""),"Yannick")</f>
        <v>Yannick</v>
      </c>
      <c r="F8566" t="str">
        <f>IFERROR(__xludf.DUMMYFUNCTION("""COMPUTED_VALUE"""),"RE")</f>
        <v>RE</v>
      </c>
      <c r="G8566" t="str">
        <f>IFERROR(__xludf.DUMMYFUNCTION("""COMPUTED_VALUE"""),"")</f>
        <v/>
      </c>
    </row>
    <row r="8567">
      <c r="D8567" t="str">
        <f>IFERROR(__xludf.DUMMYFUNCTION("""COMPUTED_VALUE"""),"Nichols")</f>
        <v>Nichols</v>
      </c>
      <c r="E8567" t="str">
        <f>IFERROR(__xludf.DUMMYFUNCTION("""COMPUTED_VALUE"""),"Bilal")</f>
        <v>Bilal</v>
      </c>
      <c r="F8567" t="str">
        <f>IFERROR(__xludf.DUMMYFUNCTION("""COMPUTED_VALUE"""),"LE")</f>
        <v>LE</v>
      </c>
      <c r="G8567" t="str">
        <f>IFERROR(__xludf.DUMMYFUNCTION("""COMPUTED_VALUE"""),"")</f>
        <v/>
      </c>
    </row>
    <row r="8568">
      <c r="D8568" t="str">
        <f>IFERROR(__xludf.DUMMYFUNCTION("""COMPUTED_VALUE"""),"Nichols")</f>
        <v>Nichols</v>
      </c>
      <c r="E8568" t="str">
        <f>IFERROR(__xludf.DUMMYFUNCTION("""COMPUTED_VALUE"""),"Deatrick")</f>
        <v>Deatrick</v>
      </c>
      <c r="F8568" t="str">
        <f>IFERROR(__xludf.DUMMYFUNCTION("""COMPUTED_VALUE"""),"CB")</f>
        <v>CB</v>
      </c>
      <c r="G8568" t="str">
        <f>IFERROR(__xludf.DUMMYFUNCTION("""COMPUTED_VALUE"""),"")</f>
        <v/>
      </c>
    </row>
    <row r="8569">
      <c r="D8569" t="str">
        <f>IFERROR(__xludf.DUMMYFUNCTION("""COMPUTED_VALUE"""),"Nicholson")</f>
        <v>Nicholson</v>
      </c>
      <c r="E8569" t="str">
        <f>IFERROR(__xludf.DUMMYFUNCTION("""COMPUTED_VALUE"""),"Montae")</f>
        <v>Montae</v>
      </c>
      <c r="F8569" t="str">
        <f>IFERROR(__xludf.DUMMYFUNCTION("""COMPUTED_VALUE"""),"FS")</f>
        <v>FS</v>
      </c>
      <c r="G8569" t="str">
        <f>IFERROR(__xludf.DUMMYFUNCTION("""COMPUTED_VALUE"""),"")</f>
        <v/>
      </c>
    </row>
    <row r="8570">
      <c r="D8570" t="str">
        <f>IFERROR(__xludf.DUMMYFUNCTION("""COMPUTED_VALUE"""),"Nickerson")</f>
        <v>Nickerson</v>
      </c>
      <c r="E8570" t="str">
        <f>IFERROR(__xludf.DUMMYFUNCTION("""COMPUTED_VALUE"""),"Hardy")</f>
        <v>Hardy</v>
      </c>
      <c r="F8570" t="str">
        <f>IFERROR(__xludf.DUMMYFUNCTION("""COMPUTED_VALUE"""),"MLB")</f>
        <v>MLB</v>
      </c>
      <c r="G8570" t="str">
        <f>IFERROR(__xludf.DUMMYFUNCTION("""COMPUTED_VALUE"""),"")</f>
        <v/>
      </c>
    </row>
    <row r="8571">
      <c r="D8571" t="str">
        <f>IFERROR(__xludf.DUMMYFUNCTION("""COMPUTED_VALUE"""),"Nickerson")</f>
        <v>Nickerson</v>
      </c>
      <c r="E8571" t="str">
        <f>IFERROR(__xludf.DUMMYFUNCTION("""COMPUTED_VALUE"""),"Parry")</f>
        <v>Parry</v>
      </c>
      <c r="F8571" t="str">
        <f>IFERROR(__xludf.DUMMYFUNCTION("""COMPUTED_VALUE"""),"CB")</f>
        <v>CB</v>
      </c>
      <c r="G8571" t="str">
        <f>IFERROR(__xludf.DUMMYFUNCTION("""COMPUTED_VALUE"""),"")</f>
        <v/>
      </c>
    </row>
    <row r="8572">
      <c r="D8572" t="str">
        <f>IFERROR(__xludf.DUMMYFUNCTION("""COMPUTED_VALUE"""),"Niemann")</f>
        <v>Niemann</v>
      </c>
      <c r="E8572" t="str">
        <f>IFERROR(__xludf.DUMMYFUNCTION("""COMPUTED_VALUE"""),"Ben")</f>
        <v>Ben</v>
      </c>
      <c r="F8572" t="str">
        <f>IFERROR(__xludf.DUMMYFUNCTION("""COMPUTED_VALUE"""),"MLB")</f>
        <v>MLB</v>
      </c>
      <c r="G8572" t="str">
        <f>IFERROR(__xludf.DUMMYFUNCTION("""COMPUTED_VALUE"""),"")</f>
        <v/>
      </c>
    </row>
    <row r="8573">
      <c r="D8573" t="str">
        <f>IFERROR(__xludf.DUMMYFUNCTION("""COMPUTED_VALUE"""),"Nijman")</f>
        <v>Nijman</v>
      </c>
      <c r="E8573" t="str">
        <f>IFERROR(__xludf.DUMMYFUNCTION("""COMPUTED_VALUE"""),"Yosuah")</f>
        <v>Yosuah</v>
      </c>
      <c r="F8573" t="str">
        <f>IFERROR(__xludf.DUMMYFUNCTION("""COMPUTED_VALUE"""),"RT")</f>
        <v>RT</v>
      </c>
      <c r="G8573" t="str">
        <f>IFERROR(__xludf.DUMMYFUNCTION("""COMPUTED_VALUE"""),"")</f>
        <v/>
      </c>
    </row>
    <row r="8574">
      <c r="D8574" t="str">
        <f>IFERROR(__xludf.DUMMYFUNCTION("""COMPUTED_VALUE"""),"Nix")</f>
        <v>Nix</v>
      </c>
      <c r="E8574" t="str">
        <f>IFERROR(__xludf.DUMMYFUNCTION("""COMPUTED_VALUE"""),"Roosevelt")</f>
        <v>Roosevelt</v>
      </c>
      <c r="F8574" t="str">
        <f>IFERROR(__xludf.DUMMYFUNCTION("""COMPUTED_VALUE"""),"FB")</f>
        <v>FB</v>
      </c>
      <c r="G8574" t="str">
        <f>IFERROR(__xludf.DUMMYFUNCTION("""COMPUTED_VALUE"""),"")</f>
        <v/>
      </c>
    </row>
    <row r="8575">
      <c r="D8575" t="str">
        <f>IFERROR(__xludf.DUMMYFUNCTION("""COMPUTED_VALUE"""),"Njoku")</f>
        <v>Njoku</v>
      </c>
      <c r="E8575" t="str">
        <f>IFERROR(__xludf.DUMMYFUNCTION("""COMPUTED_VALUE"""),"David")</f>
        <v>David</v>
      </c>
      <c r="F8575" t="str">
        <f>IFERROR(__xludf.DUMMYFUNCTION("""COMPUTED_VALUE"""),"TE")</f>
        <v>TE</v>
      </c>
      <c r="G8575" t="str">
        <f>IFERROR(__xludf.DUMMYFUNCTION("""COMPUTED_VALUE"""),"")</f>
        <v/>
      </c>
    </row>
    <row r="8576">
      <c r="D8576" t="str">
        <f>IFERROR(__xludf.DUMMYFUNCTION("""COMPUTED_VALUE"""),"Nkansah")</f>
        <v>Nkansah</v>
      </c>
      <c r="E8576" t="str">
        <f>IFERROR(__xludf.DUMMYFUNCTION("""COMPUTED_VALUE"""),"Elijah")</f>
        <v>Elijah</v>
      </c>
      <c r="F8576" t="str">
        <f>IFERROR(__xludf.DUMMYFUNCTION("""COMPUTED_VALUE"""),"RT")</f>
        <v>RT</v>
      </c>
      <c r="G8576" t="str">
        <f>IFERROR(__xludf.DUMMYFUNCTION("""COMPUTED_VALUE"""),"")</f>
        <v/>
      </c>
    </row>
    <row r="8577">
      <c r="D8577" t="str">
        <f>IFERROR(__xludf.DUMMYFUNCTION("""COMPUTED_VALUE"""),"Nkemdiche")</f>
        <v>Nkemdiche</v>
      </c>
      <c r="E8577" t="str">
        <f>IFERROR(__xludf.DUMMYFUNCTION("""COMPUTED_VALUE"""),"Robert")</f>
        <v>Robert</v>
      </c>
      <c r="F8577" t="str">
        <f>IFERROR(__xludf.DUMMYFUNCTION("""COMPUTED_VALUE"""),"LE")</f>
        <v>LE</v>
      </c>
      <c r="G8577" t="str">
        <f>IFERROR(__xludf.DUMMYFUNCTION("""COMPUTED_VALUE"""),"")</f>
        <v/>
      </c>
    </row>
    <row r="8578">
      <c r="D8578" t="str">
        <f>IFERROR(__xludf.DUMMYFUNCTION("""COMPUTED_VALUE"""),"Nnadi")</f>
        <v>Nnadi</v>
      </c>
      <c r="E8578" t="str">
        <f>IFERROR(__xludf.DUMMYFUNCTION("""COMPUTED_VALUE"""),"Derrick")</f>
        <v>Derrick</v>
      </c>
      <c r="F8578" t="str">
        <f>IFERROR(__xludf.DUMMYFUNCTION("""COMPUTED_VALUE"""),"DT")</f>
        <v>DT</v>
      </c>
      <c r="G8578" t="str">
        <f>IFERROR(__xludf.DUMMYFUNCTION("""COMPUTED_VALUE"""),"")</f>
        <v/>
      </c>
    </row>
    <row r="8579">
      <c r="D8579" t="str">
        <f>IFERROR(__xludf.DUMMYFUNCTION("""COMPUTED_VALUE"""),"Norman")</f>
        <v>Norman</v>
      </c>
      <c r="E8579" t="str">
        <f>IFERROR(__xludf.DUMMYFUNCTION("""COMPUTED_VALUE"""),"Josh")</f>
        <v>Josh</v>
      </c>
      <c r="F8579" t="str">
        <f>IFERROR(__xludf.DUMMYFUNCTION("""COMPUTED_VALUE"""),"CB")</f>
        <v>CB</v>
      </c>
      <c r="G8579" t="str">
        <f>IFERROR(__xludf.DUMMYFUNCTION("""COMPUTED_VALUE"""),"")</f>
        <v/>
      </c>
    </row>
    <row r="8580">
      <c r="D8580" t="str">
        <f>IFERROR(__xludf.DUMMYFUNCTION("""COMPUTED_VALUE"""),"Norris")</f>
        <v>Norris</v>
      </c>
      <c r="E8580" t="str">
        <f>IFERROR(__xludf.DUMMYFUNCTION("""COMPUTED_VALUE"""),"Jared")</f>
        <v>Jared</v>
      </c>
      <c r="F8580" t="str">
        <f>IFERROR(__xludf.DUMMYFUNCTION("""COMPUTED_VALUE"""),"MLB")</f>
        <v>MLB</v>
      </c>
      <c r="G8580" t="str">
        <f>IFERROR(__xludf.DUMMYFUNCTION("""COMPUTED_VALUE"""),"")</f>
        <v/>
      </c>
    </row>
    <row r="8581">
      <c r="D8581" t="str">
        <f>IFERROR(__xludf.DUMMYFUNCTION("""COMPUTED_VALUE"""),"Norton")</f>
        <v>Norton</v>
      </c>
      <c r="E8581" t="str">
        <f>IFERROR(__xludf.DUMMYFUNCTION("""COMPUTED_VALUE"""),"Kendrick")</f>
        <v>Kendrick</v>
      </c>
      <c r="F8581" t="str">
        <f>IFERROR(__xludf.DUMMYFUNCTION("""COMPUTED_VALUE"""),"DT")</f>
        <v>DT</v>
      </c>
      <c r="G8581" t="str">
        <f>IFERROR(__xludf.DUMMYFUNCTION("""COMPUTED_VALUE"""),"")</f>
        <v/>
      </c>
    </row>
    <row r="8582">
      <c r="D8582" t="str">
        <f>IFERROR(__xludf.DUMMYFUNCTION("""COMPUTED_VALUE"""),"Norton")</f>
        <v>Norton</v>
      </c>
      <c r="E8582" t="str">
        <f>IFERROR(__xludf.DUMMYFUNCTION("""COMPUTED_VALUE"""),"Storm")</f>
        <v>Storm</v>
      </c>
      <c r="F8582" t="str">
        <f>IFERROR(__xludf.DUMMYFUNCTION("""COMPUTED_VALUE"""),"RT")</f>
        <v>RT</v>
      </c>
      <c r="G8582" t="str">
        <f>IFERROR(__xludf.DUMMYFUNCTION("""COMPUTED_VALUE"""),"")</f>
        <v/>
      </c>
    </row>
    <row r="8583">
      <c r="D8583" t="str">
        <f>IFERROR(__xludf.DUMMYFUNCTION("""COMPUTED_VALUE"""),"Norwell")</f>
        <v>Norwell</v>
      </c>
      <c r="E8583" t="str">
        <f>IFERROR(__xludf.DUMMYFUNCTION("""COMPUTED_VALUE"""),"Andrew")</f>
        <v>Andrew</v>
      </c>
      <c r="F8583" t="str">
        <f>IFERROR(__xludf.DUMMYFUNCTION("""COMPUTED_VALUE"""),"LG")</f>
        <v>LG</v>
      </c>
      <c r="G8583" t="str">
        <f>IFERROR(__xludf.DUMMYFUNCTION("""COMPUTED_VALUE"""),"")</f>
        <v/>
      </c>
    </row>
    <row r="8584">
      <c r="D8584" t="str">
        <f>IFERROR(__xludf.DUMMYFUNCTION("""COMPUTED_VALUE"""),"Noteboom")</f>
        <v>Noteboom</v>
      </c>
      <c r="E8584" t="str">
        <f>IFERROR(__xludf.DUMMYFUNCTION("""COMPUTED_VALUE"""),"Joseph")</f>
        <v>Joseph</v>
      </c>
      <c r="F8584" t="str">
        <f>IFERROR(__xludf.DUMMYFUNCTION("""COMPUTED_VALUE"""),"LG")</f>
        <v>LG</v>
      </c>
      <c r="G8584" t="str">
        <f>IFERROR(__xludf.DUMMYFUNCTION("""COMPUTED_VALUE"""),"")</f>
        <v/>
      </c>
    </row>
    <row r="8585">
      <c r="D8585" t="str">
        <f>IFERROR(__xludf.DUMMYFUNCTION("""COMPUTED_VALUE"""),"Nsekhe")</f>
        <v>Nsekhe</v>
      </c>
      <c r="E8585" t="str">
        <f>IFERROR(__xludf.DUMMYFUNCTION("""COMPUTED_VALUE"""),"Ty")</f>
        <v>Ty</v>
      </c>
      <c r="F8585" t="str">
        <f>IFERROR(__xludf.DUMMYFUNCTION("""COMPUTED_VALUE"""),"RT")</f>
        <v>RT</v>
      </c>
      <c r="G8585" t="str">
        <f>IFERROR(__xludf.DUMMYFUNCTION("""COMPUTED_VALUE"""),"")</f>
        <v/>
      </c>
    </row>
    <row r="8586">
      <c r="D8586" t="str">
        <f>IFERROR(__xludf.DUMMYFUNCTION("""COMPUTED_VALUE"""),"Nunez-Roches")</f>
        <v>Nunez-Roches</v>
      </c>
      <c r="E8586" t="str">
        <f>IFERROR(__xludf.DUMMYFUNCTION("""COMPUTED_VALUE"""),"Rakeem")</f>
        <v>Rakeem</v>
      </c>
      <c r="F8586" t="str">
        <f>IFERROR(__xludf.DUMMYFUNCTION("""COMPUTED_VALUE"""),"LE")</f>
        <v>LE</v>
      </c>
      <c r="G8586" t="str">
        <f>IFERROR(__xludf.DUMMYFUNCTION("""COMPUTED_VALUE"""),"")</f>
        <v/>
      </c>
    </row>
    <row r="8587">
      <c r="D8587" t="str">
        <f>IFERROR(__xludf.DUMMYFUNCTION("""COMPUTED_VALUE"""),"Nwosu")</f>
        <v>Nwosu</v>
      </c>
      <c r="E8587" t="str">
        <f>IFERROR(__xludf.DUMMYFUNCTION("""COMPUTED_VALUE"""),"Uchenna")</f>
        <v>Uchenna</v>
      </c>
      <c r="F8587" t="str">
        <f>IFERROR(__xludf.DUMMYFUNCTION("""COMPUTED_VALUE"""),"LOLB")</f>
        <v>LOLB</v>
      </c>
      <c r="G8587" t="str">
        <f>IFERROR(__xludf.DUMMYFUNCTION("""COMPUTED_VALUE"""),"")</f>
        <v/>
      </c>
    </row>
    <row r="8588">
      <c r="D8588" t="str">
        <f>IFERROR(__xludf.DUMMYFUNCTION("""COMPUTED_VALUE"""),"Nzeocha")</f>
        <v>Nzeocha</v>
      </c>
      <c r="E8588" t="str">
        <f>IFERROR(__xludf.DUMMYFUNCTION("""COMPUTED_VALUE"""),"Mark")</f>
        <v>Mark</v>
      </c>
      <c r="F8588" t="str">
        <f>IFERROR(__xludf.DUMMYFUNCTION("""COMPUTED_VALUE"""),"LOLB")</f>
        <v>LOLB</v>
      </c>
      <c r="G8588" t="str">
        <f>IFERROR(__xludf.DUMMYFUNCTION("""COMPUTED_VALUE"""),"")</f>
        <v/>
      </c>
    </row>
    <row r="8589">
      <c r="D8589" t="str">
        <f>IFERROR(__xludf.DUMMYFUNCTION("""COMPUTED_VALUE"""),"Obada")</f>
        <v>Obada</v>
      </c>
      <c r="E8589" t="str">
        <f>IFERROR(__xludf.DUMMYFUNCTION("""COMPUTED_VALUE"""),"Efe")</f>
        <v>Efe</v>
      </c>
      <c r="F8589" t="str">
        <f>IFERROR(__xludf.DUMMYFUNCTION("""COMPUTED_VALUE"""),"ROLB")</f>
        <v>ROLB</v>
      </c>
      <c r="G8589" t="str">
        <f>IFERROR(__xludf.DUMMYFUNCTION("""COMPUTED_VALUE"""),"")</f>
        <v/>
      </c>
    </row>
    <row r="8590">
      <c r="D8590" t="str">
        <f>IFERROR(__xludf.DUMMYFUNCTION("""COMPUTED_VALUE"""),"OConnor")</f>
        <v>OConnor</v>
      </c>
      <c r="E8590" t="str">
        <f>IFERROR(__xludf.DUMMYFUNCTION("""COMPUTED_VALUE"""),"Pat")</f>
        <v>Pat</v>
      </c>
      <c r="F8590" t="str">
        <f>IFERROR(__xludf.DUMMYFUNCTION("""COMPUTED_VALUE"""),"ROLB")</f>
        <v>ROLB</v>
      </c>
      <c r="G8590" t="str">
        <f>IFERROR(__xludf.DUMMYFUNCTION("""COMPUTED_VALUE"""),"")</f>
        <v/>
      </c>
    </row>
    <row r="8591">
      <c r="D8591" t="str">
        <f>IFERROR(__xludf.DUMMYFUNCTION("""COMPUTED_VALUE"""),"ODaniel")</f>
        <v>ODaniel</v>
      </c>
      <c r="E8591" t="str">
        <f>IFERROR(__xludf.DUMMYFUNCTION("""COMPUTED_VALUE"""),"Dorian")</f>
        <v>Dorian</v>
      </c>
      <c r="F8591" t="str">
        <f>IFERROR(__xludf.DUMMYFUNCTION("""COMPUTED_VALUE"""),"LOLB")</f>
        <v>LOLB</v>
      </c>
      <c r="G8591" t="str">
        <f>IFERROR(__xludf.DUMMYFUNCTION("""COMPUTED_VALUE"""),"")</f>
        <v/>
      </c>
    </row>
    <row r="8592">
      <c r="D8592" t="str">
        <f>IFERROR(__xludf.DUMMYFUNCTION("""COMPUTED_VALUE"""),"Odenigbo")</f>
        <v>Odenigbo</v>
      </c>
      <c r="E8592" t="str">
        <f>IFERROR(__xludf.DUMMYFUNCTION("""COMPUTED_VALUE"""),"Ifeadi")</f>
        <v>Ifeadi</v>
      </c>
      <c r="F8592" t="str">
        <f>IFERROR(__xludf.DUMMYFUNCTION("""COMPUTED_VALUE"""),"DT")</f>
        <v>DT</v>
      </c>
      <c r="G8592" t="str">
        <f>IFERROR(__xludf.DUMMYFUNCTION("""COMPUTED_VALUE"""),"")</f>
        <v/>
      </c>
    </row>
    <row r="8593">
      <c r="D8593" t="str">
        <f>IFERROR(__xludf.DUMMYFUNCTION("""COMPUTED_VALUE"""),"Odhiambo")</f>
        <v>Odhiambo</v>
      </c>
      <c r="E8593" t="str">
        <f>IFERROR(__xludf.DUMMYFUNCTION("""COMPUTED_VALUE"""),"Rees")</f>
        <v>Rees</v>
      </c>
      <c r="F8593" t="str">
        <f>IFERROR(__xludf.DUMMYFUNCTION("""COMPUTED_VALUE"""),"RG")</f>
        <v>RG</v>
      </c>
      <c r="G8593" t="str">
        <f>IFERROR(__xludf.DUMMYFUNCTION("""COMPUTED_VALUE"""),"")</f>
        <v/>
      </c>
    </row>
    <row r="8594">
      <c r="D8594" t="str">
        <f>IFERROR(__xludf.DUMMYFUNCTION("""COMPUTED_VALUE"""),"Odom")</f>
        <v>Odom</v>
      </c>
      <c r="E8594" t="str">
        <f>IFERROR(__xludf.DUMMYFUNCTION("""COMPUTED_VALUE"""),"Chris")</f>
        <v>Chris</v>
      </c>
      <c r="F8594" t="str">
        <f>IFERROR(__xludf.DUMMYFUNCTION("""COMPUTED_VALUE"""),"RE")</f>
        <v>RE</v>
      </c>
      <c r="G8594" t="str">
        <f>IFERROR(__xludf.DUMMYFUNCTION("""COMPUTED_VALUE"""),"")</f>
        <v/>
      </c>
    </row>
    <row r="8595">
      <c r="D8595" t="str">
        <f>IFERROR(__xludf.DUMMYFUNCTION("""COMPUTED_VALUE"""),"ODonnell")</f>
        <v>ODonnell</v>
      </c>
      <c r="E8595" t="str">
        <f>IFERROR(__xludf.DUMMYFUNCTION("""COMPUTED_VALUE"""),"Pat")</f>
        <v>Pat</v>
      </c>
      <c r="F8595" t="str">
        <f>IFERROR(__xludf.DUMMYFUNCTION("""COMPUTED_VALUE"""),"P")</f>
        <v>P</v>
      </c>
      <c r="G8595" t="str">
        <f>IFERROR(__xludf.DUMMYFUNCTION("""COMPUTED_VALUE"""),"")</f>
        <v/>
      </c>
    </row>
    <row r="8596">
      <c r="D8596" t="str">
        <f>IFERROR(__xludf.DUMMYFUNCTION("""COMPUTED_VALUE"""),"Odum")</f>
        <v>Odum</v>
      </c>
      <c r="E8596" t="str">
        <f>IFERROR(__xludf.DUMMYFUNCTION("""COMPUTED_VALUE"""),"George")</f>
        <v>George</v>
      </c>
      <c r="F8596" t="str">
        <f>IFERROR(__xludf.DUMMYFUNCTION("""COMPUTED_VALUE"""),"SS")</f>
        <v>SS</v>
      </c>
      <c r="G8596" t="str">
        <f>IFERROR(__xludf.DUMMYFUNCTION("""COMPUTED_VALUE"""),"")</f>
        <v/>
      </c>
    </row>
    <row r="8597">
      <c r="D8597" t="str">
        <f>IFERROR(__xludf.DUMMYFUNCTION("""COMPUTED_VALUE"""),"Ogbah")</f>
        <v>Ogbah</v>
      </c>
      <c r="E8597" t="str">
        <f>IFERROR(__xludf.DUMMYFUNCTION("""COMPUTED_VALUE"""),"Emmanuel")</f>
        <v>Emmanuel</v>
      </c>
      <c r="F8597" t="str">
        <f>IFERROR(__xludf.DUMMYFUNCTION("""COMPUTED_VALUE"""),"LE")</f>
        <v>LE</v>
      </c>
      <c r="G8597" t="str">
        <f>IFERROR(__xludf.DUMMYFUNCTION("""COMPUTED_VALUE"""),"")</f>
        <v/>
      </c>
    </row>
    <row r="8598">
      <c r="D8598" t="str">
        <f>IFERROR(__xludf.DUMMYFUNCTION("""COMPUTED_VALUE"""),"Ogbuehi")</f>
        <v>Ogbuehi</v>
      </c>
      <c r="E8598" t="str">
        <f>IFERROR(__xludf.DUMMYFUNCTION("""COMPUTED_VALUE"""),"Cedric")</f>
        <v>Cedric</v>
      </c>
      <c r="F8598" t="str">
        <f>IFERROR(__xludf.DUMMYFUNCTION("""COMPUTED_VALUE"""),"RT")</f>
        <v>RT</v>
      </c>
      <c r="G8598" t="str">
        <f>IFERROR(__xludf.DUMMYFUNCTION("""COMPUTED_VALUE"""),"")</f>
        <v/>
      </c>
    </row>
    <row r="8599">
      <c r="D8599" t="str">
        <f>IFERROR(__xludf.DUMMYFUNCTION("""COMPUTED_VALUE"""),"Ogletree")</f>
        <v>Ogletree</v>
      </c>
      <c r="E8599" t="str">
        <f>IFERROR(__xludf.DUMMYFUNCTION("""COMPUTED_VALUE"""),"Alec")</f>
        <v>Alec</v>
      </c>
      <c r="F8599" t="str">
        <f>IFERROR(__xludf.DUMMYFUNCTION("""COMPUTED_VALUE"""),"MLB")</f>
        <v>MLB</v>
      </c>
      <c r="G8599" t="str">
        <f>IFERROR(__xludf.DUMMYFUNCTION("""COMPUTED_VALUE"""),"")</f>
        <v/>
      </c>
    </row>
    <row r="8600">
      <c r="D8600" t="str">
        <f>IFERROR(__xludf.DUMMYFUNCTION("""COMPUTED_VALUE"""),"Ogunbowale")</f>
        <v>Ogunbowale</v>
      </c>
      <c r="E8600" t="str">
        <f>IFERROR(__xludf.DUMMYFUNCTION("""COMPUTED_VALUE"""),"Dare")</f>
        <v>Dare</v>
      </c>
      <c r="F8600" t="str">
        <f>IFERROR(__xludf.DUMMYFUNCTION("""COMPUTED_VALUE"""),"HB")</f>
        <v>HB</v>
      </c>
      <c r="G8600" t="str">
        <f>IFERROR(__xludf.DUMMYFUNCTION("""COMPUTED_VALUE"""),"")</f>
        <v/>
      </c>
    </row>
    <row r="8601">
      <c r="D8601" t="str">
        <f>IFERROR(__xludf.DUMMYFUNCTION("""COMPUTED_VALUE"""),"Ogunjobi")</f>
        <v>Ogunjobi</v>
      </c>
      <c r="E8601" t="str">
        <f>IFERROR(__xludf.DUMMYFUNCTION("""COMPUTED_VALUE"""),"Larry")</f>
        <v>Larry</v>
      </c>
      <c r="F8601" t="str">
        <f>IFERROR(__xludf.DUMMYFUNCTION("""COMPUTED_VALUE"""),"DT")</f>
        <v>DT</v>
      </c>
      <c r="G8601" t="str">
        <f>IFERROR(__xludf.DUMMYFUNCTION("""COMPUTED_VALUE"""),"")</f>
        <v/>
      </c>
    </row>
    <row r="8602">
      <c r="D8602" t="str">
        <f>IFERROR(__xludf.DUMMYFUNCTION("""COMPUTED_VALUE"""),"Okafor")</f>
        <v>Okafor</v>
      </c>
      <c r="E8602" t="str">
        <f>IFERROR(__xludf.DUMMYFUNCTION("""COMPUTED_VALUE"""),"Alex")</f>
        <v>Alex</v>
      </c>
      <c r="F8602" t="str">
        <f>IFERROR(__xludf.DUMMYFUNCTION("""COMPUTED_VALUE"""),"LE")</f>
        <v>LE</v>
      </c>
      <c r="G8602" t="str">
        <f>IFERROR(__xludf.DUMMYFUNCTION("""COMPUTED_VALUE"""),"")</f>
        <v/>
      </c>
    </row>
    <row r="8603">
      <c r="D8603" t="str">
        <f>IFERROR(__xludf.DUMMYFUNCTION("""COMPUTED_VALUE"""),"Okereke")</f>
        <v>Okereke</v>
      </c>
      <c r="E8603" t="str">
        <f>IFERROR(__xludf.DUMMYFUNCTION("""COMPUTED_VALUE"""),"Bobby")</f>
        <v>Bobby</v>
      </c>
      <c r="F8603" t="str">
        <f>IFERROR(__xludf.DUMMYFUNCTION("""COMPUTED_VALUE"""),"MLB")</f>
        <v>MLB</v>
      </c>
      <c r="G8603" t="str">
        <f>IFERROR(__xludf.DUMMYFUNCTION("""COMPUTED_VALUE"""),"")</f>
        <v/>
      </c>
    </row>
    <row r="8604">
      <c r="D8604" t="str">
        <f>IFERROR(__xludf.DUMMYFUNCTION("""COMPUTED_VALUE"""),"Okorafor")</f>
        <v>Okorafor</v>
      </c>
      <c r="E8604" t="str">
        <f>IFERROR(__xludf.DUMMYFUNCTION("""COMPUTED_VALUE"""),"Chukwuma")</f>
        <v>Chukwuma</v>
      </c>
      <c r="F8604" t="str">
        <f>IFERROR(__xludf.DUMMYFUNCTION("""COMPUTED_VALUE"""),"LT")</f>
        <v>LT</v>
      </c>
      <c r="G8604" t="str">
        <f>IFERROR(__xludf.DUMMYFUNCTION("""COMPUTED_VALUE"""),"")</f>
        <v/>
      </c>
    </row>
    <row r="8605">
      <c r="D8605" t="str">
        <f>IFERROR(__xludf.DUMMYFUNCTION("""COMPUTED_VALUE"""),"Okoronkwo")</f>
        <v>Okoronkwo</v>
      </c>
      <c r="E8605" t="str">
        <f>IFERROR(__xludf.DUMMYFUNCTION("""COMPUTED_VALUE"""),"Ogbonnia")</f>
        <v>Ogbonnia</v>
      </c>
      <c r="F8605" t="str">
        <f>IFERROR(__xludf.DUMMYFUNCTION("""COMPUTED_VALUE"""),"ROLB")</f>
        <v>ROLB</v>
      </c>
      <c r="G8605" t="str">
        <f>IFERROR(__xludf.DUMMYFUNCTION("""COMPUTED_VALUE"""),"")</f>
        <v/>
      </c>
    </row>
    <row r="8606">
      <c r="D8606" t="str">
        <f>IFERROR(__xludf.DUMMYFUNCTION("""COMPUTED_VALUE"""),"Okung")</f>
        <v>Okung</v>
      </c>
      <c r="E8606" t="str">
        <f>IFERROR(__xludf.DUMMYFUNCTION("""COMPUTED_VALUE"""),"Russell")</f>
        <v>Russell</v>
      </c>
      <c r="F8606" t="str">
        <f>IFERROR(__xludf.DUMMYFUNCTION("""COMPUTED_VALUE"""),"LT")</f>
        <v>LT</v>
      </c>
      <c r="G8606" t="str">
        <f>IFERROR(__xludf.DUMMYFUNCTION("""COMPUTED_VALUE"""),"")</f>
        <v/>
      </c>
    </row>
    <row r="8607">
      <c r="D8607" t="str">
        <f>IFERROR(__xludf.DUMMYFUNCTION("""COMPUTED_VALUE"""),"Okwara")</f>
        <v>Okwara</v>
      </c>
      <c r="E8607" t="str">
        <f>IFERROR(__xludf.DUMMYFUNCTION("""COMPUTED_VALUE"""),"Romeo")</f>
        <v>Romeo</v>
      </c>
      <c r="F8607" t="str">
        <f>IFERROR(__xludf.DUMMYFUNCTION("""COMPUTED_VALUE"""),"RE")</f>
        <v>RE</v>
      </c>
      <c r="G8607" t="str">
        <f>IFERROR(__xludf.DUMMYFUNCTION("""COMPUTED_VALUE"""),"")</f>
        <v/>
      </c>
    </row>
    <row r="8608">
      <c r="D8608" t="str">
        <f>IFERROR(__xludf.DUMMYFUNCTION("""COMPUTED_VALUE"""),"Ola")</f>
        <v>Ola</v>
      </c>
      <c r="E8608" t="str">
        <f>IFERROR(__xludf.DUMMYFUNCTION("""COMPUTED_VALUE"""),"Michael")</f>
        <v>Michael</v>
      </c>
      <c r="F8608" t="str">
        <f>IFERROR(__xludf.DUMMYFUNCTION("""COMPUTED_VALUE"""),"RT")</f>
        <v>RT</v>
      </c>
      <c r="G8608" t="str">
        <f>IFERROR(__xludf.DUMMYFUNCTION("""COMPUTED_VALUE"""),"")</f>
        <v/>
      </c>
    </row>
    <row r="8609">
      <c r="D8609" t="str">
        <f>IFERROR(__xludf.DUMMYFUNCTION("""COMPUTED_VALUE"""),"Olawale")</f>
        <v>Olawale</v>
      </c>
      <c r="E8609" t="str">
        <f>IFERROR(__xludf.DUMMYFUNCTION("""COMPUTED_VALUE"""),"Jamize")</f>
        <v>Jamize</v>
      </c>
      <c r="F8609" t="str">
        <f>IFERROR(__xludf.DUMMYFUNCTION("""COMPUTED_VALUE"""),"FB")</f>
        <v>FB</v>
      </c>
      <c r="G8609" t="str">
        <f>IFERROR(__xludf.DUMMYFUNCTION("""COMPUTED_VALUE"""),"")</f>
        <v/>
      </c>
    </row>
    <row r="8610">
      <c r="D8610" t="str">
        <f>IFERROR(__xludf.DUMMYFUNCTION("""COMPUTED_VALUE"""),"OLeary")</f>
        <v>OLeary</v>
      </c>
      <c r="E8610" t="str">
        <f>IFERROR(__xludf.DUMMYFUNCTION("""COMPUTED_VALUE"""),"Nick")</f>
        <v>Nick</v>
      </c>
      <c r="F8610" t="str">
        <f>IFERROR(__xludf.DUMMYFUNCTION("""COMPUTED_VALUE"""),"TE")</f>
        <v>TE</v>
      </c>
      <c r="G8610" t="str">
        <f>IFERROR(__xludf.DUMMYFUNCTION("""COMPUTED_VALUE"""),"")</f>
        <v/>
      </c>
    </row>
    <row r="8611">
      <c r="D8611" t="str">
        <f>IFERROR(__xludf.DUMMYFUNCTION("""COMPUTED_VALUE"""),"Oliver")</f>
        <v>Oliver</v>
      </c>
      <c r="E8611" t="str">
        <f>IFERROR(__xludf.DUMMYFUNCTION("""COMPUTED_VALUE"""),"Ed")</f>
        <v>Ed</v>
      </c>
      <c r="F8611" t="str">
        <f>IFERROR(__xludf.DUMMYFUNCTION("""COMPUTED_VALUE"""),"DT")</f>
        <v>DT</v>
      </c>
      <c r="G8611" t="str">
        <f>IFERROR(__xludf.DUMMYFUNCTION("""COMPUTED_VALUE"""),"")</f>
        <v/>
      </c>
    </row>
    <row r="8612">
      <c r="D8612" t="str">
        <f>IFERROR(__xludf.DUMMYFUNCTION("""COMPUTED_VALUE"""),"Oliver")</f>
        <v>Oliver</v>
      </c>
      <c r="E8612" t="str">
        <f>IFERROR(__xludf.DUMMYFUNCTION("""COMPUTED_VALUE"""),"Isaiah")</f>
        <v>Isaiah</v>
      </c>
      <c r="F8612" t="str">
        <f>IFERROR(__xludf.DUMMYFUNCTION("""COMPUTED_VALUE"""),"CB")</f>
        <v>CB</v>
      </c>
      <c r="G8612" t="str">
        <f>IFERROR(__xludf.DUMMYFUNCTION("""COMPUTED_VALUE"""),"")</f>
        <v/>
      </c>
    </row>
    <row r="8613">
      <c r="D8613" t="str">
        <f>IFERROR(__xludf.DUMMYFUNCTION("""COMPUTED_VALUE"""),"Oliver")</f>
        <v>Oliver</v>
      </c>
      <c r="E8613" t="str">
        <f>IFERROR(__xludf.DUMMYFUNCTION("""COMPUTED_VALUE"""),"Josh")</f>
        <v>Josh</v>
      </c>
      <c r="F8613" t="str">
        <f>IFERROR(__xludf.DUMMYFUNCTION("""COMPUTED_VALUE"""),"TE")</f>
        <v>TE</v>
      </c>
      <c r="G8613" t="str">
        <f>IFERROR(__xludf.DUMMYFUNCTION("""COMPUTED_VALUE"""),"")</f>
        <v/>
      </c>
    </row>
    <row r="8614">
      <c r="D8614" t="str">
        <f>IFERROR(__xludf.DUMMYFUNCTION("""COMPUTED_VALUE"""),"Ollison")</f>
        <v>Ollison</v>
      </c>
      <c r="E8614" t="str">
        <f>IFERROR(__xludf.DUMMYFUNCTION("""COMPUTED_VALUE"""),"Qadree")</f>
        <v>Qadree</v>
      </c>
      <c r="F8614" t="str">
        <f>IFERROR(__xludf.DUMMYFUNCTION("""COMPUTED_VALUE"""),"HB")</f>
        <v>HB</v>
      </c>
      <c r="G8614" t="str">
        <f>IFERROR(__xludf.DUMMYFUNCTION("""COMPUTED_VALUE"""),"")</f>
        <v/>
      </c>
    </row>
    <row r="8615">
      <c r="D8615" t="str">
        <f>IFERROR(__xludf.DUMMYFUNCTION("""COMPUTED_VALUE"""),"Olsen")</f>
        <v>Olsen</v>
      </c>
      <c r="E8615" t="str">
        <f>IFERROR(__xludf.DUMMYFUNCTION("""COMPUTED_VALUE"""),"Greg")</f>
        <v>Greg</v>
      </c>
      <c r="F8615" t="str">
        <f>IFERROR(__xludf.DUMMYFUNCTION("""COMPUTED_VALUE"""),"TE")</f>
        <v>TE</v>
      </c>
      <c r="G8615" t="str">
        <f>IFERROR(__xludf.DUMMYFUNCTION("""COMPUTED_VALUE"""),"")</f>
        <v/>
      </c>
    </row>
    <row r="8616">
      <c r="D8616" t="str">
        <f>IFERROR(__xludf.DUMMYFUNCTION("""COMPUTED_VALUE"""),"Oluokun")</f>
        <v>Oluokun</v>
      </c>
      <c r="E8616" t="str">
        <f>IFERROR(__xludf.DUMMYFUNCTION("""COMPUTED_VALUE"""),"Foyesade")</f>
        <v>Foyesade</v>
      </c>
      <c r="F8616" t="str">
        <f>IFERROR(__xludf.DUMMYFUNCTION("""COMPUTED_VALUE"""),"ROLB")</f>
        <v>ROLB</v>
      </c>
      <c r="G8616" t="str">
        <f>IFERROR(__xludf.DUMMYFUNCTION("""COMPUTED_VALUE"""),"")</f>
        <v/>
      </c>
    </row>
    <row r="8617">
      <c r="D8617" t="str">
        <f>IFERROR(__xludf.DUMMYFUNCTION("""COMPUTED_VALUE"""),"Omenihu")</f>
        <v>Omenihu</v>
      </c>
      <c r="E8617" t="str">
        <f>IFERROR(__xludf.DUMMYFUNCTION("""COMPUTED_VALUE"""),"Charles")</f>
        <v>Charles</v>
      </c>
      <c r="F8617" t="str">
        <f>IFERROR(__xludf.DUMMYFUNCTION("""COMPUTED_VALUE"""),"ROLB")</f>
        <v>ROLB</v>
      </c>
      <c r="G8617" t="str">
        <f>IFERROR(__xludf.DUMMYFUNCTION("""COMPUTED_VALUE"""),"")</f>
        <v/>
      </c>
    </row>
    <row r="8618">
      <c r="D8618" t="str">
        <f>IFERROR(__xludf.DUMMYFUNCTION("""COMPUTED_VALUE"""),"ONeill")</f>
        <v>ONeill</v>
      </c>
      <c r="E8618" t="str">
        <f>IFERROR(__xludf.DUMMYFUNCTION("""COMPUTED_VALUE"""),"Brian")</f>
        <v>Brian</v>
      </c>
      <c r="F8618" t="str">
        <f>IFERROR(__xludf.DUMMYFUNCTION("""COMPUTED_VALUE"""),"RT")</f>
        <v>RT</v>
      </c>
      <c r="G8618" t="str">
        <f>IFERROR(__xludf.DUMMYFUNCTION("""COMPUTED_VALUE"""),"")</f>
        <v/>
      </c>
    </row>
    <row r="8619">
      <c r="D8619" t="str">
        <f>IFERROR(__xludf.DUMMYFUNCTION("""COMPUTED_VALUE"""),"Onwualu")</f>
        <v>Onwualu</v>
      </c>
      <c r="E8619" t="str">
        <f>IFERROR(__xludf.DUMMYFUNCTION("""COMPUTED_VALUE"""),"James")</f>
        <v>James</v>
      </c>
      <c r="F8619" t="str">
        <f>IFERROR(__xludf.DUMMYFUNCTION("""COMPUTED_VALUE"""),"ROLB")</f>
        <v>ROLB</v>
      </c>
      <c r="G8619" t="str">
        <f>IFERROR(__xludf.DUMMYFUNCTION("""COMPUTED_VALUE"""),"")</f>
        <v/>
      </c>
    </row>
    <row r="8620">
      <c r="D8620" t="str">
        <f>IFERROR(__xludf.DUMMYFUNCTION("""COMPUTED_VALUE"""),"Onwuasor")</f>
        <v>Onwuasor</v>
      </c>
      <c r="E8620" t="str">
        <f>IFERROR(__xludf.DUMMYFUNCTION("""COMPUTED_VALUE"""),"Patrick")</f>
        <v>Patrick</v>
      </c>
      <c r="F8620" t="str">
        <f>IFERROR(__xludf.DUMMYFUNCTION("""COMPUTED_VALUE"""),"MLB")</f>
        <v>MLB</v>
      </c>
      <c r="G8620" t="str">
        <f>IFERROR(__xludf.DUMMYFUNCTION("""COMPUTED_VALUE"""),"")</f>
        <v/>
      </c>
    </row>
    <row r="8621">
      <c r="D8621" t="str">
        <f>IFERROR(__xludf.DUMMYFUNCTION("""COMPUTED_VALUE"""),"Onyemata")</f>
        <v>Onyemata</v>
      </c>
      <c r="E8621" t="str">
        <f>IFERROR(__xludf.DUMMYFUNCTION("""COMPUTED_VALUE"""),"David")</f>
        <v>David</v>
      </c>
      <c r="F8621" t="str">
        <f>IFERROR(__xludf.DUMMYFUNCTION("""COMPUTED_VALUE"""),"DT")</f>
        <v>DT</v>
      </c>
      <c r="G8621" t="str">
        <f>IFERROR(__xludf.DUMMYFUNCTION("""COMPUTED_VALUE"""),"")</f>
        <v/>
      </c>
    </row>
    <row r="8622">
      <c r="D8622" t="str">
        <f>IFERROR(__xludf.DUMMYFUNCTION("""COMPUTED_VALUE"""),"Orchard")</f>
        <v>Orchard</v>
      </c>
      <c r="E8622" t="str">
        <f>IFERROR(__xludf.DUMMYFUNCTION("""COMPUTED_VALUE"""),"Nate")</f>
        <v>Nate</v>
      </c>
      <c r="F8622" t="str">
        <f>IFERROR(__xludf.DUMMYFUNCTION("""COMPUTED_VALUE"""),"LOLB")</f>
        <v>LOLB</v>
      </c>
      <c r="G8622" t="str">
        <f>IFERROR(__xludf.DUMMYFUNCTION("""COMPUTED_VALUE"""),"")</f>
        <v/>
      </c>
    </row>
    <row r="8623">
      <c r="D8623" t="str">
        <f>IFERROR(__xludf.DUMMYFUNCTION("""COMPUTED_VALUE"""),"Ortiz")</f>
        <v>Ortiz</v>
      </c>
      <c r="E8623" t="str">
        <f>IFERROR(__xludf.DUMMYFUNCTION("""COMPUTED_VALUE"""),"Ricky")</f>
        <v>Ricky</v>
      </c>
      <c r="F8623" t="str">
        <f>IFERROR(__xludf.DUMMYFUNCTION("""COMPUTED_VALUE"""),"FB")</f>
        <v>FB</v>
      </c>
      <c r="G8623" t="str">
        <f>IFERROR(__xludf.DUMMYFUNCTION("""COMPUTED_VALUE"""),"")</f>
        <v/>
      </c>
    </row>
    <row r="8624">
      <c r="D8624" t="str">
        <f>IFERROR(__xludf.DUMMYFUNCTION("""COMPUTED_VALUE"""),"Oruwariye")</f>
        <v>Oruwariye</v>
      </c>
      <c r="E8624" t="str">
        <f>IFERROR(__xludf.DUMMYFUNCTION("""COMPUTED_VALUE"""),"Amani")</f>
        <v>Amani</v>
      </c>
      <c r="F8624" t="str">
        <f>IFERROR(__xludf.DUMMYFUNCTION("""COMPUTED_VALUE"""),"CB")</f>
        <v>CB</v>
      </c>
      <c r="G8624" t="str">
        <f>IFERROR(__xludf.DUMMYFUNCTION("""COMPUTED_VALUE"""),"")</f>
        <v/>
      </c>
    </row>
    <row r="8625">
      <c r="D8625" t="str">
        <f>IFERROR(__xludf.DUMMYFUNCTION("""COMPUTED_VALUE"""),"Osemele")</f>
        <v>Osemele</v>
      </c>
      <c r="E8625" t="str">
        <f>IFERROR(__xludf.DUMMYFUNCTION("""COMPUTED_VALUE"""),"Kelechi")</f>
        <v>Kelechi</v>
      </c>
      <c r="F8625" t="str">
        <f>IFERROR(__xludf.DUMMYFUNCTION("""COMPUTED_VALUE"""),"LG")</f>
        <v>LG</v>
      </c>
      <c r="G8625" t="str">
        <f>IFERROR(__xludf.DUMMYFUNCTION("""COMPUTED_VALUE"""),"")</f>
        <v/>
      </c>
    </row>
    <row r="8626">
      <c r="D8626" t="str">
        <f>IFERROR(__xludf.DUMMYFUNCTION("""COMPUTED_VALUE"""),"OShaughnessy")</f>
        <v>OShaughnessy</v>
      </c>
      <c r="E8626" t="str">
        <f>IFERROR(__xludf.DUMMYFUNCTION("""COMPUTED_VALUE"""),"James")</f>
        <v>James</v>
      </c>
      <c r="F8626" t="str">
        <f>IFERROR(__xludf.DUMMYFUNCTION("""COMPUTED_VALUE"""),"TE")</f>
        <v>TE</v>
      </c>
      <c r="G8626" t="str">
        <f>IFERROR(__xludf.DUMMYFUNCTION("""COMPUTED_VALUE"""),"")</f>
        <v/>
      </c>
    </row>
    <row r="8627">
      <c r="D8627" t="str">
        <f>IFERROR(__xludf.DUMMYFUNCTION("""COMPUTED_VALUE"""),"Ostman")</f>
        <v>Ostman</v>
      </c>
      <c r="E8627" t="str">
        <f>IFERROR(__xludf.DUMMYFUNCTION("""COMPUTED_VALUE"""),"Joe")</f>
        <v>Joe</v>
      </c>
      <c r="F8627" t="str">
        <f>IFERROR(__xludf.DUMMYFUNCTION("""COMPUTED_VALUE"""),"LE")</f>
        <v>LE</v>
      </c>
      <c r="G8627" t="str">
        <f>IFERROR(__xludf.DUMMYFUNCTION("""COMPUTED_VALUE"""),"")</f>
        <v/>
      </c>
    </row>
    <row r="8628">
      <c r="D8628" t="str">
        <f>IFERROR(__xludf.DUMMYFUNCTION("""COMPUTED_VALUE"""),"Ott")</f>
        <v>Ott</v>
      </c>
      <c r="E8628" t="str">
        <f>IFERROR(__xludf.DUMMYFUNCTION("""COMPUTED_VALUE"""),"Tyler")</f>
        <v>Tyler</v>
      </c>
      <c r="F8628" t="str">
        <f>IFERROR(__xludf.DUMMYFUNCTION("""COMPUTED_VALUE"""),"TE")</f>
        <v>TE</v>
      </c>
      <c r="G8628" t="str">
        <f>IFERROR(__xludf.DUMMYFUNCTION("""COMPUTED_VALUE"""),"")</f>
        <v/>
      </c>
    </row>
    <row r="8629">
      <c r="D8629" t="str">
        <f>IFERROR(__xludf.DUMMYFUNCTION("""COMPUTED_VALUE"""),"Overton")</f>
        <v>Overton</v>
      </c>
      <c r="E8629" t="str">
        <f>IFERROR(__xludf.DUMMYFUNCTION("""COMPUTED_VALUE"""),"Matt")</f>
        <v>Matt</v>
      </c>
      <c r="F8629" t="str">
        <f>IFERROR(__xludf.DUMMYFUNCTION("""COMPUTED_VALUE"""),"TE")</f>
        <v>TE</v>
      </c>
      <c r="G8629" t="str">
        <f>IFERROR(__xludf.DUMMYFUNCTION("""COMPUTED_VALUE"""),"")</f>
        <v/>
      </c>
    </row>
    <row r="8630">
      <c r="D8630" t="str">
        <f>IFERROR(__xludf.DUMMYFUNCTION("""COMPUTED_VALUE"""),"Palardy")</f>
        <v>Palardy</v>
      </c>
      <c r="E8630" t="str">
        <f>IFERROR(__xludf.DUMMYFUNCTION("""COMPUTED_VALUE"""),"Michael")</f>
        <v>Michael</v>
      </c>
      <c r="F8630" t="str">
        <f>IFERROR(__xludf.DUMMYFUNCTION("""COMPUTED_VALUE"""),"P")</f>
        <v>P</v>
      </c>
      <c r="G8630" t="str">
        <f>IFERROR(__xludf.DUMMYFUNCTION("""COMPUTED_VALUE"""),"")</f>
        <v/>
      </c>
    </row>
    <row r="8631">
      <c r="D8631" t="str">
        <f>IFERROR(__xludf.DUMMYFUNCTION("""COMPUTED_VALUE"""),"Pamphile")</f>
        <v>Pamphile</v>
      </c>
      <c r="E8631" t="str">
        <f>IFERROR(__xludf.DUMMYFUNCTION("""COMPUTED_VALUE"""),"Kevin")</f>
        <v>Kevin</v>
      </c>
      <c r="F8631" t="str">
        <f>IFERROR(__xludf.DUMMYFUNCTION("""COMPUTED_VALUE"""),"RT")</f>
        <v>RT</v>
      </c>
      <c r="G8631" t="str">
        <f>IFERROR(__xludf.DUMMYFUNCTION("""COMPUTED_VALUE"""),"")</f>
        <v/>
      </c>
    </row>
    <row r="8632">
      <c r="D8632" t="str">
        <f>IFERROR(__xludf.DUMMYFUNCTION("""COMPUTED_VALUE"""),"Paradis")</f>
        <v>Paradis</v>
      </c>
      <c r="E8632" t="str">
        <f>IFERROR(__xludf.DUMMYFUNCTION("""COMPUTED_VALUE"""),"Matt")</f>
        <v>Matt</v>
      </c>
      <c r="F8632" t="str">
        <f>IFERROR(__xludf.DUMMYFUNCTION("""COMPUTED_VALUE"""),"C")</f>
        <v>C</v>
      </c>
      <c r="G8632" t="str">
        <f>IFERROR(__xludf.DUMMYFUNCTION("""COMPUTED_VALUE"""),"")</f>
        <v/>
      </c>
    </row>
    <row r="8633">
      <c r="D8633" t="str">
        <f>IFERROR(__xludf.DUMMYFUNCTION("""COMPUTED_VALUE"""),"Parker")</f>
        <v>Parker</v>
      </c>
      <c r="E8633" t="str">
        <f>IFERROR(__xludf.DUMMYFUNCTION("""COMPUTED_VALUE"""),"Brandon")</f>
        <v>Brandon</v>
      </c>
      <c r="F8633" t="str">
        <f>IFERROR(__xludf.DUMMYFUNCTION("""COMPUTED_VALUE"""),"RT")</f>
        <v>RT</v>
      </c>
      <c r="G8633" t="str">
        <f>IFERROR(__xludf.DUMMYFUNCTION("""COMPUTED_VALUE"""),"")</f>
        <v/>
      </c>
    </row>
    <row r="8634">
      <c r="D8634" t="str">
        <f>IFERROR(__xludf.DUMMYFUNCTION("""COMPUTED_VALUE"""),"Parker")</f>
        <v>Parker</v>
      </c>
      <c r="E8634" t="str">
        <f>IFERROR(__xludf.DUMMYFUNCTION("""COMPUTED_VALUE"""),"DeVante")</f>
        <v>DeVante</v>
      </c>
      <c r="F8634" t="str">
        <f>IFERROR(__xludf.DUMMYFUNCTION("""COMPUTED_VALUE"""),"WR")</f>
        <v>WR</v>
      </c>
      <c r="G8634" t="str">
        <f>IFERROR(__xludf.DUMMYFUNCTION("""COMPUTED_VALUE"""),"")</f>
        <v/>
      </c>
    </row>
    <row r="8635">
      <c r="D8635" t="str">
        <f>IFERROR(__xludf.DUMMYFUNCTION("""COMPUTED_VALUE"""),"Parker")</f>
        <v>Parker</v>
      </c>
      <c r="E8635" t="str">
        <f>IFERROR(__xludf.DUMMYFUNCTION("""COMPUTED_VALUE"""),"Steven")</f>
        <v>Steven</v>
      </c>
      <c r="F8635" t="str">
        <f>IFERROR(__xludf.DUMMYFUNCTION("""COMPUTED_VALUE"""),"FS")</f>
        <v>FS</v>
      </c>
      <c r="G8635" t="str">
        <f>IFERROR(__xludf.DUMMYFUNCTION("""COMPUTED_VALUE"""),"")</f>
        <v/>
      </c>
    </row>
    <row r="8636">
      <c r="D8636" t="str">
        <f>IFERROR(__xludf.DUMMYFUNCTION("""COMPUTED_VALUE"""),"Parks")</f>
        <v>Parks</v>
      </c>
      <c r="E8636" t="str">
        <f>IFERROR(__xludf.DUMMYFUNCTION("""COMPUTED_VALUE"""),"Will")</f>
        <v>Will</v>
      </c>
      <c r="F8636" t="str">
        <f>IFERROR(__xludf.DUMMYFUNCTION("""COMPUTED_VALUE"""),"SS")</f>
        <v>SS</v>
      </c>
      <c r="G8636" t="str">
        <f>IFERROR(__xludf.DUMMYFUNCTION("""COMPUTED_VALUE"""),"")</f>
        <v/>
      </c>
    </row>
    <row r="8637">
      <c r="D8637" t="str">
        <f>IFERROR(__xludf.DUMMYFUNCTION("""COMPUTED_VALUE"""),"Parris")</f>
        <v>Parris</v>
      </c>
      <c r="E8637" t="str">
        <f>IFERROR(__xludf.DUMMYFUNCTION("""COMPUTED_VALUE"""),"Timon")</f>
        <v>Timon</v>
      </c>
      <c r="F8637" t="str">
        <f>IFERROR(__xludf.DUMMYFUNCTION("""COMPUTED_VALUE"""),"RT")</f>
        <v>RT</v>
      </c>
      <c r="G8637" t="str">
        <f>IFERROR(__xludf.DUMMYFUNCTION("""COMPUTED_VALUE"""),"")</f>
        <v/>
      </c>
    </row>
    <row r="8638">
      <c r="D8638" t="str">
        <f>IFERROR(__xludf.DUMMYFUNCTION("""COMPUTED_VALUE"""),"Parry")</f>
        <v>Parry</v>
      </c>
      <c r="E8638" t="str">
        <f>IFERROR(__xludf.DUMMYFUNCTION("""COMPUTED_VALUE"""),"David")</f>
        <v>David</v>
      </c>
      <c r="F8638" t="str">
        <f>IFERROR(__xludf.DUMMYFUNCTION("""COMPUTED_VALUE"""),"DT")</f>
        <v>DT</v>
      </c>
      <c r="G8638" t="str">
        <f>IFERROR(__xludf.DUMMYFUNCTION("""COMPUTED_VALUE"""),"")</f>
        <v/>
      </c>
    </row>
    <row r="8639">
      <c r="D8639" t="str">
        <f>IFERROR(__xludf.DUMMYFUNCTION("""COMPUTED_VALUE"""),"Pascal")</f>
        <v>Pascal</v>
      </c>
      <c r="E8639" t="str">
        <f>IFERROR(__xludf.DUMMYFUNCTION("""COMPUTED_VALUE"""),"Zach")</f>
        <v>Zach</v>
      </c>
      <c r="F8639" t="str">
        <f>IFERROR(__xludf.DUMMYFUNCTION("""COMPUTED_VALUE"""),"WR")</f>
        <v>WR</v>
      </c>
      <c r="G8639" t="str">
        <f>IFERROR(__xludf.DUMMYFUNCTION("""COMPUTED_VALUE"""),"")</f>
        <v/>
      </c>
    </row>
    <row r="8640">
      <c r="D8640" t="str">
        <f>IFERROR(__xludf.DUMMYFUNCTION("""COMPUTED_VALUE"""),"Pasztor")</f>
        <v>Pasztor</v>
      </c>
      <c r="E8640" t="str">
        <f>IFERROR(__xludf.DUMMYFUNCTION("""COMPUTED_VALUE"""),"Austin")</f>
        <v>Austin</v>
      </c>
      <c r="F8640" t="str">
        <f>IFERROR(__xludf.DUMMYFUNCTION("""COMPUTED_VALUE"""),"RT")</f>
        <v>RT</v>
      </c>
      <c r="G8640" t="str">
        <f>IFERROR(__xludf.DUMMYFUNCTION("""COMPUTED_VALUE"""),"")</f>
        <v/>
      </c>
    </row>
    <row r="8641">
      <c r="D8641" t="str">
        <f>IFERROR(__xludf.DUMMYFUNCTION("""COMPUTED_VALUE"""),"Patrick")</f>
        <v>Patrick</v>
      </c>
      <c r="E8641" t="str">
        <f>IFERROR(__xludf.DUMMYFUNCTION("""COMPUTED_VALUE"""),"Lucas")</f>
        <v>Lucas</v>
      </c>
      <c r="F8641" t="str">
        <f>IFERROR(__xludf.DUMMYFUNCTION("""COMPUTED_VALUE"""),"RG")</f>
        <v>RG</v>
      </c>
      <c r="G8641" t="str">
        <f>IFERROR(__xludf.DUMMYFUNCTION("""COMPUTED_VALUE"""),"")</f>
        <v/>
      </c>
    </row>
    <row r="8642">
      <c r="D8642" t="str">
        <f>IFERROR(__xludf.DUMMYFUNCTION("""COMPUTED_VALUE"""),"Patrick")</f>
        <v>Patrick</v>
      </c>
      <c r="E8642" t="str">
        <f>IFERROR(__xludf.DUMMYFUNCTION("""COMPUTED_VALUE"""),"Tim")</f>
        <v>Tim</v>
      </c>
      <c r="F8642" t="str">
        <f>IFERROR(__xludf.DUMMYFUNCTION("""COMPUTED_VALUE"""),"WR")</f>
        <v>WR</v>
      </c>
      <c r="G8642" t="str">
        <f>IFERROR(__xludf.DUMMYFUNCTION("""COMPUTED_VALUE"""),"")</f>
        <v/>
      </c>
    </row>
    <row r="8643">
      <c r="D8643" t="str">
        <f>IFERROR(__xludf.DUMMYFUNCTION("""COMPUTED_VALUE"""),"Patterson")</f>
        <v>Patterson</v>
      </c>
      <c r="E8643" t="str">
        <f>IFERROR(__xludf.DUMMYFUNCTION("""COMPUTED_VALUE"""),"Cordarrelle")</f>
        <v>Cordarrelle</v>
      </c>
      <c r="F8643" t="str">
        <f>IFERROR(__xludf.DUMMYFUNCTION("""COMPUTED_VALUE"""),"WR")</f>
        <v>WR</v>
      </c>
      <c r="G8643" t="str">
        <f>IFERROR(__xludf.DUMMYFUNCTION("""COMPUTED_VALUE"""),"")</f>
        <v/>
      </c>
    </row>
    <row r="8644">
      <c r="D8644" t="str">
        <f>IFERROR(__xludf.DUMMYFUNCTION("""COMPUTED_VALUE"""),"Patterson")</f>
        <v>Patterson</v>
      </c>
      <c r="E8644" t="str">
        <f>IFERROR(__xludf.DUMMYFUNCTION("""COMPUTED_VALUE"""),"Javon")</f>
        <v>Javon</v>
      </c>
      <c r="F8644" t="str">
        <f>IFERROR(__xludf.DUMMYFUNCTION("""COMPUTED_VALUE"""),"LG")</f>
        <v>LG</v>
      </c>
      <c r="G8644" t="str">
        <f>IFERROR(__xludf.DUMMYFUNCTION("""COMPUTED_VALUE"""),"")</f>
        <v/>
      </c>
    </row>
    <row r="8645">
      <c r="D8645" t="str">
        <f>IFERROR(__xludf.DUMMYFUNCTION("""COMPUTED_VALUE"""),"Patton")</f>
        <v>Patton</v>
      </c>
      <c r="E8645" t="str">
        <f>IFERROR(__xludf.DUMMYFUNCTION("""COMPUTED_VALUE"""),"Andre")</f>
        <v>Andre</v>
      </c>
      <c r="F8645" t="str">
        <f>IFERROR(__xludf.DUMMYFUNCTION("""COMPUTED_VALUE"""),"WR")</f>
        <v>WR</v>
      </c>
      <c r="G8645" t="str">
        <f>IFERROR(__xludf.DUMMYFUNCTION("""COMPUTED_VALUE"""),"")</f>
        <v/>
      </c>
    </row>
    <row r="8646">
      <c r="D8646" t="str">
        <f>IFERROR(__xludf.DUMMYFUNCTION("""COMPUTED_VALUE"""),"Paulsen")</f>
        <v>Paulsen</v>
      </c>
      <c r="E8646" t="str">
        <f>IFERROR(__xludf.DUMMYFUNCTION("""COMPUTED_VALUE"""),"Logan")</f>
        <v>Logan</v>
      </c>
      <c r="F8646" t="str">
        <f>IFERROR(__xludf.DUMMYFUNCTION("""COMPUTED_VALUE"""),"TE")</f>
        <v>TE</v>
      </c>
      <c r="G8646" t="str">
        <f>IFERROR(__xludf.DUMMYFUNCTION("""COMPUTED_VALUE"""),"")</f>
        <v/>
      </c>
    </row>
    <row r="8647">
      <c r="D8647" t="str">
        <f>IFERROR(__xludf.DUMMYFUNCTION("""COMPUTED_VALUE"""),"Payne")</f>
        <v>Payne</v>
      </c>
      <c r="E8647" t="str">
        <f>IFERROR(__xludf.DUMMYFUNCTION("""COMPUTED_VALUE"""),"DaRon")</f>
        <v>DaRon</v>
      </c>
      <c r="F8647" t="str">
        <f>IFERROR(__xludf.DUMMYFUNCTION("""COMPUTED_VALUE"""),"DT")</f>
        <v>DT</v>
      </c>
      <c r="G8647" t="str">
        <f>IFERROR(__xludf.DUMMYFUNCTION("""COMPUTED_VALUE"""),"")</f>
        <v/>
      </c>
    </row>
    <row r="8648">
      <c r="D8648" t="str">
        <f>IFERROR(__xludf.DUMMYFUNCTION("""COMPUTED_VALUE"""),"Peake")</f>
        <v>Peake</v>
      </c>
      <c r="E8648" t="str">
        <f>IFERROR(__xludf.DUMMYFUNCTION("""COMPUTED_VALUE"""),"Charone")</f>
        <v>Charone</v>
      </c>
      <c r="F8648" t="str">
        <f>IFERROR(__xludf.DUMMYFUNCTION("""COMPUTED_VALUE"""),"WR")</f>
        <v>WR</v>
      </c>
      <c r="G8648" t="str">
        <f>IFERROR(__xludf.DUMMYFUNCTION("""COMPUTED_VALUE"""),"")</f>
        <v/>
      </c>
    </row>
    <row r="8649">
      <c r="D8649" t="str">
        <f>IFERROR(__xludf.DUMMYFUNCTION("""COMPUTED_VALUE"""),"Peat")</f>
        <v>Peat</v>
      </c>
      <c r="E8649" t="str">
        <f>IFERROR(__xludf.DUMMYFUNCTION("""COMPUTED_VALUE"""),"Andrus")</f>
        <v>Andrus</v>
      </c>
      <c r="F8649" t="str">
        <f>IFERROR(__xludf.DUMMYFUNCTION("""COMPUTED_VALUE"""),"LG")</f>
        <v>LG</v>
      </c>
      <c r="G8649" t="str">
        <f>IFERROR(__xludf.DUMMYFUNCTION("""COMPUTED_VALUE"""),"")</f>
        <v/>
      </c>
    </row>
    <row r="8650">
      <c r="D8650" t="str">
        <f>IFERROR(__xludf.DUMMYFUNCTION("""COMPUTED_VALUE"""),"Peko")</f>
        <v>Peko</v>
      </c>
      <c r="E8650" t="str">
        <f>IFERROR(__xludf.DUMMYFUNCTION("""COMPUTED_VALUE"""),"Kyle")</f>
        <v>Kyle</v>
      </c>
      <c r="F8650" t="str">
        <f>IFERROR(__xludf.DUMMYFUNCTION("""COMPUTED_VALUE"""),"DT")</f>
        <v>DT</v>
      </c>
      <c r="G8650" t="str">
        <f>IFERROR(__xludf.DUMMYFUNCTION("""COMPUTED_VALUE"""),"")</f>
        <v/>
      </c>
    </row>
    <row r="8651">
      <c r="D8651" t="str">
        <f>IFERROR(__xludf.DUMMYFUNCTION("""COMPUTED_VALUE"""),"Pennel")</f>
        <v>Pennel</v>
      </c>
      <c r="E8651" t="str">
        <f>IFERROR(__xludf.DUMMYFUNCTION("""COMPUTED_VALUE"""),"Mike")</f>
        <v>Mike</v>
      </c>
      <c r="F8651" t="str">
        <f>IFERROR(__xludf.DUMMYFUNCTION("""COMPUTED_VALUE"""),"DT")</f>
        <v>DT</v>
      </c>
      <c r="G8651" t="str">
        <f>IFERROR(__xludf.DUMMYFUNCTION("""COMPUTED_VALUE"""),"")</f>
        <v/>
      </c>
    </row>
    <row r="8652">
      <c r="D8652" t="str">
        <f>IFERROR(__xludf.DUMMYFUNCTION("""COMPUTED_VALUE"""),"Penny")</f>
        <v>Penny</v>
      </c>
      <c r="E8652" t="str">
        <f>IFERROR(__xludf.DUMMYFUNCTION("""COMPUTED_VALUE"""),"Elijhaa")</f>
        <v>Elijhaa</v>
      </c>
      <c r="F8652" t="str">
        <f>IFERROR(__xludf.DUMMYFUNCTION("""COMPUTED_VALUE"""),"FB")</f>
        <v>FB</v>
      </c>
      <c r="G8652" t="str">
        <f>IFERROR(__xludf.DUMMYFUNCTION("""COMPUTED_VALUE"""),"")</f>
        <v/>
      </c>
    </row>
    <row r="8653">
      <c r="D8653" t="str">
        <f>IFERROR(__xludf.DUMMYFUNCTION("""COMPUTED_VALUE"""),"Penny")</f>
        <v>Penny</v>
      </c>
      <c r="E8653" t="str">
        <f>IFERROR(__xludf.DUMMYFUNCTION("""COMPUTED_VALUE"""),"Rashaad")</f>
        <v>Rashaad</v>
      </c>
      <c r="F8653" t="str">
        <f>IFERROR(__xludf.DUMMYFUNCTION("""COMPUTED_VALUE"""),"HB")</f>
        <v>HB</v>
      </c>
      <c r="G8653" t="str">
        <f>IFERROR(__xludf.DUMMYFUNCTION("""COMPUTED_VALUE"""),"")</f>
        <v/>
      </c>
    </row>
    <row r="8654">
      <c r="D8654" t="str">
        <f>IFERROR(__xludf.DUMMYFUNCTION("""COMPUTED_VALUE"""),"Peppers")</f>
        <v>Peppers</v>
      </c>
      <c r="E8654" t="str">
        <f>IFERROR(__xludf.DUMMYFUNCTION("""COMPUTED_VALUE"""),"Jabrill")</f>
        <v>Jabrill</v>
      </c>
      <c r="F8654" t="str">
        <f>IFERROR(__xludf.DUMMYFUNCTION("""COMPUTED_VALUE"""),"SS")</f>
        <v>SS</v>
      </c>
      <c r="G8654" t="str">
        <f>IFERROR(__xludf.DUMMYFUNCTION("""COMPUTED_VALUE"""),"")</f>
        <v/>
      </c>
    </row>
    <row r="8655">
      <c r="D8655" t="str">
        <f>IFERROR(__xludf.DUMMYFUNCTION("""COMPUTED_VALUE"""),"Perine")</f>
        <v>Perine</v>
      </c>
      <c r="E8655" t="str">
        <f>IFERROR(__xludf.DUMMYFUNCTION("""COMPUTED_VALUE"""),"Samaje")</f>
        <v>Samaje</v>
      </c>
      <c r="F8655" t="str">
        <f>IFERROR(__xludf.DUMMYFUNCTION("""COMPUTED_VALUE"""),"HB")</f>
        <v>HB</v>
      </c>
      <c r="G8655" t="str">
        <f>IFERROR(__xludf.DUMMYFUNCTION("""COMPUTED_VALUE"""),"")</f>
        <v/>
      </c>
    </row>
    <row r="8656">
      <c r="D8656" t="str">
        <f>IFERROR(__xludf.DUMMYFUNCTION("""COMPUTED_VALUE"""),"Perkins")</f>
        <v>Perkins</v>
      </c>
      <c r="E8656" t="str">
        <f>IFERROR(__xludf.DUMMYFUNCTION("""COMPUTED_VALUE"""),"Joshua")</f>
        <v>Joshua</v>
      </c>
      <c r="F8656" t="str">
        <f>IFERROR(__xludf.DUMMYFUNCTION("""COMPUTED_VALUE"""),"TE")</f>
        <v>TE</v>
      </c>
      <c r="G8656" t="str">
        <f>IFERROR(__xludf.DUMMYFUNCTION("""COMPUTED_VALUE"""),"")</f>
        <v/>
      </c>
    </row>
    <row r="8657">
      <c r="D8657" t="str">
        <f>IFERROR(__xludf.DUMMYFUNCTION("""COMPUTED_VALUE"""),"Perkins")</f>
        <v>Perkins</v>
      </c>
      <c r="E8657" t="str">
        <f>IFERROR(__xludf.DUMMYFUNCTION("""COMPUTED_VALUE"""),"Kent")</f>
        <v>Kent</v>
      </c>
      <c r="F8657" t="str">
        <f>IFERROR(__xludf.DUMMYFUNCTION("""COMPUTED_VALUE"""),"LT")</f>
        <v>LT</v>
      </c>
      <c r="G8657" t="str">
        <f>IFERROR(__xludf.DUMMYFUNCTION("""COMPUTED_VALUE"""),"")</f>
        <v/>
      </c>
    </row>
    <row r="8658">
      <c r="D8658" t="str">
        <f>IFERROR(__xludf.DUMMYFUNCTION("""COMPUTED_VALUE"""),"Perkins")</f>
        <v>Perkins</v>
      </c>
      <c r="E8658" t="str">
        <f>IFERROR(__xludf.DUMMYFUNCTION("""COMPUTED_VALUE"""),"Paul")</f>
        <v>Paul</v>
      </c>
      <c r="F8658" t="str">
        <f>IFERROR(__xludf.DUMMYFUNCTION("""COMPUTED_VALUE"""),"HB")</f>
        <v>HB</v>
      </c>
      <c r="G8658" t="str">
        <f>IFERROR(__xludf.DUMMYFUNCTION("""COMPUTED_VALUE"""),"")</f>
        <v/>
      </c>
    </row>
    <row r="8659">
      <c r="D8659" t="str">
        <f>IFERROR(__xludf.DUMMYFUNCTION("""COMPUTED_VALUE"""),"Perriman")</f>
        <v>Perriman</v>
      </c>
      <c r="E8659" t="str">
        <f>IFERROR(__xludf.DUMMYFUNCTION("""COMPUTED_VALUE"""),"Breshad")</f>
        <v>Breshad</v>
      </c>
      <c r="F8659" t="str">
        <f>IFERROR(__xludf.DUMMYFUNCTION("""COMPUTED_VALUE"""),"WR")</f>
        <v>WR</v>
      </c>
      <c r="G8659" t="str">
        <f>IFERROR(__xludf.DUMMYFUNCTION("""COMPUTED_VALUE"""),"")</f>
        <v/>
      </c>
    </row>
    <row r="8660">
      <c r="D8660" t="str">
        <f>IFERROR(__xludf.DUMMYFUNCTION("""COMPUTED_VALUE"""),"Perryman")</f>
        <v>Perryman</v>
      </c>
      <c r="E8660" t="str">
        <f>IFERROR(__xludf.DUMMYFUNCTION("""COMPUTED_VALUE"""),"Denzel")</f>
        <v>Denzel</v>
      </c>
      <c r="F8660" t="str">
        <f>IFERROR(__xludf.DUMMYFUNCTION("""COMPUTED_VALUE"""),"MLB")</f>
        <v>MLB</v>
      </c>
      <c r="G8660" t="str">
        <f>IFERROR(__xludf.DUMMYFUNCTION("""COMPUTED_VALUE"""),"")</f>
        <v/>
      </c>
    </row>
    <row r="8661">
      <c r="D8661" t="str">
        <f>IFERROR(__xludf.DUMMYFUNCTION("""COMPUTED_VALUE"""),"Person")</f>
        <v>Person</v>
      </c>
      <c r="E8661" t="str">
        <f>IFERROR(__xludf.DUMMYFUNCTION("""COMPUTED_VALUE"""),"Mike")</f>
        <v>Mike</v>
      </c>
      <c r="F8661" t="str">
        <f>IFERROR(__xludf.DUMMYFUNCTION("""COMPUTED_VALUE"""),"RG")</f>
        <v>RG</v>
      </c>
      <c r="G8661" t="str">
        <f>IFERROR(__xludf.DUMMYFUNCTION("""COMPUTED_VALUE"""),"")</f>
        <v/>
      </c>
    </row>
    <row r="8662">
      <c r="D8662" t="str">
        <f>IFERROR(__xludf.DUMMYFUNCTION("""COMPUTED_VALUE"""),"Peterman")</f>
        <v>Peterman</v>
      </c>
      <c r="E8662" t="str">
        <f>IFERROR(__xludf.DUMMYFUNCTION("""COMPUTED_VALUE"""),"Nathan")</f>
        <v>Nathan</v>
      </c>
      <c r="F8662" t="str">
        <f>IFERROR(__xludf.DUMMYFUNCTION("""COMPUTED_VALUE"""),"QB")</f>
        <v>QB</v>
      </c>
      <c r="G8662" t="str">
        <f>IFERROR(__xludf.DUMMYFUNCTION("""COMPUTED_VALUE"""),"")</f>
        <v/>
      </c>
    </row>
    <row r="8663">
      <c r="D8663" t="str">
        <f>IFERROR(__xludf.DUMMYFUNCTION("""COMPUTED_VALUE"""),"Peters")</f>
        <v>Peters</v>
      </c>
      <c r="E8663" t="str">
        <f>IFERROR(__xludf.DUMMYFUNCTION("""COMPUTED_VALUE"""),"Corey")</f>
        <v>Corey</v>
      </c>
      <c r="F8663" t="str">
        <f>IFERROR(__xludf.DUMMYFUNCTION("""COMPUTED_VALUE"""),"DT")</f>
        <v>DT</v>
      </c>
      <c r="G8663" t="str">
        <f>IFERROR(__xludf.DUMMYFUNCTION("""COMPUTED_VALUE"""),"")</f>
        <v/>
      </c>
    </row>
    <row r="8664">
      <c r="D8664" t="str">
        <f>IFERROR(__xludf.DUMMYFUNCTION("""COMPUTED_VALUE"""),"Peters")</f>
        <v>Peters</v>
      </c>
      <c r="E8664" t="str">
        <f>IFERROR(__xludf.DUMMYFUNCTION("""COMPUTED_VALUE"""),"Jason")</f>
        <v>Jason</v>
      </c>
      <c r="F8664" t="str">
        <f>IFERROR(__xludf.DUMMYFUNCTION("""COMPUTED_VALUE"""),"LT")</f>
        <v>LT</v>
      </c>
      <c r="G8664" t="str">
        <f>IFERROR(__xludf.DUMMYFUNCTION("""COMPUTED_VALUE"""),"")</f>
        <v/>
      </c>
    </row>
    <row r="8665">
      <c r="D8665" t="str">
        <f>IFERROR(__xludf.DUMMYFUNCTION("""COMPUTED_VALUE"""),"Peters")</f>
        <v>Peters</v>
      </c>
      <c r="E8665" t="str">
        <f>IFERROR(__xludf.DUMMYFUNCTION("""COMPUTED_VALUE"""),"Marcus")</f>
        <v>Marcus</v>
      </c>
      <c r="F8665" t="str">
        <f>IFERROR(__xludf.DUMMYFUNCTION("""COMPUTED_VALUE"""),"CB")</f>
        <v>CB</v>
      </c>
      <c r="G8665" t="str">
        <f>IFERROR(__xludf.DUMMYFUNCTION("""COMPUTED_VALUE"""),"")</f>
        <v/>
      </c>
    </row>
    <row r="8666">
      <c r="D8666" t="str">
        <f>IFERROR(__xludf.DUMMYFUNCTION("""COMPUTED_VALUE"""),"Peterson")</f>
        <v>Peterson</v>
      </c>
      <c r="E8666" t="str">
        <f>IFERROR(__xludf.DUMMYFUNCTION("""COMPUTED_VALUE"""),"Adrian")</f>
        <v>Adrian</v>
      </c>
      <c r="F8666" t="str">
        <f>IFERROR(__xludf.DUMMYFUNCTION("""COMPUTED_VALUE"""),"HB")</f>
        <v>HB</v>
      </c>
      <c r="G8666" t="str">
        <f>IFERROR(__xludf.DUMMYFUNCTION("""COMPUTED_VALUE"""),"")</f>
        <v/>
      </c>
    </row>
    <row r="8667">
      <c r="D8667" t="str">
        <f>IFERROR(__xludf.DUMMYFUNCTION("""COMPUTED_VALUE"""),"Peterson")</f>
        <v>Peterson</v>
      </c>
      <c r="E8667" t="str">
        <f>IFERROR(__xludf.DUMMYFUNCTION("""COMPUTED_VALUE"""),"Kevin")</f>
        <v>Kevin</v>
      </c>
      <c r="F8667" t="str">
        <f>IFERROR(__xludf.DUMMYFUNCTION("""COMPUTED_VALUE"""),"CB")</f>
        <v>CB</v>
      </c>
      <c r="G8667" t="str">
        <f>IFERROR(__xludf.DUMMYFUNCTION("""COMPUTED_VALUE"""),"")</f>
        <v/>
      </c>
    </row>
    <row r="8668">
      <c r="D8668" t="str">
        <f>IFERROR(__xludf.DUMMYFUNCTION("""COMPUTED_VALUE"""),"Peterson")</f>
        <v>Peterson</v>
      </c>
      <c r="E8668" t="str">
        <f>IFERROR(__xludf.DUMMYFUNCTION("""COMPUTED_VALUE"""),"Patrick")</f>
        <v>Patrick</v>
      </c>
      <c r="F8668" t="str">
        <f>IFERROR(__xludf.DUMMYFUNCTION("""COMPUTED_VALUE"""),"CB")</f>
        <v>CB</v>
      </c>
      <c r="G8668" t="str">
        <f>IFERROR(__xludf.DUMMYFUNCTION("""COMPUTED_VALUE"""),"")</f>
        <v/>
      </c>
    </row>
    <row r="8669">
      <c r="D8669" t="str">
        <f>IFERROR(__xludf.DUMMYFUNCTION("""COMPUTED_VALUE"""),"Pettis")</f>
        <v>Pettis</v>
      </c>
      <c r="E8669" t="str">
        <f>IFERROR(__xludf.DUMMYFUNCTION("""COMPUTED_VALUE"""),"Dante")</f>
        <v>Dante</v>
      </c>
      <c r="F8669" t="str">
        <f>IFERROR(__xludf.DUMMYFUNCTION("""COMPUTED_VALUE"""),"WR")</f>
        <v>WR</v>
      </c>
      <c r="G8669" t="str">
        <f>IFERROR(__xludf.DUMMYFUNCTION("""COMPUTED_VALUE"""),"")</f>
        <v/>
      </c>
    </row>
    <row r="8670">
      <c r="D8670" t="str">
        <f>IFERROR(__xludf.DUMMYFUNCTION("""COMPUTED_VALUE"""),"Phillips")</f>
        <v>Phillips</v>
      </c>
      <c r="E8670" t="str">
        <f>IFERROR(__xludf.DUMMYFUNCTION("""COMPUTED_VALUE"""),"Adrian")</f>
        <v>Adrian</v>
      </c>
      <c r="F8670" t="str">
        <f>IFERROR(__xludf.DUMMYFUNCTION("""COMPUTED_VALUE"""),"SS")</f>
        <v>SS</v>
      </c>
      <c r="G8670" t="str">
        <f>IFERROR(__xludf.DUMMYFUNCTION("""COMPUTED_VALUE"""),"")</f>
        <v/>
      </c>
    </row>
    <row r="8671">
      <c r="D8671" t="str">
        <f>IFERROR(__xludf.DUMMYFUNCTION("""COMPUTED_VALUE"""),"Phillips")</f>
        <v>Phillips</v>
      </c>
      <c r="E8671" t="str">
        <f>IFERROR(__xludf.DUMMYFUNCTION("""COMPUTED_VALUE"""),"Cam")</f>
        <v>Cam</v>
      </c>
      <c r="F8671" t="str">
        <f>IFERROR(__xludf.DUMMYFUNCTION("""COMPUTED_VALUE"""),"WR")</f>
        <v>WR</v>
      </c>
      <c r="G8671" t="str">
        <f>IFERROR(__xludf.DUMMYFUNCTION("""COMPUTED_VALUE"""),"")</f>
        <v/>
      </c>
    </row>
    <row r="8672">
      <c r="D8672" t="str">
        <f>IFERROR(__xludf.DUMMYFUNCTION("""COMPUTED_VALUE"""),"Phillips")</f>
        <v>Phillips</v>
      </c>
      <c r="E8672" t="str">
        <f>IFERROR(__xludf.DUMMYFUNCTION("""COMPUTED_VALUE"""),"Carroll")</f>
        <v>Carroll</v>
      </c>
      <c r="F8672" t="str">
        <f>IFERROR(__xludf.DUMMYFUNCTION("""COMPUTED_VALUE"""),"LE")</f>
        <v>LE</v>
      </c>
      <c r="G8672" t="str">
        <f>IFERROR(__xludf.DUMMYFUNCTION("""COMPUTED_VALUE"""),"")</f>
        <v/>
      </c>
    </row>
    <row r="8673">
      <c r="D8673" t="str">
        <f>IFERROR(__xludf.DUMMYFUNCTION("""COMPUTED_VALUE"""),"Phillips")</f>
        <v>Phillips</v>
      </c>
      <c r="E8673" t="str">
        <f>IFERROR(__xludf.DUMMYFUNCTION("""COMPUTED_VALUE"""),"Darius")</f>
        <v>Darius</v>
      </c>
      <c r="F8673" t="str">
        <f>IFERROR(__xludf.DUMMYFUNCTION("""COMPUTED_VALUE"""),"CB")</f>
        <v>CB</v>
      </c>
      <c r="G8673" t="str">
        <f>IFERROR(__xludf.DUMMYFUNCTION("""COMPUTED_VALUE"""),"")</f>
        <v/>
      </c>
    </row>
    <row r="8674">
      <c r="D8674" t="str">
        <f>IFERROR(__xludf.DUMMYFUNCTION("""COMPUTED_VALUE"""),"Phillips")</f>
        <v>Phillips</v>
      </c>
      <c r="E8674" t="str">
        <f>IFERROR(__xludf.DUMMYFUNCTION("""COMPUTED_VALUE"""),"Harrison")</f>
        <v>Harrison</v>
      </c>
      <c r="F8674" t="str">
        <f>IFERROR(__xludf.DUMMYFUNCTION("""COMPUTED_VALUE"""),"DT")</f>
        <v>DT</v>
      </c>
      <c r="G8674" t="str">
        <f>IFERROR(__xludf.DUMMYFUNCTION("""COMPUTED_VALUE"""),"")</f>
        <v/>
      </c>
    </row>
    <row r="8675">
      <c r="D8675" t="str">
        <f>IFERROR(__xludf.DUMMYFUNCTION("""COMPUTED_VALUE"""),"Phillips")</f>
        <v>Phillips</v>
      </c>
      <c r="E8675" t="str">
        <f>IFERROR(__xludf.DUMMYFUNCTION("""COMPUTED_VALUE"""),"Jordan")</f>
        <v>Jordan</v>
      </c>
      <c r="F8675" t="str">
        <f>IFERROR(__xludf.DUMMYFUNCTION("""COMPUTED_VALUE"""),"DT")</f>
        <v>DT</v>
      </c>
      <c r="G8675" t="str">
        <f>IFERROR(__xludf.DUMMYFUNCTION("""COMPUTED_VALUE"""),"")</f>
        <v/>
      </c>
    </row>
    <row r="8676">
      <c r="D8676" t="str">
        <f>IFERROR(__xludf.DUMMYFUNCTION("""COMPUTED_VALUE"""),"Philon")</f>
        <v>Philon</v>
      </c>
      <c r="E8676" t="str">
        <f>IFERROR(__xludf.DUMMYFUNCTION("""COMPUTED_VALUE"""),"Darius")</f>
        <v>Darius</v>
      </c>
      <c r="F8676" t="str">
        <f>IFERROR(__xludf.DUMMYFUNCTION("""COMPUTED_VALUE"""),"RE")</f>
        <v>RE</v>
      </c>
      <c r="G8676" t="str">
        <f>IFERROR(__xludf.DUMMYFUNCTION("""COMPUTED_VALUE"""),"")</f>
        <v/>
      </c>
    </row>
    <row r="8677">
      <c r="D8677" t="str">
        <f>IFERROR(__xludf.DUMMYFUNCTION("""COMPUTED_VALUE"""),"Pierce")</f>
        <v>Pierce</v>
      </c>
      <c r="E8677" t="str">
        <f>IFERROR(__xludf.DUMMYFUNCTION("""COMPUTED_VALUE"""),"Michael")</f>
        <v>Michael</v>
      </c>
      <c r="F8677" t="str">
        <f>IFERROR(__xludf.DUMMYFUNCTION("""COMPUTED_VALUE"""),"DT")</f>
        <v>DT</v>
      </c>
      <c r="G8677" t="str">
        <f>IFERROR(__xludf.DUMMYFUNCTION("""COMPUTED_VALUE"""),"")</f>
        <v/>
      </c>
    </row>
    <row r="8678">
      <c r="D8678" t="str">
        <f>IFERROR(__xludf.DUMMYFUNCTION("""COMPUTED_VALUE"""),"Pierre")</f>
        <v>Pierre</v>
      </c>
      <c r="E8678" t="str">
        <f>IFERROR(__xludf.DUMMYFUNCTION("""COMPUTED_VALUE"""),"Olsen")</f>
        <v>Olsen</v>
      </c>
      <c r="F8678" t="str">
        <f>IFERROR(__xludf.DUMMYFUNCTION("""COMPUTED_VALUE"""),"LE")</f>
        <v>LE</v>
      </c>
      <c r="G8678" t="str">
        <f>IFERROR(__xludf.DUMMYFUNCTION("""COMPUTED_VALUE"""),"")</f>
        <v/>
      </c>
    </row>
    <row r="8679">
      <c r="D8679" t="str">
        <f>IFERROR(__xludf.DUMMYFUNCTION("""COMPUTED_VALUE"""),"Pierre-Louis")</f>
        <v>Pierre-Louis</v>
      </c>
      <c r="E8679" t="str">
        <f>IFERROR(__xludf.DUMMYFUNCTION("""COMPUTED_VALUE"""),"Kevin")</f>
        <v>Kevin</v>
      </c>
      <c r="F8679" t="str">
        <f>IFERROR(__xludf.DUMMYFUNCTION("""COMPUTED_VALUE"""),"MLB")</f>
        <v>MLB</v>
      </c>
      <c r="G8679" t="str">
        <f>IFERROR(__xludf.DUMMYFUNCTION("""COMPUTED_VALUE"""),"")</f>
        <v/>
      </c>
    </row>
    <row r="8680">
      <c r="D8680" t="str">
        <f>IFERROR(__xludf.DUMMYFUNCTION("""COMPUTED_VALUE"""),"Pierre-Paul")</f>
        <v>Pierre-Paul</v>
      </c>
      <c r="E8680" t="str">
        <f>IFERROR(__xludf.DUMMYFUNCTION("""COMPUTED_VALUE"""),"Jason")</f>
        <v>Jason</v>
      </c>
      <c r="F8680" t="str">
        <f>IFERROR(__xludf.DUMMYFUNCTION("""COMPUTED_VALUE"""),"ROLB")</f>
        <v>ROLB</v>
      </c>
      <c r="G8680" t="str">
        <f>IFERROR(__xludf.DUMMYFUNCTION("""COMPUTED_VALUE"""),"")</f>
        <v/>
      </c>
    </row>
    <row r="8681">
      <c r="D8681" t="str">
        <f>IFERROR(__xludf.DUMMYFUNCTION("""COMPUTED_VALUE"""),"Pierschbacher")</f>
        <v>Pierschbacher</v>
      </c>
      <c r="E8681" t="str">
        <f>IFERROR(__xludf.DUMMYFUNCTION("""COMPUTED_VALUE"""),"Ross")</f>
        <v>Ross</v>
      </c>
      <c r="F8681" t="str">
        <f>IFERROR(__xludf.DUMMYFUNCTION("""COMPUTED_VALUE"""),"C")</f>
        <v>C</v>
      </c>
      <c r="G8681" t="str">
        <f>IFERROR(__xludf.DUMMYFUNCTION("""COMPUTED_VALUE"""),"")</f>
        <v/>
      </c>
    </row>
    <row r="8682">
      <c r="D8682" t="str">
        <f>IFERROR(__xludf.DUMMYFUNCTION("""COMPUTED_VALUE"""),"Pineiro")</f>
        <v>Pineiro</v>
      </c>
      <c r="E8682" t="str">
        <f>IFERROR(__xludf.DUMMYFUNCTION("""COMPUTED_VALUE"""),"Eddy")</f>
        <v>Eddy</v>
      </c>
      <c r="F8682" t="str">
        <f>IFERROR(__xludf.DUMMYFUNCTION("""COMPUTED_VALUE"""),"K")</f>
        <v>K</v>
      </c>
      <c r="G8682" t="str">
        <f>IFERROR(__xludf.DUMMYFUNCTION("""COMPUTED_VALUE"""),"")</f>
        <v/>
      </c>
    </row>
    <row r="8683">
      <c r="D8683" t="str">
        <f>IFERROR(__xludf.DUMMYFUNCTION("""COMPUTED_VALUE"""),"Pinion")</f>
        <v>Pinion</v>
      </c>
      <c r="E8683" t="str">
        <f>IFERROR(__xludf.DUMMYFUNCTION("""COMPUTED_VALUE"""),"Bradley")</f>
        <v>Bradley</v>
      </c>
      <c r="F8683" t="str">
        <f>IFERROR(__xludf.DUMMYFUNCTION("""COMPUTED_VALUE"""),"P")</f>
        <v>P</v>
      </c>
      <c r="G8683" t="str">
        <f>IFERROR(__xludf.DUMMYFUNCTION("""COMPUTED_VALUE"""),"")</f>
        <v/>
      </c>
    </row>
    <row r="8684">
      <c r="D8684" t="str">
        <f>IFERROR(__xludf.DUMMYFUNCTION("""COMPUTED_VALUE"""),"Pipkins")</f>
        <v>Pipkins</v>
      </c>
      <c r="E8684" t="str">
        <f>IFERROR(__xludf.DUMMYFUNCTION("""COMPUTED_VALUE"""),"Lenzy")</f>
        <v>Lenzy</v>
      </c>
      <c r="F8684" t="str">
        <f>IFERROR(__xludf.DUMMYFUNCTION("""COMPUTED_VALUE"""),"CB")</f>
        <v>CB</v>
      </c>
      <c r="G8684" t="str">
        <f>IFERROR(__xludf.DUMMYFUNCTION("""COMPUTED_VALUE"""),"")</f>
        <v/>
      </c>
    </row>
    <row r="8685">
      <c r="D8685" t="str">
        <f>IFERROR(__xludf.DUMMYFUNCTION("""COMPUTED_VALUE"""),"Pipkins")</f>
        <v>Pipkins</v>
      </c>
      <c r="E8685" t="str">
        <f>IFERROR(__xludf.DUMMYFUNCTION("""COMPUTED_VALUE"""),"Trey")</f>
        <v>Trey</v>
      </c>
      <c r="F8685" t="str">
        <f>IFERROR(__xludf.DUMMYFUNCTION("""COMPUTED_VALUE"""),"RT")</f>
        <v>RT</v>
      </c>
      <c r="G8685" t="str">
        <f>IFERROR(__xludf.DUMMYFUNCTION("""COMPUTED_VALUE"""),"")</f>
        <v/>
      </c>
    </row>
    <row r="8686">
      <c r="D8686" t="str">
        <f>IFERROR(__xludf.DUMMYFUNCTION("""COMPUTED_VALUE"""),"Pittman")</f>
        <v>Pittman</v>
      </c>
      <c r="E8686" t="str">
        <f>IFERROR(__xludf.DUMMYFUNCTION("""COMPUTED_VALUE"""),"Jamiyus")</f>
        <v>Jamiyus</v>
      </c>
      <c r="F8686" t="str">
        <f>IFERROR(__xludf.DUMMYFUNCTION("""COMPUTED_VALUE"""),"DT")</f>
        <v>DT</v>
      </c>
      <c r="G8686" t="str">
        <f>IFERROR(__xludf.DUMMYFUNCTION("""COMPUTED_VALUE"""),"")</f>
        <v/>
      </c>
    </row>
    <row r="8687">
      <c r="D8687" t="str">
        <f>IFERROR(__xludf.DUMMYFUNCTION("""COMPUTED_VALUE"""),"Pocic")</f>
        <v>Pocic</v>
      </c>
      <c r="E8687" t="str">
        <f>IFERROR(__xludf.DUMMYFUNCTION("""COMPUTED_VALUE"""),"Ethan")</f>
        <v>Ethan</v>
      </c>
      <c r="F8687" t="str">
        <f>IFERROR(__xludf.DUMMYFUNCTION("""COMPUTED_VALUE"""),"LG")</f>
        <v>LG</v>
      </c>
      <c r="G8687" t="str">
        <f>IFERROR(__xludf.DUMMYFUNCTION("""COMPUTED_VALUE"""),"")</f>
        <v/>
      </c>
    </row>
    <row r="8688">
      <c r="D8688" t="str">
        <f>IFERROR(__xludf.DUMMYFUNCTION("""COMPUTED_VALUE"""),"Poe")</f>
        <v>Poe</v>
      </c>
      <c r="E8688" t="str">
        <f>IFERROR(__xludf.DUMMYFUNCTION("""COMPUTED_VALUE"""),"Dontari")</f>
        <v>Dontari</v>
      </c>
      <c r="F8688" t="str">
        <f>IFERROR(__xludf.DUMMYFUNCTION("""COMPUTED_VALUE"""),"DT")</f>
        <v>DT</v>
      </c>
      <c r="G8688" t="str">
        <f>IFERROR(__xludf.DUMMYFUNCTION("""COMPUTED_VALUE"""),"")</f>
        <v/>
      </c>
    </row>
    <row r="8689">
      <c r="D8689" t="str">
        <f>IFERROR(__xludf.DUMMYFUNCTION("""COMPUTED_VALUE"""),"Poling")</f>
        <v>Poling</v>
      </c>
      <c r="E8689" t="str">
        <f>IFERROR(__xludf.DUMMYFUNCTION("""COMPUTED_VALUE"""),"Quentin")</f>
        <v>Quentin</v>
      </c>
      <c r="F8689" t="str">
        <f>IFERROR(__xludf.DUMMYFUNCTION("""COMPUTED_VALUE"""),"MLB")</f>
        <v>MLB</v>
      </c>
      <c r="G8689" t="str">
        <f>IFERROR(__xludf.DUMMYFUNCTION("""COMPUTED_VALUE"""),"")</f>
        <v/>
      </c>
    </row>
    <row r="8690">
      <c r="D8690" t="str">
        <f>IFERROR(__xludf.DUMMYFUNCTION("""COMPUTED_VALUE"""),"Polite")</f>
        <v>Polite</v>
      </c>
      <c r="E8690" t="str">
        <f>IFERROR(__xludf.DUMMYFUNCTION("""COMPUTED_VALUE"""),"Jachai")</f>
        <v>Jachai</v>
      </c>
      <c r="F8690" t="str">
        <f>IFERROR(__xludf.DUMMYFUNCTION("""COMPUTED_VALUE"""),"ROLB")</f>
        <v>ROLB</v>
      </c>
      <c r="G8690" t="str">
        <f>IFERROR(__xludf.DUMMYFUNCTION("""COMPUTED_VALUE"""),"")</f>
        <v/>
      </c>
    </row>
    <row r="8691">
      <c r="D8691" t="str">
        <f>IFERROR(__xludf.DUMMYFUNCTION("""COMPUTED_VALUE"""),"Pollard")</f>
        <v>Pollard</v>
      </c>
      <c r="E8691" t="str">
        <f>IFERROR(__xludf.DUMMYFUNCTION("""COMPUTED_VALUE"""),"Tony")</f>
        <v>Tony</v>
      </c>
      <c r="F8691" t="str">
        <f>IFERROR(__xludf.DUMMYFUNCTION("""COMPUTED_VALUE"""),"HB")</f>
        <v>HB</v>
      </c>
      <c r="G8691" t="str">
        <f>IFERROR(__xludf.DUMMYFUNCTION("""COMPUTED_VALUE"""),"")</f>
        <v/>
      </c>
    </row>
    <row r="8692">
      <c r="D8692" t="str">
        <f>IFERROR(__xludf.DUMMYFUNCTION("""COMPUTED_VALUE"""),"Poole")</f>
        <v>Poole</v>
      </c>
      <c r="E8692" t="str">
        <f>IFERROR(__xludf.DUMMYFUNCTION("""COMPUTED_VALUE"""),"Brian")</f>
        <v>Brian</v>
      </c>
      <c r="F8692" t="str">
        <f>IFERROR(__xludf.DUMMYFUNCTION("""COMPUTED_VALUE"""),"CB")</f>
        <v>CB</v>
      </c>
      <c r="G8692" t="str">
        <f>IFERROR(__xludf.DUMMYFUNCTION("""COMPUTED_VALUE"""),"")</f>
        <v/>
      </c>
    </row>
    <row r="8693">
      <c r="D8693" t="str">
        <f>IFERROR(__xludf.DUMMYFUNCTION("""COMPUTED_VALUE"""),"Pope")</f>
        <v>Pope</v>
      </c>
      <c r="E8693" t="str">
        <f>IFERROR(__xludf.DUMMYFUNCTION("""COMPUTED_VALUE"""),"Ryan")</f>
        <v>Ryan</v>
      </c>
      <c r="F8693" t="str">
        <f>IFERROR(__xludf.DUMMYFUNCTION("""COMPUTED_VALUE"""),"RT")</f>
        <v>RT</v>
      </c>
      <c r="G8693" t="str">
        <f>IFERROR(__xludf.DUMMYFUNCTION("""COMPUTED_VALUE"""),"")</f>
        <v/>
      </c>
    </row>
    <row r="8694">
      <c r="D8694" t="str">
        <f>IFERROR(__xludf.DUMMYFUNCTION("""COMPUTED_VALUE"""),"Pope")</f>
        <v>Pope</v>
      </c>
      <c r="E8694" t="str">
        <f>IFERROR(__xludf.DUMMYFUNCTION("""COMPUTED_VALUE"""),"Troymaine")</f>
        <v>Troymaine</v>
      </c>
      <c r="F8694" t="str">
        <f>IFERROR(__xludf.DUMMYFUNCTION("""COMPUTED_VALUE"""),"HB")</f>
        <v>HB</v>
      </c>
      <c r="G8694" t="str">
        <f>IFERROR(__xludf.DUMMYFUNCTION("""COMPUTED_VALUE"""),"")</f>
        <v/>
      </c>
    </row>
    <row r="8695">
      <c r="D8695" t="str">
        <f>IFERROR(__xludf.DUMMYFUNCTION("""COMPUTED_VALUE"""),"Pouncey")</f>
        <v>Pouncey</v>
      </c>
      <c r="E8695" t="str">
        <f>IFERROR(__xludf.DUMMYFUNCTION("""COMPUTED_VALUE"""),"Maurkice")</f>
        <v>Maurkice</v>
      </c>
      <c r="F8695" t="str">
        <f>IFERROR(__xludf.DUMMYFUNCTION("""COMPUTED_VALUE"""),"C")</f>
        <v>C</v>
      </c>
      <c r="G8695" t="str">
        <f>IFERROR(__xludf.DUMMYFUNCTION("""COMPUTED_VALUE"""),"")</f>
        <v/>
      </c>
    </row>
    <row r="8696">
      <c r="D8696" t="str">
        <f>IFERROR(__xludf.DUMMYFUNCTION("""COMPUTED_VALUE"""),"Pouncey")</f>
        <v>Pouncey</v>
      </c>
      <c r="E8696" t="str">
        <f>IFERROR(__xludf.DUMMYFUNCTION("""COMPUTED_VALUE"""),"Mike")</f>
        <v>Mike</v>
      </c>
      <c r="F8696" t="str">
        <f>IFERROR(__xludf.DUMMYFUNCTION("""COMPUTED_VALUE"""),"C")</f>
        <v>C</v>
      </c>
      <c r="G8696" t="str">
        <f>IFERROR(__xludf.DUMMYFUNCTION("""COMPUTED_VALUE"""),"")</f>
        <v/>
      </c>
    </row>
    <row r="8697">
      <c r="D8697" t="str">
        <f>IFERROR(__xludf.DUMMYFUNCTION("""COMPUTED_VALUE"""),"Powell")</f>
        <v>Powell</v>
      </c>
      <c r="E8697" t="str">
        <f>IFERROR(__xludf.DUMMYFUNCTION("""COMPUTED_VALUE"""),"Brandon")</f>
        <v>Brandon</v>
      </c>
      <c r="F8697" t="str">
        <f>IFERROR(__xludf.DUMMYFUNCTION("""COMPUTED_VALUE"""),"WR")</f>
        <v>WR</v>
      </c>
      <c r="G8697" t="str">
        <f>IFERROR(__xludf.DUMMYFUNCTION("""COMPUTED_VALUE"""),"")</f>
        <v/>
      </c>
    </row>
    <row r="8698">
      <c r="D8698" t="str">
        <f>IFERROR(__xludf.DUMMYFUNCTION("""COMPUTED_VALUE"""),"Powers")</f>
        <v>Powers</v>
      </c>
      <c r="E8698" t="str">
        <f>IFERROR(__xludf.DUMMYFUNCTION("""COMPUTED_VALUE"""),"Ben")</f>
        <v>Ben</v>
      </c>
      <c r="F8698" t="str">
        <f>IFERROR(__xludf.DUMMYFUNCTION("""COMPUTED_VALUE"""),"LG")</f>
        <v>LG</v>
      </c>
      <c r="G8698" t="str">
        <f>IFERROR(__xludf.DUMMYFUNCTION("""COMPUTED_VALUE"""),"")</f>
        <v/>
      </c>
    </row>
    <row r="8699">
      <c r="D8699" t="str">
        <f>IFERROR(__xludf.DUMMYFUNCTION("""COMPUTED_VALUE"""),"Poyer")</f>
        <v>Poyer</v>
      </c>
      <c r="E8699" t="str">
        <f>IFERROR(__xludf.DUMMYFUNCTION("""COMPUTED_VALUE"""),"Jordan")</f>
        <v>Jordan</v>
      </c>
      <c r="F8699" t="str">
        <f>IFERROR(__xludf.DUMMYFUNCTION("""COMPUTED_VALUE"""),"SS")</f>
        <v>SS</v>
      </c>
      <c r="G8699" t="str">
        <f>IFERROR(__xludf.DUMMYFUNCTION("""COMPUTED_VALUE"""),"")</f>
        <v/>
      </c>
    </row>
    <row r="8700">
      <c r="D8700" t="str">
        <f>IFERROR(__xludf.DUMMYFUNCTION("""COMPUTED_VALUE"""),"Prater")</f>
        <v>Prater</v>
      </c>
      <c r="E8700" t="str">
        <f>IFERROR(__xludf.DUMMYFUNCTION("""COMPUTED_VALUE"""),"Matt")</f>
        <v>Matt</v>
      </c>
      <c r="F8700" t="str">
        <f>IFERROR(__xludf.DUMMYFUNCTION("""COMPUTED_VALUE"""),"K")</f>
        <v>K</v>
      </c>
      <c r="G8700" t="str">
        <f>IFERROR(__xludf.DUMMYFUNCTION("""COMPUTED_VALUE"""),"")</f>
        <v/>
      </c>
    </row>
    <row r="8701">
      <c r="D8701" t="str">
        <f>IFERROR(__xludf.DUMMYFUNCTION("""COMPUTED_VALUE"""),"Pratt")</f>
        <v>Pratt</v>
      </c>
      <c r="E8701" t="str">
        <f>IFERROR(__xludf.DUMMYFUNCTION("""COMPUTED_VALUE"""),"Germaine")</f>
        <v>Germaine</v>
      </c>
      <c r="F8701" t="str">
        <f>IFERROR(__xludf.DUMMYFUNCTION("""COMPUTED_VALUE"""),"MLB")</f>
        <v>MLB</v>
      </c>
      <c r="G8701" t="str">
        <f>IFERROR(__xludf.DUMMYFUNCTION("""COMPUTED_VALUE"""),"")</f>
        <v/>
      </c>
    </row>
    <row r="8702">
      <c r="D8702" t="str">
        <f>IFERROR(__xludf.DUMMYFUNCTION("""COMPUTED_VALUE"""),"Prescott")</f>
        <v>Prescott</v>
      </c>
      <c r="E8702" t="str">
        <f>IFERROR(__xludf.DUMMYFUNCTION("""COMPUTED_VALUE"""),"Dak")</f>
        <v>Dak</v>
      </c>
      <c r="F8702" t="str">
        <f>IFERROR(__xludf.DUMMYFUNCTION("""COMPUTED_VALUE"""),"QB")</f>
        <v>QB</v>
      </c>
      <c r="G8702" t="str">
        <f>IFERROR(__xludf.DUMMYFUNCTION("""COMPUTED_VALUE"""),"")</f>
        <v/>
      </c>
    </row>
    <row r="8703">
      <c r="D8703" t="str">
        <f>IFERROR(__xludf.DUMMYFUNCTION("""COMPUTED_VALUE"""),"President")</f>
        <v>President</v>
      </c>
      <c r="E8703" t="str">
        <f>IFERROR(__xludf.DUMMYFUNCTION("""COMPUTED_VALUE"""),"Gimel")</f>
        <v>Gimel</v>
      </c>
      <c r="F8703" t="str">
        <f>IFERROR(__xludf.DUMMYFUNCTION("""COMPUTED_VALUE"""),"ROLB")</f>
        <v>ROLB</v>
      </c>
      <c r="G8703" t="str">
        <f>IFERROR(__xludf.DUMMYFUNCTION("""COMPUTED_VALUE"""),"")</f>
        <v/>
      </c>
    </row>
    <row r="8704">
      <c r="D8704" t="str">
        <f>IFERROR(__xludf.DUMMYFUNCTION("""COMPUTED_VALUE"""),"Price")</f>
        <v>Price</v>
      </c>
      <c r="E8704" t="str">
        <f>IFERROR(__xludf.DUMMYFUNCTION("""COMPUTED_VALUE"""),"Billy")</f>
        <v>Billy</v>
      </c>
      <c r="F8704" t="str">
        <f>IFERROR(__xludf.DUMMYFUNCTION("""COMPUTED_VALUE"""),"C")</f>
        <v>C</v>
      </c>
      <c r="G8704" t="str">
        <f>IFERROR(__xludf.DUMMYFUNCTION("""COMPUTED_VALUE"""),"")</f>
        <v/>
      </c>
    </row>
    <row r="8705">
      <c r="D8705" t="str">
        <f>IFERROR(__xludf.DUMMYFUNCTION("""COMPUTED_VALUE"""),"Price")</f>
        <v>Price</v>
      </c>
      <c r="E8705" t="str">
        <f>IFERROR(__xludf.DUMMYFUNCTION("""COMPUTED_VALUE"""),"Brian")</f>
        <v>Brian</v>
      </c>
      <c r="F8705" t="str">
        <f>IFERROR(__xludf.DUMMYFUNCTION("""COMPUTED_VALUE"""),"DT")</f>
        <v>DT</v>
      </c>
      <c r="G8705" t="str">
        <f>IFERROR(__xludf.DUMMYFUNCTION("""COMPUTED_VALUE"""),"")</f>
        <v/>
      </c>
    </row>
    <row r="8706">
      <c r="D8706" t="str">
        <f>IFERROR(__xludf.DUMMYFUNCTION("""COMPUTED_VALUE"""),"Prince")</f>
        <v>Prince</v>
      </c>
      <c r="E8706" t="str">
        <f>IFERROR(__xludf.DUMMYFUNCTION("""COMPUTED_VALUE"""),"Isaiah")</f>
        <v>Isaiah</v>
      </c>
      <c r="F8706" t="str">
        <f>IFERROR(__xludf.DUMMYFUNCTION("""COMPUTED_VALUE"""),"RT")</f>
        <v>RT</v>
      </c>
      <c r="G8706" t="str">
        <f>IFERROR(__xludf.DUMMYFUNCTION("""COMPUTED_VALUE"""),"")</f>
        <v/>
      </c>
    </row>
    <row r="8707">
      <c r="D8707" t="str">
        <f>IFERROR(__xludf.DUMMYFUNCTION("""COMPUTED_VALUE"""),"Prince")</f>
        <v>Prince</v>
      </c>
      <c r="E8707" t="str">
        <f>IFERROR(__xludf.DUMMYFUNCTION("""COMPUTED_VALUE"""),"RJ")</f>
        <v>RJ</v>
      </c>
      <c r="F8707" t="str">
        <f>IFERROR(__xludf.DUMMYFUNCTION("""COMPUTED_VALUE"""),"RG")</f>
        <v>RG</v>
      </c>
      <c r="G8707" t="str">
        <f>IFERROR(__xludf.DUMMYFUNCTION("""COMPUTED_VALUE"""),"")</f>
        <v/>
      </c>
    </row>
    <row r="8708">
      <c r="D8708" t="str">
        <f>IFERROR(__xludf.DUMMYFUNCTION("""COMPUTED_VALUE"""),"Pringle")</f>
        <v>Pringle</v>
      </c>
      <c r="E8708" t="str">
        <f>IFERROR(__xludf.DUMMYFUNCTION("""COMPUTED_VALUE"""),"Byron")</f>
        <v>Byron</v>
      </c>
      <c r="F8708" t="str">
        <f>IFERROR(__xludf.DUMMYFUNCTION("""COMPUTED_VALUE"""),"WR")</f>
        <v>WR</v>
      </c>
      <c r="G8708" t="str">
        <f>IFERROR(__xludf.DUMMYFUNCTION("""COMPUTED_VALUE"""),"")</f>
        <v/>
      </c>
    </row>
    <row r="8709">
      <c r="D8709" t="str">
        <f>IFERROR(__xludf.DUMMYFUNCTION("""COMPUTED_VALUE"""),"Proehl")</f>
        <v>Proehl</v>
      </c>
      <c r="E8709" t="str">
        <f>IFERROR(__xludf.DUMMYFUNCTION("""COMPUTED_VALUE"""),"Austin")</f>
        <v>Austin</v>
      </c>
      <c r="F8709" t="str">
        <f>IFERROR(__xludf.DUMMYFUNCTION("""COMPUTED_VALUE"""),"WR")</f>
        <v>WR</v>
      </c>
      <c r="G8709" t="str">
        <f>IFERROR(__xludf.DUMMYFUNCTION("""COMPUTED_VALUE"""),"")</f>
        <v/>
      </c>
    </row>
    <row r="8710">
      <c r="D8710" t="str">
        <f>IFERROR(__xludf.DUMMYFUNCTION("""COMPUTED_VALUE"""),"Prosise")</f>
        <v>Prosise</v>
      </c>
      <c r="E8710" t="str">
        <f>IFERROR(__xludf.DUMMYFUNCTION("""COMPUTED_VALUE"""),"CJ")</f>
        <v>CJ</v>
      </c>
      <c r="F8710" t="str">
        <f>IFERROR(__xludf.DUMMYFUNCTION("""COMPUTED_VALUE"""),"HB")</f>
        <v>HB</v>
      </c>
      <c r="G8710" t="str">
        <f>IFERROR(__xludf.DUMMYFUNCTION("""COMPUTED_VALUE"""),"")</f>
        <v/>
      </c>
    </row>
    <row r="8711">
      <c r="D8711" t="str">
        <f>IFERROR(__xludf.DUMMYFUNCTION("""COMPUTED_VALUE"""),"Pruitt")</f>
        <v>Pruitt</v>
      </c>
      <c r="E8711" t="str">
        <f>IFERROR(__xludf.DUMMYFUNCTION("""COMPUTED_VALUE"""),"MyCole")</f>
        <v>MyCole</v>
      </c>
      <c r="F8711" t="str">
        <f>IFERROR(__xludf.DUMMYFUNCTION("""COMPUTED_VALUE"""),"TE")</f>
        <v>TE</v>
      </c>
      <c r="G8711" t="str">
        <f>IFERROR(__xludf.DUMMYFUNCTION("""COMPUTED_VALUE"""),"")</f>
        <v/>
      </c>
    </row>
    <row r="8712">
      <c r="D8712" t="str">
        <f>IFERROR(__xludf.DUMMYFUNCTION("""COMPUTED_VALUE"""),"Pryor")</f>
        <v>Pryor</v>
      </c>
      <c r="E8712" t="str">
        <f>IFERROR(__xludf.DUMMYFUNCTION("""COMPUTED_VALUE"""),"Matt")</f>
        <v>Matt</v>
      </c>
      <c r="F8712" t="str">
        <f>IFERROR(__xludf.DUMMYFUNCTION("""COMPUTED_VALUE"""),"RG")</f>
        <v>RG</v>
      </c>
      <c r="G8712" t="str">
        <f>IFERROR(__xludf.DUMMYFUNCTION("""COMPUTED_VALUE"""),"")</f>
        <v/>
      </c>
    </row>
    <row r="8713">
      <c r="D8713" t="str">
        <f>IFERROR(__xludf.DUMMYFUNCTION("""COMPUTED_VALUE"""),"Pryor")</f>
        <v>Pryor</v>
      </c>
      <c r="E8713" t="str">
        <f>IFERROR(__xludf.DUMMYFUNCTION("""COMPUTED_VALUE"""),"Terrelle")</f>
        <v>Terrelle</v>
      </c>
      <c r="F8713" t="str">
        <f>IFERROR(__xludf.DUMMYFUNCTION("""COMPUTED_VALUE"""),"WR")</f>
        <v>WR</v>
      </c>
      <c r="G8713" t="str">
        <f>IFERROR(__xludf.DUMMYFUNCTION("""COMPUTED_VALUE"""),"")</f>
        <v/>
      </c>
    </row>
    <row r="8714">
      <c r="D8714" t="str">
        <f>IFERROR(__xludf.DUMMYFUNCTION("""COMPUTED_VALUE"""),"Pugh")</f>
        <v>Pugh</v>
      </c>
      <c r="E8714" t="str">
        <f>IFERROR(__xludf.DUMMYFUNCTION("""COMPUTED_VALUE"""),"Justin")</f>
        <v>Justin</v>
      </c>
      <c r="F8714" t="str">
        <f>IFERROR(__xludf.DUMMYFUNCTION("""COMPUTED_VALUE"""),"RG")</f>
        <v>RG</v>
      </c>
      <c r="G8714" t="str">
        <f>IFERROR(__xludf.DUMMYFUNCTION("""COMPUTED_VALUE"""),"")</f>
        <v/>
      </c>
    </row>
    <row r="8715">
      <c r="D8715" t="str">
        <f>IFERROR(__xludf.DUMMYFUNCTION("""COMPUTED_VALUE"""),"Pulley")</f>
        <v>Pulley</v>
      </c>
      <c r="E8715" t="str">
        <f>IFERROR(__xludf.DUMMYFUNCTION("""COMPUTED_VALUE"""),"Spencer")</f>
        <v>Spencer</v>
      </c>
      <c r="F8715" t="str">
        <f>IFERROR(__xludf.DUMMYFUNCTION("""COMPUTED_VALUE"""),"C")</f>
        <v>C</v>
      </c>
      <c r="G8715" t="str">
        <f>IFERROR(__xludf.DUMMYFUNCTION("""COMPUTED_VALUE"""),"")</f>
        <v/>
      </c>
    </row>
    <row r="8716">
      <c r="D8716" t="str">
        <f>IFERROR(__xludf.DUMMYFUNCTION("""COMPUTED_VALUE"""),"Pumphrey")</f>
        <v>Pumphrey</v>
      </c>
      <c r="E8716" t="str">
        <f>IFERROR(__xludf.DUMMYFUNCTION("""COMPUTED_VALUE"""),"Donnel")</f>
        <v>Donnel</v>
      </c>
      <c r="F8716" t="str">
        <f>IFERROR(__xludf.DUMMYFUNCTION("""COMPUTED_VALUE"""),"HB")</f>
        <v>HB</v>
      </c>
      <c r="G8716" t="str">
        <f>IFERROR(__xludf.DUMMYFUNCTION("""COMPUTED_VALUE"""),"")</f>
        <v/>
      </c>
    </row>
    <row r="8717">
      <c r="D8717" t="str">
        <f>IFERROR(__xludf.DUMMYFUNCTION("""COMPUTED_VALUE"""),"Qualls")</f>
        <v>Qualls</v>
      </c>
      <c r="E8717" t="str">
        <f>IFERROR(__xludf.DUMMYFUNCTION("""COMPUTED_VALUE"""),"Elijah")</f>
        <v>Elijah</v>
      </c>
      <c r="F8717" t="str">
        <f>IFERROR(__xludf.DUMMYFUNCTION("""COMPUTED_VALUE"""),"LE")</f>
        <v>LE</v>
      </c>
      <c r="G8717" t="str">
        <f>IFERROR(__xludf.DUMMYFUNCTION("""COMPUTED_VALUE"""),"")</f>
        <v/>
      </c>
    </row>
    <row r="8718">
      <c r="D8718" t="str">
        <f>IFERROR(__xludf.DUMMYFUNCTION("""COMPUTED_VALUE"""),"Queiro")</f>
        <v>Queiro</v>
      </c>
      <c r="E8718" t="str">
        <f>IFERROR(__xludf.DUMMYFUNCTION("""COMPUTED_VALUE"""),"Kyle")</f>
        <v>Kyle</v>
      </c>
      <c r="F8718" t="str">
        <f>IFERROR(__xludf.DUMMYFUNCTION("""COMPUTED_VALUE"""),"ROLB")</f>
        <v>ROLB</v>
      </c>
      <c r="G8718" t="str">
        <f>IFERROR(__xludf.DUMMYFUNCTION("""COMPUTED_VALUE"""),"")</f>
        <v/>
      </c>
    </row>
    <row r="8719">
      <c r="D8719" t="str">
        <f>IFERROR(__xludf.DUMMYFUNCTION("""COMPUTED_VALUE"""),"Quessenberry")</f>
        <v>Quessenberry</v>
      </c>
      <c r="E8719" t="str">
        <f>IFERROR(__xludf.DUMMYFUNCTION("""COMPUTED_VALUE"""),"David")</f>
        <v>David</v>
      </c>
      <c r="F8719" t="str">
        <f>IFERROR(__xludf.DUMMYFUNCTION("""COMPUTED_VALUE"""),"LG")</f>
        <v>LG</v>
      </c>
      <c r="G8719" t="str">
        <f>IFERROR(__xludf.DUMMYFUNCTION("""COMPUTED_VALUE"""),"")</f>
        <v/>
      </c>
    </row>
    <row r="8720">
      <c r="D8720" t="str">
        <f>IFERROR(__xludf.DUMMYFUNCTION("""COMPUTED_VALUE"""),"Quessenberry")</f>
        <v>Quessenberry</v>
      </c>
      <c r="E8720" t="str">
        <f>IFERROR(__xludf.DUMMYFUNCTION("""COMPUTED_VALUE"""),"Scott")</f>
        <v>Scott</v>
      </c>
      <c r="F8720" t="str">
        <f>IFERROR(__xludf.DUMMYFUNCTION("""COMPUTED_VALUE"""),"LG")</f>
        <v>LG</v>
      </c>
      <c r="G8720" t="str">
        <f>IFERROR(__xludf.DUMMYFUNCTION("""COMPUTED_VALUE"""),"")</f>
        <v/>
      </c>
    </row>
    <row r="8721">
      <c r="D8721" t="str">
        <f>IFERROR(__xludf.DUMMYFUNCTION("""COMPUTED_VALUE"""),"Quick")</f>
        <v>Quick</v>
      </c>
      <c r="E8721" t="str">
        <f>IFERROR(__xludf.DUMMYFUNCTION("""COMPUTED_VALUE"""),"Brian")</f>
        <v>Brian</v>
      </c>
      <c r="F8721" t="str">
        <f>IFERROR(__xludf.DUMMYFUNCTION("""COMPUTED_VALUE"""),"WR")</f>
        <v>WR</v>
      </c>
      <c r="G8721" t="str">
        <f>IFERROR(__xludf.DUMMYFUNCTION("""COMPUTED_VALUE"""),"")</f>
        <v/>
      </c>
    </row>
    <row r="8722">
      <c r="D8722" t="str">
        <f>IFERROR(__xludf.DUMMYFUNCTION("""COMPUTED_VALUE"""),"Quinn")</f>
        <v>Quinn</v>
      </c>
      <c r="E8722" t="str">
        <f>IFERROR(__xludf.DUMMYFUNCTION("""COMPUTED_VALUE"""),"Robert")</f>
        <v>Robert</v>
      </c>
      <c r="F8722" t="str">
        <f>IFERROR(__xludf.DUMMYFUNCTION("""COMPUTED_VALUE"""),"RE")</f>
        <v>RE</v>
      </c>
      <c r="G8722" t="str">
        <f>IFERROR(__xludf.DUMMYFUNCTION("""COMPUTED_VALUE"""),"")</f>
        <v/>
      </c>
    </row>
    <row r="8723">
      <c r="D8723" t="str">
        <f>IFERROR(__xludf.DUMMYFUNCTION("""COMPUTED_VALUE"""),"Quinn")</f>
        <v>Quinn</v>
      </c>
      <c r="E8723" t="str">
        <f>IFERROR(__xludf.DUMMYFUNCTION("""COMPUTED_VALUE"""),"Trey")</f>
        <v>Trey</v>
      </c>
      <c r="F8723" t="str">
        <f>IFERROR(__xludf.DUMMYFUNCTION("""COMPUTED_VALUE"""),"WR")</f>
        <v>WR</v>
      </c>
      <c r="G8723" t="str">
        <f>IFERROR(__xludf.DUMMYFUNCTION("""COMPUTED_VALUE"""),"")</f>
        <v/>
      </c>
    </row>
    <row r="8724">
      <c r="D8724" t="str">
        <f>IFERROR(__xludf.DUMMYFUNCTION("""COMPUTED_VALUE"""),"Qvale")</f>
        <v>Qvale</v>
      </c>
      <c r="E8724" t="str">
        <f>IFERROR(__xludf.DUMMYFUNCTION("""COMPUTED_VALUE"""),"Brent")</f>
        <v>Brent</v>
      </c>
      <c r="F8724" t="str">
        <f>IFERROR(__xludf.DUMMYFUNCTION("""COMPUTED_VALUE"""),"LT")</f>
        <v>LT</v>
      </c>
      <c r="G8724" t="str">
        <f>IFERROR(__xludf.DUMMYFUNCTION("""COMPUTED_VALUE"""),"")</f>
        <v/>
      </c>
    </row>
    <row r="8725">
      <c r="D8725" t="str">
        <f>IFERROR(__xludf.DUMMYFUNCTION("""COMPUTED_VALUE"""),"Ragland")</f>
        <v>Ragland</v>
      </c>
      <c r="E8725" t="str">
        <f>IFERROR(__xludf.DUMMYFUNCTION("""COMPUTED_VALUE"""),"Reggie")</f>
        <v>Reggie</v>
      </c>
      <c r="F8725" t="str">
        <f>IFERROR(__xludf.DUMMYFUNCTION("""COMPUTED_VALUE"""),"MLB")</f>
        <v>MLB</v>
      </c>
      <c r="G8725" t="str">
        <f>IFERROR(__xludf.DUMMYFUNCTION("""COMPUTED_VALUE"""),"")</f>
        <v/>
      </c>
    </row>
    <row r="8726">
      <c r="D8726" t="str">
        <f>IFERROR(__xludf.DUMMYFUNCTION("""COMPUTED_VALUE"""),"Ragnow")</f>
        <v>Ragnow</v>
      </c>
      <c r="E8726" t="str">
        <f>IFERROR(__xludf.DUMMYFUNCTION("""COMPUTED_VALUE"""),"Frank")</f>
        <v>Frank</v>
      </c>
      <c r="F8726" t="str">
        <f>IFERROR(__xludf.DUMMYFUNCTION("""COMPUTED_VALUE"""),"LG")</f>
        <v>LG</v>
      </c>
      <c r="G8726" t="str">
        <f>IFERROR(__xludf.DUMMYFUNCTION("""COMPUTED_VALUE"""),"")</f>
        <v/>
      </c>
    </row>
    <row r="8727">
      <c r="D8727" t="str">
        <f>IFERROR(__xludf.DUMMYFUNCTION("""COMPUTED_VALUE"""),"Ramczyk")</f>
        <v>Ramczyk</v>
      </c>
      <c r="E8727" t="str">
        <f>IFERROR(__xludf.DUMMYFUNCTION("""COMPUTED_VALUE"""),"Ryan")</f>
        <v>Ryan</v>
      </c>
      <c r="F8727" t="str">
        <f>IFERROR(__xludf.DUMMYFUNCTION("""COMPUTED_VALUE"""),"RT")</f>
        <v>RT</v>
      </c>
      <c r="G8727" t="str">
        <f>IFERROR(__xludf.DUMMYFUNCTION("""COMPUTED_VALUE"""),"")</f>
        <v/>
      </c>
    </row>
    <row r="8728">
      <c r="D8728" t="str">
        <f>IFERROR(__xludf.DUMMYFUNCTION("""COMPUTED_VALUE"""),"Randall")</f>
        <v>Randall</v>
      </c>
      <c r="E8728" t="str">
        <f>IFERROR(__xludf.DUMMYFUNCTION("""COMPUTED_VALUE"""),"Damarious")</f>
        <v>Damarious</v>
      </c>
      <c r="F8728" t="str">
        <f>IFERROR(__xludf.DUMMYFUNCTION("""COMPUTED_VALUE"""),"FS")</f>
        <v>FS</v>
      </c>
      <c r="G8728" t="str">
        <f>IFERROR(__xludf.DUMMYFUNCTION("""COMPUTED_VALUE"""),"")</f>
        <v/>
      </c>
    </row>
    <row r="8729">
      <c r="D8729" t="str">
        <f>IFERROR(__xludf.DUMMYFUNCTION("""COMPUTED_VALUE"""),"Rankin")</f>
        <v>Rankin</v>
      </c>
      <c r="E8729" t="str">
        <f>IFERROR(__xludf.DUMMYFUNCTION("""COMPUTED_VALUE"""),"Martinas")</f>
        <v>Martinas</v>
      </c>
      <c r="F8729" t="str">
        <f>IFERROR(__xludf.DUMMYFUNCTION("""COMPUTED_VALUE"""),"LG")</f>
        <v>LG</v>
      </c>
      <c r="G8729" t="str">
        <f>IFERROR(__xludf.DUMMYFUNCTION("""COMPUTED_VALUE"""),"")</f>
        <v/>
      </c>
    </row>
    <row r="8730">
      <c r="D8730" t="str">
        <f>IFERROR(__xludf.DUMMYFUNCTION("""COMPUTED_VALUE"""),"Rankins")</f>
        <v>Rankins</v>
      </c>
      <c r="E8730" t="str">
        <f>IFERROR(__xludf.DUMMYFUNCTION("""COMPUTED_VALUE"""),"Sheldon")</f>
        <v>Sheldon</v>
      </c>
      <c r="F8730" t="str">
        <f>IFERROR(__xludf.DUMMYFUNCTION("""COMPUTED_VALUE"""),"DT")</f>
        <v>DT</v>
      </c>
      <c r="G8730" t="str">
        <f>IFERROR(__xludf.DUMMYFUNCTION("""COMPUTED_VALUE"""),"")</f>
        <v/>
      </c>
    </row>
    <row r="8731">
      <c r="D8731" t="str">
        <f>IFERROR(__xludf.DUMMYFUNCTION("""COMPUTED_VALUE"""),"Rapp")</f>
        <v>Rapp</v>
      </c>
      <c r="E8731" t="str">
        <f>IFERROR(__xludf.DUMMYFUNCTION("""COMPUTED_VALUE"""),"Taylor")</f>
        <v>Taylor</v>
      </c>
      <c r="F8731" t="str">
        <f>IFERROR(__xludf.DUMMYFUNCTION("""COMPUTED_VALUE"""),"SS")</f>
        <v>SS</v>
      </c>
      <c r="G8731" t="str">
        <f>IFERROR(__xludf.DUMMYFUNCTION("""COMPUTED_VALUE"""),"")</f>
        <v/>
      </c>
    </row>
    <row r="8732">
      <c r="D8732" t="str">
        <f>IFERROR(__xludf.DUMMYFUNCTION("""COMPUTED_VALUE"""),"Ratley")</f>
        <v>Ratley</v>
      </c>
      <c r="E8732" t="str">
        <f>IFERROR(__xludf.DUMMYFUNCTION("""COMPUTED_VALUE"""),"Damion")</f>
        <v>Damion</v>
      </c>
      <c r="F8732" t="str">
        <f>IFERROR(__xludf.DUMMYFUNCTION("""COMPUTED_VALUE"""),"WR")</f>
        <v>WR</v>
      </c>
      <c r="G8732" t="str">
        <f>IFERROR(__xludf.DUMMYFUNCTION("""COMPUTED_VALUE"""),"")</f>
        <v/>
      </c>
    </row>
    <row r="8733">
      <c r="D8733" t="str">
        <f>IFERROR(__xludf.DUMMYFUNCTION("""COMPUTED_VALUE"""),"Ratliff-Williams")</f>
        <v>Ratliff-Williams</v>
      </c>
      <c r="E8733" t="str">
        <f>IFERROR(__xludf.DUMMYFUNCTION("""COMPUTED_VALUE"""),"Anthony")</f>
        <v>Anthony</v>
      </c>
      <c r="F8733" t="str">
        <f>IFERROR(__xludf.DUMMYFUNCTION("""COMPUTED_VALUE"""),"WR")</f>
        <v>WR</v>
      </c>
      <c r="G8733" t="str">
        <f>IFERROR(__xludf.DUMMYFUNCTION("""COMPUTED_VALUE"""),"")</f>
        <v/>
      </c>
    </row>
    <row r="8734">
      <c r="D8734" t="str">
        <f>IFERROR(__xludf.DUMMYFUNCTION("""COMPUTED_VALUE"""),"Rawls")</f>
        <v>Rawls</v>
      </c>
      <c r="E8734" t="str">
        <f>IFERROR(__xludf.DUMMYFUNCTION("""COMPUTED_VALUE"""),"Thomas")</f>
        <v>Thomas</v>
      </c>
      <c r="F8734" t="str">
        <f>IFERROR(__xludf.DUMMYFUNCTION("""COMPUTED_VALUE"""),"HB")</f>
        <v>HB</v>
      </c>
      <c r="G8734" t="str">
        <f>IFERROR(__xludf.DUMMYFUNCTION("""COMPUTED_VALUE"""),"")</f>
        <v/>
      </c>
    </row>
    <row r="8735">
      <c r="D8735" t="str">
        <f>IFERROR(__xludf.DUMMYFUNCTION("""COMPUTED_VALUE"""),"Ray")</f>
        <v>Ray</v>
      </c>
      <c r="E8735" t="str">
        <f>IFERROR(__xludf.DUMMYFUNCTION("""COMPUTED_VALUE"""),"Shane")</f>
        <v>Shane</v>
      </c>
      <c r="F8735" t="str">
        <f>IFERROR(__xludf.DUMMYFUNCTION("""COMPUTED_VALUE"""),"LOLB")</f>
        <v>LOLB</v>
      </c>
      <c r="G8735" t="str">
        <f>IFERROR(__xludf.DUMMYFUNCTION("""COMPUTED_VALUE"""),"")</f>
        <v/>
      </c>
    </row>
    <row r="8736">
      <c r="D8736" t="str">
        <f>IFERROR(__xludf.DUMMYFUNCTION("""COMPUTED_VALUE"""),"Ray")</f>
        <v>Ray</v>
      </c>
      <c r="E8736" t="str">
        <f>IFERROR(__xludf.DUMMYFUNCTION("""COMPUTED_VALUE"""),"Wyatt")</f>
        <v>Wyatt</v>
      </c>
      <c r="F8736" t="str">
        <f>IFERROR(__xludf.DUMMYFUNCTION("""COMPUTED_VALUE"""),"LE")</f>
        <v>LE</v>
      </c>
      <c r="G8736" t="str">
        <f>IFERROR(__xludf.DUMMYFUNCTION("""COMPUTED_VALUE"""),"")</f>
        <v/>
      </c>
    </row>
    <row r="8737">
      <c r="D8737" t="str">
        <f>IFERROR(__xludf.DUMMYFUNCTION("""COMPUTED_VALUE"""),"Raymond")</f>
        <v>Raymond</v>
      </c>
      <c r="E8737" t="str">
        <f>IFERROR(__xludf.DUMMYFUNCTION("""COMPUTED_VALUE"""),"Dax")</f>
        <v>Dax</v>
      </c>
      <c r="F8737" t="str">
        <f>IFERROR(__xludf.DUMMYFUNCTION("""COMPUTED_VALUE"""),"TE")</f>
        <v>TE</v>
      </c>
      <c r="G8737" t="str">
        <f>IFERROR(__xludf.DUMMYFUNCTION("""COMPUTED_VALUE"""),"")</f>
        <v/>
      </c>
    </row>
    <row r="8738">
      <c r="D8738" t="str">
        <f>IFERROR(__xludf.DUMMYFUNCTION("""COMPUTED_VALUE"""),"Raymond")</f>
        <v>Raymond</v>
      </c>
      <c r="E8738" t="str">
        <f>IFERROR(__xludf.DUMMYFUNCTION("""COMPUTED_VALUE"""),"Kalif")</f>
        <v>Kalif</v>
      </c>
      <c r="F8738" t="str">
        <f>IFERROR(__xludf.DUMMYFUNCTION("""COMPUTED_VALUE"""),"WR")</f>
        <v>WR</v>
      </c>
      <c r="G8738" t="str">
        <f>IFERROR(__xludf.DUMMYFUNCTION("""COMPUTED_VALUE"""),"")</f>
        <v/>
      </c>
    </row>
    <row r="8739">
      <c r="D8739" t="str">
        <f>IFERROR(__xludf.DUMMYFUNCTION("""COMPUTED_VALUE"""),"Reader")</f>
        <v>Reader</v>
      </c>
      <c r="E8739" t="str">
        <f>IFERROR(__xludf.DUMMYFUNCTION("""COMPUTED_VALUE"""),"DJ")</f>
        <v>DJ</v>
      </c>
      <c r="F8739" t="str">
        <f>IFERROR(__xludf.DUMMYFUNCTION("""COMPUTED_VALUE"""),"RE")</f>
        <v>RE</v>
      </c>
      <c r="G8739" t="str">
        <f>IFERROR(__xludf.DUMMYFUNCTION("""COMPUTED_VALUE"""),"")</f>
        <v/>
      </c>
    </row>
    <row r="8740">
      <c r="D8740" t="str">
        <f>IFERROR(__xludf.DUMMYFUNCTION("""COMPUTED_VALUE"""),"Reaser")</f>
        <v>Reaser</v>
      </c>
      <c r="E8740" t="str">
        <f>IFERROR(__xludf.DUMMYFUNCTION("""COMPUTED_VALUE"""),"Keith")</f>
        <v>Keith</v>
      </c>
      <c r="F8740" t="str">
        <f>IFERROR(__xludf.DUMMYFUNCTION("""COMPUTED_VALUE"""),"CB")</f>
        <v>CB</v>
      </c>
      <c r="G8740" t="str">
        <f>IFERROR(__xludf.DUMMYFUNCTION("""COMPUTED_VALUE"""),"")</f>
        <v/>
      </c>
    </row>
    <row r="8741">
      <c r="D8741" t="str">
        <f>IFERROR(__xludf.DUMMYFUNCTION("""COMPUTED_VALUE"""),"Reaves")</f>
        <v>Reaves</v>
      </c>
      <c r="E8741" t="str">
        <f>IFERROR(__xludf.DUMMYFUNCTION("""COMPUTED_VALUE"""),"Jeremy")</f>
        <v>Jeremy</v>
      </c>
      <c r="F8741" t="str">
        <f>IFERROR(__xludf.DUMMYFUNCTION("""COMPUTED_VALUE"""),"SS")</f>
        <v>SS</v>
      </c>
      <c r="G8741" t="str">
        <f>IFERROR(__xludf.DUMMYFUNCTION("""COMPUTED_VALUE"""),"")</f>
        <v/>
      </c>
    </row>
    <row r="8742">
      <c r="D8742" t="str">
        <f>IFERROR(__xludf.DUMMYFUNCTION("""COMPUTED_VALUE"""),"Reavis")</f>
        <v>Reavis</v>
      </c>
      <c r="E8742" t="str">
        <f>IFERROR(__xludf.DUMMYFUNCTION("""COMPUTED_VALUE"""),"CJ")</f>
        <v>CJ</v>
      </c>
      <c r="F8742" t="str">
        <f>IFERROR(__xludf.DUMMYFUNCTION("""COMPUTED_VALUE"""),"FS")</f>
        <v>FS</v>
      </c>
      <c r="G8742" t="str">
        <f>IFERROR(__xludf.DUMMYFUNCTION("""COMPUTED_VALUE"""),"")</f>
        <v/>
      </c>
    </row>
    <row r="8743">
      <c r="D8743" t="str">
        <f>IFERROR(__xludf.DUMMYFUNCTION("""COMPUTED_VALUE"""),"Reddick")</f>
        <v>Reddick</v>
      </c>
      <c r="E8743" t="str">
        <f>IFERROR(__xludf.DUMMYFUNCTION("""COMPUTED_VALUE"""),"Haason")</f>
        <v>Haason</v>
      </c>
      <c r="F8743" t="str">
        <f>IFERROR(__xludf.DUMMYFUNCTION("""COMPUTED_VALUE"""),"MLB")</f>
        <v>MLB</v>
      </c>
      <c r="G8743" t="str">
        <f>IFERROR(__xludf.DUMMYFUNCTION("""COMPUTED_VALUE"""),"")</f>
        <v/>
      </c>
    </row>
    <row r="8744">
      <c r="D8744" t="str">
        <f>IFERROR(__xludf.DUMMYFUNCTION("""COMPUTED_VALUE"""),"Redfern")</f>
        <v>Redfern</v>
      </c>
      <c r="E8744" t="str">
        <f>IFERROR(__xludf.DUMMYFUNCTION("""COMPUTED_VALUE"""),"Kasey")</f>
        <v>Kasey</v>
      </c>
      <c r="F8744" t="str">
        <f>IFERROR(__xludf.DUMMYFUNCTION("""COMPUTED_VALUE"""),"P")</f>
        <v>P</v>
      </c>
      <c r="G8744" t="str">
        <f>IFERROR(__xludf.DUMMYFUNCTION("""COMPUTED_VALUE"""),"")</f>
        <v/>
      </c>
    </row>
    <row r="8745">
      <c r="D8745" t="str">
        <f>IFERROR(__xludf.DUMMYFUNCTION("""COMPUTED_VALUE"""),"Redmond")</f>
        <v>Redmond</v>
      </c>
      <c r="E8745" t="str">
        <f>IFERROR(__xludf.DUMMYFUNCTION("""COMPUTED_VALUE"""),"Adam")</f>
        <v>Adam</v>
      </c>
      <c r="F8745" t="str">
        <f>IFERROR(__xludf.DUMMYFUNCTION("""COMPUTED_VALUE"""),"C")</f>
        <v>C</v>
      </c>
      <c r="G8745" t="str">
        <f>IFERROR(__xludf.DUMMYFUNCTION("""COMPUTED_VALUE"""),"")</f>
        <v/>
      </c>
    </row>
    <row r="8746">
      <c r="D8746" t="str">
        <f>IFERROR(__xludf.DUMMYFUNCTION("""COMPUTED_VALUE"""),"Redmond")</f>
        <v>Redmond</v>
      </c>
      <c r="E8746" t="str">
        <f>IFERROR(__xludf.DUMMYFUNCTION("""COMPUTED_VALUE"""),"Alex")</f>
        <v>Alex</v>
      </c>
      <c r="F8746" t="str">
        <f>IFERROR(__xludf.DUMMYFUNCTION("""COMPUTED_VALUE"""),"RG")</f>
        <v>RG</v>
      </c>
      <c r="G8746" t="str">
        <f>IFERROR(__xludf.DUMMYFUNCTION("""COMPUTED_VALUE"""),"")</f>
        <v/>
      </c>
    </row>
    <row r="8747">
      <c r="D8747" t="str">
        <f>IFERROR(__xludf.DUMMYFUNCTION("""COMPUTED_VALUE"""),"Redmond")</f>
        <v>Redmond</v>
      </c>
      <c r="E8747" t="str">
        <f>IFERROR(__xludf.DUMMYFUNCTION("""COMPUTED_VALUE"""),"Will")</f>
        <v>Will</v>
      </c>
      <c r="F8747" t="str">
        <f>IFERROR(__xludf.DUMMYFUNCTION("""COMPUTED_VALUE"""),"CB")</f>
        <v>CB</v>
      </c>
      <c r="G8747" t="str">
        <f>IFERROR(__xludf.DUMMYFUNCTION("""COMPUTED_VALUE"""),"")</f>
        <v/>
      </c>
    </row>
    <row r="8748">
      <c r="D8748" t="str">
        <f>IFERROR(__xludf.DUMMYFUNCTION("""COMPUTED_VALUE"""),"Redwine")</f>
        <v>Redwine</v>
      </c>
      <c r="E8748" t="str">
        <f>IFERROR(__xludf.DUMMYFUNCTION("""COMPUTED_VALUE"""),"Sheldrick")</f>
        <v>Sheldrick</v>
      </c>
      <c r="F8748" t="str">
        <f>IFERROR(__xludf.DUMMYFUNCTION("""COMPUTED_VALUE"""),"FS")</f>
        <v>FS</v>
      </c>
      <c r="G8748" t="str">
        <f>IFERROR(__xludf.DUMMYFUNCTION("""COMPUTED_VALUE"""),"")</f>
        <v/>
      </c>
    </row>
    <row r="8749">
      <c r="D8749" t="str">
        <f>IFERROR(__xludf.DUMMYFUNCTION("""COMPUTED_VALUE"""),"Reed")</f>
        <v>Reed</v>
      </c>
      <c r="E8749" t="str">
        <f>IFERROR(__xludf.DUMMYFUNCTION("""COMPUTED_VALUE"""),"Brooks")</f>
        <v>Brooks</v>
      </c>
      <c r="F8749" t="str">
        <f>IFERROR(__xludf.DUMMYFUNCTION("""COMPUTED_VALUE"""),"ROLB")</f>
        <v>ROLB</v>
      </c>
      <c r="G8749" t="str">
        <f>IFERROR(__xludf.DUMMYFUNCTION("""COMPUTED_VALUE"""),"")</f>
        <v/>
      </c>
    </row>
    <row r="8750">
      <c r="D8750" t="str">
        <f>IFERROR(__xludf.DUMMYFUNCTION("""COMPUTED_VALUE"""),"Reed")</f>
        <v>Reed</v>
      </c>
      <c r="E8750" t="str">
        <f>IFERROR(__xludf.DUMMYFUNCTION("""COMPUTED_VALUE"""),"Chris")</f>
        <v>Chris</v>
      </c>
      <c r="F8750" t="str">
        <f>IFERROR(__xludf.DUMMYFUNCTION("""COMPUTED_VALUE"""),"LG")</f>
        <v>LG</v>
      </c>
      <c r="G8750" t="str">
        <f>IFERROR(__xludf.DUMMYFUNCTION("""COMPUTED_VALUE"""),"")</f>
        <v/>
      </c>
    </row>
    <row r="8751">
      <c r="D8751" t="str">
        <f>IFERROR(__xludf.DUMMYFUNCTION("""COMPUTED_VALUE"""),"Reed")</f>
        <v>Reed</v>
      </c>
      <c r="E8751" t="str">
        <f>IFERROR(__xludf.DUMMYFUNCTION("""COMPUTED_VALUE"""),"DJ")</f>
        <v>DJ</v>
      </c>
      <c r="F8751" t="str">
        <f>IFERROR(__xludf.DUMMYFUNCTION("""COMPUTED_VALUE"""),"FS")</f>
        <v>FS</v>
      </c>
      <c r="G8751" t="str">
        <f>IFERROR(__xludf.DUMMYFUNCTION("""COMPUTED_VALUE"""),"")</f>
        <v/>
      </c>
    </row>
    <row r="8752">
      <c r="D8752" t="str">
        <f>IFERROR(__xludf.DUMMYFUNCTION("""COMPUTED_VALUE"""),"Reed")</f>
        <v>Reed</v>
      </c>
      <c r="E8752" t="str">
        <f>IFERROR(__xludf.DUMMYFUNCTION("""COMPUTED_VALUE"""),"Jarran")</f>
        <v>Jarran</v>
      </c>
      <c r="F8752" t="str">
        <f>IFERROR(__xludf.DUMMYFUNCTION("""COMPUTED_VALUE"""),"DT")</f>
        <v>DT</v>
      </c>
      <c r="G8752" t="str">
        <f>IFERROR(__xludf.DUMMYFUNCTION("""COMPUTED_VALUE"""),"")</f>
        <v/>
      </c>
    </row>
    <row r="8753">
      <c r="D8753" t="str">
        <f>IFERROR(__xludf.DUMMYFUNCTION("""COMPUTED_VALUE"""),"Reed")</f>
        <v>Reed</v>
      </c>
      <c r="E8753" t="str">
        <f>IFERROR(__xludf.DUMMYFUNCTION("""COMPUTED_VALUE"""),"Jordan")</f>
        <v>Jordan</v>
      </c>
      <c r="F8753" t="str">
        <f>IFERROR(__xludf.DUMMYFUNCTION("""COMPUTED_VALUE"""),"TE")</f>
        <v>TE</v>
      </c>
      <c r="G8753" t="str">
        <f>IFERROR(__xludf.DUMMYFUNCTION("""COMPUTED_VALUE"""),"")</f>
        <v/>
      </c>
    </row>
    <row r="8754">
      <c r="D8754" t="str">
        <f>IFERROR(__xludf.DUMMYFUNCTION("""COMPUTED_VALUE"""),"Reed")</f>
        <v>Reed</v>
      </c>
      <c r="E8754" t="str">
        <f>IFERROR(__xludf.DUMMYFUNCTION("""COMPUTED_VALUE"""),"Kalan")</f>
        <v>Kalan</v>
      </c>
      <c r="F8754" t="str">
        <f>IFERROR(__xludf.DUMMYFUNCTION("""COMPUTED_VALUE"""),"CB")</f>
        <v>CB</v>
      </c>
      <c r="G8754" t="str">
        <f>IFERROR(__xludf.DUMMYFUNCTION("""COMPUTED_VALUE"""),"")</f>
        <v/>
      </c>
    </row>
    <row r="8755">
      <c r="D8755" t="str">
        <f>IFERROR(__xludf.DUMMYFUNCTION("""COMPUTED_VALUE"""),"Reeves-Maybin")</f>
        <v>Reeves-Maybin</v>
      </c>
      <c r="E8755" t="str">
        <f>IFERROR(__xludf.DUMMYFUNCTION("""COMPUTED_VALUE"""),"Jalen")</f>
        <v>Jalen</v>
      </c>
      <c r="F8755" t="str">
        <f>IFERROR(__xludf.DUMMYFUNCTION("""COMPUTED_VALUE"""),"ROLB")</f>
        <v>ROLB</v>
      </c>
      <c r="G8755" t="str">
        <f>IFERROR(__xludf.DUMMYFUNCTION("""COMPUTED_VALUE"""),"")</f>
        <v/>
      </c>
    </row>
    <row r="8756">
      <c r="D8756" t="str">
        <f>IFERROR(__xludf.DUMMYFUNCTION("""COMPUTED_VALUE"""),"Reid")</f>
        <v>Reid</v>
      </c>
      <c r="E8756" t="str">
        <f>IFERROR(__xludf.DUMMYFUNCTION("""COMPUTED_VALUE"""),"Eric")</f>
        <v>Eric</v>
      </c>
      <c r="F8756" t="str">
        <f>IFERROR(__xludf.DUMMYFUNCTION("""COMPUTED_VALUE"""),"SS")</f>
        <v>SS</v>
      </c>
      <c r="G8756" t="str">
        <f>IFERROR(__xludf.DUMMYFUNCTION("""COMPUTED_VALUE"""),"")</f>
        <v/>
      </c>
    </row>
    <row r="8757">
      <c r="D8757" t="str">
        <f>IFERROR(__xludf.DUMMYFUNCTION("""COMPUTED_VALUE"""),"Reid")</f>
        <v>Reid</v>
      </c>
      <c r="E8757" t="str">
        <f>IFERROR(__xludf.DUMMYFUNCTION("""COMPUTED_VALUE"""),"Justin")</f>
        <v>Justin</v>
      </c>
      <c r="F8757" t="str">
        <f>IFERROR(__xludf.DUMMYFUNCTION("""COMPUTED_VALUE"""),"FS")</f>
        <v>FS</v>
      </c>
      <c r="G8757" t="str">
        <f>IFERROR(__xludf.DUMMYFUNCTION("""COMPUTED_VALUE"""),"")</f>
        <v/>
      </c>
    </row>
    <row r="8758">
      <c r="D8758" t="str">
        <f>IFERROR(__xludf.DUMMYFUNCTION("""COMPUTED_VALUE"""),"Reiff")</f>
        <v>Reiff</v>
      </c>
      <c r="E8758" t="str">
        <f>IFERROR(__xludf.DUMMYFUNCTION("""COMPUTED_VALUE"""),"Riley")</f>
        <v>Riley</v>
      </c>
      <c r="F8758" t="str">
        <f>IFERROR(__xludf.DUMMYFUNCTION("""COMPUTED_VALUE"""),"LT")</f>
        <v>LT</v>
      </c>
      <c r="G8758" t="str">
        <f>IFERROR(__xludf.DUMMYFUNCTION("""COMPUTED_VALUE"""),"")</f>
        <v/>
      </c>
    </row>
    <row r="8759">
      <c r="D8759" t="str">
        <f>IFERROR(__xludf.DUMMYFUNCTION("""COMPUTED_VALUE"""),"Reiter")</f>
        <v>Reiter</v>
      </c>
      <c r="E8759" t="str">
        <f>IFERROR(__xludf.DUMMYFUNCTION("""COMPUTED_VALUE"""),"Austin")</f>
        <v>Austin</v>
      </c>
      <c r="F8759" t="str">
        <f>IFERROR(__xludf.DUMMYFUNCTION("""COMPUTED_VALUE"""),"C")</f>
        <v>C</v>
      </c>
      <c r="G8759" t="str">
        <f>IFERROR(__xludf.DUMMYFUNCTION("""COMPUTED_VALUE"""),"")</f>
        <v/>
      </c>
    </row>
    <row r="8760">
      <c r="D8760" t="str">
        <f>IFERROR(__xludf.DUMMYFUNCTION("""COMPUTED_VALUE"""),"Remmers")</f>
        <v>Remmers</v>
      </c>
      <c r="E8760" t="str">
        <f>IFERROR(__xludf.DUMMYFUNCTION("""COMPUTED_VALUE"""),"Mike")</f>
        <v>Mike</v>
      </c>
      <c r="F8760" t="str">
        <f>IFERROR(__xludf.DUMMYFUNCTION("""COMPUTED_VALUE"""),"RT")</f>
        <v>RT</v>
      </c>
      <c r="G8760" t="str">
        <f>IFERROR(__xludf.DUMMYFUNCTION("""COMPUTED_VALUE"""),"")</f>
        <v/>
      </c>
    </row>
    <row r="8761">
      <c r="D8761" t="str">
        <f>IFERROR(__xludf.DUMMYFUNCTION("""COMPUTED_VALUE"""),"Renfrow")</f>
        <v>Renfrow</v>
      </c>
      <c r="E8761" t="str">
        <f>IFERROR(__xludf.DUMMYFUNCTION("""COMPUTED_VALUE"""),"Hunter")</f>
        <v>Hunter</v>
      </c>
      <c r="F8761" t="str">
        <f>IFERROR(__xludf.DUMMYFUNCTION("""COMPUTED_VALUE"""),"WR")</f>
        <v>WR</v>
      </c>
      <c r="G8761" t="str">
        <f>IFERROR(__xludf.DUMMYFUNCTION("""COMPUTED_VALUE"""),"")</f>
        <v/>
      </c>
    </row>
    <row r="8762">
      <c r="D8762" t="str">
        <f>IFERROR(__xludf.DUMMYFUNCTION("""COMPUTED_VALUE"""),"Reynolds")</f>
        <v>Reynolds</v>
      </c>
      <c r="E8762" t="str">
        <f>IFERROR(__xludf.DUMMYFUNCTION("""COMPUTED_VALUE"""),"Josh")</f>
        <v>Josh</v>
      </c>
      <c r="F8762" t="str">
        <f>IFERROR(__xludf.DUMMYFUNCTION("""COMPUTED_VALUE"""),"WR")</f>
        <v>WR</v>
      </c>
      <c r="G8762" t="str">
        <f>IFERROR(__xludf.DUMMYFUNCTION("""COMPUTED_VALUE"""),"")</f>
        <v/>
      </c>
    </row>
    <row r="8763">
      <c r="D8763" t="str">
        <f>IFERROR(__xludf.DUMMYFUNCTION("""COMPUTED_VALUE"""),"Reynolds")</f>
        <v>Reynolds</v>
      </c>
      <c r="E8763" t="str">
        <f>IFERROR(__xludf.DUMMYFUNCTION("""COMPUTED_VALUE"""),"Keenan")</f>
        <v>Keenan</v>
      </c>
      <c r="F8763" t="str">
        <f>IFERROR(__xludf.DUMMYFUNCTION("""COMPUTED_VALUE"""),"WR")</f>
        <v>WR</v>
      </c>
      <c r="G8763" t="str">
        <f>IFERROR(__xludf.DUMMYFUNCTION("""COMPUTED_VALUE"""),"")</f>
        <v/>
      </c>
    </row>
    <row r="8764">
      <c r="D8764" t="str">
        <f>IFERROR(__xludf.DUMMYFUNCTION("""COMPUTED_VALUE"""),"Reynolds")</f>
        <v>Reynolds</v>
      </c>
      <c r="E8764" t="str">
        <f>IFERROR(__xludf.DUMMYFUNCTION("""COMPUTED_VALUE"""),"LaRoy")</f>
        <v>LaRoy</v>
      </c>
      <c r="F8764" t="str">
        <f>IFERROR(__xludf.DUMMYFUNCTION("""COMPUTED_VALUE"""),"ROLB")</f>
        <v>ROLB</v>
      </c>
      <c r="G8764" t="str">
        <f>IFERROR(__xludf.DUMMYFUNCTION("""COMPUTED_VALUE"""),"")</f>
        <v/>
      </c>
    </row>
    <row r="8765">
      <c r="D8765" t="str">
        <f>IFERROR(__xludf.DUMMYFUNCTION("""COMPUTED_VALUE"""),"Rhodes")</f>
        <v>Rhodes</v>
      </c>
      <c r="E8765" t="str">
        <f>IFERROR(__xludf.DUMMYFUNCTION("""COMPUTED_VALUE"""),"Luke")</f>
        <v>Luke</v>
      </c>
      <c r="F8765" t="str">
        <f>IFERROR(__xludf.DUMMYFUNCTION("""COMPUTED_VALUE"""),"TE")</f>
        <v>TE</v>
      </c>
      <c r="G8765" t="str">
        <f>IFERROR(__xludf.DUMMYFUNCTION("""COMPUTED_VALUE"""),"")</f>
        <v/>
      </c>
    </row>
    <row r="8766">
      <c r="D8766" t="str">
        <f>IFERROR(__xludf.DUMMYFUNCTION("""COMPUTED_VALUE"""),"Rhodes")</f>
        <v>Rhodes</v>
      </c>
      <c r="E8766" t="str">
        <f>IFERROR(__xludf.DUMMYFUNCTION("""COMPUTED_VALUE"""),"Xavier")</f>
        <v>Xavier</v>
      </c>
      <c r="F8766" t="str">
        <f>IFERROR(__xludf.DUMMYFUNCTION("""COMPUTED_VALUE"""),"CB")</f>
        <v>CB</v>
      </c>
      <c r="G8766" t="str">
        <f>IFERROR(__xludf.DUMMYFUNCTION("""COMPUTED_VALUE"""),"")</f>
        <v/>
      </c>
    </row>
    <row r="8767">
      <c r="D8767" t="str">
        <f>IFERROR(__xludf.DUMMYFUNCTION("""COMPUTED_VALUE"""),"Ricard")</f>
        <v>Ricard</v>
      </c>
      <c r="E8767" t="str">
        <f>IFERROR(__xludf.DUMMYFUNCTION("""COMPUTED_VALUE"""),"Patrick")</f>
        <v>Patrick</v>
      </c>
      <c r="F8767" t="str">
        <f>IFERROR(__xludf.DUMMYFUNCTION("""COMPUTED_VALUE"""),"FB")</f>
        <v>FB</v>
      </c>
      <c r="G8767" t="str">
        <f>IFERROR(__xludf.DUMMYFUNCTION("""COMPUTED_VALUE"""),"")</f>
        <v/>
      </c>
    </row>
    <row r="8768">
      <c r="D8768" t="str">
        <f>IFERROR(__xludf.DUMMYFUNCTION("""COMPUTED_VALUE"""),"Richard")</f>
        <v>Richard</v>
      </c>
      <c r="E8768" t="str">
        <f>IFERROR(__xludf.DUMMYFUNCTION("""COMPUTED_VALUE"""),"Jalen")</f>
        <v>Jalen</v>
      </c>
      <c r="F8768" t="str">
        <f>IFERROR(__xludf.DUMMYFUNCTION("""COMPUTED_VALUE"""),"HB")</f>
        <v>HB</v>
      </c>
      <c r="G8768" t="str">
        <f>IFERROR(__xludf.DUMMYFUNCTION("""COMPUTED_VALUE"""),"")</f>
        <v/>
      </c>
    </row>
    <row r="8769">
      <c r="D8769" t="str">
        <f>IFERROR(__xludf.DUMMYFUNCTION("""COMPUTED_VALUE"""),"Richards")</f>
        <v>Richards</v>
      </c>
      <c r="E8769" t="str">
        <f>IFERROR(__xludf.DUMMYFUNCTION("""COMPUTED_VALUE"""),"Jeff")</f>
        <v>Jeff</v>
      </c>
      <c r="F8769" t="str">
        <f>IFERROR(__xludf.DUMMYFUNCTION("""COMPUTED_VALUE"""),"CB")</f>
        <v>CB</v>
      </c>
      <c r="G8769" t="str">
        <f>IFERROR(__xludf.DUMMYFUNCTION("""COMPUTED_VALUE"""),"")</f>
        <v/>
      </c>
    </row>
    <row r="8770">
      <c r="D8770" t="str">
        <f>IFERROR(__xludf.DUMMYFUNCTION("""COMPUTED_VALUE"""),"Richards")</f>
        <v>Richards</v>
      </c>
      <c r="E8770" t="str">
        <f>IFERROR(__xludf.DUMMYFUNCTION("""COMPUTED_VALUE"""),"Jordan")</f>
        <v>Jordan</v>
      </c>
      <c r="F8770" t="str">
        <f>IFERROR(__xludf.DUMMYFUNCTION("""COMPUTED_VALUE"""),"SS")</f>
        <v>SS</v>
      </c>
      <c r="G8770" t="str">
        <f>IFERROR(__xludf.DUMMYFUNCTION("""COMPUTED_VALUE"""),"")</f>
        <v/>
      </c>
    </row>
    <row r="8771">
      <c r="D8771" t="str">
        <f>IFERROR(__xludf.DUMMYFUNCTION("""COMPUTED_VALUE"""),"Richards")</f>
        <v>Richards</v>
      </c>
      <c r="E8771" t="str">
        <f>IFERROR(__xludf.DUMMYFUNCTION("""COMPUTED_VALUE"""),"Ramon")</f>
        <v>Ramon</v>
      </c>
      <c r="F8771" t="str">
        <f>IFERROR(__xludf.DUMMYFUNCTION("""COMPUTED_VALUE"""),"CB")</f>
        <v>CB</v>
      </c>
      <c r="G8771" t="str">
        <f>IFERROR(__xludf.DUMMYFUNCTION("""COMPUTED_VALUE"""),"")</f>
        <v/>
      </c>
    </row>
    <row r="8772">
      <c r="D8772" t="str">
        <f>IFERROR(__xludf.DUMMYFUNCTION("""COMPUTED_VALUE"""),"Richardson")</f>
        <v>Richardson</v>
      </c>
      <c r="E8772" t="str">
        <f>IFERROR(__xludf.DUMMYFUNCTION("""COMPUTED_VALUE"""),"Horace")</f>
        <v>Horace</v>
      </c>
      <c r="F8772" t="str">
        <f>IFERROR(__xludf.DUMMYFUNCTION("""COMPUTED_VALUE"""),"CB")</f>
        <v>CB</v>
      </c>
      <c r="G8772" t="str">
        <f>IFERROR(__xludf.DUMMYFUNCTION("""COMPUTED_VALUE"""),"")</f>
        <v/>
      </c>
    </row>
    <row r="8773">
      <c r="D8773" t="str">
        <f>IFERROR(__xludf.DUMMYFUNCTION("""COMPUTED_VALUE"""),"Richardson")</f>
        <v>Richardson</v>
      </c>
      <c r="E8773" t="str">
        <f>IFERROR(__xludf.DUMMYFUNCTION("""COMPUTED_VALUE"""),"Paul")</f>
        <v>Paul</v>
      </c>
      <c r="F8773" t="str">
        <f>IFERROR(__xludf.DUMMYFUNCTION("""COMPUTED_VALUE"""),"WR")</f>
        <v>WR</v>
      </c>
      <c r="G8773" t="str">
        <f>IFERROR(__xludf.DUMMYFUNCTION("""COMPUTED_VALUE"""),"")</f>
        <v/>
      </c>
    </row>
    <row r="8774">
      <c r="D8774" t="str">
        <f>IFERROR(__xludf.DUMMYFUNCTION("""COMPUTED_VALUE"""),"Richardson")</f>
        <v>Richardson</v>
      </c>
      <c r="E8774" t="str">
        <f>IFERROR(__xludf.DUMMYFUNCTION("""COMPUTED_VALUE"""),"Sheldon")</f>
        <v>Sheldon</v>
      </c>
      <c r="F8774" t="str">
        <f>IFERROR(__xludf.DUMMYFUNCTION("""COMPUTED_VALUE"""),"DT")</f>
        <v>DT</v>
      </c>
      <c r="G8774" t="str">
        <f>IFERROR(__xludf.DUMMYFUNCTION("""COMPUTED_VALUE"""),"")</f>
        <v/>
      </c>
    </row>
    <row r="8775">
      <c r="D8775" t="str">
        <f>IFERROR(__xludf.DUMMYFUNCTION("""COMPUTED_VALUE"""),"Richardson")</f>
        <v>Richardson</v>
      </c>
      <c r="E8775" t="str">
        <f>IFERROR(__xludf.DUMMYFUNCTION("""COMPUTED_VALUE"""),"Will")</f>
        <v>Will</v>
      </c>
      <c r="F8775" t="str">
        <f>IFERROR(__xludf.DUMMYFUNCTION("""COMPUTED_VALUE"""),"RT")</f>
        <v>RT</v>
      </c>
      <c r="G8775" t="str">
        <f>IFERROR(__xludf.DUMMYFUNCTION("""COMPUTED_VALUE"""),"")</f>
        <v/>
      </c>
    </row>
    <row r="8776">
      <c r="D8776" t="str">
        <f>IFERROR(__xludf.DUMMYFUNCTION("""COMPUTED_VALUE"""),"Richburg")</f>
        <v>Richburg</v>
      </c>
      <c r="E8776" t="str">
        <f>IFERROR(__xludf.DUMMYFUNCTION("""COMPUTED_VALUE"""),"Weston")</f>
        <v>Weston</v>
      </c>
      <c r="F8776" t="str">
        <f>IFERROR(__xludf.DUMMYFUNCTION("""COMPUTED_VALUE"""),"C")</f>
        <v>C</v>
      </c>
      <c r="G8776" t="str">
        <f>IFERROR(__xludf.DUMMYFUNCTION("""COMPUTED_VALUE"""),"")</f>
        <v/>
      </c>
    </row>
    <row r="8777">
      <c r="D8777" t="str">
        <f>IFERROR(__xludf.DUMMYFUNCTION("""COMPUTED_VALUE"""),"Riddick")</f>
        <v>Riddick</v>
      </c>
      <c r="E8777" t="str">
        <f>IFERROR(__xludf.DUMMYFUNCTION("""COMPUTED_VALUE"""),"Theo")</f>
        <v>Theo</v>
      </c>
      <c r="F8777" t="str">
        <f>IFERROR(__xludf.DUMMYFUNCTION("""COMPUTED_VALUE"""),"HB")</f>
        <v>HB</v>
      </c>
      <c r="G8777" t="str">
        <f>IFERROR(__xludf.DUMMYFUNCTION("""COMPUTED_VALUE"""),"")</f>
        <v/>
      </c>
    </row>
    <row r="8778">
      <c r="D8778" t="str">
        <f>IFERROR(__xludf.DUMMYFUNCTION("""COMPUTED_VALUE"""),"Ridgeway")</f>
        <v>Ridgeway</v>
      </c>
      <c r="E8778" t="str">
        <f>IFERROR(__xludf.DUMMYFUNCTION("""COMPUTED_VALUE"""),"Hassan")</f>
        <v>Hassan</v>
      </c>
      <c r="F8778" t="str">
        <f>IFERROR(__xludf.DUMMYFUNCTION("""COMPUTED_VALUE"""),"DT")</f>
        <v>DT</v>
      </c>
      <c r="G8778" t="str">
        <f>IFERROR(__xludf.DUMMYFUNCTION("""COMPUTED_VALUE"""),"")</f>
        <v/>
      </c>
    </row>
    <row r="8779">
      <c r="D8779" t="str">
        <f>IFERROR(__xludf.DUMMYFUNCTION("""COMPUTED_VALUE"""),"Ridley")</f>
        <v>Ridley</v>
      </c>
      <c r="E8779" t="str">
        <f>IFERROR(__xludf.DUMMYFUNCTION("""COMPUTED_VALUE"""),"Calvin")</f>
        <v>Calvin</v>
      </c>
      <c r="F8779" t="str">
        <f>IFERROR(__xludf.DUMMYFUNCTION("""COMPUTED_VALUE"""),"WR")</f>
        <v>WR</v>
      </c>
      <c r="G8779" t="str">
        <f>IFERROR(__xludf.DUMMYFUNCTION("""COMPUTED_VALUE"""),"")</f>
        <v/>
      </c>
    </row>
    <row r="8780">
      <c r="D8780" t="str">
        <f>IFERROR(__xludf.DUMMYFUNCTION("""COMPUTED_VALUE"""),"Ridley")</f>
        <v>Ridley</v>
      </c>
      <c r="E8780" t="str">
        <f>IFERROR(__xludf.DUMMYFUNCTION("""COMPUTED_VALUE"""),"Riley")</f>
        <v>Riley</v>
      </c>
      <c r="F8780" t="str">
        <f>IFERROR(__xludf.DUMMYFUNCTION("""COMPUTED_VALUE"""),"WR")</f>
        <v>WR</v>
      </c>
      <c r="G8780" t="str">
        <f>IFERROR(__xludf.DUMMYFUNCTION("""COMPUTED_VALUE"""),"")</f>
        <v/>
      </c>
    </row>
    <row r="8781">
      <c r="D8781" t="str">
        <f>IFERROR(__xludf.DUMMYFUNCTION("""COMPUTED_VALUE"""),"Riley")</f>
        <v>Riley</v>
      </c>
      <c r="E8781" t="str">
        <f>IFERROR(__xludf.DUMMYFUNCTION("""COMPUTED_VALUE"""),"Curtis")</f>
        <v>Curtis</v>
      </c>
      <c r="F8781" t="str">
        <f>IFERROR(__xludf.DUMMYFUNCTION("""COMPUTED_VALUE"""),"FS")</f>
        <v>FS</v>
      </c>
      <c r="G8781" t="str">
        <f>IFERROR(__xludf.DUMMYFUNCTION("""COMPUTED_VALUE"""),"")</f>
        <v/>
      </c>
    </row>
    <row r="8782">
      <c r="D8782" t="str">
        <f>IFERROR(__xludf.DUMMYFUNCTION("""COMPUTED_VALUE"""),"Riley")</f>
        <v>Riley</v>
      </c>
      <c r="E8782" t="str">
        <f>IFERROR(__xludf.DUMMYFUNCTION("""COMPUTED_VALUE"""),"Duke")</f>
        <v>Duke</v>
      </c>
      <c r="F8782" t="str">
        <f>IFERROR(__xludf.DUMMYFUNCTION("""COMPUTED_VALUE"""),"LOLB")</f>
        <v>LOLB</v>
      </c>
      <c r="G8782" t="str">
        <f>IFERROR(__xludf.DUMMYFUNCTION("""COMPUTED_VALUE"""),"")</f>
        <v/>
      </c>
    </row>
    <row r="8783">
      <c r="D8783" t="str">
        <f>IFERROR(__xludf.DUMMYFUNCTION("""COMPUTED_VALUE"""),"Ringo")</f>
        <v>Ringo</v>
      </c>
      <c r="E8783" t="str">
        <f>IFERROR(__xludf.DUMMYFUNCTION("""COMPUTED_VALUE"""),"Christian")</f>
        <v>Christian</v>
      </c>
      <c r="F8783" t="str">
        <f>IFERROR(__xludf.DUMMYFUNCTION("""COMPUTED_VALUE"""),"DT")</f>
        <v>DT</v>
      </c>
      <c r="G8783" t="str">
        <f>IFERROR(__xludf.DUMMYFUNCTION("""COMPUTED_VALUE"""),"")</f>
        <v/>
      </c>
    </row>
    <row r="8784">
      <c r="D8784" t="str">
        <f>IFERROR(__xludf.DUMMYFUNCTION("""COMPUTED_VALUE"""),"Risner")</f>
        <v>Risner</v>
      </c>
      <c r="E8784" t="str">
        <f>IFERROR(__xludf.DUMMYFUNCTION("""COMPUTED_VALUE"""),"Dalton")</f>
        <v>Dalton</v>
      </c>
      <c r="F8784" t="str">
        <f>IFERROR(__xludf.DUMMYFUNCTION("""COMPUTED_VALUE"""),"C")</f>
        <v>C</v>
      </c>
      <c r="G8784" t="str">
        <f>IFERROR(__xludf.DUMMYFUNCTION("""COMPUTED_VALUE"""),"")</f>
        <v/>
      </c>
    </row>
    <row r="8785">
      <c r="D8785" t="str">
        <f>IFERROR(__xludf.DUMMYFUNCTION("""COMPUTED_VALUE"""),"Rivers")</f>
        <v>Rivers</v>
      </c>
      <c r="E8785" t="str">
        <f>IFERROR(__xludf.DUMMYFUNCTION("""COMPUTED_VALUE"""),"Derek")</f>
        <v>Derek</v>
      </c>
      <c r="F8785" t="str">
        <f>IFERROR(__xludf.DUMMYFUNCTION("""COMPUTED_VALUE"""),"LE")</f>
        <v>LE</v>
      </c>
      <c r="G8785" t="str">
        <f>IFERROR(__xludf.DUMMYFUNCTION("""COMPUTED_VALUE"""),"")</f>
        <v/>
      </c>
    </row>
    <row r="8786">
      <c r="D8786" t="str">
        <f>IFERROR(__xludf.DUMMYFUNCTION("""COMPUTED_VALUE"""),"Rivers")</f>
        <v>Rivers</v>
      </c>
      <c r="E8786" t="str">
        <f>IFERROR(__xludf.DUMMYFUNCTION("""COMPUTED_VALUE"""),"Philip")</f>
        <v>Philip</v>
      </c>
      <c r="F8786" t="str">
        <f>IFERROR(__xludf.DUMMYFUNCTION("""COMPUTED_VALUE"""),"QB")</f>
        <v>QB</v>
      </c>
      <c r="G8786" t="str">
        <f>IFERROR(__xludf.DUMMYFUNCTION("""COMPUTED_VALUE"""),"")</f>
        <v/>
      </c>
    </row>
    <row r="8787">
      <c r="D8787" t="str">
        <f>IFERROR(__xludf.DUMMYFUNCTION("""COMPUTED_VALUE"""),"Roberts")</f>
        <v>Roberts</v>
      </c>
      <c r="E8787" t="str">
        <f>IFERROR(__xludf.DUMMYFUNCTION("""COMPUTED_VALUE"""),"Andre")</f>
        <v>Andre</v>
      </c>
      <c r="F8787" t="str">
        <f>IFERROR(__xludf.DUMMYFUNCTION("""COMPUTED_VALUE"""),"WR")</f>
        <v>WR</v>
      </c>
      <c r="G8787" t="str">
        <f>IFERROR(__xludf.DUMMYFUNCTION("""COMPUTED_VALUE"""),"")</f>
        <v/>
      </c>
    </row>
    <row r="8788">
      <c r="D8788" t="str">
        <f>IFERROR(__xludf.DUMMYFUNCTION("""COMPUTED_VALUE"""),"Roberts")</f>
        <v>Roberts</v>
      </c>
      <c r="E8788" t="str">
        <f>IFERROR(__xludf.DUMMYFUNCTION("""COMPUTED_VALUE"""),"Darryl")</f>
        <v>Darryl</v>
      </c>
      <c r="F8788" t="str">
        <f>IFERROR(__xludf.DUMMYFUNCTION("""COMPUTED_VALUE"""),"CB")</f>
        <v>CB</v>
      </c>
      <c r="G8788" t="str">
        <f>IFERROR(__xludf.DUMMYFUNCTION("""COMPUTED_VALUE"""),"")</f>
        <v/>
      </c>
    </row>
    <row r="8789">
      <c r="D8789" t="str">
        <f>IFERROR(__xludf.DUMMYFUNCTION("""COMPUTED_VALUE"""),"Roberts")</f>
        <v>Roberts</v>
      </c>
      <c r="E8789" t="str">
        <f>IFERROR(__xludf.DUMMYFUNCTION("""COMPUTED_VALUE"""),"Elandon")</f>
        <v>Elandon</v>
      </c>
      <c r="F8789" t="str">
        <f>IFERROR(__xludf.DUMMYFUNCTION("""COMPUTED_VALUE"""),"MLB")</f>
        <v>MLB</v>
      </c>
      <c r="G8789" t="str">
        <f>IFERROR(__xludf.DUMMYFUNCTION("""COMPUTED_VALUE"""),"")</f>
        <v/>
      </c>
    </row>
    <row r="8790">
      <c r="D8790" t="str">
        <f>IFERROR(__xludf.DUMMYFUNCTION("""COMPUTED_VALUE"""),"Roberts")</f>
        <v>Roberts</v>
      </c>
      <c r="E8790" t="str">
        <f>IFERROR(__xludf.DUMMYFUNCTION("""COMPUTED_VALUE"""),"Michael")</f>
        <v>Michael</v>
      </c>
      <c r="F8790" t="str">
        <f>IFERROR(__xludf.DUMMYFUNCTION("""COMPUTED_VALUE"""),"TE")</f>
        <v>TE</v>
      </c>
      <c r="G8790" t="str">
        <f>IFERROR(__xludf.DUMMYFUNCTION("""COMPUTED_VALUE"""),"")</f>
        <v/>
      </c>
    </row>
    <row r="8791">
      <c r="D8791" t="str">
        <f>IFERROR(__xludf.DUMMYFUNCTION("""COMPUTED_VALUE"""),"Roberts")</f>
        <v>Roberts</v>
      </c>
      <c r="E8791" t="str">
        <f>IFERROR(__xludf.DUMMYFUNCTION("""COMPUTED_VALUE"""),"Seth")</f>
        <v>Seth</v>
      </c>
      <c r="F8791" t="str">
        <f>IFERROR(__xludf.DUMMYFUNCTION("""COMPUTED_VALUE"""),"WR")</f>
        <v>WR</v>
      </c>
      <c r="G8791" t="str">
        <f>IFERROR(__xludf.DUMMYFUNCTION("""COMPUTED_VALUE"""),"")</f>
        <v/>
      </c>
    </row>
    <row r="8792">
      <c r="D8792" t="str">
        <f>IFERROR(__xludf.DUMMYFUNCTION("""COMPUTED_VALUE"""),"Robertson")</f>
        <v>Robertson</v>
      </c>
      <c r="E8792" t="str">
        <f>IFERROR(__xludf.DUMMYFUNCTION("""COMPUTED_VALUE"""),"Craig")</f>
        <v>Craig</v>
      </c>
      <c r="F8792" t="str">
        <f>IFERROR(__xludf.DUMMYFUNCTION("""COMPUTED_VALUE"""),"ROLB")</f>
        <v>ROLB</v>
      </c>
      <c r="G8792" t="str">
        <f>IFERROR(__xludf.DUMMYFUNCTION("""COMPUTED_VALUE"""),"")</f>
        <v/>
      </c>
    </row>
    <row r="8793">
      <c r="D8793" t="str">
        <f>IFERROR(__xludf.DUMMYFUNCTION("""COMPUTED_VALUE"""),"Robertson")</f>
        <v>Robertson</v>
      </c>
      <c r="E8793" t="str">
        <f>IFERROR(__xludf.DUMMYFUNCTION("""COMPUTED_VALUE"""),"Pete")</f>
        <v>Pete</v>
      </c>
      <c r="F8793" t="str">
        <f>IFERROR(__xludf.DUMMYFUNCTION("""COMPUTED_VALUE"""),"LOLB")</f>
        <v>LOLB</v>
      </c>
      <c r="G8793" t="str">
        <f>IFERROR(__xludf.DUMMYFUNCTION("""COMPUTED_VALUE"""),"")</f>
        <v/>
      </c>
    </row>
    <row r="8794">
      <c r="D8794" t="str">
        <f>IFERROR(__xludf.DUMMYFUNCTION("""COMPUTED_VALUE"""),"Robertson-Harris")</f>
        <v>Robertson-Harris</v>
      </c>
      <c r="E8794" t="str">
        <f>IFERROR(__xludf.DUMMYFUNCTION("""COMPUTED_VALUE"""),"Roy")</f>
        <v>Roy</v>
      </c>
      <c r="F8794" t="str">
        <f>IFERROR(__xludf.DUMMYFUNCTION("""COMPUTED_VALUE"""),"RE")</f>
        <v>RE</v>
      </c>
      <c r="G8794" t="str">
        <f>IFERROR(__xludf.DUMMYFUNCTION("""COMPUTED_VALUE"""),"")</f>
        <v/>
      </c>
    </row>
    <row r="8795">
      <c r="D8795" t="str">
        <f>IFERROR(__xludf.DUMMYFUNCTION("""COMPUTED_VALUE"""),"Robey-Coleman")</f>
        <v>Robey-Coleman</v>
      </c>
      <c r="E8795" t="str">
        <f>IFERROR(__xludf.DUMMYFUNCTION("""COMPUTED_VALUE"""),"Nickell")</f>
        <v>Nickell</v>
      </c>
      <c r="F8795" t="str">
        <f>IFERROR(__xludf.DUMMYFUNCTION("""COMPUTED_VALUE"""),"CB")</f>
        <v>CB</v>
      </c>
      <c r="G8795" t="str">
        <f>IFERROR(__xludf.DUMMYFUNCTION("""COMPUTED_VALUE"""),"")</f>
        <v/>
      </c>
    </row>
    <row r="8796">
      <c r="D8796" t="str">
        <f>IFERROR(__xludf.DUMMYFUNCTION("""COMPUTED_VALUE"""),"Robinson")</f>
        <v>Robinson</v>
      </c>
      <c r="E8796" t="str">
        <f>IFERROR(__xludf.DUMMYFUNCTION("""COMPUTED_VALUE"""),"Aldrick")</f>
        <v>Aldrick</v>
      </c>
      <c r="F8796" t="str">
        <f>IFERROR(__xludf.DUMMYFUNCTION("""COMPUTED_VALUE"""),"WR")</f>
        <v>WR</v>
      </c>
      <c r="G8796" t="str">
        <f>IFERROR(__xludf.DUMMYFUNCTION("""COMPUTED_VALUE"""),"")</f>
        <v/>
      </c>
    </row>
    <row r="8797">
      <c r="D8797" t="str">
        <f>IFERROR(__xludf.DUMMYFUNCTION("""COMPUTED_VALUE"""),"Robinson")</f>
        <v>Robinson</v>
      </c>
      <c r="E8797" t="str">
        <f>IFERROR(__xludf.DUMMYFUNCTION("""COMPUTED_VALUE"""),"Allen")</f>
        <v>Allen</v>
      </c>
      <c r="F8797" t="str">
        <f>IFERROR(__xludf.DUMMYFUNCTION("""COMPUTED_VALUE"""),"WR")</f>
        <v>WR</v>
      </c>
      <c r="G8797" t="str">
        <f>IFERROR(__xludf.DUMMYFUNCTION("""COMPUTED_VALUE"""),"")</f>
        <v/>
      </c>
    </row>
    <row r="8798">
      <c r="D8798" t="str">
        <f>IFERROR(__xludf.DUMMYFUNCTION("""COMPUTED_VALUE"""),"Robinson")</f>
        <v>Robinson</v>
      </c>
      <c r="E8798" t="str">
        <f>IFERROR(__xludf.DUMMYFUNCTION("""COMPUTED_VALUE"""),"AShawn")</f>
        <v>AShawn</v>
      </c>
      <c r="F8798" t="str">
        <f>IFERROR(__xludf.DUMMYFUNCTION("""COMPUTED_VALUE"""),"DT")</f>
        <v>DT</v>
      </c>
      <c r="G8798" t="str">
        <f>IFERROR(__xludf.DUMMYFUNCTION("""COMPUTED_VALUE"""),"")</f>
        <v/>
      </c>
    </row>
    <row r="8799">
      <c r="D8799" t="str">
        <f>IFERROR(__xludf.DUMMYFUNCTION("""COMPUTED_VALUE"""),"Robinson")</f>
        <v>Robinson</v>
      </c>
      <c r="E8799" t="str">
        <f>IFERROR(__xludf.DUMMYFUNCTION("""COMPUTED_VALUE"""),"Cam")</f>
        <v>Cam</v>
      </c>
      <c r="F8799" t="str">
        <f>IFERROR(__xludf.DUMMYFUNCTION("""COMPUTED_VALUE"""),"LT")</f>
        <v>LT</v>
      </c>
      <c r="G8799" t="str">
        <f>IFERROR(__xludf.DUMMYFUNCTION("""COMPUTED_VALUE"""),"")</f>
        <v/>
      </c>
    </row>
    <row r="8800">
      <c r="D8800" t="str">
        <f>IFERROR(__xludf.DUMMYFUNCTION("""COMPUTED_VALUE"""),"Robinson")</f>
        <v>Robinson</v>
      </c>
      <c r="E8800" t="str">
        <f>IFERROR(__xludf.DUMMYFUNCTION("""COMPUTED_VALUE"""),"Demarcus")</f>
        <v>Demarcus</v>
      </c>
      <c r="F8800" t="str">
        <f>IFERROR(__xludf.DUMMYFUNCTION("""COMPUTED_VALUE"""),"WR")</f>
        <v>WR</v>
      </c>
      <c r="G8800" t="str">
        <f>IFERROR(__xludf.DUMMYFUNCTION("""COMPUTED_VALUE"""),"")</f>
        <v/>
      </c>
    </row>
    <row r="8801">
      <c r="D8801" t="str">
        <f>IFERROR(__xludf.DUMMYFUNCTION("""COMPUTED_VALUE"""),"Robinson")</f>
        <v>Robinson</v>
      </c>
      <c r="E8801" t="str">
        <f>IFERROR(__xludf.DUMMYFUNCTION("""COMPUTED_VALUE"""),"Greg")</f>
        <v>Greg</v>
      </c>
      <c r="F8801" t="str">
        <f>IFERROR(__xludf.DUMMYFUNCTION("""COMPUTED_VALUE"""),"LT")</f>
        <v>LT</v>
      </c>
      <c r="G8801" t="str">
        <f>IFERROR(__xludf.DUMMYFUNCTION("""COMPUTED_VALUE"""),"")</f>
        <v/>
      </c>
    </row>
    <row r="8802">
      <c r="D8802" t="str">
        <f>IFERROR(__xludf.DUMMYFUNCTION("""COMPUTED_VALUE"""),"Robinson")</f>
        <v>Robinson</v>
      </c>
      <c r="E8802" t="str">
        <f>IFERROR(__xludf.DUMMYFUNCTION("""COMPUTED_VALUE"""),"Patrick")</f>
        <v>Patrick</v>
      </c>
      <c r="F8802" t="str">
        <f>IFERROR(__xludf.DUMMYFUNCTION("""COMPUTED_VALUE"""),"CB")</f>
        <v>CB</v>
      </c>
      <c r="G8802" t="str">
        <f>IFERROR(__xludf.DUMMYFUNCTION("""COMPUTED_VALUE"""),"")</f>
        <v/>
      </c>
    </row>
    <row r="8803">
      <c r="D8803" t="str">
        <f>IFERROR(__xludf.DUMMYFUNCTION("""COMPUTED_VALUE"""),"Robinson")</f>
        <v>Robinson</v>
      </c>
      <c r="E8803" t="str">
        <f>IFERROR(__xludf.DUMMYFUNCTION("""COMPUTED_VALUE"""),"Tyree")</f>
        <v>Tyree</v>
      </c>
      <c r="F8803" t="str">
        <f>IFERROR(__xludf.DUMMYFUNCTION("""COMPUTED_VALUE"""),"SS")</f>
        <v>SS</v>
      </c>
      <c r="G8803" t="str">
        <f>IFERROR(__xludf.DUMMYFUNCTION("""COMPUTED_VALUE"""),"")</f>
        <v/>
      </c>
    </row>
    <row r="8804">
      <c r="D8804" t="str">
        <f>IFERROR(__xludf.DUMMYFUNCTION("""COMPUTED_VALUE"""),"Roby")</f>
        <v>Roby</v>
      </c>
      <c r="E8804" t="str">
        <f>IFERROR(__xludf.DUMMYFUNCTION("""COMPUTED_VALUE"""),"Bradley")</f>
        <v>Bradley</v>
      </c>
      <c r="F8804" t="str">
        <f>IFERROR(__xludf.DUMMYFUNCTION("""COMPUTED_VALUE"""),"CB")</f>
        <v>CB</v>
      </c>
      <c r="G8804" t="str">
        <f>IFERROR(__xludf.DUMMYFUNCTION("""COMPUTED_VALUE"""),"")</f>
        <v/>
      </c>
    </row>
    <row r="8805">
      <c r="D8805" t="str">
        <f>IFERROR(__xludf.DUMMYFUNCTION("""COMPUTED_VALUE"""),"Rochell")</f>
        <v>Rochell</v>
      </c>
      <c r="E8805" t="str">
        <f>IFERROR(__xludf.DUMMYFUNCTION("""COMPUTED_VALUE"""),"Isaac")</f>
        <v>Isaac</v>
      </c>
      <c r="F8805" t="str">
        <f>IFERROR(__xludf.DUMMYFUNCTION("""COMPUTED_VALUE"""),"LE")</f>
        <v>LE</v>
      </c>
      <c r="G8805" t="str">
        <f>IFERROR(__xludf.DUMMYFUNCTION("""COMPUTED_VALUE"""),"")</f>
        <v/>
      </c>
    </row>
    <row r="8806">
      <c r="D8806" t="str">
        <f>IFERROR(__xludf.DUMMYFUNCTION("""COMPUTED_VALUE"""),"Rodgers")</f>
        <v>Rodgers</v>
      </c>
      <c r="E8806" t="str">
        <f>IFERROR(__xludf.DUMMYFUNCTION("""COMPUTED_VALUE"""),"Aaron")</f>
        <v>Aaron</v>
      </c>
      <c r="F8806" t="str">
        <f>IFERROR(__xludf.DUMMYFUNCTION("""COMPUTED_VALUE"""),"QB")</f>
        <v>QB</v>
      </c>
      <c r="G8806" t="str">
        <f>IFERROR(__xludf.DUMMYFUNCTION("""COMPUTED_VALUE"""),"")</f>
        <v/>
      </c>
    </row>
    <row r="8807">
      <c r="D8807" t="str">
        <f>IFERROR(__xludf.DUMMYFUNCTION("""COMPUTED_VALUE"""),"Rodgers")</f>
        <v>Rodgers</v>
      </c>
      <c r="E8807" t="str">
        <f>IFERROR(__xludf.DUMMYFUNCTION("""COMPUTED_VALUE"""),"Jake")</f>
        <v>Jake</v>
      </c>
      <c r="F8807" t="str">
        <f>IFERROR(__xludf.DUMMYFUNCTION("""COMPUTED_VALUE"""),"RT")</f>
        <v>RT</v>
      </c>
      <c r="G8807" t="str">
        <f>IFERROR(__xludf.DUMMYFUNCTION("""COMPUTED_VALUE"""),"")</f>
        <v/>
      </c>
    </row>
    <row r="8808">
      <c r="D8808" t="str">
        <f>IFERROR(__xludf.DUMMYFUNCTION("""COMPUTED_VALUE"""),"Rodgers")</f>
        <v>Rodgers</v>
      </c>
      <c r="E8808" t="str">
        <f>IFERROR(__xludf.DUMMYFUNCTION("""COMPUTED_VALUE"""),"Richard")</f>
        <v>Richard</v>
      </c>
      <c r="F8808" t="str">
        <f>IFERROR(__xludf.DUMMYFUNCTION("""COMPUTED_VALUE"""),"TE")</f>
        <v>TE</v>
      </c>
      <c r="G8808" t="str">
        <f>IFERROR(__xludf.DUMMYFUNCTION("""COMPUTED_VALUE"""),"")</f>
        <v/>
      </c>
    </row>
    <row r="8809">
      <c r="D8809" t="str">
        <f>IFERROR(__xludf.DUMMYFUNCTION("""COMPUTED_VALUE"""),"Rodgers-Cromartie")</f>
        <v>Rodgers-Cromartie</v>
      </c>
      <c r="E8809" t="str">
        <f>IFERROR(__xludf.DUMMYFUNCTION("""COMPUTED_VALUE"""),"Dominique")</f>
        <v>Dominique</v>
      </c>
      <c r="F8809" t="str">
        <f>IFERROR(__xludf.DUMMYFUNCTION("""COMPUTED_VALUE"""),"CB")</f>
        <v>CB</v>
      </c>
      <c r="G8809" t="str">
        <f>IFERROR(__xludf.DUMMYFUNCTION("""COMPUTED_VALUE"""),"")</f>
        <v/>
      </c>
    </row>
    <row r="8810">
      <c r="D8810" t="str">
        <f>IFERROR(__xludf.DUMMYFUNCTION("""COMPUTED_VALUE"""),"Roethlisberger")</f>
        <v>Roethlisberger</v>
      </c>
      <c r="E8810" t="str">
        <f>IFERROR(__xludf.DUMMYFUNCTION("""COMPUTED_VALUE"""),"Ben")</f>
        <v>Ben</v>
      </c>
      <c r="F8810" t="str">
        <f>IFERROR(__xludf.DUMMYFUNCTION("""COMPUTED_VALUE"""),"QB")</f>
        <v>QB</v>
      </c>
      <c r="G8810" t="str">
        <f>IFERROR(__xludf.DUMMYFUNCTION("""COMPUTED_VALUE"""),"")</f>
        <v/>
      </c>
    </row>
    <row r="8811">
      <c r="D8811" t="str">
        <f>IFERROR(__xludf.DUMMYFUNCTION("""COMPUTED_VALUE"""),"Rogers")</f>
        <v>Rogers</v>
      </c>
      <c r="E8811" t="str">
        <f>IFERROR(__xludf.DUMMYFUNCTION("""COMPUTED_VALUE"""),"Chester")</f>
        <v>Chester</v>
      </c>
      <c r="F8811" t="str">
        <f>IFERROR(__xludf.DUMMYFUNCTION("""COMPUTED_VALUE"""),"WR")</f>
        <v>WR</v>
      </c>
      <c r="G8811" t="str">
        <f>IFERROR(__xludf.DUMMYFUNCTION("""COMPUTED_VALUE"""),"")</f>
        <v/>
      </c>
    </row>
    <row r="8812">
      <c r="D8812" t="str">
        <f>IFERROR(__xludf.DUMMYFUNCTION("""COMPUTED_VALUE"""),"Rogers")</f>
        <v>Rogers</v>
      </c>
      <c r="E8812" t="str">
        <f>IFERROR(__xludf.DUMMYFUNCTION("""COMPUTED_VALUE"""),"Eli")</f>
        <v>Eli</v>
      </c>
      <c r="F8812" t="str">
        <f>IFERROR(__xludf.DUMMYFUNCTION("""COMPUTED_VALUE"""),"WR")</f>
        <v>WR</v>
      </c>
      <c r="G8812" t="str">
        <f>IFERROR(__xludf.DUMMYFUNCTION("""COMPUTED_VALUE"""),"")</f>
        <v/>
      </c>
    </row>
    <row r="8813">
      <c r="D8813" t="str">
        <f>IFERROR(__xludf.DUMMYFUNCTION("""COMPUTED_VALUE"""),"Roos")</f>
        <v>Roos</v>
      </c>
      <c r="E8813" t="str">
        <f>IFERROR(__xludf.DUMMYFUNCTION("""COMPUTED_VALUE"""),"Jordan")</f>
        <v>Jordan</v>
      </c>
      <c r="F8813" t="str">
        <f>IFERROR(__xludf.DUMMYFUNCTION("""COMPUTED_VALUE"""),"RG")</f>
        <v>RG</v>
      </c>
      <c r="G8813" t="str">
        <f>IFERROR(__xludf.DUMMYFUNCTION("""COMPUTED_VALUE"""),"")</f>
        <v/>
      </c>
    </row>
    <row r="8814">
      <c r="D8814" t="str">
        <f>IFERROR(__xludf.DUMMYFUNCTION("""COMPUTED_VALUE"""),"Rosas")</f>
        <v>Rosas</v>
      </c>
      <c r="E8814" t="str">
        <f>IFERROR(__xludf.DUMMYFUNCTION("""COMPUTED_VALUE"""),"Aldrick")</f>
        <v>Aldrick</v>
      </c>
      <c r="F8814" t="str">
        <f>IFERROR(__xludf.DUMMYFUNCTION("""COMPUTED_VALUE"""),"K")</f>
        <v>K</v>
      </c>
      <c r="G8814" t="str">
        <f>IFERROR(__xludf.DUMMYFUNCTION("""COMPUTED_VALUE"""),"")</f>
        <v/>
      </c>
    </row>
    <row r="8815">
      <c r="D8815" t="str">
        <f>IFERROR(__xludf.DUMMYFUNCTION("""COMPUTED_VALUE"""),"Rosen")</f>
        <v>Rosen</v>
      </c>
      <c r="E8815" t="str">
        <f>IFERROR(__xludf.DUMMYFUNCTION("""COMPUTED_VALUE"""),"Josh")</f>
        <v>Josh</v>
      </c>
      <c r="F8815" t="str">
        <f>IFERROR(__xludf.DUMMYFUNCTION("""COMPUTED_VALUE"""),"QB")</f>
        <v>QB</v>
      </c>
      <c r="G8815" t="str">
        <f>IFERROR(__xludf.DUMMYFUNCTION("""COMPUTED_VALUE"""),"")</f>
        <v/>
      </c>
    </row>
    <row r="8816">
      <c r="D8816" t="str">
        <f>IFERROR(__xludf.DUMMYFUNCTION("""COMPUTED_VALUE"""),"Ross")</f>
        <v>Ross</v>
      </c>
      <c r="E8816" t="str">
        <f>IFERROR(__xludf.DUMMYFUNCTION("""COMPUTED_VALUE"""),"Daniel")</f>
        <v>Daniel</v>
      </c>
      <c r="F8816" t="str">
        <f>IFERROR(__xludf.DUMMYFUNCTION("""COMPUTED_VALUE"""),"DT")</f>
        <v>DT</v>
      </c>
      <c r="G8816" t="str">
        <f>IFERROR(__xludf.DUMMYFUNCTION("""COMPUTED_VALUE"""),"")</f>
        <v/>
      </c>
    </row>
    <row r="8817">
      <c r="D8817" t="str">
        <f>IFERROR(__xludf.DUMMYFUNCTION("""COMPUTED_VALUE"""),"Ross")</f>
        <v>Ross</v>
      </c>
      <c r="E8817" t="str">
        <f>IFERROR(__xludf.DUMMYFUNCTION("""COMPUTED_VALUE"""),"John")</f>
        <v>John</v>
      </c>
      <c r="F8817" t="str">
        <f>IFERROR(__xludf.DUMMYFUNCTION("""COMPUTED_VALUE"""),"WR")</f>
        <v>WR</v>
      </c>
      <c r="G8817" t="str">
        <f>IFERROR(__xludf.DUMMYFUNCTION("""COMPUTED_VALUE"""),"")</f>
        <v/>
      </c>
    </row>
    <row r="8818">
      <c r="D8818" t="str">
        <f>IFERROR(__xludf.DUMMYFUNCTION("""COMPUTED_VALUE"""),"Ross")</f>
        <v>Ross</v>
      </c>
      <c r="E8818" t="str">
        <f>IFERROR(__xludf.DUMMYFUNCTION("""COMPUTED_VALUE"""),"Rashad")</f>
        <v>Rashad</v>
      </c>
      <c r="F8818" t="str">
        <f>IFERROR(__xludf.DUMMYFUNCTION("""COMPUTED_VALUE"""),"WR")</f>
        <v>WR</v>
      </c>
      <c r="G8818" t="str">
        <f>IFERROR(__xludf.DUMMYFUNCTION("""COMPUTED_VALUE"""),"")</f>
        <v/>
      </c>
    </row>
    <row r="8819">
      <c r="D8819" t="str">
        <f>IFERROR(__xludf.DUMMYFUNCTION("""COMPUTED_VALUE"""),"Roullier")</f>
        <v>Roullier</v>
      </c>
      <c r="E8819" t="str">
        <f>IFERROR(__xludf.DUMMYFUNCTION("""COMPUTED_VALUE"""),"Chase")</f>
        <v>Chase</v>
      </c>
      <c r="F8819" t="str">
        <f>IFERROR(__xludf.DUMMYFUNCTION("""COMPUTED_VALUE"""),"C")</f>
        <v>C</v>
      </c>
      <c r="G8819" t="str">
        <f>IFERROR(__xludf.DUMMYFUNCTION("""COMPUTED_VALUE"""),"")</f>
        <v/>
      </c>
    </row>
    <row r="8820">
      <c r="D8820" t="str">
        <f>IFERROR(__xludf.DUMMYFUNCTION("""COMPUTED_VALUE"""),"Rowe")</f>
        <v>Rowe</v>
      </c>
      <c r="E8820" t="str">
        <f>IFERROR(__xludf.DUMMYFUNCTION("""COMPUTED_VALUE"""),"Eric")</f>
        <v>Eric</v>
      </c>
      <c r="F8820" t="str">
        <f>IFERROR(__xludf.DUMMYFUNCTION("""COMPUTED_VALUE"""),"CB")</f>
        <v>CB</v>
      </c>
      <c r="G8820" t="str">
        <f>IFERROR(__xludf.DUMMYFUNCTION("""COMPUTED_VALUE"""),"")</f>
        <v/>
      </c>
    </row>
    <row r="8821">
      <c r="D8821" t="str">
        <f>IFERROR(__xludf.DUMMYFUNCTION("""COMPUTED_VALUE"""),"Rudock")</f>
        <v>Rudock</v>
      </c>
      <c r="E8821" t="str">
        <f>IFERROR(__xludf.DUMMYFUNCTION("""COMPUTED_VALUE"""),"Jake")</f>
        <v>Jake</v>
      </c>
      <c r="F8821" t="str">
        <f>IFERROR(__xludf.DUMMYFUNCTION("""COMPUTED_VALUE"""),"QB")</f>
        <v>QB</v>
      </c>
      <c r="G8821" t="str">
        <f>IFERROR(__xludf.DUMMYFUNCTION("""COMPUTED_VALUE"""),"")</f>
        <v/>
      </c>
    </row>
    <row r="8822">
      <c r="D8822" t="str">
        <f>IFERROR(__xludf.DUMMYFUNCTION("""COMPUTED_VALUE"""),"Rudolph")</f>
        <v>Rudolph</v>
      </c>
      <c r="E8822" t="str">
        <f>IFERROR(__xludf.DUMMYFUNCTION("""COMPUTED_VALUE"""),"Kyle")</f>
        <v>Kyle</v>
      </c>
      <c r="F8822" t="str">
        <f>IFERROR(__xludf.DUMMYFUNCTION("""COMPUTED_VALUE"""),"TE")</f>
        <v>TE</v>
      </c>
      <c r="G8822" t="str">
        <f>IFERROR(__xludf.DUMMYFUNCTION("""COMPUTED_VALUE"""),"")</f>
        <v/>
      </c>
    </row>
    <row r="8823">
      <c r="D8823" t="str">
        <f>IFERROR(__xludf.DUMMYFUNCTION("""COMPUTED_VALUE"""),"Rudolph")</f>
        <v>Rudolph</v>
      </c>
      <c r="E8823" t="str">
        <f>IFERROR(__xludf.DUMMYFUNCTION("""COMPUTED_VALUE"""),"Mason")</f>
        <v>Mason</v>
      </c>
      <c r="F8823" t="str">
        <f>IFERROR(__xludf.DUMMYFUNCTION("""COMPUTED_VALUE"""),"QB")</f>
        <v>QB</v>
      </c>
      <c r="G8823" t="str">
        <f>IFERROR(__xludf.DUMMYFUNCTION("""COMPUTED_VALUE"""),"")</f>
        <v/>
      </c>
    </row>
    <row r="8824">
      <c r="D8824" t="str">
        <f>IFERROR(__xludf.DUMMYFUNCTION("""COMPUTED_VALUE"""),"Rush")</f>
        <v>Rush</v>
      </c>
      <c r="E8824" t="str">
        <f>IFERROR(__xludf.DUMMYFUNCTION("""COMPUTED_VALUE"""),"Cooper")</f>
        <v>Cooper</v>
      </c>
      <c r="F8824" t="str">
        <f>IFERROR(__xludf.DUMMYFUNCTION("""COMPUTED_VALUE"""),"QB")</f>
        <v>QB</v>
      </c>
      <c r="G8824" t="str">
        <f>IFERROR(__xludf.DUMMYFUNCTION("""COMPUTED_VALUE"""),"")</f>
        <v/>
      </c>
    </row>
    <row r="8825">
      <c r="D8825" t="str">
        <f>IFERROR(__xludf.DUMMYFUNCTION("""COMPUTED_VALUE"""),"Russell")</f>
        <v>Russell</v>
      </c>
      <c r="E8825" t="str">
        <f>IFERROR(__xludf.DUMMYFUNCTION("""COMPUTED_VALUE"""),"Alonzo")</f>
        <v>Alonzo</v>
      </c>
      <c r="F8825" t="str">
        <f>IFERROR(__xludf.DUMMYFUNCTION("""COMPUTED_VALUE"""),"WR")</f>
        <v>WR</v>
      </c>
      <c r="G8825" t="str">
        <f>IFERROR(__xludf.DUMMYFUNCTION("""COMPUTED_VALUE"""),"")</f>
        <v/>
      </c>
    </row>
    <row r="8826">
      <c r="D8826" t="str">
        <f>IFERROR(__xludf.DUMMYFUNCTION("""COMPUTED_VALUE"""),"Russell")</f>
        <v>Russell</v>
      </c>
      <c r="E8826" t="str">
        <f>IFERROR(__xludf.DUMMYFUNCTION("""COMPUTED_VALUE"""),"Dontavius")</f>
        <v>Dontavius</v>
      </c>
      <c r="F8826" t="str">
        <f>IFERROR(__xludf.DUMMYFUNCTION("""COMPUTED_VALUE"""),"DT")</f>
        <v>DT</v>
      </c>
      <c r="G8826" t="str">
        <f>IFERROR(__xludf.DUMMYFUNCTION("""COMPUTED_VALUE"""),"")</f>
        <v/>
      </c>
    </row>
    <row r="8827">
      <c r="D8827" t="str">
        <f>IFERROR(__xludf.DUMMYFUNCTION("""COMPUTED_VALUE"""),"Russell")</f>
        <v>Russell</v>
      </c>
      <c r="E8827" t="str">
        <f>IFERROR(__xludf.DUMMYFUNCTION("""COMPUTED_VALUE"""),"KeiVarae")</f>
        <v>KeiVarae</v>
      </c>
      <c r="F8827" t="str">
        <f>IFERROR(__xludf.DUMMYFUNCTION("""COMPUTED_VALUE"""),"CB")</f>
        <v>CB</v>
      </c>
      <c r="G8827" t="str">
        <f>IFERROR(__xludf.DUMMYFUNCTION("""COMPUTED_VALUE"""),"")</f>
        <v/>
      </c>
    </row>
    <row r="8828">
      <c r="D8828" t="str">
        <f>IFERROR(__xludf.DUMMYFUNCTION("""COMPUTED_VALUE"""),"Ryan")</f>
        <v>Ryan</v>
      </c>
      <c r="E8828" t="str">
        <f>IFERROR(__xludf.DUMMYFUNCTION("""COMPUTED_VALUE"""),"Jake")</f>
        <v>Jake</v>
      </c>
      <c r="F8828" t="str">
        <f>IFERROR(__xludf.DUMMYFUNCTION("""COMPUTED_VALUE"""),"MLB")</f>
        <v>MLB</v>
      </c>
      <c r="G8828" t="str">
        <f>IFERROR(__xludf.DUMMYFUNCTION("""COMPUTED_VALUE"""),"")</f>
        <v/>
      </c>
    </row>
    <row r="8829">
      <c r="D8829" t="str">
        <f>IFERROR(__xludf.DUMMYFUNCTION("""COMPUTED_VALUE"""),"Ryan")</f>
        <v>Ryan</v>
      </c>
      <c r="E8829" t="str">
        <f>IFERROR(__xludf.DUMMYFUNCTION("""COMPUTED_VALUE"""),"Logan")</f>
        <v>Logan</v>
      </c>
      <c r="F8829" t="str">
        <f>IFERROR(__xludf.DUMMYFUNCTION("""COMPUTED_VALUE"""),"CB")</f>
        <v>CB</v>
      </c>
      <c r="G8829" t="str">
        <f>IFERROR(__xludf.DUMMYFUNCTION("""COMPUTED_VALUE"""),"")</f>
        <v/>
      </c>
    </row>
    <row r="8830">
      <c r="D8830" t="str">
        <f>IFERROR(__xludf.DUMMYFUNCTION("""COMPUTED_VALUE"""),"Ryan")</f>
        <v>Ryan</v>
      </c>
      <c r="E8830" t="str">
        <f>IFERROR(__xludf.DUMMYFUNCTION("""COMPUTED_VALUE"""),"Matt")</f>
        <v>Matt</v>
      </c>
      <c r="F8830" t="str">
        <f>IFERROR(__xludf.DUMMYFUNCTION("""COMPUTED_VALUE"""),"QB")</f>
        <v>QB</v>
      </c>
      <c r="G8830" t="str">
        <f>IFERROR(__xludf.DUMMYFUNCTION("""COMPUTED_VALUE"""),"")</f>
        <v/>
      </c>
    </row>
    <row r="8831">
      <c r="D8831" t="str">
        <f>IFERROR(__xludf.DUMMYFUNCTION("""COMPUTED_VALUE"""),"Rypien")</f>
        <v>Rypien</v>
      </c>
      <c r="E8831" t="str">
        <f>IFERROR(__xludf.DUMMYFUNCTION("""COMPUTED_VALUE"""),"Brett")</f>
        <v>Brett</v>
      </c>
      <c r="F8831" t="str">
        <f>IFERROR(__xludf.DUMMYFUNCTION("""COMPUTED_VALUE"""),"QB")</f>
        <v>QB</v>
      </c>
      <c r="G8831" t="str">
        <f>IFERROR(__xludf.DUMMYFUNCTION("""COMPUTED_VALUE"""),"")</f>
        <v/>
      </c>
    </row>
    <row r="8832">
      <c r="D8832" t="str">
        <f>IFERROR(__xludf.DUMMYFUNCTION("""COMPUTED_VALUE"""),"Saffold")</f>
        <v>Saffold</v>
      </c>
      <c r="E8832" t="str">
        <f>IFERROR(__xludf.DUMMYFUNCTION("""COMPUTED_VALUE"""),"Rodger")</f>
        <v>Rodger</v>
      </c>
      <c r="F8832" t="str">
        <f>IFERROR(__xludf.DUMMYFUNCTION("""COMPUTED_VALUE"""),"LG")</f>
        <v>LG</v>
      </c>
      <c r="G8832" t="str">
        <f>IFERROR(__xludf.DUMMYFUNCTION("""COMPUTED_VALUE"""),"")</f>
        <v/>
      </c>
    </row>
    <row r="8833">
      <c r="D8833" t="str">
        <f>IFERROR(__xludf.DUMMYFUNCTION("""COMPUTED_VALUE"""),"Salako")</f>
        <v>Salako</v>
      </c>
      <c r="E8833" t="str">
        <f>IFERROR(__xludf.DUMMYFUNCTION("""COMPUTED_VALUE"""),"Victor")</f>
        <v>Victor</v>
      </c>
      <c r="F8833" t="str">
        <f>IFERROR(__xludf.DUMMYFUNCTION("""COMPUTED_VALUE"""),"LT")</f>
        <v>LT</v>
      </c>
      <c r="G8833" t="str">
        <f>IFERROR(__xludf.DUMMYFUNCTION("""COMPUTED_VALUE"""),"")</f>
        <v/>
      </c>
    </row>
    <row r="8834">
      <c r="D8834" t="str">
        <f>IFERROR(__xludf.DUMMYFUNCTION("""COMPUTED_VALUE"""),"Sam")</f>
        <v>Sam</v>
      </c>
      <c r="E8834" t="str">
        <f>IFERROR(__xludf.DUMMYFUNCTION("""COMPUTED_VALUE"""),"Christian")</f>
        <v>Christian</v>
      </c>
      <c r="F8834" t="str">
        <f>IFERROR(__xludf.DUMMYFUNCTION("""COMPUTED_VALUE"""),"MLB")</f>
        <v>MLB</v>
      </c>
      <c r="G8834" t="str">
        <f>IFERROR(__xludf.DUMMYFUNCTION("""COMPUTED_VALUE"""),"")</f>
        <v/>
      </c>
    </row>
    <row r="8835">
      <c r="D8835" t="str">
        <f>IFERROR(__xludf.DUMMYFUNCTION("""COMPUTED_VALUE"""),"Sambrailo")</f>
        <v>Sambrailo</v>
      </c>
      <c r="E8835" t="str">
        <f>IFERROR(__xludf.DUMMYFUNCTION("""COMPUTED_VALUE"""),"Ty")</f>
        <v>Ty</v>
      </c>
      <c r="F8835" t="str">
        <f>IFERROR(__xludf.DUMMYFUNCTION("""COMPUTED_VALUE"""),"LT")</f>
        <v>LT</v>
      </c>
      <c r="G8835" t="str">
        <f>IFERROR(__xludf.DUMMYFUNCTION("""COMPUTED_VALUE"""),"")</f>
        <v/>
      </c>
    </row>
    <row r="8836">
      <c r="D8836" t="str">
        <f>IFERROR(__xludf.DUMMYFUNCTION("""COMPUTED_VALUE"""),"Samia")</f>
        <v>Samia</v>
      </c>
      <c r="E8836" t="str">
        <f>IFERROR(__xludf.DUMMYFUNCTION("""COMPUTED_VALUE"""),"Dru")</f>
        <v>Dru</v>
      </c>
      <c r="F8836" t="str">
        <f>IFERROR(__xludf.DUMMYFUNCTION("""COMPUTED_VALUE"""),"RG")</f>
        <v>RG</v>
      </c>
      <c r="G8836" t="str">
        <f>IFERROR(__xludf.DUMMYFUNCTION("""COMPUTED_VALUE"""),"")</f>
        <v/>
      </c>
    </row>
    <row r="8837">
      <c r="D8837" t="str">
        <f>IFERROR(__xludf.DUMMYFUNCTION("""COMPUTED_VALUE"""),"Sample")</f>
        <v>Sample</v>
      </c>
      <c r="E8837" t="str">
        <f>IFERROR(__xludf.DUMMYFUNCTION("""COMPUTED_VALUE"""),"Drew")</f>
        <v>Drew</v>
      </c>
      <c r="F8837" t="str">
        <f>IFERROR(__xludf.DUMMYFUNCTION("""COMPUTED_VALUE"""),"TE")</f>
        <v>TE</v>
      </c>
      <c r="G8837" t="str">
        <f>IFERROR(__xludf.DUMMYFUNCTION("""COMPUTED_VALUE"""),"")</f>
        <v/>
      </c>
    </row>
    <row r="8838">
      <c r="D8838" t="str">
        <f>IFERROR(__xludf.DUMMYFUNCTION("""COMPUTED_VALUE"""),"Samuel")</f>
        <v>Samuel</v>
      </c>
      <c r="E8838" t="str">
        <f>IFERROR(__xludf.DUMMYFUNCTION("""COMPUTED_VALUE"""),"Curtis")</f>
        <v>Curtis</v>
      </c>
      <c r="F8838" t="str">
        <f>IFERROR(__xludf.DUMMYFUNCTION("""COMPUTED_VALUE"""),"WR")</f>
        <v>WR</v>
      </c>
      <c r="G8838" t="str">
        <f>IFERROR(__xludf.DUMMYFUNCTION("""COMPUTED_VALUE"""),"")</f>
        <v/>
      </c>
    </row>
    <row r="8839">
      <c r="D8839" t="str">
        <f>IFERROR(__xludf.DUMMYFUNCTION("""COMPUTED_VALUE"""),"Samuel")</f>
        <v>Samuel</v>
      </c>
      <c r="E8839" t="str">
        <f>IFERROR(__xludf.DUMMYFUNCTION("""COMPUTED_VALUE"""),"Deebo")</f>
        <v>Deebo</v>
      </c>
      <c r="F8839" t="str">
        <f>IFERROR(__xludf.DUMMYFUNCTION("""COMPUTED_VALUE"""),"WR")</f>
        <v>WR</v>
      </c>
      <c r="G8839" t="str">
        <f>IFERROR(__xludf.DUMMYFUNCTION("""COMPUTED_VALUE"""),"")</f>
        <v/>
      </c>
    </row>
    <row r="8840">
      <c r="D8840" t="str">
        <f>IFERROR(__xludf.DUMMYFUNCTION("""COMPUTED_VALUE"""),"Samuels")</f>
        <v>Samuels</v>
      </c>
      <c r="E8840" t="str">
        <f>IFERROR(__xludf.DUMMYFUNCTION("""COMPUTED_VALUE"""),"Jaylen")</f>
        <v>Jaylen</v>
      </c>
      <c r="F8840" t="str">
        <f>IFERROR(__xludf.DUMMYFUNCTION("""COMPUTED_VALUE"""),"HB")</f>
        <v>HB</v>
      </c>
      <c r="G8840" t="str">
        <f>IFERROR(__xludf.DUMMYFUNCTION("""COMPUTED_VALUE"""),"")</f>
        <v/>
      </c>
    </row>
    <row r="8841">
      <c r="D8841" t="str">
        <f>IFERROR(__xludf.DUMMYFUNCTION("""COMPUTED_VALUE"""),"Sanchez")</f>
        <v>Sanchez</v>
      </c>
      <c r="E8841" t="str">
        <f>IFERROR(__xludf.DUMMYFUNCTION("""COMPUTED_VALUE"""),"Rigoberto")</f>
        <v>Rigoberto</v>
      </c>
      <c r="F8841" t="str">
        <f>IFERROR(__xludf.DUMMYFUNCTION("""COMPUTED_VALUE"""),"P")</f>
        <v>P</v>
      </c>
      <c r="G8841" t="str">
        <f>IFERROR(__xludf.DUMMYFUNCTION("""COMPUTED_VALUE"""),"")</f>
        <v/>
      </c>
    </row>
    <row r="8842">
      <c r="D8842" t="str">
        <f>IFERROR(__xludf.DUMMYFUNCTION("""COMPUTED_VALUE"""),"Sanders")</f>
        <v>Sanders</v>
      </c>
      <c r="E8842" t="str">
        <f>IFERROR(__xludf.DUMMYFUNCTION("""COMPUTED_VALUE"""),"Emmanuel")</f>
        <v>Emmanuel</v>
      </c>
      <c r="F8842" t="str">
        <f>IFERROR(__xludf.DUMMYFUNCTION("""COMPUTED_VALUE"""),"WR")</f>
        <v>WR</v>
      </c>
      <c r="G8842" t="str">
        <f>IFERROR(__xludf.DUMMYFUNCTION("""COMPUTED_VALUE"""),"")</f>
        <v/>
      </c>
    </row>
    <row r="8843">
      <c r="D8843" t="str">
        <f>IFERROR(__xludf.DUMMYFUNCTION("""COMPUTED_VALUE"""),"Sanders")</f>
        <v>Sanders</v>
      </c>
      <c r="E8843" t="str">
        <f>IFERROR(__xludf.DUMMYFUNCTION("""COMPUTED_VALUE"""),"Jason")</f>
        <v>Jason</v>
      </c>
      <c r="F8843" t="str">
        <f>IFERROR(__xludf.DUMMYFUNCTION("""COMPUTED_VALUE"""),"K")</f>
        <v>K</v>
      </c>
      <c r="G8843" t="str">
        <f>IFERROR(__xludf.DUMMYFUNCTION("""COMPUTED_VALUE"""),"")</f>
        <v/>
      </c>
    </row>
    <row r="8844">
      <c r="D8844" t="str">
        <f>IFERROR(__xludf.DUMMYFUNCTION("""COMPUTED_VALUE"""),"Sanders")</f>
        <v>Sanders</v>
      </c>
      <c r="E8844" t="str">
        <f>IFERROR(__xludf.DUMMYFUNCTION("""COMPUTED_VALUE"""),"Miles")</f>
        <v>Miles</v>
      </c>
      <c r="F8844" t="str">
        <f>IFERROR(__xludf.DUMMYFUNCTION("""COMPUTED_VALUE"""),"HB")</f>
        <v>HB</v>
      </c>
      <c r="G8844" t="str">
        <f>IFERROR(__xludf.DUMMYFUNCTION("""COMPUTED_VALUE"""),"")</f>
        <v/>
      </c>
    </row>
    <row r="8845">
      <c r="D8845" t="str">
        <f>IFERROR(__xludf.DUMMYFUNCTION("""COMPUTED_VALUE"""),"Sankey")</f>
        <v>Sankey</v>
      </c>
      <c r="E8845" t="str">
        <f>IFERROR(__xludf.DUMMYFUNCTION("""COMPUTED_VALUE"""),"Darnell")</f>
        <v>Darnell</v>
      </c>
      <c r="F8845" t="str">
        <f>IFERROR(__xludf.DUMMYFUNCTION("""COMPUTED_VALUE"""),"MLB")</f>
        <v>MLB</v>
      </c>
      <c r="G8845" t="str">
        <f>IFERROR(__xludf.DUMMYFUNCTION("""COMPUTED_VALUE"""),"")</f>
        <v/>
      </c>
    </row>
    <row r="8846">
      <c r="D8846" t="str">
        <f>IFERROR(__xludf.DUMMYFUNCTION("""COMPUTED_VALUE"""),"Sankoh")</f>
        <v>Sankoh</v>
      </c>
      <c r="E8846" t="str">
        <f>IFERROR(__xludf.DUMMYFUNCTION("""COMPUTED_VALUE"""),"Tigie")</f>
        <v>Tigie</v>
      </c>
      <c r="F8846" t="str">
        <f>IFERROR(__xludf.DUMMYFUNCTION("""COMPUTED_VALUE"""),"SS")</f>
        <v>SS</v>
      </c>
      <c r="G8846" t="str">
        <f>IFERROR(__xludf.DUMMYFUNCTION("""COMPUTED_VALUE"""),"")</f>
        <v/>
      </c>
    </row>
    <row r="8847">
      <c r="D8847" t="str">
        <f>IFERROR(__xludf.DUMMYFUNCTION("""COMPUTED_VALUE"""),"Santos")</f>
        <v>Santos</v>
      </c>
      <c r="E8847" t="str">
        <f>IFERROR(__xludf.DUMMYFUNCTION("""COMPUTED_VALUE"""),"Cairo")</f>
        <v>Cairo</v>
      </c>
      <c r="F8847" t="str">
        <f>IFERROR(__xludf.DUMMYFUNCTION("""COMPUTED_VALUE"""),"K")</f>
        <v>K</v>
      </c>
      <c r="G8847" t="str">
        <f>IFERROR(__xludf.DUMMYFUNCTION("""COMPUTED_VALUE"""),"")</f>
        <v/>
      </c>
    </row>
    <row r="8848">
      <c r="D8848" t="str">
        <f>IFERROR(__xludf.DUMMYFUNCTION("""COMPUTED_VALUE"""),"Sanu")</f>
        <v>Sanu</v>
      </c>
      <c r="E8848" t="str">
        <f>IFERROR(__xludf.DUMMYFUNCTION("""COMPUTED_VALUE"""),"Mohamed")</f>
        <v>Mohamed</v>
      </c>
      <c r="F8848" t="str">
        <f>IFERROR(__xludf.DUMMYFUNCTION("""COMPUTED_VALUE"""),"WR")</f>
        <v>WR</v>
      </c>
      <c r="G8848" t="str">
        <f>IFERROR(__xludf.DUMMYFUNCTION("""COMPUTED_VALUE"""),"")</f>
        <v/>
      </c>
    </row>
    <row r="8849">
      <c r="D8849" t="str">
        <f>IFERROR(__xludf.DUMMYFUNCTION("""COMPUTED_VALUE"""),"Saubert")</f>
        <v>Saubert</v>
      </c>
      <c r="E8849" t="str">
        <f>IFERROR(__xludf.DUMMYFUNCTION("""COMPUTED_VALUE"""),"Eric")</f>
        <v>Eric</v>
      </c>
      <c r="F8849" t="str">
        <f>IFERROR(__xludf.DUMMYFUNCTION("""COMPUTED_VALUE"""),"TE")</f>
        <v>TE</v>
      </c>
      <c r="G8849" t="str">
        <f>IFERROR(__xludf.DUMMYFUNCTION("""COMPUTED_VALUE"""),"")</f>
        <v/>
      </c>
    </row>
    <row r="8850">
      <c r="D8850" t="str">
        <f>IFERROR(__xludf.DUMMYFUNCTION("""COMPUTED_VALUE"""),"Saunders")</f>
        <v>Saunders</v>
      </c>
      <c r="E8850" t="str">
        <f>IFERROR(__xludf.DUMMYFUNCTION("""COMPUTED_VALUE"""),"Khalen")</f>
        <v>Khalen</v>
      </c>
      <c r="F8850" t="str">
        <f>IFERROR(__xludf.DUMMYFUNCTION("""COMPUTED_VALUE"""),"DT")</f>
        <v>DT</v>
      </c>
      <c r="G8850" t="str">
        <f>IFERROR(__xludf.DUMMYFUNCTION("""COMPUTED_VALUE"""),"")</f>
        <v/>
      </c>
    </row>
    <row r="8851">
      <c r="D8851" t="str">
        <f>IFERROR(__xludf.DUMMYFUNCTION("""COMPUTED_VALUE"""),"Savage")</f>
        <v>Savage</v>
      </c>
      <c r="E8851" t="str">
        <f>IFERROR(__xludf.DUMMYFUNCTION("""COMPUTED_VALUE"""),"Darnell")</f>
        <v>Darnell</v>
      </c>
      <c r="F8851" t="str">
        <f>IFERROR(__xludf.DUMMYFUNCTION("""COMPUTED_VALUE"""),"FS")</f>
        <v>FS</v>
      </c>
      <c r="G8851" t="str">
        <f>IFERROR(__xludf.DUMMYFUNCTION("""COMPUTED_VALUE"""),"")</f>
        <v/>
      </c>
    </row>
    <row r="8852">
      <c r="D8852" t="str">
        <f>IFERROR(__xludf.DUMMYFUNCTION("""COMPUTED_VALUE"""),"Savage")</f>
        <v>Savage</v>
      </c>
      <c r="E8852" t="str">
        <f>IFERROR(__xludf.DUMMYFUNCTION("""COMPUTED_VALUE"""),"Tom")</f>
        <v>Tom</v>
      </c>
      <c r="F8852" t="str">
        <f>IFERROR(__xludf.DUMMYFUNCTION("""COMPUTED_VALUE"""),"QB")</f>
        <v>QB</v>
      </c>
      <c r="G8852" t="str">
        <f>IFERROR(__xludf.DUMMYFUNCTION("""COMPUTED_VALUE"""),"")</f>
        <v/>
      </c>
    </row>
    <row r="8853">
      <c r="D8853" t="str">
        <f>IFERROR(__xludf.DUMMYFUNCTION("""COMPUTED_VALUE"""),"Sayles")</f>
        <v>Sayles</v>
      </c>
      <c r="E8853" t="str">
        <f>IFERROR(__xludf.DUMMYFUNCTION("""COMPUTED_VALUE"""),"Casey")</f>
        <v>Casey</v>
      </c>
      <c r="F8853" t="str">
        <f>IFERROR(__xludf.DUMMYFUNCTION("""COMPUTED_VALUE"""),"DT")</f>
        <v>DT</v>
      </c>
      <c r="G8853" t="str">
        <f>IFERROR(__xludf.DUMMYFUNCTION("""COMPUTED_VALUE"""),"")</f>
        <v/>
      </c>
    </row>
    <row r="8854">
      <c r="D8854" t="str">
        <f>IFERROR(__xludf.DUMMYFUNCTION("""COMPUTED_VALUE"""),"Scales")</f>
        <v>Scales</v>
      </c>
      <c r="E8854" t="str">
        <f>IFERROR(__xludf.DUMMYFUNCTION("""COMPUTED_VALUE"""),"Patrick")</f>
        <v>Patrick</v>
      </c>
      <c r="F8854" t="str">
        <f>IFERROR(__xludf.DUMMYFUNCTION("""COMPUTED_VALUE"""),"TE")</f>
        <v>TE</v>
      </c>
      <c r="G8854" t="str">
        <f>IFERROR(__xludf.DUMMYFUNCTION("""COMPUTED_VALUE"""),"")</f>
        <v/>
      </c>
    </row>
    <row r="8855">
      <c r="D8855" t="str">
        <f>IFERROR(__xludf.DUMMYFUNCTION("""COMPUTED_VALUE"""),"Scales")</f>
        <v>Scales</v>
      </c>
      <c r="E8855" t="str">
        <f>IFERROR(__xludf.DUMMYFUNCTION("""COMPUTED_VALUE"""),"Tegray")</f>
        <v>Tegray</v>
      </c>
      <c r="F8855" t="str">
        <f>IFERROR(__xludf.DUMMYFUNCTION("""COMPUTED_VALUE"""),"MLB")</f>
        <v>MLB</v>
      </c>
      <c r="G8855" t="str">
        <f>IFERROR(__xludf.DUMMYFUNCTION("""COMPUTED_VALUE"""),"")</f>
        <v/>
      </c>
    </row>
    <row r="8856">
      <c r="D8856" t="str">
        <f>IFERROR(__xludf.DUMMYFUNCTION("""COMPUTED_VALUE"""),"Scarbrough")</f>
        <v>Scarbrough</v>
      </c>
      <c r="E8856" t="str">
        <f>IFERROR(__xludf.DUMMYFUNCTION("""COMPUTED_VALUE"""),"Bo")</f>
        <v>Bo</v>
      </c>
      <c r="F8856" t="str">
        <f>IFERROR(__xludf.DUMMYFUNCTION("""COMPUTED_VALUE"""),"HB")</f>
        <v>HB</v>
      </c>
      <c r="G8856" t="str">
        <f>IFERROR(__xludf.DUMMYFUNCTION("""COMPUTED_VALUE"""),"")</f>
        <v/>
      </c>
    </row>
    <row r="8857">
      <c r="D8857" t="str">
        <f>IFERROR(__xludf.DUMMYFUNCTION("""COMPUTED_VALUE"""),"Scarlett")</f>
        <v>Scarlett</v>
      </c>
      <c r="E8857" t="str">
        <f>IFERROR(__xludf.DUMMYFUNCTION("""COMPUTED_VALUE"""),"Brennan")</f>
        <v>Brennan</v>
      </c>
      <c r="F8857" t="str">
        <f>IFERROR(__xludf.DUMMYFUNCTION("""COMPUTED_VALUE"""),"MLB")</f>
        <v>MLB</v>
      </c>
      <c r="G8857" t="str">
        <f>IFERROR(__xludf.DUMMYFUNCTION("""COMPUTED_VALUE"""),"")</f>
        <v/>
      </c>
    </row>
    <row r="8858">
      <c r="D8858" t="str">
        <f>IFERROR(__xludf.DUMMYFUNCTION("""COMPUTED_VALUE"""),"Scarlett")</f>
        <v>Scarlett</v>
      </c>
      <c r="E8858" t="str">
        <f>IFERROR(__xludf.DUMMYFUNCTION("""COMPUTED_VALUE"""),"Jordan")</f>
        <v>Jordan</v>
      </c>
      <c r="F8858" t="str">
        <f>IFERROR(__xludf.DUMMYFUNCTION("""COMPUTED_VALUE"""),"HB")</f>
        <v>HB</v>
      </c>
      <c r="G8858" t="str">
        <f>IFERROR(__xludf.DUMMYFUNCTION("""COMPUTED_VALUE"""),"")</f>
        <v/>
      </c>
    </row>
    <row r="8859">
      <c r="D8859" t="str">
        <f>IFERROR(__xludf.DUMMYFUNCTION("""COMPUTED_VALUE"""),"Scharping")</f>
        <v>Scharping</v>
      </c>
      <c r="E8859" t="str">
        <f>IFERROR(__xludf.DUMMYFUNCTION("""COMPUTED_VALUE"""),"Max")</f>
        <v>Max</v>
      </c>
      <c r="F8859" t="str">
        <f>IFERROR(__xludf.DUMMYFUNCTION("""COMPUTED_VALUE"""),"LT")</f>
        <v>LT</v>
      </c>
      <c r="G8859" t="str">
        <f>IFERROR(__xludf.DUMMYFUNCTION("""COMPUTED_VALUE"""),"")</f>
        <v/>
      </c>
    </row>
    <row r="8860">
      <c r="D8860" t="str">
        <f>IFERROR(__xludf.DUMMYFUNCTION("""COMPUTED_VALUE"""),"Schaub")</f>
        <v>Schaub</v>
      </c>
      <c r="E8860" t="str">
        <f>IFERROR(__xludf.DUMMYFUNCTION("""COMPUTED_VALUE"""),"Matt")</f>
        <v>Matt</v>
      </c>
      <c r="F8860" t="str">
        <f>IFERROR(__xludf.DUMMYFUNCTION("""COMPUTED_VALUE"""),"QB")</f>
        <v>QB</v>
      </c>
      <c r="G8860" t="str">
        <f>IFERROR(__xludf.DUMMYFUNCTION("""COMPUTED_VALUE"""),"")</f>
        <v/>
      </c>
    </row>
    <row r="8861">
      <c r="D8861" t="str">
        <f>IFERROR(__xludf.DUMMYFUNCTION("""COMPUTED_VALUE"""),"Scherff")</f>
        <v>Scherff</v>
      </c>
      <c r="E8861" t="str">
        <f>IFERROR(__xludf.DUMMYFUNCTION("""COMPUTED_VALUE"""),"Brandon")</f>
        <v>Brandon</v>
      </c>
      <c r="F8861" t="str">
        <f>IFERROR(__xludf.DUMMYFUNCTION("""COMPUTED_VALUE"""),"RG")</f>
        <v>RG</v>
      </c>
      <c r="G8861" t="str">
        <f>IFERROR(__xludf.DUMMYFUNCTION("""COMPUTED_VALUE"""),"")</f>
        <v/>
      </c>
    </row>
    <row r="8862">
      <c r="D8862" t="str">
        <f>IFERROR(__xludf.DUMMYFUNCTION("""COMPUTED_VALUE"""),"Schlottmann")</f>
        <v>Schlottmann</v>
      </c>
      <c r="E8862" t="str">
        <f>IFERROR(__xludf.DUMMYFUNCTION("""COMPUTED_VALUE"""),"Austin")</f>
        <v>Austin</v>
      </c>
      <c r="F8862" t="str">
        <f>IFERROR(__xludf.DUMMYFUNCTION("""COMPUTED_VALUE"""),"LG")</f>
        <v>LG</v>
      </c>
      <c r="G8862" t="str">
        <f>IFERROR(__xludf.DUMMYFUNCTION("""COMPUTED_VALUE"""),"")</f>
        <v/>
      </c>
    </row>
    <row r="8863">
      <c r="D8863" t="str">
        <f>IFERROR(__xludf.DUMMYFUNCTION("""COMPUTED_VALUE"""),"Schobert")</f>
        <v>Schobert</v>
      </c>
      <c r="E8863" t="str">
        <f>IFERROR(__xludf.DUMMYFUNCTION("""COMPUTED_VALUE"""),"Joe")</f>
        <v>Joe</v>
      </c>
      <c r="F8863" t="str">
        <f>IFERROR(__xludf.DUMMYFUNCTION("""COMPUTED_VALUE"""),"MLB")</f>
        <v>MLB</v>
      </c>
      <c r="G8863" t="str">
        <f>IFERROR(__xludf.DUMMYFUNCTION("""COMPUTED_VALUE"""),"")</f>
        <v/>
      </c>
    </row>
    <row r="8864">
      <c r="D8864" t="str">
        <f>IFERROR(__xludf.DUMMYFUNCTION("""COMPUTED_VALUE"""),"Schofield")</f>
        <v>Schofield</v>
      </c>
      <c r="E8864" t="str">
        <f>IFERROR(__xludf.DUMMYFUNCTION("""COMPUTED_VALUE"""),"Michael")</f>
        <v>Michael</v>
      </c>
      <c r="F8864" t="str">
        <f>IFERROR(__xludf.DUMMYFUNCTION("""COMPUTED_VALUE"""),"RG")</f>
        <v>RG</v>
      </c>
      <c r="G8864" t="str">
        <f>IFERROR(__xludf.DUMMYFUNCTION("""COMPUTED_VALUE"""),"")</f>
        <v/>
      </c>
    </row>
    <row r="8865">
      <c r="D8865" t="str">
        <f>IFERROR(__xludf.DUMMYFUNCTION("""COMPUTED_VALUE"""),"Schreck")</f>
        <v>Schreck</v>
      </c>
      <c r="E8865" t="str">
        <f>IFERROR(__xludf.DUMMYFUNCTION("""COMPUTED_VALUE"""),"Mason")</f>
        <v>Mason</v>
      </c>
      <c r="F8865" t="str">
        <f>IFERROR(__xludf.DUMMYFUNCTION("""COMPUTED_VALUE"""),"TE")</f>
        <v>TE</v>
      </c>
      <c r="G8865" t="str">
        <f>IFERROR(__xludf.DUMMYFUNCTION("""COMPUTED_VALUE"""),"")</f>
        <v/>
      </c>
    </row>
    <row r="8866">
      <c r="D8866" t="str">
        <f>IFERROR(__xludf.DUMMYFUNCTION("""COMPUTED_VALUE"""),"Schultz")</f>
        <v>Schultz</v>
      </c>
      <c r="E8866" t="str">
        <f>IFERROR(__xludf.DUMMYFUNCTION("""COMPUTED_VALUE"""),"Dalton")</f>
        <v>Dalton</v>
      </c>
      <c r="F8866" t="str">
        <f>IFERROR(__xludf.DUMMYFUNCTION("""COMPUTED_VALUE"""),"TE")</f>
        <v>TE</v>
      </c>
      <c r="G8866" t="str">
        <f>IFERROR(__xludf.DUMMYFUNCTION("""COMPUTED_VALUE"""),"")</f>
        <v/>
      </c>
    </row>
    <row r="8867">
      <c r="D8867" t="str">
        <f>IFERROR(__xludf.DUMMYFUNCTION("""COMPUTED_VALUE"""),"Schwartz")</f>
        <v>Schwartz</v>
      </c>
      <c r="E8867" t="str">
        <f>IFERROR(__xludf.DUMMYFUNCTION("""COMPUTED_VALUE"""),"Mitchell")</f>
        <v>Mitchell</v>
      </c>
      <c r="F8867" t="str">
        <f>IFERROR(__xludf.DUMMYFUNCTION("""COMPUTED_VALUE"""),"RT")</f>
        <v>RT</v>
      </c>
      <c r="G8867" t="str">
        <f>IFERROR(__xludf.DUMMYFUNCTION("""COMPUTED_VALUE"""),"")</f>
        <v/>
      </c>
    </row>
    <row r="8868">
      <c r="D8868" t="str">
        <f>IFERROR(__xludf.DUMMYFUNCTION("""COMPUTED_VALUE"""),"Schweitzer")</f>
        <v>Schweitzer</v>
      </c>
      <c r="E8868" t="str">
        <f>IFERROR(__xludf.DUMMYFUNCTION("""COMPUTED_VALUE"""),"Wes")</f>
        <v>Wes</v>
      </c>
      <c r="F8868" t="str">
        <f>IFERROR(__xludf.DUMMYFUNCTION("""COMPUTED_VALUE"""),"LG")</f>
        <v>LG</v>
      </c>
      <c r="G8868" t="str">
        <f>IFERROR(__xludf.DUMMYFUNCTION("""COMPUTED_VALUE"""),"")</f>
        <v/>
      </c>
    </row>
    <row r="8869">
      <c r="D8869" t="str">
        <f>IFERROR(__xludf.DUMMYFUNCTION("""COMPUTED_VALUE"""),"Scott")</f>
        <v>Scott</v>
      </c>
      <c r="E8869" t="str">
        <f>IFERROR(__xludf.DUMMYFUNCTION("""COMPUTED_VALUE"""),"Artavis")</f>
        <v>Artavis</v>
      </c>
      <c r="F8869" t="str">
        <f>IFERROR(__xludf.DUMMYFUNCTION("""COMPUTED_VALUE"""),"WR")</f>
        <v>WR</v>
      </c>
      <c r="G8869" t="str">
        <f>IFERROR(__xludf.DUMMYFUNCTION("""COMPUTED_VALUE"""),"")</f>
        <v/>
      </c>
    </row>
    <row r="8870">
      <c r="D8870" t="str">
        <f>IFERROR(__xludf.DUMMYFUNCTION("""COMPUTED_VALUE"""),"Scott")</f>
        <v>Scott</v>
      </c>
      <c r="E8870" t="str">
        <f>IFERROR(__xludf.DUMMYFUNCTION("""COMPUTED_VALUE"""),"Boston")</f>
        <v>Boston</v>
      </c>
      <c r="F8870" t="str">
        <f>IFERROR(__xludf.DUMMYFUNCTION("""COMPUTED_VALUE"""),"HB")</f>
        <v>HB</v>
      </c>
      <c r="G8870" t="str">
        <f>IFERROR(__xludf.DUMMYFUNCTION("""COMPUTED_VALUE"""),"")</f>
        <v/>
      </c>
    </row>
    <row r="8871">
      <c r="D8871" t="str">
        <f>IFERROR(__xludf.DUMMYFUNCTION("""COMPUTED_VALUE"""),"Scott")</f>
        <v>Scott</v>
      </c>
      <c r="E8871" t="str">
        <f>IFERROR(__xludf.DUMMYFUNCTION("""COMPUTED_VALUE"""),"DaMari")</f>
        <v>DaMari</v>
      </c>
      <c r="F8871" t="str">
        <f>IFERROR(__xludf.DUMMYFUNCTION("""COMPUTED_VALUE"""),"WR")</f>
        <v>WR</v>
      </c>
      <c r="G8871" t="str">
        <f>IFERROR(__xludf.DUMMYFUNCTION("""COMPUTED_VALUE"""),"")</f>
        <v/>
      </c>
    </row>
    <row r="8872">
      <c r="D8872" t="str">
        <f>IFERROR(__xludf.DUMMYFUNCTION("""COMPUTED_VALUE"""),"Scott")</f>
        <v>Scott</v>
      </c>
      <c r="E8872" t="str">
        <f>IFERROR(__xludf.DUMMYFUNCTION("""COMPUTED_VALUE"""),"Jaleel")</f>
        <v>Jaleel</v>
      </c>
      <c r="F8872" t="str">
        <f>IFERROR(__xludf.DUMMYFUNCTION("""COMPUTED_VALUE"""),"WR")</f>
        <v>WR</v>
      </c>
      <c r="G8872" t="str">
        <f>IFERROR(__xludf.DUMMYFUNCTION("""COMPUTED_VALUE"""),"")</f>
        <v/>
      </c>
    </row>
    <row r="8873">
      <c r="D8873" t="str">
        <f>IFERROR(__xludf.DUMMYFUNCTION("""COMPUTED_VALUE"""),"Scott")</f>
        <v>Scott</v>
      </c>
      <c r="E8873" t="str">
        <f>IFERROR(__xludf.DUMMYFUNCTION("""COMPUTED_VALUE"""),"JK")</f>
        <v>JK</v>
      </c>
      <c r="F8873" t="str">
        <f>IFERROR(__xludf.DUMMYFUNCTION("""COMPUTED_VALUE"""),"P")</f>
        <v>P</v>
      </c>
      <c r="G8873" t="str">
        <f>IFERROR(__xludf.DUMMYFUNCTION("""COMPUTED_VALUE"""),"")</f>
        <v/>
      </c>
    </row>
    <row r="8874">
      <c r="D8874" t="str">
        <f>IFERROR(__xludf.DUMMYFUNCTION("""COMPUTED_VALUE"""),"Scott")</f>
        <v>Scott</v>
      </c>
      <c r="E8874" t="str">
        <f>IFERROR(__xludf.DUMMYFUNCTION("""COMPUTED_VALUE"""),"Nick")</f>
        <v>Nick</v>
      </c>
      <c r="F8874" t="str">
        <f>IFERROR(__xludf.DUMMYFUNCTION("""COMPUTED_VALUE"""),"SS")</f>
        <v>SS</v>
      </c>
      <c r="G8874" t="str">
        <f>IFERROR(__xludf.DUMMYFUNCTION("""COMPUTED_VALUE"""),"")</f>
        <v/>
      </c>
    </row>
    <row r="8875">
      <c r="D8875" t="str">
        <f>IFERROR(__xludf.DUMMYFUNCTION("""COMPUTED_VALUE"""),"Scott")</f>
        <v>Scott</v>
      </c>
      <c r="E8875" t="str">
        <f>IFERROR(__xludf.DUMMYFUNCTION("""COMPUTED_VALUE"""),"Niles")</f>
        <v>Niles</v>
      </c>
      <c r="F8875" t="str">
        <f>IFERROR(__xludf.DUMMYFUNCTION("""COMPUTED_VALUE"""),"DT")</f>
        <v>DT</v>
      </c>
      <c r="G8875" t="str">
        <f>IFERROR(__xludf.DUMMYFUNCTION("""COMPUTED_VALUE"""),"")</f>
        <v/>
      </c>
    </row>
    <row r="8876">
      <c r="D8876" t="str">
        <f>IFERROR(__xludf.DUMMYFUNCTION("""COMPUTED_VALUE"""),"Scott")</f>
        <v>Scott</v>
      </c>
      <c r="E8876" t="str">
        <f>IFERROR(__xludf.DUMMYFUNCTION("""COMPUTED_VALUE"""),"Trenton")</f>
        <v>Trenton</v>
      </c>
      <c r="F8876" t="str">
        <f>IFERROR(__xludf.DUMMYFUNCTION("""COMPUTED_VALUE"""),"RT")</f>
        <v>RT</v>
      </c>
      <c r="G8876" t="str">
        <f>IFERROR(__xludf.DUMMYFUNCTION("""COMPUTED_VALUE"""),"")</f>
        <v/>
      </c>
    </row>
    <row r="8877">
      <c r="D8877" t="str">
        <f>IFERROR(__xludf.DUMMYFUNCTION("""COMPUTED_VALUE"""),"Seals-Jones")</f>
        <v>Seals-Jones</v>
      </c>
      <c r="E8877" t="str">
        <f>IFERROR(__xludf.DUMMYFUNCTION("""COMPUTED_VALUE"""),"Ricky")</f>
        <v>Ricky</v>
      </c>
      <c r="F8877" t="str">
        <f>IFERROR(__xludf.DUMMYFUNCTION("""COMPUTED_VALUE"""),"TE")</f>
        <v>TE</v>
      </c>
      <c r="G8877" t="str">
        <f>IFERROR(__xludf.DUMMYFUNCTION("""COMPUTED_VALUE"""),"")</f>
        <v/>
      </c>
    </row>
    <row r="8878">
      <c r="D8878" t="str">
        <f>IFERROR(__xludf.DUMMYFUNCTION("""COMPUTED_VALUE"""),"Seaton")</f>
        <v>Seaton</v>
      </c>
      <c r="E8878" t="str">
        <f>IFERROR(__xludf.DUMMYFUNCTION("""COMPUTED_VALUE"""),"Brad")</f>
        <v>Brad</v>
      </c>
      <c r="F8878" t="str">
        <f>IFERROR(__xludf.DUMMYFUNCTION("""COMPUTED_VALUE"""),"RT")</f>
        <v>RT</v>
      </c>
      <c r="G8878" t="str">
        <f>IFERROR(__xludf.DUMMYFUNCTION("""COMPUTED_VALUE"""),"")</f>
        <v/>
      </c>
    </row>
    <row r="8879">
      <c r="D8879" t="str">
        <f>IFERROR(__xludf.DUMMYFUNCTION("""COMPUTED_VALUE"""),"Seibert")</f>
        <v>Seibert</v>
      </c>
      <c r="E8879" t="str">
        <f>IFERROR(__xludf.DUMMYFUNCTION("""COMPUTED_VALUE"""),"Austin")</f>
        <v>Austin</v>
      </c>
      <c r="F8879" t="str">
        <f>IFERROR(__xludf.DUMMYFUNCTION("""COMPUTED_VALUE"""),"K")</f>
        <v>K</v>
      </c>
      <c r="G8879" t="str">
        <f>IFERROR(__xludf.DUMMYFUNCTION("""COMPUTED_VALUE"""),"")</f>
        <v/>
      </c>
    </row>
    <row r="8880">
      <c r="D8880" t="str">
        <f>IFERROR(__xludf.DUMMYFUNCTION("""COMPUTED_VALUE"""),"Senat")</f>
        <v>Senat</v>
      </c>
      <c r="E8880" t="str">
        <f>IFERROR(__xludf.DUMMYFUNCTION("""COMPUTED_VALUE"""),"Deadrin")</f>
        <v>Deadrin</v>
      </c>
      <c r="F8880" t="str">
        <f>IFERROR(__xludf.DUMMYFUNCTION("""COMPUTED_VALUE"""),"DT")</f>
        <v>DT</v>
      </c>
      <c r="G8880" t="str">
        <f>IFERROR(__xludf.DUMMYFUNCTION("""COMPUTED_VALUE"""),"")</f>
        <v/>
      </c>
    </row>
    <row r="8881">
      <c r="D8881" t="str">
        <f>IFERROR(__xludf.DUMMYFUNCTION("""COMPUTED_VALUE"""),"Senat")</f>
        <v>Senat</v>
      </c>
      <c r="E8881" t="str">
        <f>IFERROR(__xludf.DUMMYFUNCTION("""COMPUTED_VALUE"""),"Greg")</f>
        <v>Greg</v>
      </c>
      <c r="F8881" t="str">
        <f>IFERROR(__xludf.DUMMYFUNCTION("""COMPUTED_VALUE"""),"LT")</f>
        <v>LT</v>
      </c>
      <c r="G8881" t="str">
        <f>IFERROR(__xludf.DUMMYFUNCTION("""COMPUTED_VALUE"""),"")</f>
        <v/>
      </c>
    </row>
    <row r="8882">
      <c r="D8882" t="str">
        <f>IFERROR(__xludf.DUMMYFUNCTION("""COMPUTED_VALUE"""),"Sendejo")</f>
        <v>Sendejo</v>
      </c>
      <c r="E8882" t="str">
        <f>IFERROR(__xludf.DUMMYFUNCTION("""COMPUTED_VALUE"""),"Andrew")</f>
        <v>Andrew</v>
      </c>
      <c r="F8882" t="str">
        <f>IFERROR(__xludf.DUMMYFUNCTION("""COMPUTED_VALUE"""),"FS")</f>
        <v>FS</v>
      </c>
      <c r="G8882" t="str">
        <f>IFERROR(__xludf.DUMMYFUNCTION("""COMPUTED_VALUE"""),"")</f>
        <v/>
      </c>
    </row>
    <row r="8883">
      <c r="D8883" t="str">
        <f>IFERROR(__xludf.DUMMYFUNCTION("""COMPUTED_VALUE"""),"Senior")</f>
        <v>Senior</v>
      </c>
      <c r="E8883" t="str">
        <f>IFERROR(__xludf.DUMMYFUNCTION("""COMPUTED_VALUE"""),"Justin")</f>
        <v>Justin</v>
      </c>
      <c r="F8883" t="str">
        <f>IFERROR(__xludf.DUMMYFUNCTION("""COMPUTED_VALUE"""),"LT")</f>
        <v>LT</v>
      </c>
      <c r="G8883" t="str">
        <f>IFERROR(__xludf.DUMMYFUNCTION("""COMPUTED_VALUE"""),"")</f>
        <v/>
      </c>
    </row>
    <row r="8884">
      <c r="D8884" t="str">
        <f>IFERROR(__xludf.DUMMYFUNCTION("""COMPUTED_VALUE"""),"Settle")</f>
        <v>Settle</v>
      </c>
      <c r="E8884" t="str">
        <f>IFERROR(__xludf.DUMMYFUNCTION("""COMPUTED_VALUE"""),"Tim")</f>
        <v>Tim</v>
      </c>
      <c r="F8884" t="str">
        <f>IFERROR(__xludf.DUMMYFUNCTION("""COMPUTED_VALUE"""),"DT")</f>
        <v>DT</v>
      </c>
      <c r="G8884" t="str">
        <f>IFERROR(__xludf.DUMMYFUNCTION("""COMPUTED_VALUE"""),"")</f>
        <v/>
      </c>
    </row>
    <row r="8885">
      <c r="D8885" t="str">
        <f>IFERROR(__xludf.DUMMYFUNCTION("""COMPUTED_VALUE"""),"Seumalo")</f>
        <v>Seumalo</v>
      </c>
      <c r="E8885" t="str">
        <f>IFERROR(__xludf.DUMMYFUNCTION("""COMPUTED_VALUE"""),"Isaac")</f>
        <v>Isaac</v>
      </c>
      <c r="F8885" t="str">
        <f>IFERROR(__xludf.DUMMYFUNCTION("""COMPUTED_VALUE"""),"LG")</f>
        <v>LG</v>
      </c>
      <c r="G8885" t="str">
        <f>IFERROR(__xludf.DUMMYFUNCTION("""COMPUTED_VALUE"""),"")</f>
        <v/>
      </c>
    </row>
    <row r="8886">
      <c r="D8886" t="str">
        <f>IFERROR(__xludf.DUMMYFUNCTION("""COMPUTED_VALUE"""),"Seymour")</f>
        <v>Seymour</v>
      </c>
      <c r="E8886" t="str">
        <f>IFERROR(__xludf.DUMMYFUNCTION("""COMPUTED_VALUE"""),"Kevon")</f>
        <v>Kevon</v>
      </c>
      <c r="F8886" t="str">
        <f>IFERROR(__xludf.DUMMYFUNCTION("""COMPUTED_VALUE"""),"CB")</f>
        <v>CB</v>
      </c>
      <c r="G8886" t="str">
        <f>IFERROR(__xludf.DUMMYFUNCTION("""COMPUTED_VALUE"""),"")</f>
        <v/>
      </c>
    </row>
    <row r="8887">
      <c r="D8887" t="str">
        <f>IFERROR(__xludf.DUMMYFUNCTION("""COMPUTED_VALUE"""),"Shaheen")</f>
        <v>Shaheen</v>
      </c>
      <c r="E8887" t="str">
        <f>IFERROR(__xludf.DUMMYFUNCTION("""COMPUTED_VALUE"""),"Adam")</f>
        <v>Adam</v>
      </c>
      <c r="F8887" t="str">
        <f>IFERROR(__xludf.DUMMYFUNCTION("""COMPUTED_VALUE"""),"TE")</f>
        <v>TE</v>
      </c>
      <c r="G8887" t="str">
        <f>IFERROR(__xludf.DUMMYFUNCTION("""COMPUTED_VALUE"""),"")</f>
        <v/>
      </c>
    </row>
    <row r="8888">
      <c r="D8888" t="str">
        <f>IFERROR(__xludf.DUMMYFUNCTION("""COMPUTED_VALUE"""),"Shakir")</f>
        <v>Shakir</v>
      </c>
      <c r="E8888" t="str">
        <f>IFERROR(__xludf.DUMMYFUNCTION("""COMPUTED_VALUE"""),"Maurquice")</f>
        <v>Maurquice</v>
      </c>
      <c r="F8888" t="str">
        <f>IFERROR(__xludf.DUMMYFUNCTION("""COMPUTED_VALUE"""),"C")</f>
        <v>C</v>
      </c>
      <c r="G8888" t="str">
        <f>IFERROR(__xludf.DUMMYFUNCTION("""COMPUTED_VALUE"""),"")</f>
        <v/>
      </c>
    </row>
    <row r="8889">
      <c r="D8889" t="str">
        <f>IFERROR(__xludf.DUMMYFUNCTION("""COMPUTED_VALUE"""),"Sharpe")</f>
        <v>Sharpe</v>
      </c>
      <c r="E8889" t="str">
        <f>IFERROR(__xludf.DUMMYFUNCTION("""COMPUTED_VALUE"""),"David")</f>
        <v>David</v>
      </c>
      <c r="F8889" t="str">
        <f>IFERROR(__xludf.DUMMYFUNCTION("""COMPUTED_VALUE"""),"LT")</f>
        <v>LT</v>
      </c>
      <c r="G8889" t="str">
        <f>IFERROR(__xludf.DUMMYFUNCTION("""COMPUTED_VALUE"""),"")</f>
        <v/>
      </c>
    </row>
    <row r="8890">
      <c r="D8890" t="str">
        <f>IFERROR(__xludf.DUMMYFUNCTION("""COMPUTED_VALUE"""),"Sharpe")</f>
        <v>Sharpe</v>
      </c>
      <c r="E8890" t="str">
        <f>IFERROR(__xludf.DUMMYFUNCTION("""COMPUTED_VALUE"""),"Tajae")</f>
        <v>Tajae</v>
      </c>
      <c r="F8890" t="str">
        <f>IFERROR(__xludf.DUMMYFUNCTION("""COMPUTED_VALUE"""),"WR")</f>
        <v>WR</v>
      </c>
      <c r="G8890" t="str">
        <f>IFERROR(__xludf.DUMMYFUNCTION("""COMPUTED_VALUE"""),"")</f>
        <v/>
      </c>
    </row>
    <row r="8891">
      <c r="D8891" t="str">
        <f>IFERROR(__xludf.DUMMYFUNCTION("""COMPUTED_VALUE"""),"Shatley")</f>
        <v>Shatley</v>
      </c>
      <c r="E8891" t="str">
        <f>IFERROR(__xludf.DUMMYFUNCTION("""COMPUTED_VALUE"""),"Tyler")</f>
        <v>Tyler</v>
      </c>
      <c r="F8891" t="str">
        <f>IFERROR(__xludf.DUMMYFUNCTION("""COMPUTED_VALUE"""),"C")</f>
        <v>C</v>
      </c>
      <c r="G8891" t="str">
        <f>IFERROR(__xludf.DUMMYFUNCTION("""COMPUTED_VALUE"""),"")</f>
        <v/>
      </c>
    </row>
    <row r="8892">
      <c r="D8892" t="str">
        <f>IFERROR(__xludf.DUMMYFUNCTION("""COMPUTED_VALUE"""),"Shaw")</f>
        <v>Shaw</v>
      </c>
      <c r="E8892" t="str">
        <f>IFERROR(__xludf.DUMMYFUNCTION("""COMPUTED_VALUE"""),"Josh")</f>
        <v>Josh</v>
      </c>
      <c r="F8892" t="str">
        <f>IFERROR(__xludf.DUMMYFUNCTION("""COMPUTED_VALUE"""),"FS")</f>
        <v>FS</v>
      </c>
      <c r="G8892" t="str">
        <f>IFERROR(__xludf.DUMMYFUNCTION("""COMPUTED_VALUE"""),"")</f>
        <v/>
      </c>
    </row>
    <row r="8893">
      <c r="D8893" t="str">
        <f>IFERROR(__xludf.DUMMYFUNCTION("""COMPUTED_VALUE"""),"Shazier")</f>
        <v>Shazier</v>
      </c>
      <c r="E8893" t="str">
        <f>IFERROR(__xludf.DUMMYFUNCTION("""COMPUTED_VALUE"""),"Ryan")</f>
        <v>Ryan</v>
      </c>
      <c r="F8893" t="str">
        <f>IFERROR(__xludf.DUMMYFUNCTION("""COMPUTED_VALUE"""),"MLB")</f>
        <v>MLB</v>
      </c>
      <c r="G8893" t="str">
        <f>IFERROR(__xludf.DUMMYFUNCTION("""COMPUTED_VALUE"""),"")</f>
        <v/>
      </c>
    </row>
    <row r="8894">
      <c r="D8894" t="str">
        <f>IFERROR(__xludf.DUMMYFUNCTION("""COMPUTED_VALUE"""),"Sheard")</f>
        <v>Sheard</v>
      </c>
      <c r="E8894" t="str">
        <f>IFERROR(__xludf.DUMMYFUNCTION("""COMPUTED_VALUE"""),"Jabaal")</f>
        <v>Jabaal</v>
      </c>
      <c r="F8894" t="str">
        <f>IFERROR(__xludf.DUMMYFUNCTION("""COMPUTED_VALUE"""),"LE")</f>
        <v>LE</v>
      </c>
      <c r="G8894" t="str">
        <f>IFERROR(__xludf.DUMMYFUNCTION("""COMPUTED_VALUE"""),"")</f>
        <v/>
      </c>
    </row>
    <row r="8895">
      <c r="D8895" t="str">
        <f>IFERROR(__xludf.DUMMYFUNCTION("""COMPUTED_VALUE"""),"Sheehy")</f>
        <v>Sheehy</v>
      </c>
      <c r="E8895" t="str">
        <f>IFERROR(__xludf.DUMMYFUNCTION("""COMPUTED_VALUE"""),"Conor")</f>
        <v>Conor</v>
      </c>
      <c r="F8895" t="str">
        <f>IFERROR(__xludf.DUMMYFUNCTION("""COMPUTED_VALUE"""),"RE")</f>
        <v>RE</v>
      </c>
      <c r="G8895" t="str">
        <f>IFERROR(__xludf.DUMMYFUNCTION("""COMPUTED_VALUE"""),"")</f>
        <v/>
      </c>
    </row>
    <row r="8896">
      <c r="D8896" t="str">
        <f>IFERROR(__xludf.DUMMYFUNCTION("""COMPUTED_VALUE"""),"Sheffield")</f>
        <v>Sheffield</v>
      </c>
      <c r="E8896" t="str">
        <f>IFERROR(__xludf.DUMMYFUNCTION("""COMPUTED_VALUE"""),"Kendall")</f>
        <v>Kendall</v>
      </c>
      <c r="F8896" t="str">
        <f>IFERROR(__xludf.DUMMYFUNCTION("""COMPUTED_VALUE"""),"CB")</f>
        <v>CB</v>
      </c>
      <c r="G8896" t="str">
        <f>IFERROR(__xludf.DUMMYFUNCTION("""COMPUTED_VALUE"""),"")</f>
        <v/>
      </c>
    </row>
    <row r="8897">
      <c r="D8897" t="str">
        <f>IFERROR(__xludf.DUMMYFUNCTION("""COMPUTED_VALUE"""),"Shell")</f>
        <v>Shell</v>
      </c>
      <c r="E8897" t="str">
        <f>IFERROR(__xludf.DUMMYFUNCTION("""COMPUTED_VALUE"""),"Brandon")</f>
        <v>Brandon</v>
      </c>
      <c r="F8897" t="str">
        <f>IFERROR(__xludf.DUMMYFUNCTION("""COMPUTED_VALUE"""),"RT")</f>
        <v>RT</v>
      </c>
      <c r="G8897" t="str">
        <f>IFERROR(__xludf.DUMMYFUNCTION("""COMPUTED_VALUE"""),"")</f>
        <v/>
      </c>
    </row>
    <row r="8898">
      <c r="D8898" t="str">
        <f>IFERROR(__xludf.DUMMYFUNCTION("""COMPUTED_VALUE"""),"Shelley")</f>
        <v>Shelley</v>
      </c>
      <c r="E8898" t="str">
        <f>IFERROR(__xludf.DUMMYFUNCTION("""COMPUTED_VALUE"""),"Duke")</f>
        <v>Duke</v>
      </c>
      <c r="F8898" t="str">
        <f>IFERROR(__xludf.DUMMYFUNCTION("""COMPUTED_VALUE"""),"CB")</f>
        <v>CB</v>
      </c>
      <c r="G8898" t="str">
        <f>IFERROR(__xludf.DUMMYFUNCTION("""COMPUTED_VALUE"""),"")</f>
        <v/>
      </c>
    </row>
    <row r="8899">
      <c r="D8899" t="str">
        <f>IFERROR(__xludf.DUMMYFUNCTION("""COMPUTED_VALUE"""),"Shelton")</f>
        <v>Shelton</v>
      </c>
      <c r="E8899" t="str">
        <f>IFERROR(__xludf.DUMMYFUNCTION("""COMPUTED_VALUE"""),"Danny")</f>
        <v>Danny</v>
      </c>
      <c r="F8899" t="str">
        <f>IFERROR(__xludf.DUMMYFUNCTION("""COMPUTED_VALUE"""),"DT")</f>
        <v>DT</v>
      </c>
      <c r="G8899" t="str">
        <f>IFERROR(__xludf.DUMMYFUNCTION("""COMPUTED_VALUE"""),"")</f>
        <v/>
      </c>
    </row>
    <row r="8900">
      <c r="D8900" t="str">
        <f>IFERROR(__xludf.DUMMYFUNCTION("""COMPUTED_VALUE"""),"Shepard")</f>
        <v>Shepard</v>
      </c>
      <c r="E8900" t="str">
        <f>IFERROR(__xludf.DUMMYFUNCTION("""COMPUTED_VALUE"""),"Russell")</f>
        <v>Russell</v>
      </c>
      <c r="F8900" t="str">
        <f>IFERROR(__xludf.DUMMYFUNCTION("""COMPUTED_VALUE"""),"WR")</f>
        <v>WR</v>
      </c>
      <c r="G8900" t="str">
        <f>IFERROR(__xludf.DUMMYFUNCTION("""COMPUTED_VALUE"""),"")</f>
        <v/>
      </c>
    </row>
    <row r="8901">
      <c r="D8901" t="str">
        <f>IFERROR(__xludf.DUMMYFUNCTION("""COMPUTED_VALUE"""),"Shepard")</f>
        <v>Shepard</v>
      </c>
      <c r="E8901" t="str">
        <f>IFERROR(__xludf.DUMMYFUNCTION("""COMPUTED_VALUE"""),"Sterling")</f>
        <v>Sterling</v>
      </c>
      <c r="F8901" t="str">
        <f>IFERROR(__xludf.DUMMYFUNCTION("""COMPUTED_VALUE"""),"WR")</f>
        <v>WR</v>
      </c>
      <c r="G8901" t="str">
        <f>IFERROR(__xludf.DUMMYFUNCTION("""COMPUTED_VALUE"""),"")</f>
        <v/>
      </c>
    </row>
    <row r="8902">
      <c r="D8902" t="str">
        <f>IFERROR(__xludf.DUMMYFUNCTION("""COMPUTED_VALUE"""),"Shepherd")</f>
        <v>Shepherd</v>
      </c>
      <c r="E8902" t="str">
        <f>IFERROR(__xludf.DUMMYFUNCTION("""COMPUTED_VALUE"""),"Nathan")</f>
        <v>Nathan</v>
      </c>
      <c r="F8902" t="str">
        <f>IFERROR(__xludf.DUMMYFUNCTION("""COMPUTED_VALUE"""),"LE")</f>
        <v>LE</v>
      </c>
      <c r="G8902" t="str">
        <f>IFERROR(__xludf.DUMMYFUNCTION("""COMPUTED_VALUE"""),"")</f>
        <v/>
      </c>
    </row>
    <row r="8903">
      <c r="D8903" t="str">
        <f>IFERROR(__xludf.DUMMYFUNCTION("""COMPUTED_VALUE"""),"Sherels")</f>
        <v>Sherels</v>
      </c>
      <c r="E8903" t="str">
        <f>IFERROR(__xludf.DUMMYFUNCTION("""COMPUTED_VALUE"""),"Marcus")</f>
        <v>Marcus</v>
      </c>
      <c r="F8903" t="str">
        <f>IFERROR(__xludf.DUMMYFUNCTION("""COMPUTED_VALUE"""),"CB")</f>
        <v>CB</v>
      </c>
      <c r="G8903" t="str">
        <f>IFERROR(__xludf.DUMMYFUNCTION("""COMPUTED_VALUE"""),"")</f>
        <v/>
      </c>
    </row>
    <row r="8904">
      <c r="D8904" t="str">
        <f>IFERROR(__xludf.DUMMYFUNCTION("""COMPUTED_VALUE"""),"Sherfield")</f>
        <v>Sherfield</v>
      </c>
      <c r="E8904" t="str">
        <f>IFERROR(__xludf.DUMMYFUNCTION("""COMPUTED_VALUE"""),"Trent")</f>
        <v>Trent</v>
      </c>
      <c r="F8904" t="str">
        <f>IFERROR(__xludf.DUMMYFUNCTION("""COMPUTED_VALUE"""),"WR")</f>
        <v>WR</v>
      </c>
      <c r="G8904" t="str">
        <f>IFERROR(__xludf.DUMMYFUNCTION("""COMPUTED_VALUE"""),"")</f>
        <v/>
      </c>
    </row>
    <row r="8905">
      <c r="D8905" t="str">
        <f>IFERROR(__xludf.DUMMYFUNCTION("""COMPUTED_VALUE"""),"Sherman")</f>
        <v>Sherman</v>
      </c>
      <c r="E8905" t="str">
        <f>IFERROR(__xludf.DUMMYFUNCTION("""COMPUTED_VALUE"""),"Anthony")</f>
        <v>Anthony</v>
      </c>
      <c r="F8905" t="str">
        <f>IFERROR(__xludf.DUMMYFUNCTION("""COMPUTED_VALUE"""),"FB")</f>
        <v>FB</v>
      </c>
      <c r="G8905" t="str">
        <f>IFERROR(__xludf.DUMMYFUNCTION("""COMPUTED_VALUE"""),"")</f>
        <v/>
      </c>
    </row>
    <row r="8906">
      <c r="D8906" t="str">
        <f>IFERROR(__xludf.DUMMYFUNCTION("""COMPUTED_VALUE"""),"Sherman")</f>
        <v>Sherman</v>
      </c>
      <c r="E8906" t="str">
        <f>IFERROR(__xludf.DUMMYFUNCTION("""COMPUTED_VALUE"""),"Richard")</f>
        <v>Richard</v>
      </c>
      <c r="F8906" t="str">
        <f>IFERROR(__xludf.DUMMYFUNCTION("""COMPUTED_VALUE"""),"CB")</f>
        <v>CB</v>
      </c>
      <c r="G8906" t="str">
        <f>IFERROR(__xludf.DUMMYFUNCTION("""COMPUTED_VALUE"""),"")</f>
        <v/>
      </c>
    </row>
    <row r="8907">
      <c r="D8907" t="str">
        <f>IFERROR(__xludf.DUMMYFUNCTION("""COMPUTED_VALUE"""),"Shipley")</f>
        <v>Shipley</v>
      </c>
      <c r="E8907" t="str">
        <f>IFERROR(__xludf.DUMMYFUNCTION("""COMPUTED_VALUE"""),"AQ")</f>
        <v>AQ</v>
      </c>
      <c r="F8907" t="str">
        <f>IFERROR(__xludf.DUMMYFUNCTION("""COMPUTED_VALUE"""),"C")</f>
        <v>C</v>
      </c>
      <c r="G8907" t="str">
        <f>IFERROR(__xludf.DUMMYFUNCTION("""COMPUTED_VALUE"""),"")</f>
        <v/>
      </c>
    </row>
    <row r="8908">
      <c r="D8908" t="str">
        <f>IFERROR(__xludf.DUMMYFUNCTION("""COMPUTED_VALUE"""),"Short")</f>
        <v>Short</v>
      </c>
      <c r="E8908" t="str">
        <f>IFERROR(__xludf.DUMMYFUNCTION("""COMPUTED_VALUE"""),"Kawann")</f>
        <v>Kawann</v>
      </c>
      <c r="F8908" t="str">
        <f>IFERROR(__xludf.DUMMYFUNCTION("""COMPUTED_VALUE"""),"LE")</f>
        <v>LE</v>
      </c>
      <c r="G8908" t="str">
        <f>IFERROR(__xludf.DUMMYFUNCTION("""COMPUTED_VALUE"""),"")</f>
        <v/>
      </c>
    </row>
    <row r="8909">
      <c r="D8909" t="str">
        <f>IFERROR(__xludf.DUMMYFUNCTION("""COMPUTED_VALUE"""),"Showers")</f>
        <v>Showers</v>
      </c>
      <c r="E8909" t="str">
        <f>IFERROR(__xludf.DUMMYFUNCTION("""COMPUTED_VALUE"""),"Jameill")</f>
        <v>Jameill</v>
      </c>
      <c r="F8909" t="str">
        <f>IFERROR(__xludf.DUMMYFUNCTION("""COMPUTED_VALUE"""),"SS")</f>
        <v>SS</v>
      </c>
      <c r="G8909" t="str">
        <f>IFERROR(__xludf.DUMMYFUNCTION("""COMPUTED_VALUE"""),"")</f>
        <v/>
      </c>
    </row>
    <row r="8910">
      <c r="D8910" t="str">
        <f>IFERROR(__xludf.DUMMYFUNCTION("""COMPUTED_VALUE"""),"Shurmur")</f>
        <v>Shurmur</v>
      </c>
      <c r="E8910" t="str">
        <f>IFERROR(__xludf.DUMMYFUNCTION("""COMPUTED_VALUE"""),"Kyle")</f>
        <v>Kyle</v>
      </c>
      <c r="F8910" t="str">
        <f>IFERROR(__xludf.DUMMYFUNCTION("""COMPUTED_VALUE"""),"QB")</f>
        <v>QB</v>
      </c>
      <c r="G8910" t="str">
        <f>IFERROR(__xludf.DUMMYFUNCTION("""COMPUTED_VALUE"""),"")</f>
        <v/>
      </c>
    </row>
    <row r="8911">
      <c r="D8911" t="str">
        <f>IFERROR(__xludf.DUMMYFUNCTION("""COMPUTED_VALUE"""),"Sieler")</f>
        <v>Sieler</v>
      </c>
      <c r="E8911" t="str">
        <f>IFERROR(__xludf.DUMMYFUNCTION("""COMPUTED_VALUE"""),"Zach")</f>
        <v>Zach</v>
      </c>
      <c r="F8911" t="str">
        <f>IFERROR(__xludf.DUMMYFUNCTION("""COMPUTED_VALUE"""),"LE")</f>
        <v>LE</v>
      </c>
      <c r="G8911" t="str">
        <f>IFERROR(__xludf.DUMMYFUNCTION("""COMPUTED_VALUE"""),"")</f>
        <v/>
      </c>
    </row>
    <row r="8912">
      <c r="D8912" t="str">
        <f>IFERROR(__xludf.DUMMYFUNCTION("""COMPUTED_VALUE"""),"Siemian")</f>
        <v>Siemian</v>
      </c>
      <c r="E8912" t="str">
        <f>IFERROR(__xludf.DUMMYFUNCTION("""COMPUTED_VALUE"""),"Trevor")</f>
        <v>Trevor</v>
      </c>
      <c r="F8912" t="str">
        <f>IFERROR(__xludf.DUMMYFUNCTION("""COMPUTED_VALUE"""),"QB")</f>
        <v>QB</v>
      </c>
      <c r="G8912" t="str">
        <f>IFERROR(__xludf.DUMMYFUNCTION("""COMPUTED_VALUE"""),"")</f>
        <v/>
      </c>
    </row>
    <row r="8913">
      <c r="D8913" t="str">
        <f>IFERROR(__xludf.DUMMYFUNCTION("""COMPUTED_VALUE"""),"Silberman")</f>
        <v>Silberman</v>
      </c>
      <c r="E8913" t="str">
        <f>IFERROR(__xludf.DUMMYFUNCTION("""COMPUTED_VALUE"""),"Ian")</f>
        <v>Ian</v>
      </c>
      <c r="F8913" t="str">
        <f>IFERROR(__xludf.DUMMYFUNCTION("""COMPUTED_VALUE"""),"RT")</f>
        <v>RT</v>
      </c>
      <c r="G8913" t="str">
        <f>IFERROR(__xludf.DUMMYFUNCTION("""COMPUTED_VALUE"""),"")</f>
        <v/>
      </c>
    </row>
    <row r="8914">
      <c r="D8914" t="str">
        <f>IFERROR(__xludf.DUMMYFUNCTION("""COMPUTED_VALUE"""),"Sills")</f>
        <v>Sills</v>
      </c>
      <c r="E8914" t="str">
        <f>IFERROR(__xludf.DUMMYFUNCTION("""COMPUTED_VALUE"""),"David")</f>
        <v>David</v>
      </c>
      <c r="F8914" t="str">
        <f>IFERROR(__xludf.DUMMYFUNCTION("""COMPUTED_VALUE"""),"WR")</f>
        <v>WR</v>
      </c>
      <c r="G8914" t="str">
        <f>IFERROR(__xludf.DUMMYFUNCTION("""COMPUTED_VALUE"""),"")</f>
        <v/>
      </c>
    </row>
    <row r="8915">
      <c r="D8915" t="str">
        <f>IFERROR(__xludf.DUMMYFUNCTION("""COMPUTED_VALUE"""),"Simmons")</f>
        <v>Simmons</v>
      </c>
      <c r="E8915" t="str">
        <f>IFERROR(__xludf.DUMMYFUNCTION("""COMPUTED_VALUE"""),"Jeffery")</f>
        <v>Jeffery</v>
      </c>
      <c r="F8915" t="str">
        <f>IFERROR(__xludf.DUMMYFUNCTION("""COMPUTED_VALUE"""),"LE")</f>
        <v>LE</v>
      </c>
      <c r="G8915" t="str">
        <f>IFERROR(__xludf.DUMMYFUNCTION("""COMPUTED_VALUE"""),"")</f>
        <v/>
      </c>
    </row>
    <row r="8916">
      <c r="D8916" t="str">
        <f>IFERROR(__xludf.DUMMYFUNCTION("""COMPUTED_VALUE"""),"Simmons")</f>
        <v>Simmons</v>
      </c>
      <c r="E8916" t="str">
        <f>IFERROR(__xludf.DUMMYFUNCTION("""COMPUTED_VALUE"""),"Jordan")</f>
        <v>Jordan</v>
      </c>
      <c r="F8916" t="str">
        <f>IFERROR(__xludf.DUMMYFUNCTION("""COMPUTED_VALUE"""),"RG")</f>
        <v>RG</v>
      </c>
      <c r="G8916" t="str">
        <f>IFERROR(__xludf.DUMMYFUNCTION("""COMPUTED_VALUE"""),"")</f>
        <v/>
      </c>
    </row>
    <row r="8917">
      <c r="D8917" t="str">
        <f>IFERROR(__xludf.DUMMYFUNCTION("""COMPUTED_VALUE"""),"Simmons")</f>
        <v>Simmons</v>
      </c>
      <c r="E8917" t="str">
        <f>IFERROR(__xludf.DUMMYFUNCTION("""COMPUTED_VALUE"""),"Justin")</f>
        <v>Justin</v>
      </c>
      <c r="F8917" t="str">
        <f>IFERROR(__xludf.DUMMYFUNCTION("""COMPUTED_VALUE"""),"FS")</f>
        <v>FS</v>
      </c>
      <c r="G8917" t="str">
        <f>IFERROR(__xludf.DUMMYFUNCTION("""COMPUTED_VALUE"""),"")</f>
        <v/>
      </c>
    </row>
    <row r="8918">
      <c r="D8918" t="str">
        <f>IFERROR(__xludf.DUMMYFUNCTION("""COMPUTED_VALUE"""),"Simon")</f>
        <v>Simon</v>
      </c>
      <c r="E8918" t="str">
        <f>IFERROR(__xludf.DUMMYFUNCTION("""COMPUTED_VALUE"""),"Deon")</f>
        <v>Deon</v>
      </c>
      <c r="F8918" t="str">
        <f>IFERROR(__xludf.DUMMYFUNCTION("""COMPUTED_VALUE"""),"DT")</f>
        <v>DT</v>
      </c>
      <c r="G8918" t="str">
        <f>IFERROR(__xludf.DUMMYFUNCTION("""COMPUTED_VALUE"""),"")</f>
        <v/>
      </c>
    </row>
    <row r="8919">
      <c r="D8919" t="str">
        <f>IFERROR(__xludf.DUMMYFUNCTION("""COMPUTED_VALUE"""),"Simon")</f>
        <v>Simon</v>
      </c>
      <c r="E8919" t="str">
        <f>IFERROR(__xludf.DUMMYFUNCTION("""COMPUTED_VALUE"""),"John")</f>
        <v>John</v>
      </c>
      <c r="F8919" t="str">
        <f>IFERROR(__xludf.DUMMYFUNCTION("""COMPUTED_VALUE"""),"LE")</f>
        <v>LE</v>
      </c>
      <c r="G8919" t="str">
        <f>IFERROR(__xludf.DUMMYFUNCTION("""COMPUTED_VALUE"""),"")</f>
        <v/>
      </c>
    </row>
    <row r="8920">
      <c r="D8920" t="str">
        <f>IFERROR(__xludf.DUMMYFUNCTION("""COMPUTED_VALUE"""),"Simonson")</f>
        <v>Simonson</v>
      </c>
      <c r="E8920" t="str">
        <f>IFERROR(__xludf.DUMMYFUNCTION("""COMPUTED_VALUE"""),"Scott")</f>
        <v>Scott</v>
      </c>
      <c r="F8920" t="str">
        <f>IFERROR(__xludf.DUMMYFUNCTION("""COMPUTED_VALUE"""),"TE")</f>
        <v>TE</v>
      </c>
      <c r="G8920" t="str">
        <f>IFERROR(__xludf.DUMMYFUNCTION("""COMPUTED_VALUE"""),"")</f>
        <v/>
      </c>
    </row>
    <row r="8921">
      <c r="D8921" t="str">
        <f>IFERROR(__xludf.DUMMYFUNCTION("""COMPUTED_VALUE"""),"Sims")</f>
        <v>Sims</v>
      </c>
      <c r="E8921" t="str">
        <f>IFERROR(__xludf.DUMMYFUNCTION("""COMPUTED_VALUE"""),"Cam")</f>
        <v>Cam</v>
      </c>
      <c r="F8921" t="str">
        <f>IFERROR(__xludf.DUMMYFUNCTION("""COMPUTED_VALUE"""),"WR")</f>
        <v>WR</v>
      </c>
      <c r="G8921" t="str">
        <f>IFERROR(__xludf.DUMMYFUNCTION("""COMPUTED_VALUE"""),"")</f>
        <v/>
      </c>
    </row>
    <row r="8922">
      <c r="D8922" t="str">
        <f>IFERROR(__xludf.DUMMYFUNCTION("""COMPUTED_VALUE"""),"Sims")</f>
        <v>Sims</v>
      </c>
      <c r="E8922" t="str">
        <f>IFERROR(__xludf.DUMMYFUNCTION("""COMPUTED_VALUE"""),"LeShaun")</f>
        <v>LeShaun</v>
      </c>
      <c r="F8922" t="str">
        <f>IFERROR(__xludf.DUMMYFUNCTION("""COMPUTED_VALUE"""),"CB")</f>
        <v>CB</v>
      </c>
      <c r="G8922" t="str">
        <f>IFERROR(__xludf.DUMMYFUNCTION("""COMPUTED_VALUE"""),"")</f>
        <v/>
      </c>
    </row>
    <row r="8923">
      <c r="D8923" t="str">
        <f>IFERROR(__xludf.DUMMYFUNCTION("""COMPUTED_VALUE"""),"Singletary")</f>
        <v>Singletary</v>
      </c>
      <c r="E8923" t="str">
        <f>IFERROR(__xludf.DUMMYFUNCTION("""COMPUTED_VALUE"""),"Devin")</f>
        <v>Devin</v>
      </c>
      <c r="F8923" t="str">
        <f>IFERROR(__xludf.DUMMYFUNCTION("""COMPUTED_VALUE"""),"HB")</f>
        <v>HB</v>
      </c>
      <c r="G8923" t="str">
        <f>IFERROR(__xludf.DUMMYFUNCTION("""COMPUTED_VALUE"""),"")</f>
        <v/>
      </c>
    </row>
    <row r="8924">
      <c r="D8924" t="str">
        <f>IFERROR(__xludf.DUMMYFUNCTION("""COMPUTED_VALUE"""),"Sirles")</f>
        <v>Sirles</v>
      </c>
      <c r="E8924" t="str">
        <f>IFERROR(__xludf.DUMMYFUNCTION("""COMPUTED_VALUE"""),"Jeremiah")</f>
        <v>Jeremiah</v>
      </c>
      <c r="F8924" t="str">
        <f>IFERROR(__xludf.DUMMYFUNCTION("""COMPUTED_VALUE"""),"LT")</f>
        <v>LT</v>
      </c>
      <c r="G8924" t="str">
        <f>IFERROR(__xludf.DUMMYFUNCTION("""COMPUTED_VALUE"""),"")</f>
        <v/>
      </c>
    </row>
    <row r="8925">
      <c r="D8925" t="str">
        <f>IFERROR(__xludf.DUMMYFUNCTION("""COMPUTED_VALUE"""),"Skipper")</f>
        <v>Skipper</v>
      </c>
      <c r="E8925" t="str">
        <f>IFERROR(__xludf.DUMMYFUNCTION("""COMPUTED_VALUE"""),"Dan")</f>
        <v>Dan</v>
      </c>
      <c r="F8925" t="str">
        <f>IFERROR(__xludf.DUMMYFUNCTION("""COMPUTED_VALUE"""),"RT")</f>
        <v>RT</v>
      </c>
      <c r="G8925" t="str">
        <f>IFERROR(__xludf.DUMMYFUNCTION("""COMPUTED_VALUE"""),"")</f>
        <v/>
      </c>
    </row>
    <row r="8926">
      <c r="D8926" t="str">
        <f>IFERROR(__xludf.DUMMYFUNCTION("""COMPUTED_VALUE"""),"Skrine")</f>
        <v>Skrine</v>
      </c>
      <c r="E8926" t="str">
        <f>IFERROR(__xludf.DUMMYFUNCTION("""COMPUTED_VALUE"""),"Buster")</f>
        <v>Buster</v>
      </c>
      <c r="F8926" t="str">
        <f>IFERROR(__xludf.DUMMYFUNCTION("""COMPUTED_VALUE"""),"CB")</f>
        <v>CB</v>
      </c>
      <c r="G8926" t="str">
        <f>IFERROR(__xludf.DUMMYFUNCTION("""COMPUTED_VALUE"""),"")</f>
        <v/>
      </c>
    </row>
    <row r="8927">
      <c r="D8927" t="str">
        <f>IFERROR(__xludf.DUMMYFUNCTION("""COMPUTED_VALUE"""),"Skule")</f>
        <v>Skule</v>
      </c>
      <c r="E8927" t="str">
        <f>IFERROR(__xludf.DUMMYFUNCTION("""COMPUTED_VALUE"""),"Justin")</f>
        <v>Justin</v>
      </c>
      <c r="F8927" t="str">
        <f>IFERROR(__xludf.DUMMYFUNCTION("""COMPUTED_VALUE"""),"LT")</f>
        <v>LT</v>
      </c>
      <c r="G8927" t="str">
        <f>IFERROR(__xludf.DUMMYFUNCTION("""COMPUTED_VALUE"""),"")</f>
        <v/>
      </c>
    </row>
    <row r="8928">
      <c r="D8928" t="str">
        <f>IFERROR(__xludf.DUMMYFUNCTION("""COMPUTED_VALUE"""),"Skura")</f>
        <v>Skura</v>
      </c>
      <c r="E8928" t="str">
        <f>IFERROR(__xludf.DUMMYFUNCTION("""COMPUTED_VALUE"""),"Matt")</f>
        <v>Matt</v>
      </c>
      <c r="F8928" t="str">
        <f>IFERROR(__xludf.DUMMYFUNCTION("""COMPUTED_VALUE"""),"C")</f>
        <v>C</v>
      </c>
      <c r="G8928" t="str">
        <f>IFERROR(__xludf.DUMMYFUNCTION("""COMPUTED_VALUE"""),"")</f>
        <v/>
      </c>
    </row>
    <row r="8929">
      <c r="D8929" t="str">
        <f>IFERROR(__xludf.DUMMYFUNCTION("""COMPUTED_VALUE"""),"Slade")</f>
        <v>Slade</v>
      </c>
      <c r="E8929" t="str">
        <f>IFERROR(__xludf.DUMMYFUNCTION("""COMPUTED_VALUE"""),"Chad")</f>
        <v>Chad</v>
      </c>
      <c r="F8929" t="str">
        <f>IFERROR(__xludf.DUMMYFUNCTION("""COMPUTED_VALUE"""),"RT")</f>
        <v>RT</v>
      </c>
      <c r="G8929" t="str">
        <f>IFERROR(__xludf.DUMMYFUNCTION("""COMPUTED_VALUE"""),"")</f>
        <v/>
      </c>
    </row>
    <row r="8930">
      <c r="D8930" t="str">
        <f>IFERROR(__xludf.DUMMYFUNCTION("""COMPUTED_VALUE"""),"Slater")</f>
        <v>Slater</v>
      </c>
      <c r="E8930" t="str">
        <f>IFERROR(__xludf.DUMMYFUNCTION("""COMPUTED_VALUE"""),"Matthew")</f>
        <v>Matthew</v>
      </c>
      <c r="F8930" t="str">
        <f>IFERROR(__xludf.DUMMYFUNCTION("""COMPUTED_VALUE"""),"WR")</f>
        <v>WR</v>
      </c>
      <c r="G8930" t="str">
        <f>IFERROR(__xludf.DUMMYFUNCTION("""COMPUTED_VALUE"""),"")</f>
        <v/>
      </c>
    </row>
    <row r="8931">
      <c r="D8931" t="str">
        <f>IFERROR(__xludf.DUMMYFUNCTION("""COMPUTED_VALUE"""),"Slay")</f>
        <v>Slay</v>
      </c>
      <c r="E8931" t="str">
        <f>IFERROR(__xludf.DUMMYFUNCTION("""COMPUTED_VALUE"""),"Darius")</f>
        <v>Darius</v>
      </c>
      <c r="F8931" t="str">
        <f>IFERROR(__xludf.DUMMYFUNCTION("""COMPUTED_VALUE"""),"CB")</f>
        <v>CB</v>
      </c>
      <c r="G8931" t="str">
        <f>IFERROR(__xludf.DUMMYFUNCTION("""COMPUTED_VALUE"""),"")</f>
        <v/>
      </c>
    </row>
    <row r="8932">
      <c r="D8932" t="str">
        <f>IFERROR(__xludf.DUMMYFUNCTION("""COMPUTED_VALUE"""),"Slayton")</f>
        <v>Slayton</v>
      </c>
      <c r="E8932" t="str">
        <f>IFERROR(__xludf.DUMMYFUNCTION("""COMPUTED_VALUE"""),"Chris")</f>
        <v>Chris</v>
      </c>
      <c r="F8932" t="str">
        <f>IFERROR(__xludf.DUMMYFUNCTION("""COMPUTED_VALUE"""),"LE")</f>
        <v>LE</v>
      </c>
      <c r="G8932" t="str">
        <f>IFERROR(__xludf.DUMMYFUNCTION("""COMPUTED_VALUE"""),"")</f>
        <v/>
      </c>
    </row>
    <row r="8933">
      <c r="D8933" t="str">
        <f>IFERROR(__xludf.DUMMYFUNCTION("""COMPUTED_VALUE"""),"Slayton")</f>
        <v>Slayton</v>
      </c>
      <c r="E8933" t="str">
        <f>IFERROR(__xludf.DUMMYFUNCTION("""COMPUTED_VALUE"""),"Darius")</f>
        <v>Darius</v>
      </c>
      <c r="F8933" t="str">
        <f>IFERROR(__xludf.DUMMYFUNCTION("""COMPUTED_VALUE"""),"WR")</f>
        <v>WR</v>
      </c>
      <c r="G8933" t="str">
        <f>IFERROR(__xludf.DUMMYFUNCTION("""COMPUTED_VALUE"""),"")</f>
        <v/>
      </c>
    </row>
    <row r="8934">
      <c r="D8934" t="str">
        <f>IFERROR(__xludf.DUMMYFUNCTION("""COMPUTED_VALUE"""),"Sloter")</f>
        <v>Sloter</v>
      </c>
      <c r="E8934" t="str">
        <f>IFERROR(__xludf.DUMMYFUNCTION("""COMPUTED_VALUE"""),"Kyle")</f>
        <v>Kyle</v>
      </c>
      <c r="F8934" t="str">
        <f>IFERROR(__xludf.DUMMYFUNCTION("""COMPUTED_VALUE"""),"QB")</f>
        <v>QB</v>
      </c>
      <c r="G8934" t="str">
        <f>IFERROR(__xludf.DUMMYFUNCTION("""COMPUTED_VALUE"""),"")</f>
        <v/>
      </c>
    </row>
    <row r="8935">
      <c r="D8935" t="str">
        <f>IFERROR(__xludf.DUMMYFUNCTION("""COMPUTED_VALUE"""),"Smallwood")</f>
        <v>Smallwood</v>
      </c>
      <c r="E8935" t="str">
        <f>IFERROR(__xludf.DUMMYFUNCTION("""COMPUTED_VALUE"""),"Wendell")</f>
        <v>Wendell</v>
      </c>
      <c r="F8935" t="str">
        <f>IFERROR(__xludf.DUMMYFUNCTION("""COMPUTED_VALUE"""),"HB")</f>
        <v>HB</v>
      </c>
      <c r="G8935" t="str">
        <f>IFERROR(__xludf.DUMMYFUNCTION("""COMPUTED_VALUE"""),"")</f>
        <v/>
      </c>
    </row>
    <row r="8936">
      <c r="D8936" t="str">
        <f>IFERROR(__xludf.DUMMYFUNCTION("""COMPUTED_VALUE"""),"Smart")</f>
        <v>Smart</v>
      </c>
      <c r="E8936" t="str">
        <f>IFERROR(__xludf.DUMMYFUNCTION("""COMPUTED_VALUE"""),"Tanzel")</f>
        <v>Tanzel</v>
      </c>
      <c r="F8936" t="str">
        <f>IFERROR(__xludf.DUMMYFUNCTION("""COMPUTED_VALUE"""),"RE")</f>
        <v>RE</v>
      </c>
      <c r="G8936" t="str">
        <f>IFERROR(__xludf.DUMMYFUNCTION("""COMPUTED_VALUE"""),"")</f>
        <v/>
      </c>
    </row>
    <row r="8937">
      <c r="D8937" t="str">
        <f>IFERROR(__xludf.DUMMYFUNCTION("""COMPUTED_VALUE"""),"Smith")</f>
        <v>Smith</v>
      </c>
      <c r="E8937" t="str">
        <f>IFERROR(__xludf.DUMMYFUNCTION("""COMPUTED_VALUE"""),"Alex")</f>
        <v>Alex</v>
      </c>
      <c r="F8937" t="str">
        <f>IFERROR(__xludf.DUMMYFUNCTION("""COMPUTED_VALUE"""),"QB")</f>
        <v>QB</v>
      </c>
      <c r="G8937" t="str">
        <f>IFERROR(__xludf.DUMMYFUNCTION("""COMPUTED_VALUE"""),"")</f>
        <v/>
      </c>
    </row>
    <row r="8938">
      <c r="D8938" t="str">
        <f>IFERROR(__xludf.DUMMYFUNCTION("""COMPUTED_VALUE"""),"Smith")</f>
        <v>Smith</v>
      </c>
      <c r="E8938" t="str">
        <f>IFERROR(__xludf.DUMMYFUNCTION("""COMPUTED_VALUE"""),"Andre")</f>
        <v>Andre</v>
      </c>
      <c r="F8938" t="str">
        <f>IFERROR(__xludf.DUMMYFUNCTION("""COMPUTED_VALUE"""),"MLB")</f>
        <v>MLB</v>
      </c>
      <c r="G8938" t="str">
        <f>IFERROR(__xludf.DUMMYFUNCTION("""COMPUTED_VALUE"""),"")</f>
        <v/>
      </c>
    </row>
    <row r="8939">
      <c r="D8939" t="str">
        <f>IFERROR(__xludf.DUMMYFUNCTION("""COMPUTED_VALUE"""),"Smith")</f>
        <v>Smith</v>
      </c>
      <c r="E8939" t="str">
        <f>IFERROR(__xludf.DUMMYFUNCTION("""COMPUTED_VALUE"""),"Braden")</f>
        <v>Braden</v>
      </c>
      <c r="F8939" t="str">
        <f>IFERROR(__xludf.DUMMYFUNCTION("""COMPUTED_VALUE"""),"RT")</f>
        <v>RT</v>
      </c>
      <c r="G8939" t="str">
        <f>IFERROR(__xludf.DUMMYFUNCTION("""COMPUTED_VALUE"""),"")</f>
        <v/>
      </c>
    </row>
    <row r="8940">
      <c r="D8940" t="str">
        <f>IFERROR(__xludf.DUMMYFUNCTION("""COMPUTED_VALUE"""),"Smith")</f>
        <v>Smith</v>
      </c>
      <c r="E8940" t="str">
        <f>IFERROR(__xludf.DUMMYFUNCTION("""COMPUTED_VALUE"""),"Cameron")</f>
        <v>Cameron</v>
      </c>
      <c r="F8940" t="str">
        <f>IFERROR(__xludf.DUMMYFUNCTION("""COMPUTED_VALUE"""),"MLB")</f>
        <v>MLB</v>
      </c>
      <c r="G8940" t="str">
        <f>IFERROR(__xludf.DUMMYFUNCTION("""COMPUTED_VALUE"""),"")</f>
        <v/>
      </c>
    </row>
    <row r="8941">
      <c r="D8941" t="str">
        <f>IFERROR(__xludf.DUMMYFUNCTION("""COMPUTED_VALUE"""),"Smith")</f>
        <v>Smith</v>
      </c>
      <c r="E8941" t="str">
        <f>IFERROR(__xludf.DUMMYFUNCTION("""COMPUTED_VALUE"""),"Chris")</f>
        <v>Chris</v>
      </c>
      <c r="F8941" t="str">
        <f>IFERROR(__xludf.DUMMYFUNCTION("""COMPUTED_VALUE"""),"LE")</f>
        <v>LE</v>
      </c>
      <c r="G8941" t="str">
        <f>IFERROR(__xludf.DUMMYFUNCTION("""COMPUTED_VALUE"""),"")</f>
        <v/>
      </c>
    </row>
    <row r="8942">
      <c r="D8942" t="str">
        <f>IFERROR(__xludf.DUMMYFUNCTION("""COMPUTED_VALUE"""),"Smith")</f>
        <v>Smith</v>
      </c>
      <c r="E8942" t="str">
        <f>IFERROR(__xludf.DUMMYFUNCTION("""COMPUTED_VALUE"""),"Derron")</f>
        <v>Derron</v>
      </c>
      <c r="F8942" t="str">
        <f>IFERROR(__xludf.DUMMYFUNCTION("""COMPUTED_VALUE"""),"FS")</f>
        <v>FS</v>
      </c>
      <c r="G8942" t="str">
        <f>IFERROR(__xludf.DUMMYFUNCTION("""COMPUTED_VALUE"""),"")</f>
        <v/>
      </c>
    </row>
    <row r="8943">
      <c r="D8943" t="str">
        <f>IFERROR(__xludf.DUMMYFUNCTION("""COMPUTED_VALUE"""),"Smith")</f>
        <v>Smith</v>
      </c>
      <c r="E8943" t="str">
        <f>IFERROR(__xludf.DUMMYFUNCTION("""COMPUTED_VALUE"""),"Devin")</f>
        <v>Devin</v>
      </c>
      <c r="F8943" t="str">
        <f>IFERROR(__xludf.DUMMYFUNCTION("""COMPUTED_VALUE"""),"WR")</f>
        <v>WR</v>
      </c>
      <c r="G8943" t="str">
        <f>IFERROR(__xludf.DUMMYFUNCTION("""COMPUTED_VALUE"""),"")</f>
        <v/>
      </c>
    </row>
    <row r="8944">
      <c r="D8944" t="str">
        <f>IFERROR(__xludf.DUMMYFUNCTION("""COMPUTED_VALUE"""),"Smith")</f>
        <v>Smith</v>
      </c>
      <c r="E8944" t="str">
        <f>IFERROR(__xludf.DUMMYFUNCTION("""COMPUTED_VALUE"""),"Donovan")</f>
        <v>Donovan</v>
      </c>
      <c r="F8944" t="str">
        <f>IFERROR(__xludf.DUMMYFUNCTION("""COMPUTED_VALUE"""),"LT")</f>
        <v>LT</v>
      </c>
      <c r="G8944" t="str">
        <f>IFERROR(__xludf.DUMMYFUNCTION("""COMPUTED_VALUE"""),"")</f>
        <v/>
      </c>
    </row>
    <row r="8945">
      <c r="D8945" t="str">
        <f>IFERROR(__xludf.DUMMYFUNCTION("""COMPUTED_VALUE"""),"Smith")</f>
        <v>Smith</v>
      </c>
      <c r="E8945" t="str">
        <f>IFERROR(__xludf.DUMMYFUNCTION("""COMPUTED_VALUE"""),"Emmanuel")</f>
        <v>Emmanuel</v>
      </c>
      <c r="F8945" t="str">
        <f>IFERROR(__xludf.DUMMYFUNCTION("""COMPUTED_VALUE"""),"MLB")</f>
        <v>MLB</v>
      </c>
      <c r="G8945" t="str">
        <f>IFERROR(__xludf.DUMMYFUNCTION("""COMPUTED_VALUE"""),"")</f>
        <v/>
      </c>
    </row>
    <row r="8946">
      <c r="D8946" t="str">
        <f>IFERROR(__xludf.DUMMYFUNCTION("""COMPUTED_VALUE"""),"Smith")</f>
        <v>Smith</v>
      </c>
      <c r="E8946" t="str">
        <f>IFERROR(__xludf.DUMMYFUNCTION("""COMPUTED_VALUE"""),"Eric")</f>
        <v>Eric</v>
      </c>
      <c r="F8946" t="str">
        <f>IFERROR(__xludf.DUMMYFUNCTION("""COMPUTED_VALUE"""),"RT")</f>
        <v>RT</v>
      </c>
      <c r="G8946" t="str">
        <f>IFERROR(__xludf.DUMMYFUNCTION("""COMPUTED_VALUE"""),"")</f>
        <v/>
      </c>
    </row>
    <row r="8947">
      <c r="D8947" t="str">
        <f>IFERROR(__xludf.DUMMYFUNCTION("""COMPUTED_VALUE"""),"Smith")</f>
        <v>Smith</v>
      </c>
      <c r="E8947" t="str">
        <f>IFERROR(__xludf.DUMMYFUNCTION("""COMPUTED_VALUE"""),"Evan")</f>
        <v>Evan</v>
      </c>
      <c r="F8947" t="str">
        <f>IFERROR(__xludf.DUMMYFUNCTION("""COMPUTED_VALUE"""),"C")</f>
        <v>C</v>
      </c>
      <c r="G8947" t="str">
        <f>IFERROR(__xludf.DUMMYFUNCTION("""COMPUTED_VALUE"""),"")</f>
        <v/>
      </c>
    </row>
    <row r="8948">
      <c r="D8948" t="str">
        <f>IFERROR(__xludf.DUMMYFUNCTION("""COMPUTED_VALUE"""),"Smith")</f>
        <v>Smith</v>
      </c>
      <c r="E8948" t="str">
        <f>IFERROR(__xludf.DUMMYFUNCTION("""COMPUTED_VALUE"""),"Geno")</f>
        <v>Geno</v>
      </c>
      <c r="F8948" t="str">
        <f>IFERROR(__xludf.DUMMYFUNCTION("""COMPUTED_VALUE"""),"QB")</f>
        <v>QB</v>
      </c>
      <c r="G8948" t="str">
        <f>IFERROR(__xludf.DUMMYFUNCTION("""COMPUTED_VALUE"""),"")</f>
        <v/>
      </c>
    </row>
    <row r="8949">
      <c r="D8949" t="str">
        <f>IFERROR(__xludf.DUMMYFUNCTION("""COMPUTED_VALUE"""),"Smith")</f>
        <v>Smith</v>
      </c>
      <c r="E8949" t="str">
        <f>IFERROR(__xludf.DUMMYFUNCTION("""COMPUTED_VALUE"""),"Harrison")</f>
        <v>Harrison</v>
      </c>
      <c r="F8949" t="str">
        <f>IFERROR(__xludf.DUMMYFUNCTION("""COMPUTED_VALUE"""),"SS")</f>
        <v>SS</v>
      </c>
      <c r="G8949" t="str">
        <f>IFERROR(__xludf.DUMMYFUNCTION("""COMPUTED_VALUE"""),"")</f>
        <v/>
      </c>
    </row>
    <row r="8950">
      <c r="D8950" t="str">
        <f>IFERROR(__xludf.DUMMYFUNCTION("""COMPUTED_VALUE"""),"Smith")</f>
        <v>Smith</v>
      </c>
      <c r="E8950" t="str">
        <f>IFERROR(__xludf.DUMMYFUNCTION("""COMPUTED_VALUE"""),"Irv")</f>
        <v>Irv</v>
      </c>
      <c r="F8950" t="str">
        <f>IFERROR(__xludf.DUMMYFUNCTION("""COMPUTED_VALUE"""),"TE")</f>
        <v>TE</v>
      </c>
      <c r="G8950" t="str">
        <f>IFERROR(__xludf.DUMMYFUNCTION("""COMPUTED_VALUE"""),"")</f>
        <v/>
      </c>
    </row>
    <row r="8951">
      <c r="D8951" t="str">
        <f>IFERROR(__xludf.DUMMYFUNCTION("""COMPUTED_VALUE"""),"Smith")</f>
        <v>Smith</v>
      </c>
      <c r="E8951" t="str">
        <f>IFERROR(__xludf.DUMMYFUNCTION("""COMPUTED_VALUE"""),"Ito")</f>
        <v>Ito</v>
      </c>
      <c r="F8951" t="str">
        <f>IFERROR(__xludf.DUMMYFUNCTION("""COMPUTED_VALUE"""),"HB")</f>
        <v>HB</v>
      </c>
      <c r="G8951" t="str">
        <f>IFERROR(__xludf.DUMMYFUNCTION("""COMPUTED_VALUE"""),"")</f>
        <v/>
      </c>
    </row>
    <row r="8952">
      <c r="D8952" t="str">
        <f>IFERROR(__xludf.DUMMYFUNCTION("""COMPUTED_VALUE"""),"Smith")</f>
        <v>Smith</v>
      </c>
      <c r="E8952" t="str">
        <f>IFERROR(__xludf.DUMMYFUNCTION("""COMPUTED_VALUE"""),"Jaylen")</f>
        <v>Jaylen</v>
      </c>
      <c r="F8952" t="str">
        <f>IFERROR(__xludf.DUMMYFUNCTION("""COMPUTED_VALUE"""),"WR")</f>
        <v>WR</v>
      </c>
      <c r="G8952" t="str">
        <f>IFERROR(__xludf.DUMMYFUNCTION("""COMPUTED_VALUE"""),"")</f>
        <v/>
      </c>
    </row>
    <row r="8953">
      <c r="D8953" t="str">
        <f>IFERROR(__xludf.DUMMYFUNCTION("""COMPUTED_VALUE"""),"Smith")</f>
        <v>Smith</v>
      </c>
      <c r="E8953" t="str">
        <f>IFERROR(__xludf.DUMMYFUNCTION("""COMPUTED_VALUE"""),"Jaylon")</f>
        <v>Jaylon</v>
      </c>
      <c r="F8953" t="str">
        <f>IFERROR(__xludf.DUMMYFUNCTION("""COMPUTED_VALUE"""),"MLB")</f>
        <v>MLB</v>
      </c>
      <c r="G8953" t="str">
        <f>IFERROR(__xludf.DUMMYFUNCTION("""COMPUTED_VALUE"""),"")</f>
        <v/>
      </c>
    </row>
    <row r="8954">
      <c r="D8954" t="str">
        <f>IFERROR(__xludf.DUMMYFUNCTION("""COMPUTED_VALUE"""),"Smith")</f>
        <v>Smith</v>
      </c>
      <c r="E8954" t="str">
        <f>IFERROR(__xludf.DUMMYFUNCTION("""COMPUTED_VALUE"""),"Jimmy")</f>
        <v>Jimmy</v>
      </c>
      <c r="F8954" t="str">
        <f>IFERROR(__xludf.DUMMYFUNCTION("""COMPUTED_VALUE"""),"CB")</f>
        <v>CB</v>
      </c>
      <c r="G8954" t="str">
        <f>IFERROR(__xludf.DUMMYFUNCTION("""COMPUTED_VALUE"""),"")</f>
        <v/>
      </c>
    </row>
    <row r="8955">
      <c r="D8955" t="str">
        <f>IFERROR(__xludf.DUMMYFUNCTION("""COMPUTED_VALUE"""),"Smith")</f>
        <v>Smith</v>
      </c>
      <c r="E8955" t="str">
        <f>IFERROR(__xludf.DUMMYFUNCTION("""COMPUTED_VALUE"""),"Jonnu")</f>
        <v>Jonnu</v>
      </c>
      <c r="F8955" t="str">
        <f>IFERROR(__xludf.DUMMYFUNCTION("""COMPUTED_VALUE"""),"TE")</f>
        <v>TE</v>
      </c>
      <c r="G8955" t="str">
        <f>IFERROR(__xludf.DUMMYFUNCTION("""COMPUTED_VALUE"""),"")</f>
        <v/>
      </c>
    </row>
    <row r="8956">
      <c r="D8956" t="str">
        <f>IFERROR(__xludf.DUMMYFUNCTION("""COMPUTED_VALUE"""),"Smith")</f>
        <v>Smith</v>
      </c>
      <c r="E8956" t="str">
        <f>IFERROR(__xludf.DUMMYFUNCTION("""COMPUTED_VALUE"""),"Kaden")</f>
        <v>Kaden</v>
      </c>
      <c r="F8956" t="str">
        <f>IFERROR(__xludf.DUMMYFUNCTION("""COMPUTED_VALUE"""),"TE")</f>
        <v>TE</v>
      </c>
      <c r="G8956" t="str">
        <f>IFERROR(__xludf.DUMMYFUNCTION("""COMPUTED_VALUE"""),"")</f>
        <v/>
      </c>
    </row>
    <row r="8957">
      <c r="D8957" t="str">
        <f>IFERROR(__xludf.DUMMYFUNCTION("""COMPUTED_VALUE"""),"Smith")</f>
        <v>Smith</v>
      </c>
      <c r="E8957" t="str">
        <f>IFERROR(__xludf.DUMMYFUNCTION("""COMPUTED_VALUE"""),"Keith")</f>
        <v>Keith</v>
      </c>
      <c r="F8957" t="str">
        <f>IFERROR(__xludf.DUMMYFUNCTION("""COMPUTED_VALUE"""),"FB")</f>
        <v>FB</v>
      </c>
      <c r="G8957" t="str">
        <f>IFERROR(__xludf.DUMMYFUNCTION("""COMPUTED_VALUE"""),"")</f>
        <v/>
      </c>
    </row>
    <row r="8958">
      <c r="D8958" t="str">
        <f>IFERROR(__xludf.DUMMYFUNCTION("""COMPUTED_VALUE"""),"Smith")</f>
        <v>Smith</v>
      </c>
      <c r="E8958" t="str">
        <f>IFERROR(__xludf.DUMMYFUNCTION("""COMPUTED_VALUE"""),"Lee")</f>
        <v>Lee</v>
      </c>
      <c r="F8958" t="str">
        <f>IFERROR(__xludf.DUMMYFUNCTION("""COMPUTED_VALUE"""),"TE")</f>
        <v>TE</v>
      </c>
      <c r="G8958" t="str">
        <f>IFERROR(__xludf.DUMMYFUNCTION("""COMPUTED_VALUE"""),"")</f>
        <v/>
      </c>
    </row>
    <row r="8959">
      <c r="D8959" t="str">
        <f>IFERROR(__xludf.DUMMYFUNCTION("""COMPUTED_VALUE"""),"Smith")</f>
        <v>Smith</v>
      </c>
      <c r="E8959" t="str">
        <f>IFERROR(__xludf.DUMMYFUNCTION("""COMPUTED_VALUE"""),"Malcolm")</f>
        <v>Malcolm</v>
      </c>
      <c r="F8959" t="str">
        <f>IFERROR(__xludf.DUMMYFUNCTION("""COMPUTED_VALUE"""),"LOLB")</f>
        <v>LOLB</v>
      </c>
      <c r="G8959" t="str">
        <f>IFERROR(__xludf.DUMMYFUNCTION("""COMPUTED_VALUE"""),"")</f>
        <v/>
      </c>
    </row>
    <row r="8960">
      <c r="D8960" t="str">
        <f>IFERROR(__xludf.DUMMYFUNCTION("""COMPUTED_VALUE"""),"Smith")</f>
        <v>Smith</v>
      </c>
      <c r="E8960" t="str">
        <f>IFERROR(__xludf.DUMMYFUNCTION("""COMPUTED_VALUE"""),"Maurice")</f>
        <v>Maurice</v>
      </c>
      <c r="F8960" t="str">
        <f>IFERROR(__xludf.DUMMYFUNCTION("""COMPUTED_VALUE"""),"SS")</f>
        <v>SS</v>
      </c>
      <c r="G8960" t="str">
        <f>IFERROR(__xludf.DUMMYFUNCTION("""COMPUTED_VALUE"""),"")</f>
        <v/>
      </c>
    </row>
    <row r="8961">
      <c r="D8961" t="str">
        <f>IFERROR(__xludf.DUMMYFUNCTION("""COMPUTED_VALUE"""),"Smith")</f>
        <v>Smith</v>
      </c>
      <c r="E8961" t="str">
        <f>IFERROR(__xludf.DUMMYFUNCTION("""COMPUTED_VALUE"""),"Preston")</f>
        <v>Preston</v>
      </c>
      <c r="F8961" t="str">
        <f>IFERROR(__xludf.DUMMYFUNCTION("""COMPUTED_VALUE"""),"ROLB")</f>
        <v>ROLB</v>
      </c>
      <c r="G8961" t="str">
        <f>IFERROR(__xludf.DUMMYFUNCTION("""COMPUTED_VALUE"""),"")</f>
        <v/>
      </c>
    </row>
    <row r="8962">
      <c r="D8962" t="str">
        <f>IFERROR(__xludf.DUMMYFUNCTION("""COMPUTED_VALUE"""),"Smith")</f>
        <v>Smith</v>
      </c>
      <c r="E8962" t="str">
        <f>IFERROR(__xludf.DUMMYFUNCTION("""COMPUTED_VALUE"""),"Rod")</f>
        <v>Rod</v>
      </c>
      <c r="F8962" t="str">
        <f>IFERROR(__xludf.DUMMYFUNCTION("""COMPUTED_VALUE"""),"HB")</f>
        <v>HB</v>
      </c>
      <c r="G8962" t="str">
        <f>IFERROR(__xludf.DUMMYFUNCTION("""COMPUTED_VALUE"""),"")</f>
        <v/>
      </c>
    </row>
    <row r="8963">
      <c r="D8963" t="str">
        <f>IFERROR(__xludf.DUMMYFUNCTION("""COMPUTED_VALUE"""),"Smith")</f>
        <v>Smith</v>
      </c>
      <c r="E8963" t="str">
        <f>IFERROR(__xludf.DUMMYFUNCTION("""COMPUTED_VALUE"""),"Roquan")</f>
        <v>Roquan</v>
      </c>
      <c r="F8963" t="str">
        <f>IFERROR(__xludf.DUMMYFUNCTION("""COMPUTED_VALUE"""),"MLB")</f>
        <v>MLB</v>
      </c>
      <c r="G8963" t="str">
        <f>IFERROR(__xludf.DUMMYFUNCTION("""COMPUTED_VALUE"""),"")</f>
        <v/>
      </c>
    </row>
    <row r="8964">
      <c r="D8964" t="str">
        <f>IFERROR(__xludf.DUMMYFUNCTION("""COMPUTED_VALUE"""),"Smith")</f>
        <v>Smith</v>
      </c>
      <c r="E8964" t="str">
        <f>IFERROR(__xludf.DUMMYFUNCTION("""COMPUTED_VALUE"""),"Ryan")</f>
        <v>Ryan</v>
      </c>
      <c r="F8964" t="str">
        <f>IFERROR(__xludf.DUMMYFUNCTION("""COMPUTED_VALUE"""),"CB")</f>
        <v>CB</v>
      </c>
      <c r="G8964" t="str">
        <f>IFERROR(__xludf.DUMMYFUNCTION("""COMPUTED_VALUE"""),"")</f>
        <v/>
      </c>
    </row>
    <row r="8965">
      <c r="D8965" t="str">
        <f>IFERROR(__xludf.DUMMYFUNCTION("""COMPUTED_VALUE"""),"Smith")</f>
        <v>Smith</v>
      </c>
      <c r="E8965" t="str">
        <f>IFERROR(__xludf.DUMMYFUNCTION("""COMPUTED_VALUE"""),"Saivion")</f>
        <v>Saivion</v>
      </c>
      <c r="F8965" t="str">
        <f>IFERROR(__xludf.DUMMYFUNCTION("""COMPUTED_VALUE"""),"CB")</f>
        <v>CB</v>
      </c>
      <c r="G8965" t="str">
        <f>IFERROR(__xludf.DUMMYFUNCTION("""COMPUTED_VALUE"""),"")</f>
        <v/>
      </c>
    </row>
    <row r="8966">
      <c r="D8966" t="str">
        <f>IFERROR(__xludf.DUMMYFUNCTION("""COMPUTED_VALUE"""),"Smith")</f>
        <v>Smith</v>
      </c>
      <c r="E8966" t="str">
        <f>IFERROR(__xludf.DUMMYFUNCTION("""COMPUTED_VALUE"""),"Sutton")</f>
        <v>Sutton</v>
      </c>
      <c r="F8966" t="str">
        <f>IFERROR(__xludf.DUMMYFUNCTION("""COMPUTED_VALUE"""),"ROLB")</f>
        <v>ROLB</v>
      </c>
      <c r="G8966" t="str">
        <f>IFERROR(__xludf.DUMMYFUNCTION("""COMPUTED_VALUE"""),"")</f>
        <v/>
      </c>
    </row>
    <row r="8967">
      <c r="D8967" t="str">
        <f>IFERROR(__xludf.DUMMYFUNCTION("""COMPUTED_VALUE"""),"Smith")</f>
        <v>Smith</v>
      </c>
      <c r="E8967" t="str">
        <f>IFERROR(__xludf.DUMMYFUNCTION("""COMPUTED_VALUE"""),"Telvin")</f>
        <v>Telvin</v>
      </c>
      <c r="F8967" t="str">
        <f>IFERROR(__xludf.DUMMYFUNCTION("""COMPUTED_VALUE"""),"ROLB")</f>
        <v>ROLB</v>
      </c>
      <c r="G8967" t="str">
        <f>IFERROR(__xludf.DUMMYFUNCTION("""COMPUTED_VALUE"""),"")</f>
        <v/>
      </c>
    </row>
    <row r="8968">
      <c r="D8968" t="str">
        <f>IFERROR(__xludf.DUMMYFUNCTION("""COMPUTED_VALUE"""),"Smith")</f>
        <v>Smith</v>
      </c>
      <c r="E8968" t="str">
        <f>IFERROR(__xludf.DUMMYFUNCTION("""COMPUTED_VALUE"""),"Torrey")</f>
        <v>Torrey</v>
      </c>
      <c r="F8968" t="str">
        <f>IFERROR(__xludf.DUMMYFUNCTION("""COMPUTED_VALUE"""),"WR")</f>
        <v>WR</v>
      </c>
      <c r="G8968" t="str">
        <f>IFERROR(__xludf.DUMMYFUNCTION("""COMPUTED_VALUE"""),"")</f>
        <v/>
      </c>
    </row>
    <row r="8969">
      <c r="D8969" t="str">
        <f>IFERROR(__xludf.DUMMYFUNCTION("""COMPUTED_VALUE"""),"Smith")</f>
        <v>Smith</v>
      </c>
      <c r="E8969" t="str">
        <f>IFERROR(__xludf.DUMMYFUNCTION("""COMPUTED_VALUE"""),"Tremon")</f>
        <v>Tremon</v>
      </c>
      <c r="F8969" t="str">
        <f>IFERROR(__xludf.DUMMYFUNCTION("""COMPUTED_VALUE"""),"CB")</f>
        <v>CB</v>
      </c>
      <c r="G8969" t="str">
        <f>IFERROR(__xludf.DUMMYFUNCTION("""COMPUTED_VALUE"""),"")</f>
        <v/>
      </c>
    </row>
    <row r="8970">
      <c r="D8970" t="str">
        <f>IFERROR(__xludf.DUMMYFUNCTION("""COMPUTED_VALUE"""),"Smith")</f>
        <v>Smith</v>
      </c>
      <c r="E8970" t="str">
        <f>IFERROR(__xludf.DUMMYFUNCTION("""COMPUTED_VALUE"""),"TreQuan")</f>
        <v>TreQuan</v>
      </c>
      <c r="F8970" t="str">
        <f>IFERROR(__xludf.DUMMYFUNCTION("""COMPUTED_VALUE"""),"WR")</f>
        <v>WR</v>
      </c>
      <c r="G8970" t="str">
        <f>IFERROR(__xludf.DUMMYFUNCTION("""COMPUTED_VALUE"""),"")</f>
        <v/>
      </c>
    </row>
    <row r="8971">
      <c r="D8971" t="str">
        <f>IFERROR(__xludf.DUMMYFUNCTION("""COMPUTED_VALUE"""),"Smith")</f>
        <v>Smith</v>
      </c>
      <c r="E8971" t="str">
        <f>IFERROR(__xludf.DUMMYFUNCTION("""COMPUTED_VALUE"""),"Tyron")</f>
        <v>Tyron</v>
      </c>
      <c r="F8971" t="str">
        <f>IFERROR(__xludf.DUMMYFUNCTION("""COMPUTED_VALUE"""),"LT")</f>
        <v>LT</v>
      </c>
      <c r="G8971" t="str">
        <f>IFERROR(__xludf.DUMMYFUNCTION("""COMPUTED_VALUE"""),"")</f>
        <v/>
      </c>
    </row>
    <row r="8972">
      <c r="D8972" t="str">
        <f>IFERROR(__xludf.DUMMYFUNCTION("""COMPUTED_VALUE"""),"Smith")</f>
        <v>Smith</v>
      </c>
      <c r="E8972" t="str">
        <f>IFERROR(__xludf.DUMMYFUNCTION("""COMPUTED_VALUE"""),"Vyncint")</f>
        <v>Vyncint</v>
      </c>
      <c r="F8972" t="str">
        <f>IFERROR(__xludf.DUMMYFUNCTION("""COMPUTED_VALUE"""),"WR")</f>
        <v>WR</v>
      </c>
      <c r="G8972" t="str">
        <f>IFERROR(__xludf.DUMMYFUNCTION("""COMPUTED_VALUE"""),"")</f>
        <v/>
      </c>
    </row>
    <row r="8973">
      <c r="D8973" t="str">
        <f>IFERROR(__xludf.DUMMYFUNCTION("""COMPUTED_VALUE"""),"Smith")</f>
        <v>Smith</v>
      </c>
      <c r="E8973" t="str">
        <f>IFERROR(__xludf.DUMMYFUNCTION("""COMPUTED_VALUE"""),"ZaDarius")</f>
        <v>ZaDarius</v>
      </c>
      <c r="F8973" t="str">
        <f>IFERROR(__xludf.DUMMYFUNCTION("""COMPUTED_VALUE"""),"LOLB")</f>
        <v>LOLB</v>
      </c>
      <c r="G8973" t="str">
        <f>IFERROR(__xludf.DUMMYFUNCTION("""COMPUTED_VALUE"""),"")</f>
        <v/>
      </c>
    </row>
    <row r="8974">
      <c r="D8974" t="str">
        <f>IFERROR(__xludf.DUMMYFUNCTION("""COMPUTED_VALUE"""),"Smith-Schuster")</f>
        <v>Smith-Schuster</v>
      </c>
      <c r="E8974" t="str">
        <f>IFERROR(__xludf.DUMMYFUNCTION("""COMPUTED_VALUE"""),"JuJu")</f>
        <v>JuJu</v>
      </c>
      <c r="F8974" t="str">
        <f>IFERROR(__xludf.DUMMYFUNCTION("""COMPUTED_VALUE"""),"WR")</f>
        <v>WR</v>
      </c>
      <c r="G8974" t="str">
        <f>IFERROR(__xludf.DUMMYFUNCTION("""COMPUTED_VALUE"""),"")</f>
        <v/>
      </c>
    </row>
    <row r="8975">
      <c r="D8975" t="str">
        <f>IFERROR(__xludf.DUMMYFUNCTION("""COMPUTED_VALUE"""),"Smoot")</f>
        <v>Smoot</v>
      </c>
      <c r="E8975" t="str">
        <f>IFERROR(__xludf.DUMMYFUNCTION("""COMPUTED_VALUE"""),"Dawuane")</f>
        <v>Dawuane</v>
      </c>
      <c r="F8975" t="str">
        <f>IFERROR(__xludf.DUMMYFUNCTION("""COMPUTED_VALUE"""),"LE")</f>
        <v>LE</v>
      </c>
      <c r="G8975" t="str">
        <f>IFERROR(__xludf.DUMMYFUNCTION("""COMPUTED_VALUE"""),"")</f>
        <v/>
      </c>
    </row>
    <row r="8976">
      <c r="D8976" t="str">
        <f>IFERROR(__xludf.DUMMYFUNCTION("""COMPUTED_VALUE"""),"Smythe")</f>
        <v>Smythe</v>
      </c>
      <c r="E8976" t="str">
        <f>IFERROR(__xludf.DUMMYFUNCTION("""COMPUTED_VALUE"""),"Durham")</f>
        <v>Durham</v>
      </c>
      <c r="F8976" t="str">
        <f>IFERROR(__xludf.DUMMYFUNCTION("""COMPUTED_VALUE"""),"TE")</f>
        <v>TE</v>
      </c>
      <c r="G8976" t="str">
        <f>IFERROR(__xludf.DUMMYFUNCTION("""COMPUTED_VALUE"""),"")</f>
        <v/>
      </c>
    </row>
    <row r="8977">
      <c r="D8977" t="str">
        <f>IFERROR(__xludf.DUMMYFUNCTION("""COMPUTED_VALUE"""),"Snead")</f>
        <v>Snead</v>
      </c>
      <c r="E8977" t="str">
        <f>IFERROR(__xludf.DUMMYFUNCTION("""COMPUTED_VALUE"""),"Willie")</f>
        <v>Willie</v>
      </c>
      <c r="F8977" t="str">
        <f>IFERROR(__xludf.DUMMYFUNCTION("""COMPUTED_VALUE"""),"WR")</f>
        <v>WR</v>
      </c>
      <c r="G8977" t="str">
        <f>IFERROR(__xludf.DUMMYFUNCTION("""COMPUTED_VALUE"""),"")</f>
        <v/>
      </c>
    </row>
    <row r="8978">
      <c r="D8978" t="str">
        <f>IFERROR(__xludf.DUMMYFUNCTION("""COMPUTED_VALUE"""),"Snell")</f>
        <v>Snell</v>
      </c>
      <c r="E8978" t="str">
        <f>IFERROR(__xludf.DUMMYFUNCTION("""COMPUTED_VALUE"""),"Benny")</f>
        <v>Benny</v>
      </c>
      <c r="F8978" t="str">
        <f>IFERROR(__xludf.DUMMYFUNCTION("""COMPUTED_VALUE"""),"HB")</f>
        <v>HB</v>
      </c>
      <c r="G8978" t="str">
        <f>IFERROR(__xludf.DUMMYFUNCTION("""COMPUTED_VALUE"""),"")</f>
        <v/>
      </c>
    </row>
    <row r="8979">
      <c r="D8979" t="str">
        <f>IFERROR(__xludf.DUMMYFUNCTION("""COMPUTED_VALUE"""),"Solder")</f>
        <v>Solder</v>
      </c>
      <c r="E8979" t="str">
        <f>IFERROR(__xludf.DUMMYFUNCTION("""COMPUTED_VALUE"""),"Nate")</f>
        <v>Nate</v>
      </c>
      <c r="F8979" t="str">
        <f>IFERROR(__xludf.DUMMYFUNCTION("""COMPUTED_VALUE"""),"LT")</f>
        <v>LT</v>
      </c>
      <c r="G8979" t="str">
        <f>IFERROR(__xludf.DUMMYFUNCTION("""COMPUTED_VALUE"""),"")</f>
        <v/>
      </c>
    </row>
    <row r="8980">
      <c r="D8980" t="str">
        <f>IFERROR(__xludf.DUMMYFUNCTION("""COMPUTED_VALUE"""),"Sorensen")</f>
        <v>Sorensen</v>
      </c>
      <c r="E8980" t="str">
        <f>IFERROR(__xludf.DUMMYFUNCTION("""COMPUTED_VALUE"""),"Daniel")</f>
        <v>Daniel</v>
      </c>
      <c r="F8980" t="str">
        <f>IFERROR(__xludf.DUMMYFUNCTION("""COMPUTED_VALUE"""),"SS")</f>
        <v>SS</v>
      </c>
      <c r="G8980" t="str">
        <f>IFERROR(__xludf.DUMMYFUNCTION("""COMPUTED_VALUE"""),"")</f>
        <v/>
      </c>
    </row>
    <row r="8981">
      <c r="D8981" t="str">
        <f>IFERROR(__xludf.DUMMYFUNCTION("""COMPUTED_VALUE"""),"Sowell")</f>
        <v>Sowell</v>
      </c>
      <c r="E8981" t="str">
        <f>IFERROR(__xludf.DUMMYFUNCTION("""COMPUTED_VALUE"""),"Bradley")</f>
        <v>Bradley</v>
      </c>
      <c r="F8981" t="str">
        <f>IFERROR(__xludf.DUMMYFUNCTION("""COMPUTED_VALUE"""),"TE")</f>
        <v>TE</v>
      </c>
      <c r="G8981" t="str">
        <f>IFERROR(__xludf.DUMMYFUNCTION("""COMPUTED_VALUE"""),"")</f>
        <v/>
      </c>
    </row>
    <row r="8982">
      <c r="D8982" t="str">
        <f>IFERROR(__xludf.DUMMYFUNCTION("""COMPUTED_VALUE"""),"Spain")</f>
        <v>Spain</v>
      </c>
      <c r="E8982" t="str">
        <f>IFERROR(__xludf.DUMMYFUNCTION("""COMPUTED_VALUE"""),"Quinton")</f>
        <v>Quinton</v>
      </c>
      <c r="F8982" t="str">
        <f>IFERROR(__xludf.DUMMYFUNCTION("""COMPUTED_VALUE"""),"LG")</f>
        <v>LG</v>
      </c>
      <c r="G8982" t="str">
        <f>IFERROR(__xludf.DUMMYFUNCTION("""COMPUTED_VALUE"""),"")</f>
        <v/>
      </c>
    </row>
    <row r="8983">
      <c r="D8983" t="str">
        <f>IFERROR(__xludf.DUMMYFUNCTION("""COMPUTED_VALUE"""),"Speaks")</f>
        <v>Speaks</v>
      </c>
      <c r="E8983" t="str">
        <f>IFERROR(__xludf.DUMMYFUNCTION("""COMPUTED_VALUE"""),"Breeland")</f>
        <v>Breeland</v>
      </c>
      <c r="F8983" t="str">
        <f>IFERROR(__xludf.DUMMYFUNCTION("""COMPUTED_VALUE"""),"RE")</f>
        <v>RE</v>
      </c>
      <c r="G8983" t="str">
        <f>IFERROR(__xludf.DUMMYFUNCTION("""COMPUTED_VALUE"""),"")</f>
        <v/>
      </c>
    </row>
    <row r="8984">
      <c r="D8984" t="str">
        <f>IFERROR(__xludf.DUMMYFUNCTION("""COMPUTED_VALUE"""),"Speed")</f>
        <v>Speed</v>
      </c>
      <c r="E8984" t="str">
        <f>IFERROR(__xludf.DUMMYFUNCTION("""COMPUTED_VALUE"""),"EJ")</f>
        <v>EJ</v>
      </c>
      <c r="F8984" t="str">
        <f>IFERROR(__xludf.DUMMYFUNCTION("""COMPUTED_VALUE"""),"LOLB")</f>
        <v>LOLB</v>
      </c>
      <c r="G8984" t="str">
        <f>IFERROR(__xludf.DUMMYFUNCTION("""COMPUTED_VALUE"""),"")</f>
        <v/>
      </c>
    </row>
    <row r="8985">
      <c r="D8985" t="str">
        <f>IFERROR(__xludf.DUMMYFUNCTION("""COMPUTED_VALUE"""),"Spence")</f>
        <v>Spence</v>
      </c>
      <c r="E8985" t="str">
        <f>IFERROR(__xludf.DUMMYFUNCTION("""COMPUTED_VALUE"""),"Akeem")</f>
        <v>Akeem</v>
      </c>
      <c r="F8985" t="str">
        <f>IFERROR(__xludf.DUMMYFUNCTION("""COMPUTED_VALUE"""),"DT")</f>
        <v>DT</v>
      </c>
      <c r="G8985" t="str">
        <f>IFERROR(__xludf.DUMMYFUNCTION("""COMPUTED_VALUE"""),"")</f>
        <v/>
      </c>
    </row>
    <row r="8986">
      <c r="D8986" t="str">
        <f>IFERROR(__xludf.DUMMYFUNCTION("""COMPUTED_VALUE"""),"Spence")</f>
        <v>Spence</v>
      </c>
      <c r="E8986" t="str">
        <f>IFERROR(__xludf.DUMMYFUNCTION("""COMPUTED_VALUE"""),"Noah")</f>
        <v>Noah</v>
      </c>
      <c r="F8986" t="str">
        <f>IFERROR(__xludf.DUMMYFUNCTION("""COMPUTED_VALUE"""),"ROLB")</f>
        <v>ROLB</v>
      </c>
      <c r="G8986" t="str">
        <f>IFERROR(__xludf.DUMMYFUNCTION("""COMPUTED_VALUE"""),"")</f>
        <v/>
      </c>
    </row>
    <row r="8987">
      <c r="D8987" t="str">
        <f>IFERROR(__xludf.DUMMYFUNCTION("""COMPUTED_VALUE"""),"Spillane")</f>
        <v>Spillane</v>
      </c>
      <c r="E8987" t="str">
        <f>IFERROR(__xludf.DUMMYFUNCTION("""COMPUTED_VALUE"""),"Robert")</f>
        <v>Robert</v>
      </c>
      <c r="F8987" t="str">
        <f>IFERROR(__xludf.DUMMYFUNCTION("""COMPUTED_VALUE"""),"MLB")</f>
        <v>MLB</v>
      </c>
      <c r="G8987" t="str">
        <f>IFERROR(__xludf.DUMMYFUNCTION("""COMPUTED_VALUE"""),"")</f>
        <v/>
      </c>
    </row>
    <row r="8988">
      <c r="D8988" t="str">
        <f>IFERROR(__xludf.DUMMYFUNCTION("""COMPUTED_VALUE"""),"Spriggs")</f>
        <v>Spriggs</v>
      </c>
      <c r="E8988" t="str">
        <f>IFERROR(__xludf.DUMMYFUNCTION("""COMPUTED_VALUE"""),"Jason")</f>
        <v>Jason</v>
      </c>
      <c r="F8988" t="str">
        <f>IFERROR(__xludf.DUMMYFUNCTION("""COMPUTED_VALUE"""),"RT")</f>
        <v>RT</v>
      </c>
      <c r="G8988" t="str">
        <f>IFERROR(__xludf.DUMMYFUNCTION("""COMPUTED_VALUE"""),"")</f>
        <v/>
      </c>
    </row>
    <row r="8989">
      <c r="D8989" t="str">
        <f>IFERROR(__xludf.DUMMYFUNCTION("""COMPUTED_VALUE"""),"Springs")</f>
        <v>Springs</v>
      </c>
      <c r="E8989" t="str">
        <f>IFERROR(__xludf.DUMMYFUNCTION("""COMPUTED_VALUE"""),"Arrion")</f>
        <v>Arrion</v>
      </c>
      <c r="F8989" t="str">
        <f>IFERROR(__xludf.DUMMYFUNCTION("""COMPUTED_VALUE"""),"CB")</f>
        <v>CB</v>
      </c>
      <c r="G8989" t="str">
        <f>IFERROR(__xludf.DUMMYFUNCTION("""COMPUTED_VALUE"""),"")</f>
        <v/>
      </c>
    </row>
    <row r="8990">
      <c r="D8990" t="str">
        <f>IFERROR(__xludf.DUMMYFUNCTION("""COMPUTED_VALUE"""),"Sprinkle")</f>
        <v>Sprinkle</v>
      </c>
      <c r="E8990" t="str">
        <f>IFERROR(__xludf.DUMMYFUNCTION("""COMPUTED_VALUE"""),"Jeremy")</f>
        <v>Jeremy</v>
      </c>
      <c r="F8990" t="str">
        <f>IFERROR(__xludf.DUMMYFUNCTION("""COMPUTED_VALUE"""),"TE")</f>
        <v>TE</v>
      </c>
      <c r="G8990" t="str">
        <f>IFERROR(__xludf.DUMMYFUNCTION("""COMPUTED_VALUE"""),"")</f>
        <v/>
      </c>
    </row>
    <row r="8991">
      <c r="D8991" t="str">
        <f>IFERROR(__xludf.DUMMYFUNCTION("""COMPUTED_VALUE"""),"Square")</f>
        <v>Square</v>
      </c>
      <c r="E8991" t="str">
        <f>IFERROR(__xludf.DUMMYFUNCTION("""COMPUTED_VALUE"""),"Damion")</f>
        <v>Damion</v>
      </c>
      <c r="F8991" t="str">
        <f>IFERROR(__xludf.DUMMYFUNCTION("""COMPUTED_VALUE"""),"DT")</f>
        <v>DT</v>
      </c>
      <c r="G8991" t="str">
        <f>IFERROR(__xludf.DUMMYFUNCTION("""COMPUTED_VALUE"""),"")</f>
        <v/>
      </c>
    </row>
    <row r="8992">
      <c r="D8992" t="str">
        <f>IFERROR(__xludf.DUMMYFUNCTION("""COMPUTED_VALUE"""),"St.")</f>
        <v>St.</v>
      </c>
      <c r="E8992" t="str">
        <f>IFERROR(__xludf.DUMMYFUNCTION("""COMPUTED_VALUE"""),"Equanimeous")</f>
        <v>Equanimeous</v>
      </c>
      <c r="F8992" t="str">
        <f>IFERROR(__xludf.DUMMYFUNCTION("""COMPUTED_VALUE"""),"WR")</f>
        <v>WR</v>
      </c>
      <c r="G8992" t="str">
        <f>IFERROR(__xludf.DUMMYFUNCTION("""COMPUTED_VALUE"""),"")</f>
        <v/>
      </c>
    </row>
    <row r="8993">
      <c r="D8993" t="str">
        <f>IFERROR(__xludf.DUMMYFUNCTION("""COMPUTED_VALUE"""),"Stafford")</f>
        <v>Stafford</v>
      </c>
      <c r="E8993" t="str">
        <f>IFERROR(__xludf.DUMMYFUNCTION("""COMPUTED_VALUE"""),"Matthew")</f>
        <v>Matthew</v>
      </c>
      <c r="F8993" t="str">
        <f>IFERROR(__xludf.DUMMYFUNCTION("""COMPUTED_VALUE"""),"QB")</f>
        <v>QB</v>
      </c>
      <c r="G8993" t="str">
        <f>IFERROR(__xludf.DUMMYFUNCTION("""COMPUTED_VALUE"""),"")</f>
        <v/>
      </c>
    </row>
    <row r="8994">
      <c r="D8994" t="str">
        <f>IFERROR(__xludf.DUMMYFUNCTION("""COMPUTED_VALUE"""),"Staley")</f>
        <v>Staley</v>
      </c>
      <c r="E8994" t="str">
        <f>IFERROR(__xludf.DUMMYFUNCTION("""COMPUTED_VALUE"""),"Joe")</f>
        <v>Joe</v>
      </c>
      <c r="F8994" t="str">
        <f>IFERROR(__xludf.DUMMYFUNCTION("""COMPUTED_VALUE"""),"LT")</f>
        <v>LT</v>
      </c>
      <c r="G8994" t="str">
        <f>IFERROR(__xludf.DUMMYFUNCTION("""COMPUTED_VALUE"""),"")</f>
        <v/>
      </c>
    </row>
    <row r="8995">
      <c r="D8995" t="str">
        <f>IFERROR(__xludf.DUMMYFUNCTION("""COMPUTED_VALUE"""),"Stallworth")</f>
        <v>Stallworth</v>
      </c>
      <c r="E8995" t="str">
        <f>IFERROR(__xludf.DUMMYFUNCTION("""COMPUTED_VALUE"""),"Taylor")</f>
        <v>Taylor</v>
      </c>
      <c r="F8995" t="str">
        <f>IFERROR(__xludf.DUMMYFUNCTION("""COMPUTED_VALUE"""),"DT")</f>
        <v>DT</v>
      </c>
      <c r="G8995" t="str">
        <f>IFERROR(__xludf.DUMMYFUNCTION("""COMPUTED_VALUE"""),"")</f>
        <v/>
      </c>
    </row>
    <row r="8996">
      <c r="D8996" t="str">
        <f>IFERROR(__xludf.DUMMYFUNCTION("""COMPUTED_VALUE"""),"Stanford")</f>
        <v>Stanford</v>
      </c>
      <c r="E8996" t="str">
        <f>IFERROR(__xludf.DUMMYFUNCTION("""COMPUTED_VALUE"""),"Julian")</f>
        <v>Julian</v>
      </c>
      <c r="F8996" t="str">
        <f>IFERROR(__xludf.DUMMYFUNCTION("""COMPUTED_VALUE"""),"MLB")</f>
        <v>MLB</v>
      </c>
      <c r="G8996" t="str">
        <f>IFERROR(__xludf.DUMMYFUNCTION("""COMPUTED_VALUE"""),"")</f>
        <v/>
      </c>
    </row>
    <row r="8997">
      <c r="D8997" t="str">
        <f>IFERROR(__xludf.DUMMYFUNCTION("""COMPUTED_VALUE"""),"Stanley")</f>
        <v>Stanley</v>
      </c>
      <c r="E8997" t="str">
        <f>IFERROR(__xludf.DUMMYFUNCTION("""COMPUTED_VALUE"""),"Ronnie")</f>
        <v>Ronnie</v>
      </c>
      <c r="F8997" t="str">
        <f>IFERROR(__xludf.DUMMYFUNCTION("""COMPUTED_VALUE"""),"LT")</f>
        <v>LT</v>
      </c>
      <c r="G8997" t="str">
        <f>IFERROR(__xludf.DUMMYFUNCTION("""COMPUTED_VALUE"""),"")</f>
        <v/>
      </c>
    </row>
    <row r="8998">
      <c r="D8998" t="str">
        <f>IFERROR(__xludf.DUMMYFUNCTION("""COMPUTED_VALUE"""),"Stanton")</f>
        <v>Stanton</v>
      </c>
      <c r="E8998" t="str">
        <f>IFERROR(__xludf.DUMMYFUNCTION("""COMPUTED_VALUE"""),"Drew")</f>
        <v>Drew</v>
      </c>
      <c r="F8998" t="str">
        <f>IFERROR(__xludf.DUMMYFUNCTION("""COMPUTED_VALUE"""),"QB")</f>
        <v>QB</v>
      </c>
      <c r="G8998" t="str">
        <f>IFERROR(__xludf.DUMMYFUNCTION("""COMPUTED_VALUE"""),"")</f>
        <v/>
      </c>
    </row>
    <row r="8999">
      <c r="D8999" t="str">
        <f>IFERROR(__xludf.DUMMYFUNCTION("""COMPUTED_VALUE"""),"Steinmetz")</f>
        <v>Steinmetz</v>
      </c>
      <c r="E8999" t="str">
        <f>IFERROR(__xludf.DUMMYFUNCTION("""COMPUTED_VALUE"""),"David")</f>
        <v>David</v>
      </c>
      <c r="F8999" t="str">
        <f>IFERROR(__xludf.DUMMYFUNCTION("""COMPUTED_VALUE"""),"RT")</f>
        <v>RT</v>
      </c>
      <c r="G8999" t="str">
        <f>IFERROR(__xludf.DUMMYFUNCTION("""COMPUTED_VALUE"""),"")</f>
        <v/>
      </c>
    </row>
    <row r="9000">
      <c r="D9000" t="str">
        <f>IFERROR(__xludf.DUMMYFUNCTION("""COMPUTED_VALUE"""),"Stephen")</f>
        <v>Stephen</v>
      </c>
      <c r="E9000" t="str">
        <f>IFERROR(__xludf.DUMMYFUNCTION("""COMPUTED_VALUE"""),"Shamar")</f>
        <v>Shamar</v>
      </c>
      <c r="F9000" t="str">
        <f>IFERROR(__xludf.DUMMYFUNCTION("""COMPUTED_VALUE"""),"DT")</f>
        <v>DT</v>
      </c>
      <c r="G9000" t="str">
        <f>IFERROR(__xludf.DUMMYFUNCTION("""COMPUTED_VALUE"""),"")</f>
        <v/>
      </c>
    </row>
    <row r="9001">
      <c r="D9001" t="str">
        <f>IFERROR(__xludf.DUMMYFUNCTION("""COMPUTED_VALUE"""),"Stephens")</f>
        <v>Stephens</v>
      </c>
      <c r="E9001" t="str">
        <f>IFERROR(__xludf.DUMMYFUNCTION("""COMPUTED_VALUE"""),"Linden")</f>
        <v>Linden</v>
      </c>
      <c r="F9001" t="str">
        <f>IFERROR(__xludf.DUMMYFUNCTION("""COMPUTED_VALUE"""),"CB")</f>
        <v>CB</v>
      </c>
      <c r="G9001" t="str">
        <f>IFERROR(__xludf.DUMMYFUNCTION("""COMPUTED_VALUE"""),"")</f>
        <v/>
      </c>
    </row>
    <row r="9002">
      <c r="D9002" t="str">
        <f>IFERROR(__xludf.DUMMYFUNCTION("""COMPUTED_VALUE"""),"Sterling")</f>
        <v>Sterling</v>
      </c>
      <c r="E9002" t="str">
        <f>IFERROR(__xludf.DUMMYFUNCTION("""COMPUTED_VALUE"""),"Neal")</f>
        <v>Neal</v>
      </c>
      <c r="F9002" t="str">
        <f>IFERROR(__xludf.DUMMYFUNCTION("""COMPUTED_VALUE"""),"TE")</f>
        <v>TE</v>
      </c>
      <c r="G9002" t="str">
        <f>IFERROR(__xludf.DUMMYFUNCTION("""COMPUTED_VALUE"""),"")</f>
        <v/>
      </c>
    </row>
    <row r="9003">
      <c r="D9003" t="str">
        <f>IFERROR(__xludf.DUMMYFUNCTION("""COMPUTED_VALUE"""),"Sternberger")</f>
        <v>Sternberger</v>
      </c>
      <c r="E9003" t="str">
        <f>IFERROR(__xludf.DUMMYFUNCTION("""COMPUTED_VALUE"""),"Jace")</f>
        <v>Jace</v>
      </c>
      <c r="F9003" t="str">
        <f>IFERROR(__xludf.DUMMYFUNCTION("""COMPUTED_VALUE"""),"TE")</f>
        <v>TE</v>
      </c>
      <c r="G9003" t="str">
        <f>IFERROR(__xludf.DUMMYFUNCTION("""COMPUTED_VALUE"""),"")</f>
        <v/>
      </c>
    </row>
    <row r="9004">
      <c r="D9004" t="str">
        <f>IFERROR(__xludf.DUMMYFUNCTION("""COMPUTED_VALUE"""),"Sterup")</f>
        <v>Sterup</v>
      </c>
      <c r="E9004" t="str">
        <f>IFERROR(__xludf.DUMMYFUNCTION("""COMPUTED_VALUE"""),"Zach")</f>
        <v>Zach</v>
      </c>
      <c r="F9004" t="str">
        <f>IFERROR(__xludf.DUMMYFUNCTION("""COMPUTED_VALUE"""),"LT")</f>
        <v>LT</v>
      </c>
      <c r="G9004" t="str">
        <f>IFERROR(__xludf.DUMMYFUNCTION("""COMPUTED_VALUE"""),"")</f>
        <v/>
      </c>
    </row>
    <row r="9005">
      <c r="D9005" t="str">
        <f>IFERROR(__xludf.DUMMYFUNCTION("""COMPUTED_VALUE"""),"Stewart")</f>
        <v>Stewart</v>
      </c>
      <c r="E9005" t="str">
        <f>IFERROR(__xludf.DUMMYFUNCTION("""COMPUTED_VALUE"""),"Grover")</f>
        <v>Grover</v>
      </c>
      <c r="F9005" t="str">
        <f>IFERROR(__xludf.DUMMYFUNCTION("""COMPUTED_VALUE"""),"DT")</f>
        <v>DT</v>
      </c>
      <c r="G9005" t="str">
        <f>IFERROR(__xludf.DUMMYFUNCTION("""COMPUTED_VALUE"""),"")</f>
        <v/>
      </c>
    </row>
    <row r="9006">
      <c r="D9006" t="str">
        <f>IFERROR(__xludf.DUMMYFUNCTION("""COMPUTED_VALUE"""),"Stewart")</f>
        <v>Stewart</v>
      </c>
      <c r="E9006" t="str">
        <f>IFERROR(__xludf.DUMMYFUNCTION("""COMPUTED_VALUE"""),"JM")</f>
        <v>JM</v>
      </c>
      <c r="F9006" t="str">
        <f>IFERROR(__xludf.DUMMYFUNCTION("""COMPUTED_VALUE"""),"SS")</f>
        <v>SS</v>
      </c>
      <c r="G9006" t="str">
        <f>IFERROR(__xludf.DUMMYFUNCTION("""COMPUTED_VALUE"""),"")</f>
        <v/>
      </c>
    </row>
    <row r="9007">
      <c r="D9007" t="str">
        <f>IFERROR(__xludf.DUMMYFUNCTION("""COMPUTED_VALUE"""),"Stewart")</f>
        <v>Stewart</v>
      </c>
      <c r="E9007" t="str">
        <f>IFERROR(__xludf.DUMMYFUNCTION("""COMPUTED_VALUE"""),"Orion")</f>
        <v>Orion</v>
      </c>
      <c r="F9007" t="str">
        <f>IFERROR(__xludf.DUMMYFUNCTION("""COMPUTED_VALUE"""),"SS")</f>
        <v>SS</v>
      </c>
      <c r="G9007" t="str">
        <f>IFERROR(__xludf.DUMMYFUNCTION("""COMPUTED_VALUE"""),"")</f>
        <v/>
      </c>
    </row>
    <row r="9008">
      <c r="D9008" t="str">
        <f>IFERROR(__xludf.DUMMYFUNCTION("""COMPUTED_VALUE"""),"Stick")</f>
        <v>Stick</v>
      </c>
      <c r="E9008" t="str">
        <f>IFERROR(__xludf.DUMMYFUNCTION("""COMPUTED_VALUE"""),"Easton")</f>
        <v>Easton</v>
      </c>
      <c r="F9008" t="str">
        <f>IFERROR(__xludf.DUMMYFUNCTION("""COMPUTED_VALUE"""),"QB")</f>
        <v>QB</v>
      </c>
      <c r="G9008" t="str">
        <f>IFERROR(__xludf.DUMMYFUNCTION("""COMPUTED_VALUE"""),"")</f>
        <v/>
      </c>
    </row>
    <row r="9009">
      <c r="D9009" t="str">
        <f>IFERROR(__xludf.DUMMYFUNCTION("""COMPUTED_VALUE"""),"Stidham")</f>
        <v>Stidham</v>
      </c>
      <c r="E9009" t="str">
        <f>IFERROR(__xludf.DUMMYFUNCTION("""COMPUTED_VALUE"""),"Jarrett")</f>
        <v>Jarrett</v>
      </c>
      <c r="F9009" t="str">
        <f>IFERROR(__xludf.DUMMYFUNCTION("""COMPUTED_VALUE"""),"QB")</f>
        <v>QB</v>
      </c>
      <c r="G9009" t="str">
        <f>IFERROR(__xludf.DUMMYFUNCTION("""COMPUTED_VALUE"""),"")</f>
        <v/>
      </c>
    </row>
    <row r="9010">
      <c r="D9010" t="str">
        <f>IFERROR(__xludf.DUMMYFUNCTION("""COMPUTED_VALUE"""),"Stills")</f>
        <v>Stills</v>
      </c>
      <c r="E9010" t="str">
        <f>IFERROR(__xludf.DUMMYFUNCTION("""COMPUTED_VALUE"""),"Kenny")</f>
        <v>Kenny</v>
      </c>
      <c r="F9010" t="str">
        <f>IFERROR(__xludf.DUMMYFUNCTION("""COMPUTED_VALUE"""),"WR")</f>
        <v>WR</v>
      </c>
      <c r="G9010" t="str">
        <f>IFERROR(__xludf.DUMMYFUNCTION("""COMPUTED_VALUE"""),"")</f>
        <v/>
      </c>
    </row>
    <row r="9011">
      <c r="D9011" t="str">
        <f>IFERROR(__xludf.DUMMYFUNCTION("""COMPUTED_VALUE"""),"Stinnie")</f>
        <v>Stinnie</v>
      </c>
      <c r="E9011" t="str">
        <f>IFERROR(__xludf.DUMMYFUNCTION("""COMPUTED_VALUE"""),"Aaron")</f>
        <v>Aaron</v>
      </c>
      <c r="F9011" t="str">
        <f>IFERROR(__xludf.DUMMYFUNCTION("""COMPUTED_VALUE"""),"RG")</f>
        <v>RG</v>
      </c>
      <c r="G9011" t="str">
        <f>IFERROR(__xludf.DUMMYFUNCTION("""COMPUTED_VALUE"""),"")</f>
        <v/>
      </c>
    </row>
    <row r="9012">
      <c r="D9012" t="str">
        <f>IFERROR(__xludf.DUMMYFUNCTION("""COMPUTED_VALUE"""),"Stocker")</f>
        <v>Stocker</v>
      </c>
      <c r="E9012" t="str">
        <f>IFERROR(__xludf.DUMMYFUNCTION("""COMPUTED_VALUE"""),"Luke")</f>
        <v>Luke</v>
      </c>
      <c r="F9012" t="str">
        <f>IFERROR(__xludf.DUMMYFUNCTION("""COMPUTED_VALUE"""),"TE")</f>
        <v>TE</v>
      </c>
      <c r="G9012" t="str">
        <f>IFERROR(__xludf.DUMMYFUNCTION("""COMPUTED_VALUE"""),"")</f>
        <v/>
      </c>
    </row>
    <row r="9013">
      <c r="D9013" t="str">
        <f>IFERROR(__xludf.DUMMYFUNCTION("""COMPUTED_VALUE"""),"Street")</f>
        <v>Street</v>
      </c>
      <c r="E9013" t="str">
        <f>IFERROR(__xludf.DUMMYFUNCTION("""COMPUTED_VALUE"""),"Kentavius")</f>
        <v>Kentavius</v>
      </c>
      <c r="F9013" t="str">
        <f>IFERROR(__xludf.DUMMYFUNCTION("""COMPUTED_VALUE"""),"LE")</f>
        <v>LE</v>
      </c>
      <c r="G9013" t="str">
        <f>IFERROR(__xludf.DUMMYFUNCTION("""COMPUTED_VALUE"""),"")</f>
        <v/>
      </c>
    </row>
    <row r="9014">
      <c r="D9014" t="str">
        <f>IFERROR(__xludf.DUMMYFUNCTION("""COMPUTED_VALUE"""),"Stroman")</f>
        <v>Stroman</v>
      </c>
      <c r="E9014" t="str">
        <f>IFERROR(__xludf.DUMMYFUNCTION("""COMPUTED_VALUE"""),"Greg")</f>
        <v>Greg</v>
      </c>
      <c r="F9014" t="str">
        <f>IFERROR(__xludf.DUMMYFUNCTION("""COMPUTED_VALUE"""),"CB")</f>
        <v>CB</v>
      </c>
      <c r="G9014" t="str">
        <f>IFERROR(__xludf.DUMMYFUNCTION("""COMPUTED_VALUE"""),"")</f>
        <v/>
      </c>
    </row>
    <row r="9015">
      <c r="D9015" t="str">
        <f>IFERROR(__xludf.DUMMYFUNCTION("""COMPUTED_VALUE"""),"Strong")</f>
        <v>Strong</v>
      </c>
      <c r="E9015" t="str">
        <f>IFERROR(__xludf.DUMMYFUNCTION("""COMPUTED_VALUE"""),"Jaelen")</f>
        <v>Jaelen</v>
      </c>
      <c r="F9015" t="str">
        <f>IFERROR(__xludf.DUMMYFUNCTION("""COMPUTED_VALUE"""),"WR")</f>
        <v>WR</v>
      </c>
      <c r="G9015" t="str">
        <f>IFERROR(__xludf.DUMMYFUNCTION("""COMPUTED_VALUE"""),"")</f>
        <v/>
      </c>
    </row>
    <row r="9016">
      <c r="D9016" t="str">
        <f>IFERROR(__xludf.DUMMYFUNCTION("""COMPUTED_VALUE"""),"Stupar")</f>
        <v>Stupar</v>
      </c>
      <c r="E9016" t="str">
        <f>IFERROR(__xludf.DUMMYFUNCTION("""COMPUTED_VALUE"""),"Nathan")</f>
        <v>Nathan</v>
      </c>
      <c r="F9016" t="str">
        <f>IFERROR(__xludf.DUMMYFUNCTION("""COMPUTED_VALUE"""),"MLB")</f>
        <v>MLB</v>
      </c>
      <c r="G9016" t="str">
        <f>IFERROR(__xludf.DUMMYFUNCTION("""COMPUTED_VALUE"""),"")</f>
        <v/>
      </c>
    </row>
    <row r="9017">
      <c r="D9017" t="str">
        <f>IFERROR(__xludf.DUMMYFUNCTION("""COMPUTED_VALUE"""),"Sua-Filo")</f>
        <v>Sua-Filo</v>
      </c>
      <c r="E9017" t="str">
        <f>IFERROR(__xludf.DUMMYFUNCTION("""COMPUTED_VALUE"""),"Xavier")</f>
        <v>Xavier</v>
      </c>
      <c r="F9017" t="str">
        <f>IFERROR(__xludf.DUMMYFUNCTION("""COMPUTED_VALUE"""),"LG")</f>
        <v>LG</v>
      </c>
      <c r="G9017" t="str">
        <f>IFERROR(__xludf.DUMMYFUNCTION("""COMPUTED_VALUE"""),"")</f>
        <v/>
      </c>
    </row>
    <row r="9018">
      <c r="D9018" t="str">
        <f>IFERROR(__xludf.DUMMYFUNCTION("""COMPUTED_VALUE"""),"Succop")</f>
        <v>Succop</v>
      </c>
      <c r="E9018" t="str">
        <f>IFERROR(__xludf.DUMMYFUNCTION("""COMPUTED_VALUE"""),"Ryan")</f>
        <v>Ryan</v>
      </c>
      <c r="F9018" t="str">
        <f>IFERROR(__xludf.DUMMYFUNCTION("""COMPUTED_VALUE"""),"K")</f>
        <v>K</v>
      </c>
      <c r="G9018" t="str">
        <f>IFERROR(__xludf.DUMMYFUNCTION("""COMPUTED_VALUE"""),"")</f>
        <v/>
      </c>
    </row>
    <row r="9019">
      <c r="D9019" t="str">
        <f>IFERROR(__xludf.DUMMYFUNCTION("""COMPUTED_VALUE"""),"Sudfeld")</f>
        <v>Sudfeld</v>
      </c>
      <c r="E9019" t="str">
        <f>IFERROR(__xludf.DUMMYFUNCTION("""COMPUTED_VALUE"""),"Nate")</f>
        <v>Nate</v>
      </c>
      <c r="F9019" t="str">
        <f>IFERROR(__xludf.DUMMYFUNCTION("""COMPUTED_VALUE"""),"QB")</f>
        <v>QB</v>
      </c>
      <c r="G9019" t="str">
        <f>IFERROR(__xludf.DUMMYFUNCTION("""COMPUTED_VALUE"""),"")</f>
        <v/>
      </c>
    </row>
    <row r="9020">
      <c r="D9020" t="str">
        <f>IFERROR(__xludf.DUMMYFUNCTION("""COMPUTED_VALUE"""),"Suggs")</f>
        <v>Suggs</v>
      </c>
      <c r="E9020" t="str">
        <f>IFERROR(__xludf.DUMMYFUNCTION("""COMPUTED_VALUE"""),"Terrell")</f>
        <v>Terrell</v>
      </c>
      <c r="F9020" t="str">
        <f>IFERROR(__xludf.DUMMYFUNCTION("""COMPUTED_VALUE"""),"LOLB")</f>
        <v>LOLB</v>
      </c>
      <c r="G9020" t="str">
        <f>IFERROR(__xludf.DUMMYFUNCTION("""COMPUTED_VALUE"""),"")</f>
        <v/>
      </c>
    </row>
    <row r="9021">
      <c r="D9021" t="str">
        <f>IFERROR(__xludf.DUMMYFUNCTION("""COMPUTED_VALUE"""),"Suh")</f>
        <v>Suh</v>
      </c>
      <c r="E9021" t="str">
        <f>IFERROR(__xludf.DUMMYFUNCTION("""COMPUTED_VALUE"""),"Ndamukong")</f>
        <v>Ndamukong</v>
      </c>
      <c r="F9021" t="str">
        <f>IFERROR(__xludf.DUMMYFUNCTION("""COMPUTED_VALUE"""),"RE")</f>
        <v>RE</v>
      </c>
      <c r="G9021" t="str">
        <f>IFERROR(__xludf.DUMMYFUNCTION("""COMPUTED_VALUE"""),"")</f>
        <v/>
      </c>
    </row>
    <row r="9022">
      <c r="D9022" t="str">
        <f>IFERROR(__xludf.DUMMYFUNCTION("""COMPUTED_VALUE"""),"Sullivan")</f>
        <v>Sullivan</v>
      </c>
      <c r="E9022" t="str">
        <f>IFERROR(__xludf.DUMMYFUNCTION("""COMPUTED_VALUE"""),"Chandon")</f>
        <v>Chandon</v>
      </c>
      <c r="F9022" t="str">
        <f>IFERROR(__xludf.DUMMYFUNCTION("""COMPUTED_VALUE"""),"CB")</f>
        <v>CB</v>
      </c>
      <c r="G9022" t="str">
        <f>IFERROR(__xludf.DUMMYFUNCTION("""COMPUTED_VALUE"""),"")</f>
        <v/>
      </c>
    </row>
    <row r="9023">
      <c r="D9023" t="str">
        <f>IFERROR(__xludf.DUMMYFUNCTION("""COMPUTED_VALUE"""),"Sullivan")</f>
        <v>Sullivan</v>
      </c>
      <c r="E9023" t="str">
        <f>IFERROR(__xludf.DUMMYFUNCTION("""COMPUTED_VALUE"""),"Tre")</f>
        <v>Tre</v>
      </c>
      <c r="F9023" t="str">
        <f>IFERROR(__xludf.DUMMYFUNCTION("""COMPUTED_VALUE"""),"FS")</f>
        <v>FS</v>
      </c>
      <c r="G9023" t="str">
        <f>IFERROR(__xludf.DUMMYFUNCTION("""COMPUTED_VALUE"""),"")</f>
        <v/>
      </c>
    </row>
    <row r="9024">
      <c r="D9024" t="str">
        <f>IFERROR(__xludf.DUMMYFUNCTION("""COMPUTED_VALUE"""),"Summers")</f>
        <v>Summers</v>
      </c>
      <c r="E9024" t="str">
        <f>IFERROR(__xludf.DUMMYFUNCTION("""COMPUTED_VALUE"""),"Jamar")</f>
        <v>Jamar</v>
      </c>
      <c r="F9024" t="str">
        <f>IFERROR(__xludf.DUMMYFUNCTION("""COMPUTED_VALUE"""),"CB")</f>
        <v>CB</v>
      </c>
      <c r="G9024" t="str">
        <f>IFERROR(__xludf.DUMMYFUNCTION("""COMPUTED_VALUE"""),"")</f>
        <v/>
      </c>
    </row>
    <row r="9025">
      <c r="D9025" t="str">
        <f>IFERROR(__xludf.DUMMYFUNCTION("""COMPUTED_VALUE"""),"Summers")</f>
        <v>Summers</v>
      </c>
      <c r="E9025" t="str">
        <f>IFERROR(__xludf.DUMMYFUNCTION("""COMPUTED_VALUE"""),"Ty")</f>
        <v>Ty</v>
      </c>
      <c r="F9025" t="str">
        <f>IFERROR(__xludf.DUMMYFUNCTION("""COMPUTED_VALUE"""),"MLB")</f>
        <v>MLB</v>
      </c>
      <c r="G9025" t="str">
        <f>IFERROR(__xludf.DUMMYFUNCTION("""COMPUTED_VALUE"""),"")</f>
        <v/>
      </c>
    </row>
    <row r="9026">
      <c r="D9026" t="str">
        <f>IFERROR(__xludf.DUMMYFUNCTION("""COMPUTED_VALUE"""),"Sundberg")</f>
        <v>Sundberg</v>
      </c>
      <c r="E9026" t="str">
        <f>IFERROR(__xludf.DUMMYFUNCTION("""COMPUTED_VALUE"""),"Nick")</f>
        <v>Nick</v>
      </c>
      <c r="F9026" t="str">
        <f>IFERROR(__xludf.DUMMYFUNCTION("""COMPUTED_VALUE"""),"C")</f>
        <v>C</v>
      </c>
      <c r="G9026" t="str">
        <f>IFERROR(__xludf.DUMMYFUNCTION("""COMPUTED_VALUE"""),"")</f>
        <v/>
      </c>
    </row>
    <row r="9027">
      <c r="D9027" t="str">
        <f>IFERROR(__xludf.DUMMYFUNCTION("""COMPUTED_VALUE"""),"Sutton")</f>
        <v>Sutton</v>
      </c>
      <c r="E9027" t="str">
        <f>IFERROR(__xludf.DUMMYFUNCTION("""COMPUTED_VALUE"""),"Cameron")</f>
        <v>Cameron</v>
      </c>
      <c r="F9027" t="str">
        <f>IFERROR(__xludf.DUMMYFUNCTION("""COMPUTED_VALUE"""),"CB")</f>
        <v>CB</v>
      </c>
      <c r="G9027" t="str">
        <f>IFERROR(__xludf.DUMMYFUNCTION("""COMPUTED_VALUE"""),"")</f>
        <v/>
      </c>
    </row>
    <row r="9028">
      <c r="D9028" t="str">
        <f>IFERROR(__xludf.DUMMYFUNCTION("""COMPUTED_VALUE"""),"Sutton")</f>
        <v>Sutton</v>
      </c>
      <c r="E9028" t="str">
        <f>IFERROR(__xludf.DUMMYFUNCTION("""COMPUTED_VALUE"""),"Courtland")</f>
        <v>Courtland</v>
      </c>
      <c r="F9028" t="str">
        <f>IFERROR(__xludf.DUMMYFUNCTION("""COMPUTED_VALUE"""),"WR")</f>
        <v>WR</v>
      </c>
      <c r="G9028" t="str">
        <f>IFERROR(__xludf.DUMMYFUNCTION("""COMPUTED_VALUE"""),"")</f>
        <v/>
      </c>
    </row>
    <row r="9029">
      <c r="D9029" t="str">
        <f>IFERROR(__xludf.DUMMYFUNCTION("""COMPUTED_VALUE"""),"Swaim")</f>
        <v>Swaim</v>
      </c>
      <c r="E9029" t="str">
        <f>IFERROR(__xludf.DUMMYFUNCTION("""COMPUTED_VALUE"""),"Geoff")</f>
        <v>Geoff</v>
      </c>
      <c r="F9029" t="str">
        <f>IFERROR(__xludf.DUMMYFUNCTION("""COMPUTED_VALUE"""),"TE")</f>
        <v>TE</v>
      </c>
      <c r="G9029" t="str">
        <f>IFERROR(__xludf.DUMMYFUNCTION("""COMPUTED_VALUE"""),"")</f>
        <v/>
      </c>
    </row>
    <row r="9030">
      <c r="D9030" t="str">
        <f>IFERROR(__xludf.DUMMYFUNCTION("""COMPUTED_VALUE"""),"Swearinger")</f>
        <v>Swearinger</v>
      </c>
      <c r="E9030" t="str">
        <f>IFERROR(__xludf.DUMMYFUNCTION("""COMPUTED_VALUE"""),"DJ")</f>
        <v>DJ</v>
      </c>
      <c r="F9030" t="str">
        <f>IFERROR(__xludf.DUMMYFUNCTION("""COMPUTED_VALUE"""),"SS")</f>
        <v>SS</v>
      </c>
      <c r="G9030" t="str">
        <f>IFERROR(__xludf.DUMMYFUNCTION("""COMPUTED_VALUE"""),"")</f>
        <v/>
      </c>
    </row>
    <row r="9031">
      <c r="D9031" t="str">
        <f>IFERROR(__xludf.DUMMYFUNCTION("""COMPUTED_VALUE"""),"Sweat")</f>
        <v>Sweat</v>
      </c>
      <c r="E9031" t="str">
        <f>IFERROR(__xludf.DUMMYFUNCTION("""COMPUTED_VALUE"""),"Josh")</f>
        <v>Josh</v>
      </c>
      <c r="F9031" t="str">
        <f>IFERROR(__xludf.DUMMYFUNCTION("""COMPUTED_VALUE"""),"RE")</f>
        <v>RE</v>
      </c>
      <c r="G9031" t="str">
        <f>IFERROR(__xludf.DUMMYFUNCTION("""COMPUTED_VALUE"""),"")</f>
        <v/>
      </c>
    </row>
    <row r="9032">
      <c r="D9032" t="str">
        <f>IFERROR(__xludf.DUMMYFUNCTION("""COMPUTED_VALUE"""),"Sweat")</f>
        <v>Sweat</v>
      </c>
      <c r="E9032" t="str">
        <f>IFERROR(__xludf.DUMMYFUNCTION("""COMPUTED_VALUE"""),"Montez")</f>
        <v>Montez</v>
      </c>
      <c r="F9032" t="str">
        <f>IFERROR(__xludf.DUMMYFUNCTION("""COMPUTED_VALUE"""),"ROLB")</f>
        <v>ROLB</v>
      </c>
      <c r="G9032" t="str">
        <f>IFERROR(__xludf.DUMMYFUNCTION("""COMPUTED_VALUE"""),"")</f>
        <v/>
      </c>
    </row>
    <row r="9033">
      <c r="D9033" t="str">
        <f>IFERROR(__xludf.DUMMYFUNCTION("""COMPUTED_VALUE"""),"Sweeney")</f>
        <v>Sweeney</v>
      </c>
      <c r="E9033" t="str">
        <f>IFERROR(__xludf.DUMMYFUNCTION("""COMPUTED_VALUE"""),"Tommy")</f>
        <v>Tommy</v>
      </c>
      <c r="F9033" t="str">
        <f>IFERROR(__xludf.DUMMYFUNCTION("""COMPUTED_VALUE"""),"TE")</f>
        <v>TE</v>
      </c>
      <c r="G9033" t="str">
        <f>IFERROR(__xludf.DUMMYFUNCTION("""COMPUTED_VALUE"""),"")</f>
        <v/>
      </c>
    </row>
    <row r="9034">
      <c r="D9034" t="str">
        <f>IFERROR(__xludf.DUMMYFUNCTION("""COMPUTED_VALUE"""),"Sweet")</f>
        <v>Sweet</v>
      </c>
      <c r="E9034" t="str">
        <f>IFERROR(__xludf.DUMMYFUNCTION("""COMPUTED_VALUE"""),"William")</f>
        <v>William</v>
      </c>
      <c r="F9034" t="str">
        <f>IFERROR(__xludf.DUMMYFUNCTION("""COMPUTED_VALUE"""),"RT")</f>
        <v>RT</v>
      </c>
      <c r="G9034" t="str">
        <f>IFERROR(__xludf.DUMMYFUNCTION("""COMPUTED_VALUE"""),"")</f>
        <v/>
      </c>
    </row>
    <row r="9035">
      <c r="D9035" t="str">
        <f>IFERROR(__xludf.DUMMYFUNCTION("""COMPUTED_VALUE"""),"Sweezy")</f>
        <v>Sweezy</v>
      </c>
      <c r="E9035" t="str">
        <f>IFERROR(__xludf.DUMMYFUNCTION("""COMPUTED_VALUE"""),"JR")</f>
        <v>JR</v>
      </c>
      <c r="F9035" t="str">
        <f>IFERROR(__xludf.DUMMYFUNCTION("""COMPUTED_VALUE"""),"LG")</f>
        <v>LG</v>
      </c>
      <c r="G9035" t="str">
        <f>IFERROR(__xludf.DUMMYFUNCTION("""COMPUTED_VALUE"""),"")</f>
        <v/>
      </c>
    </row>
    <row r="9036">
      <c r="D9036" t="str">
        <f>IFERROR(__xludf.DUMMYFUNCTION("""COMPUTED_VALUE"""),"Switzer")</f>
        <v>Switzer</v>
      </c>
      <c r="E9036" t="str">
        <f>IFERROR(__xludf.DUMMYFUNCTION("""COMPUTED_VALUE"""),"Ryan")</f>
        <v>Ryan</v>
      </c>
      <c r="F9036" t="str">
        <f>IFERROR(__xludf.DUMMYFUNCTION("""COMPUTED_VALUE"""),"WR")</f>
        <v>WR</v>
      </c>
      <c r="G9036" t="str">
        <f>IFERROR(__xludf.DUMMYFUNCTION("""COMPUTED_VALUE"""),"")</f>
        <v/>
      </c>
    </row>
    <row r="9037">
      <c r="D9037" t="str">
        <f>IFERROR(__xludf.DUMMYFUNCTION("""COMPUTED_VALUE"""),"Swoopes")</f>
        <v>Swoopes</v>
      </c>
      <c r="E9037" t="str">
        <f>IFERROR(__xludf.DUMMYFUNCTION("""COMPUTED_VALUE"""),"Tyrone")</f>
        <v>Tyrone</v>
      </c>
      <c r="F9037" t="str">
        <f>IFERROR(__xludf.DUMMYFUNCTION("""COMPUTED_VALUE"""),"TE")</f>
        <v>TE</v>
      </c>
      <c r="G9037" t="str">
        <f>IFERROR(__xludf.DUMMYFUNCTION("""COMPUTED_VALUE"""),"")</f>
        <v/>
      </c>
    </row>
    <row r="9038">
      <c r="D9038" t="str">
        <f>IFERROR(__xludf.DUMMYFUNCTION("""COMPUTED_VALUE"""),"Tabor")</f>
        <v>Tabor</v>
      </c>
      <c r="E9038" t="str">
        <f>IFERROR(__xludf.DUMMYFUNCTION("""COMPUTED_VALUE"""),"Teez")</f>
        <v>Teez</v>
      </c>
      <c r="F9038" t="str">
        <f>IFERROR(__xludf.DUMMYFUNCTION("""COMPUTED_VALUE"""),"CB")</f>
        <v>CB</v>
      </c>
      <c r="G9038" t="str">
        <f>IFERROR(__xludf.DUMMYFUNCTION("""COMPUTED_VALUE"""),"")</f>
        <v/>
      </c>
    </row>
    <row r="9039">
      <c r="D9039" t="str">
        <f>IFERROR(__xludf.DUMMYFUNCTION("""COMPUTED_VALUE"""),"Takitaki")</f>
        <v>Takitaki</v>
      </c>
      <c r="E9039" t="str">
        <f>IFERROR(__xludf.DUMMYFUNCTION("""COMPUTED_VALUE"""),"Sione")</f>
        <v>Sione</v>
      </c>
      <c r="F9039" t="str">
        <f>IFERROR(__xludf.DUMMYFUNCTION("""COMPUTED_VALUE"""),"LOLB")</f>
        <v>LOLB</v>
      </c>
      <c r="G9039" t="str">
        <f>IFERROR(__xludf.DUMMYFUNCTION("""COMPUTED_VALUE"""),"")</f>
        <v/>
      </c>
    </row>
    <row r="9040">
      <c r="D9040" t="str">
        <f>IFERROR(__xludf.DUMMYFUNCTION("""COMPUTED_VALUE"""),"Talib")</f>
        <v>Talib</v>
      </c>
      <c r="E9040" t="str">
        <f>IFERROR(__xludf.DUMMYFUNCTION("""COMPUTED_VALUE"""),"Aqib")</f>
        <v>Aqib</v>
      </c>
      <c r="F9040" t="str">
        <f>IFERROR(__xludf.DUMMYFUNCTION("""COMPUTED_VALUE"""),"CB")</f>
        <v>CB</v>
      </c>
      <c r="G9040" t="str">
        <f>IFERROR(__xludf.DUMMYFUNCTION("""COMPUTED_VALUE"""),"")</f>
        <v/>
      </c>
    </row>
    <row r="9041">
      <c r="D9041" t="str">
        <f>IFERROR(__xludf.DUMMYFUNCTION("""COMPUTED_VALUE"""),"Tankersley")</f>
        <v>Tankersley</v>
      </c>
      <c r="E9041" t="str">
        <f>IFERROR(__xludf.DUMMYFUNCTION("""COMPUTED_VALUE"""),"Cordrea")</f>
        <v>Cordrea</v>
      </c>
      <c r="F9041" t="str">
        <f>IFERROR(__xludf.DUMMYFUNCTION("""COMPUTED_VALUE"""),"CB")</f>
        <v>CB</v>
      </c>
      <c r="G9041" t="str">
        <f>IFERROR(__xludf.DUMMYFUNCTION("""COMPUTED_VALUE"""),"")</f>
        <v/>
      </c>
    </row>
    <row r="9042">
      <c r="D9042" t="str">
        <f>IFERROR(__xludf.DUMMYFUNCTION("""COMPUTED_VALUE"""),"Tannehill")</f>
        <v>Tannehill</v>
      </c>
      <c r="E9042" t="str">
        <f>IFERROR(__xludf.DUMMYFUNCTION("""COMPUTED_VALUE"""),"Ryan")</f>
        <v>Ryan</v>
      </c>
      <c r="F9042" t="str">
        <f>IFERROR(__xludf.DUMMYFUNCTION("""COMPUTED_VALUE"""),"QB")</f>
        <v>QB</v>
      </c>
      <c r="G9042" t="str">
        <f>IFERROR(__xludf.DUMMYFUNCTION("""COMPUTED_VALUE"""),"")</f>
        <v/>
      </c>
    </row>
    <row r="9043">
      <c r="D9043" t="str">
        <f>IFERROR(__xludf.DUMMYFUNCTION("""COMPUTED_VALUE"""),"Tanney")</f>
        <v>Tanney</v>
      </c>
      <c r="E9043" t="str">
        <f>IFERROR(__xludf.DUMMYFUNCTION("""COMPUTED_VALUE"""),"Alex")</f>
        <v>Alex</v>
      </c>
      <c r="F9043" t="str">
        <f>IFERROR(__xludf.DUMMYFUNCTION("""COMPUTED_VALUE"""),"QB")</f>
        <v>QB</v>
      </c>
      <c r="G9043" t="str">
        <f>IFERROR(__xludf.DUMMYFUNCTION("""COMPUTED_VALUE"""),"")</f>
        <v/>
      </c>
    </row>
    <row r="9044">
      <c r="D9044" t="str">
        <f>IFERROR(__xludf.DUMMYFUNCTION("""COMPUTED_VALUE"""),"Tartt")</f>
        <v>Tartt</v>
      </c>
      <c r="E9044" t="str">
        <f>IFERROR(__xludf.DUMMYFUNCTION("""COMPUTED_VALUE"""),"Jaquiski")</f>
        <v>Jaquiski</v>
      </c>
      <c r="F9044" t="str">
        <f>IFERROR(__xludf.DUMMYFUNCTION("""COMPUTED_VALUE"""),"SS")</f>
        <v>SS</v>
      </c>
      <c r="G9044" t="str">
        <f>IFERROR(__xludf.DUMMYFUNCTION("""COMPUTED_VALUE"""),"")</f>
        <v/>
      </c>
    </row>
    <row r="9045">
      <c r="D9045" t="str">
        <f>IFERROR(__xludf.DUMMYFUNCTION("""COMPUTED_VALUE"""),"Tate")</f>
        <v>Tate</v>
      </c>
      <c r="E9045" t="str">
        <f>IFERROR(__xludf.DUMMYFUNCTION("""COMPUTED_VALUE"""),"Auden")</f>
        <v>Auden</v>
      </c>
      <c r="F9045" t="str">
        <f>IFERROR(__xludf.DUMMYFUNCTION("""COMPUTED_VALUE"""),"WR")</f>
        <v>WR</v>
      </c>
      <c r="G9045" t="str">
        <f>IFERROR(__xludf.DUMMYFUNCTION("""COMPUTED_VALUE"""),"")</f>
        <v/>
      </c>
    </row>
    <row r="9046">
      <c r="D9046" t="str">
        <f>IFERROR(__xludf.DUMMYFUNCTION("""COMPUTED_VALUE"""),"Tate")</f>
        <v>Tate</v>
      </c>
      <c r="E9046" t="str">
        <f>IFERROR(__xludf.DUMMYFUNCTION("""COMPUTED_VALUE"""),"Golden")</f>
        <v>Golden</v>
      </c>
      <c r="F9046" t="str">
        <f>IFERROR(__xludf.DUMMYFUNCTION("""COMPUTED_VALUE"""),"WR")</f>
        <v>WR</v>
      </c>
      <c r="G9046" t="str">
        <f>IFERROR(__xludf.DUMMYFUNCTION("""COMPUTED_VALUE"""),"")</f>
        <v/>
      </c>
    </row>
    <row r="9047">
      <c r="D9047" t="str">
        <f>IFERROR(__xludf.DUMMYFUNCTION("""COMPUTED_VALUE"""),"Taumoepenu")</f>
        <v>Taumoepenu</v>
      </c>
      <c r="E9047" t="str">
        <f>IFERROR(__xludf.DUMMYFUNCTION("""COMPUTED_VALUE"""),"Pita")</f>
        <v>Pita</v>
      </c>
      <c r="F9047" t="str">
        <f>IFERROR(__xludf.DUMMYFUNCTION("""COMPUTED_VALUE"""),"LOLB")</f>
        <v>LOLB</v>
      </c>
      <c r="G9047" t="str">
        <f>IFERROR(__xludf.DUMMYFUNCTION("""COMPUTED_VALUE"""),"")</f>
        <v/>
      </c>
    </row>
    <row r="9048">
      <c r="D9048" t="str">
        <f>IFERROR(__xludf.DUMMYFUNCTION("""COMPUTED_VALUE"""),"Tavai")</f>
        <v>Tavai</v>
      </c>
      <c r="E9048" t="str">
        <f>IFERROR(__xludf.DUMMYFUNCTION("""COMPUTED_VALUE"""),"Jahlani")</f>
        <v>Jahlani</v>
      </c>
      <c r="F9048" t="str">
        <f>IFERROR(__xludf.DUMMYFUNCTION("""COMPUTED_VALUE"""),"MLB")</f>
        <v>MLB</v>
      </c>
      <c r="G9048" t="str">
        <f>IFERROR(__xludf.DUMMYFUNCTION("""COMPUTED_VALUE"""),"")</f>
        <v/>
      </c>
    </row>
    <row r="9049">
      <c r="D9049" t="str">
        <f>IFERROR(__xludf.DUMMYFUNCTION("""COMPUTED_VALUE"""),"Tavecchio")</f>
        <v>Tavecchio</v>
      </c>
      <c r="E9049" t="str">
        <f>IFERROR(__xludf.DUMMYFUNCTION("""COMPUTED_VALUE"""),"Giorgio")</f>
        <v>Giorgio</v>
      </c>
      <c r="F9049" t="str">
        <f>IFERROR(__xludf.DUMMYFUNCTION("""COMPUTED_VALUE"""),"K")</f>
        <v>K</v>
      </c>
      <c r="G9049" t="str">
        <f>IFERROR(__xludf.DUMMYFUNCTION("""COMPUTED_VALUE"""),"")</f>
        <v/>
      </c>
    </row>
    <row r="9050">
      <c r="D9050" t="str">
        <f>IFERROR(__xludf.DUMMYFUNCTION("""COMPUTED_VALUE"""),"Taylor")</f>
        <v>Taylor</v>
      </c>
      <c r="E9050" t="str">
        <f>IFERROR(__xludf.DUMMYFUNCTION("""COMPUTED_VALUE"""),"Adarius")</f>
        <v>Adarius</v>
      </c>
      <c r="F9050" t="str">
        <f>IFERROR(__xludf.DUMMYFUNCTION("""COMPUTED_VALUE"""),"MLB")</f>
        <v>MLB</v>
      </c>
      <c r="G9050" t="str">
        <f>IFERROR(__xludf.DUMMYFUNCTION("""COMPUTED_VALUE"""),"")</f>
        <v/>
      </c>
    </row>
    <row r="9051">
      <c r="D9051" t="str">
        <f>IFERROR(__xludf.DUMMYFUNCTION("""COMPUTED_VALUE"""),"Taylor")</f>
        <v>Taylor</v>
      </c>
      <c r="E9051" t="str">
        <f>IFERROR(__xludf.DUMMYFUNCTION("""COMPUTED_VALUE"""),"Jamar")</f>
        <v>Jamar</v>
      </c>
      <c r="F9051" t="str">
        <f>IFERROR(__xludf.DUMMYFUNCTION("""COMPUTED_VALUE"""),"CB")</f>
        <v>CB</v>
      </c>
      <c r="G9051" t="str">
        <f>IFERROR(__xludf.DUMMYFUNCTION("""COMPUTED_VALUE"""),"")</f>
        <v/>
      </c>
    </row>
    <row r="9052">
      <c r="D9052" t="str">
        <f>IFERROR(__xludf.DUMMYFUNCTION("""COMPUTED_VALUE"""),"Taylor")</f>
        <v>Taylor</v>
      </c>
      <c r="E9052" t="str">
        <f>IFERROR(__xludf.DUMMYFUNCTION("""COMPUTED_VALUE"""),"Jawaan")</f>
        <v>Jawaan</v>
      </c>
      <c r="F9052" t="str">
        <f>IFERROR(__xludf.DUMMYFUNCTION("""COMPUTED_VALUE"""),"RT")</f>
        <v>RT</v>
      </c>
      <c r="G9052" t="str">
        <f>IFERROR(__xludf.DUMMYFUNCTION("""COMPUTED_VALUE"""),"")</f>
        <v/>
      </c>
    </row>
    <row r="9053">
      <c r="D9053" t="str">
        <f>IFERROR(__xludf.DUMMYFUNCTION("""COMPUTED_VALUE"""),"Taylor")</f>
        <v>Taylor</v>
      </c>
      <c r="E9053" t="str">
        <f>IFERROR(__xludf.DUMMYFUNCTION("""COMPUTED_VALUE"""),"Jordan")</f>
        <v>Jordan</v>
      </c>
      <c r="F9053" t="str">
        <f>IFERROR(__xludf.DUMMYFUNCTION("""COMPUTED_VALUE"""),"WR")</f>
        <v>WR</v>
      </c>
      <c r="G9053" t="str">
        <f>IFERROR(__xludf.DUMMYFUNCTION("""COMPUTED_VALUE"""),"")</f>
        <v/>
      </c>
    </row>
    <row r="9054">
      <c r="D9054" t="str">
        <f>IFERROR(__xludf.DUMMYFUNCTION("""COMPUTED_VALUE"""),"Taylor")</f>
        <v>Taylor</v>
      </c>
      <c r="E9054" t="str">
        <f>IFERROR(__xludf.DUMMYFUNCTION("""COMPUTED_VALUE"""),"Jullian")</f>
        <v>Jullian</v>
      </c>
      <c r="F9054" t="str">
        <f>IFERROR(__xludf.DUMMYFUNCTION("""COMPUTED_VALUE"""),"LE")</f>
        <v>LE</v>
      </c>
      <c r="G9054" t="str">
        <f>IFERROR(__xludf.DUMMYFUNCTION("""COMPUTED_VALUE"""),"")</f>
        <v/>
      </c>
    </row>
    <row r="9055">
      <c r="D9055" t="str">
        <f>IFERROR(__xludf.DUMMYFUNCTION("""COMPUTED_VALUE"""),"Taylor")</f>
        <v>Taylor</v>
      </c>
      <c r="E9055" t="str">
        <f>IFERROR(__xludf.DUMMYFUNCTION("""COMPUTED_VALUE"""),"Lane")</f>
        <v>Lane</v>
      </c>
      <c r="F9055" t="str">
        <f>IFERROR(__xludf.DUMMYFUNCTION("""COMPUTED_VALUE"""),"LG")</f>
        <v>LG</v>
      </c>
      <c r="G9055" t="str">
        <f>IFERROR(__xludf.DUMMYFUNCTION("""COMPUTED_VALUE"""),"")</f>
        <v/>
      </c>
    </row>
    <row r="9056">
      <c r="D9056" t="str">
        <f>IFERROR(__xludf.DUMMYFUNCTION("""COMPUTED_VALUE"""),"Taylor")</f>
        <v>Taylor</v>
      </c>
      <c r="E9056" t="str">
        <f>IFERROR(__xludf.DUMMYFUNCTION("""COMPUTED_VALUE"""),"Rod")</f>
        <v>Rod</v>
      </c>
      <c r="F9056" t="str">
        <f>IFERROR(__xludf.DUMMYFUNCTION("""COMPUTED_VALUE"""),"RG")</f>
        <v>RG</v>
      </c>
      <c r="G9056" t="str">
        <f>IFERROR(__xludf.DUMMYFUNCTION("""COMPUTED_VALUE"""),"")</f>
        <v/>
      </c>
    </row>
    <row r="9057">
      <c r="D9057" t="str">
        <f>IFERROR(__xludf.DUMMYFUNCTION("""COMPUTED_VALUE"""),"Taylor")</f>
        <v>Taylor</v>
      </c>
      <c r="E9057" t="str">
        <f>IFERROR(__xludf.DUMMYFUNCTION("""COMPUTED_VALUE"""),"Taywan")</f>
        <v>Taywan</v>
      </c>
      <c r="F9057" t="str">
        <f>IFERROR(__xludf.DUMMYFUNCTION("""COMPUTED_VALUE"""),"WR")</f>
        <v>WR</v>
      </c>
      <c r="G9057" t="str">
        <f>IFERROR(__xludf.DUMMYFUNCTION("""COMPUTED_VALUE"""),"")</f>
        <v/>
      </c>
    </row>
    <row r="9058">
      <c r="D9058" t="str">
        <f>IFERROR(__xludf.DUMMYFUNCTION("""COMPUTED_VALUE"""),"Taylor")</f>
        <v>Taylor</v>
      </c>
      <c r="E9058" t="str">
        <f>IFERROR(__xludf.DUMMYFUNCTION("""COMPUTED_VALUE"""),"Trent")</f>
        <v>Trent</v>
      </c>
      <c r="F9058" t="str">
        <f>IFERROR(__xludf.DUMMYFUNCTION("""COMPUTED_VALUE"""),"WR")</f>
        <v>WR</v>
      </c>
      <c r="G9058" t="str">
        <f>IFERROR(__xludf.DUMMYFUNCTION("""COMPUTED_VALUE"""),"")</f>
        <v/>
      </c>
    </row>
    <row r="9059">
      <c r="D9059" t="str">
        <f>IFERROR(__xludf.DUMMYFUNCTION("""COMPUTED_VALUE"""),"Taylor")</f>
        <v>Taylor</v>
      </c>
      <c r="E9059" t="str">
        <f>IFERROR(__xludf.DUMMYFUNCTION("""COMPUTED_VALUE"""),"Tyrod")</f>
        <v>Tyrod</v>
      </c>
      <c r="F9059" t="str">
        <f>IFERROR(__xludf.DUMMYFUNCTION("""COMPUTED_VALUE"""),"QB")</f>
        <v>QB</v>
      </c>
      <c r="G9059" t="str">
        <f>IFERROR(__xludf.DUMMYFUNCTION("""COMPUTED_VALUE"""),"")</f>
        <v/>
      </c>
    </row>
    <row r="9060">
      <c r="D9060" t="str">
        <f>IFERROR(__xludf.DUMMYFUNCTION("""COMPUTED_VALUE"""),"Taylor")</f>
        <v>Taylor</v>
      </c>
      <c r="E9060" t="str">
        <f>IFERROR(__xludf.DUMMYFUNCTION("""COMPUTED_VALUE"""),"Vincent")</f>
        <v>Vincent</v>
      </c>
      <c r="F9060" t="str">
        <f>IFERROR(__xludf.DUMMYFUNCTION("""COMPUTED_VALUE"""),"DT")</f>
        <v>DT</v>
      </c>
      <c r="G9060" t="str">
        <f>IFERROR(__xludf.DUMMYFUNCTION("""COMPUTED_VALUE"""),"")</f>
        <v/>
      </c>
    </row>
    <row r="9061">
      <c r="D9061" t="str">
        <f>IFERROR(__xludf.DUMMYFUNCTION("""COMPUTED_VALUE"""),"Tell")</f>
        <v>Tell</v>
      </c>
      <c r="E9061" t="str">
        <f>IFERROR(__xludf.DUMMYFUNCTION("""COMPUTED_VALUE"""),"Marvell")</f>
        <v>Marvell</v>
      </c>
      <c r="F9061" t="str">
        <f>IFERROR(__xludf.DUMMYFUNCTION("""COMPUTED_VALUE"""),"FS")</f>
        <v>FS</v>
      </c>
      <c r="G9061" t="str">
        <f>IFERROR(__xludf.DUMMYFUNCTION("""COMPUTED_VALUE"""),"")</f>
        <v/>
      </c>
    </row>
    <row r="9062">
      <c r="D9062" t="str">
        <f>IFERROR(__xludf.DUMMYFUNCTION("""COMPUTED_VALUE"""),"Teller")</f>
        <v>Teller</v>
      </c>
      <c r="E9062" t="str">
        <f>IFERROR(__xludf.DUMMYFUNCTION("""COMPUTED_VALUE"""),"Wyatt")</f>
        <v>Wyatt</v>
      </c>
      <c r="F9062" t="str">
        <f>IFERROR(__xludf.DUMMYFUNCTION("""COMPUTED_VALUE"""),"RG")</f>
        <v>RG</v>
      </c>
      <c r="G9062" t="str">
        <f>IFERROR(__xludf.DUMMYFUNCTION("""COMPUTED_VALUE"""),"")</f>
        <v/>
      </c>
    </row>
    <row r="9063">
      <c r="D9063" t="str">
        <f>IFERROR(__xludf.DUMMYFUNCTION("""COMPUTED_VALUE"""),"Tevi")</f>
        <v>Tevi</v>
      </c>
      <c r="E9063" t="str">
        <f>IFERROR(__xludf.DUMMYFUNCTION("""COMPUTED_VALUE"""),"Sam")</f>
        <v>Sam</v>
      </c>
      <c r="F9063" t="str">
        <f>IFERROR(__xludf.DUMMYFUNCTION("""COMPUTED_VALUE"""),"RT")</f>
        <v>RT</v>
      </c>
      <c r="G9063" t="str">
        <f>IFERROR(__xludf.DUMMYFUNCTION("""COMPUTED_VALUE"""),"")</f>
        <v/>
      </c>
    </row>
    <row r="9064">
      <c r="D9064" t="str">
        <f>IFERROR(__xludf.DUMMYFUNCTION("""COMPUTED_VALUE"""),"Thielen")</f>
        <v>Thielen</v>
      </c>
      <c r="E9064" t="str">
        <f>IFERROR(__xludf.DUMMYFUNCTION("""COMPUTED_VALUE"""),"Adam")</f>
        <v>Adam</v>
      </c>
      <c r="F9064" t="str">
        <f>IFERROR(__xludf.DUMMYFUNCTION("""COMPUTED_VALUE"""),"WR")</f>
        <v>WR</v>
      </c>
      <c r="G9064" t="str">
        <f>IFERROR(__xludf.DUMMYFUNCTION("""COMPUTED_VALUE"""),"")</f>
        <v/>
      </c>
    </row>
    <row r="9065">
      <c r="D9065" t="str">
        <f>IFERROR(__xludf.DUMMYFUNCTION("""COMPUTED_VALUE"""),"Thomas")</f>
        <v>Thomas</v>
      </c>
      <c r="E9065" t="str">
        <f>IFERROR(__xludf.DUMMYFUNCTION("""COMPUTED_VALUE"""),"Ahmad")</f>
        <v>Ahmad</v>
      </c>
      <c r="F9065" t="str">
        <f>IFERROR(__xludf.DUMMYFUNCTION("""COMPUTED_VALUE"""),"LOLB")</f>
        <v>LOLB</v>
      </c>
      <c r="G9065" t="str">
        <f>IFERROR(__xludf.DUMMYFUNCTION("""COMPUTED_VALUE"""),"")</f>
        <v/>
      </c>
    </row>
    <row r="9066">
      <c r="D9066" t="str">
        <f>IFERROR(__xludf.DUMMYFUNCTION("""COMPUTED_VALUE"""),"Thomas")</f>
        <v>Thomas</v>
      </c>
      <c r="E9066" t="str">
        <f>IFERROR(__xludf.DUMMYFUNCTION("""COMPUTED_VALUE"""),"Brandon")</f>
        <v>Brandon</v>
      </c>
      <c r="F9066" t="str">
        <f>IFERROR(__xludf.DUMMYFUNCTION("""COMPUTED_VALUE"""),"RG")</f>
        <v>RG</v>
      </c>
      <c r="G9066" t="str">
        <f>IFERROR(__xludf.DUMMYFUNCTION("""COMPUTED_VALUE"""),"")</f>
        <v/>
      </c>
    </row>
    <row r="9067">
      <c r="D9067" t="str">
        <f>IFERROR(__xludf.DUMMYFUNCTION("""COMPUTED_VALUE"""),"Thomas")</f>
        <v>Thomas</v>
      </c>
      <c r="E9067" t="str">
        <f>IFERROR(__xludf.DUMMYFUNCTION("""COMPUTED_VALUE"""),"Chad")</f>
        <v>Chad</v>
      </c>
      <c r="F9067" t="str">
        <f>IFERROR(__xludf.DUMMYFUNCTION("""COMPUTED_VALUE"""),"RE")</f>
        <v>RE</v>
      </c>
      <c r="G9067" t="str">
        <f>IFERROR(__xludf.DUMMYFUNCTION("""COMPUTED_VALUE"""),"")</f>
        <v/>
      </c>
    </row>
    <row r="9068">
      <c r="D9068" t="str">
        <f>IFERROR(__xludf.DUMMYFUNCTION("""COMPUTED_VALUE"""),"Thomas")</f>
        <v>Thomas</v>
      </c>
      <c r="E9068" t="str">
        <f>IFERROR(__xludf.DUMMYFUNCTION("""COMPUTED_VALUE"""),"Demaryius")</f>
        <v>Demaryius</v>
      </c>
      <c r="F9068" t="str">
        <f>IFERROR(__xludf.DUMMYFUNCTION("""COMPUTED_VALUE"""),"WR")</f>
        <v>WR</v>
      </c>
      <c r="G9068" t="str">
        <f>IFERROR(__xludf.DUMMYFUNCTION("""COMPUTED_VALUE"""),"")</f>
        <v/>
      </c>
    </row>
    <row r="9069">
      <c r="D9069" t="str">
        <f>IFERROR(__xludf.DUMMYFUNCTION("""COMPUTED_VALUE"""),"Thomas")</f>
        <v>Thomas</v>
      </c>
      <c r="E9069" t="str">
        <f>IFERROR(__xludf.DUMMYFUNCTION("""COMPUTED_VALUE"""),"Duke")</f>
        <v>Duke</v>
      </c>
      <c r="F9069" t="str">
        <f>IFERROR(__xludf.DUMMYFUNCTION("""COMPUTED_VALUE"""),"CB")</f>
        <v>CB</v>
      </c>
      <c r="G9069" t="str">
        <f>IFERROR(__xludf.DUMMYFUNCTION("""COMPUTED_VALUE"""),"")</f>
        <v/>
      </c>
    </row>
    <row r="9070">
      <c r="D9070" t="str">
        <f>IFERROR(__xludf.DUMMYFUNCTION("""COMPUTED_VALUE"""),"Thomas")</f>
        <v>Thomas</v>
      </c>
      <c r="E9070" t="str">
        <f>IFERROR(__xludf.DUMMYFUNCTION("""COMPUTED_VALUE"""),"Dymonte")</f>
        <v>Dymonte</v>
      </c>
      <c r="F9070" t="str">
        <f>IFERROR(__xludf.DUMMYFUNCTION("""COMPUTED_VALUE"""),"FS")</f>
        <v>FS</v>
      </c>
      <c r="G9070" t="str">
        <f>IFERROR(__xludf.DUMMYFUNCTION("""COMPUTED_VALUE"""),"")</f>
        <v/>
      </c>
    </row>
    <row r="9071">
      <c r="D9071" t="str">
        <f>IFERROR(__xludf.DUMMYFUNCTION("""COMPUTED_VALUE"""),"Thomas")</f>
        <v>Thomas</v>
      </c>
      <c r="E9071" t="str">
        <f>IFERROR(__xludf.DUMMYFUNCTION("""COMPUTED_VALUE"""),"Earl")</f>
        <v>Earl</v>
      </c>
      <c r="F9071" t="str">
        <f>IFERROR(__xludf.DUMMYFUNCTION("""COMPUTED_VALUE"""),"FS")</f>
        <v>FS</v>
      </c>
      <c r="G9071" t="str">
        <f>IFERROR(__xludf.DUMMYFUNCTION("""COMPUTED_VALUE"""),"")</f>
        <v/>
      </c>
    </row>
    <row r="9072">
      <c r="D9072" t="str">
        <f>IFERROR(__xludf.DUMMYFUNCTION("""COMPUTED_VALUE"""),"Thomas")</f>
        <v>Thomas</v>
      </c>
      <c r="E9072" t="str">
        <f>IFERROR(__xludf.DUMMYFUNCTION("""COMPUTED_VALUE"""),"Ian")</f>
        <v>Ian</v>
      </c>
      <c r="F9072" t="str">
        <f>IFERROR(__xludf.DUMMYFUNCTION("""COMPUTED_VALUE"""),"TE")</f>
        <v>TE</v>
      </c>
      <c r="G9072" t="str">
        <f>IFERROR(__xludf.DUMMYFUNCTION("""COMPUTED_VALUE"""),"")</f>
        <v/>
      </c>
    </row>
    <row r="9073">
      <c r="D9073" t="str">
        <f>IFERROR(__xludf.DUMMYFUNCTION("""COMPUTED_VALUE"""),"Thomas")</f>
        <v>Thomas</v>
      </c>
      <c r="E9073" t="str">
        <f>IFERROR(__xludf.DUMMYFUNCTION("""COMPUTED_VALUE"""),"Joe")</f>
        <v>Joe</v>
      </c>
      <c r="F9073" t="str">
        <f>IFERROR(__xludf.DUMMYFUNCTION("""COMPUTED_VALUE"""),"MLB")</f>
        <v>MLB</v>
      </c>
      <c r="G9073" t="str">
        <f>IFERROR(__xludf.DUMMYFUNCTION("""COMPUTED_VALUE"""),"")</f>
        <v/>
      </c>
    </row>
    <row r="9074">
      <c r="D9074" t="str">
        <f>IFERROR(__xludf.DUMMYFUNCTION("""COMPUTED_VALUE"""),"Thomas")</f>
        <v>Thomas</v>
      </c>
      <c r="E9074" t="str">
        <f>IFERROR(__xludf.DUMMYFUNCTION("""COMPUTED_VALUE"""),"Jordan")</f>
        <v>Jordan</v>
      </c>
      <c r="F9074" t="str">
        <f>IFERROR(__xludf.DUMMYFUNCTION("""COMPUTED_VALUE"""),"TE")</f>
        <v>TE</v>
      </c>
      <c r="G9074" t="str">
        <f>IFERROR(__xludf.DUMMYFUNCTION("""COMPUTED_VALUE"""),"")</f>
        <v/>
      </c>
    </row>
    <row r="9075">
      <c r="D9075" t="str">
        <f>IFERROR(__xludf.DUMMYFUNCTION("""COMPUTED_VALUE"""),"Thomas")</f>
        <v>Thomas</v>
      </c>
      <c r="E9075" t="str">
        <f>IFERROR(__xludf.DUMMYFUNCTION("""COMPUTED_VALUE"""),"Logan")</f>
        <v>Logan</v>
      </c>
      <c r="F9075" t="str">
        <f>IFERROR(__xludf.DUMMYFUNCTION("""COMPUTED_VALUE"""),"TE")</f>
        <v>TE</v>
      </c>
      <c r="G9075" t="str">
        <f>IFERROR(__xludf.DUMMYFUNCTION("""COMPUTED_VALUE"""),"")</f>
        <v/>
      </c>
    </row>
    <row r="9076">
      <c r="D9076" t="str">
        <f>IFERROR(__xludf.DUMMYFUNCTION("""COMPUTED_VALUE"""),"Thomas")</f>
        <v>Thomas</v>
      </c>
      <c r="E9076" t="str">
        <f>IFERROR(__xludf.DUMMYFUNCTION("""COMPUTED_VALUE"""),"Matthew")</f>
        <v>Matthew</v>
      </c>
      <c r="F9076" t="str">
        <f>IFERROR(__xludf.DUMMYFUNCTION("""COMPUTED_VALUE"""),"MLB")</f>
        <v>MLB</v>
      </c>
      <c r="G9076" t="str">
        <f>IFERROR(__xludf.DUMMYFUNCTION("""COMPUTED_VALUE"""),"")</f>
        <v/>
      </c>
    </row>
    <row r="9077">
      <c r="D9077" t="str">
        <f>IFERROR(__xludf.DUMMYFUNCTION("""COMPUTED_VALUE"""),"Thomas")</f>
        <v>Thomas</v>
      </c>
      <c r="E9077" t="str">
        <f>IFERROR(__xludf.DUMMYFUNCTION("""COMPUTED_VALUE"""),"Michael")</f>
        <v>Michael</v>
      </c>
      <c r="F9077" t="str">
        <f>IFERROR(__xludf.DUMMYFUNCTION("""COMPUTED_VALUE"""),"WR")</f>
        <v>WR</v>
      </c>
      <c r="G9077" t="str">
        <f>IFERROR(__xludf.DUMMYFUNCTION("""COMPUTED_VALUE"""),"")</f>
        <v/>
      </c>
    </row>
    <row r="9078">
      <c r="D9078" t="str">
        <f>IFERROR(__xludf.DUMMYFUNCTION("""COMPUTED_VALUE"""),"Thomas")</f>
        <v>Thomas</v>
      </c>
      <c r="E9078" t="str">
        <f>IFERROR(__xludf.DUMMYFUNCTION("""COMPUTED_VALUE"""),"Michael")</f>
        <v>Michael</v>
      </c>
      <c r="F9078" t="str">
        <f>IFERROR(__xludf.DUMMYFUNCTION("""COMPUTED_VALUE"""),"SS")</f>
        <v>SS</v>
      </c>
      <c r="G9078" t="str">
        <f>IFERROR(__xludf.DUMMYFUNCTION("""COMPUTED_VALUE"""),"")</f>
        <v/>
      </c>
    </row>
    <row r="9079">
      <c r="D9079" t="str">
        <f>IFERROR(__xludf.DUMMYFUNCTION("""COMPUTED_VALUE"""),"Thomas")</f>
        <v>Thomas</v>
      </c>
      <c r="E9079" t="str">
        <f>IFERROR(__xludf.DUMMYFUNCTION("""COMPUTED_VALUE"""),"Mike")</f>
        <v>Mike</v>
      </c>
      <c r="F9079" t="str">
        <f>IFERROR(__xludf.DUMMYFUNCTION("""COMPUTED_VALUE"""),"WR")</f>
        <v>WR</v>
      </c>
      <c r="G9079" t="str">
        <f>IFERROR(__xludf.DUMMYFUNCTION("""COMPUTED_VALUE"""),"")</f>
        <v/>
      </c>
    </row>
    <row r="9080">
      <c r="D9080" t="str">
        <f>IFERROR(__xludf.DUMMYFUNCTION("""COMPUTED_VALUE"""),"Thomas")</f>
        <v>Thomas</v>
      </c>
      <c r="E9080" t="str">
        <f>IFERROR(__xludf.DUMMYFUNCTION("""COMPUTED_VALUE"""),"Roc")</f>
        <v>Roc</v>
      </c>
      <c r="F9080" t="str">
        <f>IFERROR(__xludf.DUMMYFUNCTION("""COMPUTED_VALUE"""),"HB")</f>
        <v>HB</v>
      </c>
      <c r="G9080" t="str">
        <f>IFERROR(__xludf.DUMMYFUNCTION("""COMPUTED_VALUE"""),"")</f>
        <v/>
      </c>
    </row>
    <row r="9081">
      <c r="D9081" t="str">
        <f>IFERROR(__xludf.DUMMYFUNCTION("""COMPUTED_VALUE"""),"Thomas")</f>
        <v>Thomas</v>
      </c>
      <c r="E9081" t="str">
        <f>IFERROR(__xludf.DUMMYFUNCTION("""COMPUTED_VALUE"""),"Shamarko")</f>
        <v>Shamarko</v>
      </c>
      <c r="F9081" t="str">
        <f>IFERROR(__xludf.DUMMYFUNCTION("""COMPUTED_VALUE"""),"SS")</f>
        <v>SS</v>
      </c>
      <c r="G9081" t="str">
        <f>IFERROR(__xludf.DUMMYFUNCTION("""COMPUTED_VALUE"""),"")</f>
        <v/>
      </c>
    </row>
    <row r="9082">
      <c r="D9082" t="str">
        <f>IFERROR(__xludf.DUMMYFUNCTION("""COMPUTED_VALUE"""),"Thomas")</f>
        <v>Thomas</v>
      </c>
      <c r="E9082" t="str">
        <f>IFERROR(__xludf.DUMMYFUNCTION("""COMPUTED_VALUE"""),"Simeon")</f>
        <v>Simeon</v>
      </c>
      <c r="F9082" t="str">
        <f>IFERROR(__xludf.DUMMYFUNCTION("""COMPUTED_VALUE"""),"CB")</f>
        <v>CB</v>
      </c>
      <c r="G9082" t="str">
        <f>IFERROR(__xludf.DUMMYFUNCTION("""COMPUTED_VALUE"""),"")</f>
        <v/>
      </c>
    </row>
    <row r="9083">
      <c r="D9083" t="str">
        <f>IFERROR(__xludf.DUMMYFUNCTION("""COMPUTED_VALUE"""),"Thomas")</f>
        <v>Thomas</v>
      </c>
      <c r="E9083" t="str">
        <f>IFERROR(__xludf.DUMMYFUNCTION("""COMPUTED_VALUE"""),"Solomon")</f>
        <v>Solomon</v>
      </c>
      <c r="F9083" t="str">
        <f>IFERROR(__xludf.DUMMYFUNCTION("""COMPUTED_VALUE"""),"RE")</f>
        <v>RE</v>
      </c>
      <c r="G9083" t="str">
        <f>IFERROR(__xludf.DUMMYFUNCTION("""COMPUTED_VALUE"""),"")</f>
        <v/>
      </c>
    </row>
    <row r="9084">
      <c r="D9084" t="str">
        <f>IFERROR(__xludf.DUMMYFUNCTION("""COMPUTED_VALUE"""),"Thomas")</f>
        <v>Thomas</v>
      </c>
      <c r="E9084" t="str">
        <f>IFERROR(__xludf.DUMMYFUNCTION("""COMPUTED_VALUE"""),"Tavierre")</f>
        <v>Tavierre</v>
      </c>
      <c r="F9084" t="str">
        <f>IFERROR(__xludf.DUMMYFUNCTION("""COMPUTED_VALUE"""),"CB")</f>
        <v>CB</v>
      </c>
      <c r="G9084" t="str">
        <f>IFERROR(__xludf.DUMMYFUNCTION("""COMPUTED_VALUE"""),"")</f>
        <v/>
      </c>
    </row>
    <row r="9085">
      <c r="D9085" t="str">
        <f>IFERROR(__xludf.DUMMYFUNCTION("""COMPUTED_VALUE"""),"Thompson")</f>
        <v>Thompson</v>
      </c>
      <c r="E9085" t="str">
        <f>IFERROR(__xludf.DUMMYFUNCTION("""COMPUTED_VALUE"""),"Chris")</f>
        <v>Chris</v>
      </c>
      <c r="F9085" t="str">
        <f>IFERROR(__xludf.DUMMYFUNCTION("""COMPUTED_VALUE"""),"HB")</f>
        <v>HB</v>
      </c>
      <c r="G9085" t="str">
        <f>IFERROR(__xludf.DUMMYFUNCTION("""COMPUTED_VALUE"""),"")</f>
        <v/>
      </c>
    </row>
    <row r="9086">
      <c r="D9086" t="str">
        <f>IFERROR(__xludf.DUMMYFUNCTION("""COMPUTED_VALUE"""),"Thompson")</f>
        <v>Thompson</v>
      </c>
      <c r="E9086" t="str">
        <f>IFERROR(__xludf.DUMMYFUNCTION("""COMPUTED_VALUE"""),"Corey")</f>
        <v>Corey</v>
      </c>
      <c r="F9086" t="str">
        <f>IFERROR(__xludf.DUMMYFUNCTION("""COMPUTED_VALUE"""),"ROLB")</f>
        <v>ROLB</v>
      </c>
      <c r="G9086" t="str">
        <f>IFERROR(__xludf.DUMMYFUNCTION("""COMPUTED_VALUE"""),"")</f>
        <v/>
      </c>
    </row>
    <row r="9087">
      <c r="D9087" t="str">
        <f>IFERROR(__xludf.DUMMYFUNCTION("""COMPUTED_VALUE"""),"Thompson")</f>
        <v>Thompson</v>
      </c>
      <c r="E9087" t="str">
        <f>IFERROR(__xludf.DUMMYFUNCTION("""COMPUTED_VALUE"""),"Darian")</f>
        <v>Darian</v>
      </c>
      <c r="F9087" t="str">
        <f>IFERROR(__xludf.DUMMYFUNCTION("""COMPUTED_VALUE"""),"FS")</f>
        <v>FS</v>
      </c>
      <c r="G9087" t="str">
        <f>IFERROR(__xludf.DUMMYFUNCTION("""COMPUTED_VALUE"""),"")</f>
        <v/>
      </c>
    </row>
    <row r="9088">
      <c r="D9088" t="str">
        <f>IFERROR(__xludf.DUMMYFUNCTION("""COMPUTED_VALUE"""),"Thompson")</f>
        <v>Thompson</v>
      </c>
      <c r="E9088" t="str">
        <f>IFERROR(__xludf.DUMMYFUNCTION("""COMPUTED_VALUE"""),"Darwin")</f>
        <v>Darwin</v>
      </c>
      <c r="F9088" t="str">
        <f>IFERROR(__xludf.DUMMYFUNCTION("""COMPUTED_VALUE"""),"HB")</f>
        <v>HB</v>
      </c>
      <c r="G9088" t="str">
        <f>IFERROR(__xludf.DUMMYFUNCTION("""COMPUTED_VALUE"""),"")</f>
        <v/>
      </c>
    </row>
    <row r="9089">
      <c r="D9089" t="str">
        <f>IFERROR(__xludf.DUMMYFUNCTION("""COMPUTED_VALUE"""),"Thompson")</f>
        <v>Thompson</v>
      </c>
      <c r="E9089" t="str">
        <f>IFERROR(__xludf.DUMMYFUNCTION("""COMPUTED_VALUE"""),"Deionte")</f>
        <v>Deionte</v>
      </c>
      <c r="F9089" t="str">
        <f>IFERROR(__xludf.DUMMYFUNCTION("""COMPUTED_VALUE"""),"FS")</f>
        <v>FS</v>
      </c>
      <c r="G9089" t="str">
        <f>IFERROR(__xludf.DUMMYFUNCTION("""COMPUTED_VALUE"""),"")</f>
        <v/>
      </c>
    </row>
    <row r="9090">
      <c r="D9090" t="str">
        <f>IFERROR(__xludf.DUMMYFUNCTION("""COMPUTED_VALUE"""),"Thompson")</f>
        <v>Thompson</v>
      </c>
      <c r="E9090" t="str">
        <f>IFERROR(__xludf.DUMMYFUNCTION("""COMPUTED_VALUE"""),"Deonte")</f>
        <v>Deonte</v>
      </c>
      <c r="F9090" t="str">
        <f>IFERROR(__xludf.DUMMYFUNCTION("""COMPUTED_VALUE"""),"WR")</f>
        <v>WR</v>
      </c>
      <c r="G9090" t="str">
        <f>IFERROR(__xludf.DUMMYFUNCTION("""COMPUTED_VALUE"""),"")</f>
        <v/>
      </c>
    </row>
    <row r="9091">
      <c r="D9091" t="str">
        <f>IFERROR(__xludf.DUMMYFUNCTION("""COMPUTED_VALUE"""),"Thompson")</f>
        <v>Thompson</v>
      </c>
      <c r="E9091" t="str">
        <f>IFERROR(__xludf.DUMMYFUNCTION("""COMPUTED_VALUE"""),"Shaq")</f>
        <v>Shaq</v>
      </c>
      <c r="F9091" t="str">
        <f>IFERROR(__xludf.DUMMYFUNCTION("""COMPUTED_VALUE"""),"MLB")</f>
        <v>MLB</v>
      </c>
      <c r="G9091" t="str">
        <f>IFERROR(__xludf.DUMMYFUNCTION("""COMPUTED_VALUE"""),"")</f>
        <v/>
      </c>
    </row>
    <row r="9092">
      <c r="D9092" t="str">
        <f>IFERROR(__xludf.DUMMYFUNCTION("""COMPUTED_VALUE"""),"Thompson")</f>
        <v>Thompson</v>
      </c>
      <c r="E9092" t="str">
        <f>IFERROR(__xludf.DUMMYFUNCTION("""COMPUTED_VALUE"""),"Tedric")</f>
        <v>Tedric</v>
      </c>
      <c r="F9092" t="str">
        <f>IFERROR(__xludf.DUMMYFUNCTION("""COMPUTED_VALUE"""),"FS")</f>
        <v>FS</v>
      </c>
      <c r="G9092" t="str">
        <f>IFERROR(__xludf.DUMMYFUNCTION("""COMPUTED_VALUE"""),"")</f>
        <v/>
      </c>
    </row>
    <row r="9093">
      <c r="D9093" t="str">
        <f>IFERROR(__xludf.DUMMYFUNCTION("""COMPUTED_VALUE"""),"Thornhill")</f>
        <v>Thornhill</v>
      </c>
      <c r="E9093" t="str">
        <f>IFERROR(__xludf.DUMMYFUNCTION("""COMPUTED_VALUE"""),"Juan")</f>
        <v>Juan</v>
      </c>
      <c r="F9093" t="str">
        <f>IFERROR(__xludf.DUMMYFUNCTION("""COMPUTED_VALUE"""),"FS")</f>
        <v>FS</v>
      </c>
      <c r="G9093" t="str">
        <f>IFERROR(__xludf.DUMMYFUNCTION("""COMPUTED_VALUE"""),"")</f>
        <v/>
      </c>
    </row>
    <row r="9094">
      <c r="D9094" t="str">
        <f>IFERROR(__xludf.DUMMYFUNCTION("""COMPUTED_VALUE"""),"Thornton")</f>
        <v>Thornton</v>
      </c>
      <c r="E9094" t="str">
        <f>IFERROR(__xludf.DUMMYFUNCTION("""COMPUTED_VALUE"""),"Cedric")</f>
        <v>Cedric</v>
      </c>
      <c r="F9094" t="str">
        <f>IFERROR(__xludf.DUMMYFUNCTION("""COMPUTED_VALUE"""),"DT")</f>
        <v>DT</v>
      </c>
      <c r="G9094" t="str">
        <f>IFERROR(__xludf.DUMMYFUNCTION("""COMPUTED_VALUE"""),"")</f>
        <v/>
      </c>
    </row>
    <row r="9095">
      <c r="D9095" t="str">
        <f>IFERROR(__xludf.DUMMYFUNCTION("""COMPUTED_VALUE"""),"Thorpe")</f>
        <v>Thorpe</v>
      </c>
      <c r="E9095" t="str">
        <f>IFERROR(__xludf.DUMMYFUNCTION("""COMPUTED_VALUE"""),"Neiko")</f>
        <v>Neiko</v>
      </c>
      <c r="F9095" t="str">
        <f>IFERROR(__xludf.DUMMYFUNCTION("""COMPUTED_VALUE"""),"CB")</f>
        <v>CB</v>
      </c>
      <c r="G9095" t="str">
        <f>IFERROR(__xludf.DUMMYFUNCTION("""COMPUTED_VALUE"""),"")</f>
        <v/>
      </c>
    </row>
    <row r="9096">
      <c r="D9096" t="str">
        <f>IFERROR(__xludf.DUMMYFUNCTION("""COMPUTED_VALUE"""),"Thorson")</f>
        <v>Thorson</v>
      </c>
      <c r="E9096" t="str">
        <f>IFERROR(__xludf.DUMMYFUNCTION("""COMPUTED_VALUE"""),"Clayton")</f>
        <v>Clayton</v>
      </c>
      <c r="F9096" t="str">
        <f>IFERROR(__xludf.DUMMYFUNCTION("""COMPUTED_VALUE"""),"QB")</f>
        <v>QB</v>
      </c>
      <c r="G9096" t="str">
        <f>IFERROR(__xludf.DUMMYFUNCTION("""COMPUTED_VALUE"""),"")</f>
        <v/>
      </c>
    </row>
    <row r="9097">
      <c r="D9097" t="str">
        <f>IFERROR(__xludf.DUMMYFUNCTION("""COMPUTED_VALUE"""),"Thuney")</f>
        <v>Thuney</v>
      </c>
      <c r="E9097" t="str">
        <f>IFERROR(__xludf.DUMMYFUNCTION("""COMPUTED_VALUE"""),"Joe")</f>
        <v>Joe</v>
      </c>
      <c r="F9097" t="str">
        <f>IFERROR(__xludf.DUMMYFUNCTION("""COMPUTED_VALUE"""),"LG")</f>
        <v>LG</v>
      </c>
      <c r="G9097" t="str">
        <f>IFERROR(__xludf.DUMMYFUNCTION("""COMPUTED_VALUE"""),"")</f>
        <v/>
      </c>
    </row>
    <row r="9098">
      <c r="D9098" t="str">
        <f>IFERROR(__xludf.DUMMYFUNCTION("""COMPUTED_VALUE"""),"Tillery")</f>
        <v>Tillery</v>
      </c>
      <c r="E9098" t="str">
        <f>IFERROR(__xludf.DUMMYFUNCTION("""COMPUTED_VALUE"""),"Jerry")</f>
        <v>Jerry</v>
      </c>
      <c r="F9098" t="str">
        <f>IFERROR(__xludf.DUMMYFUNCTION("""COMPUTED_VALUE"""),"DT")</f>
        <v>DT</v>
      </c>
      <c r="G9098" t="str">
        <f>IFERROR(__xludf.DUMMYFUNCTION("""COMPUTED_VALUE"""),"")</f>
        <v/>
      </c>
    </row>
    <row r="9099">
      <c r="D9099" t="str">
        <f>IFERROR(__xludf.DUMMYFUNCTION("""COMPUTED_VALUE"""),"Toilolo")</f>
        <v>Toilolo</v>
      </c>
      <c r="E9099" t="str">
        <f>IFERROR(__xludf.DUMMYFUNCTION("""COMPUTED_VALUE"""),"Levine")</f>
        <v>Levine</v>
      </c>
      <c r="F9099" t="str">
        <f>IFERROR(__xludf.DUMMYFUNCTION("""COMPUTED_VALUE"""),"TE")</f>
        <v>TE</v>
      </c>
      <c r="G9099" t="str">
        <f>IFERROR(__xludf.DUMMYFUNCTION("""COMPUTED_VALUE"""),"")</f>
        <v/>
      </c>
    </row>
    <row r="9100">
      <c r="D9100" t="str">
        <f>IFERROR(__xludf.DUMMYFUNCTION("""COMPUTED_VALUE"""),"Toliver")</f>
        <v>Toliver</v>
      </c>
      <c r="E9100" t="str">
        <f>IFERROR(__xludf.DUMMYFUNCTION("""COMPUTED_VALUE"""),"Henre")</f>
        <v>Henre</v>
      </c>
      <c r="F9100" t="str">
        <f>IFERROR(__xludf.DUMMYFUNCTION("""COMPUTED_VALUE"""),"CB")</f>
        <v>CB</v>
      </c>
      <c r="G9100" t="str">
        <f>IFERROR(__xludf.DUMMYFUNCTION("""COMPUTED_VALUE"""),"")</f>
        <v/>
      </c>
    </row>
    <row r="9101">
      <c r="D9101" t="str">
        <f>IFERROR(__xludf.DUMMYFUNCTION("""COMPUTED_VALUE"""),"Toliver")</f>
        <v>Toliver</v>
      </c>
      <c r="E9101" t="str">
        <f>IFERROR(__xludf.DUMMYFUNCTION("""COMPUTED_VALUE"""),"Kevin")</f>
        <v>Kevin</v>
      </c>
      <c r="F9101" t="str">
        <f>IFERROR(__xludf.DUMMYFUNCTION("""COMPUTED_VALUE"""),"CB")</f>
        <v>CB</v>
      </c>
      <c r="G9101" t="str">
        <f>IFERROR(__xludf.DUMMYFUNCTION("""COMPUTED_VALUE"""),"")</f>
        <v/>
      </c>
    </row>
    <row r="9102">
      <c r="D9102" t="str">
        <f>IFERROR(__xludf.DUMMYFUNCTION("""COMPUTED_VALUE"""),"Tolliver")</f>
        <v>Tolliver</v>
      </c>
      <c r="E9102" t="str">
        <f>IFERROR(__xludf.DUMMYFUNCTION("""COMPUTED_VALUE"""),"Jalen")</f>
        <v>Jalen</v>
      </c>
      <c r="F9102" t="str">
        <f>IFERROR(__xludf.DUMMYFUNCTION("""COMPUTED_VALUE"""),"WR")</f>
        <v>WR</v>
      </c>
      <c r="G9102" t="str">
        <f>IFERROR(__xludf.DUMMYFUNCTION("""COMPUTED_VALUE"""),"")</f>
        <v/>
      </c>
    </row>
    <row r="9103">
      <c r="D9103" t="str">
        <f>IFERROR(__xludf.DUMMYFUNCTION("""COMPUTED_VALUE"""),"Tom")</f>
        <v>Tom</v>
      </c>
      <c r="E9103" t="str">
        <f>IFERROR(__xludf.DUMMYFUNCTION("""COMPUTED_VALUE"""),"Cameron")</f>
        <v>Cameron</v>
      </c>
      <c r="F9103" t="str">
        <f>IFERROR(__xludf.DUMMYFUNCTION("""COMPUTED_VALUE"""),"C")</f>
        <v>C</v>
      </c>
      <c r="G9103" t="str">
        <f>IFERROR(__xludf.DUMMYFUNCTION("""COMPUTED_VALUE"""),"")</f>
        <v/>
      </c>
    </row>
    <row r="9104">
      <c r="D9104" t="str">
        <f>IFERROR(__xludf.DUMMYFUNCTION("""COMPUTED_VALUE"""),"Tomlinson")</f>
        <v>Tomlinson</v>
      </c>
      <c r="E9104" t="str">
        <f>IFERROR(__xludf.DUMMYFUNCTION("""COMPUTED_VALUE"""),"Dalvin")</f>
        <v>Dalvin</v>
      </c>
      <c r="F9104" t="str">
        <f>IFERROR(__xludf.DUMMYFUNCTION("""COMPUTED_VALUE"""),"LE")</f>
        <v>LE</v>
      </c>
      <c r="G9104" t="str">
        <f>IFERROR(__xludf.DUMMYFUNCTION("""COMPUTED_VALUE"""),"")</f>
        <v/>
      </c>
    </row>
    <row r="9105">
      <c r="D9105" t="str">
        <f>IFERROR(__xludf.DUMMYFUNCTION("""COMPUTED_VALUE"""),"Tomlinson")</f>
        <v>Tomlinson</v>
      </c>
      <c r="E9105" t="str">
        <f>IFERROR(__xludf.DUMMYFUNCTION("""COMPUTED_VALUE"""),"Eric")</f>
        <v>Eric</v>
      </c>
      <c r="F9105" t="str">
        <f>IFERROR(__xludf.DUMMYFUNCTION("""COMPUTED_VALUE"""),"TE")</f>
        <v>TE</v>
      </c>
      <c r="G9105" t="str">
        <f>IFERROR(__xludf.DUMMYFUNCTION("""COMPUTED_VALUE"""),"")</f>
        <v/>
      </c>
    </row>
    <row r="9106">
      <c r="D9106" t="str">
        <f>IFERROR(__xludf.DUMMYFUNCTION("""COMPUTED_VALUE"""),"Tomlinson")</f>
        <v>Tomlinson</v>
      </c>
      <c r="E9106" t="str">
        <f>IFERROR(__xludf.DUMMYFUNCTION("""COMPUTED_VALUE"""),"Laken")</f>
        <v>Laken</v>
      </c>
      <c r="F9106" t="str">
        <f>IFERROR(__xludf.DUMMYFUNCTION("""COMPUTED_VALUE"""),"LG")</f>
        <v>LG</v>
      </c>
      <c r="G9106" t="str">
        <f>IFERROR(__xludf.DUMMYFUNCTION("""COMPUTED_VALUE"""),"")</f>
        <v/>
      </c>
    </row>
    <row r="9107">
      <c r="D9107" t="str">
        <f>IFERROR(__xludf.DUMMYFUNCTION("""COMPUTED_VALUE"""),"Toner")</f>
        <v>Toner</v>
      </c>
      <c r="E9107" t="str">
        <f>IFERROR(__xludf.DUMMYFUNCTION("""COMPUTED_VALUE"""),"Cole")</f>
        <v>Cole</v>
      </c>
      <c r="F9107" t="str">
        <f>IFERROR(__xludf.DUMMYFUNCTION("""COMPUTED_VALUE"""),"C")</f>
        <v>C</v>
      </c>
      <c r="G9107" t="str">
        <f>IFERROR(__xludf.DUMMYFUNCTION("""COMPUTED_VALUE"""),"")</f>
        <v/>
      </c>
    </row>
    <row r="9108">
      <c r="D9108" t="str">
        <f>IFERROR(__xludf.DUMMYFUNCTION("""COMPUTED_VALUE"""),"Tonyan")</f>
        <v>Tonyan</v>
      </c>
      <c r="E9108" t="str">
        <f>IFERROR(__xludf.DUMMYFUNCTION("""COMPUTED_VALUE"""),"Robert")</f>
        <v>Robert</v>
      </c>
      <c r="F9108" t="str">
        <f>IFERROR(__xludf.DUMMYFUNCTION("""COMPUTED_VALUE"""),"TE")</f>
        <v>TE</v>
      </c>
      <c r="G9108" t="str">
        <f>IFERROR(__xludf.DUMMYFUNCTION("""COMPUTED_VALUE"""),"")</f>
        <v/>
      </c>
    </row>
    <row r="9109">
      <c r="D9109" t="str">
        <f>IFERROR(__xludf.DUMMYFUNCTION("""COMPUTED_VALUE"""),"Toran")</f>
        <v>Toran</v>
      </c>
      <c r="E9109" t="str">
        <f>IFERROR(__xludf.DUMMYFUNCTION("""COMPUTED_VALUE"""),"Najee")</f>
        <v>Najee</v>
      </c>
      <c r="F9109" t="str">
        <f>IFERROR(__xludf.DUMMYFUNCTION("""COMPUTED_VALUE"""),"RG")</f>
        <v>RG</v>
      </c>
      <c r="G9109" t="str">
        <f>IFERROR(__xludf.DUMMYFUNCTION("""COMPUTED_VALUE"""),"")</f>
        <v/>
      </c>
    </row>
    <row r="9110">
      <c r="D9110" t="str">
        <f>IFERROR(__xludf.DUMMYFUNCTION("""COMPUTED_VALUE"""),"Toth")</f>
        <v>Toth</v>
      </c>
      <c r="E9110" t="str">
        <f>IFERROR(__xludf.DUMMYFUNCTION("""COMPUTED_VALUE"""),"Jon")</f>
        <v>Jon</v>
      </c>
      <c r="F9110" t="str">
        <f>IFERROR(__xludf.DUMMYFUNCTION("""COMPUTED_VALUE"""),"C")</f>
        <v>C</v>
      </c>
      <c r="G9110" t="str">
        <f>IFERROR(__xludf.DUMMYFUNCTION("""COMPUTED_VALUE"""),"")</f>
        <v/>
      </c>
    </row>
    <row r="9111">
      <c r="D9111" t="str">
        <f>IFERROR(__xludf.DUMMYFUNCTION("""COMPUTED_VALUE"""),"Towbridge")</f>
        <v>Towbridge</v>
      </c>
      <c r="E9111" t="str">
        <f>IFERROR(__xludf.DUMMYFUNCTION("""COMPUTED_VALUE"""),"Keith")</f>
        <v>Keith</v>
      </c>
      <c r="F9111" t="str">
        <f>IFERROR(__xludf.DUMMYFUNCTION("""COMPUTED_VALUE"""),"TE")</f>
        <v>TE</v>
      </c>
      <c r="G9111" t="str">
        <f>IFERROR(__xludf.DUMMYFUNCTION("""COMPUTED_VALUE"""),"")</f>
        <v/>
      </c>
    </row>
    <row r="9112">
      <c r="D9112" t="str">
        <f>IFERROR(__xludf.DUMMYFUNCTION("""COMPUTED_VALUE"""),"Townsend")</f>
        <v>Townsend</v>
      </c>
      <c r="E9112" t="str">
        <f>IFERROR(__xludf.DUMMYFUNCTION("""COMPUTED_VALUE"""),"Johnny")</f>
        <v>Johnny</v>
      </c>
      <c r="F9112" t="str">
        <f>IFERROR(__xludf.DUMMYFUNCTION("""COMPUTED_VALUE"""),"P")</f>
        <v>P</v>
      </c>
      <c r="G9112" t="str">
        <f>IFERROR(__xludf.DUMMYFUNCTION("""COMPUTED_VALUE"""),"")</f>
        <v/>
      </c>
    </row>
    <row r="9113">
      <c r="D9113" t="str">
        <f>IFERROR(__xludf.DUMMYFUNCTION("""COMPUTED_VALUE"""),"Tranquill")</f>
        <v>Tranquill</v>
      </c>
      <c r="E9113" t="str">
        <f>IFERROR(__xludf.DUMMYFUNCTION("""COMPUTED_VALUE"""),"Drue")</f>
        <v>Drue</v>
      </c>
      <c r="F9113" t="str">
        <f>IFERROR(__xludf.DUMMYFUNCTION("""COMPUTED_VALUE"""),"MLB")</f>
        <v>MLB</v>
      </c>
      <c r="G9113" t="str">
        <f>IFERROR(__xludf.DUMMYFUNCTION("""COMPUTED_VALUE"""),"")</f>
        <v/>
      </c>
    </row>
    <row r="9114">
      <c r="D9114" t="str">
        <f>IFERROR(__xludf.DUMMYFUNCTION("""COMPUTED_VALUE"""),"Treadwell")</f>
        <v>Treadwell</v>
      </c>
      <c r="E9114" t="str">
        <f>IFERROR(__xludf.DUMMYFUNCTION("""COMPUTED_VALUE"""),"Laquon")</f>
        <v>Laquon</v>
      </c>
      <c r="F9114" t="str">
        <f>IFERROR(__xludf.DUMMYFUNCTION("""COMPUTED_VALUE"""),"WR")</f>
        <v>WR</v>
      </c>
      <c r="G9114" t="str">
        <f>IFERROR(__xludf.DUMMYFUNCTION("""COMPUTED_VALUE"""),"")</f>
        <v/>
      </c>
    </row>
    <row r="9115">
      <c r="D9115" t="str">
        <f>IFERROR(__xludf.DUMMYFUNCTION("""COMPUTED_VALUE"""),"Tretter")</f>
        <v>Tretter</v>
      </c>
      <c r="E9115" t="str">
        <f>IFERROR(__xludf.DUMMYFUNCTION("""COMPUTED_VALUE"""),"JC")</f>
        <v>JC</v>
      </c>
      <c r="F9115" t="str">
        <f>IFERROR(__xludf.DUMMYFUNCTION("""COMPUTED_VALUE"""),"C")</f>
        <v>C</v>
      </c>
      <c r="G9115" t="str">
        <f>IFERROR(__xludf.DUMMYFUNCTION("""COMPUTED_VALUE"""),"")</f>
        <v/>
      </c>
    </row>
    <row r="9116">
      <c r="D9116" t="str">
        <f>IFERROR(__xludf.DUMMYFUNCTION("""COMPUTED_VALUE"""),"Trevathan")</f>
        <v>Trevathan</v>
      </c>
      <c r="E9116" t="str">
        <f>IFERROR(__xludf.DUMMYFUNCTION("""COMPUTED_VALUE"""),"Danny")</f>
        <v>Danny</v>
      </c>
      <c r="F9116" t="str">
        <f>IFERROR(__xludf.DUMMYFUNCTION("""COMPUTED_VALUE"""),"MLB")</f>
        <v>MLB</v>
      </c>
      <c r="G9116" t="str">
        <f>IFERROR(__xludf.DUMMYFUNCTION("""COMPUTED_VALUE"""),"")</f>
        <v/>
      </c>
    </row>
    <row r="9117">
      <c r="D9117" t="str">
        <f>IFERROR(__xludf.DUMMYFUNCTION("""COMPUTED_VALUE"""),"Trubisky")</f>
        <v>Trubisky</v>
      </c>
      <c r="E9117" t="str">
        <f>IFERROR(__xludf.DUMMYFUNCTION("""COMPUTED_VALUE"""),"Mitchell")</f>
        <v>Mitchell</v>
      </c>
      <c r="F9117" t="str">
        <f>IFERROR(__xludf.DUMMYFUNCTION("""COMPUTED_VALUE"""),"QB")</f>
        <v>QB</v>
      </c>
      <c r="G9117" t="str">
        <f>IFERROR(__xludf.DUMMYFUNCTION("""COMPUTED_VALUE"""),"")</f>
        <v/>
      </c>
    </row>
    <row r="9118">
      <c r="D9118" t="str">
        <f>IFERROR(__xludf.DUMMYFUNCTION("""COMPUTED_VALUE"""),"Trufant")</f>
        <v>Trufant</v>
      </c>
      <c r="E9118" t="str">
        <f>IFERROR(__xludf.DUMMYFUNCTION("""COMPUTED_VALUE"""),"Desmond")</f>
        <v>Desmond</v>
      </c>
      <c r="F9118" t="str">
        <f>IFERROR(__xludf.DUMMYFUNCTION("""COMPUTED_VALUE"""),"CB")</f>
        <v>CB</v>
      </c>
      <c r="G9118" t="str">
        <f>IFERROR(__xludf.DUMMYFUNCTION("""COMPUTED_VALUE"""),"")</f>
        <v/>
      </c>
    </row>
    <row r="9119">
      <c r="D9119" t="str">
        <f>IFERROR(__xludf.DUMMYFUNCTION("""COMPUTED_VALUE"""),"Tucker")</f>
        <v>Tucker</v>
      </c>
      <c r="E9119" t="str">
        <f>IFERROR(__xludf.DUMMYFUNCTION("""COMPUTED_VALUE"""),"Justin")</f>
        <v>Justin</v>
      </c>
      <c r="F9119" t="str">
        <f>IFERROR(__xludf.DUMMYFUNCTION("""COMPUTED_VALUE"""),"K")</f>
        <v>K</v>
      </c>
      <c r="G9119" t="str">
        <f>IFERROR(__xludf.DUMMYFUNCTION("""COMPUTED_VALUE"""),"")</f>
        <v/>
      </c>
    </row>
    <row r="9120">
      <c r="D9120" t="str">
        <f>IFERROR(__xludf.DUMMYFUNCTION("""COMPUTED_VALUE"""),"Tuioti-Mariner")</f>
        <v>Tuioti-Mariner</v>
      </c>
      <c r="E9120" t="str">
        <f>IFERROR(__xludf.DUMMYFUNCTION("""COMPUTED_VALUE"""),"Jacob")</f>
        <v>Jacob</v>
      </c>
      <c r="F9120" t="str">
        <f>IFERROR(__xludf.DUMMYFUNCTION("""COMPUTED_VALUE"""),"DT")</f>
        <v>DT</v>
      </c>
      <c r="G9120" t="str">
        <f>IFERROR(__xludf.DUMMYFUNCTION("""COMPUTED_VALUE"""),"")</f>
        <v/>
      </c>
    </row>
    <row r="9121">
      <c r="D9121" t="str">
        <f>IFERROR(__xludf.DUMMYFUNCTION("""COMPUTED_VALUE"""),"Tuitt")</f>
        <v>Tuitt</v>
      </c>
      <c r="E9121" t="str">
        <f>IFERROR(__xludf.DUMMYFUNCTION("""COMPUTED_VALUE"""),"Stephon")</f>
        <v>Stephon</v>
      </c>
      <c r="F9121" t="str">
        <f>IFERROR(__xludf.DUMMYFUNCTION("""COMPUTED_VALUE"""),"LE")</f>
        <v>LE</v>
      </c>
      <c r="G9121" t="str">
        <f>IFERROR(__xludf.DUMMYFUNCTION("""COMPUTED_VALUE"""),"")</f>
        <v/>
      </c>
    </row>
    <row r="9122">
      <c r="D9122" t="str">
        <f>IFERROR(__xludf.DUMMYFUNCTION("""COMPUTED_VALUE"""),"Tunsil")</f>
        <v>Tunsil</v>
      </c>
      <c r="E9122" t="str">
        <f>IFERROR(__xludf.DUMMYFUNCTION("""COMPUTED_VALUE"""),"Laremy")</f>
        <v>Laremy</v>
      </c>
      <c r="F9122" t="str">
        <f>IFERROR(__xludf.DUMMYFUNCTION("""COMPUTED_VALUE"""),"LT")</f>
        <v>LT</v>
      </c>
      <c r="G9122" t="str">
        <f>IFERROR(__xludf.DUMMYFUNCTION("""COMPUTED_VALUE"""),"")</f>
        <v/>
      </c>
    </row>
    <row r="9123">
      <c r="D9123" t="str">
        <f>IFERROR(__xludf.DUMMYFUNCTION("""COMPUTED_VALUE"""),"Tupou")</f>
        <v>Tupou</v>
      </c>
      <c r="E9123" t="str">
        <f>IFERROR(__xludf.DUMMYFUNCTION("""COMPUTED_VALUE"""),"Josh")</f>
        <v>Josh</v>
      </c>
      <c r="F9123" t="str">
        <f>IFERROR(__xludf.DUMMYFUNCTION("""COMPUTED_VALUE"""),"DT")</f>
        <v>DT</v>
      </c>
      <c r="G9123" t="str">
        <f>IFERROR(__xludf.DUMMYFUNCTION("""COMPUTED_VALUE"""),"")</f>
        <v/>
      </c>
    </row>
    <row r="9124">
      <c r="D9124" t="str">
        <f>IFERROR(__xludf.DUMMYFUNCTION("""COMPUTED_VALUE"""),"Turay")</f>
        <v>Turay</v>
      </c>
      <c r="E9124" t="str">
        <f>IFERROR(__xludf.DUMMYFUNCTION("""COMPUTED_VALUE"""),"Kemoko")</f>
        <v>Kemoko</v>
      </c>
      <c r="F9124" t="str">
        <f>IFERROR(__xludf.DUMMYFUNCTION("""COMPUTED_VALUE"""),"RE")</f>
        <v>RE</v>
      </c>
      <c r="G9124" t="str">
        <f>IFERROR(__xludf.DUMMYFUNCTION("""COMPUTED_VALUE"""),"")</f>
        <v/>
      </c>
    </row>
    <row r="9125">
      <c r="D9125" t="str">
        <f>IFERROR(__xludf.DUMMYFUNCTION("""COMPUTED_VALUE"""),"Turner")</f>
        <v>Turner</v>
      </c>
      <c r="E9125" t="str">
        <f>IFERROR(__xludf.DUMMYFUNCTION("""COMPUTED_VALUE"""),"Billy")</f>
        <v>Billy</v>
      </c>
      <c r="F9125" t="str">
        <f>IFERROR(__xludf.DUMMYFUNCTION("""COMPUTED_VALUE"""),"LG")</f>
        <v>LG</v>
      </c>
      <c r="G9125" t="str">
        <f>IFERROR(__xludf.DUMMYFUNCTION("""COMPUTED_VALUE"""),"")</f>
        <v/>
      </c>
    </row>
    <row r="9126">
      <c r="D9126" t="str">
        <f>IFERROR(__xludf.DUMMYFUNCTION("""COMPUTED_VALUE"""),"Turner")</f>
        <v>Turner</v>
      </c>
      <c r="E9126" t="str">
        <f>IFERROR(__xludf.DUMMYFUNCTION("""COMPUTED_VALUE"""),"DeLance")</f>
        <v>DeLance</v>
      </c>
      <c r="F9126" t="str">
        <f>IFERROR(__xludf.DUMMYFUNCTION("""COMPUTED_VALUE"""),"HB")</f>
        <v>HB</v>
      </c>
      <c r="G9126" t="str">
        <f>IFERROR(__xludf.DUMMYFUNCTION("""COMPUTED_VALUE"""),"")</f>
        <v/>
      </c>
    </row>
    <row r="9127">
      <c r="D9127" t="str">
        <f>IFERROR(__xludf.DUMMYFUNCTION("""COMPUTED_VALUE"""),"Turner")</f>
        <v>Turner</v>
      </c>
      <c r="E9127" t="str">
        <f>IFERROR(__xludf.DUMMYFUNCTION("""COMPUTED_VALUE"""),"Ezekiel")</f>
        <v>Ezekiel</v>
      </c>
      <c r="F9127" t="str">
        <f>IFERROR(__xludf.DUMMYFUNCTION("""COMPUTED_VALUE"""),"SS")</f>
        <v>SS</v>
      </c>
      <c r="G9127" t="str">
        <f>IFERROR(__xludf.DUMMYFUNCTION("""COMPUTED_VALUE"""),"")</f>
        <v/>
      </c>
    </row>
    <row r="9128">
      <c r="D9128" t="str">
        <f>IFERROR(__xludf.DUMMYFUNCTION("""COMPUTED_VALUE"""),"Turner")</f>
        <v>Turner</v>
      </c>
      <c r="E9128" t="str">
        <f>IFERROR(__xludf.DUMMYFUNCTION("""COMPUTED_VALUE"""),"Trai")</f>
        <v>Trai</v>
      </c>
      <c r="F9128" t="str">
        <f>IFERROR(__xludf.DUMMYFUNCTION("""COMPUTED_VALUE"""),"RG")</f>
        <v>RG</v>
      </c>
      <c r="G9128" t="str">
        <f>IFERROR(__xludf.DUMMYFUNCTION("""COMPUTED_VALUE"""),"")</f>
        <v/>
      </c>
    </row>
    <row r="9129">
      <c r="D9129" t="str">
        <f>IFERROR(__xludf.DUMMYFUNCTION("""COMPUTED_VALUE"""),"Tye")</f>
        <v>Tye</v>
      </c>
      <c r="E9129" t="str">
        <f>IFERROR(__xludf.DUMMYFUNCTION("""COMPUTED_VALUE"""),"Will")</f>
        <v>Will</v>
      </c>
      <c r="F9129" t="str">
        <f>IFERROR(__xludf.DUMMYFUNCTION("""COMPUTED_VALUE"""),"TE")</f>
        <v>TE</v>
      </c>
      <c r="G9129" t="str">
        <f>IFERROR(__xludf.DUMMYFUNCTION("""COMPUTED_VALUE"""),"")</f>
        <v/>
      </c>
    </row>
    <row r="9130">
      <c r="D9130" t="str">
        <f>IFERROR(__xludf.DUMMYFUNCTION("""COMPUTED_VALUE"""),"Tyson")</f>
        <v>Tyson</v>
      </c>
      <c r="E9130" t="str">
        <f>IFERROR(__xludf.DUMMYFUNCTION("""COMPUTED_VALUE"""),"Mike")</f>
        <v>Mike</v>
      </c>
      <c r="F9130" t="str">
        <f>IFERROR(__xludf.DUMMYFUNCTION("""COMPUTED_VALUE"""),"SS")</f>
        <v>SS</v>
      </c>
      <c r="G9130" t="str">
        <f>IFERROR(__xludf.DUMMYFUNCTION("""COMPUTED_VALUE"""),"")</f>
        <v/>
      </c>
    </row>
    <row r="9131">
      <c r="D9131" t="str">
        <f>IFERROR(__xludf.DUMMYFUNCTION("""COMPUTED_VALUE"""),"Udoh")</f>
        <v>Udoh</v>
      </c>
      <c r="E9131" t="str">
        <f>IFERROR(__xludf.DUMMYFUNCTION("""COMPUTED_VALUE"""),"Olisaemeka")</f>
        <v>Olisaemeka</v>
      </c>
      <c r="F9131" t="str">
        <f>IFERROR(__xludf.DUMMYFUNCTION("""COMPUTED_VALUE"""),"RT")</f>
        <v>RT</v>
      </c>
      <c r="G9131" t="str">
        <f>IFERROR(__xludf.DUMMYFUNCTION("""COMPUTED_VALUE"""),"")</f>
        <v/>
      </c>
    </row>
    <row r="9132">
      <c r="D9132" t="str">
        <f>IFERROR(__xludf.DUMMYFUNCTION("""COMPUTED_VALUE"""),"Urban")</f>
        <v>Urban</v>
      </c>
      <c r="E9132" t="str">
        <f>IFERROR(__xludf.DUMMYFUNCTION("""COMPUTED_VALUE"""),"Brent")</f>
        <v>Brent</v>
      </c>
      <c r="F9132" t="str">
        <f>IFERROR(__xludf.DUMMYFUNCTION("""COMPUTED_VALUE"""),"LE")</f>
        <v>LE</v>
      </c>
      <c r="G9132" t="str">
        <f>IFERROR(__xludf.DUMMYFUNCTION("""COMPUTED_VALUE"""),"")</f>
        <v/>
      </c>
    </row>
    <row r="9133">
      <c r="D9133" t="str">
        <f>IFERROR(__xludf.DUMMYFUNCTION("""COMPUTED_VALUE"""),"Ursua")</f>
        <v>Ursua</v>
      </c>
      <c r="E9133" t="str">
        <f>IFERROR(__xludf.DUMMYFUNCTION("""COMPUTED_VALUE"""),"John")</f>
        <v>John</v>
      </c>
      <c r="F9133" t="str">
        <f>IFERROR(__xludf.DUMMYFUNCTION("""COMPUTED_VALUE"""),"WR")</f>
        <v>WR</v>
      </c>
      <c r="G9133" t="str">
        <f>IFERROR(__xludf.DUMMYFUNCTION("""COMPUTED_VALUE"""),"")</f>
        <v/>
      </c>
    </row>
    <row r="9134">
      <c r="D9134" t="str">
        <f>IFERROR(__xludf.DUMMYFUNCTION("""COMPUTED_VALUE"""),"Uzomah")</f>
        <v>Uzomah</v>
      </c>
      <c r="E9134" t="str">
        <f>IFERROR(__xludf.DUMMYFUNCTION("""COMPUTED_VALUE"""),"CJ")</f>
        <v>CJ</v>
      </c>
      <c r="F9134" t="str">
        <f>IFERROR(__xludf.DUMMYFUNCTION("""COMPUTED_VALUE"""),"TE")</f>
        <v>TE</v>
      </c>
      <c r="G9134" t="str">
        <f>IFERROR(__xludf.DUMMYFUNCTION("""COMPUTED_VALUE"""),"")</f>
        <v/>
      </c>
    </row>
    <row r="9135">
      <c r="D9135" t="str">
        <f>IFERROR(__xludf.DUMMYFUNCTION("""COMPUTED_VALUE"""),"Vaccaro")</f>
        <v>Vaccaro</v>
      </c>
      <c r="E9135" t="str">
        <f>IFERROR(__xludf.DUMMYFUNCTION("""COMPUTED_VALUE"""),"Kenny")</f>
        <v>Kenny</v>
      </c>
      <c r="F9135" t="str">
        <f>IFERROR(__xludf.DUMMYFUNCTION("""COMPUTED_VALUE"""),"SS")</f>
        <v>SS</v>
      </c>
      <c r="G9135" t="str">
        <f>IFERROR(__xludf.DUMMYFUNCTION("""COMPUTED_VALUE"""),"")</f>
        <v/>
      </c>
    </row>
    <row r="9136">
      <c r="D9136" t="str">
        <f>IFERROR(__xludf.DUMMYFUNCTION("""COMPUTED_VALUE"""),"Vaeao")</f>
        <v>Vaeao</v>
      </c>
      <c r="E9136" t="str">
        <f>IFERROR(__xludf.DUMMYFUNCTION("""COMPUTED_VALUE"""),"Destiny")</f>
        <v>Destiny</v>
      </c>
      <c r="F9136" t="str">
        <f>IFERROR(__xludf.DUMMYFUNCTION("""COMPUTED_VALUE"""),"DT")</f>
        <v>DT</v>
      </c>
      <c r="G9136" t="str">
        <f>IFERROR(__xludf.DUMMYFUNCTION("""COMPUTED_VALUE"""),"")</f>
        <v/>
      </c>
    </row>
    <row r="9137">
      <c r="D9137" t="str">
        <f>IFERROR(__xludf.DUMMYFUNCTION("""COMPUTED_VALUE"""),"Vaitai")</f>
        <v>Vaitai</v>
      </c>
      <c r="E9137" t="str">
        <f>IFERROR(__xludf.DUMMYFUNCTION("""COMPUTED_VALUE"""),"Halapoulivaati")</f>
        <v>Halapoulivaati</v>
      </c>
      <c r="F9137" t="str">
        <f>IFERROR(__xludf.DUMMYFUNCTION("""COMPUTED_VALUE"""),"RT")</f>
        <v>RT</v>
      </c>
      <c r="G9137" t="str">
        <f>IFERROR(__xludf.DUMMYFUNCTION("""COMPUTED_VALUE"""),"")</f>
        <v/>
      </c>
    </row>
    <row r="9138">
      <c r="D9138" t="str">
        <f>IFERROR(__xludf.DUMMYFUNCTION("""COMPUTED_VALUE"""),"Valdes-Scantling")</f>
        <v>Valdes-Scantling</v>
      </c>
      <c r="E9138" t="str">
        <f>IFERROR(__xludf.DUMMYFUNCTION("""COMPUTED_VALUE"""),"Marquez")</f>
        <v>Marquez</v>
      </c>
      <c r="F9138" t="str">
        <f>IFERROR(__xludf.DUMMYFUNCTION("""COMPUTED_VALUE"""),"WR")</f>
        <v>WR</v>
      </c>
      <c r="G9138" t="str">
        <f>IFERROR(__xludf.DUMMYFUNCTION("""COMPUTED_VALUE"""),"")</f>
        <v/>
      </c>
    </row>
    <row r="9139">
      <c r="D9139" t="str">
        <f>IFERROR(__xludf.DUMMYFUNCTION("""COMPUTED_VALUE"""),"Valentine")</f>
        <v>Valentine</v>
      </c>
      <c r="E9139" t="str">
        <f>IFERROR(__xludf.DUMMYFUNCTION("""COMPUTED_VALUE"""),"Vincent")</f>
        <v>Vincent</v>
      </c>
      <c r="F9139" t="str">
        <f>IFERROR(__xludf.DUMMYFUNCTION("""COMPUTED_VALUE"""),"LE")</f>
        <v>LE</v>
      </c>
      <c r="G9139" t="str">
        <f>IFERROR(__xludf.DUMMYFUNCTION("""COMPUTED_VALUE"""),"")</f>
        <v/>
      </c>
    </row>
    <row r="9140">
      <c r="D9140" t="str">
        <f>IFERROR(__xludf.DUMMYFUNCTION("""COMPUTED_VALUE"""),"Vallejo")</f>
        <v>Vallejo</v>
      </c>
      <c r="E9140" t="str">
        <f>IFERROR(__xludf.DUMMYFUNCTION("""COMPUTED_VALUE"""),"Tanner")</f>
        <v>Tanner</v>
      </c>
      <c r="F9140" t="str">
        <f>IFERROR(__xludf.DUMMYFUNCTION("""COMPUTED_VALUE"""),"MLB")</f>
        <v>MLB</v>
      </c>
      <c r="G9140" t="str">
        <f>IFERROR(__xludf.DUMMYFUNCTION("""COMPUTED_VALUE"""),"")</f>
        <v/>
      </c>
    </row>
    <row r="9141">
      <c r="D9141" t="str">
        <f>IFERROR(__xludf.DUMMYFUNCTION("""COMPUTED_VALUE"""),"Van")</f>
        <v>Van</v>
      </c>
      <c r="E9141" t="str">
        <f>IFERROR(__xludf.DUMMYFUNCTION("""COMPUTED_VALUE"""),"Andrew")</f>
        <v>Andrew</v>
      </c>
      <c r="F9141" t="str">
        <f>IFERROR(__xludf.DUMMYFUNCTION("""COMPUTED_VALUE"""),"MLB")</f>
        <v>MLB</v>
      </c>
      <c r="G9141" t="str">
        <f>IFERROR(__xludf.DUMMYFUNCTION("""COMPUTED_VALUE"""),"")</f>
        <v/>
      </c>
    </row>
    <row r="9142">
      <c r="D9142" t="str">
        <f>IFERROR(__xludf.DUMMYFUNCTION("""COMPUTED_VALUE"""),"Van")</f>
        <v>Van</v>
      </c>
      <c r="E9142" t="str">
        <f>IFERROR(__xludf.DUMMYFUNCTION("""COMPUTED_VALUE"""),"Greg")</f>
        <v>Greg</v>
      </c>
      <c r="F9142" t="str">
        <f>IFERROR(__xludf.DUMMYFUNCTION("""COMPUTED_VALUE"""),"LG")</f>
        <v>LG</v>
      </c>
      <c r="G9142" t="str">
        <f>IFERROR(__xludf.DUMMYFUNCTION("""COMPUTED_VALUE"""),"")</f>
        <v/>
      </c>
    </row>
    <row r="9143">
      <c r="D9143" t="str">
        <f>IFERROR(__xludf.DUMMYFUNCTION("""COMPUTED_VALUE"""),"Van")</f>
        <v>Van</v>
      </c>
      <c r="E9143" t="str">
        <f>IFERROR(__xludf.DUMMYFUNCTION("""COMPUTED_VALUE"""),"Kyle")</f>
        <v>Kyle</v>
      </c>
      <c r="F9143" t="str">
        <f>IFERROR(__xludf.DUMMYFUNCTION("""COMPUTED_VALUE"""),"LOLB")</f>
        <v>LOLB</v>
      </c>
      <c r="G9143" t="str">
        <f>IFERROR(__xludf.DUMMYFUNCTION("""COMPUTED_VALUE"""),"")</f>
        <v/>
      </c>
    </row>
    <row r="9144">
      <c r="D9144" t="str">
        <f>IFERROR(__xludf.DUMMYFUNCTION("""COMPUTED_VALUE"""),"Vander")</f>
        <v>Vander</v>
      </c>
      <c r="E9144" t="str">
        <f>IFERROR(__xludf.DUMMYFUNCTION("""COMPUTED_VALUE"""),"Jason")</f>
        <v>Jason</v>
      </c>
      <c r="F9144" t="str">
        <f>IFERROR(__xludf.DUMMYFUNCTION("""COMPUTED_VALUE"""),"TE")</f>
        <v>TE</v>
      </c>
      <c r="G9144" t="str">
        <f>IFERROR(__xludf.DUMMYFUNCTION("""COMPUTED_VALUE"""),"")</f>
        <v/>
      </c>
    </row>
    <row r="9145">
      <c r="D9145" t="str">
        <f>IFERROR(__xludf.DUMMYFUNCTION("""COMPUTED_VALUE"""),"Vander")</f>
        <v>Vander</v>
      </c>
      <c r="E9145" t="str">
        <f>IFERROR(__xludf.DUMMYFUNCTION("""COMPUTED_VALUE"""),"Leighton")</f>
        <v>Leighton</v>
      </c>
      <c r="F9145" t="str">
        <f>IFERROR(__xludf.DUMMYFUNCTION("""COMPUTED_VALUE"""),"ROLB")</f>
        <v>ROLB</v>
      </c>
      <c r="G9145" t="str">
        <f>IFERROR(__xludf.DUMMYFUNCTION("""COMPUTED_VALUE"""),"")</f>
        <v/>
      </c>
    </row>
    <row r="9146">
      <c r="D9146" t="str">
        <f>IFERROR(__xludf.DUMMYFUNCTION("""COMPUTED_VALUE"""),"Vanderdoes")</f>
        <v>Vanderdoes</v>
      </c>
      <c r="E9146" t="str">
        <f>IFERROR(__xludf.DUMMYFUNCTION("""COMPUTED_VALUE"""),"Eddie")</f>
        <v>Eddie</v>
      </c>
      <c r="F9146" t="str">
        <f>IFERROR(__xludf.DUMMYFUNCTION("""COMPUTED_VALUE"""),"DT")</f>
        <v>DT</v>
      </c>
      <c r="G9146" t="str">
        <f>IFERROR(__xludf.DUMMYFUNCTION("""COMPUTED_VALUE"""),"")</f>
        <v/>
      </c>
    </row>
    <row r="9147">
      <c r="D9147" t="str">
        <f>IFERROR(__xludf.DUMMYFUNCTION("""COMPUTED_VALUE"""),"Vannett")</f>
        <v>Vannett</v>
      </c>
      <c r="E9147" t="str">
        <f>IFERROR(__xludf.DUMMYFUNCTION("""COMPUTED_VALUE"""),"Nick")</f>
        <v>Nick</v>
      </c>
      <c r="F9147" t="str">
        <f>IFERROR(__xludf.DUMMYFUNCTION("""COMPUTED_VALUE"""),"TE")</f>
        <v>TE</v>
      </c>
      <c r="G9147" t="str">
        <f>IFERROR(__xludf.DUMMYFUNCTION("""COMPUTED_VALUE"""),"")</f>
        <v/>
      </c>
    </row>
    <row r="9148">
      <c r="D9148" t="str">
        <f>IFERROR(__xludf.DUMMYFUNCTION("""COMPUTED_VALUE"""),"Vaughters")</f>
        <v>Vaughters</v>
      </c>
      <c r="E9148" t="str">
        <f>IFERROR(__xludf.DUMMYFUNCTION("""COMPUTED_VALUE"""),"James")</f>
        <v>James</v>
      </c>
      <c r="F9148" t="str">
        <f>IFERROR(__xludf.DUMMYFUNCTION("""COMPUTED_VALUE"""),"LOLB")</f>
        <v>LOLB</v>
      </c>
      <c r="G9148" t="str">
        <f>IFERROR(__xludf.DUMMYFUNCTION("""COMPUTED_VALUE"""),"")</f>
        <v/>
      </c>
    </row>
    <row r="9149">
      <c r="D9149" t="str">
        <f>IFERROR(__xludf.DUMMYFUNCTION("""COMPUTED_VALUE"""),"Vea")</f>
        <v>Vea</v>
      </c>
      <c r="E9149" t="str">
        <f>IFERROR(__xludf.DUMMYFUNCTION("""COMPUTED_VALUE"""),"Vita")</f>
        <v>Vita</v>
      </c>
      <c r="F9149" t="str">
        <f>IFERROR(__xludf.DUMMYFUNCTION("""COMPUTED_VALUE"""),"DT")</f>
        <v>DT</v>
      </c>
      <c r="G9149" t="str">
        <f>IFERROR(__xludf.DUMMYFUNCTION("""COMPUTED_VALUE"""),"")</f>
        <v/>
      </c>
    </row>
    <row r="9150">
      <c r="D9150" t="str">
        <f>IFERROR(__xludf.DUMMYFUNCTION("""COMPUTED_VALUE"""),"Vedvik")</f>
        <v>Vedvik</v>
      </c>
      <c r="E9150" t="str">
        <f>IFERROR(__xludf.DUMMYFUNCTION("""COMPUTED_VALUE"""),"Kaare")</f>
        <v>Kaare</v>
      </c>
      <c r="F9150" t="str">
        <f>IFERROR(__xludf.DUMMYFUNCTION("""COMPUTED_VALUE"""),"P")</f>
        <v>P</v>
      </c>
      <c r="G9150" t="str">
        <f>IFERROR(__xludf.DUMMYFUNCTION("""COMPUTED_VALUE"""),"")</f>
        <v/>
      </c>
    </row>
    <row r="9151">
      <c r="D9151" t="str">
        <f>IFERROR(__xludf.DUMMYFUNCTION("""COMPUTED_VALUE"""),"Vernon")</f>
        <v>Vernon</v>
      </c>
      <c r="E9151" t="str">
        <f>IFERROR(__xludf.DUMMYFUNCTION("""COMPUTED_VALUE"""),"Olivier")</f>
        <v>Olivier</v>
      </c>
      <c r="F9151" t="str">
        <f>IFERROR(__xludf.DUMMYFUNCTION("""COMPUTED_VALUE"""),"LE")</f>
        <v>LE</v>
      </c>
      <c r="G9151" t="str">
        <f>IFERROR(__xludf.DUMMYFUNCTION("""COMPUTED_VALUE"""),"")</f>
        <v/>
      </c>
    </row>
    <row r="9152">
      <c r="D9152" t="str">
        <f>IFERROR(__xludf.DUMMYFUNCTION("""COMPUTED_VALUE"""),"Verrett")</f>
        <v>Verrett</v>
      </c>
      <c r="E9152" t="str">
        <f>IFERROR(__xludf.DUMMYFUNCTION("""COMPUTED_VALUE"""),"Jason")</f>
        <v>Jason</v>
      </c>
      <c r="F9152" t="str">
        <f>IFERROR(__xludf.DUMMYFUNCTION("""COMPUTED_VALUE"""),"CB")</f>
        <v>CB</v>
      </c>
      <c r="G9152" t="str">
        <f>IFERROR(__xludf.DUMMYFUNCTION("""COMPUTED_VALUE"""),"")</f>
        <v/>
      </c>
    </row>
    <row r="9153">
      <c r="D9153" t="str">
        <f>IFERROR(__xludf.DUMMYFUNCTION("""COMPUTED_VALUE"""),"Vigil")</f>
        <v>Vigil</v>
      </c>
      <c r="E9153" t="str">
        <f>IFERROR(__xludf.DUMMYFUNCTION("""COMPUTED_VALUE"""),"Nick")</f>
        <v>Nick</v>
      </c>
      <c r="F9153" t="str">
        <f>IFERROR(__xludf.DUMMYFUNCTION("""COMPUTED_VALUE"""),"LOLB")</f>
        <v>LOLB</v>
      </c>
      <c r="G9153" t="str">
        <f>IFERROR(__xludf.DUMMYFUNCTION("""COMPUTED_VALUE"""),"")</f>
        <v/>
      </c>
    </row>
    <row r="9154">
      <c r="D9154" t="str">
        <f>IFERROR(__xludf.DUMMYFUNCTION("""COMPUTED_VALUE"""),"Villanueva")</f>
        <v>Villanueva</v>
      </c>
      <c r="E9154" t="str">
        <f>IFERROR(__xludf.DUMMYFUNCTION("""COMPUTED_VALUE"""),"Alejandro")</f>
        <v>Alejandro</v>
      </c>
      <c r="F9154" t="str">
        <f>IFERROR(__xludf.DUMMYFUNCTION("""COMPUTED_VALUE"""),"LT")</f>
        <v>LT</v>
      </c>
      <c r="G9154" t="str">
        <f>IFERROR(__xludf.DUMMYFUNCTION("""COMPUTED_VALUE"""),"")</f>
        <v/>
      </c>
    </row>
    <row r="9155">
      <c r="D9155" t="str">
        <f>IFERROR(__xludf.DUMMYFUNCTION("""COMPUTED_VALUE"""),"Vinatieri")</f>
        <v>Vinatieri</v>
      </c>
      <c r="E9155" t="str">
        <f>IFERROR(__xludf.DUMMYFUNCTION("""COMPUTED_VALUE"""),"Adam")</f>
        <v>Adam</v>
      </c>
      <c r="F9155" t="str">
        <f>IFERROR(__xludf.DUMMYFUNCTION("""COMPUTED_VALUE"""),"K")</f>
        <v>K</v>
      </c>
      <c r="G9155" t="str">
        <f>IFERROR(__xludf.DUMMYFUNCTION("""COMPUTED_VALUE"""),"")</f>
        <v/>
      </c>
    </row>
    <row r="9156">
      <c r="D9156" t="str">
        <f>IFERROR(__xludf.DUMMYFUNCTION("""COMPUTED_VALUE"""),"Vitale")</f>
        <v>Vitale</v>
      </c>
      <c r="E9156" t="str">
        <f>IFERROR(__xludf.DUMMYFUNCTION("""COMPUTED_VALUE"""),"Danny")</f>
        <v>Danny</v>
      </c>
      <c r="F9156" t="str">
        <f>IFERROR(__xludf.DUMMYFUNCTION("""COMPUTED_VALUE"""),"FB")</f>
        <v>FB</v>
      </c>
      <c r="G9156" t="str">
        <f>IFERROR(__xludf.DUMMYFUNCTION("""COMPUTED_VALUE"""),"")</f>
        <v/>
      </c>
    </row>
    <row r="9157">
      <c r="D9157" t="str">
        <f>IFERROR(__xludf.DUMMYFUNCTION("""COMPUTED_VALUE"""),"Vollert")</f>
        <v>Vollert</v>
      </c>
      <c r="E9157" t="str">
        <f>IFERROR(__xludf.DUMMYFUNCTION("""COMPUTED_VALUE"""),"Andrew")</f>
        <v>Andrew</v>
      </c>
      <c r="F9157" t="str">
        <f>IFERROR(__xludf.DUMMYFUNCTION("""COMPUTED_VALUE"""),"TE")</f>
        <v>TE</v>
      </c>
      <c r="G9157" t="str">
        <f>IFERROR(__xludf.DUMMYFUNCTION("""COMPUTED_VALUE"""),"")</f>
        <v/>
      </c>
    </row>
    <row r="9158">
      <c r="D9158" t="str">
        <f>IFERROR(__xludf.DUMMYFUNCTION("""COMPUTED_VALUE"""),"Vujnovich")</f>
        <v>Vujnovich</v>
      </c>
      <c r="E9158" t="str">
        <f>IFERROR(__xludf.DUMMYFUNCTION("""COMPUTED_VALUE"""),"Jeremy")</f>
        <v>Jeremy</v>
      </c>
      <c r="F9158" t="str">
        <f>IFERROR(__xludf.DUMMYFUNCTION("""COMPUTED_VALUE"""),"LG")</f>
        <v>LG</v>
      </c>
      <c r="G9158" t="str">
        <f>IFERROR(__xludf.DUMMYFUNCTION("""COMPUTED_VALUE"""),"")</f>
        <v/>
      </c>
    </row>
    <row r="9159">
      <c r="D9159" t="str">
        <f>IFERROR(__xludf.DUMMYFUNCTION("""COMPUTED_VALUE"""),"Waddle")</f>
        <v>Waddle</v>
      </c>
      <c r="E9159" t="str">
        <f>IFERROR(__xludf.DUMMYFUNCTION("""COMPUTED_VALUE"""),"LaAdrian")</f>
        <v>LaAdrian</v>
      </c>
      <c r="F9159" t="str">
        <f>IFERROR(__xludf.DUMMYFUNCTION("""COMPUTED_VALUE"""),"LT")</f>
        <v>LT</v>
      </c>
      <c r="G9159" t="str">
        <f>IFERROR(__xludf.DUMMYFUNCTION("""COMPUTED_VALUE"""),"")</f>
        <v/>
      </c>
    </row>
    <row r="9160">
      <c r="D9160" t="str">
        <f>IFERROR(__xludf.DUMMYFUNCTION("""COMPUTED_VALUE"""),"Wade")</f>
        <v>Wade</v>
      </c>
      <c r="E9160" t="str">
        <f>IFERROR(__xludf.DUMMYFUNCTION("""COMPUTED_VALUE"""),"DMontre")</f>
        <v>DMontre</v>
      </c>
      <c r="F9160" t="str">
        <f>IFERROR(__xludf.DUMMYFUNCTION("""COMPUTED_VALUE"""),"CB")</f>
        <v>CB</v>
      </c>
      <c r="G9160" t="str">
        <f>IFERROR(__xludf.DUMMYFUNCTION("""COMPUTED_VALUE"""),"")</f>
        <v/>
      </c>
    </row>
    <row r="9161">
      <c r="D9161" t="str">
        <f>IFERROR(__xludf.DUMMYFUNCTION("""COMPUTED_VALUE"""),"Wadman")</f>
        <v>Wadman</v>
      </c>
      <c r="E9161" t="str">
        <f>IFERROR(__xludf.DUMMYFUNCTION("""COMPUTED_VALUE"""),"Colby")</f>
        <v>Colby</v>
      </c>
      <c r="F9161" t="str">
        <f>IFERROR(__xludf.DUMMYFUNCTION("""COMPUTED_VALUE"""),"P")</f>
        <v>P</v>
      </c>
      <c r="G9161" t="str">
        <f>IFERROR(__xludf.DUMMYFUNCTION("""COMPUTED_VALUE"""),"")</f>
        <v/>
      </c>
    </row>
    <row r="9162">
      <c r="D9162" t="str">
        <f>IFERROR(__xludf.DUMMYFUNCTION("""COMPUTED_VALUE"""),"Wagner")</f>
        <v>Wagner</v>
      </c>
      <c r="E9162" t="str">
        <f>IFERROR(__xludf.DUMMYFUNCTION("""COMPUTED_VALUE"""),"Bobby")</f>
        <v>Bobby</v>
      </c>
      <c r="F9162" t="str">
        <f>IFERROR(__xludf.DUMMYFUNCTION("""COMPUTED_VALUE"""),"MLB")</f>
        <v>MLB</v>
      </c>
      <c r="G9162" t="str">
        <f>IFERROR(__xludf.DUMMYFUNCTION("""COMPUTED_VALUE"""),"")</f>
        <v/>
      </c>
    </row>
    <row r="9163">
      <c r="D9163" t="str">
        <f>IFERROR(__xludf.DUMMYFUNCTION("""COMPUTED_VALUE"""),"Wagner")</f>
        <v>Wagner</v>
      </c>
      <c r="E9163" t="str">
        <f>IFERROR(__xludf.DUMMYFUNCTION("""COMPUTED_VALUE"""),"Rick")</f>
        <v>Rick</v>
      </c>
      <c r="F9163" t="str">
        <f>IFERROR(__xludf.DUMMYFUNCTION("""COMPUTED_VALUE"""),"RT")</f>
        <v>RT</v>
      </c>
      <c r="G9163" t="str">
        <f>IFERROR(__xludf.DUMMYFUNCTION("""COMPUTED_VALUE"""),"")</f>
        <v/>
      </c>
    </row>
    <row r="9164">
      <c r="D9164" t="str">
        <f>IFERROR(__xludf.DUMMYFUNCTION("""COMPUTED_VALUE"""),"Wake")</f>
        <v>Wake</v>
      </c>
      <c r="E9164" t="str">
        <f>IFERROR(__xludf.DUMMYFUNCTION("""COMPUTED_VALUE"""),"Cameron")</f>
        <v>Cameron</v>
      </c>
      <c r="F9164" t="str">
        <f>IFERROR(__xludf.DUMMYFUNCTION("""COMPUTED_VALUE"""),"LOLB")</f>
        <v>LOLB</v>
      </c>
      <c r="G9164" t="str">
        <f>IFERROR(__xludf.DUMMYFUNCTION("""COMPUTED_VALUE"""),"")</f>
        <v/>
      </c>
    </row>
    <row r="9165">
      <c r="D9165" t="str">
        <f>IFERROR(__xludf.DUMMYFUNCTION("""COMPUTED_VALUE"""),"Walford")</f>
        <v>Walford</v>
      </c>
      <c r="E9165" t="str">
        <f>IFERROR(__xludf.DUMMYFUNCTION("""COMPUTED_VALUE"""),"Clive")</f>
        <v>Clive</v>
      </c>
      <c r="F9165" t="str">
        <f>IFERROR(__xludf.DUMMYFUNCTION("""COMPUTED_VALUE"""),"TE")</f>
        <v>TE</v>
      </c>
      <c r="G9165" t="str">
        <f>IFERROR(__xludf.DUMMYFUNCTION("""COMPUTED_VALUE"""),"")</f>
        <v/>
      </c>
    </row>
    <row r="9166">
      <c r="D9166" t="str">
        <f>IFERROR(__xludf.DUMMYFUNCTION("""COMPUTED_VALUE"""),"Walker")</f>
        <v>Walker</v>
      </c>
      <c r="E9166" t="str">
        <f>IFERROR(__xludf.DUMMYFUNCTION("""COMPUTED_VALUE"""),"Anthony")</f>
        <v>Anthony</v>
      </c>
      <c r="F9166" t="str">
        <f>IFERROR(__xludf.DUMMYFUNCTION("""COMPUTED_VALUE"""),"ROLB")</f>
        <v>ROLB</v>
      </c>
      <c r="G9166" t="str">
        <f>IFERROR(__xludf.DUMMYFUNCTION("""COMPUTED_VALUE"""),"")</f>
        <v/>
      </c>
    </row>
    <row r="9167">
      <c r="D9167" t="str">
        <f>IFERROR(__xludf.DUMMYFUNCTION("""COMPUTED_VALUE"""),"Walker")</f>
        <v>Walker</v>
      </c>
      <c r="E9167" t="str">
        <f>IFERROR(__xludf.DUMMYFUNCTION("""COMPUTED_VALUE"""),"DAndre")</f>
        <v>DAndre</v>
      </c>
      <c r="F9167" t="str">
        <f>IFERROR(__xludf.DUMMYFUNCTION("""COMPUTED_VALUE"""),"LOLB")</f>
        <v>LOLB</v>
      </c>
      <c r="G9167" t="str">
        <f>IFERROR(__xludf.DUMMYFUNCTION("""COMPUTED_VALUE"""),"")</f>
        <v/>
      </c>
    </row>
    <row r="9168">
      <c r="D9168" t="str">
        <f>IFERROR(__xludf.DUMMYFUNCTION("""COMPUTED_VALUE"""),"Walker")</f>
        <v>Walker</v>
      </c>
      <c r="E9168" t="str">
        <f>IFERROR(__xludf.DUMMYFUNCTION("""COMPUTED_VALUE"""),"Delanie")</f>
        <v>Delanie</v>
      </c>
      <c r="F9168" t="str">
        <f>IFERROR(__xludf.DUMMYFUNCTION("""COMPUTED_VALUE"""),"TE")</f>
        <v>TE</v>
      </c>
      <c r="G9168" t="str">
        <f>IFERROR(__xludf.DUMMYFUNCTION("""COMPUTED_VALUE"""),"")</f>
        <v/>
      </c>
    </row>
    <row r="9169">
      <c r="D9169" t="str">
        <f>IFERROR(__xludf.DUMMYFUNCTION("""COMPUTED_VALUE"""),"Walker")</f>
        <v>Walker</v>
      </c>
      <c r="E9169" t="str">
        <f>IFERROR(__xludf.DUMMYFUNCTION("""COMPUTED_VALUE"""),"DeMarcus")</f>
        <v>DeMarcus</v>
      </c>
      <c r="F9169" t="str">
        <f>IFERROR(__xludf.DUMMYFUNCTION("""COMPUTED_VALUE"""),"RE")</f>
        <v>RE</v>
      </c>
      <c r="G9169" t="str">
        <f>IFERROR(__xludf.DUMMYFUNCTION("""COMPUTED_VALUE"""),"")</f>
        <v/>
      </c>
    </row>
    <row r="9170">
      <c r="D9170" t="str">
        <f>IFERROR(__xludf.DUMMYFUNCTION("""COMPUTED_VALUE"""),"Walker")</f>
        <v>Walker</v>
      </c>
      <c r="E9170" t="str">
        <f>IFERROR(__xludf.DUMMYFUNCTION("""COMPUTED_VALUE"""),"Joe")</f>
        <v>Joe</v>
      </c>
      <c r="F9170" t="str">
        <f>IFERROR(__xludf.DUMMYFUNCTION("""COMPUTED_VALUE"""),"MLB")</f>
        <v>MLB</v>
      </c>
      <c r="G9170" t="str">
        <f>IFERROR(__xludf.DUMMYFUNCTION("""COMPUTED_VALUE"""),"")</f>
        <v/>
      </c>
    </row>
    <row r="9171">
      <c r="D9171" t="str">
        <f>IFERROR(__xludf.DUMMYFUNCTION("""COMPUTED_VALUE"""),"Walker")</f>
        <v>Walker</v>
      </c>
      <c r="E9171" t="str">
        <f>IFERROR(__xludf.DUMMYFUNCTION("""COMPUTED_VALUE"""),"Phillip")</f>
        <v>Phillip</v>
      </c>
      <c r="F9171" t="str">
        <f>IFERROR(__xludf.DUMMYFUNCTION("""COMPUTED_VALUE"""),"QB")</f>
        <v>QB</v>
      </c>
      <c r="G9171" t="str">
        <f>IFERROR(__xludf.DUMMYFUNCTION("""COMPUTED_VALUE"""),"")</f>
        <v/>
      </c>
    </row>
    <row r="9172">
      <c r="D9172" t="str">
        <f>IFERROR(__xludf.DUMMYFUNCTION("""COMPUTED_VALUE"""),"Walker")</f>
        <v>Walker</v>
      </c>
      <c r="E9172" t="str">
        <f>IFERROR(__xludf.DUMMYFUNCTION("""COMPUTED_VALUE"""),"Tracy")</f>
        <v>Tracy</v>
      </c>
      <c r="F9172" t="str">
        <f>IFERROR(__xludf.DUMMYFUNCTION("""COMPUTED_VALUE"""),"FS")</f>
        <v>FS</v>
      </c>
      <c r="G9172" t="str">
        <f>IFERROR(__xludf.DUMMYFUNCTION("""COMPUTED_VALUE"""),"")</f>
        <v/>
      </c>
    </row>
    <row r="9173">
      <c r="D9173" t="str">
        <f>IFERROR(__xludf.DUMMYFUNCTION("""COMPUTED_VALUE"""),"Wallace")</f>
        <v>Wallace</v>
      </c>
      <c r="E9173" t="str">
        <f>IFERROR(__xludf.DUMMYFUNCTION("""COMPUTED_VALUE"""),"Aaron")</f>
        <v>Aaron</v>
      </c>
      <c r="F9173" t="str">
        <f>IFERROR(__xludf.DUMMYFUNCTION("""COMPUTED_VALUE"""),"ROLB")</f>
        <v>ROLB</v>
      </c>
      <c r="G9173" t="str">
        <f>IFERROR(__xludf.DUMMYFUNCTION("""COMPUTED_VALUE"""),"")</f>
        <v/>
      </c>
    </row>
    <row r="9174">
      <c r="D9174" t="str">
        <f>IFERROR(__xludf.DUMMYFUNCTION("""COMPUTED_VALUE"""),"Wallace")</f>
        <v>Wallace</v>
      </c>
      <c r="E9174" t="str">
        <f>IFERROR(__xludf.DUMMYFUNCTION("""COMPUTED_VALUE"""),"Levi")</f>
        <v>Levi</v>
      </c>
      <c r="F9174" t="str">
        <f>IFERROR(__xludf.DUMMYFUNCTION("""COMPUTED_VALUE"""),"CB")</f>
        <v>CB</v>
      </c>
      <c r="G9174" t="str">
        <f>IFERROR(__xludf.DUMMYFUNCTION("""COMPUTED_VALUE"""),"")</f>
        <v/>
      </c>
    </row>
    <row r="9175">
      <c r="D9175" t="str">
        <f>IFERROR(__xludf.DUMMYFUNCTION("""COMPUTED_VALUE"""),"Waller")</f>
        <v>Waller</v>
      </c>
      <c r="E9175" t="str">
        <f>IFERROR(__xludf.DUMMYFUNCTION("""COMPUTED_VALUE"""),"Darren")</f>
        <v>Darren</v>
      </c>
      <c r="F9175" t="str">
        <f>IFERROR(__xludf.DUMMYFUNCTION("""COMPUTED_VALUE"""),"TE")</f>
        <v>TE</v>
      </c>
      <c r="G9175" t="str">
        <f>IFERROR(__xludf.DUMMYFUNCTION("""COMPUTED_VALUE"""),"")</f>
        <v/>
      </c>
    </row>
    <row r="9176">
      <c r="D9176" t="str">
        <f>IFERROR(__xludf.DUMMYFUNCTION("""COMPUTED_VALUE"""),"Walton")</f>
        <v>Walton</v>
      </c>
      <c r="E9176" t="str">
        <f>IFERROR(__xludf.DUMMYFUNCTION("""COMPUTED_VALUE"""),"Mark")</f>
        <v>Mark</v>
      </c>
      <c r="F9176" t="str">
        <f>IFERROR(__xludf.DUMMYFUNCTION("""COMPUTED_VALUE"""),"HB")</f>
        <v>HB</v>
      </c>
      <c r="G9176" t="str">
        <f>IFERROR(__xludf.DUMMYFUNCTION("""COMPUTED_VALUE"""),"")</f>
        <v/>
      </c>
    </row>
    <row r="9177">
      <c r="D9177" t="str">
        <f>IFERROR(__xludf.DUMMYFUNCTION("""COMPUTED_VALUE"""),"Ward")</f>
        <v>Ward</v>
      </c>
      <c r="E9177" t="str">
        <f>IFERROR(__xludf.DUMMYFUNCTION("""COMPUTED_VALUE"""),"Charvarius")</f>
        <v>Charvarius</v>
      </c>
      <c r="F9177" t="str">
        <f>IFERROR(__xludf.DUMMYFUNCTION("""COMPUTED_VALUE"""),"CB")</f>
        <v>CB</v>
      </c>
      <c r="G9177" t="str">
        <f>IFERROR(__xludf.DUMMYFUNCTION("""COMPUTED_VALUE"""),"")</f>
        <v/>
      </c>
    </row>
    <row r="9178">
      <c r="D9178" t="str">
        <f>IFERROR(__xludf.DUMMYFUNCTION("""COMPUTED_VALUE"""),"Ward")</f>
        <v>Ward</v>
      </c>
      <c r="E9178" t="str">
        <f>IFERROR(__xludf.DUMMYFUNCTION("""COMPUTED_VALUE"""),"Denzel")</f>
        <v>Denzel</v>
      </c>
      <c r="F9178" t="str">
        <f>IFERROR(__xludf.DUMMYFUNCTION("""COMPUTED_VALUE"""),"CB")</f>
        <v>CB</v>
      </c>
      <c r="G9178" t="str">
        <f>IFERROR(__xludf.DUMMYFUNCTION("""COMPUTED_VALUE"""),"")</f>
        <v/>
      </c>
    </row>
    <row r="9179">
      <c r="D9179" t="str">
        <f>IFERROR(__xludf.DUMMYFUNCTION("""COMPUTED_VALUE"""),"Ward")</f>
        <v>Ward</v>
      </c>
      <c r="E9179" t="str">
        <f>IFERROR(__xludf.DUMMYFUNCTION("""COMPUTED_VALUE"""),"Jihad")</f>
        <v>Jihad</v>
      </c>
      <c r="F9179" t="str">
        <f>IFERROR(__xludf.DUMMYFUNCTION("""COMPUTED_VALUE"""),"DT")</f>
        <v>DT</v>
      </c>
      <c r="G9179" t="str">
        <f>IFERROR(__xludf.DUMMYFUNCTION("""COMPUTED_VALUE"""),"")</f>
        <v/>
      </c>
    </row>
    <row r="9180">
      <c r="D9180" t="str">
        <f>IFERROR(__xludf.DUMMYFUNCTION("""COMPUTED_VALUE"""),"Ward")</f>
        <v>Ward</v>
      </c>
      <c r="E9180" t="str">
        <f>IFERROR(__xludf.DUMMYFUNCTION("""COMPUTED_VALUE"""),"Jimmie")</f>
        <v>Jimmie</v>
      </c>
      <c r="F9180" t="str">
        <f>IFERROR(__xludf.DUMMYFUNCTION("""COMPUTED_VALUE"""),"CB")</f>
        <v>CB</v>
      </c>
      <c r="G9180" t="str">
        <f>IFERROR(__xludf.DUMMYFUNCTION("""COMPUTED_VALUE"""),"")</f>
        <v/>
      </c>
    </row>
    <row r="9181">
      <c r="D9181" t="str">
        <f>IFERROR(__xludf.DUMMYFUNCTION("""COMPUTED_VALUE"""),"Ware")</f>
        <v>Ware</v>
      </c>
      <c r="E9181" t="str">
        <f>IFERROR(__xludf.DUMMYFUNCTION("""COMPUTED_VALUE"""),"Spencer")</f>
        <v>Spencer</v>
      </c>
      <c r="F9181" t="str">
        <f>IFERROR(__xludf.DUMMYFUNCTION("""COMPUTED_VALUE"""),"HB")</f>
        <v>HB</v>
      </c>
      <c r="G9181" t="str">
        <f>IFERROR(__xludf.DUMMYFUNCTION("""COMPUTED_VALUE"""),"")</f>
        <v/>
      </c>
    </row>
    <row r="9182">
      <c r="D9182" t="str">
        <f>IFERROR(__xludf.DUMMYFUNCTION("""COMPUTED_VALUE"""),"Warford")</f>
        <v>Warford</v>
      </c>
      <c r="E9182" t="str">
        <f>IFERROR(__xludf.DUMMYFUNCTION("""COMPUTED_VALUE"""),"Larry")</f>
        <v>Larry</v>
      </c>
      <c r="F9182" t="str">
        <f>IFERROR(__xludf.DUMMYFUNCTION("""COMPUTED_VALUE"""),"RG")</f>
        <v>RG</v>
      </c>
      <c r="G9182" t="str">
        <f>IFERROR(__xludf.DUMMYFUNCTION("""COMPUTED_VALUE"""),"")</f>
        <v/>
      </c>
    </row>
    <row r="9183">
      <c r="D9183" t="str">
        <f>IFERROR(__xludf.DUMMYFUNCTION("""COMPUTED_VALUE"""),"Warner")</f>
        <v>Warner</v>
      </c>
      <c r="E9183" t="str">
        <f>IFERROR(__xludf.DUMMYFUNCTION("""COMPUTED_VALUE"""),"Fred")</f>
        <v>Fred</v>
      </c>
      <c r="F9183" t="str">
        <f>IFERROR(__xludf.DUMMYFUNCTION("""COMPUTED_VALUE"""),"ROLB")</f>
        <v>ROLB</v>
      </c>
      <c r="G9183" t="str">
        <f>IFERROR(__xludf.DUMMYFUNCTION("""COMPUTED_VALUE"""),"")</f>
        <v/>
      </c>
    </row>
    <row r="9184">
      <c r="D9184" t="str">
        <f>IFERROR(__xludf.DUMMYFUNCTION("""COMPUTED_VALUE"""),"Warren")</f>
        <v>Warren</v>
      </c>
      <c r="E9184" t="str">
        <f>IFERROR(__xludf.DUMMYFUNCTION("""COMPUTED_VALUE"""),"Chris")</f>
        <v>Chris</v>
      </c>
      <c r="F9184" t="str">
        <f>IFERROR(__xludf.DUMMYFUNCTION("""COMPUTED_VALUE"""),"HB")</f>
        <v>HB</v>
      </c>
      <c r="G9184" t="str">
        <f>IFERROR(__xludf.DUMMYFUNCTION("""COMPUTED_VALUE"""),"")</f>
        <v/>
      </c>
    </row>
    <row r="9185">
      <c r="D9185" t="str">
        <f>IFERROR(__xludf.DUMMYFUNCTION("""COMPUTED_VALUE"""),"Warring")</f>
        <v>Warring</v>
      </c>
      <c r="E9185" t="str">
        <f>IFERROR(__xludf.DUMMYFUNCTION("""COMPUTED_VALUE"""),"Kahale")</f>
        <v>Kahale</v>
      </c>
      <c r="F9185" t="str">
        <f>IFERROR(__xludf.DUMMYFUNCTION("""COMPUTED_VALUE"""),"TE")</f>
        <v>TE</v>
      </c>
      <c r="G9185" t="str">
        <f>IFERROR(__xludf.DUMMYFUNCTION("""COMPUTED_VALUE"""),"")</f>
        <v/>
      </c>
    </row>
    <row r="9186">
      <c r="D9186" t="str">
        <f>IFERROR(__xludf.DUMMYFUNCTION("""COMPUTED_VALUE"""),"Washington")</f>
        <v>Washington</v>
      </c>
      <c r="E9186" t="str">
        <f>IFERROR(__xludf.DUMMYFUNCTION("""COMPUTED_VALUE"""),"Adolphus")</f>
        <v>Adolphus</v>
      </c>
      <c r="F9186" t="str">
        <f>IFERROR(__xludf.DUMMYFUNCTION("""COMPUTED_VALUE"""),"DT")</f>
        <v>DT</v>
      </c>
      <c r="G9186" t="str">
        <f>IFERROR(__xludf.DUMMYFUNCTION("""COMPUTED_VALUE"""),"")</f>
        <v/>
      </c>
    </row>
    <row r="9187">
      <c r="D9187" t="str">
        <f>IFERROR(__xludf.DUMMYFUNCTION("""COMPUTED_VALUE"""),"Washington")</f>
        <v>Washington</v>
      </c>
      <c r="E9187" t="str">
        <f>IFERROR(__xludf.DUMMYFUNCTION("""COMPUTED_VALUE"""),"Charles")</f>
        <v>Charles</v>
      </c>
      <c r="F9187" t="str">
        <f>IFERROR(__xludf.DUMMYFUNCTION("""COMPUTED_VALUE"""),"FS")</f>
        <v>FS</v>
      </c>
      <c r="G9187" t="str">
        <f>IFERROR(__xludf.DUMMYFUNCTION("""COMPUTED_VALUE"""),"")</f>
        <v/>
      </c>
    </row>
    <row r="9188">
      <c r="D9188" t="str">
        <f>IFERROR(__xludf.DUMMYFUNCTION("""COMPUTED_VALUE"""),"Washington")</f>
        <v>Washington</v>
      </c>
      <c r="E9188" t="str">
        <f>IFERROR(__xludf.DUMMYFUNCTION("""COMPUTED_VALUE"""),"DeAndre")</f>
        <v>DeAndre</v>
      </c>
      <c r="F9188" t="str">
        <f>IFERROR(__xludf.DUMMYFUNCTION("""COMPUTED_VALUE"""),"HB")</f>
        <v>HB</v>
      </c>
      <c r="G9188" t="str">
        <f>IFERROR(__xludf.DUMMYFUNCTION("""COMPUTED_VALUE"""),"")</f>
        <v/>
      </c>
    </row>
    <row r="9189">
      <c r="D9189" t="str">
        <f>IFERROR(__xludf.DUMMYFUNCTION("""COMPUTED_VALUE"""),"Washington")</f>
        <v>Washington</v>
      </c>
      <c r="E9189" t="str">
        <f>IFERROR(__xludf.DUMMYFUNCTION("""COMPUTED_VALUE"""),"Dwayne")</f>
        <v>Dwayne</v>
      </c>
      <c r="F9189" t="str">
        <f>IFERROR(__xludf.DUMMYFUNCTION("""COMPUTED_VALUE"""),"HB")</f>
        <v>HB</v>
      </c>
      <c r="G9189" t="str">
        <f>IFERROR(__xludf.DUMMYFUNCTION("""COMPUTED_VALUE"""),"")</f>
        <v/>
      </c>
    </row>
    <row r="9190">
      <c r="D9190" t="str">
        <f>IFERROR(__xludf.DUMMYFUNCTION("""COMPUTED_VALUE"""),"Washington")</f>
        <v>Washington</v>
      </c>
      <c r="E9190" t="str">
        <f>IFERROR(__xludf.DUMMYFUNCTION("""COMPUTED_VALUE"""),"James")</f>
        <v>James</v>
      </c>
      <c r="F9190" t="str">
        <f>IFERROR(__xludf.DUMMYFUNCTION("""COMPUTED_VALUE"""),"WR")</f>
        <v>WR</v>
      </c>
      <c r="G9190" t="str">
        <f>IFERROR(__xludf.DUMMYFUNCTION("""COMPUTED_VALUE"""),"")</f>
        <v/>
      </c>
    </row>
    <row r="9191">
      <c r="D9191" t="str">
        <f>IFERROR(__xludf.DUMMYFUNCTION("""COMPUTED_VALUE"""),"Waters")</f>
        <v>Waters</v>
      </c>
      <c r="E9191" t="str">
        <f>IFERROR(__xludf.DUMMYFUNCTION("""COMPUTED_VALUE"""),"Herb")</f>
        <v>Herb</v>
      </c>
      <c r="F9191" t="str">
        <f>IFERROR(__xludf.DUMMYFUNCTION("""COMPUTED_VALUE"""),"CB")</f>
        <v>CB</v>
      </c>
      <c r="G9191" t="str">
        <f>IFERROR(__xludf.DUMMYFUNCTION("""COMPUTED_VALUE"""),"")</f>
        <v/>
      </c>
    </row>
    <row r="9192">
      <c r="D9192" t="str">
        <f>IFERROR(__xludf.DUMMYFUNCTION("""COMPUTED_VALUE"""),"Watford")</f>
        <v>Watford</v>
      </c>
      <c r="E9192" t="str">
        <f>IFERROR(__xludf.DUMMYFUNCTION("""COMPUTED_VALUE"""),"Earl")</f>
        <v>Earl</v>
      </c>
      <c r="F9192" t="str">
        <f>IFERROR(__xludf.DUMMYFUNCTION("""COMPUTED_VALUE"""),"RG")</f>
        <v>RG</v>
      </c>
      <c r="G9192" t="str">
        <f>IFERROR(__xludf.DUMMYFUNCTION("""COMPUTED_VALUE"""),"")</f>
        <v/>
      </c>
    </row>
    <row r="9193">
      <c r="D9193" t="str">
        <f>IFERROR(__xludf.DUMMYFUNCTION("""COMPUTED_VALUE"""),"Watkins")</f>
        <v>Watkins</v>
      </c>
      <c r="E9193" t="str">
        <f>IFERROR(__xludf.DUMMYFUNCTION("""COMPUTED_VALUE"""),"Carlos")</f>
        <v>Carlos</v>
      </c>
      <c r="F9193" t="str">
        <f>IFERROR(__xludf.DUMMYFUNCTION("""COMPUTED_VALUE"""),"LE")</f>
        <v>LE</v>
      </c>
      <c r="G9193" t="str">
        <f>IFERROR(__xludf.DUMMYFUNCTION("""COMPUTED_VALUE"""),"")</f>
        <v/>
      </c>
    </row>
    <row r="9194">
      <c r="D9194" t="str">
        <f>IFERROR(__xludf.DUMMYFUNCTION("""COMPUTED_VALUE"""),"Watkins")</f>
        <v>Watkins</v>
      </c>
      <c r="E9194" t="str">
        <f>IFERROR(__xludf.DUMMYFUNCTION("""COMPUTED_VALUE"""),"Jaylen")</f>
        <v>Jaylen</v>
      </c>
      <c r="F9194" t="str">
        <f>IFERROR(__xludf.DUMMYFUNCTION("""COMPUTED_VALUE"""),"SS")</f>
        <v>SS</v>
      </c>
      <c r="G9194" t="str">
        <f>IFERROR(__xludf.DUMMYFUNCTION("""COMPUTED_VALUE"""),"")</f>
        <v/>
      </c>
    </row>
    <row r="9195">
      <c r="D9195" t="str">
        <f>IFERROR(__xludf.DUMMYFUNCTION("""COMPUTED_VALUE"""),"Watkins")</f>
        <v>Watkins</v>
      </c>
      <c r="E9195" t="str">
        <f>IFERROR(__xludf.DUMMYFUNCTION("""COMPUTED_VALUE"""),"Sammy")</f>
        <v>Sammy</v>
      </c>
      <c r="F9195" t="str">
        <f>IFERROR(__xludf.DUMMYFUNCTION("""COMPUTED_VALUE"""),"WR")</f>
        <v>WR</v>
      </c>
      <c r="G9195" t="str">
        <f>IFERROR(__xludf.DUMMYFUNCTION("""COMPUTED_VALUE"""),"")</f>
        <v/>
      </c>
    </row>
    <row r="9196">
      <c r="D9196" t="str">
        <f>IFERROR(__xludf.DUMMYFUNCTION("""COMPUTED_VALUE"""),"Watson")</f>
        <v>Watson</v>
      </c>
      <c r="E9196" t="str">
        <f>IFERROR(__xludf.DUMMYFUNCTION("""COMPUTED_VALUE"""),"Benjamin")</f>
        <v>Benjamin</v>
      </c>
      <c r="F9196" t="str">
        <f>IFERROR(__xludf.DUMMYFUNCTION("""COMPUTED_VALUE"""),"TE")</f>
        <v>TE</v>
      </c>
      <c r="G9196" t="str">
        <f>IFERROR(__xludf.DUMMYFUNCTION("""COMPUTED_VALUE"""),"")</f>
        <v/>
      </c>
    </row>
    <row r="9197">
      <c r="D9197" t="str">
        <f>IFERROR(__xludf.DUMMYFUNCTION("""COMPUTED_VALUE"""),"Watson")</f>
        <v>Watson</v>
      </c>
      <c r="E9197" t="str">
        <f>IFERROR(__xludf.DUMMYFUNCTION("""COMPUTED_VALUE"""),"Dekoda")</f>
        <v>Dekoda</v>
      </c>
      <c r="F9197" t="str">
        <f>IFERROR(__xludf.DUMMYFUNCTION("""COMPUTED_VALUE"""),"ROLB")</f>
        <v>ROLB</v>
      </c>
      <c r="G9197" t="str">
        <f>IFERROR(__xludf.DUMMYFUNCTION("""COMPUTED_VALUE"""),"")</f>
        <v/>
      </c>
    </row>
    <row r="9198">
      <c r="D9198" t="str">
        <f>IFERROR(__xludf.DUMMYFUNCTION("""COMPUTED_VALUE"""),"Watson")</f>
        <v>Watson</v>
      </c>
      <c r="E9198" t="str">
        <f>IFERROR(__xludf.DUMMYFUNCTION("""COMPUTED_VALUE"""),"Deshaun")</f>
        <v>Deshaun</v>
      </c>
      <c r="F9198" t="str">
        <f>IFERROR(__xludf.DUMMYFUNCTION("""COMPUTED_VALUE"""),"QB")</f>
        <v>QB</v>
      </c>
      <c r="G9198" t="str">
        <f>IFERROR(__xludf.DUMMYFUNCTION("""COMPUTED_VALUE"""),"")</f>
        <v/>
      </c>
    </row>
    <row r="9199">
      <c r="D9199" t="str">
        <f>IFERROR(__xludf.DUMMYFUNCTION("""COMPUTED_VALUE"""),"Watson")</f>
        <v>Watson</v>
      </c>
      <c r="E9199" t="str">
        <f>IFERROR(__xludf.DUMMYFUNCTION("""COMPUTED_VALUE"""),"Justin")</f>
        <v>Justin</v>
      </c>
      <c r="F9199" t="str">
        <f>IFERROR(__xludf.DUMMYFUNCTION("""COMPUTED_VALUE"""),"WR")</f>
        <v>WR</v>
      </c>
      <c r="G9199" t="str">
        <f>IFERROR(__xludf.DUMMYFUNCTION("""COMPUTED_VALUE"""),"")</f>
        <v/>
      </c>
    </row>
    <row r="9200">
      <c r="D9200" t="str">
        <f>IFERROR(__xludf.DUMMYFUNCTION("""COMPUTED_VALUE"""),"Watt")</f>
        <v>Watt</v>
      </c>
      <c r="E9200" t="str">
        <f>IFERROR(__xludf.DUMMYFUNCTION("""COMPUTED_VALUE"""),"Derek")</f>
        <v>Derek</v>
      </c>
      <c r="F9200" t="str">
        <f>IFERROR(__xludf.DUMMYFUNCTION("""COMPUTED_VALUE"""),"FB")</f>
        <v>FB</v>
      </c>
      <c r="G9200" t="str">
        <f>IFERROR(__xludf.DUMMYFUNCTION("""COMPUTED_VALUE"""),"")</f>
        <v/>
      </c>
    </row>
    <row r="9201">
      <c r="D9201" t="str">
        <f>IFERROR(__xludf.DUMMYFUNCTION("""COMPUTED_VALUE"""),"Watt")</f>
        <v>Watt</v>
      </c>
      <c r="E9201" t="str">
        <f>IFERROR(__xludf.DUMMYFUNCTION("""COMPUTED_VALUE"""),"JJ")</f>
        <v>JJ</v>
      </c>
      <c r="F9201" t="str">
        <f>IFERROR(__xludf.DUMMYFUNCTION("""COMPUTED_VALUE"""),"LE")</f>
        <v>LE</v>
      </c>
      <c r="G9201" t="str">
        <f>IFERROR(__xludf.DUMMYFUNCTION("""COMPUTED_VALUE"""),"")</f>
        <v/>
      </c>
    </row>
    <row r="9202">
      <c r="D9202" t="str">
        <f>IFERROR(__xludf.DUMMYFUNCTION("""COMPUTED_VALUE"""),"Watt")</f>
        <v>Watt</v>
      </c>
      <c r="E9202" t="str">
        <f>IFERROR(__xludf.DUMMYFUNCTION("""COMPUTED_VALUE"""),"TJ")</f>
        <v>TJ</v>
      </c>
      <c r="F9202" t="str">
        <f>IFERROR(__xludf.DUMMYFUNCTION("""COMPUTED_VALUE"""),"LOLB")</f>
        <v>LOLB</v>
      </c>
      <c r="G9202" t="str">
        <f>IFERROR(__xludf.DUMMYFUNCTION("""COMPUTED_VALUE"""),"")</f>
        <v/>
      </c>
    </row>
    <row r="9203">
      <c r="D9203" t="str">
        <f>IFERROR(__xludf.DUMMYFUNCTION("""COMPUTED_VALUE"""),"Watts")</f>
        <v>Watts</v>
      </c>
      <c r="E9203" t="str">
        <f>IFERROR(__xludf.DUMMYFUNCTION("""COMPUTED_VALUE"""),"Armani")</f>
        <v>Armani</v>
      </c>
      <c r="F9203" t="str">
        <f>IFERROR(__xludf.DUMMYFUNCTION("""COMPUTED_VALUE"""),"SS")</f>
        <v>SS</v>
      </c>
      <c r="G9203" t="str">
        <f>IFERROR(__xludf.DUMMYFUNCTION("""COMPUTED_VALUE"""),"")</f>
        <v/>
      </c>
    </row>
    <row r="9204">
      <c r="D9204" t="str">
        <f>IFERROR(__xludf.DUMMYFUNCTION("""COMPUTED_VALUE"""),"Watts")</f>
        <v>Watts</v>
      </c>
      <c r="E9204" t="str">
        <f>IFERROR(__xludf.DUMMYFUNCTION("""COMPUTED_VALUE"""),"Armon")</f>
        <v>Armon</v>
      </c>
      <c r="F9204" t="str">
        <f>IFERROR(__xludf.DUMMYFUNCTION("""COMPUTED_VALUE"""),"DT")</f>
        <v>DT</v>
      </c>
      <c r="G9204" t="str">
        <f>IFERROR(__xludf.DUMMYFUNCTION("""COMPUTED_VALUE"""),"")</f>
        <v/>
      </c>
    </row>
    <row r="9205">
      <c r="D9205" t="str">
        <f>IFERROR(__xludf.DUMMYFUNCTION("""COMPUTED_VALUE"""),"Way")</f>
        <v>Way</v>
      </c>
      <c r="E9205" t="str">
        <f>IFERROR(__xludf.DUMMYFUNCTION("""COMPUTED_VALUE"""),"Tress")</f>
        <v>Tress</v>
      </c>
      <c r="F9205" t="str">
        <f>IFERROR(__xludf.DUMMYFUNCTION("""COMPUTED_VALUE"""),"P")</f>
        <v>P</v>
      </c>
      <c r="G9205" t="str">
        <f>IFERROR(__xludf.DUMMYFUNCTION("""COMPUTED_VALUE"""),"")</f>
        <v/>
      </c>
    </row>
    <row r="9206">
      <c r="D9206" t="str">
        <f>IFERROR(__xludf.DUMMYFUNCTION("""COMPUTED_VALUE"""),"Waynes")</f>
        <v>Waynes</v>
      </c>
      <c r="E9206" t="str">
        <f>IFERROR(__xludf.DUMMYFUNCTION("""COMPUTED_VALUE"""),"Trae")</f>
        <v>Trae</v>
      </c>
      <c r="F9206" t="str">
        <f>IFERROR(__xludf.DUMMYFUNCTION("""COMPUTED_VALUE"""),"CB")</f>
        <v>CB</v>
      </c>
      <c r="G9206" t="str">
        <f>IFERROR(__xludf.DUMMYFUNCTION("""COMPUTED_VALUE"""),"")</f>
        <v/>
      </c>
    </row>
    <row r="9207">
      <c r="D9207" t="str">
        <f>IFERROR(__xludf.DUMMYFUNCTION("""COMPUTED_VALUE"""),"Weatherly")</f>
        <v>Weatherly</v>
      </c>
      <c r="E9207" t="str">
        <f>IFERROR(__xludf.DUMMYFUNCTION("""COMPUTED_VALUE"""),"Stephen")</f>
        <v>Stephen</v>
      </c>
      <c r="F9207" t="str">
        <f>IFERROR(__xludf.DUMMYFUNCTION("""COMPUTED_VALUE"""),"LE")</f>
        <v>LE</v>
      </c>
      <c r="G9207" t="str">
        <f>IFERROR(__xludf.DUMMYFUNCTION("""COMPUTED_VALUE"""),"")</f>
        <v/>
      </c>
    </row>
    <row r="9208">
      <c r="D9208" t="str">
        <f>IFERROR(__xludf.DUMMYFUNCTION("""COMPUTED_VALUE"""),"Webb")</f>
        <v>Webb</v>
      </c>
      <c r="E9208" t="str">
        <f>IFERROR(__xludf.DUMMYFUNCTION("""COMPUTED_VALUE"""),"BW")</f>
        <v>BW</v>
      </c>
      <c r="F9208" t="str">
        <f>IFERROR(__xludf.DUMMYFUNCTION("""COMPUTED_VALUE"""),"CB")</f>
        <v>CB</v>
      </c>
      <c r="G9208" t="str">
        <f>IFERROR(__xludf.DUMMYFUNCTION("""COMPUTED_VALUE"""),"")</f>
        <v/>
      </c>
    </row>
    <row r="9209">
      <c r="D9209" t="str">
        <f>IFERROR(__xludf.DUMMYFUNCTION("""COMPUTED_VALUE"""),"Webb")</f>
        <v>Webb</v>
      </c>
      <c r="E9209" t="str">
        <f>IFERROR(__xludf.DUMMYFUNCTION("""COMPUTED_VALUE"""),"Damon")</f>
        <v>Damon</v>
      </c>
      <c r="F9209" t="str">
        <f>IFERROR(__xludf.DUMMYFUNCTION("""COMPUTED_VALUE"""),"SS")</f>
        <v>SS</v>
      </c>
      <c r="G9209" t="str">
        <f>IFERROR(__xludf.DUMMYFUNCTION("""COMPUTED_VALUE"""),"")</f>
        <v/>
      </c>
    </row>
    <row r="9210">
      <c r="D9210" t="str">
        <f>IFERROR(__xludf.DUMMYFUNCTION("""COMPUTED_VALUE"""),"Webb")</f>
        <v>Webb</v>
      </c>
      <c r="E9210" t="str">
        <f>IFERROR(__xludf.DUMMYFUNCTION("""COMPUTED_VALUE"""),"Davis")</f>
        <v>Davis</v>
      </c>
      <c r="F9210" t="str">
        <f>IFERROR(__xludf.DUMMYFUNCTION("""COMPUTED_VALUE"""),"QB")</f>
        <v>QB</v>
      </c>
      <c r="G9210" t="str">
        <f>IFERROR(__xludf.DUMMYFUNCTION("""COMPUTED_VALUE"""),"")</f>
        <v/>
      </c>
    </row>
    <row r="9211">
      <c r="D9211" t="str">
        <f>IFERROR(__xludf.DUMMYFUNCTION("""COMPUTED_VALUE"""),"Webb")</f>
        <v>Webb</v>
      </c>
      <c r="E9211" t="str">
        <f>IFERROR(__xludf.DUMMYFUNCTION("""COMPUTED_VALUE"""),"JMarcus")</f>
        <v>JMarcus</v>
      </c>
      <c r="F9211" t="str">
        <f>IFERROR(__xludf.DUMMYFUNCTION("""COMPUTED_VALUE"""),"RT")</f>
        <v>RT</v>
      </c>
      <c r="G9211" t="str">
        <f>IFERROR(__xludf.DUMMYFUNCTION("""COMPUTED_VALUE"""),"")</f>
        <v/>
      </c>
    </row>
    <row r="9212">
      <c r="D9212" t="str">
        <f>IFERROR(__xludf.DUMMYFUNCTION("""COMPUTED_VALUE"""),"Webb")</f>
        <v>Webb</v>
      </c>
      <c r="E9212" t="str">
        <f>IFERROR(__xludf.DUMMYFUNCTION("""COMPUTED_VALUE"""),"Joe")</f>
        <v>Joe</v>
      </c>
      <c r="F9212" t="str">
        <f>IFERROR(__xludf.DUMMYFUNCTION("""COMPUTED_VALUE"""),"QB")</f>
        <v>QB</v>
      </c>
      <c r="G9212" t="str">
        <f>IFERROR(__xludf.DUMMYFUNCTION("""COMPUTED_VALUE"""),"")</f>
        <v/>
      </c>
    </row>
    <row r="9213">
      <c r="D9213" t="str">
        <f>IFERROR(__xludf.DUMMYFUNCTION("""COMPUTED_VALUE"""),"Weber")</f>
        <v>Weber</v>
      </c>
      <c r="E9213" t="str">
        <f>IFERROR(__xludf.DUMMYFUNCTION("""COMPUTED_VALUE"""),"Mike")</f>
        <v>Mike</v>
      </c>
      <c r="F9213" t="str">
        <f>IFERROR(__xludf.DUMMYFUNCTION("""COMPUTED_VALUE"""),"HB")</f>
        <v>HB</v>
      </c>
      <c r="G9213" t="str">
        <f>IFERROR(__xludf.DUMMYFUNCTION("""COMPUTED_VALUE"""),"")</f>
        <v/>
      </c>
    </row>
    <row r="9214">
      <c r="D9214" t="str">
        <f>IFERROR(__xludf.DUMMYFUNCTION("""COMPUTED_VALUE"""),"Webster")</f>
        <v>Webster</v>
      </c>
      <c r="E9214" t="str">
        <f>IFERROR(__xludf.DUMMYFUNCTION("""COMPUTED_VALUE"""),"Ken")</f>
        <v>Ken</v>
      </c>
      <c r="F9214" t="str">
        <f>IFERROR(__xludf.DUMMYFUNCTION("""COMPUTED_VALUE"""),"CB")</f>
        <v>CB</v>
      </c>
      <c r="G9214" t="str">
        <f>IFERROR(__xludf.DUMMYFUNCTION("""COMPUTED_VALUE"""),"")</f>
        <v/>
      </c>
    </row>
    <row r="9215">
      <c r="D9215" t="str">
        <f>IFERROR(__xludf.DUMMYFUNCTION("""COMPUTED_VALUE"""),"Weddle")</f>
        <v>Weddle</v>
      </c>
      <c r="E9215" t="str">
        <f>IFERROR(__xludf.DUMMYFUNCTION("""COMPUTED_VALUE"""),"Eric")</f>
        <v>Eric</v>
      </c>
      <c r="F9215" t="str">
        <f>IFERROR(__xludf.DUMMYFUNCTION("""COMPUTED_VALUE"""),"FS")</f>
        <v>FS</v>
      </c>
      <c r="G9215" t="str">
        <f>IFERROR(__xludf.DUMMYFUNCTION("""COMPUTED_VALUE"""),"")</f>
        <v/>
      </c>
    </row>
    <row r="9216">
      <c r="D9216" t="str">
        <f>IFERROR(__xludf.DUMMYFUNCTION("""COMPUTED_VALUE"""),"Weeks")</f>
        <v>Weeks</v>
      </c>
      <c r="E9216" t="str">
        <f>IFERROR(__xludf.DUMMYFUNCTION("""COMPUTED_VALUE"""),"Jon")</f>
        <v>Jon</v>
      </c>
      <c r="F9216" t="str">
        <f>IFERROR(__xludf.DUMMYFUNCTION("""COMPUTED_VALUE"""),"TE")</f>
        <v>TE</v>
      </c>
      <c r="G9216" t="str">
        <f>IFERROR(__xludf.DUMMYFUNCTION("""COMPUTED_VALUE"""),"")</f>
        <v/>
      </c>
    </row>
    <row r="9217">
      <c r="D9217" t="str">
        <f>IFERROR(__xludf.DUMMYFUNCTION("""COMPUTED_VALUE"""),"Wellman")</f>
        <v>Wellman</v>
      </c>
      <c r="E9217" t="str">
        <f>IFERROR(__xludf.DUMMYFUNCTION("""COMPUTED_VALUE"""),"Elijah")</f>
        <v>Elijah</v>
      </c>
      <c r="F9217" t="str">
        <f>IFERROR(__xludf.DUMMYFUNCTION("""COMPUTED_VALUE"""),"FB")</f>
        <v>FB</v>
      </c>
      <c r="G9217" t="str">
        <f>IFERROR(__xludf.DUMMYFUNCTION("""COMPUTED_VALUE"""),"")</f>
        <v/>
      </c>
    </row>
    <row r="9218">
      <c r="D9218" t="str">
        <f>IFERROR(__xludf.DUMMYFUNCTION("""COMPUTED_VALUE"""),"Wells")</f>
        <v>Wells</v>
      </c>
      <c r="E9218" t="str">
        <f>IFERROR(__xludf.DUMMYFUNCTION("""COMPUTED_VALUE"""),"David")</f>
        <v>David</v>
      </c>
      <c r="F9218" t="str">
        <f>IFERROR(__xludf.DUMMYFUNCTION("""COMPUTED_VALUE"""),"TE")</f>
        <v>TE</v>
      </c>
      <c r="G9218" t="str">
        <f>IFERROR(__xludf.DUMMYFUNCTION("""COMPUTED_VALUE"""),"")</f>
        <v/>
      </c>
    </row>
    <row r="9219">
      <c r="D9219" t="str">
        <f>IFERROR(__xludf.DUMMYFUNCTION("""COMPUTED_VALUE"""),"Wells")</f>
        <v>Wells</v>
      </c>
      <c r="E9219" t="str">
        <f>IFERROR(__xludf.DUMMYFUNCTION("""COMPUTED_VALUE"""),"Josh")</f>
        <v>Josh</v>
      </c>
      <c r="F9219" t="str">
        <f>IFERROR(__xludf.DUMMYFUNCTION("""COMPUTED_VALUE"""),"LT")</f>
        <v>LT</v>
      </c>
      <c r="G9219" t="str">
        <f>IFERROR(__xludf.DUMMYFUNCTION("""COMPUTED_VALUE"""),"")</f>
        <v/>
      </c>
    </row>
    <row r="9220">
      <c r="D9220" t="str">
        <f>IFERROR(__xludf.DUMMYFUNCTION("""COMPUTED_VALUE"""),"Wentz")</f>
        <v>Wentz</v>
      </c>
      <c r="E9220" t="str">
        <f>IFERROR(__xludf.DUMMYFUNCTION("""COMPUTED_VALUE"""),"Carson")</f>
        <v>Carson</v>
      </c>
      <c r="F9220" t="str">
        <f>IFERROR(__xludf.DUMMYFUNCTION("""COMPUTED_VALUE"""),"QB")</f>
        <v>QB</v>
      </c>
      <c r="G9220" t="str">
        <f>IFERROR(__xludf.DUMMYFUNCTION("""COMPUTED_VALUE"""),"")</f>
        <v/>
      </c>
    </row>
    <row r="9221">
      <c r="D9221" t="str">
        <f>IFERROR(__xludf.DUMMYFUNCTION("""COMPUTED_VALUE"""),"Wesco")</f>
        <v>Wesco</v>
      </c>
      <c r="E9221" t="str">
        <f>IFERROR(__xludf.DUMMYFUNCTION("""COMPUTED_VALUE"""),"Trevon")</f>
        <v>Trevon</v>
      </c>
      <c r="F9221" t="str">
        <f>IFERROR(__xludf.DUMMYFUNCTION("""COMPUTED_VALUE"""),"TE")</f>
        <v>TE</v>
      </c>
      <c r="G9221" t="str">
        <f>IFERROR(__xludf.DUMMYFUNCTION("""COMPUTED_VALUE"""),"")</f>
        <v/>
      </c>
    </row>
    <row r="9222">
      <c r="D9222" t="str">
        <f>IFERROR(__xludf.DUMMYFUNCTION("""COMPUTED_VALUE"""),"Wesley")</f>
        <v>Wesley</v>
      </c>
      <c r="E9222" t="str">
        <f>IFERROR(__xludf.DUMMYFUNCTION("""COMPUTED_VALUE"""),"Alex")</f>
        <v>Alex</v>
      </c>
      <c r="F9222" t="str">
        <f>IFERROR(__xludf.DUMMYFUNCTION("""COMPUTED_VALUE"""),"WR")</f>
        <v>WR</v>
      </c>
      <c r="G9222" t="str">
        <f>IFERROR(__xludf.DUMMYFUNCTION("""COMPUTED_VALUE"""),"")</f>
        <v/>
      </c>
    </row>
    <row r="9223">
      <c r="D9223" t="str">
        <f>IFERROR(__xludf.DUMMYFUNCTION("""COMPUTED_VALUE"""),"Wesley")</f>
        <v>Wesley</v>
      </c>
      <c r="E9223" t="str">
        <f>IFERROR(__xludf.DUMMYFUNCTION("""COMPUTED_VALUE"""),"DeOndre")</f>
        <v>DeOndre</v>
      </c>
      <c r="F9223" t="str">
        <f>IFERROR(__xludf.DUMMYFUNCTION("""COMPUTED_VALUE"""),"RG")</f>
        <v>RG</v>
      </c>
      <c r="G9223" t="str">
        <f>IFERROR(__xludf.DUMMYFUNCTION("""COMPUTED_VALUE"""),"")</f>
        <v/>
      </c>
    </row>
    <row r="9224">
      <c r="D9224" t="str">
        <f>IFERROR(__xludf.DUMMYFUNCTION("""COMPUTED_VALUE"""),"Westbrook")</f>
        <v>Westbrook</v>
      </c>
      <c r="E9224" t="str">
        <f>IFERROR(__xludf.DUMMYFUNCTION("""COMPUTED_VALUE"""),"Dede")</f>
        <v>Dede</v>
      </c>
      <c r="F9224" t="str">
        <f>IFERROR(__xludf.DUMMYFUNCTION("""COMPUTED_VALUE"""),"WR")</f>
        <v>WR</v>
      </c>
      <c r="G9224" t="str">
        <f>IFERROR(__xludf.DUMMYFUNCTION("""COMPUTED_VALUE"""),"")</f>
        <v/>
      </c>
    </row>
    <row r="9225">
      <c r="D9225" t="str">
        <f>IFERROR(__xludf.DUMMYFUNCTION("""COMPUTED_VALUE"""),"Wester")</f>
        <v>Wester</v>
      </c>
      <c r="E9225" t="str">
        <f>IFERROR(__xludf.DUMMYFUNCTION("""COMPUTED_VALUE"""),"Leonard")</f>
        <v>Leonard</v>
      </c>
      <c r="F9225" t="str">
        <f>IFERROR(__xludf.DUMMYFUNCTION("""COMPUTED_VALUE"""),"LT")</f>
        <v>LT</v>
      </c>
      <c r="G9225" t="str">
        <f>IFERROR(__xludf.DUMMYFUNCTION("""COMPUTED_VALUE"""),"")</f>
        <v/>
      </c>
    </row>
    <row r="9226">
      <c r="D9226" t="str">
        <f>IFERROR(__xludf.DUMMYFUNCTION("""COMPUTED_VALUE"""),"Westerman")</f>
        <v>Westerman</v>
      </c>
      <c r="E9226" t="str">
        <f>IFERROR(__xludf.DUMMYFUNCTION("""COMPUTED_VALUE"""),"Christian")</f>
        <v>Christian</v>
      </c>
      <c r="F9226" t="str">
        <f>IFERROR(__xludf.DUMMYFUNCTION("""COMPUTED_VALUE"""),"LG")</f>
        <v>LG</v>
      </c>
      <c r="G9226" t="str">
        <f>IFERROR(__xludf.DUMMYFUNCTION("""COMPUTED_VALUE"""),"")</f>
        <v/>
      </c>
    </row>
    <row r="9227">
      <c r="D9227" t="str">
        <f>IFERROR(__xludf.DUMMYFUNCTION("""COMPUTED_VALUE"""),"Wetzel")</f>
        <v>Wetzel</v>
      </c>
      <c r="E9227" t="str">
        <f>IFERROR(__xludf.DUMMYFUNCTION("""COMPUTED_VALUE"""),"John")</f>
        <v>John</v>
      </c>
      <c r="F9227" t="str">
        <f>IFERROR(__xludf.DUMMYFUNCTION("""COMPUTED_VALUE"""),"LT")</f>
        <v>LT</v>
      </c>
      <c r="G9227" t="str">
        <f>IFERROR(__xludf.DUMMYFUNCTION("""COMPUTED_VALUE"""),"")</f>
        <v/>
      </c>
    </row>
    <row r="9228">
      <c r="D9228" t="str">
        <f>IFERROR(__xludf.DUMMYFUNCTION("""COMPUTED_VALUE"""),"Wheeler")</f>
        <v>Wheeler</v>
      </c>
      <c r="E9228" t="str">
        <f>IFERROR(__xludf.DUMMYFUNCTION("""COMPUTED_VALUE"""),"Chad")</f>
        <v>Chad</v>
      </c>
      <c r="F9228" t="str">
        <f>IFERROR(__xludf.DUMMYFUNCTION("""COMPUTED_VALUE"""),"RT")</f>
        <v>RT</v>
      </c>
      <c r="G9228" t="str">
        <f>IFERROR(__xludf.DUMMYFUNCTION("""COMPUTED_VALUE"""),"")</f>
        <v/>
      </c>
    </row>
    <row r="9229">
      <c r="D9229" t="str">
        <f>IFERROR(__xludf.DUMMYFUNCTION("""COMPUTED_VALUE"""),"White")</f>
        <v>White</v>
      </c>
      <c r="E9229" t="str">
        <f>IFERROR(__xludf.DUMMYFUNCTION("""COMPUTED_VALUE"""),"DeAndrew")</f>
        <v>DeAndrew</v>
      </c>
      <c r="F9229" t="str">
        <f>IFERROR(__xludf.DUMMYFUNCTION("""COMPUTED_VALUE"""),"WR")</f>
        <v>WR</v>
      </c>
      <c r="G9229" t="str">
        <f>IFERROR(__xludf.DUMMYFUNCTION("""COMPUTED_VALUE"""),"")</f>
        <v/>
      </c>
    </row>
    <row r="9230">
      <c r="D9230" t="str">
        <f>IFERROR(__xludf.DUMMYFUNCTION("""COMPUTED_VALUE"""),"White")</f>
        <v>White</v>
      </c>
      <c r="E9230" t="str">
        <f>IFERROR(__xludf.DUMMYFUNCTION("""COMPUTED_VALUE"""),"Devin")</f>
        <v>Devin</v>
      </c>
      <c r="F9230" t="str">
        <f>IFERROR(__xludf.DUMMYFUNCTION("""COMPUTED_VALUE"""),"MLB")</f>
        <v>MLB</v>
      </c>
      <c r="G9230" t="str">
        <f>IFERROR(__xludf.DUMMYFUNCTION("""COMPUTED_VALUE"""),"")</f>
        <v/>
      </c>
    </row>
    <row r="9231">
      <c r="D9231" t="str">
        <f>IFERROR(__xludf.DUMMYFUNCTION("""COMPUTED_VALUE"""),"White")</f>
        <v>White</v>
      </c>
      <c r="E9231" t="str">
        <f>IFERROR(__xludf.DUMMYFUNCTION("""COMPUTED_VALUE"""),"James")</f>
        <v>James</v>
      </c>
      <c r="F9231" t="str">
        <f>IFERROR(__xludf.DUMMYFUNCTION("""COMPUTED_VALUE"""),"HB")</f>
        <v>HB</v>
      </c>
      <c r="G9231" t="str">
        <f>IFERROR(__xludf.DUMMYFUNCTION("""COMPUTED_VALUE"""),"")</f>
        <v/>
      </c>
    </row>
    <row r="9232">
      <c r="D9232" t="str">
        <f>IFERROR(__xludf.DUMMYFUNCTION("""COMPUTED_VALUE"""),"White")</f>
        <v>White</v>
      </c>
      <c r="E9232" t="str">
        <f>IFERROR(__xludf.DUMMYFUNCTION("""COMPUTED_VALUE"""),"Kevin")</f>
        <v>Kevin</v>
      </c>
      <c r="F9232" t="str">
        <f>IFERROR(__xludf.DUMMYFUNCTION("""COMPUTED_VALUE"""),"WR")</f>
        <v>WR</v>
      </c>
      <c r="G9232" t="str">
        <f>IFERROR(__xludf.DUMMYFUNCTION("""COMPUTED_VALUE"""),"")</f>
        <v/>
      </c>
    </row>
    <row r="9233">
      <c r="D9233" t="str">
        <f>IFERROR(__xludf.DUMMYFUNCTION("""COMPUTED_VALUE"""),"White")</f>
        <v>White</v>
      </c>
      <c r="E9233" t="str">
        <f>IFERROR(__xludf.DUMMYFUNCTION("""COMPUTED_VALUE"""),"Kyzir")</f>
        <v>Kyzir</v>
      </c>
      <c r="F9233" t="str">
        <f>IFERROR(__xludf.DUMMYFUNCTION("""COMPUTED_VALUE"""),"ROLB")</f>
        <v>ROLB</v>
      </c>
      <c r="G9233" t="str">
        <f>IFERROR(__xludf.DUMMYFUNCTION("""COMPUTED_VALUE"""),"")</f>
        <v/>
      </c>
    </row>
    <row r="9234">
      <c r="D9234" t="str">
        <f>IFERROR(__xludf.DUMMYFUNCTION("""COMPUTED_VALUE"""),"White")</f>
        <v>White</v>
      </c>
      <c r="E9234" t="str">
        <f>IFERROR(__xludf.DUMMYFUNCTION("""COMPUTED_VALUE"""),"Mike")</f>
        <v>Mike</v>
      </c>
      <c r="F9234" t="str">
        <f>IFERROR(__xludf.DUMMYFUNCTION("""COMPUTED_VALUE"""),"QB")</f>
        <v>QB</v>
      </c>
      <c r="G9234" t="str">
        <f>IFERROR(__xludf.DUMMYFUNCTION("""COMPUTED_VALUE"""),"")</f>
        <v/>
      </c>
    </row>
    <row r="9235">
      <c r="D9235" t="str">
        <f>IFERROR(__xludf.DUMMYFUNCTION("""COMPUTED_VALUE"""),"White")</f>
        <v>White</v>
      </c>
      <c r="E9235" t="str">
        <f>IFERROR(__xludf.DUMMYFUNCTION("""COMPUTED_VALUE"""),"Tim")</f>
        <v>Tim</v>
      </c>
      <c r="F9235" t="str">
        <f>IFERROR(__xludf.DUMMYFUNCTION("""COMPUTED_VALUE"""),"WR")</f>
        <v>WR</v>
      </c>
      <c r="G9235" t="str">
        <f>IFERROR(__xludf.DUMMYFUNCTION("""COMPUTED_VALUE"""),"")</f>
        <v/>
      </c>
    </row>
    <row r="9236">
      <c r="D9236" t="str">
        <f>IFERROR(__xludf.DUMMYFUNCTION("""COMPUTED_VALUE"""),"White")</f>
        <v>White</v>
      </c>
      <c r="E9236" t="str">
        <f>IFERROR(__xludf.DUMMYFUNCTION("""COMPUTED_VALUE"""),"TreDavious")</f>
        <v>TreDavious</v>
      </c>
      <c r="F9236" t="str">
        <f>IFERROR(__xludf.DUMMYFUNCTION("""COMPUTED_VALUE"""),"CB")</f>
        <v>CB</v>
      </c>
      <c r="G9236" t="str">
        <f>IFERROR(__xludf.DUMMYFUNCTION("""COMPUTED_VALUE"""),"")</f>
        <v/>
      </c>
    </row>
    <row r="9237">
      <c r="D9237" t="str">
        <f>IFERROR(__xludf.DUMMYFUNCTION("""COMPUTED_VALUE"""),"Whitehair")</f>
        <v>Whitehair</v>
      </c>
      <c r="E9237" t="str">
        <f>IFERROR(__xludf.DUMMYFUNCTION("""COMPUTED_VALUE"""),"Cody")</f>
        <v>Cody</v>
      </c>
      <c r="F9237" t="str">
        <f>IFERROR(__xludf.DUMMYFUNCTION("""COMPUTED_VALUE"""),"C")</f>
        <v>C</v>
      </c>
      <c r="G9237" t="str">
        <f>IFERROR(__xludf.DUMMYFUNCTION("""COMPUTED_VALUE"""),"")</f>
        <v/>
      </c>
    </row>
    <row r="9238">
      <c r="D9238" t="str">
        <f>IFERROR(__xludf.DUMMYFUNCTION("""COMPUTED_VALUE"""),"Whitehead")</f>
        <v>Whitehead</v>
      </c>
      <c r="E9238" t="str">
        <f>IFERROR(__xludf.DUMMYFUNCTION("""COMPUTED_VALUE"""),"Jermaine")</f>
        <v>Jermaine</v>
      </c>
      <c r="F9238" t="str">
        <f>IFERROR(__xludf.DUMMYFUNCTION("""COMPUTED_VALUE"""),"SS")</f>
        <v>SS</v>
      </c>
      <c r="G9238" t="str">
        <f>IFERROR(__xludf.DUMMYFUNCTION("""COMPUTED_VALUE"""),"")</f>
        <v/>
      </c>
    </row>
    <row r="9239">
      <c r="D9239" t="str">
        <f>IFERROR(__xludf.DUMMYFUNCTION("""COMPUTED_VALUE"""),"Whitehead")</f>
        <v>Whitehead</v>
      </c>
      <c r="E9239" t="str">
        <f>IFERROR(__xludf.DUMMYFUNCTION("""COMPUTED_VALUE"""),"Jordan")</f>
        <v>Jordan</v>
      </c>
      <c r="F9239" t="str">
        <f>IFERROR(__xludf.DUMMYFUNCTION("""COMPUTED_VALUE"""),"SS")</f>
        <v>SS</v>
      </c>
      <c r="G9239" t="str">
        <f>IFERROR(__xludf.DUMMYFUNCTION("""COMPUTED_VALUE"""),"")</f>
        <v/>
      </c>
    </row>
    <row r="9240">
      <c r="D9240" t="str">
        <f>IFERROR(__xludf.DUMMYFUNCTION("""COMPUTED_VALUE"""),"Whitehead")</f>
        <v>Whitehead</v>
      </c>
      <c r="E9240" t="str">
        <f>IFERROR(__xludf.DUMMYFUNCTION("""COMPUTED_VALUE"""),"Tahir")</f>
        <v>Tahir</v>
      </c>
      <c r="F9240" t="str">
        <f>IFERROR(__xludf.DUMMYFUNCTION("""COMPUTED_VALUE"""),"LOLB")</f>
        <v>LOLB</v>
      </c>
      <c r="G9240" t="str">
        <f>IFERROR(__xludf.DUMMYFUNCTION("""COMPUTED_VALUE"""),"")</f>
        <v/>
      </c>
    </row>
    <row r="9241">
      <c r="D9241" t="str">
        <f>IFERROR(__xludf.DUMMYFUNCTION("""COMPUTED_VALUE"""),"Whitney")</f>
        <v>Whitney</v>
      </c>
      <c r="E9241" t="str">
        <f>IFERROR(__xludf.DUMMYFUNCTION("""COMPUTED_VALUE"""),"Isaac")</f>
        <v>Isaac</v>
      </c>
      <c r="F9241" t="str">
        <f>IFERROR(__xludf.DUMMYFUNCTION("""COMPUTED_VALUE"""),"WR")</f>
        <v>WR</v>
      </c>
      <c r="G9241" t="str">
        <f>IFERROR(__xludf.DUMMYFUNCTION("""COMPUTED_VALUE"""),"")</f>
        <v/>
      </c>
    </row>
    <row r="9242">
      <c r="D9242" t="str">
        <f>IFERROR(__xludf.DUMMYFUNCTION("""COMPUTED_VALUE"""),"Whitworth")</f>
        <v>Whitworth</v>
      </c>
      <c r="E9242" t="str">
        <f>IFERROR(__xludf.DUMMYFUNCTION("""COMPUTED_VALUE"""),"Andrew")</f>
        <v>Andrew</v>
      </c>
      <c r="F9242" t="str">
        <f>IFERROR(__xludf.DUMMYFUNCTION("""COMPUTED_VALUE"""),"LT")</f>
        <v>LT</v>
      </c>
      <c r="G9242" t="str">
        <f>IFERROR(__xludf.DUMMYFUNCTION("""COMPUTED_VALUE"""),"")</f>
        <v/>
      </c>
    </row>
    <row r="9243">
      <c r="D9243" t="str">
        <f>IFERROR(__xludf.DUMMYFUNCTION("""COMPUTED_VALUE"""),"Whyte")</f>
        <v>Whyte</v>
      </c>
      <c r="E9243" t="str">
        <f>IFERROR(__xludf.DUMMYFUNCTION("""COMPUTED_VALUE"""),"Kerrith")</f>
        <v>Kerrith</v>
      </c>
      <c r="F9243" t="str">
        <f>IFERROR(__xludf.DUMMYFUNCTION("""COMPUTED_VALUE"""),"HB")</f>
        <v>HB</v>
      </c>
      <c r="G9243" t="str">
        <f>IFERROR(__xludf.DUMMYFUNCTION("""COMPUTED_VALUE"""),"")</f>
        <v/>
      </c>
    </row>
    <row r="9244">
      <c r="D9244" t="str">
        <f>IFERROR(__xludf.DUMMYFUNCTION("""COMPUTED_VALUE"""),"Wichmann")</f>
        <v>Wichmann</v>
      </c>
      <c r="E9244" t="str">
        <f>IFERROR(__xludf.DUMMYFUNCTION("""COMPUTED_VALUE"""),"Cody")</f>
        <v>Cody</v>
      </c>
      <c r="F9244" t="str">
        <f>IFERROR(__xludf.DUMMYFUNCTION("""COMPUTED_VALUE"""),"LG")</f>
        <v>LG</v>
      </c>
      <c r="G9244" t="str">
        <f>IFERROR(__xludf.DUMMYFUNCTION("""COMPUTED_VALUE"""),"")</f>
        <v/>
      </c>
    </row>
    <row r="9245">
      <c r="D9245" t="str">
        <f>IFERROR(__xludf.DUMMYFUNCTION("""COMPUTED_VALUE"""),"Wick")</f>
        <v>Wick</v>
      </c>
      <c r="E9245" t="str">
        <f>IFERROR(__xludf.DUMMYFUNCTION("""COMPUTED_VALUE"""),"Cole")</f>
        <v>Cole</v>
      </c>
      <c r="F9245" t="str">
        <f>IFERROR(__xludf.DUMMYFUNCTION("""COMPUTED_VALUE"""),"TE")</f>
        <v>TE</v>
      </c>
      <c r="G9245" t="str">
        <f>IFERROR(__xludf.DUMMYFUNCTION("""COMPUTED_VALUE"""),"")</f>
        <v/>
      </c>
    </row>
    <row r="9246">
      <c r="D9246" t="str">
        <f>IFERROR(__xludf.DUMMYFUNCTION("""COMPUTED_VALUE"""),"Wicker")</f>
        <v>Wicker</v>
      </c>
      <c r="E9246" t="str">
        <f>IFERROR(__xludf.DUMMYFUNCTION("""COMPUTED_VALUE"""),"Jojo")</f>
        <v>Jojo</v>
      </c>
      <c r="F9246" t="str">
        <f>IFERROR(__xludf.DUMMYFUNCTION("""COMPUTED_VALUE"""),"DT")</f>
        <v>DT</v>
      </c>
      <c r="G9246" t="str">
        <f>IFERROR(__xludf.DUMMYFUNCTION("""COMPUTED_VALUE"""),"")</f>
        <v/>
      </c>
    </row>
    <row r="9247">
      <c r="D9247" t="str">
        <f>IFERROR(__xludf.DUMMYFUNCTION("""COMPUTED_VALUE"""),"Wiggins")</f>
        <v>Wiggins</v>
      </c>
      <c r="E9247" t="str">
        <f>IFERROR(__xludf.DUMMYFUNCTION("""COMPUTED_VALUE"""),"Kenny")</f>
        <v>Kenny</v>
      </c>
      <c r="F9247" t="str">
        <f>IFERROR(__xludf.DUMMYFUNCTION("""COMPUTED_VALUE"""),"RG")</f>
        <v>RG</v>
      </c>
      <c r="G9247" t="str">
        <f>IFERROR(__xludf.DUMMYFUNCTION("""COMPUTED_VALUE"""),"")</f>
        <v/>
      </c>
    </row>
    <row r="9248">
      <c r="D9248" t="str">
        <f>IFERROR(__xludf.DUMMYFUNCTION("""COMPUTED_VALUE"""),"Wilber")</f>
        <v>Wilber</v>
      </c>
      <c r="E9248" t="str">
        <f>IFERROR(__xludf.DUMMYFUNCTION("""COMPUTED_VALUE"""),"Kyle")</f>
        <v>Kyle</v>
      </c>
      <c r="F9248" t="str">
        <f>IFERROR(__xludf.DUMMYFUNCTION("""COMPUTED_VALUE"""),"LOLB")</f>
        <v>LOLB</v>
      </c>
      <c r="G9248" t="str">
        <f>IFERROR(__xludf.DUMMYFUNCTION("""COMPUTED_VALUE"""),"")</f>
        <v/>
      </c>
    </row>
    <row r="9249">
      <c r="D9249" t="str">
        <f>IFERROR(__xludf.DUMMYFUNCTION("""COMPUTED_VALUE"""),"Wilcox")</f>
        <v>Wilcox</v>
      </c>
      <c r="E9249" t="str">
        <f>IFERROR(__xludf.DUMMYFUNCTION("""COMPUTED_VALUE"""),"JJ")</f>
        <v>JJ</v>
      </c>
      <c r="F9249" t="str">
        <f>IFERROR(__xludf.DUMMYFUNCTION("""COMPUTED_VALUE"""),"SS")</f>
        <v>SS</v>
      </c>
      <c r="G9249" t="str">
        <f>IFERROR(__xludf.DUMMYFUNCTION("""COMPUTED_VALUE"""),"")</f>
        <v/>
      </c>
    </row>
    <row r="9250">
      <c r="D9250" t="str">
        <f>IFERROR(__xludf.DUMMYFUNCTION("""COMPUTED_VALUE"""),"Wile")</f>
        <v>Wile</v>
      </c>
      <c r="E9250" t="str">
        <f>IFERROR(__xludf.DUMMYFUNCTION("""COMPUTED_VALUE"""),"Matt")</f>
        <v>Matt</v>
      </c>
      <c r="F9250" t="str">
        <f>IFERROR(__xludf.DUMMYFUNCTION("""COMPUTED_VALUE"""),"P")</f>
        <v>P</v>
      </c>
      <c r="G9250" t="str">
        <f>IFERROR(__xludf.DUMMYFUNCTION("""COMPUTED_VALUE"""),"")</f>
        <v/>
      </c>
    </row>
    <row r="9251">
      <c r="D9251" t="str">
        <f>IFERROR(__xludf.DUMMYFUNCTION("""COMPUTED_VALUE"""),"Wilkins")</f>
        <v>Wilkins</v>
      </c>
      <c r="E9251" t="str">
        <f>IFERROR(__xludf.DUMMYFUNCTION("""COMPUTED_VALUE"""),"Christian")</f>
        <v>Christian</v>
      </c>
      <c r="F9251" t="str">
        <f>IFERROR(__xludf.DUMMYFUNCTION("""COMPUTED_VALUE"""),"DT")</f>
        <v>DT</v>
      </c>
      <c r="G9251" t="str">
        <f>IFERROR(__xludf.DUMMYFUNCTION("""COMPUTED_VALUE"""),"")</f>
        <v/>
      </c>
    </row>
    <row r="9252">
      <c r="D9252" t="str">
        <f>IFERROR(__xludf.DUMMYFUNCTION("""COMPUTED_VALUE"""),"Wilkins")</f>
        <v>Wilkins</v>
      </c>
      <c r="E9252" t="str">
        <f>IFERROR(__xludf.DUMMYFUNCTION("""COMPUTED_VALUE"""),"Jordan")</f>
        <v>Jordan</v>
      </c>
      <c r="F9252" t="str">
        <f>IFERROR(__xludf.DUMMYFUNCTION("""COMPUTED_VALUE"""),"HB")</f>
        <v>HB</v>
      </c>
      <c r="G9252" t="str">
        <f>IFERROR(__xludf.DUMMYFUNCTION("""COMPUTED_VALUE"""),"")</f>
        <v/>
      </c>
    </row>
    <row r="9253">
      <c r="D9253" t="str">
        <f>IFERROR(__xludf.DUMMYFUNCTION("""COMPUTED_VALUE"""),"Wilkinson")</f>
        <v>Wilkinson</v>
      </c>
      <c r="E9253" t="str">
        <f>IFERROR(__xludf.DUMMYFUNCTION("""COMPUTED_VALUE"""),"Elijah")</f>
        <v>Elijah</v>
      </c>
      <c r="F9253" t="str">
        <f>IFERROR(__xludf.DUMMYFUNCTION("""COMPUTED_VALUE"""),"RG")</f>
        <v>RG</v>
      </c>
      <c r="G9253" t="str">
        <f>IFERROR(__xludf.DUMMYFUNCTION("""COMPUTED_VALUE"""),"")</f>
        <v/>
      </c>
    </row>
    <row r="9254">
      <c r="D9254" t="str">
        <f>IFERROR(__xludf.DUMMYFUNCTION("""COMPUTED_VALUE"""),"Williams")</f>
        <v>Williams</v>
      </c>
      <c r="E9254" t="str">
        <f>IFERROR(__xludf.DUMMYFUNCTION("""COMPUTED_VALUE"""),"Boobie")</f>
        <v>Boobie</v>
      </c>
      <c r="F9254" t="str">
        <f>IFERROR(__xludf.DUMMYFUNCTION("""COMPUTED_VALUE"""),"HB")</f>
        <v>HB</v>
      </c>
      <c r="G9254" t="str">
        <f>IFERROR(__xludf.DUMMYFUNCTION("""COMPUTED_VALUE"""),"")</f>
        <v/>
      </c>
    </row>
    <row r="9255">
      <c r="D9255" t="str">
        <f>IFERROR(__xludf.DUMMYFUNCTION("""COMPUTED_VALUE"""),"Williams")</f>
        <v>Williams</v>
      </c>
      <c r="E9255" t="str">
        <f>IFERROR(__xludf.DUMMYFUNCTION("""COMPUTED_VALUE"""),"Brandon")</f>
        <v>Brandon</v>
      </c>
      <c r="F9255" t="str">
        <f>IFERROR(__xludf.DUMMYFUNCTION("""COMPUTED_VALUE"""),"LE")</f>
        <v>LE</v>
      </c>
      <c r="G9255" t="str">
        <f>IFERROR(__xludf.DUMMYFUNCTION("""COMPUTED_VALUE"""),"")</f>
        <v/>
      </c>
    </row>
    <row r="9256">
      <c r="D9256" t="str">
        <f>IFERROR(__xludf.DUMMYFUNCTION("""COMPUTED_VALUE"""),"Williams")</f>
        <v>Williams</v>
      </c>
      <c r="E9256" t="str">
        <f>IFERROR(__xludf.DUMMYFUNCTION("""COMPUTED_VALUE"""),"Brandon")</f>
        <v>Brandon</v>
      </c>
      <c r="F9256" t="str">
        <f>IFERROR(__xludf.DUMMYFUNCTION("""COMPUTED_VALUE"""),"CB")</f>
        <v>CB</v>
      </c>
      <c r="G9256" t="str">
        <f>IFERROR(__xludf.DUMMYFUNCTION("""COMPUTED_VALUE"""),"")</f>
        <v/>
      </c>
    </row>
    <row r="9257">
      <c r="D9257" t="str">
        <f>IFERROR(__xludf.DUMMYFUNCTION("""COMPUTED_VALUE"""),"Williams")</f>
        <v>Williams</v>
      </c>
      <c r="E9257" t="str">
        <f>IFERROR(__xludf.DUMMYFUNCTION("""COMPUTED_VALUE"""),"Chad")</f>
        <v>Chad</v>
      </c>
      <c r="F9257" t="str">
        <f>IFERROR(__xludf.DUMMYFUNCTION("""COMPUTED_VALUE"""),"WR")</f>
        <v>WR</v>
      </c>
      <c r="G9257" t="str">
        <f>IFERROR(__xludf.DUMMYFUNCTION("""COMPUTED_VALUE"""),"")</f>
        <v/>
      </c>
    </row>
    <row r="9258">
      <c r="D9258" t="str">
        <f>IFERROR(__xludf.DUMMYFUNCTION("""COMPUTED_VALUE"""),"Williams")</f>
        <v>Williams</v>
      </c>
      <c r="E9258" t="str">
        <f>IFERROR(__xludf.DUMMYFUNCTION("""COMPUTED_VALUE"""),"Connor")</f>
        <v>Connor</v>
      </c>
      <c r="F9258" t="str">
        <f>IFERROR(__xludf.DUMMYFUNCTION("""COMPUTED_VALUE"""),"LG")</f>
        <v>LG</v>
      </c>
      <c r="G9258" t="str">
        <f>IFERROR(__xludf.DUMMYFUNCTION("""COMPUTED_VALUE"""),"")</f>
        <v/>
      </c>
    </row>
    <row r="9259">
      <c r="D9259" t="str">
        <f>IFERROR(__xludf.DUMMYFUNCTION("""COMPUTED_VALUE"""),"Williams")</f>
        <v>Williams</v>
      </c>
      <c r="E9259" t="str">
        <f>IFERROR(__xludf.DUMMYFUNCTION("""COMPUTED_VALUE"""),"Damien")</f>
        <v>Damien</v>
      </c>
      <c r="F9259" t="str">
        <f>IFERROR(__xludf.DUMMYFUNCTION("""COMPUTED_VALUE"""),"HB")</f>
        <v>HB</v>
      </c>
      <c r="G9259" t="str">
        <f>IFERROR(__xludf.DUMMYFUNCTION("""COMPUTED_VALUE"""),"")</f>
        <v/>
      </c>
    </row>
    <row r="9260">
      <c r="D9260" t="str">
        <f>IFERROR(__xludf.DUMMYFUNCTION("""COMPUTED_VALUE"""),"Williams")</f>
        <v>Williams</v>
      </c>
      <c r="E9260" t="str">
        <f>IFERROR(__xludf.DUMMYFUNCTION("""COMPUTED_VALUE"""),"Darious")</f>
        <v>Darious</v>
      </c>
      <c r="F9260" t="str">
        <f>IFERROR(__xludf.DUMMYFUNCTION("""COMPUTED_VALUE"""),"CB")</f>
        <v>CB</v>
      </c>
      <c r="G9260" t="str">
        <f>IFERROR(__xludf.DUMMYFUNCTION("""COMPUTED_VALUE"""),"")</f>
        <v/>
      </c>
    </row>
    <row r="9261">
      <c r="D9261" t="str">
        <f>IFERROR(__xludf.DUMMYFUNCTION("""COMPUTED_VALUE"""),"Williams")</f>
        <v>Williams</v>
      </c>
      <c r="E9261" t="str">
        <f>IFERROR(__xludf.DUMMYFUNCTION("""COMPUTED_VALUE"""),"Darrel")</f>
        <v>Darrel</v>
      </c>
      <c r="F9261" t="str">
        <f>IFERROR(__xludf.DUMMYFUNCTION("""COMPUTED_VALUE"""),"HB")</f>
        <v>HB</v>
      </c>
      <c r="G9261" t="str">
        <f>IFERROR(__xludf.DUMMYFUNCTION("""COMPUTED_VALUE"""),"")</f>
        <v/>
      </c>
    </row>
    <row r="9262">
      <c r="D9262" t="str">
        <f>IFERROR(__xludf.DUMMYFUNCTION("""COMPUTED_VALUE"""),"Williams")</f>
        <v>Williams</v>
      </c>
      <c r="E9262" t="str">
        <f>IFERROR(__xludf.DUMMYFUNCTION("""COMPUTED_VALUE"""),"Darrell")</f>
        <v>Darrell</v>
      </c>
      <c r="F9262" t="str">
        <f>IFERROR(__xludf.DUMMYFUNCTION("""COMPUTED_VALUE"""),"LT")</f>
        <v>LT</v>
      </c>
      <c r="G9262" t="str">
        <f>IFERROR(__xludf.DUMMYFUNCTION("""COMPUTED_VALUE"""),"")</f>
        <v/>
      </c>
    </row>
    <row r="9263">
      <c r="D9263" t="str">
        <f>IFERROR(__xludf.DUMMYFUNCTION("""COMPUTED_VALUE"""),"Williams")</f>
        <v>Williams</v>
      </c>
      <c r="E9263" t="str">
        <f>IFERROR(__xludf.DUMMYFUNCTION("""COMPUTED_VALUE"""),"Daryl")</f>
        <v>Daryl</v>
      </c>
      <c r="F9263" t="str">
        <f>IFERROR(__xludf.DUMMYFUNCTION("""COMPUTED_VALUE"""),"RT")</f>
        <v>RT</v>
      </c>
      <c r="G9263" t="str">
        <f>IFERROR(__xludf.DUMMYFUNCTION("""COMPUTED_VALUE"""),"")</f>
        <v/>
      </c>
    </row>
    <row r="9264">
      <c r="D9264" t="str">
        <f>IFERROR(__xludf.DUMMYFUNCTION("""COMPUTED_VALUE"""),"Williams")</f>
        <v>Williams</v>
      </c>
      <c r="E9264" t="str">
        <f>IFERROR(__xludf.DUMMYFUNCTION("""COMPUTED_VALUE"""),"DeShawn")</f>
        <v>DeShawn</v>
      </c>
      <c r="F9264" t="str">
        <f>IFERROR(__xludf.DUMMYFUNCTION("""COMPUTED_VALUE"""),"DT")</f>
        <v>DT</v>
      </c>
      <c r="G9264" t="str">
        <f>IFERROR(__xludf.DUMMYFUNCTION("""COMPUTED_VALUE"""),"")</f>
        <v/>
      </c>
    </row>
    <row r="9265">
      <c r="D9265" t="str">
        <f>IFERROR(__xludf.DUMMYFUNCTION("""COMPUTED_VALUE"""),"Williams")</f>
        <v>Williams</v>
      </c>
      <c r="E9265" t="str">
        <f>IFERROR(__xludf.DUMMYFUNCTION("""COMPUTED_VALUE"""),"Dexter")</f>
        <v>Dexter</v>
      </c>
      <c r="F9265" t="str">
        <f>IFERROR(__xludf.DUMMYFUNCTION("""COMPUTED_VALUE"""),"HB")</f>
        <v>HB</v>
      </c>
      <c r="G9265" t="str">
        <f>IFERROR(__xludf.DUMMYFUNCTION("""COMPUTED_VALUE"""),"")</f>
        <v/>
      </c>
    </row>
    <row r="9266">
      <c r="D9266" t="str">
        <f>IFERROR(__xludf.DUMMYFUNCTION("""COMPUTED_VALUE"""),"Williams")</f>
        <v>Williams</v>
      </c>
      <c r="E9266" t="str">
        <f>IFERROR(__xludf.DUMMYFUNCTION("""COMPUTED_VALUE"""),"Greedy")</f>
        <v>Greedy</v>
      </c>
      <c r="F9266" t="str">
        <f>IFERROR(__xludf.DUMMYFUNCTION("""COMPUTED_VALUE"""),"CB")</f>
        <v>CB</v>
      </c>
      <c r="G9266" t="str">
        <f>IFERROR(__xludf.DUMMYFUNCTION("""COMPUTED_VALUE"""),"")</f>
        <v/>
      </c>
    </row>
    <row r="9267">
      <c r="D9267" t="str">
        <f>IFERROR(__xludf.DUMMYFUNCTION("""COMPUTED_VALUE"""),"Williams")</f>
        <v>Williams</v>
      </c>
      <c r="E9267" t="str">
        <f>IFERROR(__xludf.DUMMYFUNCTION("""COMPUTED_VALUE"""),"Jamaal")</f>
        <v>Jamaal</v>
      </c>
      <c r="F9267" t="str">
        <f>IFERROR(__xludf.DUMMYFUNCTION("""COMPUTED_VALUE"""),"HB")</f>
        <v>HB</v>
      </c>
      <c r="G9267" t="str">
        <f>IFERROR(__xludf.DUMMYFUNCTION("""COMPUTED_VALUE"""),"")</f>
        <v/>
      </c>
    </row>
    <row r="9268">
      <c r="D9268" t="str">
        <f>IFERROR(__xludf.DUMMYFUNCTION("""COMPUTED_VALUE"""),"Williams")</f>
        <v>Williams</v>
      </c>
      <c r="E9268" t="str">
        <f>IFERROR(__xludf.DUMMYFUNCTION("""COMPUTED_VALUE"""),"Joejuan")</f>
        <v>Joejuan</v>
      </c>
      <c r="F9268" t="str">
        <f>IFERROR(__xludf.DUMMYFUNCTION("""COMPUTED_VALUE"""),"CB")</f>
        <v>CB</v>
      </c>
      <c r="G9268" t="str">
        <f>IFERROR(__xludf.DUMMYFUNCTION("""COMPUTED_VALUE"""),"")</f>
        <v/>
      </c>
    </row>
    <row r="9269">
      <c r="D9269" t="str">
        <f>IFERROR(__xludf.DUMMYFUNCTION("""COMPUTED_VALUE"""),"Williams")</f>
        <v>Williams</v>
      </c>
      <c r="E9269" t="str">
        <f>IFERROR(__xludf.DUMMYFUNCTION("""COMPUTED_VALUE"""),"Jonah")</f>
        <v>Jonah</v>
      </c>
      <c r="F9269" t="str">
        <f>IFERROR(__xludf.DUMMYFUNCTION("""COMPUTED_VALUE"""),"LT")</f>
        <v>LT</v>
      </c>
      <c r="G9269" t="str">
        <f>IFERROR(__xludf.DUMMYFUNCTION("""COMPUTED_VALUE"""),"")</f>
        <v/>
      </c>
    </row>
    <row r="9270">
      <c r="D9270" t="str">
        <f>IFERROR(__xludf.DUMMYFUNCTION("""COMPUTED_VALUE"""),"Williams")</f>
        <v>Williams</v>
      </c>
      <c r="E9270" t="str">
        <f>IFERROR(__xludf.DUMMYFUNCTION("""COMPUTED_VALUE"""),"Jonathan")</f>
        <v>Jonathan</v>
      </c>
      <c r="F9270" t="str">
        <f>IFERROR(__xludf.DUMMYFUNCTION("""COMPUTED_VALUE"""),"HB")</f>
        <v>HB</v>
      </c>
      <c r="G9270" t="str">
        <f>IFERROR(__xludf.DUMMYFUNCTION("""COMPUTED_VALUE"""),"")</f>
        <v/>
      </c>
    </row>
    <row r="9271">
      <c r="D9271" t="str">
        <f>IFERROR(__xludf.DUMMYFUNCTION("""COMPUTED_VALUE"""),"Williams")</f>
        <v>Williams</v>
      </c>
      <c r="E9271" t="str">
        <f>IFERROR(__xludf.DUMMYFUNCTION("""COMPUTED_VALUE"""),"KWaun")</f>
        <v>KWaun</v>
      </c>
      <c r="F9271" t="str">
        <f>IFERROR(__xludf.DUMMYFUNCTION("""COMPUTED_VALUE"""),"CB")</f>
        <v>CB</v>
      </c>
      <c r="G9271" t="str">
        <f>IFERROR(__xludf.DUMMYFUNCTION("""COMPUTED_VALUE"""),"")</f>
        <v/>
      </c>
    </row>
    <row r="9272">
      <c r="D9272" t="str">
        <f>IFERROR(__xludf.DUMMYFUNCTION("""COMPUTED_VALUE"""),"Williams")</f>
        <v>Williams</v>
      </c>
      <c r="E9272" t="str">
        <f>IFERROR(__xludf.DUMMYFUNCTION("""COMPUTED_VALUE"""),"Leonard")</f>
        <v>Leonard</v>
      </c>
      <c r="F9272" t="str">
        <f>IFERROR(__xludf.DUMMYFUNCTION("""COMPUTED_VALUE"""),"LE")</f>
        <v>LE</v>
      </c>
      <c r="G9272" t="str">
        <f>IFERROR(__xludf.DUMMYFUNCTION("""COMPUTED_VALUE"""),"")</f>
        <v/>
      </c>
    </row>
    <row r="9273">
      <c r="D9273" t="str">
        <f>IFERROR(__xludf.DUMMYFUNCTION("""COMPUTED_VALUE"""),"Williams")</f>
        <v>Williams</v>
      </c>
      <c r="E9273" t="str">
        <f>IFERROR(__xludf.DUMMYFUNCTION("""COMPUTED_VALUE"""),"Marcus")</f>
        <v>Marcus</v>
      </c>
      <c r="F9273" t="str">
        <f>IFERROR(__xludf.DUMMYFUNCTION("""COMPUTED_VALUE"""),"FS")</f>
        <v>FS</v>
      </c>
      <c r="G9273" t="str">
        <f>IFERROR(__xludf.DUMMYFUNCTION("""COMPUTED_VALUE"""),"")</f>
        <v/>
      </c>
    </row>
    <row r="9274">
      <c r="D9274" t="str">
        <f>IFERROR(__xludf.DUMMYFUNCTION("""COMPUTED_VALUE"""),"Williams")</f>
        <v>Williams</v>
      </c>
      <c r="E9274" t="str">
        <f>IFERROR(__xludf.DUMMYFUNCTION("""COMPUTED_VALUE"""),"Maxx")</f>
        <v>Maxx</v>
      </c>
      <c r="F9274" t="str">
        <f>IFERROR(__xludf.DUMMYFUNCTION("""COMPUTED_VALUE"""),"TE")</f>
        <v>TE</v>
      </c>
      <c r="G9274" t="str">
        <f>IFERROR(__xludf.DUMMYFUNCTION("""COMPUTED_VALUE"""),"")</f>
        <v/>
      </c>
    </row>
    <row r="9275">
      <c r="D9275" t="str">
        <f>IFERROR(__xludf.DUMMYFUNCTION("""COMPUTED_VALUE"""),"Williams")</f>
        <v>Williams</v>
      </c>
      <c r="E9275" t="str">
        <f>IFERROR(__xludf.DUMMYFUNCTION("""COMPUTED_VALUE"""),"Mike")</f>
        <v>Mike</v>
      </c>
      <c r="F9275" t="str">
        <f>IFERROR(__xludf.DUMMYFUNCTION("""COMPUTED_VALUE"""),"WR")</f>
        <v>WR</v>
      </c>
      <c r="G9275" t="str">
        <f>IFERROR(__xludf.DUMMYFUNCTION("""COMPUTED_VALUE"""),"")</f>
        <v/>
      </c>
    </row>
    <row r="9276">
      <c r="D9276" t="str">
        <f>IFERROR(__xludf.DUMMYFUNCTION("""COMPUTED_VALUE"""),"Williams")</f>
        <v>Williams</v>
      </c>
      <c r="E9276" t="str">
        <f>IFERROR(__xludf.DUMMYFUNCTION("""COMPUTED_VALUE"""),"Nick")</f>
        <v>Nick</v>
      </c>
      <c r="F9276" t="str">
        <f>IFERROR(__xludf.DUMMYFUNCTION("""COMPUTED_VALUE"""),"RE")</f>
        <v>RE</v>
      </c>
      <c r="G9276" t="str">
        <f>IFERROR(__xludf.DUMMYFUNCTION("""COMPUTED_VALUE"""),"")</f>
        <v/>
      </c>
    </row>
    <row r="9277">
      <c r="D9277" t="str">
        <f>IFERROR(__xludf.DUMMYFUNCTION("""COMPUTED_VALUE"""),"Williams")</f>
        <v>Williams</v>
      </c>
      <c r="E9277" t="str">
        <f>IFERROR(__xludf.DUMMYFUNCTION("""COMPUTED_VALUE"""),"PJ")</f>
        <v>PJ</v>
      </c>
      <c r="F9277" t="str">
        <f>IFERROR(__xludf.DUMMYFUNCTION("""COMPUTED_VALUE"""),"CB")</f>
        <v>CB</v>
      </c>
      <c r="G9277" t="str">
        <f>IFERROR(__xludf.DUMMYFUNCTION("""COMPUTED_VALUE"""),"")</f>
        <v/>
      </c>
    </row>
    <row r="9278">
      <c r="D9278" t="str">
        <f>IFERROR(__xludf.DUMMYFUNCTION("""COMPUTED_VALUE"""),"Williams")</f>
        <v>Williams</v>
      </c>
      <c r="E9278" t="str">
        <f>IFERROR(__xludf.DUMMYFUNCTION("""COMPUTED_VALUE"""),"Quincy")</f>
        <v>Quincy</v>
      </c>
      <c r="F9278" t="str">
        <f>IFERROR(__xludf.DUMMYFUNCTION("""COMPUTED_VALUE"""),"ROLB")</f>
        <v>ROLB</v>
      </c>
      <c r="G9278" t="str">
        <f>IFERROR(__xludf.DUMMYFUNCTION("""COMPUTED_VALUE"""),"")</f>
        <v/>
      </c>
    </row>
    <row r="9279">
      <c r="D9279" t="str">
        <f>IFERROR(__xludf.DUMMYFUNCTION("""COMPUTED_VALUE"""),"Williams")</f>
        <v>Williams</v>
      </c>
      <c r="E9279" t="str">
        <f>IFERROR(__xludf.DUMMYFUNCTION("""COMPUTED_VALUE"""),"Quinnen")</f>
        <v>Quinnen</v>
      </c>
      <c r="F9279" t="str">
        <f>IFERROR(__xludf.DUMMYFUNCTION("""COMPUTED_VALUE"""),"DT")</f>
        <v>DT</v>
      </c>
      <c r="G9279" t="str">
        <f>IFERROR(__xludf.DUMMYFUNCTION("""COMPUTED_VALUE"""),"")</f>
        <v/>
      </c>
    </row>
    <row r="9280">
      <c r="D9280" t="str">
        <f>IFERROR(__xludf.DUMMYFUNCTION("""COMPUTED_VALUE"""),"Williams")</f>
        <v>Williams</v>
      </c>
      <c r="E9280" t="str">
        <f>IFERROR(__xludf.DUMMYFUNCTION("""COMPUTED_VALUE"""),"Shawn")</f>
        <v>Shawn</v>
      </c>
      <c r="F9280" t="str">
        <f>IFERROR(__xludf.DUMMYFUNCTION("""COMPUTED_VALUE"""),"SS")</f>
        <v>SS</v>
      </c>
      <c r="G9280" t="str">
        <f>IFERROR(__xludf.DUMMYFUNCTION("""COMPUTED_VALUE"""),"")</f>
        <v/>
      </c>
    </row>
    <row r="9281">
      <c r="D9281" t="str">
        <f>IFERROR(__xludf.DUMMYFUNCTION("""COMPUTED_VALUE"""),"Williams")</f>
        <v>Williams</v>
      </c>
      <c r="E9281" t="str">
        <f>IFERROR(__xludf.DUMMYFUNCTION("""COMPUTED_VALUE"""),"Sylvester")</f>
        <v>Sylvester</v>
      </c>
      <c r="F9281" t="str">
        <f>IFERROR(__xludf.DUMMYFUNCTION("""COMPUTED_VALUE"""),"DT")</f>
        <v>DT</v>
      </c>
      <c r="G9281" t="str">
        <f>IFERROR(__xludf.DUMMYFUNCTION("""COMPUTED_VALUE"""),"")</f>
        <v/>
      </c>
    </row>
    <row r="9282">
      <c r="D9282" t="str">
        <f>IFERROR(__xludf.DUMMYFUNCTION("""COMPUTED_VALUE"""),"Williams")</f>
        <v>Williams</v>
      </c>
      <c r="E9282" t="str">
        <f>IFERROR(__xludf.DUMMYFUNCTION("""COMPUTED_VALUE"""),"Tim")</f>
        <v>Tim</v>
      </c>
      <c r="F9282" t="str">
        <f>IFERROR(__xludf.DUMMYFUNCTION("""COMPUTED_VALUE"""),"ROLB")</f>
        <v>ROLB</v>
      </c>
      <c r="G9282" t="str">
        <f>IFERROR(__xludf.DUMMYFUNCTION("""COMPUTED_VALUE"""),"")</f>
        <v/>
      </c>
    </row>
    <row r="9283">
      <c r="D9283" t="str">
        <f>IFERROR(__xludf.DUMMYFUNCTION("""COMPUTED_VALUE"""),"Williams")</f>
        <v>Williams</v>
      </c>
      <c r="E9283" t="str">
        <f>IFERROR(__xludf.DUMMYFUNCTION("""COMPUTED_VALUE"""),"Tramon")</f>
        <v>Tramon</v>
      </c>
      <c r="F9283" t="str">
        <f>IFERROR(__xludf.DUMMYFUNCTION("""COMPUTED_VALUE"""),"FS")</f>
        <v>FS</v>
      </c>
      <c r="G9283" t="str">
        <f>IFERROR(__xludf.DUMMYFUNCTION("""COMPUTED_VALUE"""),"")</f>
        <v/>
      </c>
    </row>
    <row r="9284">
      <c r="D9284" t="str">
        <f>IFERROR(__xludf.DUMMYFUNCTION("""COMPUTED_VALUE"""),"Williams")</f>
        <v>Williams</v>
      </c>
      <c r="E9284" t="str">
        <f>IFERROR(__xludf.DUMMYFUNCTION("""COMPUTED_VALUE"""),"Trayveon")</f>
        <v>Trayveon</v>
      </c>
      <c r="F9284" t="str">
        <f>IFERROR(__xludf.DUMMYFUNCTION("""COMPUTED_VALUE"""),"HB")</f>
        <v>HB</v>
      </c>
      <c r="G9284" t="str">
        <f>IFERROR(__xludf.DUMMYFUNCTION("""COMPUTED_VALUE"""),"")</f>
        <v/>
      </c>
    </row>
    <row r="9285">
      <c r="D9285" t="str">
        <f>IFERROR(__xludf.DUMMYFUNCTION("""COMPUTED_VALUE"""),"Williams")</f>
        <v>Williams</v>
      </c>
      <c r="E9285" t="str">
        <f>IFERROR(__xludf.DUMMYFUNCTION("""COMPUTED_VALUE"""),"Trent")</f>
        <v>Trent</v>
      </c>
      <c r="F9285" t="str">
        <f>IFERROR(__xludf.DUMMYFUNCTION("""COMPUTED_VALUE"""),"LT")</f>
        <v>LT</v>
      </c>
      <c r="G9285" t="str">
        <f>IFERROR(__xludf.DUMMYFUNCTION("""COMPUTED_VALUE"""),"")</f>
        <v/>
      </c>
    </row>
    <row r="9286">
      <c r="D9286" t="str">
        <f>IFERROR(__xludf.DUMMYFUNCTION("""COMPUTED_VALUE"""),"Williams")</f>
        <v>Williams</v>
      </c>
      <c r="E9286" t="str">
        <f>IFERROR(__xludf.DUMMYFUNCTION("""COMPUTED_VALUE"""),"Trevor")</f>
        <v>Trevor</v>
      </c>
      <c r="F9286" t="str">
        <f>IFERROR(__xludf.DUMMYFUNCTION("""COMPUTED_VALUE"""),"CB")</f>
        <v>CB</v>
      </c>
      <c r="G9286" t="str">
        <f>IFERROR(__xludf.DUMMYFUNCTION("""COMPUTED_VALUE"""),"")</f>
        <v/>
      </c>
    </row>
    <row r="9287">
      <c r="D9287" t="str">
        <f>IFERROR(__xludf.DUMMYFUNCTION("""COMPUTED_VALUE"""),"Williams")</f>
        <v>Williams</v>
      </c>
      <c r="E9287" t="str">
        <f>IFERROR(__xludf.DUMMYFUNCTION("""COMPUTED_VALUE"""),"Tyrell")</f>
        <v>Tyrell</v>
      </c>
      <c r="F9287" t="str">
        <f>IFERROR(__xludf.DUMMYFUNCTION("""COMPUTED_VALUE"""),"WR")</f>
        <v>WR</v>
      </c>
      <c r="G9287" t="str">
        <f>IFERROR(__xludf.DUMMYFUNCTION("""COMPUTED_VALUE"""),"")</f>
        <v/>
      </c>
    </row>
    <row r="9288">
      <c r="D9288" t="str">
        <f>IFERROR(__xludf.DUMMYFUNCTION("""COMPUTED_VALUE"""),"Williams")</f>
        <v>Williams</v>
      </c>
      <c r="E9288" t="str">
        <f>IFERROR(__xludf.DUMMYFUNCTION("""COMPUTED_VALUE"""),"Vince")</f>
        <v>Vince</v>
      </c>
      <c r="F9288" t="str">
        <f>IFERROR(__xludf.DUMMYFUNCTION("""COMPUTED_VALUE"""),"MLB")</f>
        <v>MLB</v>
      </c>
      <c r="G9288" t="str">
        <f>IFERROR(__xludf.DUMMYFUNCTION("""COMPUTED_VALUE"""),"")</f>
        <v/>
      </c>
    </row>
    <row r="9289">
      <c r="D9289" t="str">
        <f>IFERROR(__xludf.DUMMYFUNCTION("""COMPUTED_VALUE"""),"Williams")</f>
        <v>Williams</v>
      </c>
      <c r="E9289" t="str">
        <f>IFERROR(__xludf.DUMMYFUNCTION("""COMPUTED_VALUE"""),"Xavier")</f>
        <v>Xavier</v>
      </c>
      <c r="F9289" t="str">
        <f>IFERROR(__xludf.DUMMYFUNCTION("""COMPUTED_VALUE"""),"DT")</f>
        <v>DT</v>
      </c>
      <c r="G9289" t="str">
        <f>IFERROR(__xludf.DUMMYFUNCTION("""COMPUTED_VALUE"""),"")</f>
        <v/>
      </c>
    </row>
    <row r="9290">
      <c r="D9290" t="str">
        <f>IFERROR(__xludf.DUMMYFUNCTION("""COMPUTED_VALUE"""),"Williams-Lambert")</f>
        <v>Williams-Lambert</v>
      </c>
      <c r="E9290" t="str">
        <f>IFERROR(__xludf.DUMMYFUNCTION("""COMPUTED_VALUE"""),"Jordan")</f>
        <v>Jordan</v>
      </c>
      <c r="F9290" t="str">
        <f>IFERROR(__xludf.DUMMYFUNCTION("""COMPUTED_VALUE"""),"WR")</f>
        <v>WR</v>
      </c>
      <c r="G9290" t="str">
        <f>IFERROR(__xludf.DUMMYFUNCTION("""COMPUTED_VALUE"""),"")</f>
        <v/>
      </c>
    </row>
    <row r="9291">
      <c r="D9291" t="str">
        <f>IFERROR(__xludf.DUMMYFUNCTION("""COMPUTED_VALUE"""),"Williamson")</f>
        <v>Williamson</v>
      </c>
      <c r="E9291" t="str">
        <f>IFERROR(__xludf.DUMMYFUNCTION("""COMPUTED_VALUE"""),"Avery")</f>
        <v>Avery</v>
      </c>
      <c r="F9291" t="str">
        <f>IFERROR(__xludf.DUMMYFUNCTION("""COMPUTED_VALUE"""),"MLB")</f>
        <v>MLB</v>
      </c>
      <c r="G9291" t="str">
        <f>IFERROR(__xludf.DUMMYFUNCTION("""COMPUTED_VALUE"""),"")</f>
        <v/>
      </c>
    </row>
    <row r="9292">
      <c r="D9292" t="str">
        <f>IFERROR(__xludf.DUMMYFUNCTION("""COMPUTED_VALUE"""),"Willies")</f>
        <v>Willies</v>
      </c>
      <c r="E9292" t="str">
        <f>IFERROR(__xludf.DUMMYFUNCTION("""COMPUTED_VALUE"""),"Derrick")</f>
        <v>Derrick</v>
      </c>
      <c r="F9292" t="str">
        <f>IFERROR(__xludf.DUMMYFUNCTION("""COMPUTED_VALUE"""),"WR")</f>
        <v>WR</v>
      </c>
      <c r="G9292" t="str">
        <f>IFERROR(__xludf.DUMMYFUNCTION("""COMPUTED_VALUE"""),"")</f>
        <v/>
      </c>
    </row>
    <row r="9293">
      <c r="D9293" t="str">
        <f>IFERROR(__xludf.DUMMYFUNCTION("""COMPUTED_VALUE"""),"Willis")</f>
        <v>Willis</v>
      </c>
      <c r="E9293" t="str">
        <f>IFERROR(__xludf.DUMMYFUNCTION("""COMPUTED_VALUE"""),"Jordan")</f>
        <v>Jordan</v>
      </c>
      <c r="F9293" t="str">
        <f>IFERROR(__xludf.DUMMYFUNCTION("""COMPUTED_VALUE"""),"LE")</f>
        <v>LE</v>
      </c>
      <c r="G9293" t="str">
        <f>IFERROR(__xludf.DUMMYFUNCTION("""COMPUTED_VALUE"""),"")</f>
        <v/>
      </c>
    </row>
    <row r="9294">
      <c r="D9294" t="str">
        <f>IFERROR(__xludf.DUMMYFUNCTION("""COMPUTED_VALUE"""),"Willis")</f>
        <v>Willis</v>
      </c>
      <c r="E9294" t="str">
        <f>IFERROR(__xludf.DUMMYFUNCTION("""COMPUTED_VALUE"""),"Khari")</f>
        <v>Khari</v>
      </c>
      <c r="F9294" t="str">
        <f>IFERROR(__xludf.DUMMYFUNCTION("""COMPUTED_VALUE"""),"FS")</f>
        <v>FS</v>
      </c>
      <c r="G9294" t="str">
        <f>IFERROR(__xludf.DUMMYFUNCTION("""COMPUTED_VALUE"""),"")</f>
        <v/>
      </c>
    </row>
    <row r="9295">
      <c r="D9295" t="str">
        <f>IFERROR(__xludf.DUMMYFUNCTION("""COMPUTED_VALUE"""),"Willson")</f>
        <v>Willson</v>
      </c>
      <c r="E9295" t="str">
        <f>IFERROR(__xludf.DUMMYFUNCTION("""COMPUTED_VALUE"""),"Luke")</f>
        <v>Luke</v>
      </c>
      <c r="F9295" t="str">
        <f>IFERROR(__xludf.DUMMYFUNCTION("""COMPUTED_VALUE"""),"TE")</f>
        <v>TE</v>
      </c>
      <c r="G9295" t="str">
        <f>IFERROR(__xludf.DUMMYFUNCTION("""COMPUTED_VALUE"""),"")</f>
        <v/>
      </c>
    </row>
    <row r="9296">
      <c r="D9296" t="str">
        <f>IFERROR(__xludf.DUMMYFUNCTION("""COMPUTED_VALUE"""),"Wilson")</f>
        <v>Wilson</v>
      </c>
      <c r="E9296" t="str">
        <f>IFERROR(__xludf.DUMMYFUNCTION("""COMPUTED_VALUE"""),"Albert")</f>
        <v>Albert</v>
      </c>
      <c r="F9296" t="str">
        <f>IFERROR(__xludf.DUMMYFUNCTION("""COMPUTED_VALUE"""),"WR")</f>
        <v>WR</v>
      </c>
      <c r="G9296" t="str">
        <f>IFERROR(__xludf.DUMMYFUNCTION("""COMPUTED_VALUE"""),"")</f>
        <v/>
      </c>
    </row>
    <row r="9297">
      <c r="D9297" t="str">
        <f>IFERROR(__xludf.DUMMYFUNCTION("""COMPUTED_VALUE"""),"Wilson")</f>
        <v>Wilson</v>
      </c>
      <c r="E9297" t="str">
        <f>IFERROR(__xludf.DUMMYFUNCTION("""COMPUTED_VALUE"""),"Bobo")</f>
        <v>Bobo</v>
      </c>
      <c r="F9297" t="str">
        <f>IFERROR(__xludf.DUMMYFUNCTION("""COMPUTED_VALUE"""),"WR")</f>
        <v>WR</v>
      </c>
      <c r="G9297" t="str">
        <f>IFERROR(__xludf.DUMMYFUNCTION("""COMPUTED_VALUE"""),"")</f>
        <v/>
      </c>
    </row>
    <row r="9298">
      <c r="D9298" t="str">
        <f>IFERROR(__xludf.DUMMYFUNCTION("""COMPUTED_VALUE"""),"Wilson")</f>
        <v>Wilson</v>
      </c>
      <c r="E9298" t="str">
        <f>IFERROR(__xludf.DUMMYFUNCTION("""COMPUTED_VALUE"""),"Brandon")</f>
        <v>Brandon</v>
      </c>
      <c r="F9298" t="str">
        <f>IFERROR(__xludf.DUMMYFUNCTION("""COMPUTED_VALUE"""),"FS")</f>
        <v>FS</v>
      </c>
      <c r="G9298" t="str">
        <f>IFERROR(__xludf.DUMMYFUNCTION("""COMPUTED_VALUE"""),"")</f>
        <v/>
      </c>
    </row>
    <row r="9299">
      <c r="D9299" t="str">
        <f>IFERROR(__xludf.DUMMYFUNCTION("""COMPUTED_VALUE"""),"Wilson")</f>
        <v>Wilson</v>
      </c>
      <c r="E9299" t="str">
        <f>IFERROR(__xludf.DUMMYFUNCTION("""COMPUTED_VALUE"""),"Caleb")</f>
        <v>Caleb</v>
      </c>
      <c r="F9299" t="str">
        <f>IFERROR(__xludf.DUMMYFUNCTION("""COMPUTED_VALUE"""),"TE")</f>
        <v>TE</v>
      </c>
      <c r="G9299" t="str">
        <f>IFERROR(__xludf.DUMMYFUNCTION("""COMPUTED_VALUE"""),"")</f>
        <v/>
      </c>
    </row>
    <row r="9300">
      <c r="D9300" t="str">
        <f>IFERROR(__xludf.DUMMYFUNCTION("""COMPUTED_VALUE"""),"Wilson")</f>
        <v>Wilson</v>
      </c>
      <c r="E9300" t="str">
        <f>IFERROR(__xludf.DUMMYFUNCTION("""COMPUTED_VALUE"""),"Cedrick")</f>
        <v>Cedrick</v>
      </c>
      <c r="F9300" t="str">
        <f>IFERROR(__xludf.DUMMYFUNCTION("""COMPUTED_VALUE"""),"WR")</f>
        <v>WR</v>
      </c>
      <c r="G9300" t="str">
        <f>IFERROR(__xludf.DUMMYFUNCTION("""COMPUTED_VALUE"""),"")</f>
        <v/>
      </c>
    </row>
    <row r="9301">
      <c r="D9301" t="str">
        <f>IFERROR(__xludf.DUMMYFUNCTION("""COMPUTED_VALUE"""),"Wilson")</f>
        <v>Wilson</v>
      </c>
      <c r="E9301" t="str">
        <f>IFERROR(__xludf.DUMMYFUNCTION("""COMPUTED_VALUE"""),"Damien")</f>
        <v>Damien</v>
      </c>
      <c r="F9301" t="str">
        <f>IFERROR(__xludf.DUMMYFUNCTION("""COMPUTED_VALUE"""),"LOLB")</f>
        <v>LOLB</v>
      </c>
      <c r="G9301" t="str">
        <f>IFERROR(__xludf.DUMMYFUNCTION("""COMPUTED_VALUE"""),"")</f>
        <v/>
      </c>
    </row>
    <row r="9302">
      <c r="D9302" t="str">
        <f>IFERROR(__xludf.DUMMYFUNCTION("""COMPUTED_VALUE"""),"Wilson")</f>
        <v>Wilson</v>
      </c>
      <c r="E9302" t="str">
        <f>IFERROR(__xludf.DUMMYFUNCTION("""COMPUTED_VALUE"""),"Donovan")</f>
        <v>Donovan</v>
      </c>
      <c r="F9302" t="str">
        <f>IFERROR(__xludf.DUMMYFUNCTION("""COMPUTED_VALUE"""),"SS")</f>
        <v>SS</v>
      </c>
      <c r="G9302" t="str">
        <f>IFERROR(__xludf.DUMMYFUNCTION("""COMPUTED_VALUE"""),"")</f>
        <v/>
      </c>
    </row>
    <row r="9303">
      <c r="D9303" t="str">
        <f>IFERROR(__xludf.DUMMYFUNCTION("""COMPUTED_VALUE"""),"Wilson")</f>
        <v>Wilson</v>
      </c>
      <c r="E9303" t="str">
        <f>IFERROR(__xludf.DUMMYFUNCTION("""COMPUTED_VALUE"""),"Eric")</f>
        <v>Eric</v>
      </c>
      <c r="F9303" t="str">
        <f>IFERROR(__xludf.DUMMYFUNCTION("""COMPUTED_VALUE"""),"LOLB")</f>
        <v>LOLB</v>
      </c>
      <c r="G9303" t="str">
        <f>IFERROR(__xludf.DUMMYFUNCTION("""COMPUTED_VALUE"""),"")</f>
        <v/>
      </c>
    </row>
    <row r="9304">
      <c r="D9304" t="str">
        <f>IFERROR(__xludf.DUMMYFUNCTION("""COMPUTED_VALUE"""),"Wilson")</f>
        <v>Wilson</v>
      </c>
      <c r="E9304" t="str">
        <f>IFERROR(__xludf.DUMMYFUNCTION("""COMPUTED_VALUE"""),"Jarrod")</f>
        <v>Jarrod</v>
      </c>
      <c r="F9304" t="str">
        <f>IFERROR(__xludf.DUMMYFUNCTION("""COMPUTED_VALUE"""),"SS")</f>
        <v>SS</v>
      </c>
      <c r="G9304" t="str">
        <f>IFERROR(__xludf.DUMMYFUNCTION("""COMPUTED_VALUE"""),"")</f>
        <v/>
      </c>
    </row>
    <row r="9305">
      <c r="D9305" t="str">
        <f>IFERROR(__xludf.DUMMYFUNCTION("""COMPUTED_VALUE"""),"Wilson")</f>
        <v>Wilson</v>
      </c>
      <c r="E9305" t="str">
        <f>IFERROR(__xludf.DUMMYFUNCTION("""COMPUTED_VALUE"""),"Jeff")</f>
        <v>Jeff</v>
      </c>
      <c r="F9305" t="str">
        <f>IFERROR(__xludf.DUMMYFUNCTION("""COMPUTED_VALUE"""),"HB")</f>
        <v>HB</v>
      </c>
      <c r="G9305" t="str">
        <f>IFERROR(__xludf.DUMMYFUNCTION("""COMPUTED_VALUE"""),"")</f>
        <v/>
      </c>
    </row>
    <row r="9306">
      <c r="D9306" t="str">
        <f>IFERROR(__xludf.DUMMYFUNCTION("""COMPUTED_VALUE"""),"Wilson")</f>
        <v>Wilson</v>
      </c>
      <c r="E9306" t="str">
        <f>IFERROR(__xludf.DUMMYFUNCTION("""COMPUTED_VALUE"""),"Kyle")</f>
        <v>Kyle</v>
      </c>
      <c r="F9306" t="str">
        <f>IFERROR(__xludf.DUMMYFUNCTION("""COMPUTED_VALUE"""),"MLB")</f>
        <v>MLB</v>
      </c>
      <c r="G9306" t="str">
        <f>IFERROR(__xludf.DUMMYFUNCTION("""COMPUTED_VALUE"""),"")</f>
        <v/>
      </c>
    </row>
    <row r="9307">
      <c r="D9307" t="str">
        <f>IFERROR(__xludf.DUMMYFUNCTION("""COMPUTED_VALUE"""),"Wilson")</f>
        <v>Wilson</v>
      </c>
      <c r="E9307" t="str">
        <f>IFERROR(__xludf.DUMMYFUNCTION("""COMPUTED_VALUE"""),"Mack")</f>
        <v>Mack</v>
      </c>
      <c r="F9307" t="str">
        <f>IFERROR(__xludf.DUMMYFUNCTION("""COMPUTED_VALUE"""),"MLB")</f>
        <v>MLB</v>
      </c>
      <c r="G9307" t="str">
        <f>IFERROR(__xludf.DUMMYFUNCTION("""COMPUTED_VALUE"""),"")</f>
        <v/>
      </c>
    </row>
    <row r="9308">
      <c r="D9308" t="str">
        <f>IFERROR(__xludf.DUMMYFUNCTION("""COMPUTED_VALUE"""),"Wilson")</f>
        <v>Wilson</v>
      </c>
      <c r="E9308" t="str">
        <f>IFERROR(__xludf.DUMMYFUNCTION("""COMPUTED_VALUE"""),"Quincy")</f>
        <v>Quincy</v>
      </c>
      <c r="F9308" t="str">
        <f>IFERROR(__xludf.DUMMYFUNCTION("""COMPUTED_VALUE"""),"CB")</f>
        <v>CB</v>
      </c>
      <c r="G9308" t="str">
        <f>IFERROR(__xludf.DUMMYFUNCTION("""COMPUTED_VALUE"""),"")</f>
        <v/>
      </c>
    </row>
    <row r="9309">
      <c r="D9309" t="str">
        <f>IFERROR(__xludf.DUMMYFUNCTION("""COMPUTED_VALUE"""),"Wilson")</f>
        <v>Wilson</v>
      </c>
      <c r="E9309" t="str">
        <f>IFERROR(__xludf.DUMMYFUNCTION("""COMPUTED_VALUE"""),"Ramik")</f>
        <v>Ramik</v>
      </c>
      <c r="F9309" t="str">
        <f>IFERROR(__xludf.DUMMYFUNCTION("""COMPUTED_VALUE"""),"MLB")</f>
        <v>MLB</v>
      </c>
      <c r="G9309" t="str">
        <f>IFERROR(__xludf.DUMMYFUNCTION("""COMPUTED_VALUE"""),"")</f>
        <v/>
      </c>
    </row>
    <row r="9310">
      <c r="D9310" t="str">
        <f>IFERROR(__xludf.DUMMYFUNCTION("""COMPUTED_VALUE"""),"Wilson")</f>
        <v>Wilson</v>
      </c>
      <c r="E9310" t="str">
        <f>IFERROR(__xludf.DUMMYFUNCTION("""COMPUTED_VALUE"""),"Russell")</f>
        <v>Russell</v>
      </c>
      <c r="F9310" t="str">
        <f>IFERROR(__xludf.DUMMYFUNCTION("""COMPUTED_VALUE"""),"QB")</f>
        <v>QB</v>
      </c>
      <c r="G9310" t="str">
        <f>IFERROR(__xludf.DUMMYFUNCTION("""COMPUTED_VALUE"""),"")</f>
        <v/>
      </c>
    </row>
    <row r="9311">
      <c r="D9311" t="str">
        <f>IFERROR(__xludf.DUMMYFUNCTION("""COMPUTED_VALUE"""),"Wilson")</f>
        <v>Wilson</v>
      </c>
      <c r="E9311" t="str">
        <f>IFERROR(__xludf.DUMMYFUNCTION("""COMPUTED_VALUE"""),"Shaun")</f>
        <v>Shaun</v>
      </c>
      <c r="F9311" t="str">
        <f>IFERROR(__xludf.DUMMYFUNCTION("""COMPUTED_VALUE"""),"HB")</f>
        <v>HB</v>
      </c>
      <c r="G9311" t="str">
        <f>IFERROR(__xludf.DUMMYFUNCTION("""COMPUTED_VALUE"""),"")</f>
        <v/>
      </c>
    </row>
    <row r="9312">
      <c r="D9312" t="str">
        <f>IFERROR(__xludf.DUMMYFUNCTION("""COMPUTED_VALUE"""),"Wilson")</f>
        <v>Wilson</v>
      </c>
      <c r="E9312" t="str">
        <f>IFERROR(__xludf.DUMMYFUNCTION("""COMPUTED_VALUE"""),"Tavon")</f>
        <v>Tavon</v>
      </c>
      <c r="F9312" t="str">
        <f>IFERROR(__xludf.DUMMYFUNCTION("""COMPUTED_VALUE"""),"SS")</f>
        <v>SS</v>
      </c>
      <c r="G9312" t="str">
        <f>IFERROR(__xludf.DUMMYFUNCTION("""COMPUTED_VALUE"""),"")</f>
        <v/>
      </c>
    </row>
    <row r="9313">
      <c r="D9313" t="str">
        <f>IFERROR(__xludf.DUMMYFUNCTION("""COMPUTED_VALUE"""),"Wims")</f>
        <v>Wims</v>
      </c>
      <c r="E9313" t="str">
        <f>IFERROR(__xludf.DUMMYFUNCTION("""COMPUTED_VALUE"""),"Javon")</f>
        <v>Javon</v>
      </c>
      <c r="F9313" t="str">
        <f>IFERROR(__xludf.DUMMYFUNCTION("""COMPUTED_VALUE"""),"WR")</f>
        <v>WR</v>
      </c>
      <c r="G9313" t="str">
        <f>IFERROR(__xludf.DUMMYFUNCTION("""COMPUTED_VALUE"""),"")</f>
        <v/>
      </c>
    </row>
    <row r="9314">
      <c r="D9314" t="str">
        <f>IFERROR(__xludf.DUMMYFUNCTION("""COMPUTED_VALUE"""),"Winchester")</f>
        <v>Winchester</v>
      </c>
      <c r="E9314" t="str">
        <f>IFERROR(__xludf.DUMMYFUNCTION("""COMPUTED_VALUE"""),"James")</f>
        <v>James</v>
      </c>
      <c r="F9314" t="str">
        <f>IFERROR(__xludf.DUMMYFUNCTION("""COMPUTED_VALUE"""),"TE")</f>
        <v>TE</v>
      </c>
      <c r="G9314" t="str">
        <f>IFERROR(__xludf.DUMMYFUNCTION("""COMPUTED_VALUE"""),"")</f>
        <v/>
      </c>
    </row>
    <row r="9315">
      <c r="D9315" t="str">
        <f>IFERROR(__xludf.DUMMYFUNCTION("""COMPUTED_VALUE"""),"Windt")</f>
        <v>Windt</v>
      </c>
      <c r="E9315" t="str">
        <f>IFERROR(__xludf.DUMMYFUNCTION("""COMPUTED_VALUE"""),"Mike")</f>
        <v>Mike</v>
      </c>
      <c r="F9315" t="str">
        <f>IFERROR(__xludf.DUMMYFUNCTION("""COMPUTED_VALUE"""),"TE")</f>
        <v>TE</v>
      </c>
      <c r="G9315" t="str">
        <f>IFERROR(__xludf.DUMMYFUNCTION("""COMPUTED_VALUE"""),"")</f>
        <v/>
      </c>
    </row>
    <row r="9316">
      <c r="D9316" t="str">
        <f>IFERROR(__xludf.DUMMYFUNCTION("""COMPUTED_VALUE"""),"Winfree")</f>
        <v>Winfree</v>
      </c>
      <c r="E9316" t="str">
        <f>IFERROR(__xludf.DUMMYFUNCTION("""COMPUTED_VALUE"""),"Juwann")</f>
        <v>Juwann</v>
      </c>
      <c r="F9316" t="str">
        <f>IFERROR(__xludf.DUMMYFUNCTION("""COMPUTED_VALUE"""),"WR")</f>
        <v>WR</v>
      </c>
      <c r="G9316" t="str">
        <f>IFERROR(__xludf.DUMMYFUNCTION("""COMPUTED_VALUE"""),"")</f>
        <v/>
      </c>
    </row>
    <row r="9317">
      <c r="D9317" t="str">
        <f>IFERROR(__xludf.DUMMYFUNCTION("""COMPUTED_VALUE"""),"Wingard")</f>
        <v>Wingard</v>
      </c>
      <c r="E9317" t="str">
        <f>IFERROR(__xludf.DUMMYFUNCTION("""COMPUTED_VALUE"""),"Andrew")</f>
        <v>Andrew</v>
      </c>
      <c r="F9317" t="str">
        <f>IFERROR(__xludf.DUMMYFUNCTION("""COMPUTED_VALUE"""),"FS")</f>
        <v>FS</v>
      </c>
      <c r="G9317" t="str">
        <f>IFERROR(__xludf.DUMMYFUNCTION("""COMPUTED_VALUE"""),"")</f>
        <v/>
      </c>
    </row>
    <row r="9318">
      <c r="D9318" t="str">
        <f>IFERROR(__xludf.DUMMYFUNCTION("""COMPUTED_VALUE"""),"Winovich")</f>
        <v>Winovich</v>
      </c>
      <c r="E9318" t="str">
        <f>IFERROR(__xludf.DUMMYFUNCTION("""COMPUTED_VALUE"""),"Chase")</f>
        <v>Chase</v>
      </c>
      <c r="F9318" t="str">
        <f>IFERROR(__xludf.DUMMYFUNCTION("""COMPUTED_VALUE"""),"RE")</f>
        <v>RE</v>
      </c>
      <c r="G9318" t="str">
        <f>IFERROR(__xludf.DUMMYFUNCTION("""COMPUTED_VALUE"""),"")</f>
        <v/>
      </c>
    </row>
    <row r="9319">
      <c r="D9319" t="str">
        <f>IFERROR(__xludf.DUMMYFUNCTION("""COMPUTED_VALUE"""),"Winston")</f>
        <v>Winston</v>
      </c>
      <c r="E9319" t="str">
        <f>IFERROR(__xludf.DUMMYFUNCTION("""COMPUTED_VALUE"""),"Jameis")</f>
        <v>Jameis</v>
      </c>
      <c r="F9319" t="str">
        <f>IFERROR(__xludf.DUMMYFUNCTION("""COMPUTED_VALUE"""),"QB")</f>
        <v>QB</v>
      </c>
      <c r="G9319" t="str">
        <f>IFERROR(__xludf.DUMMYFUNCTION("""COMPUTED_VALUE"""),"")</f>
        <v/>
      </c>
    </row>
    <row r="9320">
      <c r="D9320" t="str">
        <f>IFERROR(__xludf.DUMMYFUNCTION("""COMPUTED_VALUE"""),"Wint")</f>
        <v>Wint</v>
      </c>
      <c r="E9320" t="str">
        <f>IFERROR(__xludf.DUMMYFUNCTION("""COMPUTED_VALUE"""),"Anthony")</f>
        <v>Anthony</v>
      </c>
      <c r="F9320" t="str">
        <f>IFERROR(__xludf.DUMMYFUNCTION("""COMPUTED_VALUE"""),"MLB")</f>
        <v>MLB</v>
      </c>
      <c r="G9320" t="str">
        <f>IFERROR(__xludf.DUMMYFUNCTION("""COMPUTED_VALUE"""),"")</f>
        <v/>
      </c>
    </row>
    <row r="9321">
      <c r="D9321" t="str">
        <f>IFERROR(__xludf.DUMMYFUNCTION("""COMPUTED_VALUE"""),"Winters")</f>
        <v>Winters</v>
      </c>
      <c r="E9321" t="str">
        <f>IFERROR(__xludf.DUMMYFUNCTION("""COMPUTED_VALUE"""),"Brian")</f>
        <v>Brian</v>
      </c>
      <c r="F9321" t="str">
        <f>IFERROR(__xludf.DUMMYFUNCTION("""COMPUTED_VALUE"""),"RG")</f>
        <v>RG</v>
      </c>
      <c r="G9321" t="str">
        <f>IFERROR(__xludf.DUMMYFUNCTION("""COMPUTED_VALUE"""),"")</f>
        <v/>
      </c>
    </row>
    <row r="9322">
      <c r="D9322" t="str">
        <f>IFERROR(__xludf.DUMMYFUNCTION("""COMPUTED_VALUE"""),"Wise")</f>
        <v>Wise</v>
      </c>
      <c r="E9322" t="str">
        <f>IFERROR(__xludf.DUMMYFUNCTION("""COMPUTED_VALUE"""),"Daniel")</f>
        <v>Daniel</v>
      </c>
      <c r="F9322" t="str">
        <f>IFERROR(__xludf.DUMMYFUNCTION("""COMPUTED_VALUE"""),"DT")</f>
        <v>DT</v>
      </c>
      <c r="G9322" t="str">
        <f>IFERROR(__xludf.DUMMYFUNCTION("""COMPUTED_VALUE"""),"")</f>
        <v/>
      </c>
    </row>
    <row r="9323">
      <c r="D9323" t="str">
        <f>IFERROR(__xludf.DUMMYFUNCTION("""COMPUTED_VALUE"""),"Wise")</f>
        <v>Wise</v>
      </c>
      <c r="E9323" t="str">
        <f>IFERROR(__xludf.DUMMYFUNCTION("""COMPUTED_VALUE"""),"Deatrich")</f>
        <v>Deatrich</v>
      </c>
      <c r="F9323" t="str">
        <f>IFERROR(__xludf.DUMMYFUNCTION("""COMPUTED_VALUE"""),"RE")</f>
        <v>RE</v>
      </c>
      <c r="G9323" t="str">
        <f>IFERROR(__xludf.DUMMYFUNCTION("""COMPUTED_VALUE"""),"")</f>
        <v/>
      </c>
    </row>
    <row r="9324">
      <c r="D9324" t="str">
        <f>IFERROR(__xludf.DUMMYFUNCTION("""COMPUTED_VALUE"""),"Wishnowsky")</f>
        <v>Wishnowsky</v>
      </c>
      <c r="E9324" t="str">
        <f>IFERROR(__xludf.DUMMYFUNCTION("""COMPUTED_VALUE"""),"Mitch")</f>
        <v>Mitch</v>
      </c>
      <c r="F9324" t="str">
        <f>IFERROR(__xludf.DUMMYFUNCTION("""COMPUTED_VALUE"""),"P")</f>
        <v>P</v>
      </c>
      <c r="G9324" t="str">
        <f>IFERROR(__xludf.DUMMYFUNCTION("""COMPUTED_VALUE"""),"")</f>
        <v/>
      </c>
    </row>
    <row r="9325">
      <c r="D9325" t="str">
        <f>IFERROR(__xludf.DUMMYFUNCTION("""COMPUTED_VALUE"""),"Wisniewski")</f>
        <v>Wisniewski</v>
      </c>
      <c r="E9325" t="str">
        <f>IFERROR(__xludf.DUMMYFUNCTION("""COMPUTED_VALUE"""),"Stefen")</f>
        <v>Stefen</v>
      </c>
      <c r="F9325" t="str">
        <f>IFERROR(__xludf.DUMMYFUNCTION("""COMPUTED_VALUE"""),"LG")</f>
        <v>LG</v>
      </c>
      <c r="G9325" t="str">
        <f>IFERROR(__xludf.DUMMYFUNCTION("""COMPUTED_VALUE"""),"")</f>
        <v/>
      </c>
    </row>
    <row r="9326">
      <c r="D9326" t="str">
        <f>IFERROR(__xludf.DUMMYFUNCTION("""COMPUTED_VALUE"""),"Witherspoon")</f>
        <v>Witherspoon</v>
      </c>
      <c r="E9326" t="str">
        <f>IFERROR(__xludf.DUMMYFUNCTION("""COMPUTED_VALUE"""),"Ahkello")</f>
        <v>Ahkello</v>
      </c>
      <c r="F9326" t="str">
        <f>IFERROR(__xludf.DUMMYFUNCTION("""COMPUTED_VALUE"""),"CB")</f>
        <v>CB</v>
      </c>
      <c r="G9326" t="str">
        <f>IFERROR(__xludf.DUMMYFUNCTION("""COMPUTED_VALUE"""),"")</f>
        <v/>
      </c>
    </row>
    <row r="9327">
      <c r="D9327" t="str">
        <f>IFERROR(__xludf.DUMMYFUNCTION("""COMPUTED_VALUE"""),"Witten")</f>
        <v>Witten</v>
      </c>
      <c r="E9327" t="str">
        <f>IFERROR(__xludf.DUMMYFUNCTION("""COMPUTED_VALUE"""),"Jason")</f>
        <v>Jason</v>
      </c>
      <c r="F9327" t="str">
        <f>IFERROR(__xludf.DUMMYFUNCTION("""COMPUTED_VALUE"""),"TE")</f>
        <v>TE</v>
      </c>
      <c r="G9327" t="str">
        <f>IFERROR(__xludf.DUMMYFUNCTION("""COMPUTED_VALUE"""),"")</f>
        <v/>
      </c>
    </row>
    <row r="9328">
      <c r="D9328" t="str">
        <f>IFERROR(__xludf.DUMMYFUNCTION("""COMPUTED_VALUE"""),"Witzmann")</f>
        <v>Witzmann</v>
      </c>
      <c r="E9328" t="str">
        <f>IFERROR(__xludf.DUMMYFUNCTION("""COMPUTED_VALUE"""),"Bryan")</f>
        <v>Bryan</v>
      </c>
      <c r="F9328" t="str">
        <f>IFERROR(__xludf.DUMMYFUNCTION("""COMPUTED_VALUE"""),"LG")</f>
        <v>LG</v>
      </c>
      <c r="G9328" t="str">
        <f>IFERROR(__xludf.DUMMYFUNCTION("""COMPUTED_VALUE"""),"")</f>
        <v/>
      </c>
    </row>
    <row r="9329">
      <c r="D9329" t="str">
        <f>IFERROR(__xludf.DUMMYFUNCTION("""COMPUTED_VALUE"""),"Wolfe")</f>
        <v>Wolfe</v>
      </c>
      <c r="E9329" t="str">
        <f>IFERROR(__xludf.DUMMYFUNCTION("""COMPUTED_VALUE"""),"Derek")</f>
        <v>Derek</v>
      </c>
      <c r="F9329" t="str">
        <f>IFERROR(__xludf.DUMMYFUNCTION("""COMPUTED_VALUE"""),"LE")</f>
        <v>LE</v>
      </c>
      <c r="G9329" t="str">
        <f>IFERROR(__xludf.DUMMYFUNCTION("""COMPUTED_VALUE"""),"")</f>
        <v/>
      </c>
    </row>
    <row r="9330">
      <c r="D9330" t="str">
        <f>IFERROR(__xludf.DUMMYFUNCTION("""COMPUTED_VALUE"""),"Wood")</f>
        <v>Wood</v>
      </c>
      <c r="E9330" t="str">
        <f>IFERROR(__xludf.DUMMYFUNCTION("""COMPUTED_VALUE"""),"Zach")</f>
        <v>Zach</v>
      </c>
      <c r="F9330" t="str">
        <f>IFERROR(__xludf.DUMMYFUNCTION("""COMPUTED_VALUE"""),"TE")</f>
        <v>TE</v>
      </c>
      <c r="G9330" t="str">
        <f>IFERROR(__xludf.DUMMYFUNCTION("""COMPUTED_VALUE"""),"")</f>
        <v/>
      </c>
    </row>
    <row r="9331">
      <c r="D9331" t="str">
        <f>IFERROR(__xludf.DUMMYFUNCTION("""COMPUTED_VALUE"""),"Woodard")</f>
        <v>Woodard</v>
      </c>
      <c r="E9331" t="str">
        <f>IFERROR(__xludf.DUMMYFUNCTION("""COMPUTED_VALUE"""),"Jonathan")</f>
        <v>Jonathan</v>
      </c>
      <c r="F9331" t="str">
        <f>IFERROR(__xludf.DUMMYFUNCTION("""COMPUTED_VALUE"""),"RE")</f>
        <v>RE</v>
      </c>
      <c r="G9331" t="str">
        <f>IFERROR(__xludf.DUMMYFUNCTION("""COMPUTED_VALUE"""),"")</f>
        <v/>
      </c>
    </row>
    <row r="9332">
      <c r="D9332" t="str">
        <f>IFERROR(__xludf.DUMMYFUNCTION("""COMPUTED_VALUE"""),"Woodrum")</f>
        <v>Woodrum</v>
      </c>
      <c r="E9332" t="str">
        <f>IFERROR(__xludf.DUMMYFUNCTION("""COMPUTED_VALUE"""),"Josh")</f>
        <v>Josh</v>
      </c>
      <c r="F9332" t="str">
        <f>IFERROR(__xludf.DUMMYFUNCTION("""COMPUTED_VALUE"""),"QB")</f>
        <v>QB</v>
      </c>
      <c r="G9332" t="str">
        <f>IFERROR(__xludf.DUMMYFUNCTION("""COMPUTED_VALUE"""),"")</f>
        <v/>
      </c>
    </row>
    <row r="9333">
      <c r="D9333" t="str">
        <f>IFERROR(__xludf.DUMMYFUNCTION("""COMPUTED_VALUE"""),"Woods")</f>
        <v>Woods</v>
      </c>
      <c r="E9333" t="str">
        <f>IFERROR(__xludf.DUMMYFUNCTION("""COMPUTED_VALUE"""),"Al")</f>
        <v>Al</v>
      </c>
      <c r="F9333" t="str">
        <f>IFERROR(__xludf.DUMMYFUNCTION("""COMPUTED_VALUE"""),"DT")</f>
        <v>DT</v>
      </c>
      <c r="G9333" t="str">
        <f>IFERROR(__xludf.DUMMYFUNCTION("""COMPUTED_VALUE"""),"")</f>
        <v/>
      </c>
    </row>
    <row r="9334">
      <c r="D9334" t="str">
        <f>IFERROR(__xludf.DUMMYFUNCTION("""COMPUTED_VALUE"""),"Woods")</f>
        <v>Woods</v>
      </c>
      <c r="E9334" t="str">
        <f>IFERROR(__xludf.DUMMYFUNCTION("""COMPUTED_VALUE"""),"Antwaun")</f>
        <v>Antwaun</v>
      </c>
      <c r="F9334" t="str">
        <f>IFERROR(__xludf.DUMMYFUNCTION("""COMPUTED_VALUE"""),"DT")</f>
        <v>DT</v>
      </c>
      <c r="G9334" t="str">
        <f>IFERROR(__xludf.DUMMYFUNCTION("""COMPUTED_VALUE"""),"")</f>
        <v/>
      </c>
    </row>
    <row r="9335">
      <c r="D9335" t="str">
        <f>IFERROR(__xludf.DUMMYFUNCTION("""COMPUTED_VALUE"""),"Woods")</f>
        <v>Woods</v>
      </c>
      <c r="E9335" t="str">
        <f>IFERROR(__xludf.DUMMYFUNCTION("""COMPUTED_VALUE"""),"Josh")</f>
        <v>Josh</v>
      </c>
      <c r="F9335" t="str">
        <f>IFERROR(__xludf.DUMMYFUNCTION("""COMPUTED_VALUE"""),"MLB")</f>
        <v>MLB</v>
      </c>
      <c r="G9335" t="str">
        <f>IFERROR(__xludf.DUMMYFUNCTION("""COMPUTED_VALUE"""),"")</f>
        <v/>
      </c>
    </row>
    <row r="9336">
      <c r="D9336" t="str">
        <f>IFERROR(__xludf.DUMMYFUNCTION("""COMPUTED_VALUE"""),"Woods")</f>
        <v>Woods</v>
      </c>
      <c r="E9336" t="str">
        <f>IFERROR(__xludf.DUMMYFUNCTION("""COMPUTED_VALUE"""),"Robert")</f>
        <v>Robert</v>
      </c>
      <c r="F9336" t="str">
        <f>IFERROR(__xludf.DUMMYFUNCTION("""COMPUTED_VALUE"""),"WR")</f>
        <v>WR</v>
      </c>
      <c r="G9336" t="str">
        <f>IFERROR(__xludf.DUMMYFUNCTION("""COMPUTED_VALUE"""),"")</f>
        <v/>
      </c>
    </row>
    <row r="9337">
      <c r="D9337" t="str">
        <f>IFERROR(__xludf.DUMMYFUNCTION("""COMPUTED_VALUE"""),"Woods")</f>
        <v>Woods</v>
      </c>
      <c r="E9337" t="str">
        <f>IFERROR(__xludf.DUMMYFUNCTION("""COMPUTED_VALUE"""),"Xavier")</f>
        <v>Xavier</v>
      </c>
      <c r="F9337" t="str">
        <f>IFERROR(__xludf.DUMMYFUNCTION("""COMPUTED_VALUE"""),"FS")</f>
        <v>FS</v>
      </c>
      <c r="G9337" t="str">
        <f>IFERROR(__xludf.DUMMYFUNCTION("""COMPUTED_VALUE"""),"")</f>
        <v/>
      </c>
    </row>
    <row r="9338">
      <c r="D9338" t="str">
        <f>IFERROR(__xludf.DUMMYFUNCTION("""COMPUTED_VALUE"""),"Woods")</f>
        <v>Woods</v>
      </c>
      <c r="E9338" t="str">
        <f>IFERROR(__xludf.DUMMYFUNCTION("""COMPUTED_VALUE"""),"Zedrick")</f>
        <v>Zedrick</v>
      </c>
      <c r="F9338" t="str">
        <f>IFERROR(__xludf.DUMMYFUNCTION("""COMPUTED_VALUE"""),"SS")</f>
        <v>SS</v>
      </c>
      <c r="G9338" t="str">
        <f>IFERROR(__xludf.DUMMYFUNCTION("""COMPUTED_VALUE"""),"")</f>
        <v/>
      </c>
    </row>
    <row r="9339">
      <c r="D9339" t="str">
        <f>IFERROR(__xludf.DUMMYFUNCTION("""COMPUTED_VALUE"""),"Woodside")</f>
        <v>Woodside</v>
      </c>
      <c r="E9339" t="str">
        <f>IFERROR(__xludf.DUMMYFUNCTION("""COMPUTED_VALUE"""),"Logan")</f>
        <v>Logan</v>
      </c>
      <c r="F9339" t="str">
        <f>IFERROR(__xludf.DUMMYFUNCTION("""COMPUTED_VALUE"""),"QB")</f>
        <v>QB</v>
      </c>
      <c r="G9339" t="str">
        <f>IFERROR(__xludf.DUMMYFUNCTION("""COMPUTED_VALUE"""),"")</f>
        <v/>
      </c>
    </row>
    <row r="9340">
      <c r="D9340" t="str">
        <f>IFERROR(__xludf.DUMMYFUNCTION("""COMPUTED_VALUE"""),"Woodson-Luster")</f>
        <v>Woodson-Luster</v>
      </c>
      <c r="E9340" t="str">
        <f>IFERROR(__xludf.DUMMYFUNCTION("""COMPUTED_VALUE"""),"Xavier")</f>
        <v>Xavier</v>
      </c>
      <c r="F9340" t="str">
        <f>IFERROR(__xludf.DUMMYFUNCTION("""COMPUTED_VALUE"""),"MLB")</f>
        <v>MLB</v>
      </c>
      <c r="G9340" t="str">
        <f>IFERROR(__xludf.DUMMYFUNCTION("""COMPUTED_VALUE"""),"")</f>
        <v/>
      </c>
    </row>
    <row r="9341">
      <c r="D9341" t="str">
        <f>IFERROR(__xludf.DUMMYFUNCTION("""COMPUTED_VALUE"""),"Woodyard")</f>
        <v>Woodyard</v>
      </c>
      <c r="E9341" t="str">
        <f>IFERROR(__xludf.DUMMYFUNCTION("""COMPUTED_VALUE"""),"Wesley")</f>
        <v>Wesley</v>
      </c>
      <c r="F9341" t="str">
        <f>IFERROR(__xludf.DUMMYFUNCTION("""COMPUTED_VALUE"""),"MLB")</f>
        <v>MLB</v>
      </c>
      <c r="G9341" t="str">
        <f>IFERROR(__xludf.DUMMYFUNCTION("""COMPUTED_VALUE"""),"")</f>
        <v/>
      </c>
    </row>
    <row r="9342">
      <c r="D9342" t="str">
        <f>IFERROR(__xludf.DUMMYFUNCTION("""COMPUTED_VALUE"""),"Worley")</f>
        <v>Worley</v>
      </c>
      <c r="E9342" t="str">
        <f>IFERROR(__xludf.DUMMYFUNCTION("""COMPUTED_VALUE"""),"Chris")</f>
        <v>Chris</v>
      </c>
      <c r="F9342" t="str">
        <f>IFERROR(__xludf.DUMMYFUNCTION("""COMPUTED_VALUE"""),"ROLB")</f>
        <v>ROLB</v>
      </c>
      <c r="G9342" t="str">
        <f>IFERROR(__xludf.DUMMYFUNCTION("""COMPUTED_VALUE"""),"")</f>
        <v/>
      </c>
    </row>
    <row r="9343">
      <c r="D9343" t="str">
        <f>IFERROR(__xludf.DUMMYFUNCTION("""COMPUTED_VALUE"""),"Worley")</f>
        <v>Worley</v>
      </c>
      <c r="E9343" t="str">
        <f>IFERROR(__xludf.DUMMYFUNCTION("""COMPUTED_VALUE"""),"Daryl")</f>
        <v>Daryl</v>
      </c>
      <c r="F9343" t="str">
        <f>IFERROR(__xludf.DUMMYFUNCTION("""COMPUTED_VALUE"""),"CB")</f>
        <v>CB</v>
      </c>
      <c r="G9343" t="str">
        <f>IFERROR(__xludf.DUMMYFUNCTION("""COMPUTED_VALUE"""),"")</f>
        <v/>
      </c>
    </row>
    <row r="9344">
      <c r="D9344" t="str">
        <f>IFERROR(__xludf.DUMMYFUNCTION("""COMPUTED_VALUE"""),"Wormley")</f>
        <v>Wormley</v>
      </c>
      <c r="E9344" t="str">
        <f>IFERROR(__xludf.DUMMYFUNCTION("""COMPUTED_VALUE"""),"Chris")</f>
        <v>Chris</v>
      </c>
      <c r="F9344" t="str">
        <f>IFERROR(__xludf.DUMMYFUNCTION("""COMPUTED_VALUE"""),"RE")</f>
        <v>RE</v>
      </c>
      <c r="G9344" t="str">
        <f>IFERROR(__xludf.DUMMYFUNCTION("""COMPUTED_VALUE"""),"")</f>
        <v/>
      </c>
    </row>
    <row r="9345">
      <c r="D9345" t="str">
        <f>IFERROR(__xludf.DUMMYFUNCTION("""COMPUTED_VALUE"""),"Worrilow")</f>
        <v>Worrilow</v>
      </c>
      <c r="E9345" t="str">
        <f>IFERROR(__xludf.DUMMYFUNCTION("""COMPUTED_VALUE"""),"Paul")</f>
        <v>Paul</v>
      </c>
      <c r="F9345" t="str">
        <f>IFERROR(__xludf.DUMMYFUNCTION("""COMPUTED_VALUE"""),"LOLB")</f>
        <v>LOLB</v>
      </c>
      <c r="G9345" t="str">
        <f>IFERROR(__xludf.DUMMYFUNCTION("""COMPUTED_VALUE"""),"")</f>
        <v/>
      </c>
    </row>
    <row r="9346">
      <c r="D9346" t="str">
        <f>IFERROR(__xludf.DUMMYFUNCTION("""COMPUTED_VALUE"""),"Wreh-Wilson")</f>
        <v>Wreh-Wilson</v>
      </c>
      <c r="E9346" t="str">
        <f>IFERROR(__xludf.DUMMYFUNCTION("""COMPUTED_VALUE"""),"Blidi")</f>
        <v>Blidi</v>
      </c>
      <c r="F9346" t="str">
        <f>IFERROR(__xludf.DUMMYFUNCTION("""COMPUTED_VALUE"""),"CB")</f>
        <v>CB</v>
      </c>
      <c r="G9346" t="str">
        <f>IFERROR(__xludf.DUMMYFUNCTION("""COMPUTED_VALUE"""),"")</f>
        <v/>
      </c>
    </row>
    <row r="9347">
      <c r="D9347" t="str">
        <f>IFERROR(__xludf.DUMMYFUNCTION("""COMPUTED_VALUE"""),"Wren")</f>
        <v>Wren</v>
      </c>
      <c r="E9347" t="str">
        <f>IFERROR(__xludf.DUMMYFUNCTION("""COMPUTED_VALUE"""),"Renell")</f>
        <v>Renell</v>
      </c>
      <c r="F9347" t="str">
        <f>IFERROR(__xludf.DUMMYFUNCTION("""COMPUTED_VALUE"""),"DT")</f>
        <v>DT</v>
      </c>
      <c r="G9347" t="str">
        <f>IFERROR(__xludf.DUMMYFUNCTION("""COMPUTED_VALUE"""),"")</f>
        <v/>
      </c>
    </row>
    <row r="9348">
      <c r="D9348" t="str">
        <f>IFERROR(__xludf.DUMMYFUNCTION("""COMPUTED_VALUE"""),"Wright")</f>
        <v>Wright</v>
      </c>
      <c r="E9348" t="str">
        <f>IFERROR(__xludf.DUMMYFUNCTION("""COMPUTED_VALUE"""),"Gabe")</f>
        <v>Gabe</v>
      </c>
      <c r="F9348" t="str">
        <f>IFERROR(__xludf.DUMMYFUNCTION("""COMPUTED_VALUE"""),"DT")</f>
        <v>DT</v>
      </c>
      <c r="G9348" t="str">
        <f>IFERROR(__xludf.DUMMYFUNCTION("""COMPUTED_VALUE"""),"")</f>
        <v/>
      </c>
    </row>
    <row r="9349">
      <c r="D9349" t="str">
        <f>IFERROR(__xludf.DUMMYFUNCTION("""COMPUTED_VALUE"""),"Wright")</f>
        <v>Wright</v>
      </c>
      <c r="E9349" t="str">
        <f>IFERROR(__xludf.DUMMYFUNCTION("""COMPUTED_VALUE"""),"Jarius")</f>
        <v>Jarius</v>
      </c>
      <c r="F9349" t="str">
        <f>IFERROR(__xludf.DUMMYFUNCTION("""COMPUTED_VALUE"""),"WR")</f>
        <v>WR</v>
      </c>
      <c r="G9349" t="str">
        <f>IFERROR(__xludf.DUMMYFUNCTION("""COMPUTED_VALUE"""),"")</f>
        <v/>
      </c>
    </row>
    <row r="9350">
      <c r="D9350" t="str">
        <f>IFERROR(__xludf.DUMMYFUNCTION("""COMPUTED_VALUE"""),"Wright")</f>
        <v>Wright</v>
      </c>
      <c r="E9350" t="str">
        <f>IFERROR(__xludf.DUMMYFUNCTION("""COMPUTED_VALUE"""),"KJ")</f>
        <v>KJ</v>
      </c>
      <c r="F9350" t="str">
        <f>IFERROR(__xludf.DUMMYFUNCTION("""COMPUTED_VALUE"""),"ROLB")</f>
        <v>ROLB</v>
      </c>
      <c r="G9350" t="str">
        <f>IFERROR(__xludf.DUMMYFUNCTION("""COMPUTED_VALUE"""),"")</f>
        <v/>
      </c>
    </row>
    <row r="9351">
      <c r="D9351" t="str">
        <f>IFERROR(__xludf.DUMMYFUNCTION("""COMPUTED_VALUE"""),"Wylie")</f>
        <v>Wylie</v>
      </c>
      <c r="E9351" t="str">
        <f>IFERROR(__xludf.DUMMYFUNCTION("""COMPUTED_VALUE"""),"Andrew")</f>
        <v>Andrew</v>
      </c>
      <c r="F9351" t="str">
        <f>IFERROR(__xludf.DUMMYFUNCTION("""COMPUTED_VALUE"""),"RG")</f>
        <v>RG</v>
      </c>
      <c r="G9351" t="str">
        <f>IFERROR(__xludf.DUMMYFUNCTION("""COMPUTED_VALUE"""),"")</f>
        <v/>
      </c>
    </row>
    <row r="9352">
      <c r="D9352" t="str">
        <f>IFERROR(__xludf.DUMMYFUNCTION("""COMPUTED_VALUE"""),"Wynn")</f>
        <v>Wynn</v>
      </c>
      <c r="E9352" t="str">
        <f>IFERROR(__xludf.DUMMYFUNCTION("""COMPUTED_VALUE"""),"Isaiah")</f>
        <v>Isaiah</v>
      </c>
      <c r="F9352" t="str">
        <f>IFERROR(__xludf.DUMMYFUNCTION("""COMPUTED_VALUE"""),"LT")</f>
        <v>LT</v>
      </c>
      <c r="G9352" t="str">
        <f>IFERROR(__xludf.DUMMYFUNCTION("""COMPUTED_VALUE"""),"")</f>
        <v/>
      </c>
    </row>
    <row r="9353">
      <c r="D9353" t="str">
        <f>IFERROR(__xludf.DUMMYFUNCTION("""COMPUTED_VALUE"""),"Wynn")</f>
        <v>Wynn</v>
      </c>
      <c r="E9353" t="str">
        <f>IFERROR(__xludf.DUMMYFUNCTION("""COMPUTED_VALUE"""),"Kerry")</f>
        <v>Kerry</v>
      </c>
      <c r="F9353" t="str">
        <f>IFERROR(__xludf.DUMMYFUNCTION("""COMPUTED_VALUE"""),"LE")</f>
        <v>LE</v>
      </c>
      <c r="G9353" t="str">
        <f>IFERROR(__xludf.DUMMYFUNCTION("""COMPUTED_VALUE"""),"")</f>
        <v/>
      </c>
    </row>
    <row r="9354">
      <c r="D9354" t="str">
        <f>IFERROR(__xludf.DUMMYFUNCTION("""COMPUTED_VALUE"""),"Ximines")</f>
        <v>Ximines</v>
      </c>
      <c r="E9354" t="str">
        <f>IFERROR(__xludf.DUMMYFUNCTION("""COMPUTED_VALUE"""),"Oshane")</f>
        <v>Oshane</v>
      </c>
      <c r="F9354" t="str">
        <f>IFERROR(__xludf.DUMMYFUNCTION("""COMPUTED_VALUE"""),"ROLB")</f>
        <v>ROLB</v>
      </c>
      <c r="G9354" t="str">
        <f>IFERROR(__xludf.DUMMYFUNCTION("""COMPUTED_VALUE"""),"")</f>
        <v/>
      </c>
    </row>
    <row r="9355">
      <c r="D9355" t="str">
        <f>IFERROR(__xludf.DUMMYFUNCTION("""COMPUTED_VALUE"""),"Ya-Sin")</f>
        <v>Ya-Sin</v>
      </c>
      <c r="E9355" t="str">
        <f>IFERROR(__xludf.DUMMYFUNCTION("""COMPUTED_VALUE"""),"Rock")</f>
        <v>Rock</v>
      </c>
      <c r="F9355" t="str">
        <f>IFERROR(__xludf.DUMMYFUNCTION("""COMPUTED_VALUE"""),"CB")</f>
        <v>CB</v>
      </c>
      <c r="G9355" t="str">
        <f>IFERROR(__xludf.DUMMYFUNCTION("""COMPUTED_VALUE"""),"")</f>
        <v/>
      </c>
    </row>
    <row r="9356">
      <c r="D9356" t="str">
        <f>IFERROR(__xludf.DUMMYFUNCTION("""COMPUTED_VALUE"""),"Yanda")</f>
        <v>Yanda</v>
      </c>
      <c r="E9356" t="str">
        <f>IFERROR(__xludf.DUMMYFUNCTION("""COMPUTED_VALUE"""),"Marshal")</f>
        <v>Marshal</v>
      </c>
      <c r="F9356" t="str">
        <f>IFERROR(__xludf.DUMMYFUNCTION("""COMPUTED_VALUE"""),"RG")</f>
        <v>RG</v>
      </c>
      <c r="G9356" t="str">
        <f>IFERROR(__xludf.DUMMYFUNCTION("""COMPUTED_VALUE"""),"")</f>
        <v/>
      </c>
    </row>
    <row r="9357">
      <c r="D9357" t="str">
        <f>IFERROR(__xludf.DUMMYFUNCTION("""COMPUTED_VALUE"""),"Yarbrough")</f>
        <v>Yarbrough</v>
      </c>
      <c r="E9357" t="str">
        <f>IFERROR(__xludf.DUMMYFUNCTION("""COMPUTED_VALUE"""),"Eddie")</f>
        <v>Eddie</v>
      </c>
      <c r="F9357" t="str">
        <f>IFERROR(__xludf.DUMMYFUNCTION("""COMPUTED_VALUE"""),"RE")</f>
        <v>RE</v>
      </c>
      <c r="G9357" t="str">
        <f>IFERROR(__xludf.DUMMYFUNCTION("""COMPUTED_VALUE"""),"")</f>
        <v/>
      </c>
    </row>
    <row r="9358">
      <c r="D9358" t="str">
        <f>IFERROR(__xludf.DUMMYFUNCTION("""COMPUTED_VALUE"""),"Yelder")</f>
        <v>Yelder</v>
      </c>
      <c r="E9358" t="str">
        <f>IFERROR(__xludf.DUMMYFUNCTION("""COMPUTED_VALUE"""),"Deon")</f>
        <v>Deon</v>
      </c>
      <c r="F9358" t="str">
        <f>IFERROR(__xludf.DUMMYFUNCTION("""COMPUTED_VALUE"""),"TE")</f>
        <v>TE</v>
      </c>
      <c r="G9358" t="str">
        <f>IFERROR(__xludf.DUMMYFUNCTION("""COMPUTED_VALUE"""),"")</f>
        <v/>
      </c>
    </row>
    <row r="9359">
      <c r="D9359" t="str">
        <f>IFERROR(__xludf.DUMMYFUNCTION("""COMPUTED_VALUE"""),"Yeldon")</f>
        <v>Yeldon</v>
      </c>
      <c r="E9359" t="str">
        <f>IFERROR(__xludf.DUMMYFUNCTION("""COMPUTED_VALUE"""),"TJ")</f>
        <v>TJ</v>
      </c>
      <c r="F9359" t="str">
        <f>IFERROR(__xludf.DUMMYFUNCTION("""COMPUTED_VALUE"""),"HB")</f>
        <v>HB</v>
      </c>
      <c r="G9359" t="str">
        <f>IFERROR(__xludf.DUMMYFUNCTION("""COMPUTED_VALUE"""),"")</f>
        <v/>
      </c>
    </row>
    <row r="9360">
      <c r="D9360" t="str">
        <f>IFERROR(__xludf.DUMMYFUNCTION("""COMPUTED_VALUE"""),"Yiadom")</f>
        <v>Yiadom</v>
      </c>
      <c r="E9360" t="str">
        <f>IFERROR(__xludf.DUMMYFUNCTION("""COMPUTED_VALUE"""),"Isaac")</f>
        <v>Isaac</v>
      </c>
      <c r="F9360" t="str">
        <f>IFERROR(__xludf.DUMMYFUNCTION("""COMPUTED_VALUE"""),"CB")</f>
        <v>CB</v>
      </c>
      <c r="G9360" t="str">
        <f>IFERROR(__xludf.DUMMYFUNCTION("""COMPUTED_VALUE"""),"")</f>
        <v/>
      </c>
    </row>
    <row r="9361">
      <c r="D9361" t="str">
        <f>IFERROR(__xludf.DUMMYFUNCTION("""COMPUTED_VALUE"""),"Young")</f>
        <v>Young</v>
      </c>
      <c r="E9361" t="str">
        <f>IFERROR(__xludf.DUMMYFUNCTION("""COMPUTED_VALUE"""),"Kenny")</f>
        <v>Kenny</v>
      </c>
      <c r="F9361" t="str">
        <f>IFERROR(__xludf.DUMMYFUNCTION("""COMPUTED_VALUE"""),"MLB")</f>
        <v>MLB</v>
      </c>
      <c r="G9361" t="str">
        <f>IFERROR(__xludf.DUMMYFUNCTION("""COMPUTED_VALUE"""),"")</f>
        <v/>
      </c>
    </row>
    <row r="9362">
      <c r="D9362" t="str">
        <f>IFERROR(__xludf.DUMMYFUNCTION("""COMPUTED_VALUE"""),"Young")</f>
        <v>Young</v>
      </c>
      <c r="E9362" t="str">
        <f>IFERROR(__xludf.DUMMYFUNCTION("""COMPUTED_VALUE"""),"Tavon")</f>
        <v>Tavon</v>
      </c>
      <c r="F9362" t="str">
        <f>IFERROR(__xludf.DUMMYFUNCTION("""COMPUTED_VALUE"""),"CB")</f>
        <v>CB</v>
      </c>
      <c r="G9362" t="str">
        <f>IFERROR(__xludf.DUMMYFUNCTION("""COMPUTED_VALUE"""),"")</f>
        <v/>
      </c>
    </row>
    <row r="9363">
      <c r="D9363" t="str">
        <f>IFERROR(__xludf.DUMMYFUNCTION("""COMPUTED_VALUE"""),"Young")</f>
        <v>Young</v>
      </c>
      <c r="E9363" t="str">
        <f>IFERROR(__xludf.DUMMYFUNCTION("""COMPUTED_VALUE"""),"Trevon")</f>
        <v>Trevon</v>
      </c>
      <c r="F9363" t="str">
        <f>IFERROR(__xludf.DUMMYFUNCTION("""COMPUTED_VALUE"""),"LOLB")</f>
        <v>LOLB</v>
      </c>
      <c r="G9363" t="str">
        <f>IFERROR(__xludf.DUMMYFUNCTION("""COMPUTED_VALUE"""),"")</f>
        <v/>
      </c>
    </row>
    <row r="9364">
      <c r="D9364" t="str">
        <f>IFERROR(__xludf.DUMMYFUNCTION("""COMPUTED_VALUE"""),"Zeitler")</f>
        <v>Zeitler</v>
      </c>
      <c r="E9364" t="str">
        <f>IFERROR(__xludf.DUMMYFUNCTION("""COMPUTED_VALUE"""),"Kevin")</f>
        <v>Kevin</v>
      </c>
      <c r="F9364" t="str">
        <f>IFERROR(__xludf.DUMMYFUNCTION("""COMPUTED_VALUE"""),"RG")</f>
        <v>RG</v>
      </c>
      <c r="G9364" t="str">
        <f>IFERROR(__xludf.DUMMYFUNCTION("""COMPUTED_VALUE"""),"")</f>
        <v/>
      </c>
    </row>
    <row r="9365">
      <c r="D9365" t="str">
        <f>IFERROR(__xludf.DUMMYFUNCTION("""COMPUTED_VALUE"""),"Zenner")</f>
        <v>Zenner</v>
      </c>
      <c r="E9365" t="str">
        <f>IFERROR(__xludf.DUMMYFUNCTION("""COMPUTED_VALUE"""),"Zach")</f>
        <v>Zach</v>
      </c>
      <c r="F9365" t="str">
        <f>IFERROR(__xludf.DUMMYFUNCTION("""COMPUTED_VALUE"""),"HB")</f>
        <v>HB</v>
      </c>
      <c r="G9365" t="str">
        <f>IFERROR(__xludf.DUMMYFUNCTION("""COMPUTED_VALUE"""),"")</f>
        <v/>
      </c>
    </row>
    <row r="9366">
      <c r="D9366" t="str">
        <f>IFERROR(__xludf.DUMMYFUNCTION("""COMPUTED_VALUE"""),"Zettel")</f>
        <v>Zettel</v>
      </c>
      <c r="E9366" t="str">
        <f>IFERROR(__xludf.DUMMYFUNCTION("""COMPUTED_VALUE"""),"Anthony")</f>
        <v>Anthony</v>
      </c>
      <c r="F9366" t="str">
        <f>IFERROR(__xludf.DUMMYFUNCTION("""COMPUTED_VALUE"""),"RE")</f>
        <v>RE</v>
      </c>
      <c r="G9366" t="str">
        <f>IFERROR(__xludf.DUMMYFUNCTION("""COMPUTED_VALUE"""),"")</f>
        <v/>
      </c>
    </row>
    <row r="9367">
      <c r="D9367" t="str">
        <f>IFERROR(__xludf.DUMMYFUNCTION("""COMPUTED_VALUE"""),"Zimmer")</f>
        <v>Zimmer</v>
      </c>
      <c r="E9367" t="str">
        <f>IFERROR(__xludf.DUMMYFUNCTION("""COMPUTED_VALUE"""),"Justin")</f>
        <v>Justin</v>
      </c>
      <c r="F9367" t="str">
        <f>IFERROR(__xludf.DUMMYFUNCTION("""COMPUTED_VALUE"""),"DT")</f>
        <v>DT</v>
      </c>
      <c r="G9367" t="str">
        <f>IFERROR(__xludf.DUMMYFUNCTION("""COMPUTED_VALUE"""),"")</f>
        <v/>
      </c>
    </row>
    <row r="9368">
      <c r="D9368" t="str">
        <f>IFERROR(__xludf.DUMMYFUNCTION("""COMPUTED_VALUE"""),"Zuerlein")</f>
        <v>Zuerlein</v>
      </c>
      <c r="E9368" t="str">
        <f>IFERROR(__xludf.DUMMYFUNCTION("""COMPUTED_VALUE"""),"Greg")</f>
        <v>Greg</v>
      </c>
      <c r="F9368" t="str">
        <f>IFERROR(__xludf.DUMMYFUNCTION("""COMPUTED_VALUE"""),"K")</f>
        <v>K</v>
      </c>
      <c r="G9368" t="str">
        <f>IFERROR(__xludf.DUMMYFUNCTION("""COMPUTED_VALUE"""),"")</f>
        <v/>
      </c>
    </row>
    <row r="9369">
      <c r="D9369" t="str">
        <f>IFERROR(__xludf.DUMMYFUNCTION("""COMPUTED_VALUE"""),"Zylstra")</f>
        <v>Zylstra</v>
      </c>
      <c r="E9369" t="str">
        <f>IFERROR(__xludf.DUMMYFUNCTION("""COMPUTED_VALUE"""),"Brandon")</f>
        <v>Brandon</v>
      </c>
      <c r="F9369" t="str">
        <f>IFERROR(__xludf.DUMMYFUNCTION("""COMPUTED_VALUE"""),"WR")</f>
        <v>WR</v>
      </c>
      <c r="G9369" t="str">
        <f>IFERROR(__xludf.DUMMYFUNCTION("""COMPUTED_VALUE"""),"")</f>
        <v/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75"/>
  <sheetData>
    <row r="1">
      <c r="A1" t="str">
        <f>IFERROR(__xludf.DUMMYFUNCTION("FILTER('Copy of MK.Testing'!D2:G1000,'Copy of MK.Testing'!D2:D1000=""Jones"",'Copy of MK.Testing'!E2:E1000=""Chris"")"),"Jones")</f>
        <v>Jones</v>
      </c>
      <c r="B1" t="str">
        <f>IFERROR(__xludf.DUMMYFUNCTION("""COMPUTED_VALUE"""),"Chris")</f>
        <v>Chris</v>
      </c>
      <c r="C1" t="str">
        <f>IFERROR(__xludf.DUMMYFUNCTION("""COMPUTED_VALUE"""),"P")</f>
        <v>P</v>
      </c>
      <c r="D1">
        <f>IFERROR(__xludf.DUMMYFUNCTION("""COMPUTED_VALUE"""),12.299999999999999)</f>
        <v>12.3</v>
      </c>
      <c r="F1" s="13" t="s">
        <v>2504</v>
      </c>
    </row>
    <row r="2">
      <c r="A2" t="str">
        <f>IFERROR(__xludf.DUMMYFUNCTION("""COMPUTED_VALUE"""),"Jones")</f>
        <v>Jones</v>
      </c>
      <c r="B2" t="str">
        <f>IFERROR(__xludf.DUMMYFUNCTION("""COMPUTED_VALUE"""),"Chris")</f>
        <v>Chris</v>
      </c>
      <c r="C2" t="str">
        <f>IFERROR(__xludf.DUMMYFUNCTION("""COMPUTED_VALUE"""),"LE")</f>
        <v>LE</v>
      </c>
      <c r="D2">
        <f>IFERROR(__xludf.DUMMYFUNCTION("""COMPUTED_VALUE"""),10.799999999999999)</f>
        <v>10.8</v>
      </c>
      <c r="F2" s="13" t="s">
        <v>2505</v>
      </c>
    </row>
    <row r="3">
      <c r="A3" t="str">
        <f>IFERROR(__xludf.DUMMYFUNCTION("""COMPUTED_VALUE"""),"Jones")</f>
        <v>Jones</v>
      </c>
      <c r="B3" t="str">
        <f>IFERROR(__xludf.DUMMYFUNCTION("""COMPUTED_VALUE"""),"Chris")</f>
        <v>Chris</v>
      </c>
      <c r="C3" t="str">
        <f>IFERROR(__xludf.DUMMYFUNCTION("""COMPUTED_VALUE"""),"DT")</f>
        <v>DT</v>
      </c>
      <c r="D3">
        <f>IFERROR(__xludf.DUMMYFUNCTION("""COMPUTED_VALUE"""),9.75)</f>
        <v>9.75</v>
      </c>
      <c r="F3" s="13" t="s">
        <v>2506</v>
      </c>
    </row>
    <row r="4">
      <c r="A4" t="str">
        <f>IFERROR(__xludf.DUMMYFUNCTION("""COMPUTED_VALUE"""),"Jones")</f>
        <v>Jones</v>
      </c>
      <c r="B4" t="str">
        <f>IFERROR(__xludf.DUMMYFUNCTION("""COMPUTED_VALUE"""),"Chris")</f>
        <v>Chris</v>
      </c>
      <c r="C4" t="str">
        <f>IFERROR(__xludf.DUMMYFUNCTION("""COMPUTED_VALUE"""),"RE")</f>
        <v>RE</v>
      </c>
      <c r="D4">
        <f>IFERROR(__xludf.DUMMYFUNCTION("""COMPUTED_VALUE"""),12.200000000000001)</f>
        <v>12.2</v>
      </c>
      <c r="F4" s="13" t="s">
        <v>2507</v>
      </c>
    </row>
    <row r="5">
      <c r="A5" t="str">
        <f>IFERROR(__xludf.DUMMYFUNCTION("""COMPUTED_VALUE"""),"Jones")</f>
        <v>Jones</v>
      </c>
      <c r="B5" t="str">
        <f>IFERROR(__xludf.DUMMYFUNCTION("""COMPUTED_VALUE"""),"Chris")</f>
        <v>Chris</v>
      </c>
      <c r="C5" t="str">
        <f>IFERROR(__xludf.DUMMYFUNCTION("""COMPUTED_VALUE"""),"RE")</f>
        <v>RE</v>
      </c>
      <c r="D5">
        <f>IFERROR(__xludf.DUMMYFUNCTION("""COMPUTED_VALUE"""),16.8)</f>
        <v>16.8</v>
      </c>
      <c r="F5" s="13" t="s">
        <v>2508</v>
      </c>
    </row>
    <row r="6">
      <c r="A6" t="str">
        <f>IFERROR(__xludf.DUMMYFUNCTION("""COMPUTED_VALUE"""),"Jones")</f>
        <v>Jones</v>
      </c>
      <c r="B6" t="str">
        <f>IFERROR(__xludf.DUMMYFUNCTION("""COMPUTED_VALUE"""),"Chris")</f>
        <v>Chris</v>
      </c>
      <c r="C6" t="str">
        <f>IFERROR(__xludf.DUMMYFUNCTION("""COMPUTED_VALUE"""),"P")</f>
        <v>P</v>
      </c>
      <c r="D6">
        <f>IFERROR(__xludf.DUMMYFUNCTION("""COMPUTED_VALUE"""),16.6)</f>
        <v>16.6</v>
      </c>
    </row>
    <row r="7">
      <c r="A7" t="str">
        <f>IFERROR(__xludf.DUMMYFUNCTION("""COMPUTED_VALUE"""),"Jones")</f>
        <v>Jones</v>
      </c>
      <c r="B7" t="str">
        <f>IFERROR(__xludf.DUMMYFUNCTION("""COMPUTED_VALUE"""),"Chris")</f>
        <v>Chris</v>
      </c>
      <c r="C7" t="str">
        <f>IFERROR(__xludf.DUMMYFUNCTION("""COMPUTED_VALUE"""),"DAL")</f>
        <v>DAL</v>
      </c>
      <c r="D7">
        <f>IFERROR(__xludf.DUMMYFUNCTION("""COMPUTED_VALUE"""),21.0)</f>
        <v>21</v>
      </c>
    </row>
    <row r="8">
      <c r="A8" t="str">
        <f>IFERROR(__xludf.DUMMYFUNCTION("""COMPUTED_VALUE"""),"Jones")</f>
        <v>Jones</v>
      </c>
      <c r="B8" t="str">
        <f>IFERROR(__xludf.DUMMYFUNCTION("""COMPUTED_VALUE"""),"Chris")</f>
        <v>Chris</v>
      </c>
      <c r="C8" t="str">
        <f>IFERROR(__xludf.DUMMYFUNCTION("""COMPUTED_VALUE"""),"KC")</f>
        <v>KC</v>
      </c>
      <c r="D8">
        <f>IFERROR(__xludf.DUMMYFUNCTION("""COMPUTED_VALUE"""),20.5)</f>
        <v>20.5</v>
      </c>
      <c r="F8" s="24" t="s">
        <v>2509</v>
      </c>
    </row>
    <row r="9">
      <c r="A9" t="str">
        <f>IFERROR(__xludf.DUMMYFUNCTION("""COMPUTED_VALUE"""),"Jones")</f>
        <v>Jones</v>
      </c>
      <c r="B9" t="str">
        <f>IFERROR(__xludf.DUMMYFUNCTION("""COMPUTED_VALUE"""),"Chris")</f>
        <v>Chris</v>
      </c>
      <c r="C9" t="str">
        <f>IFERROR(__xludf.DUMMYFUNCTION("""COMPUTED_VALUE"""),"KC")</f>
        <v>KC</v>
      </c>
      <c r="D9">
        <f>IFERROR(__xludf.DUMMYFUNCTION("""COMPUTED_VALUE"""),21.75)</f>
        <v>21.75</v>
      </c>
      <c r="F9" s="15" t="s">
        <v>2510</v>
      </c>
    </row>
    <row r="10">
      <c r="A10" t="str">
        <f>IFERROR(__xludf.DUMMYFUNCTION("""COMPUTED_VALUE"""),"Jones")</f>
        <v>Jones</v>
      </c>
      <c r="B10" t="str">
        <f>IFERROR(__xludf.DUMMYFUNCTION("""COMPUTED_VALUE"""),"Chris")</f>
        <v>Chris</v>
      </c>
      <c r="C10" t="str">
        <f>IFERROR(__xludf.DUMMYFUNCTION("""COMPUTED_VALUE"""),"DT")</f>
        <v>DT</v>
      </c>
      <c r="D10" t="str">
        <f>IFERROR(__xludf.DUMMYFUNCTION("""COMPUTED_VALUE"""),"")</f>
        <v/>
      </c>
      <c r="H10" s="15" t="s">
        <v>2511</v>
      </c>
    </row>
    <row r="11">
      <c r="A11" t="str">
        <f>IFERROR(__xludf.DUMMYFUNCTION("""COMPUTED_VALUE"""),"Jones")</f>
        <v>Jones</v>
      </c>
      <c r="B11" t="str">
        <f>IFERROR(__xludf.DUMMYFUNCTION("""COMPUTED_VALUE"""),"Chris")</f>
        <v>Chris</v>
      </c>
      <c r="C11" t="str">
        <f>IFERROR(__xludf.DUMMYFUNCTION("""COMPUTED_VALUE"""),"P")</f>
        <v>P</v>
      </c>
      <c r="D11" t="str">
        <f>IFERROR(__xludf.DUMMYFUNCTION("""COMPUTED_VALUE"""),"")</f>
        <v/>
      </c>
    </row>
    <row r="12">
      <c r="A12" t="str">
        <f>IFERROR(__xludf.DUMMYFUNCTION("""COMPUTED_VALUE"""),"Jones")</f>
        <v>Jones</v>
      </c>
      <c r="B12" t="str">
        <f>IFERROR(__xludf.DUMMYFUNCTION("""COMPUTED_VALUE"""),"Chris")</f>
        <v>Chris</v>
      </c>
      <c r="C12" t="str">
        <f>IFERROR(__xludf.DUMMYFUNCTION("""COMPUTED_VALUE"""),"CB")</f>
        <v>CB</v>
      </c>
      <c r="D12" t="str">
        <f>IFERROR(__xludf.DUMMYFUNCTION("""COMPUTED_VALUE"""),"")</f>
        <v/>
      </c>
      <c r="F12" s="13" t="s">
        <v>2512</v>
      </c>
    </row>
    <row r="13">
      <c r="F13" s="13" t="s">
        <v>2513</v>
      </c>
    </row>
    <row r="14">
      <c r="F14" s="13" t="s">
        <v>2514</v>
      </c>
    </row>
    <row r="15">
      <c r="F15" s="13" t="s">
        <v>2515</v>
      </c>
    </row>
    <row r="16">
      <c r="F16" s="13" t="s">
        <v>2516</v>
      </c>
    </row>
    <row r="17">
      <c r="F17" s="25"/>
    </row>
    <row r="18">
      <c r="F18" s="13" t="s">
        <v>2517</v>
      </c>
      <c r="K18" s="15" t="s">
        <v>2518</v>
      </c>
    </row>
    <row r="19">
      <c r="F19" s="13" t="s">
        <v>2519</v>
      </c>
      <c r="K19" s="15" t="s">
        <v>2520</v>
      </c>
    </row>
    <row r="20">
      <c r="F20" s="13" t="s">
        <v>2521</v>
      </c>
      <c r="K20" s="15" t="s">
        <v>2522</v>
      </c>
    </row>
    <row r="21">
      <c r="F21" s="13" t="s">
        <v>2523</v>
      </c>
      <c r="K21" s="15" t="s">
        <v>2524</v>
      </c>
    </row>
    <row r="22">
      <c r="F22" s="13" t="s">
        <v>2525</v>
      </c>
      <c r="K22" s="15" t="s">
        <v>2526</v>
      </c>
    </row>
    <row r="23">
      <c r="F23" s="25"/>
      <c r="K23" s="15" t="s">
        <v>2527</v>
      </c>
    </row>
    <row r="24">
      <c r="F24" s="13" t="s">
        <v>2528</v>
      </c>
    </row>
    <row r="25">
      <c r="F25" s="13" t="s">
        <v>2529</v>
      </c>
      <c r="K25" s="15" t="s">
        <v>2530</v>
      </c>
    </row>
    <row r="26">
      <c r="F26" s="13" t="s">
        <v>2531</v>
      </c>
      <c r="K26" s="15" t="s">
        <v>2532</v>
      </c>
    </row>
    <row r="27">
      <c r="F27" s="13" t="s">
        <v>2533</v>
      </c>
      <c r="K27" s="15" t="s">
        <v>2534</v>
      </c>
    </row>
    <row r="28">
      <c r="F28" s="13" t="s">
        <v>2535</v>
      </c>
      <c r="K28" s="15" t="s">
        <v>2536</v>
      </c>
    </row>
    <row r="29">
      <c r="F29" s="13" t="s">
        <v>2537</v>
      </c>
      <c r="K29" s="15" t="s">
        <v>2538</v>
      </c>
    </row>
    <row r="30">
      <c r="F30" s="13" t="s">
        <v>2539</v>
      </c>
      <c r="K30" s="15" t="s">
        <v>2540</v>
      </c>
    </row>
    <row r="31">
      <c r="F31" s="13" t="s">
        <v>2541</v>
      </c>
      <c r="K31" s="15" t="s">
        <v>2542</v>
      </c>
    </row>
    <row r="32">
      <c r="K32" s="15" t="s">
        <v>2543</v>
      </c>
    </row>
    <row r="33">
      <c r="K33" s="15" t="s">
        <v>2544</v>
      </c>
    </row>
    <row r="34">
      <c r="K34" s="15" t="s">
        <v>2545</v>
      </c>
    </row>
    <row r="35">
      <c r="K35" s="15" t="s">
        <v>2546</v>
      </c>
    </row>
    <row r="36">
      <c r="K36" s="15" t="s">
        <v>2547</v>
      </c>
    </row>
    <row r="37">
      <c r="K37" s="15" t="s">
        <v>2548</v>
      </c>
    </row>
    <row r="38">
      <c r="K38" s="15" t="s">
        <v>2549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8.29"/>
    <col customWidth="1" min="2" max="2" width="14.29"/>
    <col customWidth="1" min="3" max="3" width="7.14"/>
    <col customWidth="1" min="4" max="4" width="6.0"/>
    <col customWidth="1" min="5" max="5" width="9.0"/>
    <col customWidth="1" min="6" max="6" width="7.14"/>
    <col customWidth="1" min="8" max="8" width="18.29"/>
    <col customWidth="1" min="9" max="9" width="13.29"/>
    <col customWidth="1" min="10" max="10" width="9.0"/>
    <col customWidth="1" min="11" max="11" width="7.14"/>
    <col customWidth="1" min="13" max="13" width="18.29"/>
    <col customWidth="1" min="14" max="14" width="13.14"/>
    <col customWidth="1" min="15" max="15" width="7.14"/>
    <col customWidth="1" min="16" max="16" width="9.0"/>
    <col customWidth="1" min="17" max="17" width="7.14"/>
    <col customWidth="1" min="19" max="19" width="18.29"/>
    <col customWidth="1" min="20" max="20" width="14.57"/>
    <col customWidth="1" min="21" max="21" width="7.14"/>
    <col customWidth="1" min="22" max="22" width="9.0"/>
    <col customWidth="1" min="23" max="23" width="7.14"/>
  </cols>
  <sheetData>
    <row r="1">
      <c r="F1" s="23"/>
      <c r="H1" s="8"/>
      <c r="I1" s="8"/>
      <c r="J1" s="8"/>
      <c r="K1" s="16"/>
      <c r="Q1" s="23"/>
    </row>
    <row r="2">
      <c r="F2" s="23"/>
      <c r="H2" s="8"/>
      <c r="I2" s="8"/>
      <c r="J2" s="8"/>
      <c r="K2" s="16"/>
      <c r="Q2" s="23"/>
    </row>
    <row r="3">
      <c r="F3" s="23"/>
      <c r="H3" s="8"/>
      <c r="I3" s="8"/>
      <c r="J3" s="8"/>
      <c r="K3" s="16"/>
      <c r="Q3" s="23"/>
    </row>
    <row r="4">
      <c r="F4" s="23"/>
      <c r="H4" s="8"/>
      <c r="I4" s="8"/>
      <c r="J4" s="8"/>
      <c r="K4" s="16"/>
      <c r="Q4" s="23"/>
    </row>
    <row r="5">
      <c r="F5" s="23"/>
      <c r="H5" s="8"/>
      <c r="I5" s="8"/>
      <c r="J5" s="8"/>
      <c r="K5" s="16"/>
      <c r="Q5" s="23"/>
    </row>
    <row r="6">
      <c r="F6" s="23"/>
      <c r="H6" s="8"/>
      <c r="I6" s="8"/>
      <c r="J6" s="8"/>
      <c r="K6" s="16"/>
      <c r="Q6" s="23"/>
      <c r="S6" s="8"/>
      <c r="T6" s="8"/>
    </row>
    <row r="7">
      <c r="F7" s="23"/>
      <c r="H7" s="8"/>
      <c r="I7" s="8"/>
      <c r="J7" s="8"/>
      <c r="K7" s="16"/>
      <c r="Q7" s="23"/>
      <c r="S7" s="8"/>
      <c r="T7" s="8"/>
    </row>
    <row r="8">
      <c r="F8" s="23"/>
      <c r="H8" s="8"/>
      <c r="I8" s="8"/>
      <c r="J8" s="8"/>
      <c r="K8" s="16"/>
      <c r="Q8" s="23"/>
      <c r="S8" s="8"/>
      <c r="T8" s="8"/>
    </row>
    <row r="9">
      <c r="F9" s="23"/>
      <c r="H9" s="8"/>
      <c r="I9" s="8"/>
      <c r="J9" s="8"/>
      <c r="K9" s="16"/>
      <c r="Q9" s="23"/>
      <c r="S9" s="8"/>
      <c r="T9" s="8"/>
    </row>
    <row r="10">
      <c r="F10" s="23"/>
      <c r="H10" s="8"/>
      <c r="I10" s="8"/>
      <c r="J10" s="8"/>
      <c r="K10" s="16"/>
      <c r="Q10" s="23"/>
      <c r="S10" s="8"/>
      <c r="T10" s="8"/>
    </row>
    <row r="11">
      <c r="F11" s="23"/>
      <c r="H11" s="8"/>
      <c r="I11" s="8"/>
      <c r="J11" s="8"/>
      <c r="K11" s="16"/>
      <c r="Q11" s="23"/>
      <c r="S11" s="8"/>
      <c r="T11" s="8"/>
      <c r="U11" s="8"/>
      <c r="V11" s="8"/>
      <c r="W11" s="16"/>
    </row>
    <row r="12">
      <c r="F12" s="23"/>
      <c r="H12" s="8"/>
      <c r="I12" s="8"/>
      <c r="J12" s="8"/>
      <c r="K12" s="16"/>
      <c r="Q12" s="23"/>
      <c r="S12" s="8"/>
      <c r="T12" s="8"/>
      <c r="U12" s="8"/>
      <c r="V12" s="8"/>
      <c r="W12" s="16"/>
    </row>
    <row r="13">
      <c r="F13" s="23"/>
      <c r="H13" s="8"/>
      <c r="I13" s="8"/>
      <c r="J13" s="8"/>
      <c r="K13" s="16"/>
      <c r="Q13" s="23"/>
      <c r="S13" s="8"/>
      <c r="T13" s="8"/>
      <c r="U13" s="8"/>
      <c r="V13" s="8"/>
      <c r="W13" s="16"/>
    </row>
    <row r="14">
      <c r="F14" s="23"/>
      <c r="H14" s="8"/>
      <c r="I14" s="8"/>
      <c r="J14" s="8"/>
      <c r="K14" s="16"/>
      <c r="Q14" s="23"/>
      <c r="S14" s="8"/>
      <c r="T14" s="8"/>
      <c r="U14" s="8"/>
      <c r="V14" s="8"/>
      <c r="W14" s="16"/>
    </row>
    <row r="15">
      <c r="F15" s="23"/>
      <c r="H15" s="8"/>
      <c r="I15" s="8"/>
      <c r="J15" s="8"/>
      <c r="K15" s="16"/>
      <c r="Q15" s="23"/>
      <c r="S15" s="8"/>
      <c r="T15" s="8"/>
      <c r="U15" s="8"/>
      <c r="V15" s="8"/>
      <c r="W15" s="16"/>
    </row>
    <row r="16">
      <c r="F16" s="23"/>
      <c r="H16" s="8"/>
      <c r="I16" s="8"/>
      <c r="J16" s="8"/>
      <c r="K16" s="16"/>
      <c r="Q16" s="23"/>
      <c r="S16" s="8"/>
      <c r="T16" s="8"/>
      <c r="U16" s="8"/>
      <c r="V16" s="8"/>
      <c r="W16" s="16"/>
    </row>
    <row r="17">
      <c r="F17" s="23"/>
      <c r="H17" s="8"/>
      <c r="I17" s="8"/>
      <c r="J17" s="8"/>
      <c r="K17" s="16"/>
      <c r="Q17" s="23"/>
      <c r="S17" s="8"/>
      <c r="T17" s="8"/>
      <c r="U17" s="8"/>
      <c r="V17" s="8"/>
      <c r="W17" s="16"/>
    </row>
    <row r="18">
      <c r="F18" s="23"/>
      <c r="H18" s="8"/>
      <c r="I18" s="8"/>
      <c r="J18" s="8"/>
      <c r="K18" s="16"/>
      <c r="Q18" s="23"/>
      <c r="S18" s="8"/>
      <c r="T18" s="8"/>
      <c r="U18" s="8"/>
      <c r="V18" s="8"/>
      <c r="W18" s="16"/>
    </row>
    <row r="19">
      <c r="F19" s="23"/>
      <c r="H19" s="8"/>
      <c r="I19" s="8"/>
      <c r="J19" s="8"/>
      <c r="K19" s="16"/>
      <c r="Q19" s="23"/>
      <c r="S19" s="8"/>
      <c r="T19" s="8"/>
      <c r="U19" s="8"/>
      <c r="V19" s="8"/>
      <c r="W19" s="16"/>
    </row>
    <row r="20">
      <c r="F20" s="23"/>
      <c r="H20" s="8"/>
      <c r="I20" s="8"/>
      <c r="J20" s="8"/>
      <c r="K20" s="16"/>
      <c r="Q20" s="23"/>
      <c r="S20" s="8"/>
      <c r="T20" s="8"/>
      <c r="U20" s="8"/>
      <c r="V20" s="8"/>
      <c r="W20" s="16"/>
    </row>
    <row r="21">
      <c r="F21" s="23"/>
      <c r="H21" s="8"/>
      <c r="I21" s="8"/>
      <c r="J21" s="8"/>
      <c r="K21" s="16"/>
      <c r="Q21" s="23"/>
      <c r="S21" s="8"/>
      <c r="T21" s="8"/>
      <c r="U21" s="8"/>
      <c r="V21" s="8"/>
      <c r="W21" s="16"/>
    </row>
    <row r="22">
      <c r="F22" s="23"/>
      <c r="H22" s="8"/>
      <c r="I22" s="8"/>
      <c r="J22" s="8"/>
      <c r="K22" s="16"/>
      <c r="Q22" s="23"/>
      <c r="S22" s="8"/>
      <c r="T22" s="8"/>
      <c r="U22" s="8"/>
      <c r="V22" s="8"/>
      <c r="W22" s="16"/>
    </row>
    <row r="23">
      <c r="F23" s="23"/>
      <c r="H23" s="8"/>
      <c r="I23" s="8"/>
      <c r="J23" s="8"/>
      <c r="K23" s="16"/>
      <c r="Q23" s="23"/>
      <c r="S23" s="8"/>
      <c r="T23" s="8"/>
      <c r="U23" s="8"/>
      <c r="V23" s="8"/>
      <c r="W23" s="16"/>
    </row>
    <row r="24">
      <c r="F24" s="23"/>
      <c r="H24" s="8"/>
      <c r="I24" s="8"/>
      <c r="J24" s="8"/>
      <c r="K24" s="16"/>
      <c r="Q24" s="23"/>
      <c r="S24" s="8"/>
      <c r="T24" s="8"/>
      <c r="U24" s="8"/>
      <c r="V24" s="8"/>
      <c r="W24" s="16"/>
    </row>
    <row r="25">
      <c r="F25" s="23"/>
      <c r="H25" s="8"/>
      <c r="I25" s="8"/>
      <c r="J25" s="8"/>
      <c r="K25" s="16"/>
      <c r="Q25" s="23"/>
      <c r="S25" s="8"/>
      <c r="T25" s="8"/>
      <c r="U25" s="8"/>
      <c r="V25" s="8"/>
      <c r="W25" s="16"/>
    </row>
    <row r="26">
      <c r="F26" s="23"/>
      <c r="H26" s="8"/>
      <c r="I26" s="8"/>
      <c r="J26" s="8"/>
      <c r="K26" s="16"/>
      <c r="Q26" s="23"/>
      <c r="S26" s="8"/>
      <c r="T26" s="8"/>
      <c r="U26" s="8"/>
      <c r="V26" s="8"/>
      <c r="W26" s="16"/>
    </row>
    <row r="27">
      <c r="F27" s="23"/>
      <c r="H27" s="8"/>
      <c r="I27" s="8"/>
      <c r="J27" s="8"/>
      <c r="K27" s="16"/>
      <c r="Q27" s="23"/>
      <c r="S27" s="8"/>
      <c r="T27" s="8"/>
      <c r="U27" s="8"/>
      <c r="V27" s="8"/>
      <c r="W27" s="16"/>
    </row>
    <row r="28">
      <c r="F28" s="23"/>
      <c r="H28" s="8"/>
      <c r="I28" s="8"/>
      <c r="J28" s="8"/>
      <c r="K28" s="16"/>
      <c r="Q28" s="23"/>
      <c r="S28" s="8"/>
      <c r="T28" s="8"/>
      <c r="U28" s="8"/>
      <c r="V28" s="8"/>
      <c r="W28" s="16"/>
    </row>
    <row r="29">
      <c r="F29" s="23"/>
      <c r="H29" s="8"/>
      <c r="I29" s="8"/>
      <c r="J29" s="8"/>
      <c r="K29" s="16"/>
      <c r="Q29" s="23"/>
      <c r="S29" s="8"/>
      <c r="T29" s="8"/>
      <c r="U29" s="8"/>
      <c r="V29" s="8"/>
      <c r="W29" s="16"/>
    </row>
    <row r="30">
      <c r="F30" s="23"/>
      <c r="H30" s="8"/>
      <c r="I30" s="8"/>
      <c r="J30" s="8"/>
      <c r="K30" s="16"/>
      <c r="Q30" s="23"/>
      <c r="S30" s="8"/>
      <c r="T30" s="8"/>
      <c r="U30" s="8"/>
      <c r="V30" s="8"/>
      <c r="W30" s="16"/>
    </row>
    <row r="31">
      <c r="F31" s="23"/>
      <c r="H31" s="8"/>
      <c r="I31" s="8"/>
      <c r="J31" s="8"/>
      <c r="K31" s="16"/>
      <c r="Q31" s="23"/>
      <c r="S31" s="8"/>
      <c r="T31" s="8"/>
      <c r="U31" s="8"/>
      <c r="V31" s="8"/>
      <c r="W31" s="16"/>
    </row>
    <row r="32">
      <c r="F32" s="23"/>
      <c r="H32" s="8"/>
      <c r="I32" s="8"/>
      <c r="J32" s="8"/>
      <c r="K32" s="16"/>
      <c r="Q32" s="23"/>
      <c r="S32" s="8"/>
      <c r="T32" s="8"/>
      <c r="U32" s="8"/>
      <c r="V32" s="8"/>
      <c r="W32" s="16"/>
    </row>
    <row r="33">
      <c r="F33" s="23"/>
      <c r="H33" s="8"/>
      <c r="I33" s="8"/>
      <c r="J33" s="8"/>
      <c r="K33" s="16"/>
      <c r="Q33" s="23"/>
      <c r="S33" s="8"/>
      <c r="T33" s="8"/>
      <c r="U33" s="8"/>
      <c r="V33" s="8"/>
      <c r="W33" s="16"/>
    </row>
    <row r="34">
      <c r="F34" s="23"/>
      <c r="H34" s="8"/>
      <c r="I34" s="8"/>
      <c r="J34" s="8"/>
      <c r="K34" s="16"/>
      <c r="Q34" s="23"/>
      <c r="S34" s="8"/>
      <c r="T34" s="8"/>
      <c r="U34" s="8"/>
      <c r="V34" s="8"/>
      <c r="W34" s="16"/>
    </row>
    <row r="35">
      <c r="F35" s="23"/>
      <c r="H35" s="8"/>
      <c r="I35" s="8"/>
      <c r="J35" s="8"/>
      <c r="K35" s="16"/>
      <c r="Q35" s="23"/>
      <c r="S35" s="8"/>
      <c r="T35" s="8"/>
      <c r="U35" s="8"/>
      <c r="V35" s="8"/>
      <c r="W35" s="16"/>
    </row>
    <row r="36">
      <c r="F36" s="23"/>
      <c r="H36" s="8"/>
      <c r="I36" s="8"/>
      <c r="J36" s="8"/>
      <c r="K36" s="16"/>
      <c r="Q36" s="23"/>
      <c r="S36" s="8"/>
      <c r="T36" s="8"/>
      <c r="U36" s="8"/>
      <c r="V36" s="8"/>
      <c r="W36" s="16"/>
    </row>
    <row r="37">
      <c r="F37" s="23"/>
      <c r="H37" s="8"/>
      <c r="I37" s="8"/>
      <c r="J37" s="8"/>
      <c r="K37" s="16"/>
      <c r="Q37" s="23"/>
      <c r="S37" s="8"/>
      <c r="T37" s="8"/>
      <c r="U37" s="8"/>
      <c r="V37" s="8"/>
      <c r="W37" s="16"/>
    </row>
    <row r="38">
      <c r="F38" s="23"/>
      <c r="H38" s="8"/>
      <c r="I38" s="8"/>
      <c r="J38" s="8"/>
      <c r="K38" s="16"/>
      <c r="Q38" s="23"/>
      <c r="S38" s="8"/>
      <c r="T38" s="8"/>
      <c r="U38" s="8"/>
      <c r="V38" s="8"/>
      <c r="W38" s="16"/>
    </row>
    <row r="39">
      <c r="F39" s="23"/>
      <c r="H39" s="8"/>
      <c r="I39" s="8"/>
      <c r="J39" s="8"/>
      <c r="K39" s="16"/>
      <c r="Q39" s="23"/>
      <c r="S39" s="8"/>
      <c r="T39" s="8"/>
      <c r="U39" s="8"/>
      <c r="V39" s="8"/>
      <c r="W39" s="16"/>
    </row>
    <row r="40">
      <c r="F40" s="23"/>
      <c r="H40" s="8"/>
      <c r="I40" s="8"/>
      <c r="J40" s="8"/>
      <c r="K40" s="16"/>
      <c r="Q40" s="23"/>
      <c r="S40" s="8"/>
      <c r="T40" s="8"/>
      <c r="U40" s="8"/>
      <c r="V40" s="8"/>
      <c r="W40" s="16"/>
    </row>
    <row r="41">
      <c r="F41" s="23"/>
      <c r="H41" s="8"/>
      <c r="I41" s="8"/>
      <c r="J41" s="8"/>
      <c r="K41" s="16"/>
      <c r="Q41" s="23"/>
      <c r="S41" s="8"/>
      <c r="T41" s="8"/>
      <c r="U41" s="8"/>
      <c r="V41" s="8"/>
      <c r="W41" s="16"/>
    </row>
    <row r="42">
      <c r="F42" s="23"/>
      <c r="H42" s="8"/>
      <c r="I42" s="8"/>
      <c r="J42" s="8"/>
      <c r="K42" s="16"/>
      <c r="Q42" s="23"/>
      <c r="S42" s="8"/>
      <c r="T42" s="8"/>
      <c r="U42" s="8"/>
      <c r="V42" s="8"/>
      <c r="W42" s="16"/>
    </row>
    <row r="43">
      <c r="F43" s="23"/>
      <c r="H43" s="8"/>
      <c r="I43" s="8"/>
      <c r="J43" s="8"/>
      <c r="K43" s="16"/>
      <c r="Q43" s="23"/>
      <c r="S43" s="8"/>
      <c r="T43" s="8"/>
      <c r="U43" s="8"/>
      <c r="V43" s="8"/>
      <c r="W43" s="16"/>
    </row>
    <row r="44">
      <c r="F44" s="23"/>
      <c r="H44" s="8"/>
      <c r="I44" s="8"/>
      <c r="J44" s="8"/>
      <c r="K44" s="16"/>
      <c r="Q44" s="23"/>
      <c r="S44" s="8"/>
      <c r="T44" s="8"/>
      <c r="U44" s="8"/>
      <c r="V44" s="8"/>
      <c r="W44" s="16"/>
    </row>
    <row r="45">
      <c r="F45" s="23"/>
      <c r="H45" s="8"/>
      <c r="I45" s="8"/>
      <c r="J45" s="8"/>
      <c r="K45" s="16"/>
      <c r="Q45" s="23"/>
      <c r="S45" s="8"/>
      <c r="T45" s="8"/>
      <c r="U45" s="8"/>
      <c r="V45" s="8"/>
      <c r="W45" s="16"/>
    </row>
    <row r="46">
      <c r="F46" s="23"/>
      <c r="H46" s="8"/>
      <c r="I46" s="8"/>
      <c r="J46" s="8"/>
      <c r="K46" s="16"/>
      <c r="Q46" s="23"/>
      <c r="S46" s="8"/>
      <c r="T46" s="8"/>
      <c r="U46" s="8"/>
      <c r="V46" s="8"/>
      <c r="W46" s="16"/>
    </row>
    <row r="47">
      <c r="F47" s="23"/>
      <c r="H47" s="8"/>
      <c r="I47" s="8"/>
      <c r="J47" s="8"/>
      <c r="K47" s="16"/>
      <c r="Q47" s="23"/>
      <c r="S47" s="8"/>
      <c r="T47" s="8"/>
      <c r="U47" s="8"/>
      <c r="V47" s="8"/>
      <c r="W47" s="16"/>
    </row>
    <row r="48">
      <c r="F48" s="23"/>
      <c r="H48" s="8"/>
      <c r="I48" s="8"/>
      <c r="J48" s="8"/>
      <c r="K48" s="16"/>
      <c r="Q48" s="23"/>
      <c r="S48" s="8"/>
      <c r="T48" s="8"/>
      <c r="U48" s="8"/>
      <c r="V48" s="8"/>
      <c r="W48" s="16"/>
    </row>
    <row r="49">
      <c r="F49" s="23"/>
      <c r="H49" s="8"/>
      <c r="I49" s="8"/>
      <c r="J49" s="8"/>
      <c r="K49" s="16"/>
      <c r="Q49" s="23"/>
      <c r="S49" s="8"/>
      <c r="T49" s="8"/>
      <c r="U49" s="8"/>
      <c r="V49" s="8"/>
      <c r="W49" s="16"/>
    </row>
    <row r="50">
      <c r="F50" s="23"/>
      <c r="H50" s="8"/>
      <c r="I50" s="8"/>
      <c r="J50" s="8"/>
      <c r="K50" s="16"/>
      <c r="Q50" s="23"/>
      <c r="S50" s="8"/>
      <c r="T50" s="8"/>
      <c r="U50" s="8"/>
      <c r="V50" s="8"/>
      <c r="W50" s="16"/>
    </row>
    <row r="51">
      <c r="F51" s="23"/>
      <c r="H51" s="8"/>
      <c r="I51" s="8"/>
      <c r="J51" s="8"/>
      <c r="K51" s="16"/>
      <c r="Q51" s="23"/>
      <c r="S51" s="8"/>
      <c r="T51" s="8"/>
      <c r="U51" s="8"/>
      <c r="V51" s="8"/>
      <c r="W51" s="16"/>
    </row>
    <row r="52">
      <c r="F52" s="23"/>
      <c r="H52" s="8"/>
      <c r="I52" s="8"/>
      <c r="J52" s="8"/>
      <c r="K52" s="16"/>
      <c r="Q52" s="23"/>
      <c r="S52" s="8"/>
      <c r="T52" s="8"/>
      <c r="U52" s="8"/>
      <c r="V52" s="8"/>
      <c r="W52" s="16"/>
    </row>
    <row r="53">
      <c r="F53" s="23"/>
      <c r="H53" s="8"/>
      <c r="I53" s="8"/>
      <c r="J53" s="8"/>
      <c r="K53" s="16"/>
      <c r="Q53" s="23"/>
      <c r="S53" s="8"/>
      <c r="T53" s="8"/>
      <c r="U53" s="8"/>
      <c r="V53" s="8"/>
      <c r="W53" s="16"/>
    </row>
    <row r="54">
      <c r="F54" s="23"/>
      <c r="H54" s="8"/>
      <c r="I54" s="8"/>
      <c r="J54" s="8"/>
      <c r="K54" s="16"/>
      <c r="Q54" s="23"/>
      <c r="S54" s="8"/>
      <c r="T54" s="8"/>
      <c r="U54" s="8"/>
      <c r="V54" s="8"/>
      <c r="W54" s="16"/>
    </row>
    <row r="55">
      <c r="F55" s="23"/>
      <c r="H55" s="8"/>
      <c r="I55" s="8"/>
      <c r="J55" s="8"/>
      <c r="K55" s="16"/>
      <c r="Q55" s="23"/>
      <c r="S55" s="8"/>
      <c r="T55" s="8"/>
      <c r="U55" s="8"/>
      <c r="V55" s="8"/>
      <c r="W55" s="16"/>
    </row>
    <row r="56">
      <c r="F56" s="23"/>
      <c r="H56" s="8"/>
      <c r="I56" s="8"/>
      <c r="J56" s="8"/>
      <c r="K56" s="16"/>
      <c r="Q56" s="23"/>
      <c r="S56" s="8"/>
      <c r="T56" s="8"/>
      <c r="U56" s="8"/>
      <c r="V56" s="8"/>
      <c r="W56" s="16"/>
    </row>
    <row r="57">
      <c r="F57" s="23"/>
      <c r="H57" s="8"/>
      <c r="I57" s="8"/>
      <c r="J57" s="8"/>
      <c r="K57" s="16"/>
      <c r="Q57" s="23"/>
      <c r="S57" s="8"/>
      <c r="T57" s="8"/>
      <c r="U57" s="8"/>
      <c r="V57" s="8"/>
      <c r="W57" s="16"/>
    </row>
    <row r="58">
      <c r="F58" s="23"/>
      <c r="H58" s="8"/>
      <c r="I58" s="8"/>
      <c r="J58" s="8"/>
      <c r="K58" s="16"/>
      <c r="Q58" s="23"/>
      <c r="S58" s="8"/>
      <c r="T58" s="8"/>
      <c r="U58" s="8"/>
      <c r="V58" s="8"/>
      <c r="W58" s="16"/>
    </row>
    <row r="59">
      <c r="F59" s="23"/>
      <c r="H59" s="8"/>
      <c r="I59" s="8"/>
      <c r="J59" s="8"/>
      <c r="K59" s="16"/>
      <c r="Q59" s="23"/>
      <c r="S59" s="8"/>
      <c r="T59" s="8"/>
      <c r="U59" s="8"/>
      <c r="V59" s="8"/>
      <c r="W59" s="16"/>
    </row>
    <row r="60">
      <c r="F60" s="23"/>
      <c r="H60" s="8"/>
      <c r="I60" s="8"/>
      <c r="J60" s="8"/>
      <c r="K60" s="16"/>
      <c r="Q60" s="23"/>
      <c r="S60" s="8"/>
      <c r="T60" s="8"/>
      <c r="U60" s="8"/>
      <c r="V60" s="8"/>
      <c r="W60" s="16"/>
    </row>
    <row r="61">
      <c r="F61" s="23"/>
      <c r="H61" s="8"/>
      <c r="I61" s="8"/>
      <c r="J61" s="8"/>
      <c r="K61" s="16"/>
      <c r="Q61" s="23"/>
      <c r="S61" s="8"/>
      <c r="T61" s="8"/>
      <c r="U61" s="8"/>
      <c r="V61" s="8"/>
      <c r="W61" s="16"/>
    </row>
    <row r="62">
      <c r="F62" s="23"/>
      <c r="H62" s="8"/>
      <c r="I62" s="8"/>
      <c r="J62" s="8"/>
      <c r="K62" s="16"/>
      <c r="Q62" s="23"/>
      <c r="S62" s="8"/>
      <c r="T62" s="8"/>
      <c r="U62" s="8"/>
      <c r="V62" s="8"/>
      <c r="W62" s="16"/>
    </row>
    <row r="63">
      <c r="F63" s="23"/>
      <c r="H63" s="8"/>
      <c r="I63" s="8"/>
      <c r="J63" s="8"/>
      <c r="K63" s="16"/>
      <c r="Q63" s="23"/>
      <c r="S63" s="8"/>
      <c r="T63" s="8"/>
      <c r="U63" s="8"/>
      <c r="V63" s="8"/>
      <c r="W63" s="16"/>
    </row>
    <row r="64">
      <c r="F64" s="23"/>
      <c r="H64" s="8"/>
      <c r="I64" s="8"/>
      <c r="J64" s="8"/>
      <c r="K64" s="16"/>
      <c r="Q64" s="23"/>
      <c r="S64" s="8"/>
      <c r="T64" s="8"/>
      <c r="U64" s="8"/>
      <c r="V64" s="8"/>
      <c r="W64" s="16"/>
    </row>
    <row r="65">
      <c r="F65" s="23"/>
      <c r="H65" s="8"/>
      <c r="I65" s="8"/>
      <c r="J65" s="8"/>
      <c r="K65" s="16"/>
      <c r="Q65" s="23"/>
      <c r="S65" s="8"/>
      <c r="T65" s="8"/>
      <c r="U65" s="8"/>
      <c r="V65" s="8"/>
      <c r="W65" s="16"/>
    </row>
    <row r="66">
      <c r="F66" s="23"/>
      <c r="H66" s="8"/>
      <c r="I66" s="8"/>
      <c r="J66" s="8"/>
      <c r="K66" s="16"/>
      <c r="Q66" s="23"/>
      <c r="S66" s="8"/>
      <c r="T66" s="8"/>
      <c r="U66" s="8"/>
      <c r="V66" s="8"/>
      <c r="W66" s="16"/>
    </row>
    <row r="67">
      <c r="F67" s="23"/>
      <c r="H67" s="8"/>
      <c r="I67" s="8"/>
      <c r="J67" s="8"/>
      <c r="K67" s="16"/>
      <c r="Q67" s="23"/>
      <c r="S67" s="8"/>
      <c r="T67" s="8"/>
      <c r="U67" s="8"/>
      <c r="V67" s="8"/>
      <c r="W67" s="16"/>
    </row>
    <row r="68">
      <c r="F68" s="23"/>
      <c r="H68" s="8"/>
      <c r="I68" s="8"/>
      <c r="J68" s="8"/>
      <c r="K68" s="16"/>
      <c r="Q68" s="23"/>
      <c r="S68" s="8"/>
      <c r="T68" s="8"/>
      <c r="U68" s="8"/>
      <c r="V68" s="8"/>
      <c r="W68" s="16"/>
    </row>
    <row r="69">
      <c r="F69" s="23"/>
      <c r="H69" s="8"/>
      <c r="I69" s="8"/>
      <c r="J69" s="8"/>
      <c r="K69" s="16"/>
      <c r="Q69" s="23"/>
      <c r="S69" s="8"/>
      <c r="T69" s="8"/>
      <c r="U69" s="8"/>
      <c r="V69" s="8"/>
      <c r="W69" s="16"/>
    </row>
    <row r="70">
      <c r="F70" s="23"/>
      <c r="H70" s="8"/>
      <c r="I70" s="8"/>
      <c r="J70" s="8"/>
      <c r="K70" s="16"/>
      <c r="Q70" s="23"/>
      <c r="S70" s="8"/>
      <c r="T70" s="8"/>
      <c r="U70" s="8"/>
      <c r="V70" s="8"/>
      <c r="W70" s="16"/>
    </row>
    <row r="71">
      <c r="F71" s="23"/>
      <c r="H71" s="8"/>
      <c r="I71" s="8"/>
      <c r="J71" s="8"/>
      <c r="K71" s="16"/>
      <c r="Q71" s="23"/>
      <c r="S71" s="8"/>
      <c r="T71" s="8"/>
      <c r="U71" s="8"/>
      <c r="V71" s="8"/>
      <c r="W71" s="16"/>
    </row>
    <row r="72">
      <c r="F72" s="23"/>
      <c r="H72" s="8"/>
      <c r="I72" s="8"/>
      <c r="J72" s="8"/>
      <c r="K72" s="16"/>
      <c r="Q72" s="23"/>
      <c r="S72" s="8"/>
      <c r="T72" s="8"/>
      <c r="U72" s="8"/>
      <c r="V72" s="8"/>
      <c r="W72" s="16"/>
    </row>
    <row r="73">
      <c r="F73" s="23"/>
      <c r="H73" s="8"/>
      <c r="I73" s="8"/>
      <c r="J73" s="8"/>
      <c r="K73" s="16"/>
      <c r="Q73" s="23"/>
      <c r="S73" s="8"/>
      <c r="T73" s="8"/>
      <c r="U73" s="8"/>
      <c r="V73" s="8"/>
      <c r="W73" s="16"/>
    </row>
    <row r="74">
      <c r="F74" s="23"/>
      <c r="H74" s="8"/>
      <c r="I74" s="8"/>
      <c r="J74" s="8"/>
      <c r="K74" s="16"/>
      <c r="Q74" s="23"/>
      <c r="S74" s="8"/>
      <c r="T74" s="8"/>
      <c r="U74" s="8"/>
      <c r="V74" s="8"/>
      <c r="W74" s="16"/>
    </row>
    <row r="75">
      <c r="F75" s="23"/>
      <c r="H75" s="8"/>
      <c r="I75" s="8"/>
      <c r="J75" s="8"/>
      <c r="K75" s="16"/>
      <c r="Q75" s="23"/>
      <c r="S75" s="8"/>
      <c r="T75" s="8"/>
      <c r="U75" s="8"/>
      <c r="V75" s="8"/>
      <c r="W75" s="16"/>
    </row>
    <row r="76">
      <c r="F76" s="23"/>
      <c r="H76" s="8"/>
      <c r="I76" s="8"/>
      <c r="J76" s="8"/>
      <c r="K76" s="16"/>
      <c r="Q76" s="23"/>
      <c r="S76" s="8"/>
      <c r="T76" s="8"/>
      <c r="U76" s="8"/>
      <c r="V76" s="8"/>
      <c r="W76" s="16"/>
    </row>
    <row r="77">
      <c r="F77" s="23"/>
      <c r="H77" s="8"/>
      <c r="I77" s="8"/>
      <c r="J77" s="8"/>
      <c r="K77" s="16"/>
      <c r="Q77" s="23"/>
      <c r="S77" s="8"/>
      <c r="T77" s="8"/>
      <c r="U77" s="8"/>
      <c r="V77" s="8"/>
      <c r="W77" s="16"/>
    </row>
    <row r="78">
      <c r="F78" s="23"/>
      <c r="H78" s="8"/>
      <c r="I78" s="8"/>
      <c r="J78" s="8"/>
      <c r="K78" s="16"/>
      <c r="Q78" s="23"/>
      <c r="S78" s="8"/>
      <c r="T78" s="8"/>
      <c r="U78" s="8"/>
      <c r="V78" s="8"/>
      <c r="W78" s="16"/>
    </row>
    <row r="79">
      <c r="F79" s="23"/>
      <c r="H79" s="8"/>
      <c r="I79" s="8"/>
      <c r="J79" s="8"/>
      <c r="K79" s="16"/>
      <c r="Q79" s="23"/>
      <c r="S79" s="8"/>
      <c r="T79" s="8"/>
      <c r="U79" s="8"/>
      <c r="V79" s="8"/>
      <c r="W79" s="16"/>
    </row>
    <row r="80">
      <c r="F80" s="23"/>
      <c r="H80" s="8"/>
      <c r="I80" s="8"/>
      <c r="J80" s="8"/>
      <c r="K80" s="16"/>
      <c r="Q80" s="23"/>
      <c r="S80" s="8"/>
      <c r="T80" s="8"/>
      <c r="U80" s="8"/>
      <c r="V80" s="8"/>
      <c r="W80" s="16"/>
    </row>
    <row r="81">
      <c r="F81" s="23"/>
      <c r="H81" s="8"/>
      <c r="I81" s="8"/>
      <c r="J81" s="8"/>
      <c r="K81" s="16"/>
      <c r="Q81" s="23"/>
      <c r="S81" s="8"/>
      <c r="T81" s="8"/>
      <c r="U81" s="8"/>
      <c r="V81" s="8"/>
      <c r="W81" s="16"/>
    </row>
    <row r="82">
      <c r="F82" s="23"/>
      <c r="H82" s="8"/>
      <c r="I82" s="8"/>
      <c r="J82" s="8"/>
      <c r="K82" s="16"/>
      <c r="Q82" s="23"/>
      <c r="S82" s="8"/>
      <c r="T82" s="8"/>
      <c r="U82" s="8"/>
      <c r="V82" s="8"/>
      <c r="W82" s="16"/>
    </row>
    <row r="83">
      <c r="F83" s="23"/>
      <c r="H83" s="8"/>
      <c r="I83" s="8"/>
      <c r="J83" s="8"/>
      <c r="K83" s="16"/>
      <c r="Q83" s="23"/>
      <c r="S83" s="8"/>
      <c r="T83" s="8"/>
      <c r="U83" s="8"/>
      <c r="V83" s="8"/>
      <c r="W83" s="16"/>
    </row>
    <row r="84">
      <c r="F84" s="23"/>
      <c r="H84" s="8"/>
      <c r="I84" s="8"/>
      <c r="J84" s="8"/>
      <c r="K84" s="16"/>
      <c r="Q84" s="23"/>
      <c r="S84" s="8"/>
      <c r="T84" s="8"/>
      <c r="U84" s="8"/>
      <c r="V84" s="8"/>
      <c r="W84" s="16"/>
    </row>
    <row r="85">
      <c r="F85" s="23"/>
      <c r="H85" s="8"/>
      <c r="I85" s="8"/>
      <c r="J85" s="8"/>
      <c r="K85" s="16"/>
      <c r="Q85" s="23"/>
      <c r="S85" s="8"/>
      <c r="T85" s="8"/>
      <c r="U85" s="8"/>
      <c r="V85" s="8"/>
      <c r="W85" s="16"/>
    </row>
    <row r="86">
      <c r="F86" s="23"/>
      <c r="H86" s="8"/>
      <c r="I86" s="8"/>
      <c r="J86" s="8"/>
      <c r="K86" s="16"/>
      <c r="Q86" s="23"/>
      <c r="S86" s="8"/>
      <c r="T86" s="8"/>
      <c r="U86" s="8"/>
      <c r="V86" s="8"/>
      <c r="W86" s="16"/>
    </row>
    <row r="87">
      <c r="F87" s="23"/>
      <c r="H87" s="8"/>
      <c r="I87" s="8"/>
      <c r="J87" s="8"/>
      <c r="K87" s="16"/>
      <c r="Q87" s="23"/>
      <c r="S87" s="8"/>
      <c r="T87" s="8"/>
      <c r="U87" s="8"/>
      <c r="V87" s="8"/>
      <c r="W87" s="16"/>
    </row>
    <row r="88">
      <c r="F88" s="23"/>
      <c r="H88" s="8"/>
      <c r="I88" s="8"/>
      <c r="J88" s="8"/>
      <c r="K88" s="16"/>
      <c r="Q88" s="23"/>
      <c r="S88" s="8"/>
      <c r="T88" s="8"/>
      <c r="U88" s="8"/>
      <c r="V88" s="8"/>
      <c r="W88" s="16"/>
    </row>
    <row r="89">
      <c r="F89" s="23"/>
      <c r="H89" s="8"/>
      <c r="I89" s="8"/>
      <c r="J89" s="8"/>
      <c r="K89" s="16"/>
      <c r="Q89" s="23"/>
      <c r="S89" s="8"/>
      <c r="T89" s="8"/>
      <c r="U89" s="8"/>
      <c r="V89" s="8"/>
      <c r="W89" s="16"/>
    </row>
    <row r="90">
      <c r="F90" s="23"/>
      <c r="H90" s="8"/>
      <c r="I90" s="8"/>
      <c r="J90" s="8"/>
      <c r="K90" s="16"/>
      <c r="Q90" s="23"/>
      <c r="S90" s="8"/>
      <c r="T90" s="8"/>
      <c r="U90" s="8"/>
      <c r="V90" s="8"/>
      <c r="W90" s="16"/>
    </row>
    <row r="91">
      <c r="F91" s="23"/>
      <c r="H91" s="8"/>
      <c r="I91" s="8"/>
      <c r="J91" s="8"/>
      <c r="K91" s="16"/>
      <c r="Q91" s="23"/>
      <c r="S91" s="8"/>
      <c r="T91" s="8"/>
      <c r="U91" s="8"/>
      <c r="V91" s="8"/>
      <c r="W91" s="16"/>
    </row>
    <row r="92">
      <c r="F92" s="23"/>
      <c r="H92" s="8"/>
      <c r="I92" s="8"/>
      <c r="J92" s="8"/>
      <c r="K92" s="16"/>
      <c r="Q92" s="23"/>
      <c r="S92" s="8"/>
      <c r="T92" s="8"/>
      <c r="U92" s="8"/>
      <c r="V92" s="8"/>
      <c r="W92" s="16"/>
    </row>
    <row r="93">
      <c r="F93" s="23"/>
      <c r="H93" s="8"/>
      <c r="I93" s="8"/>
      <c r="J93" s="8"/>
      <c r="K93" s="16"/>
      <c r="Q93" s="23"/>
      <c r="S93" s="8"/>
      <c r="T93" s="8"/>
      <c r="U93" s="8"/>
      <c r="V93" s="8"/>
      <c r="W93" s="16"/>
    </row>
    <row r="94">
      <c r="F94" s="23"/>
      <c r="H94" s="8"/>
      <c r="I94" s="8"/>
      <c r="J94" s="8"/>
      <c r="K94" s="16"/>
      <c r="Q94" s="23"/>
      <c r="S94" s="8"/>
      <c r="T94" s="8"/>
      <c r="U94" s="8"/>
      <c r="V94" s="8"/>
      <c r="W94" s="16"/>
    </row>
    <row r="95">
      <c r="F95" s="23"/>
      <c r="H95" s="8"/>
      <c r="I95" s="8"/>
      <c r="J95" s="8"/>
      <c r="K95" s="16"/>
      <c r="Q95" s="23"/>
      <c r="S95" s="8"/>
      <c r="T95" s="8"/>
      <c r="U95" s="8"/>
      <c r="V95" s="8"/>
      <c r="W95" s="16"/>
    </row>
    <row r="96">
      <c r="F96" s="23"/>
      <c r="H96" s="8"/>
      <c r="I96" s="8"/>
      <c r="J96" s="8"/>
      <c r="K96" s="16"/>
      <c r="Q96" s="23"/>
      <c r="S96" s="8"/>
      <c r="T96" s="8"/>
      <c r="U96" s="8"/>
      <c r="V96" s="8"/>
      <c r="W96" s="16"/>
    </row>
    <row r="97">
      <c r="F97" s="23"/>
      <c r="H97" s="8"/>
      <c r="I97" s="8"/>
      <c r="J97" s="8"/>
      <c r="K97" s="16"/>
      <c r="Q97" s="23"/>
      <c r="S97" s="8"/>
      <c r="T97" s="8"/>
      <c r="U97" s="8"/>
      <c r="V97" s="8"/>
      <c r="W97" s="16"/>
    </row>
    <row r="98">
      <c r="F98" s="23"/>
      <c r="H98" s="8"/>
      <c r="I98" s="8"/>
      <c r="J98" s="8"/>
      <c r="K98" s="16"/>
      <c r="Q98" s="23"/>
      <c r="S98" s="8"/>
      <c r="T98" s="8"/>
      <c r="U98" s="8"/>
      <c r="V98" s="8"/>
      <c r="W98" s="16"/>
    </row>
    <row r="99">
      <c r="F99" s="23"/>
      <c r="H99" s="8"/>
      <c r="I99" s="8"/>
      <c r="J99" s="8"/>
      <c r="K99" s="16"/>
      <c r="Q99" s="23"/>
      <c r="S99" s="8"/>
      <c r="T99" s="8"/>
      <c r="U99" s="8"/>
      <c r="V99" s="8"/>
      <c r="W99" s="16"/>
    </row>
    <row r="100">
      <c r="F100" s="23"/>
      <c r="H100" s="8"/>
      <c r="I100" s="8"/>
      <c r="J100" s="8"/>
      <c r="K100" s="16"/>
      <c r="Q100" s="23"/>
      <c r="S100" s="8"/>
      <c r="T100" s="8"/>
      <c r="U100" s="8"/>
      <c r="V100" s="8"/>
      <c r="W100" s="16"/>
    </row>
    <row r="101">
      <c r="F101" s="23"/>
      <c r="H101" s="8"/>
      <c r="I101" s="8"/>
      <c r="J101" s="8"/>
      <c r="K101" s="16"/>
      <c r="Q101" s="23"/>
      <c r="S101" s="8"/>
      <c r="T101" s="8"/>
      <c r="U101" s="8"/>
      <c r="V101" s="8"/>
      <c r="W101" s="16"/>
    </row>
    <row r="102">
      <c r="F102" s="23"/>
      <c r="H102" s="8"/>
      <c r="I102" s="8"/>
      <c r="J102" s="8"/>
      <c r="K102" s="16"/>
      <c r="Q102" s="23"/>
      <c r="S102" s="8"/>
      <c r="T102" s="8"/>
      <c r="U102" s="8"/>
      <c r="V102" s="8"/>
      <c r="W102" s="16"/>
    </row>
    <row r="103">
      <c r="F103" s="23"/>
      <c r="H103" s="8"/>
      <c r="I103" s="8"/>
      <c r="J103" s="8"/>
      <c r="K103" s="16"/>
      <c r="Q103" s="23"/>
      <c r="S103" s="8"/>
      <c r="T103" s="8"/>
      <c r="U103" s="8"/>
      <c r="V103" s="8"/>
      <c r="W103" s="16"/>
    </row>
    <row r="104">
      <c r="F104" s="23"/>
      <c r="H104" s="8"/>
      <c r="I104" s="8"/>
      <c r="J104" s="8"/>
      <c r="K104" s="16"/>
      <c r="Q104" s="23"/>
      <c r="S104" s="8"/>
      <c r="T104" s="8"/>
      <c r="U104" s="8"/>
      <c r="V104" s="8"/>
      <c r="W104" s="16"/>
    </row>
    <row r="105">
      <c r="F105" s="23"/>
      <c r="H105" s="8"/>
      <c r="I105" s="8"/>
      <c r="J105" s="8"/>
      <c r="K105" s="16"/>
      <c r="Q105" s="23"/>
      <c r="S105" s="8"/>
      <c r="T105" s="8"/>
      <c r="U105" s="8"/>
      <c r="V105" s="8"/>
      <c r="W105" s="16"/>
    </row>
    <row r="106">
      <c r="F106" s="23"/>
      <c r="H106" s="8"/>
      <c r="I106" s="8"/>
      <c r="J106" s="8"/>
      <c r="K106" s="16"/>
      <c r="Q106" s="23"/>
      <c r="S106" s="8"/>
      <c r="T106" s="8"/>
      <c r="U106" s="8"/>
      <c r="V106" s="8"/>
      <c r="W106" s="16"/>
    </row>
    <row r="107">
      <c r="F107" s="23"/>
      <c r="H107" s="8"/>
      <c r="I107" s="8"/>
      <c r="J107" s="8"/>
      <c r="K107" s="16"/>
      <c r="Q107" s="23"/>
      <c r="S107" s="8"/>
      <c r="T107" s="8"/>
      <c r="U107" s="8"/>
      <c r="V107" s="8"/>
      <c r="W107" s="16"/>
    </row>
    <row r="108">
      <c r="F108" s="23"/>
      <c r="H108" s="8"/>
      <c r="I108" s="8"/>
      <c r="J108" s="8"/>
      <c r="K108" s="16"/>
      <c r="Q108" s="23"/>
      <c r="S108" s="8"/>
      <c r="T108" s="8"/>
      <c r="U108" s="8"/>
      <c r="V108" s="8"/>
      <c r="W108" s="16"/>
    </row>
    <row r="109">
      <c r="F109" s="23"/>
      <c r="H109" s="8"/>
      <c r="I109" s="8"/>
      <c r="J109" s="8"/>
      <c r="K109" s="16"/>
      <c r="Q109" s="23"/>
      <c r="S109" s="8"/>
      <c r="T109" s="8"/>
      <c r="U109" s="8"/>
      <c r="V109" s="8"/>
      <c r="W109" s="16"/>
    </row>
    <row r="110">
      <c r="F110" s="23"/>
      <c r="H110" s="8"/>
      <c r="I110" s="8"/>
      <c r="J110" s="8"/>
      <c r="K110" s="16"/>
      <c r="Q110" s="23"/>
      <c r="S110" s="8"/>
      <c r="T110" s="8"/>
      <c r="U110" s="8"/>
      <c r="V110" s="8"/>
      <c r="W110" s="16"/>
    </row>
    <row r="111">
      <c r="F111" s="23"/>
      <c r="H111" s="8"/>
      <c r="I111" s="8"/>
      <c r="J111" s="8"/>
      <c r="K111" s="16"/>
      <c r="Q111" s="23"/>
      <c r="S111" s="8"/>
      <c r="T111" s="8"/>
      <c r="U111" s="8"/>
      <c r="V111" s="8"/>
      <c r="W111" s="16"/>
    </row>
    <row r="112">
      <c r="F112" s="23"/>
      <c r="H112" s="8"/>
      <c r="I112" s="8"/>
      <c r="J112" s="8"/>
      <c r="K112" s="16"/>
      <c r="Q112" s="23"/>
      <c r="S112" s="8"/>
      <c r="T112" s="8"/>
      <c r="U112" s="8"/>
      <c r="V112" s="8"/>
      <c r="W112" s="16"/>
    </row>
    <row r="113">
      <c r="F113" s="23"/>
      <c r="H113" s="8"/>
      <c r="I113" s="8"/>
      <c r="J113" s="8"/>
      <c r="K113" s="16"/>
      <c r="Q113" s="23"/>
      <c r="S113" s="8"/>
      <c r="T113" s="8"/>
      <c r="U113" s="8"/>
      <c r="V113" s="8"/>
      <c r="W113" s="16"/>
    </row>
    <row r="114">
      <c r="F114" s="23"/>
      <c r="H114" s="8"/>
      <c r="I114" s="8"/>
      <c r="J114" s="8"/>
      <c r="K114" s="16"/>
      <c r="Q114" s="23"/>
      <c r="S114" s="8"/>
      <c r="T114" s="8"/>
      <c r="U114" s="8"/>
      <c r="V114" s="8"/>
      <c r="W114" s="16"/>
    </row>
    <row r="115">
      <c r="F115" s="23"/>
      <c r="H115" s="8"/>
      <c r="I115" s="8"/>
      <c r="J115" s="8"/>
      <c r="K115" s="16"/>
      <c r="Q115" s="23"/>
      <c r="S115" s="8"/>
      <c r="T115" s="8"/>
      <c r="U115" s="8"/>
      <c r="V115" s="8"/>
      <c r="W115" s="16"/>
    </row>
    <row r="116">
      <c r="F116" s="23"/>
      <c r="H116" s="8"/>
      <c r="I116" s="8"/>
      <c r="J116" s="8"/>
      <c r="K116" s="16"/>
      <c r="Q116" s="23"/>
      <c r="S116" s="8"/>
      <c r="T116" s="8"/>
      <c r="U116" s="8"/>
      <c r="V116" s="8"/>
      <c r="W116" s="16"/>
    </row>
    <row r="117">
      <c r="F117" s="23"/>
      <c r="H117" s="8"/>
      <c r="I117" s="8"/>
      <c r="J117" s="8"/>
      <c r="K117" s="16"/>
      <c r="Q117" s="23"/>
      <c r="S117" s="8"/>
      <c r="T117" s="8"/>
      <c r="U117" s="8"/>
      <c r="V117" s="8"/>
      <c r="W117" s="16"/>
    </row>
    <row r="118">
      <c r="F118" s="23"/>
      <c r="H118" s="8"/>
      <c r="I118" s="8"/>
      <c r="J118" s="8"/>
      <c r="K118" s="16"/>
      <c r="Q118" s="23"/>
      <c r="S118" s="8"/>
      <c r="T118" s="8"/>
      <c r="U118" s="8"/>
      <c r="V118" s="8"/>
      <c r="W118" s="16"/>
    </row>
    <row r="119">
      <c r="F119" s="23"/>
      <c r="H119" s="8"/>
      <c r="I119" s="8"/>
      <c r="J119" s="8"/>
      <c r="K119" s="16"/>
      <c r="Q119" s="23"/>
      <c r="S119" s="8"/>
      <c r="T119" s="8"/>
      <c r="U119" s="8"/>
      <c r="V119" s="8"/>
      <c r="W119" s="16"/>
    </row>
    <row r="120">
      <c r="F120" s="23"/>
      <c r="H120" s="8"/>
      <c r="I120" s="8"/>
      <c r="J120" s="8"/>
      <c r="K120" s="16"/>
      <c r="Q120" s="23"/>
      <c r="S120" s="8"/>
      <c r="T120" s="8"/>
      <c r="U120" s="8"/>
      <c r="V120" s="8"/>
      <c r="W120" s="16"/>
    </row>
    <row r="121">
      <c r="F121" s="23"/>
      <c r="H121" s="8"/>
      <c r="I121" s="8"/>
      <c r="J121" s="8"/>
      <c r="K121" s="16"/>
      <c r="Q121" s="23"/>
      <c r="S121" s="8"/>
      <c r="T121" s="8"/>
      <c r="U121" s="8"/>
      <c r="V121" s="8"/>
      <c r="W121" s="16"/>
    </row>
    <row r="122">
      <c r="F122" s="23"/>
      <c r="H122" s="8"/>
      <c r="I122" s="8"/>
      <c r="J122" s="8"/>
      <c r="K122" s="16"/>
      <c r="Q122" s="23"/>
      <c r="S122" s="8"/>
      <c r="T122" s="8"/>
      <c r="U122" s="8"/>
      <c r="V122" s="8"/>
      <c r="W122" s="16"/>
    </row>
    <row r="123">
      <c r="F123" s="23"/>
      <c r="H123" s="8"/>
      <c r="I123" s="8"/>
      <c r="J123" s="8"/>
      <c r="K123" s="16"/>
      <c r="Q123" s="23"/>
      <c r="S123" s="8"/>
      <c r="T123" s="8"/>
      <c r="U123" s="8"/>
      <c r="V123" s="8"/>
      <c r="W123" s="16"/>
    </row>
    <row r="124">
      <c r="F124" s="23"/>
      <c r="H124" s="8"/>
      <c r="I124" s="8"/>
      <c r="J124" s="8"/>
      <c r="K124" s="16"/>
      <c r="Q124" s="23"/>
      <c r="S124" s="8"/>
      <c r="T124" s="8"/>
      <c r="U124" s="8"/>
      <c r="V124" s="8"/>
      <c r="W124" s="16"/>
    </row>
    <row r="125">
      <c r="F125" s="23"/>
      <c r="H125" s="8"/>
      <c r="I125" s="8"/>
      <c r="J125" s="8"/>
      <c r="K125" s="16"/>
      <c r="Q125" s="23"/>
      <c r="S125" s="8"/>
      <c r="T125" s="8"/>
      <c r="U125" s="8"/>
      <c r="V125" s="8"/>
      <c r="W125" s="16"/>
    </row>
    <row r="126">
      <c r="F126" s="23"/>
      <c r="H126" s="8"/>
      <c r="I126" s="8"/>
      <c r="J126" s="8"/>
      <c r="K126" s="16"/>
      <c r="Q126" s="23"/>
      <c r="S126" s="8"/>
      <c r="T126" s="8"/>
      <c r="U126" s="8"/>
      <c r="V126" s="8"/>
      <c r="W126" s="16"/>
    </row>
    <row r="127">
      <c r="F127" s="23"/>
      <c r="H127" s="8"/>
      <c r="I127" s="8"/>
      <c r="J127" s="8"/>
      <c r="K127" s="16"/>
      <c r="Q127" s="23"/>
      <c r="S127" s="8"/>
      <c r="T127" s="8"/>
      <c r="U127" s="8"/>
      <c r="V127" s="8"/>
      <c r="W127" s="16"/>
    </row>
    <row r="128">
      <c r="F128" s="23"/>
      <c r="H128" s="8"/>
      <c r="I128" s="8"/>
      <c r="J128" s="8"/>
      <c r="K128" s="16"/>
      <c r="Q128" s="23"/>
      <c r="S128" s="8"/>
      <c r="T128" s="8"/>
      <c r="U128" s="8"/>
      <c r="V128" s="8"/>
      <c r="W128" s="16"/>
    </row>
    <row r="129">
      <c r="F129" s="23"/>
      <c r="H129" s="8"/>
      <c r="I129" s="8"/>
      <c r="J129" s="8"/>
      <c r="K129" s="16"/>
      <c r="Q129" s="23"/>
      <c r="S129" s="8"/>
      <c r="T129" s="8"/>
      <c r="U129" s="8"/>
      <c r="V129" s="8"/>
      <c r="W129" s="16"/>
    </row>
    <row r="130">
      <c r="F130" s="23"/>
      <c r="H130" s="8"/>
      <c r="I130" s="8"/>
      <c r="J130" s="8"/>
      <c r="K130" s="16"/>
      <c r="Q130" s="23"/>
      <c r="S130" s="8"/>
      <c r="T130" s="8"/>
      <c r="U130" s="8"/>
      <c r="V130" s="8"/>
      <c r="W130" s="16"/>
    </row>
    <row r="131">
      <c r="F131" s="23"/>
      <c r="H131" s="8"/>
      <c r="I131" s="8"/>
      <c r="J131" s="8"/>
      <c r="K131" s="16"/>
      <c r="Q131" s="23"/>
      <c r="S131" s="8"/>
      <c r="T131" s="8"/>
      <c r="U131" s="8"/>
      <c r="V131" s="8"/>
      <c r="W131" s="16"/>
    </row>
    <row r="132">
      <c r="F132" s="23"/>
      <c r="H132" s="8"/>
      <c r="I132" s="8"/>
      <c r="J132" s="8"/>
      <c r="K132" s="16"/>
      <c r="Q132" s="23"/>
      <c r="S132" s="8"/>
      <c r="T132" s="8"/>
      <c r="U132" s="8"/>
      <c r="V132" s="8"/>
      <c r="W132" s="16"/>
    </row>
    <row r="133">
      <c r="F133" s="23"/>
      <c r="H133" s="8"/>
      <c r="I133" s="8"/>
      <c r="J133" s="8"/>
      <c r="K133" s="16"/>
      <c r="Q133" s="23"/>
      <c r="S133" s="8"/>
      <c r="T133" s="8"/>
      <c r="U133" s="8"/>
      <c r="V133" s="8"/>
      <c r="W133" s="16"/>
    </row>
    <row r="134">
      <c r="F134" s="23"/>
      <c r="H134" s="8"/>
      <c r="I134" s="8"/>
      <c r="J134" s="8"/>
      <c r="K134" s="16"/>
      <c r="Q134" s="23"/>
      <c r="S134" s="8"/>
      <c r="T134" s="8"/>
      <c r="U134" s="8"/>
      <c r="V134" s="8"/>
      <c r="W134" s="16"/>
    </row>
    <row r="135">
      <c r="F135" s="23"/>
      <c r="H135" s="8"/>
      <c r="I135" s="8"/>
      <c r="J135" s="8"/>
      <c r="K135" s="16"/>
      <c r="Q135" s="23"/>
      <c r="S135" s="8"/>
      <c r="T135" s="8"/>
      <c r="U135" s="8"/>
      <c r="V135" s="8"/>
      <c r="W135" s="16"/>
    </row>
    <row r="136">
      <c r="F136" s="23"/>
      <c r="H136" s="8"/>
      <c r="I136" s="8"/>
      <c r="J136" s="8"/>
      <c r="K136" s="16"/>
      <c r="Q136" s="23"/>
      <c r="S136" s="8"/>
      <c r="T136" s="8"/>
      <c r="U136" s="8"/>
      <c r="V136" s="8"/>
      <c r="W136" s="16"/>
    </row>
    <row r="137">
      <c r="F137" s="23"/>
      <c r="H137" s="8"/>
      <c r="I137" s="8"/>
      <c r="J137" s="8"/>
      <c r="K137" s="16"/>
      <c r="Q137" s="23"/>
      <c r="S137" s="8"/>
      <c r="T137" s="8"/>
      <c r="U137" s="8"/>
      <c r="V137" s="8"/>
      <c r="W137" s="16"/>
    </row>
    <row r="138">
      <c r="F138" s="23"/>
      <c r="H138" s="8"/>
      <c r="I138" s="8"/>
      <c r="J138" s="8"/>
      <c r="K138" s="16"/>
      <c r="Q138" s="23"/>
      <c r="S138" s="8"/>
      <c r="T138" s="8"/>
      <c r="U138" s="8"/>
      <c r="V138" s="8"/>
      <c r="W138" s="16"/>
    </row>
    <row r="139">
      <c r="F139" s="23"/>
      <c r="H139" s="8"/>
      <c r="I139" s="8"/>
      <c r="J139" s="8"/>
      <c r="K139" s="16"/>
      <c r="Q139" s="23"/>
      <c r="S139" s="8"/>
      <c r="T139" s="8"/>
      <c r="U139" s="8"/>
      <c r="V139" s="8"/>
      <c r="W139" s="16"/>
    </row>
    <row r="140">
      <c r="F140" s="23"/>
      <c r="H140" s="8"/>
      <c r="I140" s="8"/>
      <c r="J140" s="8"/>
      <c r="K140" s="16"/>
      <c r="Q140" s="23"/>
      <c r="S140" s="8"/>
      <c r="T140" s="8"/>
      <c r="U140" s="8"/>
      <c r="V140" s="8"/>
      <c r="W140" s="16"/>
    </row>
    <row r="141">
      <c r="F141" s="23"/>
      <c r="H141" s="8"/>
      <c r="I141" s="8"/>
      <c r="J141" s="8"/>
      <c r="K141" s="16"/>
      <c r="Q141" s="23"/>
      <c r="S141" s="8"/>
      <c r="T141" s="8"/>
      <c r="U141" s="8"/>
      <c r="V141" s="8"/>
      <c r="W141" s="16"/>
    </row>
    <row r="142">
      <c r="F142" s="23"/>
      <c r="H142" s="8"/>
      <c r="I142" s="8"/>
      <c r="J142" s="8"/>
      <c r="K142" s="16"/>
      <c r="Q142" s="23"/>
      <c r="S142" s="8"/>
      <c r="T142" s="8"/>
      <c r="U142" s="8"/>
      <c r="V142" s="8"/>
      <c r="W142" s="16"/>
    </row>
    <row r="143">
      <c r="F143" s="23"/>
      <c r="H143" s="8"/>
      <c r="I143" s="8"/>
      <c r="J143" s="8"/>
      <c r="K143" s="16"/>
      <c r="Q143" s="23"/>
      <c r="S143" s="8"/>
      <c r="T143" s="8"/>
      <c r="U143" s="8"/>
      <c r="V143" s="8"/>
      <c r="W143" s="16"/>
    </row>
    <row r="144">
      <c r="F144" s="23"/>
      <c r="H144" s="8"/>
      <c r="I144" s="8"/>
      <c r="J144" s="8"/>
      <c r="K144" s="16"/>
      <c r="Q144" s="23"/>
      <c r="S144" s="8"/>
      <c r="T144" s="8"/>
      <c r="U144" s="8"/>
      <c r="V144" s="8"/>
      <c r="W144" s="16"/>
    </row>
    <row r="145">
      <c r="F145" s="23"/>
      <c r="H145" s="8"/>
      <c r="I145" s="8"/>
      <c r="J145" s="8"/>
      <c r="K145" s="16"/>
      <c r="Q145" s="23"/>
      <c r="S145" s="8"/>
      <c r="T145" s="8"/>
      <c r="U145" s="8"/>
      <c r="V145" s="8"/>
      <c r="W145" s="16"/>
    </row>
    <row r="146">
      <c r="F146" s="23"/>
      <c r="H146" s="8"/>
      <c r="I146" s="8"/>
      <c r="J146" s="8"/>
      <c r="K146" s="16"/>
      <c r="Q146" s="23"/>
      <c r="S146" s="8"/>
      <c r="T146" s="8"/>
      <c r="U146" s="8"/>
      <c r="V146" s="8"/>
      <c r="W146" s="16"/>
    </row>
    <row r="147">
      <c r="F147" s="23"/>
      <c r="H147" s="8"/>
      <c r="I147" s="8"/>
      <c r="J147" s="8"/>
      <c r="K147" s="16"/>
      <c r="Q147" s="23"/>
      <c r="S147" s="8"/>
      <c r="T147" s="8"/>
      <c r="U147" s="8"/>
      <c r="V147" s="8"/>
      <c r="W147" s="16"/>
    </row>
    <row r="148">
      <c r="F148" s="23"/>
      <c r="H148" s="8"/>
      <c r="I148" s="8"/>
      <c r="J148" s="8"/>
      <c r="K148" s="16"/>
      <c r="Q148" s="23"/>
      <c r="S148" s="8"/>
      <c r="T148" s="8"/>
      <c r="U148" s="8"/>
      <c r="V148" s="8"/>
      <c r="W148" s="16"/>
    </row>
    <row r="149">
      <c r="F149" s="23"/>
      <c r="H149" s="8"/>
      <c r="I149" s="8"/>
      <c r="J149" s="8"/>
      <c r="K149" s="16"/>
      <c r="Q149" s="23"/>
      <c r="S149" s="8"/>
      <c r="T149" s="8"/>
      <c r="U149" s="8"/>
      <c r="V149" s="8"/>
      <c r="W149" s="16"/>
    </row>
    <row r="150">
      <c r="F150" s="23"/>
      <c r="H150" s="8"/>
      <c r="I150" s="8"/>
      <c r="J150" s="8"/>
      <c r="K150" s="16"/>
      <c r="Q150" s="23"/>
      <c r="S150" s="8"/>
      <c r="T150" s="8"/>
      <c r="U150" s="8"/>
      <c r="V150" s="8"/>
      <c r="W150" s="16"/>
    </row>
    <row r="151">
      <c r="F151" s="23"/>
      <c r="H151" s="8"/>
      <c r="I151" s="8"/>
      <c r="J151" s="8"/>
      <c r="K151" s="16"/>
      <c r="Q151" s="23"/>
      <c r="S151" s="8"/>
      <c r="T151" s="8"/>
      <c r="U151" s="8"/>
      <c r="V151" s="8"/>
      <c r="W151" s="16"/>
    </row>
    <row r="152">
      <c r="F152" s="23"/>
      <c r="H152" s="8"/>
      <c r="I152" s="8"/>
      <c r="J152" s="8"/>
      <c r="K152" s="16"/>
      <c r="Q152" s="23"/>
      <c r="S152" s="8"/>
      <c r="T152" s="8"/>
      <c r="U152" s="8"/>
      <c r="V152" s="8"/>
      <c r="W152" s="16"/>
    </row>
    <row r="153">
      <c r="F153" s="23"/>
      <c r="H153" s="8"/>
      <c r="I153" s="8"/>
      <c r="J153" s="8"/>
      <c r="K153" s="16"/>
      <c r="Q153" s="23"/>
      <c r="S153" s="8"/>
      <c r="T153" s="8"/>
      <c r="U153" s="8"/>
      <c r="V153" s="8"/>
      <c r="W153" s="16"/>
    </row>
    <row r="154">
      <c r="F154" s="23"/>
      <c r="H154" s="8"/>
      <c r="I154" s="8"/>
      <c r="J154" s="8"/>
      <c r="K154" s="16"/>
      <c r="Q154" s="23"/>
      <c r="S154" s="8"/>
      <c r="T154" s="8"/>
      <c r="U154" s="8"/>
      <c r="V154" s="8"/>
      <c r="W154" s="16"/>
    </row>
    <row r="155">
      <c r="F155" s="23"/>
      <c r="H155" s="8"/>
      <c r="I155" s="8"/>
      <c r="J155" s="8"/>
      <c r="K155" s="16"/>
      <c r="Q155" s="23"/>
      <c r="S155" s="8"/>
      <c r="T155" s="8"/>
      <c r="U155" s="8"/>
      <c r="V155" s="8"/>
      <c r="W155" s="16"/>
    </row>
    <row r="156">
      <c r="F156" s="23"/>
      <c r="H156" s="8"/>
      <c r="I156" s="8"/>
      <c r="J156" s="8"/>
      <c r="K156" s="16"/>
      <c r="Q156" s="23"/>
      <c r="S156" s="8"/>
      <c r="T156" s="8"/>
      <c r="U156" s="8"/>
      <c r="V156" s="8"/>
      <c r="W156" s="16"/>
    </row>
    <row r="157">
      <c r="F157" s="23"/>
      <c r="H157" s="8"/>
      <c r="I157" s="8"/>
      <c r="J157" s="8"/>
      <c r="K157" s="16"/>
      <c r="Q157" s="23"/>
      <c r="S157" s="8"/>
      <c r="T157" s="8"/>
      <c r="U157" s="8"/>
      <c r="V157" s="8"/>
      <c r="W157" s="16"/>
    </row>
    <row r="158">
      <c r="F158" s="23"/>
      <c r="H158" s="8"/>
      <c r="I158" s="8"/>
      <c r="J158" s="8"/>
      <c r="K158" s="16"/>
      <c r="Q158" s="23"/>
      <c r="S158" s="8"/>
      <c r="T158" s="8"/>
      <c r="U158" s="8"/>
      <c r="V158" s="8"/>
      <c r="W158" s="16"/>
    </row>
    <row r="159">
      <c r="F159" s="23"/>
      <c r="H159" s="8"/>
      <c r="I159" s="8"/>
      <c r="J159" s="8"/>
      <c r="K159" s="16"/>
      <c r="Q159" s="23"/>
      <c r="S159" s="8"/>
      <c r="T159" s="8"/>
      <c r="U159" s="8"/>
      <c r="V159" s="8"/>
      <c r="W159" s="16"/>
    </row>
    <row r="160">
      <c r="F160" s="23"/>
      <c r="H160" s="8"/>
      <c r="I160" s="8"/>
      <c r="J160" s="8"/>
      <c r="K160" s="16"/>
      <c r="Q160" s="23"/>
      <c r="S160" s="8"/>
      <c r="T160" s="8"/>
      <c r="U160" s="8"/>
      <c r="V160" s="8"/>
      <c r="W160" s="16"/>
    </row>
    <row r="161">
      <c r="F161" s="23"/>
      <c r="H161" s="8"/>
      <c r="I161" s="8"/>
      <c r="J161" s="8"/>
      <c r="K161" s="16"/>
      <c r="Q161" s="23"/>
      <c r="S161" s="8"/>
      <c r="T161" s="8"/>
      <c r="U161" s="8"/>
      <c r="V161" s="8"/>
      <c r="W161" s="16"/>
    </row>
    <row r="162">
      <c r="F162" s="23"/>
      <c r="H162" s="8"/>
      <c r="I162" s="8"/>
      <c r="J162" s="8"/>
      <c r="K162" s="16"/>
      <c r="Q162" s="23"/>
      <c r="S162" s="8"/>
      <c r="T162" s="8"/>
      <c r="U162" s="8"/>
      <c r="V162" s="8"/>
      <c r="W162" s="16"/>
    </row>
    <row r="163">
      <c r="F163" s="23"/>
      <c r="H163" s="8"/>
      <c r="I163" s="8"/>
      <c r="J163" s="8"/>
      <c r="K163" s="16"/>
      <c r="Q163" s="23"/>
      <c r="S163" s="8"/>
      <c r="T163" s="8"/>
      <c r="U163" s="8"/>
      <c r="V163" s="8"/>
      <c r="W163" s="16"/>
    </row>
    <row r="164">
      <c r="F164" s="23"/>
      <c r="H164" s="8"/>
      <c r="I164" s="8"/>
      <c r="J164" s="8"/>
      <c r="K164" s="16"/>
      <c r="Q164" s="23"/>
      <c r="S164" s="8"/>
      <c r="T164" s="8"/>
      <c r="U164" s="8"/>
      <c r="V164" s="8"/>
      <c r="W164" s="16"/>
    </row>
    <row r="165">
      <c r="F165" s="23"/>
      <c r="H165" s="8"/>
      <c r="I165" s="8"/>
      <c r="J165" s="8"/>
      <c r="K165" s="16"/>
      <c r="Q165" s="23"/>
      <c r="S165" s="8"/>
      <c r="T165" s="8"/>
      <c r="U165" s="8"/>
      <c r="V165" s="8"/>
      <c r="W165" s="16"/>
    </row>
    <row r="166">
      <c r="F166" s="23"/>
      <c r="H166" s="8"/>
      <c r="I166" s="8"/>
      <c r="J166" s="8"/>
      <c r="K166" s="16"/>
      <c r="Q166" s="23"/>
      <c r="S166" s="8"/>
      <c r="T166" s="8"/>
      <c r="U166" s="8"/>
      <c r="V166" s="8"/>
      <c r="W166" s="16"/>
    </row>
    <row r="167">
      <c r="F167" s="23"/>
      <c r="H167" s="8"/>
      <c r="I167" s="8"/>
      <c r="J167" s="8"/>
      <c r="K167" s="16"/>
      <c r="Q167" s="23"/>
      <c r="S167" s="8"/>
      <c r="T167" s="8"/>
      <c r="U167" s="8"/>
      <c r="V167" s="8"/>
      <c r="W167" s="16"/>
    </row>
    <row r="168">
      <c r="F168" s="23"/>
      <c r="H168" s="8"/>
      <c r="I168" s="8"/>
      <c r="J168" s="8"/>
      <c r="K168" s="16"/>
      <c r="Q168" s="23"/>
      <c r="S168" s="8"/>
      <c r="T168" s="8"/>
      <c r="U168" s="8"/>
      <c r="V168" s="8"/>
      <c r="W168" s="16"/>
    </row>
    <row r="169">
      <c r="F169" s="23"/>
      <c r="H169" s="8"/>
      <c r="I169" s="8"/>
      <c r="J169" s="8"/>
      <c r="K169" s="16"/>
      <c r="Q169" s="23"/>
      <c r="S169" s="8"/>
      <c r="T169" s="8"/>
      <c r="U169" s="8"/>
      <c r="V169" s="8"/>
      <c r="W169" s="16"/>
    </row>
    <row r="170">
      <c r="F170" s="23"/>
      <c r="H170" s="8"/>
      <c r="I170" s="8"/>
      <c r="J170" s="8"/>
      <c r="K170" s="16"/>
      <c r="Q170" s="23"/>
      <c r="S170" s="8"/>
      <c r="T170" s="8"/>
      <c r="U170" s="8"/>
      <c r="V170" s="8"/>
      <c r="W170" s="16"/>
    </row>
    <row r="171">
      <c r="F171" s="23"/>
      <c r="H171" s="8"/>
      <c r="I171" s="8"/>
      <c r="J171" s="8"/>
      <c r="K171" s="16"/>
      <c r="Q171" s="23"/>
      <c r="S171" s="8"/>
      <c r="T171" s="8"/>
      <c r="U171" s="8"/>
      <c r="V171" s="8"/>
      <c r="W171" s="16"/>
    </row>
    <row r="172">
      <c r="F172" s="23"/>
      <c r="H172" s="8"/>
      <c r="I172" s="8"/>
      <c r="J172" s="8"/>
      <c r="K172" s="16"/>
      <c r="Q172" s="23"/>
      <c r="S172" s="8"/>
      <c r="T172" s="8"/>
      <c r="U172" s="8"/>
      <c r="V172" s="8"/>
      <c r="W172" s="16"/>
    </row>
    <row r="173">
      <c r="F173" s="23"/>
      <c r="H173" s="8"/>
      <c r="I173" s="8"/>
      <c r="J173" s="8"/>
      <c r="K173" s="16"/>
      <c r="Q173" s="23"/>
      <c r="S173" s="8"/>
      <c r="T173" s="8"/>
      <c r="U173" s="8"/>
      <c r="V173" s="8"/>
      <c r="W173" s="16"/>
    </row>
    <row r="174">
      <c r="F174" s="23"/>
      <c r="H174" s="8"/>
      <c r="I174" s="8"/>
      <c r="J174" s="8"/>
      <c r="K174" s="16"/>
      <c r="Q174" s="23"/>
      <c r="S174" s="8"/>
      <c r="T174" s="8"/>
      <c r="U174" s="8"/>
      <c r="V174" s="8"/>
      <c r="W174" s="16"/>
    </row>
    <row r="175">
      <c r="F175" s="23"/>
      <c r="H175" s="8"/>
      <c r="I175" s="8"/>
      <c r="J175" s="8"/>
      <c r="K175" s="16"/>
      <c r="Q175" s="23"/>
      <c r="S175" s="8"/>
      <c r="T175" s="8"/>
      <c r="U175" s="8"/>
      <c r="V175" s="8"/>
      <c r="W175" s="16"/>
    </row>
    <row r="176">
      <c r="F176" s="23"/>
      <c r="H176" s="8"/>
      <c r="I176" s="8"/>
      <c r="J176" s="8"/>
      <c r="K176" s="16"/>
      <c r="Q176" s="23"/>
      <c r="S176" s="8"/>
      <c r="T176" s="8"/>
      <c r="U176" s="8"/>
      <c r="V176" s="8"/>
      <c r="W176" s="16"/>
    </row>
    <row r="177">
      <c r="F177" s="23"/>
      <c r="H177" s="8"/>
      <c r="I177" s="8"/>
      <c r="J177" s="8"/>
      <c r="K177" s="16"/>
      <c r="Q177" s="23"/>
      <c r="S177" s="8"/>
      <c r="T177" s="8"/>
      <c r="U177" s="8"/>
      <c r="V177" s="8"/>
      <c r="W177" s="16"/>
    </row>
    <row r="178">
      <c r="F178" s="23"/>
      <c r="H178" s="8"/>
      <c r="I178" s="8"/>
      <c r="J178" s="8"/>
      <c r="K178" s="16"/>
      <c r="Q178" s="23"/>
      <c r="S178" s="8"/>
      <c r="T178" s="8"/>
      <c r="U178" s="8"/>
      <c r="V178" s="8"/>
      <c r="W178" s="16"/>
    </row>
    <row r="179">
      <c r="F179" s="23"/>
      <c r="H179" s="8"/>
      <c r="I179" s="8"/>
      <c r="J179" s="8"/>
      <c r="K179" s="16"/>
      <c r="Q179" s="23"/>
      <c r="S179" s="8"/>
      <c r="T179" s="8"/>
      <c r="U179" s="8"/>
      <c r="V179" s="8"/>
      <c r="W179" s="16"/>
    </row>
    <row r="180">
      <c r="F180" s="23"/>
      <c r="H180" s="8"/>
      <c r="I180" s="8"/>
      <c r="J180" s="8"/>
      <c r="K180" s="16"/>
      <c r="Q180" s="23"/>
      <c r="S180" s="8"/>
      <c r="T180" s="8"/>
      <c r="U180" s="8"/>
      <c r="V180" s="8"/>
      <c r="W180" s="16"/>
    </row>
    <row r="181">
      <c r="F181" s="23"/>
      <c r="H181" s="8"/>
      <c r="I181" s="8"/>
      <c r="J181" s="8"/>
      <c r="K181" s="16"/>
      <c r="Q181" s="23"/>
      <c r="S181" s="8"/>
      <c r="T181" s="8"/>
      <c r="U181" s="8"/>
      <c r="V181" s="8"/>
      <c r="W181" s="16"/>
    </row>
    <row r="182">
      <c r="F182" s="23"/>
      <c r="H182" s="8"/>
      <c r="I182" s="8"/>
      <c r="J182" s="8"/>
      <c r="K182" s="16"/>
      <c r="Q182" s="23"/>
      <c r="S182" s="8"/>
      <c r="T182" s="8"/>
      <c r="U182" s="8"/>
      <c r="V182" s="8"/>
      <c r="W182" s="16"/>
    </row>
    <row r="183">
      <c r="F183" s="23"/>
      <c r="H183" s="8"/>
      <c r="I183" s="8"/>
      <c r="J183" s="8"/>
      <c r="K183" s="16"/>
      <c r="Q183" s="23"/>
      <c r="S183" s="8"/>
      <c r="T183" s="8"/>
      <c r="U183" s="8"/>
      <c r="V183" s="8"/>
      <c r="W183" s="16"/>
    </row>
    <row r="184">
      <c r="F184" s="23"/>
      <c r="H184" s="8"/>
      <c r="I184" s="8"/>
      <c r="J184" s="8"/>
      <c r="K184" s="16"/>
      <c r="Q184" s="23"/>
      <c r="S184" s="8"/>
      <c r="T184" s="8"/>
      <c r="U184" s="8"/>
      <c r="V184" s="8"/>
      <c r="W184" s="16"/>
    </row>
    <row r="185">
      <c r="F185" s="23"/>
      <c r="H185" s="8"/>
      <c r="I185" s="8"/>
      <c r="J185" s="8"/>
      <c r="K185" s="16"/>
      <c r="Q185" s="23"/>
      <c r="S185" s="8"/>
      <c r="T185" s="8"/>
      <c r="U185" s="8"/>
      <c r="V185" s="8"/>
      <c r="W185" s="16"/>
    </row>
    <row r="186">
      <c r="F186" s="23"/>
      <c r="H186" s="8"/>
      <c r="I186" s="8"/>
      <c r="J186" s="8"/>
      <c r="K186" s="16"/>
      <c r="Q186" s="23"/>
      <c r="S186" s="8"/>
      <c r="T186" s="8"/>
      <c r="U186" s="8"/>
      <c r="V186" s="8"/>
      <c r="W186" s="16"/>
    </row>
    <row r="187">
      <c r="F187" s="23"/>
      <c r="H187" s="8"/>
      <c r="I187" s="8"/>
      <c r="J187" s="8"/>
      <c r="K187" s="16"/>
      <c r="Q187" s="23"/>
      <c r="S187" s="8"/>
      <c r="T187" s="8"/>
      <c r="U187" s="8"/>
      <c r="V187" s="8"/>
      <c r="W187" s="16"/>
    </row>
    <row r="188">
      <c r="F188" s="23"/>
      <c r="H188" s="8"/>
      <c r="I188" s="8"/>
      <c r="J188" s="8"/>
      <c r="K188" s="16"/>
      <c r="Q188" s="23"/>
      <c r="S188" s="8"/>
      <c r="T188" s="8"/>
      <c r="U188" s="8"/>
      <c r="V188" s="8"/>
      <c r="W188" s="16"/>
    </row>
    <row r="189">
      <c r="F189" s="23"/>
      <c r="H189" s="8"/>
      <c r="I189" s="8"/>
      <c r="J189" s="8"/>
      <c r="K189" s="16"/>
      <c r="Q189" s="23"/>
      <c r="S189" s="8"/>
      <c r="T189" s="8"/>
      <c r="U189" s="8"/>
      <c r="V189" s="8"/>
      <c r="W189" s="16"/>
    </row>
    <row r="190">
      <c r="F190" s="23"/>
      <c r="H190" s="8"/>
      <c r="I190" s="8"/>
      <c r="J190" s="8"/>
      <c r="K190" s="16"/>
      <c r="Q190" s="23"/>
      <c r="S190" s="8"/>
      <c r="T190" s="8"/>
      <c r="U190" s="8"/>
      <c r="V190" s="8"/>
      <c r="W190" s="16"/>
    </row>
    <row r="191">
      <c r="F191" s="23"/>
      <c r="H191" s="8"/>
      <c r="I191" s="8"/>
      <c r="J191" s="8"/>
      <c r="K191" s="16"/>
      <c r="Q191" s="23"/>
      <c r="S191" s="8"/>
      <c r="T191" s="8"/>
      <c r="U191" s="8"/>
      <c r="V191" s="8"/>
      <c r="W191" s="16"/>
    </row>
    <row r="192">
      <c r="F192" s="23"/>
      <c r="H192" s="8"/>
      <c r="I192" s="8"/>
      <c r="J192" s="8"/>
      <c r="K192" s="16"/>
      <c r="Q192" s="23"/>
      <c r="S192" s="8"/>
      <c r="T192" s="8"/>
      <c r="U192" s="8"/>
      <c r="V192" s="8"/>
      <c r="W192" s="16"/>
    </row>
    <row r="193">
      <c r="F193" s="23"/>
      <c r="H193" s="8"/>
      <c r="I193" s="8"/>
      <c r="J193" s="8"/>
      <c r="K193" s="16"/>
      <c r="Q193" s="23"/>
      <c r="S193" s="8"/>
      <c r="T193" s="8"/>
      <c r="U193" s="8"/>
      <c r="V193" s="8"/>
      <c r="W193" s="16"/>
    </row>
    <row r="194">
      <c r="F194" s="23"/>
      <c r="H194" s="8"/>
      <c r="I194" s="8"/>
      <c r="J194" s="8"/>
      <c r="K194" s="16"/>
      <c r="Q194" s="23"/>
      <c r="S194" s="8"/>
      <c r="T194" s="8"/>
      <c r="U194" s="8"/>
      <c r="V194" s="8"/>
      <c r="W194" s="16"/>
    </row>
    <row r="195">
      <c r="F195" s="23"/>
      <c r="H195" s="8"/>
      <c r="I195" s="8"/>
      <c r="J195" s="8"/>
      <c r="K195" s="16"/>
      <c r="Q195" s="23"/>
      <c r="S195" s="8"/>
      <c r="T195" s="8"/>
      <c r="U195" s="8"/>
      <c r="V195" s="8"/>
      <c r="W195" s="16"/>
    </row>
    <row r="196">
      <c r="F196" s="23"/>
      <c r="H196" s="8"/>
      <c r="I196" s="8"/>
      <c r="J196" s="8"/>
      <c r="K196" s="16"/>
      <c r="Q196" s="23"/>
      <c r="S196" s="8"/>
      <c r="T196" s="8"/>
      <c r="U196" s="8"/>
      <c r="V196" s="8"/>
      <c r="W196" s="16"/>
    </row>
    <row r="197">
      <c r="F197" s="23"/>
      <c r="H197" s="8"/>
      <c r="I197" s="8"/>
      <c r="J197" s="8"/>
      <c r="K197" s="16"/>
      <c r="Q197" s="23"/>
      <c r="S197" s="8"/>
      <c r="T197" s="8"/>
      <c r="U197" s="8"/>
      <c r="V197" s="8"/>
      <c r="W197" s="16"/>
    </row>
    <row r="198">
      <c r="F198" s="23"/>
      <c r="H198" s="8"/>
      <c r="I198" s="8"/>
      <c r="J198" s="8"/>
      <c r="K198" s="16"/>
      <c r="Q198" s="23"/>
      <c r="S198" s="8"/>
      <c r="T198" s="8"/>
      <c r="U198" s="8"/>
      <c r="V198" s="8"/>
      <c r="W198" s="16"/>
    </row>
    <row r="199">
      <c r="F199" s="23"/>
      <c r="H199" s="8"/>
      <c r="I199" s="8"/>
      <c r="J199" s="8"/>
      <c r="K199" s="16"/>
      <c r="Q199" s="23"/>
      <c r="S199" s="8"/>
      <c r="T199" s="8"/>
      <c r="U199" s="8"/>
      <c r="V199" s="8"/>
      <c r="W199" s="16"/>
    </row>
    <row r="200">
      <c r="F200" s="23"/>
      <c r="H200" s="8"/>
      <c r="I200" s="8"/>
      <c r="J200" s="8"/>
      <c r="K200" s="16"/>
      <c r="Q200" s="23"/>
      <c r="S200" s="8"/>
      <c r="T200" s="8"/>
      <c r="U200" s="8"/>
      <c r="V200" s="8"/>
      <c r="W200" s="16"/>
    </row>
    <row r="201">
      <c r="F201" s="23"/>
      <c r="H201" s="8"/>
      <c r="I201" s="8"/>
      <c r="J201" s="8"/>
      <c r="K201" s="16"/>
      <c r="Q201" s="23"/>
      <c r="S201" s="8"/>
      <c r="T201" s="8"/>
      <c r="U201" s="8"/>
      <c r="V201" s="8"/>
      <c r="W201" s="16"/>
    </row>
    <row r="202">
      <c r="F202" s="23"/>
      <c r="H202" s="8"/>
      <c r="I202" s="8"/>
      <c r="J202" s="8"/>
      <c r="K202" s="16"/>
      <c r="Q202" s="23"/>
      <c r="S202" s="8"/>
      <c r="T202" s="8"/>
      <c r="U202" s="8"/>
      <c r="V202" s="8"/>
      <c r="W202" s="16"/>
    </row>
    <row r="203">
      <c r="F203" s="23"/>
      <c r="H203" s="8"/>
      <c r="I203" s="8"/>
      <c r="J203" s="8"/>
      <c r="K203" s="16"/>
      <c r="Q203" s="23"/>
      <c r="S203" s="8"/>
      <c r="T203" s="8"/>
      <c r="U203" s="8"/>
      <c r="V203" s="8"/>
      <c r="W203" s="16"/>
    </row>
    <row r="204">
      <c r="F204" s="23"/>
      <c r="H204" s="8"/>
      <c r="I204" s="8"/>
      <c r="J204" s="8"/>
      <c r="K204" s="16"/>
      <c r="Q204" s="23"/>
      <c r="S204" s="8"/>
      <c r="T204" s="8"/>
      <c r="U204" s="8"/>
      <c r="V204" s="8"/>
      <c r="W204" s="16"/>
    </row>
    <row r="205">
      <c r="F205" s="23"/>
      <c r="H205" s="8"/>
      <c r="I205" s="8"/>
      <c r="J205" s="8"/>
      <c r="K205" s="16"/>
      <c r="Q205" s="23"/>
      <c r="S205" s="8"/>
      <c r="T205" s="8"/>
      <c r="U205" s="8"/>
      <c r="V205" s="8"/>
      <c r="W205" s="16"/>
    </row>
    <row r="206">
      <c r="F206" s="23"/>
      <c r="H206" s="8"/>
      <c r="I206" s="8"/>
      <c r="J206" s="8"/>
      <c r="K206" s="16"/>
      <c r="Q206" s="23"/>
      <c r="S206" s="8"/>
      <c r="T206" s="8"/>
      <c r="U206" s="8"/>
      <c r="V206" s="8"/>
      <c r="W206" s="16"/>
    </row>
    <row r="207">
      <c r="F207" s="23"/>
      <c r="H207" s="8"/>
      <c r="I207" s="8"/>
      <c r="J207" s="8"/>
      <c r="K207" s="16"/>
      <c r="Q207" s="23"/>
      <c r="S207" s="8"/>
      <c r="T207" s="8"/>
      <c r="U207" s="8"/>
      <c r="V207" s="8"/>
      <c r="W207" s="16"/>
    </row>
    <row r="208">
      <c r="F208" s="23"/>
      <c r="H208" s="8"/>
      <c r="I208" s="8"/>
      <c r="J208" s="8"/>
      <c r="K208" s="16"/>
      <c r="Q208" s="23"/>
      <c r="S208" s="8"/>
      <c r="T208" s="8"/>
      <c r="U208" s="8"/>
      <c r="V208" s="8"/>
      <c r="W208" s="16"/>
    </row>
    <row r="209">
      <c r="F209" s="23"/>
      <c r="H209" s="8"/>
      <c r="I209" s="8"/>
      <c r="J209" s="8"/>
      <c r="K209" s="16"/>
      <c r="Q209" s="23"/>
      <c r="S209" s="8"/>
      <c r="T209" s="8"/>
      <c r="U209" s="8"/>
      <c r="V209" s="8"/>
      <c r="W209" s="16"/>
    </row>
    <row r="210">
      <c r="F210" s="23"/>
      <c r="H210" s="8"/>
      <c r="I210" s="8"/>
      <c r="J210" s="8"/>
      <c r="K210" s="16"/>
      <c r="Q210" s="23"/>
      <c r="S210" s="8"/>
      <c r="T210" s="8"/>
      <c r="U210" s="8"/>
      <c r="V210" s="8"/>
      <c r="W210" s="16"/>
    </row>
    <row r="211">
      <c r="F211" s="23"/>
      <c r="H211" s="8"/>
      <c r="I211" s="8"/>
      <c r="J211" s="8"/>
      <c r="K211" s="16"/>
      <c r="Q211" s="23"/>
      <c r="S211" s="8"/>
      <c r="T211" s="8"/>
      <c r="U211" s="8"/>
      <c r="V211" s="8"/>
      <c r="W211" s="16"/>
    </row>
    <row r="212">
      <c r="F212" s="23"/>
      <c r="H212" s="8"/>
      <c r="I212" s="8"/>
      <c r="J212" s="8"/>
      <c r="K212" s="16"/>
      <c r="Q212" s="23"/>
      <c r="S212" s="8"/>
      <c r="T212" s="8"/>
      <c r="U212" s="8"/>
      <c r="V212" s="8"/>
      <c r="W212" s="16"/>
    </row>
    <row r="213">
      <c r="F213" s="23"/>
      <c r="H213" s="8"/>
      <c r="I213" s="8"/>
      <c r="J213" s="8"/>
      <c r="K213" s="16"/>
      <c r="Q213" s="23"/>
      <c r="S213" s="8"/>
      <c r="T213" s="8"/>
      <c r="U213" s="8"/>
      <c r="V213" s="8"/>
      <c r="W213" s="16"/>
    </row>
    <row r="214">
      <c r="F214" s="23"/>
      <c r="H214" s="8"/>
      <c r="I214" s="8"/>
      <c r="J214" s="8"/>
      <c r="K214" s="16"/>
      <c r="Q214" s="23"/>
      <c r="S214" s="8"/>
      <c r="T214" s="8"/>
      <c r="U214" s="8"/>
      <c r="V214" s="8"/>
      <c r="W214" s="16"/>
    </row>
    <row r="215">
      <c r="F215" s="23"/>
      <c r="H215" s="8"/>
      <c r="I215" s="8"/>
      <c r="J215" s="8"/>
      <c r="K215" s="16"/>
      <c r="Q215" s="23"/>
      <c r="S215" s="8"/>
      <c r="T215" s="8"/>
      <c r="U215" s="8"/>
      <c r="V215" s="8"/>
      <c r="W215" s="16"/>
    </row>
    <row r="216">
      <c r="F216" s="23"/>
      <c r="H216" s="8"/>
      <c r="I216" s="8"/>
      <c r="J216" s="8"/>
      <c r="K216" s="16"/>
      <c r="Q216" s="23"/>
      <c r="S216" s="8"/>
      <c r="T216" s="8"/>
      <c r="U216" s="8"/>
      <c r="V216" s="8"/>
      <c r="W216" s="16"/>
    </row>
    <row r="217">
      <c r="F217" s="23"/>
      <c r="H217" s="8"/>
      <c r="I217" s="8"/>
      <c r="J217" s="8"/>
      <c r="K217" s="16"/>
      <c r="Q217" s="23"/>
      <c r="S217" s="8"/>
      <c r="T217" s="8"/>
      <c r="U217" s="8"/>
      <c r="V217" s="8"/>
      <c r="W217" s="16"/>
    </row>
    <row r="218">
      <c r="F218" s="23"/>
      <c r="H218" s="8"/>
      <c r="I218" s="8"/>
      <c r="J218" s="8"/>
      <c r="K218" s="16"/>
      <c r="Q218" s="23"/>
      <c r="S218" s="8"/>
      <c r="T218" s="8"/>
      <c r="U218" s="8"/>
      <c r="V218" s="8"/>
      <c r="W218" s="16"/>
    </row>
    <row r="219">
      <c r="F219" s="23"/>
      <c r="H219" s="8"/>
      <c r="I219" s="8"/>
      <c r="J219" s="8"/>
      <c r="K219" s="16"/>
      <c r="Q219" s="23"/>
      <c r="S219" s="8"/>
      <c r="T219" s="8"/>
      <c r="U219" s="8"/>
      <c r="V219" s="8"/>
      <c r="W219" s="16"/>
    </row>
    <row r="220">
      <c r="F220" s="23"/>
      <c r="H220" s="8"/>
      <c r="I220" s="8"/>
      <c r="J220" s="8"/>
      <c r="K220" s="16"/>
      <c r="Q220" s="23"/>
      <c r="S220" s="8"/>
      <c r="T220" s="8"/>
      <c r="U220" s="8"/>
      <c r="V220" s="8"/>
      <c r="W220" s="16"/>
    </row>
    <row r="221">
      <c r="F221" s="23"/>
      <c r="H221" s="8"/>
      <c r="I221" s="8"/>
      <c r="J221" s="8"/>
      <c r="K221" s="16"/>
      <c r="Q221" s="23"/>
      <c r="S221" s="8"/>
      <c r="T221" s="8"/>
      <c r="U221" s="8"/>
      <c r="V221" s="8"/>
      <c r="W221" s="16"/>
    </row>
    <row r="222">
      <c r="F222" s="23"/>
      <c r="H222" s="8"/>
      <c r="I222" s="8"/>
      <c r="J222" s="8"/>
      <c r="K222" s="16"/>
      <c r="Q222" s="23"/>
      <c r="S222" s="8"/>
      <c r="T222" s="8"/>
      <c r="U222" s="8"/>
      <c r="V222" s="8"/>
      <c r="W222" s="16"/>
    </row>
    <row r="223">
      <c r="F223" s="23"/>
      <c r="H223" s="8"/>
      <c r="I223" s="8"/>
      <c r="J223" s="8"/>
      <c r="K223" s="16"/>
      <c r="Q223" s="23"/>
      <c r="S223" s="8"/>
      <c r="T223" s="8"/>
      <c r="U223" s="8"/>
      <c r="V223" s="8"/>
      <c r="W223" s="16"/>
    </row>
    <row r="224">
      <c r="F224" s="23"/>
      <c r="H224" s="8"/>
      <c r="I224" s="8"/>
      <c r="J224" s="8"/>
      <c r="K224" s="16"/>
      <c r="Q224" s="23"/>
      <c r="S224" s="8"/>
      <c r="T224" s="8"/>
      <c r="U224" s="8"/>
      <c r="V224" s="8"/>
      <c r="W224" s="16"/>
    </row>
    <row r="225">
      <c r="F225" s="23"/>
      <c r="H225" s="8"/>
      <c r="I225" s="8"/>
      <c r="J225" s="8"/>
      <c r="K225" s="16"/>
      <c r="Q225" s="23"/>
      <c r="S225" s="8"/>
      <c r="T225" s="8"/>
      <c r="U225" s="8"/>
      <c r="V225" s="8"/>
      <c r="W225" s="16"/>
    </row>
    <row r="226">
      <c r="F226" s="23"/>
      <c r="H226" s="8"/>
      <c r="I226" s="8"/>
      <c r="J226" s="8"/>
      <c r="K226" s="16"/>
      <c r="Q226" s="23"/>
      <c r="S226" s="8"/>
      <c r="T226" s="8"/>
      <c r="U226" s="8"/>
      <c r="V226" s="8"/>
      <c r="W226" s="16"/>
    </row>
    <row r="227">
      <c r="F227" s="23"/>
      <c r="H227" s="8"/>
      <c r="I227" s="8"/>
      <c r="J227" s="8"/>
      <c r="K227" s="16"/>
      <c r="Q227" s="23"/>
      <c r="S227" s="8"/>
      <c r="T227" s="8"/>
      <c r="U227" s="8"/>
      <c r="V227" s="8"/>
      <c r="W227" s="16"/>
    </row>
    <row r="228">
      <c r="F228" s="23"/>
      <c r="H228" s="8"/>
      <c r="I228" s="8"/>
      <c r="J228" s="8"/>
      <c r="K228" s="16"/>
      <c r="Q228" s="23"/>
      <c r="S228" s="8"/>
      <c r="T228" s="8"/>
      <c r="U228" s="8"/>
      <c r="V228" s="8"/>
      <c r="W228" s="16"/>
    </row>
    <row r="229">
      <c r="F229" s="23"/>
      <c r="H229" s="8"/>
      <c r="I229" s="8"/>
      <c r="J229" s="8"/>
      <c r="K229" s="16"/>
      <c r="Q229" s="23"/>
      <c r="S229" s="8"/>
      <c r="T229" s="8"/>
      <c r="U229" s="8"/>
      <c r="V229" s="8"/>
      <c r="W229" s="16"/>
    </row>
    <row r="230">
      <c r="F230" s="23"/>
      <c r="H230" s="8"/>
      <c r="I230" s="8"/>
      <c r="J230" s="8"/>
      <c r="K230" s="16"/>
      <c r="Q230" s="23"/>
      <c r="S230" s="8"/>
      <c r="T230" s="8"/>
      <c r="U230" s="8"/>
      <c r="V230" s="8"/>
      <c r="W230" s="16"/>
    </row>
    <row r="231">
      <c r="F231" s="23"/>
      <c r="H231" s="8"/>
      <c r="I231" s="8"/>
      <c r="J231" s="8"/>
      <c r="K231" s="16"/>
      <c r="Q231" s="23"/>
      <c r="S231" s="8"/>
      <c r="T231" s="8"/>
      <c r="U231" s="8"/>
      <c r="V231" s="8"/>
      <c r="W231" s="16"/>
    </row>
    <row r="232">
      <c r="F232" s="23"/>
      <c r="H232" s="8"/>
      <c r="I232" s="8"/>
      <c r="J232" s="8"/>
      <c r="K232" s="16"/>
      <c r="Q232" s="23"/>
      <c r="S232" s="8"/>
      <c r="T232" s="8"/>
      <c r="U232" s="8"/>
      <c r="V232" s="8"/>
      <c r="W232" s="16"/>
    </row>
    <row r="233">
      <c r="F233" s="23"/>
      <c r="H233" s="8"/>
      <c r="I233" s="8"/>
      <c r="J233" s="8"/>
      <c r="K233" s="16"/>
      <c r="Q233" s="23"/>
      <c r="S233" s="8"/>
      <c r="T233" s="8"/>
      <c r="U233" s="8"/>
      <c r="V233" s="8"/>
      <c r="W233" s="16"/>
    </row>
    <row r="234">
      <c r="F234" s="23"/>
      <c r="H234" s="8"/>
      <c r="I234" s="8"/>
      <c r="J234" s="8"/>
      <c r="K234" s="16"/>
      <c r="Q234" s="23"/>
      <c r="S234" s="8"/>
      <c r="T234" s="8"/>
      <c r="U234" s="8"/>
      <c r="V234" s="8"/>
      <c r="W234" s="16"/>
    </row>
    <row r="235">
      <c r="F235" s="23"/>
      <c r="H235" s="8"/>
      <c r="I235" s="8"/>
      <c r="J235" s="8"/>
      <c r="K235" s="16"/>
      <c r="Q235" s="23"/>
      <c r="S235" s="8"/>
      <c r="T235" s="8"/>
      <c r="U235" s="8"/>
      <c r="V235" s="8"/>
      <c r="W235" s="16"/>
    </row>
    <row r="236">
      <c r="F236" s="23"/>
      <c r="H236" s="8"/>
      <c r="I236" s="8"/>
      <c r="J236" s="8"/>
      <c r="K236" s="16"/>
      <c r="Q236" s="23"/>
      <c r="S236" s="8"/>
      <c r="T236" s="8"/>
      <c r="U236" s="8"/>
      <c r="V236" s="8"/>
      <c r="W236" s="16"/>
    </row>
    <row r="237">
      <c r="F237" s="23"/>
      <c r="H237" s="8"/>
      <c r="I237" s="8"/>
      <c r="J237" s="8"/>
      <c r="K237" s="16"/>
      <c r="Q237" s="23"/>
      <c r="S237" s="8"/>
      <c r="T237" s="8"/>
      <c r="U237" s="8"/>
      <c r="V237" s="8"/>
      <c r="W237" s="16"/>
    </row>
    <row r="238">
      <c r="F238" s="23"/>
      <c r="H238" s="8"/>
      <c r="I238" s="8"/>
      <c r="J238" s="8"/>
      <c r="K238" s="16"/>
      <c r="Q238" s="23"/>
      <c r="S238" s="8"/>
      <c r="T238" s="8"/>
      <c r="U238" s="8"/>
      <c r="V238" s="8"/>
      <c r="W238" s="16"/>
    </row>
    <row r="239">
      <c r="F239" s="23"/>
      <c r="H239" s="8"/>
      <c r="I239" s="8"/>
      <c r="J239" s="8"/>
      <c r="K239" s="16"/>
      <c r="Q239" s="23"/>
      <c r="S239" s="8"/>
      <c r="T239" s="8"/>
      <c r="U239" s="8"/>
      <c r="V239" s="8"/>
      <c r="W239" s="16"/>
    </row>
    <row r="240">
      <c r="F240" s="23"/>
      <c r="H240" s="8"/>
      <c r="I240" s="8"/>
      <c r="J240" s="8"/>
      <c r="K240" s="16"/>
      <c r="Q240" s="23"/>
      <c r="S240" s="8"/>
      <c r="T240" s="8"/>
      <c r="U240" s="8"/>
      <c r="V240" s="8"/>
      <c r="W240" s="16"/>
    </row>
    <row r="241">
      <c r="F241" s="23"/>
      <c r="H241" s="8"/>
      <c r="I241" s="8"/>
      <c r="J241" s="8"/>
      <c r="K241" s="16"/>
      <c r="Q241" s="23"/>
      <c r="S241" s="8"/>
      <c r="T241" s="8"/>
      <c r="U241" s="8"/>
      <c r="V241" s="8"/>
      <c r="W241" s="16"/>
    </row>
    <row r="242">
      <c r="F242" s="23"/>
      <c r="H242" s="8"/>
      <c r="I242" s="8"/>
      <c r="J242" s="8"/>
      <c r="K242" s="16"/>
      <c r="Q242" s="23"/>
      <c r="S242" s="8"/>
      <c r="T242" s="8"/>
      <c r="U242" s="8"/>
      <c r="V242" s="8"/>
      <c r="W242" s="16"/>
    </row>
    <row r="243">
      <c r="F243" s="23"/>
      <c r="H243" s="8"/>
      <c r="I243" s="8"/>
      <c r="J243" s="8"/>
      <c r="K243" s="16"/>
      <c r="Q243" s="23"/>
      <c r="S243" s="8"/>
      <c r="T243" s="8"/>
      <c r="U243" s="8"/>
      <c r="V243" s="8"/>
      <c r="W243" s="16"/>
    </row>
    <row r="244">
      <c r="F244" s="23"/>
      <c r="H244" s="8"/>
      <c r="I244" s="8"/>
      <c r="J244" s="8"/>
      <c r="K244" s="16"/>
      <c r="Q244" s="23"/>
      <c r="S244" s="8"/>
      <c r="T244" s="8"/>
      <c r="U244" s="8"/>
      <c r="V244" s="8"/>
      <c r="W244" s="16"/>
    </row>
    <row r="245">
      <c r="F245" s="23"/>
      <c r="H245" s="8"/>
      <c r="I245" s="8"/>
      <c r="J245" s="8"/>
      <c r="K245" s="16"/>
      <c r="Q245" s="23"/>
      <c r="S245" s="8"/>
      <c r="T245" s="8"/>
      <c r="U245" s="8"/>
      <c r="V245" s="8"/>
      <c r="W245" s="16"/>
    </row>
    <row r="246">
      <c r="F246" s="23"/>
      <c r="H246" s="8"/>
      <c r="I246" s="8"/>
      <c r="J246" s="8"/>
      <c r="K246" s="16"/>
      <c r="Q246" s="23"/>
      <c r="S246" s="8"/>
      <c r="T246" s="8"/>
      <c r="U246" s="8"/>
      <c r="V246" s="8"/>
      <c r="W246" s="16"/>
    </row>
    <row r="247">
      <c r="F247" s="23"/>
      <c r="H247" s="8"/>
      <c r="I247" s="8"/>
      <c r="J247" s="8"/>
      <c r="K247" s="16"/>
      <c r="Q247" s="23"/>
      <c r="S247" s="8"/>
      <c r="T247" s="8"/>
      <c r="U247" s="8"/>
      <c r="V247" s="8"/>
      <c r="W247" s="16"/>
    </row>
    <row r="248">
      <c r="F248" s="23"/>
      <c r="H248" s="8"/>
      <c r="I248" s="8"/>
      <c r="J248" s="8"/>
      <c r="K248" s="16"/>
      <c r="Q248" s="23"/>
      <c r="S248" s="8"/>
      <c r="T248" s="8"/>
      <c r="U248" s="8"/>
      <c r="V248" s="8"/>
      <c r="W248" s="16"/>
    </row>
    <row r="249">
      <c r="F249" s="23"/>
      <c r="H249" s="8"/>
      <c r="I249" s="8"/>
      <c r="J249" s="8"/>
      <c r="K249" s="16"/>
      <c r="Q249" s="23"/>
      <c r="S249" s="8"/>
      <c r="T249" s="8"/>
      <c r="U249" s="8"/>
      <c r="V249" s="8"/>
      <c r="W249" s="16"/>
    </row>
    <row r="250">
      <c r="F250" s="23"/>
      <c r="H250" s="8"/>
      <c r="I250" s="8"/>
      <c r="J250" s="8"/>
      <c r="K250" s="16"/>
      <c r="Q250" s="23"/>
      <c r="S250" s="8"/>
      <c r="T250" s="8"/>
      <c r="U250" s="8"/>
      <c r="V250" s="8"/>
      <c r="W250" s="16"/>
    </row>
    <row r="251">
      <c r="F251" s="23"/>
      <c r="H251" s="8"/>
      <c r="I251" s="8"/>
      <c r="J251" s="8"/>
      <c r="K251" s="16"/>
      <c r="Q251" s="23"/>
      <c r="S251" s="8"/>
      <c r="T251" s="8"/>
      <c r="U251" s="8"/>
      <c r="V251" s="8"/>
      <c r="W251" s="16"/>
    </row>
    <row r="252">
      <c r="F252" s="23"/>
      <c r="H252" s="8"/>
      <c r="I252" s="8"/>
      <c r="J252" s="8"/>
      <c r="K252" s="16"/>
      <c r="Q252" s="23"/>
      <c r="S252" s="8"/>
      <c r="T252" s="8"/>
      <c r="U252" s="8"/>
      <c r="V252" s="8"/>
      <c r="W252" s="16"/>
    </row>
    <row r="253">
      <c r="F253" s="23"/>
      <c r="H253" s="8"/>
      <c r="I253" s="8"/>
      <c r="J253" s="8"/>
      <c r="K253" s="16"/>
      <c r="Q253" s="23"/>
      <c r="S253" s="8"/>
      <c r="T253" s="8"/>
      <c r="U253" s="8"/>
      <c r="V253" s="8"/>
      <c r="W253" s="16"/>
    </row>
    <row r="254">
      <c r="F254" s="23"/>
      <c r="H254" s="8"/>
      <c r="I254" s="8"/>
      <c r="J254" s="8"/>
      <c r="K254" s="16"/>
      <c r="Q254" s="23"/>
      <c r="S254" s="8"/>
      <c r="T254" s="8"/>
      <c r="U254" s="8"/>
      <c r="V254" s="8"/>
      <c r="W254" s="16"/>
    </row>
    <row r="255">
      <c r="F255" s="23"/>
      <c r="H255" s="8"/>
      <c r="I255" s="8"/>
      <c r="J255" s="8"/>
      <c r="K255" s="16"/>
      <c r="Q255" s="23"/>
      <c r="S255" s="8"/>
      <c r="T255" s="8"/>
      <c r="U255" s="8"/>
      <c r="V255" s="8"/>
      <c r="W255" s="16"/>
    </row>
    <row r="256">
      <c r="F256" s="23"/>
      <c r="H256" s="8"/>
      <c r="I256" s="8"/>
      <c r="J256" s="8"/>
      <c r="K256" s="16"/>
      <c r="Q256" s="23"/>
      <c r="S256" s="8"/>
      <c r="T256" s="8"/>
      <c r="U256" s="8"/>
      <c r="V256" s="8"/>
      <c r="W256" s="16"/>
    </row>
    <row r="257">
      <c r="F257" s="23"/>
      <c r="H257" s="8"/>
      <c r="I257" s="8"/>
      <c r="J257" s="8"/>
      <c r="K257" s="16"/>
      <c r="Q257" s="23"/>
      <c r="S257" s="8"/>
      <c r="T257" s="8"/>
      <c r="U257" s="8"/>
      <c r="V257" s="8"/>
      <c r="W257" s="16"/>
    </row>
    <row r="258">
      <c r="F258" s="23"/>
      <c r="H258" s="8"/>
      <c r="I258" s="8"/>
      <c r="J258" s="8"/>
      <c r="K258" s="16"/>
      <c r="Q258" s="23"/>
      <c r="S258" s="8"/>
      <c r="T258" s="8"/>
      <c r="U258" s="8"/>
      <c r="V258" s="8"/>
      <c r="W258" s="16"/>
    </row>
    <row r="259">
      <c r="F259" s="23"/>
      <c r="H259" s="8"/>
      <c r="I259" s="8"/>
      <c r="J259" s="8"/>
      <c r="K259" s="16"/>
      <c r="Q259" s="23"/>
      <c r="S259" s="8"/>
      <c r="T259" s="8"/>
      <c r="U259" s="8"/>
      <c r="V259" s="8"/>
      <c r="W259" s="16"/>
    </row>
    <row r="260">
      <c r="F260" s="23"/>
      <c r="H260" s="8"/>
      <c r="I260" s="8"/>
      <c r="J260" s="8"/>
      <c r="K260" s="16"/>
      <c r="Q260" s="23"/>
      <c r="S260" s="8"/>
      <c r="T260" s="8"/>
      <c r="U260" s="8"/>
      <c r="V260" s="8"/>
      <c r="W260" s="16"/>
    </row>
    <row r="261">
      <c r="F261" s="23"/>
      <c r="H261" s="8"/>
      <c r="I261" s="8"/>
      <c r="J261" s="8"/>
      <c r="K261" s="16"/>
      <c r="Q261" s="23"/>
      <c r="S261" s="8"/>
      <c r="T261" s="8"/>
      <c r="U261" s="8"/>
      <c r="V261" s="8"/>
      <c r="W261" s="16"/>
    </row>
    <row r="262">
      <c r="F262" s="23"/>
      <c r="H262" s="8"/>
      <c r="I262" s="8"/>
      <c r="J262" s="8"/>
      <c r="K262" s="16"/>
      <c r="Q262" s="23"/>
      <c r="S262" s="8"/>
      <c r="T262" s="8"/>
      <c r="U262" s="8"/>
      <c r="V262" s="8"/>
      <c r="W262" s="16"/>
    </row>
    <row r="263">
      <c r="F263" s="23"/>
      <c r="H263" s="8"/>
      <c r="I263" s="8"/>
      <c r="J263" s="8"/>
      <c r="K263" s="16"/>
      <c r="Q263" s="23"/>
      <c r="S263" s="8"/>
      <c r="T263" s="8"/>
      <c r="U263" s="8"/>
      <c r="V263" s="8"/>
      <c r="W263" s="16"/>
    </row>
    <row r="264">
      <c r="F264" s="23"/>
      <c r="H264" s="8"/>
      <c r="I264" s="8"/>
      <c r="J264" s="8"/>
      <c r="K264" s="16"/>
      <c r="Q264" s="23"/>
      <c r="S264" s="8"/>
      <c r="T264" s="8"/>
      <c r="U264" s="8"/>
      <c r="V264" s="8"/>
      <c r="W264" s="16"/>
    </row>
    <row r="265">
      <c r="F265" s="23"/>
      <c r="H265" s="8"/>
      <c r="I265" s="8"/>
      <c r="J265" s="8"/>
      <c r="K265" s="16"/>
      <c r="Q265" s="23"/>
      <c r="S265" s="8"/>
      <c r="T265" s="8"/>
      <c r="U265" s="8"/>
      <c r="V265" s="8"/>
      <c r="W265" s="16"/>
    </row>
    <row r="266">
      <c r="F266" s="23"/>
      <c r="H266" s="8"/>
      <c r="I266" s="8"/>
      <c r="J266" s="8"/>
      <c r="K266" s="16"/>
      <c r="Q266" s="23"/>
      <c r="S266" s="8"/>
      <c r="T266" s="8"/>
      <c r="U266" s="8"/>
      <c r="V266" s="8"/>
      <c r="W266" s="16"/>
    </row>
    <row r="267">
      <c r="F267" s="23"/>
      <c r="H267" s="8"/>
      <c r="I267" s="8"/>
      <c r="J267" s="8"/>
      <c r="K267" s="16"/>
      <c r="Q267" s="23"/>
      <c r="S267" s="8"/>
      <c r="T267" s="8"/>
      <c r="U267" s="8"/>
      <c r="V267" s="8"/>
      <c r="W267" s="16"/>
    </row>
    <row r="268">
      <c r="F268" s="23"/>
      <c r="H268" s="8"/>
      <c r="I268" s="8"/>
      <c r="J268" s="8"/>
      <c r="K268" s="16"/>
      <c r="Q268" s="23"/>
      <c r="S268" s="8"/>
      <c r="T268" s="8"/>
      <c r="U268" s="8"/>
      <c r="V268" s="8"/>
      <c r="W268" s="16"/>
    </row>
    <row r="269">
      <c r="F269" s="23"/>
      <c r="H269" s="8"/>
      <c r="I269" s="8"/>
      <c r="J269" s="8"/>
      <c r="K269" s="16"/>
      <c r="Q269" s="23"/>
      <c r="S269" s="8"/>
      <c r="T269" s="8"/>
      <c r="U269" s="8"/>
      <c r="V269" s="8"/>
      <c r="W269" s="16"/>
    </row>
    <row r="270">
      <c r="F270" s="23"/>
      <c r="H270" s="8"/>
      <c r="I270" s="8"/>
      <c r="J270" s="8"/>
      <c r="K270" s="16"/>
      <c r="Q270" s="23"/>
      <c r="S270" s="8"/>
      <c r="T270" s="8"/>
      <c r="U270" s="8"/>
      <c r="V270" s="8"/>
      <c r="W270" s="16"/>
    </row>
    <row r="271">
      <c r="F271" s="23"/>
      <c r="H271" s="8"/>
      <c r="I271" s="8"/>
      <c r="J271" s="8"/>
      <c r="K271" s="16"/>
      <c r="Q271" s="23"/>
      <c r="S271" s="8"/>
      <c r="T271" s="8"/>
      <c r="U271" s="8"/>
      <c r="V271" s="8"/>
      <c r="W271" s="16"/>
    </row>
    <row r="272">
      <c r="F272" s="23"/>
      <c r="H272" s="8"/>
      <c r="I272" s="8"/>
      <c r="J272" s="8"/>
      <c r="K272" s="16"/>
      <c r="Q272" s="23"/>
      <c r="S272" s="8"/>
      <c r="T272" s="8"/>
      <c r="U272" s="8"/>
      <c r="V272" s="8"/>
      <c r="W272" s="16"/>
    </row>
    <row r="273">
      <c r="F273" s="23"/>
      <c r="H273" s="8"/>
      <c r="I273" s="8"/>
      <c r="J273" s="8"/>
      <c r="K273" s="16"/>
      <c r="Q273" s="23"/>
      <c r="S273" s="8"/>
      <c r="T273" s="8"/>
      <c r="U273" s="8"/>
      <c r="V273" s="8"/>
      <c r="W273" s="16"/>
    </row>
    <row r="274">
      <c r="F274" s="23"/>
      <c r="H274" s="8"/>
      <c r="I274" s="8"/>
      <c r="J274" s="8"/>
      <c r="K274" s="16"/>
      <c r="Q274" s="23"/>
      <c r="S274" s="8"/>
      <c r="T274" s="8"/>
      <c r="U274" s="8"/>
      <c r="V274" s="8"/>
      <c r="W274" s="16"/>
    </row>
    <row r="275">
      <c r="F275" s="23"/>
      <c r="H275" s="8"/>
      <c r="I275" s="8"/>
      <c r="J275" s="8"/>
      <c r="K275" s="16"/>
      <c r="Q275" s="23"/>
      <c r="S275" s="8"/>
      <c r="T275" s="8"/>
      <c r="U275" s="8"/>
      <c r="V275" s="8"/>
      <c r="W275" s="16"/>
    </row>
    <row r="276">
      <c r="F276" s="23"/>
      <c r="H276" s="8"/>
      <c r="I276" s="8"/>
      <c r="J276" s="8"/>
      <c r="K276" s="16"/>
      <c r="Q276" s="23"/>
      <c r="S276" s="8"/>
      <c r="T276" s="8"/>
      <c r="U276" s="8"/>
      <c r="V276" s="8"/>
      <c r="W276" s="16"/>
    </row>
    <row r="277">
      <c r="F277" s="23"/>
      <c r="H277" s="8"/>
      <c r="I277" s="8"/>
      <c r="J277" s="8"/>
      <c r="K277" s="16"/>
      <c r="Q277" s="23"/>
      <c r="S277" s="8"/>
      <c r="T277" s="8"/>
      <c r="U277" s="8"/>
      <c r="V277" s="8"/>
      <c r="W277" s="16"/>
    </row>
    <row r="278">
      <c r="F278" s="23"/>
      <c r="H278" s="8"/>
      <c r="I278" s="8"/>
      <c r="J278" s="8"/>
      <c r="K278" s="16"/>
      <c r="Q278" s="23"/>
      <c r="S278" s="8"/>
      <c r="T278" s="8"/>
      <c r="U278" s="8"/>
      <c r="V278" s="8"/>
      <c r="W278" s="16"/>
    </row>
    <row r="279">
      <c r="F279" s="23"/>
      <c r="H279" s="8"/>
      <c r="I279" s="8"/>
      <c r="J279" s="8"/>
      <c r="K279" s="16"/>
      <c r="Q279" s="23"/>
      <c r="S279" s="8"/>
      <c r="T279" s="8"/>
      <c r="U279" s="8"/>
      <c r="V279" s="8"/>
      <c r="W279" s="16"/>
    </row>
    <row r="280">
      <c r="F280" s="23"/>
      <c r="H280" s="8"/>
      <c r="I280" s="8"/>
      <c r="J280" s="8"/>
      <c r="K280" s="16"/>
      <c r="Q280" s="23"/>
      <c r="S280" s="8"/>
      <c r="T280" s="8"/>
      <c r="U280" s="8"/>
      <c r="V280" s="8"/>
      <c r="W280" s="16"/>
    </row>
    <row r="281">
      <c r="F281" s="23"/>
      <c r="H281" s="8"/>
      <c r="I281" s="8"/>
      <c r="J281" s="8"/>
      <c r="K281" s="16"/>
      <c r="Q281" s="23"/>
      <c r="S281" s="8"/>
      <c r="T281" s="8"/>
      <c r="U281" s="8"/>
      <c r="V281" s="8"/>
      <c r="W281" s="16"/>
    </row>
    <row r="282">
      <c r="F282" s="23"/>
      <c r="H282" s="8"/>
      <c r="I282" s="8"/>
      <c r="J282" s="8"/>
      <c r="K282" s="16"/>
      <c r="Q282" s="23"/>
      <c r="S282" s="8"/>
      <c r="T282" s="8"/>
      <c r="U282" s="8"/>
      <c r="V282" s="8"/>
      <c r="W282" s="16"/>
    </row>
    <row r="283">
      <c r="F283" s="23"/>
      <c r="H283" s="8"/>
      <c r="I283" s="8"/>
      <c r="J283" s="8"/>
      <c r="K283" s="16"/>
      <c r="Q283" s="23"/>
      <c r="S283" s="8"/>
      <c r="T283" s="8"/>
      <c r="U283" s="8"/>
      <c r="V283" s="8"/>
      <c r="W283" s="16"/>
    </row>
    <row r="284">
      <c r="F284" s="23"/>
      <c r="H284" s="8"/>
      <c r="I284" s="8"/>
      <c r="J284" s="8"/>
      <c r="K284" s="16"/>
      <c r="Q284" s="23"/>
      <c r="S284" s="8"/>
      <c r="T284" s="8"/>
      <c r="U284" s="8"/>
      <c r="V284" s="8"/>
      <c r="W284" s="16"/>
    </row>
    <row r="285">
      <c r="F285" s="23"/>
      <c r="H285" s="8"/>
      <c r="I285" s="8"/>
      <c r="J285" s="8"/>
      <c r="K285" s="16"/>
      <c r="Q285" s="23"/>
      <c r="S285" s="8"/>
      <c r="T285" s="8"/>
      <c r="U285" s="8"/>
      <c r="V285" s="8"/>
      <c r="W285" s="16"/>
    </row>
    <row r="286">
      <c r="F286" s="23"/>
      <c r="H286" s="8"/>
      <c r="I286" s="8"/>
      <c r="J286" s="8"/>
      <c r="K286" s="16"/>
      <c r="Q286" s="23"/>
      <c r="S286" s="8"/>
      <c r="T286" s="8"/>
      <c r="U286" s="8"/>
      <c r="V286" s="8"/>
      <c r="W286" s="16"/>
    </row>
    <row r="287">
      <c r="F287" s="23"/>
      <c r="H287" s="8"/>
      <c r="I287" s="8"/>
      <c r="J287" s="8"/>
      <c r="K287" s="16"/>
      <c r="Q287" s="23"/>
      <c r="S287" s="8"/>
      <c r="T287" s="8"/>
      <c r="U287" s="8"/>
      <c r="V287" s="8"/>
      <c r="W287" s="16"/>
    </row>
    <row r="288">
      <c r="F288" s="23"/>
      <c r="H288" s="8"/>
      <c r="I288" s="8"/>
      <c r="J288" s="8"/>
      <c r="K288" s="16"/>
      <c r="Q288" s="23"/>
      <c r="S288" s="8"/>
      <c r="T288" s="8"/>
      <c r="U288" s="8"/>
      <c r="V288" s="8"/>
      <c r="W288" s="16"/>
    </row>
    <row r="289">
      <c r="F289" s="23"/>
      <c r="H289" s="8"/>
      <c r="I289" s="8"/>
      <c r="J289" s="8"/>
      <c r="K289" s="16"/>
      <c r="Q289" s="23"/>
      <c r="S289" s="8"/>
      <c r="T289" s="8"/>
      <c r="U289" s="8"/>
      <c r="V289" s="8"/>
      <c r="W289" s="16"/>
    </row>
    <row r="290">
      <c r="F290" s="23"/>
      <c r="H290" s="8"/>
      <c r="I290" s="8"/>
      <c r="J290" s="8"/>
      <c r="K290" s="16"/>
      <c r="Q290" s="23"/>
      <c r="S290" s="8"/>
      <c r="T290" s="8"/>
      <c r="U290" s="8"/>
      <c r="V290" s="8"/>
      <c r="W290" s="16"/>
    </row>
    <row r="291">
      <c r="F291" s="23"/>
      <c r="H291" s="8"/>
      <c r="I291" s="8"/>
      <c r="J291" s="8"/>
      <c r="K291" s="16"/>
      <c r="Q291" s="23"/>
      <c r="S291" s="8"/>
      <c r="T291" s="8"/>
      <c r="U291" s="8"/>
      <c r="V291" s="8"/>
      <c r="W291" s="16"/>
    </row>
    <row r="292">
      <c r="F292" s="23"/>
      <c r="H292" s="8"/>
      <c r="I292" s="8"/>
      <c r="J292" s="8"/>
      <c r="K292" s="16"/>
      <c r="Q292" s="23"/>
      <c r="S292" s="8"/>
      <c r="T292" s="8"/>
      <c r="U292" s="8"/>
      <c r="V292" s="8"/>
      <c r="W292" s="16"/>
    </row>
    <row r="293">
      <c r="F293" s="23"/>
      <c r="H293" s="8"/>
      <c r="I293" s="8"/>
      <c r="J293" s="8"/>
      <c r="K293" s="16"/>
      <c r="Q293" s="23"/>
      <c r="S293" s="8"/>
      <c r="T293" s="8"/>
      <c r="U293" s="8"/>
      <c r="V293" s="8"/>
      <c r="W293" s="16"/>
    </row>
    <row r="294">
      <c r="F294" s="23"/>
      <c r="H294" s="8"/>
      <c r="I294" s="8"/>
      <c r="J294" s="8"/>
      <c r="K294" s="16"/>
      <c r="Q294" s="23"/>
      <c r="S294" s="8"/>
      <c r="T294" s="8"/>
      <c r="U294" s="8"/>
      <c r="V294" s="8"/>
      <c r="W294" s="16"/>
    </row>
    <row r="295">
      <c r="F295" s="23"/>
      <c r="H295" s="8"/>
      <c r="I295" s="8"/>
      <c r="J295" s="8"/>
      <c r="K295" s="16"/>
      <c r="Q295" s="23"/>
      <c r="S295" s="8"/>
      <c r="T295" s="8"/>
      <c r="U295" s="8"/>
      <c r="V295" s="8"/>
      <c r="W295" s="16"/>
    </row>
    <row r="296">
      <c r="F296" s="23"/>
      <c r="H296" s="8"/>
      <c r="I296" s="8"/>
      <c r="J296" s="8"/>
      <c r="K296" s="16"/>
      <c r="Q296" s="23"/>
      <c r="S296" s="8"/>
      <c r="T296" s="8"/>
      <c r="U296" s="8"/>
      <c r="V296" s="8"/>
      <c r="W296" s="16"/>
    </row>
    <row r="297">
      <c r="F297" s="23"/>
      <c r="H297" s="8"/>
      <c r="I297" s="8"/>
      <c r="J297" s="8"/>
      <c r="K297" s="16"/>
      <c r="Q297" s="23"/>
      <c r="S297" s="8"/>
      <c r="T297" s="8"/>
      <c r="U297" s="8"/>
      <c r="V297" s="8"/>
      <c r="W297" s="16"/>
    </row>
    <row r="298">
      <c r="F298" s="23"/>
      <c r="H298" s="8"/>
      <c r="I298" s="8"/>
      <c r="J298" s="8"/>
      <c r="K298" s="16"/>
      <c r="Q298" s="23"/>
      <c r="S298" s="8"/>
      <c r="T298" s="8"/>
      <c r="U298" s="8"/>
      <c r="V298" s="8"/>
      <c r="W298" s="16"/>
    </row>
    <row r="299">
      <c r="F299" s="23"/>
      <c r="H299" s="8"/>
      <c r="I299" s="8"/>
      <c r="J299" s="8"/>
      <c r="K299" s="16"/>
      <c r="Q299" s="23"/>
      <c r="S299" s="8"/>
      <c r="T299" s="8"/>
      <c r="U299" s="8"/>
      <c r="V299" s="8"/>
      <c r="W299" s="16"/>
    </row>
    <row r="300">
      <c r="F300" s="23"/>
      <c r="H300" s="8"/>
      <c r="I300" s="8"/>
      <c r="J300" s="8"/>
      <c r="K300" s="16"/>
      <c r="Q300" s="23"/>
      <c r="S300" s="8"/>
      <c r="T300" s="8"/>
      <c r="U300" s="8"/>
      <c r="V300" s="8"/>
      <c r="W300" s="16"/>
    </row>
    <row r="301">
      <c r="F301" s="23"/>
      <c r="H301" s="8"/>
      <c r="I301" s="8"/>
      <c r="J301" s="8"/>
      <c r="K301" s="16"/>
      <c r="Q301" s="23"/>
      <c r="S301" s="8"/>
      <c r="T301" s="8"/>
      <c r="U301" s="8"/>
      <c r="V301" s="8"/>
      <c r="W301" s="16"/>
    </row>
    <row r="302">
      <c r="F302" s="23"/>
      <c r="H302" s="8"/>
      <c r="I302" s="8"/>
      <c r="J302" s="8"/>
      <c r="K302" s="16"/>
      <c r="Q302" s="23"/>
      <c r="S302" s="8"/>
      <c r="T302" s="8"/>
      <c r="U302" s="8"/>
      <c r="V302" s="8"/>
      <c r="W302" s="16"/>
    </row>
    <row r="303">
      <c r="F303" s="23"/>
      <c r="H303" s="8"/>
      <c r="I303" s="8"/>
      <c r="J303" s="8"/>
      <c r="K303" s="16"/>
      <c r="Q303" s="23"/>
      <c r="S303" s="8"/>
      <c r="T303" s="8"/>
      <c r="U303" s="8"/>
      <c r="V303" s="8"/>
      <c r="W303" s="16"/>
    </row>
    <row r="304">
      <c r="F304" s="23"/>
      <c r="H304" s="8"/>
      <c r="I304" s="8"/>
      <c r="J304" s="8"/>
      <c r="K304" s="16"/>
      <c r="Q304" s="23"/>
      <c r="S304" s="8"/>
      <c r="T304" s="8"/>
      <c r="U304" s="8"/>
      <c r="V304" s="8"/>
      <c r="W304" s="16"/>
    </row>
    <row r="305">
      <c r="F305" s="23"/>
      <c r="H305" s="8"/>
      <c r="I305" s="8"/>
      <c r="J305" s="8"/>
      <c r="K305" s="16"/>
      <c r="Q305" s="23"/>
      <c r="S305" s="8"/>
      <c r="T305" s="8"/>
      <c r="U305" s="8"/>
      <c r="V305" s="8"/>
      <c r="W305" s="16"/>
    </row>
    <row r="306">
      <c r="F306" s="23"/>
      <c r="H306" s="8"/>
      <c r="I306" s="8"/>
      <c r="J306" s="8"/>
      <c r="K306" s="16"/>
      <c r="Q306" s="23"/>
      <c r="S306" s="8"/>
      <c r="T306" s="8"/>
      <c r="U306" s="8"/>
      <c r="V306" s="8"/>
      <c r="W306" s="16"/>
    </row>
    <row r="307">
      <c r="F307" s="23"/>
      <c r="H307" s="8"/>
      <c r="I307" s="8"/>
      <c r="J307" s="8"/>
      <c r="K307" s="16"/>
      <c r="Q307" s="23"/>
      <c r="S307" s="8"/>
      <c r="T307" s="8"/>
      <c r="U307" s="8"/>
      <c r="V307" s="8"/>
      <c r="W307" s="16"/>
    </row>
    <row r="308">
      <c r="F308" s="23"/>
      <c r="H308" s="8"/>
      <c r="I308" s="8"/>
      <c r="J308" s="8"/>
      <c r="K308" s="16"/>
      <c r="Q308" s="23"/>
      <c r="S308" s="8"/>
      <c r="T308" s="8"/>
      <c r="U308" s="8"/>
      <c r="V308" s="8"/>
      <c r="W308" s="16"/>
    </row>
    <row r="309">
      <c r="F309" s="23"/>
      <c r="H309" s="8"/>
      <c r="I309" s="8"/>
      <c r="J309" s="8"/>
      <c r="K309" s="16"/>
      <c r="Q309" s="23"/>
      <c r="S309" s="8"/>
      <c r="T309" s="8"/>
      <c r="U309" s="8"/>
      <c r="V309" s="8"/>
      <c r="W309" s="16"/>
    </row>
    <row r="310">
      <c r="F310" s="23"/>
      <c r="H310" s="8"/>
      <c r="I310" s="8"/>
      <c r="J310" s="8"/>
      <c r="K310" s="16"/>
      <c r="Q310" s="23"/>
      <c r="S310" s="8"/>
      <c r="T310" s="8"/>
      <c r="U310" s="8"/>
      <c r="V310" s="8"/>
      <c r="W310" s="16"/>
    </row>
    <row r="311">
      <c r="F311" s="23"/>
      <c r="H311" s="8"/>
      <c r="I311" s="8"/>
      <c r="J311" s="8"/>
      <c r="K311" s="16"/>
      <c r="Q311" s="23"/>
      <c r="S311" s="8"/>
      <c r="T311" s="8"/>
      <c r="U311" s="8"/>
      <c r="V311" s="8"/>
      <c r="W311" s="16"/>
    </row>
    <row r="312">
      <c r="F312" s="23"/>
      <c r="H312" s="8"/>
      <c r="I312" s="8"/>
      <c r="J312" s="8"/>
      <c r="K312" s="16"/>
      <c r="Q312" s="23"/>
      <c r="S312" s="8"/>
      <c r="T312" s="8"/>
      <c r="U312" s="8"/>
      <c r="V312" s="8"/>
      <c r="W312" s="16"/>
    </row>
    <row r="313">
      <c r="F313" s="23"/>
      <c r="H313" s="8"/>
      <c r="I313" s="8"/>
      <c r="J313" s="8"/>
      <c r="K313" s="16"/>
      <c r="Q313" s="23"/>
      <c r="S313" s="8"/>
      <c r="T313" s="8"/>
      <c r="U313" s="8"/>
      <c r="V313" s="8"/>
      <c r="W313" s="16"/>
    </row>
    <row r="314">
      <c r="F314" s="23"/>
      <c r="H314" s="8"/>
      <c r="I314" s="8"/>
      <c r="J314" s="8"/>
      <c r="K314" s="16"/>
      <c r="Q314" s="23"/>
      <c r="S314" s="8"/>
      <c r="T314" s="8"/>
      <c r="U314" s="8"/>
      <c r="V314" s="8"/>
      <c r="W314" s="16"/>
    </row>
    <row r="315">
      <c r="F315" s="23"/>
      <c r="H315" s="8"/>
      <c r="I315" s="8"/>
      <c r="J315" s="8"/>
      <c r="K315" s="16"/>
      <c r="Q315" s="23"/>
      <c r="S315" s="8"/>
      <c r="T315" s="8"/>
      <c r="U315" s="8"/>
      <c r="V315" s="8"/>
      <c r="W315" s="16"/>
    </row>
    <row r="316">
      <c r="F316" s="23"/>
      <c r="H316" s="8"/>
      <c r="I316" s="8"/>
      <c r="J316" s="8"/>
      <c r="K316" s="16"/>
      <c r="Q316" s="23"/>
      <c r="S316" s="8"/>
      <c r="T316" s="8"/>
      <c r="U316" s="8"/>
      <c r="V316" s="8"/>
      <c r="W316" s="16"/>
    </row>
    <row r="317">
      <c r="F317" s="23"/>
      <c r="H317" s="8"/>
      <c r="I317" s="8"/>
      <c r="J317" s="8"/>
      <c r="K317" s="16"/>
      <c r="Q317" s="23"/>
      <c r="S317" s="8"/>
      <c r="T317" s="8"/>
      <c r="U317" s="8"/>
      <c r="V317" s="8"/>
      <c r="W317" s="16"/>
    </row>
    <row r="318">
      <c r="F318" s="23"/>
      <c r="H318" s="8"/>
      <c r="I318" s="8"/>
      <c r="J318" s="8"/>
      <c r="K318" s="16"/>
      <c r="Q318" s="23"/>
      <c r="S318" s="8"/>
      <c r="T318" s="8"/>
      <c r="U318" s="8"/>
      <c r="V318" s="8"/>
      <c r="W318" s="16"/>
    </row>
    <row r="319">
      <c r="F319" s="23"/>
      <c r="H319" s="8"/>
      <c r="I319" s="8"/>
      <c r="J319" s="8"/>
      <c r="K319" s="16"/>
      <c r="Q319" s="23"/>
      <c r="S319" s="8"/>
      <c r="T319" s="8"/>
      <c r="U319" s="8"/>
      <c r="V319" s="8"/>
      <c r="W319" s="16"/>
    </row>
    <row r="320">
      <c r="F320" s="23"/>
      <c r="H320" s="8"/>
      <c r="I320" s="8"/>
      <c r="J320" s="8"/>
      <c r="K320" s="16"/>
      <c r="Q320" s="23"/>
      <c r="S320" s="8"/>
      <c r="T320" s="8"/>
      <c r="U320" s="8"/>
      <c r="V320" s="8"/>
      <c r="W320" s="16"/>
    </row>
    <row r="321">
      <c r="F321" s="23"/>
      <c r="H321" s="8"/>
      <c r="I321" s="8"/>
      <c r="J321" s="8"/>
      <c r="K321" s="16"/>
      <c r="Q321" s="23"/>
      <c r="S321" s="8"/>
      <c r="T321" s="8"/>
      <c r="U321" s="8"/>
      <c r="V321" s="8"/>
      <c r="W321" s="16"/>
    </row>
    <row r="322">
      <c r="F322" s="23"/>
      <c r="H322" s="8"/>
      <c r="I322" s="8"/>
      <c r="J322" s="8"/>
      <c r="K322" s="16"/>
      <c r="Q322" s="23"/>
      <c r="S322" s="8"/>
      <c r="T322" s="8"/>
      <c r="U322" s="8"/>
      <c r="V322" s="8"/>
      <c r="W322" s="16"/>
    </row>
    <row r="323">
      <c r="F323" s="23"/>
      <c r="H323" s="8"/>
      <c r="I323" s="8"/>
      <c r="J323" s="8"/>
      <c r="K323" s="16"/>
      <c r="Q323" s="23"/>
      <c r="S323" s="8"/>
      <c r="T323" s="8"/>
      <c r="U323" s="8"/>
      <c r="V323" s="8"/>
      <c r="W323" s="16"/>
    </row>
    <row r="324">
      <c r="F324" s="23"/>
      <c r="H324" s="8"/>
      <c r="I324" s="8"/>
      <c r="J324" s="8"/>
      <c r="K324" s="16"/>
      <c r="Q324" s="23"/>
      <c r="S324" s="8"/>
      <c r="T324" s="8"/>
      <c r="U324" s="8"/>
      <c r="V324" s="8"/>
      <c r="W324" s="16"/>
    </row>
    <row r="325">
      <c r="F325" s="23"/>
      <c r="H325" s="8"/>
      <c r="I325" s="8"/>
      <c r="J325" s="8"/>
      <c r="K325" s="16"/>
      <c r="Q325" s="23"/>
      <c r="S325" s="8"/>
      <c r="T325" s="8"/>
      <c r="U325" s="8"/>
      <c r="V325" s="8"/>
      <c r="W325" s="16"/>
    </row>
    <row r="326">
      <c r="F326" s="23"/>
      <c r="H326" s="8"/>
      <c r="I326" s="8"/>
      <c r="J326" s="8"/>
      <c r="K326" s="16"/>
      <c r="Q326" s="23"/>
      <c r="S326" s="8"/>
      <c r="T326" s="8"/>
      <c r="U326" s="8"/>
      <c r="V326" s="8"/>
      <c r="W326" s="16"/>
    </row>
    <row r="327">
      <c r="F327" s="23"/>
      <c r="H327" s="8"/>
      <c r="I327" s="8"/>
      <c r="J327" s="8"/>
      <c r="K327" s="16"/>
      <c r="Q327" s="23"/>
      <c r="S327" s="8"/>
      <c r="T327" s="8"/>
      <c r="U327" s="8"/>
      <c r="V327" s="8"/>
      <c r="W327" s="16"/>
    </row>
    <row r="328">
      <c r="F328" s="23"/>
      <c r="H328" s="8"/>
      <c r="I328" s="8"/>
      <c r="J328" s="8"/>
      <c r="K328" s="16"/>
      <c r="Q328" s="23"/>
      <c r="S328" s="8"/>
      <c r="T328" s="8"/>
      <c r="U328" s="8"/>
      <c r="V328" s="8"/>
      <c r="W328" s="16"/>
    </row>
    <row r="329">
      <c r="F329" s="23"/>
      <c r="H329" s="8"/>
      <c r="I329" s="8"/>
      <c r="J329" s="8"/>
      <c r="K329" s="16"/>
      <c r="Q329" s="23"/>
      <c r="S329" s="8"/>
      <c r="T329" s="8"/>
      <c r="U329" s="8"/>
      <c r="V329" s="8"/>
      <c r="W329" s="16"/>
    </row>
    <row r="330">
      <c r="F330" s="23"/>
      <c r="H330" s="8"/>
      <c r="I330" s="8"/>
      <c r="J330" s="8"/>
      <c r="K330" s="16"/>
      <c r="Q330" s="23"/>
      <c r="S330" s="8"/>
      <c r="T330" s="8"/>
      <c r="U330" s="8"/>
      <c r="V330" s="8"/>
      <c r="W330" s="16"/>
    </row>
    <row r="331">
      <c r="F331" s="23"/>
      <c r="H331" s="8"/>
      <c r="I331" s="8"/>
      <c r="J331" s="8"/>
      <c r="K331" s="16"/>
      <c r="Q331" s="23"/>
      <c r="S331" s="8"/>
      <c r="T331" s="8"/>
      <c r="U331" s="8"/>
      <c r="V331" s="8"/>
      <c r="W331" s="16"/>
    </row>
    <row r="332">
      <c r="F332" s="23"/>
      <c r="H332" s="8"/>
      <c r="I332" s="8"/>
      <c r="J332" s="8"/>
      <c r="K332" s="16"/>
      <c r="Q332" s="23"/>
      <c r="S332" s="8"/>
      <c r="T332" s="8"/>
      <c r="U332" s="8"/>
      <c r="V332" s="8"/>
      <c r="W332" s="16"/>
    </row>
    <row r="333">
      <c r="F333" s="23"/>
      <c r="H333" s="8"/>
      <c r="I333" s="8"/>
      <c r="J333" s="8"/>
      <c r="K333" s="16"/>
      <c r="Q333" s="23"/>
      <c r="S333" s="8"/>
      <c r="T333" s="8"/>
      <c r="U333" s="8"/>
      <c r="V333" s="8"/>
      <c r="W333" s="16"/>
    </row>
    <row r="334">
      <c r="F334" s="23"/>
      <c r="H334" s="8"/>
      <c r="I334" s="8"/>
      <c r="J334" s="8"/>
      <c r="K334" s="16"/>
      <c r="Q334" s="23"/>
      <c r="S334" s="8"/>
      <c r="T334" s="8"/>
      <c r="U334" s="8"/>
      <c r="V334" s="8"/>
      <c r="W334" s="16"/>
    </row>
    <row r="335">
      <c r="F335" s="23"/>
      <c r="H335" s="8"/>
      <c r="I335" s="8"/>
      <c r="J335" s="8"/>
      <c r="K335" s="16"/>
      <c r="Q335" s="23"/>
      <c r="S335" s="8"/>
      <c r="T335" s="8"/>
      <c r="U335" s="8"/>
      <c r="V335" s="8"/>
      <c r="W335" s="16"/>
    </row>
    <row r="336">
      <c r="F336" s="23"/>
      <c r="H336" s="8"/>
      <c r="I336" s="8"/>
      <c r="J336" s="8"/>
      <c r="K336" s="16"/>
      <c r="Q336" s="23"/>
      <c r="S336" s="8"/>
      <c r="T336" s="8"/>
      <c r="U336" s="8"/>
      <c r="V336" s="8"/>
      <c r="W336" s="16"/>
    </row>
    <row r="337">
      <c r="F337" s="23"/>
      <c r="H337" s="8"/>
      <c r="I337" s="8"/>
      <c r="J337" s="8"/>
      <c r="K337" s="16"/>
      <c r="Q337" s="23"/>
      <c r="S337" s="8"/>
      <c r="T337" s="8"/>
      <c r="U337" s="8"/>
      <c r="V337" s="8"/>
      <c r="W337" s="16"/>
    </row>
    <row r="338">
      <c r="F338" s="23"/>
      <c r="H338" s="8"/>
      <c r="I338" s="8"/>
      <c r="J338" s="8"/>
      <c r="K338" s="16"/>
      <c r="Q338" s="23"/>
      <c r="S338" s="8"/>
      <c r="T338" s="8"/>
      <c r="U338" s="8"/>
      <c r="V338" s="8"/>
      <c r="W338" s="16"/>
    </row>
    <row r="339">
      <c r="F339" s="23"/>
      <c r="H339" s="8"/>
      <c r="I339" s="8"/>
      <c r="J339" s="8"/>
      <c r="K339" s="16"/>
      <c r="Q339" s="23"/>
      <c r="S339" s="8"/>
      <c r="T339" s="8"/>
      <c r="U339" s="8"/>
      <c r="V339" s="8"/>
      <c r="W339" s="16"/>
    </row>
    <row r="340">
      <c r="F340" s="23"/>
      <c r="H340" s="8"/>
      <c r="I340" s="8"/>
      <c r="J340" s="8"/>
      <c r="K340" s="16"/>
      <c r="Q340" s="23"/>
      <c r="S340" s="8"/>
      <c r="T340" s="8"/>
      <c r="U340" s="8"/>
      <c r="V340" s="8"/>
      <c r="W340" s="16"/>
    </row>
    <row r="341">
      <c r="F341" s="23"/>
      <c r="H341" s="8"/>
      <c r="I341" s="8"/>
      <c r="J341" s="8"/>
      <c r="K341" s="16"/>
      <c r="Q341" s="23"/>
      <c r="S341" s="8"/>
      <c r="T341" s="8"/>
      <c r="U341" s="8"/>
      <c r="V341" s="8"/>
      <c r="W341" s="16"/>
    </row>
    <row r="342">
      <c r="F342" s="23"/>
      <c r="H342" s="8"/>
      <c r="I342" s="8"/>
      <c r="J342" s="8"/>
      <c r="K342" s="16"/>
      <c r="Q342" s="23"/>
      <c r="S342" s="8"/>
      <c r="T342" s="8"/>
      <c r="U342" s="8"/>
      <c r="V342" s="8"/>
      <c r="W342" s="16"/>
    </row>
    <row r="343">
      <c r="F343" s="23"/>
      <c r="H343" s="8"/>
      <c r="I343" s="8"/>
      <c r="J343" s="8"/>
      <c r="K343" s="16"/>
      <c r="Q343" s="23"/>
      <c r="S343" s="8"/>
      <c r="T343" s="8"/>
      <c r="U343" s="8"/>
      <c r="V343" s="8"/>
      <c r="W343" s="16"/>
    </row>
    <row r="344">
      <c r="F344" s="23"/>
      <c r="H344" s="8"/>
      <c r="I344" s="8"/>
      <c r="J344" s="8"/>
      <c r="K344" s="16"/>
      <c r="Q344" s="23"/>
      <c r="S344" s="8"/>
      <c r="T344" s="8"/>
      <c r="U344" s="8"/>
      <c r="V344" s="8"/>
      <c r="W344" s="16"/>
    </row>
    <row r="345">
      <c r="F345" s="23"/>
      <c r="H345" s="8"/>
      <c r="I345" s="8"/>
      <c r="J345" s="8"/>
      <c r="K345" s="16"/>
      <c r="Q345" s="23"/>
      <c r="S345" s="8"/>
      <c r="T345" s="8"/>
      <c r="U345" s="8"/>
      <c r="V345" s="8"/>
      <c r="W345" s="16"/>
    </row>
    <row r="346">
      <c r="F346" s="23"/>
      <c r="H346" s="8"/>
      <c r="I346" s="8"/>
      <c r="J346" s="8"/>
      <c r="K346" s="16"/>
      <c r="Q346" s="23"/>
      <c r="S346" s="8"/>
      <c r="T346" s="8"/>
      <c r="U346" s="8"/>
      <c r="V346" s="8"/>
      <c r="W346" s="16"/>
    </row>
    <row r="347">
      <c r="F347" s="23"/>
      <c r="H347" s="8"/>
      <c r="I347" s="8"/>
      <c r="J347" s="8"/>
      <c r="K347" s="16"/>
      <c r="Q347" s="23"/>
      <c r="S347" s="8"/>
      <c r="T347" s="8"/>
      <c r="U347" s="8"/>
      <c r="V347" s="8"/>
      <c r="W347" s="16"/>
    </row>
    <row r="348">
      <c r="F348" s="23"/>
      <c r="H348" s="8"/>
      <c r="I348" s="8"/>
      <c r="J348" s="8"/>
      <c r="K348" s="16"/>
      <c r="Q348" s="23"/>
      <c r="S348" s="8"/>
      <c r="T348" s="8"/>
      <c r="U348" s="8"/>
      <c r="V348" s="8"/>
      <c r="W348" s="16"/>
    </row>
    <row r="349">
      <c r="F349" s="23"/>
      <c r="H349" s="8"/>
      <c r="I349" s="8"/>
      <c r="J349" s="8"/>
      <c r="K349" s="16"/>
      <c r="Q349" s="23"/>
      <c r="S349" s="8"/>
      <c r="T349" s="8"/>
      <c r="U349" s="8"/>
      <c r="V349" s="8"/>
      <c r="W349" s="16"/>
    </row>
    <row r="350">
      <c r="F350" s="23"/>
      <c r="H350" s="8"/>
      <c r="I350" s="8"/>
      <c r="J350" s="8"/>
      <c r="K350" s="16"/>
      <c r="Q350" s="23"/>
      <c r="S350" s="8"/>
      <c r="T350" s="8"/>
      <c r="U350" s="8"/>
      <c r="V350" s="8"/>
      <c r="W350" s="16"/>
    </row>
    <row r="351">
      <c r="F351" s="23"/>
      <c r="H351" s="8"/>
      <c r="I351" s="8"/>
      <c r="J351" s="8"/>
      <c r="K351" s="16"/>
      <c r="Q351" s="23"/>
      <c r="S351" s="8"/>
      <c r="T351" s="8"/>
      <c r="U351" s="8"/>
      <c r="V351" s="8"/>
      <c r="W351" s="16"/>
    </row>
    <row r="352">
      <c r="F352" s="23"/>
      <c r="H352" s="8"/>
      <c r="I352" s="8"/>
      <c r="J352" s="8"/>
      <c r="K352" s="16"/>
      <c r="Q352" s="23"/>
      <c r="S352" s="8"/>
      <c r="T352" s="8"/>
      <c r="U352" s="8"/>
      <c r="V352" s="8"/>
      <c r="W352" s="16"/>
    </row>
    <row r="353">
      <c r="F353" s="23"/>
      <c r="H353" s="8"/>
      <c r="I353" s="8"/>
      <c r="J353" s="8"/>
      <c r="K353" s="16"/>
      <c r="Q353" s="23"/>
      <c r="S353" s="8"/>
      <c r="T353" s="8"/>
      <c r="U353" s="8"/>
      <c r="V353" s="8"/>
      <c r="W353" s="16"/>
    </row>
    <row r="354">
      <c r="F354" s="23"/>
      <c r="H354" s="8"/>
      <c r="I354" s="8"/>
      <c r="J354" s="8"/>
      <c r="K354" s="16"/>
      <c r="Q354" s="23"/>
      <c r="S354" s="8"/>
      <c r="T354" s="8"/>
      <c r="U354" s="8"/>
      <c r="V354" s="8"/>
      <c r="W354" s="16"/>
    </row>
    <row r="355">
      <c r="F355" s="23"/>
      <c r="H355" s="8"/>
      <c r="I355" s="8"/>
      <c r="J355" s="8"/>
      <c r="K355" s="16"/>
      <c r="Q355" s="23"/>
      <c r="S355" s="8"/>
      <c r="T355" s="8"/>
      <c r="U355" s="8"/>
      <c r="V355" s="8"/>
      <c r="W355" s="16"/>
    </row>
    <row r="356">
      <c r="F356" s="23"/>
      <c r="H356" s="8"/>
      <c r="I356" s="8"/>
      <c r="J356" s="8"/>
      <c r="K356" s="16"/>
      <c r="Q356" s="23"/>
      <c r="S356" s="8"/>
      <c r="T356" s="8"/>
      <c r="U356" s="8"/>
      <c r="V356" s="8"/>
      <c r="W356" s="16"/>
    </row>
    <row r="357">
      <c r="F357" s="23"/>
      <c r="H357" s="8"/>
      <c r="I357" s="8"/>
      <c r="J357" s="8"/>
      <c r="K357" s="16"/>
      <c r="Q357" s="23"/>
      <c r="S357" s="8"/>
      <c r="T357" s="8"/>
      <c r="U357" s="8"/>
      <c r="V357" s="8"/>
      <c r="W357" s="16"/>
    </row>
    <row r="358">
      <c r="F358" s="23"/>
      <c r="H358" s="8"/>
      <c r="I358" s="8"/>
      <c r="J358" s="8"/>
      <c r="K358" s="16"/>
      <c r="Q358" s="23"/>
      <c r="S358" s="8"/>
      <c r="T358" s="8"/>
      <c r="U358" s="8"/>
      <c r="V358" s="8"/>
      <c r="W358" s="16"/>
    </row>
    <row r="359">
      <c r="F359" s="23"/>
      <c r="H359" s="8"/>
      <c r="I359" s="8"/>
      <c r="J359" s="8"/>
      <c r="K359" s="16"/>
      <c r="Q359" s="23"/>
      <c r="S359" s="8"/>
      <c r="T359" s="8"/>
      <c r="U359" s="8"/>
      <c r="V359" s="8"/>
      <c r="W359" s="16"/>
    </row>
    <row r="360">
      <c r="F360" s="23"/>
      <c r="H360" s="8"/>
      <c r="I360" s="8"/>
      <c r="J360" s="8"/>
      <c r="K360" s="16"/>
      <c r="Q360" s="23"/>
      <c r="S360" s="8"/>
      <c r="T360" s="8"/>
      <c r="U360" s="8"/>
      <c r="V360" s="8"/>
      <c r="W360" s="16"/>
    </row>
    <row r="361">
      <c r="F361" s="23"/>
      <c r="H361" s="8"/>
      <c r="I361" s="8"/>
      <c r="J361" s="8"/>
      <c r="K361" s="16"/>
      <c r="Q361" s="23"/>
      <c r="S361" s="8"/>
      <c r="T361" s="8"/>
      <c r="U361" s="8"/>
      <c r="V361" s="8"/>
      <c r="W361" s="16"/>
    </row>
    <row r="362">
      <c r="F362" s="23"/>
      <c r="H362" s="8"/>
      <c r="I362" s="8"/>
      <c r="J362" s="8"/>
      <c r="K362" s="16"/>
      <c r="Q362" s="23"/>
      <c r="S362" s="8"/>
      <c r="T362" s="8"/>
      <c r="U362" s="8"/>
      <c r="V362" s="8"/>
      <c r="W362" s="16"/>
    </row>
    <row r="363">
      <c r="F363" s="23"/>
      <c r="H363" s="8"/>
      <c r="I363" s="8"/>
      <c r="J363" s="8"/>
      <c r="K363" s="16"/>
      <c r="Q363" s="23"/>
      <c r="S363" s="8"/>
      <c r="T363" s="8"/>
      <c r="U363" s="8"/>
      <c r="V363" s="8"/>
      <c r="W363" s="16"/>
    </row>
    <row r="364">
      <c r="F364" s="23"/>
      <c r="H364" s="8"/>
      <c r="I364" s="8"/>
      <c r="J364" s="8"/>
      <c r="K364" s="16"/>
      <c r="Q364" s="23"/>
      <c r="S364" s="8"/>
      <c r="T364" s="8"/>
      <c r="U364" s="8"/>
      <c r="V364" s="8"/>
      <c r="W364" s="16"/>
    </row>
    <row r="365">
      <c r="F365" s="23"/>
      <c r="H365" s="8"/>
      <c r="I365" s="8"/>
      <c r="J365" s="8"/>
      <c r="K365" s="16"/>
      <c r="Q365" s="23"/>
      <c r="S365" s="8"/>
      <c r="T365" s="8"/>
      <c r="U365" s="8"/>
      <c r="V365" s="8"/>
      <c r="W365" s="16"/>
    </row>
    <row r="366">
      <c r="F366" s="23"/>
      <c r="H366" s="8"/>
      <c r="I366" s="8"/>
      <c r="J366" s="8"/>
      <c r="K366" s="16"/>
      <c r="Q366" s="23"/>
      <c r="S366" s="8"/>
      <c r="T366" s="8"/>
      <c r="U366" s="8"/>
      <c r="V366" s="8"/>
      <c r="W366" s="16"/>
    </row>
    <row r="367">
      <c r="F367" s="23"/>
      <c r="H367" s="8"/>
      <c r="I367" s="8"/>
      <c r="J367" s="8"/>
      <c r="K367" s="16"/>
      <c r="Q367" s="23"/>
      <c r="S367" s="8"/>
      <c r="T367" s="8"/>
      <c r="U367" s="8"/>
      <c r="V367" s="8"/>
      <c r="W367" s="16"/>
    </row>
    <row r="368">
      <c r="F368" s="23"/>
      <c r="H368" s="8"/>
      <c r="I368" s="8"/>
      <c r="J368" s="8"/>
      <c r="K368" s="16"/>
      <c r="Q368" s="23"/>
      <c r="S368" s="8"/>
      <c r="T368" s="8"/>
      <c r="U368" s="8"/>
      <c r="V368" s="8"/>
      <c r="W368" s="16"/>
    </row>
    <row r="369">
      <c r="F369" s="23"/>
      <c r="H369" s="8"/>
      <c r="I369" s="8"/>
      <c r="J369" s="8"/>
      <c r="K369" s="16"/>
      <c r="Q369" s="23"/>
      <c r="S369" s="8"/>
      <c r="T369" s="8"/>
      <c r="U369" s="8"/>
      <c r="V369" s="8"/>
      <c r="W369" s="16"/>
    </row>
    <row r="370">
      <c r="F370" s="23"/>
      <c r="H370" s="8"/>
      <c r="I370" s="8"/>
      <c r="J370" s="8"/>
      <c r="K370" s="16"/>
      <c r="Q370" s="23"/>
      <c r="S370" s="8"/>
      <c r="T370" s="8"/>
      <c r="U370" s="8"/>
      <c r="V370" s="8"/>
      <c r="W370" s="16"/>
    </row>
    <row r="371">
      <c r="F371" s="23"/>
      <c r="H371" s="8"/>
      <c r="I371" s="8"/>
      <c r="J371" s="8"/>
      <c r="K371" s="16"/>
      <c r="Q371" s="23"/>
      <c r="S371" s="8"/>
      <c r="T371" s="8"/>
      <c r="U371" s="8"/>
      <c r="V371" s="8"/>
      <c r="W371" s="16"/>
    </row>
    <row r="372">
      <c r="F372" s="23"/>
      <c r="H372" s="8"/>
      <c r="I372" s="8"/>
      <c r="J372" s="8"/>
      <c r="K372" s="16"/>
      <c r="Q372" s="23"/>
      <c r="S372" s="8"/>
      <c r="T372" s="8"/>
      <c r="U372" s="8"/>
      <c r="V372" s="8"/>
      <c r="W372" s="16"/>
    </row>
    <row r="373">
      <c r="F373" s="23"/>
      <c r="H373" s="8"/>
      <c r="I373" s="8"/>
      <c r="J373" s="8"/>
      <c r="K373" s="16"/>
      <c r="Q373" s="23"/>
      <c r="S373" s="8"/>
      <c r="T373" s="8"/>
      <c r="U373" s="8"/>
      <c r="V373" s="8"/>
      <c r="W373" s="16"/>
    </row>
    <row r="374">
      <c r="F374" s="23"/>
      <c r="H374" s="8"/>
      <c r="I374" s="8"/>
      <c r="J374" s="8"/>
      <c r="K374" s="16"/>
      <c r="Q374" s="23"/>
      <c r="S374" s="8"/>
      <c r="T374" s="8"/>
      <c r="U374" s="8"/>
      <c r="V374" s="8"/>
      <c r="W374" s="16"/>
    </row>
    <row r="375">
      <c r="F375" s="23"/>
      <c r="H375" s="8"/>
      <c r="I375" s="8"/>
      <c r="J375" s="8"/>
      <c r="K375" s="16"/>
      <c r="Q375" s="23"/>
      <c r="S375" s="8"/>
      <c r="T375" s="8"/>
      <c r="U375" s="8"/>
      <c r="V375" s="8"/>
      <c r="W375" s="16"/>
    </row>
    <row r="376">
      <c r="F376" s="23"/>
      <c r="H376" s="8"/>
      <c r="I376" s="8"/>
      <c r="J376" s="8"/>
      <c r="K376" s="16"/>
      <c r="Q376" s="23"/>
      <c r="S376" s="8"/>
      <c r="T376" s="8"/>
      <c r="U376" s="8"/>
      <c r="V376" s="8"/>
      <c r="W376" s="16"/>
    </row>
    <row r="377">
      <c r="F377" s="23"/>
      <c r="H377" s="8"/>
      <c r="I377" s="8"/>
      <c r="J377" s="8"/>
      <c r="K377" s="16"/>
      <c r="Q377" s="23"/>
      <c r="S377" s="8"/>
      <c r="T377" s="8"/>
      <c r="U377" s="8"/>
      <c r="V377" s="8"/>
      <c r="W377" s="16"/>
    </row>
    <row r="378">
      <c r="F378" s="23"/>
      <c r="H378" s="8"/>
      <c r="I378" s="8"/>
      <c r="J378" s="8"/>
      <c r="K378" s="16"/>
      <c r="Q378" s="23"/>
      <c r="S378" s="8"/>
      <c r="T378" s="8"/>
      <c r="U378" s="8"/>
      <c r="V378" s="8"/>
      <c r="W378" s="16"/>
    </row>
    <row r="379">
      <c r="F379" s="23"/>
      <c r="H379" s="8"/>
      <c r="I379" s="8"/>
      <c r="J379" s="8"/>
      <c r="K379" s="16"/>
      <c r="Q379" s="23"/>
      <c r="S379" s="8"/>
      <c r="T379" s="8"/>
      <c r="U379" s="8"/>
      <c r="V379" s="8"/>
      <c r="W379" s="16"/>
    </row>
    <row r="380">
      <c r="F380" s="23"/>
      <c r="H380" s="8"/>
      <c r="I380" s="8"/>
      <c r="J380" s="8"/>
      <c r="K380" s="16"/>
      <c r="Q380" s="23"/>
      <c r="S380" s="8"/>
      <c r="T380" s="8"/>
      <c r="U380" s="8"/>
      <c r="V380" s="8"/>
      <c r="W380" s="16"/>
    </row>
    <row r="381">
      <c r="F381" s="23"/>
      <c r="H381" s="8"/>
      <c r="I381" s="8"/>
      <c r="J381" s="8"/>
      <c r="K381" s="16"/>
      <c r="Q381" s="23"/>
      <c r="S381" s="8"/>
      <c r="T381" s="8"/>
      <c r="U381" s="8"/>
      <c r="V381" s="8"/>
      <c r="W381" s="16"/>
    </row>
    <row r="382">
      <c r="F382" s="23"/>
      <c r="H382" s="8"/>
      <c r="I382" s="8"/>
      <c r="J382" s="8"/>
      <c r="K382" s="16"/>
      <c r="Q382" s="23"/>
      <c r="S382" s="8"/>
      <c r="T382" s="8"/>
      <c r="U382" s="8"/>
      <c r="V382" s="8"/>
      <c r="W382" s="16"/>
    </row>
    <row r="383">
      <c r="F383" s="23"/>
      <c r="H383" s="8"/>
      <c r="I383" s="8"/>
      <c r="J383" s="8"/>
      <c r="K383" s="16"/>
      <c r="Q383" s="23"/>
      <c r="S383" s="8"/>
      <c r="T383" s="8"/>
      <c r="U383" s="8"/>
      <c r="V383" s="8"/>
      <c r="W383" s="16"/>
    </row>
    <row r="384">
      <c r="F384" s="23"/>
      <c r="H384" s="8"/>
      <c r="I384" s="8"/>
      <c r="J384" s="8"/>
      <c r="K384" s="16"/>
      <c r="Q384" s="23"/>
      <c r="S384" s="8"/>
      <c r="T384" s="8"/>
      <c r="U384" s="8"/>
      <c r="V384" s="8"/>
      <c r="W384" s="16"/>
    </row>
    <row r="385">
      <c r="F385" s="23"/>
      <c r="H385" s="8"/>
      <c r="I385" s="8"/>
      <c r="J385" s="8"/>
      <c r="K385" s="16"/>
      <c r="Q385" s="23"/>
      <c r="S385" s="8"/>
      <c r="T385" s="8"/>
      <c r="U385" s="8"/>
      <c r="V385" s="8"/>
      <c r="W385" s="16"/>
    </row>
    <row r="386">
      <c r="F386" s="23"/>
      <c r="H386" s="8"/>
      <c r="I386" s="8"/>
      <c r="J386" s="8"/>
      <c r="K386" s="16"/>
      <c r="Q386" s="23"/>
      <c r="S386" s="8"/>
      <c r="T386" s="8"/>
      <c r="U386" s="8"/>
      <c r="V386" s="8"/>
      <c r="W386" s="16"/>
    </row>
    <row r="387">
      <c r="F387" s="23"/>
      <c r="H387" s="8"/>
      <c r="I387" s="8"/>
      <c r="J387" s="8"/>
      <c r="K387" s="16"/>
      <c r="Q387" s="23"/>
      <c r="S387" s="8"/>
      <c r="T387" s="8"/>
      <c r="U387" s="8"/>
      <c r="V387" s="8"/>
      <c r="W387" s="16"/>
    </row>
    <row r="388">
      <c r="F388" s="23"/>
      <c r="H388" s="8"/>
      <c r="I388" s="8"/>
      <c r="J388" s="8"/>
      <c r="K388" s="16"/>
      <c r="Q388" s="23"/>
      <c r="S388" s="8"/>
      <c r="T388" s="8"/>
      <c r="U388" s="8"/>
      <c r="V388" s="8"/>
      <c r="W388" s="16"/>
    </row>
    <row r="389">
      <c r="F389" s="23"/>
      <c r="H389" s="8"/>
      <c r="I389" s="8"/>
      <c r="J389" s="8"/>
      <c r="K389" s="16"/>
      <c r="Q389" s="23"/>
      <c r="S389" s="8"/>
      <c r="T389" s="8"/>
      <c r="U389" s="8"/>
      <c r="V389" s="8"/>
      <c r="W389" s="16"/>
    </row>
    <row r="390">
      <c r="F390" s="23"/>
      <c r="H390" s="8"/>
      <c r="I390" s="8"/>
      <c r="J390" s="8"/>
      <c r="K390" s="16"/>
      <c r="Q390" s="23"/>
      <c r="S390" s="8"/>
      <c r="T390" s="8"/>
      <c r="U390" s="8"/>
      <c r="V390" s="8"/>
      <c r="W390" s="16"/>
    </row>
    <row r="391">
      <c r="F391" s="23"/>
      <c r="H391" s="8"/>
      <c r="I391" s="8"/>
      <c r="J391" s="8"/>
      <c r="K391" s="16"/>
      <c r="Q391" s="23"/>
      <c r="S391" s="8"/>
      <c r="T391" s="8"/>
      <c r="U391" s="8"/>
      <c r="V391" s="8"/>
      <c r="W391" s="16"/>
    </row>
    <row r="392">
      <c r="F392" s="23"/>
      <c r="H392" s="8"/>
      <c r="I392" s="8"/>
      <c r="J392" s="8"/>
      <c r="K392" s="16"/>
      <c r="Q392" s="23"/>
      <c r="S392" s="8"/>
      <c r="T392" s="8"/>
      <c r="U392" s="8"/>
      <c r="V392" s="8"/>
      <c r="W392" s="16"/>
    </row>
    <row r="393">
      <c r="F393" s="23"/>
      <c r="H393" s="8"/>
      <c r="I393" s="8"/>
      <c r="J393" s="8"/>
      <c r="K393" s="16"/>
      <c r="Q393" s="23"/>
      <c r="S393" s="8"/>
      <c r="T393" s="8"/>
      <c r="U393" s="8"/>
      <c r="V393" s="8"/>
      <c r="W393" s="16"/>
    </row>
    <row r="394">
      <c r="F394" s="23"/>
      <c r="H394" s="8"/>
      <c r="I394" s="8"/>
      <c r="J394" s="8"/>
      <c r="K394" s="16"/>
      <c r="Q394" s="23"/>
      <c r="S394" s="8"/>
      <c r="T394" s="8"/>
      <c r="U394" s="8"/>
      <c r="V394" s="8"/>
      <c r="W394" s="16"/>
    </row>
    <row r="395">
      <c r="F395" s="23"/>
      <c r="H395" s="8"/>
      <c r="I395" s="8"/>
      <c r="J395" s="8"/>
      <c r="K395" s="16"/>
      <c r="Q395" s="23"/>
      <c r="S395" s="8"/>
      <c r="T395" s="8"/>
      <c r="U395" s="8"/>
      <c r="V395" s="8"/>
      <c r="W395" s="16"/>
    </row>
    <row r="396">
      <c r="F396" s="23"/>
      <c r="H396" s="8"/>
      <c r="I396" s="8"/>
      <c r="J396" s="8"/>
      <c r="K396" s="16"/>
      <c r="Q396" s="23"/>
      <c r="S396" s="8"/>
      <c r="T396" s="8"/>
      <c r="U396" s="8"/>
      <c r="V396" s="8"/>
      <c r="W396" s="16"/>
    </row>
    <row r="397">
      <c r="F397" s="23"/>
      <c r="H397" s="8"/>
      <c r="I397" s="8"/>
      <c r="J397" s="8"/>
      <c r="K397" s="16"/>
      <c r="Q397" s="23"/>
      <c r="S397" s="8"/>
      <c r="T397" s="8"/>
      <c r="U397" s="8"/>
      <c r="V397" s="8"/>
      <c r="W397" s="16"/>
    </row>
    <row r="398">
      <c r="F398" s="23"/>
      <c r="H398" s="8"/>
      <c r="I398" s="8"/>
      <c r="J398" s="8"/>
      <c r="K398" s="16"/>
      <c r="Q398" s="23"/>
      <c r="S398" s="8"/>
      <c r="T398" s="8"/>
      <c r="U398" s="8"/>
      <c r="V398" s="8"/>
      <c r="W398" s="16"/>
    </row>
    <row r="399">
      <c r="F399" s="23"/>
      <c r="H399" s="8"/>
      <c r="I399" s="8"/>
      <c r="J399" s="8"/>
      <c r="K399" s="16"/>
      <c r="Q399" s="23"/>
      <c r="S399" s="8"/>
      <c r="T399" s="8"/>
      <c r="U399" s="8"/>
      <c r="V399" s="8"/>
      <c r="W399" s="16"/>
    </row>
    <row r="400">
      <c r="F400" s="23"/>
      <c r="H400" s="8"/>
      <c r="I400" s="8"/>
      <c r="J400" s="8"/>
      <c r="K400" s="16"/>
      <c r="Q400" s="23"/>
      <c r="S400" s="8"/>
      <c r="T400" s="8"/>
      <c r="U400" s="8"/>
      <c r="V400" s="8"/>
      <c r="W400" s="16"/>
    </row>
    <row r="401">
      <c r="F401" s="23"/>
      <c r="H401" s="8"/>
      <c r="I401" s="8"/>
      <c r="J401" s="8"/>
      <c r="K401" s="16"/>
      <c r="Q401" s="23"/>
      <c r="S401" s="8"/>
      <c r="T401" s="8"/>
      <c r="U401" s="8"/>
      <c r="V401" s="8"/>
      <c r="W401" s="16"/>
    </row>
    <row r="402">
      <c r="F402" s="23"/>
      <c r="H402" s="8"/>
      <c r="I402" s="8"/>
      <c r="J402" s="8"/>
      <c r="K402" s="16"/>
      <c r="Q402" s="23"/>
      <c r="S402" s="8"/>
      <c r="T402" s="8"/>
      <c r="U402" s="8"/>
      <c r="V402" s="8"/>
      <c r="W402" s="16"/>
    </row>
    <row r="403">
      <c r="F403" s="23"/>
      <c r="H403" s="8"/>
      <c r="I403" s="8"/>
      <c r="J403" s="8"/>
      <c r="K403" s="16"/>
      <c r="Q403" s="23"/>
      <c r="S403" s="8"/>
      <c r="T403" s="8"/>
      <c r="U403" s="8"/>
      <c r="V403" s="8"/>
      <c r="W403" s="16"/>
    </row>
    <row r="404">
      <c r="F404" s="23"/>
      <c r="H404" s="8"/>
      <c r="I404" s="8"/>
      <c r="J404" s="8"/>
      <c r="K404" s="16"/>
      <c r="Q404" s="23"/>
      <c r="S404" s="8"/>
      <c r="T404" s="8"/>
      <c r="U404" s="8"/>
      <c r="V404" s="8"/>
      <c r="W404" s="16"/>
    </row>
    <row r="405">
      <c r="F405" s="23"/>
      <c r="H405" s="8"/>
      <c r="I405" s="8"/>
      <c r="J405" s="8"/>
      <c r="K405" s="16"/>
      <c r="Q405" s="23"/>
      <c r="S405" s="8"/>
      <c r="T405" s="8"/>
      <c r="U405" s="8"/>
      <c r="V405" s="8"/>
      <c r="W405" s="16"/>
    </row>
    <row r="406">
      <c r="F406" s="23"/>
      <c r="H406" s="8"/>
      <c r="I406" s="8"/>
      <c r="J406" s="8"/>
      <c r="K406" s="16"/>
      <c r="Q406" s="23"/>
      <c r="S406" s="8"/>
      <c r="T406" s="8"/>
      <c r="U406" s="8"/>
      <c r="V406" s="8"/>
      <c r="W406" s="16"/>
    </row>
    <row r="407">
      <c r="F407" s="23"/>
      <c r="H407" s="8"/>
      <c r="I407" s="8"/>
      <c r="J407" s="8"/>
      <c r="K407" s="16"/>
      <c r="Q407" s="23"/>
      <c r="S407" s="8"/>
      <c r="T407" s="8"/>
      <c r="U407" s="8"/>
      <c r="V407" s="8"/>
      <c r="W407" s="16"/>
    </row>
    <row r="408">
      <c r="F408" s="23"/>
      <c r="H408" s="8"/>
      <c r="I408" s="8"/>
      <c r="J408" s="8"/>
      <c r="K408" s="16"/>
      <c r="Q408" s="23"/>
      <c r="S408" s="8"/>
      <c r="T408" s="8"/>
      <c r="U408" s="8"/>
      <c r="V408" s="8"/>
      <c r="W408" s="16"/>
    </row>
    <row r="409">
      <c r="F409" s="23"/>
      <c r="H409" s="8"/>
      <c r="I409" s="8"/>
      <c r="J409" s="8"/>
      <c r="K409" s="16"/>
      <c r="Q409" s="23"/>
      <c r="S409" s="8"/>
      <c r="T409" s="8"/>
      <c r="U409" s="8"/>
      <c r="V409" s="8"/>
      <c r="W409" s="16"/>
    </row>
    <row r="410">
      <c r="F410" s="23"/>
      <c r="H410" s="8"/>
      <c r="I410" s="8"/>
      <c r="J410" s="8"/>
      <c r="K410" s="16"/>
      <c r="Q410" s="23"/>
      <c r="S410" s="8"/>
      <c r="T410" s="8"/>
      <c r="U410" s="8"/>
      <c r="V410" s="8"/>
      <c r="W410" s="16"/>
    </row>
    <row r="411">
      <c r="F411" s="23"/>
      <c r="H411" s="8"/>
      <c r="I411" s="8"/>
      <c r="J411" s="8"/>
      <c r="K411" s="16"/>
      <c r="Q411" s="23"/>
      <c r="S411" s="8"/>
      <c r="T411" s="8"/>
      <c r="U411" s="8"/>
      <c r="V411" s="8"/>
      <c r="W411" s="16"/>
    </row>
    <row r="412">
      <c r="F412" s="23"/>
      <c r="H412" s="8"/>
      <c r="I412" s="8"/>
      <c r="J412" s="8"/>
      <c r="K412" s="16"/>
      <c r="Q412" s="23"/>
      <c r="S412" s="8"/>
      <c r="T412" s="8"/>
      <c r="U412" s="8"/>
      <c r="V412" s="8"/>
      <c r="W412" s="16"/>
    </row>
    <row r="413">
      <c r="F413" s="23"/>
      <c r="H413" s="8"/>
      <c r="I413" s="8"/>
      <c r="J413" s="8"/>
      <c r="K413" s="16"/>
      <c r="Q413" s="23"/>
      <c r="S413" s="8"/>
      <c r="T413" s="8"/>
      <c r="U413" s="8"/>
      <c r="V413" s="8"/>
      <c r="W413" s="16"/>
    </row>
    <row r="414">
      <c r="F414" s="23"/>
      <c r="H414" s="8"/>
      <c r="I414" s="8"/>
      <c r="J414" s="8"/>
      <c r="K414" s="16"/>
      <c r="Q414" s="23"/>
      <c r="S414" s="8"/>
      <c r="T414" s="8"/>
      <c r="U414" s="8"/>
      <c r="V414" s="8"/>
      <c r="W414" s="16"/>
    </row>
    <row r="415">
      <c r="F415" s="23"/>
      <c r="H415" s="8"/>
      <c r="I415" s="8"/>
      <c r="J415" s="8"/>
      <c r="K415" s="16"/>
      <c r="Q415" s="23"/>
      <c r="S415" s="8"/>
      <c r="T415" s="8"/>
      <c r="U415" s="8"/>
      <c r="V415" s="8"/>
      <c r="W415" s="16"/>
    </row>
    <row r="416">
      <c r="F416" s="23"/>
      <c r="H416" s="8"/>
      <c r="I416" s="8"/>
      <c r="J416" s="8"/>
      <c r="K416" s="16"/>
      <c r="Q416" s="23"/>
      <c r="S416" s="8"/>
      <c r="T416" s="8"/>
      <c r="U416" s="8"/>
      <c r="V416" s="8"/>
      <c r="W416" s="16"/>
    </row>
    <row r="417">
      <c r="F417" s="23"/>
      <c r="H417" s="8"/>
      <c r="I417" s="8"/>
      <c r="J417" s="8"/>
      <c r="K417" s="16"/>
      <c r="Q417" s="23"/>
      <c r="S417" s="8"/>
      <c r="T417" s="8"/>
      <c r="U417" s="8"/>
      <c r="V417" s="8"/>
      <c r="W417" s="16"/>
    </row>
    <row r="418">
      <c r="F418" s="23"/>
      <c r="H418" s="8"/>
      <c r="I418" s="8"/>
      <c r="J418" s="8"/>
      <c r="K418" s="16"/>
      <c r="Q418" s="23"/>
      <c r="S418" s="8"/>
      <c r="T418" s="8"/>
      <c r="U418" s="8"/>
      <c r="V418" s="8"/>
      <c r="W418" s="16"/>
    </row>
    <row r="419">
      <c r="F419" s="23"/>
      <c r="H419" s="8"/>
      <c r="I419" s="8"/>
      <c r="J419" s="8"/>
      <c r="K419" s="16"/>
      <c r="Q419" s="23"/>
      <c r="S419" s="8"/>
      <c r="T419" s="8"/>
      <c r="U419" s="8"/>
      <c r="V419" s="8"/>
      <c r="W419" s="16"/>
    </row>
    <row r="420">
      <c r="F420" s="23"/>
      <c r="H420" s="8"/>
      <c r="I420" s="8"/>
      <c r="J420" s="8"/>
      <c r="K420" s="16"/>
      <c r="Q420" s="23"/>
      <c r="S420" s="8"/>
      <c r="T420" s="8"/>
      <c r="U420" s="8"/>
      <c r="V420" s="8"/>
      <c r="W420" s="16"/>
    </row>
    <row r="421">
      <c r="F421" s="23"/>
      <c r="H421" s="8"/>
      <c r="I421" s="8"/>
      <c r="J421" s="8"/>
      <c r="K421" s="16"/>
      <c r="Q421" s="23"/>
      <c r="S421" s="8"/>
      <c r="T421" s="8"/>
      <c r="U421" s="8"/>
      <c r="V421" s="8"/>
      <c r="W421" s="16"/>
    </row>
    <row r="422">
      <c r="F422" s="23"/>
      <c r="H422" s="8"/>
      <c r="I422" s="8"/>
      <c r="J422" s="8"/>
      <c r="K422" s="16"/>
      <c r="Q422" s="23"/>
      <c r="S422" s="8"/>
      <c r="T422" s="8"/>
      <c r="U422" s="8"/>
      <c r="V422" s="8"/>
      <c r="W422" s="16"/>
    </row>
    <row r="423">
      <c r="F423" s="23"/>
      <c r="H423" s="8"/>
      <c r="I423" s="8"/>
      <c r="J423" s="8"/>
      <c r="K423" s="16"/>
      <c r="Q423" s="23"/>
      <c r="S423" s="8"/>
      <c r="T423" s="8"/>
      <c r="U423" s="8"/>
      <c r="V423" s="8"/>
      <c r="W423" s="16"/>
    </row>
    <row r="424">
      <c r="F424" s="23"/>
      <c r="H424" s="8"/>
      <c r="I424" s="8"/>
      <c r="J424" s="8"/>
      <c r="K424" s="16"/>
      <c r="Q424" s="23"/>
      <c r="S424" s="8"/>
      <c r="T424" s="8"/>
      <c r="U424" s="8"/>
      <c r="V424" s="8"/>
      <c r="W424" s="16"/>
    </row>
    <row r="425">
      <c r="F425" s="23"/>
      <c r="H425" s="8"/>
      <c r="I425" s="8"/>
      <c r="J425" s="8"/>
      <c r="K425" s="16"/>
      <c r="Q425" s="23"/>
      <c r="S425" s="8"/>
      <c r="T425" s="8"/>
      <c r="U425" s="8"/>
      <c r="V425" s="8"/>
      <c r="W425" s="16"/>
    </row>
    <row r="426">
      <c r="F426" s="23"/>
      <c r="H426" s="8"/>
      <c r="I426" s="8"/>
      <c r="J426" s="8"/>
      <c r="K426" s="16"/>
      <c r="Q426" s="23"/>
      <c r="S426" s="8"/>
      <c r="T426" s="8"/>
      <c r="U426" s="8"/>
      <c r="V426" s="8"/>
      <c r="W426" s="16"/>
    </row>
    <row r="427">
      <c r="F427" s="23"/>
      <c r="H427" s="8"/>
      <c r="I427" s="8"/>
      <c r="J427" s="8"/>
      <c r="K427" s="16"/>
      <c r="Q427" s="23"/>
      <c r="S427" s="8"/>
      <c r="T427" s="8"/>
      <c r="U427" s="8"/>
      <c r="V427" s="8"/>
      <c r="W427" s="16"/>
    </row>
    <row r="428">
      <c r="F428" s="23"/>
      <c r="H428" s="8"/>
      <c r="I428" s="8"/>
      <c r="J428" s="8"/>
      <c r="K428" s="16"/>
      <c r="Q428" s="23"/>
      <c r="S428" s="8"/>
      <c r="T428" s="8"/>
      <c r="U428" s="8"/>
      <c r="V428" s="8"/>
      <c r="W428" s="16"/>
    </row>
    <row r="429">
      <c r="F429" s="23"/>
      <c r="H429" s="8"/>
      <c r="I429" s="8"/>
      <c r="J429" s="8"/>
      <c r="K429" s="16"/>
      <c r="Q429" s="23"/>
      <c r="S429" s="8"/>
      <c r="T429" s="8"/>
      <c r="U429" s="8"/>
      <c r="V429" s="8"/>
      <c r="W429" s="16"/>
    </row>
    <row r="430">
      <c r="F430" s="23"/>
      <c r="H430" s="8"/>
      <c r="I430" s="8"/>
      <c r="J430" s="8"/>
      <c r="K430" s="16"/>
      <c r="Q430" s="23"/>
      <c r="S430" s="8"/>
      <c r="T430" s="8"/>
      <c r="U430" s="8"/>
      <c r="V430" s="8"/>
      <c r="W430" s="16"/>
    </row>
    <row r="431">
      <c r="F431" s="23"/>
      <c r="H431" s="8"/>
      <c r="I431" s="8"/>
      <c r="J431" s="8"/>
      <c r="K431" s="16"/>
      <c r="Q431" s="23"/>
      <c r="S431" s="8"/>
      <c r="T431" s="8"/>
      <c r="U431" s="8"/>
      <c r="V431" s="8"/>
      <c r="W431" s="16"/>
    </row>
    <row r="432">
      <c r="F432" s="23"/>
      <c r="H432" s="8"/>
      <c r="I432" s="8"/>
      <c r="J432" s="8"/>
      <c r="K432" s="16"/>
      <c r="Q432" s="23"/>
      <c r="S432" s="8"/>
      <c r="T432" s="8"/>
      <c r="U432" s="8"/>
      <c r="V432" s="8"/>
      <c r="W432" s="16"/>
    </row>
    <row r="433">
      <c r="F433" s="23"/>
      <c r="H433" s="8"/>
      <c r="I433" s="8"/>
      <c r="J433" s="8"/>
      <c r="K433" s="16"/>
      <c r="Q433" s="23"/>
      <c r="S433" s="8"/>
      <c r="T433" s="8"/>
      <c r="U433" s="8"/>
      <c r="V433" s="8"/>
      <c r="W433" s="16"/>
    </row>
    <row r="434">
      <c r="F434" s="23"/>
      <c r="H434" s="8"/>
      <c r="I434" s="8"/>
      <c r="J434" s="8"/>
      <c r="K434" s="16"/>
      <c r="Q434" s="23"/>
      <c r="S434" s="8"/>
      <c r="T434" s="8"/>
      <c r="U434" s="8"/>
      <c r="V434" s="8"/>
      <c r="W434" s="16"/>
    </row>
    <row r="435">
      <c r="F435" s="23"/>
      <c r="H435" s="8"/>
      <c r="I435" s="8"/>
      <c r="J435" s="8"/>
      <c r="K435" s="16"/>
      <c r="Q435" s="23"/>
      <c r="S435" s="8"/>
      <c r="T435" s="8"/>
      <c r="U435" s="8"/>
      <c r="V435" s="8"/>
      <c r="W435" s="16"/>
    </row>
    <row r="436">
      <c r="F436" s="23"/>
      <c r="H436" s="8"/>
      <c r="I436" s="8"/>
      <c r="J436" s="8"/>
      <c r="K436" s="16"/>
      <c r="Q436" s="23"/>
      <c r="S436" s="8"/>
      <c r="T436" s="8"/>
      <c r="U436" s="8"/>
      <c r="V436" s="8"/>
      <c r="W436" s="16"/>
    </row>
    <row r="437">
      <c r="F437" s="23"/>
      <c r="H437" s="8"/>
      <c r="I437" s="8"/>
      <c r="J437" s="8"/>
      <c r="K437" s="16"/>
      <c r="Q437" s="23"/>
      <c r="S437" s="8"/>
      <c r="T437" s="8"/>
      <c r="U437" s="8"/>
      <c r="V437" s="8"/>
      <c r="W437" s="16"/>
    </row>
    <row r="438">
      <c r="F438" s="23"/>
      <c r="H438" s="8"/>
      <c r="I438" s="8"/>
      <c r="J438" s="8"/>
      <c r="K438" s="16"/>
      <c r="Q438" s="23"/>
      <c r="S438" s="8"/>
      <c r="T438" s="8"/>
      <c r="U438" s="8"/>
      <c r="V438" s="8"/>
      <c r="W438" s="16"/>
    </row>
    <row r="439">
      <c r="F439" s="23"/>
      <c r="H439" s="8"/>
      <c r="I439" s="8"/>
      <c r="J439" s="8"/>
      <c r="K439" s="16"/>
      <c r="Q439" s="23"/>
      <c r="S439" s="8"/>
      <c r="T439" s="8"/>
      <c r="U439" s="8"/>
      <c r="V439" s="8"/>
      <c r="W439" s="16"/>
    </row>
    <row r="440">
      <c r="F440" s="23"/>
      <c r="H440" s="8"/>
      <c r="I440" s="8"/>
      <c r="J440" s="8"/>
      <c r="K440" s="16"/>
      <c r="Q440" s="23"/>
      <c r="S440" s="8"/>
      <c r="T440" s="8"/>
      <c r="U440" s="8"/>
      <c r="V440" s="8"/>
      <c r="W440" s="16"/>
    </row>
    <row r="441">
      <c r="F441" s="23"/>
      <c r="H441" s="8"/>
      <c r="I441" s="8"/>
      <c r="J441" s="8"/>
      <c r="K441" s="16"/>
      <c r="Q441" s="23"/>
      <c r="S441" s="8"/>
      <c r="T441" s="8"/>
      <c r="U441" s="8"/>
      <c r="V441" s="8"/>
      <c r="W441" s="16"/>
    </row>
    <row r="442">
      <c r="F442" s="23"/>
      <c r="H442" s="8"/>
      <c r="I442" s="8"/>
      <c r="J442" s="8"/>
      <c r="K442" s="16"/>
      <c r="Q442" s="23"/>
      <c r="S442" s="8"/>
      <c r="T442" s="8"/>
      <c r="U442" s="8"/>
      <c r="V442" s="8"/>
      <c r="W442" s="16"/>
    </row>
    <row r="443">
      <c r="F443" s="23"/>
      <c r="H443" s="8"/>
      <c r="I443" s="8"/>
      <c r="J443" s="8"/>
      <c r="K443" s="16"/>
      <c r="Q443" s="23"/>
      <c r="S443" s="8"/>
      <c r="T443" s="8"/>
      <c r="U443" s="8"/>
      <c r="V443" s="8"/>
      <c r="W443" s="16"/>
    </row>
    <row r="444">
      <c r="F444" s="23"/>
      <c r="H444" s="8"/>
      <c r="I444" s="8"/>
      <c r="J444" s="8"/>
      <c r="K444" s="16"/>
      <c r="Q444" s="23"/>
      <c r="S444" s="8"/>
      <c r="T444" s="8"/>
      <c r="U444" s="8"/>
      <c r="V444" s="8"/>
      <c r="W444" s="16"/>
    </row>
    <row r="445">
      <c r="F445" s="23"/>
      <c r="H445" s="8"/>
      <c r="I445" s="8"/>
      <c r="J445" s="8"/>
      <c r="K445" s="16"/>
      <c r="Q445" s="23"/>
      <c r="S445" s="8"/>
      <c r="T445" s="8"/>
      <c r="U445" s="8"/>
      <c r="V445" s="8"/>
      <c r="W445" s="16"/>
    </row>
    <row r="446">
      <c r="F446" s="23"/>
      <c r="H446" s="8"/>
      <c r="I446" s="8"/>
      <c r="J446" s="8"/>
      <c r="K446" s="16"/>
      <c r="Q446" s="23"/>
      <c r="S446" s="8"/>
      <c r="T446" s="8"/>
      <c r="U446" s="8"/>
      <c r="V446" s="8"/>
      <c r="W446" s="16"/>
    </row>
    <row r="447">
      <c r="F447" s="23"/>
      <c r="H447" s="8"/>
      <c r="I447" s="8"/>
      <c r="J447" s="8"/>
      <c r="K447" s="16"/>
      <c r="Q447" s="23"/>
      <c r="S447" s="8"/>
      <c r="T447" s="8"/>
      <c r="U447" s="8"/>
      <c r="V447" s="8"/>
      <c r="W447" s="16"/>
    </row>
    <row r="448">
      <c r="F448" s="23"/>
      <c r="H448" s="8"/>
      <c r="I448" s="8"/>
      <c r="J448" s="8"/>
      <c r="K448" s="16"/>
      <c r="Q448" s="23"/>
      <c r="S448" s="8"/>
      <c r="T448" s="8"/>
      <c r="U448" s="8"/>
      <c r="V448" s="8"/>
      <c r="W448" s="16"/>
    </row>
    <row r="449">
      <c r="F449" s="23"/>
      <c r="H449" s="8"/>
      <c r="I449" s="8"/>
      <c r="J449" s="8"/>
      <c r="K449" s="16"/>
      <c r="Q449" s="23"/>
      <c r="S449" s="8"/>
      <c r="T449" s="8"/>
      <c r="U449" s="8"/>
      <c r="V449" s="8"/>
      <c r="W449" s="16"/>
    </row>
    <row r="450">
      <c r="F450" s="23"/>
      <c r="H450" s="8"/>
      <c r="I450" s="8"/>
      <c r="J450" s="8"/>
      <c r="K450" s="16"/>
      <c r="Q450" s="23"/>
      <c r="S450" s="8"/>
      <c r="T450" s="8"/>
      <c r="U450" s="8"/>
      <c r="V450" s="8"/>
      <c r="W450" s="16"/>
    </row>
    <row r="451">
      <c r="F451" s="23"/>
      <c r="H451" s="8"/>
      <c r="I451" s="8"/>
      <c r="J451" s="8"/>
      <c r="K451" s="16"/>
      <c r="Q451" s="23"/>
      <c r="S451" s="8"/>
      <c r="T451" s="8"/>
      <c r="U451" s="8"/>
      <c r="V451" s="8"/>
      <c r="W451" s="16"/>
    </row>
    <row r="452">
      <c r="F452" s="23"/>
      <c r="H452" s="8"/>
      <c r="I452" s="8"/>
      <c r="J452" s="8"/>
      <c r="K452" s="16"/>
      <c r="Q452" s="23"/>
      <c r="S452" s="8"/>
      <c r="T452" s="8"/>
      <c r="U452" s="8"/>
      <c r="V452" s="8"/>
      <c r="W452" s="16"/>
    </row>
    <row r="453">
      <c r="F453" s="23"/>
      <c r="H453" s="8"/>
      <c r="I453" s="8"/>
      <c r="J453" s="8"/>
      <c r="K453" s="16"/>
      <c r="Q453" s="23"/>
      <c r="S453" s="8"/>
      <c r="T453" s="8"/>
      <c r="U453" s="8"/>
      <c r="V453" s="8"/>
      <c r="W453" s="16"/>
    </row>
    <row r="454">
      <c r="F454" s="23"/>
      <c r="H454" s="8"/>
      <c r="I454" s="8"/>
      <c r="J454" s="8"/>
      <c r="K454" s="16"/>
      <c r="Q454" s="23"/>
      <c r="S454" s="8"/>
      <c r="T454" s="8"/>
      <c r="U454" s="8"/>
      <c r="V454" s="8"/>
      <c r="W454" s="16"/>
    </row>
    <row r="455">
      <c r="F455" s="23"/>
      <c r="H455" s="8"/>
      <c r="I455" s="8"/>
      <c r="J455" s="8"/>
      <c r="K455" s="16"/>
      <c r="Q455" s="23"/>
      <c r="S455" s="8"/>
      <c r="T455" s="8"/>
      <c r="U455" s="8"/>
      <c r="V455" s="8"/>
      <c r="W455" s="16"/>
    </row>
    <row r="456">
      <c r="F456" s="23"/>
      <c r="H456" s="8"/>
      <c r="I456" s="8"/>
      <c r="J456" s="8"/>
      <c r="K456" s="16"/>
      <c r="Q456" s="23"/>
      <c r="S456" s="8"/>
      <c r="T456" s="8"/>
      <c r="U456" s="8"/>
      <c r="V456" s="8"/>
      <c r="W456" s="16"/>
    </row>
    <row r="457">
      <c r="F457" s="23"/>
      <c r="H457" s="8"/>
      <c r="I457" s="8"/>
      <c r="J457" s="8"/>
      <c r="K457" s="16"/>
      <c r="Q457" s="23"/>
      <c r="S457" s="8"/>
      <c r="T457" s="8"/>
      <c r="U457" s="8"/>
      <c r="V457" s="8"/>
      <c r="W457" s="16"/>
    </row>
    <row r="458">
      <c r="F458" s="23"/>
      <c r="H458" s="8"/>
      <c r="I458" s="8"/>
      <c r="J458" s="8"/>
      <c r="K458" s="16"/>
      <c r="Q458" s="23"/>
      <c r="S458" s="8"/>
      <c r="T458" s="8"/>
      <c r="U458" s="8"/>
      <c r="V458" s="8"/>
      <c r="W458" s="16"/>
    </row>
    <row r="459">
      <c r="F459" s="23"/>
      <c r="H459" s="8"/>
      <c r="I459" s="8"/>
      <c r="J459" s="8"/>
      <c r="K459" s="16"/>
      <c r="Q459" s="23"/>
      <c r="S459" s="8"/>
      <c r="T459" s="8"/>
      <c r="U459" s="8"/>
      <c r="V459" s="8"/>
      <c r="W459" s="16"/>
    </row>
    <row r="460">
      <c r="F460" s="23"/>
      <c r="H460" s="8"/>
      <c r="I460" s="8"/>
      <c r="J460" s="8"/>
      <c r="K460" s="16"/>
      <c r="Q460" s="23"/>
      <c r="S460" s="8"/>
      <c r="T460" s="8"/>
      <c r="U460" s="8"/>
      <c r="V460" s="8"/>
      <c r="W460" s="16"/>
    </row>
    <row r="461">
      <c r="F461" s="23"/>
      <c r="H461" s="8"/>
      <c r="I461" s="8"/>
      <c r="J461" s="8"/>
      <c r="K461" s="16"/>
      <c r="Q461" s="23"/>
      <c r="S461" s="8"/>
      <c r="T461" s="8"/>
      <c r="U461" s="8"/>
      <c r="V461" s="8"/>
      <c r="W461" s="16"/>
    </row>
    <row r="462">
      <c r="F462" s="23"/>
      <c r="H462" s="8"/>
      <c r="I462" s="8"/>
      <c r="J462" s="8"/>
      <c r="K462" s="16"/>
      <c r="Q462" s="23"/>
      <c r="S462" s="8"/>
      <c r="T462" s="8"/>
      <c r="U462" s="8"/>
      <c r="V462" s="8"/>
      <c r="W462" s="16"/>
    </row>
    <row r="463">
      <c r="F463" s="23"/>
      <c r="H463" s="8"/>
      <c r="I463" s="8"/>
      <c r="J463" s="8"/>
      <c r="K463" s="16"/>
      <c r="Q463" s="23"/>
      <c r="S463" s="8"/>
      <c r="T463" s="8"/>
      <c r="U463" s="8"/>
      <c r="V463" s="8"/>
      <c r="W463" s="16"/>
    </row>
    <row r="464">
      <c r="F464" s="23"/>
      <c r="H464" s="8"/>
      <c r="I464" s="8"/>
      <c r="J464" s="8"/>
      <c r="K464" s="16"/>
      <c r="Q464" s="23"/>
      <c r="S464" s="8"/>
      <c r="T464" s="8"/>
      <c r="U464" s="8"/>
      <c r="V464" s="8"/>
      <c r="W464" s="16"/>
    </row>
    <row r="465">
      <c r="F465" s="23"/>
      <c r="H465" s="8"/>
      <c r="I465" s="8"/>
      <c r="J465" s="8"/>
      <c r="K465" s="16"/>
      <c r="Q465" s="23"/>
      <c r="S465" s="8"/>
      <c r="T465" s="8"/>
      <c r="U465" s="8"/>
      <c r="V465" s="8"/>
      <c r="W465" s="16"/>
    </row>
    <row r="466">
      <c r="F466" s="23"/>
      <c r="H466" s="8"/>
      <c r="I466" s="8"/>
      <c r="J466" s="8"/>
      <c r="K466" s="16"/>
      <c r="Q466" s="23"/>
      <c r="S466" s="8"/>
      <c r="T466" s="8"/>
      <c r="U466" s="8"/>
      <c r="V466" s="8"/>
      <c r="W466" s="16"/>
    </row>
    <row r="467">
      <c r="F467" s="23"/>
      <c r="H467" s="8"/>
      <c r="I467" s="8"/>
      <c r="J467" s="8"/>
      <c r="K467" s="16"/>
      <c r="Q467" s="23"/>
      <c r="S467" s="8"/>
      <c r="T467" s="8"/>
      <c r="U467" s="8"/>
      <c r="V467" s="8"/>
      <c r="W467" s="16"/>
    </row>
    <row r="468">
      <c r="F468" s="23"/>
      <c r="H468" s="8"/>
      <c r="I468" s="8"/>
      <c r="J468" s="8"/>
      <c r="K468" s="16"/>
      <c r="Q468" s="23"/>
      <c r="S468" s="8"/>
      <c r="T468" s="8"/>
      <c r="U468" s="8"/>
      <c r="V468" s="8"/>
      <c r="W468" s="16"/>
    </row>
    <row r="469">
      <c r="F469" s="23"/>
      <c r="H469" s="8"/>
      <c r="I469" s="8"/>
      <c r="J469" s="8"/>
      <c r="K469" s="16"/>
      <c r="Q469" s="23"/>
      <c r="S469" s="8"/>
      <c r="T469" s="8"/>
      <c r="U469" s="8"/>
      <c r="V469" s="8"/>
      <c r="W469" s="16"/>
    </row>
    <row r="470">
      <c r="F470" s="23"/>
      <c r="H470" s="8"/>
      <c r="I470" s="8"/>
      <c r="J470" s="8"/>
      <c r="K470" s="16"/>
      <c r="Q470" s="23"/>
      <c r="S470" s="8"/>
      <c r="T470" s="8"/>
      <c r="U470" s="8"/>
      <c r="V470" s="8"/>
      <c r="W470" s="16"/>
    </row>
    <row r="471">
      <c r="F471" s="23"/>
      <c r="H471" s="8"/>
      <c r="I471" s="8"/>
      <c r="J471" s="8"/>
      <c r="K471" s="16"/>
      <c r="Q471" s="23"/>
      <c r="S471" s="8"/>
      <c r="T471" s="8"/>
      <c r="U471" s="8"/>
      <c r="V471" s="8"/>
      <c r="W471" s="16"/>
    </row>
    <row r="472">
      <c r="F472" s="23"/>
      <c r="H472" s="8"/>
      <c r="I472" s="8"/>
      <c r="J472" s="8"/>
      <c r="K472" s="16"/>
      <c r="Q472" s="23"/>
      <c r="S472" s="8"/>
      <c r="T472" s="8"/>
      <c r="U472" s="8"/>
      <c r="V472" s="8"/>
      <c r="W472" s="16"/>
    </row>
    <row r="473">
      <c r="F473" s="23"/>
      <c r="H473" s="8"/>
      <c r="I473" s="8"/>
      <c r="J473" s="8"/>
      <c r="K473" s="16"/>
      <c r="Q473" s="23"/>
      <c r="S473" s="8"/>
      <c r="T473" s="8"/>
      <c r="U473" s="8"/>
      <c r="V473" s="8"/>
      <c r="W473" s="16"/>
    </row>
    <row r="474">
      <c r="F474" s="23"/>
      <c r="H474" s="8"/>
      <c r="I474" s="8"/>
      <c r="J474" s="8"/>
      <c r="K474" s="16"/>
      <c r="Q474" s="23"/>
      <c r="S474" s="8"/>
      <c r="T474" s="8"/>
      <c r="U474" s="8"/>
      <c r="V474" s="8"/>
      <c r="W474" s="16"/>
    </row>
    <row r="475">
      <c r="F475" s="23"/>
      <c r="H475" s="8"/>
      <c r="I475" s="8"/>
      <c r="J475" s="8"/>
      <c r="K475" s="16"/>
      <c r="Q475" s="23"/>
      <c r="S475" s="8"/>
      <c r="T475" s="8"/>
      <c r="U475" s="8"/>
      <c r="V475" s="8"/>
      <c r="W475" s="16"/>
    </row>
    <row r="476">
      <c r="F476" s="23"/>
      <c r="H476" s="8"/>
      <c r="I476" s="8"/>
      <c r="J476" s="8"/>
      <c r="K476" s="16"/>
      <c r="Q476" s="23"/>
      <c r="S476" s="8"/>
      <c r="T476" s="8"/>
      <c r="U476" s="8"/>
      <c r="V476" s="8"/>
      <c r="W476" s="16"/>
    </row>
    <row r="477">
      <c r="F477" s="23"/>
      <c r="H477" s="8"/>
      <c r="I477" s="8"/>
      <c r="J477" s="8"/>
      <c r="K477" s="16"/>
      <c r="Q477" s="23"/>
      <c r="S477" s="8"/>
      <c r="T477" s="8"/>
      <c r="U477" s="8"/>
      <c r="V477" s="8"/>
      <c r="W477" s="16"/>
    </row>
    <row r="478">
      <c r="F478" s="23"/>
      <c r="H478" s="8"/>
      <c r="I478" s="8"/>
      <c r="J478" s="8"/>
      <c r="K478" s="16"/>
      <c r="Q478" s="23"/>
      <c r="S478" s="8"/>
      <c r="T478" s="8"/>
      <c r="U478" s="8"/>
      <c r="V478" s="8"/>
      <c r="W478" s="16"/>
    </row>
    <row r="479">
      <c r="F479" s="23"/>
      <c r="H479" s="8"/>
      <c r="I479" s="8"/>
      <c r="J479" s="8"/>
      <c r="K479" s="16"/>
      <c r="Q479" s="23"/>
      <c r="S479" s="8"/>
      <c r="T479" s="8"/>
      <c r="U479" s="8"/>
      <c r="V479" s="8"/>
      <c r="W479" s="16"/>
    </row>
    <row r="480">
      <c r="F480" s="23"/>
      <c r="H480" s="8"/>
      <c r="I480" s="8"/>
      <c r="J480" s="8"/>
      <c r="K480" s="16"/>
      <c r="Q480" s="23"/>
      <c r="S480" s="8"/>
      <c r="T480" s="8"/>
      <c r="U480" s="8"/>
      <c r="V480" s="8"/>
      <c r="W480" s="16"/>
    </row>
    <row r="481">
      <c r="F481" s="23"/>
      <c r="H481" s="8"/>
      <c r="I481" s="8"/>
      <c r="J481" s="8"/>
      <c r="K481" s="16"/>
      <c r="Q481" s="23"/>
      <c r="S481" s="8"/>
      <c r="T481" s="8"/>
      <c r="U481" s="8"/>
      <c r="V481" s="8"/>
      <c r="W481" s="16"/>
    </row>
    <row r="482">
      <c r="F482" s="23"/>
      <c r="H482" s="8"/>
      <c r="I482" s="8"/>
      <c r="J482" s="8"/>
      <c r="K482" s="16"/>
      <c r="Q482" s="23"/>
      <c r="S482" s="8"/>
      <c r="T482" s="8"/>
      <c r="U482" s="8"/>
      <c r="V482" s="8"/>
      <c r="W482" s="16"/>
    </row>
    <row r="483">
      <c r="F483" s="23"/>
      <c r="H483" s="8"/>
      <c r="I483" s="8"/>
      <c r="J483" s="8"/>
      <c r="K483" s="16"/>
      <c r="Q483" s="23"/>
      <c r="S483" s="8"/>
      <c r="T483" s="8"/>
      <c r="U483" s="8"/>
      <c r="V483" s="8"/>
      <c r="W483" s="16"/>
    </row>
    <row r="484">
      <c r="F484" s="23"/>
      <c r="H484" s="8"/>
      <c r="I484" s="8"/>
      <c r="J484" s="8"/>
      <c r="K484" s="16"/>
      <c r="Q484" s="23"/>
      <c r="S484" s="8"/>
      <c r="T484" s="8"/>
      <c r="U484" s="8"/>
      <c r="V484" s="8"/>
      <c r="W484" s="16"/>
    </row>
    <row r="485">
      <c r="F485" s="23"/>
      <c r="H485" s="8"/>
      <c r="I485" s="8"/>
      <c r="J485" s="8"/>
      <c r="K485" s="16"/>
      <c r="Q485" s="23"/>
      <c r="S485" s="8"/>
      <c r="T485" s="8"/>
      <c r="U485" s="8"/>
      <c r="V485" s="8"/>
      <c r="W485" s="16"/>
    </row>
    <row r="486">
      <c r="F486" s="23"/>
      <c r="H486" s="8"/>
      <c r="I486" s="8"/>
      <c r="J486" s="8"/>
      <c r="K486" s="16"/>
      <c r="Q486" s="23"/>
      <c r="S486" s="8"/>
      <c r="T486" s="8"/>
      <c r="U486" s="8"/>
      <c r="V486" s="8"/>
      <c r="W486" s="16"/>
    </row>
    <row r="487">
      <c r="F487" s="23"/>
      <c r="H487" s="8"/>
      <c r="I487" s="8"/>
      <c r="J487" s="8"/>
      <c r="K487" s="16"/>
      <c r="Q487" s="23"/>
      <c r="S487" s="8"/>
      <c r="T487" s="8"/>
      <c r="U487" s="8"/>
      <c r="V487" s="8"/>
      <c r="W487" s="16"/>
    </row>
    <row r="488">
      <c r="F488" s="23"/>
      <c r="H488" s="8"/>
      <c r="I488" s="8"/>
      <c r="J488" s="8"/>
      <c r="K488" s="16"/>
      <c r="Q488" s="23"/>
      <c r="S488" s="8"/>
      <c r="T488" s="8"/>
      <c r="U488" s="8"/>
      <c r="V488" s="8"/>
      <c r="W488" s="16"/>
    </row>
    <row r="489">
      <c r="F489" s="23"/>
      <c r="H489" s="8"/>
      <c r="I489" s="8"/>
      <c r="J489" s="8"/>
      <c r="K489" s="16"/>
      <c r="Q489" s="23"/>
      <c r="S489" s="8"/>
      <c r="T489" s="8"/>
      <c r="U489" s="8"/>
      <c r="V489" s="8"/>
      <c r="W489" s="16"/>
    </row>
    <row r="490">
      <c r="F490" s="23"/>
      <c r="H490" s="8"/>
      <c r="I490" s="8"/>
      <c r="J490" s="8"/>
      <c r="K490" s="16"/>
      <c r="Q490" s="23"/>
      <c r="S490" s="8"/>
      <c r="T490" s="8"/>
      <c r="U490" s="8"/>
      <c r="V490" s="8"/>
      <c r="W490" s="16"/>
    </row>
    <row r="491">
      <c r="F491" s="23"/>
      <c r="H491" s="8"/>
      <c r="I491" s="8"/>
      <c r="J491" s="8"/>
      <c r="K491" s="16"/>
      <c r="Q491" s="23"/>
      <c r="S491" s="8"/>
      <c r="T491" s="8"/>
      <c r="U491" s="8"/>
      <c r="V491" s="8"/>
      <c r="W491" s="16"/>
    </row>
    <row r="492">
      <c r="F492" s="23"/>
      <c r="H492" s="8"/>
      <c r="I492" s="8"/>
      <c r="J492" s="8"/>
      <c r="K492" s="16"/>
      <c r="Q492" s="23"/>
      <c r="S492" s="8"/>
      <c r="T492" s="8"/>
      <c r="U492" s="8"/>
      <c r="V492" s="8"/>
      <c r="W492" s="16"/>
    </row>
    <row r="493">
      <c r="F493" s="23"/>
      <c r="H493" s="8"/>
      <c r="I493" s="8"/>
      <c r="J493" s="8"/>
      <c r="K493" s="16"/>
      <c r="Q493" s="23"/>
      <c r="S493" s="8"/>
      <c r="T493" s="8"/>
      <c r="U493" s="8"/>
      <c r="V493" s="8"/>
      <c r="W493" s="16"/>
    </row>
    <row r="494">
      <c r="F494" s="23"/>
      <c r="H494" s="8"/>
      <c r="I494" s="8"/>
      <c r="J494" s="8"/>
      <c r="K494" s="16"/>
      <c r="Q494" s="23"/>
      <c r="S494" s="8"/>
      <c r="T494" s="8"/>
      <c r="U494" s="8"/>
      <c r="V494" s="8"/>
      <c r="W494" s="16"/>
    </row>
    <row r="495">
      <c r="F495" s="23"/>
      <c r="H495" s="8"/>
      <c r="I495" s="8"/>
      <c r="J495" s="8"/>
      <c r="K495" s="16"/>
      <c r="Q495" s="23"/>
      <c r="S495" s="8"/>
      <c r="T495" s="8"/>
      <c r="U495" s="8"/>
      <c r="V495" s="8"/>
      <c r="W495" s="16"/>
    </row>
    <row r="496">
      <c r="F496" s="23"/>
      <c r="H496" s="8"/>
      <c r="I496" s="8"/>
      <c r="J496" s="8"/>
      <c r="K496" s="16"/>
      <c r="Q496" s="23"/>
      <c r="S496" s="8"/>
      <c r="T496" s="8"/>
      <c r="U496" s="8"/>
      <c r="V496" s="8"/>
      <c r="W496" s="16"/>
    </row>
    <row r="497">
      <c r="F497" s="23"/>
      <c r="H497" s="8"/>
      <c r="I497" s="8"/>
      <c r="J497" s="8"/>
      <c r="K497" s="16"/>
      <c r="Q497" s="23"/>
      <c r="S497" s="8"/>
      <c r="T497" s="8"/>
      <c r="U497" s="8"/>
      <c r="V497" s="8"/>
      <c r="W497" s="16"/>
    </row>
    <row r="498">
      <c r="F498" s="23"/>
      <c r="H498" s="8"/>
      <c r="I498" s="8"/>
      <c r="J498" s="8"/>
      <c r="K498" s="16"/>
      <c r="Q498" s="23"/>
      <c r="S498" s="8"/>
      <c r="T498" s="8"/>
      <c r="U498" s="8"/>
      <c r="V498" s="8"/>
      <c r="W498" s="16"/>
    </row>
    <row r="499">
      <c r="F499" s="23"/>
      <c r="H499" s="8"/>
      <c r="I499" s="8"/>
      <c r="J499" s="8"/>
      <c r="K499" s="16"/>
      <c r="Q499" s="23"/>
      <c r="S499" s="8"/>
      <c r="T499" s="8"/>
      <c r="U499" s="8"/>
      <c r="V499" s="8"/>
      <c r="W499" s="16"/>
    </row>
    <row r="500">
      <c r="F500" s="23"/>
      <c r="H500" s="8"/>
      <c r="I500" s="8"/>
      <c r="J500" s="8"/>
      <c r="K500" s="16"/>
      <c r="Q500" s="23"/>
      <c r="S500" s="8"/>
      <c r="T500" s="8"/>
      <c r="U500" s="8"/>
      <c r="V500" s="8"/>
      <c r="W500" s="16"/>
    </row>
    <row r="501">
      <c r="F501" s="23"/>
      <c r="H501" s="8"/>
      <c r="I501" s="8"/>
      <c r="J501" s="8"/>
      <c r="K501" s="16"/>
      <c r="Q501" s="23"/>
      <c r="S501" s="8"/>
      <c r="T501" s="8"/>
      <c r="U501" s="8"/>
      <c r="V501" s="8"/>
      <c r="W501" s="16"/>
    </row>
    <row r="502">
      <c r="F502" s="23"/>
      <c r="H502" s="8"/>
      <c r="I502" s="8"/>
      <c r="J502" s="8"/>
      <c r="K502" s="16"/>
      <c r="Q502" s="23"/>
      <c r="S502" s="8"/>
      <c r="T502" s="8"/>
      <c r="U502" s="8"/>
      <c r="V502" s="8"/>
      <c r="W502" s="16"/>
    </row>
    <row r="503">
      <c r="F503" s="23"/>
      <c r="H503" s="8"/>
      <c r="I503" s="8"/>
      <c r="J503" s="8"/>
      <c r="K503" s="16"/>
      <c r="Q503" s="23"/>
      <c r="S503" s="8"/>
      <c r="T503" s="8"/>
      <c r="U503" s="8"/>
      <c r="V503" s="8"/>
      <c r="W503" s="16"/>
    </row>
    <row r="504">
      <c r="F504" s="23"/>
      <c r="H504" s="8"/>
      <c r="I504" s="8"/>
      <c r="J504" s="8"/>
      <c r="K504" s="16"/>
      <c r="Q504" s="23"/>
      <c r="S504" s="8"/>
      <c r="T504" s="8"/>
      <c r="U504" s="8"/>
      <c r="V504" s="8"/>
      <c r="W504" s="16"/>
    </row>
    <row r="505">
      <c r="F505" s="23"/>
      <c r="H505" s="8"/>
      <c r="I505" s="8"/>
      <c r="J505" s="8"/>
      <c r="K505" s="16"/>
      <c r="Q505" s="23"/>
      <c r="S505" s="8"/>
      <c r="T505" s="8"/>
      <c r="U505" s="8"/>
      <c r="V505" s="8"/>
      <c r="W505" s="16"/>
    </row>
    <row r="506">
      <c r="F506" s="23"/>
      <c r="H506" s="8"/>
      <c r="I506" s="8"/>
      <c r="J506" s="8"/>
      <c r="K506" s="16"/>
      <c r="Q506" s="23"/>
      <c r="S506" s="8"/>
      <c r="T506" s="8"/>
      <c r="U506" s="8"/>
      <c r="V506" s="8"/>
      <c r="W506" s="16"/>
    </row>
    <row r="507">
      <c r="F507" s="23"/>
      <c r="H507" s="8"/>
      <c r="I507" s="8"/>
      <c r="J507" s="8"/>
      <c r="K507" s="16"/>
      <c r="Q507" s="23"/>
      <c r="S507" s="8"/>
      <c r="T507" s="8"/>
      <c r="U507" s="8"/>
      <c r="V507" s="8"/>
      <c r="W507" s="16"/>
    </row>
    <row r="508">
      <c r="F508" s="23"/>
      <c r="H508" s="8"/>
      <c r="I508" s="8"/>
      <c r="J508" s="8"/>
      <c r="K508" s="16"/>
      <c r="Q508" s="23"/>
      <c r="S508" s="8"/>
      <c r="T508" s="8"/>
      <c r="U508" s="8"/>
      <c r="V508" s="8"/>
      <c r="W508" s="16"/>
    </row>
    <row r="509">
      <c r="F509" s="23"/>
      <c r="H509" s="8"/>
      <c r="I509" s="8"/>
      <c r="J509" s="8"/>
      <c r="K509" s="16"/>
      <c r="Q509" s="23"/>
      <c r="S509" s="8"/>
      <c r="T509" s="8"/>
      <c r="U509" s="8"/>
      <c r="V509" s="8"/>
      <c r="W509" s="16"/>
    </row>
    <row r="510">
      <c r="F510" s="23"/>
      <c r="H510" s="8"/>
      <c r="I510" s="8"/>
      <c r="J510" s="8"/>
      <c r="K510" s="16"/>
      <c r="Q510" s="23"/>
      <c r="S510" s="8"/>
      <c r="T510" s="8"/>
      <c r="U510" s="8"/>
      <c r="V510" s="8"/>
      <c r="W510" s="16"/>
    </row>
    <row r="511">
      <c r="F511" s="23"/>
      <c r="H511" s="8"/>
      <c r="I511" s="8"/>
      <c r="J511" s="8"/>
      <c r="K511" s="16"/>
      <c r="Q511" s="23"/>
      <c r="S511" s="8"/>
      <c r="T511" s="8"/>
      <c r="U511" s="8"/>
      <c r="V511" s="8"/>
      <c r="W511" s="16"/>
    </row>
    <row r="512">
      <c r="F512" s="23"/>
      <c r="H512" s="8"/>
      <c r="I512" s="8"/>
      <c r="J512" s="8"/>
      <c r="K512" s="16"/>
      <c r="Q512" s="23"/>
      <c r="S512" s="8"/>
      <c r="T512" s="8"/>
      <c r="U512" s="8"/>
      <c r="V512" s="8"/>
      <c r="W512" s="16"/>
    </row>
    <row r="513">
      <c r="F513" s="23"/>
      <c r="H513" s="8"/>
      <c r="I513" s="8"/>
      <c r="J513" s="8"/>
      <c r="K513" s="16"/>
      <c r="Q513" s="23"/>
      <c r="S513" s="8"/>
      <c r="T513" s="8"/>
      <c r="U513" s="8"/>
      <c r="V513" s="8"/>
      <c r="W513" s="16"/>
    </row>
    <row r="514">
      <c r="F514" s="23"/>
      <c r="H514" s="8"/>
      <c r="I514" s="8"/>
      <c r="J514" s="8"/>
      <c r="K514" s="16"/>
      <c r="Q514" s="23"/>
      <c r="S514" s="8"/>
      <c r="T514" s="8"/>
      <c r="U514" s="8"/>
      <c r="V514" s="8"/>
      <c r="W514" s="16"/>
    </row>
    <row r="515">
      <c r="F515" s="23"/>
      <c r="H515" s="8"/>
      <c r="I515" s="8"/>
      <c r="J515" s="8"/>
      <c r="K515" s="16"/>
      <c r="Q515" s="23"/>
      <c r="S515" s="8"/>
      <c r="T515" s="8"/>
      <c r="U515" s="8"/>
      <c r="V515" s="8"/>
      <c r="W515" s="16"/>
    </row>
    <row r="516">
      <c r="F516" s="23"/>
      <c r="H516" s="8"/>
      <c r="I516" s="8"/>
      <c r="J516" s="8"/>
      <c r="K516" s="16"/>
      <c r="Q516" s="23"/>
      <c r="S516" s="8"/>
      <c r="T516" s="8"/>
      <c r="U516" s="8"/>
      <c r="V516" s="8"/>
      <c r="W516" s="16"/>
    </row>
    <row r="517">
      <c r="F517" s="23"/>
      <c r="H517" s="8"/>
      <c r="I517" s="8"/>
      <c r="J517" s="8"/>
      <c r="K517" s="16"/>
      <c r="Q517" s="23"/>
      <c r="S517" s="8"/>
      <c r="T517" s="8"/>
      <c r="U517" s="8"/>
      <c r="V517" s="8"/>
      <c r="W517" s="16"/>
    </row>
    <row r="518">
      <c r="F518" s="23"/>
      <c r="H518" s="8"/>
      <c r="I518" s="8"/>
      <c r="J518" s="8"/>
      <c r="K518" s="16"/>
      <c r="Q518" s="23"/>
      <c r="S518" s="8"/>
      <c r="T518" s="8"/>
      <c r="U518" s="8"/>
      <c r="V518" s="8"/>
      <c r="W518" s="16"/>
    </row>
    <row r="519">
      <c r="F519" s="23"/>
      <c r="H519" s="8"/>
      <c r="I519" s="8"/>
      <c r="J519" s="8"/>
      <c r="K519" s="16"/>
      <c r="Q519" s="23"/>
      <c r="S519" s="8"/>
      <c r="T519" s="8"/>
      <c r="U519" s="8"/>
      <c r="V519" s="8"/>
      <c r="W519" s="16"/>
    </row>
    <row r="520">
      <c r="F520" s="23"/>
      <c r="H520" s="8"/>
      <c r="I520" s="8"/>
      <c r="J520" s="8"/>
      <c r="K520" s="16"/>
      <c r="Q520" s="23"/>
      <c r="S520" s="8"/>
      <c r="T520" s="8"/>
      <c r="U520" s="8"/>
      <c r="V520" s="8"/>
      <c r="W520" s="16"/>
    </row>
    <row r="521">
      <c r="F521" s="23"/>
      <c r="H521" s="8"/>
      <c r="I521" s="8"/>
      <c r="J521" s="8"/>
      <c r="K521" s="16"/>
      <c r="Q521" s="23"/>
      <c r="S521" s="8"/>
      <c r="T521" s="8"/>
      <c r="U521" s="8"/>
      <c r="V521" s="8"/>
      <c r="W521" s="16"/>
    </row>
    <row r="522">
      <c r="F522" s="23"/>
      <c r="H522" s="8"/>
      <c r="I522" s="8"/>
      <c r="J522" s="8"/>
      <c r="K522" s="16"/>
      <c r="Q522" s="23"/>
      <c r="S522" s="8"/>
      <c r="T522" s="8"/>
      <c r="U522" s="8"/>
      <c r="V522" s="8"/>
      <c r="W522" s="16"/>
    </row>
    <row r="523">
      <c r="F523" s="23"/>
      <c r="H523" s="8"/>
      <c r="I523" s="8"/>
      <c r="J523" s="8"/>
      <c r="K523" s="16"/>
      <c r="Q523" s="23"/>
      <c r="S523" s="8"/>
      <c r="T523" s="8"/>
      <c r="U523" s="8"/>
      <c r="V523" s="8"/>
      <c r="W523" s="16"/>
    </row>
    <row r="524">
      <c r="F524" s="23"/>
      <c r="H524" s="8"/>
      <c r="I524" s="8"/>
      <c r="J524" s="8"/>
      <c r="K524" s="16"/>
      <c r="Q524" s="23"/>
      <c r="S524" s="8"/>
      <c r="T524" s="8"/>
      <c r="U524" s="8"/>
      <c r="V524" s="8"/>
      <c r="W524" s="16"/>
    </row>
    <row r="525">
      <c r="F525" s="23"/>
      <c r="H525" s="8"/>
      <c r="I525" s="8"/>
      <c r="J525" s="8"/>
      <c r="K525" s="16"/>
      <c r="Q525" s="23"/>
      <c r="S525" s="8"/>
      <c r="T525" s="8"/>
      <c r="U525" s="8"/>
      <c r="V525" s="8"/>
      <c r="W525" s="16"/>
    </row>
    <row r="526">
      <c r="F526" s="23"/>
      <c r="H526" s="8"/>
      <c r="I526" s="8"/>
      <c r="J526" s="8"/>
      <c r="K526" s="16"/>
      <c r="Q526" s="23"/>
      <c r="S526" s="8"/>
      <c r="T526" s="8"/>
      <c r="U526" s="8"/>
      <c r="V526" s="8"/>
      <c r="W526" s="16"/>
    </row>
    <row r="527">
      <c r="F527" s="23"/>
      <c r="H527" s="8"/>
      <c r="I527" s="8"/>
      <c r="J527" s="8"/>
      <c r="K527" s="16"/>
      <c r="Q527" s="23"/>
      <c r="S527" s="8"/>
      <c r="T527" s="8"/>
      <c r="U527" s="8"/>
      <c r="V527" s="8"/>
      <c r="W527" s="16"/>
    </row>
    <row r="528">
      <c r="F528" s="23"/>
      <c r="H528" s="8"/>
      <c r="I528" s="8"/>
      <c r="J528" s="8"/>
      <c r="K528" s="16"/>
      <c r="Q528" s="23"/>
      <c r="S528" s="8"/>
      <c r="T528" s="8"/>
      <c r="U528" s="8"/>
      <c r="V528" s="8"/>
      <c r="W528" s="16"/>
    </row>
    <row r="529">
      <c r="F529" s="23"/>
      <c r="H529" s="8"/>
      <c r="I529" s="8"/>
      <c r="J529" s="8"/>
      <c r="K529" s="16"/>
      <c r="Q529" s="23"/>
      <c r="S529" s="8"/>
      <c r="T529" s="8"/>
      <c r="U529" s="8"/>
      <c r="V529" s="8"/>
      <c r="W529" s="16"/>
    </row>
    <row r="530">
      <c r="F530" s="23"/>
      <c r="H530" s="8"/>
      <c r="I530" s="8"/>
      <c r="J530" s="8"/>
      <c r="K530" s="16"/>
      <c r="Q530" s="23"/>
      <c r="S530" s="8"/>
      <c r="T530" s="8"/>
      <c r="U530" s="8"/>
      <c r="V530" s="8"/>
      <c r="W530" s="16"/>
    </row>
    <row r="531">
      <c r="F531" s="23"/>
      <c r="H531" s="8"/>
      <c r="I531" s="8"/>
      <c r="J531" s="8"/>
      <c r="K531" s="16"/>
      <c r="Q531" s="23"/>
      <c r="S531" s="8"/>
      <c r="T531" s="8"/>
      <c r="U531" s="8"/>
      <c r="V531" s="8"/>
      <c r="W531" s="16"/>
    </row>
    <row r="532">
      <c r="F532" s="23"/>
      <c r="H532" s="8"/>
      <c r="I532" s="8"/>
      <c r="J532" s="8"/>
      <c r="K532" s="16"/>
      <c r="Q532" s="23"/>
      <c r="S532" s="8"/>
      <c r="T532" s="8"/>
      <c r="U532" s="8"/>
      <c r="V532" s="8"/>
      <c r="W532" s="16"/>
    </row>
    <row r="533">
      <c r="F533" s="23"/>
      <c r="H533" s="8"/>
      <c r="I533" s="8"/>
      <c r="J533" s="8"/>
      <c r="K533" s="16"/>
      <c r="Q533" s="23"/>
      <c r="S533" s="8"/>
      <c r="T533" s="8"/>
      <c r="U533" s="8"/>
      <c r="V533" s="8"/>
      <c r="W533" s="16"/>
    </row>
    <row r="534">
      <c r="F534" s="23"/>
      <c r="H534" s="8"/>
      <c r="I534" s="8"/>
      <c r="J534" s="8"/>
      <c r="K534" s="16"/>
      <c r="Q534" s="23"/>
      <c r="S534" s="8"/>
      <c r="T534" s="8"/>
      <c r="U534" s="8"/>
      <c r="V534" s="8"/>
      <c r="W534" s="16"/>
    </row>
    <row r="535">
      <c r="F535" s="23"/>
      <c r="H535" s="8"/>
      <c r="I535" s="8"/>
      <c r="J535" s="8"/>
      <c r="K535" s="16"/>
      <c r="Q535" s="23"/>
      <c r="S535" s="8"/>
      <c r="T535" s="8"/>
      <c r="U535" s="8"/>
      <c r="V535" s="8"/>
      <c r="W535" s="16"/>
    </row>
    <row r="536">
      <c r="F536" s="23"/>
      <c r="H536" s="8"/>
      <c r="I536" s="8"/>
      <c r="J536" s="8"/>
      <c r="K536" s="16"/>
      <c r="Q536" s="23"/>
      <c r="S536" s="8"/>
      <c r="T536" s="8"/>
      <c r="U536" s="8"/>
      <c r="V536" s="8"/>
      <c r="W536" s="16"/>
    </row>
    <row r="537">
      <c r="F537" s="23"/>
      <c r="H537" s="8"/>
      <c r="I537" s="8"/>
      <c r="J537" s="8"/>
      <c r="K537" s="16"/>
      <c r="Q537" s="23"/>
      <c r="S537" s="8"/>
      <c r="T537" s="8"/>
      <c r="U537" s="8"/>
      <c r="V537" s="8"/>
      <c r="W537" s="16"/>
    </row>
    <row r="538">
      <c r="F538" s="23"/>
      <c r="H538" s="8"/>
      <c r="I538" s="8"/>
      <c r="J538" s="8"/>
      <c r="K538" s="16"/>
      <c r="Q538" s="23"/>
      <c r="S538" s="8"/>
      <c r="T538" s="8"/>
      <c r="U538" s="8"/>
      <c r="V538" s="8"/>
      <c r="W538" s="16"/>
    </row>
    <row r="539">
      <c r="F539" s="23"/>
      <c r="H539" s="8"/>
      <c r="I539" s="8"/>
      <c r="J539" s="8"/>
      <c r="K539" s="16"/>
      <c r="Q539" s="23"/>
      <c r="S539" s="8"/>
      <c r="T539" s="8"/>
      <c r="U539" s="8"/>
      <c r="V539" s="8"/>
      <c r="W539" s="16"/>
    </row>
    <row r="540">
      <c r="F540" s="23"/>
      <c r="H540" s="8"/>
      <c r="I540" s="8"/>
      <c r="J540" s="8"/>
      <c r="K540" s="16"/>
      <c r="Q540" s="23"/>
      <c r="S540" s="8"/>
      <c r="T540" s="8"/>
      <c r="U540" s="8"/>
      <c r="V540" s="8"/>
      <c r="W540" s="16"/>
    </row>
    <row r="541">
      <c r="F541" s="23"/>
      <c r="H541" s="8"/>
      <c r="I541" s="8"/>
      <c r="J541" s="8"/>
      <c r="K541" s="16"/>
      <c r="Q541" s="23"/>
      <c r="S541" s="8"/>
      <c r="T541" s="8"/>
      <c r="U541" s="8"/>
      <c r="V541" s="8"/>
      <c r="W541" s="16"/>
    </row>
    <row r="542">
      <c r="F542" s="23"/>
      <c r="H542" s="8"/>
      <c r="I542" s="8"/>
      <c r="J542" s="8"/>
      <c r="K542" s="16"/>
      <c r="Q542" s="23"/>
      <c r="S542" s="8"/>
      <c r="T542" s="8"/>
      <c r="U542" s="8"/>
      <c r="V542" s="8"/>
      <c r="W542" s="16"/>
    </row>
    <row r="543">
      <c r="F543" s="23"/>
      <c r="H543" s="8"/>
      <c r="I543" s="8"/>
      <c r="J543" s="8"/>
      <c r="K543" s="16"/>
      <c r="Q543" s="23"/>
      <c r="S543" s="8"/>
      <c r="T543" s="8"/>
      <c r="U543" s="8"/>
      <c r="V543" s="8"/>
      <c r="W543" s="16"/>
    </row>
    <row r="544">
      <c r="F544" s="23"/>
      <c r="H544" s="8"/>
      <c r="I544" s="8"/>
      <c r="J544" s="8"/>
      <c r="K544" s="16"/>
      <c r="Q544" s="23"/>
      <c r="S544" s="8"/>
      <c r="T544" s="8"/>
      <c r="U544" s="8"/>
      <c r="V544" s="8"/>
      <c r="W544" s="16"/>
    </row>
    <row r="545">
      <c r="F545" s="23"/>
      <c r="H545" s="8"/>
      <c r="I545" s="8"/>
      <c r="J545" s="8"/>
      <c r="K545" s="16"/>
      <c r="Q545" s="23"/>
      <c r="S545" s="8"/>
      <c r="T545" s="8"/>
      <c r="U545" s="8"/>
      <c r="V545" s="8"/>
      <c r="W545" s="16"/>
    </row>
    <row r="546">
      <c r="F546" s="23"/>
      <c r="H546" s="8"/>
      <c r="I546" s="8"/>
      <c r="J546" s="8"/>
      <c r="K546" s="16"/>
      <c r="Q546" s="23"/>
      <c r="S546" s="8"/>
      <c r="T546" s="8"/>
      <c r="U546" s="8"/>
      <c r="V546" s="8"/>
      <c r="W546" s="16"/>
    </row>
    <row r="547">
      <c r="F547" s="23"/>
      <c r="H547" s="8"/>
      <c r="I547" s="8"/>
      <c r="J547" s="8"/>
      <c r="K547" s="16"/>
      <c r="Q547" s="23"/>
      <c r="S547" s="8"/>
      <c r="T547" s="8"/>
      <c r="U547" s="8"/>
      <c r="V547" s="8"/>
      <c r="W547" s="16"/>
    </row>
    <row r="548">
      <c r="F548" s="23"/>
      <c r="H548" s="8"/>
      <c r="I548" s="8"/>
      <c r="J548" s="8"/>
      <c r="K548" s="16"/>
      <c r="Q548" s="23"/>
      <c r="S548" s="8"/>
      <c r="T548" s="8"/>
      <c r="U548" s="8"/>
      <c r="V548" s="8"/>
      <c r="W548" s="16"/>
    </row>
    <row r="549">
      <c r="F549" s="23"/>
      <c r="H549" s="8"/>
      <c r="I549" s="8"/>
      <c r="J549" s="8"/>
      <c r="K549" s="16"/>
      <c r="Q549" s="23"/>
      <c r="S549" s="8"/>
      <c r="T549" s="8"/>
      <c r="U549" s="8"/>
      <c r="V549" s="8"/>
      <c r="W549" s="16"/>
    </row>
    <row r="550">
      <c r="F550" s="23"/>
      <c r="H550" s="8"/>
      <c r="I550" s="8"/>
      <c r="J550" s="8"/>
      <c r="K550" s="16"/>
      <c r="Q550" s="23"/>
      <c r="S550" s="8"/>
      <c r="T550" s="8"/>
      <c r="U550" s="8"/>
      <c r="V550" s="8"/>
      <c r="W550" s="16"/>
    </row>
    <row r="551">
      <c r="F551" s="23"/>
      <c r="H551" s="8"/>
      <c r="I551" s="8"/>
      <c r="J551" s="8"/>
      <c r="K551" s="16"/>
      <c r="Q551" s="23"/>
      <c r="S551" s="8"/>
      <c r="T551" s="8"/>
      <c r="U551" s="8"/>
      <c r="V551" s="8"/>
      <c r="W551" s="16"/>
    </row>
    <row r="552">
      <c r="F552" s="23"/>
      <c r="H552" s="8"/>
      <c r="I552" s="8"/>
      <c r="J552" s="8"/>
      <c r="K552" s="16"/>
      <c r="Q552" s="23"/>
      <c r="S552" s="8"/>
      <c r="T552" s="8"/>
      <c r="U552" s="8"/>
      <c r="V552" s="8"/>
      <c r="W552" s="16"/>
    </row>
    <row r="553">
      <c r="F553" s="23"/>
      <c r="H553" s="8"/>
      <c r="I553" s="8"/>
      <c r="J553" s="8"/>
      <c r="K553" s="16"/>
      <c r="Q553" s="23"/>
      <c r="S553" s="8"/>
      <c r="T553" s="8"/>
      <c r="U553" s="8"/>
      <c r="V553" s="8"/>
      <c r="W553" s="16"/>
    </row>
    <row r="554">
      <c r="F554" s="23"/>
      <c r="H554" s="8"/>
      <c r="I554" s="8"/>
      <c r="J554" s="8"/>
      <c r="K554" s="16"/>
      <c r="Q554" s="23"/>
      <c r="S554" s="8"/>
      <c r="T554" s="8"/>
      <c r="U554" s="8"/>
      <c r="V554" s="8"/>
      <c r="W554" s="16"/>
    </row>
    <row r="555">
      <c r="F555" s="23"/>
      <c r="H555" s="8"/>
      <c r="I555" s="8"/>
      <c r="J555" s="8"/>
      <c r="K555" s="16"/>
      <c r="Q555" s="23"/>
      <c r="S555" s="8"/>
      <c r="T555" s="8"/>
      <c r="U555" s="8"/>
      <c r="V555" s="8"/>
      <c r="W555" s="16"/>
    </row>
    <row r="556">
      <c r="F556" s="23"/>
      <c r="H556" s="8"/>
      <c r="I556" s="8"/>
      <c r="J556" s="8"/>
      <c r="K556" s="16"/>
      <c r="Q556" s="23"/>
      <c r="S556" s="8"/>
      <c r="T556" s="8"/>
      <c r="U556" s="8"/>
      <c r="V556" s="8"/>
      <c r="W556" s="16"/>
    </row>
    <row r="557">
      <c r="F557" s="23"/>
      <c r="H557" s="8"/>
      <c r="I557" s="8"/>
      <c r="J557" s="8"/>
      <c r="K557" s="16"/>
      <c r="Q557" s="23"/>
      <c r="S557" s="8"/>
      <c r="T557" s="8"/>
      <c r="U557" s="8"/>
      <c r="V557" s="8"/>
      <c r="W557" s="16"/>
    </row>
    <row r="558">
      <c r="F558" s="23"/>
      <c r="H558" s="8"/>
      <c r="I558" s="8"/>
      <c r="J558" s="8"/>
      <c r="K558" s="16"/>
      <c r="Q558" s="23"/>
      <c r="S558" s="8"/>
      <c r="T558" s="8"/>
      <c r="U558" s="8"/>
      <c r="V558" s="8"/>
      <c r="W558" s="16"/>
    </row>
    <row r="559">
      <c r="F559" s="23"/>
      <c r="H559" s="8"/>
      <c r="I559" s="8"/>
      <c r="J559" s="8"/>
      <c r="K559" s="16"/>
      <c r="Q559" s="23"/>
      <c r="S559" s="8"/>
      <c r="T559" s="8"/>
      <c r="U559" s="8"/>
      <c r="V559" s="8"/>
      <c r="W559" s="16"/>
    </row>
    <row r="560">
      <c r="F560" s="23"/>
      <c r="H560" s="8"/>
      <c r="I560" s="8"/>
      <c r="J560" s="8"/>
      <c r="K560" s="16"/>
      <c r="Q560" s="23"/>
      <c r="S560" s="8"/>
      <c r="T560" s="8"/>
      <c r="U560" s="8"/>
      <c r="V560" s="8"/>
      <c r="W560" s="16"/>
    </row>
    <row r="561">
      <c r="F561" s="23"/>
      <c r="H561" s="8"/>
      <c r="I561" s="8"/>
      <c r="J561" s="8"/>
      <c r="K561" s="16"/>
      <c r="Q561" s="23"/>
      <c r="S561" s="8"/>
      <c r="T561" s="8"/>
      <c r="U561" s="8"/>
      <c r="V561" s="8"/>
      <c r="W561" s="16"/>
    </row>
    <row r="562">
      <c r="F562" s="23"/>
      <c r="H562" s="8"/>
      <c r="I562" s="8"/>
      <c r="J562" s="8"/>
      <c r="K562" s="16"/>
      <c r="Q562" s="23"/>
      <c r="S562" s="8"/>
      <c r="T562" s="8"/>
      <c r="U562" s="8"/>
      <c r="V562" s="8"/>
      <c r="W562" s="16"/>
    </row>
    <row r="563">
      <c r="F563" s="23"/>
      <c r="H563" s="8"/>
      <c r="I563" s="8"/>
      <c r="J563" s="8"/>
      <c r="K563" s="16"/>
      <c r="Q563" s="23"/>
      <c r="S563" s="8"/>
      <c r="T563" s="8"/>
      <c r="U563" s="8"/>
      <c r="V563" s="8"/>
      <c r="W563" s="16"/>
    </row>
    <row r="564">
      <c r="F564" s="23"/>
      <c r="H564" s="8"/>
      <c r="I564" s="8"/>
      <c r="J564" s="8"/>
      <c r="K564" s="16"/>
      <c r="Q564" s="23"/>
      <c r="S564" s="8"/>
      <c r="T564" s="8"/>
      <c r="U564" s="8"/>
      <c r="V564" s="8"/>
      <c r="W564" s="16"/>
    </row>
    <row r="565">
      <c r="F565" s="23"/>
      <c r="H565" s="8"/>
      <c r="I565" s="8"/>
      <c r="J565" s="8"/>
      <c r="K565" s="16"/>
      <c r="Q565" s="23"/>
      <c r="S565" s="8"/>
      <c r="T565" s="8"/>
      <c r="U565" s="8"/>
      <c r="V565" s="8"/>
      <c r="W565" s="16"/>
    </row>
    <row r="566">
      <c r="F566" s="23"/>
      <c r="H566" s="8"/>
      <c r="I566" s="8"/>
      <c r="J566" s="8"/>
      <c r="K566" s="16"/>
      <c r="Q566" s="23"/>
      <c r="S566" s="8"/>
      <c r="T566" s="8"/>
      <c r="U566" s="8"/>
      <c r="V566" s="8"/>
      <c r="W566" s="16"/>
    </row>
    <row r="567">
      <c r="F567" s="23"/>
      <c r="H567" s="8"/>
      <c r="I567" s="8"/>
      <c r="J567" s="8"/>
      <c r="K567" s="16"/>
      <c r="Q567" s="23"/>
      <c r="S567" s="8"/>
      <c r="T567" s="8"/>
      <c r="U567" s="8"/>
      <c r="V567" s="8"/>
      <c r="W567" s="16"/>
    </row>
    <row r="568">
      <c r="F568" s="23"/>
      <c r="H568" s="8"/>
      <c r="I568" s="8"/>
      <c r="J568" s="8"/>
      <c r="K568" s="16"/>
      <c r="Q568" s="23"/>
      <c r="S568" s="8"/>
      <c r="T568" s="8"/>
      <c r="U568" s="8"/>
      <c r="V568" s="8"/>
      <c r="W568" s="16"/>
    </row>
    <row r="569">
      <c r="F569" s="23"/>
      <c r="H569" s="8"/>
      <c r="I569" s="8"/>
      <c r="J569" s="8"/>
      <c r="K569" s="16"/>
      <c r="Q569" s="23"/>
      <c r="S569" s="8"/>
      <c r="T569" s="8"/>
      <c r="U569" s="8"/>
      <c r="V569" s="8"/>
      <c r="W569" s="16"/>
    </row>
    <row r="570">
      <c r="F570" s="23"/>
      <c r="H570" s="8"/>
      <c r="I570" s="8"/>
      <c r="J570" s="8"/>
      <c r="K570" s="16"/>
      <c r="Q570" s="23"/>
      <c r="S570" s="8"/>
      <c r="T570" s="8"/>
      <c r="U570" s="8"/>
      <c r="V570" s="8"/>
      <c r="W570" s="16"/>
    </row>
    <row r="571">
      <c r="F571" s="23"/>
      <c r="H571" s="8"/>
      <c r="I571" s="8"/>
      <c r="J571" s="8"/>
      <c r="K571" s="16"/>
      <c r="Q571" s="23"/>
      <c r="S571" s="8"/>
      <c r="T571" s="8"/>
      <c r="U571" s="8"/>
      <c r="V571" s="8"/>
      <c r="W571" s="16"/>
    </row>
    <row r="572">
      <c r="F572" s="23"/>
      <c r="H572" s="8"/>
      <c r="I572" s="8"/>
      <c r="J572" s="8"/>
      <c r="K572" s="16"/>
      <c r="Q572" s="23"/>
      <c r="S572" s="8"/>
      <c r="T572" s="8"/>
      <c r="U572" s="8"/>
      <c r="V572" s="8"/>
      <c r="W572" s="16"/>
    </row>
    <row r="573">
      <c r="F573" s="23"/>
      <c r="H573" s="8"/>
      <c r="I573" s="8"/>
      <c r="J573" s="8"/>
      <c r="K573" s="16"/>
      <c r="Q573" s="23"/>
      <c r="S573" s="8"/>
      <c r="T573" s="8"/>
      <c r="U573" s="8"/>
      <c r="V573" s="8"/>
      <c r="W573" s="16"/>
    </row>
    <row r="574">
      <c r="F574" s="23"/>
      <c r="H574" s="8"/>
      <c r="I574" s="8"/>
      <c r="J574" s="8"/>
      <c r="K574" s="16"/>
      <c r="Q574" s="23"/>
      <c r="S574" s="8"/>
      <c r="T574" s="8"/>
      <c r="U574" s="8"/>
      <c r="V574" s="8"/>
      <c r="W574" s="16"/>
    </row>
    <row r="575">
      <c r="F575" s="23"/>
      <c r="H575" s="8"/>
      <c r="I575" s="8"/>
      <c r="J575" s="8"/>
      <c r="K575" s="16"/>
      <c r="Q575" s="23"/>
      <c r="S575" s="8"/>
      <c r="T575" s="8"/>
      <c r="U575" s="8"/>
      <c r="V575" s="8"/>
      <c r="W575" s="16"/>
    </row>
    <row r="576">
      <c r="F576" s="23"/>
      <c r="H576" s="8"/>
      <c r="I576" s="8"/>
      <c r="J576" s="8"/>
      <c r="K576" s="16"/>
      <c r="Q576" s="23"/>
      <c r="S576" s="8"/>
      <c r="T576" s="8"/>
      <c r="U576" s="8"/>
      <c r="V576" s="8"/>
      <c r="W576" s="16"/>
    </row>
    <row r="577">
      <c r="F577" s="23"/>
      <c r="H577" s="8"/>
      <c r="I577" s="8"/>
      <c r="J577" s="8"/>
      <c r="K577" s="16"/>
      <c r="Q577" s="23"/>
      <c r="S577" s="8"/>
      <c r="T577" s="8"/>
      <c r="U577" s="8"/>
      <c r="V577" s="8"/>
      <c r="W577" s="16"/>
    </row>
    <row r="578">
      <c r="F578" s="23"/>
      <c r="H578" s="8"/>
      <c r="I578" s="8"/>
      <c r="J578" s="8"/>
      <c r="K578" s="16"/>
      <c r="Q578" s="23"/>
      <c r="S578" s="8"/>
      <c r="T578" s="8"/>
      <c r="U578" s="8"/>
      <c r="V578" s="8"/>
      <c r="W578" s="16"/>
    </row>
    <row r="579">
      <c r="F579" s="23"/>
      <c r="H579" s="8"/>
      <c r="I579" s="8"/>
      <c r="J579" s="8"/>
      <c r="K579" s="16"/>
      <c r="Q579" s="23"/>
      <c r="S579" s="8"/>
      <c r="T579" s="8"/>
      <c r="U579" s="8"/>
      <c r="V579" s="8"/>
      <c r="W579" s="16"/>
    </row>
    <row r="580">
      <c r="F580" s="23"/>
      <c r="H580" s="8"/>
      <c r="I580" s="8"/>
      <c r="J580" s="8"/>
      <c r="K580" s="16"/>
      <c r="Q580" s="23"/>
      <c r="S580" s="8"/>
      <c r="T580" s="8"/>
      <c r="U580" s="8"/>
      <c r="V580" s="8"/>
      <c r="W580" s="16"/>
    </row>
    <row r="581">
      <c r="F581" s="23"/>
      <c r="H581" s="8"/>
      <c r="I581" s="8"/>
      <c r="J581" s="8"/>
      <c r="K581" s="16"/>
      <c r="Q581" s="23"/>
      <c r="S581" s="8"/>
      <c r="T581" s="8"/>
      <c r="U581" s="8"/>
      <c r="V581" s="8"/>
      <c r="W581" s="16"/>
    </row>
    <row r="582">
      <c r="F582" s="23"/>
      <c r="H582" s="8"/>
      <c r="I582" s="8"/>
      <c r="J582" s="8"/>
      <c r="K582" s="16"/>
      <c r="Q582" s="23"/>
      <c r="S582" s="8"/>
      <c r="T582" s="8"/>
      <c r="U582" s="8"/>
      <c r="V582" s="8"/>
      <c r="W582" s="16"/>
    </row>
    <row r="583">
      <c r="F583" s="23"/>
      <c r="H583" s="8"/>
      <c r="I583" s="8"/>
      <c r="J583" s="8"/>
      <c r="K583" s="16"/>
      <c r="Q583" s="23"/>
      <c r="S583" s="8"/>
      <c r="T583" s="8"/>
      <c r="U583" s="8"/>
      <c r="V583" s="8"/>
      <c r="W583" s="16"/>
    </row>
    <row r="584">
      <c r="F584" s="23"/>
      <c r="H584" s="8"/>
      <c r="I584" s="8"/>
      <c r="J584" s="8"/>
      <c r="K584" s="16"/>
      <c r="Q584" s="23"/>
      <c r="S584" s="8"/>
      <c r="T584" s="8"/>
      <c r="U584" s="8"/>
      <c r="V584" s="8"/>
      <c r="W584" s="16"/>
    </row>
    <row r="585">
      <c r="F585" s="23"/>
      <c r="H585" s="8"/>
      <c r="I585" s="8"/>
      <c r="J585" s="8"/>
      <c r="K585" s="16"/>
      <c r="Q585" s="23"/>
      <c r="S585" s="8"/>
      <c r="T585" s="8"/>
      <c r="U585" s="8"/>
      <c r="V585" s="8"/>
      <c r="W585" s="16"/>
    </row>
    <row r="586">
      <c r="F586" s="23"/>
      <c r="H586" s="8"/>
      <c r="I586" s="8"/>
      <c r="J586" s="8"/>
      <c r="K586" s="16"/>
      <c r="Q586" s="23"/>
      <c r="S586" s="8"/>
      <c r="T586" s="8"/>
      <c r="U586" s="8"/>
      <c r="V586" s="8"/>
      <c r="W586" s="16"/>
    </row>
    <row r="587">
      <c r="F587" s="23"/>
      <c r="H587" s="8"/>
      <c r="I587" s="8"/>
      <c r="J587" s="8"/>
      <c r="K587" s="16"/>
      <c r="Q587" s="23"/>
      <c r="S587" s="8"/>
      <c r="T587" s="8"/>
      <c r="U587" s="8"/>
      <c r="V587" s="8"/>
      <c r="W587" s="16"/>
    </row>
    <row r="588">
      <c r="F588" s="23"/>
      <c r="H588" s="8"/>
      <c r="I588" s="8"/>
      <c r="J588" s="8"/>
      <c r="K588" s="16"/>
      <c r="Q588" s="23"/>
      <c r="S588" s="8"/>
      <c r="T588" s="8"/>
      <c r="U588" s="8"/>
      <c r="V588" s="8"/>
      <c r="W588" s="16"/>
    </row>
    <row r="589">
      <c r="F589" s="23"/>
      <c r="H589" s="8"/>
      <c r="I589" s="8"/>
      <c r="J589" s="8"/>
      <c r="K589" s="16"/>
      <c r="Q589" s="23"/>
      <c r="S589" s="8"/>
      <c r="T589" s="8"/>
      <c r="U589" s="8"/>
      <c r="V589" s="8"/>
      <c r="W589" s="16"/>
    </row>
    <row r="590">
      <c r="F590" s="23"/>
      <c r="H590" s="8"/>
      <c r="I590" s="8"/>
      <c r="J590" s="8"/>
      <c r="K590" s="16"/>
      <c r="Q590" s="23"/>
      <c r="S590" s="8"/>
      <c r="T590" s="8"/>
      <c r="U590" s="8"/>
      <c r="V590" s="8"/>
      <c r="W590" s="16"/>
    </row>
    <row r="591">
      <c r="F591" s="23"/>
      <c r="H591" s="8"/>
      <c r="I591" s="8"/>
      <c r="J591" s="8"/>
      <c r="K591" s="16"/>
      <c r="Q591" s="23"/>
      <c r="S591" s="8"/>
      <c r="T591" s="8"/>
      <c r="U591" s="8"/>
      <c r="V591" s="8"/>
      <c r="W591" s="16"/>
    </row>
    <row r="592">
      <c r="F592" s="23"/>
      <c r="H592" s="8"/>
      <c r="I592" s="8"/>
      <c r="J592" s="8"/>
      <c r="K592" s="16"/>
      <c r="Q592" s="23"/>
      <c r="S592" s="8"/>
      <c r="T592" s="8"/>
      <c r="U592" s="8"/>
      <c r="V592" s="8"/>
      <c r="W592" s="16"/>
    </row>
    <row r="593">
      <c r="F593" s="23"/>
      <c r="H593" s="8"/>
      <c r="I593" s="8"/>
      <c r="J593" s="8"/>
      <c r="K593" s="16"/>
      <c r="Q593" s="23"/>
      <c r="S593" s="8"/>
      <c r="T593" s="8"/>
      <c r="U593" s="8"/>
      <c r="V593" s="8"/>
      <c r="W593" s="16"/>
    </row>
    <row r="594">
      <c r="F594" s="23"/>
      <c r="H594" s="8"/>
      <c r="I594" s="8"/>
      <c r="J594" s="8"/>
      <c r="K594" s="16"/>
      <c r="Q594" s="23"/>
      <c r="S594" s="8"/>
      <c r="T594" s="8"/>
      <c r="U594" s="8"/>
      <c r="V594" s="8"/>
      <c r="W594" s="16"/>
    </row>
    <row r="595">
      <c r="F595" s="23"/>
      <c r="H595" s="8"/>
      <c r="I595" s="8"/>
      <c r="J595" s="8"/>
      <c r="K595" s="16"/>
      <c r="Q595" s="23"/>
      <c r="S595" s="8"/>
      <c r="T595" s="8"/>
      <c r="U595" s="8"/>
      <c r="V595" s="8"/>
      <c r="W595" s="16"/>
    </row>
    <row r="596">
      <c r="F596" s="23"/>
      <c r="H596" s="8"/>
      <c r="I596" s="8"/>
      <c r="J596" s="8"/>
      <c r="K596" s="16"/>
      <c r="Q596" s="23"/>
      <c r="S596" s="8"/>
      <c r="T596" s="8"/>
      <c r="U596" s="8"/>
      <c r="V596" s="8"/>
      <c r="W596" s="16"/>
    </row>
    <row r="597">
      <c r="F597" s="23"/>
      <c r="H597" s="8"/>
      <c r="I597" s="8"/>
      <c r="J597" s="8"/>
      <c r="K597" s="16"/>
      <c r="Q597" s="23"/>
      <c r="S597" s="8"/>
      <c r="T597" s="8"/>
      <c r="U597" s="8"/>
      <c r="V597" s="8"/>
      <c r="W597" s="16"/>
    </row>
    <row r="598">
      <c r="F598" s="23"/>
      <c r="H598" s="8"/>
      <c r="I598" s="8"/>
      <c r="J598" s="8"/>
      <c r="K598" s="16"/>
      <c r="Q598" s="23"/>
      <c r="S598" s="8"/>
      <c r="T598" s="8"/>
      <c r="U598" s="8"/>
      <c r="V598" s="8"/>
      <c r="W598" s="16"/>
    </row>
    <row r="599">
      <c r="F599" s="23"/>
      <c r="H599" s="8"/>
      <c r="I599" s="8"/>
      <c r="J599" s="8"/>
      <c r="K599" s="16"/>
      <c r="Q599" s="23"/>
      <c r="S599" s="8"/>
      <c r="T599" s="8"/>
      <c r="U599" s="8"/>
      <c r="V599" s="8"/>
      <c r="W599" s="16"/>
    </row>
    <row r="600">
      <c r="F600" s="23"/>
      <c r="H600" s="8"/>
      <c r="I600" s="8"/>
      <c r="J600" s="8"/>
      <c r="K600" s="16"/>
      <c r="Q600" s="23"/>
      <c r="S600" s="8"/>
      <c r="T600" s="8"/>
      <c r="U600" s="8"/>
      <c r="V600" s="8"/>
      <c r="W600" s="16"/>
    </row>
    <row r="601">
      <c r="F601" s="23"/>
      <c r="H601" s="8"/>
      <c r="I601" s="8"/>
      <c r="J601" s="8"/>
      <c r="K601" s="16"/>
      <c r="Q601" s="23"/>
      <c r="S601" s="8"/>
      <c r="T601" s="8"/>
      <c r="U601" s="8"/>
      <c r="V601" s="8"/>
      <c r="W601" s="16"/>
    </row>
    <row r="602">
      <c r="F602" s="23"/>
      <c r="H602" s="8"/>
      <c r="I602" s="8"/>
      <c r="J602" s="8"/>
      <c r="K602" s="16"/>
      <c r="Q602" s="23"/>
      <c r="S602" s="8"/>
      <c r="T602" s="8"/>
      <c r="U602" s="8"/>
      <c r="V602" s="8"/>
      <c r="W602" s="16"/>
    </row>
    <row r="603">
      <c r="F603" s="23"/>
      <c r="H603" s="8"/>
      <c r="I603" s="8"/>
      <c r="J603" s="8"/>
      <c r="K603" s="16"/>
      <c r="Q603" s="23"/>
      <c r="S603" s="8"/>
      <c r="T603" s="8"/>
      <c r="U603" s="8"/>
      <c r="V603" s="8"/>
      <c r="W603" s="16"/>
    </row>
    <row r="604">
      <c r="F604" s="23"/>
      <c r="H604" s="8"/>
      <c r="I604" s="8"/>
      <c r="J604" s="8"/>
      <c r="K604" s="16"/>
      <c r="Q604" s="23"/>
      <c r="S604" s="8"/>
      <c r="T604" s="8"/>
      <c r="U604" s="8"/>
      <c r="V604" s="8"/>
      <c r="W604" s="16"/>
    </row>
    <row r="605">
      <c r="F605" s="23"/>
      <c r="H605" s="8"/>
      <c r="I605" s="8"/>
      <c r="J605" s="8"/>
      <c r="K605" s="16"/>
      <c r="Q605" s="23"/>
      <c r="S605" s="8"/>
      <c r="T605" s="8"/>
      <c r="U605" s="8"/>
      <c r="V605" s="8"/>
      <c r="W605" s="16"/>
    </row>
    <row r="606">
      <c r="F606" s="23"/>
      <c r="H606" s="8"/>
      <c r="I606" s="8"/>
      <c r="J606" s="8"/>
      <c r="K606" s="16"/>
      <c r="Q606" s="23"/>
      <c r="S606" s="8"/>
      <c r="T606" s="8"/>
      <c r="U606" s="8"/>
      <c r="V606" s="8"/>
      <c r="W606" s="16"/>
    </row>
    <row r="607">
      <c r="F607" s="23"/>
      <c r="H607" s="8"/>
      <c r="I607" s="8"/>
      <c r="J607" s="8"/>
      <c r="K607" s="16"/>
      <c r="Q607" s="23"/>
      <c r="S607" s="8"/>
      <c r="T607" s="8"/>
      <c r="U607" s="8"/>
      <c r="V607" s="8"/>
      <c r="W607" s="16"/>
    </row>
    <row r="608">
      <c r="F608" s="23"/>
      <c r="H608" s="8"/>
      <c r="I608" s="8"/>
      <c r="J608" s="8"/>
      <c r="K608" s="16"/>
      <c r="Q608" s="23"/>
      <c r="S608" s="8"/>
      <c r="T608" s="8"/>
      <c r="U608" s="8"/>
      <c r="V608" s="8"/>
      <c r="W608" s="16"/>
    </row>
    <row r="609">
      <c r="F609" s="23"/>
      <c r="H609" s="8"/>
      <c r="I609" s="8"/>
      <c r="J609" s="8"/>
      <c r="K609" s="16"/>
      <c r="Q609" s="23"/>
      <c r="S609" s="8"/>
      <c r="T609" s="8"/>
      <c r="U609" s="8"/>
      <c r="V609" s="8"/>
      <c r="W609" s="16"/>
    </row>
    <row r="610">
      <c r="F610" s="23"/>
      <c r="H610" s="8"/>
      <c r="I610" s="8"/>
      <c r="J610" s="8"/>
      <c r="K610" s="16"/>
      <c r="Q610" s="23"/>
      <c r="S610" s="8"/>
      <c r="T610" s="8"/>
      <c r="U610" s="8"/>
      <c r="V610" s="8"/>
      <c r="W610" s="16"/>
    </row>
    <row r="611">
      <c r="F611" s="23"/>
      <c r="H611" s="8"/>
      <c r="I611" s="8"/>
      <c r="J611" s="8"/>
      <c r="K611" s="16"/>
      <c r="Q611" s="23"/>
      <c r="S611" s="8"/>
      <c r="T611" s="8"/>
      <c r="U611" s="8"/>
      <c r="V611" s="8"/>
      <c r="W611" s="16"/>
    </row>
    <row r="612">
      <c r="F612" s="23"/>
      <c r="H612" s="8"/>
      <c r="I612" s="8"/>
      <c r="J612" s="8"/>
      <c r="K612" s="16"/>
      <c r="Q612" s="23"/>
      <c r="S612" s="8"/>
      <c r="T612" s="8"/>
      <c r="U612" s="8"/>
      <c r="V612" s="8"/>
      <c r="W612" s="16"/>
    </row>
    <row r="613">
      <c r="F613" s="23"/>
      <c r="H613" s="8"/>
      <c r="I613" s="8"/>
      <c r="J613" s="8"/>
      <c r="K613" s="16"/>
      <c r="Q613" s="23"/>
      <c r="S613" s="8"/>
      <c r="T613" s="8"/>
      <c r="U613" s="8"/>
      <c r="V613" s="8"/>
      <c r="W613" s="16"/>
    </row>
    <row r="614">
      <c r="F614" s="23"/>
      <c r="H614" s="8"/>
      <c r="I614" s="8"/>
      <c r="J614" s="8"/>
      <c r="K614" s="16"/>
      <c r="Q614" s="23"/>
      <c r="S614" s="8"/>
      <c r="T614" s="8"/>
      <c r="U614" s="8"/>
      <c r="V614" s="8"/>
      <c r="W614" s="16"/>
    </row>
    <row r="615">
      <c r="F615" s="23"/>
      <c r="H615" s="8"/>
      <c r="I615" s="8"/>
      <c r="J615" s="8"/>
      <c r="K615" s="16"/>
      <c r="Q615" s="23"/>
      <c r="S615" s="8"/>
      <c r="T615" s="8"/>
      <c r="U615" s="8"/>
      <c r="V615" s="8"/>
      <c r="W615" s="16"/>
    </row>
    <row r="616">
      <c r="F616" s="23"/>
      <c r="H616" s="8"/>
      <c r="I616" s="8"/>
      <c r="J616" s="8"/>
      <c r="K616" s="16"/>
      <c r="Q616" s="23"/>
      <c r="S616" s="8"/>
      <c r="T616" s="8"/>
      <c r="U616" s="8"/>
      <c r="V616" s="8"/>
      <c r="W616" s="16"/>
    </row>
    <row r="617">
      <c r="F617" s="23"/>
      <c r="H617" s="8"/>
      <c r="I617" s="8"/>
      <c r="J617" s="8"/>
      <c r="K617" s="16"/>
      <c r="Q617" s="23"/>
      <c r="S617" s="8"/>
      <c r="T617" s="8"/>
      <c r="U617" s="8"/>
      <c r="V617" s="8"/>
      <c r="W617" s="16"/>
    </row>
    <row r="618">
      <c r="F618" s="23"/>
      <c r="H618" s="8"/>
      <c r="I618" s="8"/>
      <c r="J618" s="8"/>
      <c r="K618" s="16"/>
      <c r="Q618" s="23"/>
      <c r="S618" s="8"/>
      <c r="T618" s="8"/>
      <c r="U618" s="8"/>
      <c r="V618" s="8"/>
      <c r="W618" s="16"/>
    </row>
    <row r="619">
      <c r="F619" s="23"/>
      <c r="H619" s="8"/>
      <c r="I619" s="8"/>
      <c r="J619" s="8"/>
      <c r="K619" s="16"/>
      <c r="Q619" s="23"/>
      <c r="S619" s="8"/>
      <c r="T619" s="8"/>
      <c r="U619" s="8"/>
      <c r="V619" s="8"/>
      <c r="W619" s="16"/>
    </row>
    <row r="620">
      <c r="F620" s="23"/>
      <c r="H620" s="8"/>
      <c r="I620" s="8"/>
      <c r="J620" s="8"/>
      <c r="K620" s="16"/>
      <c r="Q620" s="23"/>
      <c r="S620" s="8"/>
      <c r="T620" s="8"/>
      <c r="U620" s="8"/>
      <c r="V620" s="8"/>
      <c r="W620" s="16"/>
    </row>
    <row r="621">
      <c r="F621" s="23"/>
      <c r="H621" s="8"/>
      <c r="I621" s="8"/>
      <c r="J621" s="8"/>
      <c r="K621" s="16"/>
      <c r="Q621" s="23"/>
      <c r="S621" s="8"/>
      <c r="T621" s="8"/>
      <c r="U621" s="8"/>
      <c r="V621" s="8"/>
      <c r="W621" s="16"/>
    </row>
    <row r="622">
      <c r="F622" s="23"/>
      <c r="H622" s="8"/>
      <c r="I622" s="8"/>
      <c r="J622" s="8"/>
      <c r="K622" s="16"/>
      <c r="Q622" s="23"/>
      <c r="S622" s="8"/>
      <c r="T622" s="8"/>
      <c r="U622" s="8"/>
      <c r="V622" s="8"/>
      <c r="W622" s="16"/>
    </row>
    <row r="623">
      <c r="F623" s="23"/>
      <c r="H623" s="8"/>
      <c r="I623" s="8"/>
      <c r="J623" s="8"/>
      <c r="K623" s="16"/>
      <c r="Q623" s="23"/>
      <c r="S623" s="8"/>
      <c r="T623" s="8"/>
      <c r="U623" s="8"/>
      <c r="V623" s="8"/>
      <c r="W623" s="16"/>
    </row>
    <row r="624">
      <c r="F624" s="23"/>
      <c r="H624" s="8"/>
      <c r="I624" s="8"/>
      <c r="J624" s="8"/>
      <c r="K624" s="16"/>
      <c r="Q624" s="23"/>
      <c r="S624" s="8"/>
      <c r="T624" s="8"/>
      <c r="U624" s="8"/>
      <c r="V624" s="8"/>
      <c r="W624" s="16"/>
    </row>
    <row r="625">
      <c r="F625" s="23"/>
      <c r="H625" s="8"/>
      <c r="I625" s="8"/>
      <c r="J625" s="8"/>
      <c r="K625" s="16"/>
      <c r="Q625" s="23"/>
      <c r="S625" s="8"/>
      <c r="T625" s="8"/>
      <c r="U625" s="8"/>
      <c r="V625" s="8"/>
      <c r="W625" s="16"/>
    </row>
    <row r="626">
      <c r="F626" s="23"/>
      <c r="H626" s="8"/>
      <c r="I626" s="8"/>
      <c r="J626" s="8"/>
      <c r="K626" s="16"/>
      <c r="Q626" s="23"/>
      <c r="S626" s="8"/>
      <c r="T626" s="8"/>
      <c r="U626" s="8"/>
      <c r="V626" s="8"/>
      <c r="W626" s="16"/>
    </row>
    <row r="627">
      <c r="F627" s="23"/>
      <c r="H627" s="8"/>
      <c r="I627" s="8"/>
      <c r="J627" s="8"/>
      <c r="K627" s="16"/>
      <c r="Q627" s="23"/>
      <c r="S627" s="8"/>
      <c r="T627" s="8"/>
      <c r="U627" s="8"/>
      <c r="V627" s="8"/>
      <c r="W627" s="16"/>
    </row>
    <row r="628">
      <c r="F628" s="23"/>
      <c r="H628" s="8"/>
      <c r="I628" s="8"/>
      <c r="J628" s="8"/>
      <c r="K628" s="16"/>
      <c r="Q628" s="23"/>
      <c r="S628" s="8"/>
      <c r="T628" s="8"/>
      <c r="U628" s="8"/>
      <c r="V628" s="8"/>
      <c r="W628" s="16"/>
    </row>
    <row r="629">
      <c r="F629" s="23"/>
      <c r="H629" s="8"/>
      <c r="I629" s="8"/>
      <c r="J629" s="8"/>
      <c r="K629" s="16"/>
      <c r="Q629" s="23"/>
      <c r="S629" s="8"/>
      <c r="T629" s="8"/>
      <c r="U629" s="8"/>
      <c r="V629" s="8"/>
      <c r="W629" s="16"/>
    </row>
    <row r="630">
      <c r="F630" s="23"/>
      <c r="H630" s="8"/>
      <c r="I630" s="8"/>
      <c r="J630" s="8"/>
      <c r="K630" s="16"/>
      <c r="Q630" s="23"/>
      <c r="S630" s="8"/>
      <c r="T630" s="8"/>
      <c r="U630" s="8"/>
      <c r="V630" s="8"/>
      <c r="W630" s="16"/>
    </row>
    <row r="631">
      <c r="F631" s="23"/>
      <c r="H631" s="8"/>
      <c r="I631" s="8"/>
      <c r="J631" s="8"/>
      <c r="K631" s="16"/>
      <c r="Q631" s="23"/>
      <c r="S631" s="8"/>
      <c r="T631" s="8"/>
      <c r="U631" s="8"/>
      <c r="V631" s="8"/>
      <c r="W631" s="16"/>
    </row>
    <row r="632">
      <c r="F632" s="23"/>
      <c r="H632" s="8"/>
      <c r="I632" s="8"/>
      <c r="J632" s="8"/>
      <c r="K632" s="16"/>
      <c r="Q632" s="23"/>
      <c r="S632" s="8"/>
      <c r="T632" s="8"/>
      <c r="U632" s="8"/>
      <c r="V632" s="8"/>
      <c r="W632" s="16"/>
    </row>
    <row r="633">
      <c r="F633" s="23"/>
      <c r="H633" s="8"/>
      <c r="I633" s="8"/>
      <c r="J633" s="8"/>
      <c r="K633" s="16"/>
      <c r="Q633" s="23"/>
      <c r="S633" s="8"/>
      <c r="T633" s="8"/>
      <c r="U633" s="8"/>
      <c r="V633" s="8"/>
      <c r="W633" s="16"/>
    </row>
    <row r="634">
      <c r="F634" s="23"/>
      <c r="H634" s="8"/>
      <c r="I634" s="8"/>
      <c r="J634" s="8"/>
      <c r="K634" s="16"/>
      <c r="Q634" s="23"/>
      <c r="S634" s="8"/>
      <c r="T634" s="8"/>
      <c r="U634" s="8"/>
      <c r="V634" s="8"/>
      <c r="W634" s="16"/>
    </row>
    <row r="635">
      <c r="F635" s="23"/>
      <c r="H635" s="8"/>
      <c r="I635" s="8"/>
      <c r="J635" s="8"/>
      <c r="K635" s="16"/>
      <c r="Q635" s="23"/>
      <c r="S635" s="8"/>
      <c r="T635" s="8"/>
      <c r="U635" s="8"/>
      <c r="V635" s="8"/>
      <c r="W635" s="16"/>
    </row>
    <row r="636">
      <c r="F636" s="23"/>
      <c r="H636" s="8"/>
      <c r="I636" s="8"/>
      <c r="J636" s="8"/>
      <c r="K636" s="16"/>
      <c r="Q636" s="23"/>
      <c r="S636" s="8"/>
      <c r="T636" s="8"/>
      <c r="U636" s="8"/>
      <c r="V636" s="8"/>
      <c r="W636" s="16"/>
    </row>
    <row r="637">
      <c r="F637" s="23"/>
      <c r="H637" s="8"/>
      <c r="I637" s="8"/>
      <c r="J637" s="8"/>
      <c r="K637" s="16"/>
      <c r="Q637" s="23"/>
      <c r="S637" s="8"/>
      <c r="T637" s="8"/>
      <c r="U637" s="8"/>
      <c r="V637" s="8"/>
      <c r="W637" s="16"/>
    </row>
    <row r="638">
      <c r="F638" s="23"/>
      <c r="H638" s="8"/>
      <c r="I638" s="8"/>
      <c r="J638" s="8"/>
      <c r="K638" s="16"/>
      <c r="Q638" s="23"/>
      <c r="S638" s="8"/>
      <c r="T638" s="8"/>
      <c r="U638" s="8"/>
      <c r="V638" s="8"/>
      <c r="W638" s="16"/>
    </row>
    <row r="639">
      <c r="F639" s="23"/>
      <c r="H639" s="8"/>
      <c r="I639" s="8"/>
      <c r="J639" s="8"/>
      <c r="K639" s="16"/>
      <c r="Q639" s="23"/>
      <c r="S639" s="8"/>
      <c r="T639" s="8"/>
      <c r="U639" s="8"/>
      <c r="V639" s="8"/>
      <c r="W639" s="16"/>
    </row>
    <row r="640">
      <c r="F640" s="23"/>
      <c r="H640" s="8"/>
      <c r="I640" s="8"/>
      <c r="J640" s="8"/>
      <c r="K640" s="16"/>
      <c r="Q640" s="23"/>
      <c r="S640" s="8"/>
      <c r="T640" s="8"/>
      <c r="U640" s="8"/>
      <c r="V640" s="8"/>
      <c r="W640" s="16"/>
    </row>
    <row r="641">
      <c r="F641" s="23"/>
      <c r="H641" s="8"/>
      <c r="I641" s="8"/>
      <c r="J641" s="8"/>
      <c r="K641" s="16"/>
      <c r="Q641" s="23"/>
      <c r="S641" s="8"/>
      <c r="T641" s="8"/>
      <c r="U641" s="8"/>
      <c r="V641" s="8"/>
      <c r="W641" s="16"/>
    </row>
    <row r="642">
      <c r="F642" s="23"/>
      <c r="H642" s="8"/>
      <c r="I642" s="8"/>
      <c r="J642" s="8"/>
      <c r="K642" s="16"/>
      <c r="Q642" s="23"/>
      <c r="S642" s="8"/>
      <c r="T642" s="8"/>
      <c r="U642" s="8"/>
      <c r="V642" s="8"/>
      <c r="W642" s="16"/>
    </row>
    <row r="643">
      <c r="F643" s="23"/>
      <c r="H643" s="8"/>
      <c r="I643" s="8"/>
      <c r="J643" s="8"/>
      <c r="K643" s="16"/>
      <c r="Q643" s="23"/>
      <c r="S643" s="8"/>
      <c r="T643" s="8"/>
      <c r="U643" s="8"/>
      <c r="V643" s="8"/>
      <c r="W643" s="16"/>
    </row>
    <row r="644">
      <c r="F644" s="23"/>
      <c r="H644" s="8"/>
      <c r="I644" s="8"/>
      <c r="J644" s="8"/>
      <c r="K644" s="16"/>
      <c r="Q644" s="23"/>
      <c r="S644" s="8"/>
      <c r="T644" s="8"/>
      <c r="U644" s="8"/>
      <c r="V644" s="8"/>
      <c r="W644" s="16"/>
    </row>
    <row r="645">
      <c r="F645" s="23"/>
      <c r="H645" s="8"/>
      <c r="I645" s="8"/>
      <c r="J645" s="8"/>
      <c r="K645" s="16"/>
      <c r="Q645" s="23"/>
      <c r="S645" s="8"/>
      <c r="T645" s="8"/>
      <c r="U645" s="8"/>
      <c r="V645" s="8"/>
      <c r="W645" s="16"/>
    </row>
    <row r="646">
      <c r="F646" s="23"/>
      <c r="H646" s="8"/>
      <c r="I646" s="8"/>
      <c r="J646" s="8"/>
      <c r="K646" s="16"/>
      <c r="Q646" s="23"/>
      <c r="S646" s="8"/>
      <c r="T646" s="8"/>
      <c r="U646" s="8"/>
      <c r="V646" s="8"/>
      <c r="W646" s="16"/>
    </row>
    <row r="647">
      <c r="F647" s="23"/>
      <c r="H647" s="8"/>
      <c r="I647" s="8"/>
      <c r="J647" s="8"/>
      <c r="K647" s="16"/>
      <c r="Q647" s="23"/>
      <c r="S647" s="8"/>
      <c r="T647" s="8"/>
      <c r="U647" s="8"/>
      <c r="V647" s="8"/>
      <c r="W647" s="16"/>
    </row>
    <row r="648">
      <c r="F648" s="23"/>
      <c r="H648" s="8"/>
      <c r="I648" s="8"/>
      <c r="J648" s="8"/>
      <c r="K648" s="16"/>
      <c r="Q648" s="23"/>
      <c r="S648" s="8"/>
      <c r="T648" s="8"/>
      <c r="U648" s="8"/>
      <c r="V648" s="8"/>
      <c r="W648" s="16"/>
    </row>
    <row r="649">
      <c r="F649" s="23"/>
      <c r="H649" s="8"/>
      <c r="I649" s="8"/>
      <c r="J649" s="8"/>
      <c r="K649" s="16"/>
      <c r="Q649" s="23"/>
      <c r="S649" s="8"/>
      <c r="T649" s="8"/>
      <c r="U649" s="8"/>
      <c r="V649" s="8"/>
      <c r="W649" s="16"/>
    </row>
    <row r="650">
      <c r="F650" s="23"/>
      <c r="H650" s="8"/>
      <c r="I650" s="8"/>
      <c r="J650" s="8"/>
      <c r="K650" s="16"/>
      <c r="Q650" s="23"/>
      <c r="S650" s="8"/>
      <c r="T650" s="8"/>
      <c r="U650" s="8"/>
      <c r="V650" s="8"/>
      <c r="W650" s="16"/>
    </row>
    <row r="651">
      <c r="F651" s="23"/>
      <c r="H651" s="8"/>
      <c r="I651" s="8"/>
      <c r="J651" s="8"/>
      <c r="K651" s="16"/>
      <c r="Q651" s="23"/>
      <c r="S651" s="8"/>
      <c r="T651" s="8"/>
      <c r="U651" s="8"/>
      <c r="V651" s="8"/>
      <c r="W651" s="16"/>
    </row>
    <row r="652">
      <c r="F652" s="23"/>
      <c r="H652" s="8"/>
      <c r="I652" s="8"/>
      <c r="J652" s="8"/>
      <c r="K652" s="16"/>
      <c r="Q652" s="23"/>
      <c r="S652" s="8"/>
      <c r="T652" s="8"/>
      <c r="U652" s="8"/>
      <c r="V652" s="8"/>
      <c r="W652" s="16"/>
    </row>
    <row r="653">
      <c r="F653" s="23"/>
      <c r="H653" s="8"/>
      <c r="I653" s="8"/>
      <c r="J653" s="8"/>
      <c r="K653" s="16"/>
      <c r="Q653" s="23"/>
      <c r="S653" s="8"/>
      <c r="T653" s="8"/>
      <c r="U653" s="8"/>
      <c r="V653" s="8"/>
      <c r="W653" s="16"/>
    </row>
    <row r="654">
      <c r="F654" s="23"/>
      <c r="H654" s="8"/>
      <c r="I654" s="8"/>
      <c r="J654" s="8"/>
      <c r="K654" s="16"/>
      <c r="Q654" s="23"/>
      <c r="S654" s="8"/>
      <c r="T654" s="8"/>
      <c r="U654" s="8"/>
      <c r="V654" s="8"/>
      <c r="W654" s="16"/>
    </row>
    <row r="655">
      <c r="F655" s="23"/>
      <c r="H655" s="8"/>
      <c r="I655" s="8"/>
      <c r="J655" s="8"/>
      <c r="K655" s="16"/>
      <c r="Q655" s="23"/>
      <c r="S655" s="8"/>
      <c r="T655" s="8"/>
      <c r="U655" s="8"/>
      <c r="V655" s="8"/>
      <c r="W655" s="16"/>
    </row>
    <row r="656">
      <c r="F656" s="23"/>
      <c r="H656" s="8"/>
      <c r="I656" s="8"/>
      <c r="J656" s="8"/>
      <c r="K656" s="16"/>
      <c r="Q656" s="23"/>
      <c r="S656" s="8"/>
      <c r="T656" s="8"/>
      <c r="U656" s="8"/>
      <c r="V656" s="8"/>
      <c r="W656" s="16"/>
    </row>
    <row r="657">
      <c r="F657" s="23"/>
      <c r="H657" s="8"/>
      <c r="I657" s="8"/>
      <c r="J657" s="8"/>
      <c r="K657" s="16"/>
      <c r="Q657" s="23"/>
      <c r="S657" s="8"/>
      <c r="T657" s="8"/>
      <c r="U657" s="8"/>
      <c r="V657" s="8"/>
      <c r="W657" s="16"/>
    </row>
    <row r="658">
      <c r="F658" s="23"/>
      <c r="H658" s="8"/>
      <c r="I658" s="8"/>
      <c r="J658" s="8"/>
      <c r="K658" s="16"/>
      <c r="Q658" s="23"/>
      <c r="S658" s="8"/>
      <c r="T658" s="8"/>
      <c r="U658" s="8"/>
      <c r="V658" s="8"/>
      <c r="W658" s="16"/>
    </row>
    <row r="659">
      <c r="F659" s="23"/>
      <c r="K659" s="23"/>
      <c r="Q659" s="23"/>
      <c r="S659" s="8"/>
      <c r="T659" s="8"/>
      <c r="U659" s="8"/>
      <c r="V659" s="8"/>
      <c r="W659" s="16"/>
    </row>
    <row r="660">
      <c r="F660" s="23"/>
      <c r="K660" s="23"/>
      <c r="Q660" s="23"/>
      <c r="S660" s="8"/>
      <c r="T660" s="8"/>
      <c r="U660" s="8"/>
      <c r="V660" s="8"/>
      <c r="W660" s="16"/>
    </row>
    <row r="661">
      <c r="F661" s="23"/>
      <c r="K661" s="23"/>
      <c r="Q661" s="23"/>
      <c r="S661" s="8"/>
      <c r="T661" s="8"/>
      <c r="U661" s="8"/>
      <c r="V661" s="8"/>
      <c r="W661" s="16"/>
    </row>
    <row r="662">
      <c r="F662" s="23"/>
      <c r="K662" s="23"/>
      <c r="Q662" s="23"/>
      <c r="S662" s="8"/>
      <c r="T662" s="8"/>
      <c r="U662" s="8"/>
      <c r="V662" s="8"/>
      <c r="W662" s="16"/>
    </row>
    <row r="663">
      <c r="F663" s="23"/>
      <c r="K663" s="23"/>
      <c r="Q663" s="23"/>
      <c r="S663" s="8"/>
      <c r="T663" s="8"/>
      <c r="U663" s="8"/>
      <c r="V663" s="8"/>
      <c r="W663" s="16"/>
    </row>
    <row r="664">
      <c r="F664" s="23"/>
      <c r="K664" s="23"/>
      <c r="Q664" s="23"/>
      <c r="S664" s="8"/>
      <c r="T664" s="8"/>
      <c r="U664" s="8"/>
      <c r="V664" s="8"/>
      <c r="W664" s="16"/>
    </row>
    <row r="665">
      <c r="F665" s="23"/>
      <c r="K665" s="23"/>
      <c r="Q665" s="23"/>
      <c r="S665" s="8"/>
      <c r="T665" s="8"/>
      <c r="U665" s="8"/>
      <c r="V665" s="8"/>
      <c r="W665" s="16"/>
    </row>
    <row r="666">
      <c r="F666" s="23"/>
      <c r="K666" s="23"/>
      <c r="Q666" s="23"/>
      <c r="S666" s="8"/>
      <c r="T666" s="8"/>
      <c r="U666" s="8"/>
      <c r="V666" s="8"/>
      <c r="W666" s="16"/>
    </row>
    <row r="667">
      <c r="F667" s="23"/>
      <c r="K667" s="23"/>
      <c r="Q667" s="23"/>
      <c r="S667" s="8"/>
      <c r="T667" s="8"/>
      <c r="U667" s="8"/>
      <c r="V667" s="8"/>
      <c r="W667" s="16"/>
    </row>
    <row r="668">
      <c r="F668" s="23"/>
      <c r="K668" s="23"/>
      <c r="Q668" s="23"/>
      <c r="S668" s="8"/>
      <c r="T668" s="8"/>
      <c r="U668" s="8"/>
      <c r="V668" s="8"/>
      <c r="W668" s="16"/>
    </row>
    <row r="669">
      <c r="F669" s="23"/>
      <c r="K669" s="23"/>
      <c r="Q669" s="23"/>
      <c r="S669" s="8"/>
      <c r="T669" s="8"/>
      <c r="U669" s="8"/>
      <c r="V669" s="8"/>
      <c r="W669" s="16"/>
    </row>
    <row r="670">
      <c r="F670" s="23"/>
      <c r="K670" s="23"/>
      <c r="Q670" s="23"/>
      <c r="S670" s="8"/>
      <c r="T670" s="8"/>
      <c r="U670" s="8"/>
      <c r="V670" s="8"/>
      <c r="W670" s="16"/>
    </row>
    <row r="671">
      <c r="F671" s="23"/>
      <c r="K671" s="23"/>
      <c r="Q671" s="23"/>
      <c r="S671" s="8"/>
      <c r="T671" s="8"/>
      <c r="U671" s="8"/>
      <c r="V671" s="8"/>
      <c r="W671" s="16"/>
    </row>
    <row r="672">
      <c r="F672" s="23"/>
      <c r="K672" s="23"/>
      <c r="Q672" s="23"/>
      <c r="S672" s="8"/>
      <c r="T672" s="8"/>
      <c r="U672" s="8"/>
      <c r="V672" s="8"/>
      <c r="W672" s="16"/>
    </row>
    <row r="673">
      <c r="F673" s="23"/>
      <c r="K673" s="23"/>
      <c r="Q673" s="23"/>
      <c r="S673" s="8"/>
      <c r="T673" s="8"/>
      <c r="U673" s="8"/>
      <c r="V673" s="8"/>
      <c r="W673" s="16"/>
    </row>
    <row r="674">
      <c r="F674" s="23"/>
      <c r="K674" s="23"/>
      <c r="Q674" s="23"/>
      <c r="S674" s="8"/>
      <c r="T674" s="8"/>
      <c r="U674" s="8"/>
      <c r="V674" s="8"/>
      <c r="W674" s="16"/>
    </row>
    <row r="675">
      <c r="F675" s="23"/>
      <c r="K675" s="23"/>
      <c r="Q675" s="23"/>
      <c r="S675" s="8"/>
      <c r="T675" s="8"/>
      <c r="U675" s="8"/>
      <c r="V675" s="8"/>
      <c r="W675" s="16"/>
    </row>
    <row r="676">
      <c r="F676" s="23"/>
      <c r="K676" s="23"/>
      <c r="Q676" s="23"/>
      <c r="S676" s="8"/>
      <c r="T676" s="8"/>
      <c r="U676" s="8"/>
      <c r="V676" s="8"/>
      <c r="W676" s="16"/>
    </row>
    <row r="677">
      <c r="F677" s="23"/>
      <c r="K677" s="23"/>
      <c r="Q677" s="23"/>
      <c r="S677" s="8"/>
      <c r="T677" s="8"/>
      <c r="U677" s="8"/>
      <c r="V677" s="8"/>
      <c r="W677" s="16"/>
    </row>
    <row r="678">
      <c r="F678" s="23"/>
      <c r="K678" s="23"/>
      <c r="Q678" s="23"/>
      <c r="S678" s="8"/>
      <c r="T678" s="8"/>
      <c r="U678" s="8"/>
      <c r="V678" s="8"/>
      <c r="W678" s="16"/>
    </row>
    <row r="679">
      <c r="F679" s="23"/>
      <c r="K679" s="23"/>
      <c r="Q679" s="23"/>
      <c r="S679" s="8"/>
      <c r="T679" s="8"/>
      <c r="U679" s="8"/>
      <c r="V679" s="8"/>
      <c r="W679" s="16"/>
    </row>
    <row r="680">
      <c r="F680" s="23"/>
      <c r="K680" s="23"/>
      <c r="Q680" s="23"/>
      <c r="S680" s="8"/>
      <c r="T680" s="8"/>
      <c r="U680" s="8"/>
      <c r="V680" s="8"/>
      <c r="W680" s="16"/>
    </row>
    <row r="681">
      <c r="F681" s="23"/>
      <c r="K681" s="23"/>
      <c r="Q681" s="23"/>
      <c r="S681" s="8"/>
      <c r="T681" s="8"/>
      <c r="U681" s="8"/>
      <c r="V681" s="8"/>
      <c r="W681" s="16"/>
    </row>
    <row r="682">
      <c r="F682" s="23"/>
      <c r="K682" s="23"/>
      <c r="Q682" s="23"/>
      <c r="S682" s="8"/>
      <c r="T682" s="8"/>
      <c r="U682" s="8"/>
      <c r="V682" s="8"/>
      <c r="W682" s="16"/>
    </row>
    <row r="683">
      <c r="F683" s="23"/>
      <c r="K683" s="23"/>
      <c r="Q683" s="23"/>
      <c r="S683" s="8"/>
      <c r="T683" s="8"/>
      <c r="U683" s="8"/>
      <c r="V683" s="8"/>
      <c r="W683" s="16"/>
    </row>
    <row r="684">
      <c r="F684" s="23"/>
      <c r="K684" s="23"/>
      <c r="Q684" s="23"/>
      <c r="S684" s="8"/>
      <c r="T684" s="8"/>
      <c r="U684" s="8"/>
      <c r="V684" s="8"/>
      <c r="W684" s="16"/>
    </row>
    <row r="685">
      <c r="F685" s="23"/>
      <c r="K685" s="23"/>
      <c r="Q685" s="23"/>
      <c r="S685" s="8"/>
      <c r="T685" s="8"/>
      <c r="U685" s="8"/>
      <c r="V685" s="8"/>
      <c r="W685" s="16"/>
    </row>
    <row r="686">
      <c r="F686" s="23"/>
      <c r="K686" s="23"/>
      <c r="Q686" s="23"/>
      <c r="S686" s="8"/>
      <c r="T686" s="8"/>
      <c r="U686" s="8"/>
      <c r="V686" s="8"/>
      <c r="W686" s="16"/>
    </row>
    <row r="687">
      <c r="F687" s="23"/>
      <c r="K687" s="23"/>
      <c r="Q687" s="23"/>
      <c r="S687" s="8"/>
      <c r="T687" s="8"/>
      <c r="U687" s="8"/>
      <c r="V687" s="8"/>
      <c r="W687" s="16"/>
    </row>
    <row r="688">
      <c r="F688" s="23"/>
      <c r="K688" s="23"/>
      <c r="Q688" s="23"/>
      <c r="S688" s="8"/>
      <c r="T688" s="8"/>
      <c r="U688" s="8"/>
      <c r="V688" s="8"/>
      <c r="W688" s="16"/>
    </row>
    <row r="689">
      <c r="F689" s="23"/>
      <c r="K689" s="23"/>
      <c r="Q689" s="23"/>
      <c r="S689" s="8"/>
      <c r="T689" s="8"/>
      <c r="U689" s="8"/>
      <c r="V689" s="8"/>
      <c r="W689" s="16"/>
    </row>
    <row r="690">
      <c r="F690" s="23"/>
      <c r="K690" s="23"/>
      <c r="Q690" s="23"/>
      <c r="S690" s="8"/>
      <c r="T690" s="8"/>
      <c r="U690" s="8"/>
      <c r="V690" s="8"/>
      <c r="W690" s="16"/>
    </row>
    <row r="691">
      <c r="F691" s="23"/>
      <c r="K691" s="23"/>
      <c r="Q691" s="23"/>
      <c r="S691" s="8"/>
      <c r="T691" s="8"/>
      <c r="U691" s="8"/>
      <c r="V691" s="8"/>
      <c r="W691" s="16"/>
    </row>
    <row r="692">
      <c r="F692" s="23"/>
      <c r="K692" s="23"/>
      <c r="Q692" s="23"/>
      <c r="S692" s="8"/>
      <c r="T692" s="8"/>
      <c r="U692" s="8"/>
      <c r="V692" s="8"/>
      <c r="W692" s="16"/>
    </row>
    <row r="693">
      <c r="F693" s="23"/>
      <c r="K693" s="23"/>
      <c r="Q693" s="23"/>
      <c r="S693" s="8"/>
      <c r="T693" s="8"/>
      <c r="U693" s="8"/>
      <c r="V693" s="8"/>
      <c r="W693" s="16"/>
    </row>
    <row r="694">
      <c r="F694" s="23"/>
      <c r="K694" s="23"/>
      <c r="Q694" s="23"/>
      <c r="S694" s="8"/>
      <c r="T694" s="8"/>
      <c r="U694" s="8"/>
      <c r="V694" s="8"/>
      <c r="W694" s="16"/>
    </row>
    <row r="695">
      <c r="F695" s="23"/>
      <c r="K695" s="23"/>
      <c r="Q695" s="23"/>
      <c r="S695" s="8"/>
      <c r="T695" s="8"/>
      <c r="U695" s="8"/>
      <c r="V695" s="8"/>
      <c r="W695" s="16"/>
    </row>
    <row r="696">
      <c r="F696" s="23"/>
      <c r="K696" s="23"/>
      <c r="Q696" s="23"/>
      <c r="S696" s="8"/>
      <c r="T696" s="8"/>
      <c r="U696" s="8"/>
      <c r="V696" s="8"/>
      <c r="W696" s="16"/>
    </row>
    <row r="697">
      <c r="F697" s="23"/>
      <c r="K697" s="23"/>
      <c r="Q697" s="23"/>
      <c r="S697" s="8"/>
      <c r="T697" s="8"/>
      <c r="U697" s="8"/>
      <c r="V697" s="8"/>
      <c r="W697" s="16"/>
    </row>
    <row r="698">
      <c r="F698" s="23"/>
      <c r="K698" s="23"/>
      <c r="Q698" s="23"/>
      <c r="S698" s="8"/>
      <c r="T698" s="8"/>
      <c r="U698" s="8"/>
      <c r="V698" s="8"/>
      <c r="W698" s="16"/>
    </row>
    <row r="699">
      <c r="F699" s="23"/>
      <c r="K699" s="23"/>
      <c r="Q699" s="23"/>
      <c r="S699" s="8"/>
      <c r="T699" s="8"/>
      <c r="U699" s="8"/>
      <c r="V699" s="8"/>
      <c r="W699" s="16"/>
    </row>
    <row r="700">
      <c r="F700" s="23"/>
      <c r="K700" s="23"/>
      <c r="Q700" s="23"/>
      <c r="S700" s="8"/>
      <c r="T700" s="8"/>
      <c r="U700" s="8"/>
      <c r="V700" s="8"/>
      <c r="W700" s="16"/>
    </row>
    <row r="701">
      <c r="F701" s="23"/>
      <c r="K701" s="23"/>
      <c r="Q701" s="23"/>
      <c r="S701" s="8"/>
      <c r="T701" s="8"/>
      <c r="U701" s="8"/>
      <c r="V701" s="8"/>
      <c r="W701" s="16"/>
    </row>
    <row r="702">
      <c r="F702" s="23"/>
      <c r="K702" s="23"/>
      <c r="Q702" s="23"/>
      <c r="S702" s="8"/>
      <c r="T702" s="8"/>
      <c r="U702" s="8"/>
      <c r="V702" s="8"/>
      <c r="W702" s="16"/>
    </row>
    <row r="703">
      <c r="F703" s="23"/>
      <c r="K703" s="23"/>
      <c r="Q703" s="23"/>
      <c r="S703" s="8"/>
      <c r="T703" s="8"/>
      <c r="U703" s="8"/>
      <c r="V703" s="8"/>
      <c r="W703" s="16"/>
    </row>
    <row r="704">
      <c r="F704" s="23"/>
      <c r="K704" s="23"/>
      <c r="Q704" s="23"/>
      <c r="S704" s="8"/>
      <c r="T704" s="8"/>
      <c r="U704" s="8"/>
      <c r="V704" s="8"/>
      <c r="W704" s="16"/>
    </row>
    <row r="705">
      <c r="F705" s="23"/>
      <c r="K705" s="23"/>
      <c r="Q705" s="23"/>
      <c r="S705" s="8"/>
      <c r="T705" s="8"/>
      <c r="U705" s="8"/>
      <c r="V705" s="8"/>
      <c r="W705" s="16"/>
    </row>
    <row r="706">
      <c r="F706" s="23"/>
      <c r="K706" s="23"/>
      <c r="Q706" s="23"/>
      <c r="S706" s="8"/>
      <c r="T706" s="8"/>
      <c r="U706" s="8"/>
      <c r="V706" s="8"/>
      <c r="W706" s="16"/>
    </row>
    <row r="707">
      <c r="F707" s="23"/>
      <c r="K707" s="23"/>
      <c r="Q707" s="23"/>
      <c r="S707" s="8"/>
      <c r="T707" s="8"/>
      <c r="U707" s="8"/>
      <c r="V707" s="8"/>
      <c r="W707" s="16"/>
    </row>
    <row r="708">
      <c r="F708" s="23"/>
      <c r="K708" s="23"/>
      <c r="Q708" s="23"/>
      <c r="S708" s="8"/>
      <c r="T708" s="8"/>
      <c r="U708" s="8"/>
      <c r="V708" s="8"/>
      <c r="W708" s="16"/>
    </row>
    <row r="709">
      <c r="F709" s="23"/>
      <c r="K709" s="23"/>
      <c r="Q709" s="23"/>
      <c r="S709" s="8"/>
      <c r="T709" s="8"/>
      <c r="U709" s="8"/>
      <c r="V709" s="8"/>
      <c r="W709" s="16"/>
    </row>
    <row r="710">
      <c r="F710" s="23"/>
      <c r="K710" s="23"/>
      <c r="Q710" s="23"/>
      <c r="S710" s="8"/>
      <c r="T710" s="8"/>
      <c r="U710" s="8"/>
      <c r="V710" s="8"/>
      <c r="W710" s="16"/>
    </row>
    <row r="711">
      <c r="F711" s="23"/>
      <c r="K711" s="23"/>
      <c r="Q711" s="23"/>
      <c r="S711" s="8"/>
      <c r="T711" s="8"/>
      <c r="U711" s="8"/>
      <c r="V711" s="8"/>
      <c r="W711" s="16"/>
    </row>
    <row r="712">
      <c r="F712" s="23"/>
      <c r="K712" s="23"/>
      <c r="Q712" s="23"/>
      <c r="S712" s="8"/>
      <c r="T712" s="8"/>
      <c r="U712" s="8"/>
      <c r="V712" s="8"/>
      <c r="W712" s="16"/>
    </row>
    <row r="713">
      <c r="F713" s="23"/>
      <c r="K713" s="23"/>
      <c r="Q713" s="23"/>
      <c r="S713" s="8"/>
      <c r="T713" s="8"/>
      <c r="U713" s="8"/>
      <c r="V713" s="8"/>
      <c r="W713" s="16"/>
    </row>
    <row r="714">
      <c r="F714" s="23"/>
      <c r="K714" s="23"/>
      <c r="Q714" s="23"/>
      <c r="S714" s="8"/>
      <c r="T714" s="8"/>
      <c r="U714" s="8"/>
      <c r="V714" s="8"/>
      <c r="W714" s="16"/>
    </row>
    <row r="715">
      <c r="F715" s="23"/>
      <c r="K715" s="23"/>
      <c r="Q715" s="23"/>
      <c r="S715" s="8"/>
      <c r="T715" s="8"/>
      <c r="U715" s="8"/>
      <c r="V715" s="8"/>
      <c r="W715" s="16"/>
    </row>
    <row r="716">
      <c r="F716" s="23"/>
      <c r="K716" s="23"/>
      <c r="Q716" s="23"/>
      <c r="S716" s="8"/>
      <c r="T716" s="8"/>
      <c r="U716" s="8"/>
      <c r="V716" s="8"/>
      <c r="W716" s="16"/>
    </row>
    <row r="717">
      <c r="F717" s="23"/>
      <c r="K717" s="23"/>
      <c r="Q717" s="23"/>
      <c r="S717" s="8"/>
      <c r="T717" s="8"/>
      <c r="U717" s="8"/>
      <c r="V717" s="8"/>
      <c r="W717" s="16"/>
    </row>
    <row r="718">
      <c r="F718" s="23"/>
      <c r="K718" s="23"/>
      <c r="Q718" s="23"/>
      <c r="S718" s="8"/>
      <c r="T718" s="8"/>
      <c r="U718" s="8"/>
      <c r="V718" s="8"/>
      <c r="W718" s="16"/>
    </row>
    <row r="719">
      <c r="F719" s="23"/>
      <c r="K719" s="23"/>
      <c r="Q719" s="23"/>
      <c r="S719" s="8"/>
      <c r="T719" s="8"/>
      <c r="U719" s="8"/>
      <c r="V719" s="8"/>
      <c r="W719" s="16"/>
    </row>
    <row r="720">
      <c r="F720" s="23"/>
      <c r="K720" s="23"/>
      <c r="Q720" s="23"/>
      <c r="S720" s="8"/>
      <c r="T720" s="8"/>
      <c r="U720" s="8"/>
      <c r="V720" s="8"/>
      <c r="W720" s="16"/>
    </row>
    <row r="721">
      <c r="F721" s="23"/>
      <c r="K721" s="23"/>
      <c r="Q721" s="23"/>
      <c r="S721" s="8"/>
      <c r="T721" s="8"/>
      <c r="U721" s="8"/>
      <c r="V721" s="8"/>
      <c r="W721" s="16"/>
    </row>
    <row r="722">
      <c r="F722" s="23"/>
      <c r="K722" s="23"/>
      <c r="Q722" s="23"/>
      <c r="S722" s="8"/>
      <c r="T722" s="8"/>
      <c r="U722" s="8"/>
      <c r="V722" s="8"/>
      <c r="W722" s="16"/>
    </row>
    <row r="723">
      <c r="F723" s="23"/>
      <c r="K723" s="23"/>
      <c r="Q723" s="23"/>
      <c r="S723" s="8"/>
      <c r="T723" s="8"/>
      <c r="U723" s="8"/>
      <c r="V723" s="8"/>
      <c r="W723" s="16"/>
    </row>
    <row r="724">
      <c r="F724" s="23"/>
      <c r="K724" s="23"/>
      <c r="Q724" s="23"/>
      <c r="S724" s="8"/>
      <c r="T724" s="8"/>
      <c r="U724" s="8"/>
      <c r="V724" s="8"/>
      <c r="W724" s="16"/>
    </row>
    <row r="725">
      <c r="F725" s="23"/>
      <c r="K725" s="23"/>
      <c r="Q725" s="23"/>
      <c r="S725" s="8"/>
      <c r="T725" s="8"/>
      <c r="U725" s="8"/>
      <c r="V725" s="8"/>
      <c r="W725" s="16"/>
    </row>
    <row r="726">
      <c r="F726" s="23"/>
      <c r="K726" s="23"/>
      <c r="Q726" s="23"/>
      <c r="S726" s="8"/>
      <c r="T726" s="8"/>
      <c r="U726" s="8"/>
      <c r="V726" s="8"/>
      <c r="W726" s="16"/>
    </row>
    <row r="727">
      <c r="F727" s="23"/>
      <c r="K727" s="23"/>
      <c r="Q727" s="23"/>
      <c r="S727" s="8"/>
      <c r="T727" s="8"/>
      <c r="U727" s="8"/>
      <c r="V727" s="8"/>
      <c r="W727" s="16"/>
    </row>
    <row r="728">
      <c r="F728" s="23"/>
      <c r="K728" s="23"/>
      <c r="Q728" s="23"/>
      <c r="S728" s="8"/>
      <c r="T728" s="8"/>
      <c r="U728" s="8"/>
      <c r="V728" s="8"/>
      <c r="W728" s="16"/>
    </row>
    <row r="729">
      <c r="F729" s="23"/>
      <c r="K729" s="23"/>
      <c r="Q729" s="23"/>
      <c r="S729" s="8"/>
      <c r="T729" s="8"/>
      <c r="U729" s="8"/>
      <c r="V729" s="8"/>
      <c r="W729" s="16"/>
    </row>
    <row r="730">
      <c r="F730" s="23"/>
      <c r="K730" s="23"/>
      <c r="Q730" s="23"/>
      <c r="S730" s="8"/>
      <c r="T730" s="8"/>
      <c r="U730" s="8"/>
      <c r="V730" s="8"/>
      <c r="W730" s="16"/>
    </row>
    <row r="731">
      <c r="F731" s="23"/>
      <c r="K731" s="23"/>
      <c r="Q731" s="23"/>
      <c r="S731" s="8"/>
      <c r="T731" s="8"/>
      <c r="U731" s="8"/>
      <c r="V731" s="8"/>
      <c r="W731" s="16"/>
    </row>
    <row r="732">
      <c r="F732" s="23"/>
      <c r="K732" s="23"/>
      <c r="Q732" s="23"/>
      <c r="S732" s="8"/>
      <c r="T732" s="8"/>
      <c r="U732" s="8"/>
      <c r="V732" s="8"/>
      <c r="W732" s="16"/>
    </row>
    <row r="733">
      <c r="F733" s="23"/>
      <c r="K733" s="23"/>
      <c r="Q733" s="23"/>
      <c r="S733" s="8"/>
      <c r="T733" s="8"/>
      <c r="U733" s="8"/>
      <c r="V733" s="8"/>
      <c r="W733" s="16"/>
    </row>
    <row r="734">
      <c r="F734" s="23"/>
      <c r="K734" s="23"/>
      <c r="Q734" s="23"/>
      <c r="S734" s="8"/>
      <c r="T734" s="8"/>
      <c r="U734" s="8"/>
      <c r="V734" s="8"/>
      <c r="W734" s="16"/>
    </row>
    <row r="735">
      <c r="F735" s="23"/>
      <c r="K735" s="23"/>
      <c r="Q735" s="23"/>
      <c r="S735" s="8"/>
      <c r="T735" s="8"/>
      <c r="U735" s="8"/>
      <c r="V735" s="8"/>
      <c r="W735" s="16"/>
    </row>
    <row r="736">
      <c r="F736" s="23"/>
      <c r="K736" s="23"/>
      <c r="Q736" s="23"/>
      <c r="S736" s="8"/>
      <c r="T736" s="8"/>
      <c r="U736" s="8"/>
      <c r="V736" s="8"/>
      <c r="W736" s="16"/>
    </row>
    <row r="737">
      <c r="F737" s="23"/>
      <c r="K737" s="23"/>
      <c r="Q737" s="23"/>
      <c r="S737" s="8"/>
      <c r="T737" s="8"/>
      <c r="U737" s="8"/>
      <c r="V737" s="8"/>
      <c r="W737" s="16"/>
    </row>
    <row r="738">
      <c r="F738" s="23"/>
      <c r="K738" s="23"/>
      <c r="Q738" s="23"/>
      <c r="S738" s="8"/>
      <c r="T738" s="8"/>
      <c r="U738" s="8"/>
      <c r="V738" s="8"/>
      <c r="W738" s="16"/>
    </row>
    <row r="739">
      <c r="F739" s="23"/>
      <c r="K739" s="23"/>
      <c r="Q739" s="23"/>
      <c r="S739" s="8"/>
      <c r="T739" s="8"/>
      <c r="U739" s="8"/>
      <c r="V739" s="8"/>
      <c r="W739" s="16"/>
    </row>
    <row r="740">
      <c r="F740" s="23"/>
      <c r="K740" s="23"/>
      <c r="Q740" s="23"/>
      <c r="S740" s="8"/>
      <c r="T740" s="8"/>
      <c r="U740" s="8"/>
      <c r="V740" s="8"/>
      <c r="W740" s="16"/>
    </row>
    <row r="741">
      <c r="F741" s="23"/>
      <c r="K741" s="23"/>
      <c r="Q741" s="23"/>
      <c r="S741" s="8"/>
      <c r="T741" s="8"/>
      <c r="U741" s="8"/>
      <c r="V741" s="8"/>
      <c r="W741" s="16"/>
    </row>
    <row r="742">
      <c r="F742" s="23"/>
      <c r="K742" s="23"/>
      <c r="Q742" s="23"/>
      <c r="S742" s="8"/>
      <c r="T742" s="8"/>
      <c r="U742" s="8"/>
      <c r="V742" s="8"/>
      <c r="W742" s="16"/>
    </row>
    <row r="743">
      <c r="F743" s="23"/>
      <c r="K743" s="23"/>
      <c r="Q743" s="23"/>
      <c r="S743" s="8"/>
      <c r="T743" s="8"/>
      <c r="U743" s="8"/>
      <c r="V743" s="8"/>
      <c r="W743" s="16"/>
    </row>
    <row r="744">
      <c r="F744" s="23"/>
      <c r="K744" s="23"/>
      <c r="Q744" s="23"/>
      <c r="S744" s="8"/>
      <c r="T744" s="8"/>
      <c r="U744" s="8"/>
      <c r="V744" s="8"/>
      <c r="W744" s="16"/>
    </row>
    <row r="745">
      <c r="F745" s="23"/>
      <c r="K745" s="23"/>
      <c r="Q745" s="23"/>
      <c r="S745" s="8"/>
      <c r="T745" s="8"/>
      <c r="U745" s="8"/>
      <c r="V745" s="8"/>
      <c r="W745" s="16"/>
    </row>
    <row r="746">
      <c r="F746" s="23"/>
      <c r="K746" s="23"/>
      <c r="Q746" s="23"/>
      <c r="S746" s="8"/>
      <c r="T746" s="8"/>
      <c r="U746" s="8"/>
      <c r="V746" s="8"/>
      <c r="W746" s="16"/>
    </row>
    <row r="747">
      <c r="F747" s="23"/>
      <c r="K747" s="23"/>
      <c r="Q747" s="23"/>
      <c r="S747" s="8"/>
      <c r="T747" s="8"/>
      <c r="U747" s="8"/>
      <c r="V747" s="8"/>
      <c r="W747" s="16"/>
    </row>
    <row r="748">
      <c r="F748" s="23"/>
      <c r="K748" s="23"/>
      <c r="Q748" s="23"/>
      <c r="S748" s="8"/>
      <c r="T748" s="8"/>
      <c r="U748" s="8"/>
      <c r="V748" s="8"/>
      <c r="W748" s="16"/>
    </row>
    <row r="749">
      <c r="F749" s="23"/>
      <c r="K749" s="23"/>
      <c r="Q749" s="23"/>
      <c r="S749" s="8"/>
      <c r="T749" s="8"/>
      <c r="U749" s="8"/>
      <c r="V749" s="8"/>
      <c r="W749" s="16"/>
    </row>
    <row r="750">
      <c r="F750" s="23"/>
      <c r="K750" s="23"/>
      <c r="Q750" s="23"/>
      <c r="S750" s="8"/>
      <c r="T750" s="8"/>
      <c r="U750" s="8"/>
      <c r="V750" s="8"/>
      <c r="W750" s="16"/>
    </row>
    <row r="751">
      <c r="F751" s="23"/>
      <c r="K751" s="23"/>
      <c r="Q751" s="23"/>
      <c r="S751" s="8"/>
      <c r="T751" s="8"/>
      <c r="U751" s="8"/>
      <c r="V751" s="8"/>
      <c r="W751" s="16"/>
    </row>
    <row r="752">
      <c r="F752" s="23"/>
      <c r="K752" s="23"/>
      <c r="Q752" s="23"/>
      <c r="S752" s="8"/>
      <c r="T752" s="8"/>
      <c r="U752" s="8"/>
      <c r="V752" s="8"/>
      <c r="W752" s="16"/>
    </row>
    <row r="753">
      <c r="F753" s="23"/>
      <c r="K753" s="23"/>
      <c r="Q753" s="23"/>
      <c r="S753" s="8"/>
      <c r="T753" s="8"/>
      <c r="U753" s="8"/>
      <c r="V753" s="8"/>
      <c r="W753" s="16"/>
    </row>
    <row r="754">
      <c r="F754" s="23"/>
      <c r="K754" s="23"/>
      <c r="Q754" s="23"/>
      <c r="S754" s="8"/>
      <c r="T754" s="8"/>
      <c r="U754" s="8"/>
      <c r="V754" s="8"/>
      <c r="W754" s="16"/>
    </row>
    <row r="755">
      <c r="F755" s="23"/>
      <c r="K755" s="23"/>
      <c r="Q755" s="23"/>
      <c r="S755" s="8"/>
      <c r="T755" s="8"/>
      <c r="U755" s="8"/>
      <c r="V755" s="8"/>
      <c r="W755" s="16"/>
    </row>
    <row r="756">
      <c r="F756" s="23"/>
      <c r="K756" s="23"/>
      <c r="Q756" s="23"/>
      <c r="S756" s="8"/>
      <c r="T756" s="8"/>
      <c r="U756" s="8"/>
      <c r="V756" s="8"/>
      <c r="W756" s="16"/>
    </row>
    <row r="757">
      <c r="F757" s="23"/>
      <c r="K757" s="23"/>
      <c r="Q757" s="23"/>
      <c r="S757" s="8"/>
      <c r="T757" s="8"/>
      <c r="U757" s="8"/>
      <c r="V757" s="8"/>
      <c r="W757" s="16"/>
    </row>
    <row r="758">
      <c r="F758" s="23"/>
      <c r="K758" s="23"/>
      <c r="Q758" s="23"/>
      <c r="S758" s="8"/>
      <c r="T758" s="8"/>
      <c r="U758" s="8"/>
      <c r="V758" s="8"/>
      <c r="W758" s="16"/>
    </row>
    <row r="759">
      <c r="F759" s="23"/>
      <c r="K759" s="23"/>
      <c r="Q759" s="23"/>
      <c r="S759" s="8"/>
      <c r="T759" s="8"/>
      <c r="U759" s="8"/>
      <c r="V759" s="8"/>
      <c r="W759" s="16"/>
    </row>
    <row r="760">
      <c r="F760" s="23"/>
      <c r="K760" s="23"/>
      <c r="Q760" s="23"/>
      <c r="S760" s="8"/>
      <c r="T760" s="8"/>
      <c r="U760" s="8"/>
      <c r="V760" s="8"/>
      <c r="W760" s="16"/>
    </row>
    <row r="761">
      <c r="F761" s="23"/>
      <c r="K761" s="23"/>
      <c r="Q761" s="23"/>
      <c r="S761" s="8"/>
      <c r="T761" s="8"/>
      <c r="U761" s="8"/>
      <c r="V761" s="8"/>
      <c r="W761" s="16"/>
    </row>
    <row r="762">
      <c r="F762" s="23"/>
      <c r="K762" s="23"/>
      <c r="Q762" s="23"/>
      <c r="S762" s="8"/>
      <c r="T762" s="8"/>
      <c r="U762" s="8"/>
      <c r="V762" s="8"/>
      <c r="W762" s="16"/>
    </row>
    <row r="763">
      <c r="F763" s="23"/>
      <c r="K763" s="23"/>
      <c r="Q763" s="23"/>
      <c r="S763" s="8"/>
      <c r="T763" s="8"/>
      <c r="U763" s="8"/>
      <c r="V763" s="8"/>
      <c r="W763" s="16"/>
    </row>
    <row r="764">
      <c r="F764" s="23"/>
      <c r="K764" s="23"/>
      <c r="Q764" s="23"/>
      <c r="S764" s="8"/>
      <c r="T764" s="8"/>
      <c r="U764" s="8"/>
      <c r="V764" s="8"/>
      <c r="W764" s="16"/>
    </row>
    <row r="765">
      <c r="F765" s="23"/>
      <c r="K765" s="23"/>
      <c r="Q765" s="23"/>
      <c r="S765" s="8"/>
      <c r="T765" s="8"/>
      <c r="U765" s="8"/>
      <c r="V765" s="8"/>
      <c r="W765" s="16"/>
    </row>
    <row r="766">
      <c r="F766" s="23"/>
      <c r="K766" s="23"/>
      <c r="Q766" s="23"/>
      <c r="S766" s="8"/>
      <c r="T766" s="8"/>
      <c r="U766" s="8"/>
      <c r="V766" s="8"/>
      <c r="W766" s="16"/>
    </row>
    <row r="767">
      <c r="F767" s="23"/>
      <c r="K767" s="23"/>
      <c r="Q767" s="23"/>
      <c r="S767" s="8"/>
      <c r="T767" s="8"/>
      <c r="U767" s="8"/>
      <c r="V767" s="8"/>
      <c r="W767" s="16"/>
    </row>
    <row r="768">
      <c r="F768" s="23"/>
      <c r="K768" s="23"/>
      <c r="Q768" s="23"/>
      <c r="S768" s="8"/>
      <c r="T768" s="8"/>
      <c r="U768" s="8"/>
      <c r="V768" s="8"/>
      <c r="W768" s="16"/>
    </row>
    <row r="769">
      <c r="F769" s="23"/>
      <c r="K769" s="23"/>
      <c r="Q769" s="23"/>
      <c r="S769" s="8"/>
      <c r="T769" s="8"/>
      <c r="U769" s="8"/>
      <c r="V769" s="8"/>
      <c r="W769" s="16"/>
    </row>
    <row r="770">
      <c r="F770" s="23"/>
      <c r="K770" s="23"/>
      <c r="Q770" s="23"/>
      <c r="S770" s="8"/>
      <c r="T770" s="8"/>
      <c r="U770" s="8"/>
      <c r="V770" s="8"/>
      <c r="W770" s="16"/>
    </row>
    <row r="771">
      <c r="F771" s="23"/>
      <c r="K771" s="23"/>
      <c r="Q771" s="23"/>
      <c r="S771" s="8"/>
      <c r="T771" s="8"/>
      <c r="U771" s="8"/>
      <c r="V771" s="8"/>
      <c r="W771" s="16"/>
    </row>
    <row r="772">
      <c r="F772" s="23"/>
      <c r="K772" s="23"/>
      <c r="Q772" s="23"/>
      <c r="S772" s="8"/>
      <c r="T772" s="8"/>
      <c r="U772" s="8"/>
      <c r="V772" s="8"/>
      <c r="W772" s="16"/>
    </row>
    <row r="773">
      <c r="F773" s="23"/>
      <c r="K773" s="23"/>
      <c r="Q773" s="23"/>
      <c r="S773" s="8"/>
      <c r="T773" s="8"/>
      <c r="U773" s="8"/>
      <c r="V773" s="8"/>
      <c r="W773" s="16"/>
    </row>
    <row r="774">
      <c r="F774" s="23"/>
      <c r="K774" s="23"/>
      <c r="Q774" s="23"/>
      <c r="S774" s="8"/>
      <c r="T774" s="8"/>
      <c r="U774" s="8"/>
      <c r="V774" s="8"/>
      <c r="W774" s="16"/>
    </row>
    <row r="775">
      <c r="F775" s="23"/>
      <c r="K775" s="23"/>
      <c r="Q775" s="23"/>
      <c r="S775" s="8"/>
      <c r="T775" s="8"/>
      <c r="U775" s="8"/>
      <c r="V775" s="8"/>
      <c r="W775" s="16"/>
    </row>
    <row r="776">
      <c r="F776" s="23"/>
      <c r="K776" s="23"/>
      <c r="Q776" s="23"/>
      <c r="S776" s="8"/>
      <c r="T776" s="8"/>
      <c r="U776" s="8"/>
      <c r="V776" s="8"/>
      <c r="W776" s="16"/>
    </row>
    <row r="777">
      <c r="F777" s="23"/>
      <c r="K777" s="23"/>
      <c r="Q777" s="23"/>
      <c r="S777" s="8"/>
      <c r="T777" s="8"/>
      <c r="U777" s="8"/>
      <c r="V777" s="8"/>
      <c r="W777" s="16"/>
    </row>
    <row r="778">
      <c r="F778" s="23"/>
      <c r="K778" s="23"/>
      <c r="Q778" s="23"/>
      <c r="S778" s="8"/>
      <c r="T778" s="8"/>
      <c r="U778" s="8"/>
      <c r="V778" s="8"/>
      <c r="W778" s="16"/>
    </row>
    <row r="779">
      <c r="F779" s="23"/>
      <c r="K779" s="23"/>
      <c r="Q779" s="23"/>
      <c r="S779" s="8"/>
      <c r="T779" s="8"/>
      <c r="U779" s="8"/>
      <c r="V779" s="8"/>
      <c r="W779" s="16"/>
    </row>
    <row r="780">
      <c r="F780" s="23"/>
      <c r="K780" s="23"/>
      <c r="Q780" s="23"/>
      <c r="S780" s="8"/>
      <c r="T780" s="8"/>
      <c r="U780" s="8"/>
      <c r="V780" s="8"/>
      <c r="W780" s="16"/>
    </row>
    <row r="781">
      <c r="F781" s="23"/>
      <c r="K781" s="23"/>
      <c r="Q781" s="23"/>
      <c r="S781" s="8"/>
      <c r="T781" s="8"/>
      <c r="U781" s="8"/>
      <c r="V781" s="8"/>
      <c r="W781" s="16"/>
    </row>
    <row r="782">
      <c r="F782" s="23"/>
      <c r="K782" s="23"/>
      <c r="Q782" s="23"/>
      <c r="S782" s="8"/>
      <c r="T782" s="8"/>
      <c r="U782" s="8"/>
      <c r="V782" s="8"/>
      <c r="W782" s="16"/>
    </row>
    <row r="783">
      <c r="F783" s="23"/>
      <c r="K783" s="23"/>
      <c r="Q783" s="23"/>
      <c r="S783" s="8"/>
      <c r="T783" s="8"/>
      <c r="U783" s="8"/>
      <c r="V783" s="8"/>
      <c r="W783" s="16"/>
    </row>
    <row r="784">
      <c r="F784" s="23"/>
      <c r="K784" s="23"/>
      <c r="Q784" s="23"/>
      <c r="S784" s="8"/>
      <c r="T784" s="8"/>
      <c r="U784" s="8"/>
      <c r="V784" s="8"/>
      <c r="W784" s="16"/>
    </row>
    <row r="785">
      <c r="F785" s="23"/>
      <c r="K785" s="23"/>
      <c r="Q785" s="23"/>
      <c r="S785" s="8"/>
      <c r="T785" s="8"/>
      <c r="U785" s="8"/>
      <c r="V785" s="8"/>
      <c r="W785" s="16"/>
    </row>
    <row r="786">
      <c r="F786" s="23"/>
      <c r="K786" s="23"/>
      <c r="Q786" s="23"/>
      <c r="S786" s="8"/>
      <c r="T786" s="8"/>
      <c r="U786" s="8"/>
      <c r="V786" s="8"/>
      <c r="W786" s="16"/>
    </row>
    <row r="787">
      <c r="F787" s="23"/>
      <c r="K787" s="23"/>
      <c r="Q787" s="23"/>
      <c r="S787" s="8"/>
      <c r="T787" s="8"/>
      <c r="U787" s="8"/>
      <c r="V787" s="8"/>
      <c r="W787" s="16"/>
    </row>
    <row r="788">
      <c r="F788" s="23"/>
      <c r="K788" s="23"/>
      <c r="Q788" s="23"/>
      <c r="S788" s="8"/>
      <c r="T788" s="8"/>
      <c r="U788" s="8"/>
      <c r="V788" s="8"/>
      <c r="W788" s="16"/>
    </row>
    <row r="789">
      <c r="F789" s="23"/>
      <c r="K789" s="23"/>
      <c r="Q789" s="23"/>
      <c r="S789" s="8"/>
      <c r="T789" s="8"/>
      <c r="U789" s="8"/>
      <c r="V789" s="8"/>
      <c r="W789" s="16"/>
    </row>
    <row r="790">
      <c r="F790" s="23"/>
      <c r="K790" s="23"/>
      <c r="Q790" s="23"/>
      <c r="S790" s="8"/>
      <c r="T790" s="8"/>
      <c r="U790" s="8"/>
      <c r="V790" s="8"/>
      <c r="W790" s="16"/>
    </row>
    <row r="791">
      <c r="F791" s="23"/>
      <c r="K791" s="23"/>
      <c r="Q791" s="23"/>
      <c r="S791" s="8"/>
      <c r="T791" s="8"/>
      <c r="U791" s="8"/>
      <c r="V791" s="8"/>
      <c r="W791" s="16"/>
    </row>
    <row r="792">
      <c r="F792" s="23"/>
      <c r="K792" s="23"/>
      <c r="Q792" s="23"/>
      <c r="S792" s="8"/>
      <c r="T792" s="8"/>
      <c r="U792" s="8"/>
      <c r="V792" s="8"/>
      <c r="W792" s="16"/>
    </row>
    <row r="793">
      <c r="F793" s="23"/>
      <c r="K793" s="23"/>
      <c r="Q793" s="23"/>
      <c r="S793" s="8"/>
      <c r="T793" s="8"/>
      <c r="U793" s="8"/>
      <c r="V793" s="8"/>
      <c r="W793" s="16"/>
    </row>
    <row r="794">
      <c r="F794" s="23"/>
      <c r="K794" s="23"/>
      <c r="Q794" s="23"/>
      <c r="S794" s="8"/>
      <c r="T794" s="8"/>
      <c r="U794" s="8"/>
      <c r="V794" s="8"/>
      <c r="W794" s="16"/>
    </row>
    <row r="795">
      <c r="F795" s="23"/>
      <c r="K795" s="23"/>
      <c r="Q795" s="23"/>
      <c r="S795" s="8"/>
      <c r="T795" s="8"/>
      <c r="U795" s="8"/>
      <c r="V795" s="8"/>
      <c r="W795" s="16"/>
    </row>
    <row r="796">
      <c r="F796" s="23"/>
      <c r="K796" s="23"/>
      <c r="Q796" s="23"/>
      <c r="S796" s="8"/>
      <c r="T796" s="8"/>
      <c r="U796" s="8"/>
      <c r="V796" s="8"/>
      <c r="W796" s="16"/>
    </row>
    <row r="797">
      <c r="F797" s="23"/>
      <c r="K797" s="23"/>
      <c r="Q797" s="23"/>
      <c r="S797" s="8"/>
      <c r="T797" s="8"/>
      <c r="U797" s="8"/>
      <c r="V797" s="8"/>
      <c r="W797" s="16"/>
    </row>
    <row r="798">
      <c r="F798" s="23"/>
      <c r="K798" s="23"/>
      <c r="Q798" s="23"/>
      <c r="S798" s="8"/>
      <c r="T798" s="8"/>
      <c r="U798" s="8"/>
      <c r="V798" s="8"/>
      <c r="W798" s="16"/>
    </row>
    <row r="799">
      <c r="F799" s="23"/>
      <c r="K799" s="23"/>
      <c r="Q799" s="23"/>
      <c r="S799" s="8"/>
      <c r="T799" s="8"/>
      <c r="U799" s="8"/>
      <c r="V799" s="8"/>
      <c r="W799" s="16"/>
    </row>
    <row r="800">
      <c r="F800" s="23"/>
      <c r="K800" s="23"/>
      <c r="Q800" s="23"/>
      <c r="S800" s="8"/>
      <c r="T800" s="8"/>
      <c r="U800" s="8"/>
      <c r="V800" s="8"/>
      <c r="W800" s="16"/>
    </row>
    <row r="801">
      <c r="F801" s="23"/>
      <c r="K801" s="23"/>
      <c r="Q801" s="23"/>
      <c r="S801" s="8"/>
      <c r="T801" s="8"/>
      <c r="U801" s="8"/>
      <c r="V801" s="8"/>
      <c r="W801" s="16"/>
    </row>
    <row r="802">
      <c r="F802" s="23"/>
      <c r="K802" s="23"/>
      <c r="Q802" s="23"/>
      <c r="S802" s="8"/>
      <c r="T802" s="8"/>
      <c r="U802" s="8"/>
      <c r="V802" s="8"/>
      <c r="W802" s="16"/>
    </row>
    <row r="803">
      <c r="F803" s="23"/>
      <c r="K803" s="23"/>
      <c r="Q803" s="23"/>
      <c r="S803" s="8"/>
      <c r="T803" s="8"/>
      <c r="U803" s="8"/>
      <c r="V803" s="8"/>
      <c r="W803" s="16"/>
    </row>
    <row r="804">
      <c r="F804" s="23"/>
      <c r="K804" s="23"/>
      <c r="Q804" s="23"/>
      <c r="S804" s="8"/>
      <c r="T804" s="8"/>
      <c r="U804" s="8"/>
      <c r="V804" s="8"/>
      <c r="W804" s="16"/>
    </row>
    <row r="805">
      <c r="F805" s="23"/>
      <c r="K805" s="23"/>
      <c r="Q805" s="23"/>
      <c r="S805" s="8"/>
      <c r="T805" s="8"/>
      <c r="U805" s="8"/>
      <c r="V805" s="8"/>
      <c r="W805" s="16"/>
    </row>
    <row r="806">
      <c r="F806" s="23"/>
      <c r="K806" s="23"/>
      <c r="Q806" s="23"/>
      <c r="S806" s="8"/>
      <c r="T806" s="8"/>
      <c r="U806" s="8"/>
      <c r="V806" s="8"/>
      <c r="W806" s="16"/>
    </row>
    <row r="807">
      <c r="F807" s="23"/>
      <c r="K807" s="23"/>
      <c r="Q807" s="23"/>
      <c r="S807" s="8"/>
      <c r="T807" s="8"/>
      <c r="U807" s="8"/>
      <c r="V807" s="8"/>
      <c r="W807" s="16"/>
    </row>
    <row r="808">
      <c r="F808" s="23"/>
      <c r="K808" s="23"/>
      <c r="Q808" s="23"/>
      <c r="S808" s="8"/>
      <c r="T808" s="8"/>
      <c r="U808" s="8"/>
      <c r="V808" s="8"/>
      <c r="W808" s="16"/>
    </row>
    <row r="809">
      <c r="F809" s="23"/>
      <c r="K809" s="23"/>
      <c r="Q809" s="23"/>
      <c r="S809" s="8"/>
      <c r="T809" s="8"/>
      <c r="U809" s="8"/>
      <c r="V809" s="8"/>
      <c r="W809" s="16"/>
    </row>
    <row r="810">
      <c r="F810" s="23"/>
      <c r="K810" s="23"/>
      <c r="Q810" s="23"/>
      <c r="S810" s="8"/>
      <c r="T810" s="8"/>
      <c r="U810" s="8"/>
      <c r="V810" s="8"/>
      <c r="W810" s="16"/>
    </row>
    <row r="811">
      <c r="F811" s="23"/>
      <c r="K811" s="23"/>
      <c r="Q811" s="23"/>
      <c r="S811" s="8"/>
      <c r="T811" s="8"/>
      <c r="U811" s="8"/>
      <c r="V811" s="8"/>
      <c r="W811" s="16"/>
    </row>
    <row r="812">
      <c r="F812" s="23"/>
      <c r="K812" s="23"/>
      <c r="Q812" s="23"/>
      <c r="S812" s="8"/>
      <c r="T812" s="8"/>
      <c r="U812" s="8"/>
      <c r="V812" s="8"/>
      <c r="W812" s="16"/>
    </row>
    <row r="813">
      <c r="F813" s="23"/>
      <c r="K813" s="23"/>
      <c r="Q813" s="23"/>
      <c r="S813" s="8"/>
      <c r="T813" s="8"/>
      <c r="U813" s="8"/>
      <c r="V813" s="8"/>
      <c r="W813" s="16"/>
    </row>
    <row r="814">
      <c r="F814" s="23"/>
      <c r="K814" s="23"/>
      <c r="Q814" s="23"/>
      <c r="S814" s="8"/>
      <c r="T814" s="8"/>
      <c r="U814" s="8"/>
      <c r="V814" s="8"/>
      <c r="W814" s="16"/>
    </row>
    <row r="815">
      <c r="F815" s="23"/>
      <c r="K815" s="23"/>
      <c r="Q815" s="23"/>
      <c r="S815" s="8"/>
      <c r="T815" s="8"/>
      <c r="U815" s="8"/>
      <c r="V815" s="8"/>
      <c r="W815" s="16"/>
    </row>
    <row r="816">
      <c r="F816" s="23"/>
      <c r="K816" s="23"/>
      <c r="Q816" s="23"/>
      <c r="S816" s="8"/>
      <c r="T816" s="8"/>
      <c r="U816" s="8"/>
      <c r="V816" s="8"/>
      <c r="W816" s="16"/>
    </row>
    <row r="817">
      <c r="F817" s="23"/>
      <c r="K817" s="23"/>
      <c r="Q817" s="23"/>
      <c r="S817" s="8"/>
      <c r="T817" s="8"/>
      <c r="U817" s="8"/>
      <c r="V817" s="8"/>
      <c r="W817" s="16"/>
    </row>
    <row r="818">
      <c r="F818" s="23"/>
      <c r="K818" s="23"/>
      <c r="Q818" s="23"/>
      <c r="S818" s="8"/>
      <c r="T818" s="8"/>
      <c r="U818" s="8"/>
      <c r="V818" s="8"/>
      <c r="W818" s="16"/>
    </row>
    <row r="819">
      <c r="F819" s="23"/>
      <c r="K819" s="23"/>
      <c r="Q819" s="23"/>
      <c r="S819" s="8"/>
      <c r="T819" s="8"/>
      <c r="U819" s="8"/>
      <c r="V819" s="8"/>
      <c r="W819" s="16"/>
    </row>
    <row r="820">
      <c r="F820" s="23"/>
      <c r="K820" s="23"/>
      <c r="Q820" s="23"/>
      <c r="S820" s="8"/>
      <c r="T820" s="8"/>
      <c r="U820" s="8"/>
      <c r="V820" s="8"/>
      <c r="W820" s="16"/>
    </row>
    <row r="821">
      <c r="F821" s="23"/>
      <c r="K821" s="23"/>
      <c r="Q821" s="23"/>
      <c r="S821" s="8"/>
      <c r="T821" s="8"/>
      <c r="U821" s="8"/>
      <c r="V821" s="8"/>
      <c r="W821" s="16"/>
    </row>
    <row r="822">
      <c r="F822" s="23"/>
      <c r="K822" s="23"/>
      <c r="Q822" s="23"/>
      <c r="S822" s="8"/>
      <c r="T822" s="8"/>
      <c r="U822" s="8"/>
      <c r="V822" s="8"/>
      <c r="W822" s="16"/>
    </row>
    <row r="823">
      <c r="F823" s="23"/>
      <c r="K823" s="23"/>
      <c r="Q823" s="23"/>
      <c r="S823" s="8"/>
      <c r="T823" s="8"/>
      <c r="U823" s="8"/>
      <c r="V823" s="8"/>
      <c r="W823" s="16"/>
    </row>
    <row r="824">
      <c r="F824" s="23"/>
      <c r="K824" s="23"/>
      <c r="Q824" s="23"/>
      <c r="S824" s="8"/>
      <c r="T824" s="8"/>
      <c r="U824" s="8"/>
      <c r="V824" s="8"/>
      <c r="W824" s="16"/>
    </row>
    <row r="825">
      <c r="F825" s="23"/>
      <c r="K825" s="23"/>
      <c r="Q825" s="23"/>
      <c r="S825" s="8"/>
      <c r="T825" s="8"/>
      <c r="U825" s="8"/>
      <c r="V825" s="8"/>
      <c r="W825" s="16"/>
    </row>
    <row r="826">
      <c r="F826" s="23"/>
      <c r="K826" s="23"/>
      <c r="Q826" s="23"/>
      <c r="S826" s="8"/>
      <c r="T826" s="8"/>
      <c r="U826" s="8"/>
      <c r="V826" s="8"/>
      <c r="W826" s="16"/>
    </row>
    <row r="827">
      <c r="F827" s="23"/>
      <c r="K827" s="23"/>
      <c r="Q827" s="23"/>
      <c r="S827" s="8"/>
      <c r="T827" s="8"/>
      <c r="U827" s="8"/>
      <c r="V827" s="8"/>
      <c r="W827" s="16"/>
    </row>
    <row r="828">
      <c r="F828" s="23"/>
      <c r="K828" s="23"/>
      <c r="Q828" s="23"/>
      <c r="S828" s="8"/>
      <c r="T828" s="8"/>
      <c r="U828" s="8"/>
      <c r="V828" s="8"/>
      <c r="W828" s="16"/>
    </row>
    <row r="829">
      <c r="F829" s="23"/>
      <c r="K829" s="23"/>
      <c r="Q829" s="23"/>
      <c r="S829" s="8"/>
      <c r="T829" s="8"/>
      <c r="U829" s="8"/>
      <c r="V829" s="8"/>
      <c r="W829" s="16"/>
    </row>
    <row r="830">
      <c r="F830" s="23"/>
      <c r="K830" s="23"/>
      <c r="Q830" s="23"/>
      <c r="S830" s="8"/>
      <c r="T830" s="8"/>
      <c r="U830" s="8"/>
      <c r="V830" s="8"/>
      <c r="W830" s="16"/>
    </row>
    <row r="831">
      <c r="F831" s="23"/>
      <c r="K831" s="23"/>
      <c r="Q831" s="23"/>
      <c r="S831" s="8"/>
      <c r="T831" s="8"/>
      <c r="U831" s="8"/>
      <c r="V831" s="8"/>
      <c r="W831" s="16"/>
    </row>
    <row r="832">
      <c r="F832" s="23"/>
      <c r="K832" s="23"/>
      <c r="Q832" s="23"/>
      <c r="S832" s="8"/>
      <c r="T832" s="8"/>
      <c r="U832" s="8"/>
      <c r="V832" s="8"/>
      <c r="W832" s="16"/>
    </row>
    <row r="833">
      <c r="F833" s="23"/>
      <c r="K833" s="23"/>
      <c r="Q833" s="23"/>
      <c r="S833" s="8"/>
      <c r="T833" s="8"/>
      <c r="U833" s="8"/>
      <c r="V833" s="8"/>
      <c r="W833" s="16"/>
    </row>
    <row r="834">
      <c r="F834" s="23"/>
      <c r="K834" s="23"/>
      <c r="Q834" s="23"/>
      <c r="S834" s="8"/>
      <c r="T834" s="8"/>
      <c r="U834" s="8"/>
      <c r="V834" s="8"/>
      <c r="W834" s="16"/>
    </row>
    <row r="835">
      <c r="F835" s="23"/>
      <c r="K835" s="23"/>
      <c r="Q835" s="23"/>
      <c r="S835" s="8"/>
      <c r="T835" s="8"/>
      <c r="U835" s="8"/>
      <c r="V835" s="8"/>
      <c r="W835" s="16"/>
    </row>
    <row r="836">
      <c r="F836" s="23"/>
      <c r="K836" s="23"/>
      <c r="Q836" s="23"/>
      <c r="S836" s="8"/>
      <c r="T836" s="8"/>
      <c r="U836" s="8"/>
      <c r="V836" s="8"/>
      <c r="W836" s="16"/>
    </row>
    <row r="837">
      <c r="F837" s="23"/>
      <c r="K837" s="23"/>
      <c r="Q837" s="23"/>
      <c r="S837" s="8"/>
      <c r="T837" s="8"/>
      <c r="U837" s="8"/>
      <c r="V837" s="8"/>
      <c r="W837" s="16"/>
    </row>
    <row r="838">
      <c r="F838" s="23"/>
      <c r="K838" s="23"/>
      <c r="Q838" s="23"/>
      <c r="S838" s="8"/>
      <c r="T838" s="8"/>
      <c r="U838" s="8"/>
      <c r="V838" s="8"/>
      <c r="W838" s="16"/>
    </row>
    <row r="839">
      <c r="F839" s="23"/>
      <c r="K839" s="23"/>
      <c r="Q839" s="23"/>
      <c r="S839" s="8"/>
      <c r="T839" s="8"/>
      <c r="U839" s="8"/>
      <c r="V839" s="8"/>
      <c r="W839" s="16"/>
    </row>
    <row r="840">
      <c r="F840" s="23"/>
      <c r="K840" s="23"/>
      <c r="Q840" s="23"/>
      <c r="S840" s="8"/>
      <c r="T840" s="8"/>
      <c r="U840" s="8"/>
      <c r="V840" s="8"/>
      <c r="W840" s="16"/>
    </row>
    <row r="841">
      <c r="F841" s="23"/>
      <c r="K841" s="23"/>
      <c r="Q841" s="23"/>
      <c r="S841" s="8"/>
      <c r="T841" s="8"/>
      <c r="U841" s="8"/>
      <c r="V841" s="8"/>
      <c r="W841" s="16"/>
    </row>
    <row r="842">
      <c r="F842" s="23"/>
      <c r="K842" s="23"/>
      <c r="Q842" s="23"/>
      <c r="S842" s="8"/>
      <c r="T842" s="8"/>
      <c r="U842" s="8"/>
      <c r="V842" s="8"/>
      <c r="W842" s="16"/>
    </row>
    <row r="843">
      <c r="F843" s="23"/>
      <c r="K843" s="23"/>
      <c r="Q843" s="23"/>
      <c r="S843" s="8"/>
      <c r="T843" s="8"/>
      <c r="U843" s="8"/>
      <c r="V843" s="8"/>
      <c r="W843" s="16"/>
    </row>
    <row r="844">
      <c r="F844" s="23"/>
      <c r="K844" s="23"/>
      <c r="Q844" s="23"/>
      <c r="S844" s="8"/>
      <c r="T844" s="8"/>
      <c r="U844" s="8"/>
      <c r="V844" s="8"/>
      <c r="W844" s="16"/>
    </row>
    <row r="845">
      <c r="F845" s="23"/>
      <c r="K845" s="23"/>
      <c r="Q845" s="23"/>
      <c r="S845" s="8"/>
      <c r="T845" s="8"/>
      <c r="U845" s="8"/>
      <c r="V845" s="8"/>
      <c r="W845" s="16"/>
    </row>
    <row r="846">
      <c r="F846" s="23"/>
      <c r="K846" s="23"/>
      <c r="Q846" s="23"/>
      <c r="S846" s="8"/>
      <c r="T846" s="8"/>
      <c r="U846" s="8"/>
      <c r="V846" s="8"/>
      <c r="W846" s="16"/>
    </row>
    <row r="847">
      <c r="F847" s="23"/>
      <c r="K847" s="23"/>
      <c r="Q847" s="23"/>
      <c r="S847" s="8"/>
      <c r="T847" s="8"/>
      <c r="U847" s="8"/>
      <c r="V847" s="8"/>
      <c r="W847" s="16"/>
    </row>
    <row r="848">
      <c r="F848" s="23"/>
      <c r="K848" s="23"/>
      <c r="Q848" s="23"/>
      <c r="S848" s="8"/>
      <c r="T848" s="8"/>
      <c r="U848" s="8"/>
      <c r="V848" s="8"/>
      <c r="W848" s="16"/>
    </row>
    <row r="849">
      <c r="F849" s="23"/>
      <c r="K849" s="23"/>
      <c r="Q849" s="23"/>
      <c r="S849" s="8"/>
      <c r="T849" s="8"/>
      <c r="U849" s="8"/>
      <c r="V849" s="8"/>
      <c r="W849" s="16"/>
    </row>
    <row r="850">
      <c r="F850" s="23"/>
      <c r="K850" s="23"/>
      <c r="Q850" s="23"/>
      <c r="S850" s="8"/>
      <c r="T850" s="8"/>
      <c r="U850" s="8"/>
      <c r="V850" s="8"/>
      <c r="W850" s="16"/>
    </row>
    <row r="851">
      <c r="F851" s="23"/>
      <c r="K851" s="23"/>
      <c r="Q851" s="23"/>
      <c r="S851" s="8"/>
      <c r="T851" s="8"/>
      <c r="U851" s="8"/>
      <c r="V851" s="8"/>
      <c r="W851" s="16"/>
    </row>
    <row r="852">
      <c r="F852" s="23"/>
      <c r="K852" s="23"/>
      <c r="Q852" s="23"/>
      <c r="S852" s="8"/>
      <c r="T852" s="8"/>
      <c r="U852" s="8"/>
      <c r="V852" s="8"/>
      <c r="W852" s="16"/>
    </row>
    <row r="853">
      <c r="F853" s="23"/>
      <c r="K853" s="23"/>
      <c r="Q853" s="23"/>
      <c r="S853" s="8"/>
      <c r="T853" s="8"/>
      <c r="U853" s="8"/>
      <c r="V853" s="8"/>
      <c r="W853" s="16"/>
    </row>
    <row r="854">
      <c r="F854" s="23"/>
      <c r="K854" s="23"/>
      <c r="Q854" s="23"/>
      <c r="S854" s="8"/>
      <c r="T854" s="8"/>
      <c r="U854" s="8"/>
      <c r="V854" s="8"/>
      <c r="W854" s="16"/>
    </row>
    <row r="855">
      <c r="F855" s="23"/>
      <c r="K855" s="23"/>
      <c r="Q855" s="23"/>
      <c r="S855" s="8"/>
      <c r="T855" s="8"/>
      <c r="U855" s="8"/>
      <c r="V855" s="8"/>
      <c r="W855" s="16"/>
    </row>
    <row r="856">
      <c r="F856" s="23"/>
      <c r="K856" s="23"/>
      <c r="Q856" s="23"/>
      <c r="S856" s="8"/>
      <c r="T856" s="8"/>
      <c r="U856" s="8"/>
      <c r="V856" s="8"/>
      <c r="W856" s="16"/>
    </row>
    <row r="857">
      <c r="F857" s="23"/>
      <c r="K857" s="23"/>
      <c r="Q857" s="23"/>
      <c r="S857" s="8"/>
      <c r="T857" s="8"/>
      <c r="U857" s="8"/>
      <c r="V857" s="8"/>
      <c r="W857" s="16"/>
    </row>
    <row r="858">
      <c r="F858" s="23"/>
      <c r="K858" s="23"/>
      <c r="Q858" s="23"/>
      <c r="S858" s="8"/>
      <c r="T858" s="8"/>
      <c r="U858" s="8"/>
      <c r="V858" s="8"/>
      <c r="W858" s="16"/>
    </row>
    <row r="859">
      <c r="F859" s="23"/>
      <c r="K859" s="23"/>
      <c r="Q859" s="23"/>
      <c r="S859" s="8"/>
      <c r="T859" s="8"/>
      <c r="U859" s="8"/>
      <c r="V859" s="8"/>
      <c r="W859" s="16"/>
    </row>
    <row r="860">
      <c r="F860" s="23"/>
      <c r="K860" s="23"/>
      <c r="Q860" s="23"/>
      <c r="S860" s="8"/>
      <c r="T860" s="8"/>
      <c r="U860" s="8"/>
      <c r="V860" s="8"/>
      <c r="W860" s="16"/>
    </row>
    <row r="861">
      <c r="F861" s="23"/>
      <c r="K861" s="23"/>
      <c r="Q861" s="23"/>
      <c r="S861" s="8"/>
      <c r="T861" s="8"/>
      <c r="U861" s="8"/>
      <c r="V861" s="8"/>
      <c r="W861" s="16"/>
    </row>
    <row r="862">
      <c r="F862" s="23"/>
      <c r="K862" s="23"/>
      <c r="Q862" s="23"/>
      <c r="S862" s="8"/>
      <c r="T862" s="8"/>
      <c r="U862" s="8"/>
      <c r="V862" s="8"/>
      <c r="W862" s="16"/>
    </row>
    <row r="863">
      <c r="F863" s="23"/>
      <c r="K863" s="23"/>
      <c r="Q863" s="23"/>
      <c r="S863" s="8"/>
      <c r="T863" s="8"/>
      <c r="U863" s="8"/>
      <c r="V863" s="8"/>
      <c r="W863" s="16"/>
    </row>
    <row r="864">
      <c r="F864" s="23"/>
      <c r="K864" s="23"/>
      <c r="Q864" s="23"/>
      <c r="S864" s="8"/>
      <c r="T864" s="8"/>
      <c r="U864" s="8"/>
      <c r="V864" s="8"/>
      <c r="W864" s="16"/>
    </row>
    <row r="865">
      <c r="F865" s="23"/>
      <c r="K865" s="23"/>
      <c r="Q865" s="23"/>
      <c r="S865" s="8"/>
      <c r="T865" s="8"/>
      <c r="U865" s="8"/>
      <c r="V865" s="8"/>
      <c r="W865" s="16"/>
    </row>
    <row r="866">
      <c r="F866" s="23"/>
      <c r="K866" s="23"/>
      <c r="Q866" s="23"/>
      <c r="S866" s="8"/>
      <c r="T866" s="8"/>
      <c r="U866" s="8"/>
      <c r="V866" s="8"/>
      <c r="W866" s="16"/>
    </row>
    <row r="867">
      <c r="F867" s="23"/>
      <c r="K867" s="23"/>
      <c r="Q867" s="23"/>
      <c r="S867" s="8"/>
      <c r="T867" s="8"/>
      <c r="U867" s="8"/>
      <c r="V867" s="8"/>
      <c r="W867" s="16"/>
    </row>
    <row r="868">
      <c r="F868" s="23"/>
      <c r="K868" s="23"/>
      <c r="Q868" s="23"/>
      <c r="S868" s="8"/>
      <c r="T868" s="8"/>
      <c r="U868" s="8"/>
      <c r="V868" s="8"/>
      <c r="W868" s="16"/>
    </row>
    <row r="869">
      <c r="F869" s="23"/>
      <c r="K869" s="23"/>
      <c r="Q869" s="23"/>
      <c r="S869" s="8"/>
      <c r="T869" s="8"/>
      <c r="U869" s="8"/>
      <c r="V869" s="8"/>
      <c r="W869" s="16"/>
    </row>
    <row r="870">
      <c r="F870" s="23"/>
      <c r="K870" s="23"/>
      <c r="Q870" s="23"/>
      <c r="S870" s="8"/>
      <c r="T870" s="8"/>
      <c r="U870" s="8"/>
      <c r="V870" s="8"/>
      <c r="W870" s="16"/>
    </row>
    <row r="871">
      <c r="F871" s="23"/>
      <c r="K871" s="23"/>
      <c r="Q871" s="23"/>
      <c r="S871" s="8"/>
      <c r="T871" s="8"/>
      <c r="U871" s="8"/>
      <c r="V871" s="8"/>
      <c r="W871" s="16"/>
    </row>
    <row r="872">
      <c r="F872" s="23"/>
      <c r="K872" s="23"/>
      <c r="Q872" s="23"/>
      <c r="S872" s="8"/>
      <c r="T872" s="8"/>
      <c r="U872" s="8"/>
      <c r="V872" s="8"/>
      <c r="W872" s="16"/>
    </row>
    <row r="873">
      <c r="F873" s="23"/>
      <c r="K873" s="23"/>
      <c r="Q873" s="23"/>
      <c r="S873" s="8"/>
      <c r="T873" s="8"/>
      <c r="U873" s="8"/>
      <c r="V873" s="8"/>
      <c r="W873" s="16"/>
    </row>
    <row r="874">
      <c r="F874" s="23"/>
      <c r="K874" s="23"/>
      <c r="Q874" s="23"/>
      <c r="S874" s="8"/>
      <c r="T874" s="8"/>
      <c r="U874" s="8"/>
      <c r="V874" s="8"/>
      <c r="W874" s="16"/>
    </row>
    <row r="875">
      <c r="F875" s="23"/>
      <c r="K875" s="23"/>
      <c r="Q875" s="23"/>
      <c r="S875" s="8"/>
      <c r="T875" s="8"/>
      <c r="U875" s="8"/>
      <c r="V875" s="8"/>
      <c r="W875" s="16"/>
    </row>
    <row r="876">
      <c r="F876" s="23"/>
      <c r="K876" s="23"/>
      <c r="Q876" s="23"/>
      <c r="S876" s="8"/>
      <c r="T876" s="8"/>
      <c r="U876" s="8"/>
      <c r="V876" s="8"/>
      <c r="W876" s="16"/>
    </row>
    <row r="877">
      <c r="F877" s="23"/>
      <c r="K877" s="23"/>
      <c r="Q877" s="23"/>
      <c r="S877" s="8"/>
      <c r="T877" s="8"/>
      <c r="U877" s="8"/>
      <c r="V877" s="8"/>
      <c r="W877" s="16"/>
    </row>
    <row r="878">
      <c r="F878" s="23"/>
      <c r="K878" s="23"/>
      <c r="Q878" s="23"/>
      <c r="S878" s="8"/>
      <c r="T878" s="8"/>
      <c r="U878" s="8"/>
      <c r="V878" s="8"/>
      <c r="W878" s="16"/>
    </row>
    <row r="879">
      <c r="F879" s="23"/>
      <c r="K879" s="23"/>
      <c r="Q879" s="23"/>
      <c r="S879" s="8"/>
      <c r="T879" s="8"/>
      <c r="U879" s="8"/>
      <c r="V879" s="8"/>
      <c r="W879" s="16"/>
    </row>
    <row r="880">
      <c r="F880" s="23"/>
      <c r="K880" s="23"/>
      <c r="Q880" s="23"/>
      <c r="S880" s="8"/>
      <c r="T880" s="8"/>
      <c r="U880" s="8"/>
      <c r="V880" s="8"/>
      <c r="W880" s="16"/>
    </row>
    <row r="881">
      <c r="F881" s="23"/>
      <c r="K881" s="23"/>
      <c r="Q881" s="23"/>
      <c r="S881" s="8"/>
      <c r="T881" s="8"/>
      <c r="U881" s="8"/>
      <c r="V881" s="8"/>
      <c r="W881" s="16"/>
    </row>
    <row r="882">
      <c r="F882" s="23"/>
      <c r="K882" s="23"/>
      <c r="Q882" s="23"/>
      <c r="S882" s="8"/>
      <c r="T882" s="8"/>
      <c r="U882" s="8"/>
      <c r="V882" s="8"/>
      <c r="W882" s="16"/>
    </row>
    <row r="883">
      <c r="F883" s="23"/>
      <c r="K883" s="23"/>
      <c r="Q883" s="23"/>
      <c r="S883" s="8"/>
      <c r="T883" s="8"/>
      <c r="U883" s="8"/>
      <c r="V883" s="8"/>
      <c r="W883" s="16"/>
    </row>
    <row r="884">
      <c r="F884" s="23"/>
      <c r="K884" s="23"/>
      <c r="Q884" s="23"/>
      <c r="S884" s="8"/>
      <c r="T884" s="8"/>
      <c r="U884" s="8"/>
      <c r="V884" s="8"/>
      <c r="W884" s="16"/>
    </row>
    <row r="885">
      <c r="F885" s="23"/>
      <c r="K885" s="23"/>
      <c r="Q885" s="23"/>
      <c r="S885" s="8"/>
      <c r="T885" s="8"/>
      <c r="U885" s="8"/>
      <c r="V885" s="8"/>
      <c r="W885" s="16"/>
    </row>
    <row r="886">
      <c r="F886" s="23"/>
      <c r="K886" s="23"/>
      <c r="Q886" s="23"/>
      <c r="S886" s="8"/>
      <c r="T886" s="8"/>
      <c r="U886" s="8"/>
      <c r="V886" s="8"/>
      <c r="W886" s="16"/>
    </row>
    <row r="887">
      <c r="F887" s="23"/>
      <c r="K887" s="23"/>
      <c r="Q887" s="23"/>
      <c r="S887" s="8"/>
      <c r="T887" s="8"/>
      <c r="U887" s="8"/>
      <c r="V887" s="8"/>
      <c r="W887" s="16"/>
    </row>
    <row r="888">
      <c r="F888" s="23"/>
      <c r="K888" s="23"/>
      <c r="Q888" s="23"/>
      <c r="S888" s="8"/>
      <c r="T888" s="8"/>
      <c r="U888" s="8"/>
      <c r="V888" s="8"/>
      <c r="W888" s="16"/>
    </row>
    <row r="889">
      <c r="F889" s="23"/>
      <c r="K889" s="23"/>
      <c r="Q889" s="23"/>
      <c r="S889" s="8"/>
      <c r="T889" s="8"/>
      <c r="U889" s="8"/>
      <c r="V889" s="8"/>
      <c r="W889" s="16"/>
    </row>
    <row r="890">
      <c r="F890" s="23"/>
      <c r="K890" s="23"/>
      <c r="Q890" s="23"/>
      <c r="S890" s="8"/>
      <c r="T890" s="8"/>
      <c r="U890" s="8"/>
      <c r="V890" s="8"/>
      <c r="W890" s="16"/>
    </row>
    <row r="891">
      <c r="F891" s="23"/>
      <c r="K891" s="23"/>
      <c r="Q891" s="23"/>
      <c r="S891" s="8"/>
      <c r="T891" s="8"/>
      <c r="U891" s="8"/>
      <c r="V891" s="8"/>
      <c r="W891" s="16"/>
    </row>
    <row r="892">
      <c r="F892" s="23"/>
      <c r="K892" s="23"/>
      <c r="Q892" s="23"/>
      <c r="S892" s="8"/>
      <c r="T892" s="8"/>
      <c r="U892" s="8"/>
      <c r="V892" s="8"/>
      <c r="W892" s="16"/>
    </row>
    <row r="893">
      <c r="F893" s="23"/>
      <c r="K893" s="23"/>
      <c r="Q893" s="23"/>
      <c r="S893" s="8"/>
      <c r="T893" s="8"/>
      <c r="U893" s="8"/>
      <c r="V893" s="8"/>
      <c r="W893" s="16"/>
    </row>
    <row r="894">
      <c r="F894" s="23"/>
      <c r="K894" s="23"/>
      <c r="Q894" s="23"/>
      <c r="S894" s="8"/>
      <c r="T894" s="8"/>
      <c r="U894" s="8"/>
      <c r="V894" s="8"/>
      <c r="W894" s="16"/>
    </row>
    <row r="895">
      <c r="F895" s="23"/>
      <c r="K895" s="23"/>
      <c r="Q895" s="23"/>
      <c r="S895" s="8"/>
      <c r="T895" s="8"/>
      <c r="U895" s="8"/>
      <c r="V895" s="8"/>
      <c r="W895" s="16"/>
    </row>
    <row r="896">
      <c r="F896" s="23"/>
      <c r="K896" s="23"/>
      <c r="Q896" s="23"/>
      <c r="S896" s="8"/>
      <c r="T896" s="8"/>
      <c r="U896" s="8"/>
      <c r="V896" s="8"/>
      <c r="W896" s="16"/>
    </row>
    <row r="897">
      <c r="F897" s="23"/>
      <c r="K897" s="23"/>
      <c r="Q897" s="23"/>
      <c r="S897" s="8"/>
      <c r="T897" s="8"/>
      <c r="U897" s="8"/>
      <c r="V897" s="8"/>
      <c r="W897" s="16"/>
    </row>
    <row r="898">
      <c r="F898" s="23"/>
      <c r="K898" s="23"/>
      <c r="Q898" s="23"/>
      <c r="S898" s="8"/>
      <c r="T898" s="8"/>
      <c r="U898" s="8"/>
      <c r="V898" s="8"/>
      <c r="W898" s="16"/>
    </row>
    <row r="899">
      <c r="F899" s="23"/>
      <c r="K899" s="23"/>
      <c r="Q899" s="23"/>
      <c r="S899" s="8"/>
      <c r="T899" s="8"/>
      <c r="U899" s="8"/>
      <c r="V899" s="8"/>
      <c r="W899" s="16"/>
    </row>
    <row r="900">
      <c r="F900" s="23"/>
      <c r="K900" s="23"/>
      <c r="Q900" s="23"/>
      <c r="S900" s="8"/>
      <c r="T900" s="8"/>
      <c r="U900" s="8"/>
      <c r="V900" s="8"/>
      <c r="W900" s="16"/>
    </row>
    <row r="901">
      <c r="F901" s="23"/>
      <c r="K901" s="23"/>
      <c r="Q901" s="23"/>
      <c r="S901" s="8"/>
      <c r="T901" s="8"/>
      <c r="U901" s="8"/>
      <c r="V901" s="8"/>
      <c r="W901" s="16"/>
    </row>
    <row r="902">
      <c r="F902" s="23"/>
      <c r="K902" s="23"/>
      <c r="Q902" s="23"/>
      <c r="S902" s="8"/>
      <c r="T902" s="8"/>
      <c r="U902" s="8"/>
      <c r="V902" s="8"/>
      <c r="W902" s="16"/>
    </row>
    <row r="903">
      <c r="F903" s="23"/>
      <c r="K903" s="23"/>
      <c r="Q903" s="23"/>
      <c r="S903" s="8"/>
      <c r="T903" s="8"/>
      <c r="U903" s="8"/>
      <c r="V903" s="8"/>
      <c r="W903" s="16"/>
    </row>
    <row r="904">
      <c r="F904" s="23"/>
      <c r="K904" s="23"/>
      <c r="Q904" s="23"/>
      <c r="S904" s="8"/>
      <c r="T904" s="8"/>
      <c r="U904" s="8"/>
      <c r="V904" s="8"/>
      <c r="W904" s="16"/>
    </row>
    <row r="905">
      <c r="F905" s="23"/>
      <c r="K905" s="23"/>
      <c r="Q905" s="23"/>
      <c r="S905" s="8"/>
      <c r="T905" s="8"/>
      <c r="U905" s="8"/>
      <c r="V905" s="8"/>
      <c r="W905" s="16"/>
    </row>
    <row r="906">
      <c r="F906" s="23"/>
      <c r="K906" s="23"/>
      <c r="Q906" s="23"/>
      <c r="S906" s="8"/>
      <c r="T906" s="8"/>
      <c r="U906" s="8"/>
      <c r="V906" s="8"/>
      <c r="W906" s="16"/>
    </row>
    <row r="907">
      <c r="F907" s="23"/>
      <c r="K907" s="23"/>
      <c r="Q907" s="23"/>
      <c r="S907" s="8"/>
      <c r="T907" s="8"/>
      <c r="U907" s="8"/>
      <c r="V907" s="8"/>
      <c r="W907" s="16"/>
    </row>
    <row r="908">
      <c r="F908" s="23"/>
      <c r="K908" s="23"/>
      <c r="Q908" s="23"/>
      <c r="S908" s="8"/>
      <c r="T908" s="8"/>
      <c r="U908" s="8"/>
      <c r="V908" s="8"/>
      <c r="W908" s="16"/>
    </row>
    <row r="909">
      <c r="F909" s="23"/>
      <c r="K909" s="23"/>
      <c r="Q909" s="23"/>
      <c r="S909" s="8"/>
      <c r="T909" s="8"/>
      <c r="U909" s="8"/>
      <c r="V909" s="8"/>
      <c r="W909" s="16"/>
    </row>
    <row r="910">
      <c r="F910" s="23"/>
      <c r="K910" s="23"/>
      <c r="Q910" s="23"/>
      <c r="S910" s="8"/>
      <c r="T910" s="8"/>
      <c r="U910" s="8"/>
      <c r="V910" s="8"/>
      <c r="W910" s="16"/>
    </row>
    <row r="911">
      <c r="F911" s="23"/>
      <c r="K911" s="23"/>
      <c r="Q911" s="23"/>
      <c r="S911" s="8"/>
      <c r="T911" s="8"/>
      <c r="U911" s="8"/>
      <c r="V911" s="8"/>
      <c r="W911" s="16"/>
    </row>
    <row r="912">
      <c r="F912" s="23"/>
      <c r="K912" s="23"/>
      <c r="Q912" s="23"/>
      <c r="S912" s="8"/>
      <c r="T912" s="8"/>
      <c r="U912" s="8"/>
      <c r="V912" s="8"/>
      <c r="W912" s="16"/>
    </row>
    <row r="913">
      <c r="F913" s="23"/>
      <c r="K913" s="23"/>
      <c r="Q913" s="23"/>
      <c r="S913" s="8"/>
      <c r="T913" s="8"/>
      <c r="U913" s="8"/>
      <c r="V913" s="8"/>
      <c r="W913" s="16"/>
    </row>
    <row r="914">
      <c r="F914" s="23"/>
      <c r="K914" s="23"/>
      <c r="Q914" s="23"/>
      <c r="S914" s="8"/>
      <c r="T914" s="8"/>
      <c r="U914" s="8"/>
      <c r="V914" s="8"/>
      <c r="W914" s="16"/>
    </row>
    <row r="915">
      <c r="F915" s="23"/>
      <c r="K915" s="23"/>
      <c r="Q915" s="23"/>
      <c r="S915" s="8"/>
      <c r="T915" s="8"/>
      <c r="U915" s="8"/>
      <c r="V915" s="8"/>
      <c r="W915" s="16"/>
    </row>
    <row r="916">
      <c r="F916" s="23"/>
      <c r="K916" s="23"/>
      <c r="Q916" s="23"/>
      <c r="S916" s="8"/>
      <c r="T916" s="8"/>
      <c r="U916" s="8"/>
      <c r="V916" s="8"/>
      <c r="W916" s="16"/>
    </row>
    <row r="917">
      <c r="F917" s="23"/>
      <c r="K917" s="23"/>
      <c r="Q917" s="23"/>
      <c r="S917" s="8"/>
      <c r="T917" s="8"/>
      <c r="U917" s="8"/>
      <c r="V917" s="8"/>
      <c r="W917" s="16"/>
    </row>
    <row r="918">
      <c r="F918" s="23"/>
      <c r="K918" s="23"/>
      <c r="Q918" s="23"/>
      <c r="S918" s="8"/>
      <c r="T918" s="8"/>
      <c r="U918" s="8"/>
      <c r="V918" s="8"/>
      <c r="W918" s="16"/>
    </row>
    <row r="919">
      <c r="F919" s="23"/>
      <c r="K919" s="23"/>
      <c r="Q919" s="23"/>
      <c r="S919" s="8"/>
      <c r="T919" s="8"/>
      <c r="U919" s="8"/>
      <c r="V919" s="8"/>
      <c r="W919" s="16"/>
    </row>
    <row r="920">
      <c r="F920" s="23"/>
      <c r="K920" s="23"/>
      <c r="Q920" s="23"/>
      <c r="S920" s="8"/>
      <c r="T920" s="8"/>
      <c r="U920" s="8"/>
      <c r="V920" s="8"/>
      <c r="W920" s="16"/>
    </row>
    <row r="921">
      <c r="F921" s="23"/>
      <c r="K921" s="23"/>
      <c r="Q921" s="23"/>
      <c r="S921" s="8"/>
      <c r="T921" s="8"/>
      <c r="U921" s="8"/>
      <c r="V921" s="8"/>
      <c r="W921" s="16"/>
    </row>
    <row r="922">
      <c r="F922" s="23"/>
      <c r="K922" s="23"/>
      <c r="Q922" s="23"/>
      <c r="S922" s="8"/>
      <c r="T922" s="8"/>
      <c r="U922" s="8"/>
      <c r="V922" s="8"/>
      <c r="W922" s="16"/>
    </row>
    <row r="923">
      <c r="F923" s="23"/>
      <c r="K923" s="23"/>
      <c r="Q923" s="23"/>
      <c r="S923" s="8"/>
      <c r="T923" s="8"/>
      <c r="U923" s="8"/>
      <c r="V923" s="8"/>
      <c r="W923" s="16"/>
    </row>
    <row r="924">
      <c r="F924" s="23"/>
      <c r="K924" s="23"/>
      <c r="Q924" s="23"/>
      <c r="S924" s="8"/>
      <c r="T924" s="8"/>
      <c r="U924" s="8"/>
      <c r="V924" s="8"/>
      <c r="W924" s="16"/>
    </row>
    <row r="925">
      <c r="F925" s="23"/>
      <c r="K925" s="23"/>
      <c r="Q925" s="23"/>
      <c r="S925" s="8"/>
      <c r="T925" s="8"/>
      <c r="U925" s="8"/>
      <c r="V925" s="8"/>
      <c r="W925" s="16"/>
    </row>
    <row r="926">
      <c r="F926" s="23"/>
      <c r="K926" s="23"/>
      <c r="Q926" s="23"/>
      <c r="S926" s="8"/>
      <c r="T926" s="8"/>
      <c r="U926" s="8"/>
      <c r="V926" s="8"/>
      <c r="W926" s="16"/>
    </row>
    <row r="927">
      <c r="F927" s="23"/>
      <c r="K927" s="23"/>
      <c r="Q927" s="23"/>
      <c r="S927" s="8"/>
      <c r="T927" s="8"/>
      <c r="U927" s="8"/>
      <c r="V927" s="8"/>
      <c r="W927" s="16"/>
    </row>
    <row r="928">
      <c r="F928" s="23"/>
      <c r="K928" s="23"/>
      <c r="Q928" s="23"/>
      <c r="S928" s="8"/>
      <c r="T928" s="8"/>
      <c r="U928" s="8"/>
      <c r="V928" s="8"/>
      <c r="W928" s="16"/>
    </row>
    <row r="929">
      <c r="F929" s="23"/>
      <c r="K929" s="23"/>
      <c r="Q929" s="23"/>
      <c r="S929" s="8"/>
      <c r="T929" s="8"/>
      <c r="U929" s="8"/>
      <c r="V929" s="8"/>
      <c r="W929" s="16"/>
    </row>
    <row r="930">
      <c r="F930" s="23"/>
      <c r="K930" s="23"/>
      <c r="Q930" s="23"/>
      <c r="S930" s="8"/>
      <c r="T930" s="8"/>
      <c r="U930" s="8"/>
      <c r="V930" s="8"/>
      <c r="W930" s="16"/>
    </row>
    <row r="931">
      <c r="F931" s="23"/>
      <c r="K931" s="23"/>
      <c r="Q931" s="23"/>
      <c r="S931" s="8"/>
      <c r="T931" s="8"/>
      <c r="U931" s="8"/>
      <c r="V931" s="8"/>
      <c r="W931" s="16"/>
    </row>
    <row r="932">
      <c r="F932" s="23"/>
      <c r="K932" s="23"/>
      <c r="Q932" s="23"/>
      <c r="S932" s="8"/>
      <c r="T932" s="8"/>
      <c r="U932" s="8"/>
      <c r="V932" s="8"/>
      <c r="W932" s="16"/>
    </row>
    <row r="933">
      <c r="F933" s="23"/>
      <c r="K933" s="23"/>
      <c r="Q933" s="23"/>
      <c r="S933" s="8"/>
      <c r="T933" s="8"/>
      <c r="U933" s="8"/>
      <c r="V933" s="8"/>
      <c r="W933" s="16"/>
    </row>
    <row r="934">
      <c r="F934" s="23"/>
      <c r="K934" s="23"/>
      <c r="Q934" s="23"/>
      <c r="S934" s="8"/>
      <c r="T934" s="8"/>
      <c r="U934" s="8"/>
      <c r="V934" s="8"/>
      <c r="W934" s="16"/>
    </row>
    <row r="935">
      <c r="F935" s="23"/>
      <c r="K935" s="23"/>
      <c r="Q935" s="23"/>
      <c r="S935" s="8"/>
      <c r="T935" s="8"/>
      <c r="U935" s="8"/>
      <c r="V935" s="8"/>
      <c r="W935" s="16"/>
    </row>
    <row r="936">
      <c r="F936" s="23"/>
      <c r="K936" s="23"/>
      <c r="Q936" s="23"/>
      <c r="S936" s="8"/>
      <c r="T936" s="8"/>
      <c r="U936" s="8"/>
      <c r="V936" s="8"/>
      <c r="W936" s="16"/>
    </row>
    <row r="937">
      <c r="F937" s="23"/>
      <c r="K937" s="23"/>
      <c r="Q937" s="23"/>
      <c r="S937" s="8"/>
      <c r="T937" s="8"/>
      <c r="U937" s="8"/>
      <c r="V937" s="8"/>
      <c r="W937" s="16"/>
    </row>
    <row r="938">
      <c r="F938" s="23"/>
      <c r="K938" s="23"/>
      <c r="Q938" s="23"/>
      <c r="S938" s="8"/>
      <c r="T938" s="8"/>
      <c r="U938" s="8"/>
      <c r="V938" s="8"/>
      <c r="W938" s="16"/>
    </row>
    <row r="939">
      <c r="F939" s="23"/>
      <c r="K939" s="23"/>
      <c r="Q939" s="23"/>
      <c r="S939" s="8"/>
      <c r="T939" s="8"/>
      <c r="U939" s="8"/>
      <c r="V939" s="8"/>
      <c r="W939" s="16"/>
    </row>
    <row r="940">
      <c r="F940" s="23"/>
      <c r="K940" s="23"/>
      <c r="Q940" s="23"/>
      <c r="S940" s="8"/>
      <c r="T940" s="8"/>
      <c r="U940" s="8"/>
      <c r="V940" s="8"/>
      <c r="W940" s="16"/>
    </row>
    <row r="941">
      <c r="F941" s="23"/>
      <c r="K941" s="23"/>
      <c r="Q941" s="23"/>
      <c r="S941" s="8"/>
      <c r="T941" s="8"/>
      <c r="U941" s="8"/>
      <c r="V941" s="8"/>
      <c r="W941" s="16"/>
    </row>
    <row r="942">
      <c r="F942" s="23"/>
      <c r="K942" s="23"/>
      <c r="Q942" s="23"/>
      <c r="S942" s="8"/>
      <c r="T942" s="8"/>
      <c r="U942" s="8"/>
      <c r="V942" s="8"/>
      <c r="W942" s="16"/>
    </row>
    <row r="943">
      <c r="F943" s="23"/>
      <c r="K943" s="23"/>
      <c r="Q943" s="23"/>
      <c r="S943" s="8"/>
      <c r="T943" s="8"/>
      <c r="U943" s="8"/>
      <c r="V943" s="8"/>
      <c r="W943" s="16"/>
    </row>
    <row r="944">
      <c r="F944" s="23"/>
      <c r="K944" s="23"/>
      <c r="Q944" s="23"/>
      <c r="S944" s="8"/>
      <c r="T944" s="8"/>
      <c r="U944" s="8"/>
      <c r="V944" s="8"/>
      <c r="W944" s="16"/>
    </row>
    <row r="945">
      <c r="F945" s="23"/>
      <c r="K945" s="23"/>
      <c r="Q945" s="23"/>
      <c r="S945" s="8"/>
      <c r="T945" s="8"/>
      <c r="U945" s="8"/>
      <c r="V945" s="8"/>
      <c r="W945" s="16"/>
    </row>
    <row r="946">
      <c r="F946" s="23"/>
      <c r="K946" s="23"/>
      <c r="Q946" s="23"/>
      <c r="S946" s="8"/>
      <c r="T946" s="8"/>
      <c r="U946" s="8"/>
      <c r="V946" s="8"/>
      <c r="W946" s="16"/>
    </row>
    <row r="947">
      <c r="F947" s="23"/>
      <c r="K947" s="23"/>
      <c r="Q947" s="23"/>
      <c r="S947" s="8"/>
      <c r="T947" s="8"/>
      <c r="U947" s="8"/>
      <c r="V947" s="8"/>
      <c r="W947" s="16"/>
    </row>
    <row r="948">
      <c r="F948" s="23"/>
      <c r="K948" s="23"/>
      <c r="Q948" s="23"/>
      <c r="S948" s="8"/>
      <c r="T948" s="8"/>
      <c r="U948" s="8"/>
      <c r="V948" s="8"/>
      <c r="W948" s="16"/>
    </row>
    <row r="949">
      <c r="F949" s="23"/>
      <c r="K949" s="23"/>
      <c r="Q949" s="23"/>
      <c r="S949" s="8"/>
      <c r="T949" s="8"/>
      <c r="U949" s="8"/>
      <c r="V949" s="8"/>
      <c r="W949" s="16"/>
    </row>
    <row r="950">
      <c r="F950" s="23"/>
      <c r="K950" s="23"/>
      <c r="Q950" s="23"/>
      <c r="S950" s="8"/>
      <c r="T950" s="8"/>
      <c r="U950" s="8"/>
      <c r="V950" s="8"/>
      <c r="W950" s="16"/>
    </row>
    <row r="951">
      <c r="F951" s="23"/>
      <c r="K951" s="23"/>
      <c r="Q951" s="23"/>
      <c r="S951" s="8"/>
      <c r="T951" s="8"/>
      <c r="U951" s="8"/>
      <c r="V951" s="8"/>
      <c r="W951" s="16"/>
    </row>
    <row r="952">
      <c r="F952" s="23"/>
      <c r="K952" s="23"/>
      <c r="Q952" s="23"/>
      <c r="S952" s="8"/>
      <c r="T952" s="8"/>
      <c r="U952" s="8"/>
      <c r="V952" s="8"/>
      <c r="W952" s="16"/>
    </row>
    <row r="953">
      <c r="F953" s="23"/>
      <c r="K953" s="23"/>
      <c r="Q953" s="23"/>
      <c r="S953" s="8"/>
      <c r="T953" s="8"/>
      <c r="U953" s="8"/>
      <c r="V953" s="8"/>
      <c r="W953" s="16"/>
    </row>
    <row r="954">
      <c r="F954" s="23"/>
      <c r="K954" s="23"/>
      <c r="Q954" s="23"/>
      <c r="S954" s="8"/>
      <c r="T954" s="8"/>
      <c r="U954" s="8"/>
      <c r="V954" s="8"/>
      <c r="W954" s="16"/>
    </row>
    <row r="955">
      <c r="F955" s="23"/>
      <c r="K955" s="23"/>
      <c r="Q955" s="23"/>
      <c r="S955" s="8"/>
      <c r="T955" s="8"/>
      <c r="U955" s="8"/>
      <c r="V955" s="8"/>
      <c r="W955" s="16"/>
    </row>
    <row r="956">
      <c r="F956" s="23"/>
      <c r="K956" s="23"/>
      <c r="Q956" s="23"/>
      <c r="S956" s="8"/>
      <c r="T956" s="8"/>
      <c r="U956" s="8"/>
      <c r="V956" s="8"/>
      <c r="W956" s="16"/>
    </row>
    <row r="957">
      <c r="F957" s="23"/>
      <c r="K957" s="23"/>
      <c r="Q957" s="23"/>
      <c r="S957" s="8"/>
      <c r="T957" s="8"/>
      <c r="U957" s="8"/>
      <c r="V957" s="8"/>
      <c r="W957" s="16"/>
    </row>
    <row r="958">
      <c r="F958" s="23"/>
      <c r="K958" s="23"/>
      <c r="Q958" s="23"/>
      <c r="S958" s="8"/>
      <c r="T958" s="8"/>
      <c r="U958" s="8"/>
      <c r="V958" s="8"/>
      <c r="W958" s="16"/>
    </row>
    <row r="959">
      <c r="F959" s="23"/>
      <c r="K959" s="23"/>
      <c r="Q959" s="23"/>
      <c r="S959" s="8"/>
      <c r="T959" s="8"/>
      <c r="U959" s="8"/>
      <c r="V959" s="8"/>
      <c r="W959" s="16"/>
    </row>
    <row r="960">
      <c r="F960" s="23"/>
      <c r="K960" s="23"/>
      <c r="Q960" s="23"/>
      <c r="S960" s="8"/>
      <c r="T960" s="8"/>
      <c r="U960" s="8"/>
      <c r="V960" s="8"/>
      <c r="W960" s="16"/>
    </row>
    <row r="961">
      <c r="F961" s="23"/>
      <c r="K961" s="23"/>
      <c r="Q961" s="23"/>
      <c r="S961" s="8"/>
      <c r="T961" s="8"/>
      <c r="U961" s="8"/>
      <c r="V961" s="8"/>
      <c r="W961" s="16"/>
    </row>
    <row r="962">
      <c r="F962" s="23"/>
      <c r="K962" s="23"/>
      <c r="Q962" s="23"/>
      <c r="S962" s="8"/>
      <c r="T962" s="8"/>
      <c r="U962" s="8"/>
      <c r="V962" s="8"/>
      <c r="W962" s="16"/>
    </row>
    <row r="963">
      <c r="F963" s="23"/>
      <c r="K963" s="23"/>
      <c r="Q963" s="23"/>
      <c r="S963" s="8"/>
      <c r="T963" s="8"/>
      <c r="U963" s="8"/>
      <c r="V963" s="8"/>
      <c r="W963" s="16"/>
    </row>
    <row r="964">
      <c r="F964" s="23"/>
      <c r="K964" s="23"/>
      <c r="Q964" s="23"/>
      <c r="S964" s="8"/>
      <c r="T964" s="8"/>
      <c r="U964" s="8"/>
      <c r="V964" s="8"/>
      <c r="W964" s="16"/>
    </row>
    <row r="965">
      <c r="F965" s="23"/>
      <c r="K965" s="23"/>
      <c r="Q965" s="23"/>
      <c r="S965" s="8"/>
      <c r="T965" s="8"/>
      <c r="U965" s="8"/>
      <c r="V965" s="8"/>
      <c r="W965" s="16"/>
    </row>
    <row r="966">
      <c r="F966" s="23"/>
      <c r="K966" s="23"/>
      <c r="Q966" s="23"/>
      <c r="S966" s="8"/>
      <c r="T966" s="8"/>
      <c r="U966" s="8"/>
      <c r="V966" s="8"/>
      <c r="W966" s="16"/>
    </row>
    <row r="967">
      <c r="F967" s="23"/>
      <c r="K967" s="23"/>
      <c r="Q967" s="23"/>
      <c r="S967" s="8"/>
      <c r="T967" s="8"/>
      <c r="U967" s="8"/>
      <c r="V967" s="8"/>
      <c r="W967" s="16"/>
    </row>
    <row r="968">
      <c r="F968" s="23"/>
      <c r="K968" s="23"/>
      <c r="Q968" s="23"/>
      <c r="S968" s="8"/>
      <c r="T968" s="8"/>
      <c r="U968" s="8"/>
      <c r="V968" s="8"/>
      <c r="W968" s="16"/>
    </row>
    <row r="969">
      <c r="F969" s="23"/>
      <c r="K969" s="23"/>
      <c r="Q969" s="23"/>
      <c r="S969" s="8"/>
      <c r="T969" s="8"/>
      <c r="U969" s="8"/>
      <c r="V969" s="8"/>
      <c r="W969" s="16"/>
    </row>
    <row r="970">
      <c r="F970" s="23"/>
      <c r="K970" s="23"/>
      <c r="Q970" s="23"/>
      <c r="S970" s="8"/>
      <c r="T970" s="8"/>
      <c r="U970" s="8"/>
      <c r="V970" s="8"/>
      <c r="W970" s="16"/>
    </row>
    <row r="971">
      <c r="F971" s="23"/>
      <c r="K971" s="23"/>
      <c r="Q971" s="23"/>
      <c r="S971" s="8"/>
      <c r="T971" s="8"/>
      <c r="U971" s="8"/>
      <c r="V971" s="8"/>
      <c r="W971" s="16"/>
    </row>
    <row r="972">
      <c r="F972" s="23"/>
      <c r="K972" s="23"/>
      <c r="Q972" s="23"/>
      <c r="S972" s="8"/>
      <c r="T972" s="8"/>
      <c r="U972" s="8"/>
      <c r="V972" s="8"/>
      <c r="W972" s="16"/>
    </row>
    <row r="973">
      <c r="F973" s="23"/>
      <c r="K973" s="23"/>
      <c r="Q973" s="23"/>
      <c r="S973" s="8"/>
      <c r="T973" s="8"/>
      <c r="U973" s="8"/>
      <c r="V973" s="8"/>
      <c r="W973" s="16"/>
    </row>
    <row r="974">
      <c r="F974" s="23"/>
      <c r="K974" s="23"/>
      <c r="Q974" s="23"/>
      <c r="S974" s="8"/>
      <c r="T974" s="8"/>
      <c r="U974" s="8"/>
      <c r="V974" s="8"/>
      <c r="W974" s="16"/>
    </row>
    <row r="975">
      <c r="F975" s="23"/>
      <c r="K975" s="23"/>
      <c r="Q975" s="23"/>
      <c r="S975" s="8"/>
      <c r="T975" s="8"/>
      <c r="U975" s="8"/>
      <c r="V975" s="8"/>
      <c r="W975" s="16"/>
    </row>
    <row r="976">
      <c r="F976" s="23"/>
      <c r="K976" s="23"/>
      <c r="Q976" s="23"/>
      <c r="S976" s="8"/>
      <c r="T976" s="8"/>
      <c r="U976" s="8"/>
      <c r="V976" s="8"/>
      <c r="W976" s="16"/>
    </row>
    <row r="977">
      <c r="F977" s="23"/>
      <c r="K977" s="23"/>
      <c r="Q977" s="23"/>
      <c r="S977" s="8"/>
      <c r="T977" s="8"/>
      <c r="U977" s="8"/>
      <c r="V977" s="8"/>
      <c r="W977" s="16"/>
    </row>
    <row r="978">
      <c r="F978" s="23"/>
      <c r="K978" s="23"/>
      <c r="Q978" s="23"/>
      <c r="S978" s="8"/>
      <c r="T978" s="8"/>
      <c r="U978" s="8"/>
      <c r="V978" s="8"/>
      <c r="W978" s="16"/>
    </row>
    <row r="979">
      <c r="F979" s="23"/>
      <c r="K979" s="23"/>
      <c r="Q979" s="23"/>
      <c r="S979" s="8"/>
      <c r="T979" s="8"/>
      <c r="U979" s="8"/>
      <c r="V979" s="8"/>
      <c r="W979" s="16"/>
    </row>
    <row r="980">
      <c r="F980" s="23"/>
      <c r="K980" s="23"/>
      <c r="Q980" s="23"/>
      <c r="S980" s="8"/>
      <c r="T980" s="8"/>
      <c r="U980" s="8"/>
      <c r="V980" s="8"/>
      <c r="W980" s="16"/>
    </row>
    <row r="981">
      <c r="F981" s="23"/>
      <c r="K981" s="23"/>
      <c r="Q981" s="23"/>
      <c r="S981" s="8"/>
      <c r="T981" s="8"/>
      <c r="U981" s="8"/>
      <c r="V981" s="8"/>
      <c r="W981" s="16"/>
    </row>
    <row r="982">
      <c r="F982" s="23"/>
      <c r="K982" s="23"/>
      <c r="Q982" s="23"/>
      <c r="S982" s="8"/>
      <c r="T982" s="8"/>
      <c r="U982" s="8"/>
      <c r="V982" s="8"/>
      <c r="W982" s="16"/>
    </row>
    <row r="983">
      <c r="F983" s="23"/>
      <c r="K983" s="23"/>
      <c r="Q983" s="23"/>
      <c r="S983" s="8"/>
      <c r="T983" s="8"/>
      <c r="U983" s="8"/>
      <c r="V983" s="8"/>
      <c r="W983" s="16"/>
    </row>
    <row r="984">
      <c r="F984" s="23"/>
      <c r="K984" s="23"/>
      <c r="Q984" s="23"/>
      <c r="S984" s="8"/>
      <c r="T984" s="8"/>
      <c r="U984" s="8"/>
      <c r="V984" s="8"/>
      <c r="W984" s="16"/>
    </row>
    <row r="985">
      <c r="F985" s="23"/>
      <c r="K985" s="23"/>
      <c r="Q985" s="23"/>
      <c r="S985" s="8"/>
      <c r="T985" s="8"/>
      <c r="U985" s="8"/>
      <c r="V985" s="8"/>
      <c r="W985" s="16"/>
    </row>
    <row r="986">
      <c r="F986" s="23"/>
      <c r="K986" s="23"/>
      <c r="Q986" s="23"/>
      <c r="S986" s="8"/>
      <c r="T986" s="8"/>
      <c r="U986" s="8"/>
      <c r="V986" s="8"/>
      <c r="W986" s="16"/>
    </row>
    <row r="987">
      <c r="F987" s="23"/>
      <c r="K987" s="23"/>
      <c r="Q987" s="23"/>
      <c r="S987" s="8"/>
      <c r="T987" s="8"/>
      <c r="U987" s="8"/>
      <c r="V987" s="8"/>
      <c r="W987" s="16"/>
    </row>
    <row r="988">
      <c r="F988" s="23"/>
      <c r="K988" s="23"/>
      <c r="Q988" s="23"/>
      <c r="S988" s="8"/>
      <c r="T988" s="8"/>
      <c r="U988" s="8"/>
      <c r="V988" s="8"/>
      <c r="W988" s="16"/>
    </row>
    <row r="989">
      <c r="F989" s="23"/>
      <c r="K989" s="23"/>
      <c r="Q989" s="23"/>
      <c r="S989" s="8"/>
      <c r="T989" s="8"/>
      <c r="U989" s="8"/>
      <c r="V989" s="8"/>
      <c r="W989" s="16"/>
    </row>
    <row r="990">
      <c r="F990" s="23"/>
      <c r="K990" s="23"/>
      <c r="Q990" s="23"/>
      <c r="S990" s="8"/>
      <c r="T990" s="8"/>
      <c r="U990" s="8"/>
      <c r="V990" s="8"/>
      <c r="W990" s="16"/>
    </row>
    <row r="991">
      <c r="F991" s="23"/>
      <c r="K991" s="23"/>
      <c r="Q991" s="23"/>
      <c r="S991" s="8"/>
      <c r="T991" s="8"/>
      <c r="U991" s="8"/>
      <c r="V991" s="8"/>
      <c r="W991" s="16"/>
    </row>
    <row r="992">
      <c r="F992" s="23"/>
      <c r="K992" s="23"/>
      <c r="Q992" s="23"/>
      <c r="S992" s="8"/>
      <c r="T992" s="8"/>
      <c r="U992" s="8"/>
      <c r="V992" s="8"/>
      <c r="W992" s="16"/>
    </row>
    <row r="993">
      <c r="F993" s="23"/>
      <c r="K993" s="23"/>
      <c r="Q993" s="23"/>
      <c r="S993" s="8"/>
      <c r="T993" s="8"/>
      <c r="U993" s="8"/>
      <c r="V993" s="8"/>
      <c r="W993" s="16"/>
    </row>
    <row r="994">
      <c r="F994" s="23"/>
      <c r="K994" s="23"/>
      <c r="Q994" s="23"/>
      <c r="S994" s="8"/>
      <c r="T994" s="8"/>
      <c r="U994" s="8"/>
      <c r="V994" s="8"/>
      <c r="W994" s="16"/>
    </row>
    <row r="995">
      <c r="F995" s="23"/>
      <c r="K995" s="23"/>
      <c r="Q995" s="23"/>
      <c r="S995" s="8"/>
      <c r="T995" s="8"/>
      <c r="U995" s="8"/>
      <c r="V995" s="8"/>
      <c r="W995" s="16"/>
    </row>
    <row r="996">
      <c r="F996" s="23"/>
      <c r="K996" s="23"/>
      <c r="Q996" s="23"/>
      <c r="S996" s="8"/>
      <c r="T996" s="8"/>
      <c r="U996" s="8"/>
      <c r="V996" s="8"/>
      <c r="W996" s="16"/>
    </row>
    <row r="997">
      <c r="F997" s="23"/>
      <c r="K997" s="23"/>
      <c r="Q997" s="23"/>
      <c r="S997" s="8"/>
      <c r="T997" s="8"/>
      <c r="U997" s="8"/>
      <c r="V997" s="8"/>
      <c r="W997" s="16"/>
    </row>
    <row r="998">
      <c r="F998" s="23"/>
      <c r="K998" s="23"/>
      <c r="Q998" s="23"/>
      <c r="S998" s="8"/>
      <c r="T998" s="8"/>
      <c r="U998" s="8"/>
      <c r="V998" s="8"/>
      <c r="W998" s="16"/>
    </row>
    <row r="999">
      <c r="F999" s="23"/>
      <c r="K999" s="23"/>
      <c r="Q999" s="23"/>
      <c r="S999" s="8"/>
      <c r="T999" s="8"/>
      <c r="U999" s="8"/>
      <c r="V999" s="8"/>
      <c r="W999" s="16"/>
    </row>
    <row r="1000">
      <c r="S1000" s="8"/>
      <c r="T1000" s="8"/>
      <c r="U1000" s="8"/>
      <c r="V1000" s="8"/>
      <c r="W1000" s="16"/>
    </row>
    <row r="1001">
      <c r="S1001" s="8"/>
      <c r="T1001" s="8"/>
      <c r="U1001" s="8"/>
      <c r="V1001" s="8"/>
      <c r="W1001" s="16"/>
    </row>
    <row r="1002">
      <c r="S1002" s="8"/>
      <c r="T1002" s="8"/>
      <c r="U1002" s="8"/>
      <c r="V1002" s="8"/>
      <c r="W1002" s="16"/>
    </row>
    <row r="1003">
      <c r="S1003" s="8"/>
      <c r="T1003" s="8"/>
      <c r="U1003" s="8"/>
      <c r="V1003" s="8"/>
      <c r="W1003" s="16"/>
    </row>
    <row r="1004">
      <c r="S1004" s="8"/>
      <c r="T1004" s="8"/>
      <c r="U1004" s="8"/>
      <c r="V1004" s="8"/>
      <c r="W1004" s="16"/>
    </row>
    <row r="1005">
      <c r="S1005" s="8"/>
      <c r="T1005" s="8"/>
      <c r="U1005" s="8"/>
      <c r="V1005" s="8"/>
      <c r="W1005" s="16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8.29"/>
    <col customWidth="1" min="2" max="2" width="14.29"/>
    <col customWidth="1" min="3" max="3" width="7.14"/>
    <col customWidth="1" min="4" max="4" width="6.0"/>
    <col customWidth="1" min="5" max="5" width="9.0"/>
    <col customWidth="1" min="6" max="6" width="7.14"/>
  </cols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2550</v>
      </c>
      <c r="F1" s="26" t="s">
        <v>2551</v>
      </c>
    </row>
    <row r="2">
      <c r="A2" s="9" t="s">
        <v>1068</v>
      </c>
      <c r="B2" s="9" t="s">
        <v>1069</v>
      </c>
      <c r="C2" s="8" t="s">
        <v>70</v>
      </c>
      <c r="D2" s="14" t="s">
        <v>1070</v>
      </c>
      <c r="E2" s="8" t="s">
        <v>2552</v>
      </c>
      <c r="F2" s="27" t="s">
        <v>2553</v>
      </c>
    </row>
    <row r="3">
      <c r="A3" s="9" t="s">
        <v>629</v>
      </c>
      <c r="B3" s="9" t="s">
        <v>630</v>
      </c>
      <c r="C3" s="8" t="s">
        <v>132</v>
      </c>
      <c r="D3" s="14" t="s">
        <v>631</v>
      </c>
      <c r="E3" s="8" t="s">
        <v>2554</v>
      </c>
      <c r="F3" s="27" t="s">
        <v>2555</v>
      </c>
    </row>
    <row r="4">
      <c r="A4" s="9" t="s">
        <v>2295</v>
      </c>
      <c r="B4" s="9" t="s">
        <v>92</v>
      </c>
      <c r="C4" s="8" t="s">
        <v>192</v>
      </c>
      <c r="D4" s="14" t="s">
        <v>2296</v>
      </c>
      <c r="E4" s="18" t="s">
        <v>2556</v>
      </c>
      <c r="F4" s="27" t="s">
        <v>2557</v>
      </c>
    </row>
    <row r="5">
      <c r="A5" s="9" t="s">
        <v>835</v>
      </c>
      <c r="B5" s="9" t="s">
        <v>55</v>
      </c>
      <c r="C5" s="8" t="s">
        <v>80</v>
      </c>
      <c r="D5" s="14" t="s">
        <v>1070</v>
      </c>
      <c r="E5" s="8" t="s">
        <v>2554</v>
      </c>
      <c r="F5" s="27" t="s">
        <v>2557</v>
      </c>
    </row>
    <row r="6">
      <c r="A6" s="9" t="s">
        <v>835</v>
      </c>
      <c r="B6" s="9" t="s">
        <v>1071</v>
      </c>
      <c r="C6" s="8" t="s">
        <v>65</v>
      </c>
      <c r="D6" s="14" t="s">
        <v>1070</v>
      </c>
      <c r="E6" s="8" t="s">
        <v>2558</v>
      </c>
      <c r="F6" s="27" t="s">
        <v>2559</v>
      </c>
    </row>
    <row r="7">
      <c r="A7" s="9" t="s">
        <v>835</v>
      </c>
      <c r="B7" s="9" t="s">
        <v>1402</v>
      </c>
      <c r="C7" s="8" t="s">
        <v>192</v>
      </c>
      <c r="D7" s="14" t="s">
        <v>2033</v>
      </c>
      <c r="E7" s="8" t="s">
        <v>2560</v>
      </c>
      <c r="F7" s="27" t="s">
        <v>2561</v>
      </c>
    </row>
    <row r="8">
      <c r="A8" s="9" t="s">
        <v>835</v>
      </c>
      <c r="B8" s="9" t="s">
        <v>1072</v>
      </c>
      <c r="C8" s="8" t="s">
        <v>24</v>
      </c>
      <c r="D8" s="14" t="s">
        <v>1070</v>
      </c>
      <c r="E8" s="8" t="s">
        <v>2562</v>
      </c>
      <c r="F8" s="27" t="s">
        <v>2563</v>
      </c>
    </row>
    <row r="9">
      <c r="A9" s="9" t="s">
        <v>835</v>
      </c>
      <c r="B9" s="9" t="s">
        <v>301</v>
      </c>
      <c r="C9" s="8" t="s">
        <v>70</v>
      </c>
      <c r="D9" s="14" t="s">
        <v>2296</v>
      </c>
      <c r="E9" s="8" t="s">
        <v>2564</v>
      </c>
      <c r="F9" s="27" t="s">
        <v>2565</v>
      </c>
    </row>
    <row r="10">
      <c r="A10" s="9" t="s">
        <v>835</v>
      </c>
      <c r="B10" s="9" t="s">
        <v>1680</v>
      </c>
      <c r="C10" s="8" t="s">
        <v>53</v>
      </c>
      <c r="D10" s="14" t="s">
        <v>1679</v>
      </c>
      <c r="E10" s="8" t="s">
        <v>2566</v>
      </c>
      <c r="F10" s="27" t="s">
        <v>2555</v>
      </c>
    </row>
    <row r="11">
      <c r="A11" s="9" t="s">
        <v>835</v>
      </c>
      <c r="B11" s="9" t="s">
        <v>176</v>
      </c>
      <c r="C11" s="8" t="s">
        <v>59</v>
      </c>
      <c r="D11" s="14" t="s">
        <v>2033</v>
      </c>
      <c r="E11" s="8" t="s">
        <v>2567</v>
      </c>
      <c r="F11" s="27" t="s">
        <v>2568</v>
      </c>
    </row>
    <row r="12">
      <c r="A12" s="9" t="s">
        <v>835</v>
      </c>
      <c r="B12" s="9" t="s">
        <v>1678</v>
      </c>
      <c r="C12" s="8" t="s">
        <v>215</v>
      </c>
      <c r="D12" s="14" t="s">
        <v>1679</v>
      </c>
      <c r="E12" s="8" t="s">
        <v>2558</v>
      </c>
      <c r="F12" s="27" t="s">
        <v>2563</v>
      </c>
    </row>
    <row r="13">
      <c r="A13" s="9" t="s">
        <v>835</v>
      </c>
      <c r="B13" s="9" t="s">
        <v>628</v>
      </c>
      <c r="C13" s="8" t="s">
        <v>46</v>
      </c>
      <c r="D13" s="14" t="s">
        <v>1679</v>
      </c>
      <c r="E13" s="8" t="s">
        <v>2566</v>
      </c>
      <c r="F13" s="27" t="s">
        <v>2569</v>
      </c>
    </row>
    <row r="14">
      <c r="A14" s="9" t="s">
        <v>835</v>
      </c>
      <c r="B14" s="9" t="s">
        <v>836</v>
      </c>
      <c r="C14" s="8" t="s">
        <v>186</v>
      </c>
      <c r="D14" s="14" t="s">
        <v>837</v>
      </c>
      <c r="E14" s="8" t="s">
        <v>2562</v>
      </c>
      <c r="F14" s="27" t="s">
        <v>2570</v>
      </c>
    </row>
    <row r="15">
      <c r="A15" s="9" t="s">
        <v>457</v>
      </c>
      <c r="B15" s="9" t="s">
        <v>458</v>
      </c>
      <c r="C15" s="8" t="s">
        <v>192</v>
      </c>
      <c r="D15" s="14" t="s">
        <v>459</v>
      </c>
      <c r="E15" s="8" t="s">
        <v>2562</v>
      </c>
      <c r="F15" s="27" t="s">
        <v>2571</v>
      </c>
    </row>
    <row r="16">
      <c r="A16" s="9" t="s">
        <v>2297</v>
      </c>
      <c r="B16" s="9" t="s">
        <v>2298</v>
      </c>
      <c r="C16" s="8" t="s">
        <v>80</v>
      </c>
      <c r="D16" s="14" t="s">
        <v>2296</v>
      </c>
      <c r="E16" s="8" t="s">
        <v>2572</v>
      </c>
      <c r="F16" s="27" t="s">
        <v>2573</v>
      </c>
    </row>
    <row r="17">
      <c r="A17" s="9" t="s">
        <v>235</v>
      </c>
      <c r="B17" s="9" t="s">
        <v>236</v>
      </c>
      <c r="C17" s="8" t="s">
        <v>59</v>
      </c>
      <c r="D17" s="14" t="s">
        <v>237</v>
      </c>
      <c r="E17" s="8" t="s">
        <v>2574</v>
      </c>
      <c r="F17" s="27" t="s">
        <v>2571</v>
      </c>
    </row>
    <row r="18">
      <c r="A18" s="9" t="s">
        <v>1681</v>
      </c>
      <c r="B18" s="9" t="s">
        <v>900</v>
      </c>
      <c r="C18" s="8" t="s">
        <v>65</v>
      </c>
      <c r="D18" s="14" t="s">
        <v>1679</v>
      </c>
      <c r="E18" s="8" t="s">
        <v>2575</v>
      </c>
      <c r="F18" s="27" t="s">
        <v>2576</v>
      </c>
    </row>
    <row r="19">
      <c r="A19" s="9" t="s">
        <v>2457</v>
      </c>
      <c r="B19" s="9" t="s">
        <v>2458</v>
      </c>
      <c r="C19" s="8" t="s">
        <v>59</v>
      </c>
      <c r="D19" s="14" t="s">
        <v>2459</v>
      </c>
      <c r="E19" s="8" t="s">
        <v>2577</v>
      </c>
      <c r="F19" s="27" t="s">
        <v>2576</v>
      </c>
    </row>
    <row r="20">
      <c r="A20" s="9" t="s">
        <v>2299</v>
      </c>
      <c r="B20" s="9" t="s">
        <v>194</v>
      </c>
      <c r="C20" s="8" t="s">
        <v>215</v>
      </c>
      <c r="D20" s="14" t="s">
        <v>2296</v>
      </c>
      <c r="E20" s="8" t="s">
        <v>2572</v>
      </c>
      <c r="F20" s="27" t="s">
        <v>2555</v>
      </c>
    </row>
    <row r="21">
      <c r="A21" s="9" t="s">
        <v>1073</v>
      </c>
      <c r="B21" s="9" t="s">
        <v>220</v>
      </c>
      <c r="C21" s="8" t="s">
        <v>65</v>
      </c>
      <c r="D21" s="14" t="s">
        <v>1070</v>
      </c>
      <c r="E21" s="8" t="s">
        <v>2564</v>
      </c>
      <c r="F21" s="27" t="s">
        <v>2578</v>
      </c>
    </row>
    <row r="22">
      <c r="A22" s="9" t="s">
        <v>1682</v>
      </c>
      <c r="B22" s="9" t="s">
        <v>1402</v>
      </c>
      <c r="C22" s="8" t="s">
        <v>93</v>
      </c>
      <c r="D22" s="14" t="s">
        <v>1679</v>
      </c>
      <c r="E22" s="8" t="s">
        <v>2554</v>
      </c>
      <c r="F22" s="27" t="s">
        <v>2579</v>
      </c>
    </row>
    <row r="23">
      <c r="A23" s="9" t="s">
        <v>1350</v>
      </c>
      <c r="B23" s="9" t="s">
        <v>1351</v>
      </c>
      <c r="C23" s="8" t="s">
        <v>65</v>
      </c>
      <c r="D23" s="14" t="s">
        <v>1352</v>
      </c>
      <c r="E23" s="8" t="s">
        <v>2564</v>
      </c>
      <c r="F23" s="27" t="s">
        <v>2580</v>
      </c>
    </row>
    <row r="24">
      <c r="A24" s="9" t="s">
        <v>632</v>
      </c>
      <c r="B24" s="9" t="s">
        <v>633</v>
      </c>
      <c r="C24" s="8" t="s">
        <v>80</v>
      </c>
      <c r="D24" s="14" t="s">
        <v>631</v>
      </c>
      <c r="E24" s="8" t="s">
        <v>2581</v>
      </c>
      <c r="F24" s="27" t="s">
        <v>2563</v>
      </c>
    </row>
    <row r="25">
      <c r="A25" s="9" t="s">
        <v>838</v>
      </c>
      <c r="B25" s="9" t="s">
        <v>263</v>
      </c>
      <c r="C25" s="8" t="s">
        <v>24</v>
      </c>
      <c r="D25" s="14" t="s">
        <v>837</v>
      </c>
      <c r="E25" s="8" t="s">
        <v>2562</v>
      </c>
      <c r="F25" s="27" t="s">
        <v>2573</v>
      </c>
    </row>
    <row r="26">
      <c r="A26" s="9" t="s">
        <v>57</v>
      </c>
      <c r="B26" s="9" t="s">
        <v>2301</v>
      </c>
      <c r="C26" s="8" t="s">
        <v>93</v>
      </c>
      <c r="D26" s="14" t="s">
        <v>2296</v>
      </c>
      <c r="E26" s="8" t="s">
        <v>2582</v>
      </c>
      <c r="F26" s="27" t="s">
        <v>2583</v>
      </c>
    </row>
    <row r="27">
      <c r="A27" s="18" t="s">
        <v>57</v>
      </c>
      <c r="B27" s="18" t="s">
        <v>529</v>
      </c>
      <c r="C27" s="8" t="s">
        <v>53</v>
      </c>
      <c r="D27" s="14" t="s">
        <v>837</v>
      </c>
      <c r="E27" s="8" t="s">
        <v>2584</v>
      </c>
      <c r="F27" s="27" t="s">
        <v>2568</v>
      </c>
    </row>
    <row r="28">
      <c r="A28" s="9" t="s">
        <v>57</v>
      </c>
      <c r="B28" s="9" t="s">
        <v>2300</v>
      </c>
      <c r="C28" s="8" t="s">
        <v>93</v>
      </c>
      <c r="D28" s="14" t="s">
        <v>2296</v>
      </c>
      <c r="E28" s="8" t="s">
        <v>2558</v>
      </c>
      <c r="F28" s="27" t="s">
        <v>2578</v>
      </c>
    </row>
    <row r="29">
      <c r="A29" s="9" t="s">
        <v>57</v>
      </c>
      <c r="B29" s="9" t="s">
        <v>1354</v>
      </c>
      <c r="C29" s="8" t="s">
        <v>186</v>
      </c>
      <c r="D29" s="14" t="s">
        <v>1352</v>
      </c>
      <c r="E29" s="8" t="s">
        <v>2585</v>
      </c>
      <c r="F29" s="27" t="s">
        <v>2586</v>
      </c>
    </row>
    <row r="30">
      <c r="A30" s="9" t="s">
        <v>57</v>
      </c>
      <c r="B30" s="9" t="s">
        <v>58</v>
      </c>
      <c r="C30" s="8" t="s">
        <v>59</v>
      </c>
      <c r="D30" s="14" t="s">
        <v>60</v>
      </c>
      <c r="E30" s="8" t="s">
        <v>2587</v>
      </c>
      <c r="F30" s="27" t="s">
        <v>2588</v>
      </c>
    </row>
    <row r="31">
      <c r="A31" s="9" t="s">
        <v>57</v>
      </c>
      <c r="B31" s="9" t="s">
        <v>1353</v>
      </c>
      <c r="C31" s="8" t="s">
        <v>93</v>
      </c>
      <c r="D31" s="14" t="s">
        <v>1352</v>
      </c>
      <c r="E31" s="8" t="s">
        <v>2552</v>
      </c>
      <c r="F31" s="27" t="s">
        <v>2553</v>
      </c>
    </row>
    <row r="32">
      <c r="A32" s="9" t="s">
        <v>57</v>
      </c>
      <c r="B32" s="9" t="s">
        <v>634</v>
      </c>
      <c r="C32" s="8" t="s">
        <v>186</v>
      </c>
      <c r="D32" s="14" t="s">
        <v>631</v>
      </c>
      <c r="E32" s="8" t="s">
        <v>2587</v>
      </c>
      <c r="F32" s="27" t="s">
        <v>2563</v>
      </c>
    </row>
    <row r="33">
      <c r="A33" s="9" t="s">
        <v>336</v>
      </c>
      <c r="B33" s="9" t="s">
        <v>337</v>
      </c>
      <c r="C33" s="8" t="s">
        <v>93</v>
      </c>
      <c r="D33" s="14" t="s">
        <v>338</v>
      </c>
      <c r="E33" s="18" t="s">
        <v>2589</v>
      </c>
      <c r="F33" s="27" t="s">
        <v>2590</v>
      </c>
    </row>
    <row r="34">
      <c r="A34" s="9" t="s">
        <v>1355</v>
      </c>
      <c r="B34" s="9" t="s">
        <v>1356</v>
      </c>
      <c r="C34" s="8" t="s">
        <v>24</v>
      </c>
      <c r="D34" s="14" t="s">
        <v>1352</v>
      </c>
      <c r="E34" s="8" t="s">
        <v>2567</v>
      </c>
      <c r="F34" s="27" t="s">
        <v>2591</v>
      </c>
    </row>
    <row r="35">
      <c r="A35" s="9" t="s">
        <v>2034</v>
      </c>
      <c r="B35" s="9" t="s">
        <v>231</v>
      </c>
      <c r="C35" s="8" t="s">
        <v>141</v>
      </c>
      <c r="D35" s="14" t="s">
        <v>2033</v>
      </c>
      <c r="E35" s="8" t="s">
        <v>2183</v>
      </c>
      <c r="F35" s="27" t="s">
        <v>2580</v>
      </c>
    </row>
    <row r="36">
      <c r="A36" s="9" t="s">
        <v>460</v>
      </c>
      <c r="B36" s="9" t="s">
        <v>479</v>
      </c>
      <c r="C36" s="8" t="s">
        <v>215</v>
      </c>
      <c r="D36" s="14" t="s">
        <v>837</v>
      </c>
      <c r="E36" s="8" t="s">
        <v>2592</v>
      </c>
      <c r="F36" s="27" t="s">
        <v>2591</v>
      </c>
    </row>
    <row r="37">
      <c r="A37" s="9" t="s">
        <v>460</v>
      </c>
      <c r="B37" s="9" t="s">
        <v>121</v>
      </c>
      <c r="C37" s="8" t="s">
        <v>16</v>
      </c>
      <c r="D37" s="14" t="s">
        <v>1070</v>
      </c>
      <c r="E37" s="8" t="s">
        <v>2593</v>
      </c>
      <c r="F37" s="27" t="s">
        <v>13</v>
      </c>
    </row>
    <row r="38">
      <c r="A38" s="9" t="s">
        <v>460</v>
      </c>
      <c r="B38" s="9" t="s">
        <v>157</v>
      </c>
      <c r="C38" s="8" t="s">
        <v>93</v>
      </c>
      <c r="D38" s="14" t="s">
        <v>1352</v>
      </c>
      <c r="E38" s="8" t="s">
        <v>2577</v>
      </c>
      <c r="F38" s="27" t="s">
        <v>2555</v>
      </c>
    </row>
    <row r="39">
      <c r="A39" s="9" t="s">
        <v>460</v>
      </c>
      <c r="B39" s="9" t="s">
        <v>157</v>
      </c>
      <c r="C39" s="8" t="s">
        <v>141</v>
      </c>
      <c r="D39" s="14" t="s">
        <v>2033</v>
      </c>
      <c r="E39" s="8" t="s">
        <v>2593</v>
      </c>
      <c r="F39" s="27" t="s">
        <v>2576</v>
      </c>
    </row>
    <row r="40">
      <c r="A40" s="9" t="s">
        <v>460</v>
      </c>
      <c r="B40" s="9" t="s">
        <v>198</v>
      </c>
      <c r="C40" s="8" t="s">
        <v>186</v>
      </c>
      <c r="D40" s="14" t="s">
        <v>1070</v>
      </c>
      <c r="E40" s="8" t="s">
        <v>2581</v>
      </c>
      <c r="F40" s="27" t="s">
        <v>2568</v>
      </c>
    </row>
    <row r="41">
      <c r="A41" s="9" t="s">
        <v>460</v>
      </c>
      <c r="B41" s="9" t="s">
        <v>671</v>
      </c>
      <c r="C41" s="8" t="s">
        <v>186</v>
      </c>
      <c r="D41" s="14" t="s">
        <v>2033</v>
      </c>
      <c r="E41" s="8" t="s">
        <v>2593</v>
      </c>
      <c r="F41" s="27" t="s">
        <v>2594</v>
      </c>
    </row>
    <row r="42">
      <c r="A42" s="9" t="s">
        <v>460</v>
      </c>
      <c r="B42" s="9" t="s">
        <v>273</v>
      </c>
      <c r="C42" s="8" t="s">
        <v>24</v>
      </c>
      <c r="D42" s="14" t="s">
        <v>459</v>
      </c>
      <c r="E42" s="8" t="s">
        <v>2581</v>
      </c>
      <c r="F42" s="27" t="s">
        <v>2571</v>
      </c>
    </row>
    <row r="43">
      <c r="A43" s="9" t="s">
        <v>460</v>
      </c>
      <c r="B43" s="9" t="s">
        <v>635</v>
      </c>
      <c r="C43" s="8" t="s">
        <v>70</v>
      </c>
      <c r="D43" s="14" t="s">
        <v>631</v>
      </c>
      <c r="E43" s="8" t="s">
        <v>2595</v>
      </c>
      <c r="F43" s="27" t="s">
        <v>2591</v>
      </c>
    </row>
    <row r="44">
      <c r="A44" s="9" t="s">
        <v>460</v>
      </c>
      <c r="B44" s="9" t="s">
        <v>842</v>
      </c>
      <c r="C44" s="8" t="s">
        <v>215</v>
      </c>
      <c r="D44" s="14" t="s">
        <v>1679</v>
      </c>
      <c r="E44" s="8" t="s">
        <v>2582</v>
      </c>
      <c r="F44" s="27" t="s">
        <v>2588</v>
      </c>
    </row>
    <row r="45">
      <c r="A45" s="9" t="s">
        <v>460</v>
      </c>
      <c r="B45" s="9" t="s">
        <v>301</v>
      </c>
      <c r="C45" s="8" t="s">
        <v>138</v>
      </c>
      <c r="D45" s="14" t="s">
        <v>2296</v>
      </c>
      <c r="E45" s="8" t="s">
        <v>2584</v>
      </c>
      <c r="F45" s="27" t="s">
        <v>2590</v>
      </c>
    </row>
    <row r="46">
      <c r="A46" s="9" t="s">
        <v>460</v>
      </c>
      <c r="B46" s="9" t="s">
        <v>301</v>
      </c>
      <c r="C46" s="8" t="s">
        <v>16</v>
      </c>
      <c r="D46" s="14" t="s">
        <v>2033</v>
      </c>
      <c r="E46" s="8" t="s">
        <v>2587</v>
      </c>
      <c r="F46" s="27" t="s">
        <v>2553</v>
      </c>
    </row>
    <row r="47">
      <c r="A47" s="9" t="s">
        <v>460</v>
      </c>
      <c r="B47" s="9" t="s">
        <v>839</v>
      </c>
      <c r="C47" s="8" t="s">
        <v>65</v>
      </c>
      <c r="D47" s="14" t="s">
        <v>837</v>
      </c>
      <c r="E47" s="8" t="s">
        <v>2572</v>
      </c>
      <c r="F47" s="27" t="s">
        <v>2596</v>
      </c>
    </row>
    <row r="48">
      <c r="A48" s="9" t="s">
        <v>460</v>
      </c>
      <c r="B48" s="9" t="s">
        <v>214</v>
      </c>
      <c r="C48" s="8" t="s">
        <v>16</v>
      </c>
      <c r="D48" s="14" t="s">
        <v>2033</v>
      </c>
      <c r="E48" s="8" t="s">
        <v>2574</v>
      </c>
      <c r="F48" s="27" t="s">
        <v>2597</v>
      </c>
    </row>
    <row r="49">
      <c r="A49" s="9" t="s">
        <v>460</v>
      </c>
      <c r="B49" s="9" t="s">
        <v>247</v>
      </c>
      <c r="C49" s="8" t="s">
        <v>80</v>
      </c>
      <c r="D49" s="14" t="s">
        <v>2033</v>
      </c>
      <c r="E49" s="8" t="s">
        <v>2577</v>
      </c>
      <c r="F49" s="27" t="s">
        <v>2576</v>
      </c>
    </row>
    <row r="50">
      <c r="A50" s="9" t="s">
        <v>460</v>
      </c>
      <c r="B50" s="9" t="s">
        <v>840</v>
      </c>
      <c r="C50" s="8" t="s">
        <v>80</v>
      </c>
      <c r="D50" s="14" t="s">
        <v>837</v>
      </c>
      <c r="E50" s="8" t="s">
        <v>2598</v>
      </c>
      <c r="F50" s="27" t="s">
        <v>2599</v>
      </c>
    </row>
    <row r="51">
      <c r="A51" s="9" t="s">
        <v>460</v>
      </c>
      <c r="B51" s="9" t="s">
        <v>67</v>
      </c>
      <c r="C51" s="8" t="s">
        <v>38</v>
      </c>
      <c r="D51" s="14" t="s">
        <v>459</v>
      </c>
      <c r="E51" s="8" t="s">
        <v>2600</v>
      </c>
      <c r="F51" s="27" t="s">
        <v>2601</v>
      </c>
    </row>
    <row r="52">
      <c r="A52" s="9" t="s">
        <v>460</v>
      </c>
      <c r="B52" s="9" t="s">
        <v>480</v>
      </c>
      <c r="C52" s="8" t="s">
        <v>215</v>
      </c>
      <c r="D52" s="14" t="s">
        <v>2296</v>
      </c>
      <c r="E52" s="18" t="s">
        <v>2589</v>
      </c>
      <c r="F52" s="27" t="s">
        <v>2557</v>
      </c>
    </row>
    <row r="53">
      <c r="A53" s="9" t="s">
        <v>1357</v>
      </c>
      <c r="B53" s="9" t="s">
        <v>1358</v>
      </c>
      <c r="C53" s="8" t="s">
        <v>65</v>
      </c>
      <c r="D53" s="14" t="s">
        <v>1352</v>
      </c>
      <c r="E53" s="8" t="s">
        <v>2558</v>
      </c>
      <c r="F53" s="27" t="s">
        <v>2553</v>
      </c>
    </row>
    <row r="54">
      <c r="A54" s="9" t="s">
        <v>461</v>
      </c>
      <c r="B54" s="9" t="s">
        <v>462</v>
      </c>
      <c r="C54" s="8" t="s">
        <v>59</v>
      </c>
      <c r="D54" s="14" t="s">
        <v>459</v>
      </c>
      <c r="E54" s="8" t="s">
        <v>2581</v>
      </c>
      <c r="F54" s="27" t="s">
        <v>2602</v>
      </c>
    </row>
    <row r="55">
      <c r="A55" s="9" t="s">
        <v>187</v>
      </c>
      <c r="B55" s="9" t="s">
        <v>188</v>
      </c>
      <c r="C55" s="8" t="s">
        <v>138</v>
      </c>
      <c r="D55" s="14" t="s">
        <v>189</v>
      </c>
      <c r="E55" s="8" t="s">
        <v>2577</v>
      </c>
      <c r="F55" s="27" t="s">
        <v>2565</v>
      </c>
    </row>
    <row r="56">
      <c r="A56" s="9" t="s">
        <v>2302</v>
      </c>
      <c r="B56" s="9" t="s">
        <v>2303</v>
      </c>
      <c r="C56" s="8" t="s">
        <v>80</v>
      </c>
      <c r="D56" s="14" t="s">
        <v>2296</v>
      </c>
      <c r="E56" s="8" t="s">
        <v>2603</v>
      </c>
      <c r="F56" s="27" t="s">
        <v>2568</v>
      </c>
    </row>
    <row r="57">
      <c r="A57" s="9" t="s">
        <v>133</v>
      </c>
      <c r="B57" s="9" t="s">
        <v>134</v>
      </c>
      <c r="C57" s="8" t="s">
        <v>65</v>
      </c>
      <c r="D57" s="14" t="s">
        <v>135</v>
      </c>
      <c r="E57" s="8" t="s">
        <v>2554</v>
      </c>
      <c r="F57" s="27" t="s">
        <v>2599</v>
      </c>
    </row>
    <row r="58">
      <c r="A58" s="9" t="s">
        <v>841</v>
      </c>
      <c r="B58" s="9" t="s">
        <v>506</v>
      </c>
      <c r="C58" s="8" t="s">
        <v>93</v>
      </c>
      <c r="D58" s="14" t="s">
        <v>837</v>
      </c>
      <c r="E58" s="18" t="s">
        <v>2589</v>
      </c>
      <c r="F58" s="27" t="s">
        <v>2573</v>
      </c>
    </row>
    <row r="59">
      <c r="A59" s="9" t="s">
        <v>1359</v>
      </c>
      <c r="B59" s="9" t="s">
        <v>1360</v>
      </c>
      <c r="C59" s="8" t="s">
        <v>75</v>
      </c>
      <c r="D59" s="14" t="s">
        <v>1352</v>
      </c>
      <c r="E59" s="8" t="s">
        <v>2574</v>
      </c>
      <c r="F59" s="27" t="s">
        <v>2570</v>
      </c>
    </row>
    <row r="60">
      <c r="A60" s="9" t="s">
        <v>1074</v>
      </c>
      <c r="B60" s="9" t="s">
        <v>127</v>
      </c>
      <c r="C60" s="8" t="s">
        <v>192</v>
      </c>
      <c r="D60" s="14" t="s">
        <v>1070</v>
      </c>
      <c r="E60" s="8" t="s">
        <v>2558</v>
      </c>
      <c r="F60" s="27" t="s">
        <v>2604</v>
      </c>
    </row>
    <row r="61">
      <c r="A61" s="9" t="s">
        <v>339</v>
      </c>
      <c r="B61" s="9" t="s">
        <v>340</v>
      </c>
      <c r="C61" s="8" t="s">
        <v>93</v>
      </c>
      <c r="D61" s="14" t="s">
        <v>338</v>
      </c>
      <c r="E61" s="8" t="s">
        <v>2605</v>
      </c>
      <c r="F61" s="27" t="s">
        <v>2599</v>
      </c>
    </row>
    <row r="62">
      <c r="A62" s="9" t="s">
        <v>636</v>
      </c>
      <c r="B62" s="9" t="s">
        <v>1068</v>
      </c>
      <c r="C62" s="8" t="s">
        <v>138</v>
      </c>
      <c r="D62" s="14" t="s">
        <v>2033</v>
      </c>
      <c r="E62" s="8" t="s">
        <v>2605</v>
      </c>
      <c r="F62" s="27" t="s">
        <v>2594</v>
      </c>
    </row>
    <row r="63">
      <c r="A63" s="9" t="s">
        <v>636</v>
      </c>
      <c r="B63" s="9" t="s">
        <v>249</v>
      </c>
      <c r="C63" s="8" t="s">
        <v>70</v>
      </c>
      <c r="D63" s="14" t="s">
        <v>2296</v>
      </c>
      <c r="E63" s="8" t="s">
        <v>2592</v>
      </c>
      <c r="F63" s="27" t="s">
        <v>2594</v>
      </c>
    </row>
    <row r="64">
      <c r="A64" s="9" t="s">
        <v>636</v>
      </c>
      <c r="B64" s="9" t="s">
        <v>1915</v>
      </c>
      <c r="C64" s="8" t="s">
        <v>46</v>
      </c>
      <c r="D64" s="14" t="s">
        <v>2296</v>
      </c>
      <c r="E64" s="8" t="s">
        <v>2560</v>
      </c>
      <c r="F64" s="27" t="s">
        <v>2606</v>
      </c>
    </row>
    <row r="65">
      <c r="A65" s="18" t="s">
        <v>636</v>
      </c>
      <c r="B65" s="18" t="s">
        <v>521</v>
      </c>
      <c r="C65" s="8" t="s">
        <v>70</v>
      </c>
      <c r="D65" s="14" t="s">
        <v>631</v>
      </c>
      <c r="E65" s="8" t="s">
        <v>2554</v>
      </c>
      <c r="F65" s="27" t="s">
        <v>2607</v>
      </c>
    </row>
    <row r="66">
      <c r="A66" s="9" t="s">
        <v>636</v>
      </c>
      <c r="B66" s="9" t="s">
        <v>637</v>
      </c>
      <c r="C66" s="8" t="s">
        <v>215</v>
      </c>
      <c r="D66" s="14" t="s">
        <v>631</v>
      </c>
      <c r="E66" s="8" t="s">
        <v>2560</v>
      </c>
      <c r="F66" s="27" t="s">
        <v>2608</v>
      </c>
    </row>
    <row r="67">
      <c r="A67" s="9" t="s">
        <v>636</v>
      </c>
      <c r="B67" s="9" t="s">
        <v>842</v>
      </c>
      <c r="C67" s="8" t="s">
        <v>186</v>
      </c>
      <c r="D67" s="14" t="s">
        <v>837</v>
      </c>
      <c r="E67" s="8" t="s">
        <v>2566</v>
      </c>
      <c r="F67" s="27" t="s">
        <v>2609</v>
      </c>
    </row>
    <row r="68">
      <c r="A68" s="9" t="s">
        <v>636</v>
      </c>
      <c r="B68" s="9" t="s">
        <v>1075</v>
      </c>
      <c r="C68" s="8" t="s">
        <v>65</v>
      </c>
      <c r="D68" s="14" t="s">
        <v>1070</v>
      </c>
      <c r="E68" s="8" t="s">
        <v>2560</v>
      </c>
      <c r="F68" s="27" t="s">
        <v>2588</v>
      </c>
    </row>
    <row r="69">
      <c r="A69" s="9" t="s">
        <v>636</v>
      </c>
      <c r="B69" s="9" t="s">
        <v>383</v>
      </c>
      <c r="C69" s="8" t="s">
        <v>70</v>
      </c>
      <c r="D69" s="14" t="s">
        <v>2296</v>
      </c>
      <c r="E69" s="8" t="s">
        <v>2610</v>
      </c>
      <c r="F69" s="27" t="s">
        <v>2568</v>
      </c>
    </row>
    <row r="70">
      <c r="A70" s="9" t="s">
        <v>636</v>
      </c>
      <c r="B70" s="9" t="s">
        <v>67</v>
      </c>
      <c r="C70" s="8" t="s">
        <v>53</v>
      </c>
      <c r="D70" s="14" t="s">
        <v>1352</v>
      </c>
      <c r="E70" s="8" t="s">
        <v>2582</v>
      </c>
      <c r="F70" s="27" t="s">
        <v>2591</v>
      </c>
    </row>
    <row r="71">
      <c r="A71" s="9" t="s">
        <v>636</v>
      </c>
      <c r="B71" s="9" t="s">
        <v>88</v>
      </c>
      <c r="C71" s="8" t="s">
        <v>24</v>
      </c>
      <c r="D71" s="14" t="s">
        <v>1070</v>
      </c>
      <c r="E71" s="8" t="s">
        <v>2600</v>
      </c>
      <c r="F71" s="27" t="s">
        <v>2557</v>
      </c>
    </row>
    <row r="72">
      <c r="A72" s="9" t="s">
        <v>638</v>
      </c>
      <c r="B72" s="9" t="s">
        <v>506</v>
      </c>
      <c r="C72" s="8" t="s">
        <v>141</v>
      </c>
      <c r="D72" s="14" t="s">
        <v>837</v>
      </c>
      <c r="E72" s="8" t="s">
        <v>2600</v>
      </c>
      <c r="F72" s="27" t="s">
        <v>2611</v>
      </c>
    </row>
    <row r="73">
      <c r="A73" s="9" t="s">
        <v>638</v>
      </c>
      <c r="B73" s="9" t="s">
        <v>301</v>
      </c>
      <c r="C73" s="8" t="s">
        <v>141</v>
      </c>
      <c r="D73" s="14" t="s">
        <v>631</v>
      </c>
      <c r="E73" s="8" t="s">
        <v>2567</v>
      </c>
      <c r="F73" s="27" t="s">
        <v>2612</v>
      </c>
    </row>
    <row r="74">
      <c r="A74" s="9" t="s">
        <v>638</v>
      </c>
      <c r="B74" s="9" t="s">
        <v>471</v>
      </c>
      <c r="C74" s="8" t="s">
        <v>24</v>
      </c>
      <c r="D74" s="14" t="s">
        <v>2033</v>
      </c>
      <c r="E74" s="8" t="s">
        <v>2575</v>
      </c>
      <c r="F74" s="27" t="s">
        <v>2608</v>
      </c>
    </row>
    <row r="75">
      <c r="A75" s="9" t="s">
        <v>1361</v>
      </c>
      <c r="B75" s="9" t="s">
        <v>29</v>
      </c>
      <c r="C75" s="8" t="s">
        <v>122</v>
      </c>
      <c r="D75" s="14" t="s">
        <v>1352</v>
      </c>
      <c r="E75" s="8" t="s">
        <v>2584</v>
      </c>
      <c r="F75" s="27" t="s">
        <v>2555</v>
      </c>
    </row>
    <row r="76">
      <c r="A76" s="9" t="s">
        <v>341</v>
      </c>
      <c r="B76" s="9" t="s">
        <v>342</v>
      </c>
      <c r="C76" s="8" t="s">
        <v>215</v>
      </c>
      <c r="D76" s="14" t="s">
        <v>338</v>
      </c>
      <c r="E76" s="8" t="s">
        <v>2603</v>
      </c>
      <c r="F76" s="27" t="s">
        <v>2607</v>
      </c>
    </row>
    <row r="77">
      <c r="A77" s="9" t="s">
        <v>1683</v>
      </c>
      <c r="B77" s="9" t="s">
        <v>100</v>
      </c>
      <c r="C77" s="8" t="s">
        <v>186</v>
      </c>
      <c r="D77" s="14" t="s">
        <v>1679</v>
      </c>
      <c r="E77" s="8" t="s">
        <v>2595</v>
      </c>
      <c r="F77" s="27" t="s">
        <v>2553</v>
      </c>
    </row>
    <row r="78">
      <c r="A78" s="9" t="s">
        <v>1685</v>
      </c>
      <c r="B78" s="9" t="s">
        <v>713</v>
      </c>
      <c r="C78" s="8" t="s">
        <v>80</v>
      </c>
      <c r="D78" s="14" t="s">
        <v>1679</v>
      </c>
      <c r="E78" s="8" t="s">
        <v>2582</v>
      </c>
      <c r="F78" s="27" t="s">
        <v>2563</v>
      </c>
    </row>
    <row r="79">
      <c r="A79" s="9" t="s">
        <v>1684</v>
      </c>
      <c r="B79" s="9" t="s">
        <v>29</v>
      </c>
      <c r="C79" s="8" t="s">
        <v>93</v>
      </c>
      <c r="D79" s="14" t="s">
        <v>1679</v>
      </c>
      <c r="E79" s="8" t="s">
        <v>2595</v>
      </c>
      <c r="F79" s="27" t="s">
        <v>2571</v>
      </c>
    </row>
    <row r="80">
      <c r="A80" s="18" t="s">
        <v>2304</v>
      </c>
      <c r="B80" s="18" t="s">
        <v>159</v>
      </c>
      <c r="C80" s="8" t="s">
        <v>65</v>
      </c>
      <c r="D80" s="14" t="s">
        <v>2296</v>
      </c>
      <c r="E80" s="8" t="s">
        <v>2564</v>
      </c>
      <c r="F80" s="27" t="s">
        <v>2602</v>
      </c>
    </row>
    <row r="81">
      <c r="A81" s="9" t="s">
        <v>1362</v>
      </c>
      <c r="B81" s="9" t="s">
        <v>100</v>
      </c>
      <c r="C81" s="8" t="s">
        <v>261</v>
      </c>
      <c r="D81" s="14" t="s">
        <v>1352</v>
      </c>
      <c r="E81" s="8" t="s">
        <v>2574</v>
      </c>
      <c r="F81" s="27" t="s">
        <v>2568</v>
      </c>
    </row>
    <row r="82">
      <c r="A82" s="9" t="s">
        <v>639</v>
      </c>
      <c r="B82" s="9" t="s">
        <v>1363</v>
      </c>
      <c r="C82" s="8" t="s">
        <v>122</v>
      </c>
      <c r="D82" s="14" t="s">
        <v>1352</v>
      </c>
      <c r="E82" s="8" t="s">
        <v>2585</v>
      </c>
      <c r="F82" s="27" t="s">
        <v>2586</v>
      </c>
    </row>
    <row r="83">
      <c r="A83" s="9" t="s">
        <v>639</v>
      </c>
      <c r="B83" s="9" t="s">
        <v>2305</v>
      </c>
      <c r="C83" s="8" t="s">
        <v>70</v>
      </c>
      <c r="D83" s="14" t="s">
        <v>2296</v>
      </c>
      <c r="E83" s="8" t="s">
        <v>2584</v>
      </c>
      <c r="F83" s="27" t="s">
        <v>2579</v>
      </c>
    </row>
    <row r="84">
      <c r="A84" s="9" t="s">
        <v>639</v>
      </c>
      <c r="B84" s="9" t="s">
        <v>640</v>
      </c>
      <c r="C84" s="8" t="s">
        <v>46</v>
      </c>
      <c r="D84" s="14" t="s">
        <v>631</v>
      </c>
      <c r="E84" s="8" t="s">
        <v>2595</v>
      </c>
      <c r="F84" s="27" t="s">
        <v>2613</v>
      </c>
    </row>
    <row r="85">
      <c r="A85" s="9" t="s">
        <v>641</v>
      </c>
      <c r="B85" s="9" t="s">
        <v>2035</v>
      </c>
      <c r="C85" s="8" t="s">
        <v>93</v>
      </c>
      <c r="D85" s="14" t="s">
        <v>2033</v>
      </c>
      <c r="E85" s="8" t="s">
        <v>2581</v>
      </c>
      <c r="F85" s="27" t="s">
        <v>2576</v>
      </c>
    </row>
    <row r="86">
      <c r="A86" s="9" t="s">
        <v>641</v>
      </c>
      <c r="B86" s="9" t="s">
        <v>2306</v>
      </c>
      <c r="C86" s="8" t="s">
        <v>138</v>
      </c>
      <c r="D86" s="14" t="s">
        <v>2296</v>
      </c>
      <c r="E86" s="8" t="s">
        <v>2614</v>
      </c>
      <c r="F86" s="27" t="s">
        <v>2573</v>
      </c>
    </row>
    <row r="87">
      <c r="A87" s="9" t="s">
        <v>641</v>
      </c>
      <c r="B87" s="9" t="s">
        <v>642</v>
      </c>
      <c r="C87" s="8" t="s">
        <v>59</v>
      </c>
      <c r="D87" s="14" t="s">
        <v>631</v>
      </c>
      <c r="E87" s="8" t="s">
        <v>2615</v>
      </c>
      <c r="F87" s="27" t="s">
        <v>2579</v>
      </c>
    </row>
    <row r="88">
      <c r="A88" s="9" t="s">
        <v>1686</v>
      </c>
      <c r="B88" s="9" t="s">
        <v>241</v>
      </c>
      <c r="C88" s="8" t="s">
        <v>24</v>
      </c>
      <c r="D88" s="14" t="s">
        <v>1679</v>
      </c>
      <c r="E88" s="8" t="s">
        <v>2595</v>
      </c>
      <c r="F88" s="27" t="s">
        <v>2573</v>
      </c>
    </row>
    <row r="89">
      <c r="A89" s="9" t="s">
        <v>463</v>
      </c>
      <c r="B89" s="9" t="s">
        <v>52</v>
      </c>
      <c r="C89" s="8" t="s">
        <v>70</v>
      </c>
      <c r="D89" s="14" t="s">
        <v>459</v>
      </c>
      <c r="E89" s="8" t="s">
        <v>2574</v>
      </c>
      <c r="F89" s="27" t="s">
        <v>2568</v>
      </c>
    </row>
    <row r="90">
      <c r="A90" s="9" t="s">
        <v>1364</v>
      </c>
      <c r="B90" s="9" t="s">
        <v>1365</v>
      </c>
      <c r="C90" s="8" t="s">
        <v>215</v>
      </c>
      <c r="D90" s="14" t="s">
        <v>1352</v>
      </c>
      <c r="E90" s="8" t="s">
        <v>2552</v>
      </c>
      <c r="F90" s="27" t="s">
        <v>2555</v>
      </c>
    </row>
    <row r="91">
      <c r="A91" s="9" t="s">
        <v>2307</v>
      </c>
      <c r="B91" s="9" t="s">
        <v>546</v>
      </c>
      <c r="C91" s="8" t="s">
        <v>132</v>
      </c>
      <c r="D91" s="14" t="s">
        <v>2296</v>
      </c>
      <c r="E91" s="8" t="s">
        <v>2566</v>
      </c>
      <c r="F91" s="27" t="s">
        <v>2570</v>
      </c>
    </row>
    <row r="92">
      <c r="A92" s="9" t="s">
        <v>1687</v>
      </c>
      <c r="B92" s="9" t="s">
        <v>505</v>
      </c>
      <c r="C92" s="8" t="s">
        <v>65</v>
      </c>
      <c r="D92" s="14" t="s">
        <v>1679</v>
      </c>
      <c r="E92" s="18" t="s">
        <v>2556</v>
      </c>
      <c r="F92" s="27" t="s">
        <v>2557</v>
      </c>
    </row>
    <row r="93">
      <c r="A93" s="9" t="s">
        <v>238</v>
      </c>
      <c r="B93" s="9" t="s">
        <v>239</v>
      </c>
      <c r="C93" s="8" t="s">
        <v>122</v>
      </c>
      <c r="D93" s="14" t="s">
        <v>237</v>
      </c>
      <c r="E93" s="8" t="s">
        <v>2610</v>
      </c>
      <c r="F93" s="27" t="s">
        <v>2616</v>
      </c>
    </row>
    <row r="94">
      <c r="A94" s="9" t="s">
        <v>238</v>
      </c>
      <c r="B94" s="9" t="s">
        <v>23</v>
      </c>
      <c r="C94" s="8" t="s">
        <v>122</v>
      </c>
      <c r="D94" s="14" t="s">
        <v>1070</v>
      </c>
      <c r="E94" s="8" t="s">
        <v>2554</v>
      </c>
      <c r="F94" s="27" t="s">
        <v>2617</v>
      </c>
    </row>
    <row r="95">
      <c r="A95" s="9" t="s">
        <v>1076</v>
      </c>
      <c r="B95" s="9" t="s">
        <v>798</v>
      </c>
      <c r="C95" s="8" t="s">
        <v>59</v>
      </c>
      <c r="D95" s="14" t="s">
        <v>1070</v>
      </c>
      <c r="E95" s="8" t="s">
        <v>2183</v>
      </c>
      <c r="F95" s="27" t="s">
        <v>2591</v>
      </c>
    </row>
    <row r="96">
      <c r="A96" s="9" t="s">
        <v>1077</v>
      </c>
      <c r="B96" s="9" t="s">
        <v>1078</v>
      </c>
      <c r="C96" s="8" t="s">
        <v>24</v>
      </c>
      <c r="D96" s="14" t="s">
        <v>1070</v>
      </c>
      <c r="E96" s="8" t="s">
        <v>2592</v>
      </c>
      <c r="F96" s="27" t="s">
        <v>2579</v>
      </c>
    </row>
    <row r="97">
      <c r="A97" s="9" t="s">
        <v>464</v>
      </c>
      <c r="B97" s="9" t="s">
        <v>2036</v>
      </c>
      <c r="C97" s="8" t="s">
        <v>93</v>
      </c>
      <c r="D97" s="14" t="s">
        <v>2033</v>
      </c>
      <c r="E97" s="8" t="s">
        <v>2560</v>
      </c>
      <c r="F97" s="27" t="s">
        <v>2576</v>
      </c>
    </row>
    <row r="98">
      <c r="A98" s="9" t="s">
        <v>464</v>
      </c>
      <c r="B98" s="9" t="s">
        <v>465</v>
      </c>
      <c r="C98" s="8" t="s">
        <v>65</v>
      </c>
      <c r="D98" s="14" t="s">
        <v>459</v>
      </c>
      <c r="E98" s="8" t="s">
        <v>2614</v>
      </c>
      <c r="F98" s="27" t="s">
        <v>2602</v>
      </c>
    </row>
    <row r="99">
      <c r="A99" s="9" t="s">
        <v>466</v>
      </c>
      <c r="B99" s="9" t="s">
        <v>467</v>
      </c>
      <c r="C99" s="8" t="s">
        <v>122</v>
      </c>
      <c r="D99" s="14" t="s">
        <v>459</v>
      </c>
      <c r="E99" s="8" t="s">
        <v>2567</v>
      </c>
      <c r="F99" s="27" t="s">
        <v>2571</v>
      </c>
    </row>
    <row r="100">
      <c r="A100" s="9" t="s">
        <v>1688</v>
      </c>
      <c r="B100" s="9" t="s">
        <v>212</v>
      </c>
      <c r="C100" s="8" t="s">
        <v>93</v>
      </c>
      <c r="D100" s="14" t="s">
        <v>1679</v>
      </c>
      <c r="E100" s="8" t="s">
        <v>2575</v>
      </c>
      <c r="F100" s="27" t="s">
        <v>2568</v>
      </c>
    </row>
    <row r="101">
      <c r="A101" s="9" t="s">
        <v>1063</v>
      </c>
      <c r="B101" s="9" t="s">
        <v>1689</v>
      </c>
      <c r="C101" s="8" t="s">
        <v>53</v>
      </c>
      <c r="D101" s="14" t="s">
        <v>1679</v>
      </c>
      <c r="E101" s="8" t="s">
        <v>2615</v>
      </c>
      <c r="F101" s="27" t="s">
        <v>2571</v>
      </c>
    </row>
    <row r="102">
      <c r="A102" s="9" t="s">
        <v>1690</v>
      </c>
      <c r="B102" s="9" t="s">
        <v>1691</v>
      </c>
      <c r="C102" s="8" t="s">
        <v>93</v>
      </c>
      <c r="D102" s="14" t="s">
        <v>1679</v>
      </c>
      <c r="E102" s="8" t="s">
        <v>2614</v>
      </c>
      <c r="F102" s="27" t="s">
        <v>2607</v>
      </c>
    </row>
    <row r="103">
      <c r="A103" s="9" t="s">
        <v>468</v>
      </c>
      <c r="B103" s="9" t="s">
        <v>389</v>
      </c>
      <c r="C103" s="8" t="s">
        <v>93</v>
      </c>
      <c r="D103" s="14" t="s">
        <v>459</v>
      </c>
      <c r="E103" s="8" t="s">
        <v>2562</v>
      </c>
      <c r="F103" s="27" t="s">
        <v>2557</v>
      </c>
    </row>
    <row r="104">
      <c r="A104" s="9" t="s">
        <v>1692</v>
      </c>
      <c r="B104" s="9" t="s">
        <v>137</v>
      </c>
      <c r="C104" s="8" t="s">
        <v>12</v>
      </c>
      <c r="D104" s="14" t="s">
        <v>1679</v>
      </c>
      <c r="E104" s="8" t="s">
        <v>2572</v>
      </c>
      <c r="F104" s="27" t="s">
        <v>2573</v>
      </c>
    </row>
    <row r="105">
      <c r="A105" s="9" t="s">
        <v>240</v>
      </c>
      <c r="B105" s="9" t="s">
        <v>241</v>
      </c>
      <c r="C105" s="8" t="s">
        <v>12</v>
      </c>
      <c r="D105" s="14" t="s">
        <v>237</v>
      </c>
      <c r="E105" s="8" t="s">
        <v>2552</v>
      </c>
      <c r="F105" s="27" t="s">
        <v>2602</v>
      </c>
    </row>
    <row r="106">
      <c r="A106" s="9" t="s">
        <v>240</v>
      </c>
      <c r="B106" s="9" t="s">
        <v>299</v>
      </c>
      <c r="C106" s="8" t="s">
        <v>38</v>
      </c>
      <c r="D106" s="14" t="s">
        <v>2296</v>
      </c>
      <c r="E106" s="8" t="s">
        <v>2600</v>
      </c>
      <c r="F106" s="27" t="s">
        <v>2563</v>
      </c>
    </row>
    <row r="107">
      <c r="A107" s="9" t="s">
        <v>240</v>
      </c>
      <c r="B107" s="9" t="s">
        <v>750</v>
      </c>
      <c r="C107" s="8" t="s">
        <v>75</v>
      </c>
      <c r="D107" s="14" t="s">
        <v>2033</v>
      </c>
      <c r="E107" s="8" t="s">
        <v>2592</v>
      </c>
      <c r="F107" s="27" t="s">
        <v>2618</v>
      </c>
    </row>
    <row r="108">
      <c r="A108" s="9" t="s">
        <v>2308</v>
      </c>
      <c r="B108" s="9" t="s">
        <v>1473</v>
      </c>
      <c r="C108" s="8" t="s">
        <v>93</v>
      </c>
      <c r="D108" s="14" t="s">
        <v>2296</v>
      </c>
      <c r="E108" s="8" t="s">
        <v>2562</v>
      </c>
      <c r="F108" s="27" t="s">
        <v>2580</v>
      </c>
    </row>
    <row r="109">
      <c r="A109" s="9" t="s">
        <v>1891</v>
      </c>
      <c r="B109" s="9" t="s">
        <v>2037</v>
      </c>
      <c r="C109" s="8" t="s">
        <v>80</v>
      </c>
      <c r="D109" s="14" t="s">
        <v>2033</v>
      </c>
      <c r="E109" s="18" t="s">
        <v>2589</v>
      </c>
      <c r="F109" s="27" t="s">
        <v>2607</v>
      </c>
    </row>
    <row r="110">
      <c r="A110" s="9" t="s">
        <v>1891</v>
      </c>
      <c r="B110" s="9" t="s">
        <v>943</v>
      </c>
      <c r="C110" s="8" t="s">
        <v>93</v>
      </c>
      <c r="D110" s="14" t="s">
        <v>2296</v>
      </c>
      <c r="E110" s="8" t="s">
        <v>2566</v>
      </c>
      <c r="F110" s="27" t="s">
        <v>2573</v>
      </c>
    </row>
    <row r="111">
      <c r="A111" s="9" t="s">
        <v>1891</v>
      </c>
      <c r="B111" s="9" t="s">
        <v>665</v>
      </c>
      <c r="C111" s="8" t="s">
        <v>53</v>
      </c>
      <c r="D111" s="14" t="s">
        <v>2296</v>
      </c>
      <c r="E111" s="8" t="s">
        <v>2581</v>
      </c>
      <c r="F111" s="27" t="s">
        <v>2571</v>
      </c>
    </row>
    <row r="112">
      <c r="A112" s="9" t="s">
        <v>843</v>
      </c>
      <c r="B112" s="9" t="s">
        <v>506</v>
      </c>
      <c r="C112" s="8" t="s">
        <v>46</v>
      </c>
      <c r="D112" s="14" t="s">
        <v>837</v>
      </c>
      <c r="E112" s="8" t="s">
        <v>2558</v>
      </c>
      <c r="F112" s="27" t="s">
        <v>2619</v>
      </c>
    </row>
    <row r="113">
      <c r="A113" s="9" t="s">
        <v>2038</v>
      </c>
      <c r="B113" s="9" t="s">
        <v>2039</v>
      </c>
      <c r="C113" s="8" t="s">
        <v>70</v>
      </c>
      <c r="D113" s="14" t="s">
        <v>2033</v>
      </c>
      <c r="E113" s="8" t="s">
        <v>2581</v>
      </c>
      <c r="F113" s="27" t="s">
        <v>2591</v>
      </c>
    </row>
    <row r="114">
      <c r="A114" s="9" t="s">
        <v>2040</v>
      </c>
      <c r="B114" s="9" t="s">
        <v>304</v>
      </c>
      <c r="C114" s="8" t="s">
        <v>93</v>
      </c>
      <c r="D114" s="14" t="s">
        <v>2033</v>
      </c>
      <c r="E114" s="8" t="s">
        <v>2566</v>
      </c>
      <c r="F114" s="27" t="s">
        <v>2563</v>
      </c>
    </row>
    <row r="115">
      <c r="A115" s="9" t="s">
        <v>469</v>
      </c>
      <c r="B115" s="9" t="s">
        <v>275</v>
      </c>
      <c r="C115" s="8" t="s">
        <v>80</v>
      </c>
      <c r="D115" s="14" t="s">
        <v>459</v>
      </c>
      <c r="E115" s="8" t="s">
        <v>2595</v>
      </c>
      <c r="F115" s="27" t="s">
        <v>2579</v>
      </c>
    </row>
    <row r="116">
      <c r="A116" s="9" t="s">
        <v>1366</v>
      </c>
      <c r="B116" s="9" t="s">
        <v>480</v>
      </c>
      <c r="C116" s="8" t="s">
        <v>149</v>
      </c>
      <c r="D116" s="14" t="s">
        <v>1352</v>
      </c>
      <c r="E116" s="8" t="s">
        <v>2577</v>
      </c>
      <c r="F116" s="27" t="s">
        <v>2609</v>
      </c>
    </row>
    <row r="117">
      <c r="A117" s="9" t="s">
        <v>2041</v>
      </c>
      <c r="B117" s="9" t="s">
        <v>50</v>
      </c>
      <c r="C117" s="8" t="s">
        <v>138</v>
      </c>
      <c r="D117" s="14" t="s">
        <v>2033</v>
      </c>
      <c r="E117" s="8" t="s">
        <v>2567</v>
      </c>
      <c r="F117" s="27" t="s">
        <v>2557</v>
      </c>
    </row>
    <row r="118">
      <c r="A118" s="9" t="s">
        <v>1367</v>
      </c>
      <c r="B118" s="9" t="s">
        <v>1368</v>
      </c>
      <c r="C118" s="8" t="s">
        <v>70</v>
      </c>
      <c r="D118" s="14" t="s">
        <v>1352</v>
      </c>
      <c r="E118" s="8" t="s">
        <v>2592</v>
      </c>
      <c r="F118" s="27" t="s">
        <v>2590</v>
      </c>
    </row>
    <row r="119">
      <c r="A119" s="9" t="s">
        <v>343</v>
      </c>
      <c r="B119" s="9" t="s">
        <v>31</v>
      </c>
      <c r="C119" s="8" t="s">
        <v>75</v>
      </c>
      <c r="D119" s="14" t="s">
        <v>338</v>
      </c>
      <c r="E119" s="8" t="s">
        <v>2620</v>
      </c>
      <c r="F119" s="27" t="s">
        <v>2618</v>
      </c>
    </row>
    <row r="120">
      <c r="A120" s="9" t="s">
        <v>643</v>
      </c>
      <c r="B120" s="9" t="s">
        <v>33</v>
      </c>
      <c r="C120" s="8" t="s">
        <v>16</v>
      </c>
      <c r="D120" s="14" t="s">
        <v>631</v>
      </c>
      <c r="E120" s="8" t="s">
        <v>2587</v>
      </c>
      <c r="F120" s="27" t="s">
        <v>2583</v>
      </c>
    </row>
    <row r="121">
      <c r="A121" s="9" t="s">
        <v>643</v>
      </c>
      <c r="B121" s="9" t="s">
        <v>2309</v>
      </c>
      <c r="C121" s="8" t="s">
        <v>70</v>
      </c>
      <c r="D121" s="14" t="s">
        <v>2296</v>
      </c>
      <c r="E121" s="8" t="s">
        <v>2566</v>
      </c>
      <c r="F121" s="27" t="s">
        <v>2616</v>
      </c>
    </row>
    <row r="122">
      <c r="A122" s="9" t="s">
        <v>344</v>
      </c>
      <c r="B122" s="9" t="s">
        <v>345</v>
      </c>
      <c r="C122" s="8" t="s">
        <v>70</v>
      </c>
      <c r="D122" s="14" t="s">
        <v>338</v>
      </c>
      <c r="E122" s="8" t="s">
        <v>2598</v>
      </c>
      <c r="F122" s="27" t="s">
        <v>2573</v>
      </c>
    </row>
    <row r="123">
      <c r="A123" s="9" t="s">
        <v>2310</v>
      </c>
      <c r="B123" s="9" t="s">
        <v>100</v>
      </c>
      <c r="C123" s="8" t="s">
        <v>70</v>
      </c>
      <c r="D123" s="14" t="s">
        <v>2296</v>
      </c>
      <c r="E123" s="8" t="s">
        <v>2621</v>
      </c>
      <c r="F123" s="27" t="s">
        <v>2555</v>
      </c>
    </row>
    <row r="124">
      <c r="A124" s="9" t="s">
        <v>2042</v>
      </c>
      <c r="B124" s="9" t="s">
        <v>493</v>
      </c>
      <c r="C124" s="8" t="s">
        <v>138</v>
      </c>
      <c r="D124" s="14" t="s">
        <v>2033</v>
      </c>
      <c r="E124" s="8" t="s">
        <v>2564</v>
      </c>
      <c r="F124" s="27" t="s">
        <v>2571</v>
      </c>
    </row>
    <row r="125">
      <c r="A125" s="9" t="s">
        <v>844</v>
      </c>
      <c r="B125" s="9" t="s">
        <v>212</v>
      </c>
      <c r="C125" s="8" t="s">
        <v>53</v>
      </c>
      <c r="D125" s="14" t="s">
        <v>837</v>
      </c>
      <c r="E125" s="8" t="s">
        <v>2552</v>
      </c>
      <c r="F125" s="27" t="s">
        <v>2588</v>
      </c>
    </row>
    <row r="126">
      <c r="A126" s="9" t="s">
        <v>1079</v>
      </c>
      <c r="B126" s="9" t="s">
        <v>100</v>
      </c>
      <c r="C126" s="8" t="s">
        <v>215</v>
      </c>
      <c r="D126" s="14" t="s">
        <v>1352</v>
      </c>
      <c r="E126" s="18" t="s">
        <v>2556</v>
      </c>
      <c r="F126" s="27" t="s">
        <v>2555</v>
      </c>
    </row>
    <row r="127">
      <c r="A127" s="18" t="s">
        <v>1079</v>
      </c>
      <c r="B127" s="18" t="s">
        <v>1490</v>
      </c>
      <c r="C127" s="8" t="s">
        <v>16</v>
      </c>
      <c r="D127" s="14" t="s">
        <v>1679</v>
      </c>
      <c r="E127" s="8" t="s">
        <v>2595</v>
      </c>
      <c r="F127" s="27" t="s">
        <v>2569</v>
      </c>
    </row>
    <row r="128">
      <c r="A128" s="9" t="s">
        <v>1079</v>
      </c>
      <c r="B128" s="9" t="s">
        <v>1080</v>
      </c>
      <c r="C128" s="8" t="s">
        <v>53</v>
      </c>
      <c r="D128" s="14" t="s">
        <v>1070</v>
      </c>
      <c r="E128" s="8" t="s">
        <v>2592</v>
      </c>
      <c r="F128" s="27" t="s">
        <v>2590</v>
      </c>
    </row>
    <row r="129">
      <c r="A129" s="9" t="s">
        <v>470</v>
      </c>
      <c r="B129" s="9" t="s">
        <v>471</v>
      </c>
      <c r="C129" s="8" t="s">
        <v>186</v>
      </c>
      <c r="D129" s="14" t="s">
        <v>459</v>
      </c>
      <c r="E129" s="8" t="s">
        <v>2577</v>
      </c>
      <c r="F129" s="27" t="s">
        <v>2565</v>
      </c>
    </row>
    <row r="130">
      <c r="A130" s="9" t="s">
        <v>2043</v>
      </c>
      <c r="B130" s="9" t="s">
        <v>100</v>
      </c>
      <c r="C130" s="8" t="s">
        <v>75</v>
      </c>
      <c r="D130" s="14" t="s">
        <v>2033</v>
      </c>
      <c r="E130" s="8" t="s">
        <v>2605</v>
      </c>
      <c r="F130" s="27" t="s">
        <v>2612</v>
      </c>
    </row>
    <row r="131">
      <c r="A131" s="9" t="s">
        <v>1693</v>
      </c>
      <c r="B131" s="9" t="s">
        <v>362</v>
      </c>
      <c r="C131" s="8" t="s">
        <v>53</v>
      </c>
      <c r="D131" s="14" t="s">
        <v>2296</v>
      </c>
      <c r="E131" s="8" t="s">
        <v>2603</v>
      </c>
      <c r="F131" s="27" t="s">
        <v>2622</v>
      </c>
    </row>
    <row r="132">
      <c r="A132" s="9" t="s">
        <v>1693</v>
      </c>
      <c r="B132" s="9" t="s">
        <v>208</v>
      </c>
      <c r="C132" s="8" t="s">
        <v>46</v>
      </c>
      <c r="D132" s="14" t="s">
        <v>1679</v>
      </c>
      <c r="E132" s="8" t="s">
        <v>2567</v>
      </c>
      <c r="F132" s="27" t="s">
        <v>2617</v>
      </c>
    </row>
    <row r="133">
      <c r="A133" s="9" t="s">
        <v>1369</v>
      </c>
      <c r="B133" s="9" t="s">
        <v>1370</v>
      </c>
      <c r="C133" s="8" t="s">
        <v>53</v>
      </c>
      <c r="D133" s="14" t="s">
        <v>1352</v>
      </c>
      <c r="E133" s="8" t="s">
        <v>2560</v>
      </c>
      <c r="F133" s="27" t="s">
        <v>2557</v>
      </c>
    </row>
    <row r="134">
      <c r="A134" s="9" t="s">
        <v>644</v>
      </c>
      <c r="B134" s="9" t="s">
        <v>645</v>
      </c>
      <c r="C134" s="8" t="s">
        <v>186</v>
      </c>
      <c r="D134" s="14" t="s">
        <v>631</v>
      </c>
      <c r="E134" s="8" t="s">
        <v>2621</v>
      </c>
      <c r="F134" s="27" t="s">
        <v>2555</v>
      </c>
    </row>
    <row r="135">
      <c r="A135" s="9" t="s">
        <v>644</v>
      </c>
      <c r="B135" s="9" t="s">
        <v>2311</v>
      </c>
      <c r="C135" s="8" t="s">
        <v>80</v>
      </c>
      <c r="D135" s="14" t="s">
        <v>2296</v>
      </c>
      <c r="E135" s="8" t="s">
        <v>2610</v>
      </c>
      <c r="F135" s="27" t="s">
        <v>2599</v>
      </c>
    </row>
    <row r="136">
      <c r="A136" s="9" t="s">
        <v>2044</v>
      </c>
      <c r="B136" s="9" t="s">
        <v>52</v>
      </c>
      <c r="C136" s="8" t="s">
        <v>65</v>
      </c>
      <c r="D136" s="14" t="s">
        <v>2033</v>
      </c>
      <c r="E136" s="8" t="s">
        <v>2621</v>
      </c>
      <c r="F136" s="27" t="s">
        <v>2563</v>
      </c>
    </row>
    <row r="137">
      <c r="A137" s="18" t="s">
        <v>1081</v>
      </c>
      <c r="B137" s="18" t="s">
        <v>1082</v>
      </c>
      <c r="C137" s="8" t="s">
        <v>93</v>
      </c>
      <c r="D137" s="14" t="s">
        <v>1070</v>
      </c>
      <c r="E137" s="8" t="s">
        <v>2620</v>
      </c>
      <c r="F137" s="27" t="s">
        <v>2609</v>
      </c>
    </row>
    <row r="138">
      <c r="A138" s="9" t="s">
        <v>2045</v>
      </c>
      <c r="B138" s="9" t="s">
        <v>231</v>
      </c>
      <c r="C138" s="8" t="s">
        <v>261</v>
      </c>
      <c r="D138" s="14" t="s">
        <v>2033</v>
      </c>
      <c r="E138" s="8" t="s">
        <v>2554</v>
      </c>
      <c r="F138" s="27" t="s">
        <v>2568</v>
      </c>
    </row>
    <row r="139">
      <c r="A139" s="9" t="s">
        <v>1371</v>
      </c>
      <c r="B139" s="9" t="s">
        <v>177</v>
      </c>
      <c r="C139" s="8" t="s">
        <v>24</v>
      </c>
      <c r="D139" s="14" t="s">
        <v>1352</v>
      </c>
      <c r="E139" s="8" t="s">
        <v>2558</v>
      </c>
      <c r="F139" s="27" t="s">
        <v>2579</v>
      </c>
    </row>
    <row r="140">
      <c r="A140" s="9" t="s">
        <v>346</v>
      </c>
      <c r="B140" s="9" t="s">
        <v>347</v>
      </c>
      <c r="C140" s="8" t="s">
        <v>46</v>
      </c>
      <c r="D140" s="14" t="s">
        <v>338</v>
      </c>
      <c r="E140" s="8" t="s">
        <v>2560</v>
      </c>
      <c r="F140" s="27" t="s">
        <v>2553</v>
      </c>
    </row>
    <row r="141">
      <c r="A141" s="9" t="s">
        <v>2046</v>
      </c>
      <c r="B141" s="9" t="s">
        <v>41</v>
      </c>
      <c r="C141" s="8" t="s">
        <v>93</v>
      </c>
      <c r="D141" s="14" t="s">
        <v>2033</v>
      </c>
      <c r="E141" s="8" t="s">
        <v>2566</v>
      </c>
      <c r="F141" s="27" t="s">
        <v>2563</v>
      </c>
    </row>
    <row r="142">
      <c r="A142" s="9" t="s">
        <v>348</v>
      </c>
      <c r="B142" s="9" t="s">
        <v>349</v>
      </c>
      <c r="C142" s="8" t="s">
        <v>65</v>
      </c>
      <c r="D142" s="14" t="s">
        <v>338</v>
      </c>
      <c r="E142" s="8" t="s">
        <v>2587</v>
      </c>
      <c r="F142" s="27" t="s">
        <v>2578</v>
      </c>
    </row>
    <row r="143">
      <c r="A143" s="9" t="s">
        <v>348</v>
      </c>
      <c r="B143" s="9" t="s">
        <v>845</v>
      </c>
      <c r="C143" s="8" t="s">
        <v>138</v>
      </c>
      <c r="D143" s="14" t="s">
        <v>837</v>
      </c>
      <c r="E143" s="8" t="s">
        <v>2598</v>
      </c>
      <c r="F143" s="27" t="s">
        <v>2601</v>
      </c>
    </row>
    <row r="144">
      <c r="A144" s="18" t="s">
        <v>1372</v>
      </c>
      <c r="B144" s="18" t="s">
        <v>521</v>
      </c>
      <c r="C144" s="8" t="s">
        <v>16</v>
      </c>
      <c r="D144" s="14" t="s">
        <v>1352</v>
      </c>
      <c r="E144" s="8" t="s">
        <v>2585</v>
      </c>
      <c r="F144" s="27" t="s">
        <v>2570</v>
      </c>
    </row>
    <row r="145">
      <c r="A145" s="9" t="s">
        <v>1373</v>
      </c>
      <c r="B145" s="9" t="s">
        <v>1317</v>
      </c>
      <c r="C145" s="8" t="s">
        <v>149</v>
      </c>
      <c r="D145" s="14" t="s">
        <v>1352</v>
      </c>
      <c r="E145" s="8" t="s">
        <v>2585</v>
      </c>
      <c r="F145" s="27" t="s">
        <v>2606</v>
      </c>
    </row>
    <row r="146">
      <c r="A146" s="9" t="s">
        <v>1083</v>
      </c>
      <c r="B146" s="9" t="s">
        <v>1084</v>
      </c>
      <c r="C146" s="8" t="s">
        <v>65</v>
      </c>
      <c r="D146" s="14" t="s">
        <v>1070</v>
      </c>
      <c r="E146" s="8" t="s">
        <v>2615</v>
      </c>
      <c r="F146" s="27" t="s">
        <v>2623</v>
      </c>
    </row>
    <row r="147">
      <c r="A147" s="9" t="s">
        <v>2312</v>
      </c>
      <c r="B147" s="9" t="s">
        <v>2313</v>
      </c>
      <c r="C147" s="8" t="s">
        <v>138</v>
      </c>
      <c r="D147" s="14" t="s">
        <v>2296</v>
      </c>
      <c r="E147" s="8" t="s">
        <v>2592</v>
      </c>
      <c r="F147" s="27" t="s">
        <v>2609</v>
      </c>
    </row>
    <row r="148">
      <c r="A148" s="9" t="s">
        <v>1695</v>
      </c>
      <c r="B148" s="9" t="s">
        <v>1696</v>
      </c>
      <c r="C148" s="8" t="s">
        <v>186</v>
      </c>
      <c r="D148" s="14" t="s">
        <v>1679</v>
      </c>
      <c r="E148" s="8" t="s">
        <v>2592</v>
      </c>
      <c r="F148" s="27" t="s">
        <v>2573</v>
      </c>
    </row>
    <row r="149">
      <c r="A149" s="9" t="s">
        <v>1374</v>
      </c>
      <c r="B149" s="9" t="s">
        <v>117</v>
      </c>
      <c r="C149" s="8" t="s">
        <v>65</v>
      </c>
      <c r="D149" s="14" t="s">
        <v>1352</v>
      </c>
      <c r="E149" s="8" t="s">
        <v>2552</v>
      </c>
      <c r="F149" s="27" t="s">
        <v>2583</v>
      </c>
    </row>
    <row r="150">
      <c r="A150" s="9" t="s">
        <v>646</v>
      </c>
      <c r="B150" s="9" t="s">
        <v>647</v>
      </c>
      <c r="C150" s="8" t="s">
        <v>24</v>
      </c>
      <c r="D150" s="14" t="s">
        <v>631</v>
      </c>
      <c r="E150" s="8" t="s">
        <v>2183</v>
      </c>
      <c r="F150" s="27" t="s">
        <v>2583</v>
      </c>
    </row>
    <row r="151">
      <c r="A151" s="18" t="s">
        <v>646</v>
      </c>
      <c r="B151" s="18" t="s">
        <v>846</v>
      </c>
      <c r="C151" s="8" t="s">
        <v>70</v>
      </c>
      <c r="D151" s="14" t="s">
        <v>837</v>
      </c>
      <c r="E151" s="8" t="s">
        <v>2560</v>
      </c>
      <c r="F151" s="27" t="s">
        <v>2559</v>
      </c>
    </row>
    <row r="152">
      <c r="A152" s="9" t="s">
        <v>646</v>
      </c>
      <c r="B152" s="9" t="s">
        <v>804</v>
      </c>
      <c r="C152" s="8" t="s">
        <v>215</v>
      </c>
      <c r="D152" s="14" t="s">
        <v>2033</v>
      </c>
      <c r="E152" s="18" t="s">
        <v>2556</v>
      </c>
      <c r="F152" s="27" t="s">
        <v>2594</v>
      </c>
    </row>
    <row r="153">
      <c r="A153" s="9" t="s">
        <v>646</v>
      </c>
      <c r="B153" s="9" t="s">
        <v>1694</v>
      </c>
      <c r="C153" s="8" t="s">
        <v>192</v>
      </c>
      <c r="D153" s="14" t="s">
        <v>1679</v>
      </c>
      <c r="E153" s="8" t="s">
        <v>2595</v>
      </c>
      <c r="F153" s="27" t="s">
        <v>2571</v>
      </c>
    </row>
    <row r="154">
      <c r="A154" s="9" t="s">
        <v>350</v>
      </c>
      <c r="B154" s="9" t="s">
        <v>1697</v>
      </c>
      <c r="C154" s="8" t="s">
        <v>53</v>
      </c>
      <c r="D154" s="14" t="s">
        <v>1679</v>
      </c>
      <c r="E154" s="8" t="s">
        <v>2562</v>
      </c>
      <c r="F154" s="27" t="s">
        <v>2570</v>
      </c>
    </row>
    <row r="155">
      <c r="A155" s="9" t="s">
        <v>350</v>
      </c>
      <c r="B155" s="9" t="s">
        <v>301</v>
      </c>
      <c r="C155" s="8" t="s">
        <v>65</v>
      </c>
      <c r="D155" s="14" t="s">
        <v>338</v>
      </c>
      <c r="E155" s="8" t="s">
        <v>2560</v>
      </c>
      <c r="F155" s="27" t="s">
        <v>2565</v>
      </c>
    </row>
    <row r="156">
      <c r="A156" s="9" t="s">
        <v>1375</v>
      </c>
      <c r="B156" s="9" t="s">
        <v>1376</v>
      </c>
      <c r="C156" s="8" t="s">
        <v>149</v>
      </c>
      <c r="D156" s="14" t="s">
        <v>1352</v>
      </c>
      <c r="E156" s="8" t="s">
        <v>2592</v>
      </c>
      <c r="F156" s="27" t="s">
        <v>2594</v>
      </c>
    </row>
    <row r="157">
      <c r="A157" s="9" t="s">
        <v>35</v>
      </c>
      <c r="B157" s="9" t="s">
        <v>472</v>
      </c>
      <c r="C157" s="8" t="s">
        <v>65</v>
      </c>
      <c r="D157" s="14" t="s">
        <v>459</v>
      </c>
      <c r="E157" s="8" t="s">
        <v>2572</v>
      </c>
      <c r="F157" s="27" t="s">
        <v>2608</v>
      </c>
    </row>
    <row r="158">
      <c r="A158" s="9" t="s">
        <v>1698</v>
      </c>
      <c r="B158" s="9" t="s">
        <v>1699</v>
      </c>
      <c r="C158" s="8" t="s">
        <v>16</v>
      </c>
      <c r="D158" s="14" t="s">
        <v>1679</v>
      </c>
      <c r="E158" s="8" t="s">
        <v>2598</v>
      </c>
      <c r="F158" s="27" t="s">
        <v>2624</v>
      </c>
    </row>
    <row r="159">
      <c r="A159" s="9" t="s">
        <v>136</v>
      </c>
      <c r="B159" s="9" t="s">
        <v>137</v>
      </c>
      <c r="C159" s="8" t="s">
        <v>138</v>
      </c>
      <c r="D159" s="14" t="s">
        <v>135</v>
      </c>
      <c r="E159" s="8" t="s">
        <v>2600</v>
      </c>
      <c r="F159" s="27" t="s">
        <v>2625</v>
      </c>
    </row>
    <row r="160">
      <c r="A160" s="9" t="s">
        <v>136</v>
      </c>
      <c r="B160" s="9" t="s">
        <v>137</v>
      </c>
      <c r="C160" s="8" t="s">
        <v>122</v>
      </c>
      <c r="D160" s="14" t="s">
        <v>1070</v>
      </c>
      <c r="E160" s="8" t="s">
        <v>2598</v>
      </c>
      <c r="F160" s="27" t="s">
        <v>2583</v>
      </c>
    </row>
    <row r="161">
      <c r="A161" s="18" t="s">
        <v>2047</v>
      </c>
      <c r="B161" s="18" t="s">
        <v>2048</v>
      </c>
      <c r="C161" s="8" t="s">
        <v>186</v>
      </c>
      <c r="D161" s="14" t="s">
        <v>2033</v>
      </c>
      <c r="E161" s="8" t="s">
        <v>2600</v>
      </c>
      <c r="F161" s="27" t="s">
        <v>2553</v>
      </c>
    </row>
    <row r="162">
      <c r="A162" s="9" t="s">
        <v>2049</v>
      </c>
      <c r="B162" s="9" t="s">
        <v>479</v>
      </c>
      <c r="C162" s="8" t="s">
        <v>132</v>
      </c>
      <c r="D162" s="14" t="s">
        <v>2033</v>
      </c>
      <c r="E162" s="8" t="s">
        <v>2554</v>
      </c>
      <c r="F162" s="27" t="s">
        <v>2609</v>
      </c>
    </row>
    <row r="163">
      <c r="A163" s="9" t="s">
        <v>139</v>
      </c>
      <c r="B163" s="9" t="s">
        <v>140</v>
      </c>
      <c r="C163" s="8" t="s">
        <v>141</v>
      </c>
      <c r="D163" s="14" t="s">
        <v>135</v>
      </c>
      <c r="E163" s="8" t="s">
        <v>2582</v>
      </c>
      <c r="F163" s="27" t="s">
        <v>2609</v>
      </c>
    </row>
    <row r="164">
      <c r="A164" s="9" t="s">
        <v>847</v>
      </c>
      <c r="B164" s="9" t="s">
        <v>848</v>
      </c>
      <c r="C164" s="8" t="s">
        <v>70</v>
      </c>
      <c r="D164" s="14" t="s">
        <v>837</v>
      </c>
      <c r="E164" s="8" t="s">
        <v>2610</v>
      </c>
      <c r="F164" s="27" t="s">
        <v>2608</v>
      </c>
    </row>
    <row r="165">
      <c r="A165" s="9" t="s">
        <v>2050</v>
      </c>
      <c r="B165" s="9" t="s">
        <v>1262</v>
      </c>
      <c r="C165" s="8" t="s">
        <v>65</v>
      </c>
      <c r="D165" s="14" t="s">
        <v>2033</v>
      </c>
      <c r="E165" s="8" t="s">
        <v>2600</v>
      </c>
      <c r="F165" s="27" t="s">
        <v>2557</v>
      </c>
    </row>
    <row r="166">
      <c r="A166" s="9" t="s">
        <v>648</v>
      </c>
      <c r="B166" s="9" t="s">
        <v>263</v>
      </c>
      <c r="C166" s="8" t="s">
        <v>38</v>
      </c>
      <c r="D166" s="14" t="s">
        <v>631</v>
      </c>
      <c r="E166" s="8" t="s">
        <v>2577</v>
      </c>
      <c r="F166" s="27" t="s">
        <v>2601</v>
      </c>
    </row>
    <row r="167">
      <c r="A167" s="9" t="s">
        <v>81</v>
      </c>
      <c r="B167" s="9" t="s">
        <v>82</v>
      </c>
      <c r="C167" s="8" t="s">
        <v>80</v>
      </c>
      <c r="D167" s="14" t="s">
        <v>83</v>
      </c>
      <c r="E167" s="8" t="s">
        <v>2566</v>
      </c>
      <c r="F167" s="27" t="s">
        <v>2590</v>
      </c>
    </row>
    <row r="168">
      <c r="A168" s="9" t="s">
        <v>473</v>
      </c>
      <c r="B168" s="9" t="s">
        <v>381</v>
      </c>
      <c r="C168" s="8" t="s">
        <v>93</v>
      </c>
      <c r="D168" s="14" t="s">
        <v>459</v>
      </c>
      <c r="E168" s="8" t="s">
        <v>2575</v>
      </c>
      <c r="F168" s="27" t="s">
        <v>2568</v>
      </c>
    </row>
    <row r="169">
      <c r="A169" s="9" t="s">
        <v>1085</v>
      </c>
      <c r="B169" s="9" t="s">
        <v>1086</v>
      </c>
      <c r="C169" s="8" t="s">
        <v>70</v>
      </c>
      <c r="D169" s="14" t="s">
        <v>1070</v>
      </c>
      <c r="E169" s="8" t="s">
        <v>2558</v>
      </c>
      <c r="F169" s="27" t="s">
        <v>2563</v>
      </c>
    </row>
    <row r="170">
      <c r="A170" s="9" t="s">
        <v>1087</v>
      </c>
      <c r="B170" s="9" t="s">
        <v>619</v>
      </c>
      <c r="C170" s="8" t="s">
        <v>53</v>
      </c>
      <c r="D170" s="14" t="s">
        <v>1070</v>
      </c>
      <c r="E170" s="8" t="s">
        <v>2595</v>
      </c>
      <c r="F170" s="27" t="s">
        <v>2622</v>
      </c>
    </row>
    <row r="171">
      <c r="A171" s="9" t="s">
        <v>1700</v>
      </c>
      <c r="B171" s="9" t="s">
        <v>1701</v>
      </c>
      <c r="C171" s="8" t="s">
        <v>186</v>
      </c>
      <c r="D171" s="14" t="s">
        <v>1679</v>
      </c>
      <c r="E171" s="8" t="s">
        <v>2620</v>
      </c>
      <c r="F171" s="27" t="s">
        <v>2580</v>
      </c>
    </row>
    <row r="172">
      <c r="A172" s="9" t="s">
        <v>1702</v>
      </c>
      <c r="B172" s="9" t="s">
        <v>55</v>
      </c>
      <c r="C172" s="8" t="s">
        <v>122</v>
      </c>
      <c r="D172" s="14" t="s">
        <v>1679</v>
      </c>
      <c r="E172" s="8" t="s">
        <v>2610</v>
      </c>
      <c r="F172" s="27" t="s">
        <v>2565</v>
      </c>
    </row>
    <row r="173">
      <c r="A173" s="9" t="s">
        <v>849</v>
      </c>
      <c r="B173" s="9" t="s">
        <v>850</v>
      </c>
      <c r="C173" s="8" t="s">
        <v>75</v>
      </c>
      <c r="D173" s="14" t="s">
        <v>837</v>
      </c>
      <c r="E173" s="8" t="s">
        <v>2615</v>
      </c>
      <c r="F173" s="27" t="s">
        <v>2604</v>
      </c>
    </row>
    <row r="174">
      <c r="A174" s="9" t="s">
        <v>2051</v>
      </c>
      <c r="B174" s="9" t="s">
        <v>2052</v>
      </c>
      <c r="C174" s="8" t="s">
        <v>65</v>
      </c>
      <c r="D174" s="14" t="s">
        <v>2033</v>
      </c>
      <c r="E174" s="18" t="s">
        <v>2556</v>
      </c>
      <c r="F174" s="27" t="s">
        <v>2555</v>
      </c>
    </row>
    <row r="175">
      <c r="A175" s="9" t="s">
        <v>1088</v>
      </c>
      <c r="B175" s="9" t="s">
        <v>1089</v>
      </c>
      <c r="C175" s="8" t="s">
        <v>215</v>
      </c>
      <c r="D175" s="14" t="s">
        <v>1070</v>
      </c>
      <c r="E175" s="8" t="s">
        <v>2562</v>
      </c>
      <c r="F175" s="27" t="s">
        <v>2622</v>
      </c>
    </row>
    <row r="176">
      <c r="A176" s="9" t="s">
        <v>1090</v>
      </c>
      <c r="B176" s="9" t="s">
        <v>699</v>
      </c>
      <c r="C176" s="8" t="s">
        <v>192</v>
      </c>
      <c r="D176" s="14" t="s">
        <v>2296</v>
      </c>
      <c r="E176" s="8" t="s">
        <v>2603</v>
      </c>
      <c r="F176" s="27" t="s">
        <v>2568</v>
      </c>
    </row>
    <row r="177">
      <c r="A177" s="9" t="s">
        <v>1090</v>
      </c>
      <c r="B177" s="9" t="s">
        <v>1091</v>
      </c>
      <c r="C177" s="8" t="s">
        <v>215</v>
      </c>
      <c r="D177" s="14" t="s">
        <v>1070</v>
      </c>
      <c r="E177" s="8" t="s">
        <v>2585</v>
      </c>
      <c r="F177" s="27" t="s">
        <v>2602</v>
      </c>
    </row>
    <row r="178">
      <c r="A178" s="9" t="s">
        <v>2053</v>
      </c>
      <c r="B178" s="9" t="s">
        <v>2054</v>
      </c>
      <c r="C178" s="8" t="s">
        <v>80</v>
      </c>
      <c r="D178" s="14" t="s">
        <v>2033</v>
      </c>
      <c r="E178" s="8" t="s">
        <v>2574</v>
      </c>
      <c r="F178" s="27" t="s">
        <v>2612</v>
      </c>
    </row>
    <row r="179">
      <c r="A179" s="9" t="s">
        <v>2055</v>
      </c>
      <c r="B179" s="9" t="s">
        <v>961</v>
      </c>
      <c r="C179" s="8" t="s">
        <v>24</v>
      </c>
      <c r="D179" s="14" t="s">
        <v>2033</v>
      </c>
      <c r="E179" s="8" t="s">
        <v>2593</v>
      </c>
      <c r="F179" s="27" t="s">
        <v>2576</v>
      </c>
    </row>
    <row r="180">
      <c r="A180" s="9" t="s">
        <v>1703</v>
      </c>
      <c r="B180" s="9" t="s">
        <v>506</v>
      </c>
      <c r="C180" s="8" t="s">
        <v>16</v>
      </c>
      <c r="D180" s="14" t="s">
        <v>1679</v>
      </c>
      <c r="E180" s="8" t="s">
        <v>2615</v>
      </c>
      <c r="F180" s="27" t="s">
        <v>2626</v>
      </c>
    </row>
    <row r="181">
      <c r="A181" s="9" t="s">
        <v>649</v>
      </c>
      <c r="B181" s="9" t="s">
        <v>650</v>
      </c>
      <c r="C181" s="8" t="s">
        <v>70</v>
      </c>
      <c r="D181" s="14" t="s">
        <v>631</v>
      </c>
      <c r="E181" s="8" t="s">
        <v>2584</v>
      </c>
      <c r="F181" s="27" t="s">
        <v>2602</v>
      </c>
    </row>
    <row r="182">
      <c r="A182" s="9" t="s">
        <v>851</v>
      </c>
      <c r="B182" s="9" t="s">
        <v>464</v>
      </c>
      <c r="C182" s="8" t="s">
        <v>132</v>
      </c>
      <c r="D182" s="14" t="s">
        <v>837</v>
      </c>
      <c r="E182" s="8" t="s">
        <v>2593</v>
      </c>
      <c r="F182" s="27" t="s">
        <v>2599</v>
      </c>
    </row>
    <row r="183">
      <c r="A183" s="9" t="s">
        <v>1704</v>
      </c>
      <c r="B183" s="9" t="s">
        <v>275</v>
      </c>
      <c r="C183" s="8" t="s">
        <v>186</v>
      </c>
      <c r="D183" s="14" t="s">
        <v>1679</v>
      </c>
      <c r="E183" s="8" t="s">
        <v>2575</v>
      </c>
      <c r="F183" s="27" t="s">
        <v>2570</v>
      </c>
    </row>
    <row r="184">
      <c r="A184" s="9" t="s">
        <v>1092</v>
      </c>
      <c r="B184" s="9" t="s">
        <v>1093</v>
      </c>
      <c r="C184" s="8" t="s">
        <v>80</v>
      </c>
      <c r="D184" s="14" t="s">
        <v>1070</v>
      </c>
      <c r="E184" s="8" t="s">
        <v>2562</v>
      </c>
      <c r="F184" s="27" t="s">
        <v>2601</v>
      </c>
    </row>
    <row r="185">
      <c r="A185" s="9" t="s">
        <v>852</v>
      </c>
      <c r="B185" s="9" t="s">
        <v>409</v>
      </c>
      <c r="C185" s="8" t="s">
        <v>141</v>
      </c>
      <c r="D185" s="14" t="s">
        <v>837</v>
      </c>
      <c r="E185" s="8" t="s">
        <v>2587</v>
      </c>
      <c r="F185" s="27" t="s">
        <v>2568</v>
      </c>
    </row>
    <row r="186">
      <c r="A186" s="9" t="s">
        <v>1094</v>
      </c>
      <c r="B186" s="9" t="s">
        <v>177</v>
      </c>
      <c r="C186" s="8" t="s">
        <v>75</v>
      </c>
      <c r="D186" s="14" t="s">
        <v>1070</v>
      </c>
      <c r="E186" s="8" t="s">
        <v>2567</v>
      </c>
      <c r="F186" s="27" t="s">
        <v>2583</v>
      </c>
    </row>
    <row r="187">
      <c r="A187" s="9" t="s">
        <v>1377</v>
      </c>
      <c r="B187" s="9" t="s">
        <v>1378</v>
      </c>
      <c r="C187" s="8" t="s">
        <v>24</v>
      </c>
      <c r="D187" s="14" t="s">
        <v>1352</v>
      </c>
      <c r="E187" s="8" t="s">
        <v>2610</v>
      </c>
      <c r="F187" s="27" t="s">
        <v>2583</v>
      </c>
    </row>
    <row r="188">
      <c r="A188" s="9" t="s">
        <v>2056</v>
      </c>
      <c r="B188" s="9" t="s">
        <v>2057</v>
      </c>
      <c r="C188" s="8" t="s">
        <v>132</v>
      </c>
      <c r="D188" s="14" t="s">
        <v>2033</v>
      </c>
      <c r="E188" s="8" t="s">
        <v>2587</v>
      </c>
      <c r="F188" s="27" t="s">
        <v>2627</v>
      </c>
    </row>
    <row r="189">
      <c r="A189" s="9" t="s">
        <v>2058</v>
      </c>
      <c r="B189" s="9" t="s">
        <v>304</v>
      </c>
      <c r="C189" s="8" t="s">
        <v>38</v>
      </c>
      <c r="D189" s="14" t="s">
        <v>2033</v>
      </c>
      <c r="E189" s="8" t="s">
        <v>2587</v>
      </c>
      <c r="F189" s="27" t="s">
        <v>2563</v>
      </c>
    </row>
    <row r="190">
      <c r="A190" s="9" t="s">
        <v>474</v>
      </c>
      <c r="B190" s="9" t="s">
        <v>121</v>
      </c>
      <c r="C190" s="8" t="s">
        <v>70</v>
      </c>
      <c r="D190" s="14" t="s">
        <v>459</v>
      </c>
      <c r="E190" s="8" t="s">
        <v>2600</v>
      </c>
      <c r="F190" s="27" t="s">
        <v>2568</v>
      </c>
    </row>
    <row r="191">
      <c r="A191" s="9" t="s">
        <v>474</v>
      </c>
      <c r="B191" s="9" t="s">
        <v>1598</v>
      </c>
      <c r="C191" s="8" t="s">
        <v>65</v>
      </c>
      <c r="D191" s="14" t="s">
        <v>1679</v>
      </c>
      <c r="E191" s="8" t="s">
        <v>2587</v>
      </c>
      <c r="F191" s="27" t="s">
        <v>2555</v>
      </c>
    </row>
    <row r="192">
      <c r="A192" s="9" t="s">
        <v>351</v>
      </c>
      <c r="B192" s="9" t="s">
        <v>352</v>
      </c>
      <c r="C192" s="8" t="s">
        <v>132</v>
      </c>
      <c r="D192" s="14" t="s">
        <v>338</v>
      </c>
      <c r="E192" s="8" t="s">
        <v>2610</v>
      </c>
      <c r="F192" s="27" t="s">
        <v>2571</v>
      </c>
    </row>
    <row r="193">
      <c r="A193" s="9" t="s">
        <v>853</v>
      </c>
      <c r="B193" s="9" t="s">
        <v>854</v>
      </c>
      <c r="C193" s="8" t="s">
        <v>46</v>
      </c>
      <c r="D193" s="14" t="s">
        <v>837</v>
      </c>
      <c r="E193" s="8" t="s">
        <v>2620</v>
      </c>
      <c r="F193" s="27" t="s">
        <v>2590</v>
      </c>
    </row>
    <row r="194">
      <c r="A194" s="9" t="s">
        <v>1095</v>
      </c>
      <c r="B194" s="9" t="s">
        <v>1096</v>
      </c>
      <c r="C194" s="8" t="s">
        <v>59</v>
      </c>
      <c r="D194" s="14" t="s">
        <v>1070</v>
      </c>
      <c r="E194" s="8" t="s">
        <v>2592</v>
      </c>
      <c r="F194" s="27" t="s">
        <v>2579</v>
      </c>
    </row>
    <row r="195">
      <c r="A195" s="9" t="s">
        <v>855</v>
      </c>
      <c r="B195" s="9" t="s">
        <v>856</v>
      </c>
      <c r="C195" s="8" t="s">
        <v>70</v>
      </c>
      <c r="D195" s="14" t="s">
        <v>837</v>
      </c>
      <c r="E195" s="8" t="s">
        <v>2620</v>
      </c>
      <c r="F195" s="27" t="s">
        <v>2565</v>
      </c>
    </row>
    <row r="196">
      <c r="A196" s="9" t="s">
        <v>1705</v>
      </c>
      <c r="B196" s="9" t="s">
        <v>183</v>
      </c>
      <c r="C196" s="8" t="s">
        <v>70</v>
      </c>
      <c r="D196" s="14" t="s">
        <v>1679</v>
      </c>
      <c r="E196" s="8" t="s">
        <v>2552</v>
      </c>
      <c r="F196" s="27" t="s">
        <v>2568</v>
      </c>
    </row>
    <row r="197">
      <c r="A197" s="9" t="s">
        <v>1706</v>
      </c>
      <c r="B197" s="9" t="s">
        <v>349</v>
      </c>
      <c r="C197" s="8" t="s">
        <v>46</v>
      </c>
      <c r="D197" s="14" t="s">
        <v>1679</v>
      </c>
      <c r="E197" s="8" t="s">
        <v>2592</v>
      </c>
      <c r="F197" s="27" t="s">
        <v>2606</v>
      </c>
    </row>
    <row r="198">
      <c r="A198" s="9" t="s">
        <v>1707</v>
      </c>
      <c r="B198" s="9" t="s">
        <v>1708</v>
      </c>
      <c r="C198" s="8" t="s">
        <v>93</v>
      </c>
      <c r="D198" s="14" t="s">
        <v>1679</v>
      </c>
      <c r="E198" s="8" t="s">
        <v>2584</v>
      </c>
      <c r="F198" s="27" t="s">
        <v>2570</v>
      </c>
    </row>
    <row r="199">
      <c r="A199" s="9" t="s">
        <v>857</v>
      </c>
      <c r="B199" s="9" t="s">
        <v>647</v>
      </c>
      <c r="C199" s="8" t="s">
        <v>16</v>
      </c>
      <c r="D199" s="14" t="s">
        <v>837</v>
      </c>
      <c r="E199" s="8" t="s">
        <v>2593</v>
      </c>
      <c r="F199" s="27" t="s">
        <v>2557</v>
      </c>
    </row>
    <row r="200">
      <c r="A200" s="9" t="s">
        <v>1709</v>
      </c>
      <c r="B200" s="9" t="s">
        <v>1249</v>
      </c>
      <c r="C200" s="8" t="s">
        <v>138</v>
      </c>
      <c r="D200" s="14" t="s">
        <v>1679</v>
      </c>
      <c r="E200" s="8" t="s">
        <v>2572</v>
      </c>
      <c r="F200" s="27" t="s">
        <v>2613</v>
      </c>
    </row>
    <row r="201">
      <c r="A201" s="9" t="s">
        <v>1709</v>
      </c>
      <c r="B201" s="9" t="s">
        <v>231</v>
      </c>
      <c r="C201" s="8" t="s">
        <v>215</v>
      </c>
      <c r="D201" s="14" t="s">
        <v>2459</v>
      </c>
      <c r="E201" s="8" t="s">
        <v>2585</v>
      </c>
      <c r="F201" s="27" t="s">
        <v>2586</v>
      </c>
    </row>
    <row r="202">
      <c r="A202" s="9" t="s">
        <v>242</v>
      </c>
      <c r="B202" s="9" t="s">
        <v>33</v>
      </c>
      <c r="C202" s="8" t="s">
        <v>38</v>
      </c>
      <c r="D202" s="14" t="s">
        <v>237</v>
      </c>
      <c r="E202" s="8" t="s">
        <v>2598</v>
      </c>
      <c r="F202" s="27" t="s">
        <v>2586</v>
      </c>
    </row>
    <row r="203">
      <c r="A203" s="9" t="s">
        <v>651</v>
      </c>
      <c r="B203" s="9" t="s">
        <v>181</v>
      </c>
      <c r="C203" s="8" t="s">
        <v>186</v>
      </c>
      <c r="D203" s="14" t="s">
        <v>631</v>
      </c>
      <c r="E203" s="8" t="s">
        <v>2582</v>
      </c>
      <c r="F203" s="27" t="s">
        <v>2591</v>
      </c>
    </row>
    <row r="204">
      <c r="A204" s="9" t="s">
        <v>652</v>
      </c>
      <c r="B204" s="9" t="s">
        <v>275</v>
      </c>
      <c r="C204" s="8" t="s">
        <v>12</v>
      </c>
      <c r="D204" s="14" t="s">
        <v>631</v>
      </c>
      <c r="E204" s="8" t="s">
        <v>2577</v>
      </c>
      <c r="F204" s="27" t="s">
        <v>2557</v>
      </c>
    </row>
    <row r="205">
      <c r="A205" s="9" t="s">
        <v>1710</v>
      </c>
      <c r="B205" s="9" t="s">
        <v>1711</v>
      </c>
      <c r="C205" s="8" t="s">
        <v>65</v>
      </c>
      <c r="D205" s="14" t="s">
        <v>1679</v>
      </c>
      <c r="E205" s="8" t="s">
        <v>2585</v>
      </c>
      <c r="F205" s="27" t="s">
        <v>2601</v>
      </c>
    </row>
    <row r="206">
      <c r="A206" s="18" t="s">
        <v>653</v>
      </c>
      <c r="B206" s="18" t="s">
        <v>269</v>
      </c>
      <c r="C206" s="8" t="s">
        <v>93</v>
      </c>
      <c r="D206" s="14" t="s">
        <v>631</v>
      </c>
      <c r="E206" s="8" t="s">
        <v>2584</v>
      </c>
      <c r="F206" s="27" t="s">
        <v>2613</v>
      </c>
    </row>
    <row r="207">
      <c r="A207" s="9" t="s">
        <v>1712</v>
      </c>
      <c r="B207" s="9" t="s">
        <v>1713</v>
      </c>
      <c r="C207" s="8" t="s">
        <v>138</v>
      </c>
      <c r="D207" s="14" t="s">
        <v>1679</v>
      </c>
      <c r="E207" s="8" t="s">
        <v>2552</v>
      </c>
      <c r="F207" s="27" t="s">
        <v>2583</v>
      </c>
    </row>
    <row r="208">
      <c r="A208" s="9" t="s">
        <v>1714</v>
      </c>
      <c r="B208" s="9" t="s">
        <v>1715</v>
      </c>
      <c r="C208" s="8" t="s">
        <v>53</v>
      </c>
      <c r="D208" s="14" t="s">
        <v>1679</v>
      </c>
      <c r="E208" s="8" t="s">
        <v>2575</v>
      </c>
      <c r="F208" s="27" t="s">
        <v>2565</v>
      </c>
    </row>
    <row r="209">
      <c r="A209" s="9" t="s">
        <v>1716</v>
      </c>
      <c r="B209" s="9" t="s">
        <v>2314</v>
      </c>
      <c r="C209" s="8" t="s">
        <v>93</v>
      </c>
      <c r="D209" s="14" t="s">
        <v>2296</v>
      </c>
      <c r="E209" s="8" t="s">
        <v>2552</v>
      </c>
      <c r="F209" s="27" t="s">
        <v>2594</v>
      </c>
    </row>
    <row r="210">
      <c r="A210" s="9" t="s">
        <v>1716</v>
      </c>
      <c r="B210" s="9" t="s">
        <v>676</v>
      </c>
      <c r="C210" s="8" t="s">
        <v>65</v>
      </c>
      <c r="D210" s="14" t="s">
        <v>1679</v>
      </c>
      <c r="E210" s="8" t="s">
        <v>2610</v>
      </c>
      <c r="F210" s="27" t="s">
        <v>2578</v>
      </c>
    </row>
    <row r="211">
      <c r="A211" s="9" t="s">
        <v>2315</v>
      </c>
      <c r="B211" s="9" t="s">
        <v>1219</v>
      </c>
      <c r="C211" s="8" t="s">
        <v>65</v>
      </c>
      <c r="D211" s="14" t="s">
        <v>2296</v>
      </c>
      <c r="E211" s="8" t="s">
        <v>2575</v>
      </c>
      <c r="F211" s="27" t="s">
        <v>2573</v>
      </c>
    </row>
    <row r="212">
      <c r="A212" s="9" t="s">
        <v>1097</v>
      </c>
      <c r="B212" s="9" t="s">
        <v>231</v>
      </c>
      <c r="C212" s="8" t="s">
        <v>24</v>
      </c>
      <c r="D212" s="14" t="s">
        <v>1070</v>
      </c>
      <c r="E212" s="8" t="s">
        <v>2575</v>
      </c>
      <c r="F212" s="27" t="s">
        <v>2590</v>
      </c>
    </row>
    <row r="213">
      <c r="A213" s="9" t="s">
        <v>1097</v>
      </c>
      <c r="B213" s="9" t="s">
        <v>1209</v>
      </c>
      <c r="C213" s="8" t="s">
        <v>16</v>
      </c>
      <c r="D213" s="14" t="s">
        <v>1679</v>
      </c>
      <c r="E213" s="8" t="s">
        <v>2558</v>
      </c>
      <c r="F213" s="27" t="s">
        <v>2606</v>
      </c>
    </row>
    <row r="214">
      <c r="A214" s="9" t="s">
        <v>1717</v>
      </c>
      <c r="B214" s="9" t="s">
        <v>436</v>
      </c>
      <c r="C214" s="8" t="s">
        <v>141</v>
      </c>
      <c r="D214" s="14" t="s">
        <v>1679</v>
      </c>
      <c r="E214" s="8" t="s">
        <v>2575</v>
      </c>
      <c r="F214" s="27" t="s">
        <v>2555</v>
      </c>
    </row>
    <row r="215">
      <c r="A215" s="9" t="s">
        <v>1098</v>
      </c>
      <c r="B215" s="9" t="s">
        <v>260</v>
      </c>
      <c r="C215" s="8" t="s">
        <v>93</v>
      </c>
      <c r="D215" s="14" t="s">
        <v>1070</v>
      </c>
      <c r="E215" s="8" t="s">
        <v>2574</v>
      </c>
      <c r="F215" s="27" t="s">
        <v>2608</v>
      </c>
    </row>
    <row r="216">
      <c r="A216" s="9" t="s">
        <v>1718</v>
      </c>
      <c r="B216" s="9" t="s">
        <v>252</v>
      </c>
      <c r="C216" s="8" t="s">
        <v>141</v>
      </c>
      <c r="D216" s="14" t="s">
        <v>1679</v>
      </c>
      <c r="E216" s="8" t="s">
        <v>2552</v>
      </c>
      <c r="F216" s="27" t="s">
        <v>2602</v>
      </c>
    </row>
    <row r="217">
      <c r="A217" s="9" t="s">
        <v>1379</v>
      </c>
      <c r="B217" s="9" t="s">
        <v>50</v>
      </c>
      <c r="C217" s="8" t="s">
        <v>132</v>
      </c>
      <c r="D217" s="14" t="s">
        <v>1352</v>
      </c>
      <c r="E217" s="8" t="s">
        <v>2560</v>
      </c>
      <c r="F217" s="27" t="s">
        <v>2628</v>
      </c>
    </row>
    <row r="218">
      <c r="A218" s="9" t="s">
        <v>475</v>
      </c>
      <c r="B218" s="9" t="s">
        <v>476</v>
      </c>
      <c r="C218" s="8" t="s">
        <v>59</v>
      </c>
      <c r="D218" s="14" t="s">
        <v>459</v>
      </c>
      <c r="E218" s="8" t="s">
        <v>2564</v>
      </c>
      <c r="F218" s="27" t="s">
        <v>2586</v>
      </c>
    </row>
    <row r="219">
      <c r="A219" s="9" t="s">
        <v>436</v>
      </c>
      <c r="B219" s="9" t="s">
        <v>1380</v>
      </c>
      <c r="C219" s="8" t="s">
        <v>24</v>
      </c>
      <c r="D219" s="14" t="s">
        <v>1352</v>
      </c>
      <c r="E219" s="8" t="s">
        <v>2558</v>
      </c>
      <c r="F219" s="27" t="s">
        <v>2629</v>
      </c>
    </row>
    <row r="220">
      <c r="A220" s="9" t="s">
        <v>14</v>
      </c>
      <c r="B220" s="9" t="s">
        <v>15</v>
      </c>
      <c r="C220" s="8" t="s">
        <v>16</v>
      </c>
      <c r="D220" s="14" t="s">
        <v>18</v>
      </c>
      <c r="E220" s="8" t="s">
        <v>2600</v>
      </c>
      <c r="F220" s="27" t="s">
        <v>2623</v>
      </c>
    </row>
    <row r="221">
      <c r="A221" s="9" t="s">
        <v>14</v>
      </c>
      <c r="B221" s="9" t="s">
        <v>1719</v>
      </c>
      <c r="C221" s="8" t="s">
        <v>65</v>
      </c>
      <c r="D221" s="14" t="s">
        <v>1679</v>
      </c>
      <c r="E221" s="8" t="s">
        <v>2584</v>
      </c>
      <c r="F221" s="27" t="s">
        <v>2555</v>
      </c>
    </row>
    <row r="222">
      <c r="A222" s="9" t="s">
        <v>2059</v>
      </c>
      <c r="B222" s="9" t="s">
        <v>263</v>
      </c>
      <c r="C222" s="8" t="s">
        <v>53</v>
      </c>
      <c r="D222" s="14" t="s">
        <v>2033</v>
      </c>
      <c r="E222" s="8" t="s">
        <v>2582</v>
      </c>
      <c r="F222" s="27" t="s">
        <v>2576</v>
      </c>
    </row>
    <row r="223">
      <c r="A223" s="9" t="s">
        <v>1381</v>
      </c>
      <c r="B223" s="9" t="s">
        <v>1382</v>
      </c>
      <c r="C223" s="8" t="s">
        <v>192</v>
      </c>
      <c r="D223" s="14" t="s">
        <v>1352</v>
      </c>
      <c r="E223" s="8" t="s">
        <v>2577</v>
      </c>
      <c r="F223" s="27" t="s">
        <v>2580</v>
      </c>
    </row>
    <row r="224">
      <c r="A224" s="9" t="s">
        <v>1720</v>
      </c>
      <c r="B224" s="9" t="s">
        <v>1376</v>
      </c>
      <c r="C224" s="8" t="s">
        <v>138</v>
      </c>
      <c r="D224" s="14" t="s">
        <v>1679</v>
      </c>
      <c r="E224" s="8" t="s">
        <v>2582</v>
      </c>
      <c r="F224" s="27" t="s">
        <v>2563</v>
      </c>
    </row>
    <row r="225">
      <c r="A225" s="9" t="s">
        <v>654</v>
      </c>
      <c r="B225" s="9" t="s">
        <v>52</v>
      </c>
      <c r="C225" s="8" t="s">
        <v>24</v>
      </c>
      <c r="D225" s="14" t="s">
        <v>631</v>
      </c>
      <c r="E225" s="8" t="s">
        <v>2592</v>
      </c>
      <c r="F225" s="27" t="s">
        <v>2608</v>
      </c>
    </row>
    <row r="226">
      <c r="A226" s="9" t="s">
        <v>1383</v>
      </c>
      <c r="B226" s="9" t="s">
        <v>50</v>
      </c>
      <c r="C226" s="8" t="s">
        <v>24</v>
      </c>
      <c r="D226" s="14" t="s">
        <v>1352</v>
      </c>
      <c r="E226" s="8" t="s">
        <v>2605</v>
      </c>
      <c r="F226" s="27" t="s">
        <v>2622</v>
      </c>
    </row>
    <row r="227">
      <c r="A227" s="9" t="s">
        <v>858</v>
      </c>
      <c r="B227" s="9" t="s">
        <v>676</v>
      </c>
      <c r="C227" s="8" t="s">
        <v>16</v>
      </c>
      <c r="D227" s="14" t="s">
        <v>837</v>
      </c>
      <c r="E227" s="8" t="s">
        <v>2605</v>
      </c>
      <c r="F227" s="27" t="s">
        <v>13</v>
      </c>
    </row>
    <row r="228">
      <c r="A228" s="9" t="s">
        <v>859</v>
      </c>
      <c r="B228" s="9" t="s">
        <v>860</v>
      </c>
      <c r="C228" s="8" t="s">
        <v>93</v>
      </c>
      <c r="D228" s="14" t="s">
        <v>837</v>
      </c>
      <c r="E228" s="8" t="s">
        <v>2183</v>
      </c>
      <c r="F228" s="27" t="s">
        <v>2553</v>
      </c>
    </row>
    <row r="229">
      <c r="A229" s="9" t="s">
        <v>19</v>
      </c>
      <c r="B229" s="9" t="s">
        <v>20</v>
      </c>
      <c r="C229" s="8" t="s">
        <v>16</v>
      </c>
      <c r="D229" s="14" t="s">
        <v>21</v>
      </c>
      <c r="E229" s="8" t="s">
        <v>2595</v>
      </c>
      <c r="F229" s="27" t="s">
        <v>2559</v>
      </c>
    </row>
    <row r="230">
      <c r="A230" s="9" t="s">
        <v>1721</v>
      </c>
      <c r="B230" s="9" t="s">
        <v>33</v>
      </c>
      <c r="C230" s="8" t="s">
        <v>70</v>
      </c>
      <c r="D230" s="14" t="s">
        <v>1679</v>
      </c>
      <c r="E230" s="8" t="s">
        <v>2585</v>
      </c>
      <c r="F230" s="27" t="s">
        <v>2588</v>
      </c>
    </row>
    <row r="231">
      <c r="A231" s="9" t="s">
        <v>1099</v>
      </c>
      <c r="B231" s="9" t="s">
        <v>299</v>
      </c>
      <c r="C231" s="8" t="s">
        <v>141</v>
      </c>
      <c r="D231" s="14" t="s">
        <v>1070</v>
      </c>
      <c r="E231" s="8" t="s">
        <v>2620</v>
      </c>
      <c r="F231" s="27" t="s">
        <v>2606</v>
      </c>
    </row>
    <row r="232">
      <c r="A232" s="18" t="s">
        <v>780</v>
      </c>
      <c r="B232" s="18" t="s">
        <v>456</v>
      </c>
      <c r="C232" s="8" t="s">
        <v>65</v>
      </c>
      <c r="D232" s="14" t="s">
        <v>1070</v>
      </c>
      <c r="E232" s="8" t="s">
        <v>2592</v>
      </c>
      <c r="F232" s="27" t="s">
        <v>2594</v>
      </c>
    </row>
    <row r="233">
      <c r="A233" s="9" t="s">
        <v>477</v>
      </c>
      <c r="B233" s="9" t="s">
        <v>98</v>
      </c>
      <c r="C233" s="8" t="s">
        <v>24</v>
      </c>
      <c r="D233" s="14" t="s">
        <v>459</v>
      </c>
      <c r="E233" s="18" t="s">
        <v>2589</v>
      </c>
      <c r="F233" s="27" t="s">
        <v>2630</v>
      </c>
    </row>
    <row r="234">
      <c r="A234" s="9" t="s">
        <v>487</v>
      </c>
      <c r="B234" s="9" t="s">
        <v>1105</v>
      </c>
      <c r="C234" s="8" t="s">
        <v>192</v>
      </c>
      <c r="D234" s="14" t="s">
        <v>1352</v>
      </c>
      <c r="E234" s="8" t="s">
        <v>2592</v>
      </c>
      <c r="F234" s="27" t="s">
        <v>2579</v>
      </c>
    </row>
    <row r="235">
      <c r="A235" s="9" t="s">
        <v>1100</v>
      </c>
      <c r="B235" s="9" t="s">
        <v>1101</v>
      </c>
      <c r="C235" s="8" t="s">
        <v>16</v>
      </c>
      <c r="D235" s="14" t="s">
        <v>1070</v>
      </c>
      <c r="E235" s="8" t="s">
        <v>2595</v>
      </c>
      <c r="F235" s="27" t="s">
        <v>2602</v>
      </c>
    </row>
    <row r="236">
      <c r="A236" s="9" t="s">
        <v>478</v>
      </c>
      <c r="B236" s="9" t="s">
        <v>479</v>
      </c>
      <c r="C236" s="8" t="s">
        <v>24</v>
      </c>
      <c r="D236" s="14" t="s">
        <v>459</v>
      </c>
      <c r="E236" s="8" t="s">
        <v>2621</v>
      </c>
      <c r="F236" s="27" t="s">
        <v>2631</v>
      </c>
    </row>
    <row r="237">
      <c r="A237" s="9" t="s">
        <v>1102</v>
      </c>
      <c r="B237" s="9" t="s">
        <v>1103</v>
      </c>
      <c r="C237" s="8" t="s">
        <v>16</v>
      </c>
      <c r="D237" s="14" t="s">
        <v>1070</v>
      </c>
      <c r="E237" s="8" t="s">
        <v>2567</v>
      </c>
      <c r="F237" s="27" t="s">
        <v>2573</v>
      </c>
    </row>
    <row r="238">
      <c r="A238" s="9" t="s">
        <v>655</v>
      </c>
      <c r="B238" s="9" t="s">
        <v>381</v>
      </c>
      <c r="C238" s="8" t="s">
        <v>141</v>
      </c>
      <c r="D238" s="14" t="s">
        <v>631</v>
      </c>
      <c r="E238" s="8" t="s">
        <v>2603</v>
      </c>
      <c r="F238" s="27" t="s">
        <v>2571</v>
      </c>
    </row>
    <row r="239">
      <c r="A239" s="9" t="s">
        <v>243</v>
      </c>
      <c r="B239" s="9" t="s">
        <v>244</v>
      </c>
      <c r="C239" s="8" t="s">
        <v>93</v>
      </c>
      <c r="D239" s="14" t="s">
        <v>237</v>
      </c>
      <c r="E239" s="18" t="s">
        <v>2589</v>
      </c>
      <c r="F239" s="27" t="s">
        <v>2573</v>
      </c>
    </row>
    <row r="240">
      <c r="A240" s="9" t="s">
        <v>656</v>
      </c>
      <c r="B240" s="9" t="s">
        <v>137</v>
      </c>
      <c r="C240" s="8" t="s">
        <v>138</v>
      </c>
      <c r="D240" s="14" t="s">
        <v>631</v>
      </c>
      <c r="E240" s="8" t="s">
        <v>2593</v>
      </c>
      <c r="F240" s="27" t="s">
        <v>2611</v>
      </c>
    </row>
    <row r="241">
      <c r="A241" s="9" t="s">
        <v>224</v>
      </c>
      <c r="B241" s="9" t="s">
        <v>121</v>
      </c>
      <c r="C241" s="8" t="s">
        <v>132</v>
      </c>
      <c r="D241" s="14" t="s">
        <v>338</v>
      </c>
      <c r="E241" s="8" t="s">
        <v>2564</v>
      </c>
      <c r="F241" s="27" t="s">
        <v>2561</v>
      </c>
    </row>
    <row r="242">
      <c r="A242" s="9" t="s">
        <v>224</v>
      </c>
      <c r="B242" s="9" t="s">
        <v>861</v>
      </c>
      <c r="C242" s="8" t="s">
        <v>192</v>
      </c>
      <c r="D242" s="14" t="s">
        <v>837</v>
      </c>
      <c r="E242" s="8" t="s">
        <v>2600</v>
      </c>
      <c r="F242" s="27" t="s">
        <v>2557</v>
      </c>
    </row>
    <row r="243">
      <c r="A243" s="9" t="s">
        <v>1104</v>
      </c>
      <c r="B243" s="9" t="s">
        <v>1105</v>
      </c>
      <c r="C243" s="8" t="s">
        <v>186</v>
      </c>
      <c r="D243" s="14" t="s">
        <v>1070</v>
      </c>
      <c r="E243" s="8" t="s">
        <v>2552</v>
      </c>
      <c r="F243" s="27" t="s">
        <v>2579</v>
      </c>
    </row>
    <row r="244">
      <c r="A244" s="9" t="s">
        <v>2060</v>
      </c>
      <c r="B244" s="9" t="s">
        <v>2061</v>
      </c>
      <c r="C244" s="8" t="s">
        <v>122</v>
      </c>
      <c r="D244" s="14" t="s">
        <v>2033</v>
      </c>
      <c r="E244" s="8" t="s">
        <v>2572</v>
      </c>
      <c r="F244" s="27" t="s">
        <v>2555</v>
      </c>
    </row>
    <row r="245">
      <c r="A245" s="18" t="s">
        <v>106</v>
      </c>
      <c r="B245" s="18" t="s">
        <v>269</v>
      </c>
      <c r="C245" s="8" t="s">
        <v>65</v>
      </c>
      <c r="D245" s="14" t="s">
        <v>2296</v>
      </c>
      <c r="E245" s="8" t="s">
        <v>2621</v>
      </c>
      <c r="F245" s="27" t="s">
        <v>2565</v>
      </c>
    </row>
    <row r="246">
      <c r="A246" s="9" t="s">
        <v>106</v>
      </c>
      <c r="B246" s="9" t="s">
        <v>55</v>
      </c>
      <c r="C246" s="8" t="s">
        <v>122</v>
      </c>
      <c r="D246" s="14" t="s">
        <v>2033</v>
      </c>
      <c r="E246" s="8" t="s">
        <v>2610</v>
      </c>
      <c r="F246" s="27" t="s">
        <v>2579</v>
      </c>
    </row>
    <row r="247">
      <c r="A247" s="9" t="s">
        <v>106</v>
      </c>
      <c r="B247" s="9" t="s">
        <v>212</v>
      </c>
      <c r="C247" s="8" t="s">
        <v>93</v>
      </c>
      <c r="D247" s="14" t="s">
        <v>1352</v>
      </c>
      <c r="E247" s="8" t="s">
        <v>2614</v>
      </c>
      <c r="F247" s="27" t="s">
        <v>2608</v>
      </c>
    </row>
    <row r="248">
      <c r="A248" s="9" t="s">
        <v>106</v>
      </c>
      <c r="B248" s="9" t="s">
        <v>245</v>
      </c>
      <c r="C248" s="8" t="s">
        <v>65</v>
      </c>
      <c r="D248" s="14" t="s">
        <v>237</v>
      </c>
      <c r="E248" s="18" t="s">
        <v>2556</v>
      </c>
      <c r="F248" s="27" t="s">
        <v>2632</v>
      </c>
    </row>
    <row r="249">
      <c r="A249" s="9" t="s">
        <v>106</v>
      </c>
      <c r="B249" s="9" t="s">
        <v>1044</v>
      </c>
      <c r="C249" s="8" t="s">
        <v>24</v>
      </c>
      <c r="D249" s="14" t="s">
        <v>1070</v>
      </c>
      <c r="E249" s="8" t="s">
        <v>2567</v>
      </c>
      <c r="F249" s="27" t="s">
        <v>2563</v>
      </c>
    </row>
    <row r="250">
      <c r="A250" s="9" t="s">
        <v>106</v>
      </c>
      <c r="B250" s="9" t="s">
        <v>197</v>
      </c>
      <c r="C250" s="8" t="s">
        <v>24</v>
      </c>
      <c r="D250" s="14" t="s">
        <v>837</v>
      </c>
      <c r="E250" s="8" t="s">
        <v>2560</v>
      </c>
      <c r="F250" s="27" t="s">
        <v>2622</v>
      </c>
    </row>
    <row r="251">
      <c r="A251" s="9" t="s">
        <v>106</v>
      </c>
      <c r="B251" s="9" t="s">
        <v>107</v>
      </c>
      <c r="C251" s="8" t="s">
        <v>46</v>
      </c>
      <c r="D251" s="14" t="s">
        <v>108</v>
      </c>
      <c r="E251" s="8" t="s">
        <v>2603</v>
      </c>
      <c r="F251" s="27" t="s">
        <v>2588</v>
      </c>
    </row>
    <row r="252">
      <c r="A252" s="9" t="s">
        <v>106</v>
      </c>
      <c r="B252" s="9" t="s">
        <v>177</v>
      </c>
      <c r="C252" s="8" t="s">
        <v>75</v>
      </c>
      <c r="D252" s="14" t="s">
        <v>2296</v>
      </c>
      <c r="E252" s="8" t="s">
        <v>2566</v>
      </c>
      <c r="F252" s="27" t="s">
        <v>2606</v>
      </c>
    </row>
    <row r="253">
      <c r="A253" s="9" t="s">
        <v>106</v>
      </c>
      <c r="B253" s="9" t="s">
        <v>1108</v>
      </c>
      <c r="C253" s="8" t="s">
        <v>138</v>
      </c>
      <c r="D253" s="14" t="s">
        <v>1070</v>
      </c>
      <c r="E253" s="8" t="s">
        <v>2558</v>
      </c>
      <c r="F253" s="27" t="s">
        <v>2576</v>
      </c>
    </row>
    <row r="254">
      <c r="A254" s="9" t="s">
        <v>106</v>
      </c>
      <c r="B254" s="9" t="s">
        <v>1106</v>
      </c>
      <c r="C254" s="8" t="s">
        <v>132</v>
      </c>
      <c r="D254" s="14" t="s">
        <v>1070</v>
      </c>
      <c r="E254" s="8" t="s">
        <v>2598</v>
      </c>
      <c r="F254" s="27" t="s">
        <v>2622</v>
      </c>
    </row>
    <row r="255">
      <c r="A255" s="9" t="s">
        <v>106</v>
      </c>
      <c r="B255" s="9" t="s">
        <v>481</v>
      </c>
      <c r="C255" s="8" t="s">
        <v>65</v>
      </c>
      <c r="D255" s="14" t="s">
        <v>459</v>
      </c>
      <c r="E255" s="8" t="s">
        <v>2603</v>
      </c>
      <c r="F255" s="27" t="s">
        <v>2602</v>
      </c>
    </row>
    <row r="256">
      <c r="A256" s="9" t="s">
        <v>106</v>
      </c>
      <c r="B256" s="9" t="s">
        <v>1385</v>
      </c>
      <c r="C256" s="8" t="s">
        <v>53</v>
      </c>
      <c r="D256" s="14" t="s">
        <v>1352</v>
      </c>
      <c r="E256" s="8" t="s">
        <v>2572</v>
      </c>
      <c r="F256" s="27" t="s">
        <v>2601</v>
      </c>
    </row>
    <row r="257">
      <c r="A257" s="9" t="s">
        <v>106</v>
      </c>
      <c r="B257" s="9" t="s">
        <v>1722</v>
      </c>
      <c r="C257" s="8" t="s">
        <v>186</v>
      </c>
      <c r="D257" s="14" t="s">
        <v>1679</v>
      </c>
      <c r="E257" s="8" t="s">
        <v>2621</v>
      </c>
      <c r="F257" s="27" t="s">
        <v>2601</v>
      </c>
    </row>
    <row r="258">
      <c r="A258" s="9" t="s">
        <v>106</v>
      </c>
      <c r="B258" s="9" t="s">
        <v>23</v>
      </c>
      <c r="C258" s="8" t="s">
        <v>65</v>
      </c>
      <c r="D258" s="14" t="s">
        <v>459</v>
      </c>
      <c r="E258" s="8" t="s">
        <v>2587</v>
      </c>
      <c r="F258" s="27" t="s">
        <v>2608</v>
      </c>
    </row>
    <row r="259">
      <c r="A259" s="9" t="s">
        <v>106</v>
      </c>
      <c r="B259" s="9" t="s">
        <v>842</v>
      </c>
      <c r="C259" s="8" t="s">
        <v>12</v>
      </c>
      <c r="D259" s="14" t="s">
        <v>1070</v>
      </c>
      <c r="E259" s="8" t="s">
        <v>2585</v>
      </c>
      <c r="F259" s="27" t="s">
        <v>2563</v>
      </c>
    </row>
    <row r="260">
      <c r="A260" s="9" t="s">
        <v>106</v>
      </c>
      <c r="B260" s="9" t="s">
        <v>263</v>
      </c>
      <c r="C260" s="8" t="s">
        <v>93</v>
      </c>
      <c r="D260" s="14" t="s">
        <v>2033</v>
      </c>
      <c r="E260" s="8" t="s">
        <v>2610</v>
      </c>
      <c r="F260" s="27" t="s">
        <v>2576</v>
      </c>
    </row>
    <row r="261">
      <c r="A261" s="9" t="s">
        <v>106</v>
      </c>
      <c r="B261" s="9" t="s">
        <v>283</v>
      </c>
      <c r="C261" s="8" t="s">
        <v>70</v>
      </c>
      <c r="D261" s="14" t="s">
        <v>1070</v>
      </c>
      <c r="E261" s="8" t="s">
        <v>2593</v>
      </c>
      <c r="F261" s="27" t="s">
        <v>2565</v>
      </c>
    </row>
    <row r="262">
      <c r="A262" s="9" t="s">
        <v>106</v>
      </c>
      <c r="B262" s="9" t="s">
        <v>1386</v>
      </c>
      <c r="C262" s="8" t="s">
        <v>122</v>
      </c>
      <c r="D262" s="14" t="s">
        <v>1352</v>
      </c>
      <c r="E262" s="8" t="s">
        <v>2595</v>
      </c>
      <c r="F262" s="27" t="s">
        <v>2602</v>
      </c>
    </row>
    <row r="263">
      <c r="A263" s="9" t="s">
        <v>106</v>
      </c>
      <c r="B263" s="9" t="s">
        <v>699</v>
      </c>
      <c r="C263" s="8" t="s">
        <v>65</v>
      </c>
      <c r="D263" s="14" t="s">
        <v>2296</v>
      </c>
      <c r="E263" s="8" t="s">
        <v>2575</v>
      </c>
      <c r="F263" s="27" t="s">
        <v>2590</v>
      </c>
    </row>
    <row r="264">
      <c r="A264" s="9" t="s">
        <v>106</v>
      </c>
      <c r="B264" s="9" t="s">
        <v>1621</v>
      </c>
      <c r="C264" s="8" t="s">
        <v>65</v>
      </c>
      <c r="D264" s="14" t="s">
        <v>2033</v>
      </c>
      <c r="E264" s="8" t="s">
        <v>2614</v>
      </c>
      <c r="F264" s="27" t="s">
        <v>2591</v>
      </c>
    </row>
    <row r="265">
      <c r="A265" s="9" t="s">
        <v>106</v>
      </c>
      <c r="B265" s="9" t="s">
        <v>2062</v>
      </c>
      <c r="C265" s="8" t="s">
        <v>149</v>
      </c>
      <c r="D265" s="14" t="s">
        <v>2033</v>
      </c>
      <c r="E265" s="8" t="s">
        <v>2575</v>
      </c>
      <c r="F265" s="27" t="s">
        <v>2608</v>
      </c>
    </row>
    <row r="266">
      <c r="A266" s="9" t="s">
        <v>106</v>
      </c>
      <c r="B266" s="9" t="s">
        <v>1384</v>
      </c>
      <c r="C266" s="8" t="s">
        <v>24</v>
      </c>
      <c r="D266" s="14" t="s">
        <v>1352</v>
      </c>
      <c r="E266" s="8" t="s">
        <v>2615</v>
      </c>
      <c r="F266" s="27" t="s">
        <v>2622</v>
      </c>
    </row>
    <row r="267">
      <c r="A267" s="9" t="s">
        <v>106</v>
      </c>
      <c r="B267" s="9" t="s">
        <v>1107</v>
      </c>
      <c r="C267" s="8" t="s">
        <v>186</v>
      </c>
      <c r="D267" s="14" t="s">
        <v>1070</v>
      </c>
      <c r="E267" s="8" t="s">
        <v>2610</v>
      </c>
      <c r="F267" s="27" t="s">
        <v>2601</v>
      </c>
    </row>
    <row r="268">
      <c r="A268" s="9" t="s">
        <v>106</v>
      </c>
      <c r="B268" s="9" t="s">
        <v>140</v>
      </c>
      <c r="C268" s="8" t="s">
        <v>93</v>
      </c>
      <c r="D268" s="14" t="s">
        <v>1679</v>
      </c>
      <c r="E268" s="8" t="s">
        <v>2558</v>
      </c>
      <c r="F268" s="27" t="s">
        <v>2568</v>
      </c>
    </row>
    <row r="269">
      <c r="A269" s="9" t="s">
        <v>106</v>
      </c>
      <c r="B269" s="9" t="s">
        <v>334</v>
      </c>
      <c r="C269" s="8" t="s">
        <v>149</v>
      </c>
      <c r="D269" s="14" t="s">
        <v>1070</v>
      </c>
      <c r="E269" s="18" t="s">
        <v>2556</v>
      </c>
      <c r="F269" s="27" t="s">
        <v>2586</v>
      </c>
    </row>
    <row r="270">
      <c r="A270" s="9" t="s">
        <v>106</v>
      </c>
      <c r="B270" s="9" t="s">
        <v>480</v>
      </c>
      <c r="C270" s="8" t="s">
        <v>186</v>
      </c>
      <c r="D270" s="14" t="s">
        <v>459</v>
      </c>
      <c r="E270" s="8" t="s">
        <v>2564</v>
      </c>
      <c r="F270" s="27" t="s">
        <v>2599</v>
      </c>
    </row>
    <row r="271">
      <c r="A271" s="9" t="s">
        <v>1387</v>
      </c>
      <c r="B271" s="9" t="s">
        <v>197</v>
      </c>
      <c r="C271" s="8" t="s">
        <v>46</v>
      </c>
      <c r="D271" s="14" t="s">
        <v>1352</v>
      </c>
      <c r="E271" s="8" t="s">
        <v>2585</v>
      </c>
      <c r="F271" s="27" t="s">
        <v>2569</v>
      </c>
    </row>
    <row r="272">
      <c r="A272" s="9" t="s">
        <v>354</v>
      </c>
      <c r="B272" s="9" t="s">
        <v>2063</v>
      </c>
      <c r="C272" s="8" t="s">
        <v>215</v>
      </c>
      <c r="D272" s="14" t="s">
        <v>2033</v>
      </c>
      <c r="E272" s="8" t="s">
        <v>2584</v>
      </c>
      <c r="F272" s="27" t="s">
        <v>2601</v>
      </c>
    </row>
    <row r="273">
      <c r="A273" s="9" t="s">
        <v>2064</v>
      </c>
      <c r="B273" s="9" t="s">
        <v>464</v>
      </c>
      <c r="C273" s="8" t="s">
        <v>138</v>
      </c>
      <c r="D273" s="14" t="s">
        <v>2296</v>
      </c>
      <c r="E273" s="8" t="s">
        <v>2554</v>
      </c>
      <c r="F273" s="27" t="s">
        <v>2563</v>
      </c>
    </row>
    <row r="274">
      <c r="A274" s="9" t="s">
        <v>2064</v>
      </c>
      <c r="B274" s="9" t="s">
        <v>121</v>
      </c>
      <c r="C274" s="8" t="s">
        <v>192</v>
      </c>
      <c r="D274" s="14" t="s">
        <v>2033</v>
      </c>
      <c r="E274" s="8" t="s">
        <v>2560</v>
      </c>
      <c r="F274" s="27" t="s">
        <v>2570</v>
      </c>
    </row>
    <row r="275">
      <c r="A275" s="9" t="s">
        <v>862</v>
      </c>
      <c r="B275" s="9" t="s">
        <v>863</v>
      </c>
      <c r="C275" s="8" t="s">
        <v>186</v>
      </c>
      <c r="D275" s="14" t="s">
        <v>837</v>
      </c>
      <c r="E275" s="8" t="s">
        <v>2592</v>
      </c>
      <c r="F275" s="27" t="s">
        <v>2622</v>
      </c>
    </row>
    <row r="276">
      <c r="A276" s="9" t="s">
        <v>1388</v>
      </c>
      <c r="B276" s="9" t="s">
        <v>1389</v>
      </c>
      <c r="C276" s="8" t="s">
        <v>122</v>
      </c>
      <c r="D276" s="14" t="s">
        <v>1352</v>
      </c>
      <c r="E276" s="8" t="s">
        <v>2585</v>
      </c>
      <c r="F276" s="27" t="s">
        <v>2604</v>
      </c>
    </row>
    <row r="277">
      <c r="A277" s="9" t="s">
        <v>2065</v>
      </c>
      <c r="B277" s="9" t="s">
        <v>948</v>
      </c>
      <c r="C277" s="8" t="s">
        <v>215</v>
      </c>
      <c r="D277" s="14" t="s">
        <v>2033</v>
      </c>
      <c r="E277" s="8" t="s">
        <v>2577</v>
      </c>
      <c r="F277" s="27" t="s">
        <v>2555</v>
      </c>
    </row>
    <row r="278">
      <c r="A278" s="9" t="s">
        <v>353</v>
      </c>
      <c r="B278" s="9" t="s">
        <v>354</v>
      </c>
      <c r="C278" s="8" t="s">
        <v>149</v>
      </c>
      <c r="D278" s="14" t="s">
        <v>338</v>
      </c>
      <c r="E278" s="8" t="s">
        <v>2558</v>
      </c>
      <c r="F278" s="27" t="s">
        <v>2625</v>
      </c>
    </row>
    <row r="279">
      <c r="A279" s="9" t="s">
        <v>1390</v>
      </c>
      <c r="B279" s="9" t="s">
        <v>842</v>
      </c>
      <c r="C279" s="8" t="s">
        <v>215</v>
      </c>
      <c r="D279" s="14" t="s">
        <v>1352</v>
      </c>
      <c r="E279" s="8" t="s">
        <v>2605</v>
      </c>
      <c r="F279" s="27" t="s">
        <v>2622</v>
      </c>
    </row>
    <row r="280">
      <c r="A280" s="9" t="s">
        <v>482</v>
      </c>
      <c r="B280" s="9" t="s">
        <v>483</v>
      </c>
      <c r="C280" s="8" t="s">
        <v>12</v>
      </c>
      <c r="D280" s="14" t="s">
        <v>459</v>
      </c>
      <c r="E280" s="8" t="s">
        <v>2610</v>
      </c>
      <c r="F280" s="27" t="s">
        <v>2602</v>
      </c>
    </row>
    <row r="281">
      <c r="A281" s="9" t="s">
        <v>1391</v>
      </c>
      <c r="B281" s="9" t="s">
        <v>421</v>
      </c>
      <c r="C281" s="8" t="s">
        <v>186</v>
      </c>
      <c r="D281" s="14" t="s">
        <v>1352</v>
      </c>
      <c r="E281" s="8" t="s">
        <v>2621</v>
      </c>
      <c r="F281" s="27" t="s">
        <v>2594</v>
      </c>
    </row>
    <row r="282">
      <c r="A282" s="9" t="s">
        <v>1392</v>
      </c>
      <c r="B282" s="9" t="s">
        <v>98</v>
      </c>
      <c r="C282" s="8" t="s">
        <v>65</v>
      </c>
      <c r="D282" s="14" t="s">
        <v>1352</v>
      </c>
      <c r="E282" s="8" t="s">
        <v>2620</v>
      </c>
      <c r="F282" s="27" t="s">
        <v>2555</v>
      </c>
    </row>
    <row r="283">
      <c r="A283" s="9" t="s">
        <v>657</v>
      </c>
      <c r="B283" s="9" t="s">
        <v>658</v>
      </c>
      <c r="C283" s="8" t="s">
        <v>59</v>
      </c>
      <c r="D283" s="14" t="s">
        <v>631</v>
      </c>
      <c r="E283" s="18" t="s">
        <v>2556</v>
      </c>
      <c r="F283" s="27" t="s">
        <v>2571</v>
      </c>
    </row>
    <row r="284">
      <c r="A284" s="9" t="s">
        <v>1393</v>
      </c>
      <c r="B284" s="9" t="s">
        <v>260</v>
      </c>
      <c r="C284" s="8" t="s">
        <v>186</v>
      </c>
      <c r="D284" s="14" t="s">
        <v>1352</v>
      </c>
      <c r="E284" s="8" t="s">
        <v>2560</v>
      </c>
      <c r="F284" s="27" t="s">
        <v>2579</v>
      </c>
    </row>
    <row r="285">
      <c r="A285" s="9" t="s">
        <v>484</v>
      </c>
      <c r="B285" s="9" t="s">
        <v>485</v>
      </c>
      <c r="C285" s="8" t="s">
        <v>70</v>
      </c>
      <c r="D285" s="14" t="s">
        <v>459</v>
      </c>
      <c r="E285" s="8" t="s">
        <v>2600</v>
      </c>
      <c r="F285" s="27" t="s">
        <v>2571</v>
      </c>
    </row>
    <row r="286">
      <c r="A286" s="9" t="s">
        <v>1723</v>
      </c>
      <c r="B286" s="9" t="s">
        <v>1724</v>
      </c>
      <c r="C286" s="8" t="s">
        <v>186</v>
      </c>
      <c r="D286" s="14" t="s">
        <v>1679</v>
      </c>
      <c r="E286" s="8" t="s">
        <v>2558</v>
      </c>
      <c r="F286" s="27" t="s">
        <v>2579</v>
      </c>
    </row>
    <row r="287">
      <c r="A287" s="9" t="s">
        <v>355</v>
      </c>
      <c r="B287" s="9" t="s">
        <v>2460</v>
      </c>
      <c r="C287" s="8" t="s">
        <v>65</v>
      </c>
      <c r="D287" s="14" t="s">
        <v>2459</v>
      </c>
      <c r="E287" s="8" t="s">
        <v>2560</v>
      </c>
      <c r="F287" s="27" t="s">
        <v>2563</v>
      </c>
    </row>
    <row r="288">
      <c r="A288" s="9" t="s">
        <v>355</v>
      </c>
      <c r="B288" s="9" t="s">
        <v>146</v>
      </c>
      <c r="C288" s="8" t="s">
        <v>192</v>
      </c>
      <c r="D288" s="14" t="s">
        <v>338</v>
      </c>
      <c r="E288" s="8" t="s">
        <v>2615</v>
      </c>
      <c r="F288" s="27" t="s">
        <v>2553</v>
      </c>
    </row>
    <row r="289">
      <c r="A289" s="9" t="s">
        <v>1725</v>
      </c>
      <c r="B289" s="9" t="s">
        <v>1726</v>
      </c>
      <c r="C289" s="8" t="s">
        <v>93</v>
      </c>
      <c r="D289" s="14" t="s">
        <v>1679</v>
      </c>
      <c r="E289" s="8" t="s">
        <v>2577</v>
      </c>
      <c r="F289" s="27" t="s">
        <v>2573</v>
      </c>
    </row>
    <row r="290">
      <c r="A290" s="9" t="s">
        <v>1725</v>
      </c>
      <c r="B290" s="9" t="s">
        <v>157</v>
      </c>
      <c r="C290" s="8" t="s">
        <v>53</v>
      </c>
      <c r="D290" s="14" t="s">
        <v>2459</v>
      </c>
      <c r="E290" s="8" t="s">
        <v>2574</v>
      </c>
      <c r="F290" s="27" t="s">
        <v>2601</v>
      </c>
    </row>
    <row r="291">
      <c r="A291" s="9" t="s">
        <v>2461</v>
      </c>
      <c r="B291" s="9" t="s">
        <v>50</v>
      </c>
      <c r="C291" s="8" t="s">
        <v>186</v>
      </c>
      <c r="D291" s="14" t="s">
        <v>2459</v>
      </c>
      <c r="E291" s="8" t="s">
        <v>2603</v>
      </c>
      <c r="F291" s="27" t="s">
        <v>2557</v>
      </c>
    </row>
    <row r="292">
      <c r="A292" s="9" t="s">
        <v>1109</v>
      </c>
      <c r="B292" s="9" t="s">
        <v>1110</v>
      </c>
      <c r="C292" s="8" t="s">
        <v>93</v>
      </c>
      <c r="D292" s="14" t="s">
        <v>1070</v>
      </c>
      <c r="E292" s="8" t="s">
        <v>2615</v>
      </c>
      <c r="F292" s="27" t="s">
        <v>2594</v>
      </c>
    </row>
    <row r="293">
      <c r="A293" s="9" t="s">
        <v>864</v>
      </c>
      <c r="B293" s="9" t="s">
        <v>1394</v>
      </c>
      <c r="C293" s="8" t="s">
        <v>93</v>
      </c>
      <c r="D293" s="14" t="s">
        <v>1352</v>
      </c>
      <c r="E293" s="8" t="s">
        <v>2562</v>
      </c>
      <c r="F293" s="27" t="s">
        <v>2594</v>
      </c>
    </row>
    <row r="294">
      <c r="A294" s="9" t="s">
        <v>864</v>
      </c>
      <c r="B294" s="9" t="s">
        <v>137</v>
      </c>
      <c r="C294" s="8" t="s">
        <v>261</v>
      </c>
      <c r="D294" s="14" t="s">
        <v>837</v>
      </c>
      <c r="E294" s="8" t="s">
        <v>2595</v>
      </c>
      <c r="F294" s="27" t="s">
        <v>2579</v>
      </c>
    </row>
    <row r="295">
      <c r="A295" s="9" t="s">
        <v>864</v>
      </c>
      <c r="B295" s="9" t="s">
        <v>865</v>
      </c>
      <c r="C295" s="8" t="s">
        <v>24</v>
      </c>
      <c r="D295" s="14" t="s">
        <v>837</v>
      </c>
      <c r="E295" s="8" t="s">
        <v>2605</v>
      </c>
      <c r="F295" s="27" t="s">
        <v>2604</v>
      </c>
    </row>
    <row r="296">
      <c r="A296" s="9" t="s">
        <v>866</v>
      </c>
      <c r="B296" s="9" t="s">
        <v>867</v>
      </c>
      <c r="C296" s="8" t="s">
        <v>46</v>
      </c>
      <c r="D296" s="14" t="s">
        <v>837</v>
      </c>
      <c r="E296" s="8" t="s">
        <v>2564</v>
      </c>
      <c r="F296" s="27" t="s">
        <v>2580</v>
      </c>
    </row>
    <row r="297">
      <c r="A297" s="9" t="s">
        <v>190</v>
      </c>
      <c r="B297" s="9" t="s">
        <v>569</v>
      </c>
      <c r="C297" s="8" t="s">
        <v>192</v>
      </c>
      <c r="D297" s="14" t="s">
        <v>1070</v>
      </c>
      <c r="E297" s="8" t="s">
        <v>2605</v>
      </c>
      <c r="F297" s="27" t="s">
        <v>2555</v>
      </c>
    </row>
    <row r="298">
      <c r="A298" s="9" t="s">
        <v>190</v>
      </c>
      <c r="B298" s="9" t="s">
        <v>217</v>
      </c>
      <c r="C298" s="8" t="s">
        <v>186</v>
      </c>
      <c r="D298" s="14" t="s">
        <v>2459</v>
      </c>
      <c r="E298" s="8" t="s">
        <v>2577</v>
      </c>
      <c r="F298" s="27" t="s">
        <v>2565</v>
      </c>
    </row>
    <row r="299">
      <c r="A299" s="9" t="s">
        <v>190</v>
      </c>
      <c r="B299" s="9" t="s">
        <v>191</v>
      </c>
      <c r="C299" s="8" t="s">
        <v>192</v>
      </c>
      <c r="D299" s="14" t="s">
        <v>189</v>
      </c>
      <c r="E299" s="8" t="s">
        <v>2587</v>
      </c>
      <c r="F299" s="27" t="s">
        <v>2573</v>
      </c>
    </row>
    <row r="300">
      <c r="A300" s="9" t="s">
        <v>1727</v>
      </c>
      <c r="B300" s="9" t="s">
        <v>377</v>
      </c>
      <c r="C300" s="8" t="s">
        <v>12</v>
      </c>
      <c r="D300" s="14" t="s">
        <v>1679</v>
      </c>
      <c r="E300" s="8" t="s">
        <v>2183</v>
      </c>
      <c r="F300" s="27" t="s">
        <v>2608</v>
      </c>
    </row>
    <row r="301">
      <c r="A301" s="9" t="s">
        <v>486</v>
      </c>
      <c r="B301" s="9" t="s">
        <v>11</v>
      </c>
      <c r="C301" s="8" t="s">
        <v>122</v>
      </c>
      <c r="D301" s="14" t="s">
        <v>1352</v>
      </c>
      <c r="E301" s="8" t="s">
        <v>2600</v>
      </c>
      <c r="F301" s="27" t="s">
        <v>2557</v>
      </c>
    </row>
    <row r="302">
      <c r="A302" s="9" t="s">
        <v>486</v>
      </c>
      <c r="B302" s="9" t="s">
        <v>487</v>
      </c>
      <c r="C302" s="8" t="s">
        <v>65</v>
      </c>
      <c r="D302" s="14" t="s">
        <v>459</v>
      </c>
      <c r="E302" s="8" t="s">
        <v>2581</v>
      </c>
      <c r="F302" s="27" t="s">
        <v>2573</v>
      </c>
    </row>
    <row r="303">
      <c r="A303" s="9" t="s">
        <v>486</v>
      </c>
      <c r="B303" s="9" t="s">
        <v>2066</v>
      </c>
      <c r="C303" s="8" t="s">
        <v>65</v>
      </c>
      <c r="D303" s="14" t="s">
        <v>2033</v>
      </c>
      <c r="E303" s="18" t="s">
        <v>2589</v>
      </c>
      <c r="F303" s="27" t="s">
        <v>2565</v>
      </c>
    </row>
    <row r="304">
      <c r="A304" s="9" t="s">
        <v>486</v>
      </c>
      <c r="B304" s="9" t="s">
        <v>283</v>
      </c>
      <c r="C304" s="8" t="s">
        <v>93</v>
      </c>
      <c r="D304" s="14" t="s">
        <v>459</v>
      </c>
      <c r="E304" s="8" t="s">
        <v>2621</v>
      </c>
      <c r="F304" s="27" t="s">
        <v>2608</v>
      </c>
    </row>
    <row r="305">
      <c r="A305" s="9" t="s">
        <v>486</v>
      </c>
      <c r="B305" s="9" t="s">
        <v>628</v>
      </c>
      <c r="C305" s="8" t="s">
        <v>24</v>
      </c>
      <c r="D305" s="14" t="s">
        <v>1070</v>
      </c>
      <c r="E305" s="18" t="s">
        <v>2556</v>
      </c>
      <c r="F305" s="27" t="s">
        <v>2555</v>
      </c>
    </row>
    <row r="306">
      <c r="A306" s="9" t="s">
        <v>486</v>
      </c>
      <c r="B306" s="9" t="s">
        <v>84</v>
      </c>
      <c r="C306" s="8" t="s">
        <v>138</v>
      </c>
      <c r="D306" s="14" t="s">
        <v>1352</v>
      </c>
      <c r="E306" s="8" t="s">
        <v>2574</v>
      </c>
      <c r="F306" s="27" t="s">
        <v>2557</v>
      </c>
    </row>
    <row r="307">
      <c r="A307" s="9" t="s">
        <v>1728</v>
      </c>
      <c r="B307" s="9" t="s">
        <v>299</v>
      </c>
      <c r="C307" s="8" t="s">
        <v>24</v>
      </c>
      <c r="D307" s="14" t="s">
        <v>1679</v>
      </c>
      <c r="E307" s="8" t="s">
        <v>2620</v>
      </c>
      <c r="F307" s="27" t="s">
        <v>2601</v>
      </c>
    </row>
    <row r="308">
      <c r="A308" s="9" t="s">
        <v>1111</v>
      </c>
      <c r="B308" s="9" t="s">
        <v>119</v>
      </c>
      <c r="C308" s="8" t="s">
        <v>80</v>
      </c>
      <c r="D308" s="14" t="s">
        <v>1070</v>
      </c>
      <c r="E308" s="8" t="s">
        <v>2621</v>
      </c>
      <c r="F308" s="27" t="s">
        <v>2596</v>
      </c>
    </row>
    <row r="309">
      <c r="A309" s="9" t="s">
        <v>1112</v>
      </c>
      <c r="B309" s="9" t="s">
        <v>1113</v>
      </c>
      <c r="C309" s="8" t="s">
        <v>65</v>
      </c>
      <c r="D309" s="14" t="s">
        <v>1070</v>
      </c>
      <c r="E309" s="18" t="s">
        <v>2589</v>
      </c>
      <c r="F309" s="27" t="s">
        <v>2573</v>
      </c>
    </row>
    <row r="310">
      <c r="A310" s="9" t="s">
        <v>2068</v>
      </c>
      <c r="B310" s="9" t="s">
        <v>45</v>
      </c>
      <c r="C310" s="8" t="s">
        <v>186</v>
      </c>
      <c r="D310" s="14" t="s">
        <v>2033</v>
      </c>
      <c r="E310" s="18" t="s">
        <v>2556</v>
      </c>
      <c r="F310" s="27" t="s">
        <v>2583</v>
      </c>
    </row>
    <row r="311">
      <c r="A311" s="9" t="s">
        <v>2067</v>
      </c>
      <c r="B311" s="9" t="s">
        <v>569</v>
      </c>
      <c r="C311" s="8" t="s">
        <v>65</v>
      </c>
      <c r="D311" s="14" t="s">
        <v>2033</v>
      </c>
      <c r="E311" s="8" t="s">
        <v>2567</v>
      </c>
      <c r="F311" s="27" t="s">
        <v>2568</v>
      </c>
    </row>
    <row r="312">
      <c r="A312" s="9" t="s">
        <v>2316</v>
      </c>
      <c r="B312" s="9" t="s">
        <v>2317</v>
      </c>
      <c r="C312" s="8" t="s">
        <v>46</v>
      </c>
      <c r="D312" s="14" t="s">
        <v>2296</v>
      </c>
      <c r="E312" s="8" t="s">
        <v>2600</v>
      </c>
      <c r="F312" s="27" t="s">
        <v>2594</v>
      </c>
    </row>
    <row r="313">
      <c r="A313" s="9" t="s">
        <v>868</v>
      </c>
      <c r="B313" s="9" t="s">
        <v>1241</v>
      </c>
      <c r="C313" s="8" t="s">
        <v>75</v>
      </c>
      <c r="D313" s="14" t="s">
        <v>2033</v>
      </c>
      <c r="E313" s="8" t="s">
        <v>2581</v>
      </c>
      <c r="F313" s="27" t="s">
        <v>2570</v>
      </c>
    </row>
    <row r="314">
      <c r="A314" s="9" t="s">
        <v>868</v>
      </c>
      <c r="B314" s="9" t="s">
        <v>869</v>
      </c>
      <c r="C314" s="8" t="s">
        <v>138</v>
      </c>
      <c r="D314" s="14" t="s">
        <v>837</v>
      </c>
      <c r="E314" s="8" t="s">
        <v>2600</v>
      </c>
      <c r="F314" s="27" t="s">
        <v>2622</v>
      </c>
    </row>
    <row r="315">
      <c r="A315" s="9" t="s">
        <v>868</v>
      </c>
      <c r="B315" s="9" t="s">
        <v>1114</v>
      </c>
      <c r="C315" s="8" t="s">
        <v>93</v>
      </c>
      <c r="D315" s="14" t="s">
        <v>1070</v>
      </c>
      <c r="E315" s="8" t="s">
        <v>2598</v>
      </c>
      <c r="F315" s="27" t="s">
        <v>2606</v>
      </c>
    </row>
    <row r="316">
      <c r="A316" s="9" t="s">
        <v>1395</v>
      </c>
      <c r="B316" s="9" t="s">
        <v>464</v>
      </c>
      <c r="C316" s="8" t="s">
        <v>186</v>
      </c>
      <c r="D316" s="14" t="s">
        <v>1352</v>
      </c>
      <c r="E316" s="8" t="s">
        <v>2603</v>
      </c>
      <c r="F316" s="27" t="s">
        <v>2568</v>
      </c>
    </row>
    <row r="317">
      <c r="A317" s="9" t="s">
        <v>870</v>
      </c>
      <c r="B317" s="9" t="s">
        <v>871</v>
      </c>
      <c r="C317" s="8" t="s">
        <v>93</v>
      </c>
      <c r="D317" s="14" t="s">
        <v>837</v>
      </c>
      <c r="E317" s="8" t="s">
        <v>2620</v>
      </c>
      <c r="F317" s="27" t="s">
        <v>2599</v>
      </c>
    </row>
    <row r="318">
      <c r="A318" s="9" t="s">
        <v>2318</v>
      </c>
      <c r="B318" s="9" t="s">
        <v>245</v>
      </c>
      <c r="C318" s="8" t="s">
        <v>65</v>
      </c>
      <c r="D318" s="14" t="s">
        <v>2296</v>
      </c>
      <c r="E318" s="8" t="s">
        <v>2615</v>
      </c>
      <c r="F318" s="27" t="s">
        <v>2601</v>
      </c>
    </row>
    <row r="319">
      <c r="A319" s="9" t="s">
        <v>142</v>
      </c>
      <c r="B319" s="9" t="s">
        <v>143</v>
      </c>
      <c r="C319" s="8" t="s">
        <v>138</v>
      </c>
      <c r="D319" s="14" t="s">
        <v>135</v>
      </c>
      <c r="E319" s="8" t="s">
        <v>2584</v>
      </c>
      <c r="F319" s="27" t="s">
        <v>2559</v>
      </c>
    </row>
    <row r="320">
      <c r="A320" s="9" t="s">
        <v>142</v>
      </c>
      <c r="B320" s="9" t="s">
        <v>726</v>
      </c>
      <c r="C320" s="8" t="s">
        <v>93</v>
      </c>
      <c r="D320" s="14" t="s">
        <v>2033</v>
      </c>
      <c r="E320" s="8" t="s">
        <v>2595</v>
      </c>
      <c r="F320" s="27" t="s">
        <v>2555</v>
      </c>
    </row>
    <row r="321">
      <c r="A321" s="18" t="s">
        <v>142</v>
      </c>
      <c r="B321" s="18" t="s">
        <v>1115</v>
      </c>
      <c r="C321" s="8" t="s">
        <v>59</v>
      </c>
      <c r="D321" s="14" t="s">
        <v>1070</v>
      </c>
      <c r="E321" s="8" t="s">
        <v>2598</v>
      </c>
      <c r="F321" s="27" t="s">
        <v>2608</v>
      </c>
    </row>
    <row r="322">
      <c r="A322" s="9" t="s">
        <v>142</v>
      </c>
      <c r="B322" s="9" t="s">
        <v>2069</v>
      </c>
      <c r="C322" s="8" t="s">
        <v>65</v>
      </c>
      <c r="D322" s="14" t="s">
        <v>2033</v>
      </c>
      <c r="E322" s="8" t="s">
        <v>2567</v>
      </c>
      <c r="F322" s="27" t="s">
        <v>2573</v>
      </c>
    </row>
    <row r="323">
      <c r="A323" s="9" t="s">
        <v>1116</v>
      </c>
      <c r="B323" s="9" t="s">
        <v>1117</v>
      </c>
      <c r="C323" s="8" t="s">
        <v>24</v>
      </c>
      <c r="D323" s="14" t="s">
        <v>1070</v>
      </c>
      <c r="E323" s="8" t="s">
        <v>2577</v>
      </c>
      <c r="F323" s="27" t="s">
        <v>39</v>
      </c>
    </row>
    <row r="324">
      <c r="A324" s="9" t="s">
        <v>1396</v>
      </c>
      <c r="B324" s="9" t="s">
        <v>634</v>
      </c>
      <c r="C324" s="8" t="s">
        <v>93</v>
      </c>
      <c r="D324" s="14" t="s">
        <v>1352</v>
      </c>
      <c r="E324" s="8" t="s">
        <v>2575</v>
      </c>
      <c r="F324" s="27" t="s">
        <v>2573</v>
      </c>
    </row>
    <row r="325">
      <c r="A325" s="18" t="s">
        <v>872</v>
      </c>
      <c r="B325" s="18" t="s">
        <v>269</v>
      </c>
      <c r="C325" s="8" t="s">
        <v>132</v>
      </c>
      <c r="D325" s="14" t="s">
        <v>837</v>
      </c>
      <c r="E325" s="8" t="s">
        <v>2584</v>
      </c>
      <c r="F325" s="27" t="s">
        <v>2573</v>
      </c>
    </row>
    <row r="326">
      <c r="A326" s="9" t="s">
        <v>246</v>
      </c>
      <c r="B326" s="9" t="s">
        <v>247</v>
      </c>
      <c r="C326" s="8" t="s">
        <v>149</v>
      </c>
      <c r="D326" s="14" t="s">
        <v>237</v>
      </c>
      <c r="E326" s="8" t="s">
        <v>2600</v>
      </c>
      <c r="F326" s="27" t="s">
        <v>2607</v>
      </c>
    </row>
    <row r="327">
      <c r="A327" s="9" t="s">
        <v>246</v>
      </c>
      <c r="B327" s="9" t="s">
        <v>1397</v>
      </c>
      <c r="C327" s="8" t="s">
        <v>70</v>
      </c>
      <c r="D327" s="14" t="s">
        <v>1352</v>
      </c>
      <c r="E327" s="8" t="s">
        <v>2560</v>
      </c>
      <c r="F327" s="27" t="s">
        <v>2557</v>
      </c>
    </row>
    <row r="328">
      <c r="A328" s="9" t="s">
        <v>1398</v>
      </c>
      <c r="B328" s="9" t="s">
        <v>1399</v>
      </c>
      <c r="C328" s="8" t="s">
        <v>65</v>
      </c>
      <c r="D328" s="14" t="s">
        <v>1352</v>
      </c>
      <c r="E328" s="8" t="s">
        <v>2572</v>
      </c>
      <c r="F328" s="27" t="s">
        <v>2557</v>
      </c>
    </row>
    <row r="329">
      <c r="A329" s="9" t="s">
        <v>1729</v>
      </c>
      <c r="B329" s="9" t="s">
        <v>100</v>
      </c>
      <c r="C329" s="8" t="s">
        <v>132</v>
      </c>
      <c r="D329" s="14" t="s">
        <v>1679</v>
      </c>
      <c r="E329" s="8" t="s">
        <v>2592</v>
      </c>
      <c r="F329" s="27" t="s">
        <v>2583</v>
      </c>
    </row>
    <row r="330">
      <c r="A330" s="9" t="s">
        <v>873</v>
      </c>
      <c r="B330" s="9" t="s">
        <v>102</v>
      </c>
      <c r="C330" s="8" t="s">
        <v>24</v>
      </c>
      <c r="D330" s="14" t="s">
        <v>837</v>
      </c>
      <c r="E330" s="8" t="s">
        <v>2600</v>
      </c>
      <c r="F330" s="27" t="s">
        <v>27</v>
      </c>
    </row>
    <row r="331">
      <c r="A331" s="9" t="s">
        <v>1730</v>
      </c>
      <c r="B331" s="9" t="s">
        <v>197</v>
      </c>
      <c r="C331" s="8" t="s">
        <v>12</v>
      </c>
      <c r="D331" s="14" t="s">
        <v>1679</v>
      </c>
      <c r="E331" s="18" t="s">
        <v>2556</v>
      </c>
      <c r="F331" s="27" t="s">
        <v>2557</v>
      </c>
    </row>
    <row r="332">
      <c r="A332" s="9" t="s">
        <v>2070</v>
      </c>
      <c r="B332" s="9" t="s">
        <v>549</v>
      </c>
      <c r="C332" s="8" t="s">
        <v>215</v>
      </c>
      <c r="D332" s="14" t="s">
        <v>2033</v>
      </c>
      <c r="E332" s="8" t="s">
        <v>2554</v>
      </c>
      <c r="F332" s="27" t="s">
        <v>2555</v>
      </c>
    </row>
    <row r="333">
      <c r="A333" s="9" t="s">
        <v>356</v>
      </c>
      <c r="B333" s="9" t="s">
        <v>260</v>
      </c>
      <c r="C333" s="8" t="s">
        <v>75</v>
      </c>
      <c r="D333" s="14" t="s">
        <v>338</v>
      </c>
      <c r="E333" s="8" t="s">
        <v>2598</v>
      </c>
      <c r="F333" s="27" t="s">
        <v>2557</v>
      </c>
    </row>
    <row r="334">
      <c r="A334" s="9" t="s">
        <v>144</v>
      </c>
      <c r="B334" s="9" t="s">
        <v>464</v>
      </c>
      <c r="C334" s="8" t="s">
        <v>65</v>
      </c>
      <c r="D334" s="14" t="s">
        <v>1352</v>
      </c>
      <c r="E334" s="8" t="s">
        <v>2595</v>
      </c>
      <c r="F334" s="27" t="s">
        <v>2622</v>
      </c>
    </row>
    <row r="335">
      <c r="A335" s="9" t="s">
        <v>144</v>
      </c>
      <c r="B335" s="9" t="s">
        <v>121</v>
      </c>
      <c r="C335" s="8" t="s">
        <v>93</v>
      </c>
      <c r="D335" s="14" t="s">
        <v>135</v>
      </c>
      <c r="E335" s="8" t="s">
        <v>2575</v>
      </c>
      <c r="F335" s="27" t="s">
        <v>2599</v>
      </c>
    </row>
    <row r="336">
      <c r="A336" s="9" t="s">
        <v>144</v>
      </c>
      <c r="B336" s="9" t="s">
        <v>493</v>
      </c>
      <c r="C336" s="8" t="s">
        <v>16</v>
      </c>
      <c r="D336" s="14" t="s">
        <v>631</v>
      </c>
      <c r="E336" s="18" t="s">
        <v>2556</v>
      </c>
      <c r="F336" s="27" t="s">
        <v>2607</v>
      </c>
    </row>
    <row r="337">
      <c r="A337" s="9" t="s">
        <v>488</v>
      </c>
      <c r="B337" s="9" t="s">
        <v>489</v>
      </c>
      <c r="C337" s="8" t="s">
        <v>215</v>
      </c>
      <c r="D337" s="14" t="s">
        <v>459</v>
      </c>
      <c r="E337" s="8" t="s">
        <v>2581</v>
      </c>
      <c r="F337" s="27" t="s">
        <v>2568</v>
      </c>
    </row>
    <row r="338">
      <c r="A338" s="9" t="s">
        <v>1400</v>
      </c>
      <c r="B338" s="9" t="s">
        <v>301</v>
      </c>
      <c r="C338" s="8" t="s">
        <v>59</v>
      </c>
      <c r="D338" s="14" t="s">
        <v>1352</v>
      </c>
      <c r="E338" s="8" t="s">
        <v>2593</v>
      </c>
      <c r="F338" s="27" t="s">
        <v>2583</v>
      </c>
    </row>
    <row r="339">
      <c r="A339" s="18" t="s">
        <v>490</v>
      </c>
      <c r="B339" s="18" t="s">
        <v>491</v>
      </c>
      <c r="C339" s="8" t="s">
        <v>93</v>
      </c>
      <c r="D339" s="14" t="s">
        <v>459</v>
      </c>
      <c r="E339" s="8" t="s">
        <v>2615</v>
      </c>
      <c r="F339" s="27" t="s">
        <v>2553</v>
      </c>
    </row>
    <row r="340">
      <c r="A340" s="9" t="s">
        <v>492</v>
      </c>
      <c r="B340" s="9" t="s">
        <v>493</v>
      </c>
      <c r="C340" s="8" t="s">
        <v>24</v>
      </c>
      <c r="D340" s="14" t="s">
        <v>459</v>
      </c>
      <c r="E340" s="18" t="s">
        <v>2556</v>
      </c>
      <c r="F340" s="27" t="s">
        <v>2557</v>
      </c>
    </row>
    <row r="341">
      <c r="A341" s="9" t="s">
        <v>1118</v>
      </c>
      <c r="B341" s="9" t="s">
        <v>275</v>
      </c>
      <c r="C341" s="8" t="s">
        <v>70</v>
      </c>
      <c r="D341" s="14" t="s">
        <v>1679</v>
      </c>
      <c r="E341" s="8" t="s">
        <v>2603</v>
      </c>
      <c r="F341" s="27" t="s">
        <v>2604</v>
      </c>
    </row>
    <row r="342">
      <c r="A342" s="9" t="s">
        <v>1118</v>
      </c>
      <c r="B342" s="9" t="s">
        <v>1119</v>
      </c>
      <c r="C342" s="8" t="s">
        <v>70</v>
      </c>
      <c r="D342" s="14" t="s">
        <v>1070</v>
      </c>
      <c r="E342" s="8" t="s">
        <v>2558</v>
      </c>
      <c r="F342" s="27" t="s">
        <v>2618</v>
      </c>
    </row>
    <row r="343">
      <c r="A343" s="9" t="s">
        <v>248</v>
      </c>
      <c r="B343" s="9" t="s">
        <v>249</v>
      </c>
      <c r="C343" s="8" t="s">
        <v>186</v>
      </c>
      <c r="D343" s="14" t="s">
        <v>237</v>
      </c>
      <c r="E343" s="8" t="s">
        <v>2598</v>
      </c>
      <c r="F343" s="27" t="s">
        <v>2622</v>
      </c>
    </row>
    <row r="344">
      <c r="A344" s="9" t="s">
        <v>248</v>
      </c>
      <c r="B344" s="9" t="s">
        <v>1401</v>
      </c>
      <c r="C344" s="8" t="s">
        <v>261</v>
      </c>
      <c r="D344" s="14" t="s">
        <v>1352</v>
      </c>
      <c r="E344" s="8" t="s">
        <v>2610</v>
      </c>
      <c r="F344" s="27" t="s">
        <v>2563</v>
      </c>
    </row>
    <row r="345">
      <c r="A345" s="9" t="s">
        <v>248</v>
      </c>
      <c r="B345" s="9" t="s">
        <v>943</v>
      </c>
      <c r="C345" s="8" t="s">
        <v>65</v>
      </c>
      <c r="D345" s="14" t="s">
        <v>1070</v>
      </c>
      <c r="E345" s="8" t="s">
        <v>2562</v>
      </c>
      <c r="F345" s="27" t="s">
        <v>2568</v>
      </c>
    </row>
    <row r="346">
      <c r="A346" s="9" t="s">
        <v>248</v>
      </c>
      <c r="B346" s="9" t="s">
        <v>1402</v>
      </c>
      <c r="C346" s="8" t="s">
        <v>80</v>
      </c>
      <c r="D346" s="14" t="s">
        <v>1352</v>
      </c>
      <c r="E346" s="8" t="s">
        <v>2620</v>
      </c>
      <c r="F346" s="27" t="s">
        <v>2594</v>
      </c>
    </row>
    <row r="347">
      <c r="A347" s="9" t="s">
        <v>248</v>
      </c>
      <c r="B347" s="9" t="s">
        <v>558</v>
      </c>
      <c r="C347" s="8" t="s">
        <v>186</v>
      </c>
      <c r="D347" s="14" t="s">
        <v>1679</v>
      </c>
      <c r="E347" s="8" t="s">
        <v>2574</v>
      </c>
      <c r="F347" s="27" t="s">
        <v>2583</v>
      </c>
    </row>
    <row r="348">
      <c r="A348" s="9" t="s">
        <v>248</v>
      </c>
      <c r="B348" s="9" t="s">
        <v>58</v>
      </c>
      <c r="C348" s="8" t="s">
        <v>53</v>
      </c>
      <c r="D348" s="14" t="s">
        <v>2033</v>
      </c>
      <c r="E348" s="8" t="s">
        <v>2566</v>
      </c>
      <c r="F348" s="27" t="s">
        <v>2573</v>
      </c>
    </row>
    <row r="349">
      <c r="A349" s="9" t="s">
        <v>494</v>
      </c>
      <c r="B349" s="9" t="s">
        <v>495</v>
      </c>
      <c r="C349" s="8" t="s">
        <v>215</v>
      </c>
      <c r="D349" s="14" t="s">
        <v>459</v>
      </c>
      <c r="E349" s="8" t="s">
        <v>2621</v>
      </c>
      <c r="F349" s="27" t="s">
        <v>2633</v>
      </c>
    </row>
    <row r="350">
      <c r="A350" s="9" t="s">
        <v>2071</v>
      </c>
      <c r="B350" s="9" t="s">
        <v>647</v>
      </c>
      <c r="C350" s="8" t="s">
        <v>186</v>
      </c>
      <c r="D350" s="14" t="s">
        <v>2033</v>
      </c>
      <c r="E350" s="8" t="s">
        <v>2560</v>
      </c>
      <c r="F350" s="27" t="s">
        <v>2622</v>
      </c>
    </row>
    <row r="351">
      <c r="A351" s="9" t="s">
        <v>250</v>
      </c>
      <c r="B351" s="9" t="s">
        <v>212</v>
      </c>
      <c r="C351" s="8" t="s">
        <v>46</v>
      </c>
      <c r="D351" s="14" t="s">
        <v>237</v>
      </c>
      <c r="E351" s="8" t="s">
        <v>2567</v>
      </c>
      <c r="F351" s="27" t="s">
        <v>2611</v>
      </c>
    </row>
    <row r="352">
      <c r="A352" s="9" t="s">
        <v>1120</v>
      </c>
      <c r="B352" s="9" t="s">
        <v>676</v>
      </c>
      <c r="C352" s="8" t="s">
        <v>132</v>
      </c>
      <c r="D352" s="14" t="s">
        <v>1070</v>
      </c>
      <c r="E352" s="8" t="s">
        <v>2582</v>
      </c>
      <c r="F352" s="27" t="s">
        <v>2569</v>
      </c>
    </row>
    <row r="353">
      <c r="A353" s="9" t="s">
        <v>659</v>
      </c>
      <c r="B353" s="9" t="s">
        <v>554</v>
      </c>
      <c r="C353" s="8" t="s">
        <v>12</v>
      </c>
      <c r="D353" s="14" t="s">
        <v>631</v>
      </c>
      <c r="E353" s="8" t="s">
        <v>2560</v>
      </c>
      <c r="F353" s="27" t="s">
        <v>2568</v>
      </c>
    </row>
    <row r="354">
      <c r="A354" s="9" t="s">
        <v>251</v>
      </c>
      <c r="B354" s="9" t="s">
        <v>252</v>
      </c>
      <c r="C354" s="8" t="s">
        <v>24</v>
      </c>
      <c r="D354" s="14" t="s">
        <v>237</v>
      </c>
      <c r="E354" s="8" t="s">
        <v>2585</v>
      </c>
      <c r="F354" s="27" t="s">
        <v>2602</v>
      </c>
    </row>
    <row r="355">
      <c r="A355" s="9" t="s">
        <v>2072</v>
      </c>
      <c r="B355" s="9" t="s">
        <v>277</v>
      </c>
      <c r="C355" s="8" t="s">
        <v>93</v>
      </c>
      <c r="D355" s="14" t="s">
        <v>2033</v>
      </c>
      <c r="E355" s="8" t="s">
        <v>2554</v>
      </c>
      <c r="F355" s="27" t="s">
        <v>2609</v>
      </c>
    </row>
    <row r="356">
      <c r="A356" s="9" t="s">
        <v>554</v>
      </c>
      <c r="B356" s="9" t="s">
        <v>162</v>
      </c>
      <c r="C356" s="8" t="s">
        <v>80</v>
      </c>
      <c r="D356" s="14" t="s">
        <v>2033</v>
      </c>
      <c r="E356" s="8" t="s">
        <v>2566</v>
      </c>
      <c r="F356" s="27" t="s">
        <v>2583</v>
      </c>
    </row>
    <row r="357">
      <c r="A357" s="18" t="s">
        <v>2319</v>
      </c>
      <c r="B357" s="18" t="s">
        <v>529</v>
      </c>
      <c r="C357" s="8" t="s">
        <v>65</v>
      </c>
      <c r="D357" s="14" t="s">
        <v>2296</v>
      </c>
      <c r="E357" s="8" t="s">
        <v>2584</v>
      </c>
      <c r="F357" s="27" t="s">
        <v>2573</v>
      </c>
    </row>
    <row r="358">
      <c r="A358" s="9" t="s">
        <v>357</v>
      </c>
      <c r="B358" s="9" t="s">
        <v>660</v>
      </c>
      <c r="C358" s="8" t="s">
        <v>24</v>
      </c>
      <c r="D358" s="14" t="s">
        <v>631</v>
      </c>
      <c r="E358" s="8" t="s">
        <v>2615</v>
      </c>
      <c r="F358" s="27" t="s">
        <v>2568</v>
      </c>
    </row>
    <row r="359">
      <c r="A359" s="9" t="s">
        <v>1731</v>
      </c>
      <c r="B359" s="9" t="s">
        <v>1732</v>
      </c>
      <c r="C359" s="8" t="s">
        <v>215</v>
      </c>
      <c r="D359" s="14" t="s">
        <v>1679</v>
      </c>
      <c r="E359" s="8" t="s">
        <v>2614</v>
      </c>
      <c r="F359" s="27" t="s">
        <v>2601</v>
      </c>
    </row>
    <row r="360">
      <c r="A360" s="9" t="s">
        <v>1403</v>
      </c>
      <c r="B360" s="9" t="s">
        <v>1404</v>
      </c>
      <c r="C360" s="8" t="s">
        <v>65</v>
      </c>
      <c r="D360" s="14" t="s">
        <v>1352</v>
      </c>
      <c r="E360" s="8" t="s">
        <v>2582</v>
      </c>
      <c r="F360" s="27" t="s">
        <v>2579</v>
      </c>
    </row>
    <row r="361">
      <c r="A361" s="9" t="s">
        <v>1121</v>
      </c>
      <c r="B361" s="9" t="s">
        <v>212</v>
      </c>
      <c r="C361" s="8" t="s">
        <v>53</v>
      </c>
      <c r="D361" s="14" t="s">
        <v>1070</v>
      </c>
      <c r="E361" s="8" t="s">
        <v>2577</v>
      </c>
      <c r="F361" s="27" t="s">
        <v>2622</v>
      </c>
    </row>
    <row r="362">
      <c r="A362" s="9" t="s">
        <v>726</v>
      </c>
      <c r="B362" s="9" t="s">
        <v>2320</v>
      </c>
      <c r="C362" s="8" t="s">
        <v>46</v>
      </c>
      <c r="D362" s="14" t="s">
        <v>2296</v>
      </c>
      <c r="E362" s="8" t="s">
        <v>2582</v>
      </c>
      <c r="F362" s="27" t="s">
        <v>2579</v>
      </c>
    </row>
    <row r="363">
      <c r="A363" s="9" t="s">
        <v>726</v>
      </c>
      <c r="B363" s="9" t="s">
        <v>1733</v>
      </c>
      <c r="C363" s="8" t="s">
        <v>80</v>
      </c>
      <c r="D363" s="14" t="s">
        <v>1679</v>
      </c>
      <c r="E363" s="8" t="s">
        <v>2593</v>
      </c>
      <c r="F363" s="27" t="s">
        <v>2583</v>
      </c>
    </row>
    <row r="364">
      <c r="A364" s="9" t="s">
        <v>1734</v>
      </c>
      <c r="B364" s="9" t="s">
        <v>1735</v>
      </c>
      <c r="C364" s="8" t="s">
        <v>122</v>
      </c>
      <c r="D364" s="14" t="s">
        <v>1679</v>
      </c>
      <c r="E364" s="8" t="s">
        <v>2603</v>
      </c>
      <c r="F364" s="27" t="s">
        <v>2579</v>
      </c>
    </row>
    <row r="365">
      <c r="A365" s="9" t="s">
        <v>1405</v>
      </c>
      <c r="B365" s="9" t="s">
        <v>436</v>
      </c>
      <c r="C365" s="8" t="s">
        <v>59</v>
      </c>
      <c r="D365" s="14" t="s">
        <v>2033</v>
      </c>
      <c r="E365" s="8" t="s">
        <v>2620</v>
      </c>
      <c r="F365" s="27" t="s">
        <v>2607</v>
      </c>
    </row>
    <row r="366">
      <c r="A366" s="9" t="s">
        <v>1405</v>
      </c>
      <c r="B366" s="9" t="s">
        <v>121</v>
      </c>
      <c r="C366" s="8" t="s">
        <v>186</v>
      </c>
      <c r="D366" s="14" t="s">
        <v>1352</v>
      </c>
      <c r="E366" s="8" t="s">
        <v>2574</v>
      </c>
      <c r="F366" s="27" t="s">
        <v>2609</v>
      </c>
    </row>
    <row r="367">
      <c r="A367" s="9" t="s">
        <v>1405</v>
      </c>
      <c r="B367" s="9" t="s">
        <v>231</v>
      </c>
      <c r="C367" s="8" t="s">
        <v>70</v>
      </c>
      <c r="D367" s="14" t="s">
        <v>2033</v>
      </c>
      <c r="E367" s="8" t="s">
        <v>2615</v>
      </c>
      <c r="F367" s="27" t="s">
        <v>2625</v>
      </c>
    </row>
    <row r="368">
      <c r="A368" s="9" t="s">
        <v>193</v>
      </c>
      <c r="B368" s="9" t="s">
        <v>194</v>
      </c>
      <c r="C368" s="8" t="s">
        <v>192</v>
      </c>
      <c r="D368" s="14" t="s">
        <v>189</v>
      </c>
      <c r="E368" s="8" t="s">
        <v>2600</v>
      </c>
      <c r="F368" s="27" t="s">
        <v>2588</v>
      </c>
    </row>
    <row r="369">
      <c r="A369" s="9" t="s">
        <v>2073</v>
      </c>
      <c r="B369" s="9" t="s">
        <v>360</v>
      </c>
      <c r="C369" s="8" t="s">
        <v>186</v>
      </c>
      <c r="D369" s="14" t="s">
        <v>2033</v>
      </c>
      <c r="E369" s="8" t="s">
        <v>2592</v>
      </c>
      <c r="F369" s="27" t="s">
        <v>2576</v>
      </c>
    </row>
    <row r="370">
      <c r="A370" s="9" t="s">
        <v>2321</v>
      </c>
      <c r="B370" s="9" t="s">
        <v>1046</v>
      </c>
      <c r="C370" s="8" t="s">
        <v>75</v>
      </c>
      <c r="D370" s="14" t="s">
        <v>2296</v>
      </c>
      <c r="E370" s="8" t="s">
        <v>2595</v>
      </c>
      <c r="F370" s="27" t="s">
        <v>2609</v>
      </c>
    </row>
    <row r="371">
      <c r="A371" s="9" t="s">
        <v>90</v>
      </c>
      <c r="B371" s="9" t="s">
        <v>1736</v>
      </c>
      <c r="C371" s="8" t="s">
        <v>80</v>
      </c>
      <c r="D371" s="14" t="s">
        <v>1679</v>
      </c>
      <c r="E371" s="8" t="s">
        <v>2575</v>
      </c>
      <c r="F371" s="27" t="s">
        <v>2579</v>
      </c>
    </row>
    <row r="372">
      <c r="A372" s="9" t="s">
        <v>90</v>
      </c>
      <c r="B372" s="9" t="s">
        <v>69</v>
      </c>
      <c r="C372" s="8" t="s">
        <v>215</v>
      </c>
      <c r="D372" s="14" t="s">
        <v>1070</v>
      </c>
      <c r="E372" s="8" t="s">
        <v>2183</v>
      </c>
      <c r="F372" s="27" t="s">
        <v>2578</v>
      </c>
    </row>
    <row r="373">
      <c r="A373" s="9" t="s">
        <v>90</v>
      </c>
      <c r="B373" s="9" t="s">
        <v>822</v>
      </c>
      <c r="C373" s="8" t="s">
        <v>93</v>
      </c>
      <c r="D373" s="14" t="s">
        <v>1352</v>
      </c>
      <c r="E373" s="8" t="s">
        <v>2560</v>
      </c>
      <c r="F373" s="27" t="s">
        <v>2580</v>
      </c>
    </row>
    <row r="374">
      <c r="A374" s="9" t="s">
        <v>90</v>
      </c>
      <c r="B374" s="9" t="s">
        <v>333</v>
      </c>
      <c r="C374" s="8" t="s">
        <v>122</v>
      </c>
      <c r="D374" s="14" t="s">
        <v>2033</v>
      </c>
      <c r="E374" s="8" t="s">
        <v>2558</v>
      </c>
      <c r="F374" s="27" t="s">
        <v>2561</v>
      </c>
    </row>
    <row r="375">
      <c r="A375" s="18" t="s">
        <v>90</v>
      </c>
      <c r="B375" s="18" t="s">
        <v>1122</v>
      </c>
      <c r="C375" s="8" t="s">
        <v>46</v>
      </c>
      <c r="D375" s="14" t="s">
        <v>1070</v>
      </c>
      <c r="E375" s="8" t="s">
        <v>2567</v>
      </c>
      <c r="F375" s="27" t="s">
        <v>2618</v>
      </c>
    </row>
    <row r="376">
      <c r="A376" s="9" t="s">
        <v>165</v>
      </c>
      <c r="B376" s="9" t="s">
        <v>357</v>
      </c>
      <c r="C376" s="8" t="s">
        <v>24</v>
      </c>
      <c r="D376" s="14" t="s">
        <v>338</v>
      </c>
      <c r="E376" s="18" t="s">
        <v>2589</v>
      </c>
      <c r="F376" s="27" t="s">
        <v>2607</v>
      </c>
    </row>
    <row r="377">
      <c r="A377" s="9" t="s">
        <v>253</v>
      </c>
      <c r="B377" s="9" t="s">
        <v>127</v>
      </c>
      <c r="C377" s="8" t="s">
        <v>215</v>
      </c>
      <c r="D377" s="14" t="s">
        <v>237</v>
      </c>
      <c r="E377" s="8" t="s">
        <v>2598</v>
      </c>
      <c r="F377" s="27" t="s">
        <v>2590</v>
      </c>
    </row>
    <row r="378">
      <c r="A378" s="9" t="s">
        <v>1737</v>
      </c>
      <c r="B378" s="9" t="s">
        <v>304</v>
      </c>
      <c r="C378" s="8" t="s">
        <v>70</v>
      </c>
      <c r="D378" s="14" t="s">
        <v>1679</v>
      </c>
      <c r="E378" s="8" t="s">
        <v>2564</v>
      </c>
      <c r="F378" s="27" t="s">
        <v>2601</v>
      </c>
    </row>
    <row r="379">
      <c r="A379" s="18" t="s">
        <v>874</v>
      </c>
      <c r="B379" s="18" t="s">
        <v>491</v>
      </c>
      <c r="C379" s="8" t="s">
        <v>132</v>
      </c>
      <c r="D379" s="14" t="s">
        <v>837</v>
      </c>
      <c r="E379" s="8" t="s">
        <v>2605</v>
      </c>
      <c r="F379" s="27" t="s">
        <v>2594</v>
      </c>
    </row>
    <row r="380">
      <c r="A380" s="9" t="s">
        <v>875</v>
      </c>
      <c r="B380" s="9" t="s">
        <v>876</v>
      </c>
      <c r="C380" s="8" t="s">
        <v>59</v>
      </c>
      <c r="D380" s="14" t="s">
        <v>837</v>
      </c>
      <c r="E380" s="8" t="s">
        <v>2552</v>
      </c>
      <c r="F380" s="27" t="s">
        <v>2576</v>
      </c>
    </row>
    <row r="381">
      <c r="A381" s="9" t="s">
        <v>1123</v>
      </c>
      <c r="B381" s="9" t="s">
        <v>1124</v>
      </c>
      <c r="C381" s="8" t="s">
        <v>59</v>
      </c>
      <c r="D381" s="14" t="s">
        <v>1070</v>
      </c>
      <c r="E381" s="8" t="s">
        <v>2562</v>
      </c>
      <c r="F381" s="27" t="s">
        <v>2559</v>
      </c>
    </row>
    <row r="382">
      <c r="A382" s="9" t="s">
        <v>496</v>
      </c>
      <c r="B382" s="9" t="s">
        <v>497</v>
      </c>
      <c r="C382" s="8" t="s">
        <v>65</v>
      </c>
      <c r="D382" s="14" t="s">
        <v>459</v>
      </c>
      <c r="E382" s="8" t="s">
        <v>2614</v>
      </c>
      <c r="F382" s="27" t="s">
        <v>2607</v>
      </c>
    </row>
    <row r="383">
      <c r="A383" s="9" t="s">
        <v>1738</v>
      </c>
      <c r="B383" s="9" t="s">
        <v>1739</v>
      </c>
      <c r="C383" s="8" t="s">
        <v>65</v>
      </c>
      <c r="D383" s="14" t="s">
        <v>1679</v>
      </c>
      <c r="E383" s="8" t="s">
        <v>2595</v>
      </c>
      <c r="F383" s="27" t="s">
        <v>2555</v>
      </c>
    </row>
    <row r="384">
      <c r="A384" s="9" t="s">
        <v>661</v>
      </c>
      <c r="B384" s="9" t="s">
        <v>597</v>
      </c>
      <c r="C384" s="8" t="s">
        <v>93</v>
      </c>
      <c r="D384" s="14" t="s">
        <v>631</v>
      </c>
      <c r="E384" s="8" t="s">
        <v>2574</v>
      </c>
      <c r="F384" s="27" t="s">
        <v>2602</v>
      </c>
    </row>
    <row r="385">
      <c r="A385" s="9" t="s">
        <v>1740</v>
      </c>
      <c r="B385" s="9" t="s">
        <v>1741</v>
      </c>
      <c r="C385" s="8" t="s">
        <v>70</v>
      </c>
      <c r="D385" s="14" t="s">
        <v>1679</v>
      </c>
      <c r="E385" s="8" t="s">
        <v>2605</v>
      </c>
      <c r="F385" s="27" t="s">
        <v>2625</v>
      </c>
    </row>
    <row r="386">
      <c r="A386" s="9" t="s">
        <v>1406</v>
      </c>
      <c r="B386" s="9" t="s">
        <v>127</v>
      </c>
      <c r="C386" s="8" t="s">
        <v>80</v>
      </c>
      <c r="D386" s="14" t="s">
        <v>1352</v>
      </c>
      <c r="E386" s="8" t="s">
        <v>2585</v>
      </c>
      <c r="F386" s="27" t="s">
        <v>2602</v>
      </c>
    </row>
    <row r="387">
      <c r="A387" s="9" t="s">
        <v>2462</v>
      </c>
      <c r="B387" s="9" t="s">
        <v>33</v>
      </c>
      <c r="C387" s="8" t="s">
        <v>70</v>
      </c>
      <c r="D387" s="14" t="s">
        <v>2459</v>
      </c>
      <c r="E387" s="8" t="s">
        <v>2593</v>
      </c>
      <c r="F387" s="27" t="s">
        <v>2576</v>
      </c>
    </row>
    <row r="388">
      <c r="A388" s="9" t="s">
        <v>349</v>
      </c>
      <c r="B388" s="9" t="s">
        <v>1399</v>
      </c>
      <c r="C388" s="8" t="s">
        <v>186</v>
      </c>
      <c r="D388" s="14" t="s">
        <v>1352</v>
      </c>
      <c r="E388" s="8" t="s">
        <v>2562</v>
      </c>
      <c r="F388" s="27" t="s">
        <v>2565</v>
      </c>
    </row>
    <row r="389">
      <c r="A389" s="9" t="s">
        <v>349</v>
      </c>
      <c r="B389" s="9" t="s">
        <v>1125</v>
      </c>
      <c r="C389" s="8" t="s">
        <v>65</v>
      </c>
      <c r="D389" s="14" t="s">
        <v>1070</v>
      </c>
      <c r="E389" s="8" t="s">
        <v>2584</v>
      </c>
      <c r="F389" s="27" t="s">
        <v>2590</v>
      </c>
    </row>
    <row r="390">
      <c r="A390" s="9" t="s">
        <v>349</v>
      </c>
      <c r="B390" s="9" t="s">
        <v>111</v>
      </c>
      <c r="C390" s="8" t="s">
        <v>141</v>
      </c>
      <c r="D390" s="14" t="s">
        <v>2033</v>
      </c>
      <c r="E390" s="18" t="s">
        <v>2589</v>
      </c>
      <c r="F390" s="27" t="s">
        <v>2576</v>
      </c>
    </row>
    <row r="391">
      <c r="A391" s="9" t="s">
        <v>877</v>
      </c>
      <c r="B391" s="9" t="s">
        <v>304</v>
      </c>
      <c r="C391" s="8" t="s">
        <v>65</v>
      </c>
      <c r="D391" s="14" t="s">
        <v>1352</v>
      </c>
      <c r="E391" s="8" t="s">
        <v>2566</v>
      </c>
      <c r="F391" s="27" t="s">
        <v>2565</v>
      </c>
    </row>
    <row r="392">
      <c r="A392" s="9" t="s">
        <v>877</v>
      </c>
      <c r="B392" s="9" t="s">
        <v>381</v>
      </c>
      <c r="C392" s="8" t="s">
        <v>93</v>
      </c>
      <c r="D392" s="14" t="s">
        <v>1070</v>
      </c>
      <c r="E392" s="8" t="s">
        <v>2554</v>
      </c>
      <c r="F392" s="27" t="s">
        <v>2590</v>
      </c>
    </row>
    <row r="393">
      <c r="A393" s="9" t="s">
        <v>877</v>
      </c>
      <c r="B393" s="9" t="s">
        <v>878</v>
      </c>
      <c r="C393" s="8" t="s">
        <v>46</v>
      </c>
      <c r="D393" s="14" t="s">
        <v>837</v>
      </c>
      <c r="E393" s="8" t="s">
        <v>2585</v>
      </c>
      <c r="F393" s="27" t="s">
        <v>2609</v>
      </c>
    </row>
    <row r="394">
      <c r="A394" s="9" t="s">
        <v>877</v>
      </c>
      <c r="B394" s="9" t="s">
        <v>1126</v>
      </c>
      <c r="C394" s="8" t="s">
        <v>70</v>
      </c>
      <c r="D394" s="14" t="s">
        <v>1070</v>
      </c>
      <c r="E394" s="8" t="s">
        <v>2585</v>
      </c>
      <c r="F394" s="27" t="s">
        <v>2578</v>
      </c>
    </row>
    <row r="395">
      <c r="A395" s="9" t="s">
        <v>1407</v>
      </c>
      <c r="B395" s="9" t="s">
        <v>1408</v>
      </c>
      <c r="C395" s="8" t="s">
        <v>122</v>
      </c>
      <c r="D395" s="14" t="s">
        <v>1352</v>
      </c>
      <c r="E395" s="8" t="s">
        <v>2615</v>
      </c>
      <c r="F395" s="27" t="s">
        <v>2622</v>
      </c>
    </row>
    <row r="396">
      <c r="A396" s="18" t="s">
        <v>2074</v>
      </c>
      <c r="B396" s="18" t="s">
        <v>512</v>
      </c>
      <c r="C396" s="8" t="s">
        <v>215</v>
      </c>
      <c r="D396" s="14" t="s">
        <v>2033</v>
      </c>
      <c r="E396" s="8" t="s">
        <v>2603</v>
      </c>
      <c r="F396" s="27" t="s">
        <v>2557</v>
      </c>
    </row>
    <row r="397">
      <c r="A397" s="9" t="s">
        <v>498</v>
      </c>
      <c r="B397" s="9" t="s">
        <v>1129</v>
      </c>
      <c r="C397" s="8" t="s">
        <v>46</v>
      </c>
      <c r="D397" s="14" t="s">
        <v>1070</v>
      </c>
      <c r="E397" s="8" t="s">
        <v>2552</v>
      </c>
      <c r="F397" s="27" t="s">
        <v>2583</v>
      </c>
    </row>
    <row r="398">
      <c r="A398" s="9" t="s">
        <v>498</v>
      </c>
      <c r="B398" s="9" t="s">
        <v>1128</v>
      </c>
      <c r="C398" s="8" t="s">
        <v>93</v>
      </c>
      <c r="D398" s="14" t="s">
        <v>1070</v>
      </c>
      <c r="E398" s="8" t="s">
        <v>2567</v>
      </c>
      <c r="F398" s="27" t="s">
        <v>2563</v>
      </c>
    </row>
    <row r="399">
      <c r="A399" s="9" t="s">
        <v>498</v>
      </c>
      <c r="B399" s="9" t="s">
        <v>499</v>
      </c>
      <c r="C399" s="8" t="s">
        <v>53</v>
      </c>
      <c r="D399" s="14" t="s">
        <v>459</v>
      </c>
      <c r="E399" s="8" t="s">
        <v>2600</v>
      </c>
      <c r="F399" s="27" t="s">
        <v>2602</v>
      </c>
    </row>
    <row r="400">
      <c r="A400" s="18" t="s">
        <v>498</v>
      </c>
      <c r="B400" s="18" t="s">
        <v>1127</v>
      </c>
      <c r="C400" s="8" t="s">
        <v>149</v>
      </c>
      <c r="D400" s="14" t="s">
        <v>1070</v>
      </c>
      <c r="E400" s="8" t="s">
        <v>2614</v>
      </c>
      <c r="F400" s="27" t="s">
        <v>2571</v>
      </c>
    </row>
    <row r="401">
      <c r="A401" s="9" t="s">
        <v>498</v>
      </c>
      <c r="B401" s="9" t="s">
        <v>1409</v>
      </c>
      <c r="C401" s="8" t="s">
        <v>192</v>
      </c>
      <c r="D401" s="14" t="s">
        <v>1352</v>
      </c>
      <c r="E401" s="8" t="s">
        <v>2582</v>
      </c>
      <c r="F401" s="27" t="s">
        <v>2578</v>
      </c>
    </row>
    <row r="402">
      <c r="A402" s="9" t="s">
        <v>498</v>
      </c>
      <c r="B402" s="9" t="s">
        <v>1742</v>
      </c>
      <c r="C402" s="8" t="s">
        <v>122</v>
      </c>
      <c r="D402" s="14" t="s">
        <v>1679</v>
      </c>
      <c r="E402" s="8" t="s">
        <v>2614</v>
      </c>
      <c r="F402" s="27" t="s">
        <v>2553</v>
      </c>
    </row>
    <row r="403">
      <c r="A403" s="9" t="s">
        <v>36</v>
      </c>
      <c r="B403" s="9" t="s">
        <v>109</v>
      </c>
      <c r="C403" s="8" t="s">
        <v>38</v>
      </c>
      <c r="D403" s="14" t="s">
        <v>108</v>
      </c>
      <c r="E403" s="8" t="s">
        <v>2615</v>
      </c>
      <c r="F403" s="27" t="s">
        <v>2590</v>
      </c>
    </row>
    <row r="404">
      <c r="A404" s="9" t="s">
        <v>36</v>
      </c>
      <c r="B404" s="9" t="s">
        <v>37</v>
      </c>
      <c r="C404" s="8" t="s">
        <v>38</v>
      </c>
      <c r="D404" s="14" t="s">
        <v>39</v>
      </c>
      <c r="E404" s="8" t="s">
        <v>2183</v>
      </c>
      <c r="F404" s="27" t="s">
        <v>2599</v>
      </c>
    </row>
    <row r="405">
      <c r="A405" s="9" t="s">
        <v>879</v>
      </c>
      <c r="B405" s="9" t="s">
        <v>98</v>
      </c>
      <c r="C405" s="8" t="s">
        <v>93</v>
      </c>
      <c r="D405" s="14" t="s">
        <v>837</v>
      </c>
      <c r="E405" s="8" t="s">
        <v>2562</v>
      </c>
      <c r="F405" s="27" t="s">
        <v>2601</v>
      </c>
    </row>
    <row r="406">
      <c r="A406" s="9" t="s">
        <v>2075</v>
      </c>
      <c r="B406" s="9" t="s">
        <v>23</v>
      </c>
      <c r="C406" s="8" t="s">
        <v>138</v>
      </c>
      <c r="D406" s="14" t="s">
        <v>2033</v>
      </c>
      <c r="E406" s="8" t="s">
        <v>2598</v>
      </c>
      <c r="F406" s="27" t="s">
        <v>2568</v>
      </c>
    </row>
    <row r="407">
      <c r="A407" s="9" t="s">
        <v>358</v>
      </c>
      <c r="B407" s="9" t="s">
        <v>15</v>
      </c>
      <c r="C407" s="8" t="s">
        <v>75</v>
      </c>
      <c r="D407" s="14" t="s">
        <v>338</v>
      </c>
      <c r="E407" s="8" t="s">
        <v>2560</v>
      </c>
      <c r="F407" s="27" t="s">
        <v>2563</v>
      </c>
    </row>
    <row r="408">
      <c r="A408" s="9" t="s">
        <v>1410</v>
      </c>
      <c r="B408" s="9" t="s">
        <v>360</v>
      </c>
      <c r="C408" s="8" t="s">
        <v>149</v>
      </c>
      <c r="D408" s="14" t="s">
        <v>1352</v>
      </c>
      <c r="E408" s="8" t="s">
        <v>2621</v>
      </c>
      <c r="F408" s="27" t="s">
        <v>2586</v>
      </c>
    </row>
    <row r="409">
      <c r="A409" s="9" t="s">
        <v>1410</v>
      </c>
      <c r="B409" s="9" t="s">
        <v>676</v>
      </c>
      <c r="C409" s="8" t="s">
        <v>24</v>
      </c>
      <c r="D409" s="14" t="s">
        <v>1679</v>
      </c>
      <c r="E409" s="8" t="s">
        <v>2552</v>
      </c>
      <c r="F409" s="27" t="s">
        <v>2622</v>
      </c>
    </row>
    <row r="410">
      <c r="A410" s="9" t="s">
        <v>1130</v>
      </c>
      <c r="B410" s="9" t="s">
        <v>275</v>
      </c>
      <c r="C410" s="8" t="s">
        <v>65</v>
      </c>
      <c r="D410" s="14" t="s">
        <v>1070</v>
      </c>
      <c r="E410" s="8" t="s">
        <v>2584</v>
      </c>
      <c r="F410" s="27" t="s">
        <v>2601</v>
      </c>
    </row>
    <row r="411">
      <c r="A411" s="9" t="s">
        <v>1130</v>
      </c>
      <c r="B411" s="9" t="s">
        <v>1743</v>
      </c>
      <c r="C411" s="8" t="s">
        <v>93</v>
      </c>
      <c r="D411" s="14" t="s">
        <v>1679</v>
      </c>
      <c r="E411" s="18" t="s">
        <v>2556</v>
      </c>
      <c r="F411" s="27" t="s">
        <v>2608</v>
      </c>
    </row>
    <row r="412">
      <c r="A412" s="9" t="s">
        <v>2076</v>
      </c>
      <c r="B412" s="9" t="s">
        <v>67</v>
      </c>
      <c r="C412" s="8" t="s">
        <v>186</v>
      </c>
      <c r="D412" s="14" t="s">
        <v>2033</v>
      </c>
      <c r="E412" s="8" t="s">
        <v>2566</v>
      </c>
      <c r="F412" s="27" t="s">
        <v>2579</v>
      </c>
    </row>
    <row r="413">
      <c r="A413" s="9" t="s">
        <v>1744</v>
      </c>
      <c r="B413" s="9" t="s">
        <v>260</v>
      </c>
      <c r="C413" s="8" t="s">
        <v>70</v>
      </c>
      <c r="D413" s="14" t="s">
        <v>1679</v>
      </c>
      <c r="E413" s="8" t="s">
        <v>2577</v>
      </c>
      <c r="F413" s="27" t="s">
        <v>2578</v>
      </c>
    </row>
    <row r="414">
      <c r="A414" s="9" t="s">
        <v>195</v>
      </c>
      <c r="B414" s="9" t="s">
        <v>1131</v>
      </c>
      <c r="C414" s="8" t="s">
        <v>16</v>
      </c>
      <c r="D414" s="14" t="s">
        <v>1070</v>
      </c>
      <c r="E414" s="8" t="s">
        <v>2554</v>
      </c>
      <c r="F414" s="27" t="s">
        <v>2627</v>
      </c>
    </row>
    <row r="415">
      <c r="A415" s="9" t="s">
        <v>195</v>
      </c>
      <c r="B415" s="9" t="s">
        <v>1644</v>
      </c>
      <c r="C415" s="8" t="s">
        <v>70</v>
      </c>
      <c r="D415" s="14" t="s">
        <v>1679</v>
      </c>
      <c r="E415" s="8" t="s">
        <v>2552</v>
      </c>
      <c r="F415" s="27" t="s">
        <v>2625</v>
      </c>
    </row>
    <row r="416">
      <c r="A416" s="9" t="s">
        <v>195</v>
      </c>
      <c r="B416" s="9" t="s">
        <v>196</v>
      </c>
      <c r="C416" s="8" t="s">
        <v>24</v>
      </c>
      <c r="D416" s="14" t="s">
        <v>189</v>
      </c>
      <c r="E416" s="8" t="s">
        <v>2595</v>
      </c>
      <c r="F416" s="27" t="s">
        <v>2604</v>
      </c>
    </row>
    <row r="417">
      <c r="A417" s="9" t="s">
        <v>1745</v>
      </c>
      <c r="B417" s="9" t="s">
        <v>222</v>
      </c>
      <c r="C417" s="8" t="s">
        <v>38</v>
      </c>
      <c r="D417" s="14" t="s">
        <v>1679</v>
      </c>
      <c r="E417" s="8" t="s">
        <v>2584</v>
      </c>
      <c r="F417" s="27" t="s">
        <v>2591</v>
      </c>
    </row>
    <row r="418">
      <c r="A418" s="9" t="s">
        <v>1412</v>
      </c>
      <c r="B418" s="9" t="s">
        <v>1413</v>
      </c>
      <c r="C418" s="8" t="s">
        <v>65</v>
      </c>
      <c r="D418" s="14" t="s">
        <v>1352</v>
      </c>
      <c r="E418" s="8" t="s">
        <v>2593</v>
      </c>
      <c r="F418" s="27" t="s">
        <v>2604</v>
      </c>
    </row>
    <row r="419">
      <c r="A419" s="9" t="s">
        <v>500</v>
      </c>
      <c r="B419" s="9" t="s">
        <v>1411</v>
      </c>
      <c r="C419" s="8" t="s">
        <v>65</v>
      </c>
      <c r="D419" s="14" t="s">
        <v>1352</v>
      </c>
      <c r="E419" s="8" t="s">
        <v>2614</v>
      </c>
      <c r="F419" s="27" t="s">
        <v>2596</v>
      </c>
    </row>
    <row r="420">
      <c r="A420" s="9" t="s">
        <v>500</v>
      </c>
      <c r="B420" s="9" t="s">
        <v>275</v>
      </c>
      <c r="C420" s="8" t="s">
        <v>80</v>
      </c>
      <c r="D420" s="14" t="s">
        <v>1352</v>
      </c>
      <c r="E420" s="8" t="s">
        <v>2598</v>
      </c>
      <c r="F420" s="27" t="s">
        <v>2570</v>
      </c>
    </row>
    <row r="421">
      <c r="A421" s="9" t="s">
        <v>500</v>
      </c>
      <c r="B421" s="9" t="s">
        <v>247</v>
      </c>
      <c r="C421" s="8" t="s">
        <v>93</v>
      </c>
      <c r="D421" s="14" t="s">
        <v>459</v>
      </c>
      <c r="E421" s="8" t="s">
        <v>2554</v>
      </c>
      <c r="F421" s="27" t="s">
        <v>2568</v>
      </c>
    </row>
    <row r="422">
      <c r="A422" s="9" t="s">
        <v>500</v>
      </c>
      <c r="B422" s="9" t="s">
        <v>1746</v>
      </c>
      <c r="C422" s="8" t="s">
        <v>65</v>
      </c>
      <c r="D422" s="14" t="s">
        <v>1679</v>
      </c>
      <c r="E422" s="18" t="s">
        <v>2589</v>
      </c>
      <c r="F422" s="27" t="s">
        <v>2583</v>
      </c>
    </row>
    <row r="423">
      <c r="A423" s="9" t="s">
        <v>662</v>
      </c>
      <c r="B423" s="9" t="s">
        <v>121</v>
      </c>
      <c r="C423" s="8" t="s">
        <v>59</v>
      </c>
      <c r="D423" s="14" t="s">
        <v>631</v>
      </c>
      <c r="E423" s="8" t="s">
        <v>2560</v>
      </c>
      <c r="F423" s="27" t="s">
        <v>2565</v>
      </c>
    </row>
    <row r="424">
      <c r="A424" s="9" t="s">
        <v>2077</v>
      </c>
      <c r="B424" s="9" t="s">
        <v>464</v>
      </c>
      <c r="C424" s="8" t="s">
        <v>132</v>
      </c>
      <c r="D424" s="14" t="s">
        <v>2033</v>
      </c>
      <c r="E424" s="8" t="s">
        <v>2615</v>
      </c>
      <c r="F424" s="27" t="s">
        <v>2591</v>
      </c>
    </row>
    <row r="425">
      <c r="A425" s="9" t="s">
        <v>1414</v>
      </c>
      <c r="B425" s="9" t="s">
        <v>362</v>
      </c>
      <c r="C425" s="8" t="s">
        <v>65</v>
      </c>
      <c r="D425" s="14" t="s">
        <v>1352</v>
      </c>
      <c r="E425" s="8" t="s">
        <v>2610</v>
      </c>
      <c r="F425" s="27" t="s">
        <v>2557</v>
      </c>
    </row>
    <row r="426">
      <c r="A426" s="9" t="s">
        <v>1415</v>
      </c>
      <c r="B426" s="9" t="s">
        <v>1416</v>
      </c>
      <c r="C426" s="8" t="s">
        <v>59</v>
      </c>
      <c r="D426" s="14" t="s">
        <v>1352</v>
      </c>
      <c r="E426" s="8" t="s">
        <v>2621</v>
      </c>
      <c r="F426" s="27" t="s">
        <v>2573</v>
      </c>
    </row>
    <row r="427">
      <c r="A427" s="9" t="s">
        <v>1747</v>
      </c>
      <c r="B427" s="9" t="s">
        <v>1015</v>
      </c>
      <c r="C427" s="8" t="s">
        <v>122</v>
      </c>
      <c r="D427" s="14" t="s">
        <v>1679</v>
      </c>
      <c r="E427" s="8" t="s">
        <v>2552</v>
      </c>
      <c r="F427" s="27" t="s">
        <v>2612</v>
      </c>
    </row>
    <row r="428">
      <c r="A428" s="9" t="s">
        <v>1132</v>
      </c>
      <c r="B428" s="9" t="s">
        <v>647</v>
      </c>
      <c r="C428" s="8" t="s">
        <v>192</v>
      </c>
      <c r="D428" s="14" t="s">
        <v>1070</v>
      </c>
      <c r="E428" s="8" t="s">
        <v>2564</v>
      </c>
      <c r="F428" s="27" t="s">
        <v>2568</v>
      </c>
    </row>
    <row r="429">
      <c r="A429" s="9" t="s">
        <v>254</v>
      </c>
      <c r="B429" s="9" t="s">
        <v>255</v>
      </c>
      <c r="C429" s="8" t="s">
        <v>16</v>
      </c>
      <c r="D429" s="14" t="s">
        <v>237</v>
      </c>
      <c r="E429" s="8" t="s">
        <v>2552</v>
      </c>
      <c r="F429" s="27" t="s">
        <v>2599</v>
      </c>
    </row>
    <row r="430">
      <c r="A430" s="9" t="s">
        <v>2322</v>
      </c>
      <c r="B430" s="9" t="s">
        <v>2323</v>
      </c>
      <c r="C430" s="8" t="s">
        <v>65</v>
      </c>
      <c r="D430" s="14" t="s">
        <v>2296</v>
      </c>
      <c r="E430" s="8" t="s">
        <v>2562</v>
      </c>
      <c r="F430" s="27" t="s">
        <v>2602</v>
      </c>
    </row>
    <row r="431">
      <c r="A431" s="9" t="s">
        <v>1417</v>
      </c>
      <c r="B431" s="9" t="s">
        <v>275</v>
      </c>
      <c r="C431" s="8" t="s">
        <v>53</v>
      </c>
      <c r="D431" s="14" t="s">
        <v>2033</v>
      </c>
      <c r="E431" s="8" t="s">
        <v>2614</v>
      </c>
      <c r="F431" s="27" t="s">
        <v>2576</v>
      </c>
    </row>
    <row r="432">
      <c r="A432" s="9" t="s">
        <v>1417</v>
      </c>
      <c r="B432" s="9" t="s">
        <v>726</v>
      </c>
      <c r="C432" s="8" t="s">
        <v>122</v>
      </c>
      <c r="D432" s="14" t="s">
        <v>1352</v>
      </c>
      <c r="E432" s="8" t="s">
        <v>2614</v>
      </c>
      <c r="F432" s="27" t="s">
        <v>2602</v>
      </c>
    </row>
    <row r="433">
      <c r="A433" s="9" t="s">
        <v>1748</v>
      </c>
      <c r="B433" s="9" t="s">
        <v>1749</v>
      </c>
      <c r="C433" s="8" t="s">
        <v>149</v>
      </c>
      <c r="D433" s="14" t="s">
        <v>1679</v>
      </c>
      <c r="E433" s="8" t="s">
        <v>2605</v>
      </c>
      <c r="F433" s="27" t="s">
        <v>2606</v>
      </c>
    </row>
    <row r="434">
      <c r="A434" s="9" t="s">
        <v>2324</v>
      </c>
      <c r="B434" s="9" t="s">
        <v>1210</v>
      </c>
      <c r="C434" s="8" t="s">
        <v>122</v>
      </c>
      <c r="D434" s="14" t="s">
        <v>2296</v>
      </c>
      <c r="E434" s="8" t="s">
        <v>2600</v>
      </c>
      <c r="F434" s="27" t="s">
        <v>2555</v>
      </c>
    </row>
    <row r="435">
      <c r="A435" s="9" t="s">
        <v>663</v>
      </c>
      <c r="B435" s="9" t="s">
        <v>260</v>
      </c>
      <c r="C435" s="8" t="s">
        <v>138</v>
      </c>
      <c r="D435" s="14" t="s">
        <v>631</v>
      </c>
      <c r="E435" s="18" t="s">
        <v>2556</v>
      </c>
      <c r="F435" s="27" t="s">
        <v>2622</v>
      </c>
    </row>
    <row r="436">
      <c r="A436" s="9" t="s">
        <v>145</v>
      </c>
      <c r="B436" s="9" t="s">
        <v>354</v>
      </c>
      <c r="C436" s="8" t="s">
        <v>53</v>
      </c>
      <c r="D436" s="14" t="s">
        <v>1352</v>
      </c>
      <c r="E436" s="8" t="s">
        <v>2574</v>
      </c>
      <c r="F436" s="27" t="s">
        <v>2555</v>
      </c>
    </row>
    <row r="437">
      <c r="A437" s="9" t="s">
        <v>145</v>
      </c>
      <c r="B437" s="9" t="s">
        <v>554</v>
      </c>
      <c r="C437" s="8" t="s">
        <v>261</v>
      </c>
      <c r="D437" s="14" t="s">
        <v>2033</v>
      </c>
      <c r="E437" s="8" t="s">
        <v>2581</v>
      </c>
      <c r="F437" s="27" t="s">
        <v>2583</v>
      </c>
    </row>
    <row r="438">
      <c r="A438" s="9" t="s">
        <v>145</v>
      </c>
      <c r="B438" s="9" t="s">
        <v>1418</v>
      </c>
      <c r="C438" s="8" t="s">
        <v>192</v>
      </c>
      <c r="D438" s="14" t="s">
        <v>1352</v>
      </c>
      <c r="E438" s="8" t="s">
        <v>2610</v>
      </c>
      <c r="F438" s="27" t="s">
        <v>2555</v>
      </c>
    </row>
    <row r="439">
      <c r="A439" s="9" t="s">
        <v>145</v>
      </c>
      <c r="B439" s="9" t="s">
        <v>664</v>
      </c>
      <c r="C439" s="8" t="s">
        <v>122</v>
      </c>
      <c r="D439" s="14" t="s">
        <v>631</v>
      </c>
      <c r="E439" s="8" t="s">
        <v>2564</v>
      </c>
      <c r="F439" s="27" t="s">
        <v>2623</v>
      </c>
    </row>
    <row r="440">
      <c r="A440" s="9" t="s">
        <v>145</v>
      </c>
      <c r="B440" s="9" t="s">
        <v>146</v>
      </c>
      <c r="C440" s="8" t="s">
        <v>24</v>
      </c>
      <c r="D440" s="14" t="s">
        <v>135</v>
      </c>
      <c r="E440" s="8" t="s">
        <v>2575</v>
      </c>
      <c r="F440" s="27" t="s">
        <v>2629</v>
      </c>
    </row>
    <row r="441">
      <c r="A441" s="9" t="s">
        <v>1750</v>
      </c>
      <c r="B441" s="9" t="s">
        <v>1751</v>
      </c>
      <c r="C441" s="8" t="s">
        <v>65</v>
      </c>
      <c r="D441" s="14" t="s">
        <v>1679</v>
      </c>
      <c r="E441" s="8" t="s">
        <v>2620</v>
      </c>
      <c r="F441" s="27" t="s">
        <v>2563</v>
      </c>
    </row>
    <row r="442">
      <c r="A442" s="18" t="s">
        <v>1752</v>
      </c>
      <c r="B442" s="18" t="s">
        <v>1753</v>
      </c>
      <c r="C442" s="8" t="s">
        <v>192</v>
      </c>
      <c r="D442" s="14" t="s">
        <v>1679</v>
      </c>
      <c r="E442" s="8" t="s">
        <v>2620</v>
      </c>
      <c r="F442" s="27" t="s">
        <v>2591</v>
      </c>
    </row>
    <row r="443">
      <c r="A443" s="9" t="s">
        <v>359</v>
      </c>
      <c r="B443" s="9" t="s">
        <v>360</v>
      </c>
      <c r="C443" s="8" t="s">
        <v>122</v>
      </c>
      <c r="D443" s="14" t="s">
        <v>338</v>
      </c>
      <c r="E443" s="8" t="s">
        <v>2598</v>
      </c>
      <c r="F443" s="27" t="s">
        <v>2591</v>
      </c>
    </row>
    <row r="444">
      <c r="A444" s="9" t="s">
        <v>359</v>
      </c>
      <c r="B444" s="9" t="s">
        <v>260</v>
      </c>
      <c r="C444" s="8" t="s">
        <v>186</v>
      </c>
      <c r="D444" s="14" t="s">
        <v>1679</v>
      </c>
      <c r="E444" s="8" t="s">
        <v>2558</v>
      </c>
      <c r="F444" s="27" t="s">
        <v>2594</v>
      </c>
    </row>
    <row r="445">
      <c r="A445" s="9" t="s">
        <v>359</v>
      </c>
      <c r="B445" s="9" t="s">
        <v>501</v>
      </c>
      <c r="C445" s="8" t="s">
        <v>215</v>
      </c>
      <c r="D445" s="14" t="s">
        <v>459</v>
      </c>
      <c r="E445" s="8" t="s">
        <v>2614</v>
      </c>
      <c r="F445" s="27" t="s">
        <v>2608</v>
      </c>
    </row>
    <row r="446">
      <c r="A446" s="9" t="s">
        <v>359</v>
      </c>
      <c r="B446" s="9" t="s">
        <v>596</v>
      </c>
      <c r="C446" s="8" t="s">
        <v>93</v>
      </c>
      <c r="D446" s="14" t="s">
        <v>2033</v>
      </c>
      <c r="E446" s="8" t="s">
        <v>2562</v>
      </c>
      <c r="F446" s="27" t="s">
        <v>2583</v>
      </c>
    </row>
    <row r="447">
      <c r="A447" s="9" t="s">
        <v>1133</v>
      </c>
      <c r="B447" s="9" t="s">
        <v>1134</v>
      </c>
      <c r="C447" s="8" t="s">
        <v>93</v>
      </c>
      <c r="D447" s="14" t="s">
        <v>1070</v>
      </c>
      <c r="E447" s="8" t="s">
        <v>2595</v>
      </c>
      <c r="F447" s="27" t="s">
        <v>2601</v>
      </c>
    </row>
    <row r="448">
      <c r="A448" s="9" t="s">
        <v>1419</v>
      </c>
      <c r="B448" s="9" t="s">
        <v>45</v>
      </c>
      <c r="C448" s="8" t="s">
        <v>24</v>
      </c>
      <c r="D448" s="14" t="s">
        <v>1352</v>
      </c>
      <c r="E448" s="8" t="s">
        <v>2587</v>
      </c>
      <c r="F448" s="27" t="s">
        <v>2602</v>
      </c>
    </row>
    <row r="449">
      <c r="A449" s="9" t="s">
        <v>110</v>
      </c>
      <c r="B449" s="9" t="s">
        <v>111</v>
      </c>
      <c r="C449" s="8" t="s">
        <v>12</v>
      </c>
      <c r="D449" s="14" t="s">
        <v>108</v>
      </c>
      <c r="E449" s="8" t="s">
        <v>2558</v>
      </c>
      <c r="F449" s="27" t="s">
        <v>2553</v>
      </c>
    </row>
    <row r="450">
      <c r="A450" s="9" t="s">
        <v>110</v>
      </c>
      <c r="B450" s="9" t="s">
        <v>1666</v>
      </c>
      <c r="C450" s="8" t="s">
        <v>215</v>
      </c>
      <c r="D450" s="14" t="s">
        <v>2296</v>
      </c>
      <c r="E450" s="18" t="s">
        <v>2556</v>
      </c>
      <c r="F450" s="27" t="s">
        <v>2568</v>
      </c>
    </row>
    <row r="451">
      <c r="A451" s="9" t="s">
        <v>110</v>
      </c>
      <c r="B451" s="9" t="s">
        <v>836</v>
      </c>
      <c r="C451" s="8" t="s">
        <v>46</v>
      </c>
      <c r="D451" s="14" t="s">
        <v>2033</v>
      </c>
      <c r="E451" s="8" t="s">
        <v>2554</v>
      </c>
      <c r="F451" s="27" t="s">
        <v>2563</v>
      </c>
    </row>
    <row r="452">
      <c r="A452" s="9" t="s">
        <v>2078</v>
      </c>
      <c r="B452" s="9" t="s">
        <v>1680</v>
      </c>
      <c r="C452" s="8" t="s">
        <v>93</v>
      </c>
      <c r="D452" s="14" t="s">
        <v>2033</v>
      </c>
      <c r="E452" s="8" t="s">
        <v>2600</v>
      </c>
      <c r="F452" s="27" t="s">
        <v>2622</v>
      </c>
    </row>
    <row r="453">
      <c r="A453" s="9" t="s">
        <v>1135</v>
      </c>
      <c r="B453" s="9" t="s">
        <v>1136</v>
      </c>
      <c r="C453" s="8" t="s">
        <v>65</v>
      </c>
      <c r="D453" s="14" t="s">
        <v>1070</v>
      </c>
      <c r="E453" s="8" t="s">
        <v>2560</v>
      </c>
      <c r="F453" s="27" t="s">
        <v>2608</v>
      </c>
    </row>
    <row r="454">
      <c r="A454" s="9" t="s">
        <v>1137</v>
      </c>
      <c r="B454" s="9" t="s">
        <v>948</v>
      </c>
      <c r="C454" s="8" t="s">
        <v>70</v>
      </c>
      <c r="D454" s="14" t="s">
        <v>1070</v>
      </c>
      <c r="E454" s="18" t="s">
        <v>2556</v>
      </c>
      <c r="F454" s="27" t="s">
        <v>2608</v>
      </c>
    </row>
    <row r="455">
      <c r="A455" s="9" t="s">
        <v>1754</v>
      </c>
      <c r="B455" s="9" t="s">
        <v>1755</v>
      </c>
      <c r="C455" s="8" t="s">
        <v>80</v>
      </c>
      <c r="D455" s="14" t="s">
        <v>1679</v>
      </c>
      <c r="E455" s="8" t="s">
        <v>2621</v>
      </c>
      <c r="F455" s="27" t="s">
        <v>2563</v>
      </c>
    </row>
    <row r="456">
      <c r="A456" s="9" t="s">
        <v>1138</v>
      </c>
      <c r="B456" s="9" t="s">
        <v>162</v>
      </c>
      <c r="C456" s="8" t="s">
        <v>24</v>
      </c>
      <c r="D456" s="14" t="s">
        <v>1070</v>
      </c>
      <c r="E456" s="8" t="s">
        <v>2572</v>
      </c>
      <c r="F456" s="27" t="s">
        <v>2568</v>
      </c>
    </row>
    <row r="457">
      <c r="A457" s="9" t="s">
        <v>502</v>
      </c>
      <c r="B457" s="9" t="s">
        <v>503</v>
      </c>
      <c r="C457" s="8" t="s">
        <v>70</v>
      </c>
      <c r="D457" s="14" t="s">
        <v>459</v>
      </c>
      <c r="E457" s="8" t="s">
        <v>2584</v>
      </c>
      <c r="F457" s="27" t="s">
        <v>2568</v>
      </c>
    </row>
    <row r="458">
      <c r="A458" s="9" t="s">
        <v>502</v>
      </c>
      <c r="B458" s="9" t="s">
        <v>665</v>
      </c>
      <c r="C458" s="8" t="s">
        <v>24</v>
      </c>
      <c r="D458" s="14" t="s">
        <v>631</v>
      </c>
      <c r="E458" s="8" t="s">
        <v>2554</v>
      </c>
      <c r="F458" s="27" t="s">
        <v>2579</v>
      </c>
    </row>
    <row r="459">
      <c r="A459" s="9" t="s">
        <v>502</v>
      </c>
      <c r="B459" s="9" t="s">
        <v>1756</v>
      </c>
      <c r="C459" s="8" t="s">
        <v>46</v>
      </c>
      <c r="D459" s="14" t="s">
        <v>1679</v>
      </c>
      <c r="E459" s="18" t="s">
        <v>2589</v>
      </c>
      <c r="F459" s="27" t="s">
        <v>2606</v>
      </c>
    </row>
    <row r="460">
      <c r="A460" s="9" t="s">
        <v>502</v>
      </c>
      <c r="B460" s="9" t="s">
        <v>480</v>
      </c>
      <c r="C460" s="8" t="s">
        <v>186</v>
      </c>
      <c r="D460" s="14" t="s">
        <v>1679</v>
      </c>
      <c r="E460" s="8" t="s">
        <v>2562</v>
      </c>
      <c r="F460" s="27" t="s">
        <v>2571</v>
      </c>
    </row>
    <row r="461">
      <c r="A461" s="9" t="s">
        <v>1420</v>
      </c>
      <c r="B461" s="9" t="s">
        <v>381</v>
      </c>
      <c r="C461" s="8" t="s">
        <v>186</v>
      </c>
      <c r="D461" s="14" t="s">
        <v>1352</v>
      </c>
      <c r="E461" s="8" t="s">
        <v>2603</v>
      </c>
      <c r="F461" s="27" t="s">
        <v>2580</v>
      </c>
    </row>
    <row r="462">
      <c r="A462" s="9" t="s">
        <v>256</v>
      </c>
      <c r="B462" s="9" t="s">
        <v>257</v>
      </c>
      <c r="C462" s="8" t="s">
        <v>138</v>
      </c>
      <c r="D462" s="14" t="s">
        <v>237</v>
      </c>
      <c r="E462" s="8" t="s">
        <v>2564</v>
      </c>
      <c r="F462" s="27" t="s">
        <v>2601</v>
      </c>
    </row>
    <row r="463">
      <c r="A463" s="9" t="s">
        <v>2079</v>
      </c>
      <c r="B463" s="9" t="s">
        <v>1402</v>
      </c>
      <c r="C463" s="8" t="s">
        <v>65</v>
      </c>
      <c r="D463" s="14" t="s">
        <v>2033</v>
      </c>
      <c r="E463" s="8" t="s">
        <v>2183</v>
      </c>
      <c r="F463" s="27" t="s">
        <v>2555</v>
      </c>
    </row>
    <row r="464">
      <c r="A464" s="9" t="s">
        <v>2463</v>
      </c>
      <c r="B464" s="9" t="s">
        <v>464</v>
      </c>
      <c r="C464" s="8" t="s">
        <v>24</v>
      </c>
      <c r="D464" s="14" t="s">
        <v>2459</v>
      </c>
      <c r="E464" s="8" t="s">
        <v>2552</v>
      </c>
      <c r="F464" s="27" t="s">
        <v>27</v>
      </c>
    </row>
    <row r="465">
      <c r="A465" s="9" t="s">
        <v>1139</v>
      </c>
      <c r="B465" s="9" t="s">
        <v>102</v>
      </c>
      <c r="C465" s="8" t="s">
        <v>75</v>
      </c>
      <c r="D465" s="14" t="s">
        <v>1070</v>
      </c>
      <c r="E465" s="8" t="s">
        <v>2554</v>
      </c>
      <c r="F465" s="27" t="s">
        <v>2618</v>
      </c>
    </row>
    <row r="466">
      <c r="A466" s="9" t="s">
        <v>2325</v>
      </c>
      <c r="B466" s="9" t="s">
        <v>562</v>
      </c>
      <c r="C466" s="8" t="s">
        <v>149</v>
      </c>
      <c r="D466" s="14" t="s">
        <v>2296</v>
      </c>
      <c r="E466" s="8" t="s">
        <v>2574</v>
      </c>
      <c r="F466" s="27" t="s">
        <v>2580</v>
      </c>
    </row>
    <row r="467">
      <c r="A467" s="9" t="s">
        <v>258</v>
      </c>
      <c r="B467" s="9" t="s">
        <v>43</v>
      </c>
      <c r="C467" s="8" t="s">
        <v>16</v>
      </c>
      <c r="D467" s="14" t="s">
        <v>237</v>
      </c>
      <c r="E467" s="8" t="s">
        <v>2610</v>
      </c>
      <c r="F467" s="27" t="s">
        <v>2607</v>
      </c>
    </row>
    <row r="468">
      <c r="A468" s="9" t="s">
        <v>666</v>
      </c>
      <c r="B468" s="9" t="s">
        <v>263</v>
      </c>
      <c r="C468" s="8" t="s">
        <v>80</v>
      </c>
      <c r="D468" s="14" t="s">
        <v>631</v>
      </c>
      <c r="E468" s="8" t="s">
        <v>2577</v>
      </c>
      <c r="F468" s="27" t="s">
        <v>2568</v>
      </c>
    </row>
    <row r="469">
      <c r="A469" s="9" t="s">
        <v>197</v>
      </c>
      <c r="B469" s="9" t="s">
        <v>198</v>
      </c>
      <c r="C469" s="8" t="s">
        <v>16</v>
      </c>
      <c r="D469" s="14" t="s">
        <v>189</v>
      </c>
      <c r="E469" s="8" t="s">
        <v>2605</v>
      </c>
      <c r="F469" s="27" t="s">
        <v>2555</v>
      </c>
    </row>
    <row r="470">
      <c r="A470" s="9" t="s">
        <v>197</v>
      </c>
      <c r="B470" s="9" t="s">
        <v>1028</v>
      </c>
      <c r="C470" s="8" t="s">
        <v>38</v>
      </c>
      <c r="D470" s="14" t="s">
        <v>1679</v>
      </c>
      <c r="E470" s="8" t="s">
        <v>2562</v>
      </c>
      <c r="F470" s="27" t="s">
        <v>2583</v>
      </c>
    </row>
    <row r="471">
      <c r="A471" s="9" t="s">
        <v>361</v>
      </c>
      <c r="B471" s="9" t="s">
        <v>1338</v>
      </c>
      <c r="C471" s="8" t="s">
        <v>24</v>
      </c>
      <c r="D471" s="14" t="s">
        <v>1679</v>
      </c>
      <c r="E471" s="18" t="s">
        <v>2589</v>
      </c>
      <c r="F471" s="27" t="s">
        <v>2622</v>
      </c>
    </row>
    <row r="472">
      <c r="A472" s="9" t="s">
        <v>361</v>
      </c>
      <c r="B472" s="9" t="s">
        <v>260</v>
      </c>
      <c r="C472" s="8" t="s">
        <v>75</v>
      </c>
      <c r="D472" s="14" t="s">
        <v>2459</v>
      </c>
      <c r="E472" s="8" t="s">
        <v>2605</v>
      </c>
      <c r="F472" s="27" t="s">
        <v>2590</v>
      </c>
    </row>
    <row r="473">
      <c r="A473" s="9" t="s">
        <v>361</v>
      </c>
      <c r="B473" s="9" t="s">
        <v>183</v>
      </c>
      <c r="C473" s="8" t="s">
        <v>215</v>
      </c>
      <c r="D473" s="14" t="s">
        <v>338</v>
      </c>
      <c r="E473" s="8" t="s">
        <v>2558</v>
      </c>
      <c r="F473" s="27" t="s">
        <v>2604</v>
      </c>
    </row>
    <row r="474">
      <c r="A474" s="9" t="s">
        <v>1421</v>
      </c>
      <c r="B474" s="9" t="s">
        <v>1091</v>
      </c>
      <c r="C474" s="8" t="s">
        <v>93</v>
      </c>
      <c r="D474" s="14" t="s">
        <v>1352</v>
      </c>
      <c r="E474" s="8" t="s">
        <v>2564</v>
      </c>
      <c r="F474" s="27" t="s">
        <v>2588</v>
      </c>
    </row>
    <row r="475">
      <c r="A475" s="9" t="s">
        <v>504</v>
      </c>
      <c r="B475" s="9" t="s">
        <v>505</v>
      </c>
      <c r="C475" s="8" t="s">
        <v>122</v>
      </c>
      <c r="D475" s="14" t="s">
        <v>459</v>
      </c>
      <c r="E475" s="8" t="s">
        <v>2584</v>
      </c>
      <c r="F475" s="27" t="s">
        <v>2607</v>
      </c>
    </row>
    <row r="476">
      <c r="A476" s="9" t="s">
        <v>2326</v>
      </c>
      <c r="B476" s="9" t="s">
        <v>41</v>
      </c>
      <c r="C476" s="8" t="s">
        <v>16</v>
      </c>
      <c r="D476" s="14" t="s">
        <v>2296</v>
      </c>
      <c r="E476" s="8" t="s">
        <v>2560</v>
      </c>
      <c r="F476" s="27" t="s">
        <v>2553</v>
      </c>
    </row>
    <row r="477">
      <c r="A477" s="9" t="s">
        <v>880</v>
      </c>
      <c r="B477" s="9" t="s">
        <v>33</v>
      </c>
      <c r="C477" s="8" t="s">
        <v>38</v>
      </c>
      <c r="D477" s="14" t="s">
        <v>837</v>
      </c>
      <c r="E477" s="8" t="s">
        <v>2560</v>
      </c>
      <c r="F477" s="27" t="s">
        <v>2622</v>
      </c>
    </row>
    <row r="478">
      <c r="A478" s="18" t="s">
        <v>1757</v>
      </c>
      <c r="B478" s="18" t="s">
        <v>1758</v>
      </c>
      <c r="C478" s="8" t="s">
        <v>46</v>
      </c>
      <c r="D478" s="14" t="s">
        <v>1679</v>
      </c>
      <c r="E478" s="8" t="s">
        <v>2562</v>
      </c>
      <c r="F478" s="27" t="s">
        <v>2576</v>
      </c>
    </row>
    <row r="479">
      <c r="A479" s="9" t="s">
        <v>1757</v>
      </c>
      <c r="B479" s="9" t="s">
        <v>247</v>
      </c>
      <c r="C479" s="8" t="s">
        <v>215</v>
      </c>
      <c r="D479" s="14" t="s">
        <v>2296</v>
      </c>
      <c r="E479" s="8" t="s">
        <v>2595</v>
      </c>
      <c r="F479" s="27" t="s">
        <v>2565</v>
      </c>
    </row>
    <row r="480">
      <c r="A480" s="9" t="s">
        <v>506</v>
      </c>
      <c r="B480" s="9" t="s">
        <v>507</v>
      </c>
      <c r="C480" s="8" t="s">
        <v>186</v>
      </c>
      <c r="D480" s="14" t="s">
        <v>459</v>
      </c>
      <c r="E480" s="8" t="s">
        <v>2592</v>
      </c>
      <c r="F480" s="27" t="s">
        <v>2561</v>
      </c>
    </row>
    <row r="481">
      <c r="A481" s="9" t="s">
        <v>61</v>
      </c>
      <c r="B481" s="9" t="s">
        <v>881</v>
      </c>
      <c r="C481" s="8" t="s">
        <v>122</v>
      </c>
      <c r="D481" s="14" t="s">
        <v>837</v>
      </c>
      <c r="E481" s="8" t="s">
        <v>2615</v>
      </c>
      <c r="F481" s="27" t="s">
        <v>2622</v>
      </c>
    </row>
    <row r="482">
      <c r="A482" s="9" t="s">
        <v>61</v>
      </c>
      <c r="B482" s="9" t="s">
        <v>1351</v>
      </c>
      <c r="C482" s="8" t="s">
        <v>93</v>
      </c>
      <c r="D482" s="14" t="s">
        <v>2296</v>
      </c>
      <c r="E482" s="8" t="s">
        <v>2592</v>
      </c>
      <c r="F482" s="27" t="s">
        <v>2573</v>
      </c>
    </row>
    <row r="483">
      <c r="A483" s="9" t="s">
        <v>61</v>
      </c>
      <c r="B483" s="9" t="s">
        <v>362</v>
      </c>
      <c r="C483" s="8" t="s">
        <v>80</v>
      </c>
      <c r="D483" s="14" t="s">
        <v>338</v>
      </c>
      <c r="E483" s="8" t="s">
        <v>2584</v>
      </c>
      <c r="F483" s="27" t="s">
        <v>2565</v>
      </c>
    </row>
    <row r="484">
      <c r="A484" s="9" t="s">
        <v>61</v>
      </c>
      <c r="B484" s="9" t="s">
        <v>304</v>
      </c>
      <c r="C484" s="8" t="s">
        <v>65</v>
      </c>
      <c r="D484" s="14" t="s">
        <v>1679</v>
      </c>
      <c r="E484" s="8" t="s">
        <v>2621</v>
      </c>
      <c r="F484" s="27" t="s">
        <v>2588</v>
      </c>
    </row>
    <row r="485">
      <c r="A485" s="9" t="s">
        <v>61</v>
      </c>
      <c r="B485" s="9" t="s">
        <v>363</v>
      </c>
      <c r="C485" s="8" t="s">
        <v>59</v>
      </c>
      <c r="D485" s="14" t="s">
        <v>338</v>
      </c>
      <c r="E485" s="8" t="s">
        <v>2595</v>
      </c>
      <c r="F485" s="27" t="s">
        <v>2625</v>
      </c>
    </row>
    <row r="486">
      <c r="A486" s="9" t="s">
        <v>61</v>
      </c>
      <c r="B486" s="9" t="s">
        <v>2276</v>
      </c>
      <c r="C486" s="8" t="s">
        <v>186</v>
      </c>
      <c r="D486" s="14" t="s">
        <v>2296</v>
      </c>
      <c r="E486" s="8" t="s">
        <v>2610</v>
      </c>
      <c r="F486" s="27" t="s">
        <v>2583</v>
      </c>
    </row>
    <row r="487">
      <c r="A487" s="9" t="s">
        <v>61</v>
      </c>
      <c r="B487" s="9" t="s">
        <v>882</v>
      </c>
      <c r="C487" s="8" t="s">
        <v>65</v>
      </c>
      <c r="D487" s="14" t="s">
        <v>837</v>
      </c>
      <c r="E487" s="8" t="s">
        <v>2572</v>
      </c>
      <c r="F487" s="27" t="s">
        <v>2579</v>
      </c>
    </row>
    <row r="488">
      <c r="A488" s="9" t="s">
        <v>61</v>
      </c>
      <c r="B488" s="9" t="s">
        <v>1128</v>
      </c>
      <c r="C488" s="8" t="s">
        <v>93</v>
      </c>
      <c r="D488" s="14" t="s">
        <v>2033</v>
      </c>
      <c r="E488" s="8" t="s">
        <v>2581</v>
      </c>
      <c r="F488" s="27" t="s">
        <v>2609</v>
      </c>
    </row>
    <row r="489">
      <c r="A489" s="9" t="s">
        <v>61</v>
      </c>
      <c r="B489" s="9" t="s">
        <v>2080</v>
      </c>
      <c r="C489" s="8" t="s">
        <v>186</v>
      </c>
      <c r="D489" s="14" t="s">
        <v>2033</v>
      </c>
      <c r="E489" s="8" t="s">
        <v>2554</v>
      </c>
      <c r="F489" s="27" t="s">
        <v>2565</v>
      </c>
    </row>
    <row r="490">
      <c r="A490" s="9" t="s">
        <v>61</v>
      </c>
      <c r="B490" s="9" t="s">
        <v>1759</v>
      </c>
      <c r="C490" s="8" t="s">
        <v>65</v>
      </c>
      <c r="D490" s="14" t="s">
        <v>1679</v>
      </c>
      <c r="E490" s="8" t="s">
        <v>2558</v>
      </c>
      <c r="F490" s="27" t="s">
        <v>2555</v>
      </c>
    </row>
    <row r="491">
      <c r="A491" s="9" t="s">
        <v>61</v>
      </c>
      <c r="B491" s="9" t="s">
        <v>884</v>
      </c>
      <c r="C491" s="8" t="s">
        <v>132</v>
      </c>
      <c r="D491" s="14" t="s">
        <v>837</v>
      </c>
      <c r="E491" s="8" t="s">
        <v>2581</v>
      </c>
      <c r="F491" s="27" t="s">
        <v>2563</v>
      </c>
    </row>
    <row r="492">
      <c r="A492" s="9" t="s">
        <v>61</v>
      </c>
      <c r="B492" s="9" t="s">
        <v>381</v>
      </c>
      <c r="C492" s="8" t="s">
        <v>70</v>
      </c>
      <c r="D492" s="14" t="s">
        <v>2033</v>
      </c>
      <c r="E492" s="8" t="s">
        <v>2593</v>
      </c>
      <c r="F492" s="27" t="s">
        <v>2568</v>
      </c>
    </row>
    <row r="493">
      <c r="A493" s="9" t="s">
        <v>61</v>
      </c>
      <c r="B493" s="9" t="s">
        <v>1423</v>
      </c>
      <c r="C493" s="8" t="s">
        <v>215</v>
      </c>
      <c r="D493" s="14" t="s">
        <v>1352</v>
      </c>
      <c r="E493" s="8" t="s">
        <v>2600</v>
      </c>
      <c r="F493" s="27" t="s">
        <v>2563</v>
      </c>
    </row>
    <row r="494">
      <c r="A494" s="9" t="s">
        <v>61</v>
      </c>
      <c r="B494" s="9" t="s">
        <v>137</v>
      </c>
      <c r="C494" s="8" t="s">
        <v>93</v>
      </c>
      <c r="D494" s="14" t="s">
        <v>1679</v>
      </c>
      <c r="E494" s="8" t="s">
        <v>2572</v>
      </c>
      <c r="F494" s="27" t="s">
        <v>2565</v>
      </c>
    </row>
    <row r="495">
      <c r="A495" s="9" t="s">
        <v>61</v>
      </c>
      <c r="B495" s="9" t="s">
        <v>183</v>
      </c>
      <c r="C495" s="8" t="s">
        <v>70</v>
      </c>
      <c r="D495" s="14" t="s">
        <v>1070</v>
      </c>
      <c r="E495" s="8" t="s">
        <v>2605</v>
      </c>
      <c r="F495" s="27" t="s">
        <v>2590</v>
      </c>
    </row>
    <row r="496">
      <c r="A496" s="9" t="s">
        <v>61</v>
      </c>
      <c r="B496" s="9" t="s">
        <v>317</v>
      </c>
      <c r="C496" s="8" t="s">
        <v>132</v>
      </c>
      <c r="D496" s="14" t="s">
        <v>2296</v>
      </c>
      <c r="E496" s="8" t="s">
        <v>2621</v>
      </c>
      <c r="F496" s="27" t="s">
        <v>2579</v>
      </c>
    </row>
    <row r="497">
      <c r="A497" s="9" t="s">
        <v>61</v>
      </c>
      <c r="B497" s="9" t="s">
        <v>1173</v>
      </c>
      <c r="C497" s="8" t="s">
        <v>65</v>
      </c>
      <c r="D497" s="14" t="s">
        <v>2033</v>
      </c>
      <c r="E497" s="8" t="s">
        <v>2614</v>
      </c>
      <c r="F497" s="27" t="s">
        <v>2594</v>
      </c>
    </row>
    <row r="498">
      <c r="A498" s="9" t="s">
        <v>61</v>
      </c>
      <c r="B498" s="9" t="s">
        <v>337</v>
      </c>
      <c r="C498" s="8" t="s">
        <v>65</v>
      </c>
      <c r="D498" s="14" t="s">
        <v>1679</v>
      </c>
      <c r="E498" s="8" t="s">
        <v>2582</v>
      </c>
      <c r="F498" s="27" t="s">
        <v>2555</v>
      </c>
    </row>
    <row r="499">
      <c r="A499" s="9" t="s">
        <v>61</v>
      </c>
      <c r="B499" s="9" t="s">
        <v>162</v>
      </c>
      <c r="C499" s="8" t="s">
        <v>80</v>
      </c>
      <c r="D499" s="14" t="s">
        <v>1352</v>
      </c>
      <c r="E499" s="8" t="s">
        <v>2577</v>
      </c>
      <c r="F499" s="27" t="s">
        <v>2565</v>
      </c>
    </row>
    <row r="500">
      <c r="A500" s="9" t="s">
        <v>61</v>
      </c>
      <c r="B500" s="9" t="s">
        <v>2082</v>
      </c>
      <c r="C500" s="8" t="s">
        <v>186</v>
      </c>
      <c r="D500" s="14" t="s">
        <v>2033</v>
      </c>
      <c r="E500" s="8" t="s">
        <v>2566</v>
      </c>
      <c r="F500" s="27" t="s">
        <v>2555</v>
      </c>
    </row>
    <row r="501">
      <c r="A501" s="9" t="s">
        <v>61</v>
      </c>
      <c r="B501" s="9" t="s">
        <v>62</v>
      </c>
      <c r="C501" s="8" t="s">
        <v>59</v>
      </c>
      <c r="D501" s="14" t="s">
        <v>60</v>
      </c>
      <c r="E501" s="8" t="s">
        <v>2572</v>
      </c>
      <c r="F501" s="27" t="s">
        <v>2608</v>
      </c>
    </row>
    <row r="502">
      <c r="A502" s="9" t="s">
        <v>61</v>
      </c>
      <c r="B502" s="9" t="s">
        <v>883</v>
      </c>
      <c r="C502" s="8" t="s">
        <v>186</v>
      </c>
      <c r="D502" s="14" t="s">
        <v>837</v>
      </c>
      <c r="E502" s="8" t="s">
        <v>2620</v>
      </c>
      <c r="F502" s="27" t="s">
        <v>2571</v>
      </c>
    </row>
    <row r="503">
      <c r="A503" s="9" t="s">
        <v>61</v>
      </c>
      <c r="B503" s="9" t="s">
        <v>1028</v>
      </c>
      <c r="C503" s="8" t="s">
        <v>65</v>
      </c>
      <c r="D503" s="14" t="s">
        <v>1070</v>
      </c>
      <c r="E503" s="8" t="s">
        <v>2558</v>
      </c>
      <c r="F503" s="27" t="s">
        <v>2622</v>
      </c>
    </row>
    <row r="504">
      <c r="A504" s="9" t="s">
        <v>61</v>
      </c>
      <c r="B504" s="9" t="s">
        <v>84</v>
      </c>
      <c r="C504" s="8" t="s">
        <v>24</v>
      </c>
      <c r="D504" s="14" t="s">
        <v>83</v>
      </c>
      <c r="E504" s="8" t="s">
        <v>2582</v>
      </c>
      <c r="F504" s="27" t="s">
        <v>2599</v>
      </c>
    </row>
    <row r="505">
      <c r="A505" s="9" t="s">
        <v>1140</v>
      </c>
      <c r="B505" s="9" t="s">
        <v>1141</v>
      </c>
      <c r="C505" s="8" t="s">
        <v>122</v>
      </c>
      <c r="D505" s="14" t="s">
        <v>1070</v>
      </c>
      <c r="E505" s="8" t="s">
        <v>2598</v>
      </c>
      <c r="F505" s="27" t="s">
        <v>2601</v>
      </c>
    </row>
    <row r="506">
      <c r="A506" s="9" t="s">
        <v>1422</v>
      </c>
      <c r="B506" s="9" t="s">
        <v>1760</v>
      </c>
      <c r="C506" s="8" t="s">
        <v>70</v>
      </c>
      <c r="D506" s="14" t="s">
        <v>1679</v>
      </c>
      <c r="E506" s="8" t="s">
        <v>2621</v>
      </c>
      <c r="F506" s="27" t="s">
        <v>2609</v>
      </c>
    </row>
    <row r="507">
      <c r="A507" s="9" t="s">
        <v>1422</v>
      </c>
      <c r="B507" s="9" t="s">
        <v>744</v>
      </c>
      <c r="C507" s="8" t="s">
        <v>46</v>
      </c>
      <c r="D507" s="14" t="s">
        <v>1352</v>
      </c>
      <c r="E507" s="8" t="s">
        <v>2587</v>
      </c>
      <c r="F507" s="27" t="s">
        <v>2590</v>
      </c>
    </row>
    <row r="508">
      <c r="A508" s="9" t="s">
        <v>2081</v>
      </c>
      <c r="B508" s="9" t="s">
        <v>1486</v>
      </c>
      <c r="C508" s="8" t="s">
        <v>80</v>
      </c>
      <c r="D508" s="14" t="s">
        <v>2033</v>
      </c>
      <c r="E508" s="8" t="s">
        <v>2600</v>
      </c>
      <c r="F508" s="27" t="s">
        <v>2568</v>
      </c>
    </row>
    <row r="509">
      <c r="A509" s="9" t="s">
        <v>1424</v>
      </c>
      <c r="B509" s="9" t="s">
        <v>787</v>
      </c>
      <c r="C509" s="8" t="s">
        <v>122</v>
      </c>
      <c r="D509" s="14" t="s">
        <v>1352</v>
      </c>
      <c r="E509" s="8" t="s">
        <v>2585</v>
      </c>
      <c r="F509" s="27" t="s">
        <v>2591</v>
      </c>
    </row>
    <row r="510">
      <c r="A510" s="9" t="s">
        <v>1761</v>
      </c>
      <c r="B510" s="9" t="s">
        <v>176</v>
      </c>
      <c r="C510" s="8" t="s">
        <v>70</v>
      </c>
      <c r="D510" s="14" t="s">
        <v>1679</v>
      </c>
      <c r="E510" s="8" t="s">
        <v>2595</v>
      </c>
      <c r="F510" s="27" t="s">
        <v>2612</v>
      </c>
    </row>
    <row r="511">
      <c r="A511" s="9" t="s">
        <v>1425</v>
      </c>
      <c r="B511" s="9" t="s">
        <v>1426</v>
      </c>
      <c r="C511" s="8" t="s">
        <v>149</v>
      </c>
      <c r="D511" s="14" t="s">
        <v>1352</v>
      </c>
      <c r="E511" s="8" t="s">
        <v>2558</v>
      </c>
      <c r="F511" s="27" t="s">
        <v>2618</v>
      </c>
    </row>
    <row r="512">
      <c r="A512" s="9" t="s">
        <v>974</v>
      </c>
      <c r="B512" s="9" t="s">
        <v>1762</v>
      </c>
      <c r="C512" s="8" t="s">
        <v>93</v>
      </c>
      <c r="D512" s="14" t="s">
        <v>1679</v>
      </c>
      <c r="E512" s="8" t="s">
        <v>2592</v>
      </c>
      <c r="F512" s="27" t="s">
        <v>2622</v>
      </c>
    </row>
    <row r="513">
      <c r="A513" s="9" t="s">
        <v>1427</v>
      </c>
      <c r="B513" s="9" t="s">
        <v>1267</v>
      </c>
      <c r="C513" s="8" t="s">
        <v>93</v>
      </c>
      <c r="D513" s="14" t="s">
        <v>1352</v>
      </c>
      <c r="E513" s="8" t="s">
        <v>2593</v>
      </c>
      <c r="F513" s="27" t="s">
        <v>2555</v>
      </c>
    </row>
    <row r="514">
      <c r="A514" s="9" t="s">
        <v>508</v>
      </c>
      <c r="B514" s="9" t="s">
        <v>506</v>
      </c>
      <c r="C514" s="8" t="s">
        <v>132</v>
      </c>
      <c r="D514" s="14" t="s">
        <v>459</v>
      </c>
      <c r="E514" s="8" t="s">
        <v>2577</v>
      </c>
      <c r="F514" s="27" t="s">
        <v>2634</v>
      </c>
    </row>
    <row r="515">
      <c r="A515" s="9" t="s">
        <v>1428</v>
      </c>
      <c r="B515" s="9" t="s">
        <v>441</v>
      </c>
      <c r="C515" s="8" t="s">
        <v>46</v>
      </c>
      <c r="D515" s="14" t="s">
        <v>1352</v>
      </c>
      <c r="E515" s="8" t="s">
        <v>2554</v>
      </c>
      <c r="F515" s="27" t="s">
        <v>2571</v>
      </c>
    </row>
    <row r="516">
      <c r="A516" s="9" t="s">
        <v>1142</v>
      </c>
      <c r="B516" s="9" t="s">
        <v>1143</v>
      </c>
      <c r="C516" s="8" t="s">
        <v>93</v>
      </c>
      <c r="D516" s="14" t="s">
        <v>1070</v>
      </c>
      <c r="E516" s="8" t="s">
        <v>2614</v>
      </c>
      <c r="F516" s="27" t="s">
        <v>2579</v>
      </c>
    </row>
    <row r="517">
      <c r="A517" s="9" t="s">
        <v>2327</v>
      </c>
      <c r="B517" s="9" t="s">
        <v>137</v>
      </c>
      <c r="C517" s="8" t="s">
        <v>75</v>
      </c>
      <c r="D517" s="14" t="s">
        <v>2296</v>
      </c>
      <c r="E517" s="8" t="s">
        <v>2581</v>
      </c>
      <c r="F517" s="27" t="s">
        <v>2583</v>
      </c>
    </row>
    <row r="518">
      <c r="A518" s="9" t="s">
        <v>1763</v>
      </c>
      <c r="B518" s="9" t="s">
        <v>231</v>
      </c>
      <c r="C518" s="8" t="s">
        <v>53</v>
      </c>
      <c r="D518" s="14" t="s">
        <v>1679</v>
      </c>
      <c r="E518" s="8" t="s">
        <v>2584</v>
      </c>
      <c r="F518" s="27" t="s">
        <v>2618</v>
      </c>
    </row>
    <row r="519">
      <c r="A519" s="9" t="s">
        <v>2083</v>
      </c>
      <c r="B519" s="9" t="s">
        <v>889</v>
      </c>
      <c r="C519" s="8" t="s">
        <v>132</v>
      </c>
      <c r="D519" s="14" t="s">
        <v>2033</v>
      </c>
      <c r="E519" s="8" t="s">
        <v>2593</v>
      </c>
      <c r="F519" s="27" t="s">
        <v>2580</v>
      </c>
    </row>
    <row r="520">
      <c r="A520" s="9" t="s">
        <v>2328</v>
      </c>
      <c r="B520" s="9" t="s">
        <v>2329</v>
      </c>
      <c r="C520" s="8" t="s">
        <v>80</v>
      </c>
      <c r="D520" s="14" t="s">
        <v>2296</v>
      </c>
      <c r="E520" s="8" t="s">
        <v>2592</v>
      </c>
      <c r="F520" s="27" t="s">
        <v>2570</v>
      </c>
    </row>
    <row r="521">
      <c r="A521" s="9" t="s">
        <v>2084</v>
      </c>
      <c r="B521" s="9" t="s">
        <v>88</v>
      </c>
      <c r="C521" s="8" t="s">
        <v>93</v>
      </c>
      <c r="D521" s="14" t="s">
        <v>2033</v>
      </c>
      <c r="E521" s="8" t="s">
        <v>2605</v>
      </c>
      <c r="F521" s="27" t="s">
        <v>2609</v>
      </c>
    </row>
    <row r="522">
      <c r="A522" s="9" t="s">
        <v>885</v>
      </c>
      <c r="B522" s="9" t="s">
        <v>886</v>
      </c>
      <c r="C522" s="8" t="s">
        <v>93</v>
      </c>
      <c r="D522" s="14" t="s">
        <v>837</v>
      </c>
      <c r="E522" s="8" t="s">
        <v>2610</v>
      </c>
      <c r="F522" s="27" t="s">
        <v>2590</v>
      </c>
    </row>
    <row r="523">
      <c r="A523" s="9" t="s">
        <v>22</v>
      </c>
      <c r="B523" s="9" t="s">
        <v>23</v>
      </c>
      <c r="C523" s="8" t="s">
        <v>24</v>
      </c>
      <c r="D523" s="14" t="s">
        <v>21</v>
      </c>
      <c r="E523" s="8" t="s">
        <v>2581</v>
      </c>
      <c r="F523" s="27" t="s">
        <v>2624</v>
      </c>
    </row>
    <row r="524">
      <c r="A524" s="9" t="s">
        <v>85</v>
      </c>
      <c r="B524" s="9" t="s">
        <v>86</v>
      </c>
      <c r="C524" s="8" t="s">
        <v>24</v>
      </c>
      <c r="D524" s="14" t="s">
        <v>83</v>
      </c>
      <c r="E524" s="8" t="s">
        <v>2566</v>
      </c>
      <c r="F524" s="27" t="s">
        <v>2627</v>
      </c>
    </row>
    <row r="525">
      <c r="A525" s="9" t="s">
        <v>199</v>
      </c>
      <c r="B525" s="9" t="s">
        <v>55</v>
      </c>
      <c r="C525" s="8" t="s">
        <v>24</v>
      </c>
      <c r="D525" s="14" t="s">
        <v>189</v>
      </c>
      <c r="E525" s="18" t="s">
        <v>2556</v>
      </c>
      <c r="F525" s="27" t="s">
        <v>2618</v>
      </c>
    </row>
    <row r="526">
      <c r="A526" s="9" t="s">
        <v>667</v>
      </c>
      <c r="B526" s="9" t="s">
        <v>668</v>
      </c>
      <c r="C526" s="8" t="s">
        <v>93</v>
      </c>
      <c r="D526" s="14" t="s">
        <v>631</v>
      </c>
      <c r="E526" s="8" t="s">
        <v>2567</v>
      </c>
      <c r="F526" s="27" t="s">
        <v>2607</v>
      </c>
    </row>
    <row r="527">
      <c r="A527" s="9" t="s">
        <v>1144</v>
      </c>
      <c r="B527" s="9" t="s">
        <v>793</v>
      </c>
      <c r="C527" s="8" t="s">
        <v>24</v>
      </c>
      <c r="D527" s="14" t="s">
        <v>1070</v>
      </c>
      <c r="E527" s="8" t="s">
        <v>2615</v>
      </c>
      <c r="F527" s="27" t="s">
        <v>2571</v>
      </c>
    </row>
    <row r="528">
      <c r="A528" s="9" t="s">
        <v>259</v>
      </c>
      <c r="B528" s="9" t="s">
        <v>260</v>
      </c>
      <c r="C528" s="8" t="s">
        <v>261</v>
      </c>
      <c r="D528" s="14" t="s">
        <v>237</v>
      </c>
      <c r="E528" s="8" t="s">
        <v>2600</v>
      </c>
      <c r="F528" s="27" t="s">
        <v>2601</v>
      </c>
    </row>
    <row r="529">
      <c r="A529" s="9" t="s">
        <v>262</v>
      </c>
      <c r="B529" s="9" t="s">
        <v>263</v>
      </c>
      <c r="C529" s="8" t="s">
        <v>141</v>
      </c>
      <c r="D529" s="14" t="s">
        <v>237</v>
      </c>
      <c r="E529" s="18" t="s">
        <v>2556</v>
      </c>
      <c r="F529" s="27" t="s">
        <v>2580</v>
      </c>
    </row>
    <row r="530">
      <c r="A530" s="9" t="s">
        <v>2085</v>
      </c>
      <c r="B530" s="9" t="s">
        <v>252</v>
      </c>
      <c r="C530" s="8" t="s">
        <v>24</v>
      </c>
      <c r="D530" s="14" t="s">
        <v>2033</v>
      </c>
      <c r="E530" s="8" t="s">
        <v>2566</v>
      </c>
      <c r="F530" s="27" t="s">
        <v>2576</v>
      </c>
    </row>
    <row r="531">
      <c r="A531" s="9" t="s">
        <v>2085</v>
      </c>
      <c r="B531" s="9" t="s">
        <v>33</v>
      </c>
      <c r="C531" s="8" t="s">
        <v>138</v>
      </c>
      <c r="D531" s="14" t="s">
        <v>2033</v>
      </c>
      <c r="E531" s="8" t="s">
        <v>2621</v>
      </c>
      <c r="F531" s="27" t="s">
        <v>2580</v>
      </c>
    </row>
    <row r="532">
      <c r="A532" s="9" t="s">
        <v>200</v>
      </c>
      <c r="B532" s="9" t="s">
        <v>201</v>
      </c>
      <c r="C532" s="8" t="s">
        <v>24</v>
      </c>
      <c r="D532" s="14" t="s">
        <v>189</v>
      </c>
      <c r="E532" s="8" t="s">
        <v>2603</v>
      </c>
      <c r="F532" s="27" t="s">
        <v>2571</v>
      </c>
    </row>
    <row r="533">
      <c r="A533" s="9" t="s">
        <v>200</v>
      </c>
      <c r="B533" s="9" t="s">
        <v>137</v>
      </c>
      <c r="C533" s="8" t="s">
        <v>38</v>
      </c>
      <c r="D533" s="14" t="s">
        <v>2033</v>
      </c>
      <c r="E533" s="8" t="s">
        <v>2603</v>
      </c>
      <c r="F533" s="27" t="s">
        <v>2578</v>
      </c>
    </row>
    <row r="534">
      <c r="A534" s="9" t="s">
        <v>1145</v>
      </c>
      <c r="B534" s="9" t="s">
        <v>1146</v>
      </c>
      <c r="C534" s="8" t="s">
        <v>65</v>
      </c>
      <c r="D534" s="14" t="s">
        <v>1070</v>
      </c>
      <c r="E534" s="8" t="s">
        <v>2183</v>
      </c>
      <c r="F534" s="27" t="s">
        <v>2579</v>
      </c>
    </row>
    <row r="535">
      <c r="A535" s="9" t="s">
        <v>1147</v>
      </c>
      <c r="B535" s="9" t="s">
        <v>1148</v>
      </c>
      <c r="C535" s="8" t="s">
        <v>192</v>
      </c>
      <c r="D535" s="14" t="s">
        <v>1070</v>
      </c>
      <c r="E535" s="8" t="s">
        <v>2554</v>
      </c>
      <c r="F535" s="27" t="s">
        <v>2590</v>
      </c>
    </row>
    <row r="536">
      <c r="A536" s="9" t="s">
        <v>1147</v>
      </c>
      <c r="B536" s="9" t="s">
        <v>1429</v>
      </c>
      <c r="C536" s="8" t="s">
        <v>65</v>
      </c>
      <c r="D536" s="14" t="s">
        <v>1352</v>
      </c>
      <c r="E536" s="8" t="s">
        <v>2552</v>
      </c>
      <c r="F536" s="27" t="s">
        <v>2634</v>
      </c>
    </row>
    <row r="537">
      <c r="A537" s="9" t="s">
        <v>1764</v>
      </c>
      <c r="B537" s="9" t="s">
        <v>726</v>
      </c>
      <c r="C537" s="8" t="s">
        <v>149</v>
      </c>
      <c r="D537" s="14" t="s">
        <v>1679</v>
      </c>
      <c r="E537" s="8" t="s">
        <v>2585</v>
      </c>
      <c r="F537" s="27" t="s">
        <v>2617</v>
      </c>
    </row>
    <row r="538">
      <c r="A538" s="9" t="s">
        <v>2086</v>
      </c>
      <c r="B538" s="9" t="s">
        <v>277</v>
      </c>
      <c r="C538" s="8" t="s">
        <v>46</v>
      </c>
      <c r="D538" s="14" t="s">
        <v>2033</v>
      </c>
      <c r="E538" s="8" t="s">
        <v>2564</v>
      </c>
      <c r="F538" s="27" t="s">
        <v>2591</v>
      </c>
    </row>
    <row r="539">
      <c r="A539" s="9" t="s">
        <v>364</v>
      </c>
      <c r="B539" s="9" t="s">
        <v>194</v>
      </c>
      <c r="C539" s="8" t="s">
        <v>261</v>
      </c>
      <c r="D539" s="14" t="s">
        <v>338</v>
      </c>
      <c r="E539" s="8" t="s">
        <v>2587</v>
      </c>
      <c r="F539" s="27" t="s">
        <v>2568</v>
      </c>
    </row>
    <row r="540">
      <c r="A540" s="9" t="s">
        <v>744</v>
      </c>
      <c r="B540" s="9" t="s">
        <v>2087</v>
      </c>
      <c r="C540" s="8" t="s">
        <v>186</v>
      </c>
      <c r="D540" s="14" t="s">
        <v>2033</v>
      </c>
      <c r="E540" s="8" t="s">
        <v>2582</v>
      </c>
      <c r="F540" s="27" t="s">
        <v>2591</v>
      </c>
    </row>
    <row r="541">
      <c r="A541" s="9" t="s">
        <v>2088</v>
      </c>
      <c r="B541" s="9" t="s">
        <v>1046</v>
      </c>
      <c r="C541" s="8" t="s">
        <v>24</v>
      </c>
      <c r="D541" s="14" t="s">
        <v>2033</v>
      </c>
      <c r="E541" s="8" t="s">
        <v>2603</v>
      </c>
      <c r="F541" s="27" t="s">
        <v>2602</v>
      </c>
    </row>
    <row r="542">
      <c r="A542" s="9" t="s">
        <v>1149</v>
      </c>
      <c r="B542" s="9" t="s">
        <v>1765</v>
      </c>
      <c r="C542" s="8" t="s">
        <v>65</v>
      </c>
      <c r="D542" s="14" t="s">
        <v>1679</v>
      </c>
      <c r="E542" s="8" t="s">
        <v>2562</v>
      </c>
      <c r="F542" s="27" t="s">
        <v>2563</v>
      </c>
    </row>
    <row r="543">
      <c r="A543" s="9" t="s">
        <v>1149</v>
      </c>
      <c r="B543" s="9" t="s">
        <v>892</v>
      </c>
      <c r="C543" s="8" t="s">
        <v>70</v>
      </c>
      <c r="D543" s="14" t="s">
        <v>1352</v>
      </c>
      <c r="E543" s="8" t="s">
        <v>2575</v>
      </c>
      <c r="F543" s="27" t="s">
        <v>2571</v>
      </c>
    </row>
    <row r="544">
      <c r="A544" s="9" t="s">
        <v>1149</v>
      </c>
      <c r="B544" s="9" t="s">
        <v>421</v>
      </c>
      <c r="C544" s="8" t="s">
        <v>38</v>
      </c>
      <c r="D544" s="14" t="s">
        <v>1070</v>
      </c>
      <c r="E544" s="8" t="s">
        <v>2566</v>
      </c>
      <c r="F544" s="27" t="s">
        <v>2557</v>
      </c>
    </row>
    <row r="545">
      <c r="A545" s="9" t="s">
        <v>1766</v>
      </c>
      <c r="B545" s="9" t="s">
        <v>1283</v>
      </c>
      <c r="C545" s="8" t="s">
        <v>16</v>
      </c>
      <c r="D545" s="14" t="s">
        <v>1679</v>
      </c>
      <c r="E545" s="8" t="s">
        <v>2577</v>
      </c>
      <c r="F545" s="27" t="s">
        <v>2555</v>
      </c>
    </row>
    <row r="546">
      <c r="A546" s="9" t="s">
        <v>1150</v>
      </c>
      <c r="B546" s="9" t="s">
        <v>301</v>
      </c>
      <c r="C546" s="8" t="s">
        <v>65</v>
      </c>
      <c r="D546" s="14" t="s">
        <v>1070</v>
      </c>
      <c r="E546" s="8" t="s">
        <v>2582</v>
      </c>
      <c r="F546" s="27" t="s">
        <v>2590</v>
      </c>
    </row>
    <row r="547">
      <c r="A547" s="9" t="s">
        <v>2089</v>
      </c>
      <c r="B547" s="9" t="s">
        <v>137</v>
      </c>
      <c r="C547" s="8" t="s">
        <v>215</v>
      </c>
      <c r="D547" s="14" t="s">
        <v>2033</v>
      </c>
      <c r="E547" s="18" t="s">
        <v>2589</v>
      </c>
      <c r="F547" s="27" t="s">
        <v>2563</v>
      </c>
    </row>
    <row r="548">
      <c r="A548" s="9" t="s">
        <v>669</v>
      </c>
      <c r="B548" s="9" t="s">
        <v>98</v>
      </c>
      <c r="C548" s="8" t="s">
        <v>215</v>
      </c>
      <c r="D548" s="14" t="s">
        <v>631</v>
      </c>
      <c r="E548" s="8" t="s">
        <v>2593</v>
      </c>
      <c r="F548" s="27" t="s">
        <v>2635</v>
      </c>
    </row>
    <row r="549">
      <c r="A549" s="9" t="s">
        <v>887</v>
      </c>
      <c r="B549" s="9" t="s">
        <v>55</v>
      </c>
      <c r="C549" s="8" t="s">
        <v>149</v>
      </c>
      <c r="D549" s="14" t="s">
        <v>837</v>
      </c>
      <c r="E549" s="8" t="s">
        <v>2554</v>
      </c>
      <c r="F549" s="27" t="s">
        <v>2569</v>
      </c>
    </row>
    <row r="550">
      <c r="A550" s="9" t="s">
        <v>2090</v>
      </c>
      <c r="B550" s="9" t="s">
        <v>961</v>
      </c>
      <c r="C550" s="8" t="s">
        <v>59</v>
      </c>
      <c r="D550" s="14" t="s">
        <v>2033</v>
      </c>
      <c r="E550" s="8" t="s">
        <v>2558</v>
      </c>
      <c r="F550" s="27" t="s">
        <v>2594</v>
      </c>
    </row>
    <row r="551">
      <c r="A551" s="9" t="s">
        <v>1767</v>
      </c>
      <c r="B551" s="9" t="s">
        <v>1768</v>
      </c>
      <c r="C551" s="8" t="s">
        <v>53</v>
      </c>
      <c r="D551" s="14" t="s">
        <v>1679</v>
      </c>
      <c r="E551" s="8" t="s">
        <v>2554</v>
      </c>
      <c r="F551" s="27" t="s">
        <v>2594</v>
      </c>
    </row>
    <row r="552">
      <c r="A552" s="9" t="s">
        <v>1151</v>
      </c>
      <c r="B552" s="9" t="s">
        <v>1152</v>
      </c>
      <c r="C552" s="8" t="s">
        <v>59</v>
      </c>
      <c r="D552" s="14" t="s">
        <v>1070</v>
      </c>
      <c r="E552" s="18" t="s">
        <v>2589</v>
      </c>
      <c r="F552" s="27" t="s">
        <v>2618</v>
      </c>
    </row>
    <row r="553">
      <c r="A553" s="9" t="s">
        <v>1153</v>
      </c>
      <c r="B553" s="9" t="s">
        <v>1154</v>
      </c>
      <c r="C553" s="8" t="s">
        <v>93</v>
      </c>
      <c r="D553" s="14" t="s">
        <v>1070</v>
      </c>
      <c r="E553" s="18" t="s">
        <v>2556</v>
      </c>
      <c r="F553" s="27" t="s">
        <v>2612</v>
      </c>
    </row>
    <row r="554">
      <c r="A554" s="9" t="s">
        <v>1155</v>
      </c>
      <c r="B554" s="9" t="s">
        <v>690</v>
      </c>
      <c r="C554" s="8" t="s">
        <v>65</v>
      </c>
      <c r="D554" s="14" t="s">
        <v>1070</v>
      </c>
      <c r="E554" s="8" t="s">
        <v>2600</v>
      </c>
      <c r="F554" s="27" t="s">
        <v>2590</v>
      </c>
    </row>
    <row r="555">
      <c r="A555" s="9" t="s">
        <v>2464</v>
      </c>
      <c r="B555" s="9" t="s">
        <v>124</v>
      </c>
      <c r="C555" s="8" t="s">
        <v>65</v>
      </c>
      <c r="D555" s="14" t="s">
        <v>2459</v>
      </c>
      <c r="E555" s="8" t="s">
        <v>2560</v>
      </c>
      <c r="F555" s="27" t="s">
        <v>2579</v>
      </c>
    </row>
    <row r="556">
      <c r="A556" s="9" t="s">
        <v>1430</v>
      </c>
      <c r="B556" s="9" t="s">
        <v>58</v>
      </c>
      <c r="C556" s="8" t="s">
        <v>93</v>
      </c>
      <c r="D556" s="14" t="s">
        <v>1352</v>
      </c>
      <c r="E556" s="8" t="s">
        <v>2574</v>
      </c>
      <c r="F556" s="27" t="s">
        <v>2583</v>
      </c>
    </row>
    <row r="557">
      <c r="A557" s="9" t="s">
        <v>147</v>
      </c>
      <c r="B557" s="9" t="s">
        <v>148</v>
      </c>
      <c r="C557" s="8" t="s">
        <v>149</v>
      </c>
      <c r="D557" s="14" t="s">
        <v>135</v>
      </c>
      <c r="E557" s="8" t="s">
        <v>2592</v>
      </c>
      <c r="F557" s="27" t="s">
        <v>2613</v>
      </c>
    </row>
    <row r="558">
      <c r="A558" s="9" t="s">
        <v>888</v>
      </c>
      <c r="B558" s="9" t="s">
        <v>889</v>
      </c>
      <c r="C558" s="8" t="s">
        <v>75</v>
      </c>
      <c r="D558" s="14" t="s">
        <v>837</v>
      </c>
      <c r="E558" s="8" t="s">
        <v>2621</v>
      </c>
      <c r="F558" s="27" t="s">
        <v>2570</v>
      </c>
    </row>
    <row r="559">
      <c r="A559" s="9" t="s">
        <v>888</v>
      </c>
      <c r="B559" s="9" t="s">
        <v>1769</v>
      </c>
      <c r="C559" s="8" t="s">
        <v>93</v>
      </c>
      <c r="D559" s="14" t="s">
        <v>1679</v>
      </c>
      <c r="E559" s="8" t="s">
        <v>2564</v>
      </c>
      <c r="F559" s="27" t="s">
        <v>2565</v>
      </c>
    </row>
    <row r="560">
      <c r="A560" s="9" t="s">
        <v>2091</v>
      </c>
      <c r="B560" s="9" t="s">
        <v>1096</v>
      </c>
      <c r="C560" s="8" t="s">
        <v>186</v>
      </c>
      <c r="D560" s="14" t="s">
        <v>2033</v>
      </c>
      <c r="E560" s="8" t="s">
        <v>2552</v>
      </c>
      <c r="F560" s="27" t="s">
        <v>2576</v>
      </c>
    </row>
    <row r="561">
      <c r="A561" s="9" t="s">
        <v>509</v>
      </c>
      <c r="B561" s="9" t="s">
        <v>360</v>
      </c>
      <c r="C561" s="8" t="s">
        <v>24</v>
      </c>
      <c r="D561" s="14" t="s">
        <v>459</v>
      </c>
      <c r="E561" s="8" t="s">
        <v>2567</v>
      </c>
      <c r="F561" s="27" t="s">
        <v>2625</v>
      </c>
    </row>
    <row r="562">
      <c r="A562" s="9" t="s">
        <v>670</v>
      </c>
      <c r="B562" s="9" t="s">
        <v>671</v>
      </c>
      <c r="C562" s="8" t="s">
        <v>75</v>
      </c>
      <c r="D562" s="14" t="s">
        <v>631</v>
      </c>
      <c r="E562" s="8" t="s">
        <v>2552</v>
      </c>
      <c r="F562" s="27" t="s">
        <v>2609</v>
      </c>
    </row>
    <row r="563">
      <c r="A563" s="9" t="s">
        <v>1431</v>
      </c>
      <c r="B563" s="9" t="s">
        <v>1432</v>
      </c>
      <c r="C563" s="8" t="s">
        <v>70</v>
      </c>
      <c r="D563" s="14" t="s">
        <v>1352</v>
      </c>
      <c r="E563" s="8" t="s">
        <v>2581</v>
      </c>
      <c r="F563" s="27" t="s">
        <v>2608</v>
      </c>
    </row>
    <row r="564">
      <c r="A564" s="9" t="s">
        <v>1156</v>
      </c>
      <c r="B564" s="9" t="s">
        <v>746</v>
      </c>
      <c r="C564" s="8" t="s">
        <v>132</v>
      </c>
      <c r="D564" s="14" t="s">
        <v>1070</v>
      </c>
      <c r="E564" s="8" t="s">
        <v>2572</v>
      </c>
      <c r="F564" s="27" t="s">
        <v>2609</v>
      </c>
    </row>
    <row r="565">
      <c r="A565" s="9" t="s">
        <v>1157</v>
      </c>
      <c r="B565" s="9" t="s">
        <v>712</v>
      </c>
      <c r="C565" s="8" t="s">
        <v>16</v>
      </c>
      <c r="D565" s="14" t="s">
        <v>1070</v>
      </c>
      <c r="E565" s="8" t="s">
        <v>2610</v>
      </c>
      <c r="F565" s="27" t="s">
        <v>2594</v>
      </c>
    </row>
    <row r="566">
      <c r="A566" s="9" t="s">
        <v>264</v>
      </c>
      <c r="B566" s="9" t="s">
        <v>265</v>
      </c>
      <c r="C566" s="8" t="s">
        <v>75</v>
      </c>
      <c r="D566" s="14" t="s">
        <v>237</v>
      </c>
      <c r="E566" s="8" t="s">
        <v>2587</v>
      </c>
      <c r="F566" s="27" t="s">
        <v>2583</v>
      </c>
    </row>
    <row r="567">
      <c r="A567" s="9" t="s">
        <v>890</v>
      </c>
      <c r="B567" s="9" t="s">
        <v>804</v>
      </c>
      <c r="C567" s="8" t="s">
        <v>93</v>
      </c>
      <c r="D567" s="14" t="s">
        <v>837</v>
      </c>
      <c r="E567" s="8" t="s">
        <v>2582</v>
      </c>
      <c r="F567" s="27" t="s">
        <v>2590</v>
      </c>
    </row>
    <row r="568">
      <c r="A568" s="9" t="s">
        <v>365</v>
      </c>
      <c r="B568" s="9" t="s">
        <v>366</v>
      </c>
      <c r="C568" s="8" t="s">
        <v>138</v>
      </c>
      <c r="D568" s="14" t="s">
        <v>338</v>
      </c>
      <c r="E568" s="8" t="s">
        <v>2610</v>
      </c>
      <c r="F568" s="27" t="s">
        <v>2588</v>
      </c>
    </row>
    <row r="569">
      <c r="A569" s="9" t="s">
        <v>1158</v>
      </c>
      <c r="B569" s="9" t="s">
        <v>121</v>
      </c>
      <c r="C569" s="8" t="s">
        <v>122</v>
      </c>
      <c r="D569" s="14" t="s">
        <v>1070</v>
      </c>
      <c r="E569" s="8" t="s">
        <v>2562</v>
      </c>
      <c r="F569" s="27" t="s">
        <v>2622</v>
      </c>
    </row>
    <row r="570">
      <c r="A570" s="9" t="s">
        <v>1158</v>
      </c>
      <c r="B570" s="9" t="s">
        <v>494</v>
      </c>
      <c r="C570" s="8" t="s">
        <v>141</v>
      </c>
      <c r="D570" s="14" t="s">
        <v>1679</v>
      </c>
      <c r="E570" s="8" t="s">
        <v>2582</v>
      </c>
      <c r="F570" s="27" t="s">
        <v>2569</v>
      </c>
    </row>
    <row r="571">
      <c r="A571" s="9" t="s">
        <v>1158</v>
      </c>
      <c r="B571" s="9" t="s">
        <v>137</v>
      </c>
      <c r="C571" s="8" t="s">
        <v>132</v>
      </c>
      <c r="D571" s="14" t="s">
        <v>1352</v>
      </c>
      <c r="E571" s="8" t="s">
        <v>2581</v>
      </c>
      <c r="F571" s="27" t="s">
        <v>2570</v>
      </c>
    </row>
    <row r="572">
      <c r="A572" s="9" t="s">
        <v>1159</v>
      </c>
      <c r="B572" s="9" t="s">
        <v>1160</v>
      </c>
      <c r="C572" s="8" t="s">
        <v>59</v>
      </c>
      <c r="D572" s="14" t="s">
        <v>1070</v>
      </c>
      <c r="E572" s="8" t="s">
        <v>2577</v>
      </c>
      <c r="F572" s="27" t="s">
        <v>2602</v>
      </c>
    </row>
    <row r="573">
      <c r="A573" s="9" t="s">
        <v>1433</v>
      </c>
      <c r="B573" s="9" t="s">
        <v>1434</v>
      </c>
      <c r="C573" s="8" t="s">
        <v>65</v>
      </c>
      <c r="D573" s="14" t="s">
        <v>1352</v>
      </c>
      <c r="E573" s="8" t="s">
        <v>2595</v>
      </c>
      <c r="F573" s="27" t="s">
        <v>2570</v>
      </c>
    </row>
    <row r="574">
      <c r="A574" s="9" t="s">
        <v>891</v>
      </c>
      <c r="B574" s="9" t="s">
        <v>892</v>
      </c>
      <c r="C574" s="8" t="s">
        <v>93</v>
      </c>
      <c r="D574" s="14" t="s">
        <v>837</v>
      </c>
      <c r="E574" s="8" t="s">
        <v>2621</v>
      </c>
      <c r="F574" s="27" t="s">
        <v>2618</v>
      </c>
    </row>
    <row r="575">
      <c r="A575" s="9" t="s">
        <v>672</v>
      </c>
      <c r="B575" s="9" t="s">
        <v>673</v>
      </c>
      <c r="C575" s="8" t="s">
        <v>132</v>
      </c>
      <c r="D575" s="14" t="s">
        <v>631</v>
      </c>
      <c r="E575" s="8" t="s">
        <v>2183</v>
      </c>
      <c r="F575" s="27" t="s">
        <v>2586</v>
      </c>
    </row>
    <row r="576">
      <c r="A576" s="9" t="s">
        <v>674</v>
      </c>
      <c r="B576" s="9" t="s">
        <v>231</v>
      </c>
      <c r="C576" s="8" t="s">
        <v>186</v>
      </c>
      <c r="D576" s="14" t="s">
        <v>631</v>
      </c>
      <c r="E576" s="8" t="s">
        <v>2572</v>
      </c>
      <c r="F576" s="27" t="s">
        <v>2594</v>
      </c>
    </row>
    <row r="577">
      <c r="A577" s="9" t="s">
        <v>893</v>
      </c>
      <c r="B577" s="9" t="s">
        <v>55</v>
      </c>
      <c r="C577" s="8" t="s">
        <v>24</v>
      </c>
      <c r="D577" s="14" t="s">
        <v>837</v>
      </c>
      <c r="E577" s="8" t="s">
        <v>2582</v>
      </c>
      <c r="F577" s="27" t="s">
        <v>2630</v>
      </c>
    </row>
    <row r="578">
      <c r="A578" s="9" t="s">
        <v>894</v>
      </c>
      <c r="B578" s="9" t="s">
        <v>231</v>
      </c>
      <c r="C578" s="8" t="s">
        <v>141</v>
      </c>
      <c r="D578" s="14" t="s">
        <v>837</v>
      </c>
      <c r="E578" s="8" t="s">
        <v>2595</v>
      </c>
      <c r="F578" s="27" t="s">
        <v>2576</v>
      </c>
    </row>
    <row r="579">
      <c r="A579" s="9" t="s">
        <v>367</v>
      </c>
      <c r="B579" s="9" t="s">
        <v>317</v>
      </c>
      <c r="C579" s="8" t="s">
        <v>80</v>
      </c>
      <c r="D579" s="14" t="s">
        <v>338</v>
      </c>
      <c r="E579" s="8" t="s">
        <v>2600</v>
      </c>
      <c r="F579" s="27" t="s">
        <v>2563</v>
      </c>
    </row>
    <row r="580">
      <c r="A580" s="9" t="s">
        <v>1161</v>
      </c>
      <c r="B580" s="9" t="s">
        <v>129</v>
      </c>
      <c r="C580" s="8" t="s">
        <v>24</v>
      </c>
      <c r="D580" s="14" t="s">
        <v>1070</v>
      </c>
      <c r="E580" s="8" t="s">
        <v>2567</v>
      </c>
      <c r="F580" s="27" t="s">
        <v>2633</v>
      </c>
    </row>
    <row r="581">
      <c r="A581" s="9" t="s">
        <v>1770</v>
      </c>
      <c r="B581" s="9" t="s">
        <v>1771</v>
      </c>
      <c r="C581" s="8" t="s">
        <v>53</v>
      </c>
      <c r="D581" s="14" t="s">
        <v>1679</v>
      </c>
      <c r="E581" s="8" t="s">
        <v>2593</v>
      </c>
      <c r="F581" s="27" t="s">
        <v>2607</v>
      </c>
    </row>
    <row r="582">
      <c r="A582" s="9" t="s">
        <v>150</v>
      </c>
      <c r="B582" s="9" t="s">
        <v>151</v>
      </c>
      <c r="C582" s="8" t="s">
        <v>65</v>
      </c>
      <c r="D582" s="14" t="s">
        <v>135</v>
      </c>
      <c r="E582" s="8" t="s">
        <v>2600</v>
      </c>
      <c r="F582" s="27" t="s">
        <v>2596</v>
      </c>
    </row>
    <row r="583">
      <c r="A583" s="9" t="s">
        <v>2092</v>
      </c>
      <c r="B583" s="9" t="s">
        <v>198</v>
      </c>
      <c r="C583" s="8" t="s">
        <v>70</v>
      </c>
      <c r="D583" s="14" t="s">
        <v>2033</v>
      </c>
      <c r="E583" s="18" t="s">
        <v>2589</v>
      </c>
      <c r="F583" s="27" t="s">
        <v>2565</v>
      </c>
    </row>
    <row r="584">
      <c r="A584" s="9" t="s">
        <v>1772</v>
      </c>
      <c r="B584" s="9" t="s">
        <v>77</v>
      </c>
      <c r="C584" s="8" t="s">
        <v>192</v>
      </c>
      <c r="D584" s="14" t="s">
        <v>2296</v>
      </c>
      <c r="E584" s="8" t="s">
        <v>2577</v>
      </c>
      <c r="F584" s="27" t="s">
        <v>2553</v>
      </c>
    </row>
    <row r="585">
      <c r="A585" s="9" t="s">
        <v>1772</v>
      </c>
      <c r="B585" s="9" t="s">
        <v>2465</v>
      </c>
      <c r="C585" s="8" t="s">
        <v>186</v>
      </c>
      <c r="D585" s="14" t="s">
        <v>2459</v>
      </c>
      <c r="E585" s="8" t="s">
        <v>2587</v>
      </c>
      <c r="F585" s="27" t="s">
        <v>2553</v>
      </c>
    </row>
    <row r="586">
      <c r="A586" s="9" t="s">
        <v>1772</v>
      </c>
      <c r="B586" s="9" t="s">
        <v>865</v>
      </c>
      <c r="C586" s="8" t="s">
        <v>70</v>
      </c>
      <c r="D586" s="14" t="s">
        <v>1679</v>
      </c>
      <c r="E586" s="8" t="s">
        <v>2577</v>
      </c>
      <c r="F586" s="27" t="s">
        <v>2583</v>
      </c>
    </row>
    <row r="587">
      <c r="A587" s="9" t="s">
        <v>2330</v>
      </c>
      <c r="B587" s="9" t="s">
        <v>2331</v>
      </c>
      <c r="C587" s="8" t="s">
        <v>149</v>
      </c>
      <c r="D587" s="14" t="s">
        <v>2296</v>
      </c>
      <c r="E587" s="8" t="s">
        <v>2560</v>
      </c>
      <c r="F587" s="27" t="s">
        <v>2579</v>
      </c>
    </row>
    <row r="588">
      <c r="A588" s="9" t="s">
        <v>895</v>
      </c>
      <c r="B588" s="9" t="s">
        <v>506</v>
      </c>
      <c r="C588" s="8" t="s">
        <v>149</v>
      </c>
      <c r="D588" s="14" t="s">
        <v>2296</v>
      </c>
      <c r="E588" s="8" t="s">
        <v>2593</v>
      </c>
      <c r="F588" s="27" t="s">
        <v>2570</v>
      </c>
    </row>
    <row r="589">
      <c r="A589" s="9" t="s">
        <v>895</v>
      </c>
      <c r="B589" s="9" t="s">
        <v>1773</v>
      </c>
      <c r="C589" s="8" t="s">
        <v>70</v>
      </c>
      <c r="D589" s="14" t="s">
        <v>1679</v>
      </c>
      <c r="E589" s="8" t="s">
        <v>2575</v>
      </c>
      <c r="F589" s="27" t="s">
        <v>2601</v>
      </c>
    </row>
    <row r="590">
      <c r="A590" s="9" t="s">
        <v>895</v>
      </c>
      <c r="B590" s="9" t="s">
        <v>896</v>
      </c>
      <c r="C590" s="8" t="s">
        <v>38</v>
      </c>
      <c r="D590" s="14" t="s">
        <v>837</v>
      </c>
      <c r="E590" s="8" t="s">
        <v>2560</v>
      </c>
      <c r="F590" s="27" t="s">
        <v>2602</v>
      </c>
    </row>
    <row r="591">
      <c r="A591" s="9" t="s">
        <v>895</v>
      </c>
      <c r="B591" s="9" t="s">
        <v>236</v>
      </c>
      <c r="C591" s="8" t="s">
        <v>122</v>
      </c>
      <c r="D591" s="14" t="s">
        <v>1352</v>
      </c>
      <c r="E591" s="8" t="s">
        <v>2595</v>
      </c>
      <c r="F591" s="27" t="s">
        <v>2591</v>
      </c>
    </row>
    <row r="592">
      <c r="A592" s="9" t="s">
        <v>895</v>
      </c>
      <c r="B592" s="9" t="s">
        <v>183</v>
      </c>
      <c r="C592" s="8" t="s">
        <v>80</v>
      </c>
      <c r="D592" s="14" t="s">
        <v>2033</v>
      </c>
      <c r="E592" s="8" t="s">
        <v>2592</v>
      </c>
      <c r="F592" s="27" t="s">
        <v>2622</v>
      </c>
    </row>
    <row r="593">
      <c r="A593" s="9" t="s">
        <v>2332</v>
      </c>
      <c r="B593" s="9" t="s">
        <v>2333</v>
      </c>
      <c r="C593" s="8" t="s">
        <v>53</v>
      </c>
      <c r="D593" s="14" t="s">
        <v>2296</v>
      </c>
      <c r="E593" s="8" t="s">
        <v>2572</v>
      </c>
      <c r="F593" s="27" t="s">
        <v>2555</v>
      </c>
    </row>
    <row r="594">
      <c r="A594" s="9" t="s">
        <v>675</v>
      </c>
      <c r="B594" s="9" t="s">
        <v>676</v>
      </c>
      <c r="C594" s="8" t="s">
        <v>24</v>
      </c>
      <c r="D594" s="14" t="s">
        <v>631</v>
      </c>
      <c r="E594" s="8" t="s">
        <v>2610</v>
      </c>
      <c r="F594" s="27" t="s">
        <v>2613</v>
      </c>
    </row>
    <row r="595">
      <c r="A595" s="9" t="s">
        <v>1776</v>
      </c>
      <c r="B595" s="9" t="s">
        <v>1486</v>
      </c>
      <c r="C595" s="8" t="s">
        <v>59</v>
      </c>
      <c r="D595" s="14" t="s">
        <v>1679</v>
      </c>
      <c r="E595" s="8" t="s">
        <v>2562</v>
      </c>
      <c r="F595" s="27" t="s">
        <v>2573</v>
      </c>
    </row>
    <row r="596">
      <c r="A596" s="9" t="s">
        <v>1777</v>
      </c>
      <c r="B596" s="9" t="s">
        <v>464</v>
      </c>
      <c r="C596" s="8" t="s">
        <v>70</v>
      </c>
      <c r="D596" s="14" t="s">
        <v>1679</v>
      </c>
      <c r="E596" s="8" t="s">
        <v>2572</v>
      </c>
      <c r="F596" s="27" t="s">
        <v>2588</v>
      </c>
    </row>
    <row r="597">
      <c r="A597" s="9" t="s">
        <v>1435</v>
      </c>
      <c r="B597" s="9" t="s">
        <v>197</v>
      </c>
      <c r="C597" s="8" t="s">
        <v>122</v>
      </c>
      <c r="D597" s="14" t="s">
        <v>1352</v>
      </c>
      <c r="E597" s="8" t="s">
        <v>2615</v>
      </c>
      <c r="F597" s="27" t="s">
        <v>2576</v>
      </c>
    </row>
    <row r="598">
      <c r="A598" s="9" t="s">
        <v>1774</v>
      </c>
      <c r="B598" s="9" t="s">
        <v>1775</v>
      </c>
      <c r="C598" s="8" t="s">
        <v>93</v>
      </c>
      <c r="D598" s="14" t="s">
        <v>1679</v>
      </c>
      <c r="E598" s="8" t="s">
        <v>2574</v>
      </c>
      <c r="F598" s="27" t="s">
        <v>2579</v>
      </c>
    </row>
    <row r="599">
      <c r="A599" s="9" t="s">
        <v>1436</v>
      </c>
      <c r="B599" s="9" t="s">
        <v>299</v>
      </c>
      <c r="C599" s="8" t="s">
        <v>132</v>
      </c>
      <c r="D599" s="14" t="s">
        <v>1352</v>
      </c>
      <c r="E599" s="8" t="s">
        <v>2567</v>
      </c>
      <c r="F599" s="27" t="s">
        <v>2606</v>
      </c>
    </row>
    <row r="600">
      <c r="A600" s="9" t="s">
        <v>1437</v>
      </c>
      <c r="B600" s="9" t="s">
        <v>771</v>
      </c>
      <c r="C600" s="8" t="s">
        <v>75</v>
      </c>
      <c r="D600" s="14" t="s">
        <v>1352</v>
      </c>
      <c r="E600" s="8" t="s">
        <v>2552</v>
      </c>
      <c r="F600" s="27" t="s">
        <v>2553</v>
      </c>
    </row>
    <row r="601">
      <c r="A601" s="9" t="s">
        <v>2334</v>
      </c>
      <c r="B601" s="9" t="s">
        <v>226</v>
      </c>
      <c r="C601" s="8" t="s">
        <v>59</v>
      </c>
      <c r="D601" s="14" t="s">
        <v>2296</v>
      </c>
      <c r="E601" s="8" t="s">
        <v>2603</v>
      </c>
      <c r="F601" s="27" t="s">
        <v>2609</v>
      </c>
    </row>
    <row r="602">
      <c r="A602" s="9" t="s">
        <v>368</v>
      </c>
      <c r="B602" s="9" t="s">
        <v>277</v>
      </c>
      <c r="C602" s="8" t="s">
        <v>70</v>
      </c>
      <c r="D602" s="14" t="s">
        <v>338</v>
      </c>
      <c r="E602" s="8" t="s">
        <v>2592</v>
      </c>
      <c r="F602" s="27" t="s">
        <v>2565</v>
      </c>
    </row>
    <row r="603">
      <c r="A603" s="9" t="s">
        <v>897</v>
      </c>
      <c r="B603" s="9" t="s">
        <v>2335</v>
      </c>
      <c r="C603" s="8" t="s">
        <v>80</v>
      </c>
      <c r="D603" s="14" t="s">
        <v>2296</v>
      </c>
      <c r="E603" s="8" t="s">
        <v>2575</v>
      </c>
      <c r="F603" s="27" t="s">
        <v>2579</v>
      </c>
    </row>
    <row r="604">
      <c r="A604" s="9" t="s">
        <v>897</v>
      </c>
      <c r="B604" s="9" t="s">
        <v>342</v>
      </c>
      <c r="C604" s="8" t="s">
        <v>70</v>
      </c>
      <c r="D604" s="14" t="s">
        <v>1679</v>
      </c>
      <c r="E604" s="8" t="s">
        <v>2614</v>
      </c>
      <c r="F604" s="27" t="s">
        <v>2636</v>
      </c>
    </row>
    <row r="605">
      <c r="A605" s="9" t="s">
        <v>897</v>
      </c>
      <c r="B605" s="9" t="s">
        <v>299</v>
      </c>
      <c r="C605" s="8" t="s">
        <v>12</v>
      </c>
      <c r="D605" s="14" t="s">
        <v>1679</v>
      </c>
      <c r="E605" s="8" t="s">
        <v>2564</v>
      </c>
      <c r="F605" s="27" t="s">
        <v>2553</v>
      </c>
    </row>
    <row r="606">
      <c r="A606" s="9" t="s">
        <v>897</v>
      </c>
      <c r="B606" s="9" t="s">
        <v>1162</v>
      </c>
      <c r="C606" s="8" t="s">
        <v>93</v>
      </c>
      <c r="D606" s="14" t="s">
        <v>1070</v>
      </c>
      <c r="E606" s="8" t="s">
        <v>2574</v>
      </c>
      <c r="F606" s="27" t="s">
        <v>2563</v>
      </c>
    </row>
    <row r="607">
      <c r="A607" s="9" t="s">
        <v>897</v>
      </c>
      <c r="B607" s="9" t="s">
        <v>898</v>
      </c>
      <c r="C607" s="8" t="s">
        <v>59</v>
      </c>
      <c r="D607" s="14" t="s">
        <v>837</v>
      </c>
      <c r="E607" s="8" t="s">
        <v>2581</v>
      </c>
      <c r="F607" s="27" t="s">
        <v>2568</v>
      </c>
    </row>
    <row r="608">
      <c r="A608" s="9" t="s">
        <v>677</v>
      </c>
      <c r="B608" s="9" t="s">
        <v>381</v>
      </c>
      <c r="C608" s="8" t="s">
        <v>122</v>
      </c>
      <c r="D608" s="14" t="s">
        <v>631</v>
      </c>
      <c r="E608" s="18" t="s">
        <v>2556</v>
      </c>
      <c r="F608" s="27" t="s">
        <v>2565</v>
      </c>
    </row>
    <row r="609">
      <c r="A609" s="9" t="s">
        <v>369</v>
      </c>
      <c r="B609" s="9" t="s">
        <v>370</v>
      </c>
      <c r="C609" s="8" t="s">
        <v>24</v>
      </c>
      <c r="D609" s="14" t="s">
        <v>338</v>
      </c>
      <c r="E609" s="8" t="s">
        <v>2566</v>
      </c>
      <c r="F609" s="27" t="s">
        <v>2571</v>
      </c>
    </row>
    <row r="610">
      <c r="A610" s="9" t="s">
        <v>1778</v>
      </c>
      <c r="B610" s="9" t="s">
        <v>1779</v>
      </c>
      <c r="C610" s="8" t="s">
        <v>59</v>
      </c>
      <c r="D610" s="14" t="s">
        <v>1679</v>
      </c>
      <c r="E610" s="8" t="s">
        <v>2595</v>
      </c>
      <c r="F610" s="27" t="s">
        <v>2576</v>
      </c>
    </row>
    <row r="611">
      <c r="A611" s="9" t="s">
        <v>1780</v>
      </c>
      <c r="B611" s="9" t="s">
        <v>558</v>
      </c>
      <c r="C611" s="8" t="s">
        <v>132</v>
      </c>
      <c r="D611" s="14" t="s">
        <v>1679</v>
      </c>
      <c r="E611" s="8" t="s">
        <v>2575</v>
      </c>
      <c r="F611" s="27" t="s">
        <v>2580</v>
      </c>
    </row>
    <row r="612">
      <c r="A612" s="9" t="s">
        <v>1781</v>
      </c>
      <c r="B612" s="9" t="s">
        <v>177</v>
      </c>
      <c r="C612" s="8" t="s">
        <v>24</v>
      </c>
      <c r="D612" s="14" t="s">
        <v>1679</v>
      </c>
      <c r="E612" s="8" t="s">
        <v>2566</v>
      </c>
      <c r="F612" s="27" t="s">
        <v>2611</v>
      </c>
    </row>
    <row r="613">
      <c r="A613" s="9" t="s">
        <v>899</v>
      </c>
      <c r="B613" s="9" t="s">
        <v>900</v>
      </c>
      <c r="C613" s="8" t="s">
        <v>65</v>
      </c>
      <c r="D613" s="14" t="s">
        <v>837</v>
      </c>
      <c r="E613" s="8" t="s">
        <v>2560</v>
      </c>
      <c r="F613" s="27" t="s">
        <v>2608</v>
      </c>
    </row>
    <row r="614">
      <c r="A614" s="9" t="s">
        <v>2093</v>
      </c>
      <c r="B614" s="9" t="s">
        <v>247</v>
      </c>
      <c r="C614" s="8" t="s">
        <v>80</v>
      </c>
      <c r="D614" s="14" t="s">
        <v>2033</v>
      </c>
      <c r="E614" s="8" t="s">
        <v>2552</v>
      </c>
      <c r="F614" s="27" t="s">
        <v>2576</v>
      </c>
    </row>
    <row r="615">
      <c r="A615" s="9" t="s">
        <v>1163</v>
      </c>
      <c r="B615" s="9" t="s">
        <v>100</v>
      </c>
      <c r="C615" s="8" t="s">
        <v>65</v>
      </c>
      <c r="D615" s="14" t="s">
        <v>1070</v>
      </c>
      <c r="E615" s="8" t="s">
        <v>2610</v>
      </c>
      <c r="F615" s="27" t="s">
        <v>2591</v>
      </c>
    </row>
    <row r="616">
      <c r="A616" s="9" t="s">
        <v>2336</v>
      </c>
      <c r="B616" s="9" t="s">
        <v>2173</v>
      </c>
      <c r="C616" s="8" t="s">
        <v>24</v>
      </c>
      <c r="D616" s="14" t="s">
        <v>2296</v>
      </c>
      <c r="E616" s="8" t="s">
        <v>2592</v>
      </c>
      <c r="F616" s="27" t="s">
        <v>2576</v>
      </c>
    </row>
    <row r="617">
      <c r="A617" s="9" t="s">
        <v>678</v>
      </c>
      <c r="B617" s="9" t="s">
        <v>480</v>
      </c>
      <c r="C617" s="8" t="s">
        <v>24</v>
      </c>
      <c r="D617" s="14" t="s">
        <v>631</v>
      </c>
      <c r="E617" s="8" t="s">
        <v>2564</v>
      </c>
      <c r="F617" s="27" t="s">
        <v>2634</v>
      </c>
    </row>
    <row r="618">
      <c r="A618" s="9" t="s">
        <v>1438</v>
      </c>
      <c r="B618" s="9" t="s">
        <v>676</v>
      </c>
      <c r="C618" s="8" t="s">
        <v>70</v>
      </c>
      <c r="D618" s="14" t="s">
        <v>1352</v>
      </c>
      <c r="E618" s="8" t="s">
        <v>2575</v>
      </c>
      <c r="F618" s="27" t="s">
        <v>2583</v>
      </c>
    </row>
    <row r="619">
      <c r="A619" s="9" t="s">
        <v>901</v>
      </c>
      <c r="B619" s="9" t="s">
        <v>52</v>
      </c>
      <c r="C619" s="8" t="s">
        <v>75</v>
      </c>
      <c r="D619" s="14" t="s">
        <v>837</v>
      </c>
      <c r="E619" s="8" t="s">
        <v>2183</v>
      </c>
      <c r="F619" s="27" t="s">
        <v>2568</v>
      </c>
    </row>
    <row r="620">
      <c r="A620" s="9" t="s">
        <v>1439</v>
      </c>
      <c r="B620" s="9" t="s">
        <v>134</v>
      </c>
      <c r="C620" s="8" t="s">
        <v>16</v>
      </c>
      <c r="D620" s="14" t="s">
        <v>1352</v>
      </c>
      <c r="E620" s="8" t="s">
        <v>2600</v>
      </c>
      <c r="F620" s="27" t="s">
        <v>2637</v>
      </c>
    </row>
    <row r="621">
      <c r="A621" s="9" t="s">
        <v>1164</v>
      </c>
      <c r="B621" s="9" t="s">
        <v>399</v>
      </c>
      <c r="C621" s="8" t="s">
        <v>46</v>
      </c>
      <c r="D621" s="14" t="s">
        <v>2296</v>
      </c>
      <c r="E621" s="8" t="s">
        <v>2593</v>
      </c>
      <c r="F621" s="27" t="s">
        <v>2583</v>
      </c>
    </row>
    <row r="622">
      <c r="A622" s="9" t="s">
        <v>1164</v>
      </c>
      <c r="B622" s="9" t="s">
        <v>263</v>
      </c>
      <c r="C622" s="8" t="s">
        <v>59</v>
      </c>
      <c r="D622" s="14" t="s">
        <v>1679</v>
      </c>
      <c r="E622" s="8" t="s">
        <v>2610</v>
      </c>
      <c r="F622" s="27" t="s">
        <v>2568</v>
      </c>
    </row>
    <row r="623">
      <c r="A623" s="9" t="s">
        <v>1164</v>
      </c>
      <c r="B623" s="9" t="s">
        <v>381</v>
      </c>
      <c r="C623" s="8" t="s">
        <v>80</v>
      </c>
      <c r="D623" s="14" t="s">
        <v>1679</v>
      </c>
      <c r="E623" s="8" t="s">
        <v>2592</v>
      </c>
      <c r="F623" s="27" t="s">
        <v>2601</v>
      </c>
    </row>
    <row r="624">
      <c r="A624" s="9" t="s">
        <v>1164</v>
      </c>
      <c r="B624" s="9" t="s">
        <v>1165</v>
      </c>
      <c r="C624" s="8" t="s">
        <v>192</v>
      </c>
      <c r="D624" s="14" t="s">
        <v>1070</v>
      </c>
      <c r="E624" s="8" t="s">
        <v>2603</v>
      </c>
      <c r="F624" s="27" t="s">
        <v>2555</v>
      </c>
    </row>
    <row r="625">
      <c r="A625" s="9" t="s">
        <v>1164</v>
      </c>
      <c r="B625" s="9" t="s">
        <v>183</v>
      </c>
      <c r="C625" s="8" t="s">
        <v>65</v>
      </c>
      <c r="D625" s="14" t="s">
        <v>1070</v>
      </c>
      <c r="E625" s="8" t="s">
        <v>2592</v>
      </c>
      <c r="F625" s="27" t="s">
        <v>2616</v>
      </c>
    </row>
    <row r="626">
      <c r="A626" s="9" t="s">
        <v>1164</v>
      </c>
      <c r="B626" s="9" t="s">
        <v>585</v>
      </c>
      <c r="C626" s="8" t="s">
        <v>186</v>
      </c>
      <c r="D626" s="14" t="s">
        <v>2033</v>
      </c>
      <c r="E626" s="8" t="s">
        <v>2621</v>
      </c>
      <c r="F626" s="27" t="s">
        <v>2590</v>
      </c>
    </row>
    <row r="627">
      <c r="A627" s="9" t="s">
        <v>902</v>
      </c>
      <c r="B627" s="9" t="s">
        <v>903</v>
      </c>
      <c r="C627" s="8" t="s">
        <v>192</v>
      </c>
      <c r="D627" s="14" t="s">
        <v>837</v>
      </c>
      <c r="E627" s="8" t="s">
        <v>2582</v>
      </c>
      <c r="F627" s="27" t="s">
        <v>2583</v>
      </c>
    </row>
    <row r="628">
      <c r="A628" s="9" t="s">
        <v>902</v>
      </c>
      <c r="B628" s="9" t="s">
        <v>294</v>
      </c>
      <c r="C628" s="8" t="s">
        <v>24</v>
      </c>
      <c r="D628" s="14" t="s">
        <v>1352</v>
      </c>
      <c r="E628" s="8" t="s">
        <v>2593</v>
      </c>
      <c r="F628" s="27" t="s">
        <v>2608</v>
      </c>
    </row>
    <row r="629">
      <c r="A629" s="9" t="s">
        <v>679</v>
      </c>
      <c r="B629" s="9" t="s">
        <v>680</v>
      </c>
      <c r="C629" s="8" t="s">
        <v>80</v>
      </c>
      <c r="D629" s="14" t="s">
        <v>631</v>
      </c>
      <c r="E629" s="8" t="s">
        <v>2585</v>
      </c>
      <c r="F629" s="27" t="s">
        <v>2622</v>
      </c>
    </row>
    <row r="630">
      <c r="A630" s="9" t="s">
        <v>1166</v>
      </c>
      <c r="B630" s="9" t="s">
        <v>212</v>
      </c>
      <c r="C630" s="8" t="s">
        <v>141</v>
      </c>
      <c r="D630" s="14" t="s">
        <v>1070</v>
      </c>
      <c r="E630" s="8" t="s">
        <v>2564</v>
      </c>
      <c r="F630" s="27" t="s">
        <v>2618</v>
      </c>
    </row>
    <row r="631">
      <c r="A631" s="9" t="s">
        <v>904</v>
      </c>
      <c r="B631" s="9" t="s">
        <v>905</v>
      </c>
      <c r="C631" s="8" t="s">
        <v>59</v>
      </c>
      <c r="D631" s="14" t="s">
        <v>837</v>
      </c>
      <c r="E631" s="8" t="s">
        <v>2558</v>
      </c>
      <c r="F631" s="27" t="s">
        <v>2601</v>
      </c>
    </row>
    <row r="632">
      <c r="A632" s="9" t="s">
        <v>1782</v>
      </c>
      <c r="B632" s="9" t="s">
        <v>121</v>
      </c>
      <c r="C632" s="8" t="s">
        <v>93</v>
      </c>
      <c r="D632" s="14" t="s">
        <v>1679</v>
      </c>
      <c r="E632" s="8" t="s">
        <v>2572</v>
      </c>
      <c r="F632" s="27" t="s">
        <v>2609</v>
      </c>
    </row>
    <row r="633">
      <c r="A633" s="18" t="s">
        <v>1440</v>
      </c>
      <c r="B633" s="18" t="s">
        <v>1441</v>
      </c>
      <c r="C633" s="8" t="s">
        <v>12</v>
      </c>
      <c r="D633" s="14" t="s">
        <v>1352</v>
      </c>
      <c r="E633" s="8" t="s">
        <v>2562</v>
      </c>
      <c r="F633" s="27" t="s">
        <v>2553</v>
      </c>
    </row>
    <row r="634">
      <c r="A634" s="9" t="s">
        <v>1783</v>
      </c>
      <c r="B634" s="9" t="s">
        <v>1784</v>
      </c>
      <c r="C634" s="8" t="s">
        <v>141</v>
      </c>
      <c r="D634" s="14" t="s">
        <v>1679</v>
      </c>
      <c r="E634" s="8" t="s">
        <v>2620</v>
      </c>
      <c r="F634" s="27" t="s">
        <v>2597</v>
      </c>
    </row>
    <row r="635">
      <c r="A635" s="9" t="s">
        <v>1785</v>
      </c>
      <c r="B635" s="9" t="s">
        <v>320</v>
      </c>
      <c r="C635" s="8" t="s">
        <v>16</v>
      </c>
      <c r="D635" s="14" t="s">
        <v>1679</v>
      </c>
      <c r="E635" s="8" t="s">
        <v>2560</v>
      </c>
      <c r="F635" s="27" t="s">
        <v>2628</v>
      </c>
    </row>
    <row r="636">
      <c r="A636" s="9" t="s">
        <v>906</v>
      </c>
      <c r="B636" s="9" t="s">
        <v>546</v>
      </c>
      <c r="C636" s="8" t="s">
        <v>149</v>
      </c>
      <c r="D636" s="14" t="s">
        <v>837</v>
      </c>
      <c r="E636" s="8" t="s">
        <v>2603</v>
      </c>
      <c r="F636" s="27" t="s">
        <v>2622</v>
      </c>
    </row>
    <row r="637">
      <c r="A637" s="9" t="s">
        <v>906</v>
      </c>
      <c r="B637" s="9" t="s">
        <v>1621</v>
      </c>
      <c r="C637" s="8" t="s">
        <v>24</v>
      </c>
      <c r="D637" s="14" t="s">
        <v>2459</v>
      </c>
      <c r="E637" s="8" t="s">
        <v>2620</v>
      </c>
      <c r="F637" s="27" t="s">
        <v>2553</v>
      </c>
    </row>
    <row r="638">
      <c r="A638" s="9" t="s">
        <v>906</v>
      </c>
      <c r="B638" s="9" t="s">
        <v>1786</v>
      </c>
      <c r="C638" s="8" t="s">
        <v>93</v>
      </c>
      <c r="D638" s="14" t="s">
        <v>1679</v>
      </c>
      <c r="E638" s="8" t="s">
        <v>2605</v>
      </c>
      <c r="F638" s="27" t="s">
        <v>2570</v>
      </c>
    </row>
    <row r="639">
      <c r="A639" s="9" t="s">
        <v>907</v>
      </c>
      <c r="B639" s="9" t="s">
        <v>908</v>
      </c>
      <c r="C639" s="8" t="s">
        <v>192</v>
      </c>
      <c r="D639" s="14" t="s">
        <v>837</v>
      </c>
      <c r="E639" s="8" t="s">
        <v>2567</v>
      </c>
      <c r="F639" s="27" t="s">
        <v>2553</v>
      </c>
    </row>
    <row r="640">
      <c r="A640" s="9" t="s">
        <v>1167</v>
      </c>
      <c r="B640" s="9" t="s">
        <v>892</v>
      </c>
      <c r="C640" s="8" t="s">
        <v>70</v>
      </c>
      <c r="D640" s="14" t="s">
        <v>1070</v>
      </c>
      <c r="E640" s="8" t="s">
        <v>2581</v>
      </c>
      <c r="F640" s="27" t="s">
        <v>2569</v>
      </c>
    </row>
    <row r="641">
      <c r="A641" s="9" t="s">
        <v>1787</v>
      </c>
      <c r="B641" s="9" t="s">
        <v>1788</v>
      </c>
      <c r="C641" s="8" t="s">
        <v>215</v>
      </c>
      <c r="D641" s="14" t="s">
        <v>1679</v>
      </c>
      <c r="E641" s="8" t="s">
        <v>2560</v>
      </c>
      <c r="F641" s="27" t="s">
        <v>2576</v>
      </c>
    </row>
    <row r="642">
      <c r="A642" s="9" t="s">
        <v>1442</v>
      </c>
      <c r="B642" s="9" t="s">
        <v>241</v>
      </c>
      <c r="C642" s="8" t="s">
        <v>75</v>
      </c>
      <c r="D642" s="14" t="s">
        <v>1352</v>
      </c>
      <c r="E642" s="8" t="s">
        <v>2572</v>
      </c>
      <c r="F642" s="27" t="s">
        <v>2563</v>
      </c>
    </row>
    <row r="643">
      <c r="A643" s="9" t="s">
        <v>909</v>
      </c>
      <c r="B643" s="9" t="s">
        <v>33</v>
      </c>
      <c r="C643" s="8" t="s">
        <v>149</v>
      </c>
      <c r="D643" s="14" t="s">
        <v>837</v>
      </c>
      <c r="E643" s="8" t="s">
        <v>2577</v>
      </c>
      <c r="F643" s="27" t="s">
        <v>2579</v>
      </c>
    </row>
    <row r="644">
      <c r="A644" s="9" t="s">
        <v>1168</v>
      </c>
      <c r="B644" s="9" t="s">
        <v>925</v>
      </c>
      <c r="C644" s="8" t="s">
        <v>80</v>
      </c>
      <c r="D644" s="14" t="s">
        <v>1070</v>
      </c>
      <c r="E644" s="8" t="s">
        <v>2610</v>
      </c>
      <c r="F644" s="27" t="s">
        <v>2557</v>
      </c>
    </row>
    <row r="645">
      <c r="A645" s="9" t="s">
        <v>910</v>
      </c>
      <c r="B645" s="9" t="s">
        <v>181</v>
      </c>
      <c r="C645" s="8" t="s">
        <v>132</v>
      </c>
      <c r="D645" s="14" t="s">
        <v>837</v>
      </c>
      <c r="E645" s="8" t="s">
        <v>2587</v>
      </c>
      <c r="F645" s="27" t="s">
        <v>2594</v>
      </c>
    </row>
    <row r="646">
      <c r="A646" s="9" t="s">
        <v>152</v>
      </c>
      <c r="B646" s="9" t="s">
        <v>153</v>
      </c>
      <c r="C646" s="8" t="s">
        <v>24</v>
      </c>
      <c r="D646" s="14" t="s">
        <v>135</v>
      </c>
      <c r="E646" s="8" t="s">
        <v>2562</v>
      </c>
      <c r="F646" s="27" t="s">
        <v>2601</v>
      </c>
    </row>
    <row r="647">
      <c r="A647" s="9" t="s">
        <v>2337</v>
      </c>
      <c r="B647" s="9" t="s">
        <v>598</v>
      </c>
      <c r="C647" s="8" t="s">
        <v>93</v>
      </c>
      <c r="D647" s="14" t="s">
        <v>2296</v>
      </c>
      <c r="E647" s="8" t="s">
        <v>2183</v>
      </c>
      <c r="F647" s="27" t="s">
        <v>2576</v>
      </c>
    </row>
    <row r="648">
      <c r="A648" s="9" t="s">
        <v>371</v>
      </c>
      <c r="B648" s="9" t="s">
        <v>260</v>
      </c>
      <c r="C648" s="8" t="s">
        <v>141</v>
      </c>
      <c r="D648" s="14" t="s">
        <v>338</v>
      </c>
      <c r="E648" s="8" t="s">
        <v>2600</v>
      </c>
      <c r="F648" s="27" t="s">
        <v>2637</v>
      </c>
    </row>
    <row r="649">
      <c r="A649" s="9" t="s">
        <v>1170</v>
      </c>
      <c r="B649" s="9" t="s">
        <v>1971</v>
      </c>
      <c r="C649" s="8" t="s">
        <v>59</v>
      </c>
      <c r="D649" s="14" t="s">
        <v>2033</v>
      </c>
      <c r="E649" s="8" t="s">
        <v>2575</v>
      </c>
      <c r="F649" s="27" t="s">
        <v>2591</v>
      </c>
    </row>
    <row r="650">
      <c r="A650" s="9" t="s">
        <v>1170</v>
      </c>
      <c r="B650" s="9" t="s">
        <v>301</v>
      </c>
      <c r="C650" s="8" t="s">
        <v>70</v>
      </c>
      <c r="D650" s="14" t="s">
        <v>1070</v>
      </c>
      <c r="E650" s="8" t="s">
        <v>2562</v>
      </c>
      <c r="F650" s="27" t="s">
        <v>2594</v>
      </c>
    </row>
    <row r="651">
      <c r="A651" s="9" t="s">
        <v>1170</v>
      </c>
      <c r="B651" s="9" t="s">
        <v>1012</v>
      </c>
      <c r="C651" s="8" t="s">
        <v>24</v>
      </c>
      <c r="D651" s="14" t="s">
        <v>1352</v>
      </c>
      <c r="E651" s="8" t="s">
        <v>2587</v>
      </c>
      <c r="F651" s="27" t="s">
        <v>2638</v>
      </c>
    </row>
    <row r="652">
      <c r="A652" s="9" t="s">
        <v>2338</v>
      </c>
      <c r="B652" s="9" t="s">
        <v>2339</v>
      </c>
      <c r="C652" s="8" t="s">
        <v>138</v>
      </c>
      <c r="D652" s="14" t="s">
        <v>2296</v>
      </c>
      <c r="E652" s="18" t="s">
        <v>2556</v>
      </c>
      <c r="F652" s="27" t="s">
        <v>2553</v>
      </c>
    </row>
    <row r="653">
      <c r="A653" s="9" t="s">
        <v>1169</v>
      </c>
      <c r="B653" s="9" t="s">
        <v>41</v>
      </c>
      <c r="C653" s="8" t="s">
        <v>12</v>
      </c>
      <c r="D653" s="14" t="s">
        <v>1070</v>
      </c>
      <c r="E653" s="8" t="s">
        <v>2558</v>
      </c>
      <c r="F653" s="27" t="s">
        <v>2555</v>
      </c>
    </row>
    <row r="654">
      <c r="A654" s="9" t="s">
        <v>2340</v>
      </c>
      <c r="B654" s="9" t="s">
        <v>471</v>
      </c>
      <c r="C654" s="8" t="s">
        <v>93</v>
      </c>
      <c r="D654" s="14" t="s">
        <v>2296</v>
      </c>
      <c r="E654" s="8" t="s">
        <v>2183</v>
      </c>
      <c r="F654" s="27" t="s">
        <v>2570</v>
      </c>
    </row>
    <row r="655">
      <c r="A655" s="9" t="s">
        <v>2094</v>
      </c>
      <c r="B655" s="9" t="s">
        <v>2095</v>
      </c>
      <c r="C655" s="8" t="s">
        <v>53</v>
      </c>
      <c r="D655" s="14" t="s">
        <v>2033</v>
      </c>
      <c r="E655" s="8" t="s">
        <v>2621</v>
      </c>
      <c r="F655" s="27" t="s">
        <v>2583</v>
      </c>
    </row>
    <row r="656">
      <c r="A656" s="9" t="s">
        <v>2096</v>
      </c>
      <c r="B656" s="9" t="s">
        <v>67</v>
      </c>
      <c r="C656" s="8" t="s">
        <v>16</v>
      </c>
      <c r="D656" s="14" t="s">
        <v>2033</v>
      </c>
      <c r="E656" s="8" t="s">
        <v>2610</v>
      </c>
      <c r="F656" s="27" t="s">
        <v>2618</v>
      </c>
    </row>
    <row r="657">
      <c r="A657" s="18" t="s">
        <v>911</v>
      </c>
      <c r="B657" s="18" t="s">
        <v>912</v>
      </c>
      <c r="C657" s="8" t="s">
        <v>75</v>
      </c>
      <c r="D657" s="14" t="s">
        <v>837</v>
      </c>
      <c r="E657" s="8" t="s">
        <v>2577</v>
      </c>
      <c r="F657" s="27" t="s">
        <v>2622</v>
      </c>
    </row>
    <row r="658">
      <c r="A658" s="9" t="s">
        <v>1789</v>
      </c>
      <c r="B658" s="9" t="s">
        <v>212</v>
      </c>
      <c r="C658" s="8" t="s">
        <v>24</v>
      </c>
      <c r="D658" s="14" t="s">
        <v>1679</v>
      </c>
      <c r="E658" s="8" t="s">
        <v>2621</v>
      </c>
      <c r="F658" s="27" t="s">
        <v>2622</v>
      </c>
    </row>
    <row r="659">
      <c r="A659" s="9" t="s">
        <v>681</v>
      </c>
      <c r="B659" s="9" t="s">
        <v>129</v>
      </c>
      <c r="C659" s="8" t="s">
        <v>46</v>
      </c>
      <c r="D659" s="14" t="s">
        <v>631</v>
      </c>
      <c r="E659" s="8" t="s">
        <v>2183</v>
      </c>
      <c r="F659" s="27" t="s">
        <v>2553</v>
      </c>
    </row>
    <row r="660">
      <c r="A660" s="9" t="s">
        <v>1790</v>
      </c>
      <c r="B660" s="9" t="s">
        <v>1791</v>
      </c>
      <c r="C660" s="8" t="s">
        <v>53</v>
      </c>
      <c r="D660" s="14" t="s">
        <v>1679</v>
      </c>
      <c r="E660" s="8" t="s">
        <v>2605</v>
      </c>
      <c r="F660" s="27" t="s">
        <v>2579</v>
      </c>
    </row>
    <row r="661">
      <c r="A661" s="9" t="s">
        <v>63</v>
      </c>
      <c r="B661" s="9" t="s">
        <v>64</v>
      </c>
      <c r="C661" s="8" t="s">
        <v>65</v>
      </c>
      <c r="D661" s="14" t="s">
        <v>60</v>
      </c>
      <c r="E661" s="18" t="s">
        <v>2589</v>
      </c>
      <c r="F661" s="27" t="s">
        <v>2611</v>
      </c>
    </row>
    <row r="662">
      <c r="A662" s="9" t="s">
        <v>63</v>
      </c>
      <c r="B662" s="9" t="s">
        <v>231</v>
      </c>
      <c r="C662" s="8" t="s">
        <v>16</v>
      </c>
      <c r="D662" s="14" t="s">
        <v>2296</v>
      </c>
      <c r="E662" s="8" t="s">
        <v>2592</v>
      </c>
      <c r="F662" s="27" t="s">
        <v>2617</v>
      </c>
    </row>
    <row r="663">
      <c r="A663" s="9" t="s">
        <v>66</v>
      </c>
      <c r="B663" s="9" t="s">
        <v>2341</v>
      </c>
      <c r="C663" s="8" t="s">
        <v>80</v>
      </c>
      <c r="D663" s="14" t="s">
        <v>2296</v>
      </c>
      <c r="E663" s="8" t="s">
        <v>2581</v>
      </c>
      <c r="F663" s="27" t="s">
        <v>2607</v>
      </c>
    </row>
    <row r="664">
      <c r="A664" s="9" t="s">
        <v>66</v>
      </c>
      <c r="B664" s="9" t="s">
        <v>67</v>
      </c>
      <c r="C664" s="8" t="s">
        <v>16</v>
      </c>
      <c r="D664" s="14" t="s">
        <v>60</v>
      </c>
      <c r="E664" s="8" t="s">
        <v>2581</v>
      </c>
      <c r="F664" s="27" t="s">
        <v>2601</v>
      </c>
    </row>
    <row r="665">
      <c r="A665" s="9" t="s">
        <v>112</v>
      </c>
      <c r="B665" s="9" t="s">
        <v>102</v>
      </c>
      <c r="C665" s="8" t="s">
        <v>16</v>
      </c>
      <c r="D665" s="14" t="s">
        <v>108</v>
      </c>
      <c r="E665" s="8" t="s">
        <v>2620</v>
      </c>
      <c r="F665" s="27" t="s">
        <v>2553</v>
      </c>
    </row>
    <row r="666">
      <c r="A666" s="9" t="s">
        <v>1792</v>
      </c>
      <c r="B666" s="9" t="s">
        <v>33</v>
      </c>
      <c r="C666" s="8" t="s">
        <v>24</v>
      </c>
      <c r="D666" s="14" t="s">
        <v>1679</v>
      </c>
      <c r="E666" s="8" t="s">
        <v>2582</v>
      </c>
      <c r="F666" s="27" t="s">
        <v>2568</v>
      </c>
    </row>
    <row r="667">
      <c r="A667" s="9" t="s">
        <v>1171</v>
      </c>
      <c r="B667" s="9" t="s">
        <v>52</v>
      </c>
      <c r="C667" s="8" t="s">
        <v>149</v>
      </c>
      <c r="D667" s="14" t="s">
        <v>1070</v>
      </c>
      <c r="E667" s="8" t="s">
        <v>2614</v>
      </c>
      <c r="F667" s="27" t="s">
        <v>2563</v>
      </c>
    </row>
    <row r="668">
      <c r="A668" s="9" t="s">
        <v>913</v>
      </c>
      <c r="B668" s="9" t="s">
        <v>1443</v>
      </c>
      <c r="C668" s="8" t="s">
        <v>75</v>
      </c>
      <c r="D668" s="14" t="s">
        <v>1352</v>
      </c>
      <c r="E668" s="8" t="s">
        <v>2582</v>
      </c>
      <c r="F668" s="27" t="s">
        <v>2579</v>
      </c>
    </row>
    <row r="669">
      <c r="A669" s="9" t="s">
        <v>913</v>
      </c>
      <c r="B669" s="9" t="s">
        <v>914</v>
      </c>
      <c r="C669" s="8" t="s">
        <v>186</v>
      </c>
      <c r="D669" s="14" t="s">
        <v>837</v>
      </c>
      <c r="E669" s="8" t="s">
        <v>2582</v>
      </c>
      <c r="F669" s="27" t="s">
        <v>2579</v>
      </c>
    </row>
    <row r="670">
      <c r="A670" s="9" t="s">
        <v>913</v>
      </c>
      <c r="B670" s="9" t="s">
        <v>804</v>
      </c>
      <c r="C670" s="8" t="s">
        <v>70</v>
      </c>
      <c r="D670" s="14" t="s">
        <v>1679</v>
      </c>
      <c r="E670" s="8" t="s">
        <v>2610</v>
      </c>
      <c r="F670" s="27" t="s">
        <v>2594</v>
      </c>
    </row>
    <row r="671">
      <c r="A671" s="9" t="s">
        <v>913</v>
      </c>
      <c r="B671" s="9" t="s">
        <v>1633</v>
      </c>
      <c r="C671" s="8" t="s">
        <v>93</v>
      </c>
      <c r="D671" s="14" t="s">
        <v>1679</v>
      </c>
      <c r="E671" s="8" t="s">
        <v>2603</v>
      </c>
      <c r="F671" s="27" t="s">
        <v>2608</v>
      </c>
    </row>
    <row r="672">
      <c r="A672" s="9" t="s">
        <v>913</v>
      </c>
      <c r="B672" s="9" t="s">
        <v>865</v>
      </c>
      <c r="C672" s="8" t="s">
        <v>215</v>
      </c>
      <c r="D672" s="14" t="s">
        <v>1070</v>
      </c>
      <c r="E672" s="8" t="s">
        <v>2554</v>
      </c>
      <c r="F672" s="27" t="s">
        <v>2604</v>
      </c>
    </row>
    <row r="673">
      <c r="A673" s="9" t="s">
        <v>510</v>
      </c>
      <c r="B673" s="9" t="s">
        <v>1172</v>
      </c>
      <c r="C673" s="8" t="s">
        <v>59</v>
      </c>
      <c r="D673" s="14" t="s">
        <v>1070</v>
      </c>
      <c r="E673" s="8" t="s">
        <v>2605</v>
      </c>
      <c r="F673" s="27" t="s">
        <v>2590</v>
      </c>
    </row>
    <row r="674">
      <c r="A674" s="9" t="s">
        <v>510</v>
      </c>
      <c r="B674" s="9" t="s">
        <v>137</v>
      </c>
      <c r="C674" s="8" t="s">
        <v>65</v>
      </c>
      <c r="D674" s="14" t="s">
        <v>459</v>
      </c>
      <c r="E674" s="8" t="s">
        <v>2575</v>
      </c>
      <c r="F674" s="27" t="s">
        <v>2591</v>
      </c>
    </row>
    <row r="675">
      <c r="A675" s="9" t="s">
        <v>915</v>
      </c>
      <c r="B675" s="9" t="s">
        <v>506</v>
      </c>
      <c r="C675" s="8" t="s">
        <v>70</v>
      </c>
      <c r="D675" s="14" t="s">
        <v>837</v>
      </c>
      <c r="E675" s="8" t="s">
        <v>2621</v>
      </c>
      <c r="F675" s="27" t="s">
        <v>2612</v>
      </c>
    </row>
    <row r="676">
      <c r="A676" s="18" t="s">
        <v>682</v>
      </c>
      <c r="B676" s="18" t="s">
        <v>529</v>
      </c>
      <c r="C676" s="8" t="s">
        <v>132</v>
      </c>
      <c r="D676" s="14" t="s">
        <v>631</v>
      </c>
      <c r="E676" s="8" t="s">
        <v>2603</v>
      </c>
      <c r="F676" s="27" t="s">
        <v>2599</v>
      </c>
    </row>
    <row r="677">
      <c r="A677" s="9" t="s">
        <v>372</v>
      </c>
      <c r="B677" s="9" t="s">
        <v>231</v>
      </c>
      <c r="C677" s="8" t="s">
        <v>16</v>
      </c>
      <c r="D677" s="14" t="s">
        <v>338</v>
      </c>
      <c r="E677" s="8" t="s">
        <v>2584</v>
      </c>
      <c r="F677" s="27" t="s">
        <v>2590</v>
      </c>
    </row>
    <row r="678">
      <c r="A678" s="9" t="s">
        <v>2342</v>
      </c>
      <c r="B678" s="9" t="s">
        <v>20</v>
      </c>
      <c r="C678" s="8" t="s">
        <v>75</v>
      </c>
      <c r="D678" s="14" t="s">
        <v>2296</v>
      </c>
      <c r="E678" s="8" t="s">
        <v>2615</v>
      </c>
      <c r="F678" s="27" t="s">
        <v>2583</v>
      </c>
    </row>
    <row r="679">
      <c r="A679" s="9" t="s">
        <v>683</v>
      </c>
      <c r="B679" s="9" t="s">
        <v>362</v>
      </c>
      <c r="C679" s="8" t="s">
        <v>149</v>
      </c>
      <c r="D679" s="14" t="s">
        <v>2296</v>
      </c>
      <c r="E679" s="8" t="s">
        <v>2587</v>
      </c>
      <c r="F679" s="27" t="s">
        <v>2622</v>
      </c>
    </row>
    <row r="680">
      <c r="A680" s="9" t="s">
        <v>683</v>
      </c>
      <c r="B680" s="9" t="s">
        <v>684</v>
      </c>
      <c r="C680" s="8" t="s">
        <v>138</v>
      </c>
      <c r="D680" s="14" t="s">
        <v>631</v>
      </c>
      <c r="E680" s="8" t="s">
        <v>2585</v>
      </c>
      <c r="F680" s="27" t="s">
        <v>2611</v>
      </c>
    </row>
    <row r="681">
      <c r="A681" s="9" t="s">
        <v>683</v>
      </c>
      <c r="B681" s="9" t="s">
        <v>948</v>
      </c>
      <c r="C681" s="8" t="s">
        <v>65</v>
      </c>
      <c r="D681" s="14" t="s">
        <v>2033</v>
      </c>
      <c r="E681" s="8" t="s">
        <v>2581</v>
      </c>
      <c r="F681" s="27" t="s">
        <v>2622</v>
      </c>
    </row>
    <row r="682">
      <c r="A682" s="9" t="s">
        <v>683</v>
      </c>
      <c r="B682" s="9" t="s">
        <v>183</v>
      </c>
      <c r="C682" s="8" t="s">
        <v>93</v>
      </c>
      <c r="D682" s="14" t="s">
        <v>1679</v>
      </c>
      <c r="E682" s="8" t="s">
        <v>2554</v>
      </c>
      <c r="F682" s="27" t="s">
        <v>2565</v>
      </c>
    </row>
    <row r="683">
      <c r="A683" s="9" t="s">
        <v>683</v>
      </c>
      <c r="B683" s="9" t="s">
        <v>2097</v>
      </c>
      <c r="C683" s="8" t="s">
        <v>122</v>
      </c>
      <c r="D683" s="14" t="s">
        <v>2033</v>
      </c>
      <c r="E683" s="8" t="s">
        <v>2603</v>
      </c>
      <c r="F683" s="27" t="s">
        <v>2573</v>
      </c>
    </row>
    <row r="684">
      <c r="A684" s="9" t="s">
        <v>683</v>
      </c>
      <c r="B684" s="9" t="s">
        <v>1793</v>
      </c>
      <c r="C684" s="8" t="s">
        <v>192</v>
      </c>
      <c r="D684" s="14" t="s">
        <v>1679</v>
      </c>
      <c r="E684" s="18" t="s">
        <v>2589</v>
      </c>
      <c r="F684" s="27" t="s">
        <v>2568</v>
      </c>
    </row>
    <row r="685">
      <c r="A685" s="18" t="s">
        <v>2098</v>
      </c>
      <c r="B685" s="18" t="s">
        <v>2099</v>
      </c>
      <c r="C685" s="8" t="s">
        <v>70</v>
      </c>
      <c r="D685" s="14" t="s">
        <v>2033</v>
      </c>
      <c r="E685" s="8" t="s">
        <v>2562</v>
      </c>
      <c r="F685" s="27" t="s">
        <v>2602</v>
      </c>
    </row>
    <row r="686">
      <c r="A686" s="18" t="s">
        <v>511</v>
      </c>
      <c r="B686" s="18" t="s">
        <v>512</v>
      </c>
      <c r="C686" s="8" t="s">
        <v>186</v>
      </c>
      <c r="D686" s="14" t="s">
        <v>459</v>
      </c>
      <c r="E686" s="8" t="s">
        <v>2564</v>
      </c>
      <c r="F686" s="27" t="s">
        <v>2563</v>
      </c>
    </row>
    <row r="687">
      <c r="A687" s="18" t="s">
        <v>154</v>
      </c>
      <c r="B687" s="18" t="s">
        <v>529</v>
      </c>
      <c r="C687" s="8" t="s">
        <v>70</v>
      </c>
      <c r="D687" s="14" t="s">
        <v>1352</v>
      </c>
      <c r="E687" s="18" t="s">
        <v>2589</v>
      </c>
      <c r="F687" s="27" t="s">
        <v>2594</v>
      </c>
    </row>
    <row r="688">
      <c r="A688" s="9" t="s">
        <v>154</v>
      </c>
      <c r="B688" s="9" t="s">
        <v>111</v>
      </c>
      <c r="C688" s="8" t="s">
        <v>186</v>
      </c>
      <c r="D688" s="14" t="s">
        <v>338</v>
      </c>
      <c r="E688" s="8" t="s">
        <v>2582</v>
      </c>
      <c r="F688" s="27" t="s">
        <v>2590</v>
      </c>
    </row>
    <row r="689">
      <c r="A689" s="9" t="s">
        <v>154</v>
      </c>
      <c r="B689" s="9" t="s">
        <v>155</v>
      </c>
      <c r="C689" s="8" t="s">
        <v>75</v>
      </c>
      <c r="D689" s="14" t="s">
        <v>135</v>
      </c>
      <c r="E689" s="8" t="s">
        <v>2577</v>
      </c>
      <c r="F689" s="27" t="s">
        <v>2588</v>
      </c>
    </row>
    <row r="690">
      <c r="A690" s="9" t="s">
        <v>154</v>
      </c>
      <c r="B690" s="9" t="s">
        <v>1444</v>
      </c>
      <c r="C690" s="8" t="s">
        <v>186</v>
      </c>
      <c r="D690" s="14" t="s">
        <v>1352</v>
      </c>
      <c r="E690" s="8" t="s">
        <v>2582</v>
      </c>
      <c r="F690" s="27" t="s">
        <v>2601</v>
      </c>
    </row>
    <row r="691">
      <c r="A691" s="9" t="s">
        <v>154</v>
      </c>
      <c r="B691" s="9" t="s">
        <v>337</v>
      </c>
      <c r="C691" s="8" t="s">
        <v>65</v>
      </c>
      <c r="D691" s="14" t="s">
        <v>1352</v>
      </c>
      <c r="E691" s="8" t="s">
        <v>2587</v>
      </c>
      <c r="F691" s="27" t="s">
        <v>2565</v>
      </c>
    </row>
    <row r="692">
      <c r="A692" s="9" t="s">
        <v>2100</v>
      </c>
      <c r="B692" s="9" t="s">
        <v>2101</v>
      </c>
      <c r="C692" s="8" t="s">
        <v>65</v>
      </c>
      <c r="D692" s="14" t="s">
        <v>2033</v>
      </c>
      <c r="E692" s="8" t="s">
        <v>2567</v>
      </c>
      <c r="F692" s="27" t="s">
        <v>2568</v>
      </c>
    </row>
    <row r="693">
      <c r="A693" s="9" t="s">
        <v>1794</v>
      </c>
      <c r="B693" s="9" t="s">
        <v>1172</v>
      </c>
      <c r="C693" s="8" t="s">
        <v>70</v>
      </c>
      <c r="D693" s="14" t="s">
        <v>1679</v>
      </c>
      <c r="E693" s="8" t="s">
        <v>2584</v>
      </c>
      <c r="F693" s="27" t="s">
        <v>2599</v>
      </c>
    </row>
    <row r="694">
      <c r="A694" s="9" t="s">
        <v>685</v>
      </c>
      <c r="B694" s="9" t="s">
        <v>686</v>
      </c>
      <c r="C694" s="8" t="s">
        <v>65</v>
      </c>
      <c r="D694" s="14" t="s">
        <v>631</v>
      </c>
      <c r="E694" s="8" t="s">
        <v>2566</v>
      </c>
      <c r="F694" s="27" t="s">
        <v>2573</v>
      </c>
    </row>
    <row r="695">
      <c r="A695" s="9" t="s">
        <v>685</v>
      </c>
      <c r="B695" s="9" t="s">
        <v>1445</v>
      </c>
      <c r="C695" s="8" t="s">
        <v>59</v>
      </c>
      <c r="D695" s="14" t="s">
        <v>1352</v>
      </c>
      <c r="E695" s="8" t="s">
        <v>2593</v>
      </c>
      <c r="F695" s="27" t="s">
        <v>2590</v>
      </c>
    </row>
    <row r="696">
      <c r="A696" s="9" t="s">
        <v>1795</v>
      </c>
      <c r="B696" s="9" t="s">
        <v>360</v>
      </c>
      <c r="C696" s="8" t="s">
        <v>38</v>
      </c>
      <c r="D696" s="14" t="s">
        <v>2033</v>
      </c>
      <c r="E696" s="8" t="s">
        <v>2183</v>
      </c>
      <c r="F696" s="27" t="s">
        <v>2579</v>
      </c>
    </row>
    <row r="697">
      <c r="A697" s="9" t="s">
        <v>1795</v>
      </c>
      <c r="B697" s="9" t="s">
        <v>146</v>
      </c>
      <c r="C697" s="8" t="s">
        <v>138</v>
      </c>
      <c r="D697" s="14" t="s">
        <v>1679</v>
      </c>
      <c r="E697" s="8" t="s">
        <v>2593</v>
      </c>
      <c r="F697" s="27" t="s">
        <v>2573</v>
      </c>
    </row>
    <row r="698">
      <c r="A698" s="9" t="s">
        <v>1796</v>
      </c>
      <c r="B698" s="9" t="s">
        <v>23</v>
      </c>
      <c r="C698" s="8" t="s">
        <v>93</v>
      </c>
      <c r="D698" s="14" t="s">
        <v>1679</v>
      </c>
      <c r="E698" s="8" t="s">
        <v>2605</v>
      </c>
      <c r="F698" s="27" t="s">
        <v>2570</v>
      </c>
    </row>
    <row r="699">
      <c r="A699" s="9" t="s">
        <v>1796</v>
      </c>
      <c r="B699" s="9" t="s">
        <v>2102</v>
      </c>
      <c r="C699" s="8" t="s">
        <v>59</v>
      </c>
      <c r="D699" s="14" t="s">
        <v>2033</v>
      </c>
      <c r="E699" s="8" t="s">
        <v>2567</v>
      </c>
      <c r="F699" s="27" t="s">
        <v>2563</v>
      </c>
    </row>
    <row r="700">
      <c r="A700" s="9" t="s">
        <v>2343</v>
      </c>
      <c r="B700" s="9" t="s">
        <v>23</v>
      </c>
      <c r="C700" s="8" t="s">
        <v>138</v>
      </c>
      <c r="D700" s="14" t="s">
        <v>2296</v>
      </c>
      <c r="E700" s="8" t="s">
        <v>2593</v>
      </c>
      <c r="F700" s="27" t="s">
        <v>2568</v>
      </c>
    </row>
    <row r="701">
      <c r="A701" s="9" t="s">
        <v>2103</v>
      </c>
      <c r="B701" s="9" t="s">
        <v>263</v>
      </c>
      <c r="C701" s="8" t="s">
        <v>24</v>
      </c>
      <c r="D701" s="14" t="s">
        <v>2033</v>
      </c>
      <c r="E701" s="8" t="s">
        <v>2610</v>
      </c>
      <c r="F701" s="27" t="s">
        <v>2579</v>
      </c>
    </row>
    <row r="702">
      <c r="A702" s="9" t="s">
        <v>1446</v>
      </c>
      <c r="B702" s="9" t="s">
        <v>1447</v>
      </c>
      <c r="C702" s="8" t="s">
        <v>192</v>
      </c>
      <c r="D702" s="14" t="s">
        <v>1352</v>
      </c>
      <c r="E702" s="8" t="s">
        <v>2614</v>
      </c>
      <c r="F702" s="27" t="s">
        <v>2557</v>
      </c>
    </row>
    <row r="703">
      <c r="A703" s="9" t="s">
        <v>687</v>
      </c>
      <c r="B703" s="9" t="s">
        <v>472</v>
      </c>
      <c r="C703" s="8" t="s">
        <v>141</v>
      </c>
      <c r="D703" s="14" t="s">
        <v>631</v>
      </c>
      <c r="E703" s="8" t="s">
        <v>2614</v>
      </c>
      <c r="F703" s="27" t="s">
        <v>2636</v>
      </c>
    </row>
    <row r="704">
      <c r="A704" s="9" t="s">
        <v>916</v>
      </c>
      <c r="B704" s="9" t="s">
        <v>917</v>
      </c>
      <c r="C704" s="8" t="s">
        <v>70</v>
      </c>
      <c r="D704" s="14" t="s">
        <v>837</v>
      </c>
      <c r="E704" s="8" t="s">
        <v>2598</v>
      </c>
      <c r="F704" s="27" t="s">
        <v>2596</v>
      </c>
    </row>
    <row r="705">
      <c r="A705" s="9" t="s">
        <v>916</v>
      </c>
      <c r="B705" s="9" t="s">
        <v>2104</v>
      </c>
      <c r="C705" s="8" t="s">
        <v>70</v>
      </c>
      <c r="D705" s="14" t="s">
        <v>2033</v>
      </c>
      <c r="E705" s="8" t="s">
        <v>2620</v>
      </c>
      <c r="F705" s="27" t="s">
        <v>2601</v>
      </c>
    </row>
    <row r="706">
      <c r="A706" s="9" t="s">
        <v>2105</v>
      </c>
      <c r="B706" s="9" t="s">
        <v>2106</v>
      </c>
      <c r="C706" s="8" t="s">
        <v>75</v>
      </c>
      <c r="D706" s="14" t="s">
        <v>2033</v>
      </c>
      <c r="E706" s="8" t="s">
        <v>2600</v>
      </c>
      <c r="F706" s="27" t="s">
        <v>2594</v>
      </c>
    </row>
    <row r="707">
      <c r="A707" s="9" t="s">
        <v>2107</v>
      </c>
      <c r="B707" s="9" t="s">
        <v>472</v>
      </c>
      <c r="C707" s="8" t="s">
        <v>65</v>
      </c>
      <c r="D707" s="14" t="s">
        <v>2033</v>
      </c>
      <c r="E707" s="8" t="s">
        <v>2554</v>
      </c>
      <c r="F707" s="27" t="s">
        <v>2563</v>
      </c>
    </row>
    <row r="708">
      <c r="A708" s="9" t="s">
        <v>918</v>
      </c>
      <c r="B708" s="9" t="s">
        <v>961</v>
      </c>
      <c r="C708" s="8" t="s">
        <v>93</v>
      </c>
      <c r="D708" s="14" t="s">
        <v>1679</v>
      </c>
      <c r="E708" s="8" t="s">
        <v>2183</v>
      </c>
      <c r="F708" s="27" t="s">
        <v>2604</v>
      </c>
    </row>
    <row r="709">
      <c r="A709" s="9" t="s">
        <v>918</v>
      </c>
      <c r="B709" s="9" t="s">
        <v>214</v>
      </c>
      <c r="C709" s="8" t="s">
        <v>93</v>
      </c>
      <c r="D709" s="14" t="s">
        <v>837</v>
      </c>
      <c r="E709" s="8" t="s">
        <v>2605</v>
      </c>
      <c r="F709" s="27" t="s">
        <v>2596</v>
      </c>
    </row>
    <row r="710">
      <c r="A710" s="9" t="s">
        <v>918</v>
      </c>
      <c r="B710" s="9" t="s">
        <v>214</v>
      </c>
      <c r="C710" s="8" t="s">
        <v>132</v>
      </c>
      <c r="D710" s="14" t="s">
        <v>1352</v>
      </c>
      <c r="E710" s="8" t="s">
        <v>2581</v>
      </c>
      <c r="F710" s="27" t="s">
        <v>2606</v>
      </c>
    </row>
    <row r="711">
      <c r="A711" s="9" t="s">
        <v>918</v>
      </c>
      <c r="B711" s="9" t="s">
        <v>1046</v>
      </c>
      <c r="C711" s="8" t="s">
        <v>65</v>
      </c>
      <c r="D711" s="14" t="s">
        <v>1352</v>
      </c>
      <c r="E711" s="8" t="s">
        <v>2562</v>
      </c>
      <c r="F711" s="27" t="s">
        <v>2588</v>
      </c>
    </row>
    <row r="712">
      <c r="A712" s="9" t="s">
        <v>919</v>
      </c>
      <c r="B712" s="9" t="s">
        <v>480</v>
      </c>
      <c r="C712" s="8" t="s">
        <v>132</v>
      </c>
      <c r="D712" s="14" t="s">
        <v>837</v>
      </c>
      <c r="E712" s="8" t="s">
        <v>2562</v>
      </c>
      <c r="F712" s="27" t="s">
        <v>2571</v>
      </c>
    </row>
    <row r="713">
      <c r="A713" s="9" t="s">
        <v>1797</v>
      </c>
      <c r="B713" s="9" t="s">
        <v>713</v>
      </c>
      <c r="C713" s="8" t="s">
        <v>24</v>
      </c>
      <c r="D713" s="14" t="s">
        <v>1679</v>
      </c>
      <c r="E713" s="8" t="s">
        <v>2620</v>
      </c>
      <c r="F713" s="27" t="s">
        <v>2591</v>
      </c>
    </row>
    <row r="714">
      <c r="A714" s="9" t="s">
        <v>1448</v>
      </c>
      <c r="B714" s="9" t="s">
        <v>217</v>
      </c>
      <c r="C714" s="8" t="s">
        <v>65</v>
      </c>
      <c r="D714" s="14" t="s">
        <v>1352</v>
      </c>
      <c r="E714" s="8" t="s">
        <v>2567</v>
      </c>
      <c r="F714" s="27" t="s">
        <v>2607</v>
      </c>
    </row>
    <row r="715">
      <c r="A715" s="9" t="s">
        <v>513</v>
      </c>
      <c r="B715" s="9" t="s">
        <v>514</v>
      </c>
      <c r="C715" s="8" t="s">
        <v>16</v>
      </c>
      <c r="D715" s="14" t="s">
        <v>459</v>
      </c>
      <c r="E715" s="8" t="s">
        <v>2592</v>
      </c>
      <c r="F715" s="27" t="s">
        <v>2594</v>
      </c>
    </row>
    <row r="716">
      <c r="A716" s="9" t="s">
        <v>688</v>
      </c>
      <c r="B716" s="9" t="s">
        <v>441</v>
      </c>
      <c r="C716" s="8" t="s">
        <v>65</v>
      </c>
      <c r="D716" s="14" t="s">
        <v>631</v>
      </c>
      <c r="E716" s="8" t="s">
        <v>2605</v>
      </c>
      <c r="F716" s="27" t="s">
        <v>2588</v>
      </c>
    </row>
    <row r="717">
      <c r="A717" s="9" t="s">
        <v>2108</v>
      </c>
      <c r="B717" s="9" t="s">
        <v>1452</v>
      </c>
      <c r="C717" s="8" t="s">
        <v>65</v>
      </c>
      <c r="D717" s="14" t="s">
        <v>2033</v>
      </c>
      <c r="E717" s="18" t="s">
        <v>2556</v>
      </c>
      <c r="F717" s="27" t="s">
        <v>2627</v>
      </c>
    </row>
    <row r="718">
      <c r="A718" s="9" t="s">
        <v>2109</v>
      </c>
      <c r="B718" s="9" t="s">
        <v>409</v>
      </c>
      <c r="C718" s="8" t="s">
        <v>65</v>
      </c>
      <c r="D718" s="14" t="s">
        <v>2033</v>
      </c>
      <c r="E718" s="8" t="s">
        <v>2598</v>
      </c>
      <c r="F718" s="27" t="s">
        <v>2570</v>
      </c>
    </row>
    <row r="719">
      <c r="A719" s="9" t="s">
        <v>2110</v>
      </c>
      <c r="B719" s="9" t="s">
        <v>2111</v>
      </c>
      <c r="C719" s="8" t="s">
        <v>141</v>
      </c>
      <c r="D719" s="14" t="s">
        <v>2033</v>
      </c>
      <c r="E719" s="18" t="s">
        <v>2589</v>
      </c>
      <c r="F719" s="27" t="s">
        <v>2563</v>
      </c>
    </row>
    <row r="720">
      <c r="A720" s="18" t="s">
        <v>689</v>
      </c>
      <c r="B720" s="18" t="s">
        <v>920</v>
      </c>
      <c r="C720" s="8" t="s">
        <v>93</v>
      </c>
      <c r="D720" s="14" t="s">
        <v>837</v>
      </c>
      <c r="E720" s="8" t="s">
        <v>2587</v>
      </c>
      <c r="F720" s="27" t="s">
        <v>2565</v>
      </c>
    </row>
    <row r="721">
      <c r="A721" s="9" t="s">
        <v>689</v>
      </c>
      <c r="B721" s="9" t="s">
        <v>124</v>
      </c>
      <c r="C721" s="8" t="s">
        <v>122</v>
      </c>
      <c r="D721" s="14" t="s">
        <v>2033</v>
      </c>
      <c r="E721" s="8" t="s">
        <v>2593</v>
      </c>
      <c r="F721" s="27" t="s">
        <v>2568</v>
      </c>
    </row>
    <row r="722">
      <c r="A722" s="9" t="s">
        <v>689</v>
      </c>
      <c r="B722" s="9" t="s">
        <v>690</v>
      </c>
      <c r="C722" s="8" t="s">
        <v>93</v>
      </c>
      <c r="D722" s="14" t="s">
        <v>631</v>
      </c>
      <c r="E722" s="8" t="s">
        <v>2615</v>
      </c>
      <c r="F722" s="27" t="s">
        <v>2557</v>
      </c>
    </row>
    <row r="723">
      <c r="A723" s="9" t="s">
        <v>1798</v>
      </c>
      <c r="B723" s="9" t="s">
        <v>1799</v>
      </c>
      <c r="C723" s="8" t="s">
        <v>70</v>
      </c>
      <c r="D723" s="14" t="s">
        <v>1679</v>
      </c>
      <c r="E723" s="8" t="s">
        <v>2566</v>
      </c>
      <c r="F723" s="27" t="s">
        <v>2553</v>
      </c>
    </row>
    <row r="724">
      <c r="A724" s="9" t="s">
        <v>2112</v>
      </c>
      <c r="B724" s="9" t="s">
        <v>137</v>
      </c>
      <c r="C724" s="8" t="s">
        <v>65</v>
      </c>
      <c r="D724" s="14" t="s">
        <v>2033</v>
      </c>
      <c r="E724" s="8" t="s">
        <v>2614</v>
      </c>
      <c r="F724" s="27" t="s">
        <v>2586</v>
      </c>
    </row>
    <row r="725">
      <c r="A725" s="9" t="s">
        <v>202</v>
      </c>
      <c r="B725" s="9" t="s">
        <v>203</v>
      </c>
      <c r="C725" s="8" t="s">
        <v>12</v>
      </c>
      <c r="D725" s="14" t="s">
        <v>189</v>
      </c>
      <c r="E725" s="8" t="s">
        <v>2574</v>
      </c>
      <c r="F725" s="27" t="s">
        <v>2608</v>
      </c>
    </row>
    <row r="726">
      <c r="A726" s="9" t="s">
        <v>921</v>
      </c>
      <c r="B726" s="9" t="s">
        <v>245</v>
      </c>
      <c r="C726" s="8" t="s">
        <v>149</v>
      </c>
      <c r="D726" s="14" t="s">
        <v>1352</v>
      </c>
      <c r="E726" s="8" t="s">
        <v>2567</v>
      </c>
      <c r="F726" s="27" t="s">
        <v>2570</v>
      </c>
    </row>
    <row r="727">
      <c r="A727" s="9" t="s">
        <v>921</v>
      </c>
      <c r="B727" s="9" t="s">
        <v>922</v>
      </c>
      <c r="C727" s="8" t="s">
        <v>75</v>
      </c>
      <c r="D727" s="14" t="s">
        <v>837</v>
      </c>
      <c r="E727" s="18" t="s">
        <v>2589</v>
      </c>
      <c r="F727" s="27" t="s">
        <v>2594</v>
      </c>
    </row>
    <row r="728">
      <c r="A728" s="9" t="s">
        <v>1449</v>
      </c>
      <c r="B728" s="9" t="s">
        <v>562</v>
      </c>
      <c r="C728" s="8" t="s">
        <v>186</v>
      </c>
      <c r="D728" s="14" t="s">
        <v>1352</v>
      </c>
      <c r="E728" s="18" t="s">
        <v>2589</v>
      </c>
      <c r="F728" s="27" t="s">
        <v>2569</v>
      </c>
    </row>
    <row r="729">
      <c r="A729" s="9" t="s">
        <v>2466</v>
      </c>
      <c r="B729" s="9" t="s">
        <v>2467</v>
      </c>
      <c r="C729" s="8" t="s">
        <v>80</v>
      </c>
      <c r="D729" s="14" t="s">
        <v>2459</v>
      </c>
      <c r="E729" s="8" t="s">
        <v>2595</v>
      </c>
      <c r="F729" s="27" t="s">
        <v>2591</v>
      </c>
    </row>
    <row r="730">
      <c r="A730" s="9" t="s">
        <v>266</v>
      </c>
      <c r="B730" s="9" t="s">
        <v>50</v>
      </c>
      <c r="C730" s="8" t="s">
        <v>75</v>
      </c>
      <c r="D730" s="14" t="s">
        <v>237</v>
      </c>
      <c r="E730" s="8" t="s">
        <v>2585</v>
      </c>
      <c r="F730" s="27" t="s">
        <v>2579</v>
      </c>
    </row>
    <row r="731">
      <c r="A731" s="9" t="s">
        <v>1450</v>
      </c>
      <c r="B731" s="9" t="s">
        <v>1283</v>
      </c>
      <c r="C731" s="8" t="s">
        <v>132</v>
      </c>
      <c r="D731" s="14" t="s">
        <v>1352</v>
      </c>
      <c r="E731" s="8" t="s">
        <v>2585</v>
      </c>
      <c r="F731" s="27" t="s">
        <v>2555</v>
      </c>
    </row>
    <row r="732">
      <c r="A732" s="9" t="s">
        <v>923</v>
      </c>
      <c r="B732" s="9" t="s">
        <v>204</v>
      </c>
      <c r="C732" s="8" t="s">
        <v>16</v>
      </c>
      <c r="D732" s="14" t="s">
        <v>837</v>
      </c>
      <c r="E732" s="8" t="s">
        <v>2585</v>
      </c>
      <c r="F732" s="27" t="s">
        <v>2586</v>
      </c>
    </row>
    <row r="733">
      <c r="A733" s="9" t="s">
        <v>252</v>
      </c>
      <c r="B733" s="9" t="s">
        <v>2113</v>
      </c>
      <c r="C733" s="8" t="s">
        <v>215</v>
      </c>
      <c r="D733" s="14" t="s">
        <v>2033</v>
      </c>
      <c r="E733" s="8" t="s">
        <v>2615</v>
      </c>
      <c r="F733" s="27" t="s">
        <v>2616</v>
      </c>
    </row>
    <row r="734">
      <c r="A734" s="9" t="s">
        <v>2157</v>
      </c>
      <c r="B734" s="9" t="s">
        <v>2468</v>
      </c>
      <c r="C734" s="8" t="s">
        <v>138</v>
      </c>
      <c r="D734" s="14" t="s">
        <v>2459</v>
      </c>
      <c r="E734" s="8" t="s">
        <v>2558</v>
      </c>
      <c r="F734" s="27" t="s">
        <v>2602</v>
      </c>
    </row>
    <row r="735">
      <c r="A735" s="9" t="s">
        <v>2469</v>
      </c>
      <c r="B735" s="9" t="s">
        <v>2113</v>
      </c>
      <c r="C735" s="8" t="s">
        <v>70</v>
      </c>
      <c r="D735" s="14" t="s">
        <v>2459</v>
      </c>
      <c r="E735" s="8" t="s">
        <v>2581</v>
      </c>
      <c r="F735" s="27" t="s">
        <v>2579</v>
      </c>
    </row>
    <row r="736">
      <c r="A736" s="9" t="s">
        <v>2114</v>
      </c>
      <c r="B736" s="9" t="s">
        <v>231</v>
      </c>
      <c r="C736" s="8" t="s">
        <v>46</v>
      </c>
      <c r="D736" s="14" t="s">
        <v>2033</v>
      </c>
      <c r="E736" s="8" t="s">
        <v>2566</v>
      </c>
      <c r="F736" s="27" t="s">
        <v>2597</v>
      </c>
    </row>
    <row r="737">
      <c r="A737" s="9" t="s">
        <v>1451</v>
      </c>
      <c r="B737" s="9" t="s">
        <v>1452</v>
      </c>
      <c r="C737" s="8" t="s">
        <v>24</v>
      </c>
      <c r="D737" s="14" t="s">
        <v>1352</v>
      </c>
      <c r="E737" s="8" t="s">
        <v>2614</v>
      </c>
      <c r="F737" s="27" t="s">
        <v>2557</v>
      </c>
    </row>
    <row r="738">
      <c r="A738" s="9" t="s">
        <v>1800</v>
      </c>
      <c r="B738" s="9" t="s">
        <v>585</v>
      </c>
      <c r="C738" s="8" t="s">
        <v>80</v>
      </c>
      <c r="D738" s="14" t="s">
        <v>1679</v>
      </c>
      <c r="E738" s="8" t="s">
        <v>2574</v>
      </c>
      <c r="F738" s="27" t="s">
        <v>2568</v>
      </c>
    </row>
    <row r="739">
      <c r="A739" s="9" t="s">
        <v>1453</v>
      </c>
      <c r="B739" s="9" t="s">
        <v>33</v>
      </c>
      <c r="C739" s="8" t="s">
        <v>12</v>
      </c>
      <c r="D739" s="14" t="s">
        <v>1352</v>
      </c>
      <c r="E739" s="8" t="s">
        <v>2592</v>
      </c>
      <c r="F739" s="27" t="s">
        <v>2591</v>
      </c>
    </row>
    <row r="740">
      <c r="A740" s="9" t="s">
        <v>924</v>
      </c>
      <c r="B740" s="9" t="s">
        <v>925</v>
      </c>
      <c r="C740" s="8" t="s">
        <v>192</v>
      </c>
      <c r="D740" s="14" t="s">
        <v>837</v>
      </c>
      <c r="E740" s="8" t="s">
        <v>2567</v>
      </c>
      <c r="F740" s="27" t="s">
        <v>2586</v>
      </c>
    </row>
    <row r="741">
      <c r="A741" s="9" t="s">
        <v>1801</v>
      </c>
      <c r="B741" s="9" t="s">
        <v>50</v>
      </c>
      <c r="C741" s="8" t="s">
        <v>59</v>
      </c>
      <c r="D741" s="14" t="s">
        <v>1679</v>
      </c>
      <c r="E741" s="8" t="s">
        <v>2552</v>
      </c>
      <c r="F741" s="27" t="s">
        <v>2553</v>
      </c>
    </row>
    <row r="742">
      <c r="A742" s="9" t="s">
        <v>1802</v>
      </c>
      <c r="B742" s="9" t="s">
        <v>1803</v>
      </c>
      <c r="C742" s="8" t="s">
        <v>65</v>
      </c>
      <c r="D742" s="14" t="s">
        <v>1679</v>
      </c>
      <c r="E742" s="8" t="s">
        <v>2605</v>
      </c>
      <c r="F742" s="27" t="s">
        <v>2570</v>
      </c>
    </row>
    <row r="743">
      <c r="A743" s="9" t="s">
        <v>1802</v>
      </c>
      <c r="B743" s="9" t="s">
        <v>480</v>
      </c>
      <c r="C743" s="8" t="s">
        <v>24</v>
      </c>
      <c r="D743" s="14" t="s">
        <v>2296</v>
      </c>
      <c r="E743" s="8" t="s">
        <v>2577</v>
      </c>
      <c r="F743" s="27" t="s">
        <v>2555</v>
      </c>
    </row>
    <row r="744">
      <c r="A744" s="9" t="s">
        <v>1804</v>
      </c>
      <c r="B744" s="9" t="s">
        <v>322</v>
      </c>
      <c r="C744" s="8" t="s">
        <v>53</v>
      </c>
      <c r="D744" s="14" t="s">
        <v>1679</v>
      </c>
      <c r="E744" s="8" t="s">
        <v>2564</v>
      </c>
      <c r="F744" s="27" t="s">
        <v>2568</v>
      </c>
    </row>
    <row r="745">
      <c r="A745" s="9" t="s">
        <v>2115</v>
      </c>
      <c r="B745" s="9" t="s">
        <v>183</v>
      </c>
      <c r="C745" s="8" t="s">
        <v>24</v>
      </c>
      <c r="D745" s="14" t="s">
        <v>2033</v>
      </c>
      <c r="E745" s="8" t="s">
        <v>2581</v>
      </c>
      <c r="F745" s="27" t="s">
        <v>2601</v>
      </c>
    </row>
    <row r="746">
      <c r="A746" s="9" t="s">
        <v>373</v>
      </c>
      <c r="B746" s="9" t="s">
        <v>11</v>
      </c>
      <c r="C746" s="8" t="s">
        <v>75</v>
      </c>
      <c r="D746" s="14" t="s">
        <v>338</v>
      </c>
      <c r="E746" s="8" t="s">
        <v>2598</v>
      </c>
      <c r="F746" s="27" t="s">
        <v>2609</v>
      </c>
    </row>
    <row r="747">
      <c r="A747" s="9" t="s">
        <v>691</v>
      </c>
      <c r="B747" s="9" t="s">
        <v>692</v>
      </c>
      <c r="C747" s="8" t="s">
        <v>138</v>
      </c>
      <c r="D747" s="14" t="s">
        <v>631</v>
      </c>
      <c r="E747" s="8" t="s">
        <v>2592</v>
      </c>
      <c r="F747" s="27" t="s">
        <v>2591</v>
      </c>
    </row>
    <row r="748">
      <c r="A748" s="9" t="s">
        <v>1454</v>
      </c>
      <c r="B748" s="9" t="s">
        <v>1310</v>
      </c>
      <c r="C748" s="8" t="s">
        <v>65</v>
      </c>
      <c r="D748" s="14" t="s">
        <v>1352</v>
      </c>
      <c r="E748" s="8" t="s">
        <v>2564</v>
      </c>
      <c r="F748" s="27" t="s">
        <v>2591</v>
      </c>
    </row>
    <row r="749">
      <c r="A749" s="9" t="s">
        <v>267</v>
      </c>
      <c r="B749" s="9" t="s">
        <v>252</v>
      </c>
      <c r="C749" s="8" t="s">
        <v>16</v>
      </c>
      <c r="D749" s="14" t="s">
        <v>631</v>
      </c>
      <c r="E749" s="8" t="s">
        <v>2615</v>
      </c>
      <c r="F749" s="27" t="s">
        <v>2626</v>
      </c>
    </row>
    <row r="750">
      <c r="A750" s="9" t="s">
        <v>267</v>
      </c>
      <c r="B750" s="9" t="s">
        <v>247</v>
      </c>
      <c r="C750" s="8" t="s">
        <v>149</v>
      </c>
      <c r="D750" s="14" t="s">
        <v>237</v>
      </c>
      <c r="E750" s="18" t="s">
        <v>2589</v>
      </c>
      <c r="F750" s="27" t="s">
        <v>2611</v>
      </c>
    </row>
    <row r="751">
      <c r="A751" s="9" t="s">
        <v>267</v>
      </c>
      <c r="B751" s="9" t="s">
        <v>1173</v>
      </c>
      <c r="C751" s="8" t="s">
        <v>53</v>
      </c>
      <c r="D751" s="14" t="s">
        <v>1070</v>
      </c>
      <c r="E751" s="8" t="s">
        <v>2558</v>
      </c>
      <c r="F751" s="27" t="s">
        <v>2557</v>
      </c>
    </row>
    <row r="752">
      <c r="A752" s="9" t="s">
        <v>267</v>
      </c>
      <c r="B752" s="9" t="s">
        <v>2344</v>
      </c>
      <c r="C752" s="8" t="s">
        <v>186</v>
      </c>
      <c r="D752" s="14" t="s">
        <v>2296</v>
      </c>
      <c r="E752" s="8" t="s">
        <v>2577</v>
      </c>
      <c r="F752" s="27" t="s">
        <v>2576</v>
      </c>
    </row>
    <row r="753">
      <c r="A753" s="9" t="s">
        <v>2345</v>
      </c>
      <c r="B753" s="9" t="s">
        <v>102</v>
      </c>
      <c r="C753" s="8" t="s">
        <v>186</v>
      </c>
      <c r="D753" s="14" t="s">
        <v>2296</v>
      </c>
      <c r="E753" s="8" t="s">
        <v>2584</v>
      </c>
      <c r="F753" s="27" t="s">
        <v>2609</v>
      </c>
    </row>
    <row r="754">
      <c r="A754" s="9" t="s">
        <v>1805</v>
      </c>
      <c r="B754" s="9" t="s">
        <v>1806</v>
      </c>
      <c r="C754" s="8" t="s">
        <v>261</v>
      </c>
      <c r="D754" s="14" t="s">
        <v>1679</v>
      </c>
      <c r="E754" s="8" t="s">
        <v>2562</v>
      </c>
      <c r="F754" s="27" t="s">
        <v>2583</v>
      </c>
    </row>
    <row r="755">
      <c r="A755" s="9" t="s">
        <v>693</v>
      </c>
      <c r="B755" s="9" t="s">
        <v>694</v>
      </c>
      <c r="C755" s="8" t="s">
        <v>93</v>
      </c>
      <c r="D755" s="14" t="s">
        <v>631</v>
      </c>
      <c r="E755" s="8" t="s">
        <v>2600</v>
      </c>
      <c r="F755" s="27" t="s">
        <v>2636</v>
      </c>
    </row>
    <row r="756">
      <c r="A756" s="9" t="s">
        <v>113</v>
      </c>
      <c r="B756" s="9" t="s">
        <v>114</v>
      </c>
      <c r="C756" s="8" t="s">
        <v>65</v>
      </c>
      <c r="D756" s="14" t="s">
        <v>108</v>
      </c>
      <c r="E756" s="8" t="s">
        <v>2595</v>
      </c>
      <c r="F756" s="27" t="s">
        <v>2607</v>
      </c>
    </row>
    <row r="757">
      <c r="A757" s="9" t="s">
        <v>515</v>
      </c>
      <c r="B757" s="9" t="s">
        <v>516</v>
      </c>
      <c r="C757" s="8" t="s">
        <v>192</v>
      </c>
      <c r="D757" s="14" t="s">
        <v>459</v>
      </c>
      <c r="E757" s="8" t="s">
        <v>2562</v>
      </c>
      <c r="F757" s="27" t="s">
        <v>2588</v>
      </c>
    </row>
    <row r="758">
      <c r="A758" s="9" t="s">
        <v>926</v>
      </c>
      <c r="B758" s="9" t="s">
        <v>203</v>
      </c>
      <c r="C758" s="8" t="s">
        <v>141</v>
      </c>
      <c r="D758" s="14" t="s">
        <v>837</v>
      </c>
      <c r="E758" s="8" t="s">
        <v>2554</v>
      </c>
      <c r="F758" s="27" t="s">
        <v>2553</v>
      </c>
    </row>
    <row r="759">
      <c r="A759" s="9" t="s">
        <v>926</v>
      </c>
      <c r="B759" s="9" t="s">
        <v>67</v>
      </c>
      <c r="C759" s="8" t="s">
        <v>122</v>
      </c>
      <c r="D759" s="14" t="s">
        <v>1352</v>
      </c>
      <c r="E759" s="8" t="s">
        <v>2610</v>
      </c>
      <c r="F759" s="27" t="s">
        <v>2557</v>
      </c>
    </row>
    <row r="760">
      <c r="A760" s="9" t="s">
        <v>517</v>
      </c>
      <c r="B760" s="9" t="s">
        <v>518</v>
      </c>
      <c r="C760" s="8" t="s">
        <v>75</v>
      </c>
      <c r="D760" s="14" t="s">
        <v>459</v>
      </c>
      <c r="E760" s="8" t="s">
        <v>2610</v>
      </c>
      <c r="F760" s="27" t="s">
        <v>2553</v>
      </c>
    </row>
    <row r="761">
      <c r="A761" s="9" t="s">
        <v>519</v>
      </c>
      <c r="B761" s="9" t="s">
        <v>183</v>
      </c>
      <c r="C761" s="8" t="s">
        <v>16</v>
      </c>
      <c r="D761" s="14" t="s">
        <v>459</v>
      </c>
      <c r="E761" s="18" t="s">
        <v>2556</v>
      </c>
      <c r="F761" s="27" t="s">
        <v>2594</v>
      </c>
    </row>
    <row r="762">
      <c r="A762" s="9" t="s">
        <v>927</v>
      </c>
      <c r="B762" s="9" t="s">
        <v>471</v>
      </c>
      <c r="C762" s="8" t="s">
        <v>132</v>
      </c>
      <c r="D762" s="14" t="s">
        <v>837</v>
      </c>
      <c r="E762" s="8" t="s">
        <v>2567</v>
      </c>
      <c r="F762" s="27" t="s">
        <v>2553</v>
      </c>
    </row>
    <row r="763">
      <c r="A763" s="9" t="s">
        <v>1807</v>
      </c>
      <c r="B763" s="9" t="s">
        <v>1808</v>
      </c>
      <c r="C763" s="8" t="s">
        <v>122</v>
      </c>
      <c r="D763" s="14" t="s">
        <v>1679</v>
      </c>
      <c r="E763" s="8" t="s">
        <v>2581</v>
      </c>
      <c r="F763" s="27" t="s">
        <v>2601</v>
      </c>
    </row>
    <row r="764">
      <c r="A764" s="9" t="s">
        <v>1848</v>
      </c>
      <c r="B764" s="9" t="s">
        <v>275</v>
      </c>
      <c r="C764" s="8" t="s">
        <v>65</v>
      </c>
      <c r="D764" s="14" t="s">
        <v>2033</v>
      </c>
      <c r="E764" s="8" t="s">
        <v>2592</v>
      </c>
      <c r="F764" s="27" t="s">
        <v>2599</v>
      </c>
    </row>
    <row r="765">
      <c r="A765" s="9" t="s">
        <v>1848</v>
      </c>
      <c r="B765" s="9" t="s">
        <v>2313</v>
      </c>
      <c r="C765" s="8" t="s">
        <v>65</v>
      </c>
      <c r="D765" s="14" t="s">
        <v>2459</v>
      </c>
      <c r="E765" s="8" t="s">
        <v>2574</v>
      </c>
      <c r="F765" s="27" t="s">
        <v>2579</v>
      </c>
    </row>
    <row r="766">
      <c r="A766" s="9" t="s">
        <v>1810</v>
      </c>
      <c r="B766" s="9" t="s">
        <v>1811</v>
      </c>
      <c r="C766" s="8" t="s">
        <v>24</v>
      </c>
      <c r="D766" s="14" t="s">
        <v>1679</v>
      </c>
      <c r="E766" s="8" t="s">
        <v>2564</v>
      </c>
      <c r="F766" s="27" t="s">
        <v>2607</v>
      </c>
    </row>
    <row r="767">
      <c r="A767" s="9" t="s">
        <v>1809</v>
      </c>
      <c r="B767" s="9" t="s">
        <v>196</v>
      </c>
      <c r="C767" s="8" t="s">
        <v>16</v>
      </c>
      <c r="D767" s="14" t="s">
        <v>1679</v>
      </c>
      <c r="E767" s="8" t="s">
        <v>2593</v>
      </c>
      <c r="F767" s="27" t="s">
        <v>2578</v>
      </c>
    </row>
    <row r="768">
      <c r="A768" s="9" t="s">
        <v>325</v>
      </c>
      <c r="B768" s="9" t="s">
        <v>695</v>
      </c>
      <c r="C768" s="8" t="s">
        <v>53</v>
      </c>
      <c r="D768" s="14" t="s">
        <v>631</v>
      </c>
      <c r="E768" s="8" t="s">
        <v>2566</v>
      </c>
      <c r="F768" s="27" t="s">
        <v>2573</v>
      </c>
    </row>
    <row r="769">
      <c r="A769" s="9" t="s">
        <v>1812</v>
      </c>
      <c r="B769" s="9" t="s">
        <v>750</v>
      </c>
      <c r="C769" s="8" t="s">
        <v>149</v>
      </c>
      <c r="D769" s="14" t="s">
        <v>1679</v>
      </c>
      <c r="E769" s="8" t="s">
        <v>2183</v>
      </c>
      <c r="F769" s="27" t="s">
        <v>2617</v>
      </c>
    </row>
    <row r="770">
      <c r="A770" s="9" t="s">
        <v>1455</v>
      </c>
      <c r="B770" s="9" t="s">
        <v>1347</v>
      </c>
      <c r="C770" s="8" t="s">
        <v>122</v>
      </c>
      <c r="D770" s="14" t="s">
        <v>1352</v>
      </c>
      <c r="E770" s="8" t="s">
        <v>2605</v>
      </c>
      <c r="F770" s="27" t="s">
        <v>2625</v>
      </c>
    </row>
    <row r="771">
      <c r="A771" s="9" t="s">
        <v>1456</v>
      </c>
      <c r="B771" s="9" t="s">
        <v>333</v>
      </c>
      <c r="C771" s="8" t="s">
        <v>65</v>
      </c>
      <c r="D771" s="14" t="s">
        <v>1352</v>
      </c>
      <c r="E771" s="8" t="s">
        <v>2554</v>
      </c>
      <c r="F771" s="27" t="s">
        <v>2578</v>
      </c>
    </row>
    <row r="772">
      <c r="A772" s="9" t="s">
        <v>2116</v>
      </c>
      <c r="B772" s="9" t="s">
        <v>33</v>
      </c>
      <c r="C772" s="8" t="s">
        <v>149</v>
      </c>
      <c r="D772" s="14" t="s">
        <v>2033</v>
      </c>
      <c r="E772" s="8" t="s">
        <v>2598</v>
      </c>
      <c r="F772" s="27" t="s">
        <v>2628</v>
      </c>
    </row>
    <row r="773">
      <c r="A773" s="9" t="s">
        <v>1813</v>
      </c>
      <c r="B773" s="9" t="s">
        <v>1814</v>
      </c>
      <c r="C773" s="8" t="s">
        <v>12</v>
      </c>
      <c r="D773" s="14" t="s">
        <v>1679</v>
      </c>
      <c r="E773" s="18" t="s">
        <v>2589</v>
      </c>
      <c r="F773" s="27" t="s">
        <v>2583</v>
      </c>
    </row>
    <row r="774">
      <c r="A774" s="9" t="s">
        <v>696</v>
      </c>
      <c r="B774" s="9" t="s">
        <v>697</v>
      </c>
      <c r="C774" s="8" t="s">
        <v>149</v>
      </c>
      <c r="D774" s="14" t="s">
        <v>631</v>
      </c>
      <c r="E774" s="18" t="s">
        <v>2556</v>
      </c>
      <c r="F774" s="27" t="s">
        <v>2576</v>
      </c>
    </row>
    <row r="775">
      <c r="A775" s="9" t="s">
        <v>374</v>
      </c>
      <c r="B775" s="9" t="s">
        <v>375</v>
      </c>
      <c r="C775" s="8" t="s">
        <v>186</v>
      </c>
      <c r="D775" s="14" t="s">
        <v>338</v>
      </c>
      <c r="E775" s="8" t="s">
        <v>2584</v>
      </c>
      <c r="F775" s="27" t="s">
        <v>2555</v>
      </c>
    </row>
    <row r="776">
      <c r="A776" s="18" t="s">
        <v>1174</v>
      </c>
      <c r="B776" s="18" t="s">
        <v>912</v>
      </c>
      <c r="C776" s="8" t="s">
        <v>186</v>
      </c>
      <c r="D776" s="14" t="s">
        <v>1070</v>
      </c>
      <c r="E776" s="8" t="s">
        <v>2566</v>
      </c>
      <c r="F776" s="27" t="s">
        <v>2565</v>
      </c>
    </row>
    <row r="777">
      <c r="A777" s="18" t="s">
        <v>520</v>
      </c>
      <c r="B777" s="18" t="s">
        <v>521</v>
      </c>
      <c r="C777" s="8" t="s">
        <v>93</v>
      </c>
      <c r="D777" s="14" t="s">
        <v>459</v>
      </c>
      <c r="E777" s="8" t="s">
        <v>2614</v>
      </c>
      <c r="F777" s="27" t="s">
        <v>2583</v>
      </c>
    </row>
    <row r="778">
      <c r="A778" s="9" t="s">
        <v>520</v>
      </c>
      <c r="B778" s="9" t="s">
        <v>699</v>
      </c>
      <c r="C778" s="8" t="s">
        <v>65</v>
      </c>
      <c r="D778" s="14" t="s">
        <v>631</v>
      </c>
      <c r="E778" s="8" t="s">
        <v>2585</v>
      </c>
      <c r="F778" s="27" t="s">
        <v>2578</v>
      </c>
    </row>
    <row r="779">
      <c r="A779" s="9" t="s">
        <v>698</v>
      </c>
      <c r="B779" s="9" t="s">
        <v>1457</v>
      </c>
      <c r="C779" s="8" t="s">
        <v>46</v>
      </c>
      <c r="D779" s="14" t="s">
        <v>1352</v>
      </c>
      <c r="E779" s="8" t="s">
        <v>2574</v>
      </c>
      <c r="F779" s="27" t="s">
        <v>2580</v>
      </c>
    </row>
    <row r="780">
      <c r="A780" s="9" t="s">
        <v>698</v>
      </c>
      <c r="B780" s="9" t="s">
        <v>301</v>
      </c>
      <c r="C780" s="8" t="s">
        <v>65</v>
      </c>
      <c r="D780" s="14" t="s">
        <v>631</v>
      </c>
      <c r="E780" s="8" t="s">
        <v>2600</v>
      </c>
      <c r="F780" s="27" t="s">
        <v>2578</v>
      </c>
    </row>
    <row r="781">
      <c r="A781" s="9" t="s">
        <v>698</v>
      </c>
      <c r="B781" s="9" t="s">
        <v>385</v>
      </c>
      <c r="C781" s="8" t="s">
        <v>70</v>
      </c>
      <c r="D781" s="14" t="s">
        <v>1070</v>
      </c>
      <c r="E781" s="8" t="s">
        <v>2572</v>
      </c>
      <c r="F781" s="27" t="s">
        <v>2559</v>
      </c>
    </row>
    <row r="782">
      <c r="A782" s="9" t="s">
        <v>68</v>
      </c>
      <c r="B782" s="9" t="s">
        <v>69</v>
      </c>
      <c r="C782" s="8" t="s">
        <v>70</v>
      </c>
      <c r="D782" s="14" t="s">
        <v>60</v>
      </c>
      <c r="E782" s="8" t="s">
        <v>2587</v>
      </c>
      <c r="F782" s="27" t="s">
        <v>2599</v>
      </c>
    </row>
    <row r="783">
      <c r="A783" s="9" t="s">
        <v>1815</v>
      </c>
      <c r="B783" s="9" t="s">
        <v>1816</v>
      </c>
      <c r="C783" s="8" t="s">
        <v>132</v>
      </c>
      <c r="D783" s="14" t="s">
        <v>1679</v>
      </c>
      <c r="E783" s="18" t="s">
        <v>2589</v>
      </c>
      <c r="F783" s="27" t="s">
        <v>2583</v>
      </c>
    </row>
    <row r="784">
      <c r="A784" s="9" t="s">
        <v>87</v>
      </c>
      <c r="B784" s="9" t="s">
        <v>88</v>
      </c>
      <c r="C784" s="8" t="s">
        <v>12</v>
      </c>
      <c r="D784" s="14" t="s">
        <v>83</v>
      </c>
      <c r="E784" s="8" t="s">
        <v>2600</v>
      </c>
      <c r="F784" s="27" t="s">
        <v>2607</v>
      </c>
    </row>
    <row r="785">
      <c r="A785" s="9" t="s">
        <v>1175</v>
      </c>
      <c r="B785" s="9" t="s">
        <v>11</v>
      </c>
      <c r="C785" s="8" t="s">
        <v>215</v>
      </c>
      <c r="D785" s="14" t="s">
        <v>1070</v>
      </c>
      <c r="E785" s="8" t="s">
        <v>2620</v>
      </c>
      <c r="F785" s="27" t="s">
        <v>2553</v>
      </c>
    </row>
    <row r="786">
      <c r="A786" s="9" t="s">
        <v>71</v>
      </c>
      <c r="B786" s="9" t="s">
        <v>72</v>
      </c>
      <c r="C786" s="8" t="s">
        <v>12</v>
      </c>
      <c r="D786" s="14" t="s">
        <v>60</v>
      </c>
      <c r="E786" s="8" t="s">
        <v>2585</v>
      </c>
      <c r="F786" s="27" t="s">
        <v>2625</v>
      </c>
    </row>
    <row r="787">
      <c r="A787" s="9" t="s">
        <v>1458</v>
      </c>
      <c r="B787" s="9" t="s">
        <v>558</v>
      </c>
      <c r="C787" s="8" t="s">
        <v>59</v>
      </c>
      <c r="D787" s="14" t="s">
        <v>1352</v>
      </c>
      <c r="E787" s="8" t="s">
        <v>2598</v>
      </c>
      <c r="F787" s="27" t="s">
        <v>2583</v>
      </c>
    </row>
    <row r="788">
      <c r="A788" s="9" t="s">
        <v>203</v>
      </c>
      <c r="B788" s="9" t="s">
        <v>121</v>
      </c>
      <c r="C788" s="8" t="s">
        <v>215</v>
      </c>
      <c r="D788" s="14" t="s">
        <v>237</v>
      </c>
      <c r="E788" s="8" t="s">
        <v>2564</v>
      </c>
      <c r="F788" s="27" t="s">
        <v>2596</v>
      </c>
    </row>
    <row r="789">
      <c r="A789" s="9" t="s">
        <v>203</v>
      </c>
      <c r="B789" s="9" t="s">
        <v>204</v>
      </c>
      <c r="C789" s="8" t="s">
        <v>24</v>
      </c>
      <c r="D789" s="14" t="s">
        <v>189</v>
      </c>
      <c r="E789" s="8" t="s">
        <v>2558</v>
      </c>
      <c r="F789" s="27" t="s">
        <v>2578</v>
      </c>
    </row>
    <row r="790">
      <c r="A790" s="9" t="s">
        <v>2346</v>
      </c>
      <c r="B790" s="9" t="s">
        <v>881</v>
      </c>
      <c r="C790" s="8" t="s">
        <v>138</v>
      </c>
      <c r="D790" s="14" t="s">
        <v>2296</v>
      </c>
      <c r="E790" s="8" t="s">
        <v>2595</v>
      </c>
      <c r="F790" s="27" t="s">
        <v>2555</v>
      </c>
    </row>
    <row r="791">
      <c r="A791" s="9" t="s">
        <v>700</v>
      </c>
      <c r="B791" s="9" t="s">
        <v>1176</v>
      </c>
      <c r="C791" s="8" t="s">
        <v>65</v>
      </c>
      <c r="D791" s="14" t="s">
        <v>1070</v>
      </c>
      <c r="E791" s="8" t="s">
        <v>2581</v>
      </c>
      <c r="F791" s="27" t="s">
        <v>2601</v>
      </c>
    </row>
    <row r="792">
      <c r="A792" s="9" t="s">
        <v>700</v>
      </c>
      <c r="B792" s="9" t="s">
        <v>67</v>
      </c>
      <c r="C792" s="8" t="s">
        <v>65</v>
      </c>
      <c r="D792" s="14" t="s">
        <v>631</v>
      </c>
      <c r="E792" s="18" t="s">
        <v>2556</v>
      </c>
      <c r="F792" s="27" t="s">
        <v>2590</v>
      </c>
    </row>
    <row r="793">
      <c r="A793" s="9" t="s">
        <v>701</v>
      </c>
      <c r="B793" s="9" t="s">
        <v>702</v>
      </c>
      <c r="C793" s="8" t="s">
        <v>141</v>
      </c>
      <c r="D793" s="14" t="s">
        <v>631</v>
      </c>
      <c r="E793" s="8" t="s">
        <v>2621</v>
      </c>
      <c r="F793" s="27" t="s">
        <v>2580</v>
      </c>
    </row>
    <row r="794">
      <c r="A794" s="9" t="s">
        <v>703</v>
      </c>
      <c r="B794" s="9" t="s">
        <v>100</v>
      </c>
      <c r="C794" s="8" t="s">
        <v>24</v>
      </c>
      <c r="D794" s="14" t="s">
        <v>631</v>
      </c>
      <c r="E794" s="8" t="s">
        <v>2598</v>
      </c>
      <c r="F794" s="27" t="s">
        <v>2609</v>
      </c>
    </row>
    <row r="795">
      <c r="A795" s="9" t="s">
        <v>703</v>
      </c>
      <c r="B795" s="9" t="s">
        <v>1817</v>
      </c>
      <c r="C795" s="8" t="s">
        <v>46</v>
      </c>
      <c r="D795" s="14" t="s">
        <v>1679</v>
      </c>
      <c r="E795" s="8" t="s">
        <v>2577</v>
      </c>
      <c r="F795" s="27" t="s">
        <v>2612</v>
      </c>
    </row>
    <row r="796">
      <c r="A796" s="9" t="s">
        <v>703</v>
      </c>
      <c r="B796" s="9" t="s">
        <v>217</v>
      </c>
      <c r="C796" s="8" t="s">
        <v>65</v>
      </c>
      <c r="D796" s="14" t="s">
        <v>2033</v>
      </c>
      <c r="E796" s="8" t="s">
        <v>2598</v>
      </c>
      <c r="F796" s="27" t="s">
        <v>2555</v>
      </c>
    </row>
    <row r="797">
      <c r="A797" s="18" t="s">
        <v>703</v>
      </c>
      <c r="B797" s="18" t="s">
        <v>1490</v>
      </c>
      <c r="C797" s="8" t="s">
        <v>192</v>
      </c>
      <c r="D797" s="14" t="s">
        <v>2033</v>
      </c>
      <c r="E797" s="8" t="s">
        <v>2595</v>
      </c>
      <c r="F797" s="27" t="s">
        <v>2609</v>
      </c>
    </row>
    <row r="798">
      <c r="A798" s="18" t="s">
        <v>268</v>
      </c>
      <c r="B798" s="18" t="s">
        <v>269</v>
      </c>
      <c r="C798" s="8" t="s">
        <v>65</v>
      </c>
      <c r="D798" s="14" t="s">
        <v>237</v>
      </c>
      <c r="E798" s="8" t="s">
        <v>2610</v>
      </c>
      <c r="F798" s="27" t="s">
        <v>2561</v>
      </c>
    </row>
    <row r="799">
      <c r="A799" s="9" t="s">
        <v>268</v>
      </c>
      <c r="B799" s="9" t="s">
        <v>928</v>
      </c>
      <c r="C799" s="8" t="s">
        <v>149</v>
      </c>
      <c r="D799" s="14" t="s">
        <v>837</v>
      </c>
      <c r="E799" s="8" t="s">
        <v>2620</v>
      </c>
      <c r="F799" s="27" t="s">
        <v>2617</v>
      </c>
    </row>
    <row r="800">
      <c r="A800" s="9" t="s">
        <v>268</v>
      </c>
      <c r="B800" s="9" t="s">
        <v>2117</v>
      </c>
      <c r="C800" s="8" t="s">
        <v>138</v>
      </c>
      <c r="D800" s="14" t="s">
        <v>2033</v>
      </c>
      <c r="E800" s="8" t="s">
        <v>2567</v>
      </c>
      <c r="F800" s="27" t="s">
        <v>2583</v>
      </c>
    </row>
    <row r="801">
      <c r="A801" s="9" t="s">
        <v>268</v>
      </c>
      <c r="B801" s="9" t="s">
        <v>247</v>
      </c>
      <c r="C801" s="8" t="s">
        <v>70</v>
      </c>
      <c r="D801" s="14" t="s">
        <v>2033</v>
      </c>
      <c r="E801" s="8" t="s">
        <v>2598</v>
      </c>
      <c r="F801" s="27" t="s">
        <v>2579</v>
      </c>
    </row>
    <row r="802">
      <c r="A802" s="9" t="s">
        <v>268</v>
      </c>
      <c r="B802" s="9" t="s">
        <v>2347</v>
      </c>
      <c r="C802" s="8" t="s">
        <v>215</v>
      </c>
      <c r="D802" s="14" t="s">
        <v>2296</v>
      </c>
      <c r="E802" s="8" t="s">
        <v>2603</v>
      </c>
      <c r="F802" s="27" t="s">
        <v>2622</v>
      </c>
    </row>
    <row r="803">
      <c r="A803" s="9" t="s">
        <v>268</v>
      </c>
      <c r="B803" s="9" t="s">
        <v>270</v>
      </c>
      <c r="C803" s="8" t="s">
        <v>24</v>
      </c>
      <c r="D803" s="14" t="s">
        <v>237</v>
      </c>
      <c r="E803" s="8" t="s">
        <v>2572</v>
      </c>
      <c r="F803" s="27" t="s">
        <v>2571</v>
      </c>
    </row>
    <row r="804">
      <c r="A804" s="9" t="s">
        <v>1818</v>
      </c>
      <c r="B804" s="9" t="s">
        <v>2118</v>
      </c>
      <c r="C804" s="8" t="s">
        <v>46</v>
      </c>
      <c r="D804" s="14" t="s">
        <v>2033</v>
      </c>
      <c r="E804" s="8" t="s">
        <v>2584</v>
      </c>
      <c r="F804" s="27" t="s">
        <v>2612</v>
      </c>
    </row>
    <row r="805">
      <c r="A805" s="9" t="s">
        <v>1818</v>
      </c>
      <c r="B805" s="9" t="s">
        <v>1819</v>
      </c>
      <c r="C805" s="8" t="s">
        <v>80</v>
      </c>
      <c r="D805" s="14" t="s">
        <v>1679</v>
      </c>
      <c r="E805" s="8" t="s">
        <v>2558</v>
      </c>
      <c r="F805" s="27" t="s">
        <v>2617</v>
      </c>
    </row>
    <row r="806">
      <c r="A806" s="9" t="s">
        <v>2470</v>
      </c>
      <c r="B806" s="9" t="s">
        <v>1940</v>
      </c>
      <c r="C806" s="8" t="s">
        <v>132</v>
      </c>
      <c r="D806" s="14" t="s">
        <v>2459</v>
      </c>
      <c r="E806" s="8" t="s">
        <v>2595</v>
      </c>
      <c r="F806" s="27" t="s">
        <v>2618</v>
      </c>
    </row>
    <row r="807">
      <c r="A807" s="9" t="s">
        <v>2348</v>
      </c>
      <c r="B807" s="9" t="s">
        <v>565</v>
      </c>
      <c r="C807" s="8" t="s">
        <v>186</v>
      </c>
      <c r="D807" s="14" t="s">
        <v>2296</v>
      </c>
      <c r="E807" s="8" t="s">
        <v>2585</v>
      </c>
      <c r="F807" s="27" t="s">
        <v>2555</v>
      </c>
    </row>
    <row r="808">
      <c r="A808" s="9" t="s">
        <v>1177</v>
      </c>
      <c r="B808" s="9" t="s">
        <v>483</v>
      </c>
      <c r="C808" s="8" t="s">
        <v>215</v>
      </c>
      <c r="D808" s="14" t="s">
        <v>1070</v>
      </c>
      <c r="E808" s="8" t="s">
        <v>2614</v>
      </c>
      <c r="F808" s="27" t="s">
        <v>2571</v>
      </c>
    </row>
    <row r="809">
      <c r="A809" s="9" t="s">
        <v>1820</v>
      </c>
      <c r="B809" s="9" t="s">
        <v>1046</v>
      </c>
      <c r="C809" s="8" t="s">
        <v>16</v>
      </c>
      <c r="D809" s="14" t="s">
        <v>1679</v>
      </c>
      <c r="E809" s="8" t="s">
        <v>2574</v>
      </c>
      <c r="F809" s="27" t="s">
        <v>2563</v>
      </c>
    </row>
    <row r="810">
      <c r="A810" s="9" t="s">
        <v>271</v>
      </c>
      <c r="B810" s="9" t="s">
        <v>272</v>
      </c>
      <c r="C810" s="8" t="s">
        <v>215</v>
      </c>
      <c r="D810" s="14" t="s">
        <v>237</v>
      </c>
      <c r="E810" s="8" t="s">
        <v>2552</v>
      </c>
      <c r="F810" s="27" t="s">
        <v>2625</v>
      </c>
    </row>
    <row r="811">
      <c r="A811" s="9" t="s">
        <v>1459</v>
      </c>
      <c r="B811" s="9" t="s">
        <v>865</v>
      </c>
      <c r="C811" s="8" t="s">
        <v>65</v>
      </c>
      <c r="D811" s="14" t="s">
        <v>1352</v>
      </c>
      <c r="E811" s="8" t="s">
        <v>2577</v>
      </c>
      <c r="F811" s="27" t="s">
        <v>2609</v>
      </c>
    </row>
    <row r="812">
      <c r="A812" s="9" t="s">
        <v>522</v>
      </c>
      <c r="B812" s="9" t="s">
        <v>252</v>
      </c>
      <c r="C812" s="8" t="s">
        <v>24</v>
      </c>
      <c r="D812" s="14" t="s">
        <v>1352</v>
      </c>
      <c r="E812" s="8" t="s">
        <v>2595</v>
      </c>
      <c r="F812" s="27" t="s">
        <v>2563</v>
      </c>
    </row>
    <row r="813">
      <c r="A813" s="9" t="s">
        <v>522</v>
      </c>
      <c r="B813" s="9" t="s">
        <v>337</v>
      </c>
      <c r="C813" s="8" t="s">
        <v>16</v>
      </c>
      <c r="D813" s="14" t="s">
        <v>459</v>
      </c>
      <c r="E813" s="8" t="s">
        <v>2575</v>
      </c>
      <c r="F813" s="27" t="s">
        <v>2563</v>
      </c>
    </row>
    <row r="814">
      <c r="A814" s="9" t="s">
        <v>522</v>
      </c>
      <c r="B814" s="9" t="s">
        <v>67</v>
      </c>
      <c r="C814" s="8" t="s">
        <v>16</v>
      </c>
      <c r="D814" s="14" t="s">
        <v>459</v>
      </c>
      <c r="E814" s="8" t="s">
        <v>2592</v>
      </c>
      <c r="F814" s="27" t="s">
        <v>2617</v>
      </c>
    </row>
    <row r="815">
      <c r="A815" s="9" t="s">
        <v>522</v>
      </c>
      <c r="B815" s="9" t="s">
        <v>1821</v>
      </c>
      <c r="C815" s="8" t="s">
        <v>59</v>
      </c>
      <c r="D815" s="14" t="s">
        <v>1679</v>
      </c>
      <c r="E815" s="8" t="s">
        <v>2603</v>
      </c>
      <c r="F815" s="27" t="s">
        <v>2557</v>
      </c>
    </row>
    <row r="816">
      <c r="A816" s="9" t="s">
        <v>522</v>
      </c>
      <c r="B816" s="9" t="s">
        <v>1822</v>
      </c>
      <c r="C816" s="8" t="s">
        <v>93</v>
      </c>
      <c r="D816" s="14" t="s">
        <v>1679</v>
      </c>
      <c r="E816" s="8" t="s">
        <v>2603</v>
      </c>
      <c r="F816" s="27" t="s">
        <v>2607</v>
      </c>
    </row>
    <row r="817">
      <c r="A817" s="9" t="s">
        <v>1178</v>
      </c>
      <c r="B817" s="9" t="s">
        <v>596</v>
      </c>
      <c r="C817" s="8" t="s">
        <v>24</v>
      </c>
      <c r="D817" s="14" t="s">
        <v>1070</v>
      </c>
      <c r="E817" s="8" t="s">
        <v>2577</v>
      </c>
      <c r="F817" s="27" t="s">
        <v>2622</v>
      </c>
    </row>
    <row r="818">
      <c r="A818" s="9" t="s">
        <v>929</v>
      </c>
      <c r="B818" s="9" t="s">
        <v>930</v>
      </c>
      <c r="C818" s="8" t="s">
        <v>215</v>
      </c>
      <c r="D818" s="14" t="s">
        <v>837</v>
      </c>
      <c r="E818" s="8" t="s">
        <v>2595</v>
      </c>
      <c r="F818" s="27" t="s">
        <v>2576</v>
      </c>
    </row>
    <row r="819">
      <c r="A819" s="9" t="s">
        <v>704</v>
      </c>
      <c r="B819" s="9" t="s">
        <v>67</v>
      </c>
      <c r="C819" s="8" t="s">
        <v>141</v>
      </c>
      <c r="D819" s="14" t="s">
        <v>631</v>
      </c>
      <c r="E819" s="8" t="s">
        <v>2595</v>
      </c>
      <c r="F819" s="27" t="s">
        <v>2594</v>
      </c>
    </row>
    <row r="820">
      <c r="A820" s="9" t="s">
        <v>1460</v>
      </c>
      <c r="B820" s="9" t="s">
        <v>1461</v>
      </c>
      <c r="C820" s="8" t="s">
        <v>53</v>
      </c>
      <c r="D820" s="14" t="s">
        <v>1352</v>
      </c>
      <c r="E820" s="8" t="s">
        <v>2564</v>
      </c>
      <c r="F820" s="27" t="s">
        <v>2602</v>
      </c>
    </row>
    <row r="821">
      <c r="A821" s="9" t="s">
        <v>2349</v>
      </c>
      <c r="B821" s="9" t="s">
        <v>2350</v>
      </c>
      <c r="C821" s="8" t="s">
        <v>70</v>
      </c>
      <c r="D821" s="14" t="s">
        <v>2296</v>
      </c>
      <c r="E821" s="8" t="s">
        <v>2582</v>
      </c>
      <c r="F821" s="27" t="s">
        <v>2586</v>
      </c>
    </row>
    <row r="822">
      <c r="A822" s="9" t="s">
        <v>931</v>
      </c>
      <c r="B822" s="9" t="s">
        <v>383</v>
      </c>
      <c r="C822" s="8" t="s">
        <v>138</v>
      </c>
      <c r="D822" s="14" t="s">
        <v>837</v>
      </c>
      <c r="E822" s="18" t="s">
        <v>2589</v>
      </c>
      <c r="F822" s="27" t="s">
        <v>2557</v>
      </c>
    </row>
    <row r="823">
      <c r="A823" s="9" t="s">
        <v>1462</v>
      </c>
      <c r="B823" s="9" t="s">
        <v>883</v>
      </c>
      <c r="C823" s="8" t="s">
        <v>70</v>
      </c>
      <c r="D823" s="14" t="s">
        <v>1352</v>
      </c>
      <c r="E823" s="8" t="s">
        <v>2593</v>
      </c>
      <c r="F823" s="27" t="s">
        <v>2619</v>
      </c>
    </row>
    <row r="824">
      <c r="A824" s="9" t="s">
        <v>523</v>
      </c>
      <c r="B824" s="9" t="s">
        <v>524</v>
      </c>
      <c r="C824" s="8" t="s">
        <v>122</v>
      </c>
      <c r="D824" s="14" t="s">
        <v>459</v>
      </c>
      <c r="E824" s="8" t="s">
        <v>2600</v>
      </c>
      <c r="F824" s="27" t="s">
        <v>2588</v>
      </c>
    </row>
    <row r="825">
      <c r="A825" s="9" t="s">
        <v>1179</v>
      </c>
      <c r="B825" s="9" t="s">
        <v>1179</v>
      </c>
      <c r="C825" s="8" t="s">
        <v>192</v>
      </c>
      <c r="D825" s="14" t="s">
        <v>1070</v>
      </c>
      <c r="E825" s="8" t="s">
        <v>2605</v>
      </c>
      <c r="F825" s="27" t="s">
        <v>2607</v>
      </c>
    </row>
    <row r="826">
      <c r="A826" s="9" t="s">
        <v>1463</v>
      </c>
      <c r="B826" s="9" t="s">
        <v>33</v>
      </c>
      <c r="C826" s="8" t="s">
        <v>38</v>
      </c>
      <c r="D826" s="14" t="s">
        <v>1352</v>
      </c>
      <c r="E826" s="8" t="s">
        <v>2581</v>
      </c>
      <c r="F826" s="27" t="s">
        <v>2590</v>
      </c>
    </row>
    <row r="827">
      <c r="A827" s="9" t="s">
        <v>376</v>
      </c>
      <c r="B827" s="9" t="s">
        <v>102</v>
      </c>
      <c r="C827" s="8" t="s">
        <v>93</v>
      </c>
      <c r="D827" s="14" t="s">
        <v>338</v>
      </c>
      <c r="E827" s="8" t="s">
        <v>2577</v>
      </c>
      <c r="F827" s="27" t="s">
        <v>2611</v>
      </c>
    </row>
    <row r="828">
      <c r="A828" s="9" t="s">
        <v>1180</v>
      </c>
      <c r="B828" s="9" t="s">
        <v>102</v>
      </c>
      <c r="C828" s="8" t="s">
        <v>149</v>
      </c>
      <c r="D828" s="14" t="s">
        <v>1070</v>
      </c>
      <c r="E828" s="8" t="s">
        <v>2567</v>
      </c>
      <c r="F828" s="27" t="s">
        <v>2555</v>
      </c>
    </row>
    <row r="829">
      <c r="A829" s="18" t="s">
        <v>525</v>
      </c>
      <c r="B829" s="18" t="s">
        <v>526</v>
      </c>
      <c r="C829" s="8" t="s">
        <v>122</v>
      </c>
      <c r="D829" s="14" t="s">
        <v>459</v>
      </c>
      <c r="E829" s="8" t="s">
        <v>2598</v>
      </c>
      <c r="F829" s="27" t="s">
        <v>2622</v>
      </c>
    </row>
    <row r="830">
      <c r="A830" s="9" t="s">
        <v>932</v>
      </c>
      <c r="B830" s="9" t="s">
        <v>871</v>
      </c>
      <c r="C830" s="8" t="s">
        <v>186</v>
      </c>
      <c r="D830" s="14" t="s">
        <v>837</v>
      </c>
      <c r="E830" s="8" t="s">
        <v>2593</v>
      </c>
      <c r="F830" s="27" t="s">
        <v>2563</v>
      </c>
    </row>
    <row r="831">
      <c r="A831" s="9" t="s">
        <v>1464</v>
      </c>
      <c r="B831" s="9" t="s">
        <v>317</v>
      </c>
      <c r="C831" s="8" t="s">
        <v>93</v>
      </c>
      <c r="D831" s="14" t="s">
        <v>1352</v>
      </c>
      <c r="E831" s="8" t="s">
        <v>2567</v>
      </c>
      <c r="F831" s="27" t="s">
        <v>2557</v>
      </c>
    </row>
    <row r="832">
      <c r="A832" s="9" t="s">
        <v>705</v>
      </c>
      <c r="B832" s="9" t="s">
        <v>181</v>
      </c>
      <c r="C832" s="8" t="s">
        <v>141</v>
      </c>
      <c r="D832" s="14" t="s">
        <v>631</v>
      </c>
      <c r="E832" s="8" t="s">
        <v>2566</v>
      </c>
      <c r="F832" s="27" t="s">
        <v>2563</v>
      </c>
    </row>
    <row r="833">
      <c r="A833" s="9" t="s">
        <v>2119</v>
      </c>
      <c r="B833" s="9" t="s">
        <v>700</v>
      </c>
      <c r="C833" s="8" t="s">
        <v>93</v>
      </c>
      <c r="D833" s="14" t="s">
        <v>2033</v>
      </c>
      <c r="E833" s="8" t="s">
        <v>2566</v>
      </c>
      <c r="F833" s="27" t="s">
        <v>2591</v>
      </c>
    </row>
    <row r="834">
      <c r="A834" s="9" t="s">
        <v>1183</v>
      </c>
      <c r="B834" s="9" t="s">
        <v>1823</v>
      </c>
      <c r="C834" s="8" t="s">
        <v>215</v>
      </c>
      <c r="D834" s="14" t="s">
        <v>1679</v>
      </c>
      <c r="E834" s="8" t="s">
        <v>2564</v>
      </c>
      <c r="F834" s="27" t="s">
        <v>2568</v>
      </c>
    </row>
    <row r="835">
      <c r="A835" s="18" t="s">
        <v>1183</v>
      </c>
      <c r="B835" s="18" t="s">
        <v>1465</v>
      </c>
      <c r="C835" s="8" t="s">
        <v>192</v>
      </c>
      <c r="D835" s="14" t="s">
        <v>1352</v>
      </c>
      <c r="E835" s="8" t="s">
        <v>2564</v>
      </c>
      <c r="F835" s="27" t="s">
        <v>2594</v>
      </c>
    </row>
    <row r="836">
      <c r="A836" s="9" t="s">
        <v>1183</v>
      </c>
      <c r="B836" s="9" t="s">
        <v>2351</v>
      </c>
      <c r="C836" s="8" t="s">
        <v>65</v>
      </c>
      <c r="D836" s="14" t="s">
        <v>2296</v>
      </c>
      <c r="E836" s="8" t="s">
        <v>2605</v>
      </c>
      <c r="F836" s="27" t="s">
        <v>2568</v>
      </c>
    </row>
    <row r="837">
      <c r="A837" s="9" t="s">
        <v>1183</v>
      </c>
      <c r="B837" s="9" t="s">
        <v>556</v>
      </c>
      <c r="C837" s="8" t="s">
        <v>65</v>
      </c>
      <c r="D837" s="14" t="s">
        <v>1070</v>
      </c>
      <c r="E837" s="8" t="s">
        <v>2605</v>
      </c>
      <c r="F837" s="27" t="s">
        <v>2622</v>
      </c>
    </row>
    <row r="838">
      <c r="A838" s="18" t="s">
        <v>1183</v>
      </c>
      <c r="B838" s="18" t="s">
        <v>1341</v>
      </c>
      <c r="C838" s="8" t="s">
        <v>122</v>
      </c>
      <c r="D838" s="14" t="s">
        <v>1679</v>
      </c>
      <c r="E838" s="18" t="s">
        <v>2556</v>
      </c>
      <c r="F838" s="27" t="s">
        <v>2573</v>
      </c>
    </row>
    <row r="839">
      <c r="A839" s="18" t="s">
        <v>1184</v>
      </c>
      <c r="B839" s="18" t="s">
        <v>521</v>
      </c>
      <c r="C839" s="8" t="s">
        <v>261</v>
      </c>
      <c r="D839" s="14" t="s">
        <v>1070</v>
      </c>
      <c r="E839" s="8" t="s">
        <v>2552</v>
      </c>
      <c r="F839" s="27" t="s">
        <v>2573</v>
      </c>
    </row>
    <row r="840">
      <c r="A840" s="9" t="s">
        <v>1181</v>
      </c>
      <c r="B840" s="9" t="s">
        <v>245</v>
      </c>
      <c r="C840" s="8" t="s">
        <v>93</v>
      </c>
      <c r="D840" s="14" t="s">
        <v>1070</v>
      </c>
      <c r="E840" s="8" t="s">
        <v>2566</v>
      </c>
      <c r="F840" s="27" t="s">
        <v>2580</v>
      </c>
    </row>
    <row r="841">
      <c r="A841" s="9" t="s">
        <v>1181</v>
      </c>
      <c r="B841" s="9" t="s">
        <v>1824</v>
      </c>
      <c r="C841" s="8" t="s">
        <v>65</v>
      </c>
      <c r="D841" s="14" t="s">
        <v>1679</v>
      </c>
      <c r="E841" s="8" t="s">
        <v>2620</v>
      </c>
      <c r="F841" s="27" t="s">
        <v>2602</v>
      </c>
    </row>
    <row r="842">
      <c r="A842" s="9" t="s">
        <v>1181</v>
      </c>
      <c r="B842" s="9" t="s">
        <v>381</v>
      </c>
      <c r="C842" s="8" t="s">
        <v>122</v>
      </c>
      <c r="D842" s="14" t="s">
        <v>1070</v>
      </c>
      <c r="E842" s="8" t="s">
        <v>2183</v>
      </c>
      <c r="F842" s="27" t="s">
        <v>2555</v>
      </c>
    </row>
    <row r="843">
      <c r="A843" s="9" t="s">
        <v>1181</v>
      </c>
      <c r="B843" s="9" t="s">
        <v>1182</v>
      </c>
      <c r="C843" s="8" t="s">
        <v>122</v>
      </c>
      <c r="D843" s="14" t="s">
        <v>1070</v>
      </c>
      <c r="E843" s="8" t="s">
        <v>2574</v>
      </c>
      <c r="F843" s="27" t="s">
        <v>2555</v>
      </c>
    </row>
    <row r="844">
      <c r="A844" s="9" t="s">
        <v>2352</v>
      </c>
      <c r="B844" s="9" t="s">
        <v>2353</v>
      </c>
      <c r="C844" s="8" t="s">
        <v>192</v>
      </c>
      <c r="D844" s="14" t="s">
        <v>2296</v>
      </c>
      <c r="E844" s="8" t="s">
        <v>2595</v>
      </c>
      <c r="F844" s="27" t="s">
        <v>2594</v>
      </c>
    </row>
    <row r="845">
      <c r="A845" s="18" t="s">
        <v>2120</v>
      </c>
      <c r="B845" s="18" t="s">
        <v>2121</v>
      </c>
      <c r="C845" s="8" t="s">
        <v>138</v>
      </c>
      <c r="D845" s="14" t="s">
        <v>2033</v>
      </c>
      <c r="E845" s="8" t="s">
        <v>2554</v>
      </c>
      <c r="F845" s="27" t="s">
        <v>2608</v>
      </c>
    </row>
    <row r="846">
      <c r="A846" s="9" t="s">
        <v>933</v>
      </c>
      <c r="B846" s="9" t="s">
        <v>92</v>
      </c>
      <c r="C846" s="8" t="s">
        <v>122</v>
      </c>
      <c r="D846" s="14" t="s">
        <v>837</v>
      </c>
      <c r="E846" s="18" t="s">
        <v>2556</v>
      </c>
      <c r="F846" s="27" t="s">
        <v>2571</v>
      </c>
    </row>
    <row r="847">
      <c r="A847" s="9" t="s">
        <v>1466</v>
      </c>
      <c r="B847" s="9" t="s">
        <v>381</v>
      </c>
      <c r="C847" s="8" t="s">
        <v>93</v>
      </c>
      <c r="D847" s="14" t="s">
        <v>1352</v>
      </c>
      <c r="E847" s="8" t="s">
        <v>2595</v>
      </c>
      <c r="F847" s="27" t="s">
        <v>2579</v>
      </c>
    </row>
    <row r="848">
      <c r="A848" s="9" t="s">
        <v>2471</v>
      </c>
      <c r="B848" s="9" t="s">
        <v>2472</v>
      </c>
      <c r="C848" s="8" t="s">
        <v>65</v>
      </c>
      <c r="D848" s="14" t="s">
        <v>2459</v>
      </c>
      <c r="E848" s="8" t="s">
        <v>2183</v>
      </c>
      <c r="F848" s="27" t="s">
        <v>2591</v>
      </c>
    </row>
    <row r="849">
      <c r="A849" s="9" t="s">
        <v>934</v>
      </c>
      <c r="B849" s="9" t="s">
        <v>381</v>
      </c>
      <c r="C849" s="8" t="s">
        <v>65</v>
      </c>
      <c r="D849" s="14" t="s">
        <v>837</v>
      </c>
      <c r="E849" s="8" t="s">
        <v>2598</v>
      </c>
      <c r="F849" s="27" t="s">
        <v>2602</v>
      </c>
    </row>
    <row r="850">
      <c r="A850" s="9" t="s">
        <v>1185</v>
      </c>
      <c r="B850" s="9" t="s">
        <v>1186</v>
      </c>
      <c r="C850" s="8" t="s">
        <v>122</v>
      </c>
      <c r="D850" s="14" t="s">
        <v>1070</v>
      </c>
      <c r="E850" s="8" t="s">
        <v>2577</v>
      </c>
      <c r="F850" s="27" t="s">
        <v>2608</v>
      </c>
    </row>
    <row r="851">
      <c r="A851" s="9" t="s">
        <v>1825</v>
      </c>
      <c r="B851" s="9" t="s">
        <v>84</v>
      </c>
      <c r="C851" s="8" t="s">
        <v>93</v>
      </c>
      <c r="D851" s="14" t="s">
        <v>1679</v>
      </c>
      <c r="E851" s="8" t="s">
        <v>2592</v>
      </c>
      <c r="F851" s="27" t="s">
        <v>2553</v>
      </c>
    </row>
    <row r="852">
      <c r="A852" s="9" t="s">
        <v>1826</v>
      </c>
      <c r="B852" s="9" t="s">
        <v>162</v>
      </c>
      <c r="C852" s="8" t="s">
        <v>75</v>
      </c>
      <c r="D852" s="14" t="s">
        <v>1679</v>
      </c>
      <c r="E852" s="8" t="s">
        <v>2598</v>
      </c>
      <c r="F852" s="27" t="s">
        <v>2612</v>
      </c>
    </row>
    <row r="853">
      <c r="A853" s="9" t="s">
        <v>706</v>
      </c>
      <c r="B853" s="9" t="s">
        <v>707</v>
      </c>
      <c r="C853" s="8" t="s">
        <v>192</v>
      </c>
      <c r="D853" s="14" t="s">
        <v>631</v>
      </c>
      <c r="E853" s="8" t="s">
        <v>2600</v>
      </c>
      <c r="F853" s="27" t="s">
        <v>2601</v>
      </c>
    </row>
    <row r="854">
      <c r="A854" s="9" t="s">
        <v>706</v>
      </c>
      <c r="B854" s="9" t="s">
        <v>347</v>
      </c>
      <c r="C854" s="8" t="s">
        <v>65</v>
      </c>
      <c r="D854" s="14" t="s">
        <v>2296</v>
      </c>
      <c r="E854" s="8" t="s">
        <v>2582</v>
      </c>
      <c r="F854" s="27" t="s">
        <v>2568</v>
      </c>
    </row>
    <row r="855">
      <c r="A855" s="9" t="s">
        <v>1467</v>
      </c>
      <c r="B855" s="9" t="s">
        <v>29</v>
      </c>
      <c r="C855" s="8" t="s">
        <v>53</v>
      </c>
      <c r="D855" s="14" t="s">
        <v>1352</v>
      </c>
      <c r="E855" s="8" t="s">
        <v>2587</v>
      </c>
      <c r="F855" s="27" t="s">
        <v>2573</v>
      </c>
    </row>
    <row r="856">
      <c r="A856" s="9" t="s">
        <v>89</v>
      </c>
      <c r="B856" s="9" t="s">
        <v>212</v>
      </c>
      <c r="C856" s="8" t="s">
        <v>80</v>
      </c>
      <c r="D856" s="14" t="s">
        <v>837</v>
      </c>
      <c r="E856" s="8" t="s">
        <v>2552</v>
      </c>
      <c r="F856" s="27" t="s">
        <v>2602</v>
      </c>
    </row>
    <row r="857">
      <c r="A857" s="9" t="s">
        <v>89</v>
      </c>
      <c r="B857" s="9" t="s">
        <v>357</v>
      </c>
      <c r="C857" s="8" t="s">
        <v>138</v>
      </c>
      <c r="D857" s="14" t="s">
        <v>1679</v>
      </c>
      <c r="E857" s="8" t="s">
        <v>2581</v>
      </c>
      <c r="F857" s="27" t="s">
        <v>2565</v>
      </c>
    </row>
    <row r="858">
      <c r="A858" s="9" t="s">
        <v>89</v>
      </c>
      <c r="B858" s="9" t="s">
        <v>275</v>
      </c>
      <c r="C858" s="8" t="s">
        <v>93</v>
      </c>
      <c r="D858" s="14" t="s">
        <v>338</v>
      </c>
      <c r="E858" s="8" t="s">
        <v>2620</v>
      </c>
      <c r="F858" s="27" t="s">
        <v>2561</v>
      </c>
    </row>
    <row r="859">
      <c r="A859" s="9" t="s">
        <v>89</v>
      </c>
      <c r="B859" s="9" t="s">
        <v>90</v>
      </c>
      <c r="C859" s="8" t="s">
        <v>24</v>
      </c>
      <c r="D859" s="14" t="s">
        <v>83</v>
      </c>
      <c r="E859" s="8" t="s">
        <v>2610</v>
      </c>
      <c r="F859" s="27" t="s">
        <v>2628</v>
      </c>
    </row>
    <row r="860">
      <c r="A860" s="9" t="s">
        <v>89</v>
      </c>
      <c r="B860" s="9" t="s">
        <v>1060</v>
      </c>
      <c r="C860" s="8" t="s">
        <v>70</v>
      </c>
      <c r="D860" s="14" t="s">
        <v>2296</v>
      </c>
      <c r="E860" s="8" t="s">
        <v>2600</v>
      </c>
      <c r="F860" s="27" t="s">
        <v>2557</v>
      </c>
    </row>
    <row r="861">
      <c r="A861" s="9" t="s">
        <v>89</v>
      </c>
      <c r="B861" s="9" t="s">
        <v>1827</v>
      </c>
      <c r="C861" s="8" t="s">
        <v>93</v>
      </c>
      <c r="D861" s="14" t="s">
        <v>1679</v>
      </c>
      <c r="E861" s="8" t="s">
        <v>2610</v>
      </c>
      <c r="F861" s="27" t="s">
        <v>2609</v>
      </c>
    </row>
    <row r="862">
      <c r="A862" s="9" t="s">
        <v>89</v>
      </c>
      <c r="B862" s="9" t="s">
        <v>708</v>
      </c>
      <c r="C862" s="8" t="s">
        <v>24</v>
      </c>
      <c r="D862" s="14" t="s">
        <v>631</v>
      </c>
      <c r="E862" s="8" t="s">
        <v>2615</v>
      </c>
      <c r="F862" s="27" t="s">
        <v>2590</v>
      </c>
    </row>
    <row r="863">
      <c r="A863" s="9" t="s">
        <v>89</v>
      </c>
      <c r="B863" s="9" t="s">
        <v>2122</v>
      </c>
      <c r="C863" s="8" t="s">
        <v>53</v>
      </c>
      <c r="D863" s="14" t="s">
        <v>2033</v>
      </c>
      <c r="E863" s="8" t="s">
        <v>2592</v>
      </c>
      <c r="F863" s="27" t="s">
        <v>2570</v>
      </c>
    </row>
    <row r="864">
      <c r="A864" s="9" t="s">
        <v>89</v>
      </c>
      <c r="B864" s="9" t="s">
        <v>273</v>
      </c>
      <c r="C864" s="8" t="s">
        <v>65</v>
      </c>
      <c r="D864" s="14" t="s">
        <v>237</v>
      </c>
      <c r="E864" s="18" t="s">
        <v>2556</v>
      </c>
      <c r="F864" s="27" t="s">
        <v>2557</v>
      </c>
    </row>
    <row r="865">
      <c r="A865" s="9" t="s">
        <v>89</v>
      </c>
      <c r="B865" s="9" t="s">
        <v>527</v>
      </c>
      <c r="C865" s="8" t="s">
        <v>80</v>
      </c>
      <c r="D865" s="14" t="s">
        <v>459</v>
      </c>
      <c r="E865" s="18" t="s">
        <v>2556</v>
      </c>
      <c r="F865" s="27" t="s">
        <v>2622</v>
      </c>
    </row>
    <row r="866">
      <c r="A866" s="9" t="s">
        <v>89</v>
      </c>
      <c r="B866" s="9" t="s">
        <v>301</v>
      </c>
      <c r="C866" s="8" t="s">
        <v>24</v>
      </c>
      <c r="D866" s="14" t="s">
        <v>338</v>
      </c>
      <c r="E866" s="8" t="s">
        <v>2598</v>
      </c>
      <c r="F866" s="27" t="s">
        <v>2627</v>
      </c>
    </row>
    <row r="867">
      <c r="A867" s="9" t="s">
        <v>89</v>
      </c>
      <c r="B867" s="9" t="s">
        <v>505</v>
      </c>
      <c r="C867" s="8" t="s">
        <v>192</v>
      </c>
      <c r="D867" s="14" t="s">
        <v>1352</v>
      </c>
      <c r="E867" s="8" t="s">
        <v>2585</v>
      </c>
      <c r="F867" s="27" t="s">
        <v>2563</v>
      </c>
    </row>
    <row r="868">
      <c r="A868" s="9" t="s">
        <v>89</v>
      </c>
      <c r="B868" s="9" t="s">
        <v>634</v>
      </c>
      <c r="C868" s="8" t="s">
        <v>65</v>
      </c>
      <c r="D868" s="14" t="s">
        <v>1070</v>
      </c>
      <c r="E868" s="8" t="s">
        <v>2600</v>
      </c>
      <c r="F868" s="27" t="s">
        <v>2573</v>
      </c>
    </row>
    <row r="869">
      <c r="A869" s="9" t="s">
        <v>89</v>
      </c>
      <c r="B869" s="9" t="s">
        <v>476</v>
      </c>
      <c r="C869" s="8" t="s">
        <v>186</v>
      </c>
      <c r="D869" s="14" t="s">
        <v>1679</v>
      </c>
      <c r="E869" s="8" t="s">
        <v>2621</v>
      </c>
      <c r="F869" s="27" t="s">
        <v>2570</v>
      </c>
    </row>
    <row r="870">
      <c r="A870" s="9" t="s">
        <v>89</v>
      </c>
      <c r="B870" s="9" t="s">
        <v>709</v>
      </c>
      <c r="C870" s="8" t="s">
        <v>122</v>
      </c>
      <c r="D870" s="14" t="s">
        <v>631</v>
      </c>
      <c r="E870" s="8" t="s">
        <v>2620</v>
      </c>
      <c r="F870" s="27" t="s">
        <v>2553</v>
      </c>
    </row>
    <row r="871">
      <c r="A871" s="9" t="s">
        <v>89</v>
      </c>
      <c r="B871" s="9" t="s">
        <v>1209</v>
      </c>
      <c r="C871" s="8" t="s">
        <v>93</v>
      </c>
      <c r="D871" s="14" t="s">
        <v>1679</v>
      </c>
      <c r="E871" s="8" t="s">
        <v>2585</v>
      </c>
      <c r="F871" s="27" t="s">
        <v>2555</v>
      </c>
    </row>
    <row r="872">
      <c r="A872" s="9" t="s">
        <v>89</v>
      </c>
      <c r="B872" s="9" t="s">
        <v>1046</v>
      </c>
      <c r="C872" s="8" t="s">
        <v>80</v>
      </c>
      <c r="D872" s="14" t="s">
        <v>2033</v>
      </c>
      <c r="E872" s="8" t="s">
        <v>2554</v>
      </c>
      <c r="F872" s="27" t="s">
        <v>2568</v>
      </c>
    </row>
    <row r="873">
      <c r="A873" s="9" t="s">
        <v>377</v>
      </c>
      <c r="B873" s="9" t="s">
        <v>378</v>
      </c>
      <c r="C873" s="8" t="s">
        <v>122</v>
      </c>
      <c r="D873" s="14" t="s">
        <v>338</v>
      </c>
      <c r="E873" s="8" t="s">
        <v>2554</v>
      </c>
      <c r="F873" s="27" t="s">
        <v>2639</v>
      </c>
    </row>
    <row r="874">
      <c r="A874" s="9" t="s">
        <v>377</v>
      </c>
      <c r="B874" s="9" t="s">
        <v>710</v>
      </c>
      <c r="C874" s="8" t="s">
        <v>141</v>
      </c>
      <c r="D874" s="14" t="s">
        <v>631</v>
      </c>
      <c r="E874" s="8" t="s">
        <v>2560</v>
      </c>
      <c r="F874" s="27" t="s">
        <v>2579</v>
      </c>
    </row>
    <row r="875">
      <c r="A875" s="9" t="s">
        <v>377</v>
      </c>
      <c r="B875" s="9" t="s">
        <v>1624</v>
      </c>
      <c r="C875" s="8" t="s">
        <v>192</v>
      </c>
      <c r="D875" s="14" t="s">
        <v>2296</v>
      </c>
      <c r="E875" s="8" t="s">
        <v>2584</v>
      </c>
      <c r="F875" s="27" t="s">
        <v>2573</v>
      </c>
    </row>
    <row r="876">
      <c r="A876" s="18" t="s">
        <v>2473</v>
      </c>
      <c r="B876" s="18" t="s">
        <v>2474</v>
      </c>
      <c r="C876" s="8" t="s">
        <v>65</v>
      </c>
      <c r="D876" s="14" t="s">
        <v>2459</v>
      </c>
      <c r="E876" s="8" t="s">
        <v>2600</v>
      </c>
      <c r="F876" s="27" t="s">
        <v>2553</v>
      </c>
    </row>
    <row r="877">
      <c r="A877" s="9" t="s">
        <v>1468</v>
      </c>
      <c r="B877" s="9" t="s">
        <v>399</v>
      </c>
      <c r="C877" s="8" t="s">
        <v>149</v>
      </c>
      <c r="D877" s="14" t="s">
        <v>1352</v>
      </c>
      <c r="E877" s="8" t="s">
        <v>2610</v>
      </c>
      <c r="F877" s="27" t="s">
        <v>2583</v>
      </c>
    </row>
    <row r="878">
      <c r="A878" s="9" t="s">
        <v>1469</v>
      </c>
      <c r="B878" s="9" t="s">
        <v>301</v>
      </c>
      <c r="C878" s="8" t="s">
        <v>186</v>
      </c>
      <c r="D878" s="14" t="s">
        <v>1352</v>
      </c>
      <c r="E878" s="8" t="s">
        <v>2582</v>
      </c>
      <c r="F878" s="27" t="s">
        <v>2609</v>
      </c>
    </row>
    <row r="879">
      <c r="A879" s="9" t="s">
        <v>2354</v>
      </c>
      <c r="B879" s="9" t="s">
        <v>273</v>
      </c>
      <c r="C879" s="8" t="s">
        <v>16</v>
      </c>
      <c r="D879" s="14" t="s">
        <v>2296</v>
      </c>
      <c r="E879" s="8" t="s">
        <v>2582</v>
      </c>
      <c r="F879" s="27" t="s">
        <v>2565</v>
      </c>
    </row>
    <row r="880">
      <c r="A880" s="18" t="s">
        <v>2123</v>
      </c>
      <c r="B880" s="18" t="s">
        <v>814</v>
      </c>
      <c r="C880" s="8" t="s">
        <v>141</v>
      </c>
      <c r="D880" s="14" t="s">
        <v>2033</v>
      </c>
      <c r="E880" s="8" t="s">
        <v>2577</v>
      </c>
      <c r="F880" s="27" t="s">
        <v>2626</v>
      </c>
    </row>
    <row r="881">
      <c r="A881" s="9" t="s">
        <v>1829</v>
      </c>
      <c r="B881" s="9" t="s">
        <v>1830</v>
      </c>
      <c r="C881" s="8" t="s">
        <v>65</v>
      </c>
      <c r="D881" s="14" t="s">
        <v>1679</v>
      </c>
      <c r="E881" s="18" t="s">
        <v>2556</v>
      </c>
      <c r="F881" s="27" t="s">
        <v>2576</v>
      </c>
    </row>
    <row r="882">
      <c r="A882" s="9" t="s">
        <v>1828</v>
      </c>
      <c r="B882" s="9" t="s">
        <v>172</v>
      </c>
      <c r="C882" s="8" t="s">
        <v>93</v>
      </c>
      <c r="D882" s="14" t="s">
        <v>1679</v>
      </c>
      <c r="E882" s="8" t="s">
        <v>2593</v>
      </c>
      <c r="F882" s="27" t="s">
        <v>2612</v>
      </c>
    </row>
    <row r="883">
      <c r="A883" s="9" t="s">
        <v>115</v>
      </c>
      <c r="B883" s="9" t="s">
        <v>88</v>
      </c>
      <c r="C883" s="8" t="s">
        <v>12</v>
      </c>
      <c r="D883" s="14" t="s">
        <v>108</v>
      </c>
      <c r="E883" s="8" t="s">
        <v>2587</v>
      </c>
      <c r="F883" s="27" t="s">
        <v>2590</v>
      </c>
    </row>
    <row r="884">
      <c r="A884" s="9" t="s">
        <v>935</v>
      </c>
      <c r="B884" s="9" t="s">
        <v>936</v>
      </c>
      <c r="C884" s="8" t="s">
        <v>149</v>
      </c>
      <c r="D884" s="14" t="s">
        <v>837</v>
      </c>
      <c r="E884" s="8" t="s">
        <v>2593</v>
      </c>
      <c r="F884" s="27" t="s">
        <v>2588</v>
      </c>
    </row>
    <row r="885">
      <c r="A885" s="9" t="s">
        <v>1187</v>
      </c>
      <c r="B885" s="9" t="s">
        <v>1470</v>
      </c>
      <c r="C885" s="8" t="s">
        <v>46</v>
      </c>
      <c r="D885" s="14" t="s">
        <v>1352</v>
      </c>
      <c r="E885" s="8" t="s">
        <v>2577</v>
      </c>
      <c r="F885" s="27" t="s">
        <v>2609</v>
      </c>
    </row>
    <row r="886">
      <c r="A886" s="9" t="s">
        <v>1187</v>
      </c>
      <c r="B886" s="9" t="s">
        <v>301</v>
      </c>
      <c r="C886" s="8" t="s">
        <v>93</v>
      </c>
      <c r="D886" s="14" t="s">
        <v>1070</v>
      </c>
      <c r="E886" s="8" t="s">
        <v>2564</v>
      </c>
      <c r="F886" s="27" t="s">
        <v>2563</v>
      </c>
    </row>
    <row r="887">
      <c r="A887" s="18" t="s">
        <v>528</v>
      </c>
      <c r="B887" s="18" t="s">
        <v>529</v>
      </c>
      <c r="C887" s="8" t="s">
        <v>93</v>
      </c>
      <c r="D887" s="14" t="s">
        <v>459</v>
      </c>
      <c r="E887" s="8" t="s">
        <v>2584</v>
      </c>
      <c r="F887" s="27" t="s">
        <v>2602</v>
      </c>
    </row>
    <row r="888">
      <c r="A888" s="9" t="s">
        <v>1471</v>
      </c>
      <c r="B888" s="9" t="s">
        <v>914</v>
      </c>
      <c r="C888" s="8" t="s">
        <v>215</v>
      </c>
      <c r="D888" s="14" t="s">
        <v>1352</v>
      </c>
      <c r="E888" s="8" t="s">
        <v>2574</v>
      </c>
      <c r="F888" s="27" t="s">
        <v>2563</v>
      </c>
    </row>
    <row r="889">
      <c r="A889" s="9" t="s">
        <v>1471</v>
      </c>
      <c r="B889" s="9" t="s">
        <v>2124</v>
      </c>
      <c r="C889" s="8" t="s">
        <v>75</v>
      </c>
      <c r="D889" s="14" t="s">
        <v>2033</v>
      </c>
      <c r="E889" s="8" t="s">
        <v>2603</v>
      </c>
      <c r="F889" s="27" t="s">
        <v>2579</v>
      </c>
    </row>
    <row r="890">
      <c r="A890" s="9" t="s">
        <v>530</v>
      </c>
      <c r="B890" s="9" t="s">
        <v>494</v>
      </c>
      <c r="C890" s="8" t="s">
        <v>93</v>
      </c>
      <c r="D890" s="14" t="s">
        <v>459</v>
      </c>
      <c r="E890" s="8" t="s">
        <v>2572</v>
      </c>
      <c r="F890" s="27" t="s">
        <v>2596</v>
      </c>
    </row>
    <row r="891">
      <c r="A891" s="9" t="s">
        <v>2125</v>
      </c>
      <c r="B891" s="9" t="s">
        <v>441</v>
      </c>
      <c r="C891" s="8" t="s">
        <v>132</v>
      </c>
      <c r="D891" s="14" t="s">
        <v>2033</v>
      </c>
      <c r="E891" s="8" t="s">
        <v>2574</v>
      </c>
      <c r="F891" s="27" t="s">
        <v>2569</v>
      </c>
    </row>
    <row r="892">
      <c r="A892" s="9" t="s">
        <v>711</v>
      </c>
      <c r="B892" s="9" t="s">
        <v>712</v>
      </c>
      <c r="C892" s="8" t="s">
        <v>192</v>
      </c>
      <c r="D892" s="14" t="s">
        <v>631</v>
      </c>
      <c r="E892" s="8" t="s">
        <v>2614</v>
      </c>
      <c r="F892" s="27" t="s">
        <v>2602</v>
      </c>
    </row>
    <row r="893">
      <c r="A893" s="9" t="s">
        <v>711</v>
      </c>
      <c r="B893" s="9" t="s">
        <v>850</v>
      </c>
      <c r="C893" s="8" t="s">
        <v>215</v>
      </c>
      <c r="D893" s="14" t="s">
        <v>1070</v>
      </c>
      <c r="E893" s="8" t="s">
        <v>2562</v>
      </c>
      <c r="F893" s="27" t="s">
        <v>2563</v>
      </c>
    </row>
    <row r="894">
      <c r="A894" s="9" t="s">
        <v>1831</v>
      </c>
      <c r="B894" s="9" t="s">
        <v>249</v>
      </c>
      <c r="C894" s="8" t="s">
        <v>122</v>
      </c>
      <c r="D894" s="14" t="s">
        <v>1679</v>
      </c>
      <c r="E894" s="8" t="s">
        <v>2564</v>
      </c>
      <c r="F894" s="27" t="s">
        <v>2594</v>
      </c>
    </row>
    <row r="895">
      <c r="A895" s="9" t="s">
        <v>1188</v>
      </c>
      <c r="B895" s="9" t="s">
        <v>441</v>
      </c>
      <c r="C895" s="8" t="s">
        <v>16</v>
      </c>
      <c r="D895" s="14" t="s">
        <v>1070</v>
      </c>
      <c r="E895" s="8" t="s">
        <v>2574</v>
      </c>
      <c r="F895" s="27" t="s">
        <v>2617</v>
      </c>
    </row>
    <row r="896">
      <c r="A896" s="9" t="s">
        <v>531</v>
      </c>
      <c r="B896" s="9" t="s">
        <v>532</v>
      </c>
      <c r="C896" s="8" t="s">
        <v>38</v>
      </c>
      <c r="D896" s="14" t="s">
        <v>459</v>
      </c>
      <c r="E896" s="8" t="s">
        <v>2593</v>
      </c>
      <c r="F896" s="27" t="s">
        <v>2633</v>
      </c>
    </row>
    <row r="897">
      <c r="A897" s="9" t="s">
        <v>1832</v>
      </c>
      <c r="B897" s="9" t="s">
        <v>197</v>
      </c>
      <c r="C897" s="8" t="s">
        <v>24</v>
      </c>
      <c r="D897" s="14" t="s">
        <v>1679</v>
      </c>
      <c r="E897" s="8" t="s">
        <v>2572</v>
      </c>
      <c r="F897" s="27" t="s">
        <v>2576</v>
      </c>
    </row>
    <row r="898">
      <c r="A898" s="9" t="s">
        <v>1189</v>
      </c>
      <c r="B898" s="9" t="s">
        <v>1190</v>
      </c>
      <c r="C898" s="8" t="s">
        <v>24</v>
      </c>
      <c r="D898" s="14" t="s">
        <v>1070</v>
      </c>
      <c r="E898" s="8" t="s">
        <v>2574</v>
      </c>
      <c r="F898" s="27" t="s">
        <v>2555</v>
      </c>
    </row>
    <row r="899">
      <c r="A899" s="9" t="s">
        <v>937</v>
      </c>
      <c r="B899" s="9" t="s">
        <v>1338</v>
      </c>
      <c r="C899" s="8" t="s">
        <v>70</v>
      </c>
      <c r="D899" s="14" t="s">
        <v>2296</v>
      </c>
      <c r="E899" s="8" t="s">
        <v>2593</v>
      </c>
      <c r="F899" s="27" t="s">
        <v>2565</v>
      </c>
    </row>
    <row r="900">
      <c r="A900" s="18" t="s">
        <v>937</v>
      </c>
      <c r="B900" s="18" t="s">
        <v>1192</v>
      </c>
      <c r="C900" s="8" t="s">
        <v>70</v>
      </c>
      <c r="D900" s="14" t="s">
        <v>1070</v>
      </c>
      <c r="E900" s="8" t="s">
        <v>2560</v>
      </c>
      <c r="F900" s="27" t="s">
        <v>2609</v>
      </c>
    </row>
    <row r="901">
      <c r="A901" s="9" t="s">
        <v>937</v>
      </c>
      <c r="B901" s="9" t="s">
        <v>2355</v>
      </c>
      <c r="C901" s="8" t="s">
        <v>65</v>
      </c>
      <c r="D901" s="14" t="s">
        <v>2296</v>
      </c>
      <c r="E901" s="8" t="s">
        <v>2560</v>
      </c>
      <c r="F901" s="27" t="s">
        <v>2594</v>
      </c>
    </row>
    <row r="902">
      <c r="A902" s="9" t="s">
        <v>937</v>
      </c>
      <c r="B902" s="9" t="s">
        <v>938</v>
      </c>
      <c r="C902" s="8" t="s">
        <v>149</v>
      </c>
      <c r="D902" s="14" t="s">
        <v>837</v>
      </c>
      <c r="E902" s="8" t="s">
        <v>2562</v>
      </c>
      <c r="F902" s="27" t="s">
        <v>2555</v>
      </c>
    </row>
    <row r="903">
      <c r="A903" s="9" t="s">
        <v>937</v>
      </c>
      <c r="B903" s="9" t="s">
        <v>1833</v>
      </c>
      <c r="C903" s="8" t="s">
        <v>192</v>
      </c>
      <c r="D903" s="14" t="s">
        <v>1679</v>
      </c>
      <c r="E903" s="8" t="s">
        <v>2610</v>
      </c>
      <c r="F903" s="27" t="s">
        <v>2576</v>
      </c>
    </row>
    <row r="904">
      <c r="A904" s="9" t="s">
        <v>1834</v>
      </c>
      <c r="B904" s="9" t="s">
        <v>865</v>
      </c>
      <c r="C904" s="8" t="s">
        <v>215</v>
      </c>
      <c r="D904" s="14" t="s">
        <v>1679</v>
      </c>
      <c r="E904" s="8" t="s">
        <v>2595</v>
      </c>
      <c r="F904" s="27" t="s">
        <v>2602</v>
      </c>
    </row>
    <row r="905">
      <c r="A905" s="18" t="s">
        <v>1191</v>
      </c>
      <c r="B905" s="18" t="s">
        <v>269</v>
      </c>
      <c r="C905" s="8" t="s">
        <v>192</v>
      </c>
      <c r="D905" s="14" t="s">
        <v>1070</v>
      </c>
      <c r="E905" s="8" t="s">
        <v>2562</v>
      </c>
      <c r="F905" s="27" t="s">
        <v>2594</v>
      </c>
    </row>
    <row r="906">
      <c r="A906" s="9" t="s">
        <v>116</v>
      </c>
      <c r="B906" s="9" t="s">
        <v>117</v>
      </c>
      <c r="C906" s="8" t="s">
        <v>16</v>
      </c>
      <c r="D906" s="14" t="s">
        <v>108</v>
      </c>
      <c r="E906" s="8" t="s">
        <v>2183</v>
      </c>
      <c r="F906" s="27" t="s">
        <v>2580</v>
      </c>
    </row>
    <row r="907">
      <c r="A907" s="9" t="s">
        <v>1472</v>
      </c>
      <c r="B907" s="9" t="s">
        <v>62</v>
      </c>
      <c r="C907" s="8" t="s">
        <v>24</v>
      </c>
      <c r="D907" s="14" t="s">
        <v>1352</v>
      </c>
      <c r="E907" s="8" t="s">
        <v>2560</v>
      </c>
      <c r="F907" s="27" t="s">
        <v>18</v>
      </c>
    </row>
    <row r="908">
      <c r="A908" s="9" t="s">
        <v>637</v>
      </c>
      <c r="B908" s="9" t="s">
        <v>1473</v>
      </c>
      <c r="C908" s="8" t="s">
        <v>70</v>
      </c>
      <c r="D908" s="14" t="s">
        <v>1352</v>
      </c>
      <c r="E908" s="8" t="s">
        <v>2621</v>
      </c>
      <c r="F908" s="27" t="s">
        <v>2578</v>
      </c>
    </row>
    <row r="909">
      <c r="A909" s="9" t="s">
        <v>637</v>
      </c>
      <c r="B909" s="9" t="s">
        <v>1380</v>
      </c>
      <c r="C909" s="8" t="s">
        <v>24</v>
      </c>
      <c r="D909" s="14" t="s">
        <v>1679</v>
      </c>
      <c r="E909" s="8" t="s">
        <v>2572</v>
      </c>
      <c r="F909" s="27" t="s">
        <v>2633</v>
      </c>
    </row>
    <row r="910">
      <c r="A910" s="9" t="s">
        <v>637</v>
      </c>
      <c r="B910" s="9" t="s">
        <v>1317</v>
      </c>
      <c r="C910" s="8" t="s">
        <v>215</v>
      </c>
      <c r="D910" s="14" t="s">
        <v>1352</v>
      </c>
      <c r="E910" s="8" t="s">
        <v>2575</v>
      </c>
      <c r="F910" s="27" t="s">
        <v>2601</v>
      </c>
    </row>
    <row r="911">
      <c r="A911" s="9" t="s">
        <v>2126</v>
      </c>
      <c r="B911" s="9" t="s">
        <v>1046</v>
      </c>
      <c r="C911" s="8" t="s">
        <v>75</v>
      </c>
      <c r="D911" s="14" t="s">
        <v>2033</v>
      </c>
      <c r="E911" s="8" t="s">
        <v>2566</v>
      </c>
      <c r="F911" s="27" t="s">
        <v>2590</v>
      </c>
    </row>
    <row r="912">
      <c r="A912" s="9" t="s">
        <v>2127</v>
      </c>
      <c r="B912" s="9" t="s">
        <v>2128</v>
      </c>
      <c r="C912" s="8" t="s">
        <v>24</v>
      </c>
      <c r="D912" s="14" t="s">
        <v>2033</v>
      </c>
      <c r="E912" s="8" t="s">
        <v>2560</v>
      </c>
      <c r="F912" s="27" t="s">
        <v>2571</v>
      </c>
    </row>
    <row r="913">
      <c r="A913" s="9" t="s">
        <v>2127</v>
      </c>
      <c r="B913" s="9" t="s">
        <v>1633</v>
      </c>
      <c r="C913" s="8" t="s">
        <v>93</v>
      </c>
      <c r="D913" s="14" t="s">
        <v>2033</v>
      </c>
      <c r="E913" s="8" t="s">
        <v>2584</v>
      </c>
      <c r="F913" s="27" t="s">
        <v>2576</v>
      </c>
    </row>
    <row r="914">
      <c r="A914" s="9" t="s">
        <v>1193</v>
      </c>
      <c r="B914" s="9" t="s">
        <v>1194</v>
      </c>
      <c r="C914" s="8" t="s">
        <v>122</v>
      </c>
      <c r="D914" s="14" t="s">
        <v>1070</v>
      </c>
      <c r="E914" s="8" t="s">
        <v>2564</v>
      </c>
      <c r="F914" s="27" t="s">
        <v>2622</v>
      </c>
    </row>
    <row r="915">
      <c r="A915" s="9" t="s">
        <v>1195</v>
      </c>
      <c r="B915" s="9" t="s">
        <v>712</v>
      </c>
      <c r="C915" s="8" t="s">
        <v>24</v>
      </c>
      <c r="D915" s="14" t="s">
        <v>1070</v>
      </c>
      <c r="E915" s="8" t="s">
        <v>2620</v>
      </c>
      <c r="F915" s="27" t="s">
        <v>2553</v>
      </c>
    </row>
    <row r="916">
      <c r="A916" s="9" t="s">
        <v>1196</v>
      </c>
      <c r="B916" s="9" t="s">
        <v>1197</v>
      </c>
      <c r="C916" s="8" t="s">
        <v>186</v>
      </c>
      <c r="D916" s="14" t="s">
        <v>1070</v>
      </c>
      <c r="E916" s="8" t="s">
        <v>2560</v>
      </c>
      <c r="F916" s="27" t="s">
        <v>2583</v>
      </c>
    </row>
    <row r="917">
      <c r="A917" s="9" t="s">
        <v>379</v>
      </c>
      <c r="B917" s="9" t="s">
        <v>52</v>
      </c>
      <c r="C917" s="8" t="s">
        <v>215</v>
      </c>
      <c r="D917" s="14" t="s">
        <v>338</v>
      </c>
      <c r="E917" s="8" t="s">
        <v>2577</v>
      </c>
      <c r="F917" s="27" t="s">
        <v>2633</v>
      </c>
    </row>
    <row r="918">
      <c r="A918" s="9" t="s">
        <v>533</v>
      </c>
      <c r="B918" s="9" t="s">
        <v>534</v>
      </c>
      <c r="C918" s="8" t="s">
        <v>138</v>
      </c>
      <c r="D918" s="14" t="s">
        <v>459</v>
      </c>
      <c r="E918" s="8" t="s">
        <v>2605</v>
      </c>
      <c r="F918" s="27" t="s">
        <v>2604</v>
      </c>
    </row>
    <row r="919">
      <c r="A919" s="9" t="s">
        <v>533</v>
      </c>
      <c r="B919" s="9" t="s">
        <v>263</v>
      </c>
      <c r="C919" s="8" t="s">
        <v>186</v>
      </c>
      <c r="D919" s="14" t="s">
        <v>837</v>
      </c>
      <c r="E919" s="18" t="s">
        <v>2589</v>
      </c>
      <c r="F919" s="27" t="s">
        <v>2607</v>
      </c>
    </row>
    <row r="920">
      <c r="A920" s="9" t="s">
        <v>1198</v>
      </c>
      <c r="B920" s="9" t="s">
        <v>676</v>
      </c>
      <c r="C920" s="8" t="s">
        <v>24</v>
      </c>
      <c r="D920" s="14" t="s">
        <v>1070</v>
      </c>
      <c r="E920" s="8" t="s">
        <v>2593</v>
      </c>
      <c r="F920" s="27" t="s">
        <v>2608</v>
      </c>
    </row>
    <row r="921">
      <c r="A921" s="9" t="s">
        <v>1835</v>
      </c>
      <c r="B921" s="9" t="s">
        <v>1786</v>
      </c>
      <c r="C921" s="8" t="s">
        <v>65</v>
      </c>
      <c r="D921" s="14" t="s">
        <v>1679</v>
      </c>
      <c r="E921" s="8" t="s">
        <v>2615</v>
      </c>
      <c r="F921" s="27" t="s">
        <v>2602</v>
      </c>
    </row>
    <row r="922">
      <c r="A922" s="18" t="s">
        <v>535</v>
      </c>
      <c r="B922" s="18" t="s">
        <v>536</v>
      </c>
      <c r="C922" s="8" t="s">
        <v>59</v>
      </c>
      <c r="D922" s="14" t="s">
        <v>459</v>
      </c>
      <c r="E922" s="8" t="s">
        <v>2600</v>
      </c>
      <c r="F922" s="27" t="s">
        <v>2578</v>
      </c>
    </row>
    <row r="923">
      <c r="A923" s="9" t="s">
        <v>1474</v>
      </c>
      <c r="B923" s="9" t="s">
        <v>349</v>
      </c>
      <c r="C923" s="8" t="s">
        <v>24</v>
      </c>
      <c r="D923" s="14" t="s">
        <v>1352</v>
      </c>
      <c r="E923" s="8" t="s">
        <v>2552</v>
      </c>
      <c r="F923" s="27" t="s">
        <v>2568</v>
      </c>
    </row>
    <row r="924">
      <c r="A924" s="18" t="s">
        <v>537</v>
      </c>
      <c r="B924" s="18" t="s">
        <v>912</v>
      </c>
      <c r="C924" s="8" t="s">
        <v>215</v>
      </c>
      <c r="D924" s="14" t="s">
        <v>2033</v>
      </c>
      <c r="E924" s="8" t="s">
        <v>2566</v>
      </c>
      <c r="F924" s="27" t="s">
        <v>2553</v>
      </c>
    </row>
    <row r="925">
      <c r="A925" s="9" t="s">
        <v>537</v>
      </c>
      <c r="B925" s="9" t="s">
        <v>157</v>
      </c>
      <c r="C925" s="8" t="s">
        <v>70</v>
      </c>
      <c r="D925" s="14" t="s">
        <v>2033</v>
      </c>
      <c r="E925" s="8" t="s">
        <v>2598</v>
      </c>
      <c r="F925" s="27" t="s">
        <v>2555</v>
      </c>
    </row>
    <row r="926">
      <c r="A926" s="9" t="s">
        <v>537</v>
      </c>
      <c r="B926" s="9" t="s">
        <v>2129</v>
      </c>
      <c r="C926" s="8" t="s">
        <v>80</v>
      </c>
      <c r="D926" s="14" t="s">
        <v>2033</v>
      </c>
      <c r="E926" s="8" t="s">
        <v>2603</v>
      </c>
      <c r="F926" s="27" t="s">
        <v>2568</v>
      </c>
    </row>
    <row r="927">
      <c r="A927" s="9" t="s">
        <v>537</v>
      </c>
      <c r="B927" s="9" t="s">
        <v>714</v>
      </c>
      <c r="C927" s="8" t="s">
        <v>93</v>
      </c>
      <c r="D927" s="14" t="s">
        <v>2296</v>
      </c>
      <c r="E927" s="8" t="s">
        <v>2552</v>
      </c>
      <c r="F927" s="27" t="s">
        <v>2573</v>
      </c>
    </row>
    <row r="928">
      <c r="A928" s="9" t="s">
        <v>537</v>
      </c>
      <c r="B928" s="9" t="s">
        <v>301</v>
      </c>
      <c r="C928" s="8" t="s">
        <v>24</v>
      </c>
      <c r="D928" s="14" t="s">
        <v>459</v>
      </c>
      <c r="E928" s="8" t="s">
        <v>2595</v>
      </c>
      <c r="F928" s="27" t="s">
        <v>2586</v>
      </c>
    </row>
    <row r="929">
      <c r="A929" s="9" t="s">
        <v>537</v>
      </c>
      <c r="B929" s="9" t="s">
        <v>1883</v>
      </c>
      <c r="C929" s="8" t="s">
        <v>70</v>
      </c>
      <c r="D929" s="14" t="s">
        <v>2459</v>
      </c>
      <c r="E929" s="8" t="s">
        <v>2575</v>
      </c>
      <c r="F929" s="27" t="s">
        <v>2591</v>
      </c>
    </row>
    <row r="930">
      <c r="A930" s="9" t="s">
        <v>537</v>
      </c>
      <c r="B930" s="9" t="s">
        <v>939</v>
      </c>
      <c r="C930" s="8" t="s">
        <v>149</v>
      </c>
      <c r="D930" s="14" t="s">
        <v>837</v>
      </c>
      <c r="E930" s="8" t="s">
        <v>2552</v>
      </c>
      <c r="F930" s="27" t="s">
        <v>2576</v>
      </c>
    </row>
    <row r="931">
      <c r="A931" s="9" t="s">
        <v>537</v>
      </c>
      <c r="B931" s="9" t="s">
        <v>538</v>
      </c>
      <c r="C931" s="8" t="s">
        <v>16</v>
      </c>
      <c r="D931" s="14" t="s">
        <v>459</v>
      </c>
      <c r="E931" s="8" t="s">
        <v>2595</v>
      </c>
      <c r="F931" s="27" t="s">
        <v>2618</v>
      </c>
    </row>
    <row r="932">
      <c r="A932" s="9" t="s">
        <v>537</v>
      </c>
      <c r="B932" s="9" t="s">
        <v>713</v>
      </c>
      <c r="C932" s="8" t="s">
        <v>93</v>
      </c>
      <c r="D932" s="14" t="s">
        <v>631</v>
      </c>
      <c r="E932" s="8" t="s">
        <v>2593</v>
      </c>
      <c r="F932" s="27" t="s">
        <v>2573</v>
      </c>
    </row>
    <row r="933">
      <c r="A933" s="9" t="s">
        <v>537</v>
      </c>
      <c r="B933" s="9" t="s">
        <v>2475</v>
      </c>
      <c r="C933" s="8" t="s">
        <v>122</v>
      </c>
      <c r="D933" s="14" t="s">
        <v>2459</v>
      </c>
      <c r="E933" s="8" t="s">
        <v>2614</v>
      </c>
      <c r="F933" s="27" t="s">
        <v>2565</v>
      </c>
    </row>
    <row r="934">
      <c r="A934" s="9" t="s">
        <v>537</v>
      </c>
      <c r="B934" s="9" t="s">
        <v>867</v>
      </c>
      <c r="C934" s="8" t="s">
        <v>65</v>
      </c>
      <c r="D934" s="14" t="s">
        <v>1352</v>
      </c>
      <c r="E934" s="8" t="s">
        <v>2183</v>
      </c>
      <c r="F934" s="27" t="s">
        <v>2636</v>
      </c>
    </row>
    <row r="935">
      <c r="A935" s="9" t="s">
        <v>1836</v>
      </c>
      <c r="B935" s="9" t="s">
        <v>1131</v>
      </c>
      <c r="C935" s="8" t="s">
        <v>75</v>
      </c>
      <c r="D935" s="14" t="s">
        <v>1679</v>
      </c>
      <c r="E935" s="8" t="s">
        <v>2581</v>
      </c>
      <c r="F935" s="27" t="s">
        <v>2569</v>
      </c>
    </row>
    <row r="936">
      <c r="A936" s="9" t="s">
        <v>1837</v>
      </c>
      <c r="B936" s="9" t="s">
        <v>1838</v>
      </c>
      <c r="C936" s="8" t="s">
        <v>70</v>
      </c>
      <c r="D936" s="14" t="s">
        <v>1679</v>
      </c>
      <c r="E936" s="8" t="s">
        <v>2615</v>
      </c>
      <c r="F936" s="27" t="s">
        <v>2579</v>
      </c>
    </row>
    <row r="937">
      <c r="A937" s="9" t="s">
        <v>539</v>
      </c>
      <c r="B937" s="9" t="s">
        <v>183</v>
      </c>
      <c r="C937" s="8" t="s">
        <v>93</v>
      </c>
      <c r="D937" s="14" t="s">
        <v>1352</v>
      </c>
      <c r="E937" s="8" t="s">
        <v>2577</v>
      </c>
      <c r="F937" s="27" t="s">
        <v>2607</v>
      </c>
    </row>
    <row r="938">
      <c r="A938" s="18" t="s">
        <v>539</v>
      </c>
      <c r="B938" s="18" t="s">
        <v>540</v>
      </c>
      <c r="C938" s="8" t="s">
        <v>65</v>
      </c>
      <c r="D938" s="14" t="s">
        <v>459</v>
      </c>
      <c r="E938" s="8" t="s">
        <v>2567</v>
      </c>
      <c r="F938" s="27" t="s">
        <v>2616</v>
      </c>
    </row>
    <row r="939">
      <c r="A939" s="9" t="s">
        <v>2356</v>
      </c>
      <c r="B939" s="9" t="s">
        <v>2357</v>
      </c>
      <c r="C939" s="8" t="s">
        <v>70</v>
      </c>
      <c r="D939" s="14" t="s">
        <v>2296</v>
      </c>
      <c r="E939" s="8" t="s">
        <v>2567</v>
      </c>
      <c r="F939" s="27" t="s">
        <v>2590</v>
      </c>
    </row>
    <row r="940">
      <c r="A940" s="9" t="s">
        <v>940</v>
      </c>
      <c r="B940" s="9" t="s">
        <v>212</v>
      </c>
      <c r="C940" s="8" t="s">
        <v>59</v>
      </c>
      <c r="D940" s="14" t="s">
        <v>837</v>
      </c>
      <c r="E940" s="8" t="s">
        <v>2183</v>
      </c>
      <c r="F940" s="27" t="s">
        <v>2590</v>
      </c>
    </row>
    <row r="941">
      <c r="A941" s="18" t="s">
        <v>2358</v>
      </c>
      <c r="B941" s="18" t="s">
        <v>491</v>
      </c>
      <c r="C941" s="8" t="s">
        <v>24</v>
      </c>
      <c r="D941" s="14" t="s">
        <v>2296</v>
      </c>
      <c r="E941" s="8" t="s">
        <v>2554</v>
      </c>
      <c r="F941" s="27" t="s">
        <v>2590</v>
      </c>
    </row>
    <row r="942">
      <c r="A942" s="9" t="s">
        <v>1839</v>
      </c>
      <c r="B942" s="9" t="s">
        <v>1840</v>
      </c>
      <c r="C942" s="8" t="s">
        <v>65</v>
      </c>
      <c r="D942" s="14" t="s">
        <v>1679</v>
      </c>
      <c r="E942" s="8" t="s">
        <v>2593</v>
      </c>
      <c r="F942" s="27" t="s">
        <v>2579</v>
      </c>
    </row>
    <row r="943">
      <c r="A943" s="9" t="s">
        <v>274</v>
      </c>
      <c r="B943" s="9" t="s">
        <v>275</v>
      </c>
      <c r="C943" s="8" t="s">
        <v>65</v>
      </c>
      <c r="D943" s="14" t="s">
        <v>237</v>
      </c>
      <c r="E943" s="8" t="s">
        <v>2574</v>
      </c>
      <c r="F943" s="27" t="s">
        <v>2590</v>
      </c>
    </row>
    <row r="944">
      <c r="A944" s="9" t="s">
        <v>274</v>
      </c>
      <c r="B944" s="9" t="s">
        <v>119</v>
      </c>
      <c r="C944" s="8" t="s">
        <v>16</v>
      </c>
      <c r="D944" s="14" t="s">
        <v>1070</v>
      </c>
      <c r="E944" s="8" t="s">
        <v>2620</v>
      </c>
      <c r="F944" s="27" t="s">
        <v>2606</v>
      </c>
    </row>
    <row r="945">
      <c r="A945" s="9" t="s">
        <v>1475</v>
      </c>
      <c r="B945" s="9" t="s">
        <v>285</v>
      </c>
      <c r="C945" s="8" t="s">
        <v>24</v>
      </c>
      <c r="D945" s="14" t="s">
        <v>1352</v>
      </c>
      <c r="E945" s="8" t="s">
        <v>2585</v>
      </c>
      <c r="F945" s="27" t="s">
        <v>18</v>
      </c>
    </row>
    <row r="946">
      <c r="A946" s="9" t="s">
        <v>2130</v>
      </c>
      <c r="B946" s="9" t="s">
        <v>349</v>
      </c>
      <c r="C946" s="8" t="s">
        <v>186</v>
      </c>
      <c r="D946" s="14" t="s">
        <v>2033</v>
      </c>
      <c r="E946" s="8" t="s">
        <v>2582</v>
      </c>
      <c r="F946" s="27" t="s">
        <v>2579</v>
      </c>
    </row>
    <row r="947">
      <c r="A947" s="9" t="s">
        <v>1476</v>
      </c>
      <c r="B947" s="9" t="s">
        <v>1046</v>
      </c>
      <c r="C947" s="8" t="s">
        <v>149</v>
      </c>
      <c r="D947" s="14" t="s">
        <v>1352</v>
      </c>
      <c r="E947" s="18" t="s">
        <v>2589</v>
      </c>
      <c r="F947" s="27" t="s">
        <v>2570</v>
      </c>
    </row>
    <row r="948">
      <c r="A948" s="9" t="s">
        <v>2131</v>
      </c>
      <c r="B948" s="9" t="s">
        <v>2132</v>
      </c>
      <c r="C948" s="8" t="s">
        <v>93</v>
      </c>
      <c r="D948" s="14" t="s">
        <v>2033</v>
      </c>
      <c r="E948" s="8" t="s">
        <v>2620</v>
      </c>
      <c r="F948" s="27" t="s">
        <v>2570</v>
      </c>
    </row>
    <row r="949">
      <c r="A949" s="9" t="s">
        <v>2133</v>
      </c>
      <c r="B949" s="9" t="s">
        <v>712</v>
      </c>
      <c r="C949" s="8" t="s">
        <v>53</v>
      </c>
      <c r="D949" s="14" t="s">
        <v>2033</v>
      </c>
      <c r="E949" s="8" t="s">
        <v>2620</v>
      </c>
      <c r="F949" s="27" t="s">
        <v>2594</v>
      </c>
    </row>
    <row r="950">
      <c r="A950" s="9" t="s">
        <v>1477</v>
      </c>
      <c r="B950" s="9" t="s">
        <v>381</v>
      </c>
      <c r="C950" s="8" t="s">
        <v>53</v>
      </c>
      <c r="D950" s="14" t="s">
        <v>2033</v>
      </c>
      <c r="E950" s="8" t="s">
        <v>2620</v>
      </c>
      <c r="F950" s="27" t="s">
        <v>2563</v>
      </c>
    </row>
    <row r="951">
      <c r="A951" s="9" t="s">
        <v>1477</v>
      </c>
      <c r="B951" s="9" t="s">
        <v>163</v>
      </c>
      <c r="C951" s="8" t="s">
        <v>65</v>
      </c>
      <c r="D951" s="14" t="s">
        <v>1352</v>
      </c>
      <c r="E951" s="8" t="s">
        <v>2564</v>
      </c>
      <c r="F951" s="27" t="s">
        <v>2573</v>
      </c>
    </row>
    <row r="952">
      <c r="A952" s="9" t="s">
        <v>1478</v>
      </c>
      <c r="B952" s="9" t="s">
        <v>1479</v>
      </c>
      <c r="C952" s="8" t="s">
        <v>24</v>
      </c>
      <c r="D952" s="14" t="s">
        <v>1352</v>
      </c>
      <c r="E952" s="8" t="s">
        <v>2603</v>
      </c>
      <c r="F952" s="27" t="s">
        <v>2573</v>
      </c>
    </row>
    <row r="953">
      <c r="A953" s="18" t="s">
        <v>1841</v>
      </c>
      <c r="B953" s="18" t="s">
        <v>1842</v>
      </c>
      <c r="C953" s="8" t="s">
        <v>93</v>
      </c>
      <c r="D953" s="14" t="s">
        <v>1679</v>
      </c>
      <c r="E953" s="8" t="s">
        <v>2558</v>
      </c>
      <c r="F953" s="27" t="s">
        <v>2563</v>
      </c>
    </row>
    <row r="954">
      <c r="A954" s="9" t="s">
        <v>276</v>
      </c>
      <c r="B954" s="9" t="s">
        <v>277</v>
      </c>
      <c r="C954" s="8" t="s">
        <v>65</v>
      </c>
      <c r="D954" s="14" t="s">
        <v>237</v>
      </c>
      <c r="E954" s="8" t="s">
        <v>2620</v>
      </c>
      <c r="F954" s="27" t="s">
        <v>2565</v>
      </c>
    </row>
    <row r="955">
      <c r="A955" s="9" t="s">
        <v>276</v>
      </c>
      <c r="B955" s="9" t="s">
        <v>2134</v>
      </c>
      <c r="C955" s="8" t="s">
        <v>122</v>
      </c>
      <c r="D955" s="14" t="s">
        <v>2033</v>
      </c>
      <c r="E955" s="8" t="s">
        <v>2552</v>
      </c>
      <c r="F955" s="27" t="s">
        <v>2579</v>
      </c>
    </row>
    <row r="956">
      <c r="A956" s="9" t="s">
        <v>276</v>
      </c>
      <c r="B956" s="9" t="s">
        <v>501</v>
      </c>
      <c r="C956" s="8" t="s">
        <v>53</v>
      </c>
      <c r="D956" s="14" t="s">
        <v>1352</v>
      </c>
      <c r="E956" s="8" t="s">
        <v>2581</v>
      </c>
      <c r="F956" s="27" t="s">
        <v>2579</v>
      </c>
    </row>
    <row r="957">
      <c r="A957" s="9" t="s">
        <v>714</v>
      </c>
      <c r="B957" s="9" t="s">
        <v>532</v>
      </c>
      <c r="C957" s="8" t="s">
        <v>65</v>
      </c>
      <c r="D957" s="14" t="s">
        <v>631</v>
      </c>
      <c r="E957" s="8" t="s">
        <v>2577</v>
      </c>
      <c r="F957" s="27" t="s">
        <v>2622</v>
      </c>
    </row>
    <row r="958">
      <c r="A958" s="9" t="s">
        <v>2476</v>
      </c>
      <c r="B958" s="9" t="s">
        <v>1528</v>
      </c>
      <c r="C958" s="8" t="s">
        <v>70</v>
      </c>
      <c r="D958" s="14" t="s">
        <v>2459</v>
      </c>
      <c r="E958" s="8" t="s">
        <v>2574</v>
      </c>
      <c r="F958" s="27" t="s">
        <v>2555</v>
      </c>
    </row>
    <row r="959">
      <c r="A959" s="9" t="s">
        <v>2477</v>
      </c>
      <c r="B959" s="9" t="s">
        <v>472</v>
      </c>
      <c r="C959" s="8" t="s">
        <v>70</v>
      </c>
      <c r="D959" s="14" t="s">
        <v>2459</v>
      </c>
      <c r="E959" s="8" t="s">
        <v>2603</v>
      </c>
      <c r="F959" s="27" t="s">
        <v>2555</v>
      </c>
    </row>
    <row r="960">
      <c r="A960" s="9" t="s">
        <v>2135</v>
      </c>
      <c r="B960" s="9" t="s">
        <v>1528</v>
      </c>
      <c r="C960" s="8" t="s">
        <v>70</v>
      </c>
      <c r="D960" s="14" t="s">
        <v>2033</v>
      </c>
      <c r="E960" s="8" t="s">
        <v>2574</v>
      </c>
      <c r="F960" s="27" t="s">
        <v>2606</v>
      </c>
    </row>
    <row r="961">
      <c r="A961" s="9" t="s">
        <v>2136</v>
      </c>
      <c r="B961" s="9" t="s">
        <v>2211</v>
      </c>
      <c r="C961" s="8" t="s">
        <v>192</v>
      </c>
      <c r="D961" s="14" t="s">
        <v>2459</v>
      </c>
      <c r="E961" s="8" t="s">
        <v>2621</v>
      </c>
      <c r="F961" s="27" t="s">
        <v>2622</v>
      </c>
    </row>
    <row r="962">
      <c r="A962" s="9" t="s">
        <v>2136</v>
      </c>
      <c r="B962" s="9" t="s">
        <v>549</v>
      </c>
      <c r="C962" s="8" t="s">
        <v>80</v>
      </c>
      <c r="D962" s="14" t="s">
        <v>2033</v>
      </c>
      <c r="E962" s="8" t="s">
        <v>2567</v>
      </c>
      <c r="F962" s="27" t="s">
        <v>2588</v>
      </c>
    </row>
    <row r="963">
      <c r="A963" s="9" t="s">
        <v>941</v>
      </c>
      <c r="B963" s="9" t="s">
        <v>942</v>
      </c>
      <c r="C963" s="8" t="s">
        <v>138</v>
      </c>
      <c r="D963" s="14" t="s">
        <v>837</v>
      </c>
      <c r="E963" s="8" t="s">
        <v>2577</v>
      </c>
      <c r="F963" s="27" t="s">
        <v>2594</v>
      </c>
    </row>
    <row r="964">
      <c r="A964" s="9" t="s">
        <v>1843</v>
      </c>
      <c r="B964" s="9" t="s">
        <v>464</v>
      </c>
      <c r="C964" s="8" t="s">
        <v>24</v>
      </c>
      <c r="D964" s="14" t="s">
        <v>1679</v>
      </c>
      <c r="E964" s="8" t="s">
        <v>2598</v>
      </c>
      <c r="F964" s="27" t="s">
        <v>2625</v>
      </c>
    </row>
    <row r="965">
      <c r="A965" s="9" t="s">
        <v>715</v>
      </c>
      <c r="B965" s="9" t="s">
        <v>943</v>
      </c>
      <c r="C965" s="8" t="s">
        <v>65</v>
      </c>
      <c r="D965" s="14" t="s">
        <v>837</v>
      </c>
      <c r="E965" s="8" t="s">
        <v>2562</v>
      </c>
      <c r="F965" s="27" t="s">
        <v>2635</v>
      </c>
    </row>
    <row r="966">
      <c r="A966" s="9" t="s">
        <v>715</v>
      </c>
      <c r="B966" s="9" t="s">
        <v>37</v>
      </c>
      <c r="C966" s="8" t="s">
        <v>12</v>
      </c>
      <c r="D966" s="14" t="s">
        <v>631</v>
      </c>
      <c r="E966" s="8" t="s">
        <v>2582</v>
      </c>
      <c r="F966" s="27" t="s">
        <v>2601</v>
      </c>
    </row>
    <row r="967">
      <c r="A967" s="9" t="s">
        <v>715</v>
      </c>
      <c r="B967" s="9" t="s">
        <v>865</v>
      </c>
      <c r="C967" s="8" t="s">
        <v>75</v>
      </c>
      <c r="D967" s="14" t="s">
        <v>837</v>
      </c>
      <c r="E967" s="8" t="s">
        <v>2610</v>
      </c>
      <c r="F967" s="27" t="s">
        <v>2555</v>
      </c>
    </row>
    <row r="968">
      <c r="A968" s="9" t="s">
        <v>541</v>
      </c>
      <c r="B968" s="9" t="s">
        <v>542</v>
      </c>
      <c r="C968" s="8" t="s">
        <v>138</v>
      </c>
      <c r="D968" s="14" t="s">
        <v>459</v>
      </c>
      <c r="E968" s="8" t="s">
        <v>2595</v>
      </c>
      <c r="F968" s="27" t="s">
        <v>2591</v>
      </c>
    </row>
    <row r="969">
      <c r="A969" s="9" t="s">
        <v>380</v>
      </c>
      <c r="B969" s="9" t="s">
        <v>381</v>
      </c>
      <c r="C969" s="8" t="s">
        <v>215</v>
      </c>
      <c r="D969" s="14" t="s">
        <v>338</v>
      </c>
      <c r="E969" s="8" t="s">
        <v>2567</v>
      </c>
      <c r="F969" s="27" t="s">
        <v>2604</v>
      </c>
    </row>
    <row r="970">
      <c r="A970" s="9" t="s">
        <v>1199</v>
      </c>
      <c r="B970" s="9" t="s">
        <v>943</v>
      </c>
      <c r="C970" s="8" t="s">
        <v>80</v>
      </c>
      <c r="D970" s="14" t="s">
        <v>1070</v>
      </c>
      <c r="E970" s="8" t="s">
        <v>2605</v>
      </c>
      <c r="F970" s="27" t="s">
        <v>2576</v>
      </c>
    </row>
    <row r="971">
      <c r="A971" s="18" t="s">
        <v>1200</v>
      </c>
      <c r="B971" s="18" t="s">
        <v>269</v>
      </c>
      <c r="C971" s="8" t="s">
        <v>80</v>
      </c>
      <c r="D971" s="14" t="s">
        <v>2033</v>
      </c>
      <c r="E971" s="8" t="s">
        <v>2600</v>
      </c>
      <c r="F971" s="27" t="s">
        <v>2606</v>
      </c>
    </row>
    <row r="972">
      <c r="A972" s="9" t="s">
        <v>1200</v>
      </c>
      <c r="B972" s="9" t="s">
        <v>1844</v>
      </c>
      <c r="C972" s="8" t="s">
        <v>65</v>
      </c>
      <c r="D972" s="14" t="s">
        <v>1679</v>
      </c>
      <c r="E972" s="8" t="s">
        <v>2620</v>
      </c>
      <c r="F972" s="27" t="s">
        <v>2555</v>
      </c>
    </row>
    <row r="973">
      <c r="A973" s="9" t="s">
        <v>1200</v>
      </c>
      <c r="B973" s="9" t="s">
        <v>263</v>
      </c>
      <c r="C973" s="8" t="s">
        <v>70</v>
      </c>
      <c r="D973" s="14" t="s">
        <v>1679</v>
      </c>
      <c r="E973" s="8" t="s">
        <v>2564</v>
      </c>
      <c r="F973" s="27" t="s">
        <v>2607</v>
      </c>
    </row>
    <row r="974">
      <c r="A974" s="18" t="s">
        <v>1200</v>
      </c>
      <c r="B974" s="18" t="s">
        <v>1845</v>
      </c>
      <c r="C974" s="8" t="s">
        <v>24</v>
      </c>
      <c r="D974" s="14" t="s">
        <v>1679</v>
      </c>
      <c r="E974" s="8" t="s">
        <v>2592</v>
      </c>
      <c r="F974" s="27" t="s">
        <v>2611</v>
      </c>
    </row>
    <row r="975">
      <c r="A975" s="9" t="s">
        <v>1200</v>
      </c>
      <c r="B975" s="9" t="s">
        <v>1434</v>
      </c>
      <c r="C975" s="8" t="s">
        <v>186</v>
      </c>
      <c r="D975" s="14" t="s">
        <v>2033</v>
      </c>
      <c r="E975" s="8" t="s">
        <v>2593</v>
      </c>
      <c r="F975" s="27" t="s">
        <v>2580</v>
      </c>
    </row>
    <row r="976">
      <c r="A976" s="9" t="s">
        <v>1200</v>
      </c>
      <c r="B976" s="9" t="s">
        <v>2137</v>
      </c>
      <c r="C976" s="8" t="s">
        <v>149</v>
      </c>
      <c r="D976" s="14" t="s">
        <v>2033</v>
      </c>
      <c r="E976" s="8" t="s">
        <v>2562</v>
      </c>
      <c r="F976" s="27" t="s">
        <v>2568</v>
      </c>
    </row>
    <row r="977">
      <c r="A977" s="9" t="s">
        <v>1200</v>
      </c>
      <c r="B977" s="9" t="s">
        <v>1201</v>
      </c>
      <c r="C977" s="8" t="s">
        <v>93</v>
      </c>
      <c r="D977" s="14" t="s">
        <v>1070</v>
      </c>
      <c r="E977" s="8" t="s">
        <v>2581</v>
      </c>
      <c r="F977" s="27" t="s">
        <v>2578</v>
      </c>
    </row>
    <row r="978">
      <c r="A978" s="9" t="s">
        <v>2138</v>
      </c>
      <c r="B978" s="9" t="s">
        <v>2139</v>
      </c>
      <c r="C978" s="8" t="s">
        <v>70</v>
      </c>
      <c r="D978" s="14" t="s">
        <v>2033</v>
      </c>
      <c r="E978" s="8" t="s">
        <v>2562</v>
      </c>
      <c r="F978" s="27" t="s">
        <v>2570</v>
      </c>
    </row>
    <row r="979">
      <c r="A979" s="9" t="s">
        <v>156</v>
      </c>
      <c r="B979" s="9" t="s">
        <v>157</v>
      </c>
      <c r="C979" s="8" t="s">
        <v>16</v>
      </c>
      <c r="D979" s="14" t="s">
        <v>135</v>
      </c>
      <c r="E979" s="8" t="s">
        <v>2600</v>
      </c>
      <c r="F979" s="27" t="s">
        <v>2583</v>
      </c>
    </row>
    <row r="980">
      <c r="A980" s="9" t="s">
        <v>2140</v>
      </c>
      <c r="B980" s="9" t="s">
        <v>2141</v>
      </c>
      <c r="C980" s="8" t="s">
        <v>141</v>
      </c>
      <c r="D980" s="14" t="s">
        <v>2033</v>
      </c>
      <c r="E980" s="8" t="s">
        <v>2593</v>
      </c>
      <c r="F980" s="27" t="s">
        <v>2628</v>
      </c>
    </row>
    <row r="981">
      <c r="A981" s="9" t="s">
        <v>716</v>
      </c>
      <c r="B981" s="9" t="s">
        <v>275</v>
      </c>
      <c r="C981" s="8" t="s">
        <v>149</v>
      </c>
      <c r="D981" s="14" t="s">
        <v>631</v>
      </c>
      <c r="E981" s="8" t="s">
        <v>2615</v>
      </c>
      <c r="F981" s="27" t="s">
        <v>2565</v>
      </c>
    </row>
    <row r="982">
      <c r="A982" s="9" t="s">
        <v>716</v>
      </c>
      <c r="B982" s="9" t="s">
        <v>41</v>
      </c>
      <c r="C982" s="8" t="s">
        <v>215</v>
      </c>
      <c r="D982" s="14" t="s">
        <v>1679</v>
      </c>
      <c r="E982" s="8" t="s">
        <v>2610</v>
      </c>
      <c r="F982" s="27" t="s">
        <v>2602</v>
      </c>
    </row>
    <row r="983">
      <c r="A983" s="9" t="s">
        <v>118</v>
      </c>
      <c r="B983" s="9" t="s">
        <v>119</v>
      </c>
      <c r="C983" s="8" t="s">
        <v>38</v>
      </c>
      <c r="D983" s="14" t="s">
        <v>108</v>
      </c>
      <c r="E983" s="8" t="s">
        <v>2610</v>
      </c>
      <c r="F983" s="27" t="s">
        <v>2568</v>
      </c>
    </row>
    <row r="984">
      <c r="A984" s="9" t="s">
        <v>382</v>
      </c>
      <c r="B984" s="9" t="s">
        <v>383</v>
      </c>
      <c r="C984" s="8" t="s">
        <v>141</v>
      </c>
      <c r="D984" s="14" t="s">
        <v>338</v>
      </c>
      <c r="E984" s="18" t="s">
        <v>2556</v>
      </c>
      <c r="F984" s="27" t="s">
        <v>2634</v>
      </c>
    </row>
    <row r="985">
      <c r="A985" s="9" t="s">
        <v>382</v>
      </c>
      <c r="B985" s="9" t="s">
        <v>1803</v>
      </c>
      <c r="C985" s="8" t="s">
        <v>24</v>
      </c>
      <c r="D985" s="14" t="s">
        <v>1679</v>
      </c>
      <c r="E985" s="8" t="s">
        <v>2592</v>
      </c>
      <c r="F985" s="27" t="s">
        <v>2583</v>
      </c>
    </row>
    <row r="986">
      <c r="A986" s="9" t="s">
        <v>2359</v>
      </c>
      <c r="B986" s="9" t="s">
        <v>1064</v>
      </c>
      <c r="C986" s="8" t="s">
        <v>122</v>
      </c>
      <c r="D986" s="14" t="s">
        <v>2296</v>
      </c>
      <c r="E986" s="8" t="s">
        <v>2562</v>
      </c>
      <c r="F986" s="27" t="s">
        <v>2555</v>
      </c>
    </row>
    <row r="987">
      <c r="A987" s="9" t="s">
        <v>278</v>
      </c>
      <c r="B987" s="9" t="s">
        <v>279</v>
      </c>
      <c r="C987" s="8" t="s">
        <v>215</v>
      </c>
      <c r="D987" s="14" t="s">
        <v>237</v>
      </c>
      <c r="E987" s="8" t="s">
        <v>2587</v>
      </c>
      <c r="F987" s="27" t="s">
        <v>2578</v>
      </c>
    </row>
    <row r="988">
      <c r="A988" s="9" t="s">
        <v>278</v>
      </c>
      <c r="B988" s="9" t="s">
        <v>137</v>
      </c>
      <c r="C988" s="8" t="s">
        <v>122</v>
      </c>
      <c r="D988" s="14" t="s">
        <v>2033</v>
      </c>
      <c r="E988" s="8" t="s">
        <v>2584</v>
      </c>
      <c r="F988" s="27" t="s">
        <v>2618</v>
      </c>
    </row>
    <row r="989">
      <c r="A989" s="9" t="s">
        <v>278</v>
      </c>
      <c r="B989" s="9" t="s">
        <v>183</v>
      </c>
      <c r="C989" s="8" t="s">
        <v>93</v>
      </c>
      <c r="D989" s="14" t="s">
        <v>2296</v>
      </c>
      <c r="E989" s="8" t="s">
        <v>2552</v>
      </c>
      <c r="F989" s="27" t="s">
        <v>2591</v>
      </c>
    </row>
    <row r="990">
      <c r="A990" s="9" t="s">
        <v>543</v>
      </c>
      <c r="B990" s="9" t="s">
        <v>544</v>
      </c>
      <c r="C990" s="8" t="s">
        <v>24</v>
      </c>
      <c r="D990" s="14" t="s">
        <v>459</v>
      </c>
      <c r="E990" s="8" t="s">
        <v>2615</v>
      </c>
      <c r="F990" s="27" t="s">
        <v>2576</v>
      </c>
    </row>
    <row r="991">
      <c r="A991" s="9" t="s">
        <v>717</v>
      </c>
      <c r="B991" s="9" t="s">
        <v>183</v>
      </c>
      <c r="C991" s="8" t="s">
        <v>59</v>
      </c>
      <c r="D991" s="14" t="s">
        <v>631</v>
      </c>
      <c r="E991" s="8" t="s">
        <v>2581</v>
      </c>
      <c r="F991" s="27" t="s">
        <v>2568</v>
      </c>
    </row>
    <row r="992">
      <c r="A992" s="18" t="s">
        <v>2142</v>
      </c>
      <c r="B992" s="18" t="s">
        <v>2478</v>
      </c>
      <c r="C992" s="8" t="s">
        <v>65</v>
      </c>
      <c r="D992" s="14" t="s">
        <v>2459</v>
      </c>
      <c r="E992" s="8" t="s">
        <v>2595</v>
      </c>
      <c r="F992" s="27" t="s">
        <v>2583</v>
      </c>
    </row>
    <row r="993">
      <c r="A993" s="9" t="s">
        <v>2142</v>
      </c>
      <c r="B993" s="9" t="s">
        <v>2143</v>
      </c>
      <c r="C993" s="8" t="s">
        <v>93</v>
      </c>
      <c r="D993" s="14" t="s">
        <v>2033</v>
      </c>
      <c r="E993" s="8" t="s">
        <v>2575</v>
      </c>
      <c r="F993" s="27" t="s">
        <v>2625</v>
      </c>
    </row>
    <row r="994">
      <c r="A994" s="9" t="s">
        <v>1202</v>
      </c>
      <c r="B994" s="9" t="s">
        <v>11</v>
      </c>
      <c r="C994" s="8" t="s">
        <v>65</v>
      </c>
      <c r="D994" s="14" t="s">
        <v>1070</v>
      </c>
      <c r="E994" s="8" t="s">
        <v>2621</v>
      </c>
      <c r="F994" s="27" t="s">
        <v>2586</v>
      </c>
    </row>
    <row r="995">
      <c r="A995" s="18" t="s">
        <v>1202</v>
      </c>
      <c r="B995" s="18" t="s">
        <v>529</v>
      </c>
      <c r="C995" s="8" t="s">
        <v>46</v>
      </c>
      <c r="D995" s="14" t="s">
        <v>1352</v>
      </c>
      <c r="E995" s="18" t="s">
        <v>2589</v>
      </c>
      <c r="F995" s="27" t="s">
        <v>2565</v>
      </c>
    </row>
    <row r="996">
      <c r="A996" s="9" t="s">
        <v>1203</v>
      </c>
      <c r="B996" s="9" t="s">
        <v>161</v>
      </c>
      <c r="C996" s="8" t="s">
        <v>16</v>
      </c>
      <c r="D996" s="14" t="s">
        <v>1070</v>
      </c>
      <c r="E996" s="18" t="s">
        <v>2589</v>
      </c>
      <c r="F996" s="27" t="s">
        <v>2579</v>
      </c>
    </row>
    <row r="997">
      <c r="A997" s="9" t="s">
        <v>205</v>
      </c>
      <c r="B997" s="9" t="s">
        <v>1249</v>
      </c>
      <c r="C997" s="8" t="s">
        <v>141</v>
      </c>
      <c r="D997" s="14" t="s">
        <v>1352</v>
      </c>
      <c r="E997" s="8" t="s">
        <v>2603</v>
      </c>
      <c r="F997" s="27" t="s">
        <v>2570</v>
      </c>
    </row>
    <row r="998">
      <c r="A998" s="9" t="s">
        <v>205</v>
      </c>
      <c r="B998" s="9" t="s">
        <v>281</v>
      </c>
      <c r="C998" s="8" t="s">
        <v>70</v>
      </c>
      <c r="D998" s="14" t="s">
        <v>1679</v>
      </c>
      <c r="E998" s="8" t="s">
        <v>2615</v>
      </c>
      <c r="F998" s="27" t="s">
        <v>2561</v>
      </c>
    </row>
    <row r="999">
      <c r="A999" s="9" t="s">
        <v>205</v>
      </c>
      <c r="B999" s="9" t="s">
        <v>206</v>
      </c>
      <c r="C999" s="8" t="s">
        <v>122</v>
      </c>
      <c r="D999" s="14" t="s">
        <v>189</v>
      </c>
      <c r="E999" s="8" t="s">
        <v>2567</v>
      </c>
      <c r="F999" s="27" t="s">
        <v>2601</v>
      </c>
    </row>
    <row r="1000">
      <c r="A1000" s="9" t="s">
        <v>1380</v>
      </c>
      <c r="B1000" s="9" t="s">
        <v>1846</v>
      </c>
      <c r="C1000" s="8" t="s">
        <v>138</v>
      </c>
      <c r="D1000" s="14" t="s">
        <v>1679</v>
      </c>
      <c r="E1000" s="8" t="s">
        <v>2552</v>
      </c>
      <c r="F1000" s="27" t="s">
        <v>2633</v>
      </c>
    </row>
    <row r="1001">
      <c r="A1001" s="9" t="s">
        <v>1380</v>
      </c>
      <c r="B1001" s="9" t="s">
        <v>67</v>
      </c>
      <c r="C1001" s="8" t="s">
        <v>132</v>
      </c>
      <c r="D1001" s="14" t="s">
        <v>1679</v>
      </c>
      <c r="E1001" s="8" t="s">
        <v>2183</v>
      </c>
      <c r="F1001" s="27" t="s">
        <v>2606</v>
      </c>
    </row>
    <row r="1002">
      <c r="A1002" s="9" t="s">
        <v>2144</v>
      </c>
      <c r="B1002" s="9" t="s">
        <v>1128</v>
      </c>
      <c r="C1002" s="8" t="s">
        <v>65</v>
      </c>
      <c r="D1002" s="14" t="s">
        <v>2033</v>
      </c>
      <c r="E1002" s="8" t="s">
        <v>2585</v>
      </c>
      <c r="F1002" s="27" t="s">
        <v>2622</v>
      </c>
    </row>
    <row r="1003">
      <c r="A1003" s="9" t="s">
        <v>945</v>
      </c>
      <c r="B1003" s="9" t="s">
        <v>460</v>
      </c>
      <c r="C1003" s="8" t="s">
        <v>65</v>
      </c>
      <c r="D1003" s="14" t="s">
        <v>837</v>
      </c>
      <c r="E1003" s="8" t="s">
        <v>2614</v>
      </c>
      <c r="F1003" s="27" t="s">
        <v>2571</v>
      </c>
    </row>
    <row r="1004">
      <c r="A1004" s="9" t="s">
        <v>944</v>
      </c>
      <c r="B1004" s="9" t="s">
        <v>528</v>
      </c>
      <c r="C1004" s="8" t="s">
        <v>24</v>
      </c>
      <c r="D1004" s="14" t="s">
        <v>1070</v>
      </c>
      <c r="E1004" s="8" t="s">
        <v>2575</v>
      </c>
      <c r="F1004" s="27" t="s">
        <v>2586</v>
      </c>
    </row>
    <row r="1005">
      <c r="A1005" s="9" t="s">
        <v>944</v>
      </c>
      <c r="B1005" s="9" t="s">
        <v>260</v>
      </c>
      <c r="C1005" s="8" t="s">
        <v>75</v>
      </c>
      <c r="D1005" s="14" t="s">
        <v>837</v>
      </c>
      <c r="E1005" s="8" t="s">
        <v>2575</v>
      </c>
      <c r="F1005" s="27" t="s">
        <v>2568</v>
      </c>
    </row>
    <row r="1006">
      <c r="A1006" s="9" t="s">
        <v>944</v>
      </c>
      <c r="B1006" s="9" t="s">
        <v>634</v>
      </c>
      <c r="C1006" s="8" t="s">
        <v>122</v>
      </c>
      <c r="D1006" s="14" t="s">
        <v>1679</v>
      </c>
      <c r="E1006" s="18" t="s">
        <v>2556</v>
      </c>
      <c r="F1006" s="27" t="s">
        <v>2586</v>
      </c>
    </row>
    <row r="1007">
      <c r="A1007" s="9" t="s">
        <v>718</v>
      </c>
      <c r="B1007" s="9" t="s">
        <v>366</v>
      </c>
      <c r="C1007" s="8" t="s">
        <v>70</v>
      </c>
      <c r="D1007" s="14" t="s">
        <v>631</v>
      </c>
      <c r="E1007" s="8" t="s">
        <v>2183</v>
      </c>
      <c r="F1007" s="27" t="s">
        <v>2571</v>
      </c>
    </row>
    <row r="1008">
      <c r="A1008" s="9" t="s">
        <v>718</v>
      </c>
      <c r="B1008" s="9" t="s">
        <v>719</v>
      </c>
      <c r="C1008" s="8" t="s">
        <v>80</v>
      </c>
      <c r="D1008" s="14" t="s">
        <v>631</v>
      </c>
      <c r="E1008" s="8" t="s">
        <v>2587</v>
      </c>
      <c r="F1008" s="27" t="s">
        <v>2633</v>
      </c>
    </row>
    <row r="1009">
      <c r="A1009" s="9" t="s">
        <v>720</v>
      </c>
      <c r="B1009" s="9" t="s">
        <v>721</v>
      </c>
      <c r="C1009" s="8" t="s">
        <v>138</v>
      </c>
      <c r="D1009" s="14" t="s">
        <v>631</v>
      </c>
      <c r="E1009" s="8" t="s">
        <v>2614</v>
      </c>
      <c r="F1009" s="27" t="s">
        <v>2591</v>
      </c>
    </row>
    <row r="1010">
      <c r="A1010" s="9" t="s">
        <v>1480</v>
      </c>
      <c r="B1010" s="9" t="s">
        <v>1481</v>
      </c>
      <c r="C1010" s="8" t="s">
        <v>149</v>
      </c>
      <c r="D1010" s="14" t="s">
        <v>1352</v>
      </c>
      <c r="E1010" s="8" t="s">
        <v>2603</v>
      </c>
      <c r="F1010" s="27" t="s">
        <v>2573</v>
      </c>
    </row>
    <row r="1011">
      <c r="A1011" s="9" t="s">
        <v>1847</v>
      </c>
      <c r="B1011" s="9" t="s">
        <v>1848</v>
      </c>
      <c r="C1011" s="8" t="s">
        <v>192</v>
      </c>
      <c r="D1011" s="14" t="s">
        <v>1679</v>
      </c>
      <c r="E1011" s="8" t="s">
        <v>2564</v>
      </c>
      <c r="F1011" s="27" t="s">
        <v>2609</v>
      </c>
    </row>
    <row r="1012">
      <c r="A1012" s="9" t="s">
        <v>545</v>
      </c>
      <c r="B1012" s="9" t="s">
        <v>546</v>
      </c>
      <c r="C1012" s="8" t="s">
        <v>192</v>
      </c>
      <c r="D1012" s="14" t="s">
        <v>459</v>
      </c>
      <c r="E1012" s="8" t="s">
        <v>2614</v>
      </c>
      <c r="F1012" s="27" t="s">
        <v>2602</v>
      </c>
    </row>
    <row r="1013">
      <c r="A1013" s="9" t="s">
        <v>73</v>
      </c>
      <c r="B1013" s="9" t="s">
        <v>74</v>
      </c>
      <c r="C1013" s="8" t="s">
        <v>75</v>
      </c>
      <c r="D1013" s="14" t="s">
        <v>60</v>
      </c>
      <c r="E1013" s="18" t="s">
        <v>2556</v>
      </c>
      <c r="F1013" s="27" t="s">
        <v>2571</v>
      </c>
    </row>
    <row r="1014">
      <c r="A1014" s="9" t="s">
        <v>384</v>
      </c>
      <c r="B1014" s="9" t="s">
        <v>471</v>
      </c>
      <c r="C1014" s="8" t="s">
        <v>70</v>
      </c>
      <c r="D1014" s="14" t="s">
        <v>459</v>
      </c>
      <c r="E1014" s="8" t="s">
        <v>2575</v>
      </c>
      <c r="F1014" s="27" t="s">
        <v>2633</v>
      </c>
    </row>
    <row r="1015">
      <c r="A1015" s="9" t="s">
        <v>384</v>
      </c>
      <c r="B1015" s="9" t="s">
        <v>385</v>
      </c>
      <c r="C1015" s="8" t="s">
        <v>215</v>
      </c>
      <c r="D1015" s="14" t="s">
        <v>338</v>
      </c>
      <c r="E1015" s="8" t="s">
        <v>2572</v>
      </c>
      <c r="F1015" s="27" t="s">
        <v>2613</v>
      </c>
    </row>
    <row r="1016">
      <c r="A1016" s="9" t="s">
        <v>386</v>
      </c>
      <c r="B1016" s="9" t="s">
        <v>387</v>
      </c>
      <c r="C1016" s="8" t="s">
        <v>65</v>
      </c>
      <c r="D1016" s="14" t="s">
        <v>338</v>
      </c>
      <c r="E1016" s="8" t="s">
        <v>2600</v>
      </c>
      <c r="F1016" s="27" t="s">
        <v>2553</v>
      </c>
    </row>
    <row r="1017">
      <c r="A1017" s="9" t="s">
        <v>1482</v>
      </c>
      <c r="B1017" s="9" t="s">
        <v>176</v>
      </c>
      <c r="C1017" s="8" t="s">
        <v>138</v>
      </c>
      <c r="D1017" s="14" t="s">
        <v>1352</v>
      </c>
      <c r="E1017" s="8" t="s">
        <v>2582</v>
      </c>
      <c r="F1017" s="27" t="s">
        <v>2578</v>
      </c>
    </row>
    <row r="1018">
      <c r="A1018" s="9" t="s">
        <v>280</v>
      </c>
      <c r="B1018" s="9" t="s">
        <v>249</v>
      </c>
      <c r="C1018" s="8" t="s">
        <v>53</v>
      </c>
      <c r="D1018" s="14" t="s">
        <v>237</v>
      </c>
      <c r="E1018" s="8" t="s">
        <v>2574</v>
      </c>
      <c r="F1018" s="27" t="s">
        <v>2553</v>
      </c>
    </row>
    <row r="1019">
      <c r="A1019" s="9" t="s">
        <v>1483</v>
      </c>
      <c r="B1019" s="9" t="s">
        <v>948</v>
      </c>
      <c r="C1019" s="8" t="s">
        <v>59</v>
      </c>
      <c r="D1019" s="14" t="s">
        <v>1352</v>
      </c>
      <c r="E1019" s="8" t="s">
        <v>2605</v>
      </c>
      <c r="F1019" s="27" t="s">
        <v>2579</v>
      </c>
    </row>
    <row r="1020">
      <c r="A1020" s="9" t="s">
        <v>2360</v>
      </c>
      <c r="B1020" s="9" t="s">
        <v>43</v>
      </c>
      <c r="C1020" s="8" t="s">
        <v>65</v>
      </c>
      <c r="D1020" s="14" t="s">
        <v>2296</v>
      </c>
      <c r="E1020" s="18" t="s">
        <v>2589</v>
      </c>
      <c r="F1020" s="27" t="s">
        <v>2565</v>
      </c>
    </row>
    <row r="1021">
      <c r="A1021" s="9" t="s">
        <v>722</v>
      </c>
      <c r="B1021" s="9" t="s">
        <v>723</v>
      </c>
      <c r="C1021" s="8" t="s">
        <v>53</v>
      </c>
      <c r="D1021" s="14" t="s">
        <v>631</v>
      </c>
      <c r="E1021" s="8" t="s">
        <v>2598</v>
      </c>
      <c r="F1021" s="27" t="s">
        <v>2579</v>
      </c>
    </row>
    <row r="1022">
      <c r="A1022" s="9" t="s">
        <v>722</v>
      </c>
      <c r="B1022" s="9" t="s">
        <v>167</v>
      </c>
      <c r="C1022" s="8" t="s">
        <v>65</v>
      </c>
      <c r="D1022" s="14" t="s">
        <v>1679</v>
      </c>
      <c r="E1022" s="8" t="s">
        <v>2567</v>
      </c>
      <c r="F1022" s="27" t="s">
        <v>2583</v>
      </c>
    </row>
    <row r="1023">
      <c r="A1023" s="9" t="s">
        <v>1484</v>
      </c>
      <c r="B1023" s="9" t="s">
        <v>134</v>
      </c>
      <c r="C1023" s="8" t="s">
        <v>132</v>
      </c>
      <c r="D1023" s="14" t="s">
        <v>1352</v>
      </c>
      <c r="E1023" s="8" t="s">
        <v>2552</v>
      </c>
      <c r="F1023" s="27" t="s">
        <v>2576</v>
      </c>
    </row>
    <row r="1024">
      <c r="A1024" s="9" t="s">
        <v>207</v>
      </c>
      <c r="B1024" s="9" t="s">
        <v>183</v>
      </c>
      <c r="C1024" s="8" t="s">
        <v>75</v>
      </c>
      <c r="D1024" s="14" t="s">
        <v>189</v>
      </c>
      <c r="E1024" s="8" t="s">
        <v>2603</v>
      </c>
      <c r="F1024" s="27" t="s">
        <v>2553</v>
      </c>
    </row>
    <row r="1025">
      <c r="A1025" s="9" t="s">
        <v>1849</v>
      </c>
      <c r="B1025" s="9" t="s">
        <v>1249</v>
      </c>
      <c r="C1025" s="8" t="s">
        <v>122</v>
      </c>
      <c r="D1025" s="14" t="s">
        <v>1679</v>
      </c>
      <c r="E1025" s="8" t="s">
        <v>2183</v>
      </c>
      <c r="F1025" s="27" t="s">
        <v>2555</v>
      </c>
    </row>
    <row r="1026">
      <c r="A1026" s="9" t="s">
        <v>2145</v>
      </c>
      <c r="B1026" s="9" t="s">
        <v>850</v>
      </c>
      <c r="C1026" s="8" t="s">
        <v>186</v>
      </c>
      <c r="D1026" s="14" t="s">
        <v>2033</v>
      </c>
      <c r="E1026" s="8" t="s">
        <v>2605</v>
      </c>
      <c r="F1026" s="27" t="s">
        <v>2579</v>
      </c>
    </row>
    <row r="1027">
      <c r="A1027" s="9" t="s">
        <v>2146</v>
      </c>
      <c r="B1027" s="9" t="s">
        <v>67</v>
      </c>
      <c r="C1027" s="8" t="s">
        <v>24</v>
      </c>
      <c r="D1027" s="14" t="s">
        <v>2033</v>
      </c>
      <c r="E1027" s="8" t="s">
        <v>2600</v>
      </c>
      <c r="F1027" s="27" t="s">
        <v>2557</v>
      </c>
    </row>
    <row r="1028">
      <c r="A1028" s="9" t="s">
        <v>360</v>
      </c>
      <c r="B1028" s="9" t="s">
        <v>2113</v>
      </c>
      <c r="C1028" s="8" t="s">
        <v>186</v>
      </c>
      <c r="D1028" s="14" t="s">
        <v>2033</v>
      </c>
      <c r="E1028" s="8" t="s">
        <v>2584</v>
      </c>
      <c r="F1028" s="27" t="s">
        <v>2578</v>
      </c>
    </row>
    <row r="1029">
      <c r="A1029" s="18" t="s">
        <v>208</v>
      </c>
      <c r="B1029" s="18" t="s">
        <v>2147</v>
      </c>
      <c r="C1029" s="8" t="s">
        <v>93</v>
      </c>
      <c r="D1029" s="14" t="s">
        <v>2033</v>
      </c>
      <c r="E1029" s="8" t="s">
        <v>2621</v>
      </c>
      <c r="F1029" s="27" t="s">
        <v>2578</v>
      </c>
    </row>
    <row r="1030">
      <c r="A1030" s="9" t="s">
        <v>208</v>
      </c>
      <c r="B1030" s="9" t="s">
        <v>136</v>
      </c>
      <c r="C1030" s="8" t="s">
        <v>80</v>
      </c>
      <c r="D1030" s="14" t="s">
        <v>837</v>
      </c>
      <c r="E1030" s="8" t="s">
        <v>2575</v>
      </c>
      <c r="F1030" s="27" t="s">
        <v>2594</v>
      </c>
    </row>
    <row r="1031">
      <c r="A1031" s="9" t="s">
        <v>208</v>
      </c>
      <c r="B1031" s="9" t="s">
        <v>647</v>
      </c>
      <c r="C1031" s="8" t="s">
        <v>65</v>
      </c>
      <c r="D1031" s="14" t="s">
        <v>1352</v>
      </c>
      <c r="E1031" s="8" t="s">
        <v>2615</v>
      </c>
      <c r="F1031" s="27" t="s">
        <v>2580</v>
      </c>
    </row>
    <row r="1032">
      <c r="A1032" s="9" t="s">
        <v>208</v>
      </c>
      <c r="B1032" s="9" t="s">
        <v>1204</v>
      </c>
      <c r="C1032" s="8" t="s">
        <v>215</v>
      </c>
      <c r="D1032" s="14" t="s">
        <v>1070</v>
      </c>
      <c r="E1032" s="8" t="s">
        <v>2603</v>
      </c>
      <c r="F1032" s="27" t="s">
        <v>2583</v>
      </c>
    </row>
    <row r="1033">
      <c r="A1033" s="9" t="s">
        <v>208</v>
      </c>
      <c r="B1033" s="9" t="s">
        <v>800</v>
      </c>
      <c r="C1033" s="8" t="s">
        <v>70</v>
      </c>
      <c r="D1033" s="14" t="s">
        <v>1352</v>
      </c>
      <c r="E1033" s="8" t="s">
        <v>2614</v>
      </c>
      <c r="F1033" s="27" t="s">
        <v>2576</v>
      </c>
    </row>
    <row r="1034">
      <c r="A1034" s="9" t="s">
        <v>208</v>
      </c>
      <c r="B1034" s="9" t="s">
        <v>209</v>
      </c>
      <c r="C1034" s="8" t="s">
        <v>65</v>
      </c>
      <c r="D1034" s="14" t="s">
        <v>189</v>
      </c>
      <c r="E1034" s="8" t="s">
        <v>2564</v>
      </c>
      <c r="F1034" s="27" t="s">
        <v>2625</v>
      </c>
    </row>
    <row r="1035">
      <c r="A1035" s="9" t="s">
        <v>208</v>
      </c>
      <c r="B1035" s="9" t="s">
        <v>1267</v>
      </c>
      <c r="C1035" s="8" t="s">
        <v>93</v>
      </c>
      <c r="D1035" s="14" t="s">
        <v>2033</v>
      </c>
      <c r="E1035" s="8" t="s">
        <v>2574</v>
      </c>
      <c r="F1035" s="27" t="s">
        <v>2607</v>
      </c>
    </row>
    <row r="1036">
      <c r="A1036" s="9" t="s">
        <v>208</v>
      </c>
      <c r="B1036" s="9" t="s">
        <v>1347</v>
      </c>
      <c r="C1036" s="8" t="s">
        <v>80</v>
      </c>
      <c r="D1036" s="14" t="s">
        <v>1352</v>
      </c>
      <c r="E1036" s="8" t="s">
        <v>2605</v>
      </c>
      <c r="F1036" s="27" t="s">
        <v>2616</v>
      </c>
    </row>
    <row r="1037">
      <c r="A1037" s="9" t="s">
        <v>208</v>
      </c>
      <c r="B1037" s="9" t="s">
        <v>724</v>
      </c>
      <c r="C1037" s="8" t="s">
        <v>132</v>
      </c>
      <c r="D1037" s="14" t="s">
        <v>631</v>
      </c>
      <c r="E1037" s="18" t="s">
        <v>2556</v>
      </c>
      <c r="F1037" s="27" t="s">
        <v>2590</v>
      </c>
    </row>
    <row r="1038">
      <c r="A1038" s="9" t="s">
        <v>208</v>
      </c>
      <c r="B1038" s="9" t="s">
        <v>814</v>
      </c>
      <c r="C1038" s="8" t="s">
        <v>93</v>
      </c>
      <c r="D1038" s="14" t="s">
        <v>2033</v>
      </c>
      <c r="E1038" s="8" t="s">
        <v>2600</v>
      </c>
      <c r="F1038" s="27" t="s">
        <v>2601</v>
      </c>
    </row>
    <row r="1039">
      <c r="A1039" s="9" t="s">
        <v>208</v>
      </c>
      <c r="B1039" s="9" t="s">
        <v>102</v>
      </c>
      <c r="C1039" s="8" t="s">
        <v>215</v>
      </c>
      <c r="D1039" s="14" t="s">
        <v>2296</v>
      </c>
      <c r="E1039" s="8" t="s">
        <v>2614</v>
      </c>
      <c r="F1039" s="27" t="s">
        <v>2583</v>
      </c>
    </row>
    <row r="1040">
      <c r="A1040" s="9" t="s">
        <v>208</v>
      </c>
      <c r="B1040" s="9" t="s">
        <v>301</v>
      </c>
      <c r="C1040" s="8" t="s">
        <v>93</v>
      </c>
      <c r="D1040" s="14" t="s">
        <v>2033</v>
      </c>
      <c r="E1040" s="8" t="s">
        <v>2558</v>
      </c>
      <c r="F1040" s="27" t="s">
        <v>2601</v>
      </c>
    </row>
    <row r="1041">
      <c r="A1041" s="9" t="s">
        <v>208</v>
      </c>
      <c r="B1041" s="9" t="s">
        <v>381</v>
      </c>
      <c r="C1041" s="8" t="s">
        <v>70</v>
      </c>
      <c r="D1041" s="14" t="s">
        <v>2033</v>
      </c>
      <c r="E1041" s="8" t="s">
        <v>2572</v>
      </c>
      <c r="F1041" s="27" t="s">
        <v>2602</v>
      </c>
    </row>
    <row r="1042">
      <c r="A1042" s="9" t="s">
        <v>208</v>
      </c>
      <c r="B1042" s="9" t="s">
        <v>281</v>
      </c>
      <c r="C1042" s="8" t="s">
        <v>93</v>
      </c>
      <c r="D1042" s="14" t="s">
        <v>237</v>
      </c>
      <c r="E1042" s="8" t="s">
        <v>2620</v>
      </c>
      <c r="F1042" s="27" t="s">
        <v>2633</v>
      </c>
    </row>
    <row r="1043">
      <c r="A1043" s="9" t="s">
        <v>208</v>
      </c>
      <c r="B1043" s="9" t="s">
        <v>761</v>
      </c>
      <c r="C1043" s="8" t="s">
        <v>16</v>
      </c>
      <c r="D1043" s="14" t="s">
        <v>2296</v>
      </c>
      <c r="E1043" s="8" t="s">
        <v>2575</v>
      </c>
      <c r="F1043" s="27" t="s">
        <v>2571</v>
      </c>
    </row>
    <row r="1044">
      <c r="A1044" s="9" t="s">
        <v>208</v>
      </c>
      <c r="B1044" s="9" t="s">
        <v>549</v>
      </c>
      <c r="C1044" s="8" t="s">
        <v>122</v>
      </c>
      <c r="D1044" s="14" t="s">
        <v>459</v>
      </c>
      <c r="E1044" s="8" t="s">
        <v>2564</v>
      </c>
      <c r="F1044" s="27" t="s">
        <v>2607</v>
      </c>
    </row>
    <row r="1045">
      <c r="A1045" s="9" t="s">
        <v>208</v>
      </c>
      <c r="B1045" s="9" t="s">
        <v>137</v>
      </c>
      <c r="C1045" s="8" t="s">
        <v>93</v>
      </c>
      <c r="D1045" s="14" t="s">
        <v>2296</v>
      </c>
      <c r="E1045" s="8" t="s">
        <v>2614</v>
      </c>
      <c r="F1045" s="27" t="s">
        <v>2563</v>
      </c>
    </row>
    <row r="1046">
      <c r="A1046" s="9" t="s">
        <v>208</v>
      </c>
      <c r="B1046" s="9" t="s">
        <v>337</v>
      </c>
      <c r="C1046" s="8" t="s">
        <v>93</v>
      </c>
      <c r="D1046" s="14" t="s">
        <v>2459</v>
      </c>
      <c r="E1046" s="8" t="s">
        <v>2615</v>
      </c>
      <c r="F1046" s="27" t="s">
        <v>2570</v>
      </c>
    </row>
    <row r="1047">
      <c r="A1047" s="9" t="s">
        <v>208</v>
      </c>
      <c r="B1047" s="9" t="s">
        <v>1593</v>
      </c>
      <c r="C1047" s="8" t="s">
        <v>16</v>
      </c>
      <c r="D1047" s="14" t="s">
        <v>2459</v>
      </c>
      <c r="E1047" s="8" t="s">
        <v>2587</v>
      </c>
      <c r="F1047" s="27" t="s">
        <v>2583</v>
      </c>
    </row>
    <row r="1048">
      <c r="A1048" s="9" t="s">
        <v>208</v>
      </c>
      <c r="B1048" s="9" t="s">
        <v>692</v>
      </c>
      <c r="C1048" s="8" t="s">
        <v>93</v>
      </c>
      <c r="D1048" s="14" t="s">
        <v>1070</v>
      </c>
      <c r="E1048" s="8" t="s">
        <v>2610</v>
      </c>
      <c r="F1048" s="27" t="s">
        <v>2611</v>
      </c>
    </row>
    <row r="1049">
      <c r="A1049" s="9" t="s">
        <v>2150</v>
      </c>
      <c r="B1049" s="9" t="s">
        <v>301</v>
      </c>
      <c r="C1049" s="8" t="s">
        <v>70</v>
      </c>
      <c r="D1049" s="14" t="s">
        <v>2459</v>
      </c>
      <c r="E1049" s="18" t="s">
        <v>2556</v>
      </c>
      <c r="F1049" s="27" t="s">
        <v>2553</v>
      </c>
    </row>
    <row r="1050">
      <c r="A1050" s="9" t="s">
        <v>2150</v>
      </c>
      <c r="B1050" s="9" t="s">
        <v>2151</v>
      </c>
      <c r="C1050" s="8" t="s">
        <v>53</v>
      </c>
      <c r="D1050" s="14" t="s">
        <v>2033</v>
      </c>
      <c r="E1050" s="8" t="s">
        <v>2584</v>
      </c>
      <c r="F1050" s="27" t="s">
        <v>2557</v>
      </c>
    </row>
    <row r="1051">
      <c r="A1051" s="9" t="s">
        <v>2148</v>
      </c>
      <c r="B1051" s="9" t="s">
        <v>2149</v>
      </c>
      <c r="C1051" s="8" t="s">
        <v>93</v>
      </c>
      <c r="D1051" s="14" t="s">
        <v>2033</v>
      </c>
      <c r="E1051" s="8" t="s">
        <v>2558</v>
      </c>
      <c r="F1051" s="27" t="s">
        <v>2583</v>
      </c>
    </row>
    <row r="1052">
      <c r="A1052" s="9" t="s">
        <v>260</v>
      </c>
      <c r="B1052" s="9" t="s">
        <v>307</v>
      </c>
      <c r="C1052" s="8" t="s">
        <v>93</v>
      </c>
      <c r="D1052" s="14" t="s">
        <v>2033</v>
      </c>
      <c r="E1052" s="8" t="s">
        <v>2552</v>
      </c>
      <c r="F1052" s="27" t="s">
        <v>2594</v>
      </c>
    </row>
    <row r="1053">
      <c r="A1053" s="9" t="s">
        <v>260</v>
      </c>
      <c r="B1053" s="9" t="s">
        <v>1817</v>
      </c>
      <c r="C1053" s="8" t="s">
        <v>192</v>
      </c>
      <c r="D1053" s="14" t="s">
        <v>2033</v>
      </c>
      <c r="E1053" s="8" t="s">
        <v>2572</v>
      </c>
      <c r="F1053" s="27" t="s">
        <v>2633</v>
      </c>
    </row>
    <row r="1054">
      <c r="A1054" s="18" t="s">
        <v>260</v>
      </c>
      <c r="B1054" s="18" t="s">
        <v>947</v>
      </c>
      <c r="C1054" s="8" t="s">
        <v>149</v>
      </c>
      <c r="D1054" s="14" t="s">
        <v>837</v>
      </c>
      <c r="E1054" s="8" t="s">
        <v>2620</v>
      </c>
      <c r="F1054" s="27" t="s">
        <v>2586</v>
      </c>
    </row>
    <row r="1055">
      <c r="A1055" s="9" t="s">
        <v>260</v>
      </c>
      <c r="B1055" s="9" t="s">
        <v>884</v>
      </c>
      <c r="C1055" s="8" t="s">
        <v>24</v>
      </c>
      <c r="D1055" s="14" t="s">
        <v>1352</v>
      </c>
      <c r="E1055" s="8" t="s">
        <v>2554</v>
      </c>
      <c r="F1055" s="27" t="s">
        <v>2586</v>
      </c>
    </row>
    <row r="1056">
      <c r="A1056" s="9" t="s">
        <v>260</v>
      </c>
      <c r="B1056" s="9" t="s">
        <v>74</v>
      </c>
      <c r="C1056" s="8" t="s">
        <v>65</v>
      </c>
      <c r="D1056" s="14" t="s">
        <v>2033</v>
      </c>
      <c r="E1056" s="8" t="s">
        <v>2585</v>
      </c>
      <c r="F1056" s="27" t="s">
        <v>2557</v>
      </c>
    </row>
    <row r="1057">
      <c r="A1057" s="9" t="s">
        <v>1207</v>
      </c>
      <c r="B1057" s="9" t="s">
        <v>43</v>
      </c>
      <c r="C1057" s="8" t="s">
        <v>261</v>
      </c>
      <c r="D1057" s="14" t="s">
        <v>1070</v>
      </c>
      <c r="E1057" s="8" t="s">
        <v>2620</v>
      </c>
      <c r="F1057" s="27" t="s">
        <v>2565</v>
      </c>
    </row>
    <row r="1058">
      <c r="A1058" s="18" t="s">
        <v>158</v>
      </c>
      <c r="B1058" s="18" t="s">
        <v>159</v>
      </c>
      <c r="C1058" s="8" t="s">
        <v>24</v>
      </c>
      <c r="D1058" s="14" t="s">
        <v>135</v>
      </c>
      <c r="E1058" s="8" t="s">
        <v>2574</v>
      </c>
      <c r="F1058" s="27" t="s">
        <v>2624</v>
      </c>
    </row>
    <row r="1059">
      <c r="A1059" s="9" t="s">
        <v>1205</v>
      </c>
      <c r="B1059" s="9" t="s">
        <v>1206</v>
      </c>
      <c r="C1059" s="8" t="s">
        <v>122</v>
      </c>
      <c r="D1059" s="14" t="s">
        <v>1070</v>
      </c>
      <c r="E1059" s="8" t="s">
        <v>2598</v>
      </c>
      <c r="F1059" s="27" t="s">
        <v>2604</v>
      </c>
    </row>
    <row r="1060">
      <c r="A1060" s="9" t="s">
        <v>1485</v>
      </c>
      <c r="B1060" s="9" t="s">
        <v>647</v>
      </c>
      <c r="C1060" s="8" t="s">
        <v>24</v>
      </c>
      <c r="D1060" s="14" t="s">
        <v>1352</v>
      </c>
      <c r="E1060" s="8" t="s">
        <v>2614</v>
      </c>
      <c r="F1060" s="27" t="s">
        <v>2602</v>
      </c>
    </row>
    <row r="1061">
      <c r="A1061" s="9" t="s">
        <v>547</v>
      </c>
      <c r="B1061" s="9" t="s">
        <v>548</v>
      </c>
      <c r="C1061" s="8" t="s">
        <v>93</v>
      </c>
      <c r="D1061" s="14" t="s">
        <v>459</v>
      </c>
      <c r="E1061" s="8" t="s">
        <v>2575</v>
      </c>
      <c r="F1061" s="27" t="s">
        <v>2555</v>
      </c>
    </row>
    <row r="1062">
      <c r="A1062" s="9" t="s">
        <v>946</v>
      </c>
      <c r="B1062" s="9" t="s">
        <v>549</v>
      </c>
      <c r="C1062" s="8" t="s">
        <v>59</v>
      </c>
      <c r="D1062" s="14" t="s">
        <v>2296</v>
      </c>
      <c r="E1062" s="8" t="s">
        <v>2610</v>
      </c>
      <c r="F1062" s="27" t="s">
        <v>2622</v>
      </c>
    </row>
    <row r="1063">
      <c r="A1063" s="9" t="s">
        <v>946</v>
      </c>
      <c r="B1063" s="9" t="s">
        <v>804</v>
      </c>
      <c r="C1063" s="8" t="s">
        <v>138</v>
      </c>
      <c r="D1063" s="14" t="s">
        <v>1070</v>
      </c>
      <c r="E1063" s="8" t="s">
        <v>2603</v>
      </c>
      <c r="F1063" s="27" t="s">
        <v>2622</v>
      </c>
    </row>
    <row r="1064">
      <c r="A1064" s="9" t="s">
        <v>946</v>
      </c>
      <c r="B1064" s="9" t="s">
        <v>140</v>
      </c>
      <c r="C1064" s="8" t="s">
        <v>192</v>
      </c>
      <c r="D1064" s="14" t="s">
        <v>837</v>
      </c>
      <c r="E1064" s="8" t="s">
        <v>2575</v>
      </c>
      <c r="F1064" s="27" t="s">
        <v>2611</v>
      </c>
    </row>
    <row r="1065">
      <c r="A1065" s="9" t="s">
        <v>550</v>
      </c>
      <c r="B1065" s="9" t="s">
        <v>551</v>
      </c>
      <c r="C1065" s="8" t="s">
        <v>65</v>
      </c>
      <c r="D1065" s="14" t="s">
        <v>459</v>
      </c>
      <c r="E1065" s="8" t="s">
        <v>2564</v>
      </c>
      <c r="F1065" s="27" t="s">
        <v>2604</v>
      </c>
    </row>
    <row r="1066">
      <c r="A1066" s="9" t="s">
        <v>2152</v>
      </c>
      <c r="B1066" s="9" t="s">
        <v>1128</v>
      </c>
      <c r="C1066" s="8" t="s">
        <v>138</v>
      </c>
      <c r="D1066" s="14" t="s">
        <v>2033</v>
      </c>
      <c r="E1066" s="8" t="s">
        <v>2614</v>
      </c>
      <c r="F1066" s="27" t="s">
        <v>2594</v>
      </c>
    </row>
    <row r="1067">
      <c r="A1067" s="9" t="s">
        <v>282</v>
      </c>
      <c r="B1067" s="9" t="s">
        <v>2153</v>
      </c>
      <c r="C1067" s="8" t="s">
        <v>132</v>
      </c>
      <c r="D1067" s="14" t="s">
        <v>2033</v>
      </c>
      <c r="E1067" s="8" t="s">
        <v>2558</v>
      </c>
      <c r="F1067" s="27" t="s">
        <v>2557</v>
      </c>
    </row>
    <row r="1068">
      <c r="A1068" s="9" t="s">
        <v>282</v>
      </c>
      <c r="B1068" s="9" t="s">
        <v>388</v>
      </c>
      <c r="C1068" s="8" t="s">
        <v>93</v>
      </c>
      <c r="D1068" s="14" t="s">
        <v>338</v>
      </c>
      <c r="E1068" s="8" t="s">
        <v>2566</v>
      </c>
      <c r="F1068" s="27" t="s">
        <v>2607</v>
      </c>
    </row>
    <row r="1069">
      <c r="A1069" s="9" t="s">
        <v>282</v>
      </c>
      <c r="B1069" s="9" t="s">
        <v>23</v>
      </c>
      <c r="C1069" s="8" t="s">
        <v>122</v>
      </c>
      <c r="D1069" s="14" t="s">
        <v>338</v>
      </c>
      <c r="E1069" s="8" t="s">
        <v>2566</v>
      </c>
      <c r="F1069" s="27" t="s">
        <v>2568</v>
      </c>
    </row>
    <row r="1070">
      <c r="A1070" s="9" t="s">
        <v>282</v>
      </c>
      <c r="B1070" s="9" t="s">
        <v>263</v>
      </c>
      <c r="C1070" s="8" t="s">
        <v>53</v>
      </c>
      <c r="D1070" s="14" t="s">
        <v>1352</v>
      </c>
      <c r="E1070" s="8" t="s">
        <v>2560</v>
      </c>
      <c r="F1070" s="27" t="s">
        <v>2601</v>
      </c>
    </row>
    <row r="1071">
      <c r="A1071" s="9" t="s">
        <v>282</v>
      </c>
      <c r="B1071" s="9" t="s">
        <v>283</v>
      </c>
      <c r="C1071" s="8" t="s">
        <v>192</v>
      </c>
      <c r="D1071" s="14" t="s">
        <v>237</v>
      </c>
      <c r="E1071" s="8" t="s">
        <v>2564</v>
      </c>
      <c r="F1071" s="27" t="s">
        <v>2559</v>
      </c>
    </row>
    <row r="1072">
      <c r="A1072" s="9" t="s">
        <v>282</v>
      </c>
      <c r="B1072" s="9" t="s">
        <v>1487</v>
      </c>
      <c r="C1072" s="8" t="s">
        <v>80</v>
      </c>
      <c r="D1072" s="14" t="s">
        <v>1352</v>
      </c>
      <c r="E1072" s="8" t="s">
        <v>2572</v>
      </c>
      <c r="F1072" s="27" t="s">
        <v>2579</v>
      </c>
    </row>
    <row r="1073">
      <c r="A1073" s="9" t="s">
        <v>950</v>
      </c>
      <c r="B1073" s="9" t="s">
        <v>800</v>
      </c>
      <c r="C1073" s="8" t="s">
        <v>65</v>
      </c>
      <c r="D1073" s="14" t="s">
        <v>837</v>
      </c>
      <c r="E1073" s="8" t="s">
        <v>2621</v>
      </c>
      <c r="F1073" s="27" t="s">
        <v>2579</v>
      </c>
    </row>
    <row r="1074">
      <c r="A1074" s="9" t="s">
        <v>950</v>
      </c>
      <c r="B1074" s="9" t="s">
        <v>2157</v>
      </c>
      <c r="C1074" s="8" t="s">
        <v>65</v>
      </c>
      <c r="D1074" s="14" t="s">
        <v>2296</v>
      </c>
      <c r="E1074" s="8" t="s">
        <v>2603</v>
      </c>
      <c r="F1074" s="27" t="s">
        <v>2557</v>
      </c>
    </row>
    <row r="1075">
      <c r="A1075" s="9" t="s">
        <v>725</v>
      </c>
      <c r="B1075" s="9" t="s">
        <v>67</v>
      </c>
      <c r="C1075" s="8" t="s">
        <v>141</v>
      </c>
      <c r="D1075" s="14" t="s">
        <v>631</v>
      </c>
      <c r="E1075" s="8" t="s">
        <v>2592</v>
      </c>
      <c r="F1075" s="27" t="s">
        <v>2571</v>
      </c>
    </row>
    <row r="1076">
      <c r="A1076" s="9" t="s">
        <v>1208</v>
      </c>
      <c r="B1076" s="9" t="s">
        <v>1209</v>
      </c>
      <c r="C1076" s="8" t="s">
        <v>122</v>
      </c>
      <c r="D1076" s="14" t="s">
        <v>1070</v>
      </c>
      <c r="E1076" s="8" t="s">
        <v>2564</v>
      </c>
      <c r="F1076" s="27" t="s">
        <v>2586</v>
      </c>
    </row>
    <row r="1077">
      <c r="A1077" s="9" t="s">
        <v>1851</v>
      </c>
      <c r="B1077" s="9" t="s">
        <v>1852</v>
      </c>
      <c r="C1077" s="8" t="s">
        <v>186</v>
      </c>
      <c r="D1077" s="14" t="s">
        <v>1679</v>
      </c>
      <c r="E1077" s="8" t="s">
        <v>2620</v>
      </c>
      <c r="F1077" s="27" t="s">
        <v>2573</v>
      </c>
    </row>
    <row r="1078">
      <c r="A1078" s="9" t="s">
        <v>23</v>
      </c>
      <c r="B1078" s="9" t="s">
        <v>949</v>
      </c>
      <c r="C1078" s="8" t="s">
        <v>149</v>
      </c>
      <c r="D1078" s="14" t="s">
        <v>837</v>
      </c>
      <c r="E1078" s="8" t="s">
        <v>2595</v>
      </c>
      <c r="F1078" s="27" t="s">
        <v>2569</v>
      </c>
    </row>
    <row r="1079">
      <c r="A1079" s="18" t="s">
        <v>389</v>
      </c>
      <c r="B1079" s="18" t="s">
        <v>269</v>
      </c>
      <c r="C1079" s="8" t="s">
        <v>186</v>
      </c>
      <c r="D1079" s="14" t="s">
        <v>837</v>
      </c>
      <c r="E1079" s="8" t="s">
        <v>2620</v>
      </c>
      <c r="F1079" s="27" t="s">
        <v>2576</v>
      </c>
    </row>
    <row r="1080">
      <c r="A1080" s="9" t="s">
        <v>389</v>
      </c>
      <c r="B1080" s="9" t="s">
        <v>212</v>
      </c>
      <c r="C1080" s="8" t="s">
        <v>65</v>
      </c>
      <c r="D1080" s="14" t="s">
        <v>2033</v>
      </c>
      <c r="E1080" s="8" t="s">
        <v>2592</v>
      </c>
      <c r="F1080" s="27" t="s">
        <v>2579</v>
      </c>
    </row>
    <row r="1081">
      <c r="A1081" s="9" t="s">
        <v>389</v>
      </c>
      <c r="B1081" s="9" t="s">
        <v>464</v>
      </c>
      <c r="C1081" s="8" t="s">
        <v>122</v>
      </c>
      <c r="D1081" s="14" t="s">
        <v>1352</v>
      </c>
      <c r="E1081" s="8" t="s">
        <v>2621</v>
      </c>
      <c r="F1081" s="27" t="s">
        <v>2622</v>
      </c>
    </row>
    <row r="1082">
      <c r="A1082" s="9" t="s">
        <v>389</v>
      </c>
      <c r="B1082" s="9" t="s">
        <v>357</v>
      </c>
      <c r="C1082" s="8" t="s">
        <v>65</v>
      </c>
      <c r="D1082" s="14" t="s">
        <v>338</v>
      </c>
      <c r="E1082" s="8" t="s">
        <v>2564</v>
      </c>
      <c r="F1082" s="27" t="s">
        <v>2557</v>
      </c>
    </row>
    <row r="1083">
      <c r="A1083" s="9" t="s">
        <v>389</v>
      </c>
      <c r="B1083" s="9" t="s">
        <v>134</v>
      </c>
      <c r="C1083" s="8" t="s">
        <v>93</v>
      </c>
      <c r="D1083" s="14" t="s">
        <v>2033</v>
      </c>
      <c r="E1083" s="8" t="s">
        <v>2582</v>
      </c>
      <c r="F1083" s="27" t="s">
        <v>2576</v>
      </c>
    </row>
    <row r="1084">
      <c r="A1084" s="9" t="s">
        <v>389</v>
      </c>
      <c r="B1084" s="9" t="s">
        <v>792</v>
      </c>
      <c r="C1084" s="8" t="s">
        <v>138</v>
      </c>
      <c r="D1084" s="14" t="s">
        <v>2296</v>
      </c>
      <c r="E1084" s="8" t="s">
        <v>2587</v>
      </c>
      <c r="F1084" s="27" t="s">
        <v>2555</v>
      </c>
    </row>
    <row r="1085">
      <c r="A1085" s="9" t="s">
        <v>389</v>
      </c>
      <c r="B1085" s="9" t="s">
        <v>506</v>
      </c>
      <c r="C1085" s="8" t="s">
        <v>70</v>
      </c>
      <c r="D1085" s="14" t="s">
        <v>837</v>
      </c>
      <c r="E1085" s="18" t="s">
        <v>2589</v>
      </c>
      <c r="F1085" s="27" t="s">
        <v>2604</v>
      </c>
    </row>
    <row r="1086">
      <c r="A1086" s="9" t="s">
        <v>389</v>
      </c>
      <c r="B1086" s="9" t="s">
        <v>2158</v>
      </c>
      <c r="C1086" s="8" t="s">
        <v>65</v>
      </c>
      <c r="D1086" s="14" t="s">
        <v>2033</v>
      </c>
      <c r="E1086" s="8" t="s">
        <v>2577</v>
      </c>
      <c r="F1086" s="27" t="s">
        <v>2557</v>
      </c>
    </row>
    <row r="1087">
      <c r="A1087" s="9" t="s">
        <v>389</v>
      </c>
      <c r="B1087" s="9" t="s">
        <v>1850</v>
      </c>
      <c r="C1087" s="8" t="s">
        <v>132</v>
      </c>
      <c r="D1087" s="14" t="s">
        <v>1679</v>
      </c>
      <c r="E1087" s="8" t="s">
        <v>2574</v>
      </c>
      <c r="F1087" s="27" t="s">
        <v>2609</v>
      </c>
    </row>
    <row r="1088">
      <c r="A1088" s="9" t="s">
        <v>389</v>
      </c>
      <c r="B1088" s="9" t="s">
        <v>1486</v>
      </c>
      <c r="C1088" s="8" t="s">
        <v>70</v>
      </c>
      <c r="D1088" s="14" t="s">
        <v>1352</v>
      </c>
      <c r="E1088" s="8" t="s">
        <v>2615</v>
      </c>
      <c r="F1088" s="27" t="s">
        <v>2607</v>
      </c>
    </row>
    <row r="1089">
      <c r="A1089" s="9" t="s">
        <v>389</v>
      </c>
      <c r="B1089" s="9" t="s">
        <v>2364</v>
      </c>
      <c r="C1089" s="8" t="s">
        <v>132</v>
      </c>
      <c r="D1089" s="14" t="s">
        <v>2296</v>
      </c>
      <c r="E1089" s="8" t="s">
        <v>2577</v>
      </c>
      <c r="F1089" s="27" t="s">
        <v>2617</v>
      </c>
    </row>
    <row r="1090">
      <c r="A1090" s="9" t="s">
        <v>389</v>
      </c>
      <c r="B1090" s="9" t="s">
        <v>2157</v>
      </c>
      <c r="C1090" s="8" t="s">
        <v>186</v>
      </c>
      <c r="D1090" s="14" t="s">
        <v>2033</v>
      </c>
      <c r="E1090" s="8" t="s">
        <v>2183</v>
      </c>
      <c r="F1090" s="27" t="s">
        <v>2612</v>
      </c>
    </row>
    <row r="1091">
      <c r="A1091" s="9" t="s">
        <v>389</v>
      </c>
      <c r="B1091" s="9" t="s">
        <v>948</v>
      </c>
      <c r="C1091" s="8" t="s">
        <v>93</v>
      </c>
      <c r="D1091" s="14" t="s">
        <v>2033</v>
      </c>
      <c r="E1091" s="18" t="s">
        <v>2556</v>
      </c>
      <c r="F1091" s="27" t="s">
        <v>2568</v>
      </c>
    </row>
    <row r="1092">
      <c r="A1092" s="9" t="s">
        <v>389</v>
      </c>
      <c r="B1092" s="9" t="s">
        <v>948</v>
      </c>
      <c r="C1092" s="8" t="s">
        <v>192</v>
      </c>
      <c r="D1092" s="14" t="s">
        <v>1070</v>
      </c>
      <c r="E1092" s="8" t="s">
        <v>2592</v>
      </c>
      <c r="F1092" s="27" t="s">
        <v>2579</v>
      </c>
    </row>
    <row r="1093">
      <c r="A1093" s="9" t="s">
        <v>389</v>
      </c>
      <c r="B1093" s="9" t="s">
        <v>948</v>
      </c>
      <c r="C1093" s="8" t="s">
        <v>192</v>
      </c>
      <c r="D1093" s="14" t="s">
        <v>837</v>
      </c>
      <c r="E1093" s="8" t="s">
        <v>2567</v>
      </c>
      <c r="F1093" s="27" t="s">
        <v>2576</v>
      </c>
    </row>
    <row r="1094">
      <c r="A1094" s="9" t="s">
        <v>389</v>
      </c>
      <c r="B1094" s="9" t="s">
        <v>1488</v>
      </c>
      <c r="C1094" s="8" t="s">
        <v>122</v>
      </c>
      <c r="D1094" s="14" t="s">
        <v>1352</v>
      </c>
      <c r="E1094" s="8" t="s">
        <v>2552</v>
      </c>
      <c r="F1094" s="27" t="s">
        <v>2568</v>
      </c>
    </row>
    <row r="1095">
      <c r="A1095" s="9" t="s">
        <v>389</v>
      </c>
      <c r="B1095" s="9" t="s">
        <v>2154</v>
      </c>
      <c r="C1095" s="8" t="s">
        <v>80</v>
      </c>
      <c r="D1095" s="14" t="s">
        <v>2033</v>
      </c>
      <c r="E1095" s="8" t="s">
        <v>2587</v>
      </c>
      <c r="F1095" s="27" t="s">
        <v>2579</v>
      </c>
    </row>
    <row r="1096">
      <c r="A1096" s="9" t="s">
        <v>389</v>
      </c>
      <c r="B1096" s="9" t="s">
        <v>23</v>
      </c>
      <c r="C1096" s="8" t="s">
        <v>192</v>
      </c>
      <c r="D1096" s="14" t="s">
        <v>2033</v>
      </c>
      <c r="E1096" s="8" t="s">
        <v>2593</v>
      </c>
      <c r="F1096" s="27" t="s">
        <v>2625</v>
      </c>
    </row>
    <row r="1097">
      <c r="A1097" s="9" t="s">
        <v>389</v>
      </c>
      <c r="B1097" s="9" t="s">
        <v>2361</v>
      </c>
      <c r="C1097" s="8" t="s">
        <v>65</v>
      </c>
      <c r="D1097" s="14" t="s">
        <v>2296</v>
      </c>
      <c r="E1097" s="18" t="s">
        <v>2589</v>
      </c>
      <c r="F1097" s="27" t="s">
        <v>2568</v>
      </c>
    </row>
    <row r="1098">
      <c r="A1098" s="9" t="s">
        <v>389</v>
      </c>
      <c r="B1098" s="9" t="s">
        <v>2362</v>
      </c>
      <c r="C1098" s="8" t="s">
        <v>70</v>
      </c>
      <c r="D1098" s="14" t="s">
        <v>2296</v>
      </c>
      <c r="E1098" s="8" t="s">
        <v>2554</v>
      </c>
      <c r="F1098" s="27" t="s">
        <v>2599</v>
      </c>
    </row>
    <row r="1099">
      <c r="A1099" s="9" t="s">
        <v>389</v>
      </c>
      <c r="B1099" s="9" t="s">
        <v>119</v>
      </c>
      <c r="C1099" s="8" t="s">
        <v>93</v>
      </c>
      <c r="D1099" s="14" t="s">
        <v>837</v>
      </c>
      <c r="E1099" s="8" t="s">
        <v>2587</v>
      </c>
      <c r="F1099" s="27" t="s">
        <v>2565</v>
      </c>
    </row>
    <row r="1100">
      <c r="A1100" s="9" t="s">
        <v>389</v>
      </c>
      <c r="B1100" s="9" t="s">
        <v>552</v>
      </c>
      <c r="C1100" s="8" t="s">
        <v>149</v>
      </c>
      <c r="D1100" s="14" t="s">
        <v>459</v>
      </c>
      <c r="E1100" s="8" t="s">
        <v>2564</v>
      </c>
      <c r="F1100" s="27" t="s">
        <v>2596</v>
      </c>
    </row>
    <row r="1101">
      <c r="A1101" s="9" t="s">
        <v>389</v>
      </c>
      <c r="B1101" s="9" t="s">
        <v>2155</v>
      </c>
      <c r="C1101" s="8" t="s">
        <v>93</v>
      </c>
      <c r="D1101" s="14" t="s">
        <v>2033</v>
      </c>
      <c r="E1101" s="8" t="s">
        <v>2562</v>
      </c>
      <c r="F1101" s="27" t="s">
        <v>2622</v>
      </c>
    </row>
    <row r="1102">
      <c r="A1102" s="9" t="s">
        <v>389</v>
      </c>
      <c r="B1102" s="9" t="s">
        <v>247</v>
      </c>
      <c r="C1102" s="8" t="s">
        <v>65</v>
      </c>
      <c r="D1102" s="14" t="s">
        <v>1352</v>
      </c>
      <c r="E1102" s="8" t="s">
        <v>2567</v>
      </c>
      <c r="F1102" s="27" t="s">
        <v>2568</v>
      </c>
    </row>
    <row r="1103">
      <c r="A1103" s="9" t="s">
        <v>389</v>
      </c>
      <c r="B1103" s="9" t="s">
        <v>2363</v>
      </c>
      <c r="C1103" s="8" t="s">
        <v>65</v>
      </c>
      <c r="D1103" s="14" t="s">
        <v>2296</v>
      </c>
      <c r="E1103" s="8" t="s">
        <v>2552</v>
      </c>
      <c r="F1103" s="27" t="s">
        <v>2583</v>
      </c>
    </row>
    <row r="1104">
      <c r="A1104" s="9" t="s">
        <v>389</v>
      </c>
      <c r="B1104" s="9" t="s">
        <v>1341</v>
      </c>
      <c r="C1104" s="8" t="s">
        <v>122</v>
      </c>
      <c r="D1104" s="14" t="s">
        <v>2033</v>
      </c>
      <c r="E1104" s="8" t="s">
        <v>2554</v>
      </c>
      <c r="F1104" s="27" t="s">
        <v>2576</v>
      </c>
    </row>
    <row r="1105">
      <c r="A1105" s="9" t="s">
        <v>389</v>
      </c>
      <c r="B1105" s="9" t="s">
        <v>2156</v>
      </c>
      <c r="C1105" s="8" t="s">
        <v>149</v>
      </c>
      <c r="D1105" s="14" t="s">
        <v>2033</v>
      </c>
      <c r="E1105" s="8" t="s">
        <v>2562</v>
      </c>
      <c r="F1105" s="27" t="s">
        <v>2609</v>
      </c>
    </row>
    <row r="1106">
      <c r="A1106" s="9" t="s">
        <v>389</v>
      </c>
      <c r="B1106" s="9" t="s">
        <v>2159</v>
      </c>
      <c r="C1106" s="8" t="s">
        <v>93</v>
      </c>
      <c r="D1106" s="14" t="s">
        <v>2033</v>
      </c>
      <c r="E1106" s="8" t="s">
        <v>2587</v>
      </c>
      <c r="F1106" s="27" t="s">
        <v>2602</v>
      </c>
    </row>
    <row r="1107">
      <c r="A1107" s="18" t="s">
        <v>389</v>
      </c>
      <c r="B1107" s="18" t="s">
        <v>1408</v>
      </c>
      <c r="C1107" s="8" t="s">
        <v>186</v>
      </c>
      <c r="D1107" s="14" t="s">
        <v>1679</v>
      </c>
      <c r="E1107" s="8" t="s">
        <v>2572</v>
      </c>
      <c r="F1107" s="27" t="s">
        <v>2606</v>
      </c>
    </row>
    <row r="1108">
      <c r="A1108" s="9" t="s">
        <v>389</v>
      </c>
      <c r="B1108" s="9" t="s">
        <v>553</v>
      </c>
      <c r="C1108" s="8" t="s">
        <v>93</v>
      </c>
      <c r="D1108" s="14" t="s">
        <v>459</v>
      </c>
      <c r="E1108" s="8" t="s">
        <v>2560</v>
      </c>
      <c r="F1108" s="27" t="s">
        <v>2599</v>
      </c>
    </row>
    <row r="1109">
      <c r="A1109" s="9" t="s">
        <v>389</v>
      </c>
      <c r="B1109" s="9" t="s">
        <v>170</v>
      </c>
      <c r="C1109" s="8" t="s">
        <v>70</v>
      </c>
      <c r="D1109" s="14" t="s">
        <v>2459</v>
      </c>
      <c r="E1109" s="8" t="s">
        <v>2554</v>
      </c>
      <c r="F1109" s="27" t="s">
        <v>2563</v>
      </c>
    </row>
    <row r="1110">
      <c r="A1110" s="9" t="s">
        <v>951</v>
      </c>
      <c r="B1110" s="9" t="s">
        <v>52</v>
      </c>
      <c r="C1110" s="8" t="s">
        <v>38</v>
      </c>
      <c r="D1110" s="14" t="s">
        <v>837</v>
      </c>
      <c r="E1110" s="8" t="s">
        <v>2564</v>
      </c>
      <c r="F1110" s="27" t="s">
        <v>2557</v>
      </c>
    </row>
    <row r="1111">
      <c r="A1111" s="9" t="s">
        <v>284</v>
      </c>
      <c r="B1111" s="9" t="s">
        <v>98</v>
      </c>
      <c r="C1111" s="8" t="s">
        <v>70</v>
      </c>
      <c r="D1111" s="14" t="s">
        <v>1679</v>
      </c>
      <c r="E1111" s="8" t="s">
        <v>2558</v>
      </c>
      <c r="F1111" s="27" t="s">
        <v>2599</v>
      </c>
    </row>
    <row r="1112">
      <c r="A1112" s="9" t="s">
        <v>284</v>
      </c>
      <c r="B1112" s="9" t="s">
        <v>952</v>
      </c>
      <c r="C1112" s="8" t="s">
        <v>122</v>
      </c>
      <c r="D1112" s="14" t="s">
        <v>837</v>
      </c>
      <c r="E1112" s="8" t="s">
        <v>2584</v>
      </c>
      <c r="F1112" s="27" t="s">
        <v>2565</v>
      </c>
    </row>
    <row r="1113">
      <c r="A1113" s="9" t="s">
        <v>284</v>
      </c>
      <c r="B1113" s="9" t="s">
        <v>1853</v>
      </c>
      <c r="C1113" s="8" t="s">
        <v>186</v>
      </c>
      <c r="D1113" s="14" t="s">
        <v>1679</v>
      </c>
      <c r="E1113" s="8" t="s">
        <v>2575</v>
      </c>
      <c r="F1113" s="27" t="s">
        <v>2606</v>
      </c>
    </row>
    <row r="1114">
      <c r="A1114" s="9" t="s">
        <v>284</v>
      </c>
      <c r="B1114" s="9" t="s">
        <v>43</v>
      </c>
      <c r="C1114" s="8" t="s">
        <v>65</v>
      </c>
      <c r="D1114" s="14" t="s">
        <v>1352</v>
      </c>
      <c r="E1114" s="8" t="s">
        <v>2554</v>
      </c>
      <c r="F1114" s="27" t="s">
        <v>2555</v>
      </c>
    </row>
    <row r="1115">
      <c r="A1115" s="9" t="s">
        <v>284</v>
      </c>
      <c r="B1115" s="9" t="s">
        <v>50</v>
      </c>
      <c r="C1115" s="8" t="s">
        <v>141</v>
      </c>
      <c r="D1115" s="14" t="s">
        <v>338</v>
      </c>
      <c r="E1115" s="8" t="s">
        <v>2621</v>
      </c>
      <c r="F1115" s="27" t="s">
        <v>2586</v>
      </c>
    </row>
    <row r="1116">
      <c r="A1116" s="9" t="s">
        <v>284</v>
      </c>
      <c r="B1116" s="9" t="s">
        <v>161</v>
      </c>
      <c r="C1116" s="8" t="s">
        <v>141</v>
      </c>
      <c r="D1116" s="14" t="s">
        <v>631</v>
      </c>
      <c r="E1116" s="8" t="s">
        <v>2552</v>
      </c>
      <c r="F1116" s="27" t="s">
        <v>2622</v>
      </c>
    </row>
    <row r="1117">
      <c r="A1117" s="9" t="s">
        <v>284</v>
      </c>
      <c r="B1117" s="9" t="s">
        <v>1210</v>
      </c>
      <c r="C1117" s="8" t="s">
        <v>93</v>
      </c>
      <c r="D1117" s="14" t="s">
        <v>1070</v>
      </c>
      <c r="E1117" s="8" t="s">
        <v>2614</v>
      </c>
      <c r="F1117" s="27" t="s">
        <v>2616</v>
      </c>
    </row>
    <row r="1118">
      <c r="A1118" s="9" t="s">
        <v>284</v>
      </c>
      <c r="B1118" s="9" t="s">
        <v>1211</v>
      </c>
      <c r="C1118" s="8" t="s">
        <v>16</v>
      </c>
      <c r="D1118" s="14" t="s">
        <v>1070</v>
      </c>
      <c r="E1118" s="8" t="s">
        <v>2572</v>
      </c>
      <c r="F1118" s="27" t="s">
        <v>2618</v>
      </c>
    </row>
    <row r="1119">
      <c r="A1119" s="9" t="s">
        <v>284</v>
      </c>
      <c r="B1119" s="9" t="s">
        <v>554</v>
      </c>
      <c r="C1119" s="8" t="s">
        <v>59</v>
      </c>
      <c r="D1119" s="14" t="s">
        <v>459</v>
      </c>
      <c r="E1119" s="18" t="s">
        <v>2589</v>
      </c>
      <c r="F1119" s="27" t="s">
        <v>2588</v>
      </c>
    </row>
    <row r="1120">
      <c r="A1120" s="9" t="s">
        <v>284</v>
      </c>
      <c r="B1120" s="9" t="s">
        <v>275</v>
      </c>
      <c r="C1120" s="8" t="s">
        <v>122</v>
      </c>
      <c r="D1120" s="14" t="s">
        <v>1352</v>
      </c>
      <c r="E1120" s="8" t="s">
        <v>2183</v>
      </c>
      <c r="F1120" s="27" t="s">
        <v>2596</v>
      </c>
    </row>
    <row r="1121">
      <c r="A1121" s="9" t="s">
        <v>284</v>
      </c>
      <c r="B1121" s="9" t="s">
        <v>275</v>
      </c>
      <c r="C1121" s="8" t="s">
        <v>38</v>
      </c>
      <c r="D1121" s="14" t="s">
        <v>338</v>
      </c>
      <c r="E1121" s="8" t="s">
        <v>2614</v>
      </c>
      <c r="F1121" s="27" t="s">
        <v>2611</v>
      </c>
    </row>
    <row r="1122">
      <c r="A1122" s="9" t="s">
        <v>284</v>
      </c>
      <c r="B1122" s="9" t="s">
        <v>275</v>
      </c>
      <c r="C1122" s="8" t="s">
        <v>93</v>
      </c>
      <c r="D1122" s="14" t="s">
        <v>1679</v>
      </c>
      <c r="E1122" s="18" t="s">
        <v>2589</v>
      </c>
      <c r="F1122" s="27" t="s">
        <v>2618</v>
      </c>
    </row>
    <row r="1123">
      <c r="A1123" s="9" t="s">
        <v>284</v>
      </c>
      <c r="B1123" s="9" t="s">
        <v>726</v>
      </c>
      <c r="C1123" s="8" t="s">
        <v>59</v>
      </c>
      <c r="D1123" s="14" t="s">
        <v>631</v>
      </c>
      <c r="E1123" s="8" t="s">
        <v>2554</v>
      </c>
      <c r="F1123" s="27" t="s">
        <v>2602</v>
      </c>
    </row>
    <row r="1124">
      <c r="A1124" s="9" t="s">
        <v>284</v>
      </c>
      <c r="B1124" s="9" t="s">
        <v>285</v>
      </c>
      <c r="C1124" s="8" t="s">
        <v>192</v>
      </c>
      <c r="D1124" s="14" t="s">
        <v>237</v>
      </c>
      <c r="E1124" s="8" t="s">
        <v>2574</v>
      </c>
      <c r="F1124" s="27" t="s">
        <v>2557</v>
      </c>
    </row>
    <row r="1125">
      <c r="A1125" s="9" t="s">
        <v>284</v>
      </c>
      <c r="B1125" s="9" t="s">
        <v>1489</v>
      </c>
      <c r="C1125" s="8" t="s">
        <v>192</v>
      </c>
      <c r="D1125" s="14" t="s">
        <v>1352</v>
      </c>
      <c r="E1125" s="8" t="s">
        <v>2575</v>
      </c>
      <c r="F1125" s="27" t="s">
        <v>2568</v>
      </c>
    </row>
    <row r="1126">
      <c r="A1126" s="9" t="s">
        <v>284</v>
      </c>
      <c r="B1126" s="9" t="s">
        <v>197</v>
      </c>
      <c r="C1126" s="8" t="s">
        <v>16</v>
      </c>
      <c r="D1126" s="14" t="s">
        <v>2296</v>
      </c>
      <c r="E1126" s="8" t="s">
        <v>2566</v>
      </c>
      <c r="F1126" s="27" t="s">
        <v>2555</v>
      </c>
    </row>
    <row r="1127">
      <c r="A1127" s="9" t="s">
        <v>284</v>
      </c>
      <c r="B1127" s="9" t="s">
        <v>953</v>
      </c>
      <c r="C1127" s="8" t="s">
        <v>122</v>
      </c>
      <c r="D1127" s="14" t="s">
        <v>837</v>
      </c>
      <c r="E1127" s="8" t="s">
        <v>2621</v>
      </c>
      <c r="F1127" s="27" t="s">
        <v>2571</v>
      </c>
    </row>
    <row r="1128">
      <c r="A1128" s="9" t="s">
        <v>284</v>
      </c>
      <c r="B1128" s="9" t="s">
        <v>555</v>
      </c>
      <c r="C1128" s="8" t="s">
        <v>122</v>
      </c>
      <c r="D1128" s="14" t="s">
        <v>459</v>
      </c>
      <c r="E1128" s="8" t="s">
        <v>2584</v>
      </c>
      <c r="F1128" s="27" t="s">
        <v>2568</v>
      </c>
    </row>
    <row r="1129">
      <c r="A1129" s="9" t="s">
        <v>284</v>
      </c>
      <c r="B1129" s="9" t="s">
        <v>1854</v>
      </c>
      <c r="C1129" s="8" t="s">
        <v>186</v>
      </c>
      <c r="D1129" s="14" t="s">
        <v>1679</v>
      </c>
      <c r="E1129" s="8" t="s">
        <v>2598</v>
      </c>
      <c r="F1129" s="27" t="s">
        <v>2561</v>
      </c>
    </row>
    <row r="1130">
      <c r="A1130" s="9" t="s">
        <v>284</v>
      </c>
      <c r="B1130" s="9" t="s">
        <v>1473</v>
      </c>
      <c r="C1130" s="8" t="s">
        <v>93</v>
      </c>
      <c r="D1130" s="14" t="s">
        <v>1679</v>
      </c>
      <c r="E1130" s="8" t="s">
        <v>2560</v>
      </c>
      <c r="F1130" s="27" t="s">
        <v>2580</v>
      </c>
    </row>
    <row r="1131">
      <c r="A1131" s="18" t="s">
        <v>284</v>
      </c>
      <c r="B1131" s="18" t="s">
        <v>529</v>
      </c>
      <c r="C1131" s="8" t="s">
        <v>122</v>
      </c>
      <c r="D1131" s="14" t="s">
        <v>1679</v>
      </c>
      <c r="E1131" s="8" t="s">
        <v>2585</v>
      </c>
      <c r="F1131" s="27" t="s">
        <v>2568</v>
      </c>
    </row>
    <row r="1132">
      <c r="A1132" s="18" t="s">
        <v>284</v>
      </c>
      <c r="B1132" s="18" t="s">
        <v>2365</v>
      </c>
      <c r="C1132" s="8" t="s">
        <v>215</v>
      </c>
      <c r="D1132" s="14" t="s">
        <v>2296</v>
      </c>
      <c r="E1132" s="8" t="s">
        <v>2620</v>
      </c>
      <c r="F1132" s="27" t="s">
        <v>2568</v>
      </c>
    </row>
    <row r="1133">
      <c r="A1133" s="9" t="s">
        <v>284</v>
      </c>
      <c r="B1133" s="9" t="s">
        <v>2160</v>
      </c>
      <c r="C1133" s="8" t="s">
        <v>46</v>
      </c>
      <c r="D1133" s="14" t="s">
        <v>2033</v>
      </c>
      <c r="E1133" s="8" t="s">
        <v>2603</v>
      </c>
      <c r="F1133" s="27" t="s">
        <v>2594</v>
      </c>
    </row>
    <row r="1134">
      <c r="A1134" s="18" t="s">
        <v>284</v>
      </c>
      <c r="B1134" s="18" t="s">
        <v>159</v>
      </c>
      <c r="C1134" s="8" t="s">
        <v>65</v>
      </c>
      <c r="D1134" s="14" t="s">
        <v>1070</v>
      </c>
      <c r="E1134" s="8" t="s">
        <v>2560</v>
      </c>
      <c r="F1134" s="27" t="s">
        <v>2576</v>
      </c>
    </row>
    <row r="1135">
      <c r="A1135" s="9" t="s">
        <v>284</v>
      </c>
      <c r="B1135" s="9" t="s">
        <v>842</v>
      </c>
      <c r="C1135" s="8" t="s">
        <v>93</v>
      </c>
      <c r="D1135" s="14" t="s">
        <v>1352</v>
      </c>
      <c r="E1135" s="8" t="s">
        <v>2600</v>
      </c>
      <c r="F1135" s="27" t="s">
        <v>2571</v>
      </c>
    </row>
    <row r="1136">
      <c r="A1136" s="9" t="s">
        <v>284</v>
      </c>
      <c r="B1136" s="9" t="s">
        <v>91</v>
      </c>
      <c r="C1136" s="8" t="s">
        <v>186</v>
      </c>
      <c r="D1136" s="14" t="s">
        <v>1352</v>
      </c>
      <c r="E1136" s="8" t="s">
        <v>2620</v>
      </c>
      <c r="F1136" s="27" t="s">
        <v>2576</v>
      </c>
    </row>
    <row r="1137">
      <c r="A1137" s="9" t="s">
        <v>284</v>
      </c>
      <c r="B1137" s="9" t="s">
        <v>301</v>
      </c>
      <c r="C1137" s="8" t="s">
        <v>80</v>
      </c>
      <c r="D1137" s="14" t="s">
        <v>1679</v>
      </c>
      <c r="E1137" s="8" t="s">
        <v>2558</v>
      </c>
      <c r="F1137" s="27" t="s">
        <v>2573</v>
      </c>
    </row>
    <row r="1138">
      <c r="A1138" s="18" t="s">
        <v>284</v>
      </c>
      <c r="B1138" s="18" t="s">
        <v>1490</v>
      </c>
      <c r="C1138" s="8" t="s">
        <v>53</v>
      </c>
      <c r="D1138" s="14" t="s">
        <v>1352</v>
      </c>
      <c r="E1138" s="8" t="s">
        <v>2577</v>
      </c>
      <c r="F1138" s="27" t="s">
        <v>2609</v>
      </c>
    </row>
    <row r="1139">
      <c r="A1139" s="9" t="s">
        <v>284</v>
      </c>
      <c r="B1139" s="9" t="s">
        <v>390</v>
      </c>
      <c r="C1139" s="8" t="s">
        <v>65</v>
      </c>
      <c r="D1139" s="14" t="s">
        <v>338</v>
      </c>
      <c r="E1139" s="8" t="s">
        <v>2598</v>
      </c>
      <c r="F1139" s="27" t="s">
        <v>2632</v>
      </c>
    </row>
    <row r="1140">
      <c r="A1140" s="9" t="s">
        <v>284</v>
      </c>
      <c r="B1140" s="9" t="s">
        <v>381</v>
      </c>
      <c r="C1140" s="8" t="s">
        <v>122</v>
      </c>
      <c r="D1140" s="14" t="s">
        <v>2033</v>
      </c>
      <c r="E1140" s="8" t="s">
        <v>2572</v>
      </c>
      <c r="F1140" s="27" t="s">
        <v>2563</v>
      </c>
    </row>
    <row r="1141">
      <c r="A1141" s="9" t="s">
        <v>284</v>
      </c>
      <c r="B1141" s="9" t="s">
        <v>556</v>
      </c>
      <c r="C1141" s="8" t="s">
        <v>65</v>
      </c>
      <c r="D1141" s="14" t="s">
        <v>459</v>
      </c>
      <c r="E1141" s="8" t="s">
        <v>2554</v>
      </c>
      <c r="F1141" s="27" t="s">
        <v>2633</v>
      </c>
    </row>
    <row r="1142">
      <c r="A1142" s="9" t="s">
        <v>284</v>
      </c>
      <c r="B1142" s="9" t="s">
        <v>1855</v>
      </c>
      <c r="C1142" s="8" t="s">
        <v>122</v>
      </c>
      <c r="D1142" s="14" t="s">
        <v>1679</v>
      </c>
      <c r="E1142" s="8" t="s">
        <v>2603</v>
      </c>
      <c r="F1142" s="27" t="s">
        <v>2557</v>
      </c>
    </row>
    <row r="1143">
      <c r="A1143" s="9" t="s">
        <v>284</v>
      </c>
      <c r="B1143" s="9" t="s">
        <v>286</v>
      </c>
      <c r="C1143" s="8" t="s">
        <v>192</v>
      </c>
      <c r="D1143" s="14" t="s">
        <v>237</v>
      </c>
      <c r="E1143" s="8" t="s">
        <v>2581</v>
      </c>
      <c r="F1143" s="27" t="s">
        <v>2578</v>
      </c>
    </row>
    <row r="1144">
      <c r="A1144" s="9" t="s">
        <v>284</v>
      </c>
      <c r="B1144" s="9" t="s">
        <v>1091</v>
      </c>
      <c r="C1144" s="8" t="s">
        <v>70</v>
      </c>
      <c r="D1144" s="14" t="s">
        <v>2296</v>
      </c>
      <c r="E1144" s="8" t="s">
        <v>2592</v>
      </c>
      <c r="F1144" s="27" t="s">
        <v>2622</v>
      </c>
    </row>
    <row r="1145">
      <c r="A1145" s="9" t="s">
        <v>284</v>
      </c>
      <c r="B1145" s="9" t="s">
        <v>41</v>
      </c>
      <c r="C1145" s="8" t="s">
        <v>141</v>
      </c>
      <c r="D1145" s="14" t="s">
        <v>2033</v>
      </c>
      <c r="E1145" s="8" t="s">
        <v>2620</v>
      </c>
      <c r="F1145" s="27" t="s">
        <v>2617</v>
      </c>
    </row>
    <row r="1146">
      <c r="A1146" s="9" t="s">
        <v>284</v>
      </c>
      <c r="B1146" s="9" t="s">
        <v>2161</v>
      </c>
      <c r="C1146" s="8" t="s">
        <v>93</v>
      </c>
      <c r="D1146" s="14" t="s">
        <v>2033</v>
      </c>
      <c r="E1146" s="8" t="s">
        <v>2564</v>
      </c>
      <c r="F1146" s="27" t="s">
        <v>2571</v>
      </c>
    </row>
    <row r="1147">
      <c r="A1147" s="9" t="s">
        <v>284</v>
      </c>
      <c r="B1147" s="9" t="s">
        <v>287</v>
      </c>
      <c r="C1147" s="8" t="s">
        <v>70</v>
      </c>
      <c r="D1147" s="14" t="s">
        <v>237</v>
      </c>
      <c r="E1147" s="8" t="s">
        <v>2562</v>
      </c>
      <c r="F1147" s="27" t="s">
        <v>2591</v>
      </c>
    </row>
    <row r="1148">
      <c r="A1148" s="9" t="s">
        <v>284</v>
      </c>
      <c r="B1148" s="9" t="s">
        <v>1856</v>
      </c>
      <c r="C1148" s="8" t="s">
        <v>65</v>
      </c>
      <c r="D1148" s="14" t="s">
        <v>1679</v>
      </c>
      <c r="E1148" s="8" t="s">
        <v>2587</v>
      </c>
      <c r="F1148" s="27" t="s">
        <v>2586</v>
      </c>
    </row>
    <row r="1149">
      <c r="A1149" s="9" t="s">
        <v>1491</v>
      </c>
      <c r="B1149" s="9" t="s">
        <v>1467</v>
      </c>
      <c r="C1149" s="8" t="s">
        <v>192</v>
      </c>
      <c r="D1149" s="14" t="s">
        <v>1352</v>
      </c>
      <c r="E1149" s="8" t="s">
        <v>2183</v>
      </c>
      <c r="F1149" s="27" t="s">
        <v>2555</v>
      </c>
    </row>
    <row r="1150">
      <c r="A1150" s="9" t="s">
        <v>2162</v>
      </c>
      <c r="B1150" s="9" t="s">
        <v>2163</v>
      </c>
      <c r="C1150" s="8" t="s">
        <v>149</v>
      </c>
      <c r="D1150" s="14" t="s">
        <v>2033</v>
      </c>
      <c r="E1150" s="8" t="s">
        <v>2581</v>
      </c>
      <c r="F1150" s="27" t="s">
        <v>2617</v>
      </c>
    </row>
    <row r="1151">
      <c r="A1151" s="9" t="s">
        <v>263</v>
      </c>
      <c r="B1151" s="9" t="s">
        <v>52</v>
      </c>
      <c r="C1151" s="8" t="s">
        <v>138</v>
      </c>
      <c r="D1151" s="14" t="s">
        <v>338</v>
      </c>
      <c r="E1151" s="8" t="s">
        <v>2595</v>
      </c>
      <c r="F1151" s="27" t="s">
        <v>2616</v>
      </c>
    </row>
    <row r="1152">
      <c r="A1152" s="9" t="s">
        <v>263</v>
      </c>
      <c r="B1152" s="9" t="s">
        <v>137</v>
      </c>
      <c r="C1152" s="8" t="s">
        <v>93</v>
      </c>
      <c r="D1152" s="14" t="s">
        <v>1352</v>
      </c>
      <c r="E1152" s="8" t="s">
        <v>2621</v>
      </c>
      <c r="F1152" s="27" t="s">
        <v>2583</v>
      </c>
    </row>
    <row r="1153">
      <c r="A1153" s="9" t="s">
        <v>263</v>
      </c>
      <c r="B1153" s="9" t="s">
        <v>137</v>
      </c>
      <c r="C1153" s="8" t="s">
        <v>141</v>
      </c>
      <c r="D1153" s="14" t="s">
        <v>2459</v>
      </c>
      <c r="E1153" s="8" t="s">
        <v>2610</v>
      </c>
      <c r="F1153" s="27" t="s">
        <v>2580</v>
      </c>
    </row>
    <row r="1154">
      <c r="A1154" s="9" t="s">
        <v>91</v>
      </c>
      <c r="B1154" s="9" t="s">
        <v>1492</v>
      </c>
      <c r="C1154" s="8" t="s">
        <v>46</v>
      </c>
      <c r="D1154" s="14" t="s">
        <v>1352</v>
      </c>
      <c r="E1154" s="8" t="s">
        <v>2598</v>
      </c>
      <c r="F1154" s="27" t="s">
        <v>2628</v>
      </c>
    </row>
    <row r="1155">
      <c r="A1155" s="9" t="s">
        <v>91</v>
      </c>
      <c r="B1155" s="9" t="s">
        <v>124</v>
      </c>
      <c r="C1155" s="8" t="s">
        <v>12</v>
      </c>
      <c r="D1155" s="14" t="s">
        <v>1352</v>
      </c>
      <c r="E1155" s="8" t="s">
        <v>2615</v>
      </c>
      <c r="F1155" s="27" t="s">
        <v>2557</v>
      </c>
    </row>
    <row r="1156">
      <c r="A1156" s="9" t="s">
        <v>91</v>
      </c>
      <c r="B1156" s="9" t="s">
        <v>92</v>
      </c>
      <c r="C1156" s="8" t="s">
        <v>93</v>
      </c>
      <c r="D1156" s="14" t="s">
        <v>83</v>
      </c>
      <c r="E1156" s="8" t="s">
        <v>2562</v>
      </c>
      <c r="F1156" s="27" t="s">
        <v>2578</v>
      </c>
    </row>
    <row r="1157">
      <c r="A1157" s="9" t="s">
        <v>91</v>
      </c>
      <c r="B1157" s="9" t="s">
        <v>1493</v>
      </c>
      <c r="C1157" s="8" t="s">
        <v>192</v>
      </c>
      <c r="D1157" s="14" t="s">
        <v>1352</v>
      </c>
      <c r="E1157" s="18" t="s">
        <v>2556</v>
      </c>
      <c r="F1157" s="27" t="s">
        <v>2586</v>
      </c>
    </row>
    <row r="1158">
      <c r="A1158" s="9" t="s">
        <v>91</v>
      </c>
      <c r="B1158" s="9" t="s">
        <v>391</v>
      </c>
      <c r="C1158" s="8" t="s">
        <v>122</v>
      </c>
      <c r="D1158" s="14" t="s">
        <v>338</v>
      </c>
      <c r="E1158" s="8" t="s">
        <v>2552</v>
      </c>
      <c r="F1158" s="27" t="s">
        <v>2633</v>
      </c>
    </row>
    <row r="1159">
      <c r="A1159" s="9" t="s">
        <v>91</v>
      </c>
      <c r="B1159" s="9" t="s">
        <v>137</v>
      </c>
      <c r="C1159" s="8" t="s">
        <v>93</v>
      </c>
      <c r="D1159" s="14" t="s">
        <v>1679</v>
      </c>
      <c r="E1159" s="8" t="s">
        <v>2605</v>
      </c>
      <c r="F1159" s="27" t="s">
        <v>2580</v>
      </c>
    </row>
    <row r="1160">
      <c r="A1160" s="9" t="s">
        <v>91</v>
      </c>
      <c r="B1160" s="9" t="s">
        <v>2479</v>
      </c>
      <c r="C1160" s="8" t="s">
        <v>186</v>
      </c>
      <c r="D1160" s="14" t="s">
        <v>2459</v>
      </c>
      <c r="E1160" s="8" t="s">
        <v>2587</v>
      </c>
      <c r="F1160" s="27" t="s">
        <v>2583</v>
      </c>
    </row>
    <row r="1161">
      <c r="A1161" s="9" t="s">
        <v>1857</v>
      </c>
      <c r="B1161" s="9" t="s">
        <v>1858</v>
      </c>
      <c r="C1161" s="8" t="s">
        <v>122</v>
      </c>
      <c r="D1161" s="14" t="s">
        <v>1679</v>
      </c>
      <c r="E1161" s="8" t="s">
        <v>2593</v>
      </c>
      <c r="F1161" s="27" t="s">
        <v>2555</v>
      </c>
    </row>
    <row r="1162">
      <c r="A1162" s="9" t="s">
        <v>727</v>
      </c>
      <c r="B1162" s="9" t="s">
        <v>728</v>
      </c>
      <c r="C1162" s="8" t="s">
        <v>80</v>
      </c>
      <c r="D1162" s="14" t="s">
        <v>631</v>
      </c>
      <c r="E1162" s="18" t="s">
        <v>2556</v>
      </c>
      <c r="F1162" s="27" t="s">
        <v>2625</v>
      </c>
    </row>
    <row r="1163">
      <c r="A1163" s="9" t="s">
        <v>954</v>
      </c>
      <c r="B1163" s="9" t="s">
        <v>176</v>
      </c>
      <c r="C1163" s="8" t="s">
        <v>53</v>
      </c>
      <c r="D1163" s="14" t="s">
        <v>837</v>
      </c>
      <c r="E1163" s="8" t="s">
        <v>2575</v>
      </c>
      <c r="F1163" s="27" t="s">
        <v>2599</v>
      </c>
    </row>
    <row r="1164">
      <c r="A1164" s="9" t="s">
        <v>729</v>
      </c>
      <c r="B1164" s="9" t="s">
        <v>214</v>
      </c>
      <c r="C1164" s="8" t="s">
        <v>261</v>
      </c>
      <c r="D1164" s="14" t="s">
        <v>631</v>
      </c>
      <c r="E1164" s="8" t="s">
        <v>2585</v>
      </c>
      <c r="F1164" s="27" t="s">
        <v>2625</v>
      </c>
    </row>
    <row r="1165">
      <c r="A1165" s="9" t="s">
        <v>1859</v>
      </c>
      <c r="B1165" s="9" t="s">
        <v>1860</v>
      </c>
      <c r="C1165" s="8" t="s">
        <v>53</v>
      </c>
      <c r="D1165" s="14" t="s">
        <v>1679</v>
      </c>
      <c r="E1165" s="8" t="s">
        <v>2562</v>
      </c>
      <c r="F1165" s="27" t="s">
        <v>2579</v>
      </c>
    </row>
    <row r="1166">
      <c r="A1166" s="9" t="s">
        <v>392</v>
      </c>
      <c r="B1166" s="9" t="s">
        <v>33</v>
      </c>
      <c r="C1166" s="8" t="s">
        <v>46</v>
      </c>
      <c r="D1166" s="14" t="s">
        <v>338</v>
      </c>
      <c r="E1166" s="8" t="s">
        <v>2562</v>
      </c>
      <c r="F1166" s="27" t="s">
        <v>2557</v>
      </c>
    </row>
    <row r="1167">
      <c r="A1167" s="9" t="s">
        <v>1494</v>
      </c>
      <c r="B1167" s="9" t="s">
        <v>214</v>
      </c>
      <c r="C1167" s="8" t="s">
        <v>132</v>
      </c>
      <c r="D1167" s="14" t="s">
        <v>1352</v>
      </c>
      <c r="E1167" s="8" t="s">
        <v>2615</v>
      </c>
      <c r="F1167" s="27" t="s">
        <v>2618</v>
      </c>
    </row>
    <row r="1168">
      <c r="A1168" s="9" t="s">
        <v>1863</v>
      </c>
      <c r="B1168" s="9" t="s">
        <v>1283</v>
      </c>
      <c r="C1168" s="8" t="s">
        <v>93</v>
      </c>
      <c r="D1168" s="14" t="s">
        <v>1679</v>
      </c>
      <c r="E1168" s="8" t="s">
        <v>2621</v>
      </c>
      <c r="F1168" s="27" t="s">
        <v>2609</v>
      </c>
    </row>
    <row r="1169">
      <c r="A1169" s="9" t="s">
        <v>1212</v>
      </c>
      <c r="B1169" s="9" t="s">
        <v>1213</v>
      </c>
      <c r="C1169" s="8" t="s">
        <v>59</v>
      </c>
      <c r="D1169" s="14" t="s">
        <v>1070</v>
      </c>
      <c r="E1169" s="8" t="s">
        <v>2600</v>
      </c>
      <c r="F1169" s="27" t="s">
        <v>2568</v>
      </c>
    </row>
    <row r="1170">
      <c r="A1170" s="9" t="s">
        <v>1862</v>
      </c>
      <c r="B1170" s="9" t="s">
        <v>1853</v>
      </c>
      <c r="C1170" s="8" t="s">
        <v>70</v>
      </c>
      <c r="D1170" s="14" t="s">
        <v>1679</v>
      </c>
      <c r="E1170" s="8" t="s">
        <v>2595</v>
      </c>
      <c r="F1170" s="27" t="s">
        <v>2561</v>
      </c>
    </row>
    <row r="1171">
      <c r="A1171" s="9" t="s">
        <v>1861</v>
      </c>
      <c r="B1171" s="9" t="s">
        <v>117</v>
      </c>
      <c r="C1171" s="8" t="s">
        <v>16</v>
      </c>
      <c r="D1171" s="14" t="s">
        <v>1679</v>
      </c>
      <c r="E1171" s="18" t="s">
        <v>2589</v>
      </c>
      <c r="F1171" s="27" t="s">
        <v>2626</v>
      </c>
    </row>
    <row r="1172">
      <c r="A1172" s="9" t="s">
        <v>1214</v>
      </c>
      <c r="B1172" s="9" t="s">
        <v>114</v>
      </c>
      <c r="C1172" s="8" t="s">
        <v>75</v>
      </c>
      <c r="D1172" s="14" t="s">
        <v>1070</v>
      </c>
      <c r="E1172" s="8" t="s">
        <v>2600</v>
      </c>
      <c r="F1172" s="27" t="s">
        <v>2568</v>
      </c>
    </row>
    <row r="1173">
      <c r="A1173" s="9" t="s">
        <v>730</v>
      </c>
      <c r="B1173" s="9" t="s">
        <v>731</v>
      </c>
      <c r="C1173" s="8" t="s">
        <v>138</v>
      </c>
      <c r="D1173" s="14" t="s">
        <v>631</v>
      </c>
      <c r="E1173" s="8" t="s">
        <v>2560</v>
      </c>
      <c r="F1173" s="27" t="s">
        <v>2568</v>
      </c>
    </row>
    <row r="1174">
      <c r="A1174" s="9" t="s">
        <v>1215</v>
      </c>
      <c r="B1174" s="9" t="s">
        <v>1216</v>
      </c>
      <c r="C1174" s="8" t="s">
        <v>80</v>
      </c>
      <c r="D1174" s="14" t="s">
        <v>1070</v>
      </c>
      <c r="E1174" s="8" t="s">
        <v>2598</v>
      </c>
      <c r="F1174" s="27" t="s">
        <v>2608</v>
      </c>
    </row>
    <row r="1175">
      <c r="A1175" s="9" t="s">
        <v>557</v>
      </c>
      <c r="B1175" s="9" t="s">
        <v>1495</v>
      </c>
      <c r="C1175" s="8" t="s">
        <v>192</v>
      </c>
      <c r="D1175" s="14" t="s">
        <v>1352</v>
      </c>
      <c r="E1175" s="8" t="s">
        <v>2552</v>
      </c>
      <c r="F1175" s="27" t="s">
        <v>2583</v>
      </c>
    </row>
    <row r="1176">
      <c r="A1176" s="9" t="s">
        <v>557</v>
      </c>
      <c r="B1176" s="9" t="s">
        <v>558</v>
      </c>
      <c r="C1176" s="8" t="s">
        <v>65</v>
      </c>
      <c r="D1176" s="14" t="s">
        <v>459</v>
      </c>
      <c r="E1176" s="8" t="s">
        <v>2554</v>
      </c>
      <c r="F1176" s="27" t="s">
        <v>2586</v>
      </c>
    </row>
    <row r="1177">
      <c r="A1177" s="9" t="s">
        <v>288</v>
      </c>
      <c r="B1177" s="9" t="s">
        <v>289</v>
      </c>
      <c r="C1177" s="8" t="s">
        <v>16</v>
      </c>
      <c r="D1177" s="14" t="s">
        <v>237</v>
      </c>
      <c r="E1177" s="8" t="s">
        <v>2582</v>
      </c>
      <c r="F1177" s="27" t="s">
        <v>2602</v>
      </c>
    </row>
    <row r="1178">
      <c r="A1178" s="9" t="s">
        <v>2323</v>
      </c>
      <c r="B1178" s="9" t="s">
        <v>2366</v>
      </c>
      <c r="C1178" s="8" t="s">
        <v>215</v>
      </c>
      <c r="D1178" s="14" t="s">
        <v>2296</v>
      </c>
      <c r="E1178" s="8" t="s">
        <v>2558</v>
      </c>
      <c r="F1178" s="27" t="s">
        <v>2579</v>
      </c>
    </row>
    <row r="1179">
      <c r="A1179" s="9" t="s">
        <v>290</v>
      </c>
      <c r="B1179" s="9" t="s">
        <v>45</v>
      </c>
      <c r="C1179" s="8" t="s">
        <v>141</v>
      </c>
      <c r="D1179" s="14" t="s">
        <v>237</v>
      </c>
      <c r="E1179" s="8" t="s">
        <v>2564</v>
      </c>
      <c r="F1179" s="27" t="s">
        <v>2636</v>
      </c>
    </row>
    <row r="1180">
      <c r="A1180" s="9" t="s">
        <v>290</v>
      </c>
      <c r="B1180" s="9" t="s">
        <v>472</v>
      </c>
      <c r="C1180" s="8" t="s">
        <v>24</v>
      </c>
      <c r="D1180" s="14" t="s">
        <v>459</v>
      </c>
      <c r="E1180" s="8" t="s">
        <v>2183</v>
      </c>
      <c r="F1180" s="27" t="s">
        <v>2623</v>
      </c>
    </row>
    <row r="1181">
      <c r="A1181" s="9" t="s">
        <v>559</v>
      </c>
      <c r="B1181" s="9" t="s">
        <v>560</v>
      </c>
      <c r="C1181" s="8" t="s">
        <v>75</v>
      </c>
      <c r="D1181" s="14" t="s">
        <v>459</v>
      </c>
      <c r="E1181" s="8" t="s">
        <v>2562</v>
      </c>
      <c r="F1181" s="27" t="s">
        <v>2591</v>
      </c>
    </row>
    <row r="1182">
      <c r="A1182" s="9" t="s">
        <v>561</v>
      </c>
      <c r="B1182" s="9" t="s">
        <v>562</v>
      </c>
      <c r="C1182" s="8" t="s">
        <v>149</v>
      </c>
      <c r="D1182" s="14" t="s">
        <v>459</v>
      </c>
      <c r="E1182" s="8" t="s">
        <v>2621</v>
      </c>
      <c r="F1182" s="27" t="s">
        <v>2555</v>
      </c>
    </row>
    <row r="1183">
      <c r="A1183" s="9" t="s">
        <v>561</v>
      </c>
      <c r="B1183" s="9" t="s">
        <v>558</v>
      </c>
      <c r="C1183" s="8" t="s">
        <v>93</v>
      </c>
      <c r="D1183" s="14" t="s">
        <v>1679</v>
      </c>
      <c r="E1183" s="8" t="s">
        <v>2562</v>
      </c>
      <c r="F1183" s="27" t="s">
        <v>2576</v>
      </c>
    </row>
    <row r="1184">
      <c r="A1184" s="9" t="s">
        <v>561</v>
      </c>
      <c r="B1184" s="9" t="s">
        <v>23</v>
      </c>
      <c r="C1184" s="8" t="s">
        <v>70</v>
      </c>
      <c r="D1184" s="14" t="s">
        <v>2296</v>
      </c>
      <c r="E1184" s="8" t="s">
        <v>2593</v>
      </c>
      <c r="F1184" s="27" t="s">
        <v>2563</v>
      </c>
    </row>
    <row r="1185">
      <c r="A1185" s="9" t="s">
        <v>561</v>
      </c>
      <c r="B1185" s="9" t="s">
        <v>1117</v>
      </c>
      <c r="C1185" s="8" t="s">
        <v>192</v>
      </c>
      <c r="D1185" s="14" t="s">
        <v>2033</v>
      </c>
      <c r="E1185" s="8" t="s">
        <v>2577</v>
      </c>
      <c r="F1185" s="27" t="s">
        <v>2580</v>
      </c>
    </row>
    <row r="1186">
      <c r="A1186" s="9" t="s">
        <v>561</v>
      </c>
      <c r="B1186" s="9" t="s">
        <v>67</v>
      </c>
      <c r="C1186" s="8" t="s">
        <v>141</v>
      </c>
      <c r="D1186" s="14" t="s">
        <v>1070</v>
      </c>
      <c r="E1186" s="8" t="s">
        <v>2567</v>
      </c>
      <c r="F1186" s="27" t="s">
        <v>2578</v>
      </c>
    </row>
    <row r="1187">
      <c r="A1187" s="9" t="s">
        <v>1864</v>
      </c>
      <c r="B1187" s="9" t="s">
        <v>247</v>
      </c>
      <c r="C1187" s="8" t="s">
        <v>65</v>
      </c>
      <c r="D1187" s="14" t="s">
        <v>1679</v>
      </c>
      <c r="E1187" s="8" t="s">
        <v>2183</v>
      </c>
      <c r="F1187" s="27" t="s">
        <v>2576</v>
      </c>
    </row>
    <row r="1188">
      <c r="A1188" s="9" t="s">
        <v>732</v>
      </c>
      <c r="B1188" s="9" t="s">
        <v>129</v>
      </c>
      <c r="C1188" s="8" t="s">
        <v>186</v>
      </c>
      <c r="D1188" s="14" t="s">
        <v>837</v>
      </c>
      <c r="E1188" s="8" t="s">
        <v>2552</v>
      </c>
      <c r="F1188" s="27" t="s">
        <v>2586</v>
      </c>
    </row>
    <row r="1189">
      <c r="A1189" s="9" t="s">
        <v>732</v>
      </c>
      <c r="B1189" s="9" t="s">
        <v>733</v>
      </c>
      <c r="C1189" s="8" t="s">
        <v>59</v>
      </c>
      <c r="D1189" s="14" t="s">
        <v>631</v>
      </c>
      <c r="E1189" s="8" t="s">
        <v>2603</v>
      </c>
      <c r="F1189" s="27" t="s">
        <v>2599</v>
      </c>
    </row>
    <row r="1190">
      <c r="A1190" s="9" t="s">
        <v>734</v>
      </c>
      <c r="B1190" s="9" t="s">
        <v>735</v>
      </c>
      <c r="C1190" s="8" t="s">
        <v>53</v>
      </c>
      <c r="D1190" s="14" t="s">
        <v>631</v>
      </c>
      <c r="E1190" s="8" t="s">
        <v>2554</v>
      </c>
      <c r="F1190" s="27" t="s">
        <v>2553</v>
      </c>
    </row>
    <row r="1191">
      <c r="A1191" s="9" t="s">
        <v>736</v>
      </c>
      <c r="B1191" s="9" t="s">
        <v>737</v>
      </c>
      <c r="C1191" s="8" t="s">
        <v>132</v>
      </c>
      <c r="D1191" s="14" t="s">
        <v>631</v>
      </c>
      <c r="E1191" s="8" t="s">
        <v>2582</v>
      </c>
      <c r="F1191" s="27" t="s">
        <v>2569</v>
      </c>
    </row>
    <row r="1192">
      <c r="A1192" s="9" t="s">
        <v>160</v>
      </c>
      <c r="B1192" s="9" t="s">
        <v>161</v>
      </c>
      <c r="C1192" s="8" t="s">
        <v>38</v>
      </c>
      <c r="D1192" s="14" t="s">
        <v>135</v>
      </c>
      <c r="E1192" s="8" t="s">
        <v>2621</v>
      </c>
      <c r="F1192" s="27" t="s">
        <v>2590</v>
      </c>
    </row>
    <row r="1193">
      <c r="A1193" s="9" t="s">
        <v>563</v>
      </c>
      <c r="B1193" s="9" t="s">
        <v>480</v>
      </c>
      <c r="C1193" s="8" t="s">
        <v>138</v>
      </c>
      <c r="D1193" s="14" t="s">
        <v>459</v>
      </c>
      <c r="E1193" s="8" t="s">
        <v>2620</v>
      </c>
      <c r="F1193" s="27" t="s">
        <v>2622</v>
      </c>
    </row>
    <row r="1194">
      <c r="A1194" s="9" t="s">
        <v>291</v>
      </c>
      <c r="B1194" s="9" t="s">
        <v>67</v>
      </c>
      <c r="C1194" s="8" t="s">
        <v>53</v>
      </c>
      <c r="D1194" s="14" t="s">
        <v>237</v>
      </c>
      <c r="E1194" s="8" t="s">
        <v>2582</v>
      </c>
      <c r="F1194" s="27" t="s">
        <v>2604</v>
      </c>
    </row>
    <row r="1195">
      <c r="A1195" s="9" t="s">
        <v>1217</v>
      </c>
      <c r="B1195" s="9" t="s">
        <v>362</v>
      </c>
      <c r="C1195" s="8" t="s">
        <v>16</v>
      </c>
      <c r="D1195" s="14" t="s">
        <v>1070</v>
      </c>
      <c r="E1195" s="8" t="s">
        <v>2564</v>
      </c>
      <c r="F1195" s="27" t="s">
        <v>2594</v>
      </c>
    </row>
    <row r="1196">
      <c r="A1196" s="9" t="s">
        <v>2164</v>
      </c>
      <c r="B1196" s="9" t="s">
        <v>2165</v>
      </c>
      <c r="C1196" s="8" t="s">
        <v>215</v>
      </c>
      <c r="D1196" s="14" t="s">
        <v>2033</v>
      </c>
      <c r="E1196" s="18" t="s">
        <v>2556</v>
      </c>
      <c r="F1196" s="27" t="s">
        <v>2591</v>
      </c>
    </row>
    <row r="1197">
      <c r="A1197" s="9" t="s">
        <v>1865</v>
      </c>
      <c r="B1197" s="9" t="s">
        <v>1866</v>
      </c>
      <c r="C1197" s="8" t="s">
        <v>65</v>
      </c>
      <c r="D1197" s="14" t="s">
        <v>1679</v>
      </c>
      <c r="E1197" s="8" t="s">
        <v>2582</v>
      </c>
      <c r="F1197" s="27" t="s">
        <v>2555</v>
      </c>
    </row>
    <row r="1198">
      <c r="A1198" s="9" t="s">
        <v>955</v>
      </c>
      <c r="B1198" s="9" t="s">
        <v>800</v>
      </c>
      <c r="C1198" s="8" t="s">
        <v>122</v>
      </c>
      <c r="D1198" s="14" t="s">
        <v>837</v>
      </c>
      <c r="E1198" s="8" t="s">
        <v>2554</v>
      </c>
      <c r="F1198" s="27" t="s">
        <v>2576</v>
      </c>
    </row>
    <row r="1199">
      <c r="A1199" s="9" t="s">
        <v>292</v>
      </c>
      <c r="B1199" s="9" t="s">
        <v>197</v>
      </c>
      <c r="C1199" s="8" t="s">
        <v>141</v>
      </c>
      <c r="D1199" s="14" t="s">
        <v>237</v>
      </c>
      <c r="E1199" s="8" t="s">
        <v>2581</v>
      </c>
      <c r="F1199" s="27" t="s">
        <v>2568</v>
      </c>
    </row>
    <row r="1200">
      <c r="A1200" s="9" t="s">
        <v>1218</v>
      </c>
      <c r="B1200" s="9" t="s">
        <v>1219</v>
      </c>
      <c r="C1200" s="8" t="s">
        <v>192</v>
      </c>
      <c r="D1200" s="14" t="s">
        <v>1070</v>
      </c>
      <c r="E1200" s="8" t="s">
        <v>2554</v>
      </c>
      <c r="F1200" s="27" t="s">
        <v>2591</v>
      </c>
    </row>
    <row r="1201">
      <c r="A1201" s="9" t="s">
        <v>1496</v>
      </c>
      <c r="B1201" s="9" t="s">
        <v>1473</v>
      </c>
      <c r="C1201" s="8" t="s">
        <v>192</v>
      </c>
      <c r="D1201" s="14" t="s">
        <v>1352</v>
      </c>
      <c r="E1201" s="8" t="s">
        <v>2567</v>
      </c>
      <c r="F1201" s="27" t="s">
        <v>2602</v>
      </c>
    </row>
    <row r="1202">
      <c r="A1202" s="9" t="s">
        <v>956</v>
      </c>
      <c r="B1202" s="9" t="s">
        <v>957</v>
      </c>
      <c r="C1202" s="8" t="s">
        <v>93</v>
      </c>
      <c r="D1202" s="14" t="s">
        <v>837</v>
      </c>
      <c r="E1202" s="8" t="s">
        <v>2603</v>
      </c>
      <c r="F1202" s="27" t="s">
        <v>2576</v>
      </c>
    </row>
    <row r="1203">
      <c r="A1203" s="9" t="s">
        <v>956</v>
      </c>
      <c r="B1203" s="9" t="s">
        <v>121</v>
      </c>
      <c r="C1203" s="8" t="s">
        <v>53</v>
      </c>
      <c r="D1203" s="14" t="s">
        <v>1070</v>
      </c>
      <c r="E1203" s="8" t="s">
        <v>2600</v>
      </c>
      <c r="F1203" s="27" t="s">
        <v>2609</v>
      </c>
    </row>
    <row r="1204">
      <c r="A1204" s="9" t="s">
        <v>956</v>
      </c>
      <c r="B1204" s="9" t="s">
        <v>816</v>
      </c>
      <c r="C1204" s="8" t="s">
        <v>93</v>
      </c>
      <c r="D1204" s="14" t="s">
        <v>1679</v>
      </c>
      <c r="E1204" s="8" t="s">
        <v>2572</v>
      </c>
      <c r="F1204" s="27" t="s">
        <v>2633</v>
      </c>
    </row>
    <row r="1205">
      <c r="A1205" s="9" t="s">
        <v>956</v>
      </c>
      <c r="B1205" s="9" t="s">
        <v>119</v>
      </c>
      <c r="C1205" s="8" t="s">
        <v>93</v>
      </c>
      <c r="D1205" s="14" t="s">
        <v>1679</v>
      </c>
      <c r="E1205" s="8" t="s">
        <v>2558</v>
      </c>
      <c r="F1205" s="27" t="s">
        <v>2571</v>
      </c>
    </row>
    <row r="1206">
      <c r="A1206" s="9" t="s">
        <v>255</v>
      </c>
      <c r="B1206" s="9" t="s">
        <v>726</v>
      </c>
      <c r="C1206" s="8" t="s">
        <v>65</v>
      </c>
      <c r="D1206" s="14" t="s">
        <v>2296</v>
      </c>
      <c r="E1206" s="18" t="s">
        <v>2589</v>
      </c>
      <c r="F1206" s="27" t="s">
        <v>2571</v>
      </c>
    </row>
    <row r="1207">
      <c r="A1207" s="9" t="s">
        <v>1497</v>
      </c>
      <c r="B1207" s="9" t="s">
        <v>1498</v>
      </c>
      <c r="C1207" s="8" t="s">
        <v>132</v>
      </c>
      <c r="D1207" s="14" t="s">
        <v>1352</v>
      </c>
      <c r="E1207" s="18" t="s">
        <v>2556</v>
      </c>
      <c r="F1207" s="27" t="s">
        <v>2576</v>
      </c>
    </row>
    <row r="1208">
      <c r="A1208" s="9" t="s">
        <v>564</v>
      </c>
      <c r="B1208" s="9" t="s">
        <v>565</v>
      </c>
      <c r="C1208" s="8" t="s">
        <v>93</v>
      </c>
      <c r="D1208" s="14" t="s">
        <v>459</v>
      </c>
      <c r="E1208" s="8" t="s">
        <v>2610</v>
      </c>
      <c r="F1208" s="27" t="s">
        <v>2586</v>
      </c>
    </row>
    <row r="1209">
      <c r="A1209" s="9" t="s">
        <v>958</v>
      </c>
      <c r="B1209" s="9" t="s">
        <v>726</v>
      </c>
      <c r="C1209" s="8" t="s">
        <v>59</v>
      </c>
      <c r="D1209" s="14" t="s">
        <v>837</v>
      </c>
      <c r="E1209" s="8" t="s">
        <v>2615</v>
      </c>
      <c r="F1209" s="27" t="s">
        <v>2601</v>
      </c>
    </row>
    <row r="1210">
      <c r="A1210" s="9" t="s">
        <v>1868</v>
      </c>
      <c r="B1210" s="9" t="s">
        <v>782</v>
      </c>
      <c r="C1210" s="8" t="s">
        <v>65</v>
      </c>
      <c r="D1210" s="14" t="s">
        <v>1679</v>
      </c>
      <c r="E1210" s="8" t="s">
        <v>2595</v>
      </c>
      <c r="F1210" s="27" t="s">
        <v>2557</v>
      </c>
    </row>
    <row r="1211">
      <c r="A1211" s="9" t="s">
        <v>1867</v>
      </c>
      <c r="B1211" s="9" t="s">
        <v>719</v>
      </c>
      <c r="C1211" s="8" t="s">
        <v>186</v>
      </c>
      <c r="D1211" s="14" t="s">
        <v>1679</v>
      </c>
      <c r="E1211" s="8" t="s">
        <v>2593</v>
      </c>
      <c r="F1211" s="27" t="s">
        <v>2563</v>
      </c>
    </row>
    <row r="1212">
      <c r="A1212" s="9" t="s">
        <v>1499</v>
      </c>
      <c r="B1212" s="9" t="s">
        <v>546</v>
      </c>
      <c r="C1212" s="8" t="s">
        <v>24</v>
      </c>
      <c r="D1212" s="14" t="s">
        <v>1352</v>
      </c>
      <c r="E1212" s="8" t="s">
        <v>2585</v>
      </c>
      <c r="F1212" s="27" t="s">
        <v>2561</v>
      </c>
    </row>
    <row r="1213">
      <c r="A1213" s="9" t="s">
        <v>2166</v>
      </c>
      <c r="B1213" s="9" t="s">
        <v>2167</v>
      </c>
      <c r="C1213" s="8" t="s">
        <v>16</v>
      </c>
      <c r="D1213" s="14" t="s">
        <v>2033</v>
      </c>
      <c r="E1213" s="8" t="s">
        <v>2558</v>
      </c>
      <c r="F1213" s="27" t="s">
        <v>2555</v>
      </c>
    </row>
    <row r="1214">
      <c r="A1214" s="18" t="s">
        <v>738</v>
      </c>
      <c r="B1214" s="18" t="s">
        <v>269</v>
      </c>
      <c r="C1214" s="8" t="s">
        <v>53</v>
      </c>
      <c r="D1214" s="14" t="s">
        <v>631</v>
      </c>
      <c r="E1214" s="8" t="s">
        <v>2595</v>
      </c>
      <c r="F1214" s="27" t="s">
        <v>2565</v>
      </c>
    </row>
    <row r="1215">
      <c r="A1215" s="9" t="s">
        <v>566</v>
      </c>
      <c r="B1215" s="9" t="s">
        <v>301</v>
      </c>
      <c r="C1215" s="8" t="s">
        <v>132</v>
      </c>
      <c r="D1215" s="14" t="s">
        <v>459</v>
      </c>
      <c r="E1215" s="8" t="s">
        <v>2552</v>
      </c>
      <c r="F1215" s="27" t="s">
        <v>2565</v>
      </c>
    </row>
    <row r="1216">
      <c r="A1216" s="9" t="s">
        <v>2367</v>
      </c>
      <c r="B1216" s="9" t="s">
        <v>121</v>
      </c>
      <c r="C1216" s="8" t="s">
        <v>149</v>
      </c>
      <c r="D1216" s="14" t="s">
        <v>2296</v>
      </c>
      <c r="E1216" s="8" t="s">
        <v>2614</v>
      </c>
      <c r="F1216" s="27" t="s">
        <v>2569</v>
      </c>
    </row>
    <row r="1217">
      <c r="A1217" s="9" t="s">
        <v>2368</v>
      </c>
      <c r="B1217" s="9" t="s">
        <v>2081</v>
      </c>
      <c r="C1217" s="8" t="s">
        <v>24</v>
      </c>
      <c r="D1217" s="14" t="s">
        <v>2296</v>
      </c>
      <c r="E1217" s="8" t="s">
        <v>2587</v>
      </c>
      <c r="F1217" s="27" t="s">
        <v>2622</v>
      </c>
    </row>
    <row r="1218">
      <c r="A1218" s="9" t="s">
        <v>40</v>
      </c>
      <c r="B1218" s="9" t="s">
        <v>41</v>
      </c>
      <c r="C1218" s="8" t="s">
        <v>38</v>
      </c>
      <c r="D1218" s="14" t="s">
        <v>39</v>
      </c>
      <c r="E1218" s="8" t="s">
        <v>2575</v>
      </c>
      <c r="F1218" s="27" t="s">
        <v>2625</v>
      </c>
    </row>
    <row r="1219">
      <c r="A1219" s="9" t="s">
        <v>1500</v>
      </c>
      <c r="B1219" s="9" t="s">
        <v>1501</v>
      </c>
      <c r="C1219" s="8" t="s">
        <v>141</v>
      </c>
      <c r="D1219" s="14" t="s">
        <v>1352</v>
      </c>
      <c r="E1219" s="8" t="s">
        <v>2554</v>
      </c>
      <c r="F1219" s="27" t="s">
        <v>2617</v>
      </c>
    </row>
    <row r="1220">
      <c r="A1220" s="9" t="s">
        <v>1869</v>
      </c>
      <c r="B1220" s="9" t="s">
        <v>798</v>
      </c>
      <c r="C1220" s="8" t="s">
        <v>75</v>
      </c>
      <c r="D1220" s="14" t="s">
        <v>1679</v>
      </c>
      <c r="E1220" s="8" t="s">
        <v>2593</v>
      </c>
      <c r="F1220" s="27" t="s">
        <v>2618</v>
      </c>
    </row>
    <row r="1221">
      <c r="A1221" s="9" t="s">
        <v>1220</v>
      </c>
      <c r="B1221" s="9" t="s">
        <v>50</v>
      </c>
      <c r="C1221" s="8" t="s">
        <v>24</v>
      </c>
      <c r="D1221" s="14" t="s">
        <v>1070</v>
      </c>
      <c r="E1221" s="8" t="s">
        <v>2584</v>
      </c>
      <c r="F1221" s="27" t="s">
        <v>2591</v>
      </c>
    </row>
    <row r="1222">
      <c r="A1222" s="9" t="s">
        <v>1502</v>
      </c>
      <c r="B1222" s="9" t="s">
        <v>1503</v>
      </c>
      <c r="C1222" s="8" t="s">
        <v>215</v>
      </c>
      <c r="D1222" s="14" t="s">
        <v>1352</v>
      </c>
      <c r="E1222" s="8" t="s">
        <v>2183</v>
      </c>
      <c r="F1222" s="27" t="s">
        <v>2622</v>
      </c>
    </row>
    <row r="1223">
      <c r="A1223" s="9" t="s">
        <v>567</v>
      </c>
      <c r="B1223" s="9" t="s">
        <v>494</v>
      </c>
      <c r="C1223" s="8" t="s">
        <v>24</v>
      </c>
      <c r="D1223" s="14" t="s">
        <v>459</v>
      </c>
      <c r="E1223" s="8" t="s">
        <v>2620</v>
      </c>
      <c r="F1223" s="27" t="s">
        <v>21</v>
      </c>
    </row>
    <row r="1224">
      <c r="A1224" s="9" t="s">
        <v>1221</v>
      </c>
      <c r="B1224" s="9" t="s">
        <v>676</v>
      </c>
      <c r="C1224" s="8" t="s">
        <v>24</v>
      </c>
      <c r="D1224" s="14" t="s">
        <v>1070</v>
      </c>
      <c r="E1224" s="8" t="s">
        <v>2587</v>
      </c>
      <c r="F1224" s="27" t="s">
        <v>2586</v>
      </c>
    </row>
    <row r="1225">
      <c r="A1225" s="9" t="s">
        <v>739</v>
      </c>
      <c r="B1225" s="9" t="s">
        <v>320</v>
      </c>
      <c r="C1225" s="8" t="s">
        <v>186</v>
      </c>
      <c r="D1225" s="14" t="s">
        <v>631</v>
      </c>
      <c r="E1225" s="8" t="s">
        <v>2574</v>
      </c>
      <c r="F1225" s="27" t="s">
        <v>2632</v>
      </c>
    </row>
    <row r="1226">
      <c r="A1226" s="9" t="s">
        <v>959</v>
      </c>
      <c r="B1226" s="9" t="s">
        <v>299</v>
      </c>
      <c r="C1226" s="8" t="s">
        <v>65</v>
      </c>
      <c r="D1226" s="14" t="s">
        <v>837</v>
      </c>
      <c r="E1226" s="8" t="s">
        <v>2558</v>
      </c>
      <c r="F1226" s="27" t="s">
        <v>2557</v>
      </c>
    </row>
    <row r="1227">
      <c r="A1227" s="9" t="s">
        <v>1222</v>
      </c>
      <c r="B1227" s="9" t="s">
        <v>500</v>
      </c>
      <c r="C1227" s="8" t="s">
        <v>65</v>
      </c>
      <c r="D1227" s="14" t="s">
        <v>1070</v>
      </c>
      <c r="E1227" s="8" t="s">
        <v>2593</v>
      </c>
      <c r="F1227" s="27" t="s">
        <v>2611</v>
      </c>
    </row>
    <row r="1228">
      <c r="A1228" s="9" t="s">
        <v>1222</v>
      </c>
      <c r="B1228" s="9" t="s">
        <v>2369</v>
      </c>
      <c r="C1228" s="8" t="s">
        <v>186</v>
      </c>
      <c r="D1228" s="14" t="s">
        <v>2296</v>
      </c>
      <c r="E1228" s="8" t="s">
        <v>2593</v>
      </c>
      <c r="F1228" s="27" t="s">
        <v>2612</v>
      </c>
    </row>
    <row r="1229">
      <c r="A1229" s="9" t="s">
        <v>570</v>
      </c>
      <c r="B1229" s="9" t="s">
        <v>129</v>
      </c>
      <c r="C1229" s="8" t="s">
        <v>132</v>
      </c>
      <c r="D1229" s="14" t="s">
        <v>459</v>
      </c>
      <c r="E1229" s="8" t="s">
        <v>2615</v>
      </c>
      <c r="F1229" s="27" t="s">
        <v>2576</v>
      </c>
    </row>
    <row r="1230">
      <c r="A1230" s="9" t="s">
        <v>1223</v>
      </c>
      <c r="B1230" s="9" t="s">
        <v>231</v>
      </c>
      <c r="C1230" s="8" t="s">
        <v>186</v>
      </c>
      <c r="D1230" s="14" t="s">
        <v>1070</v>
      </c>
      <c r="E1230" s="8" t="s">
        <v>2605</v>
      </c>
      <c r="F1230" s="27" t="s">
        <v>2571</v>
      </c>
    </row>
    <row r="1231">
      <c r="A1231" s="9" t="s">
        <v>568</v>
      </c>
      <c r="B1231" s="9" t="s">
        <v>569</v>
      </c>
      <c r="C1231" s="8" t="s">
        <v>59</v>
      </c>
      <c r="D1231" s="14" t="s">
        <v>459</v>
      </c>
      <c r="E1231" s="8" t="s">
        <v>2587</v>
      </c>
      <c r="F1231" s="27" t="s">
        <v>2563</v>
      </c>
    </row>
    <row r="1232">
      <c r="A1232" s="9" t="s">
        <v>1224</v>
      </c>
      <c r="B1232" s="9" t="s">
        <v>33</v>
      </c>
      <c r="C1232" s="8" t="s">
        <v>24</v>
      </c>
      <c r="D1232" s="14" t="s">
        <v>1070</v>
      </c>
      <c r="E1232" s="8" t="s">
        <v>2600</v>
      </c>
      <c r="F1232" s="27" t="s">
        <v>2591</v>
      </c>
    </row>
    <row r="1233">
      <c r="A1233" s="9" t="s">
        <v>962</v>
      </c>
      <c r="B1233" s="9" t="s">
        <v>333</v>
      </c>
      <c r="C1233" s="8" t="s">
        <v>192</v>
      </c>
      <c r="D1233" s="14" t="s">
        <v>837</v>
      </c>
      <c r="E1233" s="8" t="s">
        <v>2566</v>
      </c>
      <c r="F1233" s="27" t="s">
        <v>2580</v>
      </c>
    </row>
    <row r="1234">
      <c r="A1234" s="18" t="s">
        <v>25</v>
      </c>
      <c r="B1234" s="18" t="s">
        <v>26</v>
      </c>
      <c r="C1234" s="8" t="s">
        <v>24</v>
      </c>
      <c r="D1234" s="14" t="s">
        <v>27</v>
      </c>
      <c r="E1234" s="8" t="s">
        <v>2614</v>
      </c>
      <c r="F1234" s="27" t="s">
        <v>2624</v>
      </c>
    </row>
    <row r="1235">
      <c r="A1235" s="9" t="s">
        <v>761</v>
      </c>
      <c r="B1235" s="9" t="s">
        <v>1633</v>
      </c>
      <c r="C1235" s="8" t="s">
        <v>186</v>
      </c>
      <c r="D1235" s="14" t="s">
        <v>2459</v>
      </c>
      <c r="E1235" s="8" t="s">
        <v>2554</v>
      </c>
      <c r="F1235" s="27" t="s">
        <v>2576</v>
      </c>
    </row>
    <row r="1236">
      <c r="A1236" s="9" t="s">
        <v>740</v>
      </c>
      <c r="B1236" s="9" t="s">
        <v>301</v>
      </c>
      <c r="C1236" s="8" t="s">
        <v>12</v>
      </c>
      <c r="D1236" s="14" t="s">
        <v>631</v>
      </c>
      <c r="E1236" s="8" t="s">
        <v>2584</v>
      </c>
      <c r="F1236" s="27" t="s">
        <v>2608</v>
      </c>
    </row>
    <row r="1237">
      <c r="A1237" s="9" t="s">
        <v>960</v>
      </c>
      <c r="B1237" s="9" t="s">
        <v>961</v>
      </c>
      <c r="C1237" s="8" t="s">
        <v>149</v>
      </c>
      <c r="D1237" s="14" t="s">
        <v>837</v>
      </c>
      <c r="E1237" s="8" t="s">
        <v>2615</v>
      </c>
      <c r="F1237" s="27" t="s">
        <v>2568</v>
      </c>
    </row>
    <row r="1238">
      <c r="A1238" s="9" t="s">
        <v>2168</v>
      </c>
      <c r="B1238" s="9" t="s">
        <v>275</v>
      </c>
      <c r="C1238" s="8" t="s">
        <v>192</v>
      </c>
      <c r="D1238" s="14" t="s">
        <v>2033</v>
      </c>
      <c r="E1238" s="8" t="s">
        <v>2581</v>
      </c>
      <c r="F1238" s="27" t="s">
        <v>2618</v>
      </c>
    </row>
    <row r="1239">
      <c r="A1239" s="9" t="s">
        <v>1504</v>
      </c>
      <c r="B1239" s="9" t="s">
        <v>1505</v>
      </c>
      <c r="C1239" s="8" t="s">
        <v>132</v>
      </c>
      <c r="D1239" s="14" t="s">
        <v>1352</v>
      </c>
      <c r="E1239" s="8" t="s">
        <v>2572</v>
      </c>
      <c r="F1239" s="27" t="s">
        <v>2602</v>
      </c>
    </row>
    <row r="1240">
      <c r="A1240" s="9" t="s">
        <v>1870</v>
      </c>
      <c r="B1240" s="9" t="s">
        <v>676</v>
      </c>
      <c r="C1240" s="8" t="s">
        <v>122</v>
      </c>
      <c r="D1240" s="14" t="s">
        <v>1679</v>
      </c>
      <c r="E1240" s="8" t="s">
        <v>2558</v>
      </c>
      <c r="F1240" s="27" t="s">
        <v>2591</v>
      </c>
    </row>
    <row r="1241">
      <c r="A1241" s="9" t="s">
        <v>1225</v>
      </c>
      <c r="B1241" s="9" t="s">
        <v>275</v>
      </c>
      <c r="C1241" s="8" t="s">
        <v>59</v>
      </c>
      <c r="D1241" s="14" t="s">
        <v>1070</v>
      </c>
      <c r="E1241" s="8" t="s">
        <v>2562</v>
      </c>
      <c r="F1241" s="27" t="s">
        <v>2612</v>
      </c>
    </row>
    <row r="1242">
      <c r="A1242" s="9" t="s">
        <v>1226</v>
      </c>
      <c r="B1242" s="9" t="s">
        <v>1467</v>
      </c>
      <c r="C1242" s="8" t="s">
        <v>59</v>
      </c>
      <c r="D1242" s="14" t="s">
        <v>2033</v>
      </c>
      <c r="E1242" s="8" t="s">
        <v>2621</v>
      </c>
      <c r="F1242" s="27" t="s">
        <v>2586</v>
      </c>
    </row>
    <row r="1243">
      <c r="A1243" s="9" t="s">
        <v>1226</v>
      </c>
      <c r="B1243" s="9" t="s">
        <v>1227</v>
      </c>
      <c r="C1243" s="8" t="s">
        <v>65</v>
      </c>
      <c r="D1243" s="14" t="s">
        <v>1070</v>
      </c>
      <c r="E1243" s="8" t="s">
        <v>2615</v>
      </c>
      <c r="F1243" s="27" t="s">
        <v>2611</v>
      </c>
    </row>
    <row r="1244">
      <c r="A1244" s="9" t="s">
        <v>963</v>
      </c>
      <c r="B1244" s="9" t="s">
        <v>822</v>
      </c>
      <c r="C1244" s="8" t="s">
        <v>70</v>
      </c>
      <c r="D1244" s="14" t="s">
        <v>837</v>
      </c>
      <c r="E1244" s="8" t="s">
        <v>2598</v>
      </c>
      <c r="F1244" s="27" t="s">
        <v>2594</v>
      </c>
    </row>
    <row r="1245">
      <c r="A1245" s="9" t="s">
        <v>1228</v>
      </c>
      <c r="B1245" s="9" t="s">
        <v>1229</v>
      </c>
      <c r="C1245" s="8" t="s">
        <v>186</v>
      </c>
      <c r="D1245" s="14" t="s">
        <v>1070</v>
      </c>
      <c r="E1245" s="8" t="s">
        <v>2560</v>
      </c>
      <c r="F1245" s="27" t="s">
        <v>2583</v>
      </c>
    </row>
    <row r="1246">
      <c r="A1246" s="9" t="s">
        <v>1871</v>
      </c>
      <c r="B1246" s="9" t="s">
        <v>1872</v>
      </c>
      <c r="C1246" s="8" t="s">
        <v>65</v>
      </c>
      <c r="D1246" s="14" t="s">
        <v>1679</v>
      </c>
      <c r="E1246" s="8" t="s">
        <v>2620</v>
      </c>
      <c r="F1246" s="27" t="s">
        <v>2583</v>
      </c>
    </row>
    <row r="1247">
      <c r="A1247" s="9" t="s">
        <v>1230</v>
      </c>
      <c r="B1247" s="9" t="s">
        <v>212</v>
      </c>
      <c r="C1247" s="8" t="s">
        <v>215</v>
      </c>
      <c r="D1247" s="14" t="s">
        <v>1070</v>
      </c>
      <c r="E1247" s="8" t="s">
        <v>2572</v>
      </c>
      <c r="F1247" s="27" t="s">
        <v>2579</v>
      </c>
    </row>
    <row r="1248">
      <c r="A1248" s="18" t="s">
        <v>1873</v>
      </c>
      <c r="B1248" s="18" t="s">
        <v>1128</v>
      </c>
      <c r="C1248" s="8" t="s">
        <v>93</v>
      </c>
      <c r="D1248" s="14" t="s">
        <v>1679</v>
      </c>
      <c r="E1248" s="8" t="s">
        <v>2584</v>
      </c>
      <c r="F1248" s="27" t="s">
        <v>2623</v>
      </c>
    </row>
    <row r="1249">
      <c r="A1249" s="9" t="s">
        <v>210</v>
      </c>
      <c r="B1249" s="9" t="s">
        <v>114</v>
      </c>
      <c r="C1249" s="8" t="s">
        <v>75</v>
      </c>
      <c r="D1249" s="14" t="s">
        <v>189</v>
      </c>
      <c r="E1249" s="8" t="s">
        <v>2605</v>
      </c>
      <c r="F1249" s="27" t="s">
        <v>2580</v>
      </c>
    </row>
    <row r="1250">
      <c r="A1250" s="9" t="s">
        <v>210</v>
      </c>
      <c r="B1250" s="9" t="s">
        <v>676</v>
      </c>
      <c r="C1250" s="8" t="s">
        <v>141</v>
      </c>
      <c r="D1250" s="14" t="s">
        <v>631</v>
      </c>
      <c r="E1250" s="8" t="s">
        <v>2574</v>
      </c>
      <c r="F1250" s="27" t="s">
        <v>2583</v>
      </c>
    </row>
    <row r="1251">
      <c r="A1251" s="9" t="s">
        <v>2370</v>
      </c>
      <c r="B1251" s="9" t="s">
        <v>263</v>
      </c>
      <c r="C1251" s="8" t="s">
        <v>65</v>
      </c>
      <c r="D1251" s="14" t="s">
        <v>2296</v>
      </c>
      <c r="E1251" s="8" t="s">
        <v>2575</v>
      </c>
      <c r="F1251" s="27" t="s">
        <v>2563</v>
      </c>
    </row>
    <row r="1252">
      <c r="A1252" s="9" t="s">
        <v>1231</v>
      </c>
      <c r="B1252" s="9" t="s">
        <v>362</v>
      </c>
      <c r="C1252" s="8" t="s">
        <v>65</v>
      </c>
      <c r="D1252" s="14" t="s">
        <v>1070</v>
      </c>
      <c r="E1252" s="8" t="s">
        <v>2566</v>
      </c>
      <c r="F1252" s="27" t="s">
        <v>2602</v>
      </c>
    </row>
    <row r="1253">
      <c r="A1253" s="9" t="s">
        <v>2169</v>
      </c>
      <c r="B1253" s="9" t="s">
        <v>2170</v>
      </c>
      <c r="C1253" s="8" t="s">
        <v>93</v>
      </c>
      <c r="D1253" s="14" t="s">
        <v>2033</v>
      </c>
      <c r="E1253" s="8" t="s">
        <v>2595</v>
      </c>
      <c r="F1253" s="27" t="s">
        <v>2604</v>
      </c>
    </row>
    <row r="1254">
      <c r="A1254" s="9" t="s">
        <v>1875</v>
      </c>
      <c r="B1254" s="9" t="s">
        <v>214</v>
      </c>
      <c r="C1254" s="8" t="s">
        <v>16</v>
      </c>
      <c r="D1254" s="14" t="s">
        <v>1679</v>
      </c>
      <c r="E1254" s="8" t="s">
        <v>2566</v>
      </c>
      <c r="F1254" s="27" t="s">
        <v>2576</v>
      </c>
    </row>
    <row r="1255">
      <c r="A1255" s="9" t="s">
        <v>1874</v>
      </c>
      <c r="B1255" s="9" t="s">
        <v>381</v>
      </c>
      <c r="C1255" s="8" t="s">
        <v>53</v>
      </c>
      <c r="D1255" s="14" t="s">
        <v>1679</v>
      </c>
      <c r="E1255" s="8" t="s">
        <v>2593</v>
      </c>
      <c r="F1255" s="27" t="s">
        <v>2579</v>
      </c>
    </row>
    <row r="1256">
      <c r="A1256" s="9" t="s">
        <v>524</v>
      </c>
      <c r="B1256" s="9" t="s">
        <v>964</v>
      </c>
      <c r="C1256" s="8" t="s">
        <v>138</v>
      </c>
      <c r="D1256" s="14" t="s">
        <v>837</v>
      </c>
      <c r="E1256" s="8" t="s">
        <v>2614</v>
      </c>
      <c r="F1256" s="27" t="s">
        <v>2596</v>
      </c>
    </row>
    <row r="1257">
      <c r="A1257" s="9" t="s">
        <v>524</v>
      </c>
      <c r="B1257" s="9" t="s">
        <v>1232</v>
      </c>
      <c r="C1257" s="8" t="s">
        <v>122</v>
      </c>
      <c r="D1257" s="14" t="s">
        <v>1070</v>
      </c>
      <c r="E1257" s="8" t="s">
        <v>2615</v>
      </c>
      <c r="F1257" s="27" t="s">
        <v>2580</v>
      </c>
    </row>
    <row r="1258">
      <c r="A1258" s="9" t="s">
        <v>524</v>
      </c>
      <c r="B1258" s="9" t="s">
        <v>2450</v>
      </c>
      <c r="C1258" s="8" t="s">
        <v>122</v>
      </c>
      <c r="D1258" s="14" t="s">
        <v>2459</v>
      </c>
      <c r="E1258" s="8" t="s">
        <v>2566</v>
      </c>
      <c r="F1258" s="27" t="s">
        <v>2571</v>
      </c>
    </row>
    <row r="1259">
      <c r="A1259" s="9" t="s">
        <v>741</v>
      </c>
      <c r="B1259" s="9" t="s">
        <v>881</v>
      </c>
      <c r="C1259" s="8" t="s">
        <v>215</v>
      </c>
      <c r="D1259" s="14" t="s">
        <v>1679</v>
      </c>
      <c r="E1259" s="8" t="s">
        <v>2610</v>
      </c>
      <c r="F1259" s="27" t="s">
        <v>2599</v>
      </c>
    </row>
    <row r="1260">
      <c r="A1260" s="9" t="s">
        <v>741</v>
      </c>
      <c r="B1260" s="9" t="s">
        <v>742</v>
      </c>
      <c r="C1260" s="8" t="s">
        <v>93</v>
      </c>
      <c r="D1260" s="14" t="s">
        <v>631</v>
      </c>
      <c r="E1260" s="18" t="s">
        <v>2556</v>
      </c>
      <c r="F1260" s="27" t="s">
        <v>2601</v>
      </c>
    </row>
    <row r="1261">
      <c r="A1261" s="9" t="s">
        <v>741</v>
      </c>
      <c r="B1261" s="9" t="s">
        <v>1241</v>
      </c>
      <c r="C1261" s="8" t="s">
        <v>138</v>
      </c>
      <c r="D1261" s="14" t="s">
        <v>1352</v>
      </c>
      <c r="E1261" s="8" t="s">
        <v>2587</v>
      </c>
      <c r="F1261" s="27" t="s">
        <v>2586</v>
      </c>
    </row>
    <row r="1262">
      <c r="A1262" s="9" t="s">
        <v>2480</v>
      </c>
      <c r="B1262" s="9" t="s">
        <v>381</v>
      </c>
      <c r="C1262" s="8" t="s">
        <v>93</v>
      </c>
      <c r="D1262" s="14" t="s">
        <v>2459</v>
      </c>
      <c r="E1262" s="8" t="s">
        <v>2577</v>
      </c>
      <c r="F1262" s="27" t="s">
        <v>2557</v>
      </c>
    </row>
    <row r="1263">
      <c r="A1263" s="9" t="s">
        <v>2171</v>
      </c>
      <c r="B1263" s="9" t="s">
        <v>460</v>
      </c>
      <c r="C1263" s="8" t="s">
        <v>65</v>
      </c>
      <c r="D1263" s="14" t="s">
        <v>2033</v>
      </c>
      <c r="E1263" s="8" t="s">
        <v>2558</v>
      </c>
      <c r="F1263" s="27" t="s">
        <v>2583</v>
      </c>
    </row>
    <row r="1264">
      <c r="A1264" s="9" t="s">
        <v>393</v>
      </c>
      <c r="B1264" s="9" t="s">
        <v>394</v>
      </c>
      <c r="C1264" s="8" t="s">
        <v>75</v>
      </c>
      <c r="D1264" s="14" t="s">
        <v>338</v>
      </c>
      <c r="E1264" s="8" t="s">
        <v>2620</v>
      </c>
      <c r="F1264" s="27" t="s">
        <v>2607</v>
      </c>
    </row>
    <row r="1265">
      <c r="A1265" s="9" t="s">
        <v>1506</v>
      </c>
      <c r="B1265" s="9" t="s">
        <v>1507</v>
      </c>
      <c r="C1265" s="8" t="s">
        <v>192</v>
      </c>
      <c r="D1265" s="14" t="s">
        <v>1352</v>
      </c>
      <c r="E1265" s="18" t="s">
        <v>2556</v>
      </c>
      <c r="F1265" s="27" t="s">
        <v>2576</v>
      </c>
    </row>
    <row r="1266">
      <c r="A1266" s="18" t="s">
        <v>1508</v>
      </c>
      <c r="B1266" s="18" t="s">
        <v>1509</v>
      </c>
      <c r="C1266" s="8" t="s">
        <v>93</v>
      </c>
      <c r="D1266" s="14" t="s">
        <v>1352</v>
      </c>
      <c r="E1266" s="8" t="s">
        <v>2564</v>
      </c>
      <c r="F1266" s="27" t="s">
        <v>2602</v>
      </c>
    </row>
    <row r="1267">
      <c r="A1267" s="9" t="s">
        <v>1510</v>
      </c>
      <c r="B1267" s="9" t="s">
        <v>798</v>
      </c>
      <c r="C1267" s="8" t="s">
        <v>215</v>
      </c>
      <c r="D1267" s="14" t="s">
        <v>1352</v>
      </c>
      <c r="E1267" s="8" t="s">
        <v>2592</v>
      </c>
      <c r="F1267" s="27" t="s">
        <v>2568</v>
      </c>
    </row>
    <row r="1268">
      <c r="A1268" s="9" t="s">
        <v>1510</v>
      </c>
      <c r="B1268" s="9" t="s">
        <v>842</v>
      </c>
      <c r="C1268" s="8" t="s">
        <v>138</v>
      </c>
      <c r="D1268" s="14" t="s">
        <v>2459</v>
      </c>
      <c r="E1268" s="8" t="s">
        <v>2581</v>
      </c>
      <c r="F1268" s="27" t="s">
        <v>2555</v>
      </c>
    </row>
    <row r="1269">
      <c r="A1269" s="9" t="s">
        <v>42</v>
      </c>
      <c r="B1269" s="9" t="s">
        <v>43</v>
      </c>
      <c r="C1269" s="8" t="s">
        <v>38</v>
      </c>
      <c r="D1269" s="14" t="s">
        <v>39</v>
      </c>
      <c r="E1269" s="18" t="s">
        <v>2589</v>
      </c>
      <c r="F1269" s="27" t="s">
        <v>2590</v>
      </c>
    </row>
    <row r="1270">
      <c r="A1270" s="9" t="s">
        <v>42</v>
      </c>
      <c r="B1270" s="9" t="s">
        <v>1876</v>
      </c>
      <c r="C1270" s="8" t="s">
        <v>186</v>
      </c>
      <c r="D1270" s="14" t="s">
        <v>1679</v>
      </c>
      <c r="E1270" s="8" t="s">
        <v>2183</v>
      </c>
      <c r="F1270" s="27" t="s">
        <v>2602</v>
      </c>
    </row>
    <row r="1271">
      <c r="A1271" s="9" t="s">
        <v>42</v>
      </c>
      <c r="B1271" s="9" t="s">
        <v>1528</v>
      </c>
      <c r="C1271" s="8" t="s">
        <v>59</v>
      </c>
      <c r="D1271" s="14" t="s">
        <v>2033</v>
      </c>
      <c r="E1271" s="8" t="s">
        <v>2585</v>
      </c>
      <c r="F1271" s="27" t="s">
        <v>2563</v>
      </c>
    </row>
    <row r="1272">
      <c r="A1272" s="9" t="s">
        <v>42</v>
      </c>
      <c r="B1272" s="9" t="s">
        <v>129</v>
      </c>
      <c r="C1272" s="8" t="s">
        <v>138</v>
      </c>
      <c r="D1272" s="14" t="s">
        <v>1352</v>
      </c>
      <c r="E1272" s="8" t="s">
        <v>2554</v>
      </c>
      <c r="F1272" s="27" t="s">
        <v>2579</v>
      </c>
    </row>
    <row r="1273">
      <c r="A1273" s="9" t="s">
        <v>42</v>
      </c>
      <c r="B1273" s="9" t="s">
        <v>965</v>
      </c>
      <c r="C1273" s="8" t="s">
        <v>65</v>
      </c>
      <c r="D1273" s="14" t="s">
        <v>837</v>
      </c>
      <c r="E1273" s="8" t="s">
        <v>2584</v>
      </c>
      <c r="F1273" s="27" t="s">
        <v>2607</v>
      </c>
    </row>
    <row r="1274">
      <c r="A1274" s="9" t="s">
        <v>42</v>
      </c>
      <c r="B1274" s="9" t="s">
        <v>2172</v>
      </c>
      <c r="C1274" s="8" t="s">
        <v>59</v>
      </c>
      <c r="D1274" s="14" t="s">
        <v>2033</v>
      </c>
      <c r="E1274" s="18" t="s">
        <v>2556</v>
      </c>
      <c r="F1274" s="27" t="s">
        <v>2565</v>
      </c>
    </row>
    <row r="1275">
      <c r="A1275" s="9" t="s">
        <v>42</v>
      </c>
      <c r="B1275" s="9" t="s">
        <v>162</v>
      </c>
      <c r="C1275" s="8" t="s">
        <v>53</v>
      </c>
      <c r="D1275" s="14" t="s">
        <v>135</v>
      </c>
      <c r="E1275" s="8" t="s">
        <v>2614</v>
      </c>
      <c r="F1275" s="27" t="s">
        <v>2611</v>
      </c>
    </row>
    <row r="1276">
      <c r="A1276" s="9" t="s">
        <v>42</v>
      </c>
      <c r="B1276" s="9" t="s">
        <v>1803</v>
      </c>
      <c r="C1276" s="8" t="s">
        <v>16</v>
      </c>
      <c r="D1276" s="14" t="s">
        <v>1679</v>
      </c>
      <c r="E1276" s="8" t="s">
        <v>2584</v>
      </c>
      <c r="F1276" s="27" t="s">
        <v>13</v>
      </c>
    </row>
    <row r="1277">
      <c r="A1277" s="9" t="s">
        <v>1877</v>
      </c>
      <c r="B1277" s="9" t="s">
        <v>263</v>
      </c>
      <c r="C1277" s="8" t="s">
        <v>24</v>
      </c>
      <c r="D1277" s="14" t="s">
        <v>1679</v>
      </c>
      <c r="E1277" s="8" t="s">
        <v>2592</v>
      </c>
      <c r="F1277" s="27" t="s">
        <v>2591</v>
      </c>
    </row>
    <row r="1278">
      <c r="A1278" s="9" t="s">
        <v>966</v>
      </c>
      <c r="B1278" s="9" t="s">
        <v>357</v>
      </c>
      <c r="C1278" s="8" t="s">
        <v>46</v>
      </c>
      <c r="D1278" s="14" t="s">
        <v>837</v>
      </c>
      <c r="E1278" s="8" t="s">
        <v>2605</v>
      </c>
      <c r="F1278" s="27" t="s">
        <v>2578</v>
      </c>
    </row>
    <row r="1279">
      <c r="A1279" s="9" t="s">
        <v>1878</v>
      </c>
      <c r="B1279" s="9" t="s">
        <v>1879</v>
      </c>
      <c r="C1279" s="8" t="s">
        <v>65</v>
      </c>
      <c r="D1279" s="14" t="s">
        <v>1679</v>
      </c>
      <c r="E1279" s="8" t="s">
        <v>2614</v>
      </c>
      <c r="F1279" s="27" t="s">
        <v>2555</v>
      </c>
    </row>
    <row r="1280">
      <c r="A1280" s="9" t="s">
        <v>1172</v>
      </c>
      <c r="B1280" s="9" t="s">
        <v>800</v>
      </c>
      <c r="C1280" s="8" t="s">
        <v>53</v>
      </c>
      <c r="D1280" s="14" t="s">
        <v>1679</v>
      </c>
      <c r="E1280" s="8" t="s">
        <v>2567</v>
      </c>
      <c r="F1280" s="27" t="s">
        <v>2611</v>
      </c>
    </row>
    <row r="1281">
      <c r="A1281" s="9" t="s">
        <v>1172</v>
      </c>
      <c r="B1281" s="9" t="s">
        <v>612</v>
      </c>
      <c r="C1281" s="8" t="s">
        <v>149</v>
      </c>
      <c r="D1281" s="14" t="s">
        <v>2296</v>
      </c>
      <c r="E1281" s="8" t="s">
        <v>2562</v>
      </c>
      <c r="F1281" s="27" t="s">
        <v>2606</v>
      </c>
    </row>
    <row r="1282">
      <c r="A1282" s="9" t="s">
        <v>1511</v>
      </c>
      <c r="B1282" s="9" t="s">
        <v>304</v>
      </c>
      <c r="C1282" s="8" t="s">
        <v>141</v>
      </c>
      <c r="D1282" s="14" t="s">
        <v>1352</v>
      </c>
      <c r="E1282" s="8" t="s">
        <v>2621</v>
      </c>
      <c r="F1282" s="27" t="s">
        <v>2580</v>
      </c>
    </row>
    <row r="1283">
      <c r="A1283" s="9" t="s">
        <v>211</v>
      </c>
      <c r="B1283" s="9" t="s">
        <v>212</v>
      </c>
      <c r="C1283" s="8" t="s">
        <v>192</v>
      </c>
      <c r="D1283" s="14" t="s">
        <v>189</v>
      </c>
      <c r="E1283" s="8" t="s">
        <v>2575</v>
      </c>
      <c r="F1283" s="27" t="s">
        <v>2571</v>
      </c>
    </row>
    <row r="1284">
      <c r="A1284" s="9" t="s">
        <v>743</v>
      </c>
      <c r="B1284" s="9" t="s">
        <v>441</v>
      </c>
      <c r="C1284" s="8" t="s">
        <v>46</v>
      </c>
      <c r="D1284" s="14" t="s">
        <v>631</v>
      </c>
      <c r="E1284" s="8" t="s">
        <v>2621</v>
      </c>
      <c r="F1284" s="27" t="s">
        <v>2599</v>
      </c>
    </row>
    <row r="1285">
      <c r="A1285" s="9" t="s">
        <v>94</v>
      </c>
      <c r="B1285" s="9" t="s">
        <v>100</v>
      </c>
      <c r="C1285" s="8" t="s">
        <v>75</v>
      </c>
      <c r="D1285" s="14" t="s">
        <v>837</v>
      </c>
      <c r="E1285" s="8" t="s">
        <v>2575</v>
      </c>
      <c r="F1285" s="27" t="s">
        <v>2602</v>
      </c>
    </row>
    <row r="1286">
      <c r="A1286" s="9" t="s">
        <v>94</v>
      </c>
      <c r="B1286" s="9" t="s">
        <v>744</v>
      </c>
      <c r="C1286" s="8" t="s">
        <v>70</v>
      </c>
      <c r="D1286" s="14" t="s">
        <v>631</v>
      </c>
      <c r="E1286" s="8" t="s">
        <v>2621</v>
      </c>
      <c r="F1286" s="27" t="s">
        <v>2611</v>
      </c>
    </row>
    <row r="1287">
      <c r="A1287" s="9" t="s">
        <v>94</v>
      </c>
      <c r="B1287" s="9" t="s">
        <v>2173</v>
      </c>
      <c r="C1287" s="8" t="s">
        <v>93</v>
      </c>
      <c r="D1287" s="14" t="s">
        <v>2033</v>
      </c>
      <c r="E1287" s="8" t="s">
        <v>2615</v>
      </c>
      <c r="F1287" s="27" t="s">
        <v>2594</v>
      </c>
    </row>
    <row r="1288">
      <c r="A1288" s="9" t="s">
        <v>94</v>
      </c>
      <c r="B1288" s="9" t="s">
        <v>1880</v>
      </c>
      <c r="C1288" s="8" t="s">
        <v>93</v>
      </c>
      <c r="D1288" s="14" t="s">
        <v>1679</v>
      </c>
      <c r="E1288" s="8" t="s">
        <v>2614</v>
      </c>
      <c r="F1288" s="27" t="s">
        <v>2553</v>
      </c>
    </row>
    <row r="1289">
      <c r="A1289" s="9" t="s">
        <v>94</v>
      </c>
      <c r="B1289" s="9" t="s">
        <v>1512</v>
      </c>
      <c r="C1289" s="8" t="s">
        <v>53</v>
      </c>
      <c r="D1289" s="14" t="s">
        <v>1352</v>
      </c>
      <c r="E1289" s="8" t="s">
        <v>2621</v>
      </c>
      <c r="F1289" s="27" t="s">
        <v>2594</v>
      </c>
    </row>
    <row r="1290">
      <c r="A1290" s="9" t="s">
        <v>94</v>
      </c>
      <c r="B1290" s="9" t="s">
        <v>95</v>
      </c>
      <c r="C1290" s="8" t="s">
        <v>24</v>
      </c>
      <c r="D1290" s="14" t="s">
        <v>83</v>
      </c>
      <c r="E1290" s="8" t="s">
        <v>2558</v>
      </c>
      <c r="F1290" s="27" t="s">
        <v>2590</v>
      </c>
    </row>
    <row r="1291">
      <c r="A1291" s="9" t="s">
        <v>94</v>
      </c>
      <c r="B1291" s="9" t="s">
        <v>67</v>
      </c>
      <c r="C1291" s="8" t="s">
        <v>93</v>
      </c>
      <c r="D1291" s="14" t="s">
        <v>1352</v>
      </c>
      <c r="E1291" s="8" t="s">
        <v>2587</v>
      </c>
      <c r="F1291" s="27" t="s">
        <v>2568</v>
      </c>
    </row>
    <row r="1292">
      <c r="A1292" s="9" t="s">
        <v>94</v>
      </c>
      <c r="B1292" s="9" t="s">
        <v>1233</v>
      </c>
      <c r="C1292" s="8" t="s">
        <v>65</v>
      </c>
      <c r="D1292" s="14" t="s">
        <v>1070</v>
      </c>
      <c r="E1292" s="8" t="s">
        <v>2554</v>
      </c>
      <c r="F1292" s="27" t="s">
        <v>2579</v>
      </c>
    </row>
    <row r="1293">
      <c r="A1293" s="9" t="s">
        <v>94</v>
      </c>
      <c r="B1293" s="9" t="s">
        <v>1881</v>
      </c>
      <c r="C1293" s="8" t="s">
        <v>215</v>
      </c>
      <c r="D1293" s="14" t="s">
        <v>1679</v>
      </c>
      <c r="E1293" s="8" t="s">
        <v>2567</v>
      </c>
      <c r="F1293" s="27" t="s">
        <v>2565</v>
      </c>
    </row>
    <row r="1294">
      <c r="A1294" s="9" t="s">
        <v>2371</v>
      </c>
      <c r="B1294" s="9" t="s">
        <v>2372</v>
      </c>
      <c r="C1294" s="8" t="s">
        <v>93</v>
      </c>
      <c r="D1294" s="14" t="s">
        <v>2296</v>
      </c>
      <c r="E1294" s="8" t="s">
        <v>2575</v>
      </c>
      <c r="F1294" s="27" t="s">
        <v>2568</v>
      </c>
    </row>
    <row r="1295">
      <c r="A1295" s="9" t="s">
        <v>571</v>
      </c>
      <c r="B1295" s="9" t="s">
        <v>572</v>
      </c>
      <c r="C1295" s="8" t="s">
        <v>138</v>
      </c>
      <c r="D1295" s="14" t="s">
        <v>459</v>
      </c>
      <c r="E1295" s="8" t="s">
        <v>2585</v>
      </c>
      <c r="F1295" s="27" t="s">
        <v>2579</v>
      </c>
    </row>
    <row r="1296">
      <c r="A1296" s="9" t="s">
        <v>967</v>
      </c>
      <c r="B1296" s="9" t="s">
        <v>183</v>
      </c>
      <c r="C1296" s="8" t="s">
        <v>75</v>
      </c>
      <c r="D1296" s="14" t="s">
        <v>837</v>
      </c>
      <c r="E1296" s="8" t="s">
        <v>2592</v>
      </c>
      <c r="F1296" s="27" t="s">
        <v>2618</v>
      </c>
    </row>
    <row r="1297">
      <c r="A1297" s="9" t="s">
        <v>1882</v>
      </c>
      <c r="B1297" s="9" t="s">
        <v>1883</v>
      </c>
      <c r="C1297" s="8" t="s">
        <v>65</v>
      </c>
      <c r="D1297" s="14" t="s">
        <v>1679</v>
      </c>
      <c r="E1297" s="8" t="s">
        <v>2572</v>
      </c>
      <c r="F1297" s="27" t="s">
        <v>2609</v>
      </c>
    </row>
    <row r="1298">
      <c r="A1298" s="9" t="s">
        <v>2174</v>
      </c>
      <c r="B1298" s="9" t="s">
        <v>100</v>
      </c>
      <c r="C1298" s="8" t="s">
        <v>46</v>
      </c>
      <c r="D1298" s="14" t="s">
        <v>2033</v>
      </c>
      <c r="E1298" s="8" t="s">
        <v>2558</v>
      </c>
      <c r="F1298" s="27" t="s">
        <v>2628</v>
      </c>
    </row>
    <row r="1299">
      <c r="A1299" s="9" t="s">
        <v>968</v>
      </c>
      <c r="B1299" s="9" t="s">
        <v>121</v>
      </c>
      <c r="C1299" s="8" t="s">
        <v>141</v>
      </c>
      <c r="D1299" s="14" t="s">
        <v>837</v>
      </c>
      <c r="E1299" s="8" t="s">
        <v>2584</v>
      </c>
      <c r="F1299" s="27" t="s">
        <v>2633</v>
      </c>
    </row>
    <row r="1300">
      <c r="A1300" s="9" t="s">
        <v>1513</v>
      </c>
      <c r="B1300" s="9" t="s">
        <v>690</v>
      </c>
      <c r="C1300" s="8" t="s">
        <v>70</v>
      </c>
      <c r="D1300" s="14" t="s">
        <v>1352</v>
      </c>
      <c r="E1300" s="8" t="s">
        <v>2620</v>
      </c>
      <c r="F1300" s="27" t="s">
        <v>2633</v>
      </c>
    </row>
    <row r="1301">
      <c r="A1301" s="9" t="s">
        <v>2373</v>
      </c>
      <c r="B1301" s="9" t="s">
        <v>275</v>
      </c>
      <c r="C1301" s="8" t="s">
        <v>132</v>
      </c>
      <c r="D1301" s="14" t="s">
        <v>2296</v>
      </c>
      <c r="E1301" s="8" t="s">
        <v>2598</v>
      </c>
      <c r="F1301" s="27" t="s">
        <v>2591</v>
      </c>
    </row>
    <row r="1302">
      <c r="A1302" s="9" t="s">
        <v>573</v>
      </c>
      <c r="B1302" s="9" t="s">
        <v>480</v>
      </c>
      <c r="C1302" s="8" t="s">
        <v>261</v>
      </c>
      <c r="D1302" s="14" t="s">
        <v>459</v>
      </c>
      <c r="E1302" s="8" t="s">
        <v>2595</v>
      </c>
      <c r="F1302" s="27" t="s">
        <v>2553</v>
      </c>
    </row>
    <row r="1303">
      <c r="A1303" s="9" t="s">
        <v>745</v>
      </c>
      <c r="B1303" s="9" t="s">
        <v>304</v>
      </c>
      <c r="C1303" s="8" t="s">
        <v>141</v>
      </c>
      <c r="D1303" s="14" t="s">
        <v>631</v>
      </c>
      <c r="E1303" s="8" t="s">
        <v>2558</v>
      </c>
      <c r="F1303" s="27" t="s">
        <v>2607</v>
      </c>
    </row>
    <row r="1304">
      <c r="A1304" s="9" t="s">
        <v>969</v>
      </c>
      <c r="B1304" s="9" t="s">
        <v>140</v>
      </c>
      <c r="C1304" s="8" t="s">
        <v>93</v>
      </c>
      <c r="D1304" s="14" t="s">
        <v>837</v>
      </c>
      <c r="E1304" s="8" t="s">
        <v>2566</v>
      </c>
      <c r="F1304" s="27" t="s">
        <v>2563</v>
      </c>
    </row>
    <row r="1305">
      <c r="A1305" s="9" t="s">
        <v>2481</v>
      </c>
      <c r="B1305" s="9" t="s">
        <v>124</v>
      </c>
      <c r="C1305" s="8" t="s">
        <v>46</v>
      </c>
      <c r="D1305" s="14" t="s">
        <v>2459</v>
      </c>
      <c r="E1305" s="8" t="s">
        <v>2574</v>
      </c>
      <c r="F1305" s="27" t="s">
        <v>2579</v>
      </c>
    </row>
    <row r="1306">
      <c r="A1306" s="9" t="s">
        <v>1514</v>
      </c>
      <c r="B1306" s="9" t="s">
        <v>1515</v>
      </c>
      <c r="C1306" s="8" t="s">
        <v>186</v>
      </c>
      <c r="D1306" s="14" t="s">
        <v>1352</v>
      </c>
      <c r="E1306" s="8" t="s">
        <v>2593</v>
      </c>
      <c r="F1306" s="27" t="s">
        <v>2601</v>
      </c>
    </row>
    <row r="1307">
      <c r="A1307" s="9" t="s">
        <v>2175</v>
      </c>
      <c r="B1307" s="9" t="s">
        <v>198</v>
      </c>
      <c r="C1307" s="8" t="s">
        <v>16</v>
      </c>
      <c r="D1307" s="14" t="s">
        <v>2033</v>
      </c>
      <c r="E1307" s="8" t="s">
        <v>2183</v>
      </c>
      <c r="F1307" s="27" t="s">
        <v>2638</v>
      </c>
    </row>
    <row r="1308">
      <c r="A1308" s="9" t="s">
        <v>2374</v>
      </c>
      <c r="B1308" s="9" t="s">
        <v>20</v>
      </c>
      <c r="C1308" s="8" t="s">
        <v>16</v>
      </c>
      <c r="D1308" s="14" t="s">
        <v>2296</v>
      </c>
      <c r="E1308" s="8" t="s">
        <v>2620</v>
      </c>
      <c r="F1308" s="27" t="s">
        <v>2568</v>
      </c>
    </row>
    <row r="1309">
      <c r="A1309" s="9" t="s">
        <v>1234</v>
      </c>
      <c r="B1309" s="9" t="s">
        <v>676</v>
      </c>
      <c r="C1309" s="8" t="s">
        <v>65</v>
      </c>
      <c r="D1309" s="14" t="s">
        <v>1070</v>
      </c>
      <c r="E1309" s="8" t="s">
        <v>2603</v>
      </c>
      <c r="F1309" s="27" t="s">
        <v>2604</v>
      </c>
    </row>
    <row r="1310">
      <c r="A1310" s="9" t="s">
        <v>2482</v>
      </c>
      <c r="B1310" s="9" t="s">
        <v>2483</v>
      </c>
      <c r="C1310" s="8" t="s">
        <v>65</v>
      </c>
      <c r="D1310" s="14" t="s">
        <v>2459</v>
      </c>
      <c r="E1310" s="8" t="s">
        <v>2592</v>
      </c>
      <c r="F1310" s="27" t="s">
        <v>2576</v>
      </c>
    </row>
    <row r="1311">
      <c r="A1311" s="9" t="s">
        <v>1235</v>
      </c>
      <c r="B1311" s="9" t="s">
        <v>427</v>
      </c>
      <c r="C1311" s="8" t="s">
        <v>122</v>
      </c>
      <c r="D1311" s="14" t="s">
        <v>1070</v>
      </c>
      <c r="E1311" s="8" t="s">
        <v>2554</v>
      </c>
      <c r="F1311" s="27" t="s">
        <v>2563</v>
      </c>
    </row>
    <row r="1312">
      <c r="A1312" s="18" t="s">
        <v>222</v>
      </c>
      <c r="B1312" s="18" t="s">
        <v>491</v>
      </c>
      <c r="C1312" s="8" t="s">
        <v>70</v>
      </c>
      <c r="D1312" s="14" t="s">
        <v>1679</v>
      </c>
      <c r="E1312" s="18" t="s">
        <v>2589</v>
      </c>
      <c r="F1312" s="27" t="s">
        <v>2573</v>
      </c>
    </row>
    <row r="1313">
      <c r="A1313" s="9" t="s">
        <v>395</v>
      </c>
      <c r="B1313" s="9" t="s">
        <v>506</v>
      </c>
      <c r="C1313" s="8" t="s">
        <v>93</v>
      </c>
      <c r="D1313" s="14" t="s">
        <v>2459</v>
      </c>
      <c r="E1313" s="8" t="s">
        <v>2593</v>
      </c>
      <c r="F1313" s="27" t="s">
        <v>2557</v>
      </c>
    </row>
    <row r="1314">
      <c r="A1314" s="9" t="s">
        <v>395</v>
      </c>
      <c r="B1314" s="9" t="s">
        <v>506</v>
      </c>
      <c r="C1314" s="8" t="s">
        <v>186</v>
      </c>
      <c r="D1314" s="14" t="s">
        <v>2296</v>
      </c>
      <c r="E1314" s="8" t="s">
        <v>2621</v>
      </c>
      <c r="F1314" s="27" t="s">
        <v>2609</v>
      </c>
    </row>
    <row r="1315">
      <c r="A1315" s="9" t="s">
        <v>395</v>
      </c>
      <c r="B1315" s="9" t="s">
        <v>214</v>
      </c>
      <c r="C1315" s="8" t="s">
        <v>132</v>
      </c>
      <c r="D1315" s="14" t="s">
        <v>338</v>
      </c>
      <c r="E1315" s="8" t="s">
        <v>2605</v>
      </c>
      <c r="F1315" s="27" t="s">
        <v>2608</v>
      </c>
    </row>
    <row r="1316">
      <c r="A1316" s="9" t="s">
        <v>395</v>
      </c>
      <c r="B1316" s="9" t="s">
        <v>746</v>
      </c>
      <c r="C1316" s="8" t="s">
        <v>141</v>
      </c>
      <c r="D1316" s="14" t="s">
        <v>631</v>
      </c>
      <c r="E1316" s="8" t="s">
        <v>2587</v>
      </c>
      <c r="F1316" s="27" t="s">
        <v>2555</v>
      </c>
    </row>
    <row r="1317">
      <c r="A1317" s="9" t="s">
        <v>395</v>
      </c>
      <c r="B1317" s="9" t="s">
        <v>170</v>
      </c>
      <c r="C1317" s="8" t="s">
        <v>38</v>
      </c>
      <c r="D1317" s="14" t="s">
        <v>1070</v>
      </c>
      <c r="E1317" s="8" t="s">
        <v>2572</v>
      </c>
      <c r="F1317" s="27" t="s">
        <v>2583</v>
      </c>
    </row>
    <row r="1318">
      <c r="A1318" s="9" t="s">
        <v>1884</v>
      </c>
      <c r="B1318" s="9" t="s">
        <v>167</v>
      </c>
      <c r="C1318" s="8" t="s">
        <v>53</v>
      </c>
      <c r="D1318" s="14" t="s">
        <v>1679</v>
      </c>
      <c r="E1318" s="8" t="s">
        <v>2554</v>
      </c>
      <c r="F1318" s="27" t="s">
        <v>2555</v>
      </c>
    </row>
    <row r="1319">
      <c r="A1319" s="9" t="s">
        <v>574</v>
      </c>
      <c r="B1319" s="9" t="s">
        <v>260</v>
      </c>
      <c r="C1319" s="8" t="s">
        <v>138</v>
      </c>
      <c r="D1319" s="14" t="s">
        <v>1679</v>
      </c>
      <c r="E1319" s="8" t="s">
        <v>2558</v>
      </c>
      <c r="F1319" s="27" t="s">
        <v>2555</v>
      </c>
    </row>
    <row r="1320">
      <c r="A1320" s="9" t="s">
        <v>574</v>
      </c>
      <c r="B1320" s="9" t="s">
        <v>102</v>
      </c>
      <c r="C1320" s="8" t="s">
        <v>141</v>
      </c>
      <c r="D1320" s="14" t="s">
        <v>459</v>
      </c>
      <c r="E1320" s="8" t="s">
        <v>2614</v>
      </c>
      <c r="F1320" s="27" t="s">
        <v>2557</v>
      </c>
    </row>
    <row r="1321">
      <c r="A1321" s="9" t="s">
        <v>575</v>
      </c>
      <c r="B1321" s="9" t="s">
        <v>576</v>
      </c>
      <c r="C1321" s="8" t="s">
        <v>122</v>
      </c>
      <c r="D1321" s="14" t="s">
        <v>459</v>
      </c>
      <c r="E1321" s="8" t="s">
        <v>2587</v>
      </c>
      <c r="F1321" s="27" t="s">
        <v>2553</v>
      </c>
    </row>
    <row r="1322">
      <c r="A1322" s="9" t="s">
        <v>1516</v>
      </c>
      <c r="B1322" s="9" t="s">
        <v>840</v>
      </c>
      <c r="C1322" s="8" t="s">
        <v>65</v>
      </c>
      <c r="D1322" s="14" t="s">
        <v>1352</v>
      </c>
      <c r="E1322" s="8" t="s">
        <v>2581</v>
      </c>
      <c r="F1322" s="27" t="s">
        <v>2591</v>
      </c>
    </row>
    <row r="1323">
      <c r="A1323" s="9" t="s">
        <v>1236</v>
      </c>
      <c r="B1323" s="9" t="s">
        <v>612</v>
      </c>
      <c r="C1323" s="8" t="s">
        <v>24</v>
      </c>
      <c r="D1323" s="14" t="s">
        <v>1070</v>
      </c>
      <c r="E1323" s="8" t="s">
        <v>2564</v>
      </c>
      <c r="F1323" s="27" t="s">
        <v>2640</v>
      </c>
    </row>
    <row r="1324">
      <c r="A1324" s="9" t="s">
        <v>213</v>
      </c>
      <c r="B1324" s="9" t="s">
        <v>871</v>
      </c>
      <c r="C1324" s="8" t="s">
        <v>70</v>
      </c>
      <c r="D1324" s="14" t="s">
        <v>2459</v>
      </c>
      <c r="E1324" s="8" t="s">
        <v>2582</v>
      </c>
      <c r="F1324" s="27" t="s">
        <v>2573</v>
      </c>
    </row>
    <row r="1325">
      <c r="A1325" s="9" t="s">
        <v>213</v>
      </c>
      <c r="B1325" s="9" t="s">
        <v>151</v>
      </c>
      <c r="C1325" s="8" t="s">
        <v>93</v>
      </c>
      <c r="D1325" s="14" t="s">
        <v>2459</v>
      </c>
      <c r="E1325" s="8" t="s">
        <v>2566</v>
      </c>
      <c r="F1325" s="27" t="s">
        <v>2557</v>
      </c>
    </row>
    <row r="1326">
      <c r="A1326" s="9" t="s">
        <v>213</v>
      </c>
      <c r="B1326" s="9" t="s">
        <v>214</v>
      </c>
      <c r="C1326" s="8" t="s">
        <v>215</v>
      </c>
      <c r="D1326" s="14" t="s">
        <v>189</v>
      </c>
      <c r="E1326" s="8" t="s">
        <v>2574</v>
      </c>
      <c r="F1326" s="27" t="s">
        <v>2622</v>
      </c>
    </row>
    <row r="1327">
      <c r="A1327" s="9" t="s">
        <v>213</v>
      </c>
      <c r="B1327" s="9" t="s">
        <v>183</v>
      </c>
      <c r="C1327" s="8" t="s">
        <v>215</v>
      </c>
      <c r="D1327" s="14" t="s">
        <v>1352</v>
      </c>
      <c r="E1327" s="8" t="s">
        <v>2587</v>
      </c>
      <c r="F1327" s="27" t="s">
        <v>2555</v>
      </c>
    </row>
    <row r="1328">
      <c r="A1328" s="9" t="s">
        <v>1517</v>
      </c>
      <c r="B1328" s="9" t="s">
        <v>974</v>
      </c>
      <c r="C1328" s="8" t="s">
        <v>138</v>
      </c>
      <c r="D1328" s="14" t="s">
        <v>1352</v>
      </c>
      <c r="E1328" s="8" t="s">
        <v>2558</v>
      </c>
      <c r="F1328" s="27" t="s">
        <v>2601</v>
      </c>
    </row>
    <row r="1329">
      <c r="A1329" s="9" t="s">
        <v>1520</v>
      </c>
      <c r="B1329" s="9" t="s">
        <v>1521</v>
      </c>
      <c r="C1329" s="8" t="s">
        <v>192</v>
      </c>
      <c r="D1329" s="14" t="s">
        <v>1352</v>
      </c>
      <c r="E1329" s="8" t="s">
        <v>2603</v>
      </c>
      <c r="F1329" s="27" t="s">
        <v>2576</v>
      </c>
    </row>
    <row r="1330">
      <c r="A1330" s="9" t="s">
        <v>747</v>
      </c>
      <c r="B1330" s="9" t="s">
        <v>748</v>
      </c>
      <c r="C1330" s="8" t="s">
        <v>149</v>
      </c>
      <c r="D1330" s="14" t="s">
        <v>631</v>
      </c>
      <c r="E1330" s="8" t="s">
        <v>2605</v>
      </c>
      <c r="F1330" s="27" t="s">
        <v>2618</v>
      </c>
    </row>
    <row r="1331">
      <c r="A1331" s="9" t="s">
        <v>747</v>
      </c>
      <c r="B1331" s="9" t="s">
        <v>263</v>
      </c>
      <c r="C1331" s="8" t="s">
        <v>80</v>
      </c>
      <c r="D1331" s="14" t="s">
        <v>1070</v>
      </c>
      <c r="E1331" s="8" t="s">
        <v>2183</v>
      </c>
      <c r="F1331" s="27" t="s">
        <v>2557</v>
      </c>
    </row>
    <row r="1332">
      <c r="A1332" s="9" t="s">
        <v>577</v>
      </c>
      <c r="B1332" s="9" t="s">
        <v>55</v>
      </c>
      <c r="C1332" s="8" t="s">
        <v>16</v>
      </c>
      <c r="D1332" s="14" t="s">
        <v>459</v>
      </c>
      <c r="E1332" s="8" t="s">
        <v>2567</v>
      </c>
      <c r="F1332" s="27" t="s">
        <v>2559</v>
      </c>
    </row>
    <row r="1333">
      <c r="A1333" s="9" t="s">
        <v>320</v>
      </c>
      <c r="B1333" s="9" t="s">
        <v>349</v>
      </c>
      <c r="C1333" s="8" t="s">
        <v>93</v>
      </c>
      <c r="D1333" s="14" t="s">
        <v>1679</v>
      </c>
      <c r="E1333" s="8" t="s">
        <v>2574</v>
      </c>
      <c r="F1333" s="27" t="s">
        <v>2570</v>
      </c>
    </row>
    <row r="1334">
      <c r="A1334" s="9" t="s">
        <v>1518</v>
      </c>
      <c r="B1334" s="9" t="s">
        <v>1519</v>
      </c>
      <c r="C1334" s="8" t="s">
        <v>12</v>
      </c>
      <c r="D1334" s="14" t="s">
        <v>1352</v>
      </c>
      <c r="E1334" s="8" t="s">
        <v>2595</v>
      </c>
      <c r="F1334" s="27" t="s">
        <v>2590</v>
      </c>
    </row>
    <row r="1335">
      <c r="A1335" s="9" t="s">
        <v>2375</v>
      </c>
      <c r="B1335" s="9" t="s">
        <v>2376</v>
      </c>
      <c r="C1335" s="8" t="s">
        <v>53</v>
      </c>
      <c r="D1335" s="14" t="s">
        <v>2296</v>
      </c>
      <c r="E1335" s="8" t="s">
        <v>2560</v>
      </c>
      <c r="F1335" s="27" t="s">
        <v>2622</v>
      </c>
    </row>
    <row r="1336">
      <c r="A1336" s="9" t="s">
        <v>1237</v>
      </c>
      <c r="B1336" s="9" t="s">
        <v>98</v>
      </c>
      <c r="C1336" s="8" t="s">
        <v>53</v>
      </c>
      <c r="D1336" s="14" t="s">
        <v>1070</v>
      </c>
      <c r="E1336" s="8" t="s">
        <v>2605</v>
      </c>
      <c r="F1336" s="27" t="s">
        <v>2571</v>
      </c>
    </row>
    <row r="1337">
      <c r="A1337" s="9" t="s">
        <v>1237</v>
      </c>
      <c r="B1337" s="9" t="s">
        <v>1522</v>
      </c>
      <c r="C1337" s="8" t="s">
        <v>16</v>
      </c>
      <c r="D1337" s="14" t="s">
        <v>1352</v>
      </c>
      <c r="E1337" s="8" t="s">
        <v>2603</v>
      </c>
      <c r="F1337" s="27" t="s">
        <v>2612</v>
      </c>
    </row>
    <row r="1338">
      <c r="A1338" s="9" t="s">
        <v>1523</v>
      </c>
      <c r="B1338" s="9" t="s">
        <v>124</v>
      </c>
      <c r="C1338" s="8" t="s">
        <v>93</v>
      </c>
      <c r="D1338" s="14" t="s">
        <v>1352</v>
      </c>
      <c r="E1338" s="8" t="s">
        <v>2585</v>
      </c>
      <c r="F1338" s="27" t="s">
        <v>2568</v>
      </c>
    </row>
    <row r="1339">
      <c r="A1339" s="9" t="s">
        <v>163</v>
      </c>
      <c r="B1339" s="9" t="s">
        <v>100</v>
      </c>
      <c r="C1339" s="8" t="s">
        <v>141</v>
      </c>
      <c r="D1339" s="14" t="s">
        <v>135</v>
      </c>
      <c r="E1339" s="8" t="s">
        <v>2598</v>
      </c>
      <c r="F1339" s="27" t="s">
        <v>2596</v>
      </c>
    </row>
    <row r="1340">
      <c r="A1340" s="9" t="s">
        <v>163</v>
      </c>
      <c r="B1340" s="9" t="s">
        <v>2377</v>
      </c>
      <c r="C1340" s="8" t="s">
        <v>24</v>
      </c>
      <c r="D1340" s="14" t="s">
        <v>2296</v>
      </c>
      <c r="E1340" s="8" t="s">
        <v>2595</v>
      </c>
      <c r="F1340" s="27" t="s">
        <v>2576</v>
      </c>
    </row>
    <row r="1341">
      <c r="A1341" s="9" t="s">
        <v>163</v>
      </c>
      <c r="B1341" s="9" t="s">
        <v>2378</v>
      </c>
      <c r="C1341" s="8" t="s">
        <v>122</v>
      </c>
      <c r="D1341" s="14" t="s">
        <v>2296</v>
      </c>
      <c r="E1341" s="8" t="s">
        <v>2575</v>
      </c>
      <c r="F1341" s="27" t="s">
        <v>2568</v>
      </c>
    </row>
    <row r="1342">
      <c r="A1342" s="9" t="s">
        <v>163</v>
      </c>
      <c r="B1342" s="9" t="s">
        <v>749</v>
      </c>
      <c r="C1342" s="8" t="s">
        <v>53</v>
      </c>
      <c r="D1342" s="14" t="s">
        <v>631</v>
      </c>
      <c r="E1342" s="8" t="s">
        <v>2605</v>
      </c>
      <c r="F1342" s="27" t="s">
        <v>2635</v>
      </c>
    </row>
    <row r="1343">
      <c r="A1343" s="9" t="s">
        <v>163</v>
      </c>
      <c r="B1343" s="9" t="s">
        <v>2143</v>
      </c>
      <c r="C1343" s="8" t="s">
        <v>70</v>
      </c>
      <c r="D1343" s="14" t="s">
        <v>2033</v>
      </c>
      <c r="E1343" s="8" t="s">
        <v>2567</v>
      </c>
      <c r="F1343" s="27" t="s">
        <v>2588</v>
      </c>
    </row>
    <row r="1344">
      <c r="A1344" s="9" t="s">
        <v>2176</v>
      </c>
      <c r="B1344" s="9" t="s">
        <v>2177</v>
      </c>
      <c r="C1344" s="8" t="s">
        <v>93</v>
      </c>
      <c r="D1344" s="14" t="s">
        <v>2033</v>
      </c>
      <c r="E1344" s="8" t="s">
        <v>2564</v>
      </c>
      <c r="F1344" s="27" t="s">
        <v>2586</v>
      </c>
    </row>
    <row r="1345">
      <c r="A1345" s="9" t="s">
        <v>1885</v>
      </c>
      <c r="B1345" s="9" t="s">
        <v>349</v>
      </c>
      <c r="C1345" s="8" t="s">
        <v>132</v>
      </c>
      <c r="D1345" s="14" t="s">
        <v>1679</v>
      </c>
      <c r="E1345" s="8" t="s">
        <v>2558</v>
      </c>
      <c r="F1345" s="27" t="s">
        <v>2617</v>
      </c>
    </row>
    <row r="1346">
      <c r="A1346" s="9" t="s">
        <v>1524</v>
      </c>
      <c r="B1346" s="9" t="s">
        <v>527</v>
      </c>
      <c r="C1346" s="8" t="s">
        <v>141</v>
      </c>
      <c r="D1346" s="14" t="s">
        <v>1352</v>
      </c>
      <c r="E1346" s="8" t="s">
        <v>2585</v>
      </c>
      <c r="F1346" s="27" t="s">
        <v>2606</v>
      </c>
    </row>
    <row r="1347">
      <c r="A1347" s="9" t="s">
        <v>578</v>
      </c>
      <c r="B1347" s="9" t="s">
        <v>161</v>
      </c>
      <c r="C1347" s="8" t="s">
        <v>12</v>
      </c>
      <c r="D1347" s="14" t="s">
        <v>459</v>
      </c>
      <c r="E1347" s="8" t="s">
        <v>2614</v>
      </c>
      <c r="F1347" s="27" t="s">
        <v>2553</v>
      </c>
    </row>
    <row r="1348">
      <c r="A1348" s="9" t="s">
        <v>2178</v>
      </c>
      <c r="B1348" s="9" t="s">
        <v>194</v>
      </c>
      <c r="C1348" s="8" t="s">
        <v>16</v>
      </c>
      <c r="D1348" s="14" t="s">
        <v>2033</v>
      </c>
      <c r="E1348" s="8" t="s">
        <v>2183</v>
      </c>
      <c r="F1348" s="27" t="s">
        <v>2619</v>
      </c>
    </row>
    <row r="1349">
      <c r="A1349" s="9" t="s">
        <v>2379</v>
      </c>
      <c r="B1349" s="9" t="s">
        <v>263</v>
      </c>
      <c r="C1349" s="8" t="s">
        <v>46</v>
      </c>
      <c r="D1349" s="14" t="s">
        <v>2296</v>
      </c>
      <c r="E1349" s="8" t="s">
        <v>2564</v>
      </c>
      <c r="F1349" s="27" t="s">
        <v>2580</v>
      </c>
    </row>
    <row r="1350">
      <c r="A1350" s="9" t="s">
        <v>2179</v>
      </c>
      <c r="B1350" s="9" t="s">
        <v>301</v>
      </c>
      <c r="C1350" s="8" t="s">
        <v>65</v>
      </c>
      <c r="D1350" s="14" t="s">
        <v>2033</v>
      </c>
      <c r="E1350" s="8" t="s">
        <v>2610</v>
      </c>
      <c r="F1350" s="27" t="s">
        <v>2568</v>
      </c>
    </row>
    <row r="1351">
      <c r="A1351" s="9" t="s">
        <v>1886</v>
      </c>
      <c r="B1351" s="9" t="s">
        <v>52</v>
      </c>
      <c r="C1351" s="8" t="s">
        <v>53</v>
      </c>
      <c r="D1351" s="14" t="s">
        <v>1679</v>
      </c>
      <c r="E1351" s="18" t="s">
        <v>2589</v>
      </c>
      <c r="F1351" s="27" t="s">
        <v>2576</v>
      </c>
    </row>
    <row r="1352">
      <c r="A1352" s="9" t="s">
        <v>970</v>
      </c>
      <c r="B1352" s="9" t="s">
        <v>124</v>
      </c>
      <c r="C1352" s="8" t="s">
        <v>141</v>
      </c>
      <c r="D1352" s="14" t="s">
        <v>837</v>
      </c>
      <c r="E1352" s="8" t="s">
        <v>2562</v>
      </c>
      <c r="F1352" s="27" t="s">
        <v>2594</v>
      </c>
    </row>
    <row r="1353">
      <c r="A1353" s="9" t="s">
        <v>971</v>
      </c>
      <c r="B1353" s="9" t="s">
        <v>275</v>
      </c>
      <c r="C1353" s="8" t="s">
        <v>24</v>
      </c>
      <c r="D1353" s="14" t="s">
        <v>837</v>
      </c>
      <c r="E1353" s="8" t="s">
        <v>2574</v>
      </c>
      <c r="F1353" s="27" t="s">
        <v>2591</v>
      </c>
    </row>
    <row r="1354">
      <c r="A1354" s="9" t="s">
        <v>28</v>
      </c>
      <c r="B1354" s="9" t="s">
        <v>29</v>
      </c>
      <c r="C1354" s="8" t="s">
        <v>16</v>
      </c>
      <c r="D1354" s="14" t="s">
        <v>27</v>
      </c>
      <c r="E1354" s="8" t="s">
        <v>2566</v>
      </c>
      <c r="F1354" s="27" t="s">
        <v>2565</v>
      </c>
    </row>
    <row r="1355">
      <c r="A1355" s="9" t="s">
        <v>972</v>
      </c>
      <c r="B1355" s="9" t="s">
        <v>162</v>
      </c>
      <c r="C1355" s="8" t="s">
        <v>16</v>
      </c>
      <c r="D1355" s="14" t="s">
        <v>837</v>
      </c>
      <c r="E1355" s="8" t="s">
        <v>2552</v>
      </c>
      <c r="F1355" s="27" t="s">
        <v>2617</v>
      </c>
    </row>
    <row r="1356">
      <c r="A1356" s="9" t="s">
        <v>1238</v>
      </c>
      <c r="B1356" s="9" t="s">
        <v>381</v>
      </c>
      <c r="C1356" s="8" t="s">
        <v>53</v>
      </c>
      <c r="D1356" s="14" t="s">
        <v>1070</v>
      </c>
      <c r="E1356" s="8" t="s">
        <v>2614</v>
      </c>
      <c r="F1356" s="27" t="s">
        <v>2557</v>
      </c>
    </row>
    <row r="1357">
      <c r="A1357" s="9" t="s">
        <v>1525</v>
      </c>
      <c r="B1357" s="9" t="s">
        <v>247</v>
      </c>
      <c r="C1357" s="8" t="s">
        <v>16</v>
      </c>
      <c r="D1357" s="14" t="s">
        <v>1352</v>
      </c>
      <c r="E1357" s="8" t="s">
        <v>2621</v>
      </c>
      <c r="F1357" s="27" t="s">
        <v>2608</v>
      </c>
    </row>
    <row r="1358">
      <c r="A1358" s="9" t="s">
        <v>973</v>
      </c>
      <c r="B1358" s="9" t="s">
        <v>974</v>
      </c>
      <c r="C1358" s="8" t="s">
        <v>80</v>
      </c>
      <c r="D1358" s="14" t="s">
        <v>837</v>
      </c>
      <c r="E1358" s="8" t="s">
        <v>2587</v>
      </c>
      <c r="F1358" s="27" t="s">
        <v>2622</v>
      </c>
    </row>
    <row r="1359">
      <c r="A1359" s="9" t="s">
        <v>1239</v>
      </c>
      <c r="B1359" s="9" t="s">
        <v>1240</v>
      </c>
      <c r="C1359" s="8" t="s">
        <v>75</v>
      </c>
      <c r="D1359" s="14" t="s">
        <v>1070</v>
      </c>
      <c r="E1359" s="8" t="s">
        <v>2592</v>
      </c>
      <c r="F1359" s="27" t="s">
        <v>2613</v>
      </c>
    </row>
    <row r="1360">
      <c r="A1360" s="9" t="s">
        <v>975</v>
      </c>
      <c r="B1360" s="9" t="s">
        <v>976</v>
      </c>
      <c r="C1360" s="8" t="s">
        <v>138</v>
      </c>
      <c r="D1360" s="14" t="s">
        <v>837</v>
      </c>
      <c r="E1360" s="8" t="s">
        <v>2603</v>
      </c>
      <c r="F1360" s="27" t="s">
        <v>2565</v>
      </c>
    </row>
    <row r="1361">
      <c r="A1361" s="9" t="s">
        <v>405</v>
      </c>
      <c r="B1361" s="9" t="s">
        <v>121</v>
      </c>
      <c r="C1361" s="8" t="s">
        <v>186</v>
      </c>
      <c r="D1361" s="14" t="s">
        <v>459</v>
      </c>
      <c r="E1361" s="18" t="s">
        <v>2556</v>
      </c>
      <c r="F1361" s="27" t="s">
        <v>2601</v>
      </c>
    </row>
    <row r="1362">
      <c r="A1362" s="9" t="s">
        <v>405</v>
      </c>
      <c r="B1362" s="9" t="s">
        <v>865</v>
      </c>
      <c r="C1362" s="8" t="s">
        <v>192</v>
      </c>
      <c r="D1362" s="14" t="s">
        <v>2033</v>
      </c>
      <c r="E1362" s="8" t="s">
        <v>2620</v>
      </c>
      <c r="F1362" s="27" t="s">
        <v>2576</v>
      </c>
    </row>
    <row r="1363">
      <c r="A1363" s="9" t="s">
        <v>396</v>
      </c>
      <c r="B1363" s="9" t="s">
        <v>397</v>
      </c>
      <c r="C1363" s="8" t="s">
        <v>70</v>
      </c>
      <c r="D1363" s="14" t="s">
        <v>338</v>
      </c>
      <c r="E1363" s="18" t="s">
        <v>2556</v>
      </c>
      <c r="F1363" s="27" t="s">
        <v>2586</v>
      </c>
    </row>
    <row r="1364">
      <c r="A1364" s="9" t="s">
        <v>396</v>
      </c>
      <c r="B1364" s="9" t="s">
        <v>1479</v>
      </c>
      <c r="C1364" s="8" t="s">
        <v>138</v>
      </c>
      <c r="D1364" s="14" t="s">
        <v>2033</v>
      </c>
      <c r="E1364" s="8" t="s">
        <v>2603</v>
      </c>
      <c r="F1364" s="27" t="s">
        <v>2622</v>
      </c>
    </row>
    <row r="1365">
      <c r="A1365" s="9" t="s">
        <v>396</v>
      </c>
      <c r="B1365" s="9" t="s">
        <v>281</v>
      </c>
      <c r="C1365" s="8" t="s">
        <v>59</v>
      </c>
      <c r="D1365" s="14" t="s">
        <v>837</v>
      </c>
      <c r="E1365" s="8" t="s">
        <v>2566</v>
      </c>
      <c r="F1365" s="27" t="s">
        <v>2573</v>
      </c>
    </row>
    <row r="1366">
      <c r="A1366" s="9" t="s">
        <v>396</v>
      </c>
      <c r="B1366" s="9" t="s">
        <v>231</v>
      </c>
      <c r="C1366" s="8" t="s">
        <v>141</v>
      </c>
      <c r="D1366" s="14" t="s">
        <v>1070</v>
      </c>
      <c r="E1366" s="8" t="s">
        <v>2562</v>
      </c>
      <c r="F1366" s="27" t="s">
        <v>2591</v>
      </c>
    </row>
    <row r="1367">
      <c r="A1367" s="9" t="s">
        <v>396</v>
      </c>
      <c r="B1367" s="9" t="s">
        <v>41</v>
      </c>
      <c r="C1367" s="8" t="s">
        <v>38</v>
      </c>
      <c r="D1367" s="14" t="s">
        <v>459</v>
      </c>
      <c r="E1367" s="8" t="s">
        <v>2554</v>
      </c>
      <c r="F1367" s="27" t="s">
        <v>2601</v>
      </c>
    </row>
    <row r="1368">
      <c r="A1368" s="9" t="s">
        <v>396</v>
      </c>
      <c r="B1368" s="9" t="s">
        <v>542</v>
      </c>
      <c r="C1368" s="8" t="s">
        <v>75</v>
      </c>
      <c r="D1368" s="14" t="s">
        <v>2033</v>
      </c>
      <c r="E1368" s="8" t="s">
        <v>2582</v>
      </c>
      <c r="F1368" s="27" t="s">
        <v>2555</v>
      </c>
    </row>
    <row r="1369">
      <c r="A1369" s="9" t="s">
        <v>396</v>
      </c>
      <c r="B1369" s="9" t="s">
        <v>750</v>
      </c>
      <c r="C1369" s="8" t="s">
        <v>132</v>
      </c>
      <c r="D1369" s="14" t="s">
        <v>631</v>
      </c>
      <c r="E1369" s="8" t="s">
        <v>2614</v>
      </c>
      <c r="F1369" s="27" t="s">
        <v>2623</v>
      </c>
    </row>
    <row r="1370">
      <c r="A1370" s="9" t="s">
        <v>1526</v>
      </c>
      <c r="B1370" s="9" t="s">
        <v>647</v>
      </c>
      <c r="C1370" s="8" t="s">
        <v>186</v>
      </c>
      <c r="D1370" s="14" t="s">
        <v>1352</v>
      </c>
      <c r="E1370" s="8" t="s">
        <v>2558</v>
      </c>
      <c r="F1370" s="27" t="s">
        <v>2588</v>
      </c>
    </row>
    <row r="1371">
      <c r="A1371" s="9" t="s">
        <v>1887</v>
      </c>
      <c r="B1371" s="9" t="s">
        <v>1888</v>
      </c>
      <c r="C1371" s="8" t="s">
        <v>186</v>
      </c>
      <c r="D1371" s="14" t="s">
        <v>1679</v>
      </c>
      <c r="E1371" s="8" t="s">
        <v>2552</v>
      </c>
      <c r="F1371" s="27" t="s">
        <v>2612</v>
      </c>
    </row>
    <row r="1372">
      <c r="A1372" s="9" t="s">
        <v>1242</v>
      </c>
      <c r="B1372" s="9" t="s">
        <v>676</v>
      </c>
      <c r="C1372" s="8" t="s">
        <v>46</v>
      </c>
      <c r="D1372" s="14" t="s">
        <v>1070</v>
      </c>
      <c r="E1372" s="8" t="s">
        <v>2621</v>
      </c>
      <c r="F1372" s="27" t="s">
        <v>2576</v>
      </c>
    </row>
    <row r="1373">
      <c r="A1373" s="9" t="s">
        <v>111</v>
      </c>
      <c r="B1373" s="9" t="s">
        <v>1241</v>
      </c>
      <c r="C1373" s="8" t="s">
        <v>132</v>
      </c>
      <c r="D1373" s="14" t="s">
        <v>1070</v>
      </c>
      <c r="E1373" s="8" t="s">
        <v>2600</v>
      </c>
      <c r="F1373" s="27" t="s">
        <v>2613</v>
      </c>
    </row>
    <row r="1374">
      <c r="A1374" s="9" t="s">
        <v>398</v>
      </c>
      <c r="B1374" s="9" t="s">
        <v>399</v>
      </c>
      <c r="C1374" s="8" t="s">
        <v>149</v>
      </c>
      <c r="D1374" s="14" t="s">
        <v>338</v>
      </c>
      <c r="E1374" s="8" t="s">
        <v>2605</v>
      </c>
      <c r="F1374" s="27" t="s">
        <v>2601</v>
      </c>
    </row>
    <row r="1375">
      <c r="A1375" s="18" t="s">
        <v>2180</v>
      </c>
      <c r="B1375" s="18" t="s">
        <v>2181</v>
      </c>
      <c r="C1375" s="8" t="s">
        <v>122</v>
      </c>
      <c r="D1375" s="14" t="s">
        <v>2033</v>
      </c>
      <c r="E1375" s="8" t="s">
        <v>2552</v>
      </c>
      <c r="F1375" s="27" t="s">
        <v>2609</v>
      </c>
    </row>
    <row r="1376">
      <c r="A1376" s="9" t="s">
        <v>1243</v>
      </c>
      <c r="B1376" s="9" t="s">
        <v>676</v>
      </c>
      <c r="C1376" s="8" t="s">
        <v>186</v>
      </c>
      <c r="D1376" s="14" t="s">
        <v>1070</v>
      </c>
      <c r="E1376" s="8" t="s">
        <v>2577</v>
      </c>
      <c r="F1376" s="27" t="s">
        <v>2583</v>
      </c>
    </row>
    <row r="1377">
      <c r="A1377" s="9" t="s">
        <v>977</v>
      </c>
      <c r="B1377" s="9" t="s">
        <v>978</v>
      </c>
      <c r="C1377" s="8" t="s">
        <v>192</v>
      </c>
      <c r="D1377" s="14" t="s">
        <v>837</v>
      </c>
      <c r="E1377" s="8" t="s">
        <v>2183</v>
      </c>
      <c r="F1377" s="27" t="s">
        <v>2604</v>
      </c>
    </row>
    <row r="1378">
      <c r="A1378" s="9" t="s">
        <v>164</v>
      </c>
      <c r="B1378" s="9" t="s">
        <v>165</v>
      </c>
      <c r="C1378" s="8" t="s">
        <v>59</v>
      </c>
      <c r="D1378" s="14" t="s">
        <v>135</v>
      </c>
      <c r="E1378" s="8" t="s">
        <v>2593</v>
      </c>
      <c r="F1378" s="27" t="s">
        <v>2586</v>
      </c>
    </row>
    <row r="1379">
      <c r="A1379" s="9" t="s">
        <v>164</v>
      </c>
      <c r="B1379" s="9" t="s">
        <v>299</v>
      </c>
      <c r="C1379" s="8" t="s">
        <v>46</v>
      </c>
      <c r="D1379" s="14" t="s">
        <v>837</v>
      </c>
      <c r="E1379" s="8" t="s">
        <v>2598</v>
      </c>
      <c r="F1379" s="27" t="s">
        <v>2608</v>
      </c>
    </row>
    <row r="1380">
      <c r="A1380" s="9" t="s">
        <v>164</v>
      </c>
      <c r="B1380" s="9" t="s">
        <v>263</v>
      </c>
      <c r="C1380" s="8" t="s">
        <v>65</v>
      </c>
      <c r="D1380" s="14" t="s">
        <v>837</v>
      </c>
      <c r="E1380" s="8" t="s">
        <v>2585</v>
      </c>
      <c r="F1380" s="27" t="s">
        <v>2601</v>
      </c>
    </row>
    <row r="1381">
      <c r="A1381" s="9" t="s">
        <v>164</v>
      </c>
      <c r="B1381" s="9" t="s">
        <v>1889</v>
      </c>
      <c r="C1381" s="8" t="s">
        <v>192</v>
      </c>
      <c r="D1381" s="14" t="s">
        <v>1679</v>
      </c>
      <c r="E1381" s="8" t="s">
        <v>2558</v>
      </c>
      <c r="F1381" s="27" t="s">
        <v>2580</v>
      </c>
    </row>
    <row r="1382">
      <c r="A1382" s="9" t="s">
        <v>2484</v>
      </c>
      <c r="B1382" s="9" t="s">
        <v>57</v>
      </c>
      <c r="C1382" s="8" t="s">
        <v>70</v>
      </c>
      <c r="D1382" s="14" t="s">
        <v>2459</v>
      </c>
      <c r="E1382" s="8" t="s">
        <v>2552</v>
      </c>
      <c r="F1382" s="27" t="s">
        <v>2622</v>
      </c>
    </row>
    <row r="1383">
      <c r="A1383" s="9" t="s">
        <v>1244</v>
      </c>
      <c r="B1383" s="9" t="s">
        <v>1245</v>
      </c>
      <c r="C1383" s="8" t="s">
        <v>93</v>
      </c>
      <c r="D1383" s="14" t="s">
        <v>1070</v>
      </c>
      <c r="E1383" s="8" t="s">
        <v>2560</v>
      </c>
      <c r="F1383" s="27" t="s">
        <v>2594</v>
      </c>
    </row>
    <row r="1384">
      <c r="A1384" s="9" t="s">
        <v>751</v>
      </c>
      <c r="B1384" s="9" t="s">
        <v>301</v>
      </c>
      <c r="C1384" s="8" t="s">
        <v>138</v>
      </c>
      <c r="D1384" s="14" t="s">
        <v>631</v>
      </c>
      <c r="E1384" s="18" t="s">
        <v>2556</v>
      </c>
      <c r="F1384" s="27" t="s">
        <v>2573</v>
      </c>
    </row>
    <row r="1385">
      <c r="A1385" s="9" t="s">
        <v>1246</v>
      </c>
      <c r="B1385" s="9" t="s">
        <v>247</v>
      </c>
      <c r="C1385" s="8" t="s">
        <v>80</v>
      </c>
      <c r="D1385" s="14" t="s">
        <v>1070</v>
      </c>
      <c r="E1385" s="8" t="s">
        <v>2560</v>
      </c>
      <c r="F1385" s="27" t="s">
        <v>2586</v>
      </c>
    </row>
    <row r="1386">
      <c r="A1386" s="9" t="s">
        <v>1890</v>
      </c>
      <c r="B1386" s="9" t="s">
        <v>1891</v>
      </c>
      <c r="C1386" s="8" t="s">
        <v>16</v>
      </c>
      <c r="D1386" s="14" t="s">
        <v>1679</v>
      </c>
      <c r="E1386" s="8" t="s">
        <v>2615</v>
      </c>
      <c r="F1386" s="27" t="s">
        <v>2578</v>
      </c>
    </row>
    <row r="1387">
      <c r="A1387" s="9" t="s">
        <v>752</v>
      </c>
      <c r="B1387" s="9" t="s">
        <v>619</v>
      </c>
      <c r="C1387" s="8" t="s">
        <v>24</v>
      </c>
      <c r="D1387" s="14" t="s">
        <v>631</v>
      </c>
      <c r="E1387" s="8" t="s">
        <v>2572</v>
      </c>
      <c r="F1387" s="27" t="s">
        <v>2591</v>
      </c>
    </row>
    <row r="1388">
      <c r="A1388" s="9" t="s">
        <v>1247</v>
      </c>
      <c r="B1388" s="9" t="s">
        <v>506</v>
      </c>
      <c r="C1388" s="8" t="s">
        <v>186</v>
      </c>
      <c r="D1388" s="14" t="s">
        <v>1070</v>
      </c>
      <c r="E1388" s="8" t="s">
        <v>2585</v>
      </c>
      <c r="F1388" s="27" t="s">
        <v>2622</v>
      </c>
    </row>
    <row r="1389">
      <c r="A1389" s="9" t="s">
        <v>753</v>
      </c>
      <c r="B1389" s="9" t="s">
        <v>754</v>
      </c>
      <c r="C1389" s="8" t="s">
        <v>138</v>
      </c>
      <c r="D1389" s="14" t="s">
        <v>631</v>
      </c>
      <c r="E1389" s="18" t="s">
        <v>2556</v>
      </c>
      <c r="F1389" s="27" t="s">
        <v>2602</v>
      </c>
    </row>
    <row r="1390">
      <c r="A1390" s="9" t="s">
        <v>1248</v>
      </c>
      <c r="B1390" s="9" t="s">
        <v>1249</v>
      </c>
      <c r="C1390" s="8" t="s">
        <v>122</v>
      </c>
      <c r="D1390" s="14" t="s">
        <v>1070</v>
      </c>
      <c r="E1390" s="8" t="s">
        <v>2581</v>
      </c>
      <c r="F1390" s="27" t="s">
        <v>2576</v>
      </c>
    </row>
    <row r="1391">
      <c r="A1391" s="9" t="s">
        <v>2182</v>
      </c>
      <c r="B1391" s="9" t="s">
        <v>726</v>
      </c>
      <c r="C1391" s="8" t="s">
        <v>70</v>
      </c>
      <c r="D1391" s="14" t="s">
        <v>2033</v>
      </c>
      <c r="E1391" s="8" t="s">
        <v>2574</v>
      </c>
      <c r="F1391" s="27" t="s">
        <v>2616</v>
      </c>
    </row>
    <row r="1392">
      <c r="A1392" s="9" t="s">
        <v>1250</v>
      </c>
      <c r="B1392" s="9" t="s">
        <v>399</v>
      </c>
      <c r="C1392" s="8" t="s">
        <v>93</v>
      </c>
      <c r="D1392" s="14" t="s">
        <v>1070</v>
      </c>
      <c r="E1392" s="8" t="s">
        <v>2581</v>
      </c>
      <c r="F1392" s="27" t="s">
        <v>2571</v>
      </c>
    </row>
    <row r="1393">
      <c r="A1393" s="18" t="s">
        <v>755</v>
      </c>
      <c r="B1393" s="18" t="s">
        <v>269</v>
      </c>
      <c r="C1393" s="8" t="s">
        <v>16</v>
      </c>
      <c r="D1393" s="14" t="s">
        <v>631</v>
      </c>
      <c r="E1393" s="8" t="s">
        <v>2562</v>
      </c>
      <c r="F1393" s="27" t="s">
        <v>2576</v>
      </c>
    </row>
    <row r="1394">
      <c r="A1394" s="9" t="s">
        <v>293</v>
      </c>
      <c r="B1394" s="9" t="s">
        <v>77</v>
      </c>
      <c r="C1394" s="8" t="s">
        <v>122</v>
      </c>
      <c r="D1394" s="14" t="s">
        <v>237</v>
      </c>
      <c r="E1394" s="18" t="s">
        <v>2589</v>
      </c>
      <c r="F1394" s="27" t="s">
        <v>2568</v>
      </c>
    </row>
    <row r="1395">
      <c r="A1395" s="9" t="s">
        <v>2380</v>
      </c>
      <c r="B1395" s="9" t="s">
        <v>642</v>
      </c>
      <c r="C1395" s="8" t="s">
        <v>65</v>
      </c>
      <c r="D1395" s="14" t="s">
        <v>2296</v>
      </c>
      <c r="E1395" s="8" t="s">
        <v>2587</v>
      </c>
      <c r="F1395" s="27" t="s">
        <v>2568</v>
      </c>
    </row>
    <row r="1396">
      <c r="A1396" s="9" t="s">
        <v>216</v>
      </c>
      <c r="B1396" s="9" t="s">
        <v>217</v>
      </c>
      <c r="C1396" s="8" t="s">
        <v>80</v>
      </c>
      <c r="D1396" s="14" t="s">
        <v>189</v>
      </c>
      <c r="E1396" s="8" t="s">
        <v>2600</v>
      </c>
      <c r="F1396" s="27" t="s">
        <v>2596</v>
      </c>
    </row>
    <row r="1397">
      <c r="A1397" s="9" t="s">
        <v>216</v>
      </c>
      <c r="B1397" s="9" t="s">
        <v>45</v>
      </c>
      <c r="C1397" s="8" t="s">
        <v>93</v>
      </c>
      <c r="D1397" s="14" t="s">
        <v>189</v>
      </c>
      <c r="E1397" s="8" t="s">
        <v>2600</v>
      </c>
      <c r="F1397" s="27" t="s">
        <v>2625</v>
      </c>
    </row>
    <row r="1398">
      <c r="A1398" s="9" t="s">
        <v>218</v>
      </c>
      <c r="B1398" s="9" t="s">
        <v>219</v>
      </c>
      <c r="C1398" s="8" t="s">
        <v>16</v>
      </c>
      <c r="D1398" s="14" t="s">
        <v>189</v>
      </c>
      <c r="E1398" s="8" t="s">
        <v>2582</v>
      </c>
      <c r="F1398" s="27" t="s">
        <v>2576</v>
      </c>
    </row>
    <row r="1399">
      <c r="A1399" s="9" t="s">
        <v>218</v>
      </c>
      <c r="B1399" s="9" t="s">
        <v>527</v>
      </c>
      <c r="C1399" s="8" t="s">
        <v>141</v>
      </c>
      <c r="D1399" s="14" t="s">
        <v>2296</v>
      </c>
      <c r="E1399" s="8" t="s">
        <v>2595</v>
      </c>
      <c r="F1399" s="27" t="s">
        <v>2568</v>
      </c>
    </row>
    <row r="1400">
      <c r="A1400" s="9" t="s">
        <v>218</v>
      </c>
      <c r="B1400" s="9" t="s">
        <v>294</v>
      </c>
      <c r="C1400" s="8" t="s">
        <v>215</v>
      </c>
      <c r="D1400" s="14" t="s">
        <v>237</v>
      </c>
      <c r="E1400" s="8" t="s">
        <v>2574</v>
      </c>
      <c r="F1400" s="27" t="s">
        <v>2633</v>
      </c>
    </row>
    <row r="1401">
      <c r="A1401" s="9" t="s">
        <v>218</v>
      </c>
      <c r="B1401" s="9" t="s">
        <v>295</v>
      </c>
      <c r="C1401" s="8" t="s">
        <v>70</v>
      </c>
      <c r="D1401" s="14" t="s">
        <v>237</v>
      </c>
      <c r="E1401" s="8" t="s">
        <v>2587</v>
      </c>
      <c r="F1401" s="27" t="s">
        <v>2588</v>
      </c>
    </row>
    <row r="1402">
      <c r="A1402" s="9" t="s">
        <v>579</v>
      </c>
      <c r="B1402" s="9" t="s">
        <v>381</v>
      </c>
      <c r="C1402" s="8" t="s">
        <v>132</v>
      </c>
      <c r="D1402" s="14" t="s">
        <v>837</v>
      </c>
      <c r="E1402" s="8" t="s">
        <v>2558</v>
      </c>
      <c r="F1402" s="27" t="s">
        <v>2594</v>
      </c>
    </row>
    <row r="1403">
      <c r="A1403" s="9" t="s">
        <v>579</v>
      </c>
      <c r="B1403" s="9" t="s">
        <v>580</v>
      </c>
      <c r="C1403" s="8" t="s">
        <v>215</v>
      </c>
      <c r="D1403" s="14" t="s">
        <v>459</v>
      </c>
      <c r="E1403" s="8" t="s">
        <v>2584</v>
      </c>
      <c r="F1403" s="27" t="s">
        <v>2563</v>
      </c>
    </row>
    <row r="1404">
      <c r="A1404" s="9" t="s">
        <v>979</v>
      </c>
      <c r="B1404" s="9" t="s">
        <v>241</v>
      </c>
      <c r="C1404" s="8" t="s">
        <v>122</v>
      </c>
      <c r="D1404" s="14" t="s">
        <v>837</v>
      </c>
      <c r="E1404" s="8" t="s">
        <v>2577</v>
      </c>
      <c r="F1404" s="27" t="s">
        <v>2563</v>
      </c>
    </row>
    <row r="1405">
      <c r="A1405" s="9" t="s">
        <v>581</v>
      </c>
      <c r="B1405" s="9" t="s">
        <v>1251</v>
      </c>
      <c r="C1405" s="8" t="s">
        <v>149</v>
      </c>
      <c r="D1405" s="14" t="s">
        <v>1070</v>
      </c>
      <c r="E1405" s="8" t="s">
        <v>2587</v>
      </c>
      <c r="F1405" s="27" t="s">
        <v>2606</v>
      </c>
    </row>
    <row r="1406">
      <c r="A1406" s="9" t="s">
        <v>581</v>
      </c>
      <c r="B1406" s="9" t="s">
        <v>2183</v>
      </c>
      <c r="C1406" s="8" t="s">
        <v>75</v>
      </c>
      <c r="D1406" s="14" t="s">
        <v>2033</v>
      </c>
      <c r="E1406" s="8" t="s">
        <v>2584</v>
      </c>
      <c r="F1406" s="27" t="s">
        <v>2617</v>
      </c>
    </row>
    <row r="1407">
      <c r="A1407" s="9" t="s">
        <v>581</v>
      </c>
      <c r="B1407" s="9" t="s">
        <v>119</v>
      </c>
      <c r="C1407" s="8" t="s">
        <v>24</v>
      </c>
      <c r="D1407" s="14" t="s">
        <v>459</v>
      </c>
      <c r="E1407" s="8" t="s">
        <v>2552</v>
      </c>
      <c r="F1407" s="27" t="s">
        <v>2627</v>
      </c>
    </row>
    <row r="1408">
      <c r="A1408" s="18" t="s">
        <v>582</v>
      </c>
      <c r="B1408" s="18" t="s">
        <v>491</v>
      </c>
      <c r="C1408" s="8" t="s">
        <v>80</v>
      </c>
      <c r="D1408" s="14" t="s">
        <v>631</v>
      </c>
      <c r="E1408" s="8" t="s">
        <v>2581</v>
      </c>
      <c r="F1408" s="27" t="s">
        <v>2602</v>
      </c>
    </row>
    <row r="1409">
      <c r="A1409" s="9" t="s">
        <v>582</v>
      </c>
      <c r="B1409" s="9" t="s">
        <v>583</v>
      </c>
      <c r="C1409" s="8" t="s">
        <v>24</v>
      </c>
      <c r="D1409" s="14" t="s">
        <v>459</v>
      </c>
      <c r="E1409" s="8" t="s">
        <v>2577</v>
      </c>
      <c r="F1409" s="27" t="s">
        <v>2578</v>
      </c>
    </row>
    <row r="1410">
      <c r="A1410" s="9" t="s">
        <v>756</v>
      </c>
      <c r="B1410" s="9" t="s">
        <v>436</v>
      </c>
      <c r="C1410" s="8" t="s">
        <v>80</v>
      </c>
      <c r="D1410" s="14" t="s">
        <v>631</v>
      </c>
      <c r="E1410" s="8" t="s">
        <v>2603</v>
      </c>
      <c r="F1410" s="27" t="s">
        <v>2608</v>
      </c>
    </row>
    <row r="1411">
      <c r="A1411" s="9" t="s">
        <v>1892</v>
      </c>
      <c r="B1411" s="9" t="s">
        <v>1893</v>
      </c>
      <c r="C1411" s="8" t="s">
        <v>149</v>
      </c>
      <c r="D1411" s="14" t="s">
        <v>1679</v>
      </c>
      <c r="E1411" s="8" t="s">
        <v>2598</v>
      </c>
      <c r="F1411" s="27" t="s">
        <v>2568</v>
      </c>
    </row>
    <row r="1412">
      <c r="A1412" s="18" t="s">
        <v>1252</v>
      </c>
      <c r="B1412" s="18" t="s">
        <v>540</v>
      </c>
      <c r="C1412" s="8" t="s">
        <v>122</v>
      </c>
      <c r="D1412" s="14" t="s">
        <v>1070</v>
      </c>
      <c r="E1412" s="8" t="s">
        <v>2572</v>
      </c>
      <c r="F1412" s="27" t="s">
        <v>2583</v>
      </c>
    </row>
    <row r="1413">
      <c r="A1413" s="9" t="s">
        <v>1894</v>
      </c>
      <c r="B1413" s="9" t="s">
        <v>183</v>
      </c>
      <c r="C1413" s="8" t="s">
        <v>149</v>
      </c>
      <c r="D1413" s="14" t="s">
        <v>1679</v>
      </c>
      <c r="E1413" s="8" t="s">
        <v>2585</v>
      </c>
      <c r="F1413" s="27" t="s">
        <v>2578</v>
      </c>
    </row>
    <row r="1414">
      <c r="A1414" s="9" t="s">
        <v>2184</v>
      </c>
      <c r="B1414" s="9" t="s">
        <v>100</v>
      </c>
      <c r="C1414" s="8" t="s">
        <v>16</v>
      </c>
      <c r="D1414" s="14" t="s">
        <v>2033</v>
      </c>
      <c r="E1414" s="8" t="s">
        <v>2584</v>
      </c>
      <c r="F1414" s="27" t="s">
        <v>2617</v>
      </c>
    </row>
    <row r="1415">
      <c r="A1415" s="9" t="s">
        <v>1253</v>
      </c>
      <c r="B1415" s="9" t="s">
        <v>1131</v>
      </c>
      <c r="C1415" s="8" t="s">
        <v>132</v>
      </c>
      <c r="D1415" s="14" t="s">
        <v>1070</v>
      </c>
      <c r="E1415" s="8" t="s">
        <v>2620</v>
      </c>
      <c r="F1415" s="27" t="s">
        <v>2573</v>
      </c>
    </row>
    <row r="1416">
      <c r="A1416" s="9" t="s">
        <v>1253</v>
      </c>
      <c r="B1416" s="9" t="s">
        <v>1131</v>
      </c>
      <c r="C1416" s="8" t="s">
        <v>132</v>
      </c>
      <c r="D1416" s="14" t="s">
        <v>2459</v>
      </c>
      <c r="E1416" s="8" t="s">
        <v>2614</v>
      </c>
      <c r="F1416" s="27" t="s">
        <v>2583</v>
      </c>
    </row>
    <row r="1417">
      <c r="A1417" s="9" t="s">
        <v>1527</v>
      </c>
      <c r="B1417" s="9" t="s">
        <v>1528</v>
      </c>
      <c r="C1417" s="8" t="s">
        <v>70</v>
      </c>
      <c r="D1417" s="14" t="s">
        <v>1352</v>
      </c>
      <c r="E1417" s="8" t="s">
        <v>2560</v>
      </c>
      <c r="F1417" s="27" t="s">
        <v>2557</v>
      </c>
    </row>
    <row r="1418">
      <c r="A1418" s="9" t="s">
        <v>2185</v>
      </c>
      <c r="B1418" s="9" t="s">
        <v>1941</v>
      </c>
      <c r="C1418" s="8" t="s">
        <v>215</v>
      </c>
      <c r="D1418" s="14" t="s">
        <v>2033</v>
      </c>
      <c r="E1418" s="8" t="s">
        <v>2566</v>
      </c>
      <c r="F1418" s="27" t="s">
        <v>2555</v>
      </c>
    </row>
    <row r="1419">
      <c r="A1419" s="9" t="s">
        <v>1895</v>
      </c>
      <c r="B1419" s="9" t="s">
        <v>948</v>
      </c>
      <c r="C1419" s="8" t="s">
        <v>65</v>
      </c>
      <c r="D1419" s="14" t="s">
        <v>1679</v>
      </c>
      <c r="E1419" s="8" t="s">
        <v>2587</v>
      </c>
      <c r="F1419" s="27" t="s">
        <v>2573</v>
      </c>
    </row>
    <row r="1420">
      <c r="A1420" s="9" t="s">
        <v>1895</v>
      </c>
      <c r="B1420" s="9" t="s">
        <v>2381</v>
      </c>
      <c r="C1420" s="8" t="s">
        <v>75</v>
      </c>
      <c r="D1420" s="14" t="s">
        <v>2296</v>
      </c>
      <c r="E1420" s="8" t="s">
        <v>2183</v>
      </c>
      <c r="F1420" s="27" t="s">
        <v>2627</v>
      </c>
    </row>
    <row r="1421">
      <c r="A1421" s="9" t="s">
        <v>2186</v>
      </c>
      <c r="B1421" s="9" t="s">
        <v>2187</v>
      </c>
      <c r="C1421" s="8" t="s">
        <v>215</v>
      </c>
      <c r="D1421" s="14" t="s">
        <v>2033</v>
      </c>
      <c r="E1421" s="8" t="s">
        <v>2598</v>
      </c>
      <c r="F1421" s="27" t="s">
        <v>2586</v>
      </c>
    </row>
    <row r="1422">
      <c r="A1422" s="9" t="s">
        <v>1254</v>
      </c>
      <c r="B1422" s="9" t="s">
        <v>1255</v>
      </c>
      <c r="C1422" s="8" t="s">
        <v>186</v>
      </c>
      <c r="D1422" s="14" t="s">
        <v>1070</v>
      </c>
      <c r="E1422" s="8" t="s">
        <v>2562</v>
      </c>
      <c r="F1422" s="27" t="s">
        <v>2578</v>
      </c>
    </row>
    <row r="1423">
      <c r="A1423" s="9" t="s">
        <v>980</v>
      </c>
      <c r="B1423" s="9" t="s">
        <v>798</v>
      </c>
      <c r="C1423" s="8" t="s">
        <v>93</v>
      </c>
      <c r="D1423" s="14" t="s">
        <v>1070</v>
      </c>
      <c r="E1423" s="8" t="s">
        <v>2564</v>
      </c>
      <c r="F1423" s="27" t="s">
        <v>2576</v>
      </c>
    </row>
    <row r="1424">
      <c r="A1424" s="9" t="s">
        <v>980</v>
      </c>
      <c r="B1424" s="9" t="s">
        <v>981</v>
      </c>
      <c r="C1424" s="8" t="s">
        <v>70</v>
      </c>
      <c r="D1424" s="14" t="s">
        <v>837</v>
      </c>
      <c r="E1424" s="8" t="s">
        <v>2585</v>
      </c>
      <c r="F1424" s="27" t="s">
        <v>2588</v>
      </c>
    </row>
    <row r="1425">
      <c r="A1425" s="9" t="s">
        <v>1256</v>
      </c>
      <c r="B1425" s="9" t="s">
        <v>1257</v>
      </c>
      <c r="C1425" s="8" t="s">
        <v>59</v>
      </c>
      <c r="D1425" s="14" t="s">
        <v>1070</v>
      </c>
      <c r="E1425" s="8" t="s">
        <v>2582</v>
      </c>
      <c r="F1425" s="27" t="s">
        <v>2579</v>
      </c>
    </row>
    <row r="1426">
      <c r="A1426" s="18" t="s">
        <v>1258</v>
      </c>
      <c r="B1426" s="18" t="s">
        <v>1259</v>
      </c>
      <c r="C1426" s="8" t="s">
        <v>70</v>
      </c>
      <c r="D1426" s="14" t="s">
        <v>1070</v>
      </c>
      <c r="E1426" s="8" t="s">
        <v>2603</v>
      </c>
      <c r="F1426" s="27" t="s">
        <v>2553</v>
      </c>
    </row>
    <row r="1427">
      <c r="A1427" s="9" t="s">
        <v>2382</v>
      </c>
      <c r="B1427" s="9" t="s">
        <v>471</v>
      </c>
      <c r="C1427" s="8" t="s">
        <v>192</v>
      </c>
      <c r="D1427" s="14" t="s">
        <v>2296</v>
      </c>
      <c r="E1427" s="8" t="s">
        <v>2566</v>
      </c>
      <c r="F1427" s="27" t="s">
        <v>2609</v>
      </c>
    </row>
    <row r="1428">
      <c r="A1428" s="9" t="s">
        <v>2382</v>
      </c>
      <c r="B1428" s="9" t="s">
        <v>2313</v>
      </c>
      <c r="C1428" s="8" t="s">
        <v>65</v>
      </c>
      <c r="D1428" s="14" t="s">
        <v>2296</v>
      </c>
      <c r="E1428" s="8" t="s">
        <v>2582</v>
      </c>
      <c r="F1428" s="27" t="s">
        <v>2591</v>
      </c>
    </row>
    <row r="1429">
      <c r="A1429" s="9" t="s">
        <v>166</v>
      </c>
      <c r="B1429" s="9" t="s">
        <v>167</v>
      </c>
      <c r="C1429" s="8" t="s">
        <v>122</v>
      </c>
      <c r="D1429" s="14" t="s">
        <v>135</v>
      </c>
      <c r="E1429" s="8" t="s">
        <v>2560</v>
      </c>
      <c r="F1429" s="27" t="s">
        <v>2608</v>
      </c>
    </row>
    <row r="1430">
      <c r="A1430" s="9" t="s">
        <v>584</v>
      </c>
      <c r="B1430" s="9" t="s">
        <v>383</v>
      </c>
      <c r="C1430" s="8" t="s">
        <v>80</v>
      </c>
      <c r="D1430" s="14" t="s">
        <v>459</v>
      </c>
      <c r="E1430" s="8" t="s">
        <v>2564</v>
      </c>
      <c r="F1430" s="27" t="s">
        <v>2608</v>
      </c>
    </row>
    <row r="1431">
      <c r="A1431" s="9" t="s">
        <v>296</v>
      </c>
      <c r="B1431" s="9" t="s">
        <v>297</v>
      </c>
      <c r="C1431" s="8" t="s">
        <v>93</v>
      </c>
      <c r="D1431" s="14" t="s">
        <v>237</v>
      </c>
      <c r="E1431" s="8" t="s">
        <v>2605</v>
      </c>
      <c r="F1431" s="27" t="s">
        <v>2557</v>
      </c>
    </row>
    <row r="1432">
      <c r="A1432" s="9" t="s">
        <v>757</v>
      </c>
      <c r="B1432" s="9" t="s">
        <v>121</v>
      </c>
      <c r="C1432" s="8" t="s">
        <v>12</v>
      </c>
      <c r="D1432" s="14" t="s">
        <v>631</v>
      </c>
      <c r="E1432" s="8" t="s">
        <v>2620</v>
      </c>
      <c r="F1432" s="27" t="s">
        <v>2571</v>
      </c>
    </row>
    <row r="1433">
      <c r="A1433" s="9" t="s">
        <v>2188</v>
      </c>
      <c r="B1433" s="9" t="s">
        <v>2189</v>
      </c>
      <c r="C1433" s="8" t="s">
        <v>186</v>
      </c>
      <c r="D1433" s="14" t="s">
        <v>2033</v>
      </c>
      <c r="E1433" s="8" t="s">
        <v>2581</v>
      </c>
      <c r="F1433" s="27" t="s">
        <v>2553</v>
      </c>
    </row>
    <row r="1434">
      <c r="A1434" s="9" t="s">
        <v>2190</v>
      </c>
      <c r="B1434" s="9" t="s">
        <v>822</v>
      </c>
      <c r="C1434" s="8" t="s">
        <v>70</v>
      </c>
      <c r="D1434" s="14" t="s">
        <v>2033</v>
      </c>
      <c r="E1434" s="8" t="s">
        <v>2621</v>
      </c>
      <c r="F1434" s="27" t="s">
        <v>2609</v>
      </c>
    </row>
    <row r="1435">
      <c r="A1435" s="9" t="s">
        <v>400</v>
      </c>
      <c r="B1435" s="9" t="s">
        <v>401</v>
      </c>
      <c r="C1435" s="8" t="s">
        <v>59</v>
      </c>
      <c r="D1435" s="14" t="s">
        <v>338</v>
      </c>
      <c r="E1435" s="8" t="s">
        <v>2575</v>
      </c>
      <c r="F1435" s="27" t="s">
        <v>2608</v>
      </c>
    </row>
    <row r="1436">
      <c r="A1436" s="9" t="s">
        <v>298</v>
      </c>
      <c r="B1436" s="9" t="s">
        <v>299</v>
      </c>
      <c r="C1436" s="8" t="s">
        <v>24</v>
      </c>
      <c r="D1436" s="14" t="s">
        <v>237</v>
      </c>
      <c r="E1436" s="8" t="s">
        <v>2593</v>
      </c>
      <c r="F1436" s="27" t="s">
        <v>2631</v>
      </c>
    </row>
    <row r="1437">
      <c r="A1437" s="9" t="s">
        <v>1260</v>
      </c>
      <c r="B1437" s="9" t="s">
        <v>140</v>
      </c>
      <c r="C1437" s="8" t="s">
        <v>93</v>
      </c>
      <c r="D1437" s="14" t="s">
        <v>1070</v>
      </c>
      <c r="E1437" s="8" t="s">
        <v>2610</v>
      </c>
      <c r="F1437" s="27" t="s">
        <v>2576</v>
      </c>
    </row>
    <row r="1438">
      <c r="A1438" s="9" t="s">
        <v>2191</v>
      </c>
      <c r="B1438" s="9" t="s">
        <v>2192</v>
      </c>
      <c r="C1438" s="8" t="s">
        <v>16</v>
      </c>
      <c r="D1438" s="14" t="s">
        <v>2033</v>
      </c>
      <c r="E1438" s="8" t="s">
        <v>2575</v>
      </c>
      <c r="F1438" s="27" t="s">
        <v>2606</v>
      </c>
    </row>
    <row r="1439">
      <c r="A1439" s="9" t="s">
        <v>1896</v>
      </c>
      <c r="B1439" s="9" t="s">
        <v>1897</v>
      </c>
      <c r="C1439" s="8" t="s">
        <v>93</v>
      </c>
      <c r="D1439" s="14" t="s">
        <v>1679</v>
      </c>
      <c r="E1439" s="8" t="s">
        <v>2581</v>
      </c>
      <c r="F1439" s="27" t="s">
        <v>2557</v>
      </c>
    </row>
    <row r="1440">
      <c r="A1440" s="9" t="s">
        <v>1898</v>
      </c>
      <c r="B1440" s="9" t="s">
        <v>1899</v>
      </c>
      <c r="C1440" s="8" t="s">
        <v>93</v>
      </c>
      <c r="D1440" s="14" t="s">
        <v>1679</v>
      </c>
      <c r="E1440" s="18" t="s">
        <v>2556</v>
      </c>
      <c r="F1440" s="27" t="s">
        <v>2606</v>
      </c>
    </row>
    <row r="1441">
      <c r="A1441" s="9" t="s">
        <v>758</v>
      </c>
      <c r="B1441" s="9" t="s">
        <v>759</v>
      </c>
      <c r="C1441" s="8" t="s">
        <v>138</v>
      </c>
      <c r="D1441" s="14" t="s">
        <v>631</v>
      </c>
      <c r="E1441" s="8" t="s">
        <v>2598</v>
      </c>
      <c r="F1441" s="27" t="s">
        <v>2622</v>
      </c>
    </row>
    <row r="1442">
      <c r="A1442" s="9" t="s">
        <v>120</v>
      </c>
      <c r="B1442" s="9" t="s">
        <v>121</v>
      </c>
      <c r="C1442" s="8" t="s">
        <v>122</v>
      </c>
      <c r="D1442" s="14" t="s">
        <v>108</v>
      </c>
      <c r="E1442" s="8" t="s">
        <v>2572</v>
      </c>
      <c r="F1442" s="27" t="s">
        <v>2602</v>
      </c>
    </row>
    <row r="1443">
      <c r="A1443" s="9" t="s">
        <v>760</v>
      </c>
      <c r="B1443" s="9" t="s">
        <v>499</v>
      </c>
      <c r="C1443" s="8" t="s">
        <v>122</v>
      </c>
      <c r="D1443" s="14" t="s">
        <v>631</v>
      </c>
      <c r="E1443" s="8" t="s">
        <v>2603</v>
      </c>
      <c r="F1443" s="27" t="s">
        <v>2563</v>
      </c>
    </row>
    <row r="1444">
      <c r="A1444" s="9" t="s">
        <v>2383</v>
      </c>
      <c r="B1444" s="9" t="s">
        <v>2200</v>
      </c>
      <c r="C1444" s="8" t="s">
        <v>93</v>
      </c>
      <c r="D1444" s="14" t="s">
        <v>2296</v>
      </c>
      <c r="E1444" s="8" t="s">
        <v>2584</v>
      </c>
      <c r="F1444" s="27" t="s">
        <v>2594</v>
      </c>
    </row>
    <row r="1445">
      <c r="A1445" s="9" t="s">
        <v>1529</v>
      </c>
      <c r="B1445" s="9" t="s">
        <v>1530</v>
      </c>
      <c r="C1445" s="8" t="s">
        <v>192</v>
      </c>
      <c r="D1445" s="14" t="s">
        <v>1352</v>
      </c>
      <c r="E1445" s="8" t="s">
        <v>2600</v>
      </c>
      <c r="F1445" s="27" t="s">
        <v>2565</v>
      </c>
    </row>
    <row r="1446">
      <c r="A1446" s="9" t="s">
        <v>385</v>
      </c>
      <c r="B1446" s="9" t="s">
        <v>585</v>
      </c>
      <c r="C1446" s="8" t="s">
        <v>93</v>
      </c>
      <c r="D1446" s="14" t="s">
        <v>459</v>
      </c>
      <c r="E1446" s="8" t="s">
        <v>2554</v>
      </c>
      <c r="F1446" s="27" t="s">
        <v>2586</v>
      </c>
    </row>
    <row r="1447">
      <c r="A1447" s="9" t="s">
        <v>586</v>
      </c>
      <c r="B1447" s="9" t="s">
        <v>587</v>
      </c>
      <c r="C1447" s="8" t="s">
        <v>53</v>
      </c>
      <c r="D1447" s="14" t="s">
        <v>459</v>
      </c>
      <c r="E1447" s="8" t="s">
        <v>2562</v>
      </c>
      <c r="F1447" s="27" t="s">
        <v>2578</v>
      </c>
    </row>
    <row r="1448">
      <c r="A1448" s="9" t="s">
        <v>1261</v>
      </c>
      <c r="B1448" s="9" t="s">
        <v>52</v>
      </c>
      <c r="C1448" s="8" t="s">
        <v>65</v>
      </c>
      <c r="D1448" s="14" t="s">
        <v>1070</v>
      </c>
      <c r="E1448" s="8" t="s">
        <v>2595</v>
      </c>
      <c r="F1448" s="27" t="s">
        <v>2608</v>
      </c>
    </row>
    <row r="1449">
      <c r="A1449" s="9" t="s">
        <v>2485</v>
      </c>
      <c r="B1449" s="9" t="s">
        <v>2486</v>
      </c>
      <c r="C1449" s="8" t="s">
        <v>65</v>
      </c>
      <c r="D1449" s="14" t="s">
        <v>2459</v>
      </c>
      <c r="E1449" s="8" t="s">
        <v>2603</v>
      </c>
      <c r="F1449" s="27" t="s">
        <v>2571</v>
      </c>
    </row>
    <row r="1450">
      <c r="A1450" s="9" t="s">
        <v>1900</v>
      </c>
      <c r="B1450" s="9" t="s">
        <v>1901</v>
      </c>
      <c r="C1450" s="8" t="s">
        <v>70</v>
      </c>
      <c r="D1450" s="14" t="s">
        <v>1679</v>
      </c>
      <c r="E1450" s="8" t="s">
        <v>2600</v>
      </c>
      <c r="F1450" s="27" t="s">
        <v>2611</v>
      </c>
    </row>
    <row r="1451">
      <c r="A1451" s="9" t="s">
        <v>1531</v>
      </c>
      <c r="B1451" s="9" t="s">
        <v>397</v>
      </c>
      <c r="C1451" s="8" t="s">
        <v>80</v>
      </c>
      <c r="D1451" s="14" t="s">
        <v>1352</v>
      </c>
      <c r="E1451" s="8" t="s">
        <v>2560</v>
      </c>
      <c r="F1451" s="27" t="s">
        <v>2563</v>
      </c>
    </row>
    <row r="1452">
      <c r="A1452" s="9" t="s">
        <v>982</v>
      </c>
      <c r="B1452" s="9" t="s">
        <v>157</v>
      </c>
      <c r="C1452" s="8" t="s">
        <v>149</v>
      </c>
      <c r="D1452" s="14" t="s">
        <v>837</v>
      </c>
      <c r="E1452" s="8" t="s">
        <v>2566</v>
      </c>
      <c r="F1452" s="27" t="s">
        <v>2612</v>
      </c>
    </row>
    <row r="1453">
      <c r="A1453" s="9" t="s">
        <v>1532</v>
      </c>
      <c r="B1453" s="9" t="s">
        <v>33</v>
      </c>
      <c r="C1453" s="8" t="s">
        <v>53</v>
      </c>
      <c r="D1453" s="14" t="s">
        <v>1352</v>
      </c>
      <c r="E1453" s="8" t="s">
        <v>2587</v>
      </c>
      <c r="F1453" s="27" t="s">
        <v>2590</v>
      </c>
    </row>
    <row r="1454">
      <c r="A1454" s="9" t="s">
        <v>1219</v>
      </c>
      <c r="B1454" s="9" t="s">
        <v>1283</v>
      </c>
      <c r="C1454" s="8" t="s">
        <v>149</v>
      </c>
      <c r="D1454" s="14" t="s">
        <v>2033</v>
      </c>
      <c r="E1454" s="18" t="s">
        <v>2589</v>
      </c>
      <c r="F1454" s="27" t="s">
        <v>2618</v>
      </c>
    </row>
    <row r="1455">
      <c r="A1455" s="9" t="s">
        <v>402</v>
      </c>
      <c r="B1455" s="9" t="s">
        <v>212</v>
      </c>
      <c r="C1455" s="8" t="s">
        <v>65</v>
      </c>
      <c r="D1455" s="14" t="s">
        <v>1679</v>
      </c>
      <c r="E1455" s="8" t="s">
        <v>2605</v>
      </c>
      <c r="F1455" s="27" t="s">
        <v>2601</v>
      </c>
    </row>
    <row r="1456">
      <c r="A1456" s="9" t="s">
        <v>402</v>
      </c>
      <c r="B1456" s="9" t="s">
        <v>1262</v>
      </c>
      <c r="C1456" s="8" t="s">
        <v>65</v>
      </c>
      <c r="D1456" s="14" t="s">
        <v>1070</v>
      </c>
      <c r="E1456" s="8" t="s">
        <v>2564</v>
      </c>
      <c r="F1456" s="27" t="s">
        <v>2591</v>
      </c>
    </row>
    <row r="1457">
      <c r="A1457" s="9" t="s">
        <v>402</v>
      </c>
      <c r="B1457" s="9" t="s">
        <v>726</v>
      </c>
      <c r="C1457" s="8" t="s">
        <v>59</v>
      </c>
      <c r="D1457" s="14" t="s">
        <v>2033</v>
      </c>
      <c r="E1457" s="8" t="s">
        <v>2574</v>
      </c>
      <c r="F1457" s="27" t="s">
        <v>2583</v>
      </c>
    </row>
    <row r="1458">
      <c r="A1458" s="9" t="s">
        <v>402</v>
      </c>
      <c r="B1458" s="9" t="s">
        <v>23</v>
      </c>
      <c r="C1458" s="8" t="s">
        <v>132</v>
      </c>
      <c r="D1458" s="14" t="s">
        <v>1070</v>
      </c>
      <c r="E1458" s="8" t="s">
        <v>2610</v>
      </c>
      <c r="F1458" s="27" t="s">
        <v>2591</v>
      </c>
    </row>
    <row r="1459">
      <c r="A1459" s="9" t="s">
        <v>402</v>
      </c>
      <c r="B1459" s="9" t="s">
        <v>263</v>
      </c>
      <c r="C1459" s="8" t="s">
        <v>93</v>
      </c>
      <c r="D1459" s="14" t="s">
        <v>2296</v>
      </c>
      <c r="E1459" s="8" t="s">
        <v>2598</v>
      </c>
      <c r="F1459" s="27" t="s">
        <v>2579</v>
      </c>
    </row>
    <row r="1460">
      <c r="A1460" s="9" t="s">
        <v>402</v>
      </c>
      <c r="B1460" s="9" t="s">
        <v>2193</v>
      </c>
      <c r="C1460" s="8" t="s">
        <v>46</v>
      </c>
      <c r="D1460" s="14" t="s">
        <v>2033</v>
      </c>
      <c r="E1460" s="18" t="s">
        <v>2556</v>
      </c>
      <c r="F1460" s="27" t="s">
        <v>2573</v>
      </c>
    </row>
    <row r="1461">
      <c r="A1461" s="9" t="s">
        <v>402</v>
      </c>
      <c r="B1461" s="9" t="s">
        <v>761</v>
      </c>
      <c r="C1461" s="8" t="s">
        <v>70</v>
      </c>
      <c r="D1461" s="14" t="s">
        <v>631</v>
      </c>
      <c r="E1461" s="8" t="s">
        <v>2562</v>
      </c>
      <c r="F1461" s="27" t="s">
        <v>2625</v>
      </c>
    </row>
    <row r="1462">
      <c r="A1462" s="9" t="s">
        <v>402</v>
      </c>
      <c r="B1462" s="9" t="s">
        <v>1031</v>
      </c>
      <c r="C1462" s="8" t="s">
        <v>65</v>
      </c>
      <c r="D1462" s="14" t="s">
        <v>2296</v>
      </c>
      <c r="E1462" s="8" t="s">
        <v>2592</v>
      </c>
      <c r="F1462" s="27" t="s">
        <v>2563</v>
      </c>
    </row>
    <row r="1463">
      <c r="A1463" s="9" t="s">
        <v>402</v>
      </c>
      <c r="B1463" s="9" t="s">
        <v>2384</v>
      </c>
      <c r="C1463" s="8" t="s">
        <v>215</v>
      </c>
      <c r="D1463" s="14" t="s">
        <v>2296</v>
      </c>
      <c r="E1463" s="8" t="s">
        <v>2564</v>
      </c>
      <c r="F1463" s="27" t="s">
        <v>2563</v>
      </c>
    </row>
    <row r="1464">
      <c r="A1464" s="9" t="s">
        <v>402</v>
      </c>
      <c r="B1464" s="9" t="s">
        <v>403</v>
      </c>
      <c r="C1464" s="8" t="s">
        <v>53</v>
      </c>
      <c r="D1464" s="14" t="s">
        <v>338</v>
      </c>
      <c r="E1464" s="8" t="s">
        <v>2620</v>
      </c>
      <c r="F1464" s="27" t="s">
        <v>2619</v>
      </c>
    </row>
    <row r="1465">
      <c r="A1465" s="9" t="s">
        <v>1533</v>
      </c>
      <c r="B1465" s="9" t="s">
        <v>1534</v>
      </c>
      <c r="C1465" s="8" t="s">
        <v>192</v>
      </c>
      <c r="D1465" s="14" t="s">
        <v>1352</v>
      </c>
      <c r="E1465" s="8" t="s">
        <v>2567</v>
      </c>
      <c r="F1465" s="27" t="s">
        <v>2580</v>
      </c>
    </row>
    <row r="1466">
      <c r="A1466" s="9" t="s">
        <v>762</v>
      </c>
      <c r="B1466" s="9" t="s">
        <v>1128</v>
      </c>
      <c r="C1466" s="8" t="s">
        <v>93</v>
      </c>
      <c r="D1466" s="14" t="s">
        <v>1352</v>
      </c>
      <c r="E1466" s="8" t="s">
        <v>2564</v>
      </c>
      <c r="F1466" s="27" t="s">
        <v>2553</v>
      </c>
    </row>
    <row r="1467">
      <c r="A1467" s="9" t="s">
        <v>762</v>
      </c>
      <c r="B1467" s="9" t="s">
        <v>263</v>
      </c>
      <c r="C1467" s="8" t="s">
        <v>149</v>
      </c>
      <c r="D1467" s="14" t="s">
        <v>631</v>
      </c>
      <c r="E1467" s="8" t="s">
        <v>2581</v>
      </c>
      <c r="F1467" s="27" t="s">
        <v>2579</v>
      </c>
    </row>
    <row r="1468">
      <c r="A1468" s="9" t="s">
        <v>1263</v>
      </c>
      <c r="B1468" s="9" t="s">
        <v>275</v>
      </c>
      <c r="C1468" s="8" t="s">
        <v>93</v>
      </c>
      <c r="D1468" s="14" t="s">
        <v>1070</v>
      </c>
      <c r="E1468" s="8" t="s">
        <v>2567</v>
      </c>
      <c r="F1468" s="27" t="s">
        <v>2576</v>
      </c>
    </row>
    <row r="1469">
      <c r="A1469" s="9" t="s">
        <v>1535</v>
      </c>
      <c r="B1469" s="9" t="s">
        <v>1536</v>
      </c>
      <c r="C1469" s="8" t="s">
        <v>93</v>
      </c>
      <c r="D1469" s="14" t="s">
        <v>1352</v>
      </c>
      <c r="E1469" s="8" t="s">
        <v>2605</v>
      </c>
      <c r="F1469" s="27" t="s">
        <v>2580</v>
      </c>
    </row>
    <row r="1470">
      <c r="A1470" s="9" t="s">
        <v>763</v>
      </c>
      <c r="B1470" s="9" t="s">
        <v>764</v>
      </c>
      <c r="C1470" s="8" t="s">
        <v>53</v>
      </c>
      <c r="D1470" s="14" t="s">
        <v>631</v>
      </c>
      <c r="E1470" s="8" t="s">
        <v>2603</v>
      </c>
      <c r="F1470" s="27" t="s">
        <v>2553</v>
      </c>
    </row>
    <row r="1471">
      <c r="A1471" s="9" t="s">
        <v>2194</v>
      </c>
      <c r="B1471" s="9" t="s">
        <v>2195</v>
      </c>
      <c r="C1471" s="8" t="s">
        <v>16</v>
      </c>
      <c r="D1471" s="14" t="s">
        <v>2033</v>
      </c>
      <c r="E1471" s="8" t="s">
        <v>2584</v>
      </c>
      <c r="F1471" s="27" t="s">
        <v>2570</v>
      </c>
    </row>
    <row r="1472">
      <c r="A1472" s="9" t="s">
        <v>427</v>
      </c>
      <c r="B1472" s="9" t="s">
        <v>1457</v>
      </c>
      <c r="C1472" s="8" t="s">
        <v>65</v>
      </c>
      <c r="D1472" s="14" t="s">
        <v>2296</v>
      </c>
      <c r="E1472" s="8" t="s">
        <v>2552</v>
      </c>
      <c r="F1472" s="27" t="s">
        <v>2583</v>
      </c>
    </row>
    <row r="1473">
      <c r="A1473" s="9" t="s">
        <v>427</v>
      </c>
      <c r="B1473" s="9" t="s">
        <v>759</v>
      </c>
      <c r="C1473" s="8" t="s">
        <v>65</v>
      </c>
      <c r="D1473" s="14" t="s">
        <v>1352</v>
      </c>
      <c r="E1473" s="8" t="s">
        <v>2562</v>
      </c>
      <c r="F1473" s="27" t="s">
        <v>2594</v>
      </c>
    </row>
    <row r="1474">
      <c r="A1474" s="9" t="s">
        <v>427</v>
      </c>
      <c r="B1474" s="9" t="s">
        <v>983</v>
      </c>
      <c r="C1474" s="8" t="s">
        <v>93</v>
      </c>
      <c r="D1474" s="14" t="s">
        <v>837</v>
      </c>
      <c r="E1474" s="8" t="s">
        <v>2615</v>
      </c>
      <c r="F1474" s="27" t="s">
        <v>2571</v>
      </c>
    </row>
    <row r="1475">
      <c r="A1475" s="9" t="s">
        <v>2196</v>
      </c>
      <c r="B1475" s="9" t="s">
        <v>102</v>
      </c>
      <c r="C1475" s="8" t="s">
        <v>70</v>
      </c>
      <c r="D1475" s="14" t="s">
        <v>2033</v>
      </c>
      <c r="E1475" s="8" t="s">
        <v>2610</v>
      </c>
      <c r="F1475" s="27" t="s">
        <v>2613</v>
      </c>
    </row>
    <row r="1476">
      <c r="A1476" s="9" t="s">
        <v>1537</v>
      </c>
      <c r="B1476" s="9" t="s">
        <v>1538</v>
      </c>
      <c r="C1476" s="8" t="s">
        <v>65</v>
      </c>
      <c r="D1476" s="14" t="s">
        <v>1352</v>
      </c>
      <c r="E1476" s="8" t="s">
        <v>2605</v>
      </c>
      <c r="F1476" s="27" t="s">
        <v>2570</v>
      </c>
    </row>
    <row r="1477">
      <c r="A1477" s="9" t="s">
        <v>1266</v>
      </c>
      <c r="B1477" s="9" t="s">
        <v>1267</v>
      </c>
      <c r="C1477" s="8" t="s">
        <v>65</v>
      </c>
      <c r="D1477" s="14" t="s">
        <v>1070</v>
      </c>
      <c r="E1477" s="8" t="s">
        <v>2577</v>
      </c>
      <c r="F1477" s="27" t="s">
        <v>2601</v>
      </c>
    </row>
    <row r="1478">
      <c r="A1478" s="9" t="s">
        <v>1265</v>
      </c>
      <c r="B1478" s="9" t="s">
        <v>506</v>
      </c>
      <c r="C1478" s="8" t="s">
        <v>70</v>
      </c>
      <c r="D1478" s="14" t="s">
        <v>2296</v>
      </c>
      <c r="E1478" s="8" t="s">
        <v>2605</v>
      </c>
      <c r="F1478" s="27" t="s">
        <v>2573</v>
      </c>
    </row>
    <row r="1479">
      <c r="A1479" s="9" t="s">
        <v>1265</v>
      </c>
      <c r="B1479" s="9" t="s">
        <v>170</v>
      </c>
      <c r="C1479" s="8" t="s">
        <v>70</v>
      </c>
      <c r="D1479" s="14" t="s">
        <v>1070</v>
      </c>
      <c r="E1479" s="8" t="s">
        <v>2560</v>
      </c>
      <c r="F1479" s="27" t="s">
        <v>2553</v>
      </c>
    </row>
    <row r="1480">
      <c r="A1480" s="18" t="s">
        <v>1264</v>
      </c>
      <c r="B1480" s="18" t="s">
        <v>269</v>
      </c>
      <c r="C1480" s="8" t="s">
        <v>80</v>
      </c>
      <c r="D1480" s="14" t="s">
        <v>2033</v>
      </c>
      <c r="E1480" s="8" t="s">
        <v>2562</v>
      </c>
      <c r="F1480" s="27" t="s">
        <v>2583</v>
      </c>
    </row>
    <row r="1481">
      <c r="A1481" s="9" t="s">
        <v>1264</v>
      </c>
      <c r="B1481" s="9" t="s">
        <v>275</v>
      </c>
      <c r="C1481" s="8" t="s">
        <v>65</v>
      </c>
      <c r="D1481" s="14" t="s">
        <v>1070</v>
      </c>
      <c r="E1481" s="8" t="s">
        <v>2575</v>
      </c>
      <c r="F1481" s="27" t="s">
        <v>2565</v>
      </c>
    </row>
    <row r="1482">
      <c r="A1482" s="9" t="s">
        <v>1264</v>
      </c>
      <c r="B1482" s="9" t="s">
        <v>506</v>
      </c>
      <c r="C1482" s="8" t="s">
        <v>65</v>
      </c>
      <c r="D1482" s="14" t="s">
        <v>1679</v>
      </c>
      <c r="E1482" s="8" t="s">
        <v>2603</v>
      </c>
      <c r="F1482" s="27" t="s">
        <v>2571</v>
      </c>
    </row>
    <row r="1483">
      <c r="A1483" s="18" t="s">
        <v>1264</v>
      </c>
      <c r="B1483" s="18" t="s">
        <v>529</v>
      </c>
      <c r="C1483" s="8" t="s">
        <v>65</v>
      </c>
      <c r="D1483" s="14" t="s">
        <v>2296</v>
      </c>
      <c r="E1483" s="8" t="s">
        <v>2574</v>
      </c>
      <c r="F1483" s="27" t="s">
        <v>2599</v>
      </c>
    </row>
    <row r="1484">
      <c r="A1484" s="9" t="s">
        <v>1264</v>
      </c>
      <c r="B1484" s="9" t="s">
        <v>2197</v>
      </c>
      <c r="C1484" s="8" t="s">
        <v>70</v>
      </c>
      <c r="D1484" s="14" t="s">
        <v>2033</v>
      </c>
      <c r="E1484" s="8" t="s">
        <v>2560</v>
      </c>
      <c r="F1484" s="27" t="s">
        <v>2579</v>
      </c>
    </row>
    <row r="1485">
      <c r="A1485" s="18" t="s">
        <v>1264</v>
      </c>
      <c r="B1485" s="18" t="s">
        <v>1902</v>
      </c>
      <c r="C1485" s="8" t="s">
        <v>65</v>
      </c>
      <c r="D1485" s="14" t="s">
        <v>1679</v>
      </c>
      <c r="E1485" s="8" t="s">
        <v>2558</v>
      </c>
      <c r="F1485" s="27" t="s">
        <v>2568</v>
      </c>
    </row>
    <row r="1486">
      <c r="A1486" s="9" t="s">
        <v>1264</v>
      </c>
      <c r="B1486" s="9" t="s">
        <v>2385</v>
      </c>
      <c r="C1486" s="8" t="s">
        <v>80</v>
      </c>
      <c r="D1486" s="14" t="s">
        <v>2296</v>
      </c>
      <c r="E1486" s="8" t="s">
        <v>2566</v>
      </c>
      <c r="F1486" s="27" t="s">
        <v>2555</v>
      </c>
    </row>
    <row r="1487">
      <c r="A1487" s="9" t="s">
        <v>1264</v>
      </c>
      <c r="B1487" s="9" t="s">
        <v>333</v>
      </c>
      <c r="C1487" s="8" t="s">
        <v>93</v>
      </c>
      <c r="D1487" s="14" t="s">
        <v>1679</v>
      </c>
      <c r="E1487" s="8" t="s">
        <v>2567</v>
      </c>
      <c r="F1487" s="27" t="s">
        <v>2608</v>
      </c>
    </row>
    <row r="1488">
      <c r="A1488" s="9" t="s">
        <v>1264</v>
      </c>
      <c r="B1488" s="9" t="s">
        <v>1903</v>
      </c>
      <c r="C1488" s="8" t="s">
        <v>186</v>
      </c>
      <c r="D1488" s="14" t="s">
        <v>1679</v>
      </c>
      <c r="E1488" s="8" t="s">
        <v>2567</v>
      </c>
      <c r="F1488" s="27" t="s">
        <v>2576</v>
      </c>
    </row>
    <row r="1489">
      <c r="A1489" s="9" t="s">
        <v>1264</v>
      </c>
      <c r="B1489" s="9" t="s">
        <v>759</v>
      </c>
      <c r="C1489" s="8" t="s">
        <v>149</v>
      </c>
      <c r="D1489" s="14" t="s">
        <v>1352</v>
      </c>
      <c r="E1489" s="8" t="s">
        <v>2575</v>
      </c>
      <c r="F1489" s="27" t="s">
        <v>2569</v>
      </c>
    </row>
    <row r="1490">
      <c r="A1490" s="9" t="s">
        <v>1264</v>
      </c>
      <c r="B1490" s="9" t="s">
        <v>2198</v>
      </c>
      <c r="C1490" s="8" t="s">
        <v>80</v>
      </c>
      <c r="D1490" s="14" t="s">
        <v>2033</v>
      </c>
      <c r="E1490" s="8" t="s">
        <v>2585</v>
      </c>
      <c r="F1490" s="27" t="s">
        <v>2579</v>
      </c>
    </row>
    <row r="1491">
      <c r="A1491" s="9" t="s">
        <v>1539</v>
      </c>
      <c r="B1491" s="9" t="s">
        <v>1540</v>
      </c>
      <c r="C1491" s="8" t="s">
        <v>93</v>
      </c>
      <c r="D1491" s="14" t="s">
        <v>1352</v>
      </c>
      <c r="E1491" s="8" t="s">
        <v>2582</v>
      </c>
      <c r="F1491" s="27" t="s">
        <v>2602</v>
      </c>
    </row>
    <row r="1492">
      <c r="A1492" s="9" t="s">
        <v>1539</v>
      </c>
      <c r="B1492" s="9" t="s">
        <v>154</v>
      </c>
      <c r="C1492" s="8" t="s">
        <v>24</v>
      </c>
      <c r="D1492" s="14" t="s">
        <v>2296</v>
      </c>
      <c r="E1492" s="18" t="s">
        <v>2556</v>
      </c>
      <c r="F1492" s="27" t="s">
        <v>2557</v>
      </c>
    </row>
    <row r="1493">
      <c r="A1493" s="9" t="s">
        <v>1904</v>
      </c>
      <c r="B1493" s="9" t="s">
        <v>204</v>
      </c>
      <c r="C1493" s="8" t="s">
        <v>93</v>
      </c>
      <c r="D1493" s="14" t="s">
        <v>1679</v>
      </c>
      <c r="E1493" s="8" t="s">
        <v>2582</v>
      </c>
      <c r="F1493" s="27" t="s">
        <v>2583</v>
      </c>
    </row>
    <row r="1494">
      <c r="A1494" s="9" t="s">
        <v>146</v>
      </c>
      <c r="B1494" s="9" t="s">
        <v>506</v>
      </c>
      <c r="C1494" s="8" t="s">
        <v>24</v>
      </c>
      <c r="D1494" s="14" t="s">
        <v>1070</v>
      </c>
      <c r="E1494" s="8" t="s">
        <v>2552</v>
      </c>
      <c r="F1494" s="27" t="s">
        <v>2573</v>
      </c>
    </row>
    <row r="1495">
      <c r="A1495" s="9" t="s">
        <v>146</v>
      </c>
      <c r="B1495" s="9" t="s">
        <v>263</v>
      </c>
      <c r="C1495" s="8" t="s">
        <v>75</v>
      </c>
      <c r="D1495" s="14" t="s">
        <v>1352</v>
      </c>
      <c r="E1495" s="8" t="s">
        <v>2560</v>
      </c>
      <c r="F1495" s="27" t="s">
        <v>2580</v>
      </c>
    </row>
    <row r="1496">
      <c r="A1496" s="9" t="s">
        <v>146</v>
      </c>
      <c r="B1496" s="9" t="s">
        <v>548</v>
      </c>
      <c r="C1496" s="8" t="s">
        <v>65</v>
      </c>
      <c r="D1496" s="14" t="s">
        <v>2296</v>
      </c>
      <c r="E1496" s="8" t="s">
        <v>2610</v>
      </c>
      <c r="F1496" s="27" t="s">
        <v>2563</v>
      </c>
    </row>
    <row r="1497">
      <c r="A1497" s="9" t="s">
        <v>1905</v>
      </c>
      <c r="B1497" s="9" t="s">
        <v>194</v>
      </c>
      <c r="C1497" s="8" t="s">
        <v>141</v>
      </c>
      <c r="D1497" s="14" t="s">
        <v>1679</v>
      </c>
      <c r="E1497" s="8" t="s">
        <v>2577</v>
      </c>
      <c r="F1497" s="27" t="s">
        <v>2570</v>
      </c>
    </row>
    <row r="1498">
      <c r="A1498" s="9" t="s">
        <v>1906</v>
      </c>
      <c r="B1498" s="9" t="s">
        <v>1907</v>
      </c>
      <c r="C1498" s="8" t="s">
        <v>186</v>
      </c>
      <c r="D1498" s="14" t="s">
        <v>1679</v>
      </c>
      <c r="E1498" s="18" t="s">
        <v>2556</v>
      </c>
      <c r="F1498" s="27" t="s">
        <v>2568</v>
      </c>
    </row>
    <row r="1499">
      <c r="A1499" s="9" t="s">
        <v>984</v>
      </c>
      <c r="B1499" s="9" t="s">
        <v>985</v>
      </c>
      <c r="C1499" s="8" t="s">
        <v>141</v>
      </c>
      <c r="D1499" s="14" t="s">
        <v>837</v>
      </c>
      <c r="E1499" s="8" t="s">
        <v>2587</v>
      </c>
      <c r="F1499" s="27" t="s">
        <v>2599</v>
      </c>
    </row>
    <row r="1500">
      <c r="A1500" s="9" t="s">
        <v>168</v>
      </c>
      <c r="B1500" s="9" t="s">
        <v>62</v>
      </c>
      <c r="C1500" s="8" t="s">
        <v>38</v>
      </c>
      <c r="D1500" s="14" t="s">
        <v>135</v>
      </c>
      <c r="E1500" s="8" t="s">
        <v>2595</v>
      </c>
      <c r="F1500" s="27" t="s">
        <v>2611</v>
      </c>
    </row>
    <row r="1501">
      <c r="A1501" s="9" t="s">
        <v>765</v>
      </c>
      <c r="B1501" s="9" t="s">
        <v>146</v>
      </c>
      <c r="C1501" s="8" t="s">
        <v>149</v>
      </c>
      <c r="D1501" s="14" t="s">
        <v>631</v>
      </c>
      <c r="E1501" s="8" t="s">
        <v>2582</v>
      </c>
      <c r="F1501" s="27" t="s">
        <v>2601</v>
      </c>
    </row>
    <row r="1502">
      <c r="A1502" s="18" t="s">
        <v>986</v>
      </c>
      <c r="B1502" s="18" t="s">
        <v>521</v>
      </c>
      <c r="C1502" s="8" t="s">
        <v>186</v>
      </c>
      <c r="D1502" s="14" t="s">
        <v>837</v>
      </c>
      <c r="E1502" s="8" t="s">
        <v>2560</v>
      </c>
      <c r="F1502" s="27" t="s">
        <v>2604</v>
      </c>
    </row>
    <row r="1503">
      <c r="A1503" s="9" t="s">
        <v>1911</v>
      </c>
      <c r="B1503" s="9" t="s">
        <v>1063</v>
      </c>
      <c r="C1503" s="8" t="s">
        <v>59</v>
      </c>
      <c r="D1503" s="14" t="s">
        <v>1679</v>
      </c>
      <c r="E1503" s="8" t="s">
        <v>2566</v>
      </c>
      <c r="F1503" s="27" t="s">
        <v>2568</v>
      </c>
    </row>
    <row r="1504">
      <c r="A1504" s="9" t="s">
        <v>987</v>
      </c>
      <c r="B1504" s="9" t="s">
        <v>988</v>
      </c>
      <c r="C1504" s="8" t="s">
        <v>70</v>
      </c>
      <c r="D1504" s="14" t="s">
        <v>837</v>
      </c>
      <c r="E1504" s="8" t="s">
        <v>2585</v>
      </c>
      <c r="F1504" s="27" t="s">
        <v>2553</v>
      </c>
    </row>
    <row r="1505">
      <c r="A1505" s="9" t="s">
        <v>1541</v>
      </c>
      <c r="B1505" s="9" t="s">
        <v>441</v>
      </c>
      <c r="C1505" s="8" t="s">
        <v>46</v>
      </c>
      <c r="D1505" s="14" t="s">
        <v>1352</v>
      </c>
      <c r="E1505" s="8" t="s">
        <v>2574</v>
      </c>
      <c r="F1505" s="27" t="s">
        <v>2607</v>
      </c>
    </row>
    <row r="1506">
      <c r="A1506" s="9" t="s">
        <v>1908</v>
      </c>
      <c r="B1506" s="9" t="s">
        <v>1910</v>
      </c>
      <c r="C1506" s="8" t="s">
        <v>215</v>
      </c>
      <c r="D1506" s="14" t="s">
        <v>1679</v>
      </c>
      <c r="E1506" s="8" t="s">
        <v>2567</v>
      </c>
      <c r="F1506" s="27" t="s">
        <v>2563</v>
      </c>
    </row>
    <row r="1507">
      <c r="A1507" s="9" t="s">
        <v>1908</v>
      </c>
      <c r="B1507" s="9" t="s">
        <v>1909</v>
      </c>
      <c r="C1507" s="8" t="s">
        <v>70</v>
      </c>
      <c r="D1507" s="14" t="s">
        <v>1679</v>
      </c>
      <c r="E1507" s="8" t="s">
        <v>2620</v>
      </c>
      <c r="F1507" s="27" t="s">
        <v>2555</v>
      </c>
    </row>
    <row r="1508">
      <c r="A1508" s="9" t="s">
        <v>30</v>
      </c>
      <c r="B1508" s="9" t="s">
        <v>31</v>
      </c>
      <c r="C1508" s="8" t="s">
        <v>24</v>
      </c>
      <c r="D1508" s="14" t="s">
        <v>27</v>
      </c>
      <c r="E1508" s="8" t="s">
        <v>2554</v>
      </c>
      <c r="F1508" s="27" t="s">
        <v>2612</v>
      </c>
    </row>
    <row r="1509">
      <c r="A1509" s="9" t="s">
        <v>2487</v>
      </c>
      <c r="B1509" s="9" t="s">
        <v>1833</v>
      </c>
      <c r="C1509" s="8" t="s">
        <v>93</v>
      </c>
      <c r="D1509" s="14" t="s">
        <v>2459</v>
      </c>
      <c r="E1509" s="18" t="s">
        <v>2556</v>
      </c>
      <c r="F1509" s="27" t="s">
        <v>2557</v>
      </c>
    </row>
    <row r="1510">
      <c r="A1510" s="9" t="s">
        <v>1912</v>
      </c>
      <c r="B1510" s="9" t="s">
        <v>231</v>
      </c>
      <c r="C1510" s="8" t="s">
        <v>16</v>
      </c>
      <c r="D1510" s="14" t="s">
        <v>1679</v>
      </c>
      <c r="E1510" s="8" t="s">
        <v>2585</v>
      </c>
      <c r="F1510" s="27" t="s">
        <v>2622</v>
      </c>
    </row>
    <row r="1511">
      <c r="A1511" s="9" t="s">
        <v>1913</v>
      </c>
      <c r="B1511" s="9" t="s">
        <v>532</v>
      </c>
      <c r="C1511" s="8" t="s">
        <v>24</v>
      </c>
      <c r="D1511" s="14" t="s">
        <v>1679</v>
      </c>
      <c r="E1511" s="8" t="s">
        <v>2593</v>
      </c>
      <c r="F1511" s="27" t="s">
        <v>2579</v>
      </c>
    </row>
    <row r="1512">
      <c r="A1512" s="9" t="s">
        <v>1914</v>
      </c>
      <c r="B1512" s="9" t="s">
        <v>1915</v>
      </c>
      <c r="C1512" s="8" t="s">
        <v>186</v>
      </c>
      <c r="D1512" s="14" t="s">
        <v>1679</v>
      </c>
      <c r="E1512" s="8" t="s">
        <v>2600</v>
      </c>
      <c r="F1512" s="27" t="s">
        <v>2570</v>
      </c>
    </row>
    <row r="1513">
      <c r="A1513" s="9" t="s">
        <v>766</v>
      </c>
      <c r="B1513" s="9" t="s">
        <v>1210</v>
      </c>
      <c r="C1513" s="8" t="s">
        <v>93</v>
      </c>
      <c r="D1513" s="14" t="s">
        <v>2459</v>
      </c>
      <c r="E1513" s="18" t="s">
        <v>2589</v>
      </c>
      <c r="F1513" s="27" t="s">
        <v>2601</v>
      </c>
    </row>
    <row r="1514">
      <c r="A1514" s="9" t="s">
        <v>766</v>
      </c>
      <c r="B1514" s="9" t="s">
        <v>1542</v>
      </c>
      <c r="C1514" s="8" t="s">
        <v>46</v>
      </c>
      <c r="D1514" s="14" t="s">
        <v>1352</v>
      </c>
      <c r="E1514" s="8" t="s">
        <v>2183</v>
      </c>
      <c r="F1514" s="27" t="s">
        <v>2609</v>
      </c>
    </row>
    <row r="1515">
      <c r="A1515" s="9" t="s">
        <v>766</v>
      </c>
      <c r="B1515" s="9" t="s">
        <v>334</v>
      </c>
      <c r="C1515" s="8" t="s">
        <v>138</v>
      </c>
      <c r="D1515" s="14" t="s">
        <v>631</v>
      </c>
      <c r="E1515" s="8" t="s">
        <v>2587</v>
      </c>
      <c r="F1515" s="27" t="s">
        <v>2590</v>
      </c>
    </row>
    <row r="1516">
      <c r="A1516" s="9" t="s">
        <v>2386</v>
      </c>
      <c r="B1516" s="9" t="s">
        <v>162</v>
      </c>
      <c r="C1516" s="8" t="s">
        <v>93</v>
      </c>
      <c r="D1516" s="14" t="s">
        <v>2296</v>
      </c>
      <c r="E1516" s="8" t="s">
        <v>2592</v>
      </c>
      <c r="F1516" s="27" t="s">
        <v>2565</v>
      </c>
    </row>
    <row r="1517">
      <c r="A1517" s="9" t="s">
        <v>767</v>
      </c>
      <c r="B1517" s="9" t="s">
        <v>129</v>
      </c>
      <c r="C1517" s="8" t="s">
        <v>80</v>
      </c>
      <c r="D1517" s="14" t="s">
        <v>1352</v>
      </c>
      <c r="E1517" s="8" t="s">
        <v>2615</v>
      </c>
      <c r="F1517" s="27" t="s">
        <v>2591</v>
      </c>
    </row>
    <row r="1518">
      <c r="A1518" s="9" t="s">
        <v>767</v>
      </c>
      <c r="B1518" s="9" t="s">
        <v>204</v>
      </c>
      <c r="C1518" s="8" t="s">
        <v>141</v>
      </c>
      <c r="D1518" s="14" t="s">
        <v>1679</v>
      </c>
      <c r="E1518" s="8" t="s">
        <v>2183</v>
      </c>
      <c r="F1518" s="27" t="s">
        <v>2617</v>
      </c>
    </row>
    <row r="1519">
      <c r="A1519" s="9" t="s">
        <v>767</v>
      </c>
      <c r="B1519" s="9" t="s">
        <v>905</v>
      </c>
      <c r="C1519" s="8" t="s">
        <v>16</v>
      </c>
      <c r="D1519" s="14" t="s">
        <v>2296</v>
      </c>
      <c r="E1519" s="18" t="s">
        <v>2589</v>
      </c>
      <c r="F1519" s="27" t="s">
        <v>2602</v>
      </c>
    </row>
    <row r="1520">
      <c r="A1520" s="9" t="s">
        <v>767</v>
      </c>
      <c r="B1520" s="9" t="s">
        <v>768</v>
      </c>
      <c r="C1520" s="8" t="s">
        <v>70</v>
      </c>
      <c r="D1520" s="14" t="s">
        <v>631</v>
      </c>
      <c r="E1520" s="8" t="s">
        <v>2595</v>
      </c>
      <c r="F1520" s="27" t="s">
        <v>2608</v>
      </c>
    </row>
    <row r="1521">
      <c r="A1521" s="9" t="s">
        <v>769</v>
      </c>
      <c r="B1521" s="9" t="s">
        <v>45</v>
      </c>
      <c r="C1521" s="8" t="s">
        <v>12</v>
      </c>
      <c r="D1521" s="14" t="s">
        <v>631</v>
      </c>
      <c r="E1521" s="8" t="s">
        <v>2603</v>
      </c>
      <c r="F1521" s="27" t="s">
        <v>2590</v>
      </c>
    </row>
    <row r="1522">
      <c r="A1522" s="9" t="s">
        <v>1916</v>
      </c>
      <c r="B1522" s="9" t="s">
        <v>1917</v>
      </c>
      <c r="C1522" s="8" t="s">
        <v>80</v>
      </c>
      <c r="D1522" s="14" t="s">
        <v>1679</v>
      </c>
      <c r="E1522" s="8" t="s">
        <v>2574</v>
      </c>
      <c r="F1522" s="27" t="s">
        <v>2579</v>
      </c>
    </row>
    <row r="1523">
      <c r="A1523" s="9" t="s">
        <v>2199</v>
      </c>
      <c r="B1523" s="9" t="s">
        <v>67</v>
      </c>
      <c r="C1523" s="8" t="s">
        <v>70</v>
      </c>
      <c r="D1523" s="14" t="s">
        <v>2033</v>
      </c>
      <c r="E1523" s="8" t="s">
        <v>2605</v>
      </c>
      <c r="F1523" s="27" t="s">
        <v>2580</v>
      </c>
    </row>
    <row r="1524">
      <c r="A1524" s="9" t="s">
        <v>1268</v>
      </c>
      <c r="B1524" s="9" t="s">
        <v>881</v>
      </c>
      <c r="C1524" s="8" t="s">
        <v>53</v>
      </c>
      <c r="D1524" s="14" t="s">
        <v>1070</v>
      </c>
      <c r="E1524" s="8" t="s">
        <v>2592</v>
      </c>
      <c r="F1524" s="27" t="s">
        <v>2601</v>
      </c>
    </row>
    <row r="1525">
      <c r="A1525" s="9" t="s">
        <v>1543</v>
      </c>
      <c r="B1525" s="9" t="s">
        <v>1544</v>
      </c>
      <c r="C1525" s="8" t="s">
        <v>65</v>
      </c>
      <c r="D1525" s="14" t="s">
        <v>1352</v>
      </c>
      <c r="E1525" s="8" t="s">
        <v>2593</v>
      </c>
      <c r="F1525" s="27" t="s">
        <v>2570</v>
      </c>
    </row>
    <row r="1526">
      <c r="A1526" s="9" t="s">
        <v>2387</v>
      </c>
      <c r="B1526" s="9" t="s">
        <v>1611</v>
      </c>
      <c r="C1526" s="8" t="s">
        <v>24</v>
      </c>
      <c r="D1526" s="14" t="s">
        <v>2296</v>
      </c>
      <c r="E1526" s="8" t="s">
        <v>2554</v>
      </c>
      <c r="F1526" s="27" t="s">
        <v>2568</v>
      </c>
    </row>
    <row r="1527">
      <c r="A1527" s="9" t="s">
        <v>1036</v>
      </c>
      <c r="B1527" s="9" t="s">
        <v>1918</v>
      </c>
      <c r="C1527" s="8" t="s">
        <v>192</v>
      </c>
      <c r="D1527" s="14" t="s">
        <v>1679</v>
      </c>
      <c r="E1527" s="8" t="s">
        <v>2598</v>
      </c>
      <c r="F1527" s="27" t="s">
        <v>2613</v>
      </c>
    </row>
    <row r="1528">
      <c r="A1528" s="9" t="s">
        <v>1036</v>
      </c>
      <c r="B1528" s="9" t="s">
        <v>67</v>
      </c>
      <c r="C1528" s="8" t="s">
        <v>93</v>
      </c>
      <c r="D1528" s="14" t="s">
        <v>2033</v>
      </c>
      <c r="E1528" s="8" t="s">
        <v>2598</v>
      </c>
      <c r="F1528" s="27" t="s">
        <v>2576</v>
      </c>
    </row>
    <row r="1529">
      <c r="A1529" s="9" t="s">
        <v>1036</v>
      </c>
      <c r="B1529" s="9" t="s">
        <v>1545</v>
      </c>
      <c r="C1529" s="8" t="s">
        <v>192</v>
      </c>
      <c r="D1529" s="14" t="s">
        <v>1352</v>
      </c>
      <c r="E1529" s="8" t="s">
        <v>2587</v>
      </c>
      <c r="F1529" s="27" t="s">
        <v>2583</v>
      </c>
    </row>
    <row r="1530">
      <c r="A1530" s="9" t="s">
        <v>1269</v>
      </c>
      <c r="B1530" s="9" t="s">
        <v>98</v>
      </c>
      <c r="C1530" s="8" t="s">
        <v>75</v>
      </c>
      <c r="D1530" s="14" t="s">
        <v>1070</v>
      </c>
      <c r="E1530" s="8" t="s">
        <v>2593</v>
      </c>
      <c r="F1530" s="27" t="s">
        <v>2618</v>
      </c>
    </row>
    <row r="1531">
      <c r="A1531" s="9" t="s">
        <v>989</v>
      </c>
      <c r="B1531" s="9" t="s">
        <v>990</v>
      </c>
      <c r="C1531" s="8" t="s">
        <v>192</v>
      </c>
      <c r="D1531" s="14" t="s">
        <v>837</v>
      </c>
      <c r="E1531" s="8" t="s">
        <v>2598</v>
      </c>
      <c r="F1531" s="27" t="s">
        <v>2579</v>
      </c>
    </row>
    <row r="1532">
      <c r="A1532" s="9" t="s">
        <v>220</v>
      </c>
      <c r="B1532" s="9" t="s">
        <v>212</v>
      </c>
      <c r="C1532" s="8" t="s">
        <v>53</v>
      </c>
      <c r="D1532" s="14" t="s">
        <v>2296</v>
      </c>
      <c r="E1532" s="8" t="s">
        <v>2592</v>
      </c>
      <c r="F1532" s="27" t="s">
        <v>2563</v>
      </c>
    </row>
    <row r="1533">
      <c r="A1533" s="9" t="s">
        <v>220</v>
      </c>
      <c r="B1533" s="9" t="s">
        <v>304</v>
      </c>
      <c r="C1533" s="8" t="s">
        <v>186</v>
      </c>
      <c r="D1533" s="14" t="s">
        <v>837</v>
      </c>
      <c r="E1533" s="8" t="s">
        <v>2592</v>
      </c>
      <c r="F1533" s="27" t="s">
        <v>2579</v>
      </c>
    </row>
    <row r="1534">
      <c r="A1534" s="18" t="s">
        <v>220</v>
      </c>
      <c r="B1534" s="18" t="s">
        <v>159</v>
      </c>
      <c r="C1534" s="8" t="s">
        <v>65</v>
      </c>
      <c r="D1534" s="14" t="s">
        <v>837</v>
      </c>
      <c r="E1534" s="18" t="s">
        <v>2556</v>
      </c>
      <c r="F1534" s="27" t="s">
        <v>2591</v>
      </c>
    </row>
    <row r="1535">
      <c r="A1535" s="9" t="s">
        <v>220</v>
      </c>
      <c r="B1535" s="9" t="s">
        <v>214</v>
      </c>
      <c r="C1535" s="8" t="s">
        <v>24</v>
      </c>
      <c r="D1535" s="14" t="s">
        <v>189</v>
      </c>
      <c r="E1535" s="8" t="s">
        <v>2585</v>
      </c>
      <c r="F1535" s="27" t="s">
        <v>2630</v>
      </c>
    </row>
    <row r="1536">
      <c r="A1536" s="9" t="s">
        <v>220</v>
      </c>
      <c r="B1536" s="9" t="s">
        <v>231</v>
      </c>
      <c r="C1536" s="8" t="s">
        <v>93</v>
      </c>
      <c r="D1536" s="14" t="s">
        <v>2296</v>
      </c>
      <c r="E1536" s="18" t="s">
        <v>2556</v>
      </c>
      <c r="F1536" s="27" t="s">
        <v>2557</v>
      </c>
    </row>
    <row r="1537">
      <c r="A1537" s="9" t="s">
        <v>220</v>
      </c>
      <c r="B1537" s="9" t="s">
        <v>2200</v>
      </c>
      <c r="C1537" s="8" t="s">
        <v>75</v>
      </c>
      <c r="D1537" s="14" t="s">
        <v>2033</v>
      </c>
      <c r="E1537" s="8" t="s">
        <v>2567</v>
      </c>
      <c r="F1537" s="27" t="s">
        <v>2604</v>
      </c>
    </row>
    <row r="1538">
      <c r="A1538" s="9" t="s">
        <v>220</v>
      </c>
      <c r="B1538" s="9" t="s">
        <v>759</v>
      </c>
      <c r="C1538" s="8" t="s">
        <v>93</v>
      </c>
      <c r="D1538" s="14" t="s">
        <v>1070</v>
      </c>
      <c r="E1538" s="8" t="s">
        <v>2577</v>
      </c>
      <c r="F1538" s="27" t="s">
        <v>2571</v>
      </c>
    </row>
    <row r="1539">
      <c r="A1539" s="9" t="s">
        <v>404</v>
      </c>
      <c r="B1539" s="9" t="s">
        <v>405</v>
      </c>
      <c r="C1539" s="8" t="s">
        <v>46</v>
      </c>
      <c r="D1539" s="14" t="s">
        <v>338</v>
      </c>
      <c r="E1539" s="8" t="s">
        <v>2595</v>
      </c>
      <c r="F1539" s="27" t="s">
        <v>2594</v>
      </c>
    </row>
    <row r="1540">
      <c r="A1540" s="9" t="s">
        <v>1546</v>
      </c>
      <c r="B1540" s="9" t="s">
        <v>1547</v>
      </c>
      <c r="C1540" s="8" t="s">
        <v>70</v>
      </c>
      <c r="D1540" s="14" t="s">
        <v>1352</v>
      </c>
      <c r="E1540" s="8" t="s">
        <v>2572</v>
      </c>
      <c r="F1540" s="27" t="s">
        <v>2555</v>
      </c>
    </row>
    <row r="1541">
      <c r="A1541" s="9" t="s">
        <v>406</v>
      </c>
      <c r="B1541" s="9" t="s">
        <v>407</v>
      </c>
      <c r="C1541" s="8" t="s">
        <v>16</v>
      </c>
      <c r="D1541" s="14" t="s">
        <v>338</v>
      </c>
      <c r="E1541" s="8" t="s">
        <v>2574</v>
      </c>
      <c r="F1541" s="27" t="s">
        <v>2611</v>
      </c>
    </row>
    <row r="1542">
      <c r="A1542" s="9" t="s">
        <v>1919</v>
      </c>
      <c r="B1542" s="9" t="s">
        <v>1920</v>
      </c>
      <c r="C1542" s="8" t="s">
        <v>215</v>
      </c>
      <c r="D1542" s="14" t="s">
        <v>1679</v>
      </c>
      <c r="E1542" s="8" t="s">
        <v>2584</v>
      </c>
      <c r="F1542" s="27" t="s">
        <v>2611</v>
      </c>
    </row>
    <row r="1543">
      <c r="A1543" s="9" t="s">
        <v>1548</v>
      </c>
      <c r="B1543" s="9" t="s">
        <v>2388</v>
      </c>
      <c r="C1543" s="8" t="s">
        <v>138</v>
      </c>
      <c r="D1543" s="14" t="s">
        <v>2296</v>
      </c>
      <c r="E1543" s="8" t="s">
        <v>2605</v>
      </c>
      <c r="F1543" s="27" t="s">
        <v>2553</v>
      </c>
    </row>
    <row r="1544">
      <c r="A1544" s="9" t="s">
        <v>1548</v>
      </c>
      <c r="B1544" s="9" t="s">
        <v>1549</v>
      </c>
      <c r="C1544" s="8" t="s">
        <v>93</v>
      </c>
      <c r="D1544" s="14" t="s">
        <v>1352</v>
      </c>
      <c r="E1544" s="18" t="s">
        <v>2589</v>
      </c>
      <c r="F1544" s="27" t="s">
        <v>2609</v>
      </c>
    </row>
    <row r="1545">
      <c r="A1545" s="9" t="s">
        <v>2201</v>
      </c>
      <c r="B1545" s="9" t="s">
        <v>2202</v>
      </c>
      <c r="C1545" s="8" t="s">
        <v>80</v>
      </c>
      <c r="D1545" s="14" t="s">
        <v>2033</v>
      </c>
      <c r="E1545" s="8" t="s">
        <v>2582</v>
      </c>
      <c r="F1545" s="27" t="s">
        <v>2573</v>
      </c>
    </row>
    <row r="1546">
      <c r="A1546" s="9" t="s">
        <v>1550</v>
      </c>
      <c r="B1546" s="9" t="s">
        <v>934</v>
      </c>
      <c r="C1546" s="8" t="s">
        <v>186</v>
      </c>
      <c r="D1546" s="14" t="s">
        <v>1352</v>
      </c>
      <c r="E1546" s="8" t="s">
        <v>2610</v>
      </c>
      <c r="F1546" s="27" t="s">
        <v>2563</v>
      </c>
    </row>
    <row r="1547">
      <c r="A1547" s="9" t="s">
        <v>1550</v>
      </c>
      <c r="B1547" s="9" t="s">
        <v>1004</v>
      </c>
      <c r="C1547" s="8" t="s">
        <v>93</v>
      </c>
      <c r="D1547" s="14" t="s">
        <v>1679</v>
      </c>
      <c r="E1547" s="8" t="s">
        <v>2560</v>
      </c>
      <c r="F1547" s="27" t="s">
        <v>2557</v>
      </c>
    </row>
    <row r="1548">
      <c r="A1548" s="9" t="s">
        <v>1921</v>
      </c>
      <c r="B1548" s="9" t="s">
        <v>50</v>
      </c>
      <c r="C1548" s="8" t="s">
        <v>186</v>
      </c>
      <c r="D1548" s="14" t="s">
        <v>1679</v>
      </c>
      <c r="E1548" s="8" t="s">
        <v>2183</v>
      </c>
      <c r="F1548" s="27" t="s">
        <v>2609</v>
      </c>
    </row>
    <row r="1549">
      <c r="A1549" s="9" t="s">
        <v>2203</v>
      </c>
      <c r="B1549" s="9" t="s">
        <v>2204</v>
      </c>
      <c r="C1549" s="8" t="s">
        <v>149</v>
      </c>
      <c r="D1549" s="14" t="s">
        <v>2033</v>
      </c>
      <c r="E1549" s="8" t="s">
        <v>2558</v>
      </c>
      <c r="F1549" s="27" t="s">
        <v>2618</v>
      </c>
    </row>
    <row r="1550">
      <c r="A1550" s="9" t="s">
        <v>991</v>
      </c>
      <c r="B1550" s="9" t="s">
        <v>992</v>
      </c>
      <c r="C1550" s="8" t="s">
        <v>261</v>
      </c>
      <c r="D1550" s="14" t="s">
        <v>837</v>
      </c>
      <c r="E1550" s="8" t="s">
        <v>2577</v>
      </c>
      <c r="F1550" s="27" t="s">
        <v>2591</v>
      </c>
    </row>
    <row r="1551">
      <c r="A1551" s="9" t="s">
        <v>2205</v>
      </c>
      <c r="B1551" s="9" t="s">
        <v>506</v>
      </c>
      <c r="C1551" s="8" t="s">
        <v>24</v>
      </c>
      <c r="D1551" s="14" t="s">
        <v>2033</v>
      </c>
      <c r="E1551" s="8" t="s">
        <v>2615</v>
      </c>
      <c r="F1551" s="27" t="s">
        <v>2588</v>
      </c>
    </row>
    <row r="1552">
      <c r="A1552" s="9" t="s">
        <v>2206</v>
      </c>
      <c r="B1552" s="9" t="s">
        <v>1528</v>
      </c>
      <c r="C1552" s="8" t="s">
        <v>149</v>
      </c>
      <c r="D1552" s="14" t="s">
        <v>2033</v>
      </c>
      <c r="E1552" s="8" t="s">
        <v>2603</v>
      </c>
      <c r="F1552" s="27" t="s">
        <v>2618</v>
      </c>
    </row>
    <row r="1553">
      <c r="A1553" s="9" t="s">
        <v>1922</v>
      </c>
      <c r="B1553" s="9" t="s">
        <v>337</v>
      </c>
      <c r="C1553" s="8" t="s">
        <v>138</v>
      </c>
      <c r="D1553" s="14" t="s">
        <v>1679</v>
      </c>
      <c r="E1553" s="18" t="s">
        <v>2589</v>
      </c>
      <c r="F1553" s="27" t="s">
        <v>2601</v>
      </c>
    </row>
    <row r="1554">
      <c r="A1554" s="9" t="s">
        <v>2207</v>
      </c>
      <c r="B1554" s="9" t="s">
        <v>1473</v>
      </c>
      <c r="C1554" s="8" t="s">
        <v>122</v>
      </c>
      <c r="D1554" s="14" t="s">
        <v>2033</v>
      </c>
      <c r="E1554" s="8" t="s">
        <v>2183</v>
      </c>
      <c r="F1554" s="27" t="s">
        <v>2571</v>
      </c>
    </row>
    <row r="1555">
      <c r="A1555" s="9" t="s">
        <v>300</v>
      </c>
      <c r="B1555" s="9" t="s">
        <v>301</v>
      </c>
      <c r="C1555" s="8" t="s">
        <v>93</v>
      </c>
      <c r="D1555" s="14" t="s">
        <v>237</v>
      </c>
      <c r="E1555" s="8" t="s">
        <v>2582</v>
      </c>
      <c r="F1555" s="27" t="s">
        <v>2599</v>
      </c>
    </row>
    <row r="1556">
      <c r="A1556" s="9" t="s">
        <v>1270</v>
      </c>
      <c r="B1556" s="9" t="s">
        <v>196</v>
      </c>
      <c r="C1556" s="8" t="s">
        <v>186</v>
      </c>
      <c r="D1556" s="14" t="s">
        <v>1070</v>
      </c>
      <c r="E1556" s="8" t="s">
        <v>2574</v>
      </c>
      <c r="F1556" s="27" t="s">
        <v>2594</v>
      </c>
    </row>
    <row r="1557">
      <c r="A1557" s="9" t="s">
        <v>1551</v>
      </c>
      <c r="B1557" s="9" t="s">
        <v>1711</v>
      </c>
      <c r="C1557" s="8" t="s">
        <v>122</v>
      </c>
      <c r="D1557" s="14" t="s">
        <v>2296</v>
      </c>
      <c r="E1557" s="8" t="s">
        <v>2581</v>
      </c>
      <c r="F1557" s="27" t="s">
        <v>2576</v>
      </c>
    </row>
    <row r="1558">
      <c r="A1558" s="9" t="s">
        <v>1551</v>
      </c>
      <c r="B1558" s="9" t="s">
        <v>1552</v>
      </c>
      <c r="C1558" s="8" t="s">
        <v>149</v>
      </c>
      <c r="D1558" s="14" t="s">
        <v>1352</v>
      </c>
      <c r="E1558" s="8" t="s">
        <v>2552</v>
      </c>
      <c r="F1558" s="27" t="s">
        <v>2606</v>
      </c>
    </row>
    <row r="1559">
      <c r="A1559" s="9" t="s">
        <v>993</v>
      </c>
      <c r="B1559" s="9" t="s">
        <v>55</v>
      </c>
      <c r="C1559" s="8" t="s">
        <v>75</v>
      </c>
      <c r="D1559" s="14" t="s">
        <v>837</v>
      </c>
      <c r="E1559" s="8" t="s">
        <v>2584</v>
      </c>
      <c r="F1559" s="27" t="s">
        <v>2625</v>
      </c>
    </row>
    <row r="1560">
      <c r="A1560" s="9" t="s">
        <v>1923</v>
      </c>
      <c r="B1560" s="9" t="s">
        <v>91</v>
      </c>
      <c r="C1560" s="8" t="s">
        <v>75</v>
      </c>
      <c r="D1560" s="14" t="s">
        <v>1679</v>
      </c>
      <c r="E1560" s="8" t="s">
        <v>2593</v>
      </c>
      <c r="F1560" s="27" t="s">
        <v>2579</v>
      </c>
    </row>
    <row r="1561">
      <c r="A1561" s="9" t="s">
        <v>169</v>
      </c>
      <c r="B1561" s="9" t="s">
        <v>170</v>
      </c>
      <c r="C1561" s="8" t="s">
        <v>149</v>
      </c>
      <c r="D1561" s="14" t="s">
        <v>135</v>
      </c>
      <c r="E1561" s="8" t="s">
        <v>2587</v>
      </c>
      <c r="F1561" s="27" t="s">
        <v>2573</v>
      </c>
    </row>
    <row r="1562">
      <c r="A1562" s="9" t="s">
        <v>1271</v>
      </c>
      <c r="B1562" s="9" t="s">
        <v>1272</v>
      </c>
      <c r="C1562" s="8" t="s">
        <v>138</v>
      </c>
      <c r="D1562" s="14" t="s">
        <v>1070</v>
      </c>
      <c r="E1562" s="8" t="s">
        <v>2592</v>
      </c>
      <c r="F1562" s="27" t="s">
        <v>2579</v>
      </c>
    </row>
    <row r="1563">
      <c r="A1563" s="9" t="s">
        <v>2389</v>
      </c>
      <c r="B1563" s="9" t="s">
        <v>2390</v>
      </c>
      <c r="C1563" s="8" t="s">
        <v>53</v>
      </c>
      <c r="D1563" s="14" t="s">
        <v>2296</v>
      </c>
      <c r="E1563" s="8" t="s">
        <v>2572</v>
      </c>
      <c r="F1563" s="27" t="s">
        <v>2586</v>
      </c>
    </row>
    <row r="1564">
      <c r="A1564" s="9" t="s">
        <v>588</v>
      </c>
      <c r="B1564" s="9" t="s">
        <v>471</v>
      </c>
      <c r="C1564" s="8" t="s">
        <v>53</v>
      </c>
      <c r="D1564" s="14" t="s">
        <v>459</v>
      </c>
      <c r="E1564" s="8" t="s">
        <v>2585</v>
      </c>
      <c r="F1564" s="27" t="s">
        <v>2563</v>
      </c>
    </row>
    <row r="1565">
      <c r="A1565" s="9" t="s">
        <v>994</v>
      </c>
      <c r="B1565" s="9" t="s">
        <v>995</v>
      </c>
      <c r="C1565" s="8" t="s">
        <v>59</v>
      </c>
      <c r="D1565" s="14" t="s">
        <v>837</v>
      </c>
      <c r="E1565" s="8" t="s">
        <v>2574</v>
      </c>
      <c r="F1565" s="27" t="s">
        <v>2583</v>
      </c>
    </row>
    <row r="1566">
      <c r="A1566" s="18" t="s">
        <v>1553</v>
      </c>
      <c r="B1566" s="18" t="s">
        <v>771</v>
      </c>
      <c r="C1566" s="8" t="s">
        <v>59</v>
      </c>
      <c r="D1566" s="14" t="s">
        <v>1352</v>
      </c>
      <c r="E1566" s="8" t="s">
        <v>2592</v>
      </c>
      <c r="F1566" s="27" t="s">
        <v>2570</v>
      </c>
    </row>
    <row r="1567">
      <c r="A1567" s="18" t="s">
        <v>1924</v>
      </c>
      <c r="B1567" s="18" t="s">
        <v>1850</v>
      </c>
      <c r="C1567" s="8" t="s">
        <v>53</v>
      </c>
      <c r="D1567" s="14" t="s">
        <v>1679</v>
      </c>
      <c r="E1567" s="8" t="s">
        <v>2183</v>
      </c>
      <c r="F1567" s="27" t="s">
        <v>2557</v>
      </c>
    </row>
    <row r="1568">
      <c r="A1568" s="9" t="s">
        <v>1554</v>
      </c>
      <c r="B1568" s="9" t="s">
        <v>1555</v>
      </c>
      <c r="C1568" s="8" t="s">
        <v>122</v>
      </c>
      <c r="D1568" s="14" t="s">
        <v>1352</v>
      </c>
      <c r="E1568" s="8" t="s">
        <v>2552</v>
      </c>
      <c r="F1568" s="27" t="s">
        <v>2576</v>
      </c>
    </row>
    <row r="1569">
      <c r="A1569" s="9" t="s">
        <v>1273</v>
      </c>
      <c r="B1569" s="9" t="s">
        <v>1274</v>
      </c>
      <c r="C1569" s="8" t="s">
        <v>132</v>
      </c>
      <c r="D1569" s="14" t="s">
        <v>1070</v>
      </c>
      <c r="E1569" s="18" t="s">
        <v>2589</v>
      </c>
      <c r="F1569" s="27" t="s">
        <v>2580</v>
      </c>
    </row>
    <row r="1570">
      <c r="A1570" s="9" t="s">
        <v>1925</v>
      </c>
      <c r="B1570" s="9" t="s">
        <v>275</v>
      </c>
      <c r="C1570" s="8" t="s">
        <v>215</v>
      </c>
      <c r="D1570" s="14" t="s">
        <v>1679</v>
      </c>
      <c r="E1570" s="8" t="s">
        <v>2598</v>
      </c>
      <c r="F1570" s="27" t="s">
        <v>2583</v>
      </c>
    </row>
    <row r="1571">
      <c r="A1571" s="18" t="s">
        <v>770</v>
      </c>
      <c r="B1571" s="18" t="s">
        <v>771</v>
      </c>
      <c r="C1571" s="8" t="s">
        <v>38</v>
      </c>
      <c r="D1571" s="14" t="s">
        <v>631</v>
      </c>
      <c r="E1571" s="8" t="s">
        <v>2605</v>
      </c>
      <c r="F1571" s="27" t="s">
        <v>2565</v>
      </c>
    </row>
    <row r="1572">
      <c r="A1572" s="9" t="s">
        <v>1556</v>
      </c>
      <c r="B1572" s="9" t="s">
        <v>546</v>
      </c>
      <c r="C1572" s="8" t="s">
        <v>192</v>
      </c>
      <c r="D1572" s="14" t="s">
        <v>1352</v>
      </c>
      <c r="E1572" s="8" t="s">
        <v>2567</v>
      </c>
      <c r="F1572" s="27" t="s">
        <v>2622</v>
      </c>
    </row>
    <row r="1573">
      <c r="A1573" s="9" t="s">
        <v>1557</v>
      </c>
      <c r="B1573" s="9" t="s">
        <v>226</v>
      </c>
      <c r="C1573" s="8" t="s">
        <v>138</v>
      </c>
      <c r="D1573" s="14" t="s">
        <v>1352</v>
      </c>
      <c r="E1573" s="8" t="s">
        <v>2183</v>
      </c>
      <c r="F1573" s="27" t="s">
        <v>2571</v>
      </c>
    </row>
    <row r="1574">
      <c r="A1574" s="9" t="s">
        <v>996</v>
      </c>
      <c r="B1574" s="9" t="s">
        <v>329</v>
      </c>
      <c r="C1574" s="8" t="s">
        <v>149</v>
      </c>
      <c r="D1574" s="14" t="s">
        <v>837</v>
      </c>
      <c r="E1574" s="8" t="s">
        <v>2584</v>
      </c>
      <c r="F1574" s="27" t="s">
        <v>2609</v>
      </c>
    </row>
    <row r="1575">
      <c r="A1575" s="9" t="s">
        <v>997</v>
      </c>
      <c r="B1575" s="9" t="s">
        <v>998</v>
      </c>
      <c r="C1575" s="8" t="s">
        <v>186</v>
      </c>
      <c r="D1575" s="14" t="s">
        <v>837</v>
      </c>
      <c r="E1575" s="8" t="s">
        <v>2566</v>
      </c>
      <c r="F1575" s="27" t="s">
        <v>2591</v>
      </c>
    </row>
    <row r="1576">
      <c r="A1576" s="9" t="s">
        <v>1558</v>
      </c>
      <c r="B1576" s="9" t="s">
        <v>1559</v>
      </c>
      <c r="C1576" s="8" t="s">
        <v>70</v>
      </c>
      <c r="D1576" s="14" t="s">
        <v>1352</v>
      </c>
      <c r="E1576" s="8" t="s">
        <v>2592</v>
      </c>
      <c r="F1576" s="27" t="s">
        <v>2594</v>
      </c>
    </row>
    <row r="1577">
      <c r="A1577" s="9" t="s">
        <v>1560</v>
      </c>
      <c r="B1577" s="9" t="s">
        <v>64</v>
      </c>
      <c r="C1577" s="8" t="s">
        <v>122</v>
      </c>
      <c r="D1577" s="14" t="s">
        <v>1352</v>
      </c>
      <c r="E1577" s="8" t="s">
        <v>2615</v>
      </c>
      <c r="F1577" s="27" t="s">
        <v>2590</v>
      </c>
    </row>
    <row r="1578">
      <c r="A1578" s="9" t="s">
        <v>772</v>
      </c>
      <c r="B1578" s="9" t="s">
        <v>100</v>
      </c>
      <c r="C1578" s="8" t="s">
        <v>138</v>
      </c>
      <c r="D1578" s="14" t="s">
        <v>631</v>
      </c>
      <c r="E1578" s="8" t="s">
        <v>2183</v>
      </c>
      <c r="F1578" s="27" t="s">
        <v>2571</v>
      </c>
    </row>
    <row r="1579">
      <c r="A1579" s="9" t="s">
        <v>2208</v>
      </c>
      <c r="B1579" s="9" t="s">
        <v>399</v>
      </c>
      <c r="C1579" s="8" t="s">
        <v>186</v>
      </c>
      <c r="D1579" s="14" t="s">
        <v>2033</v>
      </c>
      <c r="E1579" s="8" t="s">
        <v>2567</v>
      </c>
      <c r="F1579" s="27" t="s">
        <v>2563</v>
      </c>
    </row>
    <row r="1580">
      <c r="A1580" s="9" t="s">
        <v>2391</v>
      </c>
      <c r="B1580" s="9" t="s">
        <v>2392</v>
      </c>
      <c r="C1580" s="8" t="s">
        <v>46</v>
      </c>
      <c r="D1580" s="14" t="s">
        <v>2296</v>
      </c>
      <c r="E1580" s="8" t="s">
        <v>2577</v>
      </c>
      <c r="F1580" s="27" t="s">
        <v>2563</v>
      </c>
    </row>
    <row r="1581">
      <c r="A1581" s="9" t="s">
        <v>1926</v>
      </c>
      <c r="B1581" s="9" t="s">
        <v>1927</v>
      </c>
      <c r="C1581" s="8" t="s">
        <v>59</v>
      </c>
      <c r="D1581" s="14" t="s">
        <v>1679</v>
      </c>
      <c r="E1581" s="8" t="s">
        <v>2593</v>
      </c>
      <c r="F1581" s="27" t="s">
        <v>2622</v>
      </c>
    </row>
    <row r="1582">
      <c r="A1582" s="9" t="s">
        <v>408</v>
      </c>
      <c r="B1582" s="9" t="s">
        <v>409</v>
      </c>
      <c r="C1582" s="8" t="s">
        <v>46</v>
      </c>
      <c r="D1582" s="14" t="s">
        <v>338</v>
      </c>
      <c r="E1582" s="8" t="s">
        <v>2572</v>
      </c>
      <c r="F1582" s="27" t="s">
        <v>2571</v>
      </c>
    </row>
    <row r="1583">
      <c r="A1583" s="9" t="s">
        <v>1928</v>
      </c>
      <c r="B1583" s="9" t="s">
        <v>1929</v>
      </c>
      <c r="C1583" s="8" t="s">
        <v>215</v>
      </c>
      <c r="D1583" s="14" t="s">
        <v>1679</v>
      </c>
      <c r="E1583" s="8" t="s">
        <v>2554</v>
      </c>
      <c r="F1583" s="27" t="s">
        <v>2573</v>
      </c>
    </row>
    <row r="1584">
      <c r="A1584" s="9" t="s">
        <v>302</v>
      </c>
      <c r="B1584" s="9" t="s">
        <v>137</v>
      </c>
      <c r="C1584" s="8" t="s">
        <v>149</v>
      </c>
      <c r="D1584" s="14" t="s">
        <v>237</v>
      </c>
      <c r="E1584" s="8" t="s">
        <v>2595</v>
      </c>
      <c r="F1584" s="27" t="s">
        <v>2580</v>
      </c>
    </row>
    <row r="1585">
      <c r="A1585" s="9" t="s">
        <v>410</v>
      </c>
      <c r="B1585" s="9" t="s">
        <v>411</v>
      </c>
      <c r="C1585" s="8" t="s">
        <v>261</v>
      </c>
      <c r="D1585" s="14" t="s">
        <v>338</v>
      </c>
      <c r="E1585" s="8" t="s">
        <v>2614</v>
      </c>
      <c r="F1585" s="27" t="s">
        <v>2557</v>
      </c>
    </row>
    <row r="1586">
      <c r="A1586" s="18" t="s">
        <v>999</v>
      </c>
      <c r="B1586" s="18" t="s">
        <v>231</v>
      </c>
      <c r="C1586" s="8" t="s">
        <v>24</v>
      </c>
      <c r="D1586" s="14" t="s">
        <v>837</v>
      </c>
      <c r="E1586" s="8" t="s">
        <v>2581</v>
      </c>
      <c r="F1586" s="27" t="s">
        <v>2565</v>
      </c>
    </row>
    <row r="1587">
      <c r="A1587" s="9" t="s">
        <v>2393</v>
      </c>
      <c r="B1587" s="9" t="s">
        <v>201</v>
      </c>
      <c r="C1587" s="8" t="s">
        <v>122</v>
      </c>
      <c r="D1587" s="14" t="s">
        <v>2459</v>
      </c>
      <c r="E1587" s="8" t="s">
        <v>2587</v>
      </c>
      <c r="F1587" s="27" t="s">
        <v>2608</v>
      </c>
    </row>
    <row r="1588">
      <c r="A1588" s="9" t="s">
        <v>2393</v>
      </c>
      <c r="B1588" s="9" t="s">
        <v>948</v>
      </c>
      <c r="C1588" s="8" t="s">
        <v>93</v>
      </c>
      <c r="D1588" s="14" t="s">
        <v>2296</v>
      </c>
      <c r="E1588" s="8" t="s">
        <v>2598</v>
      </c>
      <c r="F1588" s="27" t="s">
        <v>2573</v>
      </c>
    </row>
    <row r="1589">
      <c r="A1589" s="9" t="s">
        <v>2393</v>
      </c>
      <c r="B1589" s="9" t="s">
        <v>301</v>
      </c>
      <c r="C1589" s="8" t="s">
        <v>24</v>
      </c>
      <c r="D1589" s="14" t="s">
        <v>2296</v>
      </c>
      <c r="E1589" s="8" t="s">
        <v>2584</v>
      </c>
      <c r="F1589" s="27" t="s">
        <v>2573</v>
      </c>
    </row>
    <row r="1590">
      <c r="A1590" s="9" t="s">
        <v>2394</v>
      </c>
      <c r="B1590" s="9" t="s">
        <v>2395</v>
      </c>
      <c r="C1590" s="8" t="s">
        <v>70</v>
      </c>
      <c r="D1590" s="14" t="s">
        <v>2296</v>
      </c>
      <c r="E1590" s="8" t="s">
        <v>2598</v>
      </c>
      <c r="F1590" s="27" t="s">
        <v>2583</v>
      </c>
    </row>
    <row r="1591">
      <c r="A1591" s="9" t="s">
        <v>123</v>
      </c>
      <c r="B1591" s="9" t="s">
        <v>124</v>
      </c>
      <c r="C1591" s="8" t="s">
        <v>24</v>
      </c>
      <c r="D1591" s="14" t="s">
        <v>108</v>
      </c>
      <c r="E1591" s="8" t="s">
        <v>2574</v>
      </c>
      <c r="F1591" s="27" t="s">
        <v>2596</v>
      </c>
    </row>
    <row r="1592">
      <c r="A1592" s="9" t="s">
        <v>1930</v>
      </c>
      <c r="B1592" s="9" t="s">
        <v>1931</v>
      </c>
      <c r="C1592" s="8" t="s">
        <v>59</v>
      </c>
      <c r="D1592" s="14" t="s">
        <v>1679</v>
      </c>
      <c r="E1592" s="8" t="s">
        <v>2598</v>
      </c>
      <c r="F1592" s="27" t="s">
        <v>2573</v>
      </c>
    </row>
    <row r="1593">
      <c r="A1593" s="9" t="s">
        <v>2396</v>
      </c>
      <c r="B1593" s="9" t="s">
        <v>357</v>
      </c>
      <c r="C1593" s="8" t="s">
        <v>59</v>
      </c>
      <c r="D1593" s="14" t="s">
        <v>2296</v>
      </c>
      <c r="E1593" s="8" t="s">
        <v>2562</v>
      </c>
      <c r="F1593" s="27" t="s">
        <v>2576</v>
      </c>
    </row>
    <row r="1594">
      <c r="A1594" s="18" t="s">
        <v>2209</v>
      </c>
      <c r="B1594" s="18" t="s">
        <v>157</v>
      </c>
      <c r="C1594" s="8" t="s">
        <v>149</v>
      </c>
      <c r="D1594" s="14" t="s">
        <v>2033</v>
      </c>
      <c r="E1594" s="8" t="s">
        <v>2552</v>
      </c>
      <c r="F1594" s="27" t="s">
        <v>2591</v>
      </c>
    </row>
    <row r="1595">
      <c r="A1595" s="9" t="s">
        <v>1932</v>
      </c>
      <c r="B1595" s="9" t="s">
        <v>260</v>
      </c>
      <c r="C1595" s="8" t="s">
        <v>59</v>
      </c>
      <c r="D1595" s="14" t="s">
        <v>1679</v>
      </c>
      <c r="E1595" s="8" t="s">
        <v>2584</v>
      </c>
      <c r="F1595" s="27" t="s">
        <v>2563</v>
      </c>
    </row>
    <row r="1596">
      <c r="A1596" s="9" t="s">
        <v>1000</v>
      </c>
      <c r="B1596" s="9" t="s">
        <v>194</v>
      </c>
      <c r="C1596" s="8" t="s">
        <v>186</v>
      </c>
      <c r="D1596" s="14" t="s">
        <v>837</v>
      </c>
      <c r="E1596" s="8" t="s">
        <v>2575</v>
      </c>
      <c r="F1596" s="27" t="s">
        <v>2553</v>
      </c>
    </row>
    <row r="1597">
      <c r="A1597" s="9" t="s">
        <v>1275</v>
      </c>
      <c r="B1597" s="9" t="s">
        <v>506</v>
      </c>
      <c r="C1597" s="8" t="s">
        <v>122</v>
      </c>
      <c r="D1597" s="14" t="s">
        <v>1070</v>
      </c>
      <c r="E1597" s="8" t="s">
        <v>2595</v>
      </c>
      <c r="F1597" s="27" t="s">
        <v>2586</v>
      </c>
    </row>
    <row r="1598">
      <c r="A1598" s="9" t="s">
        <v>1561</v>
      </c>
      <c r="B1598" s="9" t="s">
        <v>317</v>
      </c>
      <c r="C1598" s="8" t="s">
        <v>53</v>
      </c>
      <c r="D1598" s="14" t="s">
        <v>1352</v>
      </c>
      <c r="E1598" s="8" t="s">
        <v>2581</v>
      </c>
      <c r="F1598" s="27" t="s">
        <v>2557</v>
      </c>
    </row>
    <row r="1599">
      <c r="A1599" s="9" t="s">
        <v>1562</v>
      </c>
      <c r="B1599" s="9" t="s">
        <v>1563</v>
      </c>
      <c r="C1599" s="8" t="s">
        <v>261</v>
      </c>
      <c r="D1599" s="14" t="s">
        <v>1352</v>
      </c>
      <c r="E1599" s="8" t="s">
        <v>2598</v>
      </c>
      <c r="F1599" s="27" t="s">
        <v>2555</v>
      </c>
    </row>
    <row r="1600">
      <c r="A1600" s="9" t="s">
        <v>2210</v>
      </c>
      <c r="B1600" s="9" t="s">
        <v>2211</v>
      </c>
      <c r="C1600" s="8" t="s">
        <v>93</v>
      </c>
      <c r="D1600" s="14" t="s">
        <v>2033</v>
      </c>
      <c r="E1600" s="8" t="s">
        <v>2554</v>
      </c>
      <c r="F1600" s="27" t="s">
        <v>2622</v>
      </c>
    </row>
    <row r="1601">
      <c r="A1601" s="9" t="s">
        <v>412</v>
      </c>
      <c r="B1601" s="9" t="s">
        <v>413</v>
      </c>
      <c r="C1601" s="8" t="s">
        <v>75</v>
      </c>
      <c r="D1601" s="14" t="s">
        <v>338</v>
      </c>
      <c r="E1601" s="8" t="s">
        <v>2560</v>
      </c>
      <c r="F1601" s="27" t="s">
        <v>2588</v>
      </c>
    </row>
    <row r="1602">
      <c r="A1602" s="18" t="s">
        <v>1001</v>
      </c>
      <c r="B1602" s="18" t="s">
        <v>260</v>
      </c>
      <c r="C1602" s="8" t="s">
        <v>24</v>
      </c>
      <c r="D1602" s="14" t="s">
        <v>837</v>
      </c>
      <c r="E1602" s="8" t="s">
        <v>2584</v>
      </c>
      <c r="F1602" s="27" t="s">
        <v>2601</v>
      </c>
    </row>
    <row r="1603">
      <c r="A1603" s="9" t="s">
        <v>1933</v>
      </c>
      <c r="B1603" s="9" t="s">
        <v>102</v>
      </c>
      <c r="C1603" s="8" t="s">
        <v>138</v>
      </c>
      <c r="D1603" s="14" t="s">
        <v>1679</v>
      </c>
      <c r="E1603" s="8" t="s">
        <v>2564</v>
      </c>
      <c r="F1603" s="27" t="s">
        <v>2576</v>
      </c>
    </row>
    <row r="1604">
      <c r="A1604" s="9" t="s">
        <v>1002</v>
      </c>
      <c r="B1604" s="9" t="s">
        <v>676</v>
      </c>
      <c r="C1604" s="8" t="s">
        <v>24</v>
      </c>
      <c r="D1604" s="14" t="s">
        <v>837</v>
      </c>
      <c r="E1604" s="8" t="s">
        <v>2603</v>
      </c>
      <c r="F1604" s="27" t="s">
        <v>2638</v>
      </c>
    </row>
    <row r="1605">
      <c r="A1605" s="9" t="s">
        <v>125</v>
      </c>
      <c r="B1605" s="9" t="s">
        <v>33</v>
      </c>
      <c r="C1605" s="8" t="s">
        <v>24</v>
      </c>
      <c r="D1605" s="14" t="s">
        <v>108</v>
      </c>
      <c r="E1605" s="8" t="s">
        <v>2584</v>
      </c>
      <c r="F1605" s="27" t="s">
        <v>2638</v>
      </c>
    </row>
    <row r="1606">
      <c r="A1606" s="9" t="s">
        <v>1003</v>
      </c>
      <c r="B1606" s="9" t="s">
        <v>137</v>
      </c>
      <c r="C1606" s="8" t="s">
        <v>38</v>
      </c>
      <c r="D1606" s="14" t="s">
        <v>837</v>
      </c>
      <c r="E1606" s="8" t="s">
        <v>2574</v>
      </c>
      <c r="F1606" s="27" t="s">
        <v>2607</v>
      </c>
    </row>
    <row r="1607">
      <c r="A1607" s="9" t="s">
        <v>773</v>
      </c>
      <c r="B1607" s="9" t="s">
        <v>119</v>
      </c>
      <c r="C1607" s="8" t="s">
        <v>149</v>
      </c>
      <c r="D1607" s="14" t="s">
        <v>631</v>
      </c>
      <c r="E1607" s="8" t="s">
        <v>2621</v>
      </c>
      <c r="F1607" s="27" t="s">
        <v>2580</v>
      </c>
    </row>
    <row r="1608">
      <c r="A1608" s="9" t="s">
        <v>589</v>
      </c>
      <c r="B1608" s="9" t="s">
        <v>33</v>
      </c>
      <c r="C1608" s="8" t="s">
        <v>141</v>
      </c>
      <c r="D1608" s="14" t="s">
        <v>459</v>
      </c>
      <c r="E1608" s="8" t="s">
        <v>2574</v>
      </c>
      <c r="F1608" s="27" t="s">
        <v>2613</v>
      </c>
    </row>
    <row r="1609">
      <c r="A1609" s="9" t="s">
        <v>1276</v>
      </c>
      <c r="B1609" s="9" t="s">
        <v>121</v>
      </c>
      <c r="C1609" s="8" t="s">
        <v>149</v>
      </c>
      <c r="D1609" s="14" t="s">
        <v>2033</v>
      </c>
      <c r="E1609" s="18" t="s">
        <v>2556</v>
      </c>
      <c r="F1609" s="27" t="s">
        <v>2555</v>
      </c>
    </row>
    <row r="1610">
      <c r="A1610" s="9" t="s">
        <v>1276</v>
      </c>
      <c r="B1610" s="9" t="s">
        <v>1082</v>
      </c>
      <c r="C1610" s="8" t="s">
        <v>65</v>
      </c>
      <c r="D1610" s="14" t="s">
        <v>1070</v>
      </c>
      <c r="E1610" s="8" t="s">
        <v>2581</v>
      </c>
      <c r="F1610" s="27" t="s">
        <v>2608</v>
      </c>
    </row>
    <row r="1611">
      <c r="A1611" s="9" t="s">
        <v>1276</v>
      </c>
      <c r="B1611" s="9" t="s">
        <v>759</v>
      </c>
      <c r="C1611" s="8" t="s">
        <v>80</v>
      </c>
      <c r="D1611" s="14" t="s">
        <v>2033</v>
      </c>
      <c r="E1611" s="8" t="s">
        <v>2593</v>
      </c>
      <c r="F1611" s="27" t="s">
        <v>2570</v>
      </c>
    </row>
    <row r="1612">
      <c r="A1612" s="9" t="s">
        <v>1564</v>
      </c>
      <c r="B1612" s="9" t="s">
        <v>1046</v>
      </c>
      <c r="C1612" s="8" t="s">
        <v>192</v>
      </c>
      <c r="D1612" s="14" t="s">
        <v>1352</v>
      </c>
      <c r="E1612" s="8" t="s">
        <v>2620</v>
      </c>
      <c r="F1612" s="27" t="s">
        <v>2601</v>
      </c>
    </row>
    <row r="1613">
      <c r="A1613" s="9" t="s">
        <v>2069</v>
      </c>
      <c r="B1613" s="9" t="s">
        <v>2212</v>
      </c>
      <c r="C1613" s="8" t="s">
        <v>149</v>
      </c>
      <c r="D1613" s="14" t="s">
        <v>2033</v>
      </c>
      <c r="E1613" s="8" t="s">
        <v>2582</v>
      </c>
      <c r="F1613" s="27" t="s">
        <v>2627</v>
      </c>
    </row>
    <row r="1614">
      <c r="A1614" s="9" t="s">
        <v>1004</v>
      </c>
      <c r="B1614" s="9" t="s">
        <v>506</v>
      </c>
      <c r="C1614" s="8" t="s">
        <v>122</v>
      </c>
      <c r="D1614" s="14" t="s">
        <v>837</v>
      </c>
      <c r="E1614" s="8" t="s">
        <v>2600</v>
      </c>
      <c r="F1614" s="27" t="s">
        <v>2579</v>
      </c>
    </row>
    <row r="1615">
      <c r="A1615" s="9" t="s">
        <v>1934</v>
      </c>
      <c r="B1615" s="9" t="s">
        <v>480</v>
      </c>
      <c r="C1615" s="8" t="s">
        <v>65</v>
      </c>
      <c r="D1615" s="14" t="s">
        <v>1679</v>
      </c>
      <c r="E1615" s="8" t="s">
        <v>2567</v>
      </c>
      <c r="F1615" s="27" t="s">
        <v>2622</v>
      </c>
    </row>
    <row r="1616">
      <c r="A1616" s="9" t="s">
        <v>774</v>
      </c>
      <c r="B1616" s="9" t="s">
        <v>464</v>
      </c>
      <c r="C1616" s="8" t="s">
        <v>149</v>
      </c>
      <c r="D1616" s="14" t="s">
        <v>631</v>
      </c>
      <c r="E1616" s="8" t="s">
        <v>2621</v>
      </c>
      <c r="F1616" s="27" t="s">
        <v>2609</v>
      </c>
    </row>
    <row r="1617">
      <c r="A1617" s="9" t="s">
        <v>194</v>
      </c>
      <c r="B1617" s="9" t="s">
        <v>747</v>
      </c>
      <c r="C1617" s="8" t="s">
        <v>132</v>
      </c>
      <c r="D1617" s="14" t="s">
        <v>1070</v>
      </c>
      <c r="E1617" s="8" t="s">
        <v>2558</v>
      </c>
      <c r="F1617" s="27" t="s">
        <v>2570</v>
      </c>
    </row>
    <row r="1618">
      <c r="A1618" s="9" t="s">
        <v>194</v>
      </c>
      <c r="B1618" s="9" t="s">
        <v>1209</v>
      </c>
      <c r="C1618" s="8" t="s">
        <v>65</v>
      </c>
      <c r="D1618" s="14" t="s">
        <v>1352</v>
      </c>
      <c r="E1618" s="8" t="s">
        <v>2620</v>
      </c>
      <c r="F1618" s="27" t="s">
        <v>2568</v>
      </c>
    </row>
    <row r="1619">
      <c r="A1619" s="9" t="s">
        <v>775</v>
      </c>
      <c r="B1619" s="9" t="s">
        <v>776</v>
      </c>
      <c r="C1619" s="8" t="s">
        <v>65</v>
      </c>
      <c r="D1619" s="14" t="s">
        <v>631</v>
      </c>
      <c r="E1619" s="8" t="s">
        <v>2605</v>
      </c>
      <c r="F1619" s="27" t="s">
        <v>2601</v>
      </c>
    </row>
    <row r="1620">
      <c r="A1620" s="9" t="s">
        <v>775</v>
      </c>
      <c r="B1620" s="9" t="s">
        <v>1186</v>
      </c>
      <c r="C1620" s="8" t="s">
        <v>75</v>
      </c>
      <c r="D1620" s="14" t="s">
        <v>2296</v>
      </c>
      <c r="E1620" s="8" t="s">
        <v>2567</v>
      </c>
      <c r="F1620" s="27" t="s">
        <v>2580</v>
      </c>
    </row>
    <row r="1621">
      <c r="A1621" s="9" t="s">
        <v>1565</v>
      </c>
      <c r="B1621" s="9" t="s">
        <v>277</v>
      </c>
      <c r="C1621" s="8" t="s">
        <v>65</v>
      </c>
      <c r="D1621" s="14" t="s">
        <v>1352</v>
      </c>
      <c r="E1621" s="8" t="s">
        <v>2572</v>
      </c>
      <c r="F1621" s="27" t="s">
        <v>2583</v>
      </c>
    </row>
    <row r="1622">
      <c r="A1622" s="9" t="s">
        <v>221</v>
      </c>
      <c r="B1622" s="9" t="s">
        <v>222</v>
      </c>
      <c r="C1622" s="8" t="s">
        <v>24</v>
      </c>
      <c r="D1622" s="14" t="s">
        <v>189</v>
      </c>
      <c r="E1622" s="8" t="s">
        <v>2598</v>
      </c>
      <c r="F1622" s="27" t="s">
        <v>2591</v>
      </c>
    </row>
    <row r="1623">
      <c r="A1623" s="18" t="s">
        <v>2397</v>
      </c>
      <c r="B1623" s="18" t="s">
        <v>2398</v>
      </c>
      <c r="C1623" s="8" t="s">
        <v>122</v>
      </c>
      <c r="D1623" s="14" t="s">
        <v>2296</v>
      </c>
      <c r="E1623" s="8" t="s">
        <v>2582</v>
      </c>
      <c r="F1623" s="27" t="s">
        <v>2578</v>
      </c>
    </row>
    <row r="1624">
      <c r="A1624" s="9" t="s">
        <v>1277</v>
      </c>
      <c r="B1624" s="9" t="s">
        <v>1278</v>
      </c>
      <c r="C1624" s="8" t="s">
        <v>65</v>
      </c>
      <c r="D1624" s="14" t="s">
        <v>1070</v>
      </c>
      <c r="E1624" s="8" t="s">
        <v>2560</v>
      </c>
      <c r="F1624" s="27" t="s">
        <v>2579</v>
      </c>
    </row>
    <row r="1625">
      <c r="A1625" s="9" t="s">
        <v>1566</v>
      </c>
      <c r="B1625" s="9" t="s">
        <v>1567</v>
      </c>
      <c r="C1625" s="8" t="s">
        <v>75</v>
      </c>
      <c r="D1625" s="14" t="s">
        <v>1352</v>
      </c>
      <c r="E1625" s="8" t="s">
        <v>2595</v>
      </c>
      <c r="F1625" s="27" t="s">
        <v>2565</v>
      </c>
    </row>
    <row r="1626">
      <c r="A1626" s="9" t="s">
        <v>1279</v>
      </c>
      <c r="B1626" s="9" t="s">
        <v>214</v>
      </c>
      <c r="C1626" s="8" t="s">
        <v>122</v>
      </c>
      <c r="D1626" s="14" t="s">
        <v>1070</v>
      </c>
      <c r="E1626" s="8" t="s">
        <v>2587</v>
      </c>
      <c r="F1626" s="27" t="s">
        <v>2594</v>
      </c>
    </row>
    <row r="1627">
      <c r="A1627" s="9" t="s">
        <v>777</v>
      </c>
      <c r="B1627" s="9" t="s">
        <v>183</v>
      </c>
      <c r="C1627" s="8" t="s">
        <v>122</v>
      </c>
      <c r="D1627" s="14" t="s">
        <v>631</v>
      </c>
      <c r="E1627" s="8" t="s">
        <v>2600</v>
      </c>
      <c r="F1627" s="27" t="s">
        <v>2565</v>
      </c>
    </row>
    <row r="1628">
      <c r="A1628" s="9" t="s">
        <v>1280</v>
      </c>
      <c r="B1628" s="9" t="s">
        <v>1281</v>
      </c>
      <c r="C1628" s="8" t="s">
        <v>261</v>
      </c>
      <c r="D1628" s="14" t="s">
        <v>1070</v>
      </c>
      <c r="E1628" s="8" t="s">
        <v>2566</v>
      </c>
      <c r="F1628" s="27" t="s">
        <v>2622</v>
      </c>
    </row>
    <row r="1629">
      <c r="A1629" s="9" t="s">
        <v>1280</v>
      </c>
      <c r="B1629" s="9" t="s">
        <v>1749</v>
      </c>
      <c r="C1629" s="8" t="s">
        <v>70</v>
      </c>
      <c r="D1629" s="14" t="s">
        <v>2033</v>
      </c>
      <c r="E1629" s="8" t="s">
        <v>2603</v>
      </c>
      <c r="F1629" s="27" t="s">
        <v>2586</v>
      </c>
    </row>
    <row r="1630">
      <c r="A1630" s="9" t="s">
        <v>2213</v>
      </c>
      <c r="B1630" s="9" t="s">
        <v>2214</v>
      </c>
      <c r="C1630" s="8" t="s">
        <v>192</v>
      </c>
      <c r="D1630" s="14" t="s">
        <v>2033</v>
      </c>
      <c r="E1630" s="8" t="s">
        <v>2566</v>
      </c>
      <c r="F1630" s="27" t="s">
        <v>2611</v>
      </c>
    </row>
    <row r="1631">
      <c r="A1631" s="9" t="s">
        <v>2215</v>
      </c>
      <c r="B1631" s="9" t="s">
        <v>2216</v>
      </c>
      <c r="C1631" s="8" t="s">
        <v>70</v>
      </c>
      <c r="D1631" s="14" t="s">
        <v>2033</v>
      </c>
      <c r="E1631" s="8" t="s">
        <v>2582</v>
      </c>
      <c r="F1631" s="27" t="s">
        <v>2573</v>
      </c>
    </row>
    <row r="1632">
      <c r="A1632" s="9" t="s">
        <v>1282</v>
      </c>
      <c r="B1632" s="9" t="s">
        <v>1283</v>
      </c>
      <c r="C1632" s="8" t="s">
        <v>24</v>
      </c>
      <c r="D1632" s="14" t="s">
        <v>1070</v>
      </c>
      <c r="E1632" s="8" t="s">
        <v>2564</v>
      </c>
      <c r="F1632" s="27" t="s">
        <v>2573</v>
      </c>
    </row>
    <row r="1633">
      <c r="A1633" s="9" t="s">
        <v>1282</v>
      </c>
      <c r="B1633" s="9" t="s">
        <v>1935</v>
      </c>
      <c r="C1633" s="8" t="s">
        <v>46</v>
      </c>
      <c r="D1633" s="14" t="s">
        <v>1679</v>
      </c>
      <c r="E1633" s="8" t="s">
        <v>2610</v>
      </c>
      <c r="F1633" s="27" t="s">
        <v>2606</v>
      </c>
    </row>
    <row r="1634">
      <c r="A1634" s="9" t="s">
        <v>1282</v>
      </c>
      <c r="B1634" s="9" t="s">
        <v>628</v>
      </c>
      <c r="C1634" s="8" t="s">
        <v>70</v>
      </c>
      <c r="D1634" s="14" t="s">
        <v>1679</v>
      </c>
      <c r="E1634" s="8" t="s">
        <v>2566</v>
      </c>
      <c r="F1634" s="27" t="s">
        <v>2563</v>
      </c>
    </row>
    <row r="1635">
      <c r="A1635" s="9" t="s">
        <v>1569</v>
      </c>
      <c r="B1635" s="9" t="s">
        <v>1570</v>
      </c>
      <c r="C1635" s="8" t="s">
        <v>65</v>
      </c>
      <c r="D1635" s="14" t="s">
        <v>1352</v>
      </c>
      <c r="E1635" s="8" t="s">
        <v>2592</v>
      </c>
      <c r="F1635" s="27" t="s">
        <v>2565</v>
      </c>
    </row>
    <row r="1636">
      <c r="A1636" s="9" t="s">
        <v>1284</v>
      </c>
      <c r="B1636" s="9" t="s">
        <v>1285</v>
      </c>
      <c r="C1636" s="8" t="s">
        <v>186</v>
      </c>
      <c r="D1636" s="14" t="s">
        <v>1070</v>
      </c>
      <c r="E1636" s="8" t="s">
        <v>2572</v>
      </c>
      <c r="F1636" s="27" t="s">
        <v>2553</v>
      </c>
    </row>
    <row r="1637">
      <c r="A1637" s="9" t="s">
        <v>303</v>
      </c>
      <c r="B1637" s="9" t="s">
        <v>183</v>
      </c>
      <c r="C1637" s="8" t="s">
        <v>132</v>
      </c>
      <c r="D1637" s="14" t="s">
        <v>237</v>
      </c>
      <c r="E1637" s="8" t="s">
        <v>2585</v>
      </c>
      <c r="F1637" s="27" t="s">
        <v>2601</v>
      </c>
    </row>
    <row r="1638">
      <c r="A1638" s="9" t="s">
        <v>1568</v>
      </c>
      <c r="B1638" s="9" t="s">
        <v>322</v>
      </c>
      <c r="C1638" s="8" t="s">
        <v>16</v>
      </c>
      <c r="D1638" s="14" t="s">
        <v>1352</v>
      </c>
      <c r="E1638" s="18" t="s">
        <v>2556</v>
      </c>
      <c r="F1638" s="27" t="s">
        <v>2637</v>
      </c>
    </row>
    <row r="1639">
      <c r="A1639" s="9" t="s">
        <v>44</v>
      </c>
      <c r="B1639" s="9" t="s">
        <v>304</v>
      </c>
      <c r="C1639" s="8" t="s">
        <v>122</v>
      </c>
      <c r="D1639" s="14" t="s">
        <v>237</v>
      </c>
      <c r="E1639" s="18" t="s">
        <v>2589</v>
      </c>
      <c r="F1639" s="27" t="s">
        <v>2571</v>
      </c>
    </row>
    <row r="1640">
      <c r="A1640" s="9" t="s">
        <v>44</v>
      </c>
      <c r="B1640" s="9" t="s">
        <v>45</v>
      </c>
      <c r="C1640" s="8" t="s">
        <v>46</v>
      </c>
      <c r="D1640" s="14" t="s">
        <v>39</v>
      </c>
      <c r="E1640" s="8" t="s">
        <v>2564</v>
      </c>
      <c r="F1640" s="27" t="s">
        <v>2604</v>
      </c>
    </row>
    <row r="1641">
      <c r="A1641" s="9" t="s">
        <v>44</v>
      </c>
      <c r="B1641" s="9" t="s">
        <v>247</v>
      </c>
      <c r="C1641" s="8" t="s">
        <v>93</v>
      </c>
      <c r="D1641" s="14" t="s">
        <v>1070</v>
      </c>
      <c r="E1641" s="8" t="s">
        <v>2593</v>
      </c>
      <c r="F1641" s="27" t="s">
        <v>2588</v>
      </c>
    </row>
    <row r="1642">
      <c r="A1642" s="9" t="s">
        <v>126</v>
      </c>
      <c r="B1642" s="9" t="s">
        <v>127</v>
      </c>
      <c r="C1642" s="8" t="s">
        <v>70</v>
      </c>
      <c r="D1642" s="14" t="s">
        <v>108</v>
      </c>
      <c r="E1642" s="8" t="s">
        <v>2582</v>
      </c>
      <c r="F1642" s="27" t="s">
        <v>2578</v>
      </c>
    </row>
    <row r="1643">
      <c r="A1643" s="9" t="s">
        <v>126</v>
      </c>
      <c r="B1643" s="9" t="s">
        <v>119</v>
      </c>
      <c r="C1643" s="8" t="s">
        <v>93</v>
      </c>
      <c r="D1643" s="14" t="s">
        <v>1352</v>
      </c>
      <c r="E1643" s="8" t="s">
        <v>2593</v>
      </c>
      <c r="F1643" s="27" t="s">
        <v>2594</v>
      </c>
    </row>
    <row r="1644">
      <c r="A1644" s="9" t="s">
        <v>126</v>
      </c>
      <c r="B1644" s="9" t="s">
        <v>194</v>
      </c>
      <c r="C1644" s="8" t="s">
        <v>93</v>
      </c>
      <c r="D1644" s="14" t="s">
        <v>459</v>
      </c>
      <c r="E1644" s="18" t="s">
        <v>2589</v>
      </c>
      <c r="F1644" s="27" t="s">
        <v>2559</v>
      </c>
    </row>
    <row r="1645">
      <c r="A1645" s="9" t="s">
        <v>2217</v>
      </c>
      <c r="B1645" s="9" t="s">
        <v>1445</v>
      </c>
      <c r="C1645" s="8" t="s">
        <v>65</v>
      </c>
      <c r="D1645" s="14" t="s">
        <v>2033</v>
      </c>
      <c r="E1645" s="8" t="s">
        <v>2585</v>
      </c>
      <c r="F1645" s="27" t="s">
        <v>2607</v>
      </c>
    </row>
    <row r="1646">
      <c r="A1646" s="9" t="s">
        <v>1005</v>
      </c>
      <c r="B1646" s="9" t="s">
        <v>127</v>
      </c>
      <c r="C1646" s="8" t="s">
        <v>192</v>
      </c>
      <c r="D1646" s="14" t="s">
        <v>837</v>
      </c>
      <c r="E1646" s="8" t="s">
        <v>2572</v>
      </c>
      <c r="F1646" s="27" t="s">
        <v>2590</v>
      </c>
    </row>
    <row r="1647">
      <c r="A1647" s="9" t="s">
        <v>1005</v>
      </c>
      <c r="B1647" s="9" t="s">
        <v>407</v>
      </c>
      <c r="C1647" s="8" t="s">
        <v>65</v>
      </c>
      <c r="D1647" s="14" t="s">
        <v>2033</v>
      </c>
      <c r="E1647" s="8" t="s">
        <v>2587</v>
      </c>
      <c r="F1647" s="27" t="s">
        <v>2609</v>
      </c>
    </row>
    <row r="1648">
      <c r="A1648" s="9" t="s">
        <v>1005</v>
      </c>
      <c r="B1648" s="9" t="s">
        <v>1286</v>
      </c>
      <c r="C1648" s="8" t="s">
        <v>138</v>
      </c>
      <c r="D1648" s="14" t="s">
        <v>1070</v>
      </c>
      <c r="E1648" s="8" t="s">
        <v>2567</v>
      </c>
      <c r="F1648" s="27" t="s">
        <v>2563</v>
      </c>
    </row>
    <row r="1649">
      <c r="A1649" s="9" t="s">
        <v>1005</v>
      </c>
      <c r="B1649" s="9" t="s">
        <v>800</v>
      </c>
      <c r="C1649" s="8" t="s">
        <v>93</v>
      </c>
      <c r="D1649" s="14" t="s">
        <v>2033</v>
      </c>
      <c r="E1649" s="8" t="s">
        <v>2610</v>
      </c>
      <c r="F1649" s="27" t="s">
        <v>2579</v>
      </c>
    </row>
    <row r="1650">
      <c r="A1650" s="9" t="s">
        <v>1005</v>
      </c>
      <c r="B1650" s="9" t="s">
        <v>377</v>
      </c>
      <c r="C1650" s="8" t="s">
        <v>122</v>
      </c>
      <c r="D1650" s="14" t="s">
        <v>2033</v>
      </c>
      <c r="E1650" s="8" t="s">
        <v>2587</v>
      </c>
      <c r="F1650" s="27" t="s">
        <v>2553</v>
      </c>
    </row>
    <row r="1651">
      <c r="A1651" s="9" t="s">
        <v>1005</v>
      </c>
      <c r="B1651" s="9" t="s">
        <v>263</v>
      </c>
      <c r="C1651" s="8" t="s">
        <v>122</v>
      </c>
      <c r="D1651" s="14" t="s">
        <v>1070</v>
      </c>
      <c r="E1651" s="8" t="s">
        <v>2587</v>
      </c>
      <c r="F1651" s="27" t="s">
        <v>2579</v>
      </c>
    </row>
    <row r="1652">
      <c r="A1652" s="9" t="s">
        <v>1571</v>
      </c>
      <c r="B1652" s="9" t="s">
        <v>800</v>
      </c>
      <c r="C1652" s="8" t="s">
        <v>215</v>
      </c>
      <c r="D1652" s="14" t="s">
        <v>1352</v>
      </c>
      <c r="E1652" s="18" t="s">
        <v>2589</v>
      </c>
      <c r="F1652" s="27" t="s">
        <v>2591</v>
      </c>
    </row>
    <row r="1653">
      <c r="A1653" s="9" t="s">
        <v>1287</v>
      </c>
      <c r="B1653" s="9" t="s">
        <v>137</v>
      </c>
      <c r="C1653" s="8" t="s">
        <v>122</v>
      </c>
      <c r="D1653" s="14" t="s">
        <v>1070</v>
      </c>
      <c r="E1653" s="8" t="s">
        <v>2575</v>
      </c>
      <c r="F1653" s="27" t="s">
        <v>2559</v>
      </c>
    </row>
    <row r="1654">
      <c r="A1654" s="9" t="s">
        <v>668</v>
      </c>
      <c r="B1654" s="9" t="s">
        <v>123</v>
      </c>
      <c r="C1654" s="8" t="s">
        <v>138</v>
      </c>
      <c r="D1654" s="14" t="s">
        <v>631</v>
      </c>
      <c r="E1654" s="8" t="s">
        <v>2566</v>
      </c>
      <c r="F1654" s="27" t="s">
        <v>2622</v>
      </c>
    </row>
    <row r="1655">
      <c r="A1655" s="9" t="s">
        <v>1006</v>
      </c>
      <c r="B1655" s="9" t="s">
        <v>119</v>
      </c>
      <c r="C1655" s="8" t="s">
        <v>186</v>
      </c>
      <c r="D1655" s="14" t="s">
        <v>837</v>
      </c>
      <c r="E1655" s="8" t="s">
        <v>2605</v>
      </c>
      <c r="F1655" s="27" t="s">
        <v>2557</v>
      </c>
    </row>
    <row r="1656">
      <c r="A1656" s="9" t="s">
        <v>414</v>
      </c>
      <c r="B1656" s="9" t="s">
        <v>45</v>
      </c>
      <c r="C1656" s="8" t="s">
        <v>59</v>
      </c>
      <c r="D1656" s="14" t="s">
        <v>338</v>
      </c>
      <c r="E1656" s="8" t="s">
        <v>2592</v>
      </c>
      <c r="F1656" s="27" t="s">
        <v>2586</v>
      </c>
    </row>
    <row r="1657">
      <c r="A1657" s="9" t="s">
        <v>1936</v>
      </c>
      <c r="B1657" s="9" t="s">
        <v>597</v>
      </c>
      <c r="C1657" s="8" t="s">
        <v>141</v>
      </c>
      <c r="D1657" s="14" t="s">
        <v>1679</v>
      </c>
      <c r="E1657" s="8" t="s">
        <v>2582</v>
      </c>
      <c r="F1657" s="27" t="s">
        <v>2576</v>
      </c>
    </row>
    <row r="1658">
      <c r="A1658" s="9" t="s">
        <v>2218</v>
      </c>
      <c r="B1658" s="9" t="s">
        <v>2219</v>
      </c>
      <c r="C1658" s="8" t="s">
        <v>12</v>
      </c>
      <c r="D1658" s="14" t="s">
        <v>2033</v>
      </c>
      <c r="E1658" s="8" t="s">
        <v>2605</v>
      </c>
      <c r="F1658" s="27" t="s">
        <v>2622</v>
      </c>
    </row>
    <row r="1659">
      <c r="A1659" s="9" t="s">
        <v>1572</v>
      </c>
      <c r="B1659" s="9" t="s">
        <v>436</v>
      </c>
      <c r="C1659" s="8" t="s">
        <v>38</v>
      </c>
      <c r="D1659" s="14" t="s">
        <v>1352</v>
      </c>
      <c r="E1659" s="8" t="s">
        <v>2592</v>
      </c>
      <c r="F1659" s="27" t="s">
        <v>2571</v>
      </c>
    </row>
    <row r="1660">
      <c r="A1660" s="9" t="s">
        <v>1573</v>
      </c>
      <c r="B1660" s="9" t="s">
        <v>1574</v>
      </c>
      <c r="C1660" s="8" t="s">
        <v>93</v>
      </c>
      <c r="D1660" s="14" t="s">
        <v>1352</v>
      </c>
      <c r="E1660" s="8" t="s">
        <v>2615</v>
      </c>
      <c r="F1660" s="27" t="s">
        <v>2563</v>
      </c>
    </row>
    <row r="1661">
      <c r="A1661" s="9" t="s">
        <v>1573</v>
      </c>
      <c r="B1661" s="9" t="s">
        <v>865</v>
      </c>
      <c r="C1661" s="8" t="s">
        <v>149</v>
      </c>
      <c r="D1661" s="14" t="s">
        <v>2296</v>
      </c>
      <c r="E1661" s="8" t="s">
        <v>2572</v>
      </c>
      <c r="F1661" s="27" t="s">
        <v>2576</v>
      </c>
    </row>
    <row r="1662">
      <c r="A1662" s="9" t="s">
        <v>1937</v>
      </c>
      <c r="B1662" s="9" t="s">
        <v>1938</v>
      </c>
      <c r="C1662" s="8" t="s">
        <v>122</v>
      </c>
      <c r="D1662" s="14" t="s">
        <v>1679</v>
      </c>
      <c r="E1662" s="8" t="s">
        <v>2581</v>
      </c>
      <c r="F1662" s="27" t="s">
        <v>2609</v>
      </c>
    </row>
    <row r="1663">
      <c r="A1663" s="9" t="s">
        <v>1939</v>
      </c>
      <c r="B1663" s="9" t="s">
        <v>1940</v>
      </c>
      <c r="C1663" s="8" t="s">
        <v>75</v>
      </c>
      <c r="D1663" s="14" t="s">
        <v>1679</v>
      </c>
      <c r="E1663" s="8" t="s">
        <v>2603</v>
      </c>
      <c r="F1663" s="27" t="s">
        <v>2594</v>
      </c>
    </row>
    <row r="1664">
      <c r="A1664" s="9" t="s">
        <v>590</v>
      </c>
      <c r="B1664" s="9" t="s">
        <v>591</v>
      </c>
      <c r="C1664" s="8" t="s">
        <v>122</v>
      </c>
      <c r="D1664" s="14" t="s">
        <v>459</v>
      </c>
      <c r="E1664" s="8" t="s">
        <v>2574</v>
      </c>
      <c r="F1664" s="27" t="s">
        <v>2586</v>
      </c>
    </row>
    <row r="1665">
      <c r="A1665" s="9" t="s">
        <v>1575</v>
      </c>
      <c r="B1665" s="9" t="s">
        <v>1576</v>
      </c>
      <c r="C1665" s="8" t="s">
        <v>186</v>
      </c>
      <c r="D1665" s="14" t="s">
        <v>1352</v>
      </c>
      <c r="E1665" s="8" t="s">
        <v>2581</v>
      </c>
      <c r="F1665" s="27" t="s">
        <v>2618</v>
      </c>
    </row>
    <row r="1666">
      <c r="A1666" s="9" t="s">
        <v>2399</v>
      </c>
      <c r="B1666" s="9" t="s">
        <v>2400</v>
      </c>
      <c r="C1666" s="8" t="s">
        <v>59</v>
      </c>
      <c r="D1666" s="14" t="s">
        <v>2296</v>
      </c>
      <c r="E1666" s="8" t="s">
        <v>2560</v>
      </c>
      <c r="F1666" s="27" t="s">
        <v>2565</v>
      </c>
    </row>
    <row r="1667">
      <c r="A1667" s="9" t="s">
        <v>2401</v>
      </c>
      <c r="B1667" s="9" t="s">
        <v>140</v>
      </c>
      <c r="C1667" s="8" t="s">
        <v>70</v>
      </c>
      <c r="D1667" s="14" t="s">
        <v>2296</v>
      </c>
      <c r="E1667" s="8" t="s">
        <v>2614</v>
      </c>
      <c r="F1667" s="27" t="s">
        <v>2622</v>
      </c>
    </row>
    <row r="1668">
      <c r="A1668" s="9" t="s">
        <v>1288</v>
      </c>
      <c r="B1668" s="9" t="s">
        <v>157</v>
      </c>
      <c r="C1668" s="8" t="s">
        <v>93</v>
      </c>
      <c r="D1668" s="14" t="s">
        <v>1070</v>
      </c>
      <c r="E1668" s="8" t="s">
        <v>2560</v>
      </c>
      <c r="F1668" s="27" t="s">
        <v>2590</v>
      </c>
    </row>
    <row r="1669">
      <c r="A1669" s="9" t="s">
        <v>1577</v>
      </c>
      <c r="B1669" s="9" t="s">
        <v>67</v>
      </c>
      <c r="C1669" s="8" t="s">
        <v>149</v>
      </c>
      <c r="D1669" s="14" t="s">
        <v>2296</v>
      </c>
      <c r="E1669" s="8" t="s">
        <v>2554</v>
      </c>
      <c r="F1669" s="27" t="s">
        <v>2618</v>
      </c>
    </row>
    <row r="1670">
      <c r="A1670" s="9" t="s">
        <v>1577</v>
      </c>
      <c r="B1670" s="9" t="s">
        <v>1578</v>
      </c>
      <c r="C1670" s="8" t="s">
        <v>70</v>
      </c>
      <c r="D1670" s="14" t="s">
        <v>1352</v>
      </c>
      <c r="E1670" s="8" t="s">
        <v>2572</v>
      </c>
      <c r="F1670" s="27" t="s">
        <v>2594</v>
      </c>
    </row>
    <row r="1671">
      <c r="A1671" s="9" t="s">
        <v>415</v>
      </c>
      <c r="B1671" s="9" t="s">
        <v>416</v>
      </c>
      <c r="C1671" s="8" t="s">
        <v>141</v>
      </c>
      <c r="D1671" s="14" t="s">
        <v>338</v>
      </c>
      <c r="E1671" s="8" t="s">
        <v>2577</v>
      </c>
      <c r="F1671" s="27" t="s">
        <v>2625</v>
      </c>
    </row>
    <row r="1672">
      <c r="A1672" s="9" t="s">
        <v>415</v>
      </c>
      <c r="B1672" s="9" t="s">
        <v>183</v>
      </c>
      <c r="C1672" s="8" t="s">
        <v>141</v>
      </c>
      <c r="D1672" s="14" t="s">
        <v>338</v>
      </c>
      <c r="E1672" s="8" t="s">
        <v>2572</v>
      </c>
      <c r="F1672" s="27" t="s">
        <v>2588</v>
      </c>
    </row>
    <row r="1673">
      <c r="A1673" s="9" t="s">
        <v>2220</v>
      </c>
      <c r="B1673" s="9" t="s">
        <v>121</v>
      </c>
      <c r="C1673" s="8" t="s">
        <v>65</v>
      </c>
      <c r="D1673" s="14" t="s">
        <v>2033</v>
      </c>
      <c r="E1673" s="8" t="s">
        <v>2554</v>
      </c>
      <c r="F1673" s="27" t="s">
        <v>2555</v>
      </c>
    </row>
    <row r="1674">
      <c r="A1674" s="9" t="s">
        <v>2402</v>
      </c>
      <c r="B1674" s="9" t="s">
        <v>50</v>
      </c>
      <c r="C1674" s="8" t="s">
        <v>75</v>
      </c>
      <c r="D1674" s="14" t="s">
        <v>2296</v>
      </c>
      <c r="E1674" s="8" t="s">
        <v>2575</v>
      </c>
      <c r="F1674" s="27" t="s">
        <v>2583</v>
      </c>
    </row>
    <row r="1675">
      <c r="A1675" s="9" t="s">
        <v>778</v>
      </c>
      <c r="B1675" s="9" t="s">
        <v>263</v>
      </c>
      <c r="C1675" s="8" t="s">
        <v>192</v>
      </c>
      <c r="D1675" s="14" t="s">
        <v>631</v>
      </c>
      <c r="E1675" s="8" t="s">
        <v>2587</v>
      </c>
      <c r="F1675" s="27" t="s">
        <v>2607</v>
      </c>
    </row>
    <row r="1676">
      <c r="A1676" s="9" t="s">
        <v>96</v>
      </c>
      <c r="B1676" s="9" t="s">
        <v>33</v>
      </c>
      <c r="C1676" s="8" t="s">
        <v>12</v>
      </c>
      <c r="D1676" s="14" t="s">
        <v>83</v>
      </c>
      <c r="E1676" s="8" t="s">
        <v>2554</v>
      </c>
      <c r="F1676" s="27" t="s">
        <v>2586</v>
      </c>
    </row>
    <row r="1677">
      <c r="A1677" s="9" t="s">
        <v>2221</v>
      </c>
      <c r="B1677" s="9" t="s">
        <v>2222</v>
      </c>
      <c r="C1677" s="8" t="s">
        <v>186</v>
      </c>
      <c r="D1677" s="14" t="s">
        <v>2033</v>
      </c>
      <c r="E1677" s="8" t="s">
        <v>2610</v>
      </c>
      <c r="F1677" s="27" t="s">
        <v>2622</v>
      </c>
    </row>
    <row r="1678">
      <c r="A1678" s="9" t="s">
        <v>1289</v>
      </c>
      <c r="B1678" s="9" t="s">
        <v>1290</v>
      </c>
      <c r="C1678" s="8" t="s">
        <v>16</v>
      </c>
      <c r="D1678" s="14" t="s">
        <v>1070</v>
      </c>
      <c r="E1678" s="8" t="s">
        <v>2614</v>
      </c>
      <c r="F1678" s="27" t="s">
        <v>2599</v>
      </c>
    </row>
    <row r="1679">
      <c r="A1679" s="9" t="s">
        <v>1291</v>
      </c>
      <c r="B1679" s="9" t="s">
        <v>1292</v>
      </c>
      <c r="C1679" s="8" t="s">
        <v>59</v>
      </c>
      <c r="D1679" s="14" t="s">
        <v>1070</v>
      </c>
      <c r="E1679" s="8" t="s">
        <v>2621</v>
      </c>
      <c r="F1679" s="27" t="s">
        <v>2555</v>
      </c>
    </row>
    <row r="1680">
      <c r="A1680" s="9" t="s">
        <v>1579</v>
      </c>
      <c r="B1680" s="9" t="s">
        <v>1044</v>
      </c>
      <c r="C1680" s="8" t="s">
        <v>141</v>
      </c>
      <c r="D1680" s="14" t="s">
        <v>1679</v>
      </c>
      <c r="E1680" s="8" t="s">
        <v>2610</v>
      </c>
      <c r="F1680" s="27" t="s">
        <v>2573</v>
      </c>
    </row>
    <row r="1681">
      <c r="A1681" s="9" t="s">
        <v>1579</v>
      </c>
      <c r="B1681" s="9" t="s">
        <v>157</v>
      </c>
      <c r="C1681" s="8" t="s">
        <v>122</v>
      </c>
      <c r="D1681" s="14" t="s">
        <v>1352</v>
      </c>
      <c r="E1681" s="8" t="s">
        <v>2615</v>
      </c>
      <c r="F1681" s="27" t="s">
        <v>2594</v>
      </c>
    </row>
    <row r="1682">
      <c r="A1682" s="9" t="s">
        <v>340</v>
      </c>
      <c r="B1682" s="9" t="s">
        <v>948</v>
      </c>
      <c r="C1682" s="8" t="s">
        <v>149</v>
      </c>
      <c r="D1682" s="14" t="s">
        <v>2296</v>
      </c>
      <c r="E1682" s="8" t="s">
        <v>2581</v>
      </c>
      <c r="F1682" s="27" t="s">
        <v>2609</v>
      </c>
    </row>
    <row r="1683">
      <c r="A1683" s="18" t="s">
        <v>340</v>
      </c>
      <c r="B1683" s="18" t="s">
        <v>1941</v>
      </c>
      <c r="C1683" s="8" t="s">
        <v>132</v>
      </c>
      <c r="D1683" s="14" t="s">
        <v>1679</v>
      </c>
      <c r="E1683" s="8" t="s">
        <v>2575</v>
      </c>
      <c r="F1683" s="27" t="s">
        <v>2612</v>
      </c>
    </row>
    <row r="1684">
      <c r="A1684" s="9" t="s">
        <v>1580</v>
      </c>
      <c r="B1684" s="9" t="s">
        <v>1210</v>
      </c>
      <c r="C1684" s="8" t="s">
        <v>65</v>
      </c>
      <c r="D1684" s="14" t="s">
        <v>1352</v>
      </c>
      <c r="E1684" s="8" t="s">
        <v>2183</v>
      </c>
      <c r="F1684" s="27" t="s">
        <v>2563</v>
      </c>
    </row>
    <row r="1685">
      <c r="A1685" s="9" t="s">
        <v>2223</v>
      </c>
      <c r="B1685" s="9" t="s">
        <v>464</v>
      </c>
      <c r="C1685" s="8" t="s">
        <v>65</v>
      </c>
      <c r="D1685" s="14" t="s">
        <v>2033</v>
      </c>
      <c r="E1685" s="8" t="s">
        <v>2593</v>
      </c>
      <c r="F1685" s="27" t="s">
        <v>2579</v>
      </c>
    </row>
    <row r="1686">
      <c r="A1686" s="18" t="s">
        <v>1581</v>
      </c>
      <c r="B1686" s="18" t="s">
        <v>521</v>
      </c>
      <c r="C1686" s="8" t="s">
        <v>70</v>
      </c>
      <c r="D1686" s="14" t="s">
        <v>1352</v>
      </c>
      <c r="E1686" s="8" t="s">
        <v>2603</v>
      </c>
      <c r="F1686" s="27" t="s">
        <v>2563</v>
      </c>
    </row>
    <row r="1687">
      <c r="A1687" s="9" t="s">
        <v>1007</v>
      </c>
      <c r="B1687" s="9" t="s">
        <v>1008</v>
      </c>
      <c r="C1687" s="8" t="s">
        <v>24</v>
      </c>
      <c r="D1687" s="14" t="s">
        <v>837</v>
      </c>
      <c r="E1687" s="8" t="s">
        <v>2621</v>
      </c>
      <c r="F1687" s="27" t="s">
        <v>2565</v>
      </c>
    </row>
    <row r="1688">
      <c r="A1688" s="9" t="s">
        <v>417</v>
      </c>
      <c r="B1688" s="9" t="s">
        <v>33</v>
      </c>
      <c r="C1688" s="8" t="s">
        <v>132</v>
      </c>
      <c r="D1688" s="14" t="s">
        <v>1679</v>
      </c>
      <c r="E1688" s="8" t="s">
        <v>2564</v>
      </c>
      <c r="F1688" s="27" t="s">
        <v>2570</v>
      </c>
    </row>
    <row r="1689">
      <c r="A1689" s="9" t="s">
        <v>417</v>
      </c>
      <c r="B1689" s="9" t="s">
        <v>418</v>
      </c>
      <c r="C1689" s="8" t="s">
        <v>65</v>
      </c>
      <c r="D1689" s="14" t="s">
        <v>338</v>
      </c>
      <c r="E1689" s="8" t="s">
        <v>2584</v>
      </c>
      <c r="F1689" s="27" t="s">
        <v>2602</v>
      </c>
    </row>
    <row r="1690">
      <c r="A1690" s="9" t="s">
        <v>592</v>
      </c>
      <c r="B1690" s="9" t="s">
        <v>381</v>
      </c>
      <c r="C1690" s="8" t="s">
        <v>132</v>
      </c>
      <c r="D1690" s="14" t="s">
        <v>459</v>
      </c>
      <c r="E1690" s="18" t="s">
        <v>2589</v>
      </c>
      <c r="F1690" s="27" t="s">
        <v>2602</v>
      </c>
    </row>
    <row r="1691">
      <c r="A1691" s="9" t="s">
        <v>1293</v>
      </c>
      <c r="B1691" s="9" t="s">
        <v>746</v>
      </c>
      <c r="C1691" s="8" t="s">
        <v>141</v>
      </c>
      <c r="D1691" s="14" t="s">
        <v>1070</v>
      </c>
      <c r="E1691" s="8" t="s">
        <v>2566</v>
      </c>
      <c r="F1691" s="27" t="s">
        <v>2579</v>
      </c>
    </row>
    <row r="1692">
      <c r="A1692" s="9" t="s">
        <v>1942</v>
      </c>
      <c r="B1692" s="9" t="s">
        <v>1943</v>
      </c>
      <c r="C1692" s="8" t="s">
        <v>70</v>
      </c>
      <c r="D1692" s="14" t="s">
        <v>1679</v>
      </c>
      <c r="E1692" s="8" t="s">
        <v>2564</v>
      </c>
      <c r="F1692" s="27" t="s">
        <v>2622</v>
      </c>
    </row>
    <row r="1693">
      <c r="A1693" s="9" t="s">
        <v>1944</v>
      </c>
      <c r="B1693" s="9" t="s">
        <v>1528</v>
      </c>
      <c r="C1693" s="8" t="s">
        <v>138</v>
      </c>
      <c r="D1693" s="14" t="s">
        <v>1679</v>
      </c>
      <c r="E1693" s="8" t="s">
        <v>2574</v>
      </c>
      <c r="F1693" s="27" t="s">
        <v>2576</v>
      </c>
    </row>
    <row r="1694">
      <c r="A1694" s="9" t="s">
        <v>1945</v>
      </c>
      <c r="B1694" s="9" t="s">
        <v>214</v>
      </c>
      <c r="C1694" s="8" t="s">
        <v>59</v>
      </c>
      <c r="D1694" s="14" t="s">
        <v>1679</v>
      </c>
      <c r="E1694" s="8" t="s">
        <v>2614</v>
      </c>
      <c r="F1694" s="27" t="s">
        <v>2609</v>
      </c>
    </row>
    <row r="1695">
      <c r="A1695" s="9" t="s">
        <v>593</v>
      </c>
      <c r="B1695" s="9" t="s">
        <v>506</v>
      </c>
      <c r="C1695" s="8" t="s">
        <v>75</v>
      </c>
      <c r="D1695" s="14" t="s">
        <v>459</v>
      </c>
      <c r="E1695" s="8" t="s">
        <v>2621</v>
      </c>
      <c r="F1695" s="27" t="s">
        <v>2609</v>
      </c>
    </row>
    <row r="1696">
      <c r="A1696" s="9" t="s">
        <v>593</v>
      </c>
      <c r="B1696" s="9" t="s">
        <v>1031</v>
      </c>
      <c r="C1696" s="8" t="s">
        <v>75</v>
      </c>
      <c r="D1696" s="14" t="s">
        <v>1679</v>
      </c>
      <c r="E1696" s="8" t="s">
        <v>2572</v>
      </c>
      <c r="F1696" s="27" t="s">
        <v>2594</v>
      </c>
    </row>
    <row r="1697">
      <c r="A1697" s="9" t="s">
        <v>419</v>
      </c>
      <c r="B1697" s="9" t="s">
        <v>157</v>
      </c>
      <c r="C1697" s="8" t="s">
        <v>65</v>
      </c>
      <c r="D1697" s="14" t="s">
        <v>338</v>
      </c>
      <c r="E1697" s="8" t="s">
        <v>2582</v>
      </c>
      <c r="F1697" s="27" t="s">
        <v>2622</v>
      </c>
    </row>
    <row r="1698">
      <c r="A1698" s="9" t="s">
        <v>594</v>
      </c>
      <c r="B1698" s="9" t="s">
        <v>337</v>
      </c>
      <c r="C1698" s="8" t="s">
        <v>215</v>
      </c>
      <c r="D1698" s="14" t="s">
        <v>459</v>
      </c>
      <c r="E1698" s="8" t="s">
        <v>2614</v>
      </c>
      <c r="F1698" s="27" t="s">
        <v>2586</v>
      </c>
    </row>
    <row r="1699">
      <c r="A1699" s="9" t="s">
        <v>594</v>
      </c>
      <c r="B1699" s="9" t="s">
        <v>865</v>
      </c>
      <c r="C1699" s="8" t="s">
        <v>65</v>
      </c>
      <c r="D1699" s="14" t="s">
        <v>2033</v>
      </c>
      <c r="E1699" s="8" t="s">
        <v>2582</v>
      </c>
      <c r="F1699" s="27" t="s">
        <v>2591</v>
      </c>
    </row>
    <row r="1700">
      <c r="A1700" s="9" t="s">
        <v>779</v>
      </c>
      <c r="B1700" s="9" t="s">
        <v>780</v>
      </c>
      <c r="C1700" s="8" t="s">
        <v>46</v>
      </c>
      <c r="D1700" s="14" t="s">
        <v>631</v>
      </c>
      <c r="E1700" s="8" t="s">
        <v>2560</v>
      </c>
      <c r="F1700" s="27" t="s">
        <v>2576</v>
      </c>
    </row>
    <row r="1701">
      <c r="A1701" s="9" t="s">
        <v>1582</v>
      </c>
      <c r="B1701" s="9" t="s">
        <v>1173</v>
      </c>
      <c r="C1701" s="8" t="s">
        <v>186</v>
      </c>
      <c r="D1701" s="14" t="s">
        <v>1352</v>
      </c>
      <c r="E1701" s="8" t="s">
        <v>2183</v>
      </c>
      <c r="F1701" s="27" t="s">
        <v>2602</v>
      </c>
    </row>
    <row r="1702">
      <c r="A1702" s="9" t="s">
        <v>2224</v>
      </c>
      <c r="B1702" s="9" t="s">
        <v>69</v>
      </c>
      <c r="C1702" s="8" t="s">
        <v>75</v>
      </c>
      <c r="D1702" s="14" t="s">
        <v>2033</v>
      </c>
      <c r="E1702" s="8" t="s">
        <v>2554</v>
      </c>
      <c r="F1702" s="27" t="s">
        <v>2608</v>
      </c>
    </row>
    <row r="1703">
      <c r="A1703" s="9" t="s">
        <v>1583</v>
      </c>
      <c r="B1703" s="9" t="s">
        <v>67</v>
      </c>
      <c r="C1703" s="8" t="s">
        <v>149</v>
      </c>
      <c r="D1703" s="14" t="s">
        <v>1352</v>
      </c>
      <c r="E1703" s="8" t="s">
        <v>2595</v>
      </c>
      <c r="F1703" s="27" t="s">
        <v>2633</v>
      </c>
    </row>
    <row r="1704">
      <c r="A1704" s="9" t="s">
        <v>497</v>
      </c>
      <c r="B1704" s="9" t="s">
        <v>1009</v>
      </c>
      <c r="C1704" s="8" t="s">
        <v>80</v>
      </c>
      <c r="D1704" s="14" t="s">
        <v>837</v>
      </c>
      <c r="E1704" s="8" t="s">
        <v>2615</v>
      </c>
      <c r="F1704" s="27" t="s">
        <v>2633</v>
      </c>
    </row>
    <row r="1705">
      <c r="A1705" s="9" t="s">
        <v>1947</v>
      </c>
      <c r="B1705" s="9" t="s">
        <v>1948</v>
      </c>
      <c r="C1705" s="8" t="s">
        <v>75</v>
      </c>
      <c r="D1705" s="14" t="s">
        <v>1679</v>
      </c>
      <c r="E1705" s="8" t="s">
        <v>2562</v>
      </c>
      <c r="F1705" s="27" t="s">
        <v>2555</v>
      </c>
    </row>
    <row r="1706">
      <c r="A1706" s="9" t="s">
        <v>1584</v>
      </c>
      <c r="B1706" s="9" t="s">
        <v>787</v>
      </c>
      <c r="C1706" s="8" t="s">
        <v>122</v>
      </c>
      <c r="D1706" s="14" t="s">
        <v>1352</v>
      </c>
      <c r="E1706" s="8" t="s">
        <v>2595</v>
      </c>
      <c r="F1706" s="27" t="s">
        <v>2578</v>
      </c>
    </row>
    <row r="1707">
      <c r="A1707" s="9" t="s">
        <v>2488</v>
      </c>
      <c r="B1707" s="9" t="s">
        <v>441</v>
      </c>
      <c r="C1707" s="8" t="s">
        <v>192</v>
      </c>
      <c r="D1707" s="14" t="s">
        <v>2459</v>
      </c>
      <c r="E1707" s="8" t="s">
        <v>2593</v>
      </c>
      <c r="F1707" s="27" t="s">
        <v>2622</v>
      </c>
    </row>
    <row r="1708">
      <c r="A1708" s="9" t="s">
        <v>1946</v>
      </c>
      <c r="B1708" s="9" t="s">
        <v>438</v>
      </c>
      <c r="C1708" s="8" t="s">
        <v>65</v>
      </c>
      <c r="D1708" s="14" t="s">
        <v>1679</v>
      </c>
      <c r="E1708" s="8" t="s">
        <v>2615</v>
      </c>
      <c r="F1708" s="27" t="s">
        <v>2557</v>
      </c>
    </row>
    <row r="1709">
      <c r="A1709" s="9" t="s">
        <v>2403</v>
      </c>
      <c r="B1709" s="9" t="s">
        <v>212</v>
      </c>
      <c r="C1709" s="8" t="s">
        <v>65</v>
      </c>
      <c r="D1709" s="14" t="s">
        <v>2296</v>
      </c>
      <c r="E1709" s="8" t="s">
        <v>2621</v>
      </c>
      <c r="F1709" s="27" t="s">
        <v>2594</v>
      </c>
    </row>
    <row r="1710">
      <c r="A1710" s="9" t="s">
        <v>1296</v>
      </c>
      <c r="B1710" s="9" t="s">
        <v>62</v>
      </c>
      <c r="C1710" s="8" t="s">
        <v>70</v>
      </c>
      <c r="D1710" s="14" t="s">
        <v>1070</v>
      </c>
      <c r="E1710" s="8" t="s">
        <v>2584</v>
      </c>
      <c r="F1710" s="27" t="s">
        <v>2563</v>
      </c>
    </row>
    <row r="1711">
      <c r="A1711" s="9" t="s">
        <v>1294</v>
      </c>
      <c r="B1711" s="9" t="s">
        <v>1295</v>
      </c>
      <c r="C1711" s="8" t="s">
        <v>53</v>
      </c>
      <c r="D1711" s="14" t="s">
        <v>1070</v>
      </c>
      <c r="E1711" s="8" t="s">
        <v>2575</v>
      </c>
      <c r="F1711" s="27" t="s">
        <v>2602</v>
      </c>
    </row>
    <row r="1712">
      <c r="A1712" s="9" t="s">
        <v>1294</v>
      </c>
      <c r="B1712" s="9" t="s">
        <v>1990</v>
      </c>
      <c r="C1712" s="8" t="s">
        <v>138</v>
      </c>
      <c r="D1712" s="14" t="s">
        <v>2296</v>
      </c>
      <c r="E1712" s="8" t="s">
        <v>2615</v>
      </c>
      <c r="F1712" s="27" t="s">
        <v>2576</v>
      </c>
    </row>
    <row r="1713">
      <c r="A1713" s="9" t="s">
        <v>1585</v>
      </c>
      <c r="B1713" s="9" t="s">
        <v>1949</v>
      </c>
      <c r="C1713" s="8" t="s">
        <v>24</v>
      </c>
      <c r="D1713" s="14" t="s">
        <v>1679</v>
      </c>
      <c r="E1713" s="8" t="s">
        <v>2605</v>
      </c>
      <c r="F1713" s="27" t="s">
        <v>2555</v>
      </c>
    </row>
    <row r="1714">
      <c r="A1714" s="9" t="s">
        <v>1585</v>
      </c>
      <c r="B1714" s="9" t="s">
        <v>1586</v>
      </c>
      <c r="C1714" s="8" t="s">
        <v>65</v>
      </c>
      <c r="D1714" s="14" t="s">
        <v>1352</v>
      </c>
      <c r="E1714" s="8" t="s">
        <v>2621</v>
      </c>
      <c r="F1714" s="27" t="s">
        <v>2583</v>
      </c>
    </row>
    <row r="1715">
      <c r="A1715" s="18" t="s">
        <v>1587</v>
      </c>
      <c r="B1715" s="18" t="s">
        <v>529</v>
      </c>
      <c r="C1715" s="8" t="s">
        <v>215</v>
      </c>
      <c r="D1715" s="14" t="s">
        <v>1352</v>
      </c>
      <c r="E1715" s="8" t="s">
        <v>2562</v>
      </c>
      <c r="F1715" s="27" t="s">
        <v>2586</v>
      </c>
    </row>
    <row r="1716">
      <c r="A1716" s="9" t="s">
        <v>781</v>
      </c>
      <c r="B1716" s="9" t="s">
        <v>782</v>
      </c>
      <c r="C1716" s="8" t="s">
        <v>93</v>
      </c>
      <c r="D1716" s="14" t="s">
        <v>631</v>
      </c>
      <c r="E1716" s="8" t="s">
        <v>2183</v>
      </c>
      <c r="F1716" s="27" t="s">
        <v>2579</v>
      </c>
    </row>
    <row r="1717">
      <c r="A1717" s="9" t="s">
        <v>2225</v>
      </c>
      <c r="B1717" s="9" t="s">
        <v>822</v>
      </c>
      <c r="C1717" s="8" t="s">
        <v>192</v>
      </c>
      <c r="D1717" s="14" t="s">
        <v>2033</v>
      </c>
      <c r="E1717" s="8" t="s">
        <v>2582</v>
      </c>
      <c r="F1717" s="27" t="s">
        <v>2606</v>
      </c>
    </row>
    <row r="1718">
      <c r="A1718" s="18" t="s">
        <v>2226</v>
      </c>
      <c r="B1718" s="18" t="s">
        <v>521</v>
      </c>
      <c r="C1718" s="8" t="s">
        <v>80</v>
      </c>
      <c r="D1718" s="14" t="s">
        <v>2033</v>
      </c>
      <c r="E1718" s="8" t="s">
        <v>2584</v>
      </c>
      <c r="F1718" s="27" t="s">
        <v>2555</v>
      </c>
    </row>
    <row r="1719">
      <c r="A1719" s="9" t="s">
        <v>1950</v>
      </c>
      <c r="B1719" s="9" t="s">
        <v>1951</v>
      </c>
      <c r="C1719" s="8" t="s">
        <v>186</v>
      </c>
      <c r="D1719" s="14" t="s">
        <v>1679</v>
      </c>
      <c r="E1719" s="18" t="s">
        <v>2589</v>
      </c>
      <c r="F1719" s="27" t="s">
        <v>2553</v>
      </c>
    </row>
    <row r="1720">
      <c r="A1720" s="9" t="s">
        <v>1010</v>
      </c>
      <c r="B1720" s="9" t="s">
        <v>1011</v>
      </c>
      <c r="C1720" s="8" t="s">
        <v>38</v>
      </c>
      <c r="D1720" s="14" t="s">
        <v>837</v>
      </c>
      <c r="E1720" s="8" t="s">
        <v>2614</v>
      </c>
      <c r="F1720" s="27" t="s">
        <v>2555</v>
      </c>
    </row>
    <row r="1721">
      <c r="A1721" s="9" t="s">
        <v>1297</v>
      </c>
      <c r="B1721" s="9" t="s">
        <v>11</v>
      </c>
      <c r="C1721" s="8" t="s">
        <v>141</v>
      </c>
      <c r="D1721" s="14" t="s">
        <v>1070</v>
      </c>
      <c r="E1721" s="8" t="s">
        <v>2614</v>
      </c>
      <c r="F1721" s="27" t="s">
        <v>2606</v>
      </c>
    </row>
    <row r="1722">
      <c r="A1722" s="9" t="s">
        <v>1297</v>
      </c>
      <c r="B1722" s="9" t="s">
        <v>100</v>
      </c>
      <c r="C1722" s="8" t="s">
        <v>132</v>
      </c>
      <c r="D1722" s="14" t="s">
        <v>1679</v>
      </c>
      <c r="E1722" s="8" t="s">
        <v>2610</v>
      </c>
      <c r="F1722" s="27" t="s">
        <v>2579</v>
      </c>
    </row>
    <row r="1723">
      <c r="A1723" s="9" t="s">
        <v>1297</v>
      </c>
      <c r="B1723" s="9" t="s">
        <v>1046</v>
      </c>
      <c r="C1723" s="8" t="s">
        <v>93</v>
      </c>
      <c r="D1723" s="14" t="s">
        <v>1352</v>
      </c>
      <c r="E1723" s="8" t="s">
        <v>2558</v>
      </c>
      <c r="F1723" s="27" t="s">
        <v>2555</v>
      </c>
    </row>
    <row r="1724">
      <c r="A1724" s="9" t="s">
        <v>2404</v>
      </c>
      <c r="B1724" s="9" t="s">
        <v>2405</v>
      </c>
      <c r="C1724" s="8" t="s">
        <v>80</v>
      </c>
      <c r="D1724" s="14" t="s">
        <v>2296</v>
      </c>
      <c r="E1724" s="8" t="s">
        <v>2615</v>
      </c>
      <c r="F1724" s="27" t="s">
        <v>2563</v>
      </c>
    </row>
    <row r="1725">
      <c r="A1725" s="9" t="s">
        <v>223</v>
      </c>
      <c r="B1725" s="9" t="s">
        <v>224</v>
      </c>
      <c r="C1725" s="8" t="s">
        <v>59</v>
      </c>
      <c r="D1725" s="14" t="s">
        <v>189</v>
      </c>
      <c r="E1725" s="18" t="s">
        <v>2589</v>
      </c>
      <c r="F1725" s="27" t="s">
        <v>2590</v>
      </c>
    </row>
    <row r="1726">
      <c r="A1726" s="9" t="s">
        <v>223</v>
      </c>
      <c r="B1726" s="9" t="s">
        <v>275</v>
      </c>
      <c r="C1726" s="8" t="s">
        <v>75</v>
      </c>
      <c r="D1726" s="14" t="s">
        <v>837</v>
      </c>
      <c r="E1726" s="8" t="s">
        <v>2581</v>
      </c>
      <c r="F1726" s="27" t="s">
        <v>2594</v>
      </c>
    </row>
    <row r="1727">
      <c r="A1727" s="18" t="s">
        <v>223</v>
      </c>
      <c r="B1727" s="18" t="s">
        <v>529</v>
      </c>
      <c r="C1727" s="8" t="s">
        <v>80</v>
      </c>
      <c r="D1727" s="14" t="s">
        <v>2296</v>
      </c>
      <c r="E1727" s="8" t="s">
        <v>2585</v>
      </c>
      <c r="F1727" s="27" t="s">
        <v>2563</v>
      </c>
    </row>
    <row r="1728">
      <c r="A1728" s="9" t="s">
        <v>223</v>
      </c>
      <c r="B1728" s="9" t="s">
        <v>1588</v>
      </c>
      <c r="C1728" s="8" t="s">
        <v>122</v>
      </c>
      <c r="D1728" s="14" t="s">
        <v>1352</v>
      </c>
      <c r="E1728" s="8" t="s">
        <v>2603</v>
      </c>
      <c r="F1728" s="27" t="s">
        <v>2599</v>
      </c>
    </row>
    <row r="1729">
      <c r="A1729" s="9" t="s">
        <v>223</v>
      </c>
      <c r="B1729" s="9" t="s">
        <v>263</v>
      </c>
      <c r="C1729" s="8" t="s">
        <v>24</v>
      </c>
      <c r="D1729" s="14" t="s">
        <v>459</v>
      </c>
      <c r="E1729" s="8" t="s">
        <v>2582</v>
      </c>
      <c r="F1729" s="27" t="s">
        <v>2613</v>
      </c>
    </row>
    <row r="1730">
      <c r="A1730" s="9" t="s">
        <v>223</v>
      </c>
      <c r="B1730" s="9" t="s">
        <v>1589</v>
      </c>
      <c r="C1730" s="8" t="s">
        <v>93</v>
      </c>
      <c r="D1730" s="14" t="s">
        <v>1352</v>
      </c>
      <c r="E1730" s="8" t="s">
        <v>2603</v>
      </c>
      <c r="F1730" s="27" t="s">
        <v>2594</v>
      </c>
    </row>
    <row r="1731">
      <c r="A1731" s="9" t="s">
        <v>1952</v>
      </c>
      <c r="B1731" s="9" t="s">
        <v>1128</v>
      </c>
      <c r="C1731" s="8" t="s">
        <v>59</v>
      </c>
      <c r="D1731" s="14" t="s">
        <v>1679</v>
      </c>
      <c r="E1731" s="8" t="s">
        <v>2554</v>
      </c>
      <c r="F1731" s="27" t="s">
        <v>2563</v>
      </c>
    </row>
    <row r="1732">
      <c r="A1732" s="9" t="s">
        <v>1012</v>
      </c>
      <c r="B1732" s="9" t="s">
        <v>129</v>
      </c>
      <c r="C1732" s="8" t="s">
        <v>192</v>
      </c>
      <c r="D1732" s="14" t="s">
        <v>837</v>
      </c>
      <c r="E1732" s="8" t="s">
        <v>2574</v>
      </c>
      <c r="F1732" s="27" t="s">
        <v>2571</v>
      </c>
    </row>
    <row r="1733">
      <c r="A1733" s="9" t="s">
        <v>1012</v>
      </c>
      <c r="B1733" s="9" t="s">
        <v>381</v>
      </c>
      <c r="C1733" s="8" t="s">
        <v>80</v>
      </c>
      <c r="D1733" s="14" t="s">
        <v>2296</v>
      </c>
      <c r="E1733" s="8" t="s">
        <v>2562</v>
      </c>
      <c r="F1733" s="27" t="s">
        <v>2611</v>
      </c>
    </row>
    <row r="1734">
      <c r="A1734" s="9" t="s">
        <v>420</v>
      </c>
      <c r="B1734" s="9" t="s">
        <v>421</v>
      </c>
      <c r="C1734" s="8" t="s">
        <v>46</v>
      </c>
      <c r="D1734" s="14" t="s">
        <v>338</v>
      </c>
      <c r="E1734" s="8" t="s">
        <v>2552</v>
      </c>
      <c r="F1734" s="27" t="s">
        <v>2568</v>
      </c>
    </row>
    <row r="1735">
      <c r="A1735" s="9" t="s">
        <v>1013</v>
      </c>
      <c r="B1735" s="9" t="s">
        <v>464</v>
      </c>
      <c r="C1735" s="8" t="s">
        <v>141</v>
      </c>
      <c r="D1735" s="14" t="s">
        <v>837</v>
      </c>
      <c r="E1735" s="8" t="s">
        <v>2183</v>
      </c>
      <c r="F1735" s="27" t="s">
        <v>2580</v>
      </c>
    </row>
    <row r="1736">
      <c r="A1736" s="9" t="s">
        <v>422</v>
      </c>
      <c r="B1736" s="9" t="s">
        <v>183</v>
      </c>
      <c r="C1736" s="8" t="s">
        <v>149</v>
      </c>
      <c r="D1736" s="14" t="s">
        <v>338</v>
      </c>
      <c r="E1736" s="8" t="s">
        <v>2566</v>
      </c>
      <c r="F1736" s="27" t="s">
        <v>2622</v>
      </c>
    </row>
    <row r="1737">
      <c r="A1737" s="9" t="s">
        <v>2406</v>
      </c>
      <c r="B1737" s="9" t="s">
        <v>1380</v>
      </c>
      <c r="C1737" s="8" t="s">
        <v>65</v>
      </c>
      <c r="D1737" s="14" t="s">
        <v>2296</v>
      </c>
      <c r="E1737" s="18" t="s">
        <v>2556</v>
      </c>
      <c r="F1737" s="27" t="s">
        <v>2591</v>
      </c>
    </row>
    <row r="1738">
      <c r="A1738" s="9" t="s">
        <v>783</v>
      </c>
      <c r="B1738" s="9" t="s">
        <v>301</v>
      </c>
      <c r="C1738" s="8" t="s">
        <v>65</v>
      </c>
      <c r="D1738" s="14" t="s">
        <v>1679</v>
      </c>
      <c r="E1738" s="8" t="s">
        <v>2593</v>
      </c>
      <c r="F1738" s="27" t="s">
        <v>2601</v>
      </c>
    </row>
    <row r="1739">
      <c r="A1739" s="9" t="s">
        <v>783</v>
      </c>
      <c r="B1739" s="9" t="s">
        <v>839</v>
      </c>
      <c r="C1739" s="8" t="s">
        <v>65</v>
      </c>
      <c r="D1739" s="14" t="s">
        <v>1679</v>
      </c>
      <c r="E1739" s="8" t="s">
        <v>2603</v>
      </c>
      <c r="F1739" s="27" t="s">
        <v>2618</v>
      </c>
    </row>
    <row r="1740">
      <c r="A1740" s="9" t="s">
        <v>783</v>
      </c>
      <c r="B1740" s="9" t="s">
        <v>784</v>
      </c>
      <c r="C1740" s="8" t="s">
        <v>59</v>
      </c>
      <c r="D1740" s="14" t="s">
        <v>631</v>
      </c>
      <c r="E1740" s="8" t="s">
        <v>2585</v>
      </c>
      <c r="F1740" s="27" t="s">
        <v>2563</v>
      </c>
    </row>
    <row r="1741">
      <c r="A1741" s="9" t="s">
        <v>595</v>
      </c>
      <c r="B1741" s="9" t="s">
        <v>320</v>
      </c>
      <c r="C1741" s="8" t="s">
        <v>24</v>
      </c>
      <c r="D1741" s="14" t="s">
        <v>1070</v>
      </c>
      <c r="E1741" s="8" t="s">
        <v>2567</v>
      </c>
      <c r="F1741" s="27" t="s">
        <v>39</v>
      </c>
    </row>
    <row r="1742">
      <c r="A1742" s="9" t="s">
        <v>595</v>
      </c>
      <c r="B1742" s="9" t="s">
        <v>596</v>
      </c>
      <c r="C1742" s="8" t="s">
        <v>93</v>
      </c>
      <c r="D1742" s="14" t="s">
        <v>459</v>
      </c>
      <c r="E1742" s="8" t="s">
        <v>2552</v>
      </c>
      <c r="F1742" s="27" t="s">
        <v>2633</v>
      </c>
    </row>
    <row r="1743">
      <c r="A1743" s="9" t="s">
        <v>1590</v>
      </c>
      <c r="B1743" s="9" t="s">
        <v>194</v>
      </c>
      <c r="C1743" s="8" t="s">
        <v>261</v>
      </c>
      <c r="D1743" s="14" t="s">
        <v>1352</v>
      </c>
      <c r="E1743" s="8" t="s">
        <v>2575</v>
      </c>
      <c r="F1743" s="27" t="s">
        <v>2608</v>
      </c>
    </row>
    <row r="1744">
      <c r="A1744" s="9" t="s">
        <v>315</v>
      </c>
      <c r="B1744" s="9" t="s">
        <v>1128</v>
      </c>
      <c r="C1744" s="8" t="s">
        <v>70</v>
      </c>
      <c r="D1744" s="14" t="s">
        <v>1352</v>
      </c>
      <c r="E1744" s="18" t="s">
        <v>2556</v>
      </c>
      <c r="F1744" s="27" t="s">
        <v>2601</v>
      </c>
    </row>
    <row r="1745">
      <c r="A1745" s="9" t="s">
        <v>785</v>
      </c>
      <c r="B1745" s="9" t="s">
        <v>712</v>
      </c>
      <c r="C1745" s="8" t="s">
        <v>93</v>
      </c>
      <c r="D1745" s="14" t="s">
        <v>631</v>
      </c>
      <c r="E1745" s="8" t="s">
        <v>2572</v>
      </c>
      <c r="F1745" s="27" t="s">
        <v>2570</v>
      </c>
    </row>
    <row r="1746">
      <c r="A1746" s="9" t="s">
        <v>785</v>
      </c>
      <c r="B1746" s="9" t="s">
        <v>263</v>
      </c>
      <c r="C1746" s="8" t="s">
        <v>192</v>
      </c>
      <c r="D1746" s="14" t="s">
        <v>1070</v>
      </c>
      <c r="E1746" s="18" t="s">
        <v>2556</v>
      </c>
      <c r="F1746" s="27" t="s">
        <v>2557</v>
      </c>
    </row>
    <row r="1747">
      <c r="A1747" s="9" t="s">
        <v>785</v>
      </c>
      <c r="B1747" s="9" t="s">
        <v>155</v>
      </c>
      <c r="C1747" s="8" t="s">
        <v>93</v>
      </c>
      <c r="D1747" s="14" t="s">
        <v>2296</v>
      </c>
      <c r="E1747" s="8" t="s">
        <v>2593</v>
      </c>
      <c r="F1747" s="27" t="s">
        <v>2580</v>
      </c>
    </row>
    <row r="1748">
      <c r="A1748" s="9" t="s">
        <v>786</v>
      </c>
      <c r="B1748" s="9" t="s">
        <v>1591</v>
      </c>
      <c r="C1748" s="8" t="s">
        <v>93</v>
      </c>
      <c r="D1748" s="14" t="s">
        <v>1352</v>
      </c>
      <c r="E1748" s="8" t="s">
        <v>2620</v>
      </c>
      <c r="F1748" s="27" t="s">
        <v>2580</v>
      </c>
    </row>
    <row r="1749">
      <c r="A1749" s="9" t="s">
        <v>786</v>
      </c>
      <c r="B1749" s="9" t="s">
        <v>628</v>
      </c>
      <c r="C1749" s="8" t="s">
        <v>65</v>
      </c>
      <c r="D1749" s="14" t="s">
        <v>837</v>
      </c>
      <c r="E1749" s="8" t="s">
        <v>2582</v>
      </c>
      <c r="F1749" s="27" t="s">
        <v>2599</v>
      </c>
    </row>
    <row r="1750">
      <c r="A1750" s="9" t="s">
        <v>786</v>
      </c>
      <c r="B1750" s="9" t="s">
        <v>787</v>
      </c>
      <c r="C1750" s="8" t="s">
        <v>122</v>
      </c>
      <c r="D1750" s="14" t="s">
        <v>631</v>
      </c>
      <c r="E1750" s="8" t="s">
        <v>2615</v>
      </c>
      <c r="F1750" s="27" t="s">
        <v>2611</v>
      </c>
    </row>
    <row r="1751">
      <c r="A1751" s="9" t="s">
        <v>786</v>
      </c>
      <c r="B1751" s="9" t="s">
        <v>1046</v>
      </c>
      <c r="C1751" s="8" t="s">
        <v>149</v>
      </c>
      <c r="D1751" s="14" t="s">
        <v>2033</v>
      </c>
      <c r="E1751" s="8" t="s">
        <v>2584</v>
      </c>
      <c r="F1751" s="27" t="s">
        <v>2618</v>
      </c>
    </row>
    <row r="1752">
      <c r="A1752" s="9" t="s">
        <v>790</v>
      </c>
      <c r="B1752" s="9" t="s">
        <v>791</v>
      </c>
      <c r="C1752" s="8" t="s">
        <v>141</v>
      </c>
      <c r="D1752" s="14" t="s">
        <v>631</v>
      </c>
      <c r="E1752" s="8" t="s">
        <v>2585</v>
      </c>
      <c r="F1752" s="27" t="s">
        <v>2591</v>
      </c>
    </row>
    <row r="1753">
      <c r="A1753" s="9" t="s">
        <v>788</v>
      </c>
      <c r="B1753" s="9" t="s">
        <v>789</v>
      </c>
      <c r="C1753" s="8" t="s">
        <v>70</v>
      </c>
      <c r="D1753" s="14" t="s">
        <v>631</v>
      </c>
      <c r="E1753" s="8" t="s">
        <v>2554</v>
      </c>
      <c r="F1753" s="27" t="s">
        <v>2590</v>
      </c>
    </row>
    <row r="1754">
      <c r="A1754" s="9" t="s">
        <v>1953</v>
      </c>
      <c r="B1754" s="9" t="s">
        <v>1954</v>
      </c>
      <c r="C1754" s="8" t="s">
        <v>122</v>
      </c>
      <c r="D1754" s="14" t="s">
        <v>1679</v>
      </c>
      <c r="E1754" s="8" t="s">
        <v>2564</v>
      </c>
      <c r="F1754" s="27" t="s">
        <v>2563</v>
      </c>
    </row>
    <row r="1755">
      <c r="A1755" s="9" t="s">
        <v>1955</v>
      </c>
      <c r="B1755" s="9" t="s">
        <v>1915</v>
      </c>
      <c r="C1755" s="8" t="s">
        <v>65</v>
      </c>
      <c r="D1755" s="14" t="s">
        <v>1679</v>
      </c>
      <c r="E1755" s="8" t="s">
        <v>2598</v>
      </c>
      <c r="F1755" s="27" t="s">
        <v>2608</v>
      </c>
    </row>
    <row r="1756">
      <c r="A1756" s="9" t="s">
        <v>1955</v>
      </c>
      <c r="B1756" s="9" t="s">
        <v>421</v>
      </c>
      <c r="C1756" s="8" t="s">
        <v>65</v>
      </c>
      <c r="D1756" s="14" t="s">
        <v>2033</v>
      </c>
      <c r="E1756" s="8" t="s">
        <v>2605</v>
      </c>
      <c r="F1756" s="27" t="s">
        <v>2557</v>
      </c>
    </row>
    <row r="1757">
      <c r="A1757" s="9" t="s">
        <v>421</v>
      </c>
      <c r="B1757" s="9" t="s">
        <v>1015</v>
      </c>
      <c r="C1757" s="8" t="s">
        <v>80</v>
      </c>
      <c r="D1757" s="14" t="s">
        <v>837</v>
      </c>
      <c r="E1757" s="18" t="s">
        <v>2556</v>
      </c>
      <c r="F1757" s="27" t="s">
        <v>2591</v>
      </c>
    </row>
    <row r="1758">
      <c r="A1758" s="9" t="s">
        <v>421</v>
      </c>
      <c r="B1758" s="9" t="s">
        <v>1486</v>
      </c>
      <c r="C1758" s="8" t="s">
        <v>53</v>
      </c>
      <c r="D1758" s="14" t="s">
        <v>1352</v>
      </c>
      <c r="E1758" s="8" t="s">
        <v>2598</v>
      </c>
      <c r="F1758" s="27" t="s">
        <v>2622</v>
      </c>
    </row>
    <row r="1759">
      <c r="A1759" s="9" t="s">
        <v>1014</v>
      </c>
      <c r="B1759" s="9" t="s">
        <v>726</v>
      </c>
      <c r="C1759" s="8" t="s">
        <v>122</v>
      </c>
      <c r="D1759" s="14" t="s">
        <v>837</v>
      </c>
      <c r="E1759" s="8" t="s">
        <v>2610</v>
      </c>
      <c r="F1759" s="27" t="s">
        <v>2579</v>
      </c>
    </row>
    <row r="1760">
      <c r="A1760" s="9" t="s">
        <v>1956</v>
      </c>
      <c r="B1760" s="9" t="s">
        <v>258</v>
      </c>
      <c r="C1760" s="8" t="s">
        <v>141</v>
      </c>
      <c r="D1760" s="14" t="s">
        <v>1679</v>
      </c>
      <c r="E1760" s="8" t="s">
        <v>2620</v>
      </c>
      <c r="F1760" s="27" t="s">
        <v>2557</v>
      </c>
    </row>
    <row r="1761">
      <c r="A1761" s="9" t="s">
        <v>47</v>
      </c>
      <c r="B1761" s="9" t="s">
        <v>493</v>
      </c>
      <c r="C1761" s="8" t="s">
        <v>138</v>
      </c>
      <c r="D1761" s="14" t="s">
        <v>1352</v>
      </c>
      <c r="E1761" s="8" t="s">
        <v>2600</v>
      </c>
      <c r="F1761" s="27" t="s">
        <v>2622</v>
      </c>
    </row>
    <row r="1762">
      <c r="A1762" s="9" t="s">
        <v>47</v>
      </c>
      <c r="B1762" s="9" t="s">
        <v>48</v>
      </c>
      <c r="C1762" s="8" t="s">
        <v>16</v>
      </c>
      <c r="D1762" s="14" t="s">
        <v>39</v>
      </c>
      <c r="E1762" s="8" t="s">
        <v>2572</v>
      </c>
      <c r="F1762" s="27" t="s">
        <v>2636</v>
      </c>
    </row>
    <row r="1763">
      <c r="A1763" s="9" t="s">
        <v>305</v>
      </c>
      <c r="B1763" s="9" t="s">
        <v>277</v>
      </c>
      <c r="C1763" s="8" t="s">
        <v>65</v>
      </c>
      <c r="D1763" s="14" t="s">
        <v>237</v>
      </c>
      <c r="E1763" s="8" t="s">
        <v>2587</v>
      </c>
      <c r="F1763" s="27" t="s">
        <v>2591</v>
      </c>
    </row>
    <row r="1764">
      <c r="A1764" s="9" t="s">
        <v>305</v>
      </c>
      <c r="B1764" s="9" t="s">
        <v>792</v>
      </c>
      <c r="C1764" s="8" t="s">
        <v>93</v>
      </c>
      <c r="D1764" s="14" t="s">
        <v>631</v>
      </c>
      <c r="E1764" s="8" t="s">
        <v>2560</v>
      </c>
      <c r="F1764" s="27" t="s">
        <v>2571</v>
      </c>
    </row>
    <row r="1765">
      <c r="A1765" s="9" t="s">
        <v>305</v>
      </c>
      <c r="B1765" s="9" t="s">
        <v>1592</v>
      </c>
      <c r="C1765" s="8" t="s">
        <v>186</v>
      </c>
      <c r="D1765" s="14" t="s">
        <v>1352</v>
      </c>
      <c r="E1765" s="8" t="s">
        <v>2600</v>
      </c>
      <c r="F1765" s="27" t="s">
        <v>2573</v>
      </c>
    </row>
    <row r="1766">
      <c r="A1766" s="9" t="s">
        <v>305</v>
      </c>
      <c r="B1766" s="9" t="s">
        <v>137</v>
      </c>
      <c r="C1766" s="8" t="s">
        <v>24</v>
      </c>
      <c r="D1766" s="14" t="s">
        <v>1352</v>
      </c>
      <c r="E1766" s="8" t="s">
        <v>2554</v>
      </c>
      <c r="F1766" s="27" t="s">
        <v>2565</v>
      </c>
    </row>
    <row r="1767">
      <c r="A1767" s="9" t="s">
        <v>305</v>
      </c>
      <c r="B1767" s="9" t="s">
        <v>793</v>
      </c>
      <c r="C1767" s="8" t="s">
        <v>65</v>
      </c>
      <c r="D1767" s="14" t="s">
        <v>631</v>
      </c>
      <c r="E1767" s="8" t="s">
        <v>2575</v>
      </c>
      <c r="F1767" s="27" t="s">
        <v>2590</v>
      </c>
    </row>
    <row r="1768">
      <c r="A1768" s="9" t="s">
        <v>306</v>
      </c>
      <c r="B1768" s="9" t="s">
        <v>307</v>
      </c>
      <c r="C1768" s="8" t="s">
        <v>59</v>
      </c>
      <c r="D1768" s="14" t="s">
        <v>237</v>
      </c>
      <c r="E1768" s="8" t="s">
        <v>2595</v>
      </c>
      <c r="F1768" s="27" t="s">
        <v>2565</v>
      </c>
    </row>
    <row r="1769">
      <c r="A1769" s="9" t="s">
        <v>306</v>
      </c>
      <c r="B1769" s="9" t="s">
        <v>1298</v>
      </c>
      <c r="C1769" s="8" t="s">
        <v>53</v>
      </c>
      <c r="D1769" s="14" t="s">
        <v>1070</v>
      </c>
      <c r="E1769" s="18" t="s">
        <v>2589</v>
      </c>
      <c r="F1769" s="27" t="s">
        <v>2580</v>
      </c>
    </row>
    <row r="1770">
      <c r="A1770" s="9" t="s">
        <v>1299</v>
      </c>
      <c r="B1770" s="9" t="s">
        <v>1300</v>
      </c>
      <c r="C1770" s="8" t="s">
        <v>215</v>
      </c>
      <c r="D1770" s="14" t="s">
        <v>1070</v>
      </c>
      <c r="E1770" s="8" t="s">
        <v>2605</v>
      </c>
      <c r="F1770" s="27" t="s">
        <v>2622</v>
      </c>
    </row>
    <row r="1771">
      <c r="A1771" s="9" t="s">
        <v>1016</v>
      </c>
      <c r="B1771" s="9" t="s">
        <v>1017</v>
      </c>
      <c r="C1771" s="8" t="s">
        <v>93</v>
      </c>
      <c r="D1771" s="14" t="s">
        <v>837</v>
      </c>
      <c r="E1771" s="8" t="s">
        <v>2593</v>
      </c>
      <c r="F1771" s="27" t="s">
        <v>2611</v>
      </c>
    </row>
    <row r="1772">
      <c r="A1772" s="9" t="s">
        <v>308</v>
      </c>
      <c r="B1772" s="9" t="s">
        <v>423</v>
      </c>
      <c r="C1772" s="8" t="s">
        <v>65</v>
      </c>
      <c r="D1772" s="14" t="s">
        <v>338</v>
      </c>
      <c r="E1772" s="8" t="s">
        <v>2574</v>
      </c>
      <c r="F1772" s="27" t="s">
        <v>2602</v>
      </c>
    </row>
    <row r="1773">
      <c r="A1773" s="9" t="s">
        <v>308</v>
      </c>
      <c r="B1773" s="9" t="s">
        <v>460</v>
      </c>
      <c r="C1773" s="8" t="s">
        <v>65</v>
      </c>
      <c r="D1773" s="14" t="s">
        <v>1070</v>
      </c>
      <c r="E1773" s="8" t="s">
        <v>2605</v>
      </c>
      <c r="F1773" s="27" t="s">
        <v>2633</v>
      </c>
    </row>
    <row r="1774">
      <c r="A1774" s="18" t="s">
        <v>308</v>
      </c>
      <c r="B1774" s="18" t="s">
        <v>1957</v>
      </c>
      <c r="C1774" s="8" t="s">
        <v>122</v>
      </c>
      <c r="D1774" s="14" t="s">
        <v>1679</v>
      </c>
      <c r="E1774" s="8" t="s">
        <v>2554</v>
      </c>
      <c r="F1774" s="27" t="s">
        <v>2590</v>
      </c>
    </row>
    <row r="1775">
      <c r="A1775" s="9" t="s">
        <v>308</v>
      </c>
      <c r="B1775" s="9" t="s">
        <v>407</v>
      </c>
      <c r="C1775" s="8" t="s">
        <v>46</v>
      </c>
      <c r="D1775" s="14" t="s">
        <v>2033</v>
      </c>
      <c r="E1775" s="8" t="s">
        <v>2584</v>
      </c>
      <c r="F1775" s="27" t="s">
        <v>2557</v>
      </c>
    </row>
    <row r="1776">
      <c r="A1776" s="9" t="s">
        <v>308</v>
      </c>
      <c r="B1776" s="9" t="s">
        <v>1735</v>
      </c>
      <c r="C1776" s="8" t="s">
        <v>65</v>
      </c>
      <c r="D1776" s="14" t="s">
        <v>1679</v>
      </c>
      <c r="E1776" s="8" t="s">
        <v>2183</v>
      </c>
      <c r="F1776" s="27" t="s">
        <v>2553</v>
      </c>
    </row>
    <row r="1777">
      <c r="A1777" s="9" t="s">
        <v>308</v>
      </c>
      <c r="B1777" s="9" t="s">
        <v>124</v>
      </c>
      <c r="C1777" s="8" t="s">
        <v>46</v>
      </c>
      <c r="D1777" s="14" t="s">
        <v>1070</v>
      </c>
      <c r="E1777" s="8" t="s">
        <v>2615</v>
      </c>
      <c r="F1777" s="27" t="s">
        <v>2591</v>
      </c>
    </row>
    <row r="1778">
      <c r="A1778" s="9" t="s">
        <v>308</v>
      </c>
      <c r="B1778" s="9" t="s">
        <v>194</v>
      </c>
      <c r="C1778" s="8" t="s">
        <v>93</v>
      </c>
      <c r="D1778" s="14" t="s">
        <v>237</v>
      </c>
      <c r="E1778" s="8" t="s">
        <v>2595</v>
      </c>
      <c r="F1778" s="27" t="s">
        <v>2588</v>
      </c>
    </row>
    <row r="1779">
      <c r="A1779" s="9" t="s">
        <v>308</v>
      </c>
      <c r="B1779" s="9" t="s">
        <v>1593</v>
      </c>
      <c r="C1779" s="8" t="s">
        <v>192</v>
      </c>
      <c r="D1779" s="14" t="s">
        <v>1352</v>
      </c>
      <c r="E1779" s="8" t="s">
        <v>2585</v>
      </c>
      <c r="F1779" s="27" t="s">
        <v>2594</v>
      </c>
    </row>
    <row r="1780">
      <c r="A1780" s="9" t="s">
        <v>1018</v>
      </c>
      <c r="B1780" s="9" t="s">
        <v>436</v>
      </c>
      <c r="C1780" s="8" t="s">
        <v>93</v>
      </c>
      <c r="D1780" s="14" t="s">
        <v>837</v>
      </c>
      <c r="E1780" s="8" t="s">
        <v>2562</v>
      </c>
      <c r="F1780" s="27" t="s">
        <v>2586</v>
      </c>
    </row>
    <row r="1781">
      <c r="A1781" s="9" t="s">
        <v>1958</v>
      </c>
      <c r="B1781" s="9" t="s">
        <v>1611</v>
      </c>
      <c r="C1781" s="8" t="s">
        <v>138</v>
      </c>
      <c r="D1781" s="14" t="s">
        <v>1679</v>
      </c>
      <c r="E1781" s="8" t="s">
        <v>2572</v>
      </c>
      <c r="F1781" s="27" t="s">
        <v>2568</v>
      </c>
    </row>
    <row r="1782">
      <c r="A1782" s="9" t="s">
        <v>97</v>
      </c>
      <c r="B1782" s="9" t="s">
        <v>98</v>
      </c>
      <c r="C1782" s="8" t="s">
        <v>16</v>
      </c>
      <c r="D1782" s="14" t="s">
        <v>83</v>
      </c>
      <c r="E1782" s="8" t="s">
        <v>2558</v>
      </c>
      <c r="F1782" s="27" t="s">
        <v>2561</v>
      </c>
    </row>
    <row r="1783">
      <c r="A1783" s="9" t="s">
        <v>97</v>
      </c>
      <c r="B1783" s="9" t="s">
        <v>299</v>
      </c>
      <c r="C1783" s="8" t="s">
        <v>149</v>
      </c>
      <c r="D1783" s="14" t="s">
        <v>837</v>
      </c>
      <c r="E1783" s="8" t="s">
        <v>2620</v>
      </c>
      <c r="F1783" s="27" t="s">
        <v>2569</v>
      </c>
    </row>
    <row r="1784">
      <c r="A1784" s="9" t="s">
        <v>97</v>
      </c>
      <c r="B1784" s="9" t="s">
        <v>315</v>
      </c>
      <c r="C1784" s="8" t="s">
        <v>24</v>
      </c>
      <c r="D1784" s="14" t="s">
        <v>837</v>
      </c>
      <c r="E1784" s="8" t="s">
        <v>2564</v>
      </c>
      <c r="F1784" s="27" t="s">
        <v>2553</v>
      </c>
    </row>
    <row r="1785">
      <c r="A1785" s="9" t="s">
        <v>171</v>
      </c>
      <c r="B1785" s="9" t="s">
        <v>172</v>
      </c>
      <c r="C1785" s="8" t="s">
        <v>93</v>
      </c>
      <c r="D1785" s="14" t="s">
        <v>135</v>
      </c>
      <c r="E1785" s="8" t="s">
        <v>2582</v>
      </c>
      <c r="F1785" s="27" t="s">
        <v>2608</v>
      </c>
    </row>
    <row r="1786">
      <c r="A1786" s="9" t="s">
        <v>49</v>
      </c>
      <c r="B1786" s="9" t="s">
        <v>50</v>
      </c>
      <c r="C1786" s="8" t="s">
        <v>16</v>
      </c>
      <c r="D1786" s="14" t="s">
        <v>39</v>
      </c>
      <c r="E1786" s="8" t="s">
        <v>2577</v>
      </c>
      <c r="F1786" s="27" t="s">
        <v>2625</v>
      </c>
    </row>
    <row r="1787">
      <c r="A1787" s="9" t="s">
        <v>1301</v>
      </c>
      <c r="B1787" s="9" t="s">
        <v>1594</v>
      </c>
      <c r="C1787" s="8" t="s">
        <v>65</v>
      </c>
      <c r="D1787" s="14" t="s">
        <v>1352</v>
      </c>
      <c r="E1787" s="8" t="s">
        <v>2567</v>
      </c>
      <c r="F1787" s="27" t="s">
        <v>2553</v>
      </c>
    </row>
    <row r="1788">
      <c r="A1788" s="9" t="s">
        <v>1301</v>
      </c>
      <c r="B1788" s="9" t="s">
        <v>29</v>
      </c>
      <c r="C1788" s="8" t="s">
        <v>65</v>
      </c>
      <c r="D1788" s="14" t="s">
        <v>1070</v>
      </c>
      <c r="E1788" s="8" t="s">
        <v>2577</v>
      </c>
      <c r="F1788" s="27" t="s">
        <v>2602</v>
      </c>
    </row>
    <row r="1789">
      <c r="A1789" s="9" t="s">
        <v>1302</v>
      </c>
      <c r="B1789" s="9" t="s">
        <v>263</v>
      </c>
      <c r="C1789" s="8" t="s">
        <v>132</v>
      </c>
      <c r="D1789" s="14" t="s">
        <v>1070</v>
      </c>
      <c r="E1789" s="8" t="s">
        <v>2603</v>
      </c>
      <c r="F1789" s="27" t="s">
        <v>2612</v>
      </c>
    </row>
    <row r="1790">
      <c r="A1790" s="9" t="s">
        <v>1959</v>
      </c>
      <c r="B1790" s="9" t="s">
        <v>423</v>
      </c>
      <c r="C1790" s="8" t="s">
        <v>12</v>
      </c>
      <c r="D1790" s="14" t="s">
        <v>1679</v>
      </c>
      <c r="E1790" s="8" t="s">
        <v>2566</v>
      </c>
      <c r="F1790" s="27" t="s">
        <v>2611</v>
      </c>
    </row>
    <row r="1791">
      <c r="A1791" s="9" t="s">
        <v>2407</v>
      </c>
      <c r="B1791" s="9" t="s">
        <v>301</v>
      </c>
      <c r="C1791" s="8" t="s">
        <v>16</v>
      </c>
      <c r="D1791" s="14" t="s">
        <v>2296</v>
      </c>
      <c r="E1791" s="8" t="s">
        <v>2581</v>
      </c>
      <c r="F1791" s="27" t="s">
        <v>2591</v>
      </c>
    </row>
    <row r="1792">
      <c r="A1792" s="9" t="s">
        <v>597</v>
      </c>
      <c r="B1792" s="9" t="s">
        <v>197</v>
      </c>
      <c r="C1792" s="8" t="s">
        <v>122</v>
      </c>
      <c r="D1792" s="14" t="s">
        <v>1070</v>
      </c>
      <c r="E1792" s="8" t="s">
        <v>2614</v>
      </c>
      <c r="F1792" s="27" t="s">
        <v>2568</v>
      </c>
    </row>
    <row r="1793">
      <c r="A1793" s="9" t="s">
        <v>597</v>
      </c>
      <c r="B1793" s="9" t="s">
        <v>23</v>
      </c>
      <c r="C1793" s="8" t="s">
        <v>65</v>
      </c>
      <c r="D1793" s="14" t="s">
        <v>2033</v>
      </c>
      <c r="E1793" s="8" t="s">
        <v>2610</v>
      </c>
      <c r="F1793" s="27" t="s">
        <v>2553</v>
      </c>
    </row>
    <row r="1794">
      <c r="A1794" s="9" t="s">
        <v>597</v>
      </c>
      <c r="B1794" s="9" t="s">
        <v>598</v>
      </c>
      <c r="C1794" s="8" t="s">
        <v>65</v>
      </c>
      <c r="D1794" s="14" t="s">
        <v>459</v>
      </c>
      <c r="E1794" s="8" t="s">
        <v>2574</v>
      </c>
      <c r="F1794" s="27" t="s">
        <v>2583</v>
      </c>
    </row>
    <row r="1795">
      <c r="A1795" s="9" t="s">
        <v>1305</v>
      </c>
      <c r="B1795" s="9" t="s">
        <v>198</v>
      </c>
      <c r="C1795" s="8" t="s">
        <v>141</v>
      </c>
      <c r="D1795" s="14" t="s">
        <v>1070</v>
      </c>
      <c r="E1795" s="8" t="s">
        <v>2582</v>
      </c>
      <c r="F1795" s="27" t="s">
        <v>2601</v>
      </c>
    </row>
    <row r="1796">
      <c r="A1796" s="9" t="s">
        <v>1303</v>
      </c>
      <c r="B1796" s="9" t="s">
        <v>129</v>
      </c>
      <c r="C1796" s="8" t="s">
        <v>93</v>
      </c>
      <c r="D1796" s="14" t="s">
        <v>1070</v>
      </c>
      <c r="E1796" s="8" t="s">
        <v>2581</v>
      </c>
      <c r="F1796" s="27" t="s">
        <v>2565</v>
      </c>
    </row>
    <row r="1797">
      <c r="A1797" s="9" t="s">
        <v>1304</v>
      </c>
      <c r="B1797" s="9" t="s">
        <v>299</v>
      </c>
      <c r="C1797" s="8" t="s">
        <v>16</v>
      </c>
      <c r="D1797" s="14" t="s">
        <v>1070</v>
      </c>
      <c r="E1797" s="8" t="s">
        <v>2581</v>
      </c>
      <c r="F1797" s="27" t="s">
        <v>2627</v>
      </c>
    </row>
    <row r="1798">
      <c r="A1798" s="9" t="s">
        <v>599</v>
      </c>
      <c r="B1798" s="9" t="s">
        <v>214</v>
      </c>
      <c r="C1798" s="8" t="s">
        <v>24</v>
      </c>
      <c r="D1798" s="14" t="s">
        <v>459</v>
      </c>
      <c r="E1798" s="8" t="s">
        <v>2552</v>
      </c>
      <c r="F1798" s="27" t="s">
        <v>2625</v>
      </c>
    </row>
    <row r="1799">
      <c r="A1799" s="9" t="s">
        <v>599</v>
      </c>
      <c r="B1799" s="9" t="s">
        <v>111</v>
      </c>
      <c r="C1799" s="8" t="s">
        <v>16</v>
      </c>
      <c r="D1799" s="14" t="s">
        <v>1679</v>
      </c>
      <c r="E1799" s="8" t="s">
        <v>2577</v>
      </c>
      <c r="F1799" s="27" t="s">
        <v>2579</v>
      </c>
    </row>
    <row r="1800">
      <c r="A1800" s="9" t="s">
        <v>1595</v>
      </c>
      <c r="B1800" s="9" t="s">
        <v>500</v>
      </c>
      <c r="C1800" s="8" t="s">
        <v>16</v>
      </c>
      <c r="D1800" s="14" t="s">
        <v>1352</v>
      </c>
      <c r="E1800" s="8" t="s">
        <v>2614</v>
      </c>
      <c r="F1800" s="27" t="s">
        <v>2569</v>
      </c>
    </row>
    <row r="1801">
      <c r="A1801" s="9" t="s">
        <v>409</v>
      </c>
      <c r="B1801" s="9" t="s">
        <v>1306</v>
      </c>
      <c r="C1801" s="8" t="s">
        <v>65</v>
      </c>
      <c r="D1801" s="14" t="s">
        <v>1070</v>
      </c>
      <c r="E1801" s="8" t="s">
        <v>2566</v>
      </c>
      <c r="F1801" s="27" t="s">
        <v>2594</v>
      </c>
    </row>
    <row r="1802">
      <c r="A1802" s="9" t="s">
        <v>409</v>
      </c>
      <c r="B1802" s="9" t="s">
        <v>2227</v>
      </c>
      <c r="C1802" s="8" t="s">
        <v>122</v>
      </c>
      <c r="D1802" s="14" t="s">
        <v>2033</v>
      </c>
      <c r="E1802" s="8" t="s">
        <v>2584</v>
      </c>
      <c r="F1802" s="27" t="s">
        <v>2583</v>
      </c>
    </row>
    <row r="1803">
      <c r="A1803" s="9" t="s">
        <v>409</v>
      </c>
      <c r="B1803" s="9" t="s">
        <v>1596</v>
      </c>
      <c r="C1803" s="8" t="s">
        <v>93</v>
      </c>
      <c r="D1803" s="14" t="s">
        <v>1352</v>
      </c>
      <c r="E1803" s="8" t="s">
        <v>2610</v>
      </c>
      <c r="F1803" s="27" t="s">
        <v>2622</v>
      </c>
    </row>
    <row r="1804">
      <c r="A1804" s="9" t="s">
        <v>67</v>
      </c>
      <c r="B1804" s="9" t="s">
        <v>299</v>
      </c>
      <c r="C1804" s="8" t="s">
        <v>186</v>
      </c>
      <c r="D1804" s="14" t="s">
        <v>837</v>
      </c>
      <c r="E1804" s="8" t="s">
        <v>2584</v>
      </c>
      <c r="F1804" s="27" t="s">
        <v>2586</v>
      </c>
    </row>
    <row r="1805">
      <c r="A1805" s="9" t="s">
        <v>67</v>
      </c>
      <c r="B1805" s="9" t="s">
        <v>222</v>
      </c>
      <c r="C1805" s="8" t="s">
        <v>93</v>
      </c>
      <c r="D1805" s="14" t="s">
        <v>631</v>
      </c>
      <c r="E1805" s="8" t="s">
        <v>2621</v>
      </c>
      <c r="F1805" s="27" t="s">
        <v>2588</v>
      </c>
    </row>
    <row r="1806">
      <c r="A1806" s="9" t="s">
        <v>67</v>
      </c>
      <c r="B1806" s="9" t="s">
        <v>33</v>
      </c>
      <c r="C1806" s="8" t="s">
        <v>16</v>
      </c>
      <c r="D1806" s="14" t="s">
        <v>108</v>
      </c>
      <c r="E1806" s="8" t="s">
        <v>2598</v>
      </c>
      <c r="F1806" s="27" t="s">
        <v>2596</v>
      </c>
    </row>
    <row r="1807">
      <c r="A1807" s="9" t="s">
        <v>2408</v>
      </c>
      <c r="B1807" s="9" t="s">
        <v>161</v>
      </c>
      <c r="C1807" s="8" t="s">
        <v>16</v>
      </c>
      <c r="D1807" s="14" t="s">
        <v>2296</v>
      </c>
      <c r="E1807" s="8" t="s">
        <v>2620</v>
      </c>
      <c r="F1807" s="27" t="s">
        <v>2618</v>
      </c>
    </row>
    <row r="1808">
      <c r="A1808" s="9" t="s">
        <v>309</v>
      </c>
      <c r="B1808" s="9" t="s">
        <v>310</v>
      </c>
      <c r="C1808" s="8" t="s">
        <v>75</v>
      </c>
      <c r="D1808" s="14" t="s">
        <v>237</v>
      </c>
      <c r="E1808" s="8" t="s">
        <v>2621</v>
      </c>
      <c r="F1808" s="27" t="s">
        <v>2578</v>
      </c>
    </row>
    <row r="1809">
      <c r="A1809" s="9" t="s">
        <v>1597</v>
      </c>
      <c r="B1809" s="9" t="s">
        <v>1598</v>
      </c>
      <c r="C1809" s="8" t="s">
        <v>46</v>
      </c>
      <c r="D1809" s="14" t="s">
        <v>1352</v>
      </c>
      <c r="E1809" s="8" t="s">
        <v>2566</v>
      </c>
      <c r="F1809" s="27" t="s">
        <v>2569</v>
      </c>
    </row>
    <row r="1810">
      <c r="A1810" s="9" t="s">
        <v>41</v>
      </c>
      <c r="B1810" s="9" t="s">
        <v>726</v>
      </c>
      <c r="C1810" s="8" t="s">
        <v>186</v>
      </c>
      <c r="D1810" s="14" t="s">
        <v>2033</v>
      </c>
      <c r="E1810" s="8" t="s">
        <v>2600</v>
      </c>
      <c r="F1810" s="27" t="s">
        <v>2555</v>
      </c>
    </row>
    <row r="1811">
      <c r="A1811" s="9" t="s">
        <v>1019</v>
      </c>
      <c r="B1811" s="9" t="s">
        <v>170</v>
      </c>
      <c r="C1811" s="8" t="s">
        <v>46</v>
      </c>
      <c r="D1811" s="14" t="s">
        <v>837</v>
      </c>
      <c r="E1811" s="8" t="s">
        <v>2598</v>
      </c>
      <c r="F1811" s="27" t="s">
        <v>2583</v>
      </c>
    </row>
    <row r="1812">
      <c r="A1812" s="9" t="s">
        <v>2409</v>
      </c>
      <c r="B1812" s="9" t="s">
        <v>2410</v>
      </c>
      <c r="C1812" s="8" t="s">
        <v>132</v>
      </c>
      <c r="D1812" s="14" t="s">
        <v>2296</v>
      </c>
      <c r="E1812" s="8" t="s">
        <v>2552</v>
      </c>
      <c r="F1812" s="27" t="s">
        <v>2568</v>
      </c>
    </row>
    <row r="1813">
      <c r="A1813" s="9" t="s">
        <v>2228</v>
      </c>
      <c r="B1813" s="9" t="s">
        <v>20</v>
      </c>
      <c r="C1813" s="8" t="s">
        <v>24</v>
      </c>
      <c r="D1813" s="14" t="s">
        <v>2033</v>
      </c>
      <c r="E1813" s="8" t="s">
        <v>2610</v>
      </c>
      <c r="F1813" s="27" t="s">
        <v>2573</v>
      </c>
    </row>
    <row r="1814">
      <c r="A1814" s="9" t="s">
        <v>2229</v>
      </c>
      <c r="B1814" s="9" t="s">
        <v>1015</v>
      </c>
      <c r="C1814" s="8" t="s">
        <v>65</v>
      </c>
      <c r="D1814" s="14" t="s">
        <v>2033</v>
      </c>
      <c r="E1814" s="8" t="s">
        <v>2574</v>
      </c>
      <c r="F1814" s="27" t="s">
        <v>2586</v>
      </c>
    </row>
    <row r="1815">
      <c r="A1815" s="9" t="s">
        <v>2229</v>
      </c>
      <c r="B1815" s="9" t="s">
        <v>2230</v>
      </c>
      <c r="C1815" s="8" t="s">
        <v>65</v>
      </c>
      <c r="D1815" s="14" t="s">
        <v>2033</v>
      </c>
      <c r="E1815" s="8" t="s">
        <v>2585</v>
      </c>
      <c r="F1815" s="27" t="s">
        <v>2573</v>
      </c>
    </row>
    <row r="1816">
      <c r="A1816" s="9" t="s">
        <v>2231</v>
      </c>
      <c r="B1816" s="9" t="s">
        <v>1051</v>
      </c>
      <c r="C1816" s="8" t="s">
        <v>70</v>
      </c>
      <c r="D1816" s="14" t="s">
        <v>2033</v>
      </c>
      <c r="E1816" s="8" t="s">
        <v>2577</v>
      </c>
      <c r="F1816" s="27" t="s">
        <v>2591</v>
      </c>
    </row>
    <row r="1817">
      <c r="A1817" s="9" t="s">
        <v>1960</v>
      </c>
      <c r="B1817" s="9" t="s">
        <v>1961</v>
      </c>
      <c r="C1817" s="8" t="s">
        <v>38</v>
      </c>
      <c r="D1817" s="14" t="s">
        <v>1679</v>
      </c>
      <c r="E1817" s="8" t="s">
        <v>2567</v>
      </c>
      <c r="F1817" s="27" t="s">
        <v>2553</v>
      </c>
    </row>
    <row r="1818">
      <c r="A1818" s="9" t="s">
        <v>225</v>
      </c>
      <c r="B1818" s="9" t="s">
        <v>226</v>
      </c>
      <c r="C1818" s="8" t="s">
        <v>65</v>
      </c>
      <c r="D1818" s="14" t="s">
        <v>189</v>
      </c>
      <c r="E1818" s="8" t="s">
        <v>2620</v>
      </c>
      <c r="F1818" s="27" t="s">
        <v>2613</v>
      </c>
    </row>
    <row r="1819">
      <c r="A1819" s="9" t="s">
        <v>225</v>
      </c>
      <c r="B1819" s="9" t="s">
        <v>45</v>
      </c>
      <c r="C1819" s="8" t="s">
        <v>12</v>
      </c>
      <c r="D1819" s="14" t="s">
        <v>2033</v>
      </c>
      <c r="E1819" s="8" t="s">
        <v>2581</v>
      </c>
      <c r="F1819" s="27" t="s">
        <v>2602</v>
      </c>
    </row>
    <row r="1820">
      <c r="A1820" s="9" t="s">
        <v>225</v>
      </c>
      <c r="B1820" s="9" t="s">
        <v>1219</v>
      </c>
      <c r="C1820" s="8" t="s">
        <v>70</v>
      </c>
      <c r="D1820" s="14" t="s">
        <v>2296</v>
      </c>
      <c r="E1820" s="8" t="s">
        <v>2564</v>
      </c>
      <c r="F1820" s="27" t="s">
        <v>2565</v>
      </c>
    </row>
    <row r="1821">
      <c r="A1821" s="9" t="s">
        <v>1962</v>
      </c>
      <c r="B1821" s="9" t="s">
        <v>1963</v>
      </c>
      <c r="C1821" s="8" t="s">
        <v>186</v>
      </c>
      <c r="D1821" s="14" t="s">
        <v>1679</v>
      </c>
      <c r="E1821" s="8" t="s">
        <v>2595</v>
      </c>
      <c r="F1821" s="27" t="s">
        <v>2576</v>
      </c>
    </row>
    <row r="1822">
      <c r="A1822" s="9" t="s">
        <v>2501</v>
      </c>
      <c r="B1822" s="9" t="s">
        <v>2502</v>
      </c>
      <c r="C1822" s="8" t="s">
        <v>192</v>
      </c>
      <c r="D1822" s="14" t="s">
        <v>2503</v>
      </c>
      <c r="E1822" s="8" t="s">
        <v>2615</v>
      </c>
      <c r="F1822" s="27" t="s">
        <v>2580</v>
      </c>
    </row>
    <row r="1823">
      <c r="A1823" s="9" t="s">
        <v>1020</v>
      </c>
      <c r="B1823" s="9" t="s">
        <v>1021</v>
      </c>
      <c r="C1823" s="8" t="s">
        <v>12</v>
      </c>
      <c r="D1823" s="14" t="s">
        <v>837</v>
      </c>
      <c r="E1823" s="8" t="s">
        <v>2592</v>
      </c>
      <c r="F1823" s="27" t="s">
        <v>2622</v>
      </c>
    </row>
    <row r="1824">
      <c r="A1824" s="9" t="s">
        <v>424</v>
      </c>
      <c r="B1824" s="9" t="s">
        <v>425</v>
      </c>
      <c r="C1824" s="8" t="s">
        <v>65</v>
      </c>
      <c r="D1824" s="14" t="s">
        <v>338</v>
      </c>
      <c r="E1824" s="8" t="s">
        <v>2598</v>
      </c>
      <c r="F1824" s="27" t="s">
        <v>2588</v>
      </c>
    </row>
    <row r="1825">
      <c r="A1825" s="9" t="s">
        <v>1599</v>
      </c>
      <c r="B1825" s="9" t="s">
        <v>129</v>
      </c>
      <c r="C1825" s="8" t="s">
        <v>24</v>
      </c>
      <c r="D1825" s="14" t="s">
        <v>1352</v>
      </c>
      <c r="E1825" s="8" t="s">
        <v>2598</v>
      </c>
      <c r="F1825" s="27" t="s">
        <v>2573</v>
      </c>
    </row>
    <row r="1826">
      <c r="A1826" s="9" t="s">
        <v>2232</v>
      </c>
      <c r="B1826" s="9" t="s">
        <v>2233</v>
      </c>
      <c r="C1826" s="8" t="s">
        <v>122</v>
      </c>
      <c r="D1826" s="14" t="s">
        <v>2033</v>
      </c>
      <c r="E1826" s="8" t="s">
        <v>2183</v>
      </c>
      <c r="F1826" s="27" t="s">
        <v>2591</v>
      </c>
    </row>
    <row r="1827">
      <c r="A1827" s="9" t="s">
        <v>600</v>
      </c>
      <c r="B1827" s="9" t="s">
        <v>1963</v>
      </c>
      <c r="C1827" s="8" t="s">
        <v>80</v>
      </c>
      <c r="D1827" s="14" t="s">
        <v>2296</v>
      </c>
      <c r="E1827" s="8" t="s">
        <v>2558</v>
      </c>
      <c r="F1827" s="27" t="s">
        <v>2565</v>
      </c>
    </row>
    <row r="1828">
      <c r="A1828" s="9" t="s">
        <v>600</v>
      </c>
      <c r="B1828" s="9" t="s">
        <v>15</v>
      </c>
      <c r="C1828" s="8" t="s">
        <v>16</v>
      </c>
      <c r="D1828" s="14" t="s">
        <v>459</v>
      </c>
      <c r="E1828" s="8" t="s">
        <v>2554</v>
      </c>
      <c r="F1828" s="27" t="s">
        <v>2606</v>
      </c>
    </row>
    <row r="1829">
      <c r="A1829" s="9" t="s">
        <v>2234</v>
      </c>
      <c r="B1829" s="9" t="s">
        <v>494</v>
      </c>
      <c r="C1829" s="8" t="s">
        <v>122</v>
      </c>
      <c r="D1829" s="14" t="s">
        <v>2033</v>
      </c>
      <c r="E1829" s="8" t="s">
        <v>2577</v>
      </c>
      <c r="F1829" s="27" t="s">
        <v>2576</v>
      </c>
    </row>
    <row r="1830">
      <c r="A1830" s="9" t="s">
        <v>311</v>
      </c>
      <c r="B1830" s="9" t="s">
        <v>194</v>
      </c>
      <c r="C1830" s="8" t="s">
        <v>24</v>
      </c>
      <c r="D1830" s="14" t="s">
        <v>237</v>
      </c>
      <c r="E1830" s="8" t="s">
        <v>2605</v>
      </c>
      <c r="F1830" s="27" t="s">
        <v>18</v>
      </c>
    </row>
    <row r="1831">
      <c r="A1831" s="9" t="s">
        <v>311</v>
      </c>
      <c r="B1831" s="9" t="s">
        <v>2235</v>
      </c>
      <c r="C1831" s="8" t="s">
        <v>186</v>
      </c>
      <c r="D1831" s="14" t="s">
        <v>2033</v>
      </c>
      <c r="E1831" s="8" t="s">
        <v>2577</v>
      </c>
      <c r="F1831" s="27" t="s">
        <v>2609</v>
      </c>
    </row>
    <row r="1832">
      <c r="A1832" s="9" t="s">
        <v>2411</v>
      </c>
      <c r="B1832" s="9" t="s">
        <v>2412</v>
      </c>
      <c r="C1832" s="8" t="s">
        <v>70</v>
      </c>
      <c r="D1832" s="14" t="s">
        <v>2296</v>
      </c>
      <c r="E1832" s="8" t="s">
        <v>2603</v>
      </c>
      <c r="F1832" s="27" t="s">
        <v>2576</v>
      </c>
    </row>
    <row r="1833">
      <c r="A1833" s="9" t="s">
        <v>1307</v>
      </c>
      <c r="B1833" s="9" t="s">
        <v>1308</v>
      </c>
      <c r="C1833" s="8" t="s">
        <v>186</v>
      </c>
      <c r="D1833" s="14" t="s">
        <v>1070</v>
      </c>
      <c r="E1833" s="8" t="s">
        <v>2562</v>
      </c>
      <c r="F1833" s="27" t="s">
        <v>2591</v>
      </c>
    </row>
    <row r="1834">
      <c r="A1834" s="9" t="s">
        <v>1307</v>
      </c>
      <c r="B1834" s="9" t="s">
        <v>263</v>
      </c>
      <c r="C1834" s="8" t="s">
        <v>70</v>
      </c>
      <c r="D1834" s="14" t="s">
        <v>2033</v>
      </c>
      <c r="E1834" s="8" t="s">
        <v>2574</v>
      </c>
      <c r="F1834" s="27" t="s">
        <v>2583</v>
      </c>
    </row>
    <row r="1835">
      <c r="A1835" s="9" t="s">
        <v>2236</v>
      </c>
      <c r="B1835" s="9" t="s">
        <v>922</v>
      </c>
      <c r="C1835" s="8" t="s">
        <v>46</v>
      </c>
      <c r="D1835" s="14" t="s">
        <v>2033</v>
      </c>
      <c r="E1835" s="8" t="s">
        <v>2562</v>
      </c>
      <c r="F1835" s="27" t="s">
        <v>2579</v>
      </c>
    </row>
    <row r="1836">
      <c r="A1836" s="9" t="s">
        <v>32</v>
      </c>
      <c r="B1836" s="9" t="s">
        <v>33</v>
      </c>
      <c r="C1836" s="8" t="s">
        <v>16</v>
      </c>
      <c r="D1836" s="14" t="s">
        <v>27</v>
      </c>
      <c r="E1836" s="8" t="s">
        <v>2598</v>
      </c>
      <c r="F1836" s="27" t="s">
        <v>2618</v>
      </c>
    </row>
    <row r="1837">
      <c r="A1837" s="9" t="s">
        <v>1022</v>
      </c>
      <c r="B1837" s="9" t="s">
        <v>121</v>
      </c>
      <c r="C1837" s="8" t="s">
        <v>132</v>
      </c>
      <c r="D1837" s="14" t="s">
        <v>837</v>
      </c>
      <c r="E1837" s="8" t="s">
        <v>2582</v>
      </c>
      <c r="F1837" s="27" t="s">
        <v>2604</v>
      </c>
    </row>
    <row r="1838">
      <c r="A1838" s="9" t="s">
        <v>2237</v>
      </c>
      <c r="B1838" s="9" t="s">
        <v>464</v>
      </c>
      <c r="C1838" s="8" t="s">
        <v>75</v>
      </c>
      <c r="D1838" s="14" t="s">
        <v>2033</v>
      </c>
      <c r="E1838" s="8" t="s">
        <v>2620</v>
      </c>
      <c r="F1838" s="27" t="s">
        <v>2612</v>
      </c>
    </row>
    <row r="1839">
      <c r="A1839" s="9" t="s">
        <v>1600</v>
      </c>
      <c r="B1839" s="9" t="s">
        <v>102</v>
      </c>
      <c r="C1839" s="8" t="s">
        <v>186</v>
      </c>
      <c r="D1839" s="14" t="s">
        <v>1352</v>
      </c>
      <c r="E1839" s="8" t="s">
        <v>2615</v>
      </c>
      <c r="F1839" s="27" t="s">
        <v>2608</v>
      </c>
    </row>
    <row r="1840">
      <c r="A1840" s="9" t="s">
        <v>794</v>
      </c>
      <c r="B1840" s="9" t="s">
        <v>137</v>
      </c>
      <c r="C1840" s="8" t="s">
        <v>132</v>
      </c>
      <c r="D1840" s="14" t="s">
        <v>631</v>
      </c>
      <c r="E1840" s="8" t="s">
        <v>2572</v>
      </c>
      <c r="F1840" s="27" t="s">
        <v>2622</v>
      </c>
    </row>
    <row r="1841">
      <c r="A1841" s="9" t="s">
        <v>1601</v>
      </c>
      <c r="B1841" s="9" t="s">
        <v>111</v>
      </c>
      <c r="C1841" s="8" t="s">
        <v>24</v>
      </c>
      <c r="D1841" s="14" t="s">
        <v>1352</v>
      </c>
      <c r="E1841" s="8" t="s">
        <v>2610</v>
      </c>
      <c r="F1841" s="27" t="s">
        <v>2563</v>
      </c>
    </row>
    <row r="1842">
      <c r="A1842" s="9" t="s">
        <v>2238</v>
      </c>
      <c r="B1842" s="9" t="s">
        <v>258</v>
      </c>
      <c r="C1842" s="8" t="s">
        <v>24</v>
      </c>
      <c r="D1842" s="14" t="s">
        <v>2033</v>
      </c>
      <c r="E1842" s="8" t="s">
        <v>2614</v>
      </c>
      <c r="F1842" s="27" t="s">
        <v>2573</v>
      </c>
    </row>
    <row r="1843">
      <c r="A1843" s="9" t="s">
        <v>426</v>
      </c>
      <c r="B1843" s="9" t="s">
        <v>427</v>
      </c>
      <c r="C1843" s="8" t="s">
        <v>149</v>
      </c>
      <c r="D1843" s="14" t="s">
        <v>338</v>
      </c>
      <c r="E1843" s="8" t="s">
        <v>2183</v>
      </c>
      <c r="F1843" s="27" t="s">
        <v>2634</v>
      </c>
    </row>
    <row r="1844">
      <c r="A1844" s="9" t="s">
        <v>1602</v>
      </c>
      <c r="B1844" s="9" t="s">
        <v>542</v>
      </c>
      <c r="C1844" s="8" t="s">
        <v>75</v>
      </c>
      <c r="D1844" s="14" t="s">
        <v>1352</v>
      </c>
      <c r="E1844" s="8" t="s">
        <v>2598</v>
      </c>
      <c r="F1844" s="27" t="s">
        <v>2563</v>
      </c>
    </row>
    <row r="1845">
      <c r="A1845" s="9" t="s">
        <v>1031</v>
      </c>
      <c r="B1845" s="9" t="s">
        <v>1964</v>
      </c>
      <c r="C1845" s="8" t="s">
        <v>65</v>
      </c>
      <c r="D1845" s="14" t="s">
        <v>1679</v>
      </c>
      <c r="E1845" s="8" t="s">
        <v>2572</v>
      </c>
      <c r="F1845" s="27" t="s">
        <v>2594</v>
      </c>
    </row>
    <row r="1846">
      <c r="A1846" s="9" t="s">
        <v>1031</v>
      </c>
      <c r="B1846" s="9" t="s">
        <v>1965</v>
      </c>
      <c r="C1846" s="8" t="s">
        <v>70</v>
      </c>
      <c r="D1846" s="14" t="s">
        <v>1679</v>
      </c>
      <c r="E1846" s="8" t="s">
        <v>2564</v>
      </c>
      <c r="F1846" s="27" t="s">
        <v>2622</v>
      </c>
    </row>
    <row r="1847">
      <c r="A1847" s="18" t="s">
        <v>1031</v>
      </c>
      <c r="B1847" s="18" t="s">
        <v>1966</v>
      </c>
      <c r="C1847" s="8" t="s">
        <v>65</v>
      </c>
      <c r="D1847" s="14" t="s">
        <v>1679</v>
      </c>
      <c r="E1847" s="8" t="s">
        <v>2587</v>
      </c>
      <c r="F1847" s="27" t="s">
        <v>2576</v>
      </c>
    </row>
    <row r="1848">
      <c r="A1848" s="9" t="s">
        <v>1031</v>
      </c>
      <c r="B1848" s="9" t="s">
        <v>1488</v>
      </c>
      <c r="C1848" s="8" t="s">
        <v>65</v>
      </c>
      <c r="D1848" s="14" t="s">
        <v>1679</v>
      </c>
      <c r="E1848" s="8" t="s">
        <v>2575</v>
      </c>
      <c r="F1848" s="27" t="s">
        <v>2622</v>
      </c>
    </row>
    <row r="1849">
      <c r="A1849" s="9" t="s">
        <v>1031</v>
      </c>
      <c r="B1849" s="9" t="s">
        <v>2413</v>
      </c>
      <c r="C1849" s="8" t="s">
        <v>38</v>
      </c>
      <c r="D1849" s="14" t="s">
        <v>2296</v>
      </c>
      <c r="E1849" s="8" t="s">
        <v>2558</v>
      </c>
      <c r="F1849" s="27" t="s">
        <v>2553</v>
      </c>
    </row>
    <row r="1850">
      <c r="A1850" s="9" t="s">
        <v>1031</v>
      </c>
      <c r="B1850" s="9" t="s">
        <v>231</v>
      </c>
      <c r="C1850" s="8" t="s">
        <v>192</v>
      </c>
      <c r="D1850" s="14" t="s">
        <v>1679</v>
      </c>
      <c r="E1850" s="8" t="s">
        <v>2593</v>
      </c>
      <c r="F1850" s="27" t="s">
        <v>2609</v>
      </c>
    </row>
    <row r="1851">
      <c r="A1851" s="9" t="s">
        <v>1031</v>
      </c>
      <c r="B1851" s="9" t="s">
        <v>2239</v>
      </c>
      <c r="C1851" s="8" t="s">
        <v>122</v>
      </c>
      <c r="D1851" s="14" t="s">
        <v>2033</v>
      </c>
      <c r="E1851" s="8" t="s">
        <v>2610</v>
      </c>
      <c r="F1851" s="27" t="s">
        <v>2609</v>
      </c>
    </row>
    <row r="1852">
      <c r="A1852" s="9" t="s">
        <v>1031</v>
      </c>
      <c r="B1852" s="9" t="s">
        <v>1397</v>
      </c>
      <c r="C1852" s="8" t="s">
        <v>149</v>
      </c>
      <c r="D1852" s="14" t="s">
        <v>1352</v>
      </c>
      <c r="E1852" s="8" t="s">
        <v>2572</v>
      </c>
      <c r="F1852" s="27" t="s">
        <v>2628</v>
      </c>
    </row>
    <row r="1853">
      <c r="A1853" s="9" t="s">
        <v>1967</v>
      </c>
      <c r="B1853" s="9" t="s">
        <v>1563</v>
      </c>
      <c r="C1853" s="8" t="s">
        <v>24</v>
      </c>
      <c r="D1853" s="14" t="s">
        <v>1679</v>
      </c>
      <c r="E1853" s="18" t="s">
        <v>2589</v>
      </c>
      <c r="F1853" s="27" t="s">
        <v>2571</v>
      </c>
    </row>
    <row r="1854">
      <c r="A1854" s="9" t="s">
        <v>1603</v>
      </c>
      <c r="B1854" s="9" t="s">
        <v>1604</v>
      </c>
      <c r="C1854" s="8" t="s">
        <v>149</v>
      </c>
      <c r="D1854" s="14" t="s">
        <v>1352</v>
      </c>
      <c r="E1854" s="8" t="s">
        <v>2615</v>
      </c>
      <c r="F1854" s="27" t="s">
        <v>2606</v>
      </c>
    </row>
    <row r="1855">
      <c r="A1855" s="9" t="s">
        <v>2414</v>
      </c>
      <c r="B1855" s="9" t="s">
        <v>464</v>
      </c>
      <c r="C1855" s="8" t="s">
        <v>12</v>
      </c>
      <c r="D1855" s="14" t="s">
        <v>2296</v>
      </c>
      <c r="E1855" s="8" t="s">
        <v>2615</v>
      </c>
      <c r="F1855" s="27" t="s">
        <v>2563</v>
      </c>
    </row>
    <row r="1856">
      <c r="A1856" s="9" t="s">
        <v>1605</v>
      </c>
      <c r="B1856" s="9" t="s">
        <v>1606</v>
      </c>
      <c r="C1856" s="8" t="s">
        <v>122</v>
      </c>
      <c r="D1856" s="14" t="s">
        <v>1352</v>
      </c>
      <c r="E1856" s="8" t="s">
        <v>2598</v>
      </c>
      <c r="F1856" s="27" t="s">
        <v>2573</v>
      </c>
    </row>
    <row r="1857">
      <c r="A1857" s="9" t="s">
        <v>1605</v>
      </c>
      <c r="B1857" s="9" t="s">
        <v>124</v>
      </c>
      <c r="C1857" s="8" t="s">
        <v>46</v>
      </c>
      <c r="D1857" s="14" t="s">
        <v>1679</v>
      </c>
      <c r="E1857" s="8" t="s">
        <v>2575</v>
      </c>
      <c r="F1857" s="27" t="s">
        <v>2580</v>
      </c>
    </row>
    <row r="1858">
      <c r="A1858" s="9" t="s">
        <v>312</v>
      </c>
      <c r="B1858" s="9" t="s">
        <v>55</v>
      </c>
      <c r="C1858" s="8" t="s">
        <v>80</v>
      </c>
      <c r="D1858" s="14" t="s">
        <v>237</v>
      </c>
      <c r="E1858" s="8" t="s">
        <v>2564</v>
      </c>
      <c r="F1858" s="27" t="s">
        <v>2608</v>
      </c>
    </row>
    <row r="1859">
      <c r="A1859" s="9" t="s">
        <v>1607</v>
      </c>
      <c r="B1859" s="9" t="s">
        <v>381</v>
      </c>
      <c r="C1859" s="8" t="s">
        <v>46</v>
      </c>
      <c r="D1859" s="14" t="s">
        <v>1352</v>
      </c>
      <c r="E1859" s="8" t="s">
        <v>2183</v>
      </c>
      <c r="F1859" s="27" t="s">
        <v>2612</v>
      </c>
    </row>
    <row r="1860">
      <c r="A1860" s="9" t="s">
        <v>2415</v>
      </c>
      <c r="B1860" s="9" t="s">
        <v>1209</v>
      </c>
      <c r="C1860" s="8" t="s">
        <v>122</v>
      </c>
      <c r="D1860" s="14" t="s">
        <v>2296</v>
      </c>
      <c r="E1860" s="8" t="s">
        <v>2582</v>
      </c>
      <c r="F1860" s="27" t="s">
        <v>2583</v>
      </c>
    </row>
    <row r="1861">
      <c r="A1861" s="9" t="s">
        <v>1610</v>
      </c>
      <c r="B1861" s="9" t="s">
        <v>1611</v>
      </c>
      <c r="C1861" s="8" t="s">
        <v>75</v>
      </c>
      <c r="D1861" s="14" t="s">
        <v>1352</v>
      </c>
      <c r="E1861" s="8" t="s">
        <v>2564</v>
      </c>
      <c r="F1861" s="27" t="s">
        <v>2591</v>
      </c>
    </row>
    <row r="1862">
      <c r="A1862" s="9" t="s">
        <v>1608</v>
      </c>
      <c r="B1862" s="9" t="s">
        <v>1609</v>
      </c>
      <c r="C1862" s="8" t="s">
        <v>93</v>
      </c>
      <c r="D1862" s="14" t="s">
        <v>1352</v>
      </c>
      <c r="E1862" s="8" t="s">
        <v>2574</v>
      </c>
      <c r="F1862" s="27" t="s">
        <v>2591</v>
      </c>
    </row>
    <row r="1863">
      <c r="A1863" s="9" t="s">
        <v>1968</v>
      </c>
      <c r="B1863" s="9" t="s">
        <v>11</v>
      </c>
      <c r="C1863" s="8" t="s">
        <v>24</v>
      </c>
      <c r="D1863" s="14" t="s">
        <v>1679</v>
      </c>
      <c r="E1863" s="8" t="s">
        <v>2605</v>
      </c>
      <c r="F1863" s="27" t="s">
        <v>2553</v>
      </c>
    </row>
    <row r="1864">
      <c r="A1864" s="9" t="s">
        <v>1612</v>
      </c>
      <c r="B1864" s="9" t="s">
        <v>1613</v>
      </c>
      <c r="C1864" s="8" t="s">
        <v>141</v>
      </c>
      <c r="D1864" s="14" t="s">
        <v>1352</v>
      </c>
      <c r="E1864" s="8" t="s">
        <v>2562</v>
      </c>
      <c r="F1864" s="27" t="s">
        <v>2628</v>
      </c>
    </row>
    <row r="1865">
      <c r="A1865" s="9" t="s">
        <v>1969</v>
      </c>
      <c r="B1865" s="9" t="s">
        <v>506</v>
      </c>
      <c r="C1865" s="8" t="s">
        <v>46</v>
      </c>
      <c r="D1865" s="14" t="s">
        <v>2033</v>
      </c>
      <c r="E1865" s="18" t="s">
        <v>2556</v>
      </c>
      <c r="F1865" s="27" t="s">
        <v>2612</v>
      </c>
    </row>
    <row r="1866">
      <c r="A1866" s="9" t="s">
        <v>1969</v>
      </c>
      <c r="B1866" s="9" t="s">
        <v>1970</v>
      </c>
      <c r="C1866" s="8" t="s">
        <v>65</v>
      </c>
      <c r="D1866" s="14" t="s">
        <v>1679</v>
      </c>
      <c r="E1866" s="8" t="s">
        <v>2621</v>
      </c>
      <c r="F1866" s="27" t="s">
        <v>2601</v>
      </c>
    </row>
    <row r="1867">
      <c r="A1867" s="9" t="s">
        <v>795</v>
      </c>
      <c r="B1867" s="9" t="s">
        <v>676</v>
      </c>
      <c r="C1867" s="8" t="s">
        <v>141</v>
      </c>
      <c r="D1867" s="14" t="s">
        <v>631</v>
      </c>
      <c r="E1867" s="8" t="s">
        <v>2584</v>
      </c>
      <c r="F1867" s="27" t="s">
        <v>2609</v>
      </c>
    </row>
    <row r="1868">
      <c r="A1868" s="9" t="s">
        <v>1023</v>
      </c>
      <c r="B1868" s="9" t="s">
        <v>301</v>
      </c>
      <c r="C1868" s="8" t="s">
        <v>80</v>
      </c>
      <c r="D1868" s="14" t="s">
        <v>837</v>
      </c>
      <c r="E1868" s="18" t="s">
        <v>2589</v>
      </c>
      <c r="F1868" s="27" t="s">
        <v>2579</v>
      </c>
    </row>
    <row r="1869">
      <c r="A1869" s="9" t="s">
        <v>1309</v>
      </c>
      <c r="B1869" s="9" t="s">
        <v>67</v>
      </c>
      <c r="C1869" s="8" t="s">
        <v>186</v>
      </c>
      <c r="D1869" s="14" t="s">
        <v>1070</v>
      </c>
      <c r="E1869" s="8" t="s">
        <v>2577</v>
      </c>
      <c r="F1869" s="27" t="s">
        <v>2611</v>
      </c>
    </row>
    <row r="1870">
      <c r="A1870" s="9" t="s">
        <v>428</v>
      </c>
      <c r="B1870" s="9" t="s">
        <v>429</v>
      </c>
      <c r="C1870" s="8" t="s">
        <v>138</v>
      </c>
      <c r="D1870" s="14" t="s">
        <v>338</v>
      </c>
      <c r="E1870" s="8" t="s">
        <v>2567</v>
      </c>
      <c r="F1870" s="27" t="s">
        <v>2588</v>
      </c>
    </row>
    <row r="1871">
      <c r="A1871" s="9" t="s">
        <v>2240</v>
      </c>
      <c r="B1871" s="9" t="s">
        <v>1251</v>
      </c>
      <c r="C1871" s="8" t="s">
        <v>215</v>
      </c>
      <c r="D1871" s="14" t="s">
        <v>2033</v>
      </c>
      <c r="E1871" s="8" t="s">
        <v>2577</v>
      </c>
      <c r="F1871" s="27" t="s">
        <v>2580</v>
      </c>
    </row>
    <row r="1872">
      <c r="A1872" s="9" t="s">
        <v>2241</v>
      </c>
      <c r="B1872" s="9" t="s">
        <v>961</v>
      </c>
      <c r="C1872" s="8" t="s">
        <v>93</v>
      </c>
      <c r="D1872" s="14" t="s">
        <v>2033</v>
      </c>
      <c r="E1872" s="8" t="s">
        <v>2598</v>
      </c>
      <c r="F1872" s="27" t="s">
        <v>2622</v>
      </c>
    </row>
    <row r="1873">
      <c r="A1873" s="9" t="s">
        <v>1024</v>
      </c>
      <c r="B1873" s="9" t="s">
        <v>121</v>
      </c>
      <c r="C1873" s="8" t="s">
        <v>149</v>
      </c>
      <c r="D1873" s="14" t="s">
        <v>837</v>
      </c>
      <c r="E1873" s="8" t="s">
        <v>2560</v>
      </c>
      <c r="F1873" s="27" t="s">
        <v>2591</v>
      </c>
    </row>
    <row r="1874">
      <c r="A1874" s="9" t="s">
        <v>2416</v>
      </c>
      <c r="B1874" s="9" t="s">
        <v>1486</v>
      </c>
      <c r="C1874" s="8" t="s">
        <v>93</v>
      </c>
      <c r="D1874" s="14" t="s">
        <v>2296</v>
      </c>
      <c r="E1874" s="8" t="s">
        <v>2605</v>
      </c>
      <c r="F1874" s="27" t="s">
        <v>2576</v>
      </c>
    </row>
    <row r="1875">
      <c r="A1875" s="9" t="s">
        <v>1310</v>
      </c>
      <c r="B1875" s="9" t="s">
        <v>134</v>
      </c>
      <c r="C1875" s="8" t="s">
        <v>122</v>
      </c>
      <c r="D1875" s="14" t="s">
        <v>1070</v>
      </c>
      <c r="E1875" s="8" t="s">
        <v>2600</v>
      </c>
      <c r="F1875" s="27" t="s">
        <v>2553</v>
      </c>
    </row>
    <row r="1876">
      <c r="A1876" s="9" t="s">
        <v>796</v>
      </c>
      <c r="B1876" s="9" t="s">
        <v>409</v>
      </c>
      <c r="C1876" s="8" t="s">
        <v>65</v>
      </c>
      <c r="D1876" s="14" t="s">
        <v>631</v>
      </c>
      <c r="E1876" s="8" t="s">
        <v>2566</v>
      </c>
      <c r="F1876" s="27" t="s">
        <v>2565</v>
      </c>
    </row>
    <row r="1877">
      <c r="A1877" s="9" t="s">
        <v>796</v>
      </c>
      <c r="B1877" s="9" t="s">
        <v>1035</v>
      </c>
      <c r="C1877" s="8" t="s">
        <v>65</v>
      </c>
      <c r="D1877" s="14" t="s">
        <v>1070</v>
      </c>
      <c r="E1877" s="8" t="s">
        <v>2566</v>
      </c>
      <c r="F1877" s="27" t="s">
        <v>2599</v>
      </c>
    </row>
    <row r="1878">
      <c r="A1878" s="9" t="s">
        <v>1614</v>
      </c>
      <c r="B1878" s="9" t="s">
        <v>322</v>
      </c>
      <c r="C1878" s="8" t="s">
        <v>138</v>
      </c>
      <c r="D1878" s="14" t="s">
        <v>1352</v>
      </c>
      <c r="E1878" s="8" t="s">
        <v>2560</v>
      </c>
      <c r="F1878" s="27" t="s">
        <v>2602</v>
      </c>
    </row>
    <row r="1879">
      <c r="A1879" s="9" t="s">
        <v>313</v>
      </c>
      <c r="B1879" s="9" t="s">
        <v>247</v>
      </c>
      <c r="C1879" s="8" t="s">
        <v>93</v>
      </c>
      <c r="D1879" s="14" t="s">
        <v>237</v>
      </c>
      <c r="E1879" s="8" t="s">
        <v>2595</v>
      </c>
      <c r="F1879" s="27" t="s">
        <v>2563</v>
      </c>
    </row>
    <row r="1880">
      <c r="A1880" s="9" t="s">
        <v>2242</v>
      </c>
      <c r="B1880" s="9" t="s">
        <v>334</v>
      </c>
      <c r="C1880" s="8" t="s">
        <v>65</v>
      </c>
      <c r="D1880" s="14" t="s">
        <v>2033</v>
      </c>
      <c r="E1880" s="18" t="s">
        <v>2589</v>
      </c>
      <c r="F1880" s="27" t="s">
        <v>2557</v>
      </c>
    </row>
    <row r="1881">
      <c r="A1881" s="9" t="s">
        <v>314</v>
      </c>
      <c r="B1881" s="9" t="s">
        <v>212</v>
      </c>
      <c r="C1881" s="8" t="s">
        <v>261</v>
      </c>
      <c r="D1881" s="14" t="s">
        <v>338</v>
      </c>
      <c r="E1881" s="8" t="s">
        <v>2183</v>
      </c>
      <c r="F1881" s="27" t="s">
        <v>2590</v>
      </c>
    </row>
    <row r="1882">
      <c r="A1882" s="9" t="s">
        <v>314</v>
      </c>
      <c r="B1882" s="9" t="s">
        <v>315</v>
      </c>
      <c r="C1882" s="8" t="s">
        <v>93</v>
      </c>
      <c r="D1882" s="14" t="s">
        <v>237</v>
      </c>
      <c r="E1882" s="8" t="s">
        <v>2585</v>
      </c>
      <c r="F1882" s="27" t="s">
        <v>2634</v>
      </c>
    </row>
    <row r="1883">
      <c r="A1883" s="18" t="s">
        <v>173</v>
      </c>
      <c r="B1883" s="18" t="s">
        <v>174</v>
      </c>
      <c r="C1883" s="8" t="s">
        <v>141</v>
      </c>
      <c r="D1883" s="14" t="s">
        <v>135</v>
      </c>
      <c r="E1883" s="18" t="s">
        <v>2589</v>
      </c>
      <c r="F1883" s="27" t="s">
        <v>2583</v>
      </c>
    </row>
    <row r="1884">
      <c r="A1884" s="9" t="s">
        <v>430</v>
      </c>
      <c r="B1884" s="9" t="s">
        <v>431</v>
      </c>
      <c r="C1884" s="8" t="s">
        <v>138</v>
      </c>
      <c r="D1884" s="14" t="s">
        <v>338</v>
      </c>
      <c r="E1884" s="8" t="s">
        <v>2574</v>
      </c>
      <c r="F1884" s="27" t="s">
        <v>2625</v>
      </c>
    </row>
    <row r="1885">
      <c r="A1885" s="9" t="s">
        <v>1025</v>
      </c>
      <c r="B1885" s="9" t="s">
        <v>1026</v>
      </c>
      <c r="C1885" s="8" t="s">
        <v>192</v>
      </c>
      <c r="D1885" s="14" t="s">
        <v>837</v>
      </c>
      <c r="E1885" s="8" t="s">
        <v>2614</v>
      </c>
      <c r="F1885" s="27" t="s">
        <v>2618</v>
      </c>
    </row>
    <row r="1886">
      <c r="A1886" s="9" t="s">
        <v>2417</v>
      </c>
      <c r="B1886" s="9" t="s">
        <v>214</v>
      </c>
      <c r="C1886" s="8" t="s">
        <v>16</v>
      </c>
      <c r="D1886" s="14" t="s">
        <v>2296</v>
      </c>
      <c r="E1886" s="8" t="s">
        <v>2183</v>
      </c>
      <c r="F1886" s="27" t="s">
        <v>2628</v>
      </c>
    </row>
    <row r="1887">
      <c r="A1887" s="9" t="s">
        <v>2243</v>
      </c>
      <c r="B1887" s="9" t="s">
        <v>480</v>
      </c>
      <c r="C1887" s="8" t="s">
        <v>138</v>
      </c>
      <c r="D1887" s="14" t="s">
        <v>2033</v>
      </c>
      <c r="E1887" s="8" t="s">
        <v>2575</v>
      </c>
      <c r="F1887" s="27" t="s">
        <v>2583</v>
      </c>
    </row>
    <row r="1888">
      <c r="A1888" s="9" t="s">
        <v>1027</v>
      </c>
      <c r="B1888" s="9" t="s">
        <v>1028</v>
      </c>
      <c r="C1888" s="8" t="s">
        <v>16</v>
      </c>
      <c r="D1888" s="14" t="s">
        <v>837</v>
      </c>
      <c r="E1888" s="8" t="s">
        <v>2560</v>
      </c>
      <c r="F1888" s="27" t="s">
        <v>2594</v>
      </c>
    </row>
    <row r="1889">
      <c r="A1889" s="9" t="s">
        <v>1311</v>
      </c>
      <c r="B1889" s="9" t="s">
        <v>1312</v>
      </c>
      <c r="C1889" s="8" t="s">
        <v>149</v>
      </c>
      <c r="D1889" s="14" t="s">
        <v>1070</v>
      </c>
      <c r="E1889" s="8" t="s">
        <v>2574</v>
      </c>
      <c r="F1889" s="27" t="s">
        <v>2617</v>
      </c>
    </row>
    <row r="1890">
      <c r="A1890" s="9" t="s">
        <v>2244</v>
      </c>
      <c r="B1890" s="9" t="s">
        <v>506</v>
      </c>
      <c r="C1890" s="8" t="s">
        <v>65</v>
      </c>
      <c r="D1890" s="14" t="s">
        <v>2033</v>
      </c>
      <c r="E1890" s="8" t="s">
        <v>2587</v>
      </c>
      <c r="F1890" s="27" t="s">
        <v>2583</v>
      </c>
    </row>
    <row r="1891">
      <c r="A1891" s="9" t="s">
        <v>1615</v>
      </c>
      <c r="B1891" s="9" t="s">
        <v>550</v>
      </c>
      <c r="C1891" s="8" t="s">
        <v>138</v>
      </c>
      <c r="D1891" s="14" t="s">
        <v>2296</v>
      </c>
      <c r="E1891" s="8" t="s">
        <v>2621</v>
      </c>
      <c r="F1891" s="27" t="s">
        <v>2553</v>
      </c>
    </row>
    <row r="1892">
      <c r="A1892" s="9" t="s">
        <v>1615</v>
      </c>
      <c r="B1892" s="9" t="s">
        <v>263</v>
      </c>
      <c r="C1892" s="8" t="s">
        <v>132</v>
      </c>
      <c r="D1892" s="14" t="s">
        <v>1352</v>
      </c>
      <c r="E1892" s="8" t="s">
        <v>2603</v>
      </c>
      <c r="F1892" s="27" t="s">
        <v>2612</v>
      </c>
    </row>
    <row r="1893">
      <c r="A1893" s="9" t="s">
        <v>1615</v>
      </c>
      <c r="B1893" s="9" t="s">
        <v>381</v>
      </c>
      <c r="C1893" s="8" t="s">
        <v>80</v>
      </c>
      <c r="D1893" s="14" t="s">
        <v>1352</v>
      </c>
      <c r="E1893" s="8" t="s">
        <v>2620</v>
      </c>
      <c r="F1893" s="27" t="s">
        <v>2607</v>
      </c>
    </row>
    <row r="1894">
      <c r="A1894" s="9" t="s">
        <v>601</v>
      </c>
      <c r="B1894" s="9" t="s">
        <v>569</v>
      </c>
      <c r="C1894" s="8" t="s">
        <v>122</v>
      </c>
      <c r="D1894" s="14" t="s">
        <v>459</v>
      </c>
      <c r="E1894" s="8" t="s">
        <v>2558</v>
      </c>
      <c r="F1894" s="27" t="s">
        <v>2579</v>
      </c>
    </row>
    <row r="1895">
      <c r="A1895" s="9" t="s">
        <v>601</v>
      </c>
      <c r="B1895" s="9" t="s">
        <v>23</v>
      </c>
      <c r="C1895" s="8" t="s">
        <v>138</v>
      </c>
      <c r="D1895" s="14" t="s">
        <v>631</v>
      </c>
      <c r="E1895" s="8" t="s">
        <v>2600</v>
      </c>
      <c r="F1895" s="27" t="s">
        <v>2553</v>
      </c>
    </row>
    <row r="1896">
      <c r="A1896" s="9" t="s">
        <v>1030</v>
      </c>
      <c r="B1896" s="9" t="s">
        <v>1031</v>
      </c>
      <c r="C1896" s="8" t="s">
        <v>24</v>
      </c>
      <c r="D1896" s="14" t="s">
        <v>837</v>
      </c>
      <c r="E1896" s="8" t="s">
        <v>2566</v>
      </c>
      <c r="F1896" s="27" t="s">
        <v>2555</v>
      </c>
    </row>
    <row r="1897">
      <c r="A1897" s="9" t="s">
        <v>1619</v>
      </c>
      <c r="B1897" s="9" t="s">
        <v>407</v>
      </c>
      <c r="C1897" s="8" t="s">
        <v>65</v>
      </c>
      <c r="D1897" s="14" t="s">
        <v>2033</v>
      </c>
      <c r="E1897" s="8" t="s">
        <v>2582</v>
      </c>
      <c r="F1897" s="27" t="s">
        <v>2579</v>
      </c>
    </row>
    <row r="1898">
      <c r="A1898" s="9" t="s">
        <v>1619</v>
      </c>
      <c r="B1898" s="9" t="s">
        <v>1620</v>
      </c>
      <c r="C1898" s="8" t="s">
        <v>93</v>
      </c>
      <c r="D1898" s="14" t="s">
        <v>1352</v>
      </c>
      <c r="E1898" s="8" t="s">
        <v>2621</v>
      </c>
      <c r="F1898" s="27" t="s">
        <v>2591</v>
      </c>
    </row>
    <row r="1899">
      <c r="A1899" s="9" t="s">
        <v>2489</v>
      </c>
      <c r="B1899" s="9" t="s">
        <v>217</v>
      </c>
      <c r="C1899" s="8" t="s">
        <v>70</v>
      </c>
      <c r="D1899" s="14" t="s">
        <v>2459</v>
      </c>
      <c r="E1899" s="8" t="s">
        <v>2587</v>
      </c>
      <c r="F1899" s="27" t="s">
        <v>2565</v>
      </c>
    </row>
    <row r="1900">
      <c r="A1900" s="9" t="s">
        <v>797</v>
      </c>
      <c r="B1900" s="9" t="s">
        <v>798</v>
      </c>
      <c r="C1900" s="8" t="s">
        <v>46</v>
      </c>
      <c r="D1900" s="14" t="s">
        <v>631</v>
      </c>
      <c r="E1900" s="8" t="s">
        <v>2587</v>
      </c>
      <c r="F1900" s="27" t="s">
        <v>2618</v>
      </c>
    </row>
    <row r="1901">
      <c r="A1901" s="9" t="s">
        <v>1974</v>
      </c>
      <c r="B1901" s="9" t="s">
        <v>241</v>
      </c>
      <c r="C1901" s="8" t="s">
        <v>149</v>
      </c>
      <c r="D1901" s="14" t="s">
        <v>1679</v>
      </c>
      <c r="E1901" s="8" t="s">
        <v>2600</v>
      </c>
      <c r="F1901" s="27" t="s">
        <v>2569</v>
      </c>
    </row>
    <row r="1902">
      <c r="A1902" s="9" t="s">
        <v>432</v>
      </c>
      <c r="B1902" s="9" t="s">
        <v>433</v>
      </c>
      <c r="C1902" s="8" t="s">
        <v>93</v>
      </c>
      <c r="D1902" s="14" t="s">
        <v>338</v>
      </c>
      <c r="E1902" s="8" t="s">
        <v>2605</v>
      </c>
      <c r="F1902" s="27" t="s">
        <v>2590</v>
      </c>
    </row>
    <row r="1903">
      <c r="A1903" s="9" t="s">
        <v>2418</v>
      </c>
      <c r="B1903" s="9" t="s">
        <v>381</v>
      </c>
      <c r="C1903" s="8" t="s">
        <v>46</v>
      </c>
      <c r="D1903" s="14" t="s">
        <v>2296</v>
      </c>
      <c r="E1903" s="8" t="s">
        <v>2585</v>
      </c>
      <c r="F1903" s="27" t="s">
        <v>2612</v>
      </c>
    </row>
    <row r="1904">
      <c r="A1904" s="9" t="s">
        <v>1313</v>
      </c>
      <c r="B1904" s="9" t="s">
        <v>33</v>
      </c>
      <c r="C1904" s="8" t="s">
        <v>141</v>
      </c>
      <c r="D1904" s="14" t="s">
        <v>1070</v>
      </c>
      <c r="E1904" s="8" t="s">
        <v>2575</v>
      </c>
      <c r="F1904" s="27" t="s">
        <v>2591</v>
      </c>
    </row>
    <row r="1905">
      <c r="A1905" s="9" t="s">
        <v>1032</v>
      </c>
      <c r="B1905" s="9" t="s">
        <v>117</v>
      </c>
      <c r="C1905" s="8" t="s">
        <v>149</v>
      </c>
      <c r="D1905" s="14" t="s">
        <v>837</v>
      </c>
      <c r="E1905" s="8" t="s">
        <v>2566</v>
      </c>
      <c r="F1905" s="27" t="s">
        <v>2569</v>
      </c>
    </row>
    <row r="1906">
      <c r="A1906" s="9" t="s">
        <v>175</v>
      </c>
      <c r="B1906" s="9" t="s">
        <v>176</v>
      </c>
      <c r="C1906" s="8" t="s">
        <v>65</v>
      </c>
      <c r="D1906" s="14" t="s">
        <v>135</v>
      </c>
      <c r="E1906" s="8" t="s">
        <v>2600</v>
      </c>
      <c r="F1906" s="27" t="s">
        <v>2579</v>
      </c>
    </row>
    <row r="1907">
      <c r="A1907" s="9" t="s">
        <v>799</v>
      </c>
      <c r="B1907" s="9" t="s">
        <v>800</v>
      </c>
      <c r="C1907" s="8" t="s">
        <v>93</v>
      </c>
      <c r="D1907" s="14" t="s">
        <v>631</v>
      </c>
      <c r="E1907" s="8" t="s">
        <v>2554</v>
      </c>
      <c r="F1907" s="27" t="s">
        <v>2596</v>
      </c>
    </row>
    <row r="1908">
      <c r="A1908" s="9" t="s">
        <v>2246</v>
      </c>
      <c r="B1908" s="9" t="s">
        <v>275</v>
      </c>
      <c r="C1908" s="8" t="s">
        <v>138</v>
      </c>
      <c r="D1908" s="14" t="s">
        <v>2033</v>
      </c>
      <c r="E1908" s="8" t="s">
        <v>2566</v>
      </c>
      <c r="F1908" s="27" t="s">
        <v>2594</v>
      </c>
    </row>
    <row r="1909">
      <c r="A1909" s="9" t="s">
        <v>2246</v>
      </c>
      <c r="B1909" s="9" t="s">
        <v>800</v>
      </c>
      <c r="C1909" s="8" t="s">
        <v>65</v>
      </c>
      <c r="D1909" s="14" t="s">
        <v>2296</v>
      </c>
      <c r="E1909" s="8" t="s">
        <v>2566</v>
      </c>
      <c r="F1909" s="27" t="s">
        <v>2622</v>
      </c>
    </row>
    <row r="1910">
      <c r="A1910" s="9" t="s">
        <v>1616</v>
      </c>
      <c r="B1910" s="9" t="s">
        <v>214</v>
      </c>
      <c r="C1910" s="8" t="s">
        <v>16</v>
      </c>
      <c r="D1910" s="14" t="s">
        <v>1352</v>
      </c>
      <c r="E1910" s="8" t="s">
        <v>2552</v>
      </c>
      <c r="F1910" s="27" t="s">
        <v>2606</v>
      </c>
    </row>
    <row r="1911">
      <c r="A1911" s="9" t="s">
        <v>1617</v>
      </c>
      <c r="B1911" s="9" t="s">
        <v>1618</v>
      </c>
      <c r="C1911" s="8" t="s">
        <v>70</v>
      </c>
      <c r="D1911" s="14" t="s">
        <v>1352</v>
      </c>
      <c r="E1911" s="8" t="s">
        <v>2564</v>
      </c>
      <c r="F1911" s="27" t="s">
        <v>2565</v>
      </c>
    </row>
    <row r="1912">
      <c r="A1912" s="9" t="s">
        <v>1972</v>
      </c>
      <c r="B1912" s="9" t="s">
        <v>1973</v>
      </c>
      <c r="C1912" s="8" t="s">
        <v>215</v>
      </c>
      <c r="D1912" s="14" t="s">
        <v>1679</v>
      </c>
      <c r="E1912" s="8" t="s">
        <v>2593</v>
      </c>
      <c r="F1912" s="27" t="s">
        <v>2583</v>
      </c>
    </row>
    <row r="1913">
      <c r="A1913" s="9" t="s">
        <v>99</v>
      </c>
      <c r="B1913" s="9" t="s">
        <v>100</v>
      </c>
      <c r="C1913" s="8" t="s">
        <v>16</v>
      </c>
      <c r="D1913" s="14" t="s">
        <v>83</v>
      </c>
      <c r="E1913" s="8" t="s">
        <v>2582</v>
      </c>
      <c r="F1913" s="27" t="s">
        <v>2590</v>
      </c>
    </row>
    <row r="1914">
      <c r="A1914" s="9" t="s">
        <v>99</v>
      </c>
      <c r="B1914" s="9" t="s">
        <v>277</v>
      </c>
      <c r="C1914" s="8" t="s">
        <v>186</v>
      </c>
      <c r="D1914" s="14" t="s">
        <v>2296</v>
      </c>
      <c r="E1914" s="8" t="s">
        <v>2574</v>
      </c>
      <c r="F1914" s="27" t="s">
        <v>2576</v>
      </c>
    </row>
    <row r="1915">
      <c r="A1915" s="9" t="s">
        <v>99</v>
      </c>
      <c r="B1915" s="9" t="s">
        <v>1379</v>
      </c>
      <c r="C1915" s="8" t="s">
        <v>149</v>
      </c>
      <c r="D1915" s="14" t="s">
        <v>2033</v>
      </c>
      <c r="E1915" s="8" t="s">
        <v>2567</v>
      </c>
      <c r="F1915" s="27" t="s">
        <v>2599</v>
      </c>
    </row>
    <row r="1916">
      <c r="A1916" s="9" t="s">
        <v>99</v>
      </c>
      <c r="B1916" s="9" t="s">
        <v>52</v>
      </c>
      <c r="C1916" s="8" t="s">
        <v>186</v>
      </c>
      <c r="D1916" s="14" t="s">
        <v>2296</v>
      </c>
      <c r="E1916" s="8" t="s">
        <v>2552</v>
      </c>
      <c r="F1916" s="27" t="s">
        <v>2583</v>
      </c>
    </row>
    <row r="1917">
      <c r="A1917" s="9" t="s">
        <v>99</v>
      </c>
      <c r="B1917" s="9" t="s">
        <v>275</v>
      </c>
      <c r="C1917" s="8" t="s">
        <v>138</v>
      </c>
      <c r="D1917" s="14" t="s">
        <v>837</v>
      </c>
      <c r="E1917" s="8" t="s">
        <v>2615</v>
      </c>
      <c r="F1917" s="27" t="s">
        <v>2568</v>
      </c>
    </row>
    <row r="1918">
      <c r="A1918" s="9" t="s">
        <v>99</v>
      </c>
      <c r="B1918" s="9" t="s">
        <v>1029</v>
      </c>
      <c r="C1918" s="8" t="s">
        <v>80</v>
      </c>
      <c r="D1918" s="14" t="s">
        <v>837</v>
      </c>
      <c r="E1918" s="8" t="s">
        <v>2552</v>
      </c>
      <c r="F1918" s="27" t="s">
        <v>2594</v>
      </c>
    </row>
    <row r="1919">
      <c r="A1919" s="9" t="s">
        <v>99</v>
      </c>
      <c r="B1919" s="9" t="s">
        <v>217</v>
      </c>
      <c r="C1919" s="8" t="s">
        <v>65</v>
      </c>
      <c r="D1919" s="14" t="s">
        <v>837</v>
      </c>
      <c r="E1919" s="8" t="s">
        <v>2614</v>
      </c>
      <c r="F1919" s="27" t="s">
        <v>2568</v>
      </c>
    </row>
    <row r="1920">
      <c r="A1920" s="9" t="s">
        <v>99</v>
      </c>
      <c r="B1920" s="9" t="s">
        <v>1314</v>
      </c>
      <c r="C1920" s="8" t="s">
        <v>46</v>
      </c>
      <c r="D1920" s="14" t="s">
        <v>1070</v>
      </c>
      <c r="E1920" s="8" t="s">
        <v>2592</v>
      </c>
      <c r="F1920" s="27" t="s">
        <v>2622</v>
      </c>
    </row>
    <row r="1921">
      <c r="A1921" s="9" t="s">
        <v>99</v>
      </c>
      <c r="B1921" s="9" t="s">
        <v>226</v>
      </c>
      <c r="C1921" s="8" t="s">
        <v>186</v>
      </c>
      <c r="D1921" s="14" t="s">
        <v>1679</v>
      </c>
      <c r="E1921" s="8" t="s">
        <v>2592</v>
      </c>
      <c r="F1921" s="27" t="s">
        <v>2606</v>
      </c>
    </row>
    <row r="1922">
      <c r="A1922" s="9" t="s">
        <v>99</v>
      </c>
      <c r="B1922" s="9" t="s">
        <v>129</v>
      </c>
      <c r="C1922" s="8" t="s">
        <v>149</v>
      </c>
      <c r="D1922" s="14" t="s">
        <v>2033</v>
      </c>
      <c r="E1922" s="8" t="s">
        <v>2560</v>
      </c>
      <c r="F1922" s="27" t="s">
        <v>2628</v>
      </c>
    </row>
    <row r="1923">
      <c r="A1923" s="9" t="s">
        <v>99</v>
      </c>
      <c r="B1923" s="9" t="s">
        <v>177</v>
      </c>
      <c r="C1923" s="8" t="s">
        <v>141</v>
      </c>
      <c r="D1923" s="14" t="s">
        <v>135</v>
      </c>
      <c r="E1923" s="8" t="s">
        <v>2592</v>
      </c>
      <c r="F1923" s="27" t="s">
        <v>2583</v>
      </c>
    </row>
    <row r="1924">
      <c r="A1924" s="9" t="s">
        <v>99</v>
      </c>
      <c r="B1924" s="9" t="s">
        <v>239</v>
      </c>
      <c r="C1924" s="8" t="s">
        <v>16</v>
      </c>
      <c r="D1924" s="14" t="s">
        <v>631</v>
      </c>
      <c r="E1924" s="8" t="s">
        <v>2603</v>
      </c>
      <c r="F1924" s="27" t="s">
        <v>2580</v>
      </c>
    </row>
    <row r="1925">
      <c r="A1925" s="9" t="s">
        <v>99</v>
      </c>
      <c r="B1925" s="9" t="s">
        <v>377</v>
      </c>
      <c r="C1925" s="8" t="s">
        <v>192</v>
      </c>
      <c r="D1925" s="14" t="s">
        <v>338</v>
      </c>
      <c r="E1925" s="8" t="s">
        <v>2552</v>
      </c>
      <c r="F1925" s="27" t="s">
        <v>2636</v>
      </c>
    </row>
    <row r="1926">
      <c r="A1926" s="9" t="s">
        <v>99</v>
      </c>
      <c r="B1926" s="9" t="s">
        <v>2490</v>
      </c>
      <c r="C1926" s="8" t="s">
        <v>24</v>
      </c>
      <c r="D1926" s="14" t="s">
        <v>2459</v>
      </c>
      <c r="E1926" s="8" t="s">
        <v>2552</v>
      </c>
      <c r="F1926" s="27" t="s">
        <v>2601</v>
      </c>
    </row>
    <row r="1927">
      <c r="A1927" s="9" t="s">
        <v>99</v>
      </c>
      <c r="B1927" s="9" t="s">
        <v>2245</v>
      </c>
      <c r="C1927" s="8" t="s">
        <v>70</v>
      </c>
      <c r="D1927" s="14" t="s">
        <v>2033</v>
      </c>
      <c r="E1927" s="8" t="s">
        <v>2598</v>
      </c>
      <c r="F1927" s="27" t="s">
        <v>2571</v>
      </c>
    </row>
    <row r="1928">
      <c r="A1928" s="9" t="s">
        <v>99</v>
      </c>
      <c r="B1928" s="9" t="s">
        <v>1051</v>
      </c>
      <c r="C1928" s="8" t="s">
        <v>65</v>
      </c>
      <c r="D1928" s="14" t="s">
        <v>2296</v>
      </c>
      <c r="E1928" s="8" t="s">
        <v>2575</v>
      </c>
      <c r="F1928" s="27" t="s">
        <v>2594</v>
      </c>
    </row>
    <row r="1929">
      <c r="A1929" s="9" t="s">
        <v>99</v>
      </c>
      <c r="B1929" s="9" t="s">
        <v>1971</v>
      </c>
      <c r="C1929" s="8" t="s">
        <v>186</v>
      </c>
      <c r="D1929" s="14" t="s">
        <v>1679</v>
      </c>
      <c r="E1929" s="8" t="s">
        <v>2614</v>
      </c>
      <c r="F1929" s="27" t="s">
        <v>2625</v>
      </c>
    </row>
    <row r="1930">
      <c r="A1930" s="9" t="s">
        <v>99</v>
      </c>
      <c r="B1930" s="9" t="s">
        <v>204</v>
      </c>
      <c r="C1930" s="8" t="s">
        <v>93</v>
      </c>
      <c r="D1930" s="14" t="s">
        <v>237</v>
      </c>
      <c r="E1930" s="8" t="s">
        <v>2575</v>
      </c>
      <c r="F1930" s="27" t="s">
        <v>2611</v>
      </c>
    </row>
    <row r="1931">
      <c r="A1931" s="9" t="s">
        <v>99</v>
      </c>
      <c r="B1931" s="9" t="s">
        <v>1975</v>
      </c>
      <c r="C1931" s="8" t="s">
        <v>24</v>
      </c>
      <c r="D1931" s="14" t="s">
        <v>1679</v>
      </c>
      <c r="E1931" s="8" t="s">
        <v>2621</v>
      </c>
      <c r="F1931" s="27" t="s">
        <v>2553</v>
      </c>
    </row>
    <row r="1932">
      <c r="A1932" s="9" t="s">
        <v>99</v>
      </c>
      <c r="B1932" s="9" t="s">
        <v>1779</v>
      </c>
      <c r="C1932" s="8" t="s">
        <v>24</v>
      </c>
      <c r="D1932" s="14" t="s">
        <v>2296</v>
      </c>
      <c r="E1932" s="8" t="s">
        <v>2585</v>
      </c>
      <c r="F1932" s="27" t="s">
        <v>2579</v>
      </c>
    </row>
    <row r="1933">
      <c r="A1933" s="9" t="s">
        <v>99</v>
      </c>
      <c r="B1933" s="9" t="s">
        <v>782</v>
      </c>
      <c r="C1933" s="8" t="s">
        <v>261</v>
      </c>
      <c r="D1933" s="14" t="s">
        <v>837</v>
      </c>
      <c r="E1933" s="18" t="s">
        <v>2556</v>
      </c>
      <c r="F1933" s="27" t="s">
        <v>2576</v>
      </c>
    </row>
    <row r="1934">
      <c r="A1934" s="9" t="s">
        <v>99</v>
      </c>
      <c r="B1934" s="9" t="s">
        <v>42</v>
      </c>
      <c r="C1934" s="8" t="s">
        <v>24</v>
      </c>
      <c r="D1934" s="14" t="s">
        <v>237</v>
      </c>
      <c r="E1934" s="8" t="s">
        <v>2587</v>
      </c>
      <c r="F1934" s="27" t="s">
        <v>2601</v>
      </c>
    </row>
    <row r="1935">
      <c r="A1935" s="9" t="s">
        <v>99</v>
      </c>
      <c r="B1935" s="9" t="s">
        <v>283</v>
      </c>
      <c r="C1935" s="8" t="s">
        <v>53</v>
      </c>
      <c r="D1935" s="14" t="s">
        <v>338</v>
      </c>
      <c r="E1935" s="8" t="s">
        <v>2585</v>
      </c>
      <c r="F1935" s="27" t="s">
        <v>2602</v>
      </c>
    </row>
    <row r="1936">
      <c r="A1936" s="9" t="s">
        <v>99</v>
      </c>
      <c r="B1936" s="9" t="s">
        <v>634</v>
      </c>
      <c r="C1936" s="8" t="s">
        <v>192</v>
      </c>
      <c r="D1936" s="14" t="s">
        <v>1679</v>
      </c>
      <c r="E1936" s="8" t="s">
        <v>2581</v>
      </c>
      <c r="F1936" s="27" t="s">
        <v>2583</v>
      </c>
    </row>
    <row r="1937">
      <c r="A1937" s="9" t="s">
        <v>99</v>
      </c>
      <c r="B1937" s="9" t="s">
        <v>1107</v>
      </c>
      <c r="C1937" s="8" t="s">
        <v>59</v>
      </c>
      <c r="D1937" s="14" t="s">
        <v>1070</v>
      </c>
      <c r="E1937" s="8" t="s">
        <v>2558</v>
      </c>
      <c r="F1937" s="27" t="s">
        <v>2607</v>
      </c>
    </row>
    <row r="1938">
      <c r="A1938" s="9" t="s">
        <v>99</v>
      </c>
      <c r="B1938" s="9" t="s">
        <v>1033</v>
      </c>
      <c r="C1938" s="8" t="s">
        <v>70</v>
      </c>
      <c r="D1938" s="14" t="s">
        <v>837</v>
      </c>
      <c r="E1938" s="8" t="s">
        <v>2566</v>
      </c>
      <c r="F1938" s="27" t="s">
        <v>2557</v>
      </c>
    </row>
    <row r="1939">
      <c r="A1939" s="9" t="s">
        <v>99</v>
      </c>
      <c r="B1939" s="9" t="s">
        <v>2419</v>
      </c>
      <c r="C1939" s="8" t="s">
        <v>186</v>
      </c>
      <c r="D1939" s="14" t="s">
        <v>2296</v>
      </c>
      <c r="E1939" s="8" t="s">
        <v>2605</v>
      </c>
      <c r="F1939" s="27" t="s">
        <v>2599</v>
      </c>
    </row>
    <row r="1940">
      <c r="A1940" s="9" t="s">
        <v>99</v>
      </c>
      <c r="B1940" s="9" t="s">
        <v>67</v>
      </c>
      <c r="C1940" s="8" t="s">
        <v>93</v>
      </c>
      <c r="D1940" s="14" t="s">
        <v>1352</v>
      </c>
      <c r="E1940" s="8" t="s">
        <v>2592</v>
      </c>
      <c r="F1940" s="27" t="s">
        <v>2622</v>
      </c>
    </row>
    <row r="1941">
      <c r="A1941" s="9" t="s">
        <v>99</v>
      </c>
      <c r="B1941" s="9" t="s">
        <v>2491</v>
      </c>
      <c r="C1941" s="8" t="s">
        <v>93</v>
      </c>
      <c r="D1941" s="14" t="s">
        <v>2459</v>
      </c>
      <c r="E1941" s="8" t="s">
        <v>2584</v>
      </c>
      <c r="F1941" s="27" t="s">
        <v>2612</v>
      </c>
    </row>
    <row r="1942">
      <c r="A1942" s="9" t="s">
        <v>99</v>
      </c>
      <c r="B1942" s="9" t="s">
        <v>1984</v>
      </c>
      <c r="C1942" s="8" t="s">
        <v>59</v>
      </c>
      <c r="D1942" s="14" t="s">
        <v>2033</v>
      </c>
      <c r="E1942" s="8" t="s">
        <v>2577</v>
      </c>
      <c r="F1942" s="27" t="s">
        <v>2563</v>
      </c>
    </row>
    <row r="1943">
      <c r="A1943" s="9" t="s">
        <v>99</v>
      </c>
      <c r="B1943" s="9" t="s">
        <v>801</v>
      </c>
      <c r="C1943" s="8" t="s">
        <v>59</v>
      </c>
      <c r="D1943" s="14" t="s">
        <v>631</v>
      </c>
      <c r="E1943" s="8" t="s">
        <v>2584</v>
      </c>
      <c r="F1943" s="27" t="s">
        <v>2613</v>
      </c>
    </row>
    <row r="1944">
      <c r="A1944" s="9" t="s">
        <v>99</v>
      </c>
      <c r="B1944" s="9" t="s">
        <v>434</v>
      </c>
      <c r="C1944" s="8" t="s">
        <v>65</v>
      </c>
      <c r="D1944" s="14" t="s">
        <v>338</v>
      </c>
      <c r="E1944" s="8" t="s">
        <v>2574</v>
      </c>
      <c r="F1944" s="27" t="s">
        <v>2590</v>
      </c>
    </row>
    <row r="1945">
      <c r="A1945" s="9" t="s">
        <v>99</v>
      </c>
      <c r="B1945" s="9" t="s">
        <v>2247</v>
      </c>
      <c r="C1945" s="8" t="s">
        <v>93</v>
      </c>
      <c r="D1945" s="14" t="s">
        <v>2033</v>
      </c>
      <c r="E1945" s="8" t="s">
        <v>2183</v>
      </c>
      <c r="F1945" s="27" t="s">
        <v>2579</v>
      </c>
    </row>
    <row r="1946">
      <c r="A1946" s="18" t="s">
        <v>99</v>
      </c>
      <c r="B1946" s="18" t="s">
        <v>2248</v>
      </c>
      <c r="C1946" s="8" t="s">
        <v>65</v>
      </c>
      <c r="D1946" s="14" t="s">
        <v>2033</v>
      </c>
      <c r="E1946" s="8" t="s">
        <v>2595</v>
      </c>
      <c r="F1946" s="27" t="s">
        <v>2553</v>
      </c>
    </row>
    <row r="1947">
      <c r="A1947" s="9" t="s">
        <v>99</v>
      </c>
      <c r="B1947" s="9" t="s">
        <v>802</v>
      </c>
      <c r="C1947" s="8" t="s">
        <v>46</v>
      </c>
      <c r="D1947" s="14" t="s">
        <v>631</v>
      </c>
      <c r="E1947" s="8" t="s">
        <v>2614</v>
      </c>
      <c r="F1947" s="27" t="s">
        <v>2636</v>
      </c>
    </row>
    <row r="1948">
      <c r="A1948" s="9" t="s">
        <v>99</v>
      </c>
      <c r="B1948" s="9" t="s">
        <v>2249</v>
      </c>
      <c r="C1948" s="8" t="s">
        <v>65</v>
      </c>
      <c r="D1948" s="14" t="s">
        <v>2033</v>
      </c>
      <c r="E1948" s="8" t="s">
        <v>2562</v>
      </c>
      <c r="F1948" s="27" t="s">
        <v>2576</v>
      </c>
    </row>
    <row r="1949">
      <c r="A1949" s="18" t="s">
        <v>99</v>
      </c>
      <c r="B1949" s="18" t="s">
        <v>1315</v>
      </c>
      <c r="C1949" s="8" t="s">
        <v>53</v>
      </c>
      <c r="D1949" s="14" t="s">
        <v>1070</v>
      </c>
      <c r="E1949" s="8" t="s">
        <v>2558</v>
      </c>
      <c r="F1949" s="27" t="s">
        <v>2578</v>
      </c>
    </row>
    <row r="1950">
      <c r="A1950" s="9" t="s">
        <v>2420</v>
      </c>
      <c r="B1950" s="9" t="s">
        <v>2421</v>
      </c>
      <c r="C1950" s="8" t="s">
        <v>65</v>
      </c>
      <c r="D1950" s="14" t="s">
        <v>2296</v>
      </c>
      <c r="E1950" s="8" t="s">
        <v>2577</v>
      </c>
      <c r="F1950" s="27" t="s">
        <v>2613</v>
      </c>
    </row>
    <row r="1951">
      <c r="A1951" s="9" t="s">
        <v>1976</v>
      </c>
      <c r="B1951" s="9" t="s">
        <v>1977</v>
      </c>
      <c r="C1951" s="8" t="s">
        <v>138</v>
      </c>
      <c r="D1951" s="14" t="s">
        <v>1679</v>
      </c>
      <c r="E1951" s="8" t="s">
        <v>2584</v>
      </c>
      <c r="F1951" s="27" t="s">
        <v>2591</v>
      </c>
    </row>
    <row r="1952">
      <c r="A1952" s="9" t="s">
        <v>1978</v>
      </c>
      <c r="B1952" s="9" t="s">
        <v>1979</v>
      </c>
      <c r="C1952" s="8" t="s">
        <v>24</v>
      </c>
      <c r="D1952" s="14" t="s">
        <v>1679</v>
      </c>
      <c r="E1952" s="8" t="s">
        <v>2581</v>
      </c>
      <c r="F1952" s="27" t="s">
        <v>2568</v>
      </c>
    </row>
    <row r="1953">
      <c r="A1953" s="9" t="s">
        <v>1316</v>
      </c>
      <c r="B1953" s="9" t="s">
        <v>1317</v>
      </c>
      <c r="C1953" s="8" t="s">
        <v>65</v>
      </c>
      <c r="D1953" s="14" t="s">
        <v>1070</v>
      </c>
      <c r="E1953" s="8" t="s">
        <v>2575</v>
      </c>
      <c r="F1953" s="27" t="s">
        <v>2586</v>
      </c>
    </row>
    <row r="1954">
      <c r="A1954" s="9" t="s">
        <v>2492</v>
      </c>
      <c r="B1954" s="9" t="s">
        <v>503</v>
      </c>
      <c r="C1954" s="8" t="s">
        <v>70</v>
      </c>
      <c r="D1954" s="14" t="s">
        <v>2459</v>
      </c>
      <c r="E1954" s="8" t="s">
        <v>2577</v>
      </c>
      <c r="F1954" s="27" t="s">
        <v>2557</v>
      </c>
    </row>
    <row r="1955">
      <c r="A1955" s="9" t="s">
        <v>316</v>
      </c>
      <c r="B1955" s="9" t="s">
        <v>317</v>
      </c>
      <c r="C1955" s="8" t="s">
        <v>46</v>
      </c>
      <c r="D1955" s="14" t="s">
        <v>237</v>
      </c>
      <c r="E1955" s="8" t="s">
        <v>2566</v>
      </c>
      <c r="F1955" s="27" t="s">
        <v>2601</v>
      </c>
    </row>
    <row r="1956">
      <c r="A1956" s="9" t="s">
        <v>602</v>
      </c>
      <c r="B1956" s="9" t="s">
        <v>197</v>
      </c>
      <c r="C1956" s="8" t="s">
        <v>192</v>
      </c>
      <c r="D1956" s="14" t="s">
        <v>459</v>
      </c>
      <c r="E1956" s="8" t="s">
        <v>2183</v>
      </c>
      <c r="F1956" s="27" t="s">
        <v>2591</v>
      </c>
    </row>
    <row r="1957">
      <c r="A1957" s="9" t="s">
        <v>435</v>
      </c>
      <c r="B1957" s="9" t="s">
        <v>436</v>
      </c>
      <c r="C1957" s="8" t="s">
        <v>24</v>
      </c>
      <c r="D1957" s="14" t="s">
        <v>338</v>
      </c>
      <c r="E1957" s="8" t="s">
        <v>2605</v>
      </c>
      <c r="F1957" s="27" t="s">
        <v>2563</v>
      </c>
    </row>
    <row r="1958">
      <c r="A1958" s="9" t="s">
        <v>803</v>
      </c>
      <c r="B1958" s="9" t="s">
        <v>804</v>
      </c>
      <c r="C1958" s="8" t="s">
        <v>75</v>
      </c>
      <c r="D1958" s="14" t="s">
        <v>631</v>
      </c>
      <c r="E1958" s="8" t="s">
        <v>2587</v>
      </c>
      <c r="F1958" s="27" t="s">
        <v>2586</v>
      </c>
    </row>
    <row r="1959">
      <c r="A1959" s="9" t="s">
        <v>2250</v>
      </c>
      <c r="B1959" s="9" t="s">
        <v>859</v>
      </c>
      <c r="C1959" s="8" t="s">
        <v>215</v>
      </c>
      <c r="D1959" s="14" t="s">
        <v>2033</v>
      </c>
      <c r="E1959" s="8" t="s">
        <v>2183</v>
      </c>
      <c r="F1959" s="27" t="s">
        <v>2565</v>
      </c>
    </row>
    <row r="1960">
      <c r="A1960" s="18" t="s">
        <v>1980</v>
      </c>
      <c r="B1960" s="18" t="s">
        <v>920</v>
      </c>
      <c r="C1960" s="8" t="s">
        <v>53</v>
      </c>
      <c r="D1960" s="14" t="s">
        <v>1679</v>
      </c>
      <c r="E1960" s="8" t="s">
        <v>2567</v>
      </c>
      <c r="F1960" s="27" t="s">
        <v>2594</v>
      </c>
    </row>
    <row r="1961">
      <c r="A1961" s="9" t="s">
        <v>1034</v>
      </c>
      <c r="B1961" s="9" t="s">
        <v>957</v>
      </c>
      <c r="C1961" s="8" t="s">
        <v>122</v>
      </c>
      <c r="D1961" s="14" t="s">
        <v>837</v>
      </c>
      <c r="E1961" s="8" t="s">
        <v>2581</v>
      </c>
      <c r="F1961" s="27" t="s">
        <v>2573</v>
      </c>
    </row>
    <row r="1962">
      <c r="A1962" s="9" t="s">
        <v>1034</v>
      </c>
      <c r="B1962" s="9" t="s">
        <v>1621</v>
      </c>
      <c r="C1962" s="8" t="s">
        <v>59</v>
      </c>
      <c r="D1962" s="14" t="s">
        <v>1352</v>
      </c>
      <c r="E1962" s="8" t="s">
        <v>2592</v>
      </c>
      <c r="F1962" s="27" t="s">
        <v>2565</v>
      </c>
    </row>
    <row r="1963">
      <c r="A1963" s="9" t="s">
        <v>2251</v>
      </c>
      <c r="B1963" s="9" t="s">
        <v>337</v>
      </c>
      <c r="C1963" s="8" t="s">
        <v>186</v>
      </c>
      <c r="D1963" s="14" t="s">
        <v>2033</v>
      </c>
      <c r="E1963" s="8" t="s">
        <v>2577</v>
      </c>
      <c r="F1963" s="27" t="s">
        <v>2609</v>
      </c>
    </row>
    <row r="1964">
      <c r="A1964" s="9" t="s">
        <v>1622</v>
      </c>
      <c r="B1964" s="9" t="s">
        <v>45</v>
      </c>
      <c r="C1964" s="8" t="s">
        <v>149</v>
      </c>
      <c r="D1964" s="14" t="s">
        <v>1352</v>
      </c>
      <c r="E1964" s="8" t="s">
        <v>2558</v>
      </c>
      <c r="F1964" s="27" t="s">
        <v>2594</v>
      </c>
    </row>
    <row r="1965">
      <c r="A1965" s="9" t="s">
        <v>2493</v>
      </c>
      <c r="B1965" s="9" t="s">
        <v>2494</v>
      </c>
      <c r="C1965" s="8" t="s">
        <v>93</v>
      </c>
      <c r="D1965" s="14" t="s">
        <v>2459</v>
      </c>
      <c r="E1965" s="8" t="s">
        <v>2572</v>
      </c>
      <c r="F1965" s="27" t="s">
        <v>2609</v>
      </c>
    </row>
    <row r="1966">
      <c r="A1966" s="9" t="s">
        <v>1623</v>
      </c>
      <c r="B1966" s="9" t="s">
        <v>822</v>
      </c>
      <c r="C1966" s="8" t="s">
        <v>24</v>
      </c>
      <c r="D1966" s="14" t="s">
        <v>1352</v>
      </c>
      <c r="E1966" s="8" t="s">
        <v>2582</v>
      </c>
      <c r="F1966" s="27" t="s">
        <v>2557</v>
      </c>
    </row>
    <row r="1967">
      <c r="A1967" s="9" t="s">
        <v>437</v>
      </c>
      <c r="B1967" s="9" t="s">
        <v>438</v>
      </c>
      <c r="C1967" s="8" t="s">
        <v>122</v>
      </c>
      <c r="D1967" s="14" t="s">
        <v>338</v>
      </c>
      <c r="E1967" s="8" t="s">
        <v>2572</v>
      </c>
      <c r="F1967" s="27" t="s">
        <v>2568</v>
      </c>
    </row>
    <row r="1968">
      <c r="A1968" s="9" t="s">
        <v>2422</v>
      </c>
      <c r="B1968" s="9" t="s">
        <v>2423</v>
      </c>
      <c r="C1968" s="8" t="s">
        <v>65</v>
      </c>
      <c r="D1968" s="14" t="s">
        <v>2296</v>
      </c>
      <c r="E1968" s="8" t="s">
        <v>2558</v>
      </c>
      <c r="F1968" s="27" t="s">
        <v>2563</v>
      </c>
    </row>
    <row r="1969">
      <c r="A1969" s="9" t="s">
        <v>318</v>
      </c>
      <c r="B1969" s="9" t="s">
        <v>176</v>
      </c>
      <c r="C1969" s="8" t="s">
        <v>16</v>
      </c>
      <c r="D1969" s="14" t="s">
        <v>237</v>
      </c>
      <c r="E1969" s="8" t="s">
        <v>2554</v>
      </c>
      <c r="F1969" s="27" t="s">
        <v>2608</v>
      </c>
    </row>
    <row r="1970">
      <c r="A1970" s="9" t="s">
        <v>101</v>
      </c>
      <c r="B1970" s="9" t="s">
        <v>102</v>
      </c>
      <c r="C1970" s="8" t="s">
        <v>46</v>
      </c>
      <c r="D1970" s="14" t="s">
        <v>83</v>
      </c>
      <c r="E1970" s="8" t="s">
        <v>2585</v>
      </c>
      <c r="F1970" s="27" t="s">
        <v>2561</v>
      </c>
    </row>
    <row r="1971">
      <c r="A1971" s="9" t="s">
        <v>1981</v>
      </c>
      <c r="B1971" s="9" t="s">
        <v>441</v>
      </c>
      <c r="C1971" s="8" t="s">
        <v>122</v>
      </c>
      <c r="D1971" s="14" t="s">
        <v>1679</v>
      </c>
      <c r="E1971" s="8" t="s">
        <v>2595</v>
      </c>
      <c r="F1971" s="27" t="s">
        <v>2579</v>
      </c>
    </row>
    <row r="1972">
      <c r="A1972" s="9" t="s">
        <v>805</v>
      </c>
      <c r="B1972" s="9" t="s">
        <v>151</v>
      </c>
      <c r="C1972" s="8" t="s">
        <v>186</v>
      </c>
      <c r="D1972" s="14" t="s">
        <v>631</v>
      </c>
      <c r="E1972" s="8" t="s">
        <v>2587</v>
      </c>
      <c r="F1972" s="27" t="s">
        <v>2555</v>
      </c>
    </row>
    <row r="1973">
      <c r="A1973" s="9" t="s">
        <v>548</v>
      </c>
      <c r="B1973" s="9" t="s">
        <v>1624</v>
      </c>
      <c r="C1973" s="8" t="s">
        <v>46</v>
      </c>
      <c r="D1973" s="14" t="s">
        <v>1352</v>
      </c>
      <c r="E1973" s="8" t="s">
        <v>2575</v>
      </c>
      <c r="F1973" s="27" t="s">
        <v>2625</v>
      </c>
    </row>
    <row r="1974">
      <c r="A1974" s="9" t="s">
        <v>103</v>
      </c>
      <c r="B1974" s="9" t="s">
        <v>20</v>
      </c>
      <c r="C1974" s="8" t="s">
        <v>16</v>
      </c>
      <c r="D1974" s="14" t="s">
        <v>83</v>
      </c>
      <c r="E1974" s="8" t="s">
        <v>2615</v>
      </c>
      <c r="F1974" s="27" t="s">
        <v>2609</v>
      </c>
    </row>
    <row r="1975">
      <c r="A1975" s="9" t="s">
        <v>1982</v>
      </c>
      <c r="B1975" s="9" t="s">
        <v>506</v>
      </c>
      <c r="C1975" s="8" t="s">
        <v>149</v>
      </c>
      <c r="D1975" s="14" t="s">
        <v>1679</v>
      </c>
      <c r="E1975" s="8" t="s">
        <v>2562</v>
      </c>
      <c r="F1975" s="27" t="s">
        <v>2627</v>
      </c>
    </row>
    <row r="1976">
      <c r="A1976" s="9" t="s">
        <v>88</v>
      </c>
      <c r="B1976" s="9" t="s">
        <v>806</v>
      </c>
      <c r="C1976" s="8" t="s">
        <v>122</v>
      </c>
      <c r="D1976" s="14" t="s">
        <v>631</v>
      </c>
      <c r="E1976" s="8" t="s">
        <v>2552</v>
      </c>
      <c r="F1976" s="27" t="s">
        <v>2557</v>
      </c>
    </row>
    <row r="1977">
      <c r="A1977" s="9" t="s">
        <v>2252</v>
      </c>
      <c r="B1977" s="9" t="s">
        <v>2253</v>
      </c>
      <c r="C1977" s="8" t="s">
        <v>93</v>
      </c>
      <c r="D1977" s="14" t="s">
        <v>2033</v>
      </c>
      <c r="E1977" s="8" t="s">
        <v>2620</v>
      </c>
      <c r="F1977" s="27" t="s">
        <v>2612</v>
      </c>
    </row>
    <row r="1978">
      <c r="A1978" s="9" t="s">
        <v>1035</v>
      </c>
      <c r="B1978" s="9" t="s">
        <v>1036</v>
      </c>
      <c r="C1978" s="8" t="s">
        <v>24</v>
      </c>
      <c r="D1978" s="14" t="s">
        <v>837</v>
      </c>
      <c r="E1978" s="8" t="s">
        <v>2560</v>
      </c>
      <c r="F1978" s="27" t="s">
        <v>2591</v>
      </c>
    </row>
    <row r="1979">
      <c r="A1979" s="9" t="s">
        <v>2424</v>
      </c>
      <c r="B1979" s="9" t="s">
        <v>2425</v>
      </c>
      <c r="C1979" s="8" t="s">
        <v>24</v>
      </c>
      <c r="D1979" s="14" t="s">
        <v>2296</v>
      </c>
      <c r="E1979" s="8" t="s">
        <v>2558</v>
      </c>
      <c r="F1979" s="27" t="s">
        <v>2565</v>
      </c>
    </row>
    <row r="1980">
      <c r="A1980" s="9" t="s">
        <v>1037</v>
      </c>
      <c r="B1980" s="9" t="s">
        <v>480</v>
      </c>
      <c r="C1980" s="8" t="s">
        <v>46</v>
      </c>
      <c r="D1980" s="14" t="s">
        <v>837</v>
      </c>
      <c r="E1980" s="8" t="s">
        <v>2581</v>
      </c>
      <c r="F1980" s="27" t="s">
        <v>2606</v>
      </c>
    </row>
    <row r="1981">
      <c r="A1981" s="9" t="s">
        <v>1625</v>
      </c>
      <c r="B1981" s="9" t="s">
        <v>1626</v>
      </c>
      <c r="C1981" s="8" t="s">
        <v>122</v>
      </c>
      <c r="D1981" s="14" t="s">
        <v>1352</v>
      </c>
      <c r="E1981" s="8" t="s">
        <v>2567</v>
      </c>
      <c r="F1981" s="27" t="s">
        <v>2579</v>
      </c>
    </row>
    <row r="1982">
      <c r="A1982" s="18" t="s">
        <v>1625</v>
      </c>
      <c r="B1982" s="18" t="s">
        <v>2254</v>
      </c>
      <c r="C1982" s="8" t="s">
        <v>192</v>
      </c>
      <c r="D1982" s="14" t="s">
        <v>2033</v>
      </c>
      <c r="E1982" s="8" t="s">
        <v>2592</v>
      </c>
      <c r="F1982" s="27" t="s">
        <v>2557</v>
      </c>
    </row>
    <row r="1983">
      <c r="A1983" s="9" t="s">
        <v>1625</v>
      </c>
      <c r="B1983" s="9" t="s">
        <v>1627</v>
      </c>
      <c r="C1983" s="8" t="s">
        <v>192</v>
      </c>
      <c r="D1983" s="14" t="s">
        <v>1352</v>
      </c>
      <c r="E1983" s="8" t="s">
        <v>2592</v>
      </c>
      <c r="F1983" s="27" t="s">
        <v>2594</v>
      </c>
    </row>
    <row r="1984">
      <c r="A1984" s="9" t="s">
        <v>2426</v>
      </c>
      <c r="B1984" s="9" t="s">
        <v>894</v>
      </c>
      <c r="C1984" s="8" t="s">
        <v>16</v>
      </c>
      <c r="D1984" s="14" t="s">
        <v>2296</v>
      </c>
      <c r="E1984" s="8" t="s">
        <v>2572</v>
      </c>
      <c r="F1984" s="27" t="s">
        <v>2576</v>
      </c>
    </row>
    <row r="1985">
      <c r="A1985" s="9" t="s">
        <v>2427</v>
      </c>
      <c r="B1985" s="9" t="s">
        <v>1205</v>
      </c>
      <c r="C1985" s="8" t="s">
        <v>16</v>
      </c>
      <c r="D1985" s="14" t="s">
        <v>2296</v>
      </c>
      <c r="E1985" s="8" t="s">
        <v>2600</v>
      </c>
      <c r="F1985" s="27" t="s">
        <v>2612</v>
      </c>
    </row>
    <row r="1986">
      <c r="A1986" s="9" t="s">
        <v>1038</v>
      </c>
      <c r="B1986" s="9" t="s">
        <v>333</v>
      </c>
      <c r="C1986" s="8" t="s">
        <v>65</v>
      </c>
      <c r="D1986" s="14" t="s">
        <v>837</v>
      </c>
      <c r="E1986" s="8" t="s">
        <v>2581</v>
      </c>
      <c r="F1986" s="27" t="s">
        <v>2611</v>
      </c>
    </row>
    <row r="1987">
      <c r="A1987" s="9" t="s">
        <v>1628</v>
      </c>
      <c r="B1987" s="9" t="s">
        <v>98</v>
      </c>
      <c r="C1987" s="8" t="s">
        <v>132</v>
      </c>
      <c r="D1987" s="14" t="s">
        <v>1352</v>
      </c>
      <c r="E1987" s="8" t="s">
        <v>2621</v>
      </c>
      <c r="F1987" s="27" t="s">
        <v>2606</v>
      </c>
    </row>
    <row r="1988">
      <c r="A1988" s="9" t="s">
        <v>319</v>
      </c>
      <c r="B1988" s="9" t="s">
        <v>320</v>
      </c>
      <c r="C1988" s="8" t="s">
        <v>24</v>
      </c>
      <c r="D1988" s="14" t="s">
        <v>237</v>
      </c>
      <c r="E1988" s="8" t="s">
        <v>2598</v>
      </c>
      <c r="F1988" s="27" t="s">
        <v>2602</v>
      </c>
    </row>
    <row r="1989">
      <c r="A1989" s="9" t="s">
        <v>2255</v>
      </c>
      <c r="B1989" s="9" t="s">
        <v>2256</v>
      </c>
      <c r="C1989" s="8" t="s">
        <v>138</v>
      </c>
      <c r="D1989" s="14" t="s">
        <v>2033</v>
      </c>
      <c r="E1989" s="8" t="s">
        <v>2585</v>
      </c>
      <c r="F1989" s="27" t="s">
        <v>2579</v>
      </c>
    </row>
    <row r="1990">
      <c r="A1990" s="9" t="s">
        <v>2257</v>
      </c>
      <c r="B1990" s="9" t="s">
        <v>124</v>
      </c>
      <c r="C1990" s="8" t="s">
        <v>93</v>
      </c>
      <c r="D1990" s="14" t="s">
        <v>2033</v>
      </c>
      <c r="E1990" s="8" t="s">
        <v>2582</v>
      </c>
      <c r="F1990" s="27" t="s">
        <v>2591</v>
      </c>
    </row>
    <row r="1991">
      <c r="A1991" s="9" t="s">
        <v>1629</v>
      </c>
      <c r="B1991" s="9" t="s">
        <v>1630</v>
      </c>
      <c r="C1991" s="8" t="s">
        <v>65</v>
      </c>
      <c r="D1991" s="14" t="s">
        <v>1352</v>
      </c>
      <c r="E1991" s="8" t="s">
        <v>2615</v>
      </c>
      <c r="F1991" s="27" t="s">
        <v>2573</v>
      </c>
    </row>
    <row r="1992">
      <c r="A1992" s="9" t="s">
        <v>321</v>
      </c>
      <c r="B1992" s="9" t="s">
        <v>322</v>
      </c>
      <c r="C1992" s="8" t="s">
        <v>186</v>
      </c>
      <c r="D1992" s="14" t="s">
        <v>237</v>
      </c>
      <c r="E1992" s="8" t="s">
        <v>2566</v>
      </c>
      <c r="F1992" s="27" t="s">
        <v>2555</v>
      </c>
    </row>
    <row r="1993">
      <c r="A1993" s="18" t="s">
        <v>807</v>
      </c>
      <c r="B1993" s="18" t="s">
        <v>596</v>
      </c>
      <c r="C1993" s="8" t="s">
        <v>75</v>
      </c>
      <c r="D1993" s="14" t="s">
        <v>631</v>
      </c>
      <c r="E1993" s="8" t="s">
        <v>2614</v>
      </c>
      <c r="F1993" s="27" t="s">
        <v>2622</v>
      </c>
    </row>
    <row r="1994">
      <c r="A1994" s="9" t="s">
        <v>227</v>
      </c>
      <c r="B1994" s="9" t="s">
        <v>67</v>
      </c>
      <c r="C1994" s="8" t="s">
        <v>12</v>
      </c>
      <c r="D1994" s="14" t="s">
        <v>189</v>
      </c>
      <c r="E1994" s="8" t="s">
        <v>2621</v>
      </c>
      <c r="F1994" s="27" t="s">
        <v>2553</v>
      </c>
    </row>
    <row r="1995">
      <c r="A1995" s="9" t="s">
        <v>1631</v>
      </c>
      <c r="B1995" s="9" t="s">
        <v>317</v>
      </c>
      <c r="C1995" s="8" t="s">
        <v>16</v>
      </c>
      <c r="D1995" s="14" t="s">
        <v>1352</v>
      </c>
      <c r="E1995" s="8" t="s">
        <v>2564</v>
      </c>
      <c r="F1995" s="27" t="s">
        <v>2612</v>
      </c>
    </row>
    <row r="1996">
      <c r="A1996" s="9" t="s">
        <v>76</v>
      </c>
      <c r="B1996" s="9" t="s">
        <v>77</v>
      </c>
      <c r="C1996" s="8" t="s">
        <v>53</v>
      </c>
      <c r="D1996" s="14" t="s">
        <v>60</v>
      </c>
      <c r="E1996" s="18" t="s">
        <v>2589</v>
      </c>
      <c r="F1996" s="27" t="s">
        <v>2578</v>
      </c>
    </row>
    <row r="1997">
      <c r="A1997" s="9" t="s">
        <v>228</v>
      </c>
      <c r="B1997" s="9" t="s">
        <v>229</v>
      </c>
      <c r="C1997" s="8" t="s">
        <v>215</v>
      </c>
      <c r="D1997" s="14" t="s">
        <v>189</v>
      </c>
      <c r="E1997" s="8" t="s">
        <v>2592</v>
      </c>
      <c r="F1997" s="27" t="s">
        <v>2625</v>
      </c>
    </row>
    <row r="1998">
      <c r="A1998" s="9" t="s">
        <v>1632</v>
      </c>
      <c r="B1998" s="9" t="s">
        <v>2258</v>
      </c>
      <c r="C1998" s="8" t="s">
        <v>93</v>
      </c>
      <c r="D1998" s="14" t="s">
        <v>2033</v>
      </c>
      <c r="E1998" s="8" t="s">
        <v>2558</v>
      </c>
      <c r="F1998" s="27" t="s">
        <v>2555</v>
      </c>
    </row>
    <row r="1999">
      <c r="A1999" s="9" t="s">
        <v>1632</v>
      </c>
      <c r="B1999" s="9" t="s">
        <v>1633</v>
      </c>
      <c r="C1999" s="8" t="s">
        <v>80</v>
      </c>
      <c r="D1999" s="14" t="s">
        <v>1352</v>
      </c>
      <c r="E1999" s="8" t="s">
        <v>2564</v>
      </c>
      <c r="F1999" s="27" t="s">
        <v>2555</v>
      </c>
    </row>
    <row r="2000">
      <c r="A2000" s="9" t="s">
        <v>1983</v>
      </c>
      <c r="B2000" s="9" t="s">
        <v>810</v>
      </c>
      <c r="C2000" s="8" t="s">
        <v>93</v>
      </c>
      <c r="D2000" s="14" t="s">
        <v>1679</v>
      </c>
      <c r="E2000" s="8" t="s">
        <v>2581</v>
      </c>
      <c r="F2000" s="27" t="s">
        <v>2618</v>
      </c>
    </row>
    <row r="2001">
      <c r="A2001" s="9" t="s">
        <v>1983</v>
      </c>
      <c r="B2001" s="9" t="s">
        <v>170</v>
      </c>
      <c r="C2001" s="8" t="s">
        <v>186</v>
      </c>
      <c r="D2001" s="14" t="s">
        <v>2033</v>
      </c>
      <c r="E2001" s="8" t="s">
        <v>2558</v>
      </c>
      <c r="F2001" s="27" t="s">
        <v>2555</v>
      </c>
    </row>
    <row r="2002">
      <c r="A2002" s="9" t="s">
        <v>230</v>
      </c>
      <c r="B2002" s="9" t="s">
        <v>231</v>
      </c>
      <c r="C2002" s="8" t="s">
        <v>141</v>
      </c>
      <c r="D2002" s="14" t="s">
        <v>189</v>
      </c>
      <c r="E2002" s="8" t="s">
        <v>2582</v>
      </c>
      <c r="F2002" s="27" t="s">
        <v>2626</v>
      </c>
    </row>
    <row r="2003">
      <c r="A2003" s="9" t="s">
        <v>1984</v>
      </c>
      <c r="B2003" s="9" t="s">
        <v>52</v>
      </c>
      <c r="C2003" s="8" t="s">
        <v>93</v>
      </c>
      <c r="D2003" s="14" t="s">
        <v>1679</v>
      </c>
      <c r="E2003" s="8" t="s">
        <v>2577</v>
      </c>
      <c r="F2003" s="27" t="s">
        <v>2568</v>
      </c>
    </row>
    <row r="2004">
      <c r="A2004" s="9" t="s">
        <v>1984</v>
      </c>
      <c r="B2004" s="9" t="s">
        <v>2259</v>
      </c>
      <c r="C2004" s="8" t="s">
        <v>65</v>
      </c>
      <c r="D2004" s="14" t="s">
        <v>2033</v>
      </c>
      <c r="E2004" s="8" t="s">
        <v>2620</v>
      </c>
      <c r="F2004" s="27" t="s">
        <v>2571</v>
      </c>
    </row>
    <row r="2005">
      <c r="A2005" s="9" t="s">
        <v>1634</v>
      </c>
      <c r="B2005" s="9" t="s">
        <v>1635</v>
      </c>
      <c r="C2005" s="8" t="s">
        <v>24</v>
      </c>
      <c r="D2005" s="14" t="s">
        <v>1352</v>
      </c>
      <c r="E2005" s="8" t="s">
        <v>2584</v>
      </c>
      <c r="F2005" s="27" t="s">
        <v>2602</v>
      </c>
    </row>
    <row r="2006">
      <c r="A2006" s="18" t="s">
        <v>808</v>
      </c>
      <c r="B2006" s="18" t="s">
        <v>529</v>
      </c>
      <c r="C2006" s="8" t="s">
        <v>192</v>
      </c>
      <c r="D2006" s="14" t="s">
        <v>631</v>
      </c>
      <c r="E2006" s="18" t="s">
        <v>2589</v>
      </c>
      <c r="F2006" s="27" t="s">
        <v>2578</v>
      </c>
    </row>
    <row r="2007">
      <c r="A2007" s="9" t="s">
        <v>2428</v>
      </c>
      <c r="B2007" s="9" t="s">
        <v>301</v>
      </c>
      <c r="C2007" s="8" t="s">
        <v>215</v>
      </c>
      <c r="D2007" s="14" t="s">
        <v>2296</v>
      </c>
      <c r="E2007" s="8" t="s">
        <v>2564</v>
      </c>
      <c r="F2007" s="27" t="s">
        <v>2591</v>
      </c>
    </row>
    <row r="2008">
      <c r="A2008" s="9" t="s">
        <v>2428</v>
      </c>
      <c r="B2008" s="9" t="s">
        <v>2429</v>
      </c>
      <c r="C2008" s="8" t="s">
        <v>59</v>
      </c>
      <c r="D2008" s="14" t="s">
        <v>2296</v>
      </c>
      <c r="E2008" s="8" t="s">
        <v>2582</v>
      </c>
      <c r="F2008" s="27" t="s">
        <v>2602</v>
      </c>
    </row>
    <row r="2009">
      <c r="A2009" s="9" t="s">
        <v>1985</v>
      </c>
      <c r="B2009" s="9" t="s">
        <v>1986</v>
      </c>
      <c r="C2009" s="8" t="s">
        <v>24</v>
      </c>
      <c r="D2009" s="14" t="s">
        <v>1679</v>
      </c>
      <c r="E2009" s="8" t="s">
        <v>2587</v>
      </c>
      <c r="F2009" s="27" t="s">
        <v>2568</v>
      </c>
    </row>
    <row r="2010">
      <c r="A2010" s="9" t="s">
        <v>2430</v>
      </c>
      <c r="B2010" s="9" t="s">
        <v>692</v>
      </c>
      <c r="C2010" s="8" t="s">
        <v>149</v>
      </c>
      <c r="D2010" s="14" t="s">
        <v>2296</v>
      </c>
      <c r="E2010" s="18" t="s">
        <v>2589</v>
      </c>
      <c r="F2010" s="27" t="s">
        <v>2618</v>
      </c>
    </row>
    <row r="2011">
      <c r="A2011" s="18" t="s">
        <v>439</v>
      </c>
      <c r="B2011" s="18" t="s">
        <v>440</v>
      </c>
      <c r="C2011" s="8" t="s">
        <v>75</v>
      </c>
      <c r="D2011" s="14" t="s">
        <v>338</v>
      </c>
      <c r="E2011" s="18" t="s">
        <v>2589</v>
      </c>
      <c r="F2011" s="27" t="s">
        <v>2565</v>
      </c>
    </row>
    <row r="2012">
      <c r="A2012" s="9" t="s">
        <v>1987</v>
      </c>
      <c r="B2012" s="9" t="s">
        <v>67</v>
      </c>
      <c r="C2012" s="8" t="s">
        <v>65</v>
      </c>
      <c r="D2012" s="14" t="s">
        <v>1679</v>
      </c>
      <c r="E2012" s="8" t="s">
        <v>2577</v>
      </c>
      <c r="F2012" s="27" t="s">
        <v>2553</v>
      </c>
    </row>
    <row r="2013">
      <c r="A2013" s="9" t="s">
        <v>1988</v>
      </c>
      <c r="B2013" s="9" t="s">
        <v>501</v>
      </c>
      <c r="C2013" s="8" t="s">
        <v>24</v>
      </c>
      <c r="D2013" s="14" t="s">
        <v>1679</v>
      </c>
      <c r="E2013" s="8" t="s">
        <v>2603</v>
      </c>
      <c r="F2013" s="27" t="s">
        <v>2563</v>
      </c>
    </row>
    <row r="2014">
      <c r="A2014" s="9" t="s">
        <v>2432</v>
      </c>
      <c r="B2014" s="9" t="s">
        <v>2433</v>
      </c>
      <c r="C2014" s="8" t="s">
        <v>93</v>
      </c>
      <c r="D2014" s="14" t="s">
        <v>2296</v>
      </c>
      <c r="E2014" s="8" t="s">
        <v>2554</v>
      </c>
      <c r="F2014" s="27" t="s">
        <v>2622</v>
      </c>
    </row>
    <row r="2015">
      <c r="A2015" s="9" t="s">
        <v>2260</v>
      </c>
      <c r="B2015" s="9" t="s">
        <v>2261</v>
      </c>
      <c r="C2015" s="8" t="s">
        <v>53</v>
      </c>
      <c r="D2015" s="14" t="s">
        <v>2033</v>
      </c>
      <c r="E2015" s="8" t="s">
        <v>2615</v>
      </c>
      <c r="F2015" s="27" t="s">
        <v>2591</v>
      </c>
    </row>
    <row r="2016">
      <c r="A2016" s="9" t="s">
        <v>178</v>
      </c>
      <c r="B2016" s="9" t="s">
        <v>179</v>
      </c>
      <c r="C2016" s="8" t="s">
        <v>93</v>
      </c>
      <c r="D2016" s="14" t="s">
        <v>135</v>
      </c>
      <c r="E2016" s="8" t="s">
        <v>2593</v>
      </c>
      <c r="F2016" s="27" t="s">
        <v>2604</v>
      </c>
    </row>
    <row r="2017">
      <c r="A2017" s="9" t="s">
        <v>1636</v>
      </c>
      <c r="B2017" s="9" t="s">
        <v>1637</v>
      </c>
      <c r="C2017" s="8" t="s">
        <v>93</v>
      </c>
      <c r="D2017" s="14" t="s">
        <v>1352</v>
      </c>
      <c r="E2017" s="8" t="s">
        <v>2581</v>
      </c>
      <c r="F2017" s="27" t="s">
        <v>2568</v>
      </c>
    </row>
    <row r="2018">
      <c r="A2018" s="9" t="s">
        <v>326</v>
      </c>
      <c r="B2018" s="9" t="s">
        <v>67</v>
      </c>
      <c r="C2018" s="8" t="s">
        <v>16</v>
      </c>
      <c r="D2018" s="14" t="s">
        <v>237</v>
      </c>
      <c r="E2018" s="8" t="s">
        <v>2621</v>
      </c>
      <c r="F2018" s="27" t="s">
        <v>2553</v>
      </c>
    </row>
    <row r="2019">
      <c r="A2019" s="9" t="s">
        <v>323</v>
      </c>
      <c r="B2019" s="9" t="s">
        <v>100</v>
      </c>
      <c r="C2019" s="8" t="s">
        <v>16</v>
      </c>
      <c r="D2019" s="14" t="s">
        <v>237</v>
      </c>
      <c r="E2019" s="8" t="s">
        <v>2566</v>
      </c>
      <c r="F2019" s="27" t="s">
        <v>2638</v>
      </c>
    </row>
    <row r="2020">
      <c r="A2020" s="9" t="s">
        <v>1039</v>
      </c>
      <c r="B2020" s="9" t="s">
        <v>1040</v>
      </c>
      <c r="C2020" s="8" t="s">
        <v>192</v>
      </c>
      <c r="D2020" s="14" t="s">
        <v>837</v>
      </c>
      <c r="E2020" s="8" t="s">
        <v>2585</v>
      </c>
      <c r="F2020" s="27" t="s">
        <v>2607</v>
      </c>
    </row>
    <row r="2021">
      <c r="A2021" s="9" t="s">
        <v>324</v>
      </c>
      <c r="B2021" s="9" t="s">
        <v>2431</v>
      </c>
      <c r="C2021" s="8" t="s">
        <v>65</v>
      </c>
      <c r="D2021" s="14" t="s">
        <v>2296</v>
      </c>
      <c r="E2021" s="8" t="s">
        <v>2610</v>
      </c>
      <c r="F2021" s="27" t="s">
        <v>2557</v>
      </c>
    </row>
    <row r="2022">
      <c r="A2022" s="9" t="s">
        <v>324</v>
      </c>
      <c r="B2022" s="9" t="s">
        <v>325</v>
      </c>
      <c r="C2022" s="8" t="s">
        <v>65</v>
      </c>
      <c r="D2022" s="14" t="s">
        <v>237</v>
      </c>
      <c r="E2022" s="8" t="s">
        <v>2566</v>
      </c>
      <c r="F2022" s="27" t="s">
        <v>2625</v>
      </c>
    </row>
    <row r="2023">
      <c r="A2023" s="9" t="s">
        <v>1638</v>
      </c>
      <c r="B2023" s="9" t="s">
        <v>1639</v>
      </c>
      <c r="C2023" s="8" t="s">
        <v>53</v>
      </c>
      <c r="D2023" s="14" t="s">
        <v>1352</v>
      </c>
      <c r="E2023" s="18" t="s">
        <v>2589</v>
      </c>
      <c r="F2023" s="27" t="s">
        <v>2583</v>
      </c>
    </row>
    <row r="2024">
      <c r="A2024" s="9" t="s">
        <v>2434</v>
      </c>
      <c r="B2024" s="9" t="s">
        <v>2435</v>
      </c>
      <c r="C2024" s="8" t="s">
        <v>186</v>
      </c>
      <c r="D2024" s="14" t="s">
        <v>2296</v>
      </c>
      <c r="E2024" s="8" t="s">
        <v>2554</v>
      </c>
      <c r="F2024" s="27" t="s">
        <v>2557</v>
      </c>
    </row>
    <row r="2025">
      <c r="A2025" s="9" t="s">
        <v>603</v>
      </c>
      <c r="B2025" s="9" t="s">
        <v>604</v>
      </c>
      <c r="C2025" s="8" t="s">
        <v>12</v>
      </c>
      <c r="D2025" s="14" t="s">
        <v>459</v>
      </c>
      <c r="E2025" s="8" t="s">
        <v>2598</v>
      </c>
      <c r="F2025" s="27" t="s">
        <v>2573</v>
      </c>
    </row>
    <row r="2026">
      <c r="A2026" s="9" t="s">
        <v>441</v>
      </c>
      <c r="B2026" s="9" t="s">
        <v>809</v>
      </c>
      <c r="C2026" s="8" t="s">
        <v>186</v>
      </c>
      <c r="D2026" s="14" t="s">
        <v>631</v>
      </c>
      <c r="E2026" s="8" t="s">
        <v>2615</v>
      </c>
      <c r="F2026" s="27" t="s">
        <v>2568</v>
      </c>
    </row>
    <row r="2027">
      <c r="A2027" s="9" t="s">
        <v>441</v>
      </c>
      <c r="B2027" s="9" t="s">
        <v>810</v>
      </c>
      <c r="C2027" s="8" t="s">
        <v>93</v>
      </c>
      <c r="D2027" s="14" t="s">
        <v>631</v>
      </c>
      <c r="E2027" s="8" t="s">
        <v>2603</v>
      </c>
      <c r="F2027" s="27" t="s">
        <v>2591</v>
      </c>
    </row>
    <row r="2028">
      <c r="A2028" s="9" t="s">
        <v>441</v>
      </c>
      <c r="B2028" s="9" t="s">
        <v>2495</v>
      </c>
      <c r="C2028" s="8" t="s">
        <v>149</v>
      </c>
      <c r="D2028" s="14" t="s">
        <v>2459</v>
      </c>
      <c r="E2028" s="8" t="s">
        <v>2584</v>
      </c>
      <c r="F2028" s="27" t="s">
        <v>2573</v>
      </c>
    </row>
    <row r="2029">
      <c r="A2029" s="9" t="s">
        <v>441</v>
      </c>
      <c r="B2029" s="9" t="s">
        <v>263</v>
      </c>
      <c r="C2029" s="8" t="s">
        <v>65</v>
      </c>
      <c r="D2029" s="14" t="s">
        <v>837</v>
      </c>
      <c r="E2029" s="8" t="s">
        <v>2552</v>
      </c>
      <c r="F2029" s="27" t="s">
        <v>2622</v>
      </c>
    </row>
    <row r="2030">
      <c r="A2030" s="9" t="s">
        <v>441</v>
      </c>
      <c r="B2030" s="9" t="s">
        <v>1993</v>
      </c>
      <c r="C2030" s="8" t="s">
        <v>138</v>
      </c>
      <c r="D2030" s="14" t="s">
        <v>1679</v>
      </c>
      <c r="E2030" s="8" t="s">
        <v>2585</v>
      </c>
      <c r="F2030" s="27" t="s">
        <v>2563</v>
      </c>
    </row>
    <row r="2031">
      <c r="A2031" s="9" t="s">
        <v>441</v>
      </c>
      <c r="B2031" s="9" t="s">
        <v>552</v>
      </c>
      <c r="C2031" s="8" t="s">
        <v>75</v>
      </c>
      <c r="D2031" s="14" t="s">
        <v>459</v>
      </c>
      <c r="E2031" s="8" t="s">
        <v>2558</v>
      </c>
      <c r="F2031" s="27" t="s">
        <v>2573</v>
      </c>
    </row>
    <row r="2032">
      <c r="A2032" s="9" t="s">
        <v>441</v>
      </c>
      <c r="B2032" s="9" t="s">
        <v>1033</v>
      </c>
      <c r="C2032" s="8" t="s">
        <v>132</v>
      </c>
      <c r="D2032" s="14" t="s">
        <v>1679</v>
      </c>
      <c r="E2032" s="8" t="s">
        <v>2610</v>
      </c>
      <c r="F2032" s="27" t="s">
        <v>2606</v>
      </c>
    </row>
    <row r="2033">
      <c r="A2033" s="9" t="s">
        <v>441</v>
      </c>
      <c r="B2033" s="9" t="s">
        <v>1994</v>
      </c>
      <c r="C2033" s="8" t="s">
        <v>65</v>
      </c>
      <c r="D2033" s="14" t="s">
        <v>1679</v>
      </c>
      <c r="E2033" s="8" t="s">
        <v>2621</v>
      </c>
      <c r="F2033" s="27" t="s">
        <v>2586</v>
      </c>
    </row>
    <row r="2034">
      <c r="A2034" s="9" t="s">
        <v>441</v>
      </c>
      <c r="B2034" s="9" t="s">
        <v>334</v>
      </c>
      <c r="C2034" s="8" t="s">
        <v>65</v>
      </c>
      <c r="D2034" s="14" t="s">
        <v>1352</v>
      </c>
      <c r="E2034" s="8" t="s">
        <v>2585</v>
      </c>
      <c r="F2034" s="27" t="s">
        <v>2553</v>
      </c>
    </row>
    <row r="2035">
      <c r="A2035" s="9" t="s">
        <v>441</v>
      </c>
      <c r="B2035" s="9" t="s">
        <v>442</v>
      </c>
      <c r="C2035" s="8" t="s">
        <v>16</v>
      </c>
      <c r="D2035" s="14" t="s">
        <v>338</v>
      </c>
      <c r="E2035" s="8" t="s">
        <v>2572</v>
      </c>
      <c r="F2035" s="27" t="s">
        <v>2573</v>
      </c>
    </row>
    <row r="2036">
      <c r="A2036" s="9" t="s">
        <v>441</v>
      </c>
      <c r="B2036" s="9" t="s">
        <v>1640</v>
      </c>
      <c r="C2036" s="8" t="s">
        <v>122</v>
      </c>
      <c r="D2036" s="14" t="s">
        <v>1352</v>
      </c>
      <c r="E2036" s="8" t="s">
        <v>2581</v>
      </c>
      <c r="F2036" s="27" t="s">
        <v>2573</v>
      </c>
    </row>
    <row r="2037">
      <c r="A2037" s="9" t="s">
        <v>2262</v>
      </c>
      <c r="B2037" s="9" t="s">
        <v>2263</v>
      </c>
      <c r="C2037" s="8" t="s">
        <v>80</v>
      </c>
      <c r="D2037" s="14" t="s">
        <v>2033</v>
      </c>
      <c r="E2037" s="8" t="s">
        <v>2567</v>
      </c>
      <c r="F2037" s="27" t="s">
        <v>2563</v>
      </c>
    </row>
    <row r="2038">
      <c r="A2038" s="9" t="s">
        <v>1989</v>
      </c>
      <c r="B2038" s="9" t="s">
        <v>1990</v>
      </c>
      <c r="C2038" s="8" t="s">
        <v>132</v>
      </c>
      <c r="D2038" s="14" t="s">
        <v>1679</v>
      </c>
      <c r="E2038" s="8" t="s">
        <v>2587</v>
      </c>
      <c r="F2038" s="27" t="s">
        <v>2591</v>
      </c>
    </row>
    <row r="2039">
      <c r="A2039" s="9" t="s">
        <v>1992</v>
      </c>
      <c r="B2039" s="9" t="s">
        <v>41</v>
      </c>
      <c r="C2039" s="8" t="s">
        <v>149</v>
      </c>
      <c r="D2039" s="14" t="s">
        <v>1679</v>
      </c>
      <c r="E2039" s="8" t="s">
        <v>2572</v>
      </c>
      <c r="F2039" s="27" t="s">
        <v>2609</v>
      </c>
    </row>
    <row r="2040">
      <c r="A2040" s="9" t="s">
        <v>605</v>
      </c>
      <c r="B2040" s="9" t="s">
        <v>11</v>
      </c>
      <c r="C2040" s="8" t="s">
        <v>65</v>
      </c>
      <c r="D2040" s="14" t="s">
        <v>459</v>
      </c>
      <c r="E2040" s="8" t="s">
        <v>2552</v>
      </c>
      <c r="F2040" s="27" t="s">
        <v>2636</v>
      </c>
    </row>
    <row r="2041">
      <c r="A2041" s="9" t="s">
        <v>62</v>
      </c>
      <c r="B2041" s="9" t="s">
        <v>1991</v>
      </c>
      <c r="C2041" s="8" t="s">
        <v>53</v>
      </c>
      <c r="D2041" s="14" t="s">
        <v>1679</v>
      </c>
      <c r="E2041" s="8" t="s">
        <v>2567</v>
      </c>
      <c r="F2041" s="27" t="s">
        <v>2583</v>
      </c>
    </row>
    <row r="2042">
      <c r="A2042" s="9" t="s">
        <v>62</v>
      </c>
      <c r="B2042" s="9" t="s">
        <v>121</v>
      </c>
      <c r="C2042" s="8" t="s">
        <v>132</v>
      </c>
      <c r="D2042" s="14" t="s">
        <v>631</v>
      </c>
      <c r="E2042" s="8" t="s">
        <v>2584</v>
      </c>
      <c r="F2042" s="27" t="s">
        <v>2576</v>
      </c>
    </row>
    <row r="2043">
      <c r="A2043" s="9" t="s">
        <v>62</v>
      </c>
      <c r="B2043" s="9" t="s">
        <v>117</v>
      </c>
      <c r="C2043" s="8" t="s">
        <v>215</v>
      </c>
      <c r="D2043" s="14" t="s">
        <v>2033</v>
      </c>
      <c r="E2043" s="8" t="s">
        <v>2615</v>
      </c>
      <c r="F2043" s="27" t="s">
        <v>2563</v>
      </c>
    </row>
    <row r="2044">
      <c r="A2044" s="9" t="s">
        <v>62</v>
      </c>
      <c r="B2044" s="9" t="s">
        <v>327</v>
      </c>
      <c r="C2044" s="8" t="s">
        <v>65</v>
      </c>
      <c r="D2044" s="14" t="s">
        <v>237</v>
      </c>
      <c r="E2044" s="8" t="s">
        <v>2600</v>
      </c>
      <c r="F2044" s="27" t="s">
        <v>2588</v>
      </c>
    </row>
    <row r="2045">
      <c r="A2045" s="9" t="s">
        <v>62</v>
      </c>
      <c r="B2045" s="9" t="s">
        <v>1486</v>
      </c>
      <c r="C2045" s="8" t="s">
        <v>93</v>
      </c>
      <c r="D2045" s="14" t="s">
        <v>1352</v>
      </c>
      <c r="E2045" s="8" t="s">
        <v>2552</v>
      </c>
      <c r="F2045" s="27" t="s">
        <v>2555</v>
      </c>
    </row>
    <row r="2046">
      <c r="A2046" s="9" t="s">
        <v>62</v>
      </c>
      <c r="B2046" s="9" t="s">
        <v>1641</v>
      </c>
      <c r="C2046" s="8" t="s">
        <v>80</v>
      </c>
      <c r="D2046" s="14" t="s">
        <v>1352</v>
      </c>
      <c r="E2046" s="8" t="s">
        <v>2620</v>
      </c>
      <c r="F2046" s="27" t="s">
        <v>2583</v>
      </c>
    </row>
    <row r="2047">
      <c r="A2047" s="9" t="s">
        <v>62</v>
      </c>
      <c r="B2047" s="9" t="s">
        <v>443</v>
      </c>
      <c r="C2047" s="8" t="s">
        <v>80</v>
      </c>
      <c r="D2047" s="14" t="s">
        <v>338</v>
      </c>
      <c r="E2047" s="8" t="s">
        <v>2575</v>
      </c>
      <c r="F2047" s="27" t="s">
        <v>2639</v>
      </c>
    </row>
    <row r="2048">
      <c r="A2048" s="9" t="s">
        <v>62</v>
      </c>
      <c r="B2048" s="9" t="s">
        <v>1312</v>
      </c>
      <c r="C2048" s="8" t="s">
        <v>24</v>
      </c>
      <c r="D2048" s="14" t="s">
        <v>2033</v>
      </c>
      <c r="E2048" s="8" t="s">
        <v>2574</v>
      </c>
      <c r="F2048" s="27" t="s">
        <v>2602</v>
      </c>
    </row>
    <row r="2049">
      <c r="A2049" s="9" t="s">
        <v>62</v>
      </c>
      <c r="B2049" s="9" t="s">
        <v>102</v>
      </c>
      <c r="C2049" s="8" t="s">
        <v>186</v>
      </c>
      <c r="D2049" s="14" t="s">
        <v>631</v>
      </c>
      <c r="E2049" s="8" t="s">
        <v>2614</v>
      </c>
      <c r="F2049" s="27" t="s">
        <v>2622</v>
      </c>
    </row>
    <row r="2050">
      <c r="A2050" s="9" t="s">
        <v>62</v>
      </c>
      <c r="B2050" s="9" t="s">
        <v>263</v>
      </c>
      <c r="C2050" s="8" t="s">
        <v>24</v>
      </c>
      <c r="D2050" s="14" t="s">
        <v>2033</v>
      </c>
      <c r="E2050" s="8" t="s">
        <v>2562</v>
      </c>
      <c r="F2050" s="27" t="s">
        <v>2565</v>
      </c>
    </row>
    <row r="2051">
      <c r="A2051" s="9" t="s">
        <v>62</v>
      </c>
      <c r="B2051" s="9" t="s">
        <v>222</v>
      </c>
      <c r="C2051" s="8" t="s">
        <v>24</v>
      </c>
      <c r="D2051" s="14" t="s">
        <v>631</v>
      </c>
      <c r="E2051" s="8" t="s">
        <v>2554</v>
      </c>
      <c r="F2051" s="27" t="s">
        <v>2622</v>
      </c>
    </row>
    <row r="2052">
      <c r="A2052" s="9" t="s">
        <v>62</v>
      </c>
      <c r="B2052" s="9" t="s">
        <v>176</v>
      </c>
      <c r="C2052" s="8" t="s">
        <v>186</v>
      </c>
      <c r="D2052" s="14" t="s">
        <v>1679</v>
      </c>
      <c r="E2052" s="8" t="s">
        <v>2575</v>
      </c>
      <c r="F2052" s="27" t="s">
        <v>2570</v>
      </c>
    </row>
    <row r="2053">
      <c r="A2053" s="9" t="s">
        <v>62</v>
      </c>
      <c r="B2053" s="9" t="s">
        <v>137</v>
      </c>
      <c r="C2053" s="8" t="s">
        <v>65</v>
      </c>
      <c r="D2053" s="14" t="s">
        <v>1070</v>
      </c>
      <c r="E2053" s="8" t="s">
        <v>2595</v>
      </c>
      <c r="F2053" s="27" t="s">
        <v>2639</v>
      </c>
    </row>
    <row r="2054">
      <c r="A2054" s="9" t="s">
        <v>62</v>
      </c>
      <c r="B2054" s="9" t="s">
        <v>137</v>
      </c>
      <c r="C2054" s="8" t="s">
        <v>192</v>
      </c>
      <c r="D2054" s="14" t="s">
        <v>459</v>
      </c>
      <c r="E2054" s="8" t="s">
        <v>2566</v>
      </c>
      <c r="F2054" s="27" t="s">
        <v>2565</v>
      </c>
    </row>
    <row r="2055">
      <c r="A2055" s="9" t="s">
        <v>62</v>
      </c>
      <c r="B2055" s="9" t="s">
        <v>183</v>
      </c>
      <c r="C2055" s="8" t="s">
        <v>65</v>
      </c>
      <c r="D2055" s="14" t="s">
        <v>1352</v>
      </c>
      <c r="E2055" s="8" t="s">
        <v>2593</v>
      </c>
      <c r="F2055" s="27" t="s">
        <v>2576</v>
      </c>
    </row>
    <row r="2056">
      <c r="A2056" s="9" t="s">
        <v>62</v>
      </c>
      <c r="B2056" s="9" t="s">
        <v>2264</v>
      </c>
      <c r="C2056" s="8" t="s">
        <v>70</v>
      </c>
      <c r="D2056" s="14" t="s">
        <v>2033</v>
      </c>
      <c r="E2056" s="8" t="s">
        <v>2552</v>
      </c>
      <c r="F2056" s="27" t="s">
        <v>2583</v>
      </c>
    </row>
    <row r="2057">
      <c r="A2057" s="9" t="s">
        <v>62</v>
      </c>
      <c r="B2057" s="9" t="s">
        <v>811</v>
      </c>
      <c r="C2057" s="8" t="s">
        <v>192</v>
      </c>
      <c r="D2057" s="14" t="s">
        <v>631</v>
      </c>
      <c r="E2057" s="8" t="s">
        <v>2620</v>
      </c>
      <c r="F2057" s="27" t="s">
        <v>2622</v>
      </c>
    </row>
    <row r="2058">
      <c r="A2058" s="9" t="s">
        <v>62</v>
      </c>
      <c r="B2058" s="9" t="s">
        <v>1642</v>
      </c>
      <c r="C2058" s="8" t="s">
        <v>93</v>
      </c>
      <c r="D2058" s="14" t="s">
        <v>1352</v>
      </c>
      <c r="E2058" s="8" t="s">
        <v>2603</v>
      </c>
      <c r="F2058" s="27" t="s">
        <v>2594</v>
      </c>
    </row>
    <row r="2059">
      <c r="A2059" s="9" t="s">
        <v>62</v>
      </c>
      <c r="B2059" s="9" t="s">
        <v>1995</v>
      </c>
      <c r="C2059" s="8" t="s">
        <v>215</v>
      </c>
      <c r="D2059" s="14" t="s">
        <v>1679</v>
      </c>
      <c r="E2059" s="8" t="s">
        <v>2585</v>
      </c>
      <c r="F2059" s="27" t="s">
        <v>2553</v>
      </c>
    </row>
    <row r="2060">
      <c r="A2060" s="9" t="s">
        <v>62</v>
      </c>
      <c r="B2060" s="9" t="s">
        <v>2265</v>
      </c>
      <c r="C2060" s="8" t="s">
        <v>93</v>
      </c>
      <c r="D2060" s="14" t="s">
        <v>2033</v>
      </c>
      <c r="E2060" s="8" t="s">
        <v>2615</v>
      </c>
      <c r="F2060" s="27" t="s">
        <v>2580</v>
      </c>
    </row>
    <row r="2061">
      <c r="A2061" s="9" t="s">
        <v>444</v>
      </c>
      <c r="B2061" s="9" t="s">
        <v>275</v>
      </c>
      <c r="C2061" s="8" t="s">
        <v>70</v>
      </c>
      <c r="D2061" s="14" t="s">
        <v>631</v>
      </c>
      <c r="E2061" s="8" t="s">
        <v>2582</v>
      </c>
      <c r="F2061" s="27" t="s">
        <v>2608</v>
      </c>
    </row>
    <row r="2062">
      <c r="A2062" s="9" t="s">
        <v>444</v>
      </c>
      <c r="B2062" s="9" t="s">
        <v>304</v>
      </c>
      <c r="C2062" s="8" t="s">
        <v>59</v>
      </c>
      <c r="D2062" s="14" t="s">
        <v>1352</v>
      </c>
      <c r="E2062" s="8" t="s">
        <v>2587</v>
      </c>
      <c r="F2062" s="27" t="s">
        <v>2583</v>
      </c>
    </row>
    <row r="2063">
      <c r="A2063" s="9" t="s">
        <v>444</v>
      </c>
      <c r="B2063" s="9" t="s">
        <v>1643</v>
      </c>
      <c r="C2063" s="8" t="s">
        <v>80</v>
      </c>
      <c r="D2063" s="14" t="s">
        <v>1352</v>
      </c>
      <c r="E2063" s="8" t="s">
        <v>2614</v>
      </c>
      <c r="F2063" s="27" t="s">
        <v>2622</v>
      </c>
    </row>
    <row r="2064">
      <c r="A2064" s="9" t="s">
        <v>444</v>
      </c>
      <c r="B2064" s="9" t="s">
        <v>2436</v>
      </c>
      <c r="C2064" s="8" t="s">
        <v>70</v>
      </c>
      <c r="D2064" s="14" t="s">
        <v>2296</v>
      </c>
      <c r="E2064" s="8" t="s">
        <v>2183</v>
      </c>
      <c r="F2064" s="27" t="s">
        <v>2579</v>
      </c>
    </row>
    <row r="2065">
      <c r="A2065" s="9" t="s">
        <v>444</v>
      </c>
      <c r="B2065" s="9" t="s">
        <v>2437</v>
      </c>
      <c r="C2065" s="8" t="s">
        <v>80</v>
      </c>
      <c r="D2065" s="14" t="s">
        <v>2296</v>
      </c>
      <c r="E2065" s="18" t="s">
        <v>2589</v>
      </c>
      <c r="F2065" s="27" t="s">
        <v>2557</v>
      </c>
    </row>
    <row r="2066">
      <c r="A2066" s="9" t="s">
        <v>444</v>
      </c>
      <c r="B2066" s="9" t="s">
        <v>445</v>
      </c>
      <c r="C2066" s="8" t="s">
        <v>65</v>
      </c>
      <c r="D2066" s="14" t="s">
        <v>338</v>
      </c>
      <c r="E2066" s="8" t="s">
        <v>2560</v>
      </c>
      <c r="F2066" s="27" t="s">
        <v>2591</v>
      </c>
    </row>
    <row r="2067">
      <c r="A2067" s="9" t="s">
        <v>444</v>
      </c>
      <c r="B2067" s="9" t="s">
        <v>1241</v>
      </c>
      <c r="C2067" s="8" t="s">
        <v>186</v>
      </c>
      <c r="D2067" s="14" t="s">
        <v>1352</v>
      </c>
      <c r="E2067" s="8" t="s">
        <v>2574</v>
      </c>
      <c r="F2067" s="27" t="s">
        <v>2586</v>
      </c>
    </row>
    <row r="2068">
      <c r="A2068" s="9" t="s">
        <v>444</v>
      </c>
      <c r="B2068" s="9" t="s">
        <v>1996</v>
      </c>
      <c r="C2068" s="8" t="s">
        <v>80</v>
      </c>
      <c r="D2068" s="14" t="s">
        <v>1679</v>
      </c>
      <c r="E2068" s="8" t="s">
        <v>2603</v>
      </c>
      <c r="F2068" s="27" t="s">
        <v>2553</v>
      </c>
    </row>
    <row r="2069">
      <c r="A2069" s="9" t="s">
        <v>2266</v>
      </c>
      <c r="B2069" s="9" t="s">
        <v>2267</v>
      </c>
      <c r="C2069" s="8" t="s">
        <v>80</v>
      </c>
      <c r="D2069" s="14" t="s">
        <v>2033</v>
      </c>
      <c r="E2069" s="8" t="s">
        <v>2183</v>
      </c>
      <c r="F2069" s="27" t="s">
        <v>2557</v>
      </c>
    </row>
    <row r="2070">
      <c r="A2070" s="9" t="s">
        <v>328</v>
      </c>
      <c r="B2070" s="9" t="s">
        <v>329</v>
      </c>
      <c r="C2070" s="8" t="s">
        <v>122</v>
      </c>
      <c r="D2070" s="14" t="s">
        <v>237</v>
      </c>
      <c r="E2070" s="8" t="s">
        <v>2585</v>
      </c>
      <c r="F2070" s="27" t="s">
        <v>2579</v>
      </c>
    </row>
    <row r="2071">
      <c r="A2071" s="9" t="s">
        <v>606</v>
      </c>
      <c r="B2071" s="9" t="s">
        <v>607</v>
      </c>
      <c r="C2071" s="8" t="s">
        <v>93</v>
      </c>
      <c r="D2071" s="14" t="s">
        <v>459</v>
      </c>
      <c r="E2071" s="8" t="s">
        <v>2603</v>
      </c>
      <c r="F2071" s="27" t="s">
        <v>2583</v>
      </c>
    </row>
    <row r="2072">
      <c r="A2072" s="9" t="s">
        <v>2268</v>
      </c>
      <c r="B2072" s="9" t="s">
        <v>925</v>
      </c>
      <c r="C2072" s="8" t="s">
        <v>16</v>
      </c>
      <c r="D2072" s="14" t="s">
        <v>2033</v>
      </c>
      <c r="E2072" s="8" t="s">
        <v>2564</v>
      </c>
      <c r="F2072" s="27" t="s">
        <v>2618</v>
      </c>
    </row>
    <row r="2073">
      <c r="A2073" s="9" t="s">
        <v>1318</v>
      </c>
      <c r="B2073" s="9" t="s">
        <v>102</v>
      </c>
      <c r="C2073" s="8" t="s">
        <v>75</v>
      </c>
      <c r="D2073" s="14" t="s">
        <v>1070</v>
      </c>
      <c r="E2073" s="8" t="s">
        <v>2600</v>
      </c>
      <c r="F2073" s="27" t="s">
        <v>2611</v>
      </c>
    </row>
    <row r="2074">
      <c r="A2074" s="9" t="s">
        <v>2438</v>
      </c>
      <c r="B2074" s="9" t="s">
        <v>279</v>
      </c>
      <c r="C2074" s="8" t="s">
        <v>122</v>
      </c>
      <c r="D2074" s="14" t="s">
        <v>2296</v>
      </c>
      <c r="E2074" s="8" t="s">
        <v>2572</v>
      </c>
      <c r="F2074" s="27" t="s">
        <v>2553</v>
      </c>
    </row>
    <row r="2075">
      <c r="A2075" s="9" t="s">
        <v>812</v>
      </c>
      <c r="B2075" s="9" t="s">
        <v>211</v>
      </c>
      <c r="C2075" s="8" t="s">
        <v>24</v>
      </c>
      <c r="D2075" s="14" t="s">
        <v>631</v>
      </c>
      <c r="E2075" s="8" t="s">
        <v>2585</v>
      </c>
      <c r="F2075" s="27" t="s">
        <v>2573</v>
      </c>
    </row>
    <row r="2076">
      <c r="A2076" s="18" t="s">
        <v>2269</v>
      </c>
      <c r="B2076" s="18" t="s">
        <v>2439</v>
      </c>
      <c r="C2076" s="8" t="s">
        <v>93</v>
      </c>
      <c r="D2076" s="14" t="s">
        <v>2296</v>
      </c>
      <c r="E2076" s="8" t="s">
        <v>2566</v>
      </c>
      <c r="F2076" s="27" t="s">
        <v>2617</v>
      </c>
    </row>
    <row r="2077">
      <c r="A2077" s="9" t="s">
        <v>2269</v>
      </c>
      <c r="B2077" s="9" t="s">
        <v>119</v>
      </c>
      <c r="C2077" s="8" t="s">
        <v>93</v>
      </c>
      <c r="D2077" s="14" t="s">
        <v>2033</v>
      </c>
      <c r="E2077" s="8" t="s">
        <v>2605</v>
      </c>
      <c r="F2077" s="27" t="s">
        <v>2579</v>
      </c>
    </row>
    <row r="2078">
      <c r="A2078" s="9" t="s">
        <v>2270</v>
      </c>
      <c r="B2078" s="9" t="s">
        <v>1128</v>
      </c>
      <c r="C2078" s="8" t="s">
        <v>65</v>
      </c>
      <c r="D2078" s="14" t="s">
        <v>2033</v>
      </c>
      <c r="E2078" s="8" t="s">
        <v>2621</v>
      </c>
      <c r="F2078" s="27" t="s">
        <v>2555</v>
      </c>
    </row>
    <row r="2079">
      <c r="A2079" s="9" t="s">
        <v>15</v>
      </c>
      <c r="B2079" s="9" t="s">
        <v>52</v>
      </c>
      <c r="C2079" s="8" t="s">
        <v>141</v>
      </c>
      <c r="D2079" s="14" t="s">
        <v>1679</v>
      </c>
      <c r="E2079" s="8" t="s">
        <v>2595</v>
      </c>
      <c r="F2079" s="27" t="s">
        <v>2580</v>
      </c>
    </row>
    <row r="2080">
      <c r="A2080" s="9" t="s">
        <v>1041</v>
      </c>
      <c r="B2080" s="9" t="s">
        <v>1644</v>
      </c>
      <c r="C2080" s="8" t="s">
        <v>138</v>
      </c>
      <c r="D2080" s="14" t="s">
        <v>1352</v>
      </c>
      <c r="E2080" s="8" t="s">
        <v>2566</v>
      </c>
      <c r="F2080" s="27" t="s">
        <v>2607</v>
      </c>
    </row>
    <row r="2081">
      <c r="A2081" s="9" t="s">
        <v>1041</v>
      </c>
      <c r="B2081" s="9" t="s">
        <v>129</v>
      </c>
      <c r="C2081" s="8" t="s">
        <v>24</v>
      </c>
      <c r="D2081" s="14" t="s">
        <v>837</v>
      </c>
      <c r="E2081" s="8" t="s">
        <v>2560</v>
      </c>
      <c r="F2081" s="27" t="s">
        <v>2557</v>
      </c>
    </row>
    <row r="2082">
      <c r="A2082" s="9" t="s">
        <v>1041</v>
      </c>
      <c r="B2082" s="9" t="s">
        <v>1042</v>
      </c>
      <c r="C2082" s="8" t="s">
        <v>75</v>
      </c>
      <c r="D2082" s="14" t="s">
        <v>837</v>
      </c>
      <c r="E2082" s="8" t="s">
        <v>2585</v>
      </c>
      <c r="F2082" s="27" t="s">
        <v>2601</v>
      </c>
    </row>
    <row r="2083">
      <c r="A2083" s="9" t="s">
        <v>1645</v>
      </c>
      <c r="B2083" s="9" t="s">
        <v>349</v>
      </c>
      <c r="C2083" s="8" t="s">
        <v>141</v>
      </c>
      <c r="D2083" s="14" t="s">
        <v>1352</v>
      </c>
      <c r="E2083" s="8" t="s">
        <v>2572</v>
      </c>
      <c r="F2083" s="27" t="s">
        <v>2617</v>
      </c>
    </row>
    <row r="2084">
      <c r="A2084" s="9" t="s">
        <v>1646</v>
      </c>
      <c r="B2084" s="9" t="s">
        <v>337</v>
      </c>
      <c r="C2084" s="8" t="s">
        <v>24</v>
      </c>
      <c r="D2084" s="14" t="s">
        <v>1352</v>
      </c>
      <c r="E2084" s="8" t="s">
        <v>2558</v>
      </c>
      <c r="F2084" s="27" t="s">
        <v>2563</v>
      </c>
    </row>
    <row r="2085">
      <c r="A2085" s="9" t="s">
        <v>2271</v>
      </c>
      <c r="B2085" s="9" t="s">
        <v>375</v>
      </c>
      <c r="C2085" s="8" t="s">
        <v>132</v>
      </c>
      <c r="D2085" s="14" t="s">
        <v>2033</v>
      </c>
      <c r="E2085" s="8" t="s">
        <v>2585</v>
      </c>
      <c r="F2085" s="27" t="s">
        <v>2569</v>
      </c>
    </row>
    <row r="2086">
      <c r="A2086" s="9" t="s">
        <v>1647</v>
      </c>
      <c r="B2086" s="9" t="s">
        <v>181</v>
      </c>
      <c r="C2086" s="8" t="s">
        <v>141</v>
      </c>
      <c r="D2086" s="14" t="s">
        <v>1352</v>
      </c>
      <c r="E2086" s="8" t="s">
        <v>2560</v>
      </c>
      <c r="F2086" s="27" t="s">
        <v>2597</v>
      </c>
    </row>
    <row r="2087">
      <c r="A2087" s="9" t="s">
        <v>1998</v>
      </c>
      <c r="B2087" s="9" t="s">
        <v>782</v>
      </c>
      <c r="C2087" s="8" t="s">
        <v>24</v>
      </c>
      <c r="D2087" s="14" t="s">
        <v>1679</v>
      </c>
      <c r="E2087" s="8" t="s">
        <v>2621</v>
      </c>
      <c r="F2087" s="27" t="s">
        <v>2568</v>
      </c>
    </row>
    <row r="2088">
      <c r="A2088" s="9" t="s">
        <v>1997</v>
      </c>
      <c r="B2088" s="9" t="s">
        <v>532</v>
      </c>
      <c r="C2088" s="8" t="s">
        <v>38</v>
      </c>
      <c r="D2088" s="14" t="s">
        <v>1679</v>
      </c>
      <c r="E2088" s="18" t="s">
        <v>2556</v>
      </c>
      <c r="F2088" s="27" t="s">
        <v>2568</v>
      </c>
    </row>
    <row r="2089">
      <c r="A2089" s="9" t="s">
        <v>1999</v>
      </c>
      <c r="B2089" s="9" t="s">
        <v>2000</v>
      </c>
      <c r="C2089" s="8" t="s">
        <v>186</v>
      </c>
      <c r="D2089" s="14" t="s">
        <v>1679</v>
      </c>
      <c r="E2089" s="8" t="s">
        <v>2572</v>
      </c>
      <c r="F2089" s="27" t="s">
        <v>2557</v>
      </c>
    </row>
    <row r="2090">
      <c r="A2090" s="9" t="s">
        <v>2001</v>
      </c>
      <c r="B2090" s="9" t="s">
        <v>2002</v>
      </c>
      <c r="C2090" s="8" t="s">
        <v>65</v>
      </c>
      <c r="D2090" s="14" t="s">
        <v>1679</v>
      </c>
      <c r="E2090" s="8" t="s">
        <v>2552</v>
      </c>
      <c r="F2090" s="27" t="s">
        <v>2565</v>
      </c>
    </row>
    <row r="2091">
      <c r="A2091" s="18" t="s">
        <v>813</v>
      </c>
      <c r="B2091" s="18" t="s">
        <v>814</v>
      </c>
      <c r="C2091" s="8" t="s">
        <v>141</v>
      </c>
      <c r="D2091" s="14" t="s">
        <v>631</v>
      </c>
      <c r="E2091" s="8" t="s">
        <v>2615</v>
      </c>
      <c r="F2091" s="27" t="s">
        <v>2608</v>
      </c>
    </row>
    <row r="2092">
      <c r="A2092" s="9" t="s">
        <v>608</v>
      </c>
      <c r="B2092" s="9" t="s">
        <v>134</v>
      </c>
      <c r="C2092" s="8" t="s">
        <v>186</v>
      </c>
      <c r="D2092" s="14" t="s">
        <v>459</v>
      </c>
      <c r="E2092" s="8" t="s">
        <v>2605</v>
      </c>
      <c r="F2092" s="27" t="s">
        <v>2607</v>
      </c>
    </row>
    <row r="2093">
      <c r="A2093" s="9" t="s">
        <v>1648</v>
      </c>
      <c r="B2093" s="9" t="s">
        <v>427</v>
      </c>
      <c r="C2093" s="8" t="s">
        <v>16</v>
      </c>
      <c r="D2093" s="14" t="s">
        <v>1352</v>
      </c>
      <c r="E2093" s="8" t="s">
        <v>2605</v>
      </c>
      <c r="F2093" s="27" t="s">
        <v>2601</v>
      </c>
    </row>
    <row r="2094">
      <c r="A2094" s="9" t="s">
        <v>815</v>
      </c>
      <c r="B2094" s="9" t="s">
        <v>816</v>
      </c>
      <c r="C2094" s="8" t="s">
        <v>93</v>
      </c>
      <c r="D2094" s="14" t="s">
        <v>631</v>
      </c>
      <c r="E2094" s="8" t="s">
        <v>2598</v>
      </c>
      <c r="F2094" s="27" t="s">
        <v>2613</v>
      </c>
    </row>
    <row r="2095">
      <c r="A2095" s="9" t="s">
        <v>609</v>
      </c>
      <c r="B2095" s="9" t="s">
        <v>381</v>
      </c>
      <c r="C2095" s="8" t="s">
        <v>12</v>
      </c>
      <c r="D2095" s="14" t="s">
        <v>459</v>
      </c>
      <c r="E2095" s="8" t="s">
        <v>2575</v>
      </c>
      <c r="F2095" s="27" t="s">
        <v>2604</v>
      </c>
    </row>
    <row r="2096">
      <c r="A2096" s="9" t="s">
        <v>2272</v>
      </c>
      <c r="B2096" s="9" t="s">
        <v>1479</v>
      </c>
      <c r="C2096" s="8" t="s">
        <v>122</v>
      </c>
      <c r="D2096" s="14" t="s">
        <v>2033</v>
      </c>
      <c r="E2096" s="8" t="s">
        <v>2598</v>
      </c>
      <c r="F2096" s="27" t="s">
        <v>2618</v>
      </c>
    </row>
    <row r="2097">
      <c r="A2097" s="9" t="s">
        <v>1319</v>
      </c>
      <c r="B2097" s="9" t="s">
        <v>694</v>
      </c>
      <c r="C2097" s="8" t="s">
        <v>138</v>
      </c>
      <c r="D2097" s="14" t="s">
        <v>1070</v>
      </c>
      <c r="E2097" s="8" t="s">
        <v>2577</v>
      </c>
      <c r="F2097" s="27" t="s">
        <v>2625</v>
      </c>
    </row>
    <row r="2098">
      <c r="A2098" s="9" t="s">
        <v>1649</v>
      </c>
      <c r="B2098" s="9" t="s">
        <v>1650</v>
      </c>
      <c r="C2098" s="8" t="s">
        <v>46</v>
      </c>
      <c r="D2098" s="14" t="s">
        <v>1352</v>
      </c>
      <c r="E2098" s="8" t="s">
        <v>2581</v>
      </c>
      <c r="F2098" s="27" t="s">
        <v>2611</v>
      </c>
    </row>
    <row r="2099">
      <c r="A2099" s="9" t="s">
        <v>1651</v>
      </c>
      <c r="B2099" s="9" t="s">
        <v>301</v>
      </c>
      <c r="C2099" s="8" t="s">
        <v>122</v>
      </c>
      <c r="D2099" s="14" t="s">
        <v>1352</v>
      </c>
      <c r="E2099" s="8" t="s">
        <v>2610</v>
      </c>
      <c r="F2099" s="27" t="s">
        <v>2594</v>
      </c>
    </row>
    <row r="2100">
      <c r="A2100" s="9" t="s">
        <v>2003</v>
      </c>
      <c r="B2100" s="9" t="s">
        <v>2004</v>
      </c>
      <c r="C2100" s="8" t="s">
        <v>215</v>
      </c>
      <c r="D2100" s="14" t="s">
        <v>1679</v>
      </c>
      <c r="E2100" s="8" t="s">
        <v>2567</v>
      </c>
      <c r="F2100" s="27" t="s">
        <v>2601</v>
      </c>
    </row>
    <row r="2101">
      <c r="A2101" s="9" t="s">
        <v>1043</v>
      </c>
      <c r="B2101" s="9" t="s">
        <v>1044</v>
      </c>
      <c r="C2101" s="8" t="s">
        <v>75</v>
      </c>
      <c r="D2101" s="14" t="s">
        <v>837</v>
      </c>
      <c r="E2101" s="8" t="s">
        <v>2558</v>
      </c>
      <c r="F2101" s="27" t="s">
        <v>2555</v>
      </c>
    </row>
    <row r="2102">
      <c r="A2102" s="18" t="s">
        <v>1043</v>
      </c>
      <c r="B2102" s="18" t="s">
        <v>2005</v>
      </c>
      <c r="C2102" s="8" t="s">
        <v>70</v>
      </c>
      <c r="D2102" s="14" t="s">
        <v>1679</v>
      </c>
      <c r="E2102" s="8" t="s">
        <v>2575</v>
      </c>
      <c r="F2102" s="27" t="s">
        <v>2583</v>
      </c>
    </row>
    <row r="2103">
      <c r="A2103" s="9" t="s">
        <v>1043</v>
      </c>
      <c r="B2103" s="9" t="s">
        <v>342</v>
      </c>
      <c r="C2103" s="8" t="s">
        <v>192</v>
      </c>
      <c r="D2103" s="14" t="s">
        <v>2033</v>
      </c>
      <c r="E2103" s="18" t="s">
        <v>2589</v>
      </c>
      <c r="F2103" s="27" t="s">
        <v>2612</v>
      </c>
    </row>
    <row r="2104">
      <c r="A2104" s="9" t="s">
        <v>1043</v>
      </c>
      <c r="B2104" s="9" t="s">
        <v>1320</v>
      </c>
      <c r="C2104" s="8" t="s">
        <v>132</v>
      </c>
      <c r="D2104" s="14" t="s">
        <v>1070</v>
      </c>
      <c r="E2104" s="8" t="s">
        <v>2574</v>
      </c>
      <c r="F2104" s="27" t="s">
        <v>2607</v>
      </c>
    </row>
    <row r="2105">
      <c r="A2105" s="9" t="s">
        <v>1045</v>
      </c>
      <c r="B2105" s="9" t="s">
        <v>1046</v>
      </c>
      <c r="C2105" s="8" t="s">
        <v>24</v>
      </c>
      <c r="D2105" s="14" t="s">
        <v>837</v>
      </c>
      <c r="E2105" s="8" t="s">
        <v>2564</v>
      </c>
      <c r="F2105" s="27" t="s">
        <v>2553</v>
      </c>
    </row>
    <row r="2106">
      <c r="A2106" s="9" t="s">
        <v>188</v>
      </c>
      <c r="B2106" s="9" t="s">
        <v>183</v>
      </c>
      <c r="C2106" s="8" t="s">
        <v>192</v>
      </c>
      <c r="D2106" s="14" t="s">
        <v>1070</v>
      </c>
      <c r="E2106" s="8" t="s">
        <v>2558</v>
      </c>
      <c r="F2106" s="27" t="s">
        <v>2583</v>
      </c>
    </row>
    <row r="2107">
      <c r="A2107" s="9" t="s">
        <v>2440</v>
      </c>
      <c r="B2107" s="9" t="s">
        <v>2441</v>
      </c>
      <c r="C2107" s="8" t="s">
        <v>149</v>
      </c>
      <c r="D2107" s="14" t="s">
        <v>2296</v>
      </c>
      <c r="E2107" s="8" t="s">
        <v>2552</v>
      </c>
      <c r="F2107" s="27" t="s">
        <v>2609</v>
      </c>
    </row>
    <row r="2108">
      <c r="A2108" s="9" t="s">
        <v>817</v>
      </c>
      <c r="B2108" s="9" t="s">
        <v>780</v>
      </c>
      <c r="C2108" s="8" t="s">
        <v>138</v>
      </c>
      <c r="D2108" s="14" t="s">
        <v>631</v>
      </c>
      <c r="E2108" s="8" t="s">
        <v>2621</v>
      </c>
      <c r="F2108" s="27" t="s">
        <v>2591</v>
      </c>
    </row>
    <row r="2109">
      <c r="A2109" s="9" t="s">
        <v>1652</v>
      </c>
      <c r="B2109" s="9" t="s">
        <v>23</v>
      </c>
      <c r="C2109" s="8" t="s">
        <v>65</v>
      </c>
      <c r="D2109" s="14" t="s">
        <v>1352</v>
      </c>
      <c r="E2109" s="8" t="s">
        <v>2603</v>
      </c>
      <c r="F2109" s="27" t="s">
        <v>2579</v>
      </c>
    </row>
    <row r="2110">
      <c r="A2110" s="18" t="s">
        <v>1321</v>
      </c>
      <c r="B2110" s="18" t="s">
        <v>521</v>
      </c>
      <c r="C2110" s="8" t="s">
        <v>24</v>
      </c>
      <c r="D2110" s="14" t="s">
        <v>1070</v>
      </c>
      <c r="E2110" s="8" t="s">
        <v>2610</v>
      </c>
      <c r="F2110" s="27" t="s">
        <v>2586</v>
      </c>
    </row>
    <row r="2111">
      <c r="A2111" s="9" t="s">
        <v>818</v>
      </c>
      <c r="B2111" s="9" t="s">
        <v>333</v>
      </c>
      <c r="C2111" s="8" t="s">
        <v>192</v>
      </c>
      <c r="D2111" s="14" t="s">
        <v>631</v>
      </c>
      <c r="E2111" s="8" t="s">
        <v>2621</v>
      </c>
      <c r="F2111" s="27" t="s">
        <v>2599</v>
      </c>
    </row>
    <row r="2112">
      <c r="A2112" s="9" t="s">
        <v>1653</v>
      </c>
      <c r="B2112" s="9" t="s">
        <v>1654</v>
      </c>
      <c r="C2112" s="8" t="s">
        <v>122</v>
      </c>
      <c r="D2112" s="14" t="s">
        <v>1352</v>
      </c>
      <c r="E2112" s="8" t="s">
        <v>2574</v>
      </c>
      <c r="F2112" s="27" t="s">
        <v>2583</v>
      </c>
    </row>
    <row r="2113">
      <c r="A2113" s="9" t="s">
        <v>1322</v>
      </c>
      <c r="B2113" s="9" t="s">
        <v>1323</v>
      </c>
      <c r="C2113" s="8" t="s">
        <v>149</v>
      </c>
      <c r="D2113" s="14" t="s">
        <v>1070</v>
      </c>
      <c r="E2113" s="8" t="s">
        <v>2564</v>
      </c>
      <c r="F2113" s="27" t="s">
        <v>2563</v>
      </c>
    </row>
    <row r="2114">
      <c r="A2114" s="9" t="s">
        <v>2006</v>
      </c>
      <c r="B2114" s="9" t="s">
        <v>2007</v>
      </c>
      <c r="C2114" s="8" t="s">
        <v>65</v>
      </c>
      <c r="D2114" s="14" t="s">
        <v>1679</v>
      </c>
      <c r="E2114" s="8" t="s">
        <v>2558</v>
      </c>
      <c r="F2114" s="27" t="s">
        <v>2602</v>
      </c>
    </row>
    <row r="2115">
      <c r="A2115" s="9" t="s">
        <v>1655</v>
      </c>
      <c r="B2115" s="9" t="s">
        <v>1640</v>
      </c>
      <c r="C2115" s="8" t="s">
        <v>138</v>
      </c>
      <c r="D2115" s="14" t="s">
        <v>1352</v>
      </c>
      <c r="E2115" s="18" t="s">
        <v>2589</v>
      </c>
      <c r="F2115" s="27" t="s">
        <v>2579</v>
      </c>
    </row>
    <row r="2116">
      <c r="A2116" s="9" t="s">
        <v>2008</v>
      </c>
      <c r="B2116" s="9" t="s">
        <v>1803</v>
      </c>
      <c r="C2116" s="8" t="s">
        <v>186</v>
      </c>
      <c r="D2116" s="14" t="s">
        <v>1679</v>
      </c>
      <c r="E2116" s="18" t="s">
        <v>2589</v>
      </c>
      <c r="F2116" s="27" t="s">
        <v>2563</v>
      </c>
    </row>
    <row r="2117">
      <c r="A2117" s="9" t="s">
        <v>610</v>
      </c>
      <c r="B2117" s="9" t="s">
        <v>55</v>
      </c>
      <c r="C2117" s="8" t="s">
        <v>186</v>
      </c>
      <c r="D2117" s="14" t="s">
        <v>1679</v>
      </c>
      <c r="E2117" s="8" t="s">
        <v>2581</v>
      </c>
      <c r="F2117" s="27" t="s">
        <v>2583</v>
      </c>
    </row>
    <row r="2118">
      <c r="A2118" s="9" t="s">
        <v>610</v>
      </c>
      <c r="B2118" s="9" t="s">
        <v>124</v>
      </c>
      <c r="C2118" s="8" t="s">
        <v>75</v>
      </c>
      <c r="D2118" s="14" t="s">
        <v>459</v>
      </c>
      <c r="E2118" s="8" t="s">
        <v>2574</v>
      </c>
      <c r="F2118" s="27" t="s">
        <v>2555</v>
      </c>
    </row>
    <row r="2119">
      <c r="A2119" s="9" t="s">
        <v>610</v>
      </c>
      <c r="B2119" s="9" t="s">
        <v>214</v>
      </c>
      <c r="C2119" s="8" t="s">
        <v>53</v>
      </c>
      <c r="D2119" s="14" t="s">
        <v>631</v>
      </c>
      <c r="E2119" s="8" t="s">
        <v>2600</v>
      </c>
      <c r="F2119" s="27" t="s">
        <v>2590</v>
      </c>
    </row>
    <row r="2120">
      <c r="A2120" s="9" t="s">
        <v>1324</v>
      </c>
      <c r="B2120" s="9" t="s">
        <v>45</v>
      </c>
      <c r="C2120" s="8" t="s">
        <v>24</v>
      </c>
      <c r="D2120" s="14" t="s">
        <v>1070</v>
      </c>
      <c r="E2120" s="8" t="s">
        <v>2574</v>
      </c>
      <c r="F2120" s="27" t="s">
        <v>2583</v>
      </c>
    </row>
    <row r="2121">
      <c r="A2121" s="9" t="s">
        <v>1324</v>
      </c>
      <c r="B2121" s="9" t="s">
        <v>2273</v>
      </c>
      <c r="C2121" s="8" t="s">
        <v>59</v>
      </c>
      <c r="D2121" s="14" t="s">
        <v>2033</v>
      </c>
      <c r="E2121" s="8" t="s">
        <v>2614</v>
      </c>
      <c r="F2121" s="27" t="s">
        <v>2633</v>
      </c>
    </row>
    <row r="2122">
      <c r="A2122" s="9" t="s">
        <v>2009</v>
      </c>
      <c r="B2122" s="9" t="s">
        <v>1347</v>
      </c>
      <c r="C2122" s="8" t="s">
        <v>122</v>
      </c>
      <c r="D2122" s="14" t="s">
        <v>1679</v>
      </c>
      <c r="E2122" s="18" t="s">
        <v>2556</v>
      </c>
      <c r="F2122" s="27" t="s">
        <v>2622</v>
      </c>
    </row>
    <row r="2123">
      <c r="A2123" s="9" t="s">
        <v>1325</v>
      </c>
      <c r="B2123" s="9" t="s">
        <v>231</v>
      </c>
      <c r="C2123" s="8" t="s">
        <v>24</v>
      </c>
      <c r="D2123" s="14" t="s">
        <v>1070</v>
      </c>
      <c r="E2123" s="8" t="s">
        <v>2603</v>
      </c>
      <c r="F2123" s="27" t="s">
        <v>2601</v>
      </c>
    </row>
    <row r="2124">
      <c r="A2124" s="9" t="s">
        <v>1326</v>
      </c>
      <c r="B2124" s="9" t="s">
        <v>260</v>
      </c>
      <c r="C2124" s="8" t="s">
        <v>53</v>
      </c>
      <c r="D2124" s="14" t="s">
        <v>1070</v>
      </c>
      <c r="E2124" s="8" t="s">
        <v>2605</v>
      </c>
      <c r="F2124" s="27" t="s">
        <v>2594</v>
      </c>
    </row>
    <row r="2125">
      <c r="A2125" s="9" t="s">
        <v>2010</v>
      </c>
      <c r="B2125" s="9" t="s">
        <v>2011</v>
      </c>
      <c r="C2125" s="8" t="s">
        <v>122</v>
      </c>
      <c r="D2125" s="14" t="s">
        <v>1679</v>
      </c>
      <c r="E2125" s="8" t="s">
        <v>2592</v>
      </c>
      <c r="F2125" s="27" t="s">
        <v>2607</v>
      </c>
    </row>
    <row r="2126">
      <c r="A2126" s="9" t="s">
        <v>1656</v>
      </c>
      <c r="B2126" s="9" t="s">
        <v>1657</v>
      </c>
      <c r="C2126" s="8" t="s">
        <v>38</v>
      </c>
      <c r="D2126" s="14" t="s">
        <v>1352</v>
      </c>
      <c r="E2126" s="8" t="s">
        <v>2575</v>
      </c>
      <c r="F2126" s="27" t="s">
        <v>2555</v>
      </c>
    </row>
    <row r="2127">
      <c r="A2127" s="9" t="s">
        <v>84</v>
      </c>
      <c r="B2127" s="9" t="s">
        <v>819</v>
      </c>
      <c r="C2127" s="8" t="s">
        <v>138</v>
      </c>
      <c r="D2127" s="14" t="s">
        <v>631</v>
      </c>
      <c r="E2127" s="8" t="s">
        <v>2615</v>
      </c>
      <c r="F2127" s="27" t="s">
        <v>2588</v>
      </c>
    </row>
    <row r="2128">
      <c r="A2128" s="9" t="s">
        <v>820</v>
      </c>
      <c r="B2128" s="9" t="s">
        <v>45</v>
      </c>
      <c r="C2128" s="8" t="s">
        <v>93</v>
      </c>
      <c r="D2128" s="14" t="s">
        <v>631</v>
      </c>
      <c r="E2128" s="8" t="s">
        <v>2585</v>
      </c>
      <c r="F2128" s="27" t="s">
        <v>2588</v>
      </c>
    </row>
    <row r="2129">
      <c r="A2129" s="9" t="s">
        <v>1327</v>
      </c>
      <c r="B2129" s="9" t="s">
        <v>231</v>
      </c>
      <c r="C2129" s="8" t="s">
        <v>53</v>
      </c>
      <c r="D2129" s="14" t="s">
        <v>1070</v>
      </c>
      <c r="E2129" s="8" t="s">
        <v>2610</v>
      </c>
      <c r="F2129" s="27" t="s">
        <v>2565</v>
      </c>
    </row>
    <row r="2130">
      <c r="A2130" s="9" t="s">
        <v>446</v>
      </c>
      <c r="B2130" s="9" t="s">
        <v>447</v>
      </c>
      <c r="C2130" s="8" t="s">
        <v>46</v>
      </c>
      <c r="D2130" s="14" t="s">
        <v>338</v>
      </c>
      <c r="E2130" s="8" t="s">
        <v>2577</v>
      </c>
      <c r="F2130" s="27" t="s">
        <v>2633</v>
      </c>
    </row>
    <row r="2131">
      <c r="A2131" s="9" t="s">
        <v>10</v>
      </c>
      <c r="B2131" s="9" t="s">
        <v>11</v>
      </c>
      <c r="C2131" s="8" t="s">
        <v>12</v>
      </c>
      <c r="D2131" s="14" t="s">
        <v>13</v>
      </c>
      <c r="E2131" s="8" t="s">
        <v>2567</v>
      </c>
      <c r="F2131" s="27" t="s">
        <v>2586</v>
      </c>
    </row>
    <row r="2132">
      <c r="A2132" s="9" t="s">
        <v>1658</v>
      </c>
      <c r="B2132" s="9" t="s">
        <v>134</v>
      </c>
      <c r="C2132" s="8" t="s">
        <v>261</v>
      </c>
      <c r="D2132" s="14" t="s">
        <v>1352</v>
      </c>
      <c r="E2132" s="8" t="s">
        <v>2558</v>
      </c>
      <c r="F2132" s="27" t="s">
        <v>2563</v>
      </c>
    </row>
    <row r="2133">
      <c r="A2133" s="9" t="s">
        <v>2012</v>
      </c>
      <c r="B2133" s="9" t="s">
        <v>55</v>
      </c>
      <c r="C2133" s="8" t="s">
        <v>24</v>
      </c>
      <c r="D2133" s="14" t="s">
        <v>1679</v>
      </c>
      <c r="E2133" s="8" t="s">
        <v>2572</v>
      </c>
      <c r="F2133" s="27" t="s">
        <v>2609</v>
      </c>
    </row>
    <row r="2134">
      <c r="A2134" s="9" t="s">
        <v>821</v>
      </c>
      <c r="B2134" s="9" t="s">
        <v>822</v>
      </c>
      <c r="C2134" s="8" t="s">
        <v>75</v>
      </c>
      <c r="D2134" s="14" t="s">
        <v>631</v>
      </c>
      <c r="E2134" s="18" t="s">
        <v>2589</v>
      </c>
      <c r="F2134" s="27" t="s">
        <v>2609</v>
      </c>
    </row>
    <row r="2135">
      <c r="A2135" s="9" t="s">
        <v>823</v>
      </c>
      <c r="B2135" s="9" t="s">
        <v>824</v>
      </c>
      <c r="C2135" s="8" t="s">
        <v>46</v>
      </c>
      <c r="D2135" s="14" t="s">
        <v>631</v>
      </c>
      <c r="E2135" s="8" t="s">
        <v>2587</v>
      </c>
      <c r="F2135" s="27" t="s">
        <v>2555</v>
      </c>
    </row>
    <row r="2136">
      <c r="A2136" s="18" t="s">
        <v>2013</v>
      </c>
      <c r="B2136" s="18" t="s">
        <v>2014</v>
      </c>
      <c r="C2136" s="8" t="s">
        <v>93</v>
      </c>
      <c r="D2136" s="14" t="s">
        <v>1679</v>
      </c>
      <c r="E2136" s="8" t="s">
        <v>2183</v>
      </c>
      <c r="F2136" s="27" t="s">
        <v>2606</v>
      </c>
    </row>
    <row r="2137">
      <c r="A2137" s="9" t="s">
        <v>2015</v>
      </c>
      <c r="B2137" s="9" t="s">
        <v>1816</v>
      </c>
      <c r="C2137" s="8" t="s">
        <v>38</v>
      </c>
      <c r="D2137" s="14" t="s">
        <v>1679</v>
      </c>
      <c r="E2137" s="8" t="s">
        <v>2620</v>
      </c>
      <c r="F2137" s="27" t="s">
        <v>2583</v>
      </c>
    </row>
    <row r="2138">
      <c r="A2138" s="9" t="s">
        <v>611</v>
      </c>
      <c r="B2138" s="9" t="s">
        <v>399</v>
      </c>
      <c r="C2138" s="8" t="s">
        <v>186</v>
      </c>
      <c r="D2138" s="14" t="s">
        <v>459</v>
      </c>
      <c r="E2138" s="8" t="s">
        <v>2603</v>
      </c>
      <c r="F2138" s="27" t="s">
        <v>2635</v>
      </c>
    </row>
    <row r="2139">
      <c r="A2139" s="9" t="s">
        <v>611</v>
      </c>
      <c r="B2139" s="9" t="s">
        <v>612</v>
      </c>
      <c r="C2139" s="8" t="s">
        <v>149</v>
      </c>
      <c r="D2139" s="14" t="s">
        <v>459</v>
      </c>
      <c r="E2139" s="8" t="s">
        <v>2554</v>
      </c>
      <c r="F2139" s="27" t="s">
        <v>2590</v>
      </c>
    </row>
    <row r="2140">
      <c r="A2140" s="9" t="s">
        <v>51</v>
      </c>
      <c r="B2140" s="9" t="s">
        <v>52</v>
      </c>
      <c r="C2140" s="8" t="s">
        <v>53</v>
      </c>
      <c r="D2140" s="14" t="s">
        <v>39</v>
      </c>
      <c r="E2140" s="8" t="s">
        <v>2621</v>
      </c>
      <c r="F2140" s="27" t="s">
        <v>2611</v>
      </c>
    </row>
    <row r="2141">
      <c r="A2141" s="9" t="s">
        <v>1047</v>
      </c>
      <c r="B2141" s="9" t="s">
        <v>1048</v>
      </c>
      <c r="C2141" s="8" t="s">
        <v>24</v>
      </c>
      <c r="D2141" s="14" t="s">
        <v>837</v>
      </c>
      <c r="E2141" s="8" t="s">
        <v>2581</v>
      </c>
      <c r="F2141" s="27" t="s">
        <v>2557</v>
      </c>
    </row>
    <row r="2142">
      <c r="A2142" s="9" t="s">
        <v>104</v>
      </c>
      <c r="B2142" s="9" t="s">
        <v>212</v>
      </c>
      <c r="C2142" s="8" t="s">
        <v>59</v>
      </c>
      <c r="D2142" s="14" t="s">
        <v>1679</v>
      </c>
      <c r="E2142" s="8" t="s">
        <v>2567</v>
      </c>
      <c r="F2142" s="27" t="s">
        <v>2557</v>
      </c>
    </row>
    <row r="2143">
      <c r="A2143" s="18" t="s">
        <v>104</v>
      </c>
      <c r="B2143" s="18" t="s">
        <v>2442</v>
      </c>
      <c r="C2143" s="8" t="s">
        <v>53</v>
      </c>
      <c r="D2143" s="14" t="s">
        <v>2296</v>
      </c>
      <c r="E2143" s="8" t="s">
        <v>2621</v>
      </c>
      <c r="F2143" s="27" t="s">
        <v>2622</v>
      </c>
    </row>
    <row r="2144">
      <c r="A2144" s="9" t="s">
        <v>104</v>
      </c>
      <c r="B2144" s="9" t="s">
        <v>105</v>
      </c>
      <c r="C2144" s="8" t="s">
        <v>24</v>
      </c>
      <c r="D2144" s="14" t="s">
        <v>83</v>
      </c>
      <c r="E2144" s="8" t="s">
        <v>2621</v>
      </c>
      <c r="F2144" s="27" t="s">
        <v>2559</v>
      </c>
    </row>
    <row r="2145">
      <c r="A2145" s="9" t="s">
        <v>104</v>
      </c>
      <c r="B2145" s="9" t="s">
        <v>964</v>
      </c>
      <c r="C2145" s="8" t="s">
        <v>215</v>
      </c>
      <c r="D2145" s="14" t="s">
        <v>1679</v>
      </c>
      <c r="E2145" s="8" t="s">
        <v>2620</v>
      </c>
      <c r="F2145" s="27" t="s">
        <v>2622</v>
      </c>
    </row>
    <row r="2146">
      <c r="A2146" s="9" t="s">
        <v>104</v>
      </c>
      <c r="B2146" s="9" t="s">
        <v>102</v>
      </c>
      <c r="C2146" s="8" t="s">
        <v>186</v>
      </c>
      <c r="D2146" s="14" t="s">
        <v>1070</v>
      </c>
      <c r="E2146" s="18" t="s">
        <v>2589</v>
      </c>
      <c r="F2146" s="27" t="s">
        <v>2555</v>
      </c>
    </row>
    <row r="2147">
      <c r="A2147" s="9" t="s">
        <v>104</v>
      </c>
      <c r="B2147" s="9" t="s">
        <v>690</v>
      </c>
      <c r="C2147" s="8" t="s">
        <v>16</v>
      </c>
      <c r="D2147" s="14" t="s">
        <v>2033</v>
      </c>
      <c r="E2147" s="8" t="s">
        <v>2567</v>
      </c>
      <c r="F2147" s="27" t="s">
        <v>2618</v>
      </c>
    </row>
    <row r="2148">
      <c r="A2148" s="9" t="s">
        <v>104</v>
      </c>
      <c r="B2148" s="9" t="s">
        <v>2017</v>
      </c>
      <c r="C2148" s="8" t="s">
        <v>80</v>
      </c>
      <c r="D2148" s="14" t="s">
        <v>1679</v>
      </c>
      <c r="E2148" s="8" t="s">
        <v>2554</v>
      </c>
      <c r="F2148" s="27" t="s">
        <v>2565</v>
      </c>
    </row>
    <row r="2149">
      <c r="A2149" s="9" t="s">
        <v>1328</v>
      </c>
      <c r="B2149" s="9" t="s">
        <v>98</v>
      </c>
      <c r="C2149" s="8" t="s">
        <v>59</v>
      </c>
      <c r="D2149" s="14" t="s">
        <v>1070</v>
      </c>
      <c r="E2149" s="8" t="s">
        <v>2620</v>
      </c>
      <c r="F2149" s="27" t="s">
        <v>2579</v>
      </c>
    </row>
    <row r="2150">
      <c r="A2150" s="9" t="s">
        <v>1328</v>
      </c>
      <c r="B2150" s="9" t="s">
        <v>2016</v>
      </c>
      <c r="C2150" s="8" t="s">
        <v>93</v>
      </c>
      <c r="D2150" s="14" t="s">
        <v>1679</v>
      </c>
      <c r="E2150" s="8" t="s">
        <v>2587</v>
      </c>
      <c r="F2150" s="27" t="s">
        <v>2553</v>
      </c>
    </row>
    <row r="2151">
      <c r="A2151" s="9" t="s">
        <v>1329</v>
      </c>
      <c r="B2151" s="9" t="s">
        <v>153</v>
      </c>
      <c r="C2151" s="8" t="s">
        <v>24</v>
      </c>
      <c r="D2151" s="14" t="s">
        <v>1070</v>
      </c>
      <c r="E2151" s="18" t="s">
        <v>2556</v>
      </c>
      <c r="F2151" s="27" t="s">
        <v>2622</v>
      </c>
    </row>
    <row r="2152">
      <c r="A2152" s="9" t="s">
        <v>2443</v>
      </c>
      <c r="B2152" s="9" t="s">
        <v>471</v>
      </c>
      <c r="C2152" s="8" t="s">
        <v>70</v>
      </c>
      <c r="D2152" s="14" t="s">
        <v>2296</v>
      </c>
      <c r="E2152" s="8" t="s">
        <v>2581</v>
      </c>
      <c r="F2152" s="27" t="s">
        <v>2622</v>
      </c>
    </row>
    <row r="2153">
      <c r="A2153" s="9" t="s">
        <v>825</v>
      </c>
      <c r="B2153" s="9" t="s">
        <v>2274</v>
      </c>
      <c r="C2153" s="8" t="s">
        <v>93</v>
      </c>
      <c r="D2153" s="14" t="s">
        <v>2033</v>
      </c>
      <c r="E2153" s="8" t="s">
        <v>2183</v>
      </c>
      <c r="F2153" s="27" t="s">
        <v>2568</v>
      </c>
    </row>
    <row r="2154">
      <c r="A2154" s="9" t="s">
        <v>825</v>
      </c>
      <c r="B2154" s="9" t="s">
        <v>1285</v>
      </c>
      <c r="C2154" s="8" t="s">
        <v>93</v>
      </c>
      <c r="D2154" s="14" t="s">
        <v>2296</v>
      </c>
      <c r="E2154" s="8" t="s">
        <v>2615</v>
      </c>
      <c r="F2154" s="27" t="s">
        <v>2613</v>
      </c>
    </row>
    <row r="2155">
      <c r="A2155" s="9" t="s">
        <v>825</v>
      </c>
      <c r="B2155" s="9" t="s">
        <v>1659</v>
      </c>
      <c r="C2155" s="8" t="s">
        <v>122</v>
      </c>
      <c r="D2155" s="14" t="s">
        <v>1352</v>
      </c>
      <c r="E2155" s="8" t="s">
        <v>2567</v>
      </c>
      <c r="F2155" s="27" t="s">
        <v>2555</v>
      </c>
    </row>
    <row r="2156">
      <c r="A2156" s="9" t="s">
        <v>825</v>
      </c>
      <c r="B2156" s="9" t="s">
        <v>826</v>
      </c>
      <c r="C2156" s="8" t="s">
        <v>93</v>
      </c>
      <c r="D2156" s="14" t="s">
        <v>631</v>
      </c>
      <c r="E2156" s="8" t="s">
        <v>2585</v>
      </c>
      <c r="F2156" s="27" t="s">
        <v>2601</v>
      </c>
    </row>
    <row r="2157">
      <c r="A2157" s="9" t="s">
        <v>1049</v>
      </c>
      <c r="B2157" s="9" t="s">
        <v>746</v>
      </c>
      <c r="C2157" s="8" t="s">
        <v>70</v>
      </c>
      <c r="D2157" s="14" t="s">
        <v>837</v>
      </c>
      <c r="E2157" s="8" t="s">
        <v>2567</v>
      </c>
      <c r="F2157" s="27" t="s">
        <v>2590</v>
      </c>
    </row>
    <row r="2158">
      <c r="A2158" s="9" t="s">
        <v>827</v>
      </c>
      <c r="B2158" s="9" t="s">
        <v>64</v>
      </c>
      <c r="C2158" s="8" t="s">
        <v>132</v>
      </c>
      <c r="D2158" s="14" t="s">
        <v>631</v>
      </c>
      <c r="E2158" s="8" t="s">
        <v>2595</v>
      </c>
      <c r="F2158" s="27" t="s">
        <v>2607</v>
      </c>
    </row>
    <row r="2159">
      <c r="A2159" s="9" t="s">
        <v>2444</v>
      </c>
      <c r="B2159" s="9" t="s">
        <v>2364</v>
      </c>
      <c r="C2159" s="8" t="s">
        <v>59</v>
      </c>
      <c r="D2159" s="14" t="s">
        <v>2296</v>
      </c>
      <c r="E2159" s="8" t="s">
        <v>2585</v>
      </c>
      <c r="F2159" s="27" t="s">
        <v>2553</v>
      </c>
    </row>
    <row r="2160">
      <c r="A2160" s="9" t="s">
        <v>2275</v>
      </c>
      <c r="B2160" s="9" t="s">
        <v>275</v>
      </c>
      <c r="C2160" s="8" t="s">
        <v>70</v>
      </c>
      <c r="D2160" s="14" t="s">
        <v>2033</v>
      </c>
      <c r="E2160" s="18" t="s">
        <v>2556</v>
      </c>
      <c r="F2160" s="27" t="s">
        <v>2609</v>
      </c>
    </row>
    <row r="2161">
      <c r="A2161" s="9" t="s">
        <v>2445</v>
      </c>
      <c r="B2161" s="9" t="s">
        <v>2446</v>
      </c>
      <c r="C2161" s="8" t="s">
        <v>24</v>
      </c>
      <c r="D2161" s="14" t="s">
        <v>2296</v>
      </c>
      <c r="E2161" s="8" t="s">
        <v>2562</v>
      </c>
      <c r="F2161" s="27" t="s">
        <v>2591</v>
      </c>
    </row>
    <row r="2162">
      <c r="A2162" s="9" t="s">
        <v>1330</v>
      </c>
      <c r="B2162" s="9" t="s">
        <v>1331</v>
      </c>
      <c r="C2162" s="8" t="s">
        <v>122</v>
      </c>
      <c r="D2162" s="14" t="s">
        <v>1070</v>
      </c>
      <c r="E2162" s="8" t="s">
        <v>2581</v>
      </c>
      <c r="F2162" s="27" t="s">
        <v>2579</v>
      </c>
    </row>
    <row r="2163">
      <c r="A2163" s="9" t="s">
        <v>1330</v>
      </c>
      <c r="B2163" s="9" t="s">
        <v>357</v>
      </c>
      <c r="C2163" s="8" t="s">
        <v>80</v>
      </c>
      <c r="D2163" s="14" t="s">
        <v>1070</v>
      </c>
      <c r="E2163" s="8" t="s">
        <v>2554</v>
      </c>
      <c r="F2163" s="27" t="s">
        <v>2555</v>
      </c>
    </row>
    <row r="2164">
      <c r="A2164" s="9" t="s">
        <v>1330</v>
      </c>
      <c r="B2164" s="9" t="s">
        <v>943</v>
      </c>
      <c r="C2164" s="8" t="s">
        <v>70</v>
      </c>
      <c r="D2164" s="14" t="s">
        <v>1070</v>
      </c>
      <c r="E2164" s="18" t="s">
        <v>2556</v>
      </c>
      <c r="F2164" s="27" t="s">
        <v>2602</v>
      </c>
    </row>
    <row r="2165">
      <c r="A2165" s="9" t="s">
        <v>1330</v>
      </c>
      <c r="B2165" s="9" t="s">
        <v>273</v>
      </c>
      <c r="C2165" s="8" t="s">
        <v>70</v>
      </c>
      <c r="D2165" s="14" t="s">
        <v>1352</v>
      </c>
      <c r="E2165" s="8" t="s">
        <v>2595</v>
      </c>
      <c r="F2165" s="27" t="s">
        <v>2622</v>
      </c>
    </row>
    <row r="2166">
      <c r="A2166" s="9" t="s">
        <v>1330</v>
      </c>
      <c r="B2166" s="9" t="s">
        <v>260</v>
      </c>
      <c r="C2166" s="8" t="s">
        <v>65</v>
      </c>
      <c r="D2166" s="14" t="s">
        <v>2033</v>
      </c>
      <c r="E2166" s="8" t="s">
        <v>2577</v>
      </c>
      <c r="F2166" s="27" t="s">
        <v>2601</v>
      </c>
    </row>
    <row r="2167">
      <c r="A2167" s="9" t="s">
        <v>1332</v>
      </c>
      <c r="B2167" s="9" t="s">
        <v>1333</v>
      </c>
      <c r="C2167" s="8" t="s">
        <v>93</v>
      </c>
      <c r="D2167" s="14" t="s">
        <v>1070</v>
      </c>
      <c r="E2167" s="8" t="s">
        <v>2577</v>
      </c>
      <c r="F2167" s="27" t="s">
        <v>2570</v>
      </c>
    </row>
    <row r="2168">
      <c r="A2168" s="9" t="s">
        <v>613</v>
      </c>
      <c r="B2168" s="9" t="s">
        <v>443</v>
      </c>
      <c r="C2168" s="8" t="s">
        <v>132</v>
      </c>
      <c r="D2168" s="14" t="s">
        <v>459</v>
      </c>
      <c r="E2168" s="8" t="s">
        <v>2592</v>
      </c>
      <c r="F2168" s="27" t="s">
        <v>2583</v>
      </c>
    </row>
    <row r="2169">
      <c r="A2169" s="9" t="s">
        <v>1050</v>
      </c>
      <c r="B2169" s="9" t="s">
        <v>366</v>
      </c>
      <c r="C2169" s="8" t="s">
        <v>138</v>
      </c>
      <c r="D2169" s="14" t="s">
        <v>1352</v>
      </c>
      <c r="E2169" s="8" t="s">
        <v>2562</v>
      </c>
      <c r="F2169" s="27" t="s">
        <v>2563</v>
      </c>
    </row>
    <row r="2170">
      <c r="A2170" s="9" t="s">
        <v>1050</v>
      </c>
      <c r="B2170" s="9" t="s">
        <v>1051</v>
      </c>
      <c r="C2170" s="8" t="s">
        <v>192</v>
      </c>
      <c r="D2170" s="14" t="s">
        <v>837</v>
      </c>
      <c r="E2170" s="8" t="s">
        <v>2572</v>
      </c>
      <c r="F2170" s="27" t="s">
        <v>2565</v>
      </c>
    </row>
    <row r="2171">
      <c r="A2171" s="9" t="s">
        <v>1050</v>
      </c>
      <c r="B2171" s="9" t="s">
        <v>1334</v>
      </c>
      <c r="C2171" s="8" t="s">
        <v>65</v>
      </c>
      <c r="D2171" s="14" t="s">
        <v>1070</v>
      </c>
      <c r="E2171" s="8" t="s">
        <v>2183</v>
      </c>
      <c r="F2171" s="27" t="s">
        <v>2588</v>
      </c>
    </row>
    <row r="2172">
      <c r="A2172" s="9" t="s">
        <v>34</v>
      </c>
      <c r="B2172" s="9" t="s">
        <v>35</v>
      </c>
      <c r="C2172" s="8" t="s">
        <v>24</v>
      </c>
      <c r="D2172" s="14" t="s">
        <v>27</v>
      </c>
      <c r="E2172" s="8" t="s">
        <v>2600</v>
      </c>
      <c r="F2172" s="27" t="s">
        <v>2588</v>
      </c>
    </row>
    <row r="2173">
      <c r="A2173" s="9" t="s">
        <v>34</v>
      </c>
      <c r="B2173" s="9" t="s">
        <v>330</v>
      </c>
      <c r="C2173" s="8" t="s">
        <v>59</v>
      </c>
      <c r="D2173" s="14" t="s">
        <v>237</v>
      </c>
      <c r="E2173" s="8" t="s">
        <v>2620</v>
      </c>
      <c r="F2173" s="27" t="s">
        <v>2557</v>
      </c>
    </row>
    <row r="2174">
      <c r="A2174" s="9" t="s">
        <v>34</v>
      </c>
      <c r="B2174" s="9" t="s">
        <v>2276</v>
      </c>
      <c r="C2174" s="8" t="s">
        <v>16</v>
      </c>
      <c r="D2174" s="14" t="s">
        <v>2033</v>
      </c>
      <c r="E2174" s="8" t="s">
        <v>2562</v>
      </c>
      <c r="F2174" s="27" t="s">
        <v>2588</v>
      </c>
    </row>
    <row r="2175">
      <c r="A2175" s="9" t="s">
        <v>34</v>
      </c>
      <c r="B2175" s="9" t="s">
        <v>381</v>
      </c>
      <c r="C2175" s="8" t="s">
        <v>65</v>
      </c>
      <c r="D2175" s="14" t="s">
        <v>1679</v>
      </c>
      <c r="E2175" s="8" t="s">
        <v>2592</v>
      </c>
      <c r="F2175" s="27" t="s">
        <v>2622</v>
      </c>
    </row>
    <row r="2176">
      <c r="A2176" s="9" t="s">
        <v>448</v>
      </c>
      <c r="B2176" s="9" t="s">
        <v>493</v>
      </c>
      <c r="C2176" s="8" t="s">
        <v>261</v>
      </c>
      <c r="D2176" s="14" t="s">
        <v>1070</v>
      </c>
      <c r="E2176" s="8" t="s">
        <v>2572</v>
      </c>
      <c r="F2176" s="27" t="s">
        <v>2591</v>
      </c>
    </row>
    <row r="2177">
      <c r="A2177" s="18" t="s">
        <v>448</v>
      </c>
      <c r="B2177" s="18" t="s">
        <v>159</v>
      </c>
      <c r="C2177" s="8" t="s">
        <v>138</v>
      </c>
      <c r="D2177" s="14" t="s">
        <v>338</v>
      </c>
      <c r="E2177" s="8" t="s">
        <v>2562</v>
      </c>
      <c r="F2177" s="27" t="s">
        <v>2619</v>
      </c>
    </row>
    <row r="2178">
      <c r="A2178" s="18" t="s">
        <v>448</v>
      </c>
      <c r="B2178" s="18" t="s">
        <v>491</v>
      </c>
      <c r="C2178" s="8" t="s">
        <v>53</v>
      </c>
      <c r="D2178" s="14" t="s">
        <v>1679</v>
      </c>
      <c r="E2178" s="8" t="s">
        <v>2577</v>
      </c>
      <c r="F2178" s="27" t="s">
        <v>2588</v>
      </c>
    </row>
    <row r="2179">
      <c r="A2179" s="9" t="s">
        <v>2277</v>
      </c>
      <c r="B2179" s="9" t="s">
        <v>2278</v>
      </c>
      <c r="C2179" s="8" t="s">
        <v>192</v>
      </c>
      <c r="D2179" s="14" t="s">
        <v>2033</v>
      </c>
      <c r="E2179" s="8" t="s">
        <v>2183</v>
      </c>
      <c r="F2179" s="27" t="s">
        <v>2555</v>
      </c>
    </row>
    <row r="2180">
      <c r="A2180" s="9" t="s">
        <v>2277</v>
      </c>
      <c r="B2180" s="9" t="s">
        <v>2279</v>
      </c>
      <c r="C2180" s="8" t="s">
        <v>122</v>
      </c>
      <c r="D2180" s="14" t="s">
        <v>2033</v>
      </c>
      <c r="E2180" s="8" t="s">
        <v>2552</v>
      </c>
      <c r="F2180" s="27" t="s">
        <v>2563</v>
      </c>
    </row>
    <row r="2181">
      <c r="A2181" s="9" t="s">
        <v>614</v>
      </c>
      <c r="B2181" s="9" t="s">
        <v>615</v>
      </c>
      <c r="C2181" s="8" t="s">
        <v>38</v>
      </c>
      <c r="D2181" s="14" t="s">
        <v>459</v>
      </c>
      <c r="E2181" s="8" t="s">
        <v>2582</v>
      </c>
      <c r="F2181" s="27" t="s">
        <v>2599</v>
      </c>
    </row>
    <row r="2182">
      <c r="A2182" s="9" t="s">
        <v>1052</v>
      </c>
      <c r="B2182" s="9" t="s">
        <v>1053</v>
      </c>
      <c r="C2182" s="8" t="s">
        <v>93</v>
      </c>
      <c r="D2182" s="14" t="s">
        <v>837</v>
      </c>
      <c r="E2182" s="8" t="s">
        <v>2552</v>
      </c>
      <c r="F2182" s="27" t="s">
        <v>2586</v>
      </c>
    </row>
    <row r="2183">
      <c r="A2183" s="9" t="s">
        <v>1660</v>
      </c>
      <c r="B2183" s="9" t="s">
        <v>88</v>
      </c>
      <c r="C2183" s="8" t="s">
        <v>138</v>
      </c>
      <c r="D2183" s="14" t="s">
        <v>1352</v>
      </c>
      <c r="E2183" s="8" t="s">
        <v>2552</v>
      </c>
      <c r="F2183" s="27" t="s">
        <v>2591</v>
      </c>
    </row>
    <row r="2184">
      <c r="A2184" s="18" t="s">
        <v>232</v>
      </c>
      <c r="B2184" s="18" t="s">
        <v>616</v>
      </c>
      <c r="C2184" s="8" t="s">
        <v>93</v>
      </c>
      <c r="D2184" s="14" t="s">
        <v>459</v>
      </c>
      <c r="E2184" s="8" t="s">
        <v>2610</v>
      </c>
      <c r="F2184" s="27" t="s">
        <v>2622</v>
      </c>
    </row>
    <row r="2185">
      <c r="A2185" s="9" t="s">
        <v>232</v>
      </c>
      <c r="B2185" s="9" t="s">
        <v>378</v>
      </c>
      <c r="C2185" s="8" t="s">
        <v>192</v>
      </c>
      <c r="D2185" s="14" t="s">
        <v>2033</v>
      </c>
      <c r="E2185" s="8" t="s">
        <v>2621</v>
      </c>
      <c r="F2185" s="27" t="s">
        <v>2618</v>
      </c>
    </row>
    <row r="2186">
      <c r="A2186" s="9" t="s">
        <v>232</v>
      </c>
      <c r="B2186" s="9" t="s">
        <v>61</v>
      </c>
      <c r="C2186" s="8" t="s">
        <v>16</v>
      </c>
      <c r="D2186" s="14" t="s">
        <v>1679</v>
      </c>
      <c r="E2186" s="8" t="s">
        <v>2560</v>
      </c>
      <c r="F2186" s="27" t="s">
        <v>2612</v>
      </c>
    </row>
    <row r="2187">
      <c r="A2187" s="18" t="s">
        <v>232</v>
      </c>
      <c r="B2187" s="18" t="s">
        <v>331</v>
      </c>
      <c r="C2187" s="8" t="s">
        <v>149</v>
      </c>
      <c r="D2187" s="14" t="s">
        <v>237</v>
      </c>
      <c r="E2187" s="8" t="s">
        <v>2567</v>
      </c>
      <c r="F2187" s="27" t="s">
        <v>2609</v>
      </c>
    </row>
    <row r="2188">
      <c r="A2188" s="9" t="s">
        <v>232</v>
      </c>
      <c r="B2188" s="9" t="s">
        <v>102</v>
      </c>
      <c r="C2188" s="8" t="s">
        <v>16</v>
      </c>
      <c r="D2188" s="14" t="s">
        <v>189</v>
      </c>
      <c r="E2188" s="8" t="s">
        <v>2562</v>
      </c>
      <c r="F2188" s="27" t="s">
        <v>2569</v>
      </c>
    </row>
    <row r="2189">
      <c r="A2189" s="9" t="s">
        <v>2447</v>
      </c>
      <c r="B2189" s="9" t="s">
        <v>183</v>
      </c>
      <c r="C2189" s="8" t="s">
        <v>70</v>
      </c>
      <c r="D2189" s="14" t="s">
        <v>2296</v>
      </c>
      <c r="E2189" s="8" t="s">
        <v>2614</v>
      </c>
      <c r="F2189" s="27" t="s">
        <v>2583</v>
      </c>
    </row>
    <row r="2190">
      <c r="A2190" s="9" t="s">
        <v>2280</v>
      </c>
      <c r="B2190" s="9" t="s">
        <v>1134</v>
      </c>
      <c r="C2190" s="8" t="s">
        <v>93</v>
      </c>
      <c r="D2190" s="14" t="s">
        <v>2033</v>
      </c>
      <c r="E2190" s="8" t="s">
        <v>2600</v>
      </c>
      <c r="F2190" s="27" t="s">
        <v>2555</v>
      </c>
    </row>
    <row r="2191">
      <c r="A2191" s="9" t="s">
        <v>128</v>
      </c>
      <c r="B2191" s="9" t="s">
        <v>129</v>
      </c>
      <c r="C2191" s="8" t="s">
        <v>80</v>
      </c>
      <c r="D2191" s="14" t="s">
        <v>108</v>
      </c>
      <c r="E2191" s="8" t="s">
        <v>2593</v>
      </c>
      <c r="F2191" s="27" t="s">
        <v>2599</v>
      </c>
    </row>
    <row r="2192">
      <c r="A2192" s="9" t="s">
        <v>180</v>
      </c>
      <c r="B2192" s="9" t="s">
        <v>181</v>
      </c>
      <c r="C2192" s="8" t="s">
        <v>24</v>
      </c>
      <c r="D2192" s="14" t="s">
        <v>135</v>
      </c>
      <c r="E2192" s="8" t="s">
        <v>2562</v>
      </c>
      <c r="F2192" s="27" t="s">
        <v>2629</v>
      </c>
    </row>
    <row r="2193">
      <c r="A2193" s="9" t="s">
        <v>2018</v>
      </c>
      <c r="B2193" s="9" t="s">
        <v>1528</v>
      </c>
      <c r="C2193" s="8" t="s">
        <v>261</v>
      </c>
      <c r="D2193" s="14" t="s">
        <v>1679</v>
      </c>
      <c r="E2193" s="8" t="s">
        <v>2582</v>
      </c>
      <c r="F2193" s="27" t="s">
        <v>2576</v>
      </c>
    </row>
    <row r="2194">
      <c r="A2194" s="9" t="s">
        <v>828</v>
      </c>
      <c r="B2194" s="9" t="s">
        <v>506</v>
      </c>
      <c r="C2194" s="8" t="s">
        <v>24</v>
      </c>
      <c r="D2194" s="14" t="s">
        <v>1679</v>
      </c>
      <c r="E2194" s="8" t="s">
        <v>2183</v>
      </c>
      <c r="F2194" s="27" t="s">
        <v>2568</v>
      </c>
    </row>
    <row r="2195">
      <c r="A2195" s="9" t="s">
        <v>828</v>
      </c>
      <c r="B2195" s="9" t="s">
        <v>301</v>
      </c>
      <c r="C2195" s="8" t="s">
        <v>46</v>
      </c>
      <c r="D2195" s="14" t="s">
        <v>631</v>
      </c>
      <c r="E2195" s="8" t="s">
        <v>2584</v>
      </c>
      <c r="F2195" s="27" t="s">
        <v>2579</v>
      </c>
    </row>
    <row r="2196">
      <c r="A2196" s="9" t="s">
        <v>1335</v>
      </c>
      <c r="B2196" s="9" t="s">
        <v>1118</v>
      </c>
      <c r="C2196" s="8" t="s">
        <v>16</v>
      </c>
      <c r="D2196" s="14" t="s">
        <v>1070</v>
      </c>
      <c r="E2196" s="8" t="s">
        <v>2564</v>
      </c>
      <c r="F2196" s="27" t="s">
        <v>2588</v>
      </c>
    </row>
    <row r="2197">
      <c r="A2197" s="9" t="s">
        <v>2281</v>
      </c>
      <c r="B2197" s="9" t="s">
        <v>1408</v>
      </c>
      <c r="C2197" s="8" t="s">
        <v>24</v>
      </c>
      <c r="D2197" s="14" t="s">
        <v>2033</v>
      </c>
      <c r="E2197" s="8" t="s">
        <v>2560</v>
      </c>
      <c r="F2197" s="27" t="s">
        <v>2557</v>
      </c>
    </row>
    <row r="2198">
      <c r="A2198" s="9" t="s">
        <v>185</v>
      </c>
      <c r="B2198" s="9" t="s">
        <v>100</v>
      </c>
      <c r="C2198" s="8" t="s">
        <v>65</v>
      </c>
      <c r="D2198" s="14" t="s">
        <v>2033</v>
      </c>
      <c r="E2198" s="8" t="s">
        <v>2566</v>
      </c>
      <c r="F2198" s="27" t="s">
        <v>2576</v>
      </c>
    </row>
    <row r="2199">
      <c r="A2199" s="18" t="s">
        <v>185</v>
      </c>
      <c r="B2199" s="18" t="s">
        <v>1054</v>
      </c>
      <c r="C2199" s="8" t="s">
        <v>132</v>
      </c>
      <c r="D2199" s="14" t="s">
        <v>837</v>
      </c>
      <c r="E2199" s="8" t="s">
        <v>2587</v>
      </c>
      <c r="F2199" s="27" t="s">
        <v>2609</v>
      </c>
    </row>
    <row r="2200">
      <c r="A2200" s="9" t="s">
        <v>1661</v>
      </c>
      <c r="B2200" s="9" t="s">
        <v>1662</v>
      </c>
      <c r="C2200" s="8" t="s">
        <v>65</v>
      </c>
      <c r="D2200" s="14" t="s">
        <v>1352</v>
      </c>
      <c r="E2200" s="8" t="s">
        <v>2584</v>
      </c>
      <c r="F2200" s="27" t="s">
        <v>2608</v>
      </c>
    </row>
    <row r="2201">
      <c r="A2201" s="9" t="s">
        <v>1336</v>
      </c>
      <c r="B2201" s="9" t="s">
        <v>1172</v>
      </c>
      <c r="C2201" s="8" t="s">
        <v>46</v>
      </c>
      <c r="D2201" s="14" t="s">
        <v>1070</v>
      </c>
      <c r="E2201" s="8" t="s">
        <v>2584</v>
      </c>
      <c r="F2201" s="27" t="s">
        <v>2617</v>
      </c>
    </row>
    <row r="2202">
      <c r="A2202" s="9" t="s">
        <v>1337</v>
      </c>
      <c r="B2202" s="9" t="s">
        <v>726</v>
      </c>
      <c r="C2202" s="8" t="s">
        <v>75</v>
      </c>
      <c r="D2202" s="14" t="s">
        <v>1070</v>
      </c>
      <c r="E2202" s="8" t="s">
        <v>2610</v>
      </c>
      <c r="F2202" s="27" t="s">
        <v>2570</v>
      </c>
    </row>
    <row r="2203">
      <c r="A2203" s="9" t="s">
        <v>829</v>
      </c>
      <c r="B2203" s="9" t="s">
        <v>23</v>
      </c>
      <c r="C2203" s="8" t="s">
        <v>46</v>
      </c>
      <c r="D2203" s="14" t="s">
        <v>631</v>
      </c>
      <c r="E2203" s="8" t="s">
        <v>2598</v>
      </c>
      <c r="F2203" s="27" t="s">
        <v>2609</v>
      </c>
    </row>
    <row r="2204">
      <c r="A2204" s="9" t="s">
        <v>1663</v>
      </c>
      <c r="B2204" s="9" t="s">
        <v>117</v>
      </c>
      <c r="C2204" s="8" t="s">
        <v>149</v>
      </c>
      <c r="D2204" s="14" t="s">
        <v>1352</v>
      </c>
      <c r="E2204" s="8" t="s">
        <v>2566</v>
      </c>
      <c r="F2204" s="27" t="s">
        <v>2609</v>
      </c>
    </row>
    <row r="2205">
      <c r="A2205" s="9" t="s">
        <v>1055</v>
      </c>
      <c r="B2205" s="9" t="s">
        <v>1056</v>
      </c>
      <c r="C2205" s="8" t="s">
        <v>65</v>
      </c>
      <c r="D2205" s="14" t="s">
        <v>837</v>
      </c>
      <c r="E2205" s="8" t="s">
        <v>2574</v>
      </c>
      <c r="F2205" s="27" t="s">
        <v>2555</v>
      </c>
    </row>
    <row r="2206">
      <c r="A2206" s="9" t="s">
        <v>1055</v>
      </c>
      <c r="B2206" s="9" t="s">
        <v>217</v>
      </c>
      <c r="C2206" s="8" t="s">
        <v>186</v>
      </c>
      <c r="D2206" s="14" t="s">
        <v>2459</v>
      </c>
      <c r="E2206" s="8" t="s">
        <v>2592</v>
      </c>
      <c r="F2206" s="27" t="s">
        <v>2553</v>
      </c>
    </row>
    <row r="2207">
      <c r="A2207" s="9" t="s">
        <v>1055</v>
      </c>
      <c r="B2207" s="9" t="s">
        <v>260</v>
      </c>
      <c r="C2207" s="8" t="s">
        <v>70</v>
      </c>
      <c r="D2207" s="14" t="s">
        <v>837</v>
      </c>
      <c r="E2207" s="8" t="s">
        <v>2600</v>
      </c>
      <c r="F2207" s="27" t="s">
        <v>2633</v>
      </c>
    </row>
    <row r="2208">
      <c r="A2208" s="9" t="s">
        <v>1055</v>
      </c>
      <c r="B2208" s="9" t="s">
        <v>119</v>
      </c>
      <c r="C2208" s="8" t="s">
        <v>65</v>
      </c>
      <c r="D2208" s="14" t="s">
        <v>837</v>
      </c>
      <c r="E2208" s="18" t="s">
        <v>2589</v>
      </c>
      <c r="F2208" s="27" t="s">
        <v>2565</v>
      </c>
    </row>
    <row r="2209">
      <c r="A2209" s="9" t="s">
        <v>1055</v>
      </c>
      <c r="B2209" s="9" t="s">
        <v>2282</v>
      </c>
      <c r="C2209" s="8" t="s">
        <v>59</v>
      </c>
      <c r="D2209" s="14" t="s">
        <v>2033</v>
      </c>
      <c r="E2209" s="8" t="s">
        <v>2572</v>
      </c>
      <c r="F2209" s="27" t="s">
        <v>2557</v>
      </c>
    </row>
    <row r="2210">
      <c r="A2210" s="9" t="s">
        <v>1055</v>
      </c>
      <c r="B2210" s="9" t="s">
        <v>183</v>
      </c>
      <c r="C2210" s="8" t="s">
        <v>16</v>
      </c>
      <c r="D2210" s="14" t="s">
        <v>1679</v>
      </c>
      <c r="E2210" s="8" t="s">
        <v>2614</v>
      </c>
      <c r="F2210" s="27" t="s">
        <v>2569</v>
      </c>
    </row>
    <row r="2211">
      <c r="A2211" s="9" t="s">
        <v>1055</v>
      </c>
      <c r="B2211" s="9" t="s">
        <v>1209</v>
      </c>
      <c r="C2211" s="8" t="s">
        <v>65</v>
      </c>
      <c r="D2211" s="14" t="s">
        <v>1352</v>
      </c>
      <c r="E2211" s="8" t="s">
        <v>2560</v>
      </c>
      <c r="F2211" s="27" t="s">
        <v>2583</v>
      </c>
    </row>
    <row r="2212">
      <c r="A2212" s="18" t="s">
        <v>1055</v>
      </c>
      <c r="B2212" s="18" t="s">
        <v>2019</v>
      </c>
      <c r="C2212" s="8" t="s">
        <v>93</v>
      </c>
      <c r="D2212" s="14" t="s">
        <v>1679</v>
      </c>
      <c r="E2212" s="8" t="s">
        <v>2587</v>
      </c>
      <c r="F2212" s="27" t="s">
        <v>2625</v>
      </c>
    </row>
    <row r="2213">
      <c r="A2213" s="9" t="s">
        <v>1058</v>
      </c>
      <c r="B2213" s="9" t="s">
        <v>362</v>
      </c>
      <c r="C2213" s="8" t="s">
        <v>141</v>
      </c>
      <c r="D2213" s="14" t="s">
        <v>837</v>
      </c>
      <c r="E2213" s="8" t="s">
        <v>2605</v>
      </c>
      <c r="F2213" s="27" t="s">
        <v>2599</v>
      </c>
    </row>
    <row r="2214">
      <c r="A2214" s="9" t="s">
        <v>617</v>
      </c>
      <c r="B2214" s="9" t="s">
        <v>558</v>
      </c>
      <c r="C2214" s="8" t="s">
        <v>192</v>
      </c>
      <c r="D2214" s="14" t="s">
        <v>1070</v>
      </c>
      <c r="E2214" s="8" t="s">
        <v>2615</v>
      </c>
      <c r="F2214" s="27" t="s">
        <v>2563</v>
      </c>
    </row>
    <row r="2215">
      <c r="A2215" s="9" t="s">
        <v>617</v>
      </c>
      <c r="B2215" s="9" t="s">
        <v>263</v>
      </c>
      <c r="C2215" s="8" t="s">
        <v>192</v>
      </c>
      <c r="D2215" s="14" t="s">
        <v>2296</v>
      </c>
      <c r="E2215" s="8" t="s">
        <v>2592</v>
      </c>
      <c r="F2215" s="27" t="s">
        <v>2579</v>
      </c>
    </row>
    <row r="2216">
      <c r="A2216" s="9" t="s">
        <v>617</v>
      </c>
      <c r="B2216" s="9" t="s">
        <v>618</v>
      </c>
      <c r="C2216" s="8" t="s">
        <v>53</v>
      </c>
      <c r="D2216" s="14" t="s">
        <v>459</v>
      </c>
      <c r="E2216" s="18" t="s">
        <v>2556</v>
      </c>
      <c r="F2216" s="27" t="s">
        <v>2571</v>
      </c>
    </row>
    <row r="2217">
      <c r="A2217" s="9" t="s">
        <v>587</v>
      </c>
      <c r="B2217" s="9" t="s">
        <v>1611</v>
      </c>
      <c r="C2217" s="8" t="s">
        <v>65</v>
      </c>
      <c r="D2217" s="14" t="s">
        <v>1352</v>
      </c>
      <c r="E2217" s="8" t="s">
        <v>2562</v>
      </c>
      <c r="F2217" s="27" t="s">
        <v>2569</v>
      </c>
    </row>
    <row r="2218">
      <c r="A2218" s="9" t="s">
        <v>54</v>
      </c>
      <c r="B2218" s="9" t="s">
        <v>55</v>
      </c>
      <c r="C2218" s="8" t="s">
        <v>46</v>
      </c>
      <c r="D2218" s="14" t="s">
        <v>39</v>
      </c>
      <c r="E2218" s="8" t="s">
        <v>2593</v>
      </c>
      <c r="F2218" s="27" t="s">
        <v>2634</v>
      </c>
    </row>
    <row r="2219">
      <c r="A2219" s="9" t="s">
        <v>2448</v>
      </c>
      <c r="B2219" s="9" t="s">
        <v>2449</v>
      </c>
      <c r="C2219" s="8" t="s">
        <v>70</v>
      </c>
      <c r="D2219" s="14" t="s">
        <v>2296</v>
      </c>
      <c r="E2219" s="8" t="s">
        <v>2605</v>
      </c>
      <c r="F2219" s="27" t="s">
        <v>2555</v>
      </c>
    </row>
    <row r="2220">
      <c r="A2220" s="9" t="s">
        <v>1059</v>
      </c>
      <c r="B2220" s="9" t="s">
        <v>362</v>
      </c>
      <c r="C2220" s="8" t="s">
        <v>75</v>
      </c>
      <c r="D2220" s="14" t="s">
        <v>837</v>
      </c>
      <c r="E2220" s="8" t="s">
        <v>2614</v>
      </c>
      <c r="F2220" s="27" t="s">
        <v>2570</v>
      </c>
    </row>
    <row r="2221">
      <c r="A2221" s="9" t="s">
        <v>1665</v>
      </c>
      <c r="B2221" s="9" t="s">
        <v>349</v>
      </c>
      <c r="C2221" s="8" t="s">
        <v>24</v>
      </c>
      <c r="D2221" s="14" t="s">
        <v>1352</v>
      </c>
      <c r="E2221" s="8" t="s">
        <v>2621</v>
      </c>
      <c r="F2221" s="27" t="s">
        <v>2568</v>
      </c>
    </row>
    <row r="2222">
      <c r="A2222" s="9" t="s">
        <v>2284</v>
      </c>
      <c r="B2222" s="9" t="s">
        <v>2285</v>
      </c>
      <c r="C2222" s="8" t="s">
        <v>122</v>
      </c>
      <c r="D2222" s="14" t="s">
        <v>2033</v>
      </c>
      <c r="E2222" s="8" t="s">
        <v>2582</v>
      </c>
      <c r="F2222" s="27" t="s">
        <v>2612</v>
      </c>
    </row>
    <row r="2223">
      <c r="A2223" s="9" t="s">
        <v>332</v>
      </c>
      <c r="B2223" s="9" t="s">
        <v>333</v>
      </c>
      <c r="C2223" s="8" t="s">
        <v>132</v>
      </c>
      <c r="D2223" s="14" t="s">
        <v>237</v>
      </c>
      <c r="E2223" s="8" t="s">
        <v>2554</v>
      </c>
      <c r="F2223" s="27" t="s">
        <v>2555</v>
      </c>
    </row>
    <row r="2224">
      <c r="A2224" s="9" t="s">
        <v>449</v>
      </c>
      <c r="B2224" s="9" t="s">
        <v>214</v>
      </c>
      <c r="C2224" s="8" t="s">
        <v>53</v>
      </c>
      <c r="D2224" s="14" t="s">
        <v>338</v>
      </c>
      <c r="E2224" s="18" t="s">
        <v>2556</v>
      </c>
      <c r="F2224" s="27" t="s">
        <v>2568</v>
      </c>
    </row>
    <row r="2225">
      <c r="A2225" s="18" t="s">
        <v>830</v>
      </c>
      <c r="B2225" s="18" t="s">
        <v>159</v>
      </c>
      <c r="C2225" s="8" t="s">
        <v>192</v>
      </c>
      <c r="D2225" s="14" t="s">
        <v>631</v>
      </c>
      <c r="E2225" s="8" t="s">
        <v>2598</v>
      </c>
      <c r="F2225" s="27" t="s">
        <v>2622</v>
      </c>
    </row>
    <row r="2226">
      <c r="A2226" s="9" t="s">
        <v>1061</v>
      </c>
      <c r="B2226" s="9" t="s">
        <v>33</v>
      </c>
      <c r="C2226" s="8" t="s">
        <v>38</v>
      </c>
      <c r="D2226" s="14" t="s">
        <v>837</v>
      </c>
      <c r="E2226" s="8" t="s">
        <v>2552</v>
      </c>
      <c r="F2226" s="27" t="s">
        <v>2602</v>
      </c>
    </row>
    <row r="2227">
      <c r="A2227" s="9" t="s">
        <v>1664</v>
      </c>
      <c r="B2227" s="9" t="s">
        <v>726</v>
      </c>
      <c r="C2227" s="8" t="s">
        <v>122</v>
      </c>
      <c r="D2227" s="14" t="s">
        <v>2033</v>
      </c>
      <c r="E2227" s="8" t="s">
        <v>2581</v>
      </c>
      <c r="F2227" s="27" t="s">
        <v>2601</v>
      </c>
    </row>
    <row r="2228">
      <c r="A2228" s="9" t="s">
        <v>1664</v>
      </c>
      <c r="B2228" s="9" t="s">
        <v>263</v>
      </c>
      <c r="C2228" s="8" t="s">
        <v>70</v>
      </c>
      <c r="D2228" s="14" t="s">
        <v>1352</v>
      </c>
      <c r="E2228" s="8" t="s">
        <v>2567</v>
      </c>
      <c r="F2228" s="27" t="s">
        <v>2573</v>
      </c>
    </row>
    <row r="2229">
      <c r="A2229" s="9" t="s">
        <v>2020</v>
      </c>
      <c r="B2229" s="9" t="s">
        <v>1528</v>
      </c>
      <c r="C2229" s="8" t="s">
        <v>132</v>
      </c>
      <c r="D2229" s="14" t="s">
        <v>1679</v>
      </c>
      <c r="E2229" s="8" t="s">
        <v>2620</v>
      </c>
      <c r="F2229" s="27" t="s">
        <v>2563</v>
      </c>
    </row>
    <row r="2230">
      <c r="A2230" s="9" t="s">
        <v>78</v>
      </c>
      <c r="B2230" s="9" t="s">
        <v>2283</v>
      </c>
      <c r="C2230" s="8" t="s">
        <v>70</v>
      </c>
      <c r="D2230" s="14" t="s">
        <v>2033</v>
      </c>
      <c r="E2230" s="8" t="s">
        <v>2183</v>
      </c>
      <c r="F2230" s="27" t="s">
        <v>2555</v>
      </c>
    </row>
    <row r="2231">
      <c r="A2231" s="9" t="s">
        <v>78</v>
      </c>
      <c r="B2231" s="9" t="s">
        <v>121</v>
      </c>
      <c r="C2231" s="8" t="s">
        <v>138</v>
      </c>
      <c r="D2231" s="14" t="s">
        <v>338</v>
      </c>
      <c r="E2231" s="8" t="s">
        <v>2575</v>
      </c>
      <c r="F2231" s="27" t="s">
        <v>2633</v>
      </c>
    </row>
    <row r="2232">
      <c r="A2232" s="9" t="s">
        <v>78</v>
      </c>
      <c r="B2232" s="9" t="s">
        <v>121</v>
      </c>
      <c r="C2232" s="8" t="s">
        <v>93</v>
      </c>
      <c r="D2232" s="14" t="s">
        <v>1070</v>
      </c>
      <c r="E2232" s="18" t="s">
        <v>2589</v>
      </c>
      <c r="F2232" s="27" t="s">
        <v>2622</v>
      </c>
    </row>
    <row r="2233">
      <c r="A2233" s="9" t="s">
        <v>78</v>
      </c>
      <c r="B2233" s="9" t="s">
        <v>117</v>
      </c>
      <c r="C2233" s="8" t="s">
        <v>65</v>
      </c>
      <c r="D2233" s="14" t="s">
        <v>1679</v>
      </c>
      <c r="E2233" s="18" t="s">
        <v>2589</v>
      </c>
      <c r="F2233" s="27" t="s">
        <v>2591</v>
      </c>
    </row>
    <row r="2234">
      <c r="A2234" s="9" t="s">
        <v>78</v>
      </c>
      <c r="B2234" s="9" t="s">
        <v>1131</v>
      </c>
      <c r="C2234" s="8" t="s">
        <v>75</v>
      </c>
      <c r="D2234" s="14" t="s">
        <v>2296</v>
      </c>
      <c r="E2234" s="8" t="s">
        <v>2614</v>
      </c>
      <c r="F2234" s="27" t="s">
        <v>2573</v>
      </c>
    </row>
    <row r="2235">
      <c r="A2235" s="9" t="s">
        <v>78</v>
      </c>
      <c r="B2235" s="9" t="s">
        <v>1060</v>
      </c>
      <c r="C2235" s="8" t="s">
        <v>70</v>
      </c>
      <c r="D2235" s="14" t="s">
        <v>837</v>
      </c>
      <c r="E2235" s="8" t="s">
        <v>2183</v>
      </c>
      <c r="F2235" s="27" t="s">
        <v>2607</v>
      </c>
    </row>
    <row r="2236">
      <c r="A2236" s="9" t="s">
        <v>78</v>
      </c>
      <c r="B2236" s="9" t="s">
        <v>1340</v>
      </c>
      <c r="C2236" s="8" t="s">
        <v>93</v>
      </c>
      <c r="D2236" s="14" t="s">
        <v>1070</v>
      </c>
      <c r="E2236" s="8" t="s">
        <v>2593</v>
      </c>
      <c r="F2236" s="27" t="s">
        <v>2570</v>
      </c>
    </row>
    <row r="2237">
      <c r="A2237" s="9" t="s">
        <v>78</v>
      </c>
      <c r="B2237" s="9" t="s">
        <v>2022</v>
      </c>
      <c r="C2237" s="8" t="s">
        <v>70</v>
      </c>
      <c r="D2237" s="14" t="s">
        <v>1679</v>
      </c>
      <c r="E2237" s="8" t="s">
        <v>2183</v>
      </c>
      <c r="F2237" s="27" t="s">
        <v>2555</v>
      </c>
    </row>
    <row r="2238">
      <c r="A2238" s="9" t="s">
        <v>78</v>
      </c>
      <c r="B2238" s="9" t="s">
        <v>1338</v>
      </c>
      <c r="C2238" s="8" t="s">
        <v>46</v>
      </c>
      <c r="D2238" s="14" t="s">
        <v>1070</v>
      </c>
      <c r="E2238" s="8" t="s">
        <v>2575</v>
      </c>
      <c r="F2238" s="27" t="s">
        <v>2580</v>
      </c>
    </row>
    <row r="2239">
      <c r="A2239" s="9" t="s">
        <v>78</v>
      </c>
      <c r="B2239" s="9" t="s">
        <v>1057</v>
      </c>
      <c r="C2239" s="8" t="s">
        <v>149</v>
      </c>
      <c r="D2239" s="14" t="s">
        <v>837</v>
      </c>
      <c r="E2239" s="8" t="s">
        <v>2574</v>
      </c>
      <c r="F2239" s="27" t="s">
        <v>2608</v>
      </c>
    </row>
    <row r="2240">
      <c r="A2240" s="9" t="s">
        <v>78</v>
      </c>
      <c r="B2240" s="9" t="s">
        <v>1339</v>
      </c>
      <c r="C2240" s="8" t="s">
        <v>122</v>
      </c>
      <c r="D2240" s="14" t="s">
        <v>1070</v>
      </c>
      <c r="E2240" s="8" t="s">
        <v>2620</v>
      </c>
      <c r="F2240" s="27" t="s">
        <v>2583</v>
      </c>
    </row>
    <row r="2241">
      <c r="A2241" s="9" t="s">
        <v>78</v>
      </c>
      <c r="B2241" s="9" t="s">
        <v>2450</v>
      </c>
      <c r="C2241" s="8" t="s">
        <v>70</v>
      </c>
      <c r="D2241" s="14" t="s">
        <v>2296</v>
      </c>
      <c r="E2241" s="8" t="s">
        <v>2558</v>
      </c>
      <c r="F2241" s="27" t="s">
        <v>2563</v>
      </c>
    </row>
    <row r="2242">
      <c r="A2242" s="9" t="s">
        <v>78</v>
      </c>
      <c r="B2242" s="9" t="s">
        <v>2497</v>
      </c>
      <c r="C2242" s="8" t="s">
        <v>93</v>
      </c>
      <c r="D2242" s="14" t="s">
        <v>2459</v>
      </c>
      <c r="E2242" s="8" t="s">
        <v>2615</v>
      </c>
      <c r="F2242" s="27" t="s">
        <v>2602</v>
      </c>
    </row>
    <row r="2243">
      <c r="A2243" s="9" t="s">
        <v>78</v>
      </c>
      <c r="B2243" s="9" t="s">
        <v>2021</v>
      </c>
      <c r="C2243" s="8" t="s">
        <v>70</v>
      </c>
      <c r="D2243" s="14" t="s">
        <v>1679</v>
      </c>
      <c r="E2243" s="8" t="s">
        <v>2558</v>
      </c>
      <c r="F2243" s="27" t="s">
        <v>2571</v>
      </c>
    </row>
    <row r="2244">
      <c r="A2244" s="9" t="s">
        <v>78</v>
      </c>
      <c r="B2244" s="9" t="s">
        <v>2498</v>
      </c>
      <c r="C2244" s="8" t="s">
        <v>93</v>
      </c>
      <c r="D2244" s="14" t="s">
        <v>2459</v>
      </c>
      <c r="E2244" s="8" t="s">
        <v>2600</v>
      </c>
      <c r="F2244" s="27" t="s">
        <v>2591</v>
      </c>
    </row>
    <row r="2245">
      <c r="A2245" s="9" t="s">
        <v>78</v>
      </c>
      <c r="B2245" s="9" t="s">
        <v>2496</v>
      </c>
      <c r="C2245" s="8" t="s">
        <v>46</v>
      </c>
      <c r="D2245" s="14" t="s">
        <v>2459</v>
      </c>
      <c r="E2245" s="8" t="s">
        <v>2610</v>
      </c>
      <c r="F2245" s="27" t="s">
        <v>2565</v>
      </c>
    </row>
    <row r="2246">
      <c r="A2246" s="9" t="s">
        <v>78</v>
      </c>
      <c r="B2246" s="9" t="s">
        <v>842</v>
      </c>
      <c r="C2246" s="8" t="s">
        <v>70</v>
      </c>
      <c r="D2246" s="14" t="s">
        <v>1352</v>
      </c>
      <c r="E2246" s="8" t="s">
        <v>2567</v>
      </c>
      <c r="F2246" s="27" t="s">
        <v>2580</v>
      </c>
    </row>
    <row r="2247">
      <c r="A2247" s="18" t="s">
        <v>78</v>
      </c>
      <c r="B2247" s="18" t="s">
        <v>831</v>
      </c>
      <c r="C2247" s="8" t="s">
        <v>93</v>
      </c>
      <c r="D2247" s="14" t="s">
        <v>631</v>
      </c>
      <c r="E2247" s="8" t="s">
        <v>2585</v>
      </c>
      <c r="F2247" s="27" t="s">
        <v>2602</v>
      </c>
    </row>
    <row r="2248">
      <c r="A2248" s="9" t="s">
        <v>78</v>
      </c>
      <c r="B2248" s="9" t="s">
        <v>1172</v>
      </c>
      <c r="C2248" s="8" t="s">
        <v>138</v>
      </c>
      <c r="D2248" s="14" t="s">
        <v>1352</v>
      </c>
      <c r="E2248" s="8" t="s">
        <v>2560</v>
      </c>
      <c r="F2248" s="27" t="s">
        <v>2611</v>
      </c>
    </row>
    <row r="2249">
      <c r="A2249" s="9" t="s">
        <v>78</v>
      </c>
      <c r="B2249" s="9" t="s">
        <v>247</v>
      </c>
      <c r="C2249" s="8" t="s">
        <v>80</v>
      </c>
      <c r="D2249" s="14" t="s">
        <v>2296</v>
      </c>
      <c r="E2249" s="8" t="s">
        <v>2595</v>
      </c>
      <c r="F2249" s="27" t="s">
        <v>2578</v>
      </c>
    </row>
    <row r="2250">
      <c r="A2250" s="9" t="s">
        <v>78</v>
      </c>
      <c r="B2250" s="9" t="s">
        <v>1666</v>
      </c>
      <c r="C2250" s="8" t="s">
        <v>24</v>
      </c>
      <c r="D2250" s="14" t="s">
        <v>1352</v>
      </c>
      <c r="E2250" s="18" t="s">
        <v>2589</v>
      </c>
      <c r="F2250" s="27" t="s">
        <v>2571</v>
      </c>
    </row>
    <row r="2251">
      <c r="A2251" s="9" t="s">
        <v>78</v>
      </c>
      <c r="B2251" s="9" t="s">
        <v>183</v>
      </c>
      <c r="C2251" s="8" t="s">
        <v>65</v>
      </c>
      <c r="D2251" s="14" t="s">
        <v>1679</v>
      </c>
      <c r="E2251" s="8" t="s">
        <v>2572</v>
      </c>
      <c r="F2251" s="27" t="s">
        <v>2599</v>
      </c>
    </row>
    <row r="2252">
      <c r="A2252" s="9" t="s">
        <v>78</v>
      </c>
      <c r="B2252" s="9" t="s">
        <v>231</v>
      </c>
      <c r="C2252" s="8" t="s">
        <v>215</v>
      </c>
      <c r="D2252" s="14" t="s">
        <v>459</v>
      </c>
      <c r="E2252" s="8" t="s">
        <v>2605</v>
      </c>
      <c r="F2252" s="27" t="s">
        <v>2579</v>
      </c>
    </row>
    <row r="2253">
      <c r="A2253" s="18" t="s">
        <v>78</v>
      </c>
      <c r="B2253" s="18" t="s">
        <v>1341</v>
      </c>
      <c r="C2253" s="8" t="s">
        <v>93</v>
      </c>
      <c r="D2253" s="14" t="s">
        <v>1070</v>
      </c>
      <c r="E2253" s="8" t="s">
        <v>2595</v>
      </c>
      <c r="F2253" s="27" t="s">
        <v>2601</v>
      </c>
    </row>
    <row r="2254">
      <c r="A2254" s="9" t="s">
        <v>78</v>
      </c>
      <c r="B2254" s="9" t="s">
        <v>900</v>
      </c>
      <c r="C2254" s="8" t="s">
        <v>59</v>
      </c>
      <c r="D2254" s="14" t="s">
        <v>2033</v>
      </c>
      <c r="E2254" s="8" t="s">
        <v>2584</v>
      </c>
      <c r="F2254" s="27" t="s">
        <v>2579</v>
      </c>
    </row>
    <row r="2255">
      <c r="A2255" s="9" t="s">
        <v>78</v>
      </c>
      <c r="B2255" s="9" t="s">
        <v>2500</v>
      </c>
      <c r="C2255" s="8" t="s">
        <v>122</v>
      </c>
      <c r="D2255" s="14" t="s">
        <v>2459</v>
      </c>
      <c r="E2255" s="8" t="s">
        <v>2560</v>
      </c>
      <c r="F2255" s="27" t="s">
        <v>2607</v>
      </c>
    </row>
    <row r="2256">
      <c r="A2256" s="9" t="s">
        <v>78</v>
      </c>
      <c r="B2256" s="9" t="s">
        <v>832</v>
      </c>
      <c r="C2256" s="8" t="s">
        <v>192</v>
      </c>
      <c r="D2256" s="14" t="s">
        <v>631</v>
      </c>
      <c r="E2256" s="8" t="s">
        <v>2610</v>
      </c>
      <c r="F2256" s="27" t="s">
        <v>2608</v>
      </c>
    </row>
    <row r="2257">
      <c r="A2257" s="9" t="s">
        <v>78</v>
      </c>
      <c r="B2257" s="9" t="s">
        <v>450</v>
      </c>
      <c r="C2257" s="8" t="s">
        <v>122</v>
      </c>
      <c r="D2257" s="14" t="s">
        <v>338</v>
      </c>
      <c r="E2257" s="8" t="s">
        <v>2595</v>
      </c>
      <c r="F2257" s="27" t="s">
        <v>2557</v>
      </c>
    </row>
    <row r="2258">
      <c r="A2258" s="9" t="s">
        <v>78</v>
      </c>
      <c r="B2258" s="9" t="s">
        <v>1209</v>
      </c>
      <c r="C2258" s="8" t="s">
        <v>59</v>
      </c>
      <c r="D2258" s="14" t="s">
        <v>1352</v>
      </c>
      <c r="E2258" s="8" t="s">
        <v>2575</v>
      </c>
      <c r="F2258" s="27" t="s">
        <v>2553</v>
      </c>
    </row>
    <row r="2259">
      <c r="A2259" s="9" t="s">
        <v>78</v>
      </c>
      <c r="B2259" s="9" t="s">
        <v>79</v>
      </c>
      <c r="C2259" s="8" t="s">
        <v>80</v>
      </c>
      <c r="D2259" s="14" t="s">
        <v>60</v>
      </c>
      <c r="E2259" s="8" t="s">
        <v>2558</v>
      </c>
      <c r="F2259" s="27" t="s">
        <v>2553</v>
      </c>
    </row>
    <row r="2260">
      <c r="A2260" s="9" t="s">
        <v>78</v>
      </c>
      <c r="B2260" s="9" t="s">
        <v>2499</v>
      </c>
      <c r="C2260" s="8" t="s">
        <v>70</v>
      </c>
      <c r="D2260" s="14" t="s">
        <v>2459</v>
      </c>
      <c r="E2260" s="8" t="s">
        <v>2610</v>
      </c>
      <c r="F2260" s="27" t="s">
        <v>2563</v>
      </c>
    </row>
    <row r="2261">
      <c r="A2261" s="9" t="s">
        <v>78</v>
      </c>
      <c r="B2261" s="9" t="s">
        <v>334</v>
      </c>
      <c r="C2261" s="8" t="s">
        <v>46</v>
      </c>
      <c r="D2261" s="14" t="s">
        <v>237</v>
      </c>
      <c r="E2261" s="8" t="s">
        <v>2582</v>
      </c>
      <c r="F2261" s="27" t="s">
        <v>2639</v>
      </c>
    </row>
    <row r="2262">
      <c r="A2262" s="9" t="s">
        <v>78</v>
      </c>
      <c r="B2262" s="9" t="s">
        <v>1028</v>
      </c>
      <c r="C2262" s="8" t="s">
        <v>93</v>
      </c>
      <c r="D2262" s="14" t="s">
        <v>1352</v>
      </c>
      <c r="E2262" s="8" t="s">
        <v>2572</v>
      </c>
      <c r="F2262" s="27" t="s">
        <v>2586</v>
      </c>
    </row>
    <row r="2263">
      <c r="A2263" s="9" t="s">
        <v>78</v>
      </c>
      <c r="B2263" s="9" t="s">
        <v>836</v>
      </c>
      <c r="C2263" s="8" t="s">
        <v>65</v>
      </c>
      <c r="D2263" s="14" t="s">
        <v>837</v>
      </c>
      <c r="E2263" s="18" t="s">
        <v>2556</v>
      </c>
      <c r="F2263" s="27" t="s">
        <v>2578</v>
      </c>
    </row>
    <row r="2264">
      <c r="A2264" s="9" t="s">
        <v>78</v>
      </c>
      <c r="B2264" s="9" t="s">
        <v>619</v>
      </c>
      <c r="C2264" s="8" t="s">
        <v>186</v>
      </c>
      <c r="D2264" s="14" t="s">
        <v>459</v>
      </c>
      <c r="E2264" s="8" t="s">
        <v>2577</v>
      </c>
      <c r="F2264" s="27" t="s">
        <v>2571</v>
      </c>
    </row>
    <row r="2265">
      <c r="A2265" s="9" t="s">
        <v>78</v>
      </c>
      <c r="B2265" s="9" t="s">
        <v>596</v>
      </c>
      <c r="C2265" s="8" t="s">
        <v>122</v>
      </c>
      <c r="D2265" s="14" t="s">
        <v>837</v>
      </c>
      <c r="E2265" s="8" t="s">
        <v>2183</v>
      </c>
      <c r="F2265" s="27" t="s">
        <v>2573</v>
      </c>
    </row>
    <row r="2266">
      <c r="A2266" s="9" t="s">
        <v>1667</v>
      </c>
      <c r="B2266" s="9" t="s">
        <v>263</v>
      </c>
      <c r="C2266" s="8" t="s">
        <v>65</v>
      </c>
      <c r="D2266" s="14" t="s">
        <v>1352</v>
      </c>
      <c r="E2266" s="8" t="s">
        <v>2605</v>
      </c>
      <c r="F2266" s="27" t="s">
        <v>2594</v>
      </c>
    </row>
    <row r="2267">
      <c r="A2267" s="9" t="s">
        <v>1062</v>
      </c>
      <c r="B2267" s="9" t="s">
        <v>1063</v>
      </c>
      <c r="C2267" s="8" t="s">
        <v>186</v>
      </c>
      <c r="D2267" s="14" t="s">
        <v>837</v>
      </c>
      <c r="E2267" s="8" t="s">
        <v>2560</v>
      </c>
      <c r="F2267" s="27" t="s">
        <v>2625</v>
      </c>
    </row>
    <row r="2268">
      <c r="A2268" s="9" t="s">
        <v>2023</v>
      </c>
      <c r="B2268" s="9" t="s">
        <v>1473</v>
      </c>
      <c r="C2268" s="8" t="s">
        <v>65</v>
      </c>
      <c r="D2268" s="14" t="s">
        <v>1679</v>
      </c>
      <c r="E2268" s="8" t="s">
        <v>2615</v>
      </c>
      <c r="F2268" s="27" t="s">
        <v>2583</v>
      </c>
    </row>
    <row r="2269">
      <c r="A2269" s="9" t="s">
        <v>2024</v>
      </c>
      <c r="B2269" s="9" t="s">
        <v>263</v>
      </c>
      <c r="C2269" s="8" t="s">
        <v>138</v>
      </c>
      <c r="D2269" s="14" t="s">
        <v>1679</v>
      </c>
      <c r="E2269" s="8" t="s">
        <v>2610</v>
      </c>
      <c r="F2269" s="27" t="s">
        <v>2602</v>
      </c>
    </row>
    <row r="2270">
      <c r="A2270" s="9" t="s">
        <v>2024</v>
      </c>
      <c r="B2270" s="9" t="s">
        <v>2286</v>
      </c>
      <c r="C2270" s="8" t="s">
        <v>80</v>
      </c>
      <c r="D2270" s="14" t="s">
        <v>2033</v>
      </c>
      <c r="E2270" s="8" t="s">
        <v>2567</v>
      </c>
      <c r="F2270" s="27" t="s">
        <v>2563</v>
      </c>
    </row>
    <row r="2271">
      <c r="A2271" s="9" t="s">
        <v>620</v>
      </c>
      <c r="B2271" s="9" t="s">
        <v>320</v>
      </c>
      <c r="C2271" s="8" t="s">
        <v>24</v>
      </c>
      <c r="D2271" s="14" t="s">
        <v>459</v>
      </c>
      <c r="E2271" s="18" t="s">
        <v>2556</v>
      </c>
      <c r="F2271" s="27" t="s">
        <v>2601</v>
      </c>
    </row>
    <row r="2272">
      <c r="A2272" s="9" t="s">
        <v>451</v>
      </c>
      <c r="B2272" s="9" t="s">
        <v>1064</v>
      </c>
      <c r="C2272" s="8" t="s">
        <v>65</v>
      </c>
      <c r="D2272" s="14" t="s">
        <v>837</v>
      </c>
      <c r="E2272" s="8" t="s">
        <v>2581</v>
      </c>
      <c r="F2272" s="27" t="s">
        <v>2608</v>
      </c>
    </row>
    <row r="2273">
      <c r="A2273" s="9" t="s">
        <v>451</v>
      </c>
      <c r="B2273" s="9" t="s">
        <v>2025</v>
      </c>
      <c r="C2273" s="8" t="s">
        <v>65</v>
      </c>
      <c r="D2273" s="14" t="s">
        <v>1679</v>
      </c>
      <c r="E2273" s="8" t="s">
        <v>2592</v>
      </c>
      <c r="F2273" s="27" t="s">
        <v>2555</v>
      </c>
    </row>
    <row r="2274">
      <c r="A2274" s="9" t="s">
        <v>451</v>
      </c>
      <c r="B2274" s="9" t="s">
        <v>121</v>
      </c>
      <c r="C2274" s="8" t="s">
        <v>80</v>
      </c>
      <c r="D2274" s="14" t="s">
        <v>1352</v>
      </c>
      <c r="E2274" s="8" t="s">
        <v>2610</v>
      </c>
      <c r="F2274" s="27" t="s">
        <v>2594</v>
      </c>
    </row>
    <row r="2275">
      <c r="A2275" s="9" t="s">
        <v>451</v>
      </c>
      <c r="B2275" s="9" t="s">
        <v>1376</v>
      </c>
      <c r="C2275" s="8" t="s">
        <v>24</v>
      </c>
      <c r="D2275" s="14" t="s">
        <v>2033</v>
      </c>
      <c r="E2275" s="18" t="s">
        <v>2589</v>
      </c>
      <c r="F2275" s="27" t="s">
        <v>2563</v>
      </c>
    </row>
    <row r="2276">
      <c r="A2276" s="9" t="s">
        <v>451</v>
      </c>
      <c r="B2276" s="9" t="s">
        <v>2287</v>
      </c>
      <c r="C2276" s="8" t="s">
        <v>65</v>
      </c>
      <c r="D2276" s="14" t="s">
        <v>2033</v>
      </c>
      <c r="E2276" s="8" t="s">
        <v>2614</v>
      </c>
      <c r="F2276" s="27" t="s">
        <v>2557</v>
      </c>
    </row>
    <row r="2277">
      <c r="A2277" s="9" t="s">
        <v>451</v>
      </c>
      <c r="B2277" s="9" t="s">
        <v>1060</v>
      </c>
      <c r="C2277" s="8" t="s">
        <v>53</v>
      </c>
      <c r="D2277" s="14" t="s">
        <v>1070</v>
      </c>
      <c r="E2277" s="8" t="s">
        <v>2183</v>
      </c>
      <c r="F2277" s="27" t="s">
        <v>2591</v>
      </c>
    </row>
    <row r="2278">
      <c r="A2278" s="9" t="s">
        <v>451</v>
      </c>
      <c r="B2278" s="9" t="s">
        <v>1314</v>
      </c>
      <c r="C2278" s="8" t="s">
        <v>192</v>
      </c>
      <c r="D2278" s="14" t="s">
        <v>1679</v>
      </c>
      <c r="E2278" s="8" t="s">
        <v>2614</v>
      </c>
      <c r="F2278" s="27" t="s">
        <v>2609</v>
      </c>
    </row>
    <row r="2279">
      <c r="A2279" s="9" t="s">
        <v>451</v>
      </c>
      <c r="B2279" s="9" t="s">
        <v>129</v>
      </c>
      <c r="C2279" s="8" t="s">
        <v>53</v>
      </c>
      <c r="D2279" s="14" t="s">
        <v>1679</v>
      </c>
      <c r="E2279" s="8" t="s">
        <v>2552</v>
      </c>
      <c r="F2279" s="27" t="s">
        <v>2563</v>
      </c>
    </row>
    <row r="2280">
      <c r="A2280" s="9" t="s">
        <v>451</v>
      </c>
      <c r="B2280" s="9" t="s">
        <v>1668</v>
      </c>
      <c r="C2280" s="8" t="s">
        <v>192</v>
      </c>
      <c r="D2280" s="14" t="s">
        <v>1352</v>
      </c>
      <c r="E2280" s="8" t="s">
        <v>2584</v>
      </c>
      <c r="F2280" s="27" t="s">
        <v>2568</v>
      </c>
    </row>
    <row r="2281">
      <c r="A2281" s="9" t="s">
        <v>451</v>
      </c>
      <c r="B2281" s="9" t="s">
        <v>712</v>
      </c>
      <c r="C2281" s="8" t="s">
        <v>70</v>
      </c>
      <c r="D2281" s="14" t="s">
        <v>2033</v>
      </c>
      <c r="E2281" s="8" t="s">
        <v>2585</v>
      </c>
      <c r="F2281" s="27" t="s">
        <v>2579</v>
      </c>
    </row>
    <row r="2282">
      <c r="A2282" s="9" t="s">
        <v>451</v>
      </c>
      <c r="B2282" s="9" t="s">
        <v>214</v>
      </c>
      <c r="C2282" s="8" t="s">
        <v>186</v>
      </c>
      <c r="D2282" s="14" t="s">
        <v>2033</v>
      </c>
      <c r="E2282" s="8" t="s">
        <v>2572</v>
      </c>
      <c r="F2282" s="27" t="s">
        <v>2594</v>
      </c>
    </row>
    <row r="2283">
      <c r="A2283" s="9" t="s">
        <v>451</v>
      </c>
      <c r="B2283" s="9" t="s">
        <v>163</v>
      </c>
      <c r="C2283" s="8" t="s">
        <v>186</v>
      </c>
      <c r="D2283" s="14" t="s">
        <v>2459</v>
      </c>
      <c r="E2283" s="8" t="s">
        <v>2615</v>
      </c>
      <c r="F2283" s="27" t="s">
        <v>2583</v>
      </c>
    </row>
    <row r="2284">
      <c r="A2284" s="9" t="s">
        <v>451</v>
      </c>
      <c r="B2284" s="9" t="s">
        <v>900</v>
      </c>
      <c r="C2284" s="8" t="s">
        <v>93</v>
      </c>
      <c r="D2284" s="14" t="s">
        <v>2033</v>
      </c>
      <c r="E2284" s="8" t="s">
        <v>2567</v>
      </c>
      <c r="F2284" s="27" t="s">
        <v>2553</v>
      </c>
    </row>
    <row r="2285">
      <c r="A2285" s="9" t="s">
        <v>451</v>
      </c>
      <c r="B2285" s="9" t="s">
        <v>1065</v>
      </c>
      <c r="C2285" s="8" t="s">
        <v>186</v>
      </c>
      <c r="D2285" s="14" t="s">
        <v>837</v>
      </c>
      <c r="E2285" s="8" t="s">
        <v>2584</v>
      </c>
      <c r="F2285" s="27" t="s">
        <v>2563</v>
      </c>
    </row>
    <row r="2286">
      <c r="A2286" s="9" t="s">
        <v>451</v>
      </c>
      <c r="B2286" s="9" t="s">
        <v>409</v>
      </c>
      <c r="C2286" s="8" t="s">
        <v>16</v>
      </c>
      <c r="D2286" s="14" t="s">
        <v>338</v>
      </c>
      <c r="E2286" s="8" t="s">
        <v>2603</v>
      </c>
      <c r="F2286" s="27" t="s">
        <v>2616</v>
      </c>
    </row>
    <row r="2287">
      <c r="A2287" s="9" t="s">
        <v>451</v>
      </c>
      <c r="B2287" s="9" t="s">
        <v>2087</v>
      </c>
      <c r="C2287" s="8" t="s">
        <v>70</v>
      </c>
      <c r="D2287" s="14" t="s">
        <v>2033</v>
      </c>
      <c r="E2287" s="8" t="s">
        <v>2592</v>
      </c>
      <c r="F2287" s="27" t="s">
        <v>2583</v>
      </c>
    </row>
    <row r="2288">
      <c r="A2288" s="9" t="s">
        <v>451</v>
      </c>
      <c r="B2288" s="9" t="s">
        <v>465</v>
      </c>
      <c r="C2288" s="8" t="s">
        <v>192</v>
      </c>
      <c r="D2288" s="14" t="s">
        <v>459</v>
      </c>
      <c r="E2288" s="8" t="s">
        <v>2554</v>
      </c>
      <c r="F2288" s="27" t="s">
        <v>2571</v>
      </c>
    </row>
    <row r="2289">
      <c r="A2289" s="9" t="s">
        <v>2026</v>
      </c>
      <c r="B2289" s="9" t="s">
        <v>1186</v>
      </c>
      <c r="C2289" s="8" t="s">
        <v>65</v>
      </c>
      <c r="D2289" s="14" t="s">
        <v>1679</v>
      </c>
      <c r="E2289" s="8" t="s">
        <v>2605</v>
      </c>
      <c r="F2289" s="27" t="s">
        <v>2622</v>
      </c>
    </row>
    <row r="2290">
      <c r="A2290" s="9" t="s">
        <v>452</v>
      </c>
      <c r="B2290" s="9" t="s">
        <v>260</v>
      </c>
      <c r="C2290" s="8" t="s">
        <v>24</v>
      </c>
      <c r="D2290" s="14" t="s">
        <v>338</v>
      </c>
      <c r="E2290" s="8" t="s">
        <v>2183</v>
      </c>
      <c r="F2290" s="27" t="s">
        <v>2640</v>
      </c>
    </row>
    <row r="2291">
      <c r="A2291" s="9" t="s">
        <v>182</v>
      </c>
      <c r="B2291" s="9" t="s">
        <v>183</v>
      </c>
      <c r="C2291" s="8" t="s">
        <v>24</v>
      </c>
      <c r="D2291" s="14" t="s">
        <v>135</v>
      </c>
      <c r="E2291" s="8" t="s">
        <v>2572</v>
      </c>
      <c r="F2291" s="27" t="s">
        <v>13</v>
      </c>
    </row>
    <row r="2292">
      <c r="A2292" s="9" t="s">
        <v>2451</v>
      </c>
      <c r="B2292" s="9" t="s">
        <v>2452</v>
      </c>
      <c r="C2292" s="8" t="s">
        <v>65</v>
      </c>
      <c r="D2292" s="14" t="s">
        <v>2296</v>
      </c>
      <c r="E2292" s="8" t="s">
        <v>2620</v>
      </c>
      <c r="F2292" s="27" t="s">
        <v>2579</v>
      </c>
    </row>
    <row r="2293">
      <c r="A2293" s="9" t="s">
        <v>2453</v>
      </c>
      <c r="B2293" s="9" t="s">
        <v>55</v>
      </c>
      <c r="C2293" s="8" t="s">
        <v>80</v>
      </c>
      <c r="D2293" s="14" t="s">
        <v>2296</v>
      </c>
      <c r="E2293" s="8" t="s">
        <v>2584</v>
      </c>
      <c r="F2293" s="27" t="s">
        <v>2576</v>
      </c>
    </row>
    <row r="2294">
      <c r="A2294" s="9" t="s">
        <v>2288</v>
      </c>
      <c r="B2294" s="9" t="s">
        <v>198</v>
      </c>
      <c r="C2294" s="8" t="s">
        <v>215</v>
      </c>
      <c r="D2294" s="14" t="s">
        <v>2033</v>
      </c>
      <c r="E2294" s="8" t="s">
        <v>2600</v>
      </c>
      <c r="F2294" s="27" t="s">
        <v>2557</v>
      </c>
    </row>
    <row r="2295">
      <c r="A2295" s="9" t="s">
        <v>1669</v>
      </c>
      <c r="B2295" s="9" t="s">
        <v>1670</v>
      </c>
      <c r="C2295" s="8" t="s">
        <v>16</v>
      </c>
      <c r="D2295" s="14" t="s">
        <v>1352</v>
      </c>
      <c r="E2295" s="8" t="s">
        <v>2592</v>
      </c>
      <c r="F2295" s="27" t="s">
        <v>2571</v>
      </c>
    </row>
    <row r="2296">
      <c r="A2296" s="9" t="s">
        <v>2289</v>
      </c>
      <c r="B2296" s="9" t="s">
        <v>212</v>
      </c>
      <c r="C2296" s="8" t="s">
        <v>186</v>
      </c>
      <c r="D2296" s="14" t="s">
        <v>2033</v>
      </c>
      <c r="E2296" s="8" t="s">
        <v>2560</v>
      </c>
      <c r="F2296" s="27" t="s">
        <v>2609</v>
      </c>
    </row>
    <row r="2297">
      <c r="A2297" s="9" t="s">
        <v>833</v>
      </c>
      <c r="B2297" s="9" t="s">
        <v>157</v>
      </c>
      <c r="C2297" s="8" t="s">
        <v>132</v>
      </c>
      <c r="D2297" s="14" t="s">
        <v>631</v>
      </c>
      <c r="E2297" s="8" t="s">
        <v>2560</v>
      </c>
      <c r="F2297" s="27" t="s">
        <v>2588</v>
      </c>
    </row>
    <row r="2298">
      <c r="A2298" s="9" t="s">
        <v>1671</v>
      </c>
      <c r="B2298" s="9" t="s">
        <v>197</v>
      </c>
      <c r="C2298" s="8" t="s">
        <v>122</v>
      </c>
      <c r="D2298" s="14" t="s">
        <v>2033</v>
      </c>
      <c r="E2298" s="8" t="s">
        <v>2614</v>
      </c>
      <c r="F2298" s="27" t="s">
        <v>2576</v>
      </c>
    </row>
    <row r="2299">
      <c r="A2299" s="9" t="s">
        <v>1671</v>
      </c>
      <c r="B2299" s="9" t="s">
        <v>1672</v>
      </c>
      <c r="C2299" s="8" t="s">
        <v>215</v>
      </c>
      <c r="D2299" s="14" t="s">
        <v>1352</v>
      </c>
      <c r="E2299" s="8" t="s">
        <v>2600</v>
      </c>
      <c r="F2299" s="27" t="s">
        <v>2565</v>
      </c>
    </row>
    <row r="2300">
      <c r="A2300" s="9" t="s">
        <v>1066</v>
      </c>
      <c r="B2300" s="9" t="s">
        <v>985</v>
      </c>
      <c r="C2300" s="8" t="s">
        <v>38</v>
      </c>
      <c r="D2300" s="14" t="s">
        <v>837</v>
      </c>
      <c r="E2300" s="8" t="s">
        <v>2585</v>
      </c>
      <c r="F2300" s="27" t="s">
        <v>2622</v>
      </c>
    </row>
    <row r="2301">
      <c r="A2301" s="9" t="s">
        <v>453</v>
      </c>
      <c r="B2301" s="9" t="s">
        <v>454</v>
      </c>
      <c r="C2301" s="8" t="s">
        <v>75</v>
      </c>
      <c r="D2301" s="14" t="s">
        <v>338</v>
      </c>
      <c r="E2301" s="8" t="s">
        <v>2564</v>
      </c>
      <c r="F2301" s="27" t="s">
        <v>2563</v>
      </c>
    </row>
    <row r="2302">
      <c r="A2302" s="9" t="s">
        <v>2027</v>
      </c>
      <c r="B2302" s="9" t="s">
        <v>2028</v>
      </c>
      <c r="C2302" s="8" t="s">
        <v>93</v>
      </c>
      <c r="D2302" s="14" t="s">
        <v>1679</v>
      </c>
      <c r="E2302" s="8" t="s">
        <v>2585</v>
      </c>
      <c r="F2302" s="27" t="s">
        <v>2573</v>
      </c>
    </row>
    <row r="2303">
      <c r="A2303" s="9" t="s">
        <v>56</v>
      </c>
      <c r="B2303" s="9" t="s">
        <v>45</v>
      </c>
      <c r="C2303" s="8" t="s">
        <v>24</v>
      </c>
      <c r="D2303" s="14" t="s">
        <v>39</v>
      </c>
      <c r="E2303" s="8" t="s">
        <v>2614</v>
      </c>
      <c r="F2303" s="27" t="s">
        <v>2578</v>
      </c>
    </row>
    <row r="2304">
      <c r="A2304" s="9" t="s">
        <v>621</v>
      </c>
      <c r="B2304" s="9" t="s">
        <v>354</v>
      </c>
      <c r="C2304" s="8" t="s">
        <v>75</v>
      </c>
      <c r="D2304" s="14" t="s">
        <v>459</v>
      </c>
      <c r="E2304" s="8" t="s">
        <v>2615</v>
      </c>
      <c r="F2304" s="27" t="s">
        <v>2555</v>
      </c>
    </row>
    <row r="2305">
      <c r="A2305" s="9" t="s">
        <v>622</v>
      </c>
      <c r="B2305" s="9" t="s">
        <v>493</v>
      </c>
      <c r="C2305" s="8" t="s">
        <v>138</v>
      </c>
      <c r="D2305" s="14" t="s">
        <v>459</v>
      </c>
      <c r="E2305" s="8" t="s">
        <v>2620</v>
      </c>
      <c r="F2305" s="27" t="s">
        <v>2607</v>
      </c>
    </row>
    <row r="2306">
      <c r="A2306" s="9" t="s">
        <v>1343</v>
      </c>
      <c r="B2306" s="9" t="s">
        <v>480</v>
      </c>
      <c r="C2306" s="8" t="s">
        <v>24</v>
      </c>
      <c r="D2306" s="14" t="s">
        <v>1070</v>
      </c>
      <c r="E2306" s="8" t="s">
        <v>2595</v>
      </c>
      <c r="F2306" s="27" t="s">
        <v>60</v>
      </c>
    </row>
    <row r="2307">
      <c r="A2307" s="9" t="s">
        <v>1673</v>
      </c>
      <c r="B2307" s="9" t="s">
        <v>842</v>
      </c>
      <c r="C2307" s="8" t="s">
        <v>215</v>
      </c>
      <c r="D2307" s="14" t="s">
        <v>1352</v>
      </c>
      <c r="E2307" s="8" t="s">
        <v>2581</v>
      </c>
      <c r="F2307" s="27" t="s">
        <v>2579</v>
      </c>
    </row>
    <row r="2308">
      <c r="A2308" s="9" t="s">
        <v>1344</v>
      </c>
      <c r="B2308" s="9" t="s">
        <v>301</v>
      </c>
      <c r="C2308" s="8" t="s">
        <v>16</v>
      </c>
      <c r="D2308" s="14" t="s">
        <v>1070</v>
      </c>
      <c r="E2308" s="8" t="s">
        <v>2582</v>
      </c>
      <c r="F2308" s="27" t="s">
        <v>2631</v>
      </c>
    </row>
    <row r="2309">
      <c r="A2309" s="9" t="s">
        <v>233</v>
      </c>
      <c r="B2309" s="9" t="s">
        <v>234</v>
      </c>
      <c r="C2309" s="8" t="s">
        <v>122</v>
      </c>
      <c r="D2309" s="14" t="s">
        <v>189</v>
      </c>
      <c r="E2309" s="8" t="s">
        <v>2603</v>
      </c>
      <c r="F2309" s="27" t="s">
        <v>2590</v>
      </c>
    </row>
    <row r="2310">
      <c r="A2310" s="9" t="s">
        <v>233</v>
      </c>
      <c r="B2310" s="9" t="s">
        <v>1342</v>
      </c>
      <c r="C2310" s="8" t="s">
        <v>122</v>
      </c>
      <c r="D2310" s="14" t="s">
        <v>1070</v>
      </c>
      <c r="E2310" s="8" t="s">
        <v>2614</v>
      </c>
      <c r="F2310" s="27" t="s">
        <v>2602</v>
      </c>
    </row>
    <row r="2311">
      <c r="A2311" s="9" t="s">
        <v>233</v>
      </c>
      <c r="B2311" s="9" t="s">
        <v>301</v>
      </c>
      <c r="C2311" s="8" t="s">
        <v>186</v>
      </c>
      <c r="D2311" s="14" t="s">
        <v>2033</v>
      </c>
      <c r="E2311" s="8" t="s">
        <v>2605</v>
      </c>
      <c r="F2311" s="27" t="s">
        <v>2618</v>
      </c>
    </row>
    <row r="2312">
      <c r="A2312" s="9" t="s">
        <v>233</v>
      </c>
      <c r="B2312" s="9" t="s">
        <v>337</v>
      </c>
      <c r="C2312" s="8" t="s">
        <v>65</v>
      </c>
      <c r="D2312" s="14" t="s">
        <v>837</v>
      </c>
      <c r="E2312" s="8" t="s">
        <v>2593</v>
      </c>
      <c r="F2312" s="27" t="s">
        <v>2604</v>
      </c>
    </row>
    <row r="2313">
      <c r="A2313" s="9" t="s">
        <v>233</v>
      </c>
      <c r="B2313" s="9" t="s">
        <v>596</v>
      </c>
      <c r="C2313" s="8" t="s">
        <v>80</v>
      </c>
      <c r="D2313" s="14" t="s">
        <v>1679</v>
      </c>
      <c r="E2313" s="8" t="s">
        <v>2614</v>
      </c>
      <c r="F2313" s="27" t="s">
        <v>2590</v>
      </c>
    </row>
    <row r="2314">
      <c r="A2314" s="9" t="s">
        <v>233</v>
      </c>
      <c r="B2314" s="9" t="s">
        <v>2454</v>
      </c>
      <c r="C2314" s="8" t="s">
        <v>192</v>
      </c>
      <c r="D2314" s="14" t="s">
        <v>2296</v>
      </c>
      <c r="E2314" s="8" t="s">
        <v>2584</v>
      </c>
      <c r="F2314" s="27" t="s">
        <v>2594</v>
      </c>
    </row>
    <row r="2315">
      <c r="A2315" s="9" t="s">
        <v>2029</v>
      </c>
      <c r="B2315" s="9" t="s">
        <v>222</v>
      </c>
      <c r="C2315" s="8" t="s">
        <v>16</v>
      </c>
      <c r="D2315" s="14" t="s">
        <v>1679</v>
      </c>
      <c r="E2315" s="8" t="s">
        <v>2621</v>
      </c>
      <c r="F2315" s="27" t="s">
        <v>2624</v>
      </c>
    </row>
    <row r="2316">
      <c r="A2316" s="9" t="s">
        <v>2030</v>
      </c>
      <c r="B2316" s="9" t="s">
        <v>596</v>
      </c>
      <c r="C2316" s="8" t="s">
        <v>186</v>
      </c>
      <c r="D2316" s="14" t="s">
        <v>1679</v>
      </c>
      <c r="E2316" s="8" t="s">
        <v>2562</v>
      </c>
      <c r="F2316" s="27" t="s">
        <v>2594</v>
      </c>
    </row>
    <row r="2317">
      <c r="A2317" s="9" t="s">
        <v>184</v>
      </c>
      <c r="B2317" s="9" t="s">
        <v>185</v>
      </c>
      <c r="C2317" s="8" t="s">
        <v>186</v>
      </c>
      <c r="D2317" s="14" t="s">
        <v>135</v>
      </c>
      <c r="E2317" s="8" t="s">
        <v>2621</v>
      </c>
      <c r="F2317" s="27" t="s">
        <v>2608</v>
      </c>
    </row>
    <row r="2318">
      <c r="A2318" s="9" t="s">
        <v>2031</v>
      </c>
      <c r="B2318" s="9" t="s">
        <v>275</v>
      </c>
      <c r="C2318" s="8" t="s">
        <v>59</v>
      </c>
      <c r="D2318" s="14" t="s">
        <v>2033</v>
      </c>
      <c r="E2318" s="8" t="s">
        <v>2610</v>
      </c>
      <c r="F2318" s="27" t="s">
        <v>2583</v>
      </c>
    </row>
    <row r="2319">
      <c r="A2319" s="9" t="s">
        <v>2031</v>
      </c>
      <c r="B2319" s="9" t="s">
        <v>1057</v>
      </c>
      <c r="C2319" s="8" t="s">
        <v>93</v>
      </c>
      <c r="D2319" s="14" t="s">
        <v>1679</v>
      </c>
      <c r="E2319" s="18" t="s">
        <v>2556</v>
      </c>
      <c r="F2319" s="27" t="s">
        <v>2602</v>
      </c>
    </row>
    <row r="2320">
      <c r="A2320" s="9" t="s">
        <v>1674</v>
      </c>
      <c r="B2320" s="9" t="s">
        <v>275</v>
      </c>
      <c r="C2320" s="8" t="s">
        <v>215</v>
      </c>
      <c r="D2320" s="14" t="s">
        <v>1352</v>
      </c>
      <c r="E2320" s="8" t="s">
        <v>2575</v>
      </c>
      <c r="F2320" s="27" t="s">
        <v>2573</v>
      </c>
    </row>
    <row r="2321">
      <c r="A2321" s="9" t="s">
        <v>627</v>
      </c>
      <c r="B2321" s="9" t="s">
        <v>628</v>
      </c>
      <c r="C2321" s="8" t="s">
        <v>53</v>
      </c>
      <c r="D2321" s="14" t="s">
        <v>459</v>
      </c>
      <c r="E2321" s="8" t="s">
        <v>2564</v>
      </c>
      <c r="F2321" s="27" t="s">
        <v>2591</v>
      </c>
    </row>
    <row r="2322">
      <c r="A2322" s="9" t="s">
        <v>623</v>
      </c>
      <c r="B2322" s="9" t="s">
        <v>624</v>
      </c>
      <c r="C2322" s="8" t="s">
        <v>93</v>
      </c>
      <c r="D2322" s="14" t="s">
        <v>459</v>
      </c>
      <c r="E2322" s="8" t="s">
        <v>2598</v>
      </c>
      <c r="F2322" s="27" t="s">
        <v>2576</v>
      </c>
    </row>
    <row r="2323">
      <c r="A2323" s="9" t="s">
        <v>2290</v>
      </c>
      <c r="B2323" s="9" t="s">
        <v>2291</v>
      </c>
      <c r="C2323" s="8" t="s">
        <v>122</v>
      </c>
      <c r="D2323" s="14" t="s">
        <v>2033</v>
      </c>
      <c r="E2323" s="8" t="s">
        <v>2610</v>
      </c>
      <c r="F2323" s="27" t="s">
        <v>2622</v>
      </c>
    </row>
    <row r="2324">
      <c r="A2324" s="9" t="s">
        <v>455</v>
      </c>
      <c r="B2324" s="9" t="s">
        <v>724</v>
      </c>
      <c r="C2324" s="8" t="s">
        <v>122</v>
      </c>
      <c r="D2324" s="14" t="s">
        <v>837</v>
      </c>
      <c r="E2324" s="18" t="s">
        <v>2556</v>
      </c>
      <c r="F2324" s="27" t="s">
        <v>2563</v>
      </c>
    </row>
    <row r="2325">
      <c r="A2325" s="9" t="s">
        <v>455</v>
      </c>
      <c r="B2325" s="9" t="s">
        <v>625</v>
      </c>
      <c r="C2325" s="8" t="s">
        <v>65</v>
      </c>
      <c r="D2325" s="14" t="s">
        <v>459</v>
      </c>
      <c r="E2325" s="8" t="s">
        <v>2574</v>
      </c>
      <c r="F2325" s="27" t="s">
        <v>2601</v>
      </c>
    </row>
    <row r="2326">
      <c r="A2326" s="18" t="s">
        <v>455</v>
      </c>
      <c r="B2326" s="18" t="s">
        <v>456</v>
      </c>
      <c r="C2326" s="8" t="s">
        <v>59</v>
      </c>
      <c r="D2326" s="14" t="s">
        <v>338</v>
      </c>
      <c r="E2326" s="8" t="s">
        <v>2603</v>
      </c>
      <c r="F2326" s="27" t="s">
        <v>2599</v>
      </c>
    </row>
    <row r="2327">
      <c r="A2327" s="9" t="s">
        <v>1677</v>
      </c>
      <c r="B2327" s="9" t="s">
        <v>55</v>
      </c>
      <c r="C2327" s="8" t="s">
        <v>132</v>
      </c>
      <c r="D2327" s="14" t="s">
        <v>1352</v>
      </c>
      <c r="E2327" s="8" t="s">
        <v>2183</v>
      </c>
      <c r="F2327" s="27" t="s">
        <v>2563</v>
      </c>
    </row>
    <row r="2328">
      <c r="A2328" s="9" t="s">
        <v>834</v>
      </c>
      <c r="B2328" s="9" t="s">
        <v>948</v>
      </c>
      <c r="C2328" s="8" t="s">
        <v>46</v>
      </c>
      <c r="D2328" s="14" t="s">
        <v>2033</v>
      </c>
      <c r="E2328" s="8" t="s">
        <v>2600</v>
      </c>
      <c r="F2328" s="27" t="s">
        <v>2602</v>
      </c>
    </row>
    <row r="2329">
      <c r="A2329" s="9" t="s">
        <v>834</v>
      </c>
      <c r="B2329" s="9" t="s">
        <v>721</v>
      </c>
      <c r="C2329" s="8" t="s">
        <v>138</v>
      </c>
      <c r="D2329" s="14" t="s">
        <v>631</v>
      </c>
      <c r="E2329" s="8" t="s">
        <v>2610</v>
      </c>
      <c r="F2329" s="27" t="s">
        <v>2557</v>
      </c>
    </row>
    <row r="2330">
      <c r="A2330" s="9" t="s">
        <v>2455</v>
      </c>
      <c r="B2330" s="9" t="s">
        <v>2456</v>
      </c>
      <c r="C2330" s="8" t="s">
        <v>59</v>
      </c>
      <c r="D2330" s="14" t="s">
        <v>2296</v>
      </c>
      <c r="E2330" s="8" t="s">
        <v>2566</v>
      </c>
      <c r="F2330" s="27" t="s">
        <v>2622</v>
      </c>
    </row>
    <row r="2331">
      <c r="A2331" s="9" t="s">
        <v>2293</v>
      </c>
      <c r="B2331" s="9" t="s">
        <v>2294</v>
      </c>
      <c r="C2331" s="8" t="s">
        <v>93</v>
      </c>
      <c r="D2331" s="14" t="s">
        <v>2033</v>
      </c>
      <c r="E2331" s="8" t="s">
        <v>2567</v>
      </c>
      <c r="F2331" s="27" t="s">
        <v>2591</v>
      </c>
    </row>
    <row r="2332">
      <c r="A2332" s="9" t="s">
        <v>130</v>
      </c>
      <c r="B2332" s="9" t="s">
        <v>131</v>
      </c>
      <c r="C2332" s="8" t="s">
        <v>132</v>
      </c>
      <c r="D2332" s="14" t="s">
        <v>108</v>
      </c>
      <c r="E2332" s="8" t="s">
        <v>2575</v>
      </c>
      <c r="F2332" s="27" t="s">
        <v>2616</v>
      </c>
    </row>
    <row r="2333">
      <c r="A2333" s="9" t="s">
        <v>1346</v>
      </c>
      <c r="B2333" s="9" t="s">
        <v>1347</v>
      </c>
      <c r="C2333" s="8" t="s">
        <v>215</v>
      </c>
      <c r="D2333" s="14" t="s">
        <v>1070</v>
      </c>
      <c r="E2333" s="8" t="s">
        <v>2587</v>
      </c>
      <c r="F2333" s="27" t="s">
        <v>2557</v>
      </c>
    </row>
    <row r="2334">
      <c r="A2334" s="9" t="s">
        <v>2032</v>
      </c>
      <c r="B2334" s="9" t="s">
        <v>569</v>
      </c>
      <c r="C2334" s="8" t="s">
        <v>24</v>
      </c>
      <c r="D2334" s="14" t="s">
        <v>1679</v>
      </c>
      <c r="E2334" s="8" t="s">
        <v>2183</v>
      </c>
      <c r="F2334" s="27" t="s">
        <v>2583</v>
      </c>
    </row>
    <row r="2335">
      <c r="A2335" s="18" t="s">
        <v>1676</v>
      </c>
      <c r="B2335" s="18" t="s">
        <v>491</v>
      </c>
      <c r="C2335" s="8" t="s">
        <v>70</v>
      </c>
      <c r="D2335" s="14" t="s">
        <v>1352</v>
      </c>
      <c r="E2335" s="8" t="s">
        <v>2587</v>
      </c>
      <c r="F2335" s="27" t="s">
        <v>2590</v>
      </c>
    </row>
    <row r="2336">
      <c r="A2336" s="9" t="s">
        <v>2292</v>
      </c>
      <c r="B2336" s="9" t="s">
        <v>1611</v>
      </c>
      <c r="C2336" s="8" t="s">
        <v>93</v>
      </c>
      <c r="D2336" s="14" t="s">
        <v>2033</v>
      </c>
      <c r="E2336" s="8" t="s">
        <v>2620</v>
      </c>
      <c r="F2336" s="27" t="s">
        <v>2622</v>
      </c>
    </row>
    <row r="2337">
      <c r="A2337" s="9" t="s">
        <v>1675</v>
      </c>
      <c r="B2337" s="9" t="s">
        <v>333</v>
      </c>
      <c r="C2337" s="8" t="s">
        <v>186</v>
      </c>
      <c r="D2337" s="14" t="s">
        <v>2033</v>
      </c>
      <c r="E2337" s="8" t="s">
        <v>2575</v>
      </c>
      <c r="F2337" s="27" t="s">
        <v>2573</v>
      </c>
    </row>
    <row r="2338">
      <c r="A2338" s="9" t="s">
        <v>1675</v>
      </c>
      <c r="B2338" s="9" t="s">
        <v>465</v>
      </c>
      <c r="C2338" s="8" t="s">
        <v>93</v>
      </c>
      <c r="D2338" s="14" t="s">
        <v>1352</v>
      </c>
      <c r="E2338" s="8" t="s">
        <v>2575</v>
      </c>
      <c r="F2338" s="27" t="s">
        <v>2590</v>
      </c>
    </row>
    <row r="2339">
      <c r="A2339" s="9" t="s">
        <v>1675</v>
      </c>
      <c r="B2339" s="9" t="s">
        <v>1408</v>
      </c>
      <c r="C2339" s="8" t="s">
        <v>53</v>
      </c>
      <c r="D2339" s="14" t="s">
        <v>1679</v>
      </c>
      <c r="E2339" s="8" t="s">
        <v>2593</v>
      </c>
      <c r="F2339" s="27" t="s">
        <v>2583</v>
      </c>
    </row>
    <row r="2340">
      <c r="A2340" s="9" t="s">
        <v>626</v>
      </c>
      <c r="B2340" s="9" t="s">
        <v>119</v>
      </c>
      <c r="C2340" s="8" t="s">
        <v>132</v>
      </c>
      <c r="D2340" s="14" t="s">
        <v>459</v>
      </c>
      <c r="E2340" s="8" t="s">
        <v>2566</v>
      </c>
      <c r="F2340" s="27" t="s">
        <v>2596</v>
      </c>
    </row>
    <row r="2341">
      <c r="A2341" s="9" t="s">
        <v>1348</v>
      </c>
      <c r="B2341" s="9" t="s">
        <v>480</v>
      </c>
      <c r="C2341" s="8" t="s">
        <v>70</v>
      </c>
      <c r="D2341" s="14" t="s">
        <v>1070</v>
      </c>
      <c r="E2341" s="8" t="s">
        <v>2554</v>
      </c>
      <c r="F2341" s="27" t="s">
        <v>2591</v>
      </c>
    </row>
    <row r="2342">
      <c r="A2342" s="9" t="s">
        <v>1067</v>
      </c>
      <c r="B2342" s="9" t="s">
        <v>212</v>
      </c>
      <c r="C2342" s="8" t="s">
        <v>215</v>
      </c>
      <c r="D2342" s="14" t="s">
        <v>837</v>
      </c>
      <c r="E2342" s="8" t="s">
        <v>2615</v>
      </c>
      <c r="F2342" s="27" t="s">
        <v>2602</v>
      </c>
    </row>
    <row r="2343">
      <c r="A2343" s="9" t="s">
        <v>1345</v>
      </c>
      <c r="B2343" s="9" t="s">
        <v>381</v>
      </c>
      <c r="C2343" s="8" t="s">
        <v>122</v>
      </c>
      <c r="D2343" s="14" t="s">
        <v>1070</v>
      </c>
      <c r="E2343" s="8" t="s">
        <v>2598</v>
      </c>
      <c r="F2343" s="27" t="s">
        <v>2563</v>
      </c>
    </row>
    <row r="2344">
      <c r="A2344" s="9" t="s">
        <v>335</v>
      </c>
      <c r="B2344" s="9" t="s">
        <v>124</v>
      </c>
      <c r="C2344" s="8" t="s">
        <v>12</v>
      </c>
      <c r="D2344" s="14" t="s">
        <v>237</v>
      </c>
      <c r="E2344" s="8" t="s">
        <v>2593</v>
      </c>
      <c r="F2344" s="27" t="s">
        <v>2607</v>
      </c>
    </row>
    <row r="2345">
      <c r="A2345" s="9" t="s">
        <v>1349</v>
      </c>
      <c r="B2345" s="9" t="s">
        <v>121</v>
      </c>
      <c r="C2345" s="8" t="s">
        <v>65</v>
      </c>
      <c r="D2345" s="14" t="s">
        <v>1070</v>
      </c>
      <c r="E2345" s="8" t="s">
        <v>2552</v>
      </c>
      <c r="F2345" s="27" t="s">
        <v>2555</v>
      </c>
    </row>
    <row r="2346">
      <c r="A2346" s="8"/>
      <c r="B2346" s="8"/>
      <c r="C2346" s="8"/>
      <c r="D2346" s="8"/>
      <c r="E2346" s="8"/>
      <c r="F2346" s="16"/>
    </row>
    <row r="2347">
      <c r="A2347" s="8"/>
      <c r="B2347" s="8"/>
      <c r="C2347" s="8"/>
      <c r="D2347" s="8"/>
      <c r="E2347" s="8"/>
      <c r="F2347" s="16"/>
    </row>
    <row r="2348">
      <c r="F2348" s="23"/>
    </row>
    <row r="2349">
      <c r="F2349" s="23"/>
    </row>
    <row r="2350">
      <c r="F2350" s="23"/>
    </row>
    <row r="2351">
      <c r="F2351" s="23"/>
    </row>
    <row r="2352">
      <c r="F2352" s="23"/>
    </row>
    <row r="2353">
      <c r="F2353" s="23"/>
    </row>
    <row r="2354">
      <c r="F2354" s="23"/>
    </row>
    <row r="2355">
      <c r="F2355" s="23"/>
    </row>
    <row r="2356">
      <c r="F2356" s="23"/>
    </row>
    <row r="2357">
      <c r="F2357" s="23"/>
    </row>
    <row r="2358">
      <c r="F2358" s="23"/>
    </row>
    <row r="2359">
      <c r="F2359" s="23"/>
    </row>
    <row r="2360">
      <c r="F2360" s="23"/>
    </row>
    <row r="2361">
      <c r="F2361" s="23"/>
    </row>
    <row r="2362">
      <c r="F2362" s="23"/>
    </row>
    <row r="2363">
      <c r="F2363" s="23"/>
    </row>
    <row r="2364">
      <c r="F2364" s="23"/>
    </row>
    <row r="2365">
      <c r="F2365" s="23"/>
    </row>
    <row r="2366">
      <c r="F2366" s="23"/>
    </row>
    <row r="2367">
      <c r="F2367" s="23"/>
    </row>
    <row r="2368">
      <c r="F2368" s="23"/>
    </row>
    <row r="2369">
      <c r="F2369" s="23"/>
    </row>
    <row r="2370">
      <c r="F2370" s="23"/>
    </row>
    <row r="2371">
      <c r="F2371" s="23"/>
    </row>
    <row r="2372">
      <c r="F2372" s="23"/>
    </row>
    <row r="2373">
      <c r="F2373" s="23"/>
    </row>
    <row r="2374">
      <c r="F2374" s="23"/>
    </row>
    <row r="2375">
      <c r="F2375" s="23"/>
    </row>
    <row r="2376">
      <c r="F2376" s="23"/>
    </row>
    <row r="2377">
      <c r="F2377" s="23"/>
    </row>
    <row r="2378">
      <c r="F2378" s="23"/>
    </row>
    <row r="2379">
      <c r="F2379" s="23"/>
    </row>
    <row r="2380">
      <c r="F2380" s="23"/>
    </row>
    <row r="2381">
      <c r="F2381" s="23"/>
    </row>
    <row r="2382">
      <c r="F2382" s="23"/>
    </row>
    <row r="2383">
      <c r="F2383" s="23"/>
    </row>
    <row r="2384">
      <c r="F2384" s="23"/>
    </row>
    <row r="2385">
      <c r="F2385" s="23"/>
    </row>
    <row r="2386">
      <c r="F2386" s="23"/>
    </row>
    <row r="2387">
      <c r="F2387" s="23"/>
    </row>
    <row r="2388">
      <c r="F2388" s="23"/>
    </row>
    <row r="2389">
      <c r="F2389" s="23"/>
    </row>
    <row r="2390">
      <c r="F2390" s="23"/>
    </row>
    <row r="2391">
      <c r="F2391" s="23"/>
    </row>
    <row r="2392">
      <c r="F2392" s="23"/>
    </row>
    <row r="2393">
      <c r="F2393" s="23"/>
    </row>
    <row r="2394">
      <c r="F2394" s="23"/>
    </row>
    <row r="2395">
      <c r="F2395" s="23"/>
    </row>
    <row r="2396">
      <c r="F2396" s="23"/>
    </row>
    <row r="2397">
      <c r="F2397" s="23"/>
    </row>
    <row r="2398">
      <c r="F2398" s="23"/>
    </row>
    <row r="2399">
      <c r="F2399" s="23"/>
    </row>
    <row r="2400">
      <c r="F2400" s="23"/>
    </row>
    <row r="2401">
      <c r="F2401" s="23"/>
    </row>
    <row r="2402">
      <c r="F2402" s="23"/>
    </row>
    <row r="2403">
      <c r="F2403" s="23"/>
    </row>
    <row r="2404">
      <c r="F2404" s="23"/>
    </row>
    <row r="2405">
      <c r="F2405" s="23"/>
    </row>
    <row r="2406">
      <c r="F2406" s="23"/>
    </row>
    <row r="2407">
      <c r="F2407" s="23"/>
    </row>
    <row r="2408">
      <c r="F2408" s="23"/>
    </row>
    <row r="2409">
      <c r="F2409" s="23"/>
    </row>
    <row r="2410">
      <c r="F2410" s="23"/>
    </row>
    <row r="2411">
      <c r="F2411" s="23"/>
    </row>
    <row r="2412">
      <c r="F2412" s="23"/>
    </row>
    <row r="2413">
      <c r="F2413" s="23"/>
    </row>
    <row r="2414">
      <c r="F2414" s="23"/>
    </row>
    <row r="2415">
      <c r="F2415" s="23"/>
    </row>
    <row r="2416">
      <c r="F2416" s="23"/>
    </row>
    <row r="2417">
      <c r="F2417" s="23"/>
    </row>
    <row r="2418">
      <c r="F2418" s="23"/>
    </row>
    <row r="2419">
      <c r="F2419" s="23"/>
    </row>
    <row r="2420">
      <c r="F2420" s="23"/>
    </row>
    <row r="2421">
      <c r="F2421" s="23"/>
    </row>
    <row r="2422">
      <c r="F2422" s="23"/>
    </row>
    <row r="2423">
      <c r="F2423" s="23"/>
    </row>
    <row r="2424">
      <c r="F2424" s="23"/>
    </row>
    <row r="2425">
      <c r="F2425" s="23"/>
    </row>
    <row r="2426">
      <c r="F2426" s="23"/>
    </row>
    <row r="2427">
      <c r="F2427" s="23"/>
    </row>
    <row r="2428">
      <c r="F2428" s="23"/>
    </row>
    <row r="2429">
      <c r="F2429" s="23"/>
    </row>
    <row r="2430">
      <c r="F2430" s="23"/>
    </row>
    <row r="2431">
      <c r="F2431" s="23"/>
    </row>
    <row r="2432">
      <c r="F2432" s="23"/>
    </row>
    <row r="2433">
      <c r="F2433" s="23"/>
    </row>
    <row r="2434">
      <c r="F2434" s="23"/>
    </row>
    <row r="2435">
      <c r="F2435" s="23"/>
    </row>
    <row r="2436">
      <c r="F2436" s="23"/>
    </row>
    <row r="2437">
      <c r="F2437" s="23"/>
    </row>
    <row r="2438">
      <c r="F2438" s="23"/>
    </row>
    <row r="2439">
      <c r="F2439" s="23"/>
    </row>
    <row r="2440">
      <c r="F2440" s="23"/>
    </row>
    <row r="2441">
      <c r="F2441" s="23"/>
    </row>
    <row r="2442">
      <c r="F2442" s="23"/>
    </row>
    <row r="2443">
      <c r="F2443" s="23"/>
    </row>
    <row r="2444">
      <c r="F2444" s="23"/>
    </row>
    <row r="2445">
      <c r="F2445" s="23"/>
    </row>
    <row r="2446">
      <c r="F2446" s="23"/>
    </row>
    <row r="2447">
      <c r="F2447" s="23"/>
    </row>
    <row r="2448">
      <c r="F2448" s="23"/>
    </row>
    <row r="2449">
      <c r="F2449" s="23"/>
    </row>
    <row r="2450">
      <c r="F2450" s="23"/>
    </row>
    <row r="2451">
      <c r="F2451" s="23"/>
    </row>
    <row r="2452">
      <c r="F2452" s="23"/>
    </row>
    <row r="2453">
      <c r="F2453" s="23"/>
    </row>
    <row r="2454">
      <c r="F2454" s="23"/>
    </row>
    <row r="2455">
      <c r="F2455" s="23"/>
    </row>
    <row r="2456">
      <c r="F2456" s="23"/>
    </row>
    <row r="2457">
      <c r="F2457" s="23"/>
    </row>
    <row r="2458">
      <c r="F2458" s="23"/>
    </row>
    <row r="2459">
      <c r="F2459" s="23"/>
    </row>
    <row r="2460">
      <c r="F2460" s="23"/>
    </row>
    <row r="2461">
      <c r="F2461" s="23"/>
    </row>
    <row r="2462">
      <c r="F2462" s="23"/>
    </row>
    <row r="2463">
      <c r="F2463" s="23"/>
    </row>
    <row r="2464">
      <c r="F2464" s="23"/>
    </row>
    <row r="2465">
      <c r="F2465" s="23"/>
    </row>
    <row r="2466">
      <c r="F2466" s="23"/>
    </row>
    <row r="2467">
      <c r="F2467" s="23"/>
    </row>
    <row r="2468">
      <c r="F2468" s="23"/>
    </row>
    <row r="2469">
      <c r="F2469" s="23"/>
    </row>
    <row r="2470">
      <c r="F2470" s="23"/>
    </row>
    <row r="2471">
      <c r="F2471" s="23"/>
    </row>
    <row r="2472">
      <c r="F2472" s="23"/>
    </row>
    <row r="2473">
      <c r="F2473" s="23"/>
    </row>
    <row r="2474">
      <c r="F2474" s="23"/>
    </row>
    <row r="2475">
      <c r="F2475" s="23"/>
    </row>
    <row r="2476">
      <c r="F2476" s="23"/>
    </row>
    <row r="2477">
      <c r="F2477" s="23"/>
    </row>
    <row r="2478">
      <c r="F2478" s="23"/>
    </row>
    <row r="2479">
      <c r="F2479" s="23"/>
    </row>
    <row r="2480">
      <c r="F2480" s="23"/>
    </row>
    <row r="2481">
      <c r="F2481" s="23"/>
    </row>
    <row r="2482">
      <c r="F2482" s="23"/>
    </row>
    <row r="2483">
      <c r="F2483" s="23"/>
    </row>
    <row r="2484">
      <c r="F2484" s="23"/>
    </row>
    <row r="2485">
      <c r="F2485" s="23"/>
    </row>
    <row r="2486">
      <c r="F2486" s="23"/>
    </row>
    <row r="2487">
      <c r="F2487" s="23"/>
    </row>
    <row r="2488">
      <c r="F2488" s="23"/>
    </row>
    <row r="2489">
      <c r="F2489" s="23"/>
    </row>
    <row r="2490">
      <c r="F2490" s="23"/>
    </row>
    <row r="2491">
      <c r="F2491" s="23"/>
    </row>
    <row r="2492">
      <c r="F2492" s="23"/>
    </row>
    <row r="2493">
      <c r="F2493" s="23"/>
    </row>
    <row r="2494">
      <c r="F2494" s="23"/>
    </row>
    <row r="2495">
      <c r="F2495" s="23"/>
    </row>
    <row r="2496">
      <c r="F2496" s="23"/>
    </row>
    <row r="2497">
      <c r="F2497" s="23"/>
    </row>
    <row r="2498">
      <c r="F2498" s="23"/>
    </row>
    <row r="2499">
      <c r="F2499" s="23"/>
    </row>
    <row r="2500">
      <c r="F2500" s="23"/>
    </row>
    <row r="2501">
      <c r="F2501" s="23"/>
    </row>
    <row r="2502">
      <c r="F2502" s="23"/>
    </row>
    <row r="2503">
      <c r="F2503" s="23"/>
    </row>
    <row r="2504">
      <c r="F2504" s="23"/>
    </row>
    <row r="2505">
      <c r="F2505" s="23"/>
    </row>
    <row r="2506">
      <c r="F2506" s="23"/>
    </row>
    <row r="2507">
      <c r="F2507" s="23"/>
    </row>
    <row r="2508">
      <c r="F2508" s="23"/>
    </row>
    <row r="2509">
      <c r="F2509" s="23"/>
    </row>
    <row r="2510">
      <c r="F2510" s="23"/>
    </row>
    <row r="2511">
      <c r="F2511" s="23"/>
    </row>
    <row r="2512">
      <c r="F2512" s="23"/>
    </row>
    <row r="2513">
      <c r="F2513" s="23"/>
    </row>
    <row r="2514">
      <c r="F2514" s="23"/>
    </row>
    <row r="2515">
      <c r="F2515" s="23"/>
    </row>
    <row r="2516">
      <c r="F2516" s="23"/>
    </row>
    <row r="2517">
      <c r="F2517" s="23"/>
    </row>
    <row r="2518">
      <c r="F2518" s="23"/>
    </row>
    <row r="2519">
      <c r="F2519" s="23"/>
    </row>
    <row r="2520">
      <c r="F2520" s="23"/>
    </row>
    <row r="2521">
      <c r="F2521" s="23"/>
    </row>
    <row r="2522">
      <c r="F2522" s="23"/>
    </row>
    <row r="2523">
      <c r="F2523" s="23"/>
    </row>
    <row r="2524">
      <c r="F2524" s="23"/>
    </row>
    <row r="2525">
      <c r="F2525" s="23"/>
    </row>
    <row r="2526">
      <c r="F2526" s="23"/>
    </row>
    <row r="2527">
      <c r="F2527" s="23"/>
    </row>
    <row r="2528">
      <c r="F2528" s="23"/>
    </row>
    <row r="2529">
      <c r="F2529" s="23"/>
    </row>
    <row r="2530">
      <c r="F2530" s="23"/>
    </row>
    <row r="2531">
      <c r="F2531" s="23"/>
    </row>
    <row r="2532">
      <c r="F2532" s="23"/>
    </row>
    <row r="2533">
      <c r="F2533" s="23"/>
    </row>
    <row r="2534">
      <c r="F2534" s="23"/>
    </row>
    <row r="2535">
      <c r="F2535" s="23"/>
    </row>
    <row r="2536">
      <c r="F2536" s="23"/>
    </row>
    <row r="2537">
      <c r="F2537" s="23"/>
    </row>
    <row r="2538">
      <c r="F2538" s="23"/>
    </row>
    <row r="2539">
      <c r="F2539" s="23"/>
    </row>
    <row r="2540">
      <c r="F2540" s="23"/>
    </row>
    <row r="2541">
      <c r="F2541" s="23"/>
    </row>
    <row r="2542">
      <c r="F2542" s="23"/>
    </row>
    <row r="2543">
      <c r="F2543" s="23"/>
    </row>
    <row r="2544">
      <c r="F2544" s="23"/>
    </row>
    <row r="2545">
      <c r="F2545" s="23"/>
    </row>
    <row r="2546">
      <c r="F2546" s="23"/>
    </row>
    <row r="2547">
      <c r="F2547" s="23"/>
    </row>
    <row r="2548">
      <c r="F2548" s="23"/>
    </row>
    <row r="2549">
      <c r="F2549" s="23"/>
    </row>
    <row r="2550">
      <c r="F2550" s="23"/>
    </row>
    <row r="2551">
      <c r="F2551" s="23"/>
    </row>
    <row r="2552">
      <c r="F2552" s="23"/>
    </row>
    <row r="2553">
      <c r="F2553" s="23"/>
    </row>
    <row r="2554">
      <c r="F2554" s="23"/>
    </row>
    <row r="2555">
      <c r="F2555" s="23"/>
    </row>
    <row r="2556">
      <c r="F2556" s="23"/>
    </row>
    <row r="2557">
      <c r="F2557" s="23"/>
    </row>
    <row r="2558">
      <c r="F2558" s="23"/>
    </row>
    <row r="2559">
      <c r="F2559" s="23"/>
    </row>
    <row r="2560">
      <c r="F2560" s="23"/>
    </row>
    <row r="2561">
      <c r="F2561" s="23"/>
    </row>
    <row r="2562">
      <c r="F2562" s="23"/>
    </row>
    <row r="2563">
      <c r="F2563" s="23"/>
    </row>
    <row r="2564">
      <c r="F2564" s="23"/>
    </row>
    <row r="2565">
      <c r="F2565" s="23"/>
    </row>
    <row r="2566">
      <c r="F2566" s="23"/>
    </row>
    <row r="2567">
      <c r="F2567" s="23"/>
    </row>
    <row r="2568">
      <c r="F2568" s="23"/>
    </row>
    <row r="2569">
      <c r="F2569" s="23"/>
    </row>
    <row r="2570">
      <c r="F2570" s="23"/>
    </row>
    <row r="2571">
      <c r="F2571" s="23"/>
    </row>
    <row r="2572">
      <c r="F2572" s="23"/>
    </row>
    <row r="2573">
      <c r="F2573" s="23"/>
    </row>
    <row r="2574">
      <c r="F2574" s="23"/>
    </row>
    <row r="2575">
      <c r="F2575" s="23"/>
    </row>
    <row r="2576">
      <c r="F2576" s="23"/>
    </row>
    <row r="2577">
      <c r="F2577" s="23"/>
    </row>
    <row r="2578">
      <c r="F2578" s="23"/>
    </row>
    <row r="2579">
      <c r="F2579" s="23"/>
    </row>
    <row r="2580">
      <c r="F2580" s="23"/>
    </row>
    <row r="2581">
      <c r="F2581" s="23"/>
    </row>
    <row r="2582">
      <c r="F2582" s="23"/>
    </row>
    <row r="2583">
      <c r="F2583" s="23"/>
    </row>
    <row r="2584">
      <c r="F2584" s="23"/>
    </row>
    <row r="2585">
      <c r="F2585" s="23"/>
    </row>
    <row r="2586">
      <c r="F2586" s="23"/>
    </row>
    <row r="2587">
      <c r="F2587" s="23"/>
    </row>
    <row r="2588">
      <c r="F2588" s="23"/>
    </row>
    <row r="2589">
      <c r="F2589" s="23"/>
    </row>
    <row r="2590">
      <c r="F2590" s="23"/>
    </row>
    <row r="2591">
      <c r="F2591" s="23"/>
    </row>
    <row r="2592">
      <c r="F2592" s="23"/>
    </row>
    <row r="2593">
      <c r="F2593" s="23"/>
    </row>
    <row r="2594">
      <c r="F2594" s="23"/>
    </row>
    <row r="2595">
      <c r="F2595" s="23"/>
    </row>
    <row r="2596">
      <c r="F2596" s="23"/>
    </row>
    <row r="2597">
      <c r="F2597" s="23"/>
    </row>
    <row r="2598">
      <c r="F2598" s="23"/>
    </row>
    <row r="2599">
      <c r="F2599" s="23"/>
    </row>
    <row r="2600">
      <c r="F2600" s="23"/>
    </row>
    <row r="2601">
      <c r="F2601" s="23"/>
    </row>
    <row r="2602">
      <c r="F2602" s="23"/>
    </row>
    <row r="2603">
      <c r="F2603" s="23"/>
    </row>
    <row r="2604">
      <c r="F2604" s="23"/>
    </row>
    <row r="2605">
      <c r="F2605" s="23"/>
    </row>
    <row r="2606">
      <c r="F2606" s="23"/>
    </row>
    <row r="2607">
      <c r="F2607" s="23"/>
    </row>
    <row r="2608">
      <c r="F2608" s="23"/>
    </row>
    <row r="2609">
      <c r="F2609" s="23"/>
    </row>
    <row r="2610">
      <c r="F2610" s="23"/>
    </row>
    <row r="2611">
      <c r="F2611" s="23"/>
    </row>
    <row r="2612">
      <c r="F2612" s="23"/>
    </row>
    <row r="2613">
      <c r="F2613" s="23"/>
    </row>
    <row r="2614">
      <c r="F2614" s="23"/>
    </row>
    <row r="2615">
      <c r="F2615" s="23"/>
    </row>
    <row r="2616">
      <c r="F2616" s="23"/>
    </row>
    <row r="2617">
      <c r="F2617" s="23"/>
    </row>
    <row r="2618">
      <c r="F2618" s="23"/>
    </row>
    <row r="2619">
      <c r="F2619" s="23"/>
    </row>
    <row r="2620">
      <c r="F2620" s="23"/>
    </row>
    <row r="2621">
      <c r="F2621" s="23"/>
    </row>
    <row r="2622">
      <c r="F2622" s="23"/>
    </row>
    <row r="2623">
      <c r="F2623" s="23"/>
    </row>
    <row r="2624">
      <c r="F2624" s="23"/>
    </row>
    <row r="2625">
      <c r="F2625" s="23"/>
    </row>
    <row r="2626">
      <c r="F2626" s="23"/>
    </row>
    <row r="2627">
      <c r="F2627" s="23"/>
    </row>
    <row r="2628">
      <c r="F2628" s="23"/>
    </row>
    <row r="2629">
      <c r="F2629" s="23"/>
    </row>
    <row r="2630">
      <c r="F2630" s="23"/>
    </row>
    <row r="2631">
      <c r="F2631" s="23"/>
    </row>
    <row r="2632">
      <c r="F2632" s="23"/>
    </row>
    <row r="2633">
      <c r="F2633" s="23"/>
    </row>
    <row r="2634">
      <c r="F2634" s="23"/>
    </row>
    <row r="2635">
      <c r="F2635" s="23"/>
    </row>
    <row r="2636">
      <c r="F2636" s="23"/>
    </row>
    <row r="2637">
      <c r="F2637" s="23"/>
    </row>
    <row r="2638">
      <c r="F2638" s="23"/>
    </row>
    <row r="2639">
      <c r="F2639" s="23"/>
    </row>
    <row r="2640">
      <c r="F2640" s="23"/>
    </row>
    <row r="2641">
      <c r="F2641" s="23"/>
    </row>
    <row r="2642">
      <c r="F2642" s="23"/>
    </row>
    <row r="2643">
      <c r="F2643" s="23"/>
    </row>
    <row r="2644">
      <c r="F2644" s="23"/>
    </row>
    <row r="2645">
      <c r="F2645" s="23"/>
    </row>
    <row r="2646">
      <c r="F2646" s="23"/>
    </row>
    <row r="2647">
      <c r="F2647" s="23"/>
    </row>
    <row r="2648">
      <c r="F2648" s="23"/>
    </row>
    <row r="2649">
      <c r="F2649" s="23"/>
    </row>
    <row r="2650">
      <c r="F2650" s="23"/>
    </row>
    <row r="2651">
      <c r="F2651" s="23"/>
    </row>
    <row r="2652">
      <c r="F2652" s="23"/>
    </row>
    <row r="2653">
      <c r="F2653" s="23"/>
    </row>
    <row r="2654">
      <c r="F2654" s="23"/>
    </row>
    <row r="2655">
      <c r="F2655" s="23"/>
    </row>
    <row r="2656">
      <c r="F2656" s="23"/>
    </row>
    <row r="2657">
      <c r="F2657" s="23"/>
    </row>
    <row r="2658">
      <c r="F2658" s="23"/>
    </row>
    <row r="2659">
      <c r="F2659" s="23"/>
    </row>
    <row r="2660">
      <c r="F2660" s="23"/>
    </row>
    <row r="2661">
      <c r="F2661" s="23"/>
    </row>
    <row r="2662">
      <c r="F2662" s="23"/>
    </row>
    <row r="2663">
      <c r="F2663" s="23"/>
    </row>
    <row r="2664">
      <c r="F2664" s="23"/>
    </row>
    <row r="2665">
      <c r="F2665" s="23"/>
    </row>
    <row r="2666">
      <c r="F2666" s="23"/>
    </row>
    <row r="2667">
      <c r="F2667" s="23"/>
    </row>
    <row r="2668">
      <c r="F2668" s="23"/>
    </row>
    <row r="2669">
      <c r="F2669" s="23"/>
    </row>
    <row r="2670">
      <c r="F2670" s="23"/>
    </row>
    <row r="2671">
      <c r="F2671" s="23"/>
    </row>
    <row r="2672">
      <c r="F2672" s="23"/>
    </row>
    <row r="2673">
      <c r="F2673" s="23"/>
    </row>
    <row r="2674">
      <c r="F2674" s="23"/>
    </row>
    <row r="2675">
      <c r="F2675" s="23"/>
    </row>
    <row r="2676">
      <c r="F2676" s="23"/>
    </row>
    <row r="2677">
      <c r="F2677" s="23"/>
    </row>
    <row r="2678">
      <c r="F2678" s="23"/>
    </row>
    <row r="2679">
      <c r="F2679" s="23"/>
    </row>
    <row r="2680">
      <c r="F2680" s="23"/>
    </row>
    <row r="2681">
      <c r="F2681" s="23"/>
    </row>
    <row r="2682">
      <c r="F2682" s="23"/>
    </row>
    <row r="2683">
      <c r="F2683" s="23"/>
    </row>
    <row r="2684">
      <c r="F2684" s="23"/>
    </row>
    <row r="2685">
      <c r="F2685" s="23"/>
    </row>
    <row r="2686">
      <c r="F2686" s="23"/>
    </row>
    <row r="2687">
      <c r="F2687" s="23"/>
    </row>
    <row r="2688">
      <c r="F2688" s="23"/>
    </row>
    <row r="2689">
      <c r="F2689" s="23"/>
    </row>
    <row r="2690">
      <c r="F2690" s="23"/>
    </row>
    <row r="2691">
      <c r="F2691" s="23"/>
    </row>
    <row r="2692">
      <c r="F2692" s="23"/>
    </row>
    <row r="2693">
      <c r="F2693" s="23"/>
    </row>
    <row r="2694">
      <c r="F2694" s="23"/>
    </row>
    <row r="2695">
      <c r="F2695" s="23"/>
    </row>
    <row r="2696">
      <c r="F2696" s="23"/>
    </row>
    <row r="2697">
      <c r="F2697" s="23"/>
    </row>
    <row r="2698">
      <c r="F2698" s="23"/>
    </row>
    <row r="2699">
      <c r="F2699" s="23"/>
    </row>
    <row r="2700">
      <c r="F2700" s="23"/>
    </row>
    <row r="2701">
      <c r="F2701" s="23"/>
    </row>
    <row r="2702">
      <c r="F2702" s="23"/>
    </row>
    <row r="2703">
      <c r="F2703" s="23"/>
    </row>
    <row r="2704">
      <c r="F2704" s="23"/>
    </row>
    <row r="2705">
      <c r="F2705" s="23"/>
    </row>
    <row r="2706">
      <c r="F2706" s="23"/>
    </row>
    <row r="2707">
      <c r="F2707" s="23"/>
    </row>
    <row r="2708">
      <c r="F2708" s="23"/>
    </row>
    <row r="2709">
      <c r="F2709" s="23"/>
    </row>
    <row r="2710">
      <c r="F2710" s="23"/>
    </row>
    <row r="2711">
      <c r="F2711" s="23"/>
    </row>
    <row r="2712">
      <c r="F2712" s="23"/>
    </row>
    <row r="2713">
      <c r="F2713" s="23"/>
    </row>
    <row r="2714">
      <c r="F2714" s="23"/>
    </row>
    <row r="2715">
      <c r="F2715" s="23"/>
    </row>
    <row r="2716">
      <c r="F2716" s="23"/>
    </row>
    <row r="2717">
      <c r="F2717" s="23"/>
    </row>
    <row r="2718">
      <c r="F2718" s="23"/>
    </row>
    <row r="2719">
      <c r="F2719" s="23"/>
    </row>
    <row r="2720">
      <c r="F2720" s="23"/>
    </row>
    <row r="2721">
      <c r="F2721" s="23"/>
    </row>
    <row r="2722">
      <c r="F2722" s="23"/>
    </row>
    <row r="2723">
      <c r="F2723" s="23"/>
    </row>
    <row r="2724">
      <c r="F2724" s="23"/>
    </row>
    <row r="2725">
      <c r="F2725" s="23"/>
    </row>
    <row r="2726">
      <c r="F2726" s="23"/>
    </row>
    <row r="2727">
      <c r="F2727" s="23"/>
    </row>
    <row r="2728">
      <c r="F2728" s="23"/>
    </row>
    <row r="2729">
      <c r="F2729" s="23"/>
    </row>
    <row r="2730">
      <c r="F2730" s="23"/>
    </row>
    <row r="2731">
      <c r="F2731" s="23"/>
    </row>
    <row r="2732">
      <c r="F2732" s="23"/>
    </row>
    <row r="2733">
      <c r="F2733" s="23"/>
    </row>
    <row r="2734">
      <c r="F2734" s="23"/>
    </row>
    <row r="2735">
      <c r="F2735" s="23"/>
    </row>
    <row r="2736">
      <c r="F2736" s="23"/>
    </row>
    <row r="2737">
      <c r="F2737" s="23"/>
    </row>
    <row r="2738">
      <c r="F2738" s="23"/>
    </row>
    <row r="2739">
      <c r="F2739" s="23"/>
    </row>
    <row r="2740">
      <c r="F2740" s="23"/>
    </row>
    <row r="2741">
      <c r="F2741" s="23"/>
    </row>
    <row r="2742">
      <c r="F2742" s="23"/>
    </row>
    <row r="2743">
      <c r="F2743" s="23"/>
    </row>
    <row r="2744">
      <c r="F2744" s="23"/>
    </row>
    <row r="2745">
      <c r="F2745" s="23"/>
    </row>
    <row r="2746">
      <c r="F2746" s="23"/>
    </row>
    <row r="2747">
      <c r="F2747" s="23"/>
    </row>
    <row r="2748">
      <c r="F2748" s="23"/>
    </row>
    <row r="2749">
      <c r="F2749" s="23"/>
    </row>
    <row r="2750">
      <c r="F2750" s="23"/>
    </row>
    <row r="2751">
      <c r="F2751" s="23"/>
    </row>
    <row r="2752">
      <c r="F2752" s="23"/>
    </row>
    <row r="2753">
      <c r="F2753" s="23"/>
    </row>
    <row r="2754">
      <c r="F2754" s="23"/>
    </row>
    <row r="2755">
      <c r="F2755" s="23"/>
    </row>
    <row r="2756">
      <c r="F2756" s="23"/>
    </row>
    <row r="2757">
      <c r="F2757" s="23"/>
    </row>
    <row r="2758">
      <c r="F2758" s="23"/>
    </row>
    <row r="2759">
      <c r="F2759" s="23"/>
    </row>
    <row r="2760">
      <c r="F2760" s="23"/>
    </row>
    <row r="2761">
      <c r="F2761" s="23"/>
    </row>
    <row r="2762">
      <c r="F2762" s="23"/>
    </row>
    <row r="2763">
      <c r="F2763" s="23"/>
    </row>
    <row r="2764">
      <c r="F2764" s="23"/>
    </row>
    <row r="2765">
      <c r="F2765" s="23"/>
    </row>
    <row r="2766">
      <c r="F2766" s="23"/>
    </row>
    <row r="2767">
      <c r="F2767" s="23"/>
    </row>
    <row r="2768">
      <c r="F2768" s="23"/>
    </row>
    <row r="2769">
      <c r="F2769" s="23"/>
    </row>
    <row r="2770">
      <c r="F2770" s="23"/>
    </row>
    <row r="2771">
      <c r="F2771" s="23"/>
    </row>
    <row r="2772">
      <c r="F2772" s="23"/>
    </row>
    <row r="2773">
      <c r="F2773" s="23"/>
    </row>
    <row r="2774">
      <c r="F2774" s="23"/>
    </row>
    <row r="2775">
      <c r="F2775" s="23"/>
    </row>
    <row r="2776">
      <c r="F2776" s="23"/>
    </row>
    <row r="2777">
      <c r="F2777" s="23"/>
    </row>
    <row r="2778">
      <c r="F2778" s="23"/>
    </row>
    <row r="2779">
      <c r="F2779" s="23"/>
    </row>
    <row r="2780">
      <c r="F2780" s="23"/>
    </row>
    <row r="2781">
      <c r="F2781" s="23"/>
    </row>
    <row r="2782">
      <c r="F2782" s="23"/>
    </row>
    <row r="2783">
      <c r="F2783" s="23"/>
    </row>
    <row r="2784">
      <c r="F2784" s="23"/>
    </row>
    <row r="2785">
      <c r="F2785" s="23"/>
    </row>
    <row r="2786">
      <c r="F2786" s="23"/>
    </row>
    <row r="2787">
      <c r="F2787" s="23"/>
    </row>
    <row r="2788">
      <c r="F2788" s="23"/>
    </row>
    <row r="2789">
      <c r="F2789" s="23"/>
    </row>
    <row r="2790">
      <c r="F2790" s="23"/>
    </row>
    <row r="2791">
      <c r="F2791" s="23"/>
    </row>
    <row r="2792">
      <c r="F2792" s="23"/>
    </row>
    <row r="2793">
      <c r="F2793" s="23"/>
    </row>
    <row r="2794">
      <c r="F2794" s="23"/>
    </row>
    <row r="2795">
      <c r="F2795" s="23"/>
    </row>
    <row r="2796">
      <c r="F2796" s="23"/>
    </row>
    <row r="2797">
      <c r="F2797" s="23"/>
    </row>
    <row r="2798">
      <c r="F2798" s="23"/>
    </row>
    <row r="2799">
      <c r="F2799" s="23"/>
    </row>
    <row r="2800">
      <c r="F2800" s="23"/>
    </row>
    <row r="2801">
      <c r="F2801" s="23"/>
    </row>
    <row r="2802">
      <c r="F2802" s="23"/>
    </row>
    <row r="2803">
      <c r="F2803" s="23"/>
    </row>
    <row r="2804">
      <c r="F2804" s="23"/>
    </row>
    <row r="2805">
      <c r="F2805" s="23"/>
    </row>
    <row r="2806">
      <c r="F2806" s="23"/>
    </row>
    <row r="2807">
      <c r="F2807" s="23"/>
    </row>
    <row r="2808">
      <c r="F2808" s="23"/>
    </row>
    <row r="2809">
      <c r="F2809" s="23"/>
    </row>
    <row r="2810">
      <c r="F2810" s="23"/>
    </row>
    <row r="2811">
      <c r="F2811" s="23"/>
    </row>
    <row r="2812">
      <c r="F2812" s="23"/>
    </row>
    <row r="2813">
      <c r="F2813" s="23"/>
    </row>
    <row r="2814">
      <c r="F2814" s="23"/>
    </row>
    <row r="2815">
      <c r="F2815" s="23"/>
    </row>
    <row r="2816">
      <c r="F2816" s="23"/>
    </row>
    <row r="2817">
      <c r="F2817" s="23"/>
    </row>
    <row r="2818">
      <c r="F2818" s="23"/>
    </row>
    <row r="2819">
      <c r="F2819" s="23"/>
    </row>
    <row r="2820">
      <c r="F2820" s="23"/>
    </row>
    <row r="2821">
      <c r="F2821" s="23"/>
    </row>
    <row r="2822">
      <c r="F2822" s="23"/>
    </row>
    <row r="2823">
      <c r="F2823" s="23"/>
    </row>
    <row r="2824">
      <c r="F2824" s="23"/>
    </row>
    <row r="2825">
      <c r="F2825" s="23"/>
    </row>
    <row r="2826">
      <c r="F2826" s="23"/>
    </row>
    <row r="2827">
      <c r="F2827" s="23"/>
    </row>
    <row r="2828">
      <c r="F2828" s="23"/>
    </row>
    <row r="2829">
      <c r="F2829" s="23"/>
    </row>
    <row r="2830">
      <c r="F2830" s="23"/>
    </row>
    <row r="2831">
      <c r="F2831" s="23"/>
    </row>
    <row r="2832">
      <c r="F2832" s="23"/>
    </row>
    <row r="2833">
      <c r="F2833" s="23"/>
    </row>
    <row r="2834">
      <c r="F2834" s="23"/>
    </row>
    <row r="2835">
      <c r="F2835" s="23"/>
    </row>
    <row r="2836">
      <c r="F2836" s="23"/>
    </row>
    <row r="2837">
      <c r="F2837" s="23"/>
    </row>
    <row r="2838">
      <c r="F2838" s="23"/>
    </row>
    <row r="2839">
      <c r="F2839" s="23"/>
    </row>
    <row r="2840">
      <c r="F2840" s="23"/>
    </row>
    <row r="2841">
      <c r="F2841" s="23"/>
    </row>
    <row r="2842">
      <c r="F2842" s="23"/>
    </row>
    <row r="2843">
      <c r="F2843" s="23"/>
    </row>
    <row r="2844">
      <c r="F2844" s="23"/>
    </row>
    <row r="2845">
      <c r="F2845" s="23"/>
    </row>
    <row r="2846">
      <c r="F2846" s="23"/>
    </row>
    <row r="2847">
      <c r="F2847" s="23"/>
    </row>
    <row r="2848">
      <c r="F2848" s="23"/>
    </row>
    <row r="2849">
      <c r="F2849" s="23"/>
    </row>
    <row r="2850">
      <c r="F2850" s="23"/>
    </row>
    <row r="2851">
      <c r="F2851" s="23"/>
    </row>
    <row r="2852">
      <c r="F2852" s="23"/>
    </row>
    <row r="2853">
      <c r="F2853" s="23"/>
    </row>
    <row r="2854">
      <c r="F2854" s="23"/>
    </row>
    <row r="2855">
      <c r="F2855" s="23"/>
    </row>
    <row r="2856">
      <c r="F2856" s="23"/>
    </row>
    <row r="2857">
      <c r="F2857" s="23"/>
    </row>
    <row r="2858">
      <c r="F2858" s="23"/>
    </row>
    <row r="2859">
      <c r="F2859" s="23"/>
    </row>
    <row r="2860">
      <c r="F2860" s="23"/>
    </row>
    <row r="2861">
      <c r="F2861" s="23"/>
    </row>
    <row r="2862">
      <c r="F2862" s="23"/>
    </row>
    <row r="2863">
      <c r="F2863" s="23"/>
    </row>
    <row r="2864">
      <c r="F2864" s="23"/>
    </row>
    <row r="2865">
      <c r="F2865" s="23"/>
    </row>
    <row r="2866">
      <c r="F2866" s="23"/>
    </row>
    <row r="2867">
      <c r="F2867" s="23"/>
    </row>
    <row r="2868">
      <c r="F2868" s="23"/>
    </row>
    <row r="2869">
      <c r="F2869" s="23"/>
    </row>
    <row r="2870">
      <c r="F2870" s="23"/>
    </row>
    <row r="2871">
      <c r="F2871" s="23"/>
    </row>
    <row r="2872">
      <c r="F2872" s="23"/>
    </row>
    <row r="2873">
      <c r="F2873" s="23"/>
    </row>
    <row r="2874">
      <c r="F2874" s="23"/>
    </row>
    <row r="2875">
      <c r="F2875" s="23"/>
    </row>
    <row r="2876">
      <c r="F2876" s="23"/>
    </row>
    <row r="2877">
      <c r="F2877" s="23"/>
    </row>
    <row r="2878">
      <c r="F2878" s="23"/>
    </row>
    <row r="2879">
      <c r="F2879" s="23"/>
    </row>
    <row r="2880">
      <c r="F2880" s="23"/>
    </row>
    <row r="2881">
      <c r="F2881" s="23"/>
    </row>
    <row r="2882">
      <c r="F2882" s="23"/>
    </row>
    <row r="2883">
      <c r="F2883" s="23"/>
    </row>
    <row r="2884">
      <c r="F2884" s="23"/>
    </row>
    <row r="2885">
      <c r="F2885" s="23"/>
    </row>
    <row r="2886">
      <c r="F2886" s="23"/>
    </row>
    <row r="2887">
      <c r="F2887" s="23"/>
    </row>
    <row r="2888">
      <c r="F2888" s="23"/>
    </row>
    <row r="2889">
      <c r="F2889" s="23"/>
    </row>
    <row r="2890">
      <c r="F2890" s="23"/>
    </row>
    <row r="2891">
      <c r="F2891" s="23"/>
    </row>
    <row r="2892">
      <c r="F2892" s="23"/>
    </row>
    <row r="2893">
      <c r="F2893" s="23"/>
    </row>
    <row r="2894">
      <c r="F2894" s="23"/>
    </row>
    <row r="2895">
      <c r="F2895" s="23"/>
    </row>
    <row r="2896">
      <c r="F2896" s="23"/>
    </row>
    <row r="2897">
      <c r="F2897" s="23"/>
    </row>
    <row r="2898">
      <c r="F2898" s="23"/>
    </row>
    <row r="2899">
      <c r="F2899" s="23"/>
    </row>
    <row r="2900">
      <c r="F2900" s="23"/>
    </row>
    <row r="2901">
      <c r="F2901" s="23"/>
    </row>
    <row r="2902">
      <c r="F2902" s="23"/>
    </row>
    <row r="2903">
      <c r="F2903" s="23"/>
    </row>
    <row r="2904">
      <c r="F2904" s="23"/>
    </row>
    <row r="2905">
      <c r="F2905" s="23"/>
    </row>
    <row r="2906">
      <c r="F2906" s="23"/>
    </row>
    <row r="2907">
      <c r="F2907" s="23"/>
    </row>
    <row r="2908">
      <c r="F2908" s="23"/>
    </row>
    <row r="2909">
      <c r="F2909" s="23"/>
    </row>
    <row r="2910">
      <c r="F2910" s="23"/>
    </row>
    <row r="2911">
      <c r="F2911" s="23"/>
    </row>
    <row r="2912">
      <c r="F2912" s="23"/>
    </row>
    <row r="2913">
      <c r="F2913" s="23"/>
    </row>
    <row r="2914">
      <c r="F2914" s="23"/>
    </row>
    <row r="2915">
      <c r="F2915" s="23"/>
    </row>
    <row r="2916">
      <c r="F2916" s="23"/>
    </row>
    <row r="2917">
      <c r="F2917" s="23"/>
    </row>
    <row r="2918">
      <c r="F2918" s="23"/>
    </row>
    <row r="2919">
      <c r="F2919" s="23"/>
    </row>
    <row r="2920">
      <c r="F2920" s="23"/>
    </row>
    <row r="2921">
      <c r="F2921" s="23"/>
    </row>
    <row r="2922">
      <c r="F2922" s="23"/>
    </row>
    <row r="2923">
      <c r="F2923" s="23"/>
    </row>
    <row r="2924">
      <c r="F2924" s="23"/>
    </row>
    <row r="2925">
      <c r="F2925" s="23"/>
    </row>
    <row r="2926">
      <c r="F2926" s="23"/>
    </row>
    <row r="2927">
      <c r="F2927" s="23"/>
    </row>
    <row r="2928">
      <c r="F2928" s="23"/>
    </row>
    <row r="2929">
      <c r="F2929" s="23"/>
    </row>
    <row r="2930">
      <c r="F2930" s="23"/>
    </row>
    <row r="2931">
      <c r="F2931" s="23"/>
    </row>
    <row r="2932">
      <c r="F2932" s="23"/>
    </row>
    <row r="2933">
      <c r="F2933" s="23"/>
    </row>
    <row r="2934">
      <c r="F2934" s="23"/>
    </row>
    <row r="2935">
      <c r="F2935" s="23"/>
    </row>
    <row r="2936">
      <c r="F2936" s="23"/>
    </row>
    <row r="2937">
      <c r="F2937" s="23"/>
    </row>
    <row r="2938">
      <c r="F2938" s="23"/>
    </row>
    <row r="2939">
      <c r="F2939" s="23"/>
    </row>
    <row r="2940">
      <c r="F2940" s="23"/>
    </row>
    <row r="2941">
      <c r="F2941" s="23"/>
    </row>
    <row r="2942">
      <c r="F2942" s="23"/>
    </row>
    <row r="2943">
      <c r="F2943" s="23"/>
    </row>
    <row r="2944">
      <c r="F2944" s="23"/>
    </row>
    <row r="2945">
      <c r="F2945" s="23"/>
    </row>
    <row r="2946">
      <c r="F2946" s="23"/>
    </row>
    <row r="2947">
      <c r="F2947" s="23"/>
    </row>
    <row r="2948">
      <c r="F2948" s="23"/>
    </row>
    <row r="2949">
      <c r="F2949" s="23"/>
    </row>
    <row r="2950">
      <c r="F2950" s="23"/>
    </row>
    <row r="2951">
      <c r="F2951" s="23"/>
    </row>
    <row r="2952">
      <c r="F2952" s="23"/>
    </row>
    <row r="2953">
      <c r="F2953" s="23"/>
    </row>
    <row r="2954">
      <c r="F2954" s="23"/>
    </row>
    <row r="2955">
      <c r="F2955" s="23"/>
    </row>
    <row r="2956">
      <c r="F2956" s="23"/>
    </row>
    <row r="2957">
      <c r="F2957" s="23"/>
    </row>
    <row r="2958">
      <c r="F2958" s="23"/>
    </row>
    <row r="2959">
      <c r="F2959" s="23"/>
    </row>
    <row r="2960">
      <c r="F2960" s="23"/>
    </row>
    <row r="2961">
      <c r="F2961" s="23"/>
    </row>
    <row r="2962">
      <c r="F2962" s="23"/>
    </row>
    <row r="2963">
      <c r="F2963" s="23"/>
    </row>
    <row r="2964">
      <c r="F2964" s="23"/>
    </row>
    <row r="2965">
      <c r="F2965" s="23"/>
    </row>
    <row r="2966">
      <c r="F2966" s="23"/>
    </row>
    <row r="2967">
      <c r="F2967" s="23"/>
    </row>
    <row r="2968">
      <c r="F2968" s="23"/>
    </row>
    <row r="2969">
      <c r="F2969" s="23"/>
    </row>
    <row r="2970">
      <c r="F2970" s="23"/>
    </row>
    <row r="2971">
      <c r="F2971" s="23"/>
    </row>
    <row r="2972">
      <c r="F2972" s="23"/>
    </row>
    <row r="2973">
      <c r="F2973" s="23"/>
    </row>
    <row r="2974">
      <c r="F2974" s="23"/>
    </row>
    <row r="2975">
      <c r="F2975" s="23"/>
    </row>
    <row r="2976">
      <c r="F2976" s="23"/>
    </row>
    <row r="2977">
      <c r="F2977" s="23"/>
    </row>
    <row r="2978">
      <c r="F2978" s="23"/>
    </row>
    <row r="2979">
      <c r="F2979" s="23"/>
    </row>
    <row r="2980">
      <c r="F2980" s="23"/>
    </row>
    <row r="2981">
      <c r="F2981" s="23"/>
    </row>
    <row r="2982">
      <c r="F2982" s="23"/>
    </row>
    <row r="2983">
      <c r="F2983" s="23"/>
    </row>
    <row r="2984">
      <c r="F2984" s="23"/>
    </row>
    <row r="2985">
      <c r="F2985" s="23"/>
    </row>
    <row r="2986">
      <c r="F2986" s="23"/>
    </row>
    <row r="2987">
      <c r="F2987" s="23"/>
    </row>
    <row r="2988">
      <c r="F2988" s="23"/>
    </row>
    <row r="2989">
      <c r="F2989" s="23"/>
    </row>
    <row r="2990">
      <c r="F2990" s="23"/>
    </row>
    <row r="2991">
      <c r="F2991" s="23"/>
    </row>
    <row r="2992">
      <c r="F2992" s="23"/>
    </row>
    <row r="2993">
      <c r="F2993" s="23"/>
    </row>
    <row r="2994">
      <c r="F2994" s="23"/>
    </row>
    <row r="2995">
      <c r="F2995" s="23"/>
    </row>
    <row r="2996">
      <c r="F2996" s="23"/>
    </row>
    <row r="2997">
      <c r="F2997" s="23"/>
    </row>
    <row r="2998">
      <c r="F2998" s="23"/>
    </row>
    <row r="2999">
      <c r="F2999" s="23"/>
    </row>
    <row r="3000">
      <c r="F3000" s="23"/>
    </row>
    <row r="3001">
      <c r="F3001" s="23"/>
    </row>
    <row r="3002">
      <c r="F3002" s="23"/>
    </row>
    <row r="3003">
      <c r="F3003" s="23"/>
    </row>
    <row r="3004">
      <c r="F3004" s="23"/>
    </row>
    <row r="3005">
      <c r="F3005" s="23"/>
    </row>
    <row r="3006">
      <c r="F3006" s="23"/>
    </row>
    <row r="3007">
      <c r="F3007" s="23"/>
    </row>
    <row r="3008">
      <c r="F3008" s="23"/>
    </row>
    <row r="3009">
      <c r="F3009" s="23"/>
    </row>
    <row r="3010">
      <c r="F3010" s="23"/>
    </row>
    <row r="3011">
      <c r="F3011" s="23"/>
    </row>
    <row r="3012">
      <c r="F3012" s="23"/>
    </row>
    <row r="3013">
      <c r="F3013" s="23"/>
    </row>
    <row r="3014">
      <c r="F3014" s="23"/>
    </row>
    <row r="3015">
      <c r="F3015" s="23"/>
    </row>
    <row r="3016">
      <c r="F3016" s="23"/>
    </row>
    <row r="3017">
      <c r="F3017" s="23"/>
    </row>
    <row r="3018">
      <c r="F3018" s="23"/>
    </row>
    <row r="3019">
      <c r="F3019" s="23"/>
    </row>
    <row r="3020">
      <c r="F3020" s="23"/>
    </row>
    <row r="3021">
      <c r="F3021" s="23"/>
    </row>
    <row r="3022">
      <c r="F3022" s="23"/>
    </row>
    <row r="3023">
      <c r="F3023" s="23"/>
    </row>
    <row r="3024">
      <c r="F3024" s="23"/>
    </row>
    <row r="3025">
      <c r="F3025" s="23"/>
    </row>
    <row r="3026">
      <c r="F3026" s="23"/>
    </row>
    <row r="3027">
      <c r="F3027" s="23"/>
    </row>
    <row r="3028">
      <c r="F3028" s="23"/>
    </row>
    <row r="3029">
      <c r="F3029" s="23"/>
    </row>
    <row r="3030">
      <c r="F3030" s="23"/>
    </row>
    <row r="3031">
      <c r="F3031" s="23"/>
    </row>
    <row r="3032">
      <c r="F3032" s="23"/>
    </row>
    <row r="3033">
      <c r="F3033" s="23"/>
    </row>
    <row r="3034">
      <c r="F3034" s="23"/>
    </row>
    <row r="3035">
      <c r="F3035" s="23"/>
    </row>
    <row r="3036">
      <c r="F3036" s="23"/>
    </row>
    <row r="3037">
      <c r="F3037" s="23"/>
    </row>
    <row r="3038">
      <c r="F3038" s="23"/>
    </row>
    <row r="3039">
      <c r="F3039" s="23"/>
    </row>
    <row r="3040">
      <c r="F3040" s="23"/>
    </row>
    <row r="3041">
      <c r="F3041" s="23"/>
    </row>
    <row r="3042">
      <c r="F3042" s="23"/>
    </row>
    <row r="3043">
      <c r="F3043" s="23"/>
    </row>
    <row r="3044">
      <c r="F3044" s="23"/>
    </row>
    <row r="3045">
      <c r="F3045" s="23"/>
    </row>
    <row r="3046">
      <c r="F3046" s="23"/>
    </row>
    <row r="3047">
      <c r="F3047" s="23"/>
    </row>
    <row r="3048">
      <c r="F3048" s="23"/>
    </row>
    <row r="3049">
      <c r="F3049" s="23"/>
    </row>
    <row r="3050">
      <c r="F3050" s="23"/>
    </row>
    <row r="3051">
      <c r="F3051" s="23"/>
    </row>
    <row r="3052">
      <c r="F3052" s="23"/>
    </row>
    <row r="3053">
      <c r="F3053" s="23"/>
    </row>
    <row r="3054">
      <c r="F3054" s="23"/>
    </row>
    <row r="3055">
      <c r="F3055" s="23"/>
    </row>
    <row r="3056">
      <c r="F3056" s="23"/>
    </row>
    <row r="3057">
      <c r="F3057" s="23"/>
    </row>
    <row r="3058">
      <c r="F3058" s="23"/>
    </row>
    <row r="3059">
      <c r="F3059" s="23"/>
    </row>
    <row r="3060">
      <c r="F3060" s="23"/>
    </row>
    <row r="3061">
      <c r="F3061" s="23"/>
    </row>
    <row r="3062">
      <c r="F3062" s="23"/>
    </row>
    <row r="3063">
      <c r="F3063" s="23"/>
    </row>
    <row r="3064">
      <c r="F3064" s="23"/>
    </row>
    <row r="3065">
      <c r="F3065" s="23"/>
    </row>
    <row r="3066">
      <c r="F3066" s="23"/>
    </row>
    <row r="3067">
      <c r="F3067" s="23"/>
    </row>
    <row r="3068">
      <c r="F3068" s="23"/>
    </row>
    <row r="3069">
      <c r="F3069" s="23"/>
    </row>
    <row r="3070">
      <c r="F3070" s="23"/>
    </row>
    <row r="3071">
      <c r="F3071" s="23"/>
    </row>
    <row r="3072">
      <c r="F3072" s="23"/>
    </row>
    <row r="3073">
      <c r="F3073" s="23"/>
    </row>
    <row r="3074">
      <c r="F3074" s="23"/>
    </row>
    <row r="3075">
      <c r="F3075" s="23"/>
    </row>
    <row r="3076">
      <c r="F3076" s="23"/>
    </row>
    <row r="3077">
      <c r="F3077" s="23"/>
    </row>
    <row r="3078">
      <c r="F3078" s="23"/>
    </row>
    <row r="3079">
      <c r="F3079" s="23"/>
    </row>
    <row r="3080">
      <c r="F3080" s="23"/>
    </row>
    <row r="3081">
      <c r="F3081" s="23"/>
    </row>
    <row r="3082">
      <c r="F3082" s="23"/>
    </row>
    <row r="3083">
      <c r="F3083" s="23"/>
    </row>
    <row r="3084">
      <c r="F3084" s="23"/>
    </row>
    <row r="3085">
      <c r="F3085" s="23"/>
    </row>
    <row r="3086">
      <c r="F3086" s="23"/>
    </row>
    <row r="3087">
      <c r="F3087" s="23"/>
    </row>
    <row r="3088">
      <c r="F3088" s="23"/>
    </row>
    <row r="3089">
      <c r="F3089" s="23"/>
    </row>
    <row r="3090">
      <c r="F3090" s="23"/>
    </row>
    <row r="3091">
      <c r="F3091" s="23"/>
    </row>
    <row r="3092">
      <c r="F3092" s="23"/>
    </row>
    <row r="3093">
      <c r="F3093" s="23"/>
    </row>
    <row r="3094">
      <c r="F3094" s="23"/>
    </row>
    <row r="3095">
      <c r="F3095" s="23"/>
    </row>
    <row r="3096">
      <c r="F3096" s="23"/>
    </row>
    <row r="3097">
      <c r="F3097" s="23"/>
    </row>
    <row r="3098">
      <c r="F3098" s="23"/>
    </row>
    <row r="3099">
      <c r="F3099" s="23"/>
    </row>
    <row r="3100">
      <c r="F3100" s="23"/>
    </row>
    <row r="3101">
      <c r="F3101" s="23"/>
    </row>
    <row r="3102">
      <c r="F3102" s="23"/>
    </row>
    <row r="3103">
      <c r="F3103" s="23"/>
    </row>
    <row r="3104">
      <c r="F3104" s="23"/>
    </row>
    <row r="3105">
      <c r="F3105" s="23"/>
    </row>
    <row r="3106">
      <c r="F3106" s="23"/>
    </row>
    <row r="3107">
      <c r="F3107" s="23"/>
    </row>
    <row r="3108">
      <c r="F3108" s="23"/>
    </row>
    <row r="3109">
      <c r="F3109" s="23"/>
    </row>
    <row r="3110">
      <c r="F3110" s="23"/>
    </row>
    <row r="3111">
      <c r="F3111" s="23"/>
    </row>
    <row r="3112">
      <c r="F3112" s="23"/>
    </row>
    <row r="3113">
      <c r="F3113" s="23"/>
    </row>
    <row r="3114">
      <c r="F3114" s="23"/>
    </row>
    <row r="3115">
      <c r="F3115" s="23"/>
    </row>
    <row r="3116">
      <c r="F3116" s="23"/>
    </row>
    <row r="3117">
      <c r="F3117" s="23"/>
    </row>
    <row r="3118">
      <c r="F3118" s="23"/>
    </row>
    <row r="3119">
      <c r="F3119" s="23"/>
    </row>
    <row r="3120">
      <c r="F3120" s="23"/>
    </row>
    <row r="3121">
      <c r="F3121" s="23"/>
    </row>
    <row r="3122">
      <c r="F3122" s="23"/>
    </row>
    <row r="3123">
      <c r="F3123" s="23"/>
    </row>
    <row r="3124">
      <c r="F3124" s="23"/>
    </row>
    <row r="3125">
      <c r="F3125" s="23"/>
    </row>
    <row r="3126">
      <c r="F3126" s="23"/>
    </row>
    <row r="3127">
      <c r="F3127" s="23"/>
    </row>
    <row r="3128">
      <c r="F3128" s="23"/>
    </row>
    <row r="3129">
      <c r="F3129" s="23"/>
    </row>
    <row r="3130">
      <c r="F3130" s="23"/>
    </row>
    <row r="3131">
      <c r="F3131" s="23"/>
    </row>
    <row r="3132">
      <c r="F3132" s="23"/>
    </row>
    <row r="3133">
      <c r="F3133" s="23"/>
    </row>
    <row r="3134">
      <c r="F3134" s="23"/>
    </row>
    <row r="3135">
      <c r="F3135" s="23"/>
    </row>
    <row r="3136">
      <c r="F3136" s="23"/>
    </row>
    <row r="3137">
      <c r="F3137" s="23"/>
    </row>
    <row r="3138">
      <c r="F3138" s="23"/>
    </row>
    <row r="3139">
      <c r="F3139" s="23"/>
    </row>
    <row r="3140">
      <c r="F3140" s="23"/>
    </row>
    <row r="3141">
      <c r="F3141" s="23"/>
    </row>
    <row r="3142">
      <c r="F3142" s="23"/>
    </row>
    <row r="3143">
      <c r="F3143" s="23"/>
    </row>
    <row r="3144">
      <c r="F3144" s="23"/>
    </row>
    <row r="3145">
      <c r="F3145" s="23"/>
    </row>
    <row r="3146">
      <c r="F3146" s="23"/>
    </row>
    <row r="3147">
      <c r="F3147" s="23"/>
    </row>
    <row r="3148">
      <c r="F3148" s="23"/>
    </row>
    <row r="3149">
      <c r="F3149" s="23"/>
    </row>
    <row r="3150">
      <c r="F3150" s="23"/>
    </row>
    <row r="3151">
      <c r="F3151" s="23"/>
    </row>
    <row r="3152">
      <c r="F3152" s="23"/>
    </row>
    <row r="3153">
      <c r="F3153" s="23"/>
    </row>
    <row r="3154">
      <c r="F3154" s="23"/>
    </row>
    <row r="3155">
      <c r="F3155" s="23"/>
    </row>
    <row r="3156">
      <c r="F3156" s="23"/>
    </row>
    <row r="3157">
      <c r="F3157" s="23"/>
    </row>
    <row r="3158">
      <c r="F3158" s="23"/>
    </row>
    <row r="3159">
      <c r="F3159" s="23"/>
    </row>
    <row r="3160">
      <c r="F3160" s="23"/>
    </row>
    <row r="3161">
      <c r="F3161" s="23"/>
    </row>
    <row r="3162">
      <c r="F3162" s="23"/>
    </row>
    <row r="3163">
      <c r="F3163" s="23"/>
    </row>
    <row r="3164">
      <c r="F3164" s="23"/>
    </row>
    <row r="3165">
      <c r="F3165" s="23"/>
    </row>
    <row r="3166">
      <c r="F3166" s="23"/>
    </row>
    <row r="3167">
      <c r="F3167" s="23"/>
    </row>
    <row r="3168">
      <c r="F3168" s="23"/>
    </row>
    <row r="3169">
      <c r="F3169" s="23"/>
    </row>
    <row r="3170">
      <c r="F3170" s="23"/>
    </row>
    <row r="3171">
      <c r="F3171" s="23"/>
    </row>
    <row r="3172">
      <c r="F3172" s="23"/>
    </row>
    <row r="3173">
      <c r="F3173" s="23"/>
    </row>
    <row r="3174">
      <c r="F3174" s="23"/>
    </row>
    <row r="3175">
      <c r="F3175" s="23"/>
    </row>
    <row r="3176">
      <c r="F3176" s="23"/>
    </row>
    <row r="3177">
      <c r="F3177" s="23"/>
    </row>
    <row r="3178">
      <c r="F3178" s="23"/>
    </row>
    <row r="3179">
      <c r="F3179" s="23"/>
    </row>
    <row r="3180">
      <c r="F3180" s="23"/>
    </row>
    <row r="3181">
      <c r="F3181" s="23"/>
    </row>
    <row r="3182">
      <c r="F3182" s="23"/>
    </row>
    <row r="3183">
      <c r="F3183" s="23"/>
    </row>
    <row r="3184">
      <c r="F3184" s="23"/>
    </row>
    <row r="3185">
      <c r="F3185" s="23"/>
    </row>
    <row r="3186">
      <c r="F3186" s="23"/>
    </row>
    <row r="3187">
      <c r="F3187" s="23"/>
    </row>
    <row r="3188">
      <c r="F3188" s="23"/>
    </row>
    <row r="3189">
      <c r="F3189" s="23"/>
    </row>
    <row r="3190">
      <c r="F3190" s="23"/>
    </row>
    <row r="3191">
      <c r="F3191" s="23"/>
    </row>
    <row r="3192">
      <c r="F3192" s="23"/>
    </row>
    <row r="3193">
      <c r="F3193" s="23"/>
    </row>
    <row r="3194">
      <c r="F3194" s="23"/>
    </row>
    <row r="3195">
      <c r="F3195" s="23"/>
    </row>
    <row r="3196">
      <c r="F3196" s="23"/>
    </row>
    <row r="3197">
      <c r="F3197" s="23"/>
    </row>
    <row r="3198">
      <c r="F3198" s="23"/>
    </row>
    <row r="3199">
      <c r="F3199" s="23"/>
    </row>
    <row r="3200">
      <c r="F3200" s="23"/>
    </row>
    <row r="3201">
      <c r="F3201" s="23"/>
    </row>
    <row r="3202">
      <c r="F3202" s="23"/>
    </row>
    <row r="3203">
      <c r="F3203" s="23"/>
    </row>
    <row r="3204">
      <c r="F3204" s="23"/>
    </row>
    <row r="3205">
      <c r="F3205" s="23"/>
    </row>
    <row r="3206">
      <c r="F3206" s="23"/>
    </row>
    <row r="3207">
      <c r="F3207" s="23"/>
    </row>
    <row r="3208">
      <c r="F3208" s="23"/>
    </row>
    <row r="3209">
      <c r="F3209" s="23"/>
    </row>
    <row r="3210">
      <c r="F3210" s="23"/>
    </row>
    <row r="3211">
      <c r="F3211" s="23"/>
    </row>
    <row r="3212">
      <c r="F3212" s="23"/>
    </row>
    <row r="3213">
      <c r="F3213" s="23"/>
    </row>
    <row r="3214">
      <c r="F3214" s="23"/>
    </row>
    <row r="3215">
      <c r="F3215" s="23"/>
    </row>
    <row r="3216">
      <c r="F3216" s="23"/>
    </row>
    <row r="3217">
      <c r="F3217" s="23"/>
    </row>
    <row r="3218">
      <c r="F3218" s="23"/>
    </row>
    <row r="3219">
      <c r="F3219" s="23"/>
    </row>
    <row r="3220">
      <c r="F3220" s="23"/>
    </row>
    <row r="3221">
      <c r="F3221" s="23"/>
    </row>
    <row r="3222">
      <c r="F3222" s="23"/>
    </row>
    <row r="3223">
      <c r="F3223" s="23"/>
    </row>
    <row r="3224">
      <c r="F3224" s="23"/>
    </row>
    <row r="3225">
      <c r="F3225" s="23"/>
    </row>
    <row r="3226">
      <c r="F3226" s="23"/>
    </row>
    <row r="3227">
      <c r="F3227" s="23"/>
    </row>
    <row r="3228">
      <c r="F3228" s="23"/>
    </row>
    <row r="3229">
      <c r="F3229" s="23"/>
    </row>
    <row r="3230">
      <c r="F3230" s="23"/>
    </row>
    <row r="3231">
      <c r="F3231" s="23"/>
    </row>
    <row r="3232">
      <c r="F3232" s="23"/>
    </row>
    <row r="3233">
      <c r="F3233" s="23"/>
    </row>
    <row r="3234">
      <c r="F3234" s="23"/>
    </row>
    <row r="3235">
      <c r="F3235" s="23"/>
    </row>
    <row r="3236">
      <c r="F3236" s="23"/>
    </row>
    <row r="3237">
      <c r="F3237" s="23"/>
    </row>
    <row r="3238">
      <c r="F3238" s="23"/>
    </row>
    <row r="3239">
      <c r="F3239" s="23"/>
    </row>
    <row r="3240">
      <c r="F3240" s="23"/>
    </row>
    <row r="3241">
      <c r="F3241" s="23"/>
    </row>
    <row r="3242">
      <c r="F3242" s="23"/>
    </row>
    <row r="3243">
      <c r="F3243" s="23"/>
    </row>
    <row r="3244">
      <c r="F3244" s="23"/>
    </row>
    <row r="3245">
      <c r="F3245" s="23"/>
    </row>
    <row r="3246">
      <c r="F3246" s="23"/>
    </row>
    <row r="3247">
      <c r="F3247" s="23"/>
    </row>
    <row r="3248">
      <c r="F3248" s="23"/>
    </row>
    <row r="3249">
      <c r="F3249" s="23"/>
    </row>
    <row r="3250">
      <c r="F3250" s="23"/>
    </row>
    <row r="3251">
      <c r="F3251" s="23"/>
    </row>
    <row r="3252">
      <c r="F3252" s="23"/>
    </row>
    <row r="3253">
      <c r="F3253" s="23"/>
    </row>
    <row r="3254">
      <c r="F3254" s="23"/>
    </row>
    <row r="3255">
      <c r="F3255" s="23"/>
    </row>
    <row r="3256">
      <c r="F3256" s="23"/>
    </row>
    <row r="3257">
      <c r="F3257" s="23"/>
    </row>
    <row r="3258">
      <c r="F3258" s="23"/>
    </row>
    <row r="3259">
      <c r="F3259" s="23"/>
    </row>
    <row r="3260">
      <c r="F3260" s="23"/>
    </row>
    <row r="3261">
      <c r="F3261" s="23"/>
    </row>
    <row r="3262">
      <c r="F3262" s="23"/>
    </row>
    <row r="3263">
      <c r="F3263" s="23"/>
    </row>
    <row r="3264">
      <c r="F3264" s="23"/>
    </row>
    <row r="3265">
      <c r="F3265" s="23"/>
    </row>
    <row r="3266">
      <c r="F3266" s="23"/>
    </row>
    <row r="3267">
      <c r="F3267" s="23"/>
    </row>
    <row r="3268">
      <c r="F3268" s="23"/>
    </row>
    <row r="3269">
      <c r="F3269" s="23"/>
    </row>
    <row r="3270">
      <c r="F3270" s="23"/>
    </row>
    <row r="3271">
      <c r="F3271" s="23"/>
    </row>
    <row r="3272">
      <c r="F3272" s="23"/>
    </row>
    <row r="3273">
      <c r="F3273" s="23"/>
    </row>
    <row r="3274">
      <c r="F3274" s="23"/>
    </row>
    <row r="3275">
      <c r="F3275" s="23"/>
    </row>
    <row r="3276">
      <c r="F3276" s="23"/>
    </row>
    <row r="3277">
      <c r="F3277" s="23"/>
    </row>
    <row r="3278">
      <c r="F3278" s="23"/>
    </row>
    <row r="3279">
      <c r="F3279" s="23"/>
    </row>
    <row r="3280">
      <c r="F3280" s="23"/>
    </row>
    <row r="3281">
      <c r="F3281" s="23"/>
    </row>
    <row r="3282">
      <c r="F3282" s="23"/>
    </row>
    <row r="3283">
      <c r="F3283" s="23"/>
    </row>
    <row r="3284">
      <c r="F3284" s="23"/>
    </row>
    <row r="3285">
      <c r="F3285" s="23"/>
    </row>
    <row r="3286">
      <c r="F3286" s="23"/>
    </row>
    <row r="3287">
      <c r="F3287" s="23"/>
    </row>
    <row r="3288">
      <c r="F3288" s="23"/>
    </row>
    <row r="3289">
      <c r="F3289" s="23"/>
    </row>
    <row r="3290">
      <c r="F3290" s="23"/>
    </row>
    <row r="3291">
      <c r="F3291" s="23"/>
    </row>
    <row r="3292">
      <c r="F3292" s="23"/>
    </row>
    <row r="3293">
      <c r="F3293" s="23"/>
    </row>
    <row r="3294">
      <c r="F3294" s="23"/>
    </row>
    <row r="3295">
      <c r="F3295" s="23"/>
    </row>
    <row r="3296">
      <c r="F3296" s="23"/>
    </row>
    <row r="3297">
      <c r="F3297" s="23"/>
    </row>
    <row r="3298">
      <c r="F3298" s="23"/>
    </row>
    <row r="3299">
      <c r="F3299" s="23"/>
    </row>
    <row r="3300">
      <c r="F3300" s="23"/>
    </row>
    <row r="3301">
      <c r="F3301" s="23"/>
    </row>
    <row r="3302">
      <c r="F3302" s="23"/>
    </row>
    <row r="3303">
      <c r="F3303" s="23"/>
    </row>
    <row r="3304">
      <c r="F3304" s="23"/>
    </row>
    <row r="3305">
      <c r="F3305" s="23"/>
    </row>
    <row r="3306">
      <c r="F3306" s="23"/>
    </row>
    <row r="3307">
      <c r="F3307" s="23"/>
    </row>
    <row r="3308">
      <c r="F3308" s="23"/>
    </row>
    <row r="3309">
      <c r="F3309" s="23"/>
    </row>
    <row r="3310">
      <c r="F3310" s="23"/>
    </row>
    <row r="3311">
      <c r="F3311" s="23"/>
    </row>
    <row r="3312">
      <c r="F3312" s="23"/>
    </row>
    <row r="3313">
      <c r="F3313" s="23"/>
    </row>
    <row r="3314">
      <c r="F3314" s="23"/>
    </row>
    <row r="3315">
      <c r="F3315" s="23"/>
    </row>
    <row r="3316">
      <c r="F3316" s="23"/>
    </row>
    <row r="3317">
      <c r="F3317" s="23"/>
    </row>
    <row r="3318">
      <c r="F3318" s="23"/>
    </row>
    <row r="3319">
      <c r="F3319" s="23"/>
    </row>
    <row r="3320">
      <c r="F3320" s="23"/>
    </row>
    <row r="3321">
      <c r="F3321" s="23"/>
    </row>
    <row r="3322">
      <c r="F3322" s="23"/>
    </row>
    <row r="3323">
      <c r="F3323" s="23"/>
    </row>
    <row r="3324">
      <c r="F3324" s="23"/>
    </row>
    <row r="3325">
      <c r="F3325" s="23"/>
    </row>
    <row r="3326">
      <c r="F3326" s="23"/>
    </row>
    <row r="3327">
      <c r="F3327" s="23"/>
    </row>
    <row r="3328">
      <c r="F3328" s="23"/>
    </row>
    <row r="3329">
      <c r="F3329" s="23"/>
    </row>
    <row r="3330">
      <c r="F3330" s="23"/>
    </row>
    <row r="3331">
      <c r="F3331" s="23"/>
    </row>
    <row r="3332">
      <c r="F3332" s="23"/>
    </row>
    <row r="3333">
      <c r="F3333" s="23"/>
    </row>
    <row r="3334">
      <c r="F3334" s="23"/>
    </row>
    <row r="3335">
      <c r="F3335" s="23"/>
    </row>
    <row r="3336">
      <c r="F3336" s="23"/>
    </row>
    <row r="3337">
      <c r="F3337" s="23"/>
    </row>
    <row r="3338">
      <c r="F3338" s="23"/>
    </row>
    <row r="3339">
      <c r="F3339" s="23"/>
    </row>
    <row r="3340">
      <c r="F3340" s="23"/>
    </row>
    <row r="3341">
      <c r="F3341" s="23"/>
    </row>
    <row r="3342">
      <c r="F3342" s="23"/>
    </row>
    <row r="3343">
      <c r="F3343" s="23"/>
    </row>
    <row r="3344">
      <c r="F3344" s="23"/>
    </row>
    <row r="3345">
      <c r="F3345" s="23"/>
    </row>
    <row r="3346">
      <c r="F3346" s="23"/>
    </row>
    <row r="3347">
      <c r="F3347" s="23"/>
    </row>
    <row r="3348">
      <c r="F3348" s="23"/>
    </row>
    <row r="3349">
      <c r="F3349" s="23"/>
    </row>
    <row r="3350">
      <c r="F3350" s="23"/>
    </row>
    <row r="3351">
      <c r="F3351" s="23"/>
    </row>
    <row r="3352">
      <c r="F3352" s="23"/>
    </row>
    <row r="3353">
      <c r="F3353" s="23"/>
    </row>
    <row r="3354">
      <c r="F3354" s="23"/>
    </row>
    <row r="3355">
      <c r="F3355" s="23"/>
    </row>
    <row r="3356">
      <c r="F3356" s="23"/>
    </row>
    <row r="3357">
      <c r="F3357" s="23"/>
    </row>
    <row r="3358">
      <c r="F3358" s="23"/>
    </row>
    <row r="3359">
      <c r="F3359" s="23"/>
    </row>
    <row r="3360">
      <c r="F3360" s="23"/>
    </row>
    <row r="3361">
      <c r="F3361" s="23"/>
    </row>
    <row r="3362">
      <c r="F3362" s="23"/>
    </row>
    <row r="3363">
      <c r="F3363" s="23"/>
    </row>
    <row r="3364">
      <c r="F3364" s="2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8.29"/>
    <col customWidth="1" min="2" max="2" width="13.29"/>
    <col customWidth="1" min="3" max="3" width="9.0"/>
    <col customWidth="1" min="4" max="4" width="7.14"/>
  </cols>
  <sheetData>
    <row r="1">
      <c r="A1" s="2" t="s">
        <v>1</v>
      </c>
      <c r="B1" s="2" t="s">
        <v>3</v>
      </c>
      <c r="C1" s="2" t="s">
        <v>2641</v>
      </c>
      <c r="D1" s="26" t="s">
        <v>2642</v>
      </c>
    </row>
    <row r="2">
      <c r="A2" s="8" t="s">
        <v>1068</v>
      </c>
      <c r="B2" s="8" t="s">
        <v>1069</v>
      </c>
      <c r="C2" s="18" t="s">
        <v>2554</v>
      </c>
      <c r="D2" s="16">
        <v>76.0</v>
      </c>
    </row>
    <row r="3">
      <c r="A3" s="8" t="s">
        <v>2643</v>
      </c>
      <c r="B3" s="8" t="s">
        <v>41</v>
      </c>
      <c r="C3" s="18" t="s">
        <v>2605</v>
      </c>
      <c r="D3" s="16">
        <v>70.0</v>
      </c>
    </row>
    <row r="4">
      <c r="A4" s="8" t="s">
        <v>2644</v>
      </c>
      <c r="B4" s="8" t="s">
        <v>892</v>
      </c>
      <c r="C4" s="18" t="s">
        <v>2645</v>
      </c>
      <c r="D4" s="16">
        <v>70.0</v>
      </c>
    </row>
    <row r="5">
      <c r="A5" s="8" t="s">
        <v>835</v>
      </c>
      <c r="B5" s="8" t="s">
        <v>55</v>
      </c>
      <c r="C5" s="18" t="s">
        <v>2566</v>
      </c>
      <c r="D5" s="16">
        <v>70.0</v>
      </c>
    </row>
    <row r="6">
      <c r="A6" s="8" t="s">
        <v>835</v>
      </c>
      <c r="B6" s="8" t="s">
        <v>1071</v>
      </c>
      <c r="C6" s="18" t="s">
        <v>2558</v>
      </c>
      <c r="D6" s="16">
        <v>84.0</v>
      </c>
    </row>
    <row r="7">
      <c r="A7" s="8" t="s">
        <v>835</v>
      </c>
      <c r="B7" s="8" t="s">
        <v>1402</v>
      </c>
      <c r="C7" s="18" t="s">
        <v>2560</v>
      </c>
      <c r="D7" s="16">
        <v>81.0</v>
      </c>
    </row>
    <row r="8">
      <c r="A8" s="8" t="s">
        <v>835</v>
      </c>
      <c r="B8" s="8" t="s">
        <v>1072</v>
      </c>
      <c r="C8" s="18" t="s">
        <v>2566</v>
      </c>
      <c r="D8" s="16">
        <v>68.0</v>
      </c>
    </row>
    <row r="9">
      <c r="A9" s="8" t="s">
        <v>835</v>
      </c>
      <c r="B9" s="8" t="s">
        <v>1680</v>
      </c>
      <c r="C9" s="18" t="s">
        <v>2577</v>
      </c>
      <c r="D9" s="16">
        <v>62.0</v>
      </c>
    </row>
    <row r="10">
      <c r="A10" s="8" t="s">
        <v>835</v>
      </c>
      <c r="B10" s="8" t="s">
        <v>176</v>
      </c>
      <c r="C10" s="18" t="s">
        <v>2567</v>
      </c>
      <c r="D10" s="16">
        <v>66.0</v>
      </c>
    </row>
    <row r="11">
      <c r="A11" s="8" t="s">
        <v>835</v>
      </c>
      <c r="B11" s="8" t="s">
        <v>183</v>
      </c>
      <c r="C11" s="18" t="s">
        <v>2574</v>
      </c>
      <c r="D11" s="16">
        <v>75.0</v>
      </c>
    </row>
    <row r="12">
      <c r="A12" s="8" t="s">
        <v>835</v>
      </c>
      <c r="B12" s="8" t="s">
        <v>1678</v>
      </c>
      <c r="C12" s="18" t="s">
        <v>2558</v>
      </c>
      <c r="D12" s="16">
        <v>68.0</v>
      </c>
    </row>
    <row r="13">
      <c r="A13" s="8" t="s">
        <v>457</v>
      </c>
      <c r="B13" s="8" t="s">
        <v>458</v>
      </c>
      <c r="C13" s="18" t="s">
        <v>2572</v>
      </c>
      <c r="D13" s="16">
        <v>80.0</v>
      </c>
    </row>
    <row r="14">
      <c r="A14" s="8" t="s">
        <v>235</v>
      </c>
      <c r="B14" s="8" t="s">
        <v>236</v>
      </c>
      <c r="C14" s="18" t="s">
        <v>2574</v>
      </c>
      <c r="D14" s="16">
        <v>75.0</v>
      </c>
    </row>
    <row r="15">
      <c r="A15" s="8" t="s">
        <v>1681</v>
      </c>
      <c r="B15" s="8" t="s">
        <v>900</v>
      </c>
      <c r="C15" s="18" t="s">
        <v>2575</v>
      </c>
      <c r="D15" s="16">
        <v>65.0</v>
      </c>
    </row>
    <row r="16">
      <c r="A16" s="8" t="s">
        <v>1073</v>
      </c>
      <c r="B16" s="8" t="s">
        <v>220</v>
      </c>
      <c r="C16" s="18" t="s">
        <v>2564</v>
      </c>
      <c r="D16" s="16">
        <v>81.0</v>
      </c>
    </row>
    <row r="17">
      <c r="A17" s="8" t="s">
        <v>1682</v>
      </c>
      <c r="B17" s="8" t="s">
        <v>1402</v>
      </c>
      <c r="C17" s="18" t="s">
        <v>2554</v>
      </c>
      <c r="D17" s="16">
        <v>71.0</v>
      </c>
    </row>
    <row r="18">
      <c r="A18" s="8" t="s">
        <v>2646</v>
      </c>
      <c r="B18" s="8" t="s">
        <v>2647</v>
      </c>
      <c r="C18" s="18" t="s">
        <v>2572</v>
      </c>
      <c r="D18" s="16">
        <v>75.0</v>
      </c>
    </row>
    <row r="19">
      <c r="A19" s="8" t="s">
        <v>1350</v>
      </c>
      <c r="B19" s="8" t="s">
        <v>1351</v>
      </c>
      <c r="C19" s="18" t="s">
        <v>2589</v>
      </c>
      <c r="D19" s="16">
        <v>62.0</v>
      </c>
    </row>
    <row r="20">
      <c r="A20" s="8" t="s">
        <v>2648</v>
      </c>
      <c r="B20" s="8" t="s">
        <v>2649</v>
      </c>
      <c r="C20" s="18" t="s">
        <v>2645</v>
      </c>
      <c r="D20" s="16">
        <v>61.0</v>
      </c>
    </row>
    <row r="21">
      <c r="A21" s="8" t="s">
        <v>632</v>
      </c>
      <c r="B21" s="8" t="s">
        <v>633</v>
      </c>
      <c r="C21" s="18" t="s">
        <v>2581</v>
      </c>
      <c r="D21" s="16">
        <v>68.0</v>
      </c>
    </row>
    <row r="22">
      <c r="A22" s="8" t="s">
        <v>2650</v>
      </c>
      <c r="B22" s="8" t="s">
        <v>2651</v>
      </c>
      <c r="C22" s="18" t="s">
        <v>2564</v>
      </c>
      <c r="D22" s="16">
        <v>83.0</v>
      </c>
    </row>
    <row r="23">
      <c r="A23" s="8" t="s">
        <v>838</v>
      </c>
      <c r="B23" s="8" t="s">
        <v>263</v>
      </c>
      <c r="C23" s="18" t="s">
        <v>2562</v>
      </c>
      <c r="D23" s="16">
        <v>71.0</v>
      </c>
    </row>
    <row r="24">
      <c r="A24" s="8" t="s">
        <v>2652</v>
      </c>
      <c r="B24" s="8" t="s">
        <v>2653</v>
      </c>
      <c r="C24" s="18" t="s">
        <v>2589</v>
      </c>
      <c r="D24" s="16">
        <v>63.0</v>
      </c>
    </row>
    <row r="25">
      <c r="A25" s="8" t="s">
        <v>57</v>
      </c>
      <c r="B25" s="18" t="s">
        <v>529</v>
      </c>
      <c r="C25" s="18" t="s">
        <v>2603</v>
      </c>
      <c r="D25" s="16">
        <v>72.0</v>
      </c>
    </row>
    <row r="26">
      <c r="A26" s="8" t="s">
        <v>57</v>
      </c>
      <c r="B26" s="8" t="s">
        <v>2300</v>
      </c>
      <c r="C26" s="18" t="s">
        <v>2558</v>
      </c>
      <c r="D26" s="16">
        <v>77.0</v>
      </c>
    </row>
    <row r="27">
      <c r="A27" s="8" t="s">
        <v>57</v>
      </c>
      <c r="B27" s="8" t="s">
        <v>2300</v>
      </c>
      <c r="C27" s="18" t="s">
        <v>2558</v>
      </c>
      <c r="D27" s="16">
        <v>87.0</v>
      </c>
    </row>
    <row r="28">
      <c r="A28" s="8" t="s">
        <v>57</v>
      </c>
      <c r="B28" s="8" t="s">
        <v>1354</v>
      </c>
      <c r="C28" s="18" t="s">
        <v>2592</v>
      </c>
      <c r="D28" s="16">
        <v>82.0</v>
      </c>
    </row>
    <row r="29">
      <c r="A29" s="8" t="s">
        <v>57</v>
      </c>
      <c r="B29" s="8" t="s">
        <v>58</v>
      </c>
      <c r="C29" s="18" t="s">
        <v>2587</v>
      </c>
      <c r="D29" s="16">
        <v>77.0</v>
      </c>
    </row>
    <row r="30">
      <c r="A30" s="8" t="s">
        <v>57</v>
      </c>
      <c r="B30" s="8" t="s">
        <v>1353</v>
      </c>
      <c r="C30" s="18" t="s">
        <v>2552</v>
      </c>
      <c r="D30" s="16">
        <v>70.0</v>
      </c>
    </row>
    <row r="31">
      <c r="A31" s="8" t="s">
        <v>57</v>
      </c>
      <c r="B31" s="8" t="s">
        <v>634</v>
      </c>
      <c r="C31" s="18" t="s">
        <v>2603</v>
      </c>
      <c r="D31" s="16">
        <v>74.0</v>
      </c>
    </row>
    <row r="32">
      <c r="A32" s="8" t="s">
        <v>57</v>
      </c>
      <c r="B32" s="8" t="s">
        <v>2654</v>
      </c>
      <c r="C32" s="18" t="s">
        <v>2556</v>
      </c>
      <c r="D32" s="16">
        <v>70.0</v>
      </c>
    </row>
    <row r="33">
      <c r="A33" s="8" t="s">
        <v>336</v>
      </c>
      <c r="B33" s="8" t="s">
        <v>337</v>
      </c>
      <c r="C33" s="18" t="s">
        <v>2598</v>
      </c>
      <c r="D33" s="16">
        <v>82.0</v>
      </c>
    </row>
    <row r="34">
      <c r="A34" s="8" t="s">
        <v>460</v>
      </c>
      <c r="B34" s="8" t="s">
        <v>479</v>
      </c>
      <c r="C34" s="18" t="s">
        <v>2592</v>
      </c>
      <c r="D34" s="16">
        <v>74.0</v>
      </c>
    </row>
    <row r="35">
      <c r="A35" s="8" t="s">
        <v>460</v>
      </c>
      <c r="B35" s="8" t="s">
        <v>121</v>
      </c>
      <c r="C35" s="18" t="s">
        <v>2593</v>
      </c>
      <c r="D35" s="16">
        <v>64.0</v>
      </c>
    </row>
    <row r="36">
      <c r="A36" s="8" t="s">
        <v>460</v>
      </c>
      <c r="B36" s="8" t="s">
        <v>157</v>
      </c>
      <c r="C36" s="18" t="s">
        <v>2577</v>
      </c>
      <c r="D36" s="16">
        <v>68.0</v>
      </c>
    </row>
    <row r="37">
      <c r="A37" s="8" t="s">
        <v>460</v>
      </c>
      <c r="B37" s="8" t="s">
        <v>157</v>
      </c>
      <c r="C37" s="18" t="s">
        <v>2593</v>
      </c>
      <c r="D37" s="16">
        <v>69.0</v>
      </c>
    </row>
    <row r="38">
      <c r="A38" s="8" t="s">
        <v>460</v>
      </c>
      <c r="B38" s="8" t="s">
        <v>198</v>
      </c>
      <c r="C38" s="18" t="s">
        <v>2581</v>
      </c>
      <c r="D38" s="16">
        <v>73.0</v>
      </c>
    </row>
    <row r="39">
      <c r="A39" s="8" t="s">
        <v>460</v>
      </c>
      <c r="B39" s="8" t="s">
        <v>273</v>
      </c>
      <c r="C39" s="18" t="s">
        <v>2600</v>
      </c>
      <c r="D39" s="16">
        <v>79.0</v>
      </c>
    </row>
    <row r="40">
      <c r="A40" s="8" t="s">
        <v>460</v>
      </c>
      <c r="B40" s="8" t="s">
        <v>635</v>
      </c>
      <c r="C40" s="18" t="s">
        <v>2575</v>
      </c>
      <c r="D40" s="16">
        <v>74.0</v>
      </c>
    </row>
    <row r="41">
      <c r="A41" s="8" t="s">
        <v>460</v>
      </c>
      <c r="B41" s="8" t="s">
        <v>712</v>
      </c>
      <c r="C41" s="18" t="s">
        <v>2562</v>
      </c>
      <c r="D41" s="16">
        <v>73.0</v>
      </c>
    </row>
    <row r="42">
      <c r="A42" s="8" t="s">
        <v>460</v>
      </c>
      <c r="B42" s="8" t="s">
        <v>842</v>
      </c>
      <c r="C42" s="18" t="s">
        <v>2582</v>
      </c>
      <c r="D42" s="16">
        <v>77.0</v>
      </c>
    </row>
    <row r="43">
      <c r="A43" s="8" t="s">
        <v>460</v>
      </c>
      <c r="B43" s="8" t="s">
        <v>301</v>
      </c>
      <c r="C43" s="18" t="s">
        <v>2589</v>
      </c>
      <c r="D43" s="16">
        <v>63.0</v>
      </c>
    </row>
    <row r="44">
      <c r="A44" s="8" t="s">
        <v>460</v>
      </c>
      <c r="B44" s="8" t="s">
        <v>301</v>
      </c>
      <c r="C44" s="18" t="s">
        <v>2587</v>
      </c>
      <c r="D44" s="16">
        <v>76.0</v>
      </c>
    </row>
    <row r="45">
      <c r="A45" s="8" t="s">
        <v>460</v>
      </c>
      <c r="B45" s="8" t="s">
        <v>839</v>
      </c>
      <c r="C45" s="18" t="s">
        <v>2572</v>
      </c>
      <c r="D45" s="16">
        <v>86.0</v>
      </c>
    </row>
    <row r="46">
      <c r="A46" s="8" t="s">
        <v>460</v>
      </c>
      <c r="B46" s="8" t="s">
        <v>247</v>
      </c>
      <c r="C46" s="18" t="s">
        <v>2577</v>
      </c>
      <c r="D46" s="16">
        <v>67.0</v>
      </c>
    </row>
    <row r="47">
      <c r="A47" s="8" t="s">
        <v>460</v>
      </c>
      <c r="B47" s="8" t="s">
        <v>2655</v>
      </c>
      <c r="C47" s="18" t="s">
        <v>2598</v>
      </c>
      <c r="D47" s="16">
        <v>80.0</v>
      </c>
    </row>
    <row r="48">
      <c r="A48" s="8" t="s">
        <v>460</v>
      </c>
      <c r="B48" s="8" t="s">
        <v>67</v>
      </c>
      <c r="C48" s="18" t="s">
        <v>2600</v>
      </c>
      <c r="D48" s="16">
        <v>79.0</v>
      </c>
    </row>
    <row r="49">
      <c r="A49" s="8" t="s">
        <v>1357</v>
      </c>
      <c r="B49" s="8" t="s">
        <v>1358</v>
      </c>
      <c r="C49" s="18" t="s">
        <v>2558</v>
      </c>
      <c r="D49" s="16">
        <v>72.0</v>
      </c>
    </row>
    <row r="50">
      <c r="A50" s="8" t="s">
        <v>461</v>
      </c>
      <c r="B50" s="8" t="s">
        <v>462</v>
      </c>
      <c r="C50" s="18" t="s">
        <v>2581</v>
      </c>
      <c r="D50" s="16">
        <v>73.0</v>
      </c>
    </row>
    <row r="51">
      <c r="A51" s="8" t="s">
        <v>187</v>
      </c>
      <c r="B51" s="8" t="s">
        <v>188</v>
      </c>
      <c r="C51" s="18" t="s">
        <v>2577</v>
      </c>
      <c r="D51" s="16">
        <v>73.0</v>
      </c>
    </row>
    <row r="52">
      <c r="A52" s="8" t="s">
        <v>2656</v>
      </c>
      <c r="B52" s="8" t="s">
        <v>2425</v>
      </c>
      <c r="C52" s="18" t="s">
        <v>2183</v>
      </c>
      <c r="D52" s="16">
        <v>74.0</v>
      </c>
    </row>
    <row r="53">
      <c r="A53" s="8" t="s">
        <v>133</v>
      </c>
      <c r="B53" s="8" t="s">
        <v>134</v>
      </c>
      <c r="C53" s="18" t="s">
        <v>2581</v>
      </c>
      <c r="D53" s="16">
        <v>80.0</v>
      </c>
    </row>
    <row r="54">
      <c r="A54" s="8" t="s">
        <v>841</v>
      </c>
      <c r="B54" s="8" t="s">
        <v>506</v>
      </c>
      <c r="C54" s="18" t="s">
        <v>2183</v>
      </c>
      <c r="D54" s="16">
        <v>78.0</v>
      </c>
    </row>
    <row r="55">
      <c r="A55" s="8" t="s">
        <v>1359</v>
      </c>
      <c r="B55" s="8" t="s">
        <v>1360</v>
      </c>
      <c r="C55" s="18" t="s">
        <v>2558</v>
      </c>
      <c r="D55" s="16">
        <v>70.0</v>
      </c>
    </row>
    <row r="56">
      <c r="A56" s="8" t="s">
        <v>1074</v>
      </c>
      <c r="B56" s="8" t="s">
        <v>127</v>
      </c>
      <c r="C56" s="18" t="s">
        <v>2605</v>
      </c>
      <c r="D56" s="16">
        <v>84.0</v>
      </c>
    </row>
    <row r="57">
      <c r="A57" s="8" t="s">
        <v>1074</v>
      </c>
      <c r="B57" s="8" t="s">
        <v>127</v>
      </c>
      <c r="C57" s="18" t="s">
        <v>2605</v>
      </c>
      <c r="D57" s="16">
        <v>89.0</v>
      </c>
    </row>
    <row r="58">
      <c r="A58" s="8" t="s">
        <v>339</v>
      </c>
      <c r="B58" s="8" t="s">
        <v>340</v>
      </c>
      <c r="C58" s="18" t="s">
        <v>2605</v>
      </c>
      <c r="D58" s="16">
        <v>78.0</v>
      </c>
    </row>
    <row r="59">
      <c r="A59" s="8" t="s">
        <v>636</v>
      </c>
      <c r="B59" s="18" t="s">
        <v>521</v>
      </c>
      <c r="C59" s="18" t="s">
        <v>2574</v>
      </c>
      <c r="D59" s="16">
        <v>81.0</v>
      </c>
    </row>
    <row r="60">
      <c r="A60" s="8" t="s">
        <v>636</v>
      </c>
      <c r="B60" s="8" t="s">
        <v>2657</v>
      </c>
      <c r="C60" s="18" t="s">
        <v>2567</v>
      </c>
      <c r="D60" s="16">
        <v>65.0</v>
      </c>
    </row>
    <row r="61">
      <c r="A61" s="8" t="s">
        <v>636</v>
      </c>
      <c r="B61" s="8" t="s">
        <v>637</v>
      </c>
      <c r="C61" s="18" t="s">
        <v>2560</v>
      </c>
      <c r="D61" s="16">
        <v>77.0</v>
      </c>
    </row>
    <row r="62">
      <c r="A62" s="8" t="s">
        <v>636</v>
      </c>
      <c r="B62" s="8" t="s">
        <v>842</v>
      </c>
      <c r="C62" s="18" t="s">
        <v>2605</v>
      </c>
      <c r="D62" s="16">
        <v>64.0</v>
      </c>
    </row>
    <row r="63">
      <c r="A63" s="8" t="s">
        <v>636</v>
      </c>
      <c r="B63" s="8" t="s">
        <v>1075</v>
      </c>
      <c r="C63" s="18" t="s">
        <v>2560</v>
      </c>
      <c r="D63" s="16">
        <v>80.0</v>
      </c>
    </row>
    <row r="64">
      <c r="A64" s="8" t="s">
        <v>636</v>
      </c>
      <c r="B64" s="8" t="s">
        <v>67</v>
      </c>
      <c r="C64" s="18" t="s">
        <v>2582</v>
      </c>
      <c r="D64" s="16">
        <v>75.0</v>
      </c>
    </row>
    <row r="65">
      <c r="A65" s="8" t="s">
        <v>636</v>
      </c>
      <c r="B65" s="8" t="s">
        <v>88</v>
      </c>
      <c r="C65" s="18" t="s">
        <v>2562</v>
      </c>
      <c r="D65" s="16">
        <v>71.0</v>
      </c>
    </row>
    <row r="66">
      <c r="A66" s="8" t="s">
        <v>636</v>
      </c>
      <c r="B66" s="8" t="s">
        <v>2102</v>
      </c>
      <c r="C66" s="18" t="s">
        <v>2620</v>
      </c>
      <c r="D66" s="16">
        <v>66.0</v>
      </c>
    </row>
    <row r="67">
      <c r="A67" s="8" t="s">
        <v>638</v>
      </c>
      <c r="B67" s="8" t="s">
        <v>506</v>
      </c>
      <c r="C67" s="18" t="s">
        <v>2600</v>
      </c>
      <c r="D67" s="16">
        <v>83.0</v>
      </c>
    </row>
    <row r="68">
      <c r="A68" s="8" t="s">
        <v>638</v>
      </c>
      <c r="B68" s="8" t="s">
        <v>301</v>
      </c>
      <c r="C68" s="18" t="s">
        <v>2552</v>
      </c>
      <c r="D68" s="16">
        <v>67.0</v>
      </c>
    </row>
    <row r="69">
      <c r="A69" s="8" t="s">
        <v>638</v>
      </c>
      <c r="B69" s="8" t="s">
        <v>471</v>
      </c>
      <c r="C69" s="18" t="s">
        <v>2575</v>
      </c>
      <c r="D69" s="16">
        <v>73.0</v>
      </c>
    </row>
    <row r="70">
      <c r="A70" s="8" t="s">
        <v>2658</v>
      </c>
      <c r="B70" s="8" t="s">
        <v>354</v>
      </c>
      <c r="C70" s="18" t="s">
        <v>2592</v>
      </c>
      <c r="D70" s="16">
        <v>83.0</v>
      </c>
    </row>
    <row r="71">
      <c r="A71" s="8" t="s">
        <v>341</v>
      </c>
      <c r="B71" s="8" t="s">
        <v>342</v>
      </c>
      <c r="C71" s="18" t="s">
        <v>2554</v>
      </c>
      <c r="D71" s="16">
        <v>80.0</v>
      </c>
    </row>
    <row r="72">
      <c r="A72" s="8" t="s">
        <v>212</v>
      </c>
      <c r="B72" s="8" t="s">
        <v>2659</v>
      </c>
      <c r="C72" s="18" t="s">
        <v>2581</v>
      </c>
      <c r="D72" s="16">
        <v>76.0</v>
      </c>
    </row>
    <row r="73">
      <c r="A73" s="8" t="s">
        <v>1683</v>
      </c>
      <c r="B73" s="8" t="s">
        <v>100</v>
      </c>
      <c r="C73" s="18" t="s">
        <v>2595</v>
      </c>
      <c r="D73" s="16">
        <v>77.0</v>
      </c>
    </row>
    <row r="74">
      <c r="A74" s="8" t="s">
        <v>1685</v>
      </c>
      <c r="B74" s="8" t="s">
        <v>713</v>
      </c>
      <c r="C74" s="18" t="s">
        <v>2582</v>
      </c>
      <c r="D74" s="16">
        <v>70.0</v>
      </c>
    </row>
    <row r="75">
      <c r="A75" s="8" t="s">
        <v>1684</v>
      </c>
      <c r="B75" s="8" t="s">
        <v>29</v>
      </c>
      <c r="C75" s="18" t="s">
        <v>2566</v>
      </c>
      <c r="D75" s="16">
        <v>71.0</v>
      </c>
    </row>
    <row r="76">
      <c r="A76" s="8" t="s">
        <v>1362</v>
      </c>
      <c r="B76" s="8" t="s">
        <v>100</v>
      </c>
      <c r="C76" s="18" t="s">
        <v>2574</v>
      </c>
      <c r="D76" s="16">
        <v>68.0</v>
      </c>
    </row>
    <row r="77">
      <c r="A77" s="8" t="s">
        <v>2660</v>
      </c>
      <c r="B77" s="8" t="s">
        <v>2661</v>
      </c>
      <c r="C77" s="18" t="s">
        <v>2566</v>
      </c>
      <c r="D77" s="16">
        <v>62.0</v>
      </c>
    </row>
    <row r="78">
      <c r="A78" s="8" t="s">
        <v>639</v>
      </c>
      <c r="B78" s="8" t="s">
        <v>1363</v>
      </c>
      <c r="C78" s="18" t="s">
        <v>2585</v>
      </c>
      <c r="D78" s="16">
        <v>77.0</v>
      </c>
    </row>
    <row r="79">
      <c r="A79" s="8" t="s">
        <v>639</v>
      </c>
      <c r="B79" s="8" t="s">
        <v>640</v>
      </c>
      <c r="C79" s="18" t="s">
        <v>2595</v>
      </c>
      <c r="D79" s="16">
        <v>80.0</v>
      </c>
    </row>
    <row r="80">
      <c r="A80" s="8" t="s">
        <v>641</v>
      </c>
      <c r="B80" s="8" t="s">
        <v>2035</v>
      </c>
      <c r="C80" s="18" t="s">
        <v>2581</v>
      </c>
      <c r="D80" s="16">
        <v>68.0</v>
      </c>
    </row>
    <row r="81">
      <c r="A81" s="8" t="s">
        <v>641</v>
      </c>
      <c r="B81" s="8" t="s">
        <v>642</v>
      </c>
      <c r="C81" s="18" t="s">
        <v>2566</v>
      </c>
      <c r="D81" s="16">
        <v>72.0</v>
      </c>
    </row>
    <row r="82">
      <c r="A82" s="8" t="s">
        <v>2662</v>
      </c>
      <c r="B82" s="8" t="s">
        <v>2306</v>
      </c>
      <c r="C82" s="18" t="s">
        <v>2614</v>
      </c>
      <c r="D82" s="16">
        <v>68.0</v>
      </c>
    </row>
    <row r="83">
      <c r="A83" s="8" t="s">
        <v>463</v>
      </c>
      <c r="B83" s="8" t="s">
        <v>52</v>
      </c>
      <c r="C83" s="18" t="s">
        <v>2574</v>
      </c>
      <c r="D83" s="16">
        <v>70.0</v>
      </c>
    </row>
    <row r="84">
      <c r="A84" s="8" t="s">
        <v>1364</v>
      </c>
      <c r="B84" s="8" t="s">
        <v>1365</v>
      </c>
      <c r="C84" s="18" t="s">
        <v>2552</v>
      </c>
      <c r="D84" s="16">
        <v>65.0</v>
      </c>
    </row>
    <row r="85">
      <c r="A85" s="8" t="s">
        <v>2663</v>
      </c>
      <c r="B85" s="8" t="s">
        <v>315</v>
      </c>
      <c r="C85" s="18" t="s">
        <v>2614</v>
      </c>
      <c r="D85" s="16">
        <v>63.0</v>
      </c>
    </row>
    <row r="86">
      <c r="A86" s="8" t="s">
        <v>2664</v>
      </c>
      <c r="B86" s="8" t="s">
        <v>1611</v>
      </c>
      <c r="C86" s="18" t="s">
        <v>2581</v>
      </c>
      <c r="D86" s="16">
        <v>72.0</v>
      </c>
    </row>
    <row r="87">
      <c r="A87" s="8" t="s">
        <v>1687</v>
      </c>
      <c r="B87" s="8" t="s">
        <v>505</v>
      </c>
      <c r="C87" s="18" t="s">
        <v>2556</v>
      </c>
      <c r="D87" s="16">
        <v>70.0</v>
      </c>
    </row>
    <row r="88">
      <c r="A88" s="8" t="s">
        <v>238</v>
      </c>
      <c r="B88" s="8" t="s">
        <v>239</v>
      </c>
      <c r="C88" s="18" t="s">
        <v>2610</v>
      </c>
      <c r="D88" s="16">
        <v>86.0</v>
      </c>
    </row>
    <row r="89">
      <c r="A89" s="8" t="s">
        <v>238</v>
      </c>
      <c r="B89" s="8" t="s">
        <v>239</v>
      </c>
      <c r="C89" s="18" t="s">
        <v>2610</v>
      </c>
      <c r="D89" s="16">
        <v>89.0</v>
      </c>
    </row>
    <row r="90">
      <c r="A90" s="8" t="s">
        <v>1076</v>
      </c>
      <c r="B90" s="8" t="s">
        <v>798</v>
      </c>
      <c r="C90" s="18" t="s">
        <v>2585</v>
      </c>
      <c r="D90" s="16">
        <v>73.0</v>
      </c>
    </row>
    <row r="91">
      <c r="A91" s="8" t="s">
        <v>1077</v>
      </c>
      <c r="B91" s="8" t="s">
        <v>1078</v>
      </c>
      <c r="C91" s="18" t="s">
        <v>2592</v>
      </c>
      <c r="D91" s="16">
        <v>63.0</v>
      </c>
    </row>
    <row r="92">
      <c r="A92" s="8" t="s">
        <v>464</v>
      </c>
      <c r="B92" s="8" t="s">
        <v>465</v>
      </c>
      <c r="C92" s="18" t="s">
        <v>2614</v>
      </c>
      <c r="D92" s="16">
        <v>72.0</v>
      </c>
    </row>
    <row r="93">
      <c r="A93" s="8" t="s">
        <v>466</v>
      </c>
      <c r="B93" s="8" t="s">
        <v>467</v>
      </c>
      <c r="C93" s="18" t="s">
        <v>2567</v>
      </c>
      <c r="D93" s="16">
        <v>73.0</v>
      </c>
    </row>
    <row r="94">
      <c r="A94" s="8" t="s">
        <v>1688</v>
      </c>
      <c r="B94" s="8" t="s">
        <v>212</v>
      </c>
      <c r="C94" s="18" t="s">
        <v>2575</v>
      </c>
      <c r="D94" s="16">
        <v>70.0</v>
      </c>
    </row>
    <row r="95">
      <c r="A95" s="8" t="s">
        <v>1063</v>
      </c>
      <c r="B95" s="8" t="s">
        <v>1689</v>
      </c>
      <c r="C95" s="18" t="s">
        <v>2615</v>
      </c>
      <c r="D95" s="16">
        <v>68.0</v>
      </c>
    </row>
    <row r="96">
      <c r="A96" s="8" t="s">
        <v>2665</v>
      </c>
      <c r="B96" s="8" t="s">
        <v>2666</v>
      </c>
      <c r="C96" s="18" t="s">
        <v>2645</v>
      </c>
      <c r="D96" s="16">
        <v>61.0</v>
      </c>
    </row>
    <row r="97">
      <c r="A97" s="8" t="s">
        <v>1690</v>
      </c>
      <c r="B97" s="8" t="s">
        <v>1691</v>
      </c>
      <c r="C97" s="18" t="s">
        <v>2614</v>
      </c>
      <c r="D97" s="16">
        <v>79.0</v>
      </c>
    </row>
    <row r="98">
      <c r="A98" s="8" t="s">
        <v>2667</v>
      </c>
      <c r="B98" s="8" t="s">
        <v>964</v>
      </c>
      <c r="C98" s="18" t="s">
        <v>2605</v>
      </c>
      <c r="D98" s="16">
        <v>63.0</v>
      </c>
    </row>
    <row r="99">
      <c r="A99" s="8" t="s">
        <v>2668</v>
      </c>
      <c r="B99" s="8" t="s">
        <v>337</v>
      </c>
      <c r="C99" s="18" t="s">
        <v>2645</v>
      </c>
      <c r="D99" s="16">
        <v>61.0</v>
      </c>
    </row>
    <row r="100">
      <c r="A100" s="8" t="s">
        <v>468</v>
      </c>
      <c r="B100" s="8" t="s">
        <v>389</v>
      </c>
      <c r="C100" s="18" t="s">
        <v>2562</v>
      </c>
      <c r="D100" s="16">
        <v>71.0</v>
      </c>
    </row>
    <row r="101">
      <c r="A101" s="8" t="s">
        <v>240</v>
      </c>
      <c r="B101" s="8" t="s">
        <v>460</v>
      </c>
      <c r="C101" s="18" t="s">
        <v>2183</v>
      </c>
      <c r="D101" s="16">
        <v>75.0</v>
      </c>
    </row>
    <row r="102">
      <c r="A102" s="8" t="s">
        <v>240</v>
      </c>
      <c r="B102" s="8" t="s">
        <v>2669</v>
      </c>
      <c r="C102" s="18" t="s">
        <v>2582</v>
      </c>
      <c r="D102" s="16">
        <v>84.0</v>
      </c>
    </row>
    <row r="103">
      <c r="A103" s="8" t="s">
        <v>240</v>
      </c>
      <c r="B103" s="8" t="s">
        <v>2669</v>
      </c>
      <c r="C103" s="18" t="s">
        <v>2620</v>
      </c>
      <c r="D103" s="16">
        <v>83.0</v>
      </c>
    </row>
    <row r="104">
      <c r="A104" s="8" t="s">
        <v>240</v>
      </c>
      <c r="B104" s="8" t="s">
        <v>2669</v>
      </c>
      <c r="C104" s="18" t="s">
        <v>2620</v>
      </c>
      <c r="D104" s="16">
        <v>85.0</v>
      </c>
    </row>
    <row r="105">
      <c r="A105" s="8" t="s">
        <v>240</v>
      </c>
      <c r="B105" s="8" t="s">
        <v>2669</v>
      </c>
      <c r="C105" s="18" t="s">
        <v>2620</v>
      </c>
      <c r="D105" s="16">
        <v>91.0</v>
      </c>
    </row>
    <row r="106">
      <c r="A106" s="8" t="s">
        <v>240</v>
      </c>
      <c r="B106" s="8" t="s">
        <v>2669</v>
      </c>
      <c r="C106" s="18" t="s">
        <v>2620</v>
      </c>
      <c r="D106" s="16">
        <v>89.0</v>
      </c>
    </row>
    <row r="107">
      <c r="A107" s="8" t="s">
        <v>240</v>
      </c>
      <c r="B107" s="8" t="s">
        <v>2669</v>
      </c>
      <c r="C107" s="18" t="s">
        <v>2582</v>
      </c>
      <c r="D107" s="16">
        <v>87.0</v>
      </c>
    </row>
    <row r="108">
      <c r="A108" s="8" t="s">
        <v>240</v>
      </c>
      <c r="B108" s="8" t="s">
        <v>241</v>
      </c>
      <c r="C108" s="18" t="s">
        <v>2614</v>
      </c>
      <c r="D108" s="16">
        <v>79.0</v>
      </c>
    </row>
    <row r="109">
      <c r="A109" s="8" t="s">
        <v>1891</v>
      </c>
      <c r="B109" s="8" t="s">
        <v>2037</v>
      </c>
      <c r="C109" s="18" t="s">
        <v>2589</v>
      </c>
      <c r="D109" s="16">
        <v>77.0</v>
      </c>
    </row>
    <row r="110">
      <c r="A110" s="8" t="s">
        <v>1891</v>
      </c>
      <c r="B110" s="8" t="s">
        <v>275</v>
      </c>
      <c r="C110" s="18" t="s">
        <v>2610</v>
      </c>
      <c r="D110" s="16">
        <v>75.0</v>
      </c>
    </row>
    <row r="111">
      <c r="A111" s="8" t="s">
        <v>1891</v>
      </c>
      <c r="B111" s="8" t="s">
        <v>665</v>
      </c>
      <c r="C111" s="18" t="s">
        <v>2581</v>
      </c>
      <c r="D111" s="16">
        <v>71.0</v>
      </c>
    </row>
    <row r="112">
      <c r="A112" s="8" t="s">
        <v>843</v>
      </c>
      <c r="B112" s="8" t="s">
        <v>506</v>
      </c>
      <c r="C112" s="18" t="s">
        <v>2558</v>
      </c>
      <c r="D112" s="16">
        <v>91.0</v>
      </c>
    </row>
    <row r="113">
      <c r="A113" s="8" t="s">
        <v>843</v>
      </c>
      <c r="B113" s="8" t="s">
        <v>506</v>
      </c>
      <c r="C113" s="18" t="s">
        <v>2558</v>
      </c>
      <c r="D113" s="16">
        <v>86.0</v>
      </c>
    </row>
    <row r="114">
      <c r="A114" s="8" t="s">
        <v>2670</v>
      </c>
      <c r="B114" s="8" t="s">
        <v>100</v>
      </c>
      <c r="C114" s="18" t="s">
        <v>2582</v>
      </c>
      <c r="D114" s="16">
        <v>65.0</v>
      </c>
    </row>
    <row r="115">
      <c r="A115" s="8" t="s">
        <v>2671</v>
      </c>
      <c r="B115" s="8" t="s">
        <v>397</v>
      </c>
      <c r="C115" s="18" t="s">
        <v>2603</v>
      </c>
      <c r="D115" s="16">
        <v>85.0</v>
      </c>
    </row>
    <row r="116">
      <c r="A116" s="8" t="s">
        <v>2671</v>
      </c>
      <c r="B116" s="8" t="s">
        <v>397</v>
      </c>
      <c r="C116" s="18" t="s">
        <v>2603</v>
      </c>
      <c r="D116" s="16">
        <v>88.0</v>
      </c>
    </row>
    <row r="117">
      <c r="A117" s="8" t="s">
        <v>2038</v>
      </c>
      <c r="B117" s="8" t="s">
        <v>2039</v>
      </c>
      <c r="C117" s="18" t="s">
        <v>2581</v>
      </c>
      <c r="D117" s="16">
        <v>74.0</v>
      </c>
    </row>
    <row r="118">
      <c r="A118" s="8" t="s">
        <v>469</v>
      </c>
      <c r="B118" s="8" t="s">
        <v>275</v>
      </c>
      <c r="C118" s="18" t="s">
        <v>2595</v>
      </c>
      <c r="D118" s="16">
        <v>69.0</v>
      </c>
    </row>
    <row r="119">
      <c r="A119" s="8" t="s">
        <v>1366</v>
      </c>
      <c r="B119" s="8" t="s">
        <v>480</v>
      </c>
      <c r="C119" s="18" t="s">
        <v>2574</v>
      </c>
      <c r="D119" s="16">
        <v>60.0</v>
      </c>
    </row>
    <row r="120">
      <c r="A120" s="8" t="s">
        <v>1367</v>
      </c>
      <c r="B120" s="8" t="s">
        <v>1368</v>
      </c>
      <c r="C120" s="18" t="s">
        <v>2592</v>
      </c>
      <c r="D120" s="16">
        <v>72.0</v>
      </c>
    </row>
    <row r="121">
      <c r="A121" s="8" t="s">
        <v>643</v>
      </c>
      <c r="B121" s="8" t="s">
        <v>33</v>
      </c>
      <c r="C121" s="18" t="s">
        <v>2610</v>
      </c>
      <c r="D121" s="16">
        <v>71.0</v>
      </c>
    </row>
    <row r="122">
      <c r="A122" s="8" t="s">
        <v>643</v>
      </c>
      <c r="B122" s="8" t="s">
        <v>2309</v>
      </c>
      <c r="C122" s="18" t="s">
        <v>2566</v>
      </c>
      <c r="D122" s="16">
        <v>79.0</v>
      </c>
    </row>
    <row r="123">
      <c r="A123" s="8" t="s">
        <v>2672</v>
      </c>
      <c r="B123" s="8" t="s">
        <v>102</v>
      </c>
      <c r="C123" s="18" t="s">
        <v>2572</v>
      </c>
      <c r="D123" s="16">
        <v>76.0</v>
      </c>
    </row>
    <row r="124">
      <c r="A124" s="8" t="s">
        <v>344</v>
      </c>
      <c r="B124" s="8" t="s">
        <v>345</v>
      </c>
      <c r="C124" s="18" t="s">
        <v>2574</v>
      </c>
      <c r="D124" s="16">
        <v>70.0</v>
      </c>
    </row>
    <row r="125">
      <c r="A125" s="8" t="s">
        <v>2310</v>
      </c>
      <c r="B125" s="8" t="s">
        <v>2673</v>
      </c>
      <c r="C125" s="18" t="s">
        <v>2582</v>
      </c>
      <c r="D125" s="16">
        <v>62.0</v>
      </c>
    </row>
    <row r="126">
      <c r="A126" s="8" t="s">
        <v>2042</v>
      </c>
      <c r="B126" s="8" t="s">
        <v>493</v>
      </c>
      <c r="C126" s="18" t="s">
        <v>2564</v>
      </c>
      <c r="D126" s="16">
        <v>78.0</v>
      </c>
    </row>
    <row r="127">
      <c r="A127" s="8" t="s">
        <v>844</v>
      </c>
      <c r="B127" s="8" t="s">
        <v>212</v>
      </c>
      <c r="C127" s="18" t="s">
        <v>2552</v>
      </c>
      <c r="D127" s="16">
        <v>84.0</v>
      </c>
    </row>
    <row r="128">
      <c r="A128" s="8" t="s">
        <v>1079</v>
      </c>
      <c r="B128" s="8" t="s">
        <v>100</v>
      </c>
      <c r="C128" s="18" t="s">
        <v>2554</v>
      </c>
      <c r="D128" s="16">
        <v>65.0</v>
      </c>
    </row>
    <row r="129">
      <c r="A129" s="8" t="s">
        <v>1079</v>
      </c>
      <c r="B129" s="8" t="s">
        <v>1080</v>
      </c>
      <c r="C129" s="18" t="s">
        <v>2620</v>
      </c>
      <c r="D129" s="16">
        <v>79.0</v>
      </c>
    </row>
    <row r="130">
      <c r="A130" s="8" t="s">
        <v>470</v>
      </c>
      <c r="B130" s="8" t="s">
        <v>471</v>
      </c>
      <c r="C130" s="18" t="s">
        <v>2593</v>
      </c>
      <c r="D130" s="16">
        <v>80.0</v>
      </c>
    </row>
    <row r="131">
      <c r="A131" s="8" t="s">
        <v>2674</v>
      </c>
      <c r="B131" s="8" t="s">
        <v>1131</v>
      </c>
      <c r="C131" s="18" t="s">
        <v>2645</v>
      </c>
      <c r="D131" s="16">
        <v>79.0</v>
      </c>
    </row>
    <row r="132">
      <c r="A132" s="8" t="s">
        <v>1369</v>
      </c>
      <c r="B132" s="8" t="s">
        <v>1370</v>
      </c>
      <c r="C132" s="18" t="s">
        <v>2567</v>
      </c>
      <c r="D132" s="16">
        <v>71.0</v>
      </c>
    </row>
    <row r="133">
      <c r="A133" s="8" t="s">
        <v>2675</v>
      </c>
      <c r="B133" s="8" t="s">
        <v>506</v>
      </c>
      <c r="C133" s="18" t="s">
        <v>2560</v>
      </c>
      <c r="D133" s="16">
        <v>77.0</v>
      </c>
    </row>
    <row r="134">
      <c r="A134" s="8" t="s">
        <v>644</v>
      </c>
      <c r="B134" s="8" t="s">
        <v>645</v>
      </c>
      <c r="C134" s="18" t="s">
        <v>2621</v>
      </c>
      <c r="D134" s="16">
        <v>71.0</v>
      </c>
    </row>
    <row r="135">
      <c r="A135" s="8" t="s">
        <v>2676</v>
      </c>
      <c r="B135" s="8" t="s">
        <v>2311</v>
      </c>
      <c r="C135" s="18" t="s">
        <v>2610</v>
      </c>
      <c r="D135" s="16">
        <v>74.0</v>
      </c>
    </row>
    <row r="136">
      <c r="A136" s="8" t="s">
        <v>2677</v>
      </c>
      <c r="B136" s="8" t="s">
        <v>948</v>
      </c>
      <c r="C136" s="18" t="s">
        <v>2603</v>
      </c>
      <c r="D136" s="16">
        <v>69.0</v>
      </c>
    </row>
    <row r="137">
      <c r="A137" s="8" t="s">
        <v>1081</v>
      </c>
      <c r="B137" s="18" t="s">
        <v>1082</v>
      </c>
      <c r="C137" s="18" t="s">
        <v>2564</v>
      </c>
      <c r="D137" s="16">
        <v>64.0</v>
      </c>
    </row>
    <row r="138">
      <c r="A138" s="8" t="s">
        <v>2045</v>
      </c>
      <c r="B138" s="8" t="s">
        <v>231</v>
      </c>
      <c r="C138" s="18" t="s">
        <v>2554</v>
      </c>
      <c r="D138" s="16">
        <v>72.0</v>
      </c>
    </row>
    <row r="139">
      <c r="A139" s="8" t="s">
        <v>1371</v>
      </c>
      <c r="B139" s="8" t="s">
        <v>177</v>
      </c>
      <c r="C139" s="18" t="s">
        <v>2574</v>
      </c>
      <c r="D139" s="16">
        <v>65.0</v>
      </c>
    </row>
    <row r="140">
      <c r="A140" s="8" t="s">
        <v>346</v>
      </c>
      <c r="B140" s="8" t="s">
        <v>347</v>
      </c>
      <c r="C140" s="18" t="s">
        <v>2560</v>
      </c>
      <c r="D140" s="16">
        <v>77.0</v>
      </c>
    </row>
    <row r="141">
      <c r="A141" s="8" t="s">
        <v>348</v>
      </c>
      <c r="B141" s="8" t="s">
        <v>349</v>
      </c>
      <c r="C141" s="18" t="s">
        <v>2614</v>
      </c>
      <c r="D141" s="16">
        <v>76.0</v>
      </c>
    </row>
    <row r="142">
      <c r="A142" s="8" t="s">
        <v>2678</v>
      </c>
      <c r="B142" s="8" t="s">
        <v>845</v>
      </c>
      <c r="C142" s="18" t="s">
        <v>2598</v>
      </c>
      <c r="D142" s="16">
        <v>78.0</v>
      </c>
    </row>
    <row r="143">
      <c r="A143" s="8" t="s">
        <v>1372</v>
      </c>
      <c r="B143" s="18" t="s">
        <v>521</v>
      </c>
      <c r="C143" s="18" t="s">
        <v>2585</v>
      </c>
      <c r="D143" s="16">
        <v>72.0</v>
      </c>
    </row>
    <row r="144">
      <c r="A144" s="8" t="s">
        <v>1373</v>
      </c>
      <c r="B144" s="8" t="s">
        <v>1317</v>
      </c>
      <c r="C144" s="18" t="s">
        <v>2603</v>
      </c>
      <c r="D144" s="16">
        <v>73.0</v>
      </c>
    </row>
    <row r="145">
      <c r="A145" s="8" t="s">
        <v>2679</v>
      </c>
      <c r="B145" s="8" t="s">
        <v>1084</v>
      </c>
      <c r="C145" s="18" t="s">
        <v>2566</v>
      </c>
      <c r="D145" s="16">
        <v>89.0</v>
      </c>
    </row>
    <row r="146">
      <c r="A146" s="8" t="s">
        <v>2679</v>
      </c>
      <c r="B146" s="8" t="s">
        <v>1084</v>
      </c>
      <c r="C146" s="18" t="s">
        <v>2566</v>
      </c>
      <c r="D146" s="16">
        <v>87.0</v>
      </c>
    </row>
    <row r="147">
      <c r="A147" s="8" t="s">
        <v>1695</v>
      </c>
      <c r="B147" s="8" t="s">
        <v>1696</v>
      </c>
      <c r="C147" s="18" t="s">
        <v>2592</v>
      </c>
      <c r="D147" s="16">
        <v>78.0</v>
      </c>
    </row>
    <row r="148">
      <c r="A148" s="8" t="s">
        <v>646</v>
      </c>
      <c r="B148" s="8" t="s">
        <v>647</v>
      </c>
      <c r="C148" s="18" t="s">
        <v>2552</v>
      </c>
      <c r="D148" s="16">
        <v>64.0</v>
      </c>
    </row>
    <row r="149">
      <c r="A149" s="8" t="s">
        <v>646</v>
      </c>
      <c r="B149" s="8" t="s">
        <v>121</v>
      </c>
      <c r="C149" s="18" t="s">
        <v>2610</v>
      </c>
      <c r="D149" s="16">
        <v>65.0</v>
      </c>
    </row>
    <row r="150">
      <c r="A150" s="8" t="s">
        <v>646</v>
      </c>
      <c r="B150" s="8" t="s">
        <v>333</v>
      </c>
      <c r="C150" s="18" t="s">
        <v>2620</v>
      </c>
      <c r="D150" s="16">
        <v>66.0</v>
      </c>
    </row>
    <row r="151">
      <c r="A151" s="8" t="s">
        <v>646</v>
      </c>
      <c r="B151" s="18" t="s">
        <v>846</v>
      </c>
      <c r="C151" s="18" t="s">
        <v>2577</v>
      </c>
      <c r="D151" s="16">
        <v>88.0</v>
      </c>
    </row>
    <row r="152">
      <c r="A152" s="8" t="s">
        <v>646</v>
      </c>
      <c r="B152" s="18" t="s">
        <v>846</v>
      </c>
      <c r="C152" s="18" t="s">
        <v>2577</v>
      </c>
      <c r="D152" s="16">
        <v>92.0</v>
      </c>
    </row>
    <row r="153">
      <c r="A153" s="8" t="s">
        <v>646</v>
      </c>
      <c r="B153" s="8" t="s">
        <v>1694</v>
      </c>
      <c r="C153" s="18" t="s">
        <v>2595</v>
      </c>
      <c r="D153" s="16">
        <v>74.0</v>
      </c>
    </row>
    <row r="154">
      <c r="A154" s="8" t="s">
        <v>350</v>
      </c>
      <c r="B154" s="8" t="s">
        <v>301</v>
      </c>
      <c r="C154" s="18" t="s">
        <v>2605</v>
      </c>
      <c r="D154" s="16">
        <v>73.0</v>
      </c>
    </row>
    <row r="155">
      <c r="A155" s="8" t="s">
        <v>2680</v>
      </c>
      <c r="B155" s="18" t="s">
        <v>912</v>
      </c>
      <c r="C155" s="18" t="s">
        <v>2615</v>
      </c>
      <c r="D155" s="16">
        <v>63.0</v>
      </c>
    </row>
    <row r="156">
      <c r="A156" s="8" t="s">
        <v>2681</v>
      </c>
      <c r="B156" s="8" t="s">
        <v>231</v>
      </c>
      <c r="C156" s="18" t="s">
        <v>2554</v>
      </c>
      <c r="D156" s="16">
        <v>75.0</v>
      </c>
    </row>
    <row r="157">
      <c r="A157" s="8" t="s">
        <v>1375</v>
      </c>
      <c r="B157" s="8" t="s">
        <v>1376</v>
      </c>
      <c r="C157" s="18" t="s">
        <v>2592</v>
      </c>
      <c r="D157" s="16">
        <v>65.0</v>
      </c>
    </row>
    <row r="158">
      <c r="A158" s="8" t="s">
        <v>35</v>
      </c>
      <c r="B158" s="8" t="s">
        <v>347</v>
      </c>
      <c r="C158" s="18" t="s">
        <v>2587</v>
      </c>
      <c r="D158" s="16">
        <v>81.0</v>
      </c>
    </row>
    <row r="159">
      <c r="A159" s="8" t="s">
        <v>35</v>
      </c>
      <c r="B159" s="8" t="s">
        <v>472</v>
      </c>
      <c r="C159" s="18" t="s">
        <v>2572</v>
      </c>
      <c r="D159" s="16">
        <v>77.0</v>
      </c>
    </row>
    <row r="160">
      <c r="A160" s="8" t="s">
        <v>136</v>
      </c>
      <c r="B160" s="8" t="s">
        <v>137</v>
      </c>
      <c r="C160" s="18" t="s">
        <v>2564</v>
      </c>
      <c r="D160" s="16">
        <v>83.0</v>
      </c>
    </row>
    <row r="161">
      <c r="A161" s="8" t="s">
        <v>136</v>
      </c>
      <c r="B161" s="8" t="s">
        <v>137</v>
      </c>
      <c r="C161" s="18" t="s">
        <v>2584</v>
      </c>
      <c r="D161" s="16">
        <v>66.0</v>
      </c>
    </row>
    <row r="162">
      <c r="A162" s="8" t="s">
        <v>2047</v>
      </c>
      <c r="B162" s="18" t="s">
        <v>2048</v>
      </c>
      <c r="C162" s="18" t="s">
        <v>2600</v>
      </c>
      <c r="D162" s="16">
        <v>70.0</v>
      </c>
    </row>
    <row r="163">
      <c r="A163" s="8" t="s">
        <v>2682</v>
      </c>
      <c r="B163" s="18" t="s">
        <v>2683</v>
      </c>
      <c r="C163" s="18" t="s">
        <v>2589</v>
      </c>
      <c r="D163" s="16">
        <v>71.0</v>
      </c>
    </row>
    <row r="164">
      <c r="A164" s="8" t="s">
        <v>139</v>
      </c>
      <c r="B164" s="8" t="s">
        <v>140</v>
      </c>
      <c r="C164" s="18" t="s">
        <v>2582</v>
      </c>
      <c r="D164" s="16">
        <v>67.0</v>
      </c>
    </row>
    <row r="165">
      <c r="A165" s="8" t="s">
        <v>2684</v>
      </c>
      <c r="B165" s="8" t="s">
        <v>2685</v>
      </c>
      <c r="C165" s="18" t="s">
        <v>2577</v>
      </c>
      <c r="D165" s="16">
        <v>65.0</v>
      </c>
    </row>
    <row r="166">
      <c r="A166" s="8" t="s">
        <v>847</v>
      </c>
      <c r="B166" s="8" t="s">
        <v>848</v>
      </c>
      <c r="C166" s="18" t="s">
        <v>2610</v>
      </c>
      <c r="D166" s="16">
        <v>77.0</v>
      </c>
    </row>
    <row r="167">
      <c r="A167" s="8" t="s">
        <v>2050</v>
      </c>
      <c r="B167" s="8" t="s">
        <v>1262</v>
      </c>
      <c r="C167" s="18" t="s">
        <v>2600</v>
      </c>
      <c r="D167" s="16">
        <v>70.0</v>
      </c>
    </row>
    <row r="168">
      <c r="A168" s="8" t="s">
        <v>648</v>
      </c>
      <c r="B168" s="8" t="s">
        <v>129</v>
      </c>
      <c r="C168" s="18" t="s">
        <v>2183</v>
      </c>
      <c r="D168" s="16">
        <v>87.0</v>
      </c>
    </row>
    <row r="169">
      <c r="A169" s="8" t="s">
        <v>648</v>
      </c>
      <c r="B169" s="8" t="s">
        <v>263</v>
      </c>
      <c r="C169" s="18" t="s">
        <v>2577</v>
      </c>
      <c r="D169" s="16">
        <v>79.0</v>
      </c>
    </row>
    <row r="170">
      <c r="A170" s="8" t="s">
        <v>81</v>
      </c>
      <c r="B170" s="8" t="s">
        <v>82</v>
      </c>
      <c r="C170" s="18" t="s">
        <v>2589</v>
      </c>
      <c r="D170" s="16">
        <v>79.0</v>
      </c>
    </row>
    <row r="171">
      <c r="A171" s="8" t="s">
        <v>473</v>
      </c>
      <c r="B171" s="8" t="s">
        <v>381</v>
      </c>
      <c r="C171" s="18" t="s">
        <v>2598</v>
      </c>
      <c r="D171" s="16">
        <v>74.0</v>
      </c>
    </row>
    <row r="172">
      <c r="A172" s="8" t="s">
        <v>1085</v>
      </c>
      <c r="B172" s="8" t="s">
        <v>1086</v>
      </c>
      <c r="C172" s="18" t="s">
        <v>2582</v>
      </c>
      <c r="D172" s="16">
        <v>70.0</v>
      </c>
    </row>
    <row r="173">
      <c r="A173" s="8" t="s">
        <v>1087</v>
      </c>
      <c r="B173" s="8" t="s">
        <v>619</v>
      </c>
      <c r="C173" s="18" t="s">
        <v>2558</v>
      </c>
      <c r="D173" s="16">
        <v>72.0</v>
      </c>
    </row>
    <row r="174">
      <c r="A174" s="8" t="s">
        <v>1700</v>
      </c>
      <c r="B174" s="8" t="s">
        <v>1701</v>
      </c>
      <c r="C174" s="18" t="s">
        <v>2620</v>
      </c>
      <c r="D174" s="16">
        <v>64.0</v>
      </c>
    </row>
    <row r="175">
      <c r="A175" s="8" t="s">
        <v>2686</v>
      </c>
      <c r="B175" s="8" t="s">
        <v>11</v>
      </c>
      <c r="C175" s="18" t="s">
        <v>2645</v>
      </c>
      <c r="D175" s="16">
        <v>68.0</v>
      </c>
    </row>
    <row r="176">
      <c r="A176" s="8" t="s">
        <v>1702</v>
      </c>
      <c r="B176" s="8" t="s">
        <v>55</v>
      </c>
      <c r="C176" s="18" t="s">
        <v>2610</v>
      </c>
      <c r="D176" s="16">
        <v>68.0</v>
      </c>
    </row>
    <row r="177">
      <c r="A177" s="8" t="s">
        <v>2687</v>
      </c>
      <c r="B177" s="8" t="s">
        <v>11</v>
      </c>
      <c r="C177" s="18" t="s">
        <v>2554</v>
      </c>
      <c r="D177" s="16">
        <v>67.0</v>
      </c>
    </row>
    <row r="178">
      <c r="A178" s="8" t="s">
        <v>849</v>
      </c>
      <c r="B178" s="8" t="s">
        <v>850</v>
      </c>
      <c r="C178" s="18" t="s">
        <v>2615</v>
      </c>
      <c r="D178" s="16">
        <v>88.0</v>
      </c>
    </row>
    <row r="179">
      <c r="A179" s="8" t="s">
        <v>849</v>
      </c>
      <c r="B179" s="8" t="s">
        <v>850</v>
      </c>
      <c r="C179" s="18" t="s">
        <v>2615</v>
      </c>
      <c r="D179" s="16">
        <v>82.0</v>
      </c>
    </row>
    <row r="180">
      <c r="A180" s="8" t="s">
        <v>1088</v>
      </c>
      <c r="B180" s="8" t="s">
        <v>1089</v>
      </c>
      <c r="C180" s="18" t="s">
        <v>2562</v>
      </c>
      <c r="D180" s="16">
        <v>65.0</v>
      </c>
    </row>
    <row r="181">
      <c r="A181" s="8" t="s">
        <v>2688</v>
      </c>
      <c r="B181" s="8" t="s">
        <v>1091</v>
      </c>
      <c r="C181" s="18" t="s">
        <v>2585</v>
      </c>
      <c r="D181" s="16">
        <v>71.0</v>
      </c>
    </row>
    <row r="182">
      <c r="A182" s="8" t="s">
        <v>2689</v>
      </c>
      <c r="B182" s="8" t="s">
        <v>2690</v>
      </c>
      <c r="C182" s="18" t="s">
        <v>2554</v>
      </c>
      <c r="D182" s="16">
        <v>81.0</v>
      </c>
    </row>
    <row r="183">
      <c r="A183" s="8" t="s">
        <v>649</v>
      </c>
      <c r="B183" s="8" t="s">
        <v>650</v>
      </c>
      <c r="C183" s="18" t="s">
        <v>2562</v>
      </c>
      <c r="D183" s="16">
        <v>71.0</v>
      </c>
    </row>
    <row r="184">
      <c r="A184" s="8" t="s">
        <v>851</v>
      </c>
      <c r="B184" s="8" t="s">
        <v>464</v>
      </c>
      <c r="C184" s="18" t="s">
        <v>2593</v>
      </c>
      <c r="D184" s="16">
        <v>65.0</v>
      </c>
    </row>
    <row r="185">
      <c r="A185" s="8" t="s">
        <v>1092</v>
      </c>
      <c r="B185" s="8" t="s">
        <v>1093</v>
      </c>
      <c r="C185" s="18" t="s">
        <v>2615</v>
      </c>
      <c r="D185" s="16">
        <v>79.0</v>
      </c>
    </row>
    <row r="186">
      <c r="A186" s="8" t="s">
        <v>852</v>
      </c>
      <c r="B186" s="8" t="s">
        <v>409</v>
      </c>
      <c r="C186" s="18" t="s">
        <v>2587</v>
      </c>
      <c r="D186" s="16">
        <v>74.0</v>
      </c>
    </row>
    <row r="187">
      <c r="A187" s="8" t="s">
        <v>1094</v>
      </c>
      <c r="B187" s="8" t="s">
        <v>177</v>
      </c>
      <c r="C187" s="18" t="s">
        <v>2589</v>
      </c>
      <c r="D187" s="16">
        <v>73.0</v>
      </c>
    </row>
    <row r="188">
      <c r="A188" s="8" t="s">
        <v>1377</v>
      </c>
      <c r="B188" s="8" t="s">
        <v>1378</v>
      </c>
      <c r="C188" s="18" t="s">
        <v>2610</v>
      </c>
      <c r="D188" s="16">
        <v>65.0</v>
      </c>
    </row>
    <row r="189">
      <c r="A189" s="8" t="s">
        <v>2691</v>
      </c>
      <c r="B189" s="8" t="s">
        <v>1986</v>
      </c>
      <c r="C189" s="18" t="s">
        <v>2584</v>
      </c>
      <c r="D189" s="16">
        <v>80.0</v>
      </c>
    </row>
    <row r="190">
      <c r="A190" s="8" t="s">
        <v>2691</v>
      </c>
      <c r="B190" s="8" t="s">
        <v>1986</v>
      </c>
      <c r="C190" s="18" t="s">
        <v>2584</v>
      </c>
      <c r="D190" s="16">
        <v>87.0</v>
      </c>
    </row>
    <row r="191">
      <c r="A191" s="8" t="s">
        <v>474</v>
      </c>
      <c r="B191" s="8" t="s">
        <v>121</v>
      </c>
      <c r="C191" s="18" t="s">
        <v>2600</v>
      </c>
      <c r="D191" s="16">
        <v>70.0</v>
      </c>
    </row>
    <row r="192">
      <c r="A192" s="8" t="s">
        <v>2692</v>
      </c>
      <c r="B192" s="8" t="s">
        <v>1598</v>
      </c>
      <c r="C192" s="18" t="s">
        <v>2585</v>
      </c>
      <c r="D192" s="16">
        <v>66.0</v>
      </c>
    </row>
    <row r="193">
      <c r="A193" s="8" t="s">
        <v>351</v>
      </c>
      <c r="B193" s="8" t="s">
        <v>352</v>
      </c>
      <c r="C193" s="18" t="s">
        <v>2610</v>
      </c>
      <c r="D193" s="16">
        <v>78.0</v>
      </c>
    </row>
    <row r="194">
      <c r="A194" s="8" t="s">
        <v>853</v>
      </c>
      <c r="B194" s="8" t="s">
        <v>854</v>
      </c>
      <c r="C194" s="18" t="s">
        <v>2620</v>
      </c>
      <c r="D194" s="16">
        <v>75.0</v>
      </c>
    </row>
    <row r="195">
      <c r="A195" s="8" t="s">
        <v>1095</v>
      </c>
      <c r="B195" s="8" t="s">
        <v>1096</v>
      </c>
      <c r="C195" s="18" t="s">
        <v>2592</v>
      </c>
      <c r="D195" s="16">
        <v>64.0</v>
      </c>
    </row>
    <row r="196">
      <c r="A196" s="8" t="s">
        <v>1095</v>
      </c>
      <c r="B196" s="8" t="s">
        <v>2693</v>
      </c>
      <c r="C196" s="18" t="s">
        <v>2567</v>
      </c>
      <c r="D196" s="16">
        <v>67.0</v>
      </c>
    </row>
    <row r="197">
      <c r="A197" s="8" t="s">
        <v>855</v>
      </c>
      <c r="B197" s="8" t="s">
        <v>856</v>
      </c>
      <c r="C197" s="18" t="s">
        <v>2620</v>
      </c>
      <c r="D197" s="16">
        <v>75.0</v>
      </c>
    </row>
    <row r="198">
      <c r="A198" s="8" t="s">
        <v>1705</v>
      </c>
      <c r="B198" s="8" t="s">
        <v>100</v>
      </c>
      <c r="C198" s="18" t="s">
        <v>2645</v>
      </c>
      <c r="D198" s="16">
        <v>60.0</v>
      </c>
    </row>
    <row r="199">
      <c r="A199" s="8" t="s">
        <v>1707</v>
      </c>
      <c r="B199" s="8" t="s">
        <v>1708</v>
      </c>
      <c r="C199" s="18" t="s">
        <v>2587</v>
      </c>
      <c r="D199" s="16">
        <v>68.0</v>
      </c>
    </row>
    <row r="200">
      <c r="A200" s="8" t="s">
        <v>857</v>
      </c>
      <c r="B200" s="8" t="s">
        <v>647</v>
      </c>
      <c r="C200" s="18" t="s">
        <v>2584</v>
      </c>
      <c r="D200" s="16">
        <v>80.0</v>
      </c>
    </row>
    <row r="201">
      <c r="A201" s="8" t="s">
        <v>1709</v>
      </c>
      <c r="B201" s="8" t="s">
        <v>1249</v>
      </c>
      <c r="C201" s="18" t="s">
        <v>2572</v>
      </c>
      <c r="D201" s="16">
        <v>85.0</v>
      </c>
    </row>
    <row r="202">
      <c r="A202" s="8" t="s">
        <v>242</v>
      </c>
      <c r="B202" s="8" t="s">
        <v>33</v>
      </c>
      <c r="C202" s="18" t="s">
        <v>2598</v>
      </c>
      <c r="D202" s="16">
        <v>80.0</v>
      </c>
    </row>
    <row r="203">
      <c r="A203" s="8" t="s">
        <v>651</v>
      </c>
      <c r="B203" s="8" t="s">
        <v>181</v>
      </c>
      <c r="C203" s="18" t="s">
        <v>2577</v>
      </c>
      <c r="D203" s="16">
        <v>74.0</v>
      </c>
    </row>
    <row r="204">
      <c r="A204" s="8" t="s">
        <v>1965</v>
      </c>
      <c r="B204" s="8" t="s">
        <v>1633</v>
      </c>
      <c r="C204" s="18" t="s">
        <v>2645</v>
      </c>
      <c r="D204" s="16">
        <v>80.0</v>
      </c>
    </row>
    <row r="205">
      <c r="A205" s="8" t="s">
        <v>652</v>
      </c>
      <c r="B205" s="8" t="s">
        <v>275</v>
      </c>
      <c r="C205" s="18" t="s">
        <v>2577</v>
      </c>
      <c r="D205" s="16">
        <v>81.0</v>
      </c>
    </row>
    <row r="206">
      <c r="A206" s="8" t="s">
        <v>1710</v>
      </c>
      <c r="B206" s="8" t="s">
        <v>1711</v>
      </c>
      <c r="C206" s="18" t="s">
        <v>2585</v>
      </c>
      <c r="D206" s="16">
        <v>70.0</v>
      </c>
    </row>
    <row r="207">
      <c r="A207" s="8" t="s">
        <v>653</v>
      </c>
      <c r="B207" s="18" t="s">
        <v>269</v>
      </c>
      <c r="C207" s="18" t="s">
        <v>2584</v>
      </c>
      <c r="D207" s="16">
        <v>87.0</v>
      </c>
    </row>
    <row r="208">
      <c r="A208" s="8" t="s">
        <v>2694</v>
      </c>
      <c r="B208" s="8" t="s">
        <v>320</v>
      </c>
      <c r="C208" s="18" t="s">
        <v>2600</v>
      </c>
      <c r="D208" s="16">
        <v>70.0</v>
      </c>
    </row>
    <row r="209">
      <c r="A209" s="8" t="s">
        <v>1712</v>
      </c>
      <c r="B209" s="8" t="s">
        <v>1713</v>
      </c>
      <c r="C209" s="18" t="s">
        <v>2552</v>
      </c>
      <c r="D209" s="16">
        <v>66.0</v>
      </c>
    </row>
    <row r="210">
      <c r="A210" s="8" t="s">
        <v>2695</v>
      </c>
      <c r="B210" s="8" t="s">
        <v>2696</v>
      </c>
      <c r="C210" s="18" t="s">
        <v>2645</v>
      </c>
      <c r="D210" s="16">
        <v>61.0</v>
      </c>
    </row>
    <row r="211">
      <c r="A211" s="8" t="s">
        <v>1714</v>
      </c>
      <c r="B211" s="8" t="s">
        <v>1715</v>
      </c>
      <c r="C211" s="18" t="s">
        <v>2575</v>
      </c>
      <c r="D211" s="16">
        <v>72.0</v>
      </c>
    </row>
    <row r="212">
      <c r="A212" s="8" t="s">
        <v>1716</v>
      </c>
      <c r="B212" s="8" t="s">
        <v>676</v>
      </c>
      <c r="C212" s="18" t="s">
        <v>2610</v>
      </c>
      <c r="D212" s="16">
        <v>74.0</v>
      </c>
    </row>
    <row r="213">
      <c r="A213" s="8" t="s">
        <v>2697</v>
      </c>
      <c r="B213" s="8" t="s">
        <v>822</v>
      </c>
      <c r="C213" s="18" t="s">
        <v>2645</v>
      </c>
      <c r="D213" s="16">
        <v>62.0</v>
      </c>
    </row>
    <row r="214">
      <c r="A214" s="8" t="s">
        <v>1097</v>
      </c>
      <c r="B214" s="8" t="s">
        <v>231</v>
      </c>
      <c r="C214" s="18" t="s">
        <v>2575</v>
      </c>
      <c r="D214" s="16">
        <v>74.0</v>
      </c>
    </row>
    <row r="215">
      <c r="A215" s="8" t="s">
        <v>1717</v>
      </c>
      <c r="B215" s="8" t="s">
        <v>436</v>
      </c>
      <c r="C215" s="18" t="s">
        <v>2575</v>
      </c>
      <c r="D215" s="16">
        <v>68.0</v>
      </c>
    </row>
    <row r="216">
      <c r="A216" s="8" t="s">
        <v>1098</v>
      </c>
      <c r="B216" s="8" t="s">
        <v>260</v>
      </c>
      <c r="C216" s="18" t="s">
        <v>2574</v>
      </c>
      <c r="D216" s="16">
        <v>77.0</v>
      </c>
    </row>
    <row r="217">
      <c r="A217" s="8" t="s">
        <v>1379</v>
      </c>
      <c r="B217" s="8" t="s">
        <v>50</v>
      </c>
      <c r="C217" s="18" t="s">
        <v>2560</v>
      </c>
      <c r="D217" s="16">
        <v>64.0</v>
      </c>
    </row>
    <row r="218">
      <c r="A218" s="8" t="s">
        <v>2698</v>
      </c>
      <c r="B218" s="8" t="s">
        <v>41</v>
      </c>
      <c r="C218" s="18" t="s">
        <v>2589</v>
      </c>
      <c r="D218" s="16">
        <v>78.0</v>
      </c>
    </row>
    <row r="219">
      <c r="A219" s="8" t="s">
        <v>475</v>
      </c>
      <c r="B219" s="8" t="s">
        <v>476</v>
      </c>
      <c r="C219" s="18" t="s">
        <v>2564</v>
      </c>
      <c r="D219" s="16">
        <v>84.0</v>
      </c>
    </row>
    <row r="220">
      <c r="A220" s="8" t="s">
        <v>436</v>
      </c>
      <c r="B220" s="8" t="s">
        <v>2699</v>
      </c>
      <c r="C220" s="18" t="s">
        <v>2575</v>
      </c>
      <c r="D220" s="16">
        <v>69.0</v>
      </c>
    </row>
    <row r="221">
      <c r="A221" s="8" t="s">
        <v>14</v>
      </c>
      <c r="B221" s="8" t="s">
        <v>15</v>
      </c>
      <c r="C221" s="18" t="s">
        <v>2600</v>
      </c>
      <c r="D221" s="16">
        <v>88.0</v>
      </c>
    </row>
    <row r="222">
      <c r="A222" s="8" t="s">
        <v>14</v>
      </c>
      <c r="B222" s="8" t="s">
        <v>15</v>
      </c>
      <c r="C222" s="18" t="s">
        <v>2600</v>
      </c>
      <c r="D222" s="16">
        <v>92.0</v>
      </c>
    </row>
    <row r="223">
      <c r="A223" s="8" t="s">
        <v>1381</v>
      </c>
      <c r="B223" s="8" t="s">
        <v>277</v>
      </c>
      <c r="C223" s="18" t="s">
        <v>2581</v>
      </c>
      <c r="D223" s="16">
        <v>69.0</v>
      </c>
    </row>
    <row r="224">
      <c r="A224" s="8" t="s">
        <v>1720</v>
      </c>
      <c r="B224" s="8" t="s">
        <v>1376</v>
      </c>
      <c r="C224" s="18" t="s">
        <v>2615</v>
      </c>
      <c r="D224" s="16">
        <v>71.0</v>
      </c>
    </row>
    <row r="225">
      <c r="A225" s="8" t="s">
        <v>654</v>
      </c>
      <c r="B225" s="8" t="s">
        <v>52</v>
      </c>
      <c r="C225" s="18" t="s">
        <v>2592</v>
      </c>
      <c r="D225" s="16">
        <v>79.0</v>
      </c>
    </row>
    <row r="226">
      <c r="A226" s="8" t="s">
        <v>1383</v>
      </c>
      <c r="B226" s="8" t="s">
        <v>50</v>
      </c>
      <c r="C226" s="18" t="s">
        <v>2605</v>
      </c>
      <c r="D226" s="16">
        <v>63.0</v>
      </c>
    </row>
    <row r="227">
      <c r="A227" s="8" t="s">
        <v>858</v>
      </c>
      <c r="B227" s="8" t="s">
        <v>2700</v>
      </c>
      <c r="C227" s="18" t="s">
        <v>2587</v>
      </c>
      <c r="D227" s="16">
        <v>67.0</v>
      </c>
    </row>
    <row r="228">
      <c r="A228" s="8" t="s">
        <v>858</v>
      </c>
      <c r="B228" s="8" t="s">
        <v>676</v>
      </c>
      <c r="C228" s="18" t="s">
        <v>2605</v>
      </c>
      <c r="D228" s="16">
        <v>63.0</v>
      </c>
    </row>
    <row r="229">
      <c r="A229" s="8" t="s">
        <v>2701</v>
      </c>
      <c r="B229" s="8" t="s">
        <v>2702</v>
      </c>
      <c r="C229" s="18" t="s">
        <v>2645</v>
      </c>
      <c r="D229" s="16">
        <v>77.0</v>
      </c>
    </row>
    <row r="230">
      <c r="A230" s="8" t="s">
        <v>859</v>
      </c>
      <c r="B230" s="8" t="s">
        <v>860</v>
      </c>
      <c r="C230" s="18" t="s">
        <v>2645</v>
      </c>
      <c r="D230" s="16">
        <v>61.0</v>
      </c>
    </row>
    <row r="231">
      <c r="A231" s="8" t="s">
        <v>19</v>
      </c>
      <c r="B231" s="8" t="s">
        <v>20</v>
      </c>
      <c r="C231" s="18" t="s">
        <v>2595</v>
      </c>
      <c r="D231" s="16">
        <v>86.0</v>
      </c>
    </row>
    <row r="232">
      <c r="A232" s="8" t="s">
        <v>1721</v>
      </c>
      <c r="B232" s="8" t="s">
        <v>33</v>
      </c>
      <c r="C232" s="18" t="s">
        <v>2585</v>
      </c>
      <c r="D232" s="16">
        <v>75.0</v>
      </c>
    </row>
    <row r="233">
      <c r="A233" s="8" t="s">
        <v>1099</v>
      </c>
      <c r="B233" s="8" t="s">
        <v>299</v>
      </c>
      <c r="C233" s="18" t="s">
        <v>2581</v>
      </c>
      <c r="D233" s="16">
        <v>67.0</v>
      </c>
    </row>
    <row r="234">
      <c r="A234" s="8" t="s">
        <v>780</v>
      </c>
      <c r="B234" s="18" t="s">
        <v>456</v>
      </c>
      <c r="C234" s="18" t="s">
        <v>2567</v>
      </c>
      <c r="D234" s="16">
        <v>66.0</v>
      </c>
    </row>
    <row r="235">
      <c r="A235" s="8" t="s">
        <v>487</v>
      </c>
      <c r="B235" s="8" t="s">
        <v>1105</v>
      </c>
      <c r="C235" s="18" t="s">
        <v>2558</v>
      </c>
      <c r="D235" s="16">
        <v>69.0</v>
      </c>
    </row>
    <row r="236">
      <c r="A236" s="8" t="s">
        <v>1100</v>
      </c>
      <c r="B236" s="8" t="s">
        <v>1101</v>
      </c>
      <c r="C236" s="18" t="s">
        <v>2560</v>
      </c>
      <c r="D236" s="16">
        <v>79.0</v>
      </c>
    </row>
    <row r="237">
      <c r="A237" s="8" t="s">
        <v>1102</v>
      </c>
      <c r="B237" s="8" t="s">
        <v>1103</v>
      </c>
      <c r="C237" s="18" t="s">
        <v>2567</v>
      </c>
      <c r="D237" s="16">
        <v>77.0</v>
      </c>
    </row>
    <row r="238">
      <c r="A238" s="8" t="s">
        <v>655</v>
      </c>
      <c r="B238" s="8" t="s">
        <v>381</v>
      </c>
      <c r="C238" s="18" t="s">
        <v>2603</v>
      </c>
      <c r="D238" s="16">
        <v>78.0</v>
      </c>
    </row>
    <row r="239">
      <c r="A239" s="8" t="s">
        <v>655</v>
      </c>
      <c r="B239" s="8" t="s">
        <v>333</v>
      </c>
      <c r="C239" s="18" t="s">
        <v>2600</v>
      </c>
      <c r="D239" s="16">
        <v>73.0</v>
      </c>
    </row>
    <row r="240">
      <c r="A240" s="8" t="s">
        <v>2703</v>
      </c>
      <c r="B240" s="8" t="s">
        <v>244</v>
      </c>
      <c r="C240" s="18" t="s">
        <v>2620</v>
      </c>
      <c r="D240" s="16">
        <v>70.0</v>
      </c>
    </row>
    <row r="241">
      <c r="A241" s="8" t="s">
        <v>656</v>
      </c>
      <c r="B241" s="8" t="s">
        <v>137</v>
      </c>
      <c r="C241" s="18" t="s">
        <v>2593</v>
      </c>
      <c r="D241" s="16">
        <v>77.0</v>
      </c>
    </row>
    <row r="242">
      <c r="A242" s="8" t="s">
        <v>2704</v>
      </c>
      <c r="B242" s="8" t="s">
        <v>2651</v>
      </c>
      <c r="C242" s="18" t="s">
        <v>2595</v>
      </c>
      <c r="D242" s="16">
        <v>71.0</v>
      </c>
    </row>
    <row r="243">
      <c r="A243" s="8" t="s">
        <v>224</v>
      </c>
      <c r="B243" s="8" t="s">
        <v>1991</v>
      </c>
      <c r="C243" s="18" t="s">
        <v>2645</v>
      </c>
      <c r="D243" s="16">
        <v>61.0</v>
      </c>
    </row>
    <row r="244">
      <c r="A244" s="8" t="s">
        <v>224</v>
      </c>
      <c r="B244" s="8" t="s">
        <v>121</v>
      </c>
      <c r="C244" s="18" t="s">
        <v>2564</v>
      </c>
      <c r="D244" s="16">
        <v>85.0</v>
      </c>
    </row>
    <row r="245">
      <c r="A245" s="8" t="s">
        <v>224</v>
      </c>
      <c r="B245" s="8" t="s">
        <v>1473</v>
      </c>
      <c r="C245" s="18" t="s">
        <v>2592</v>
      </c>
      <c r="D245" s="16">
        <v>84.0</v>
      </c>
    </row>
    <row r="246">
      <c r="A246" s="8" t="s">
        <v>224</v>
      </c>
      <c r="B246" s="8" t="s">
        <v>1473</v>
      </c>
      <c r="C246" s="18" t="s">
        <v>2592</v>
      </c>
      <c r="D246" s="16">
        <v>82.0</v>
      </c>
    </row>
    <row r="247">
      <c r="A247" s="8" t="s">
        <v>224</v>
      </c>
      <c r="B247" s="8" t="s">
        <v>1473</v>
      </c>
      <c r="C247" s="18" t="s">
        <v>2592</v>
      </c>
      <c r="D247" s="16">
        <v>83.0</v>
      </c>
    </row>
    <row r="248">
      <c r="A248" s="8" t="s">
        <v>224</v>
      </c>
      <c r="B248" s="8" t="s">
        <v>1473</v>
      </c>
      <c r="C248" s="18" t="s">
        <v>2592</v>
      </c>
      <c r="D248" s="16">
        <v>88.0</v>
      </c>
    </row>
    <row r="249">
      <c r="A249" s="8" t="s">
        <v>224</v>
      </c>
      <c r="B249" s="8" t="s">
        <v>1473</v>
      </c>
      <c r="C249" s="18" t="s">
        <v>2592</v>
      </c>
      <c r="D249" s="16">
        <v>86.0</v>
      </c>
    </row>
    <row r="250">
      <c r="A250" s="8" t="s">
        <v>224</v>
      </c>
      <c r="B250" s="8" t="s">
        <v>861</v>
      </c>
      <c r="C250" s="18" t="s">
        <v>2560</v>
      </c>
      <c r="D250" s="16">
        <v>76.0</v>
      </c>
    </row>
    <row r="251">
      <c r="A251" s="8" t="s">
        <v>1104</v>
      </c>
      <c r="B251" s="8" t="s">
        <v>1105</v>
      </c>
      <c r="C251" s="18" t="s">
        <v>2552</v>
      </c>
      <c r="D251" s="16">
        <v>70.0</v>
      </c>
    </row>
    <row r="252">
      <c r="A252" s="8" t="s">
        <v>106</v>
      </c>
      <c r="B252" s="8" t="s">
        <v>55</v>
      </c>
      <c r="C252" s="18" t="s">
        <v>2610</v>
      </c>
      <c r="D252" s="16">
        <v>70.0</v>
      </c>
    </row>
    <row r="253">
      <c r="A253" s="8" t="s">
        <v>106</v>
      </c>
      <c r="B253" s="8" t="s">
        <v>212</v>
      </c>
      <c r="C253" s="18" t="s">
        <v>2614</v>
      </c>
      <c r="D253" s="16">
        <v>75.0</v>
      </c>
    </row>
    <row r="254">
      <c r="A254" s="8" t="s">
        <v>106</v>
      </c>
      <c r="B254" s="8" t="s">
        <v>245</v>
      </c>
      <c r="C254" s="18" t="s">
        <v>2577</v>
      </c>
      <c r="D254" s="16">
        <v>89.0</v>
      </c>
    </row>
    <row r="255">
      <c r="A255" s="8" t="s">
        <v>106</v>
      </c>
      <c r="B255" s="8" t="s">
        <v>1090</v>
      </c>
      <c r="C255" s="18" t="s">
        <v>2584</v>
      </c>
      <c r="D255" s="16">
        <v>72.0</v>
      </c>
    </row>
    <row r="256">
      <c r="A256" s="8" t="s">
        <v>106</v>
      </c>
      <c r="B256" s="8" t="s">
        <v>197</v>
      </c>
      <c r="C256" s="18" t="s">
        <v>2605</v>
      </c>
      <c r="D256" s="16">
        <v>70.0</v>
      </c>
    </row>
    <row r="257">
      <c r="A257" s="8" t="s">
        <v>106</v>
      </c>
      <c r="B257" s="8" t="s">
        <v>2705</v>
      </c>
      <c r="C257" s="18" t="s">
        <v>2558</v>
      </c>
      <c r="D257" s="16">
        <v>65.0</v>
      </c>
    </row>
    <row r="258">
      <c r="A258" s="8" t="s">
        <v>106</v>
      </c>
      <c r="B258" s="8" t="s">
        <v>107</v>
      </c>
      <c r="C258" s="18" t="s">
        <v>2603</v>
      </c>
      <c r="D258" s="16">
        <v>81.0</v>
      </c>
    </row>
    <row r="259">
      <c r="A259" s="8" t="s">
        <v>106</v>
      </c>
      <c r="B259" s="8" t="s">
        <v>1106</v>
      </c>
      <c r="C259" s="18" t="s">
        <v>2593</v>
      </c>
      <c r="D259" s="16">
        <v>74.0</v>
      </c>
    </row>
    <row r="260">
      <c r="A260" s="8" t="s">
        <v>106</v>
      </c>
      <c r="B260" s="8" t="s">
        <v>481</v>
      </c>
      <c r="C260" s="18" t="s">
        <v>2603</v>
      </c>
      <c r="D260" s="16">
        <v>76.0</v>
      </c>
    </row>
    <row r="261">
      <c r="A261" s="8" t="s">
        <v>106</v>
      </c>
      <c r="B261" s="8" t="s">
        <v>1385</v>
      </c>
      <c r="C261" s="18" t="s">
        <v>2572</v>
      </c>
      <c r="D261" s="16">
        <v>78.0</v>
      </c>
    </row>
    <row r="262">
      <c r="A262" s="8" t="s">
        <v>106</v>
      </c>
      <c r="B262" s="8" t="s">
        <v>1722</v>
      </c>
      <c r="C262" s="18" t="s">
        <v>2621</v>
      </c>
      <c r="D262" s="16">
        <v>72.0</v>
      </c>
    </row>
    <row r="263">
      <c r="A263" s="8" t="s">
        <v>106</v>
      </c>
      <c r="B263" s="8" t="s">
        <v>23</v>
      </c>
      <c r="C263" s="18" t="s">
        <v>2575</v>
      </c>
      <c r="D263" s="16">
        <v>76.0</v>
      </c>
    </row>
    <row r="264">
      <c r="A264" s="8" t="s">
        <v>106</v>
      </c>
      <c r="B264" s="8" t="s">
        <v>163</v>
      </c>
      <c r="C264" s="18" t="s">
        <v>2552</v>
      </c>
      <c r="D264" s="16">
        <v>69.0</v>
      </c>
    </row>
    <row r="265">
      <c r="A265" s="8" t="s">
        <v>106</v>
      </c>
      <c r="B265" s="8" t="s">
        <v>283</v>
      </c>
      <c r="C265" s="18" t="s">
        <v>2593</v>
      </c>
      <c r="D265" s="16">
        <v>71.0</v>
      </c>
    </row>
    <row r="266">
      <c r="A266" s="8" t="s">
        <v>106</v>
      </c>
      <c r="B266" s="8" t="s">
        <v>1386</v>
      </c>
      <c r="C266" s="18" t="s">
        <v>2600</v>
      </c>
      <c r="D266" s="16">
        <v>79.0</v>
      </c>
    </row>
    <row r="267">
      <c r="A267" s="8" t="s">
        <v>106</v>
      </c>
      <c r="B267" s="8" t="s">
        <v>2143</v>
      </c>
      <c r="C267" s="18" t="s">
        <v>2605</v>
      </c>
      <c r="D267" s="16">
        <v>71.0</v>
      </c>
    </row>
    <row r="268">
      <c r="A268" s="8" t="s">
        <v>106</v>
      </c>
      <c r="B268" s="8" t="s">
        <v>1621</v>
      </c>
      <c r="C268" s="18" t="s">
        <v>2614</v>
      </c>
      <c r="D268" s="16">
        <v>69.0</v>
      </c>
    </row>
    <row r="269">
      <c r="A269" s="8" t="s">
        <v>106</v>
      </c>
      <c r="B269" s="8" t="s">
        <v>2062</v>
      </c>
      <c r="C269" s="18" t="s">
        <v>2575</v>
      </c>
      <c r="D269" s="16">
        <v>75.0</v>
      </c>
    </row>
    <row r="270">
      <c r="A270" s="8" t="s">
        <v>106</v>
      </c>
      <c r="B270" s="8" t="s">
        <v>1384</v>
      </c>
      <c r="C270" s="18" t="s">
        <v>2556</v>
      </c>
      <c r="D270" s="16">
        <v>68.0</v>
      </c>
    </row>
    <row r="271">
      <c r="A271" s="8" t="s">
        <v>106</v>
      </c>
      <c r="B271" s="8" t="s">
        <v>1107</v>
      </c>
      <c r="C271" s="18" t="s">
        <v>2610</v>
      </c>
      <c r="D271" s="16">
        <v>78.0</v>
      </c>
    </row>
    <row r="272">
      <c r="A272" s="8" t="s">
        <v>106</v>
      </c>
      <c r="B272" s="8" t="s">
        <v>334</v>
      </c>
      <c r="C272" s="18" t="s">
        <v>2600</v>
      </c>
      <c r="D272" s="16">
        <v>79.0</v>
      </c>
    </row>
    <row r="273">
      <c r="A273" s="8" t="s">
        <v>106</v>
      </c>
      <c r="B273" s="8" t="s">
        <v>480</v>
      </c>
      <c r="C273" s="18" t="s">
        <v>2582</v>
      </c>
      <c r="D273" s="16">
        <v>83.0</v>
      </c>
    </row>
    <row r="274">
      <c r="A274" s="8" t="s">
        <v>1387</v>
      </c>
      <c r="B274" s="8" t="s">
        <v>197</v>
      </c>
      <c r="C274" s="18" t="s">
        <v>2598</v>
      </c>
      <c r="D274" s="16">
        <v>62.0</v>
      </c>
    </row>
    <row r="275">
      <c r="A275" s="8" t="s">
        <v>354</v>
      </c>
      <c r="B275" s="8" t="s">
        <v>2063</v>
      </c>
      <c r="C275" s="18" t="s">
        <v>2584</v>
      </c>
      <c r="D275" s="16">
        <v>76.0</v>
      </c>
    </row>
    <row r="276">
      <c r="A276" s="8" t="s">
        <v>2064</v>
      </c>
      <c r="B276" s="8" t="s">
        <v>2706</v>
      </c>
      <c r="C276" s="18" t="s">
        <v>2645</v>
      </c>
      <c r="D276" s="16">
        <v>81.0</v>
      </c>
    </row>
    <row r="277">
      <c r="A277" s="8" t="s">
        <v>2064</v>
      </c>
      <c r="B277" s="8" t="s">
        <v>2707</v>
      </c>
      <c r="C277" s="18" t="s">
        <v>2556</v>
      </c>
      <c r="D277" s="16">
        <v>78.0</v>
      </c>
    </row>
    <row r="278">
      <c r="A278" s="8" t="s">
        <v>2064</v>
      </c>
      <c r="B278" s="8" t="s">
        <v>33</v>
      </c>
      <c r="C278" s="18" t="s">
        <v>2598</v>
      </c>
      <c r="D278" s="16">
        <v>87.0</v>
      </c>
    </row>
    <row r="279">
      <c r="A279" s="8" t="s">
        <v>862</v>
      </c>
      <c r="B279" s="8" t="s">
        <v>863</v>
      </c>
      <c r="C279" s="18" t="s">
        <v>2589</v>
      </c>
      <c r="D279" s="16">
        <v>74.0</v>
      </c>
    </row>
    <row r="280">
      <c r="A280" s="8" t="s">
        <v>1388</v>
      </c>
      <c r="B280" s="8" t="s">
        <v>1389</v>
      </c>
      <c r="C280" s="18" t="s">
        <v>2585</v>
      </c>
      <c r="D280" s="16">
        <v>83.0</v>
      </c>
    </row>
    <row r="281">
      <c r="A281" s="8" t="s">
        <v>353</v>
      </c>
      <c r="B281" s="8" t="s">
        <v>354</v>
      </c>
      <c r="C281" s="18" t="s">
        <v>2558</v>
      </c>
      <c r="D281" s="16">
        <v>79.0</v>
      </c>
    </row>
    <row r="282">
      <c r="A282" s="8" t="s">
        <v>1390</v>
      </c>
      <c r="B282" s="8" t="s">
        <v>842</v>
      </c>
      <c r="C282" s="18" t="s">
        <v>2605</v>
      </c>
      <c r="D282" s="16">
        <v>72.0</v>
      </c>
    </row>
    <row r="283">
      <c r="A283" s="8" t="s">
        <v>482</v>
      </c>
      <c r="B283" s="8" t="s">
        <v>483</v>
      </c>
      <c r="C283" s="18" t="s">
        <v>2610</v>
      </c>
      <c r="D283" s="16">
        <v>78.0</v>
      </c>
    </row>
    <row r="284">
      <c r="A284" s="8" t="s">
        <v>1391</v>
      </c>
      <c r="B284" s="8" t="s">
        <v>421</v>
      </c>
      <c r="C284" s="18" t="s">
        <v>2592</v>
      </c>
      <c r="D284" s="16">
        <v>69.0</v>
      </c>
    </row>
    <row r="285">
      <c r="A285" s="8" t="s">
        <v>1392</v>
      </c>
      <c r="B285" s="8" t="s">
        <v>98</v>
      </c>
      <c r="C285" s="18" t="s">
        <v>2585</v>
      </c>
      <c r="D285" s="16">
        <v>69.0</v>
      </c>
    </row>
    <row r="286">
      <c r="A286" s="8" t="s">
        <v>657</v>
      </c>
      <c r="B286" s="8" t="s">
        <v>658</v>
      </c>
      <c r="C286" s="18" t="s">
        <v>2610</v>
      </c>
      <c r="D286" s="16">
        <v>82.0</v>
      </c>
    </row>
    <row r="287">
      <c r="A287" s="8" t="s">
        <v>2708</v>
      </c>
      <c r="B287" s="8" t="s">
        <v>260</v>
      </c>
      <c r="C287" s="18" t="s">
        <v>2615</v>
      </c>
      <c r="D287" s="16">
        <v>64.0</v>
      </c>
    </row>
    <row r="288">
      <c r="A288" s="8" t="s">
        <v>484</v>
      </c>
      <c r="B288" s="8" t="s">
        <v>485</v>
      </c>
      <c r="C288" s="18" t="s">
        <v>2600</v>
      </c>
      <c r="D288" s="16">
        <v>77.0</v>
      </c>
    </row>
    <row r="289">
      <c r="A289" s="8" t="s">
        <v>1723</v>
      </c>
      <c r="B289" s="8" t="s">
        <v>1724</v>
      </c>
      <c r="C289" s="18" t="s">
        <v>2558</v>
      </c>
      <c r="D289" s="16">
        <v>72.0</v>
      </c>
    </row>
    <row r="290">
      <c r="A290" s="8" t="s">
        <v>355</v>
      </c>
      <c r="B290" s="8" t="s">
        <v>146</v>
      </c>
      <c r="C290" s="18" t="s">
        <v>2577</v>
      </c>
      <c r="D290" s="16">
        <v>81.0</v>
      </c>
    </row>
    <row r="291">
      <c r="A291" s="8" t="s">
        <v>1725</v>
      </c>
      <c r="B291" s="8" t="s">
        <v>1726</v>
      </c>
      <c r="C291" s="18" t="s">
        <v>2577</v>
      </c>
      <c r="D291" s="16">
        <v>80.0</v>
      </c>
    </row>
    <row r="292">
      <c r="A292" s="8" t="s">
        <v>1109</v>
      </c>
      <c r="B292" s="8" t="s">
        <v>1110</v>
      </c>
      <c r="C292" s="18" t="s">
        <v>2560</v>
      </c>
      <c r="D292" s="16">
        <v>67.0</v>
      </c>
    </row>
    <row r="293">
      <c r="A293" s="8" t="s">
        <v>864</v>
      </c>
      <c r="B293" s="8" t="s">
        <v>137</v>
      </c>
      <c r="C293" s="18" t="s">
        <v>2605</v>
      </c>
      <c r="D293" s="16">
        <v>64.0</v>
      </c>
    </row>
    <row r="294">
      <c r="A294" s="8" t="s">
        <v>864</v>
      </c>
      <c r="B294" s="8" t="s">
        <v>865</v>
      </c>
      <c r="C294" s="18" t="s">
        <v>2605</v>
      </c>
      <c r="D294" s="16">
        <v>79.0</v>
      </c>
    </row>
    <row r="295">
      <c r="A295" s="8" t="s">
        <v>866</v>
      </c>
      <c r="B295" s="8" t="s">
        <v>867</v>
      </c>
      <c r="C295" s="18" t="s">
        <v>2567</v>
      </c>
      <c r="D295" s="16">
        <v>63.0</v>
      </c>
    </row>
    <row r="296">
      <c r="A296" s="8" t="s">
        <v>190</v>
      </c>
      <c r="B296" s="8" t="s">
        <v>569</v>
      </c>
      <c r="C296" s="18" t="s">
        <v>2605</v>
      </c>
      <c r="D296" s="16">
        <v>64.0</v>
      </c>
    </row>
    <row r="297">
      <c r="A297" s="8" t="s">
        <v>190</v>
      </c>
      <c r="B297" s="8" t="s">
        <v>191</v>
      </c>
      <c r="C297" s="18" t="s">
        <v>2587</v>
      </c>
      <c r="D297" s="16">
        <v>70.0</v>
      </c>
    </row>
    <row r="298">
      <c r="A298" s="8" t="s">
        <v>2709</v>
      </c>
      <c r="B298" s="8" t="s">
        <v>2710</v>
      </c>
      <c r="C298" s="18" t="s">
        <v>2595</v>
      </c>
      <c r="D298" s="16">
        <v>72.0</v>
      </c>
    </row>
    <row r="299">
      <c r="A299" s="8" t="s">
        <v>1727</v>
      </c>
      <c r="B299" s="8" t="s">
        <v>377</v>
      </c>
      <c r="C299" s="18" t="s">
        <v>2183</v>
      </c>
      <c r="D299" s="16">
        <v>82.0</v>
      </c>
    </row>
    <row r="300">
      <c r="A300" s="8" t="s">
        <v>486</v>
      </c>
      <c r="B300" s="8" t="s">
        <v>11</v>
      </c>
      <c r="C300" s="18" t="s">
        <v>2600</v>
      </c>
      <c r="D300" s="16">
        <v>72.0</v>
      </c>
    </row>
    <row r="301">
      <c r="A301" s="8" t="s">
        <v>486</v>
      </c>
      <c r="B301" s="8" t="s">
        <v>487</v>
      </c>
      <c r="C301" s="18" t="s">
        <v>2589</v>
      </c>
      <c r="D301" s="16">
        <v>74.0</v>
      </c>
    </row>
    <row r="302">
      <c r="A302" s="8" t="s">
        <v>486</v>
      </c>
      <c r="B302" s="8" t="s">
        <v>283</v>
      </c>
      <c r="C302" s="18" t="s">
        <v>2621</v>
      </c>
      <c r="D302" s="16">
        <v>84.0</v>
      </c>
    </row>
    <row r="303">
      <c r="A303" s="8" t="s">
        <v>2711</v>
      </c>
      <c r="B303" s="8" t="s">
        <v>84</v>
      </c>
      <c r="C303" s="18" t="s">
        <v>2574</v>
      </c>
      <c r="D303" s="16">
        <v>74.0</v>
      </c>
    </row>
    <row r="304">
      <c r="A304" s="8" t="s">
        <v>1728</v>
      </c>
      <c r="B304" s="8" t="s">
        <v>299</v>
      </c>
      <c r="C304" s="18" t="s">
        <v>2620</v>
      </c>
      <c r="D304" s="16">
        <v>73.0</v>
      </c>
    </row>
    <row r="305">
      <c r="A305" s="8" t="s">
        <v>1111</v>
      </c>
      <c r="B305" s="8" t="s">
        <v>119</v>
      </c>
      <c r="C305" s="18" t="s">
        <v>2621</v>
      </c>
      <c r="D305" s="16">
        <v>84.0</v>
      </c>
    </row>
    <row r="306">
      <c r="A306" s="8" t="s">
        <v>2712</v>
      </c>
      <c r="B306" s="8" t="s">
        <v>301</v>
      </c>
      <c r="C306" s="18" t="s">
        <v>2589</v>
      </c>
      <c r="D306" s="16">
        <v>76.0</v>
      </c>
    </row>
    <row r="307">
      <c r="A307" s="8" t="s">
        <v>1112</v>
      </c>
      <c r="B307" s="8" t="s">
        <v>1113</v>
      </c>
      <c r="C307" s="18" t="s">
        <v>2574</v>
      </c>
      <c r="D307" s="16">
        <v>71.0</v>
      </c>
    </row>
    <row r="308">
      <c r="A308" s="8" t="s">
        <v>2713</v>
      </c>
      <c r="B308" s="8" t="s">
        <v>2714</v>
      </c>
      <c r="C308" s="18" t="s">
        <v>2587</v>
      </c>
      <c r="D308" s="16">
        <v>71.0</v>
      </c>
    </row>
    <row r="309">
      <c r="A309" s="8" t="s">
        <v>2067</v>
      </c>
      <c r="B309" s="8" t="s">
        <v>569</v>
      </c>
      <c r="C309" s="18" t="s">
        <v>2567</v>
      </c>
      <c r="D309" s="16">
        <v>71.0</v>
      </c>
    </row>
    <row r="310">
      <c r="A310" s="8" t="s">
        <v>868</v>
      </c>
      <c r="B310" s="8" t="s">
        <v>869</v>
      </c>
      <c r="C310" s="18" t="s">
        <v>2556</v>
      </c>
      <c r="D310" s="16">
        <v>70.0</v>
      </c>
    </row>
    <row r="311">
      <c r="A311" s="8" t="s">
        <v>868</v>
      </c>
      <c r="B311" s="8" t="s">
        <v>1114</v>
      </c>
      <c r="C311" s="18" t="s">
        <v>2581</v>
      </c>
      <c r="D311" s="16">
        <v>62.0</v>
      </c>
    </row>
    <row r="312">
      <c r="A312" s="8" t="s">
        <v>870</v>
      </c>
      <c r="B312" s="8" t="s">
        <v>871</v>
      </c>
      <c r="C312" s="18" t="s">
        <v>2605</v>
      </c>
      <c r="D312" s="16">
        <v>76.0</v>
      </c>
    </row>
    <row r="313">
      <c r="A313" s="8" t="s">
        <v>870</v>
      </c>
      <c r="B313" s="8" t="s">
        <v>102</v>
      </c>
      <c r="C313" s="18" t="s">
        <v>2564</v>
      </c>
      <c r="D313" s="16">
        <v>65.0</v>
      </c>
    </row>
    <row r="314">
      <c r="A314" s="8" t="s">
        <v>2318</v>
      </c>
      <c r="B314" s="8" t="s">
        <v>245</v>
      </c>
      <c r="C314" s="18" t="s">
        <v>2615</v>
      </c>
      <c r="D314" s="16">
        <v>72.0</v>
      </c>
    </row>
    <row r="315">
      <c r="A315" s="8" t="s">
        <v>1915</v>
      </c>
      <c r="B315" s="8" t="s">
        <v>92</v>
      </c>
      <c r="C315" s="18" t="s">
        <v>2645</v>
      </c>
      <c r="D315" s="16">
        <v>64.0</v>
      </c>
    </row>
    <row r="316">
      <c r="A316" s="8" t="s">
        <v>2715</v>
      </c>
      <c r="B316" s="8" t="s">
        <v>137</v>
      </c>
      <c r="C316" s="18" t="s">
        <v>2621</v>
      </c>
      <c r="D316" s="16">
        <v>70.0</v>
      </c>
    </row>
    <row r="317">
      <c r="A317" s="8" t="s">
        <v>142</v>
      </c>
      <c r="B317" s="8" t="s">
        <v>143</v>
      </c>
      <c r="C317" s="18" t="s">
        <v>2584</v>
      </c>
      <c r="D317" s="16">
        <v>84.0</v>
      </c>
    </row>
    <row r="318">
      <c r="A318" s="8" t="s">
        <v>142</v>
      </c>
      <c r="B318" s="8" t="s">
        <v>726</v>
      </c>
      <c r="C318" s="18" t="s">
        <v>2589</v>
      </c>
      <c r="D318" s="16">
        <v>67.0</v>
      </c>
    </row>
    <row r="319">
      <c r="A319" s="8" t="s">
        <v>142</v>
      </c>
      <c r="B319" s="18" t="s">
        <v>1115</v>
      </c>
      <c r="C319" s="18" t="s">
        <v>2598</v>
      </c>
      <c r="D319" s="16">
        <v>81.0</v>
      </c>
    </row>
    <row r="320">
      <c r="A320" s="8" t="s">
        <v>142</v>
      </c>
      <c r="B320" s="8" t="s">
        <v>2716</v>
      </c>
      <c r="C320" s="18" t="s">
        <v>2562</v>
      </c>
      <c r="D320" s="16">
        <v>71.0</v>
      </c>
    </row>
    <row r="321">
      <c r="A321" s="8" t="s">
        <v>1396</v>
      </c>
      <c r="B321" s="8" t="s">
        <v>634</v>
      </c>
      <c r="C321" s="18" t="s">
        <v>2575</v>
      </c>
      <c r="D321" s="16">
        <v>73.0</v>
      </c>
    </row>
    <row r="322">
      <c r="A322" s="8" t="s">
        <v>872</v>
      </c>
      <c r="B322" s="18" t="s">
        <v>269</v>
      </c>
      <c r="C322" s="18" t="s">
        <v>2584</v>
      </c>
      <c r="D322" s="16">
        <v>75.0</v>
      </c>
    </row>
    <row r="323">
      <c r="A323" s="8" t="s">
        <v>246</v>
      </c>
      <c r="B323" s="18" t="s">
        <v>2717</v>
      </c>
      <c r="C323" s="18" t="s">
        <v>2614</v>
      </c>
      <c r="D323" s="16">
        <v>68.0</v>
      </c>
    </row>
    <row r="324">
      <c r="A324" s="8" t="s">
        <v>246</v>
      </c>
      <c r="B324" s="8" t="s">
        <v>247</v>
      </c>
      <c r="C324" s="18" t="s">
        <v>2600</v>
      </c>
      <c r="D324" s="16">
        <v>82.0</v>
      </c>
    </row>
    <row r="325">
      <c r="A325" s="8" t="s">
        <v>246</v>
      </c>
      <c r="B325" s="8" t="s">
        <v>1397</v>
      </c>
      <c r="C325" s="18" t="s">
        <v>2560</v>
      </c>
      <c r="D325" s="16">
        <v>67.0</v>
      </c>
    </row>
    <row r="326">
      <c r="A326" s="8" t="s">
        <v>1398</v>
      </c>
      <c r="B326" s="8" t="s">
        <v>1399</v>
      </c>
      <c r="C326" s="18" t="s">
        <v>2572</v>
      </c>
      <c r="D326" s="16">
        <v>74.0</v>
      </c>
    </row>
    <row r="327">
      <c r="A327" s="8" t="s">
        <v>1729</v>
      </c>
      <c r="B327" s="8" t="s">
        <v>100</v>
      </c>
      <c r="C327" s="18" t="s">
        <v>2592</v>
      </c>
      <c r="D327" s="16">
        <v>70.0</v>
      </c>
    </row>
    <row r="328">
      <c r="A328" s="8" t="s">
        <v>2718</v>
      </c>
      <c r="B328" s="8" t="s">
        <v>489</v>
      </c>
      <c r="C328" s="18" t="s">
        <v>2645</v>
      </c>
      <c r="D328" s="16">
        <v>72.0</v>
      </c>
    </row>
    <row r="329">
      <c r="A329" s="8" t="s">
        <v>2719</v>
      </c>
      <c r="B329" s="8" t="s">
        <v>31</v>
      </c>
      <c r="C329" s="18" t="s">
        <v>2584</v>
      </c>
      <c r="D329" s="16">
        <v>71.0</v>
      </c>
    </row>
    <row r="330">
      <c r="A330" s="8" t="s">
        <v>1730</v>
      </c>
      <c r="B330" s="8" t="s">
        <v>197</v>
      </c>
      <c r="C330" s="18" t="s">
        <v>2552</v>
      </c>
      <c r="D330" s="16">
        <v>79.0</v>
      </c>
    </row>
    <row r="331">
      <c r="A331" s="8" t="s">
        <v>356</v>
      </c>
      <c r="B331" s="8" t="s">
        <v>260</v>
      </c>
      <c r="C331" s="18" t="s">
        <v>2560</v>
      </c>
      <c r="D331" s="16">
        <v>73.0</v>
      </c>
    </row>
    <row r="332">
      <c r="A332" s="8" t="s">
        <v>144</v>
      </c>
      <c r="B332" s="8" t="s">
        <v>464</v>
      </c>
      <c r="C332" s="18" t="s">
        <v>2595</v>
      </c>
      <c r="D332" s="16">
        <v>68.0</v>
      </c>
    </row>
    <row r="333">
      <c r="A333" s="8" t="s">
        <v>144</v>
      </c>
      <c r="B333" s="8" t="s">
        <v>121</v>
      </c>
      <c r="C333" s="18" t="s">
        <v>2575</v>
      </c>
      <c r="D333" s="16">
        <v>78.0</v>
      </c>
    </row>
    <row r="334">
      <c r="A334" s="8" t="s">
        <v>144</v>
      </c>
      <c r="B334" s="8" t="s">
        <v>493</v>
      </c>
      <c r="C334" s="18" t="s">
        <v>2556</v>
      </c>
      <c r="D334" s="16">
        <v>82.0</v>
      </c>
    </row>
    <row r="335">
      <c r="A335" s="8" t="s">
        <v>488</v>
      </c>
      <c r="B335" s="8" t="s">
        <v>489</v>
      </c>
      <c r="C335" s="18" t="s">
        <v>2556</v>
      </c>
      <c r="D335" s="16">
        <v>76.0</v>
      </c>
    </row>
    <row r="336">
      <c r="A336" s="8" t="s">
        <v>1400</v>
      </c>
      <c r="B336" s="8" t="s">
        <v>301</v>
      </c>
      <c r="C336" s="18" t="s">
        <v>2621</v>
      </c>
      <c r="D336" s="16">
        <v>63.0</v>
      </c>
    </row>
    <row r="337">
      <c r="A337" s="8" t="s">
        <v>490</v>
      </c>
      <c r="B337" s="18" t="s">
        <v>491</v>
      </c>
      <c r="C337" s="18" t="s">
        <v>2615</v>
      </c>
      <c r="D337" s="16">
        <v>78.0</v>
      </c>
    </row>
    <row r="338">
      <c r="A338" s="8" t="s">
        <v>492</v>
      </c>
      <c r="B338" s="8" t="s">
        <v>493</v>
      </c>
      <c r="C338" s="18" t="s">
        <v>2556</v>
      </c>
      <c r="D338" s="16">
        <v>69.0</v>
      </c>
    </row>
    <row r="339">
      <c r="A339" s="8" t="s">
        <v>2720</v>
      </c>
      <c r="B339" s="8" t="s">
        <v>2721</v>
      </c>
      <c r="C339" s="18" t="s">
        <v>2581</v>
      </c>
      <c r="D339" s="16">
        <v>71.0</v>
      </c>
    </row>
    <row r="340">
      <c r="A340" s="8" t="s">
        <v>1118</v>
      </c>
      <c r="B340" s="8" t="s">
        <v>275</v>
      </c>
      <c r="C340" s="18" t="s">
        <v>2603</v>
      </c>
      <c r="D340" s="16">
        <v>77.0</v>
      </c>
    </row>
    <row r="341">
      <c r="A341" s="8" t="s">
        <v>1118</v>
      </c>
      <c r="B341" s="8" t="s">
        <v>1119</v>
      </c>
      <c r="C341" s="18" t="s">
        <v>2610</v>
      </c>
      <c r="D341" s="16">
        <v>62.0</v>
      </c>
    </row>
    <row r="342">
      <c r="A342" s="8" t="s">
        <v>248</v>
      </c>
      <c r="B342" s="8" t="s">
        <v>100</v>
      </c>
      <c r="C342" s="18" t="s">
        <v>2603</v>
      </c>
      <c r="D342" s="16">
        <v>69.0</v>
      </c>
    </row>
    <row r="343">
      <c r="A343" s="8" t="s">
        <v>248</v>
      </c>
      <c r="B343" s="8" t="s">
        <v>1402</v>
      </c>
      <c r="C343" s="18" t="s">
        <v>2620</v>
      </c>
      <c r="D343" s="16">
        <v>66.0</v>
      </c>
    </row>
    <row r="344">
      <c r="A344" s="8" t="s">
        <v>248</v>
      </c>
      <c r="B344" s="8" t="s">
        <v>58</v>
      </c>
      <c r="C344" s="18" t="s">
        <v>2566</v>
      </c>
      <c r="D344" s="16">
        <v>73.0</v>
      </c>
    </row>
    <row r="345">
      <c r="A345" s="8" t="s">
        <v>2722</v>
      </c>
      <c r="B345" s="8" t="s">
        <v>558</v>
      </c>
      <c r="C345" s="18" t="s">
        <v>2574</v>
      </c>
      <c r="D345" s="16">
        <v>69.0</v>
      </c>
    </row>
    <row r="346">
      <c r="A346" s="8" t="s">
        <v>494</v>
      </c>
      <c r="B346" s="8" t="s">
        <v>495</v>
      </c>
      <c r="C346" s="18" t="s">
        <v>2621</v>
      </c>
      <c r="D346" s="16">
        <v>85.0</v>
      </c>
    </row>
    <row r="347">
      <c r="A347" s="8" t="s">
        <v>2723</v>
      </c>
      <c r="B347" s="8" t="s">
        <v>33</v>
      </c>
      <c r="C347" s="18" t="s">
        <v>2554</v>
      </c>
      <c r="D347" s="16">
        <v>66.0</v>
      </c>
    </row>
    <row r="348">
      <c r="A348" s="8" t="s">
        <v>250</v>
      </c>
      <c r="B348" s="8" t="s">
        <v>212</v>
      </c>
      <c r="C348" s="18" t="s">
        <v>2567</v>
      </c>
      <c r="D348" s="16">
        <v>81.0</v>
      </c>
    </row>
    <row r="349">
      <c r="A349" s="8" t="s">
        <v>1120</v>
      </c>
      <c r="B349" s="8" t="s">
        <v>676</v>
      </c>
      <c r="C349" s="18" t="s">
        <v>2582</v>
      </c>
      <c r="D349" s="16">
        <v>63.0</v>
      </c>
    </row>
    <row r="350">
      <c r="A350" s="8" t="s">
        <v>659</v>
      </c>
      <c r="B350" s="8" t="s">
        <v>554</v>
      </c>
      <c r="C350" s="18" t="s">
        <v>2592</v>
      </c>
      <c r="D350" s="16">
        <v>78.0</v>
      </c>
    </row>
    <row r="351">
      <c r="A351" s="8" t="s">
        <v>251</v>
      </c>
      <c r="B351" s="8" t="s">
        <v>780</v>
      </c>
      <c r="C351" s="18" t="s">
        <v>2645</v>
      </c>
      <c r="D351" s="16">
        <v>60.0</v>
      </c>
    </row>
    <row r="352">
      <c r="A352" s="8" t="s">
        <v>251</v>
      </c>
      <c r="B352" s="8" t="s">
        <v>252</v>
      </c>
      <c r="C352" s="18" t="s">
        <v>2585</v>
      </c>
      <c r="D352" s="16">
        <v>75.0</v>
      </c>
    </row>
    <row r="353">
      <c r="A353" s="8" t="s">
        <v>2724</v>
      </c>
      <c r="B353" s="8" t="s">
        <v>2725</v>
      </c>
      <c r="C353" s="18" t="s">
        <v>2603</v>
      </c>
      <c r="D353" s="16">
        <v>85.0</v>
      </c>
    </row>
    <row r="354">
      <c r="A354" s="8" t="s">
        <v>2319</v>
      </c>
      <c r="B354" s="18" t="s">
        <v>529</v>
      </c>
      <c r="C354" s="18" t="s">
        <v>2584</v>
      </c>
      <c r="D354" s="16">
        <v>74.0</v>
      </c>
    </row>
    <row r="355">
      <c r="A355" s="8" t="s">
        <v>357</v>
      </c>
      <c r="B355" s="8" t="s">
        <v>2021</v>
      </c>
      <c r="C355" s="18" t="s">
        <v>2645</v>
      </c>
      <c r="D355" s="16">
        <v>61.0</v>
      </c>
    </row>
    <row r="356">
      <c r="A356" s="8" t="s">
        <v>357</v>
      </c>
      <c r="B356" s="8" t="s">
        <v>2726</v>
      </c>
      <c r="C356" s="18" t="s">
        <v>2183</v>
      </c>
      <c r="D356" s="16">
        <v>68.0</v>
      </c>
    </row>
    <row r="357">
      <c r="A357" s="8" t="s">
        <v>1731</v>
      </c>
      <c r="B357" s="8" t="s">
        <v>1732</v>
      </c>
      <c r="C357" s="18" t="s">
        <v>2614</v>
      </c>
      <c r="D357" s="16">
        <v>72.0</v>
      </c>
    </row>
    <row r="358">
      <c r="A358" s="8" t="s">
        <v>2727</v>
      </c>
      <c r="B358" s="8" t="s">
        <v>91</v>
      </c>
      <c r="C358" s="18" t="s">
        <v>2577</v>
      </c>
      <c r="D358" s="16">
        <v>62.0</v>
      </c>
    </row>
    <row r="359">
      <c r="A359" s="8" t="s">
        <v>1403</v>
      </c>
      <c r="B359" s="8" t="s">
        <v>1404</v>
      </c>
      <c r="C359" s="18" t="s">
        <v>2183</v>
      </c>
      <c r="D359" s="16">
        <v>69.0</v>
      </c>
    </row>
    <row r="360">
      <c r="A360" s="8" t="s">
        <v>1121</v>
      </c>
      <c r="B360" s="8" t="s">
        <v>212</v>
      </c>
      <c r="C360" s="18" t="s">
        <v>2577</v>
      </c>
      <c r="D360" s="16">
        <v>66.0</v>
      </c>
    </row>
    <row r="361">
      <c r="A361" s="8" t="s">
        <v>726</v>
      </c>
      <c r="B361" s="8" t="s">
        <v>2320</v>
      </c>
      <c r="C361" s="18" t="s">
        <v>2582</v>
      </c>
      <c r="D361" s="16">
        <v>71.0</v>
      </c>
    </row>
    <row r="362">
      <c r="A362" s="8" t="s">
        <v>726</v>
      </c>
      <c r="B362" s="8" t="s">
        <v>1733</v>
      </c>
      <c r="C362" s="18" t="s">
        <v>2593</v>
      </c>
      <c r="D362" s="16">
        <v>65.0</v>
      </c>
    </row>
    <row r="363">
      <c r="A363" s="8" t="s">
        <v>1405</v>
      </c>
      <c r="B363" s="8" t="s">
        <v>436</v>
      </c>
      <c r="C363" s="18" t="s">
        <v>2620</v>
      </c>
      <c r="D363" s="16">
        <v>79.0</v>
      </c>
    </row>
    <row r="364">
      <c r="A364" s="8" t="s">
        <v>1405</v>
      </c>
      <c r="B364" s="8" t="s">
        <v>231</v>
      </c>
      <c r="C364" s="18" t="s">
        <v>2615</v>
      </c>
      <c r="D364" s="16">
        <v>76.0</v>
      </c>
    </row>
    <row r="365">
      <c r="A365" s="8" t="s">
        <v>193</v>
      </c>
      <c r="B365" s="8" t="s">
        <v>194</v>
      </c>
      <c r="C365" s="18" t="s">
        <v>2600</v>
      </c>
      <c r="D365" s="16">
        <v>79.0</v>
      </c>
    </row>
    <row r="366">
      <c r="A366" s="8" t="s">
        <v>193</v>
      </c>
      <c r="B366" s="8" t="s">
        <v>194</v>
      </c>
      <c r="C366" s="18" t="s">
        <v>2600</v>
      </c>
      <c r="D366" s="16">
        <v>85.0</v>
      </c>
    </row>
    <row r="367">
      <c r="A367" s="8" t="s">
        <v>2728</v>
      </c>
      <c r="B367" s="8" t="s">
        <v>2729</v>
      </c>
      <c r="C367" s="18" t="s">
        <v>2584</v>
      </c>
      <c r="D367" s="16">
        <v>79.0</v>
      </c>
    </row>
    <row r="368">
      <c r="A368" s="8" t="s">
        <v>2073</v>
      </c>
      <c r="B368" s="8" t="s">
        <v>360</v>
      </c>
      <c r="C368" s="18" t="s">
        <v>2592</v>
      </c>
      <c r="D368" s="16">
        <v>70.0</v>
      </c>
    </row>
    <row r="369">
      <c r="A369" s="8" t="s">
        <v>2730</v>
      </c>
      <c r="B369" s="8" t="s">
        <v>1905</v>
      </c>
      <c r="C369" s="18" t="s">
        <v>2560</v>
      </c>
      <c r="D369" s="16">
        <v>77.0</v>
      </c>
    </row>
    <row r="370">
      <c r="A370" s="8" t="s">
        <v>2321</v>
      </c>
      <c r="B370" s="8" t="s">
        <v>1046</v>
      </c>
      <c r="C370" s="18" t="s">
        <v>2595</v>
      </c>
      <c r="D370" s="16">
        <v>66.0</v>
      </c>
    </row>
    <row r="371">
      <c r="A371" s="8" t="s">
        <v>90</v>
      </c>
      <c r="B371" s="8" t="s">
        <v>1736</v>
      </c>
      <c r="C371" s="18" t="s">
        <v>2575</v>
      </c>
      <c r="D371" s="16">
        <v>67.0</v>
      </c>
    </row>
    <row r="372">
      <c r="A372" s="8" t="s">
        <v>90</v>
      </c>
      <c r="B372" s="8" t="s">
        <v>2731</v>
      </c>
      <c r="C372" s="18" t="s">
        <v>2572</v>
      </c>
      <c r="D372" s="16">
        <v>64.0</v>
      </c>
    </row>
    <row r="373">
      <c r="A373" s="8" t="s">
        <v>90</v>
      </c>
      <c r="B373" s="8" t="s">
        <v>69</v>
      </c>
      <c r="C373" s="18" t="s">
        <v>2603</v>
      </c>
      <c r="D373" s="16">
        <v>79.0</v>
      </c>
    </row>
    <row r="374">
      <c r="A374" s="8" t="s">
        <v>90</v>
      </c>
      <c r="B374" s="8" t="s">
        <v>822</v>
      </c>
      <c r="C374" s="18" t="s">
        <v>2560</v>
      </c>
      <c r="D374" s="16">
        <v>66.0</v>
      </c>
    </row>
    <row r="375">
      <c r="A375" s="8" t="s">
        <v>90</v>
      </c>
      <c r="B375" s="8" t="s">
        <v>333</v>
      </c>
      <c r="C375" s="18" t="s">
        <v>2558</v>
      </c>
      <c r="D375" s="16">
        <v>84.0</v>
      </c>
    </row>
    <row r="376">
      <c r="A376" s="8" t="s">
        <v>90</v>
      </c>
      <c r="B376" s="18" t="s">
        <v>1122</v>
      </c>
      <c r="C376" s="18" t="s">
        <v>2567</v>
      </c>
      <c r="D376" s="16">
        <v>64.0</v>
      </c>
    </row>
    <row r="377">
      <c r="A377" s="8" t="s">
        <v>90</v>
      </c>
      <c r="B377" s="8" t="s">
        <v>137</v>
      </c>
      <c r="C377" s="18" t="s">
        <v>2558</v>
      </c>
      <c r="D377" s="16">
        <v>62.0</v>
      </c>
    </row>
    <row r="378">
      <c r="A378" s="8" t="s">
        <v>2732</v>
      </c>
      <c r="B378" s="8" t="s">
        <v>1046</v>
      </c>
      <c r="C378" s="18" t="s">
        <v>2592</v>
      </c>
      <c r="D378" s="16">
        <v>65.0</v>
      </c>
    </row>
    <row r="379">
      <c r="A379" s="8" t="s">
        <v>2733</v>
      </c>
      <c r="B379" s="8" t="s">
        <v>514</v>
      </c>
      <c r="C379" s="18" t="s">
        <v>2574</v>
      </c>
      <c r="D379" s="16">
        <v>67.0</v>
      </c>
    </row>
    <row r="380">
      <c r="A380" s="8" t="s">
        <v>165</v>
      </c>
      <c r="B380" s="8" t="s">
        <v>357</v>
      </c>
      <c r="C380" s="18" t="s">
        <v>2587</v>
      </c>
      <c r="D380" s="16">
        <v>82.0</v>
      </c>
    </row>
    <row r="381">
      <c r="A381" s="8" t="s">
        <v>165</v>
      </c>
      <c r="B381" s="8" t="s">
        <v>2734</v>
      </c>
      <c r="C381" s="18" t="s">
        <v>2587</v>
      </c>
      <c r="D381" s="16">
        <v>64.0</v>
      </c>
    </row>
    <row r="382">
      <c r="A382" s="8" t="s">
        <v>253</v>
      </c>
      <c r="B382" s="8" t="s">
        <v>127</v>
      </c>
      <c r="C382" s="18" t="s">
        <v>2600</v>
      </c>
      <c r="D382" s="16">
        <v>78.0</v>
      </c>
    </row>
    <row r="383">
      <c r="A383" s="8" t="s">
        <v>1737</v>
      </c>
      <c r="B383" s="8" t="s">
        <v>304</v>
      </c>
      <c r="C383" s="18" t="s">
        <v>2564</v>
      </c>
      <c r="D383" s="16">
        <v>78.0</v>
      </c>
    </row>
    <row r="384">
      <c r="A384" s="8" t="s">
        <v>874</v>
      </c>
      <c r="B384" s="18" t="s">
        <v>491</v>
      </c>
      <c r="C384" s="18" t="s">
        <v>2582</v>
      </c>
      <c r="D384" s="16">
        <v>72.0</v>
      </c>
    </row>
    <row r="385">
      <c r="A385" s="8" t="s">
        <v>2735</v>
      </c>
      <c r="B385" s="8" t="s">
        <v>2736</v>
      </c>
      <c r="C385" s="18" t="s">
        <v>2558</v>
      </c>
      <c r="D385" s="16">
        <v>82.0</v>
      </c>
    </row>
    <row r="386">
      <c r="A386" s="8" t="s">
        <v>1123</v>
      </c>
      <c r="B386" s="8" t="s">
        <v>1124</v>
      </c>
      <c r="C386" s="18" t="s">
        <v>2562</v>
      </c>
      <c r="D386" s="16">
        <v>87.0</v>
      </c>
    </row>
    <row r="387">
      <c r="A387" s="8" t="s">
        <v>1123</v>
      </c>
      <c r="B387" s="8" t="s">
        <v>1124</v>
      </c>
      <c r="C387" s="18" t="s">
        <v>2562</v>
      </c>
      <c r="D387" s="16">
        <v>91.0</v>
      </c>
    </row>
    <row r="388">
      <c r="A388" s="8" t="s">
        <v>2737</v>
      </c>
      <c r="B388" s="8" t="s">
        <v>2738</v>
      </c>
      <c r="C388" s="18" t="s">
        <v>2562</v>
      </c>
      <c r="D388" s="16">
        <v>70.0</v>
      </c>
    </row>
    <row r="389">
      <c r="A389" s="8" t="s">
        <v>496</v>
      </c>
      <c r="B389" s="8" t="s">
        <v>497</v>
      </c>
      <c r="C389" s="18" t="s">
        <v>2558</v>
      </c>
      <c r="D389" s="16">
        <v>81.0</v>
      </c>
    </row>
    <row r="390">
      <c r="A390" s="8" t="s">
        <v>661</v>
      </c>
      <c r="B390" s="8" t="s">
        <v>597</v>
      </c>
      <c r="C390" s="18" t="s">
        <v>2574</v>
      </c>
      <c r="D390" s="16">
        <v>75.0</v>
      </c>
    </row>
    <row r="391">
      <c r="A391" s="8" t="s">
        <v>1740</v>
      </c>
      <c r="B391" s="8" t="s">
        <v>1741</v>
      </c>
      <c r="C391" s="18" t="s">
        <v>2605</v>
      </c>
      <c r="D391" s="16">
        <v>79.0</v>
      </c>
    </row>
    <row r="392">
      <c r="A392" s="8" t="s">
        <v>1406</v>
      </c>
      <c r="B392" s="8" t="s">
        <v>127</v>
      </c>
      <c r="C392" s="18" t="s">
        <v>2585</v>
      </c>
      <c r="D392" s="16">
        <v>76.0</v>
      </c>
    </row>
    <row r="393">
      <c r="A393" s="8" t="s">
        <v>349</v>
      </c>
      <c r="B393" s="8" t="s">
        <v>1399</v>
      </c>
      <c r="C393" s="18" t="s">
        <v>2562</v>
      </c>
      <c r="D393" s="16">
        <v>78.0</v>
      </c>
    </row>
    <row r="394">
      <c r="A394" s="8" t="s">
        <v>349</v>
      </c>
      <c r="B394" s="8" t="s">
        <v>1125</v>
      </c>
      <c r="C394" s="18" t="s">
        <v>2584</v>
      </c>
      <c r="D394" s="16">
        <v>75.0</v>
      </c>
    </row>
    <row r="395">
      <c r="A395" s="8" t="s">
        <v>349</v>
      </c>
      <c r="B395" s="8" t="s">
        <v>111</v>
      </c>
      <c r="C395" s="18" t="s">
        <v>2589</v>
      </c>
      <c r="D395" s="16">
        <v>72.0</v>
      </c>
    </row>
    <row r="396">
      <c r="A396" s="8" t="s">
        <v>877</v>
      </c>
      <c r="B396" s="8" t="s">
        <v>121</v>
      </c>
      <c r="C396" s="18" t="s">
        <v>2595</v>
      </c>
      <c r="D396" s="16">
        <v>76.0</v>
      </c>
    </row>
    <row r="397">
      <c r="A397" s="8" t="s">
        <v>877</v>
      </c>
      <c r="B397" s="8" t="s">
        <v>304</v>
      </c>
      <c r="C397" s="18" t="s">
        <v>2615</v>
      </c>
      <c r="D397" s="16">
        <v>76.0</v>
      </c>
    </row>
    <row r="398">
      <c r="A398" s="8" t="s">
        <v>877</v>
      </c>
      <c r="B398" s="8" t="s">
        <v>381</v>
      </c>
      <c r="C398" s="18" t="s">
        <v>2603</v>
      </c>
      <c r="D398" s="16">
        <v>75.0</v>
      </c>
    </row>
    <row r="399">
      <c r="A399" s="8" t="s">
        <v>877</v>
      </c>
      <c r="B399" s="8" t="s">
        <v>1699</v>
      </c>
      <c r="C399" s="18" t="s">
        <v>2595</v>
      </c>
      <c r="D399" s="16">
        <v>73.0</v>
      </c>
    </row>
    <row r="400">
      <c r="A400" s="8" t="s">
        <v>877</v>
      </c>
      <c r="B400" s="8" t="s">
        <v>878</v>
      </c>
      <c r="C400" s="18" t="s">
        <v>2615</v>
      </c>
      <c r="D400" s="16">
        <v>71.0</v>
      </c>
    </row>
    <row r="401">
      <c r="A401" s="8" t="s">
        <v>877</v>
      </c>
      <c r="B401" s="8" t="s">
        <v>1126</v>
      </c>
      <c r="C401" s="18" t="s">
        <v>2598</v>
      </c>
      <c r="D401" s="16">
        <v>82.0</v>
      </c>
    </row>
    <row r="402">
      <c r="A402" s="8" t="s">
        <v>1407</v>
      </c>
      <c r="B402" s="8" t="s">
        <v>2739</v>
      </c>
      <c r="C402" s="18" t="s">
        <v>2552</v>
      </c>
      <c r="D402" s="16">
        <v>69.0</v>
      </c>
    </row>
    <row r="403">
      <c r="A403" s="8" t="s">
        <v>1407</v>
      </c>
      <c r="B403" s="8" t="s">
        <v>1408</v>
      </c>
      <c r="C403" s="18" t="s">
        <v>2615</v>
      </c>
      <c r="D403" s="16">
        <v>72.0</v>
      </c>
    </row>
    <row r="404">
      <c r="A404" s="8" t="s">
        <v>498</v>
      </c>
      <c r="B404" s="8" t="s">
        <v>100</v>
      </c>
      <c r="C404" s="18" t="s">
        <v>2575</v>
      </c>
      <c r="D404" s="16">
        <v>79.0</v>
      </c>
    </row>
    <row r="405">
      <c r="A405" s="8" t="s">
        <v>498</v>
      </c>
      <c r="B405" s="8" t="s">
        <v>1129</v>
      </c>
      <c r="C405" s="18" t="s">
        <v>2552</v>
      </c>
      <c r="D405" s="16">
        <v>74.0</v>
      </c>
    </row>
    <row r="406">
      <c r="A406" s="8" t="s">
        <v>498</v>
      </c>
      <c r="B406" s="18" t="s">
        <v>1127</v>
      </c>
      <c r="C406" s="18" t="s">
        <v>2614</v>
      </c>
      <c r="D406" s="16">
        <v>76.0</v>
      </c>
    </row>
    <row r="407">
      <c r="A407" s="8" t="s">
        <v>498</v>
      </c>
      <c r="B407" s="8" t="s">
        <v>1409</v>
      </c>
      <c r="C407" s="18" t="s">
        <v>2566</v>
      </c>
      <c r="D407" s="16">
        <v>87.0</v>
      </c>
    </row>
    <row r="408">
      <c r="A408" s="8" t="s">
        <v>498</v>
      </c>
      <c r="B408" s="8" t="s">
        <v>1409</v>
      </c>
      <c r="C408" s="18" t="s">
        <v>2566</v>
      </c>
      <c r="D408" s="16">
        <v>82.0</v>
      </c>
    </row>
    <row r="409">
      <c r="A409" s="8" t="s">
        <v>498</v>
      </c>
      <c r="B409" s="8" t="s">
        <v>1742</v>
      </c>
      <c r="C409" s="18" t="s">
        <v>2614</v>
      </c>
      <c r="D409" s="16">
        <v>70.0</v>
      </c>
    </row>
    <row r="410">
      <c r="A410" s="8" t="s">
        <v>2740</v>
      </c>
      <c r="B410" s="8" t="s">
        <v>499</v>
      </c>
      <c r="C410" s="18" t="s">
        <v>2615</v>
      </c>
      <c r="D410" s="16">
        <v>81.0</v>
      </c>
    </row>
    <row r="411">
      <c r="A411" s="8" t="s">
        <v>36</v>
      </c>
      <c r="B411" s="8" t="s">
        <v>109</v>
      </c>
      <c r="C411" s="18" t="s">
        <v>2615</v>
      </c>
      <c r="D411" s="16">
        <v>76.0</v>
      </c>
    </row>
    <row r="412">
      <c r="A412" s="8" t="s">
        <v>36</v>
      </c>
      <c r="B412" s="8" t="s">
        <v>37</v>
      </c>
      <c r="C412" s="18" t="s">
        <v>2183</v>
      </c>
      <c r="D412" s="16">
        <v>79.0</v>
      </c>
    </row>
    <row r="413">
      <c r="A413" s="8" t="s">
        <v>879</v>
      </c>
      <c r="B413" s="8" t="s">
        <v>98</v>
      </c>
      <c r="C413" s="18" t="s">
        <v>2562</v>
      </c>
      <c r="D413" s="16">
        <v>77.0</v>
      </c>
    </row>
    <row r="414">
      <c r="A414" s="8" t="s">
        <v>358</v>
      </c>
      <c r="B414" s="8" t="s">
        <v>15</v>
      </c>
      <c r="C414" s="18" t="s">
        <v>2552</v>
      </c>
      <c r="D414" s="16">
        <v>71.0</v>
      </c>
    </row>
    <row r="415">
      <c r="A415" s="8" t="s">
        <v>1410</v>
      </c>
      <c r="B415" s="8" t="s">
        <v>360</v>
      </c>
      <c r="C415" s="18" t="s">
        <v>2621</v>
      </c>
      <c r="D415" s="16">
        <v>83.0</v>
      </c>
    </row>
    <row r="416">
      <c r="A416" s="8" t="s">
        <v>1410</v>
      </c>
      <c r="B416" s="8" t="s">
        <v>360</v>
      </c>
      <c r="C416" s="18" t="s">
        <v>2621</v>
      </c>
      <c r="D416" s="16">
        <v>88.0</v>
      </c>
    </row>
    <row r="417">
      <c r="A417" s="8" t="s">
        <v>1410</v>
      </c>
      <c r="B417" s="8" t="s">
        <v>676</v>
      </c>
      <c r="C417" s="18" t="s">
        <v>2552</v>
      </c>
      <c r="D417" s="16">
        <v>67.0</v>
      </c>
    </row>
    <row r="418">
      <c r="A418" s="8" t="s">
        <v>1130</v>
      </c>
      <c r="B418" s="8" t="s">
        <v>275</v>
      </c>
      <c r="C418" s="18" t="s">
        <v>2183</v>
      </c>
      <c r="D418" s="16">
        <v>76.0</v>
      </c>
    </row>
    <row r="419">
      <c r="A419" s="8" t="s">
        <v>1130</v>
      </c>
      <c r="B419" s="8" t="s">
        <v>1743</v>
      </c>
      <c r="C419" s="18" t="s">
        <v>2556</v>
      </c>
      <c r="D419" s="16">
        <v>75.0</v>
      </c>
    </row>
    <row r="420">
      <c r="A420" s="8" t="s">
        <v>1744</v>
      </c>
      <c r="B420" s="8" t="s">
        <v>260</v>
      </c>
      <c r="C420" s="18" t="s">
        <v>2577</v>
      </c>
      <c r="D420" s="16">
        <v>72.0</v>
      </c>
    </row>
    <row r="421">
      <c r="A421" s="8" t="s">
        <v>2741</v>
      </c>
      <c r="B421" s="8" t="s">
        <v>275</v>
      </c>
      <c r="C421" s="18" t="s">
        <v>2592</v>
      </c>
      <c r="D421" s="16">
        <v>72.0</v>
      </c>
    </row>
    <row r="422">
      <c r="A422" s="8" t="s">
        <v>195</v>
      </c>
      <c r="B422" s="8" t="s">
        <v>1131</v>
      </c>
      <c r="C422" s="18" t="s">
        <v>2556</v>
      </c>
      <c r="D422" s="16">
        <v>68.0</v>
      </c>
    </row>
    <row r="423">
      <c r="A423" s="8" t="s">
        <v>195</v>
      </c>
      <c r="B423" s="8" t="s">
        <v>1644</v>
      </c>
      <c r="C423" s="18" t="s">
        <v>2552</v>
      </c>
      <c r="D423" s="16">
        <v>82.0</v>
      </c>
    </row>
    <row r="424">
      <c r="A424" s="8" t="s">
        <v>195</v>
      </c>
      <c r="B424" s="8" t="s">
        <v>196</v>
      </c>
      <c r="C424" s="18" t="s">
        <v>2556</v>
      </c>
      <c r="D424" s="16">
        <v>80.0</v>
      </c>
    </row>
    <row r="425">
      <c r="A425" s="8" t="s">
        <v>1745</v>
      </c>
      <c r="B425" s="8" t="s">
        <v>222</v>
      </c>
      <c r="C425" s="18" t="s">
        <v>2584</v>
      </c>
      <c r="D425" s="16">
        <v>76.0</v>
      </c>
    </row>
    <row r="426">
      <c r="A426" s="8" t="s">
        <v>1412</v>
      </c>
      <c r="B426" s="8" t="s">
        <v>1413</v>
      </c>
      <c r="C426" s="18" t="s">
        <v>2593</v>
      </c>
      <c r="D426" s="16">
        <v>83.0</v>
      </c>
    </row>
    <row r="427">
      <c r="A427" s="8" t="s">
        <v>500</v>
      </c>
      <c r="B427" s="8" t="s">
        <v>1411</v>
      </c>
      <c r="C427" s="18" t="s">
        <v>2556</v>
      </c>
      <c r="D427" s="16">
        <v>82.0</v>
      </c>
    </row>
    <row r="428">
      <c r="A428" s="8" t="s">
        <v>500</v>
      </c>
      <c r="B428" s="8" t="s">
        <v>1940</v>
      </c>
      <c r="C428" s="18" t="s">
        <v>2566</v>
      </c>
      <c r="D428" s="16">
        <v>64.0</v>
      </c>
    </row>
    <row r="429">
      <c r="A429" s="8" t="s">
        <v>500</v>
      </c>
      <c r="B429" s="8" t="s">
        <v>842</v>
      </c>
      <c r="C429" s="18" t="s">
        <v>2585</v>
      </c>
      <c r="D429" s="16">
        <v>77.0</v>
      </c>
    </row>
    <row r="430">
      <c r="A430" s="8" t="s">
        <v>500</v>
      </c>
      <c r="B430" s="8" t="s">
        <v>1746</v>
      </c>
      <c r="C430" s="18" t="s">
        <v>2593</v>
      </c>
      <c r="D430" s="16">
        <v>67.0</v>
      </c>
    </row>
    <row r="431">
      <c r="A431" s="8" t="s">
        <v>500</v>
      </c>
      <c r="B431" s="8" t="s">
        <v>596</v>
      </c>
      <c r="C431" s="18" t="s">
        <v>2560</v>
      </c>
      <c r="D431" s="16">
        <v>70.0</v>
      </c>
    </row>
    <row r="432">
      <c r="A432" s="8" t="s">
        <v>2742</v>
      </c>
      <c r="B432" s="8" t="s">
        <v>247</v>
      </c>
      <c r="C432" s="18" t="s">
        <v>2605</v>
      </c>
      <c r="D432" s="16">
        <v>73.0</v>
      </c>
    </row>
    <row r="433">
      <c r="A433" s="8" t="s">
        <v>662</v>
      </c>
      <c r="B433" s="8" t="s">
        <v>121</v>
      </c>
      <c r="C433" s="18" t="s">
        <v>2560</v>
      </c>
      <c r="D433" s="16">
        <v>68.0</v>
      </c>
    </row>
    <row r="434">
      <c r="A434" s="8" t="s">
        <v>2077</v>
      </c>
      <c r="B434" s="8" t="s">
        <v>464</v>
      </c>
      <c r="C434" s="18" t="s">
        <v>2615</v>
      </c>
      <c r="D434" s="16">
        <v>74.0</v>
      </c>
    </row>
    <row r="435">
      <c r="A435" s="8" t="s">
        <v>1414</v>
      </c>
      <c r="B435" s="8" t="s">
        <v>362</v>
      </c>
      <c r="C435" s="18" t="s">
        <v>2610</v>
      </c>
      <c r="D435" s="16">
        <v>69.0</v>
      </c>
    </row>
    <row r="436">
      <c r="A436" s="8" t="s">
        <v>1415</v>
      </c>
      <c r="B436" s="8" t="s">
        <v>1416</v>
      </c>
      <c r="C436" s="18" t="s">
        <v>2575</v>
      </c>
      <c r="D436" s="16">
        <v>71.0</v>
      </c>
    </row>
    <row r="437">
      <c r="A437" s="8" t="s">
        <v>1132</v>
      </c>
      <c r="B437" s="8" t="s">
        <v>647</v>
      </c>
      <c r="C437" s="18" t="s">
        <v>2593</v>
      </c>
      <c r="D437" s="16">
        <v>69.0</v>
      </c>
    </row>
    <row r="438">
      <c r="A438" s="8" t="s">
        <v>254</v>
      </c>
      <c r="B438" s="8" t="s">
        <v>255</v>
      </c>
      <c r="C438" s="18" t="s">
        <v>2552</v>
      </c>
      <c r="D438" s="16">
        <v>81.0</v>
      </c>
    </row>
    <row r="439">
      <c r="A439" s="8" t="s">
        <v>2322</v>
      </c>
      <c r="B439" s="8" t="s">
        <v>2323</v>
      </c>
      <c r="C439" s="18" t="s">
        <v>2562</v>
      </c>
      <c r="D439" s="16">
        <v>73.0</v>
      </c>
    </row>
    <row r="440">
      <c r="A440" s="8" t="s">
        <v>1417</v>
      </c>
      <c r="B440" s="8" t="s">
        <v>275</v>
      </c>
      <c r="C440" s="18" t="s">
        <v>2614</v>
      </c>
      <c r="D440" s="16">
        <v>65.0</v>
      </c>
    </row>
    <row r="441">
      <c r="A441" s="8" t="s">
        <v>1417</v>
      </c>
      <c r="B441" s="8" t="s">
        <v>726</v>
      </c>
      <c r="C441" s="18" t="s">
        <v>2562</v>
      </c>
      <c r="D441" s="16">
        <v>72.0</v>
      </c>
    </row>
    <row r="442">
      <c r="A442" s="8" t="s">
        <v>1748</v>
      </c>
      <c r="B442" s="8" t="s">
        <v>1749</v>
      </c>
      <c r="C442" s="18" t="s">
        <v>2605</v>
      </c>
      <c r="D442" s="16">
        <v>62.0</v>
      </c>
    </row>
    <row r="443">
      <c r="A443" s="8" t="s">
        <v>663</v>
      </c>
      <c r="B443" s="8" t="s">
        <v>260</v>
      </c>
      <c r="C443" s="18" t="s">
        <v>2556</v>
      </c>
      <c r="D443" s="16">
        <v>75.0</v>
      </c>
    </row>
    <row r="444">
      <c r="A444" s="8" t="s">
        <v>145</v>
      </c>
      <c r="B444" s="8" t="s">
        <v>354</v>
      </c>
      <c r="C444" s="18" t="s">
        <v>2574</v>
      </c>
      <c r="D444" s="16">
        <v>68.0</v>
      </c>
    </row>
    <row r="445">
      <c r="A445" s="8" t="s">
        <v>145</v>
      </c>
      <c r="B445" s="8" t="s">
        <v>1418</v>
      </c>
      <c r="C445" s="18" t="s">
        <v>2574</v>
      </c>
      <c r="D445" s="16">
        <v>64.0</v>
      </c>
    </row>
    <row r="446">
      <c r="A446" s="8" t="s">
        <v>145</v>
      </c>
      <c r="B446" s="8" t="s">
        <v>664</v>
      </c>
      <c r="C446" s="18" t="s">
        <v>2564</v>
      </c>
      <c r="D446" s="16">
        <v>87.0</v>
      </c>
    </row>
    <row r="447">
      <c r="A447" s="8" t="s">
        <v>2743</v>
      </c>
      <c r="B447" s="8" t="s">
        <v>243</v>
      </c>
      <c r="C447" s="18" t="s">
        <v>2585</v>
      </c>
      <c r="D447" s="16">
        <v>65.0</v>
      </c>
    </row>
    <row r="448">
      <c r="A448" s="8" t="s">
        <v>2744</v>
      </c>
      <c r="B448" s="8" t="s">
        <v>137</v>
      </c>
      <c r="C448" s="18" t="s">
        <v>2575</v>
      </c>
      <c r="D448" s="16">
        <v>82.0</v>
      </c>
    </row>
    <row r="449">
      <c r="A449" s="8" t="s">
        <v>1752</v>
      </c>
      <c r="B449" s="18" t="s">
        <v>1753</v>
      </c>
      <c r="C449" s="18" t="s">
        <v>2620</v>
      </c>
      <c r="D449" s="16">
        <v>75.0</v>
      </c>
    </row>
    <row r="450">
      <c r="A450" s="8" t="s">
        <v>359</v>
      </c>
      <c r="B450" s="8" t="s">
        <v>360</v>
      </c>
      <c r="C450" s="18" t="s">
        <v>2598</v>
      </c>
      <c r="D450" s="16">
        <v>66.0</v>
      </c>
    </row>
    <row r="451">
      <c r="A451" s="8" t="s">
        <v>359</v>
      </c>
      <c r="B451" s="8" t="s">
        <v>501</v>
      </c>
      <c r="C451" s="18" t="s">
        <v>2614</v>
      </c>
      <c r="D451" s="16">
        <v>78.0</v>
      </c>
    </row>
    <row r="452">
      <c r="A452" s="8" t="s">
        <v>1133</v>
      </c>
      <c r="B452" s="8" t="s">
        <v>1134</v>
      </c>
      <c r="C452" s="18" t="s">
        <v>2595</v>
      </c>
      <c r="D452" s="16">
        <v>81.0</v>
      </c>
    </row>
    <row r="453">
      <c r="A453" s="8" t="s">
        <v>2745</v>
      </c>
      <c r="B453" s="8" t="s">
        <v>2746</v>
      </c>
      <c r="C453" s="18" t="s">
        <v>2584</v>
      </c>
      <c r="D453" s="16">
        <v>65.0</v>
      </c>
    </row>
    <row r="454">
      <c r="A454" s="8" t="s">
        <v>1419</v>
      </c>
      <c r="B454" s="8" t="s">
        <v>45</v>
      </c>
      <c r="C454" s="18" t="s">
        <v>2587</v>
      </c>
      <c r="D454" s="16">
        <v>66.0</v>
      </c>
    </row>
    <row r="455">
      <c r="A455" s="8" t="s">
        <v>110</v>
      </c>
      <c r="B455" s="8" t="s">
        <v>111</v>
      </c>
      <c r="C455" s="18" t="s">
        <v>2558</v>
      </c>
      <c r="D455" s="16">
        <v>78.0</v>
      </c>
    </row>
    <row r="456">
      <c r="A456" s="8" t="s">
        <v>110</v>
      </c>
      <c r="B456" s="8" t="s">
        <v>836</v>
      </c>
      <c r="C456" s="18" t="s">
        <v>2554</v>
      </c>
      <c r="D456" s="16">
        <v>71.0</v>
      </c>
    </row>
    <row r="457">
      <c r="A457" s="8" t="s">
        <v>2747</v>
      </c>
      <c r="B457" s="8" t="s">
        <v>2748</v>
      </c>
      <c r="C457" s="18" t="s">
        <v>2592</v>
      </c>
      <c r="D457" s="16">
        <v>63.0</v>
      </c>
    </row>
    <row r="458">
      <c r="A458" s="8" t="s">
        <v>2749</v>
      </c>
      <c r="B458" s="8" t="s">
        <v>258</v>
      </c>
      <c r="C458" s="18" t="s">
        <v>2592</v>
      </c>
      <c r="D458" s="16">
        <v>62.0</v>
      </c>
    </row>
    <row r="459">
      <c r="A459" s="8" t="s">
        <v>2078</v>
      </c>
      <c r="B459" s="8" t="s">
        <v>1680</v>
      </c>
      <c r="C459" s="18" t="s">
        <v>2600</v>
      </c>
      <c r="D459" s="16">
        <v>71.0</v>
      </c>
    </row>
    <row r="460">
      <c r="A460" s="8" t="s">
        <v>2750</v>
      </c>
      <c r="B460" s="8" t="s">
        <v>349</v>
      </c>
      <c r="C460" s="18" t="s">
        <v>2600</v>
      </c>
      <c r="D460" s="16">
        <v>68.0</v>
      </c>
    </row>
    <row r="461">
      <c r="A461" s="8" t="s">
        <v>1135</v>
      </c>
      <c r="B461" s="8" t="s">
        <v>1136</v>
      </c>
      <c r="C461" s="18" t="s">
        <v>2582</v>
      </c>
      <c r="D461" s="16">
        <v>78.0</v>
      </c>
    </row>
    <row r="462">
      <c r="A462" s="8" t="s">
        <v>1137</v>
      </c>
      <c r="B462" s="8" t="s">
        <v>948</v>
      </c>
      <c r="C462" s="18" t="s">
        <v>2560</v>
      </c>
      <c r="D462" s="16">
        <v>77.0</v>
      </c>
    </row>
    <row r="463">
      <c r="A463" s="8" t="s">
        <v>1754</v>
      </c>
      <c r="B463" s="8" t="s">
        <v>1755</v>
      </c>
      <c r="C463" s="18" t="s">
        <v>2621</v>
      </c>
      <c r="D463" s="16">
        <v>73.0</v>
      </c>
    </row>
    <row r="464">
      <c r="A464" s="8" t="s">
        <v>1138</v>
      </c>
      <c r="B464" s="8" t="s">
        <v>162</v>
      </c>
      <c r="C464" s="18" t="s">
        <v>2572</v>
      </c>
      <c r="D464" s="16">
        <v>67.0</v>
      </c>
    </row>
    <row r="465">
      <c r="A465" s="8" t="s">
        <v>502</v>
      </c>
      <c r="B465" s="8" t="s">
        <v>503</v>
      </c>
      <c r="C465" s="18" t="s">
        <v>2605</v>
      </c>
      <c r="D465" s="16">
        <v>70.0</v>
      </c>
    </row>
    <row r="466">
      <c r="A466" s="8" t="s">
        <v>502</v>
      </c>
      <c r="B466" s="8" t="s">
        <v>1756</v>
      </c>
      <c r="C466" s="18" t="s">
        <v>2589</v>
      </c>
      <c r="D466" s="16">
        <v>67.0</v>
      </c>
    </row>
    <row r="467">
      <c r="A467" s="8" t="s">
        <v>502</v>
      </c>
      <c r="B467" s="8" t="s">
        <v>480</v>
      </c>
      <c r="C467" s="18" t="s">
        <v>2562</v>
      </c>
      <c r="D467" s="16">
        <v>80.0</v>
      </c>
    </row>
    <row r="468">
      <c r="A468" s="8" t="s">
        <v>1420</v>
      </c>
      <c r="B468" s="8" t="s">
        <v>381</v>
      </c>
      <c r="C468" s="18" t="s">
        <v>2615</v>
      </c>
      <c r="D468" s="16">
        <v>68.0</v>
      </c>
    </row>
    <row r="469">
      <c r="A469" s="8" t="s">
        <v>2751</v>
      </c>
      <c r="B469" s="8" t="s">
        <v>92</v>
      </c>
      <c r="C469" s="18" t="s">
        <v>2621</v>
      </c>
      <c r="D469" s="16">
        <v>78.0</v>
      </c>
    </row>
    <row r="470">
      <c r="A470" s="8" t="s">
        <v>1139</v>
      </c>
      <c r="B470" s="8" t="s">
        <v>102</v>
      </c>
      <c r="C470" s="18" t="s">
        <v>2554</v>
      </c>
      <c r="D470" s="16">
        <v>71.0</v>
      </c>
    </row>
    <row r="471">
      <c r="A471" s="8" t="s">
        <v>258</v>
      </c>
      <c r="B471" s="8" t="s">
        <v>43</v>
      </c>
      <c r="C471" s="18" t="s">
        <v>2610</v>
      </c>
      <c r="D471" s="16">
        <v>79.0</v>
      </c>
    </row>
    <row r="472">
      <c r="A472" s="8" t="s">
        <v>666</v>
      </c>
      <c r="B472" s="8" t="s">
        <v>263</v>
      </c>
      <c r="C472" s="18" t="s">
        <v>2577</v>
      </c>
      <c r="D472" s="16">
        <v>73.0</v>
      </c>
    </row>
    <row r="473">
      <c r="A473" s="8" t="s">
        <v>197</v>
      </c>
      <c r="B473" s="8" t="s">
        <v>198</v>
      </c>
      <c r="C473" s="18" t="s">
        <v>2605</v>
      </c>
      <c r="D473" s="16">
        <v>70.0</v>
      </c>
    </row>
    <row r="474">
      <c r="A474" s="8" t="s">
        <v>361</v>
      </c>
      <c r="B474" s="8" t="s">
        <v>1338</v>
      </c>
      <c r="C474" s="18" t="s">
        <v>2567</v>
      </c>
      <c r="D474" s="16">
        <v>68.0</v>
      </c>
    </row>
    <row r="475">
      <c r="A475" s="8" t="s">
        <v>361</v>
      </c>
      <c r="B475" s="8" t="s">
        <v>260</v>
      </c>
      <c r="C475" s="18" t="s">
        <v>2605</v>
      </c>
      <c r="D475" s="16">
        <v>74.0</v>
      </c>
    </row>
    <row r="476">
      <c r="A476" s="8" t="s">
        <v>361</v>
      </c>
      <c r="B476" s="8" t="s">
        <v>2752</v>
      </c>
      <c r="C476" s="18" t="s">
        <v>2645</v>
      </c>
      <c r="D476" s="16">
        <v>66.0</v>
      </c>
    </row>
    <row r="477">
      <c r="A477" s="8" t="s">
        <v>361</v>
      </c>
      <c r="B477" s="8" t="s">
        <v>183</v>
      </c>
      <c r="C477" s="18" t="s">
        <v>2558</v>
      </c>
      <c r="D477" s="16">
        <v>84.0</v>
      </c>
    </row>
    <row r="478">
      <c r="A478" s="8" t="s">
        <v>361</v>
      </c>
      <c r="B478" s="8" t="s">
        <v>183</v>
      </c>
      <c r="C478" s="18" t="s">
        <v>2558</v>
      </c>
      <c r="D478" s="16">
        <v>88.0</v>
      </c>
    </row>
    <row r="479">
      <c r="A479" s="8" t="s">
        <v>2753</v>
      </c>
      <c r="B479" s="8" t="s">
        <v>2754</v>
      </c>
      <c r="C479" s="18" t="s">
        <v>2645</v>
      </c>
      <c r="D479" s="16">
        <v>85.0</v>
      </c>
    </row>
    <row r="480">
      <c r="A480" s="8" t="s">
        <v>2753</v>
      </c>
      <c r="B480" s="8" t="s">
        <v>2754</v>
      </c>
      <c r="C480" s="18" t="s">
        <v>2645</v>
      </c>
      <c r="D480" s="16">
        <v>75.0</v>
      </c>
    </row>
    <row r="481">
      <c r="A481" s="8" t="s">
        <v>2755</v>
      </c>
      <c r="B481" s="8" t="s">
        <v>2756</v>
      </c>
      <c r="C481" s="18" t="s">
        <v>2603</v>
      </c>
      <c r="D481" s="16">
        <v>72.0</v>
      </c>
    </row>
    <row r="482">
      <c r="A482" s="8" t="s">
        <v>1421</v>
      </c>
      <c r="B482" s="8" t="s">
        <v>1091</v>
      </c>
      <c r="C482" s="18" t="s">
        <v>2564</v>
      </c>
      <c r="D482" s="16">
        <v>82.0</v>
      </c>
    </row>
    <row r="483">
      <c r="A483" s="8" t="s">
        <v>504</v>
      </c>
      <c r="B483" s="8" t="s">
        <v>505</v>
      </c>
      <c r="C483" s="18" t="s">
        <v>2584</v>
      </c>
      <c r="D483" s="16">
        <v>80.0</v>
      </c>
    </row>
    <row r="484">
      <c r="A484" s="8" t="s">
        <v>2757</v>
      </c>
      <c r="B484" s="8" t="s">
        <v>2758</v>
      </c>
      <c r="C484" s="18" t="s">
        <v>2645</v>
      </c>
      <c r="D484" s="16">
        <v>61.0</v>
      </c>
    </row>
    <row r="485">
      <c r="A485" s="8" t="s">
        <v>2326</v>
      </c>
      <c r="B485" s="8" t="s">
        <v>41</v>
      </c>
      <c r="C485" s="18" t="s">
        <v>2560</v>
      </c>
      <c r="D485" s="16">
        <v>77.0</v>
      </c>
    </row>
    <row r="486">
      <c r="A486" s="8" t="s">
        <v>1757</v>
      </c>
      <c r="B486" s="18" t="s">
        <v>1758</v>
      </c>
      <c r="C486" s="18" t="s">
        <v>2562</v>
      </c>
      <c r="D486" s="16">
        <v>66.0</v>
      </c>
    </row>
    <row r="487">
      <c r="A487" s="8" t="s">
        <v>1757</v>
      </c>
      <c r="B487" s="8" t="s">
        <v>247</v>
      </c>
      <c r="C487" s="18" t="s">
        <v>2595</v>
      </c>
      <c r="D487" s="16">
        <v>77.0</v>
      </c>
    </row>
    <row r="488">
      <c r="A488" s="8" t="s">
        <v>506</v>
      </c>
      <c r="B488" s="8" t="s">
        <v>507</v>
      </c>
      <c r="C488" s="18" t="s">
        <v>2592</v>
      </c>
      <c r="D488" s="16">
        <v>88.0</v>
      </c>
    </row>
    <row r="489">
      <c r="A489" s="8" t="s">
        <v>61</v>
      </c>
      <c r="B489" s="8" t="s">
        <v>464</v>
      </c>
      <c r="C489" s="18" t="s">
        <v>2603</v>
      </c>
      <c r="D489" s="16">
        <v>70.0</v>
      </c>
    </row>
    <row r="490">
      <c r="A490" s="8" t="s">
        <v>61</v>
      </c>
      <c r="B490" s="8" t="s">
        <v>881</v>
      </c>
      <c r="C490" s="18" t="s">
        <v>2575</v>
      </c>
      <c r="D490" s="16">
        <v>70.0</v>
      </c>
    </row>
    <row r="491">
      <c r="A491" s="8" t="s">
        <v>61</v>
      </c>
      <c r="B491" s="8" t="s">
        <v>1351</v>
      </c>
      <c r="C491" s="18" t="s">
        <v>2592</v>
      </c>
      <c r="D491" s="16">
        <v>72.0</v>
      </c>
    </row>
    <row r="492">
      <c r="A492" s="8" t="s">
        <v>61</v>
      </c>
      <c r="B492" s="8" t="s">
        <v>362</v>
      </c>
      <c r="C492" s="18" t="s">
        <v>2584</v>
      </c>
      <c r="D492" s="16">
        <v>75.0</v>
      </c>
    </row>
    <row r="493">
      <c r="A493" s="8" t="s">
        <v>61</v>
      </c>
      <c r="B493" s="8" t="s">
        <v>304</v>
      </c>
      <c r="C493" s="18" t="s">
        <v>2621</v>
      </c>
      <c r="D493" s="16">
        <v>78.0</v>
      </c>
    </row>
    <row r="494">
      <c r="A494" s="8" t="s">
        <v>61</v>
      </c>
      <c r="B494" s="8" t="s">
        <v>363</v>
      </c>
      <c r="C494" s="18" t="s">
        <v>2595</v>
      </c>
      <c r="D494" s="16">
        <v>84.0</v>
      </c>
    </row>
    <row r="495">
      <c r="A495" s="8" t="s">
        <v>61</v>
      </c>
      <c r="B495" s="8" t="s">
        <v>882</v>
      </c>
      <c r="C495" s="18" t="s">
        <v>2572</v>
      </c>
      <c r="D495" s="16">
        <v>67.0</v>
      </c>
    </row>
    <row r="496">
      <c r="A496" s="8" t="s">
        <v>61</v>
      </c>
      <c r="B496" s="8" t="s">
        <v>2080</v>
      </c>
      <c r="C496" s="18" t="s">
        <v>2554</v>
      </c>
      <c r="D496" s="16">
        <v>76.0</v>
      </c>
    </row>
    <row r="497">
      <c r="A497" s="8" t="s">
        <v>61</v>
      </c>
      <c r="B497" s="8" t="s">
        <v>884</v>
      </c>
      <c r="C497" s="18" t="s">
        <v>2581</v>
      </c>
      <c r="D497" s="16">
        <v>70.0</v>
      </c>
    </row>
    <row r="498">
      <c r="A498" s="8" t="s">
        <v>61</v>
      </c>
      <c r="B498" s="8" t="s">
        <v>381</v>
      </c>
      <c r="C498" s="18" t="s">
        <v>2593</v>
      </c>
      <c r="D498" s="16">
        <v>66.0</v>
      </c>
    </row>
    <row r="499">
      <c r="A499" s="8" t="s">
        <v>61</v>
      </c>
      <c r="B499" s="8" t="s">
        <v>137</v>
      </c>
      <c r="C499" s="18" t="s">
        <v>2572</v>
      </c>
      <c r="D499" s="16">
        <v>66.0</v>
      </c>
    </row>
    <row r="500">
      <c r="A500" s="8" t="s">
        <v>61</v>
      </c>
      <c r="B500" s="8" t="s">
        <v>183</v>
      </c>
      <c r="C500" s="18" t="s">
        <v>2603</v>
      </c>
      <c r="D500" s="16">
        <v>73.0</v>
      </c>
    </row>
    <row r="501">
      <c r="A501" s="8" t="s">
        <v>61</v>
      </c>
      <c r="B501" s="8" t="s">
        <v>1173</v>
      </c>
      <c r="C501" s="18" t="s">
        <v>2598</v>
      </c>
      <c r="D501" s="16">
        <v>64.0</v>
      </c>
    </row>
    <row r="502">
      <c r="A502" s="8" t="s">
        <v>61</v>
      </c>
      <c r="B502" s="8" t="s">
        <v>337</v>
      </c>
      <c r="C502" s="18" t="s">
        <v>2582</v>
      </c>
      <c r="D502" s="16">
        <v>68.0</v>
      </c>
    </row>
    <row r="503">
      <c r="A503" s="8" t="s">
        <v>61</v>
      </c>
      <c r="B503" s="8" t="s">
        <v>67</v>
      </c>
      <c r="C503" s="18" t="s">
        <v>2645</v>
      </c>
      <c r="D503" s="16">
        <v>69.0</v>
      </c>
    </row>
    <row r="504">
      <c r="A504" s="8" t="s">
        <v>61</v>
      </c>
      <c r="B504" s="8" t="s">
        <v>162</v>
      </c>
      <c r="C504" s="18" t="s">
        <v>2577</v>
      </c>
      <c r="D504" s="16">
        <v>73.0</v>
      </c>
    </row>
    <row r="505">
      <c r="A505" s="8" t="s">
        <v>61</v>
      </c>
      <c r="B505" s="8" t="s">
        <v>883</v>
      </c>
      <c r="C505" s="18" t="s">
        <v>2620</v>
      </c>
      <c r="D505" s="16">
        <v>77.0</v>
      </c>
    </row>
    <row r="506">
      <c r="A506" s="8" t="s">
        <v>61</v>
      </c>
      <c r="B506" s="8" t="s">
        <v>1028</v>
      </c>
      <c r="C506" s="18" t="s">
        <v>2558</v>
      </c>
      <c r="D506" s="16">
        <v>70.0</v>
      </c>
    </row>
    <row r="507">
      <c r="A507" s="8" t="s">
        <v>61</v>
      </c>
      <c r="B507" s="8" t="s">
        <v>84</v>
      </c>
      <c r="C507" s="18" t="s">
        <v>2582</v>
      </c>
      <c r="D507" s="16">
        <v>80.0</v>
      </c>
    </row>
    <row r="508">
      <c r="A508" s="8" t="s">
        <v>61</v>
      </c>
      <c r="B508" s="8" t="s">
        <v>84</v>
      </c>
      <c r="C508" s="18" t="s">
        <v>2582</v>
      </c>
      <c r="D508" s="16">
        <v>86.0</v>
      </c>
    </row>
    <row r="509">
      <c r="A509" s="8" t="s">
        <v>61</v>
      </c>
      <c r="B509" s="8" t="s">
        <v>2759</v>
      </c>
      <c r="C509" s="18" t="s">
        <v>2587</v>
      </c>
      <c r="D509" s="16">
        <v>78.0</v>
      </c>
    </row>
    <row r="510">
      <c r="A510" s="8" t="s">
        <v>2760</v>
      </c>
      <c r="B510" s="8" t="s">
        <v>62</v>
      </c>
      <c r="C510" s="18" t="s">
        <v>2574</v>
      </c>
      <c r="D510" s="16">
        <v>83.0</v>
      </c>
    </row>
    <row r="511">
      <c r="A511" s="8" t="s">
        <v>1140</v>
      </c>
      <c r="B511" s="8" t="s">
        <v>1141</v>
      </c>
      <c r="C511" s="18" t="s">
        <v>2595</v>
      </c>
      <c r="D511" s="16">
        <v>77.0</v>
      </c>
    </row>
    <row r="512">
      <c r="A512" s="8" t="s">
        <v>1422</v>
      </c>
      <c r="B512" s="8" t="s">
        <v>744</v>
      </c>
      <c r="C512" s="18" t="s">
        <v>2587</v>
      </c>
      <c r="D512" s="16">
        <v>78.0</v>
      </c>
    </row>
    <row r="513">
      <c r="A513" s="8" t="s">
        <v>2081</v>
      </c>
      <c r="B513" s="8" t="s">
        <v>2124</v>
      </c>
      <c r="C513" s="18" t="s">
        <v>2589</v>
      </c>
      <c r="D513" s="16">
        <v>78.0</v>
      </c>
    </row>
    <row r="514">
      <c r="A514" s="8" t="s">
        <v>2761</v>
      </c>
      <c r="B514" s="8" t="s">
        <v>1486</v>
      </c>
      <c r="C514" s="18" t="s">
        <v>2600</v>
      </c>
      <c r="D514" s="16">
        <v>73.0</v>
      </c>
    </row>
    <row r="515">
      <c r="A515" s="8" t="s">
        <v>1424</v>
      </c>
      <c r="B515" s="8" t="s">
        <v>1457</v>
      </c>
      <c r="C515" s="18" t="s">
        <v>2558</v>
      </c>
      <c r="D515" s="16">
        <v>66.0</v>
      </c>
    </row>
    <row r="516">
      <c r="A516" s="8" t="s">
        <v>1424</v>
      </c>
      <c r="B516" s="8" t="s">
        <v>787</v>
      </c>
      <c r="C516" s="18" t="s">
        <v>2585</v>
      </c>
      <c r="D516" s="16">
        <v>73.0</v>
      </c>
    </row>
    <row r="517">
      <c r="A517" s="8" t="s">
        <v>1761</v>
      </c>
      <c r="B517" s="8" t="s">
        <v>176</v>
      </c>
      <c r="C517" s="18" t="s">
        <v>2615</v>
      </c>
      <c r="D517" s="16">
        <v>63.0</v>
      </c>
    </row>
    <row r="518">
      <c r="A518" s="8" t="s">
        <v>1427</v>
      </c>
      <c r="B518" s="8" t="s">
        <v>1267</v>
      </c>
      <c r="C518" s="18" t="s">
        <v>2566</v>
      </c>
      <c r="D518" s="16">
        <v>67.0</v>
      </c>
    </row>
    <row r="519">
      <c r="A519" s="8" t="s">
        <v>508</v>
      </c>
      <c r="B519" s="8" t="s">
        <v>506</v>
      </c>
      <c r="C519" s="18" t="s">
        <v>2577</v>
      </c>
      <c r="D519" s="16">
        <v>87.0</v>
      </c>
    </row>
    <row r="520">
      <c r="A520" s="8" t="s">
        <v>1428</v>
      </c>
      <c r="B520" s="8" t="s">
        <v>129</v>
      </c>
      <c r="C520" s="18" t="s">
        <v>2645</v>
      </c>
      <c r="D520" s="16">
        <v>61.0</v>
      </c>
    </row>
    <row r="521">
      <c r="A521" s="8" t="s">
        <v>1428</v>
      </c>
      <c r="B521" s="8" t="s">
        <v>441</v>
      </c>
      <c r="C521" s="18" t="s">
        <v>2554</v>
      </c>
      <c r="D521" s="16">
        <v>77.0</v>
      </c>
    </row>
    <row r="522">
      <c r="A522" s="8" t="s">
        <v>1142</v>
      </c>
      <c r="B522" s="8" t="s">
        <v>1143</v>
      </c>
      <c r="C522" s="18" t="s">
        <v>2562</v>
      </c>
      <c r="D522" s="16">
        <v>69.0</v>
      </c>
    </row>
    <row r="523">
      <c r="A523" s="8" t="s">
        <v>2083</v>
      </c>
      <c r="B523" s="8" t="s">
        <v>889</v>
      </c>
      <c r="C523" s="18" t="s">
        <v>2593</v>
      </c>
      <c r="D523" s="16">
        <v>69.0</v>
      </c>
    </row>
    <row r="524">
      <c r="A524" s="8" t="s">
        <v>885</v>
      </c>
      <c r="B524" s="8" t="s">
        <v>886</v>
      </c>
      <c r="C524" s="18" t="s">
        <v>2610</v>
      </c>
      <c r="D524" s="16">
        <v>77.0</v>
      </c>
    </row>
    <row r="525">
      <c r="A525" s="8" t="s">
        <v>2762</v>
      </c>
      <c r="B525" s="18" t="s">
        <v>269</v>
      </c>
      <c r="C525" s="18" t="s">
        <v>2581</v>
      </c>
      <c r="D525" s="16">
        <v>76.0</v>
      </c>
    </row>
    <row r="526">
      <c r="A526" s="8" t="s">
        <v>667</v>
      </c>
      <c r="B526" s="8" t="s">
        <v>668</v>
      </c>
      <c r="C526" s="18" t="s">
        <v>2567</v>
      </c>
      <c r="D526" s="16">
        <v>75.0</v>
      </c>
    </row>
    <row r="527">
      <c r="A527" s="8" t="s">
        <v>1144</v>
      </c>
      <c r="B527" s="8" t="s">
        <v>793</v>
      </c>
      <c r="C527" s="18" t="s">
        <v>2615</v>
      </c>
      <c r="D527" s="16">
        <v>76.0</v>
      </c>
    </row>
    <row r="528">
      <c r="A528" s="8" t="s">
        <v>259</v>
      </c>
      <c r="B528" s="8" t="s">
        <v>260</v>
      </c>
      <c r="C528" s="18" t="s">
        <v>2600</v>
      </c>
      <c r="D528" s="16">
        <v>83.0</v>
      </c>
    </row>
    <row r="529">
      <c r="A529" s="8" t="s">
        <v>262</v>
      </c>
      <c r="B529" s="8" t="s">
        <v>263</v>
      </c>
      <c r="C529" s="18" t="s">
        <v>2183</v>
      </c>
      <c r="D529" s="16">
        <v>68.0</v>
      </c>
    </row>
    <row r="530">
      <c r="A530" s="8" t="s">
        <v>200</v>
      </c>
      <c r="B530" s="8" t="s">
        <v>201</v>
      </c>
      <c r="C530" s="18" t="s">
        <v>2603</v>
      </c>
      <c r="D530" s="16">
        <v>74.0</v>
      </c>
    </row>
    <row r="531">
      <c r="A531" s="8" t="s">
        <v>200</v>
      </c>
      <c r="B531" s="8" t="s">
        <v>137</v>
      </c>
      <c r="C531" s="18" t="s">
        <v>2603</v>
      </c>
      <c r="D531" s="16">
        <v>79.0</v>
      </c>
    </row>
    <row r="532">
      <c r="A532" s="8" t="s">
        <v>2763</v>
      </c>
      <c r="B532" s="18" t="s">
        <v>159</v>
      </c>
      <c r="C532" s="18" t="s">
        <v>2620</v>
      </c>
      <c r="D532" s="16">
        <v>71.0</v>
      </c>
    </row>
    <row r="533">
      <c r="A533" s="8" t="s">
        <v>1147</v>
      </c>
      <c r="B533" s="8" t="s">
        <v>1148</v>
      </c>
      <c r="C533" s="18" t="s">
        <v>2554</v>
      </c>
      <c r="D533" s="16">
        <v>76.0</v>
      </c>
    </row>
    <row r="534">
      <c r="A534" s="8" t="s">
        <v>1147</v>
      </c>
      <c r="B534" s="8" t="s">
        <v>1429</v>
      </c>
      <c r="C534" s="18" t="s">
        <v>2552</v>
      </c>
      <c r="D534" s="16">
        <v>85.0</v>
      </c>
    </row>
    <row r="535">
      <c r="A535" s="8" t="s">
        <v>364</v>
      </c>
      <c r="B535" s="8" t="s">
        <v>194</v>
      </c>
      <c r="C535" s="18" t="s">
        <v>2587</v>
      </c>
      <c r="D535" s="16">
        <v>73.0</v>
      </c>
    </row>
    <row r="536">
      <c r="A536" s="8" t="s">
        <v>2088</v>
      </c>
      <c r="B536" s="8" t="s">
        <v>1046</v>
      </c>
      <c r="C536" s="18" t="s">
        <v>2603</v>
      </c>
      <c r="D536" s="16">
        <v>72.0</v>
      </c>
    </row>
    <row r="537">
      <c r="A537" s="8" t="s">
        <v>1149</v>
      </c>
      <c r="B537" s="8" t="s">
        <v>121</v>
      </c>
      <c r="C537" s="18" t="s">
        <v>2645</v>
      </c>
      <c r="D537" s="16">
        <v>64.0</v>
      </c>
    </row>
    <row r="538">
      <c r="A538" s="8" t="s">
        <v>1149</v>
      </c>
      <c r="B538" s="8" t="s">
        <v>892</v>
      </c>
      <c r="C538" s="18" t="s">
        <v>2575</v>
      </c>
      <c r="D538" s="16">
        <v>74.0</v>
      </c>
    </row>
    <row r="539">
      <c r="A539" s="8" t="s">
        <v>1149</v>
      </c>
      <c r="B539" s="8" t="s">
        <v>421</v>
      </c>
      <c r="C539" s="18" t="s">
        <v>2566</v>
      </c>
      <c r="D539" s="16">
        <v>75.0</v>
      </c>
    </row>
    <row r="540">
      <c r="A540" s="8" t="s">
        <v>1766</v>
      </c>
      <c r="B540" s="8" t="s">
        <v>1283</v>
      </c>
      <c r="C540" s="18" t="s">
        <v>2577</v>
      </c>
      <c r="D540" s="16">
        <v>73.0</v>
      </c>
    </row>
    <row r="541">
      <c r="A541" s="8" t="s">
        <v>1150</v>
      </c>
      <c r="B541" s="8" t="s">
        <v>301</v>
      </c>
      <c r="C541" s="18" t="s">
        <v>2582</v>
      </c>
      <c r="D541" s="16">
        <v>77.0</v>
      </c>
    </row>
    <row r="542">
      <c r="A542" s="8" t="s">
        <v>2764</v>
      </c>
      <c r="B542" s="8" t="s">
        <v>119</v>
      </c>
      <c r="C542" s="18" t="s">
        <v>2621</v>
      </c>
      <c r="D542" s="16">
        <v>75.0</v>
      </c>
    </row>
    <row r="543">
      <c r="A543" s="8" t="s">
        <v>2765</v>
      </c>
      <c r="B543" s="8" t="s">
        <v>1399</v>
      </c>
      <c r="C543" s="18" t="s">
        <v>2560</v>
      </c>
      <c r="D543" s="16">
        <v>68.0</v>
      </c>
    </row>
    <row r="544">
      <c r="A544" s="8" t="s">
        <v>669</v>
      </c>
      <c r="B544" s="8" t="s">
        <v>98</v>
      </c>
      <c r="C544" s="18" t="s">
        <v>2593</v>
      </c>
      <c r="D544" s="16">
        <v>89.0</v>
      </c>
    </row>
    <row r="545">
      <c r="A545" s="8" t="s">
        <v>887</v>
      </c>
      <c r="B545" s="8" t="s">
        <v>55</v>
      </c>
      <c r="C545" s="18" t="s">
        <v>2575</v>
      </c>
      <c r="D545" s="16">
        <v>62.0</v>
      </c>
    </row>
    <row r="546">
      <c r="A546" s="8" t="s">
        <v>2090</v>
      </c>
      <c r="B546" s="8" t="s">
        <v>961</v>
      </c>
      <c r="C546" s="18" t="s">
        <v>2558</v>
      </c>
      <c r="D546" s="16">
        <v>64.0</v>
      </c>
    </row>
    <row r="547">
      <c r="A547" s="8" t="s">
        <v>1151</v>
      </c>
      <c r="B547" s="8" t="s">
        <v>1152</v>
      </c>
      <c r="C547" s="18" t="s">
        <v>2589</v>
      </c>
      <c r="D547" s="16">
        <v>62.0</v>
      </c>
    </row>
    <row r="548">
      <c r="A548" s="8" t="s">
        <v>1155</v>
      </c>
      <c r="B548" s="8" t="s">
        <v>690</v>
      </c>
      <c r="C548" s="18" t="s">
        <v>2600</v>
      </c>
      <c r="D548" s="16">
        <v>75.0</v>
      </c>
    </row>
    <row r="549">
      <c r="A549" s="8" t="s">
        <v>1430</v>
      </c>
      <c r="B549" s="8" t="s">
        <v>58</v>
      </c>
      <c r="C549" s="18" t="s">
        <v>2574</v>
      </c>
      <c r="D549" s="16">
        <v>64.0</v>
      </c>
    </row>
    <row r="550">
      <c r="A550" s="8" t="s">
        <v>147</v>
      </c>
      <c r="B550" s="8" t="s">
        <v>148</v>
      </c>
      <c r="C550" s="18" t="s">
        <v>2592</v>
      </c>
      <c r="D550" s="16">
        <v>84.0</v>
      </c>
    </row>
    <row r="551">
      <c r="A551" s="8" t="s">
        <v>888</v>
      </c>
      <c r="B551" s="8" t="s">
        <v>889</v>
      </c>
      <c r="C551" s="18" t="s">
        <v>2598</v>
      </c>
      <c r="D551" s="16">
        <v>66.0</v>
      </c>
    </row>
    <row r="552">
      <c r="A552" s="8" t="s">
        <v>888</v>
      </c>
      <c r="B552" s="8" t="s">
        <v>1769</v>
      </c>
      <c r="C552" s="18" t="s">
        <v>2564</v>
      </c>
      <c r="D552" s="16">
        <v>74.0</v>
      </c>
    </row>
    <row r="553">
      <c r="A553" s="8" t="s">
        <v>2091</v>
      </c>
      <c r="B553" s="8" t="s">
        <v>1096</v>
      </c>
      <c r="C553" s="18" t="s">
        <v>2552</v>
      </c>
      <c r="D553" s="16">
        <v>67.0</v>
      </c>
    </row>
    <row r="554">
      <c r="A554" s="8" t="s">
        <v>509</v>
      </c>
      <c r="B554" s="8" t="s">
        <v>360</v>
      </c>
      <c r="C554" s="18" t="s">
        <v>2567</v>
      </c>
      <c r="D554" s="16">
        <v>80.0</v>
      </c>
    </row>
    <row r="555">
      <c r="A555" s="8" t="s">
        <v>670</v>
      </c>
      <c r="B555" s="8" t="s">
        <v>671</v>
      </c>
      <c r="C555" s="18" t="s">
        <v>2560</v>
      </c>
      <c r="D555" s="16">
        <v>71.0</v>
      </c>
    </row>
    <row r="556">
      <c r="A556" s="8" t="s">
        <v>1431</v>
      </c>
      <c r="B556" s="8" t="s">
        <v>1432</v>
      </c>
      <c r="C556" s="18" t="s">
        <v>2581</v>
      </c>
      <c r="D556" s="16">
        <v>77.0</v>
      </c>
    </row>
    <row r="557">
      <c r="A557" s="8" t="s">
        <v>1156</v>
      </c>
      <c r="B557" s="8" t="s">
        <v>746</v>
      </c>
      <c r="C557" s="18" t="s">
        <v>2615</v>
      </c>
      <c r="D557" s="16">
        <v>70.0</v>
      </c>
    </row>
    <row r="558">
      <c r="A558" s="8" t="s">
        <v>1157</v>
      </c>
      <c r="B558" s="8" t="s">
        <v>712</v>
      </c>
      <c r="C558" s="18" t="s">
        <v>2610</v>
      </c>
      <c r="D558" s="16">
        <v>68.0</v>
      </c>
    </row>
    <row r="559">
      <c r="A559" s="8" t="s">
        <v>2766</v>
      </c>
      <c r="B559" s="8" t="s">
        <v>2767</v>
      </c>
      <c r="C559" s="18" t="s">
        <v>2562</v>
      </c>
      <c r="D559" s="16">
        <v>64.0</v>
      </c>
    </row>
    <row r="560">
      <c r="A560" s="8" t="s">
        <v>2768</v>
      </c>
      <c r="B560" s="8" t="s">
        <v>62</v>
      </c>
      <c r="C560" s="18" t="s">
        <v>2581</v>
      </c>
      <c r="D560" s="16">
        <v>64.0</v>
      </c>
    </row>
    <row r="561">
      <c r="A561" s="8" t="s">
        <v>264</v>
      </c>
      <c r="B561" s="8" t="s">
        <v>265</v>
      </c>
      <c r="C561" s="18" t="s">
        <v>2587</v>
      </c>
      <c r="D561" s="16">
        <v>76.0</v>
      </c>
    </row>
    <row r="562">
      <c r="A562" s="8" t="s">
        <v>1486</v>
      </c>
      <c r="B562" s="8" t="s">
        <v>464</v>
      </c>
      <c r="C562" s="18" t="s">
        <v>2574</v>
      </c>
      <c r="D562" s="16">
        <v>63.0</v>
      </c>
    </row>
    <row r="563">
      <c r="A563" s="8" t="s">
        <v>890</v>
      </c>
      <c r="B563" s="8" t="s">
        <v>804</v>
      </c>
      <c r="C563" s="18" t="s">
        <v>2582</v>
      </c>
      <c r="D563" s="16">
        <v>78.0</v>
      </c>
    </row>
    <row r="564">
      <c r="A564" s="8" t="s">
        <v>365</v>
      </c>
      <c r="B564" s="8" t="s">
        <v>366</v>
      </c>
      <c r="C564" s="18" t="s">
        <v>2610</v>
      </c>
      <c r="D564" s="16">
        <v>79.0</v>
      </c>
    </row>
    <row r="565">
      <c r="A565" s="8" t="s">
        <v>1158</v>
      </c>
      <c r="B565" s="8" t="s">
        <v>121</v>
      </c>
      <c r="C565" s="18" t="s">
        <v>2562</v>
      </c>
      <c r="D565" s="16">
        <v>70.0</v>
      </c>
    </row>
    <row r="566">
      <c r="A566" s="8" t="s">
        <v>2769</v>
      </c>
      <c r="B566" s="8" t="s">
        <v>2770</v>
      </c>
      <c r="C566" s="18" t="s">
        <v>2587</v>
      </c>
      <c r="D566" s="16">
        <v>68.0</v>
      </c>
    </row>
    <row r="567">
      <c r="A567" s="8" t="s">
        <v>1159</v>
      </c>
      <c r="B567" s="8" t="s">
        <v>1160</v>
      </c>
      <c r="C567" s="18" t="s">
        <v>2577</v>
      </c>
      <c r="D567" s="16">
        <v>76.0</v>
      </c>
    </row>
    <row r="568">
      <c r="A568" s="8" t="s">
        <v>1433</v>
      </c>
      <c r="B568" s="8" t="s">
        <v>1434</v>
      </c>
      <c r="C568" s="18" t="s">
        <v>2595</v>
      </c>
      <c r="D568" s="16">
        <v>64.0</v>
      </c>
    </row>
    <row r="569">
      <c r="A569" s="8" t="s">
        <v>672</v>
      </c>
      <c r="B569" s="8" t="s">
        <v>673</v>
      </c>
      <c r="C569" s="18" t="s">
        <v>2183</v>
      </c>
      <c r="D569" s="16">
        <v>79.0</v>
      </c>
    </row>
    <row r="570">
      <c r="A570" s="8" t="s">
        <v>674</v>
      </c>
      <c r="B570" s="8" t="s">
        <v>231</v>
      </c>
      <c r="C570" s="18" t="s">
        <v>2572</v>
      </c>
      <c r="D570" s="16">
        <v>64.0</v>
      </c>
    </row>
    <row r="571">
      <c r="A571" s="8" t="s">
        <v>2771</v>
      </c>
      <c r="B571" s="8" t="s">
        <v>2772</v>
      </c>
      <c r="C571" s="18" t="s">
        <v>2614</v>
      </c>
      <c r="D571" s="16">
        <v>75.0</v>
      </c>
    </row>
    <row r="572">
      <c r="A572" s="8" t="s">
        <v>2773</v>
      </c>
      <c r="B572" s="8" t="s">
        <v>172</v>
      </c>
      <c r="C572" s="18" t="s">
        <v>2593</v>
      </c>
      <c r="D572" s="16">
        <v>76.0</v>
      </c>
    </row>
    <row r="573">
      <c r="A573" s="8" t="s">
        <v>894</v>
      </c>
      <c r="B573" s="8" t="s">
        <v>231</v>
      </c>
      <c r="C573" s="18" t="s">
        <v>2552</v>
      </c>
      <c r="D573" s="16">
        <v>75.0</v>
      </c>
    </row>
    <row r="574">
      <c r="A574" s="8" t="s">
        <v>367</v>
      </c>
      <c r="B574" s="8" t="s">
        <v>317</v>
      </c>
      <c r="C574" s="18" t="s">
        <v>2600</v>
      </c>
      <c r="D574" s="16">
        <v>69.0</v>
      </c>
    </row>
    <row r="575">
      <c r="A575" s="8" t="s">
        <v>1161</v>
      </c>
      <c r="B575" s="8" t="s">
        <v>129</v>
      </c>
      <c r="C575" s="18" t="s">
        <v>2567</v>
      </c>
      <c r="D575" s="16">
        <v>81.0</v>
      </c>
    </row>
    <row r="576">
      <c r="A576" s="8" t="s">
        <v>1770</v>
      </c>
      <c r="B576" s="8" t="s">
        <v>1771</v>
      </c>
      <c r="C576" s="18" t="s">
        <v>2593</v>
      </c>
      <c r="D576" s="16">
        <v>77.0</v>
      </c>
    </row>
    <row r="577">
      <c r="A577" s="8" t="s">
        <v>150</v>
      </c>
      <c r="B577" s="8" t="s">
        <v>151</v>
      </c>
      <c r="C577" s="18" t="s">
        <v>2600</v>
      </c>
      <c r="D577" s="16">
        <v>84.0</v>
      </c>
    </row>
    <row r="578">
      <c r="A578" s="8" t="s">
        <v>2774</v>
      </c>
      <c r="B578" s="8" t="s">
        <v>748</v>
      </c>
      <c r="C578" s="18" t="s">
        <v>2552</v>
      </c>
      <c r="D578" s="16">
        <v>64.0</v>
      </c>
    </row>
    <row r="579">
      <c r="A579" s="8" t="s">
        <v>2092</v>
      </c>
      <c r="B579" s="8" t="s">
        <v>198</v>
      </c>
      <c r="C579" s="18" t="s">
        <v>2589</v>
      </c>
      <c r="D579" s="16">
        <v>68.0</v>
      </c>
    </row>
    <row r="580">
      <c r="A580" s="8" t="s">
        <v>1772</v>
      </c>
      <c r="B580" s="8" t="s">
        <v>77</v>
      </c>
      <c r="C580" s="18" t="s">
        <v>2577</v>
      </c>
      <c r="D580" s="16">
        <v>75.0</v>
      </c>
    </row>
    <row r="581">
      <c r="A581" s="8" t="s">
        <v>1772</v>
      </c>
      <c r="B581" s="8" t="s">
        <v>2465</v>
      </c>
      <c r="C581" s="18" t="s">
        <v>2587</v>
      </c>
      <c r="D581" s="16">
        <v>76.0</v>
      </c>
    </row>
    <row r="582">
      <c r="A582" s="8" t="s">
        <v>1772</v>
      </c>
      <c r="B582" s="8" t="s">
        <v>865</v>
      </c>
      <c r="C582" s="18" t="s">
        <v>2595</v>
      </c>
      <c r="D582" s="16">
        <v>68.0</v>
      </c>
    </row>
    <row r="583">
      <c r="A583" s="8" t="s">
        <v>895</v>
      </c>
      <c r="B583" s="8" t="s">
        <v>2775</v>
      </c>
      <c r="C583" s="18" t="s">
        <v>2614</v>
      </c>
      <c r="D583" s="16">
        <v>67.0</v>
      </c>
    </row>
    <row r="584">
      <c r="A584" s="8" t="s">
        <v>895</v>
      </c>
      <c r="B584" s="8" t="s">
        <v>896</v>
      </c>
      <c r="C584" s="18" t="s">
        <v>2560</v>
      </c>
      <c r="D584" s="16">
        <v>77.0</v>
      </c>
    </row>
    <row r="585">
      <c r="A585" s="8" t="s">
        <v>2776</v>
      </c>
      <c r="B585" s="8" t="s">
        <v>236</v>
      </c>
      <c r="C585" s="18" t="s">
        <v>2556</v>
      </c>
      <c r="D585" s="16">
        <v>75.0</v>
      </c>
    </row>
    <row r="586">
      <c r="A586" s="8" t="s">
        <v>2777</v>
      </c>
      <c r="B586" s="8" t="s">
        <v>1276</v>
      </c>
      <c r="C586" s="18" t="s">
        <v>2183</v>
      </c>
      <c r="D586" s="16">
        <v>68.0</v>
      </c>
    </row>
    <row r="587">
      <c r="A587" s="8" t="s">
        <v>675</v>
      </c>
      <c r="B587" s="8" t="s">
        <v>676</v>
      </c>
      <c r="C587" s="18" t="s">
        <v>2610</v>
      </c>
      <c r="D587" s="16">
        <v>82.0</v>
      </c>
    </row>
    <row r="588">
      <c r="A588" s="8" t="s">
        <v>675</v>
      </c>
      <c r="B588" s="8" t="s">
        <v>676</v>
      </c>
      <c r="C588" s="18" t="s">
        <v>2610</v>
      </c>
      <c r="D588" s="16">
        <v>87.0</v>
      </c>
    </row>
    <row r="589">
      <c r="A589" s="8" t="s">
        <v>1776</v>
      </c>
      <c r="B589" s="8" t="s">
        <v>1486</v>
      </c>
      <c r="C589" s="18" t="s">
        <v>2562</v>
      </c>
      <c r="D589" s="16">
        <v>69.0</v>
      </c>
    </row>
    <row r="590">
      <c r="A590" s="8" t="s">
        <v>1777</v>
      </c>
      <c r="B590" s="8" t="s">
        <v>464</v>
      </c>
      <c r="C590" s="18" t="s">
        <v>2572</v>
      </c>
      <c r="D590" s="16">
        <v>74.0</v>
      </c>
    </row>
    <row r="591">
      <c r="A591" s="8" t="s">
        <v>1436</v>
      </c>
      <c r="B591" s="8" t="s">
        <v>299</v>
      </c>
      <c r="C591" s="18" t="s">
        <v>2593</v>
      </c>
      <c r="D591" s="16">
        <v>67.0</v>
      </c>
    </row>
    <row r="592">
      <c r="A592" s="8" t="s">
        <v>1437</v>
      </c>
      <c r="B592" s="8" t="s">
        <v>771</v>
      </c>
      <c r="C592" s="18" t="s">
        <v>2552</v>
      </c>
      <c r="D592" s="16">
        <v>75.0</v>
      </c>
    </row>
    <row r="593">
      <c r="A593" s="8" t="s">
        <v>2778</v>
      </c>
      <c r="B593" s="8" t="s">
        <v>2779</v>
      </c>
      <c r="C593" s="18" t="s">
        <v>2183</v>
      </c>
      <c r="D593" s="16">
        <v>67.0</v>
      </c>
    </row>
    <row r="594">
      <c r="A594" s="8" t="s">
        <v>368</v>
      </c>
      <c r="B594" s="8" t="s">
        <v>249</v>
      </c>
      <c r="C594" s="18" t="s">
        <v>2562</v>
      </c>
      <c r="D594" s="16">
        <v>74.0</v>
      </c>
    </row>
    <row r="595">
      <c r="A595" s="8" t="s">
        <v>897</v>
      </c>
      <c r="B595" s="8" t="s">
        <v>943</v>
      </c>
      <c r="C595" s="18" t="s">
        <v>2603</v>
      </c>
      <c r="D595" s="16">
        <v>65.0</v>
      </c>
    </row>
    <row r="596">
      <c r="A596" s="8" t="s">
        <v>897</v>
      </c>
      <c r="B596" s="8" t="s">
        <v>2780</v>
      </c>
      <c r="C596" s="18" t="s">
        <v>2575</v>
      </c>
      <c r="D596" s="16">
        <v>69.0</v>
      </c>
    </row>
    <row r="597">
      <c r="A597" s="8" t="s">
        <v>897</v>
      </c>
      <c r="B597" s="8" t="s">
        <v>342</v>
      </c>
      <c r="C597" s="18" t="s">
        <v>2614</v>
      </c>
      <c r="D597" s="16">
        <v>86.0</v>
      </c>
    </row>
    <row r="598">
      <c r="A598" s="8" t="s">
        <v>897</v>
      </c>
      <c r="B598" s="8" t="s">
        <v>299</v>
      </c>
      <c r="C598" s="18" t="s">
        <v>2564</v>
      </c>
      <c r="D598" s="16">
        <v>83.0</v>
      </c>
    </row>
    <row r="599">
      <c r="A599" s="8" t="s">
        <v>897</v>
      </c>
      <c r="B599" s="8" t="s">
        <v>1162</v>
      </c>
      <c r="C599" s="18" t="s">
        <v>2592</v>
      </c>
      <c r="D599" s="16">
        <v>70.0</v>
      </c>
    </row>
    <row r="600">
      <c r="A600" s="8" t="s">
        <v>897</v>
      </c>
      <c r="B600" s="8" t="s">
        <v>898</v>
      </c>
      <c r="C600" s="18" t="s">
        <v>2595</v>
      </c>
      <c r="D600" s="16">
        <v>73.0</v>
      </c>
    </row>
    <row r="601">
      <c r="A601" s="8" t="s">
        <v>677</v>
      </c>
      <c r="B601" s="8" t="s">
        <v>224</v>
      </c>
      <c r="C601" s="18" t="s">
        <v>2584</v>
      </c>
      <c r="D601" s="16">
        <v>66.0</v>
      </c>
    </row>
    <row r="602">
      <c r="A602" s="8" t="s">
        <v>677</v>
      </c>
      <c r="B602" s="8" t="s">
        <v>381</v>
      </c>
      <c r="C602" s="18" t="s">
        <v>2556</v>
      </c>
      <c r="D602" s="16">
        <v>76.0</v>
      </c>
    </row>
    <row r="603">
      <c r="A603" s="8" t="s">
        <v>369</v>
      </c>
      <c r="B603" s="8" t="s">
        <v>370</v>
      </c>
      <c r="C603" s="18" t="s">
        <v>2566</v>
      </c>
      <c r="D603" s="16">
        <v>76.0</v>
      </c>
    </row>
    <row r="604">
      <c r="A604" s="8" t="s">
        <v>2781</v>
      </c>
      <c r="B604" s="8" t="s">
        <v>1053</v>
      </c>
      <c r="C604" s="18" t="s">
        <v>2581</v>
      </c>
      <c r="D604" s="16">
        <v>68.0</v>
      </c>
    </row>
    <row r="605">
      <c r="A605" s="8" t="s">
        <v>1780</v>
      </c>
      <c r="B605" s="8" t="s">
        <v>558</v>
      </c>
      <c r="C605" s="18" t="s">
        <v>2575</v>
      </c>
      <c r="D605" s="16">
        <v>66.0</v>
      </c>
    </row>
    <row r="606">
      <c r="A606" s="8" t="s">
        <v>2351</v>
      </c>
      <c r="B606" s="8" t="s">
        <v>214</v>
      </c>
      <c r="C606" s="18" t="s">
        <v>2572</v>
      </c>
      <c r="D606" s="16">
        <v>78.0</v>
      </c>
    </row>
    <row r="607">
      <c r="A607" s="8" t="s">
        <v>1781</v>
      </c>
      <c r="B607" s="8" t="s">
        <v>177</v>
      </c>
      <c r="C607" s="18" t="s">
        <v>2566</v>
      </c>
      <c r="D607" s="16">
        <v>81.0</v>
      </c>
    </row>
    <row r="608">
      <c r="A608" s="8" t="s">
        <v>899</v>
      </c>
      <c r="B608" s="8" t="s">
        <v>900</v>
      </c>
      <c r="C608" s="18" t="s">
        <v>2560</v>
      </c>
      <c r="D608" s="16">
        <v>77.0</v>
      </c>
    </row>
    <row r="609">
      <c r="A609" s="8" t="s">
        <v>1163</v>
      </c>
      <c r="B609" s="8" t="s">
        <v>100</v>
      </c>
      <c r="C609" s="18" t="s">
        <v>2610</v>
      </c>
      <c r="D609" s="16">
        <v>68.0</v>
      </c>
    </row>
    <row r="610">
      <c r="A610" s="8" t="s">
        <v>678</v>
      </c>
      <c r="B610" s="8" t="s">
        <v>480</v>
      </c>
      <c r="C610" s="18" t="s">
        <v>2564</v>
      </c>
      <c r="D610" s="16">
        <v>84.0</v>
      </c>
    </row>
    <row r="611">
      <c r="A611" s="8" t="s">
        <v>1438</v>
      </c>
      <c r="B611" s="8" t="s">
        <v>676</v>
      </c>
      <c r="C611" s="18" t="s">
        <v>2562</v>
      </c>
      <c r="D611" s="16">
        <v>64.0</v>
      </c>
    </row>
    <row r="612">
      <c r="A612" s="8" t="s">
        <v>901</v>
      </c>
      <c r="B612" s="8" t="s">
        <v>52</v>
      </c>
      <c r="C612" s="18" t="s">
        <v>2183</v>
      </c>
      <c r="D612" s="16">
        <v>70.0</v>
      </c>
    </row>
    <row r="613">
      <c r="A613" s="8" t="s">
        <v>2782</v>
      </c>
      <c r="B613" s="8" t="s">
        <v>2783</v>
      </c>
      <c r="C613" s="18" t="s">
        <v>2581</v>
      </c>
      <c r="D613" s="16">
        <v>73.0</v>
      </c>
    </row>
    <row r="614">
      <c r="A614" s="8" t="s">
        <v>1439</v>
      </c>
      <c r="B614" s="8" t="s">
        <v>134</v>
      </c>
      <c r="C614" s="18" t="s">
        <v>2600</v>
      </c>
      <c r="D614" s="16">
        <v>67.0</v>
      </c>
    </row>
    <row r="615">
      <c r="A615" s="8" t="s">
        <v>2784</v>
      </c>
      <c r="B615" s="8" t="s">
        <v>2785</v>
      </c>
      <c r="C615" s="18" t="s">
        <v>2566</v>
      </c>
      <c r="D615" s="16">
        <v>67.0</v>
      </c>
    </row>
    <row r="616">
      <c r="A616" s="8" t="s">
        <v>1164</v>
      </c>
      <c r="B616" s="8" t="s">
        <v>2786</v>
      </c>
      <c r="C616" s="18" t="s">
        <v>2645</v>
      </c>
      <c r="D616" s="16">
        <v>60.0</v>
      </c>
    </row>
    <row r="617">
      <c r="A617" s="8" t="s">
        <v>1164</v>
      </c>
      <c r="B617" s="8" t="s">
        <v>263</v>
      </c>
      <c r="C617" s="18" t="s">
        <v>2610</v>
      </c>
      <c r="D617" s="16">
        <v>66.0</v>
      </c>
    </row>
    <row r="618">
      <c r="A618" s="8" t="s">
        <v>1164</v>
      </c>
      <c r="B618" s="8" t="s">
        <v>381</v>
      </c>
      <c r="C618" s="18" t="s">
        <v>2592</v>
      </c>
      <c r="D618" s="16">
        <v>71.0</v>
      </c>
    </row>
    <row r="619">
      <c r="A619" s="8" t="s">
        <v>1164</v>
      </c>
      <c r="B619" s="8" t="s">
        <v>1165</v>
      </c>
      <c r="C619" s="18" t="s">
        <v>2558</v>
      </c>
      <c r="D619" s="16">
        <v>66.0</v>
      </c>
    </row>
    <row r="620">
      <c r="A620" s="8" t="s">
        <v>1164</v>
      </c>
      <c r="B620" s="8" t="s">
        <v>183</v>
      </c>
      <c r="C620" s="18" t="s">
        <v>2592</v>
      </c>
      <c r="D620" s="16">
        <v>84.0</v>
      </c>
    </row>
    <row r="621">
      <c r="A621" s="8" t="s">
        <v>1164</v>
      </c>
      <c r="B621" s="8" t="s">
        <v>585</v>
      </c>
      <c r="C621" s="18" t="s">
        <v>2621</v>
      </c>
      <c r="D621" s="16">
        <v>77.0</v>
      </c>
    </row>
    <row r="622">
      <c r="A622" s="8" t="s">
        <v>1164</v>
      </c>
      <c r="B622" s="8" t="s">
        <v>585</v>
      </c>
      <c r="C622" s="18" t="s">
        <v>2621</v>
      </c>
      <c r="D622" s="16">
        <v>87.0</v>
      </c>
    </row>
    <row r="623">
      <c r="A623" s="8" t="s">
        <v>902</v>
      </c>
      <c r="B623" s="8" t="s">
        <v>903</v>
      </c>
      <c r="C623" s="18" t="s">
        <v>2582</v>
      </c>
      <c r="D623" s="16">
        <v>62.0</v>
      </c>
    </row>
    <row r="624">
      <c r="A624" s="8" t="s">
        <v>902</v>
      </c>
      <c r="B624" s="8" t="s">
        <v>294</v>
      </c>
      <c r="C624" s="18" t="s">
        <v>2593</v>
      </c>
      <c r="D624" s="16">
        <v>76.0</v>
      </c>
    </row>
    <row r="625">
      <c r="A625" s="8" t="s">
        <v>1166</v>
      </c>
      <c r="B625" s="8" t="s">
        <v>212</v>
      </c>
      <c r="C625" s="18" t="s">
        <v>2615</v>
      </c>
      <c r="D625" s="16">
        <v>68.0</v>
      </c>
    </row>
    <row r="626">
      <c r="A626" s="8" t="s">
        <v>904</v>
      </c>
      <c r="B626" s="8" t="s">
        <v>905</v>
      </c>
      <c r="C626" s="18" t="s">
        <v>2558</v>
      </c>
      <c r="D626" s="16">
        <v>76.0</v>
      </c>
    </row>
    <row r="627">
      <c r="A627" s="8" t="s">
        <v>1440</v>
      </c>
      <c r="B627" s="18" t="s">
        <v>1441</v>
      </c>
      <c r="C627" s="18" t="s">
        <v>2562</v>
      </c>
      <c r="D627" s="16">
        <v>76.0</v>
      </c>
    </row>
    <row r="628">
      <c r="A628" s="8" t="s">
        <v>2787</v>
      </c>
      <c r="B628" s="8" t="s">
        <v>506</v>
      </c>
      <c r="C628" s="18" t="s">
        <v>2581</v>
      </c>
      <c r="D628" s="16">
        <v>67.0</v>
      </c>
    </row>
    <row r="629">
      <c r="A629" s="8" t="s">
        <v>1785</v>
      </c>
      <c r="B629" s="8" t="s">
        <v>320</v>
      </c>
      <c r="C629" s="18" t="s">
        <v>2621</v>
      </c>
      <c r="D629" s="16">
        <v>70.0</v>
      </c>
    </row>
    <row r="630">
      <c r="A630" s="8" t="s">
        <v>906</v>
      </c>
      <c r="B630" s="8" t="s">
        <v>546</v>
      </c>
      <c r="C630" s="18" t="s">
        <v>2603</v>
      </c>
      <c r="D630" s="16">
        <v>75.0</v>
      </c>
    </row>
    <row r="631">
      <c r="A631" s="8" t="s">
        <v>907</v>
      </c>
      <c r="B631" s="8" t="s">
        <v>908</v>
      </c>
      <c r="C631" s="18" t="s">
        <v>2567</v>
      </c>
      <c r="D631" s="16">
        <v>77.0</v>
      </c>
    </row>
    <row r="632">
      <c r="A632" s="8" t="s">
        <v>1787</v>
      </c>
      <c r="B632" s="8" t="s">
        <v>1788</v>
      </c>
      <c r="C632" s="18" t="s">
        <v>2560</v>
      </c>
      <c r="D632" s="16">
        <v>66.0</v>
      </c>
    </row>
    <row r="633">
      <c r="A633" s="8" t="s">
        <v>2788</v>
      </c>
      <c r="B633" s="8" t="s">
        <v>861</v>
      </c>
      <c r="C633" s="18" t="s">
        <v>2587</v>
      </c>
      <c r="D633" s="16">
        <v>66.0</v>
      </c>
    </row>
    <row r="634">
      <c r="A634" s="8" t="s">
        <v>1442</v>
      </c>
      <c r="B634" s="8" t="s">
        <v>241</v>
      </c>
      <c r="C634" s="18" t="s">
        <v>2572</v>
      </c>
      <c r="D634" s="16">
        <v>77.0</v>
      </c>
    </row>
    <row r="635">
      <c r="A635" s="8" t="s">
        <v>909</v>
      </c>
      <c r="B635" s="8" t="s">
        <v>33</v>
      </c>
      <c r="C635" s="18" t="s">
        <v>2577</v>
      </c>
      <c r="D635" s="16">
        <v>74.0</v>
      </c>
    </row>
    <row r="636">
      <c r="A636" s="8" t="s">
        <v>1168</v>
      </c>
      <c r="B636" s="8" t="s">
        <v>925</v>
      </c>
      <c r="C636" s="18" t="s">
        <v>2610</v>
      </c>
      <c r="D636" s="16">
        <v>66.0</v>
      </c>
    </row>
    <row r="637">
      <c r="A637" s="8" t="s">
        <v>910</v>
      </c>
      <c r="B637" s="8" t="s">
        <v>181</v>
      </c>
      <c r="C637" s="18" t="s">
        <v>2556</v>
      </c>
      <c r="D637" s="16">
        <v>70.0</v>
      </c>
    </row>
    <row r="638">
      <c r="A638" s="8" t="s">
        <v>152</v>
      </c>
      <c r="B638" s="8" t="s">
        <v>153</v>
      </c>
      <c r="C638" s="18" t="s">
        <v>2615</v>
      </c>
      <c r="D638" s="16">
        <v>75.0</v>
      </c>
    </row>
    <row r="639">
      <c r="A639" s="8" t="s">
        <v>1170</v>
      </c>
      <c r="B639" s="8" t="s">
        <v>301</v>
      </c>
      <c r="C639" s="18" t="s">
        <v>2567</v>
      </c>
      <c r="D639" s="16">
        <v>65.0</v>
      </c>
    </row>
    <row r="640">
      <c r="A640" s="8" t="s">
        <v>1169</v>
      </c>
      <c r="B640" s="8" t="s">
        <v>41</v>
      </c>
      <c r="C640" s="18" t="s">
        <v>2593</v>
      </c>
      <c r="D640" s="16">
        <v>75.0</v>
      </c>
    </row>
    <row r="641">
      <c r="A641" s="8" t="s">
        <v>911</v>
      </c>
      <c r="B641" s="18" t="s">
        <v>912</v>
      </c>
      <c r="C641" s="18" t="s">
        <v>2577</v>
      </c>
      <c r="D641" s="16">
        <v>75.0</v>
      </c>
    </row>
    <row r="642">
      <c r="A642" s="8" t="s">
        <v>681</v>
      </c>
      <c r="B642" s="8" t="s">
        <v>129</v>
      </c>
      <c r="C642" s="18" t="s">
        <v>2183</v>
      </c>
      <c r="D642" s="16">
        <v>77.0</v>
      </c>
    </row>
    <row r="643">
      <c r="A643" s="8" t="s">
        <v>681</v>
      </c>
      <c r="B643" s="8" t="s">
        <v>299</v>
      </c>
      <c r="C643" s="18" t="s">
        <v>2610</v>
      </c>
      <c r="D643" s="16">
        <v>74.0</v>
      </c>
    </row>
    <row r="644">
      <c r="A644" s="8" t="s">
        <v>1790</v>
      </c>
      <c r="B644" s="8" t="s">
        <v>1791</v>
      </c>
      <c r="C644" s="18" t="s">
        <v>2605</v>
      </c>
      <c r="D644" s="16">
        <v>66.0</v>
      </c>
    </row>
    <row r="645">
      <c r="A645" s="8" t="s">
        <v>63</v>
      </c>
      <c r="B645" s="8" t="s">
        <v>64</v>
      </c>
      <c r="C645" s="18" t="s">
        <v>2589</v>
      </c>
      <c r="D645" s="16">
        <v>86.0</v>
      </c>
    </row>
    <row r="646">
      <c r="A646" s="8" t="s">
        <v>66</v>
      </c>
      <c r="B646" s="8" t="s">
        <v>2341</v>
      </c>
      <c r="C646" s="18" t="s">
        <v>2581</v>
      </c>
      <c r="D646" s="16">
        <v>78.0</v>
      </c>
    </row>
    <row r="647">
      <c r="A647" s="8" t="s">
        <v>66</v>
      </c>
      <c r="B647" s="8" t="s">
        <v>67</v>
      </c>
      <c r="C647" s="18" t="s">
        <v>2592</v>
      </c>
      <c r="D647" s="16">
        <v>76.0</v>
      </c>
    </row>
    <row r="648">
      <c r="A648" s="8" t="s">
        <v>112</v>
      </c>
      <c r="B648" s="8" t="s">
        <v>102</v>
      </c>
      <c r="C648" s="18" t="s">
        <v>2575</v>
      </c>
      <c r="D648" s="16">
        <v>78.0</v>
      </c>
    </row>
    <row r="649">
      <c r="A649" s="8" t="s">
        <v>1171</v>
      </c>
      <c r="B649" s="8" t="s">
        <v>52</v>
      </c>
      <c r="C649" s="18" t="s">
        <v>2614</v>
      </c>
      <c r="D649" s="16">
        <v>78.0</v>
      </c>
    </row>
    <row r="650">
      <c r="A650" s="8" t="s">
        <v>913</v>
      </c>
      <c r="B650" s="8" t="s">
        <v>1443</v>
      </c>
      <c r="C650" s="18" t="s">
        <v>2566</v>
      </c>
      <c r="D650" s="16">
        <v>74.0</v>
      </c>
    </row>
    <row r="651">
      <c r="A651" s="8" t="s">
        <v>913</v>
      </c>
      <c r="B651" s="8" t="s">
        <v>914</v>
      </c>
      <c r="C651" s="18" t="s">
        <v>2600</v>
      </c>
      <c r="D651" s="16">
        <v>75.0</v>
      </c>
    </row>
    <row r="652">
      <c r="A652" s="8" t="s">
        <v>913</v>
      </c>
      <c r="B652" s="8" t="s">
        <v>1633</v>
      </c>
      <c r="C652" s="18" t="s">
        <v>2603</v>
      </c>
      <c r="D652" s="16">
        <v>66.0</v>
      </c>
    </row>
    <row r="653">
      <c r="A653" s="8" t="s">
        <v>913</v>
      </c>
      <c r="B653" s="8" t="s">
        <v>865</v>
      </c>
      <c r="C653" s="18" t="s">
        <v>2600</v>
      </c>
      <c r="D653" s="16">
        <v>81.0</v>
      </c>
    </row>
    <row r="654">
      <c r="A654" s="8" t="s">
        <v>510</v>
      </c>
      <c r="B654" s="8" t="s">
        <v>1172</v>
      </c>
      <c r="C654" s="18" t="s">
        <v>2605</v>
      </c>
      <c r="D654" s="16">
        <v>79.0</v>
      </c>
    </row>
    <row r="655">
      <c r="A655" s="8" t="s">
        <v>915</v>
      </c>
      <c r="B655" s="8" t="s">
        <v>506</v>
      </c>
      <c r="C655" s="18" t="s">
        <v>2621</v>
      </c>
      <c r="D655" s="16">
        <v>62.0</v>
      </c>
    </row>
    <row r="656">
      <c r="A656" s="8" t="s">
        <v>682</v>
      </c>
      <c r="B656" s="18" t="s">
        <v>529</v>
      </c>
      <c r="C656" s="18" t="s">
        <v>2603</v>
      </c>
      <c r="D656" s="16">
        <v>76.0</v>
      </c>
    </row>
    <row r="657">
      <c r="A657" s="8" t="s">
        <v>372</v>
      </c>
      <c r="B657" s="8" t="s">
        <v>231</v>
      </c>
      <c r="C657" s="18" t="s">
        <v>2564</v>
      </c>
      <c r="D657" s="16">
        <v>79.0</v>
      </c>
    </row>
    <row r="658">
      <c r="A658" s="8" t="s">
        <v>2789</v>
      </c>
      <c r="B658" s="8" t="s">
        <v>1917</v>
      </c>
      <c r="C658" s="18" t="s">
        <v>2552</v>
      </c>
      <c r="D658" s="16">
        <v>76.0</v>
      </c>
    </row>
    <row r="659">
      <c r="A659" s="8" t="s">
        <v>683</v>
      </c>
      <c r="B659" s="8" t="s">
        <v>684</v>
      </c>
      <c r="C659" s="18" t="s">
        <v>2183</v>
      </c>
      <c r="D659" s="16">
        <v>75.0</v>
      </c>
    </row>
    <row r="660">
      <c r="A660" s="8" t="s">
        <v>683</v>
      </c>
      <c r="B660" s="8" t="s">
        <v>1793</v>
      </c>
      <c r="C660" s="18" t="s">
        <v>2589</v>
      </c>
      <c r="D660" s="16">
        <v>73.0</v>
      </c>
    </row>
    <row r="661">
      <c r="A661" s="8" t="s">
        <v>2098</v>
      </c>
      <c r="B661" s="18" t="s">
        <v>2099</v>
      </c>
      <c r="C661" s="18" t="s">
        <v>2562</v>
      </c>
      <c r="D661" s="16">
        <v>73.0</v>
      </c>
    </row>
    <row r="662">
      <c r="A662" s="8" t="s">
        <v>511</v>
      </c>
      <c r="B662" s="18" t="s">
        <v>512</v>
      </c>
      <c r="C662" s="18" t="s">
        <v>2577</v>
      </c>
      <c r="D662" s="16">
        <v>73.0</v>
      </c>
    </row>
    <row r="663">
      <c r="A663" s="8" t="s">
        <v>154</v>
      </c>
      <c r="B663" s="18" t="s">
        <v>529</v>
      </c>
      <c r="C663" s="18" t="s">
        <v>2589</v>
      </c>
      <c r="D663" s="16">
        <v>68.0</v>
      </c>
    </row>
    <row r="664">
      <c r="A664" s="8" t="s">
        <v>154</v>
      </c>
      <c r="B664" s="8" t="s">
        <v>111</v>
      </c>
      <c r="C664" s="18" t="s">
        <v>2582</v>
      </c>
      <c r="D664" s="16">
        <v>76.0</v>
      </c>
    </row>
    <row r="665">
      <c r="A665" s="8" t="s">
        <v>154</v>
      </c>
      <c r="B665" s="8" t="s">
        <v>155</v>
      </c>
      <c r="C665" s="18" t="s">
        <v>2577</v>
      </c>
      <c r="D665" s="16">
        <v>78.0</v>
      </c>
    </row>
    <row r="666">
      <c r="A666" s="8" t="s">
        <v>154</v>
      </c>
      <c r="B666" s="8" t="s">
        <v>1444</v>
      </c>
      <c r="C666" s="18" t="s">
        <v>2585</v>
      </c>
      <c r="D666" s="16">
        <v>90.0</v>
      </c>
    </row>
    <row r="667">
      <c r="A667" s="8" t="s">
        <v>154</v>
      </c>
      <c r="B667" s="8" t="s">
        <v>1444</v>
      </c>
      <c r="C667" s="18" t="s">
        <v>2585</v>
      </c>
      <c r="D667" s="16">
        <v>85.0</v>
      </c>
    </row>
    <row r="668">
      <c r="A668" s="8" t="s">
        <v>2100</v>
      </c>
      <c r="B668" s="8" t="s">
        <v>2101</v>
      </c>
      <c r="C668" s="18" t="s">
        <v>2567</v>
      </c>
      <c r="D668" s="16">
        <v>72.0</v>
      </c>
    </row>
    <row r="669">
      <c r="A669" s="8" t="s">
        <v>1794</v>
      </c>
      <c r="B669" s="8" t="s">
        <v>1172</v>
      </c>
      <c r="C669" s="18" t="s">
        <v>2584</v>
      </c>
      <c r="D669" s="16">
        <v>84.0</v>
      </c>
    </row>
    <row r="670">
      <c r="A670" s="8" t="s">
        <v>685</v>
      </c>
      <c r="B670" s="8" t="s">
        <v>2790</v>
      </c>
      <c r="C670" s="18" t="s">
        <v>2603</v>
      </c>
      <c r="D670" s="16">
        <v>71.0</v>
      </c>
    </row>
    <row r="671">
      <c r="A671" s="8" t="s">
        <v>2791</v>
      </c>
      <c r="B671" s="8" t="s">
        <v>686</v>
      </c>
      <c r="C671" s="18" t="s">
        <v>2605</v>
      </c>
      <c r="D671" s="16">
        <v>72.0</v>
      </c>
    </row>
    <row r="672">
      <c r="A672" s="8" t="s">
        <v>2792</v>
      </c>
      <c r="B672" s="8" t="s">
        <v>1445</v>
      </c>
      <c r="C672" s="18" t="s">
        <v>2584</v>
      </c>
      <c r="D672" s="16">
        <v>75.0</v>
      </c>
    </row>
    <row r="673">
      <c r="A673" s="8" t="s">
        <v>1795</v>
      </c>
      <c r="B673" s="8" t="s">
        <v>146</v>
      </c>
      <c r="C673" s="18" t="s">
        <v>2593</v>
      </c>
      <c r="D673" s="16">
        <v>70.0</v>
      </c>
    </row>
    <row r="674">
      <c r="A674" s="8" t="s">
        <v>2793</v>
      </c>
      <c r="B674" s="18" t="s">
        <v>269</v>
      </c>
      <c r="C674" s="18" t="s">
        <v>2566</v>
      </c>
      <c r="D674" s="16">
        <v>63.0</v>
      </c>
    </row>
    <row r="675">
      <c r="A675" s="8" t="s">
        <v>1796</v>
      </c>
      <c r="B675" s="8" t="s">
        <v>2102</v>
      </c>
      <c r="C675" s="18" t="s">
        <v>2567</v>
      </c>
      <c r="D675" s="16">
        <v>69.0</v>
      </c>
    </row>
    <row r="676">
      <c r="A676" s="8" t="s">
        <v>2343</v>
      </c>
      <c r="B676" s="8" t="s">
        <v>23</v>
      </c>
      <c r="C676" s="18" t="s">
        <v>2593</v>
      </c>
      <c r="D676" s="16">
        <v>65.0</v>
      </c>
    </row>
    <row r="677">
      <c r="A677" s="8" t="s">
        <v>1446</v>
      </c>
      <c r="B677" s="8" t="s">
        <v>1283</v>
      </c>
      <c r="C677" s="18" t="s">
        <v>2577</v>
      </c>
      <c r="D677" s="16">
        <v>65.0</v>
      </c>
    </row>
    <row r="678">
      <c r="A678" s="8" t="s">
        <v>1446</v>
      </c>
      <c r="B678" s="8" t="s">
        <v>1447</v>
      </c>
      <c r="C678" s="18" t="s">
        <v>2614</v>
      </c>
      <c r="D678" s="16">
        <v>72.0</v>
      </c>
    </row>
    <row r="679">
      <c r="A679" s="8" t="s">
        <v>1446</v>
      </c>
      <c r="B679" s="8" t="s">
        <v>2794</v>
      </c>
      <c r="C679" s="18" t="s">
        <v>2574</v>
      </c>
      <c r="D679" s="16">
        <v>65.0</v>
      </c>
    </row>
    <row r="680">
      <c r="A680" s="8" t="s">
        <v>687</v>
      </c>
      <c r="B680" s="8" t="s">
        <v>472</v>
      </c>
      <c r="C680" s="18" t="s">
        <v>2614</v>
      </c>
      <c r="D680" s="16">
        <v>87.0</v>
      </c>
    </row>
    <row r="681">
      <c r="A681" s="8" t="s">
        <v>687</v>
      </c>
      <c r="B681" s="8" t="s">
        <v>472</v>
      </c>
      <c r="C681" s="18" t="s">
        <v>2614</v>
      </c>
      <c r="D681" s="16">
        <v>91.0</v>
      </c>
    </row>
    <row r="682">
      <c r="A682" s="8" t="s">
        <v>916</v>
      </c>
      <c r="B682" s="8" t="s">
        <v>917</v>
      </c>
      <c r="C682" s="18" t="s">
        <v>2598</v>
      </c>
      <c r="D682" s="16">
        <v>85.0</v>
      </c>
    </row>
    <row r="683">
      <c r="A683" s="8" t="s">
        <v>916</v>
      </c>
      <c r="B683" s="8" t="s">
        <v>2104</v>
      </c>
      <c r="C683" s="18" t="s">
        <v>2620</v>
      </c>
      <c r="D683" s="16">
        <v>74.0</v>
      </c>
    </row>
    <row r="684">
      <c r="A684" s="8" t="s">
        <v>2795</v>
      </c>
      <c r="B684" s="8" t="s">
        <v>842</v>
      </c>
      <c r="C684" s="18" t="s">
        <v>2554</v>
      </c>
      <c r="D684" s="16">
        <v>68.0</v>
      </c>
    </row>
    <row r="685">
      <c r="A685" s="8" t="s">
        <v>918</v>
      </c>
      <c r="B685" s="8" t="s">
        <v>961</v>
      </c>
      <c r="C685" s="18" t="s">
        <v>2183</v>
      </c>
      <c r="D685" s="16">
        <v>82.0</v>
      </c>
    </row>
    <row r="686">
      <c r="A686" s="8" t="s">
        <v>918</v>
      </c>
      <c r="B686" s="8" t="s">
        <v>214</v>
      </c>
      <c r="C686" s="18" t="s">
        <v>2562</v>
      </c>
      <c r="D686" s="16">
        <v>66.0</v>
      </c>
    </row>
    <row r="687">
      <c r="A687" s="8" t="s">
        <v>918</v>
      </c>
      <c r="B687" s="8" t="s">
        <v>214</v>
      </c>
      <c r="C687" s="18" t="s">
        <v>2605</v>
      </c>
      <c r="D687" s="16">
        <v>80.0</v>
      </c>
    </row>
    <row r="688">
      <c r="A688" s="8" t="s">
        <v>2796</v>
      </c>
      <c r="B688" s="8" t="s">
        <v>1046</v>
      </c>
      <c r="C688" s="18" t="s">
        <v>2562</v>
      </c>
      <c r="D688" s="16">
        <v>79.0</v>
      </c>
    </row>
    <row r="689">
      <c r="A689" s="8" t="s">
        <v>2797</v>
      </c>
      <c r="B689" s="8" t="s">
        <v>23</v>
      </c>
      <c r="C689" s="18" t="s">
        <v>2595</v>
      </c>
      <c r="D689" s="16">
        <v>63.0</v>
      </c>
    </row>
    <row r="690">
      <c r="A690" s="8" t="s">
        <v>919</v>
      </c>
      <c r="B690" s="8" t="s">
        <v>480</v>
      </c>
      <c r="C690" s="18" t="s">
        <v>2562</v>
      </c>
      <c r="D690" s="16">
        <v>79.0</v>
      </c>
    </row>
    <row r="691">
      <c r="A691" s="8" t="s">
        <v>1797</v>
      </c>
      <c r="B691" s="8" t="s">
        <v>713</v>
      </c>
      <c r="C691" s="18" t="s">
        <v>2620</v>
      </c>
      <c r="D691" s="16">
        <v>70.0</v>
      </c>
    </row>
    <row r="692">
      <c r="A692" s="8" t="s">
        <v>1448</v>
      </c>
      <c r="B692" s="8" t="s">
        <v>217</v>
      </c>
      <c r="C692" s="18" t="s">
        <v>2574</v>
      </c>
      <c r="D692" s="16">
        <v>79.0</v>
      </c>
    </row>
    <row r="693">
      <c r="A693" s="8" t="s">
        <v>2798</v>
      </c>
      <c r="B693" s="8" t="s">
        <v>121</v>
      </c>
      <c r="C693" s="18" t="s">
        <v>2598</v>
      </c>
      <c r="D693" s="16">
        <v>78.0</v>
      </c>
    </row>
    <row r="694">
      <c r="A694" s="8" t="s">
        <v>513</v>
      </c>
      <c r="B694" s="8" t="s">
        <v>514</v>
      </c>
      <c r="C694" s="18" t="s">
        <v>2621</v>
      </c>
      <c r="D694" s="16">
        <v>73.0</v>
      </c>
    </row>
    <row r="695">
      <c r="A695" s="8" t="s">
        <v>688</v>
      </c>
      <c r="B695" s="8" t="s">
        <v>441</v>
      </c>
      <c r="C695" s="18" t="s">
        <v>2605</v>
      </c>
      <c r="D695" s="16">
        <v>78.0</v>
      </c>
    </row>
    <row r="696">
      <c r="A696" s="8" t="s">
        <v>2109</v>
      </c>
      <c r="B696" s="8" t="s">
        <v>409</v>
      </c>
      <c r="C696" s="18" t="s">
        <v>2598</v>
      </c>
      <c r="D696" s="16">
        <v>66.0</v>
      </c>
    </row>
    <row r="697">
      <c r="A697" s="8" t="s">
        <v>689</v>
      </c>
      <c r="B697" s="18" t="s">
        <v>920</v>
      </c>
      <c r="C697" s="18" t="s">
        <v>2615</v>
      </c>
      <c r="D697" s="16">
        <v>80.0</v>
      </c>
    </row>
    <row r="698">
      <c r="A698" s="8" t="s">
        <v>2799</v>
      </c>
      <c r="B698" s="8" t="s">
        <v>1799</v>
      </c>
      <c r="C698" s="18" t="s">
        <v>2566</v>
      </c>
      <c r="D698" s="16">
        <v>75.0</v>
      </c>
    </row>
    <row r="699">
      <c r="A699" s="8" t="s">
        <v>2112</v>
      </c>
      <c r="B699" s="8" t="s">
        <v>137</v>
      </c>
      <c r="C699" s="18" t="s">
        <v>2614</v>
      </c>
      <c r="D699" s="16">
        <v>75.0</v>
      </c>
    </row>
    <row r="700">
      <c r="A700" s="8" t="s">
        <v>202</v>
      </c>
      <c r="B700" s="8" t="s">
        <v>203</v>
      </c>
      <c r="C700" s="18" t="s">
        <v>2574</v>
      </c>
      <c r="D700" s="16">
        <v>82.0</v>
      </c>
    </row>
    <row r="701">
      <c r="A701" s="8" t="s">
        <v>921</v>
      </c>
      <c r="B701" s="8" t="s">
        <v>922</v>
      </c>
      <c r="C701" s="18" t="s">
        <v>2620</v>
      </c>
      <c r="D701" s="16">
        <v>74.0</v>
      </c>
    </row>
    <row r="702">
      <c r="A702" s="8" t="s">
        <v>921</v>
      </c>
      <c r="B702" s="8" t="s">
        <v>140</v>
      </c>
      <c r="C702" s="18" t="s">
        <v>2560</v>
      </c>
      <c r="D702" s="16">
        <v>75.0</v>
      </c>
    </row>
    <row r="703">
      <c r="A703" s="8" t="s">
        <v>2800</v>
      </c>
      <c r="B703" s="8" t="s">
        <v>2801</v>
      </c>
      <c r="C703" s="18" t="s">
        <v>2620</v>
      </c>
      <c r="D703" s="16">
        <v>67.0</v>
      </c>
    </row>
    <row r="704">
      <c r="A704" s="8" t="s">
        <v>2802</v>
      </c>
      <c r="B704" s="8" t="s">
        <v>668</v>
      </c>
      <c r="C704" s="18" t="s">
        <v>2585</v>
      </c>
      <c r="D704" s="16">
        <v>82.0</v>
      </c>
    </row>
    <row r="705">
      <c r="A705" s="8" t="s">
        <v>2802</v>
      </c>
      <c r="B705" s="8" t="s">
        <v>668</v>
      </c>
      <c r="C705" s="18" t="s">
        <v>2585</v>
      </c>
      <c r="D705" s="16">
        <v>87.0</v>
      </c>
    </row>
    <row r="706">
      <c r="A706" s="8" t="s">
        <v>266</v>
      </c>
      <c r="B706" s="8" t="s">
        <v>50</v>
      </c>
      <c r="C706" s="18" t="s">
        <v>2598</v>
      </c>
      <c r="D706" s="16">
        <v>72.0</v>
      </c>
    </row>
    <row r="707">
      <c r="A707" s="8" t="s">
        <v>1450</v>
      </c>
      <c r="B707" s="8" t="s">
        <v>1283</v>
      </c>
      <c r="C707" s="18" t="s">
        <v>2585</v>
      </c>
      <c r="D707" s="16">
        <v>73.0</v>
      </c>
    </row>
    <row r="708">
      <c r="A708" s="8" t="s">
        <v>923</v>
      </c>
      <c r="B708" s="8" t="s">
        <v>204</v>
      </c>
      <c r="C708" s="18" t="s">
        <v>2585</v>
      </c>
      <c r="D708" s="16">
        <v>82.0</v>
      </c>
    </row>
    <row r="709">
      <c r="A709" s="8" t="s">
        <v>252</v>
      </c>
      <c r="B709" s="8" t="s">
        <v>2113</v>
      </c>
      <c r="C709" s="18" t="s">
        <v>2615</v>
      </c>
      <c r="D709" s="16">
        <v>83.0</v>
      </c>
    </row>
    <row r="710">
      <c r="A710" s="8" t="s">
        <v>2803</v>
      </c>
      <c r="B710" s="8" t="s">
        <v>2804</v>
      </c>
      <c r="C710" s="18" t="s">
        <v>2581</v>
      </c>
      <c r="D710" s="16">
        <v>65.0</v>
      </c>
    </row>
    <row r="711">
      <c r="A711" s="8" t="s">
        <v>2114</v>
      </c>
      <c r="B711" s="8" t="s">
        <v>245</v>
      </c>
      <c r="C711" s="18" t="s">
        <v>2645</v>
      </c>
      <c r="D711" s="16">
        <v>60.0</v>
      </c>
    </row>
    <row r="712">
      <c r="A712" s="8" t="s">
        <v>1451</v>
      </c>
      <c r="B712" s="8" t="s">
        <v>1452</v>
      </c>
      <c r="C712" s="18" t="s">
        <v>2614</v>
      </c>
      <c r="D712" s="16">
        <v>67.0</v>
      </c>
    </row>
    <row r="713">
      <c r="A713" s="8" t="s">
        <v>1800</v>
      </c>
      <c r="B713" s="8" t="s">
        <v>585</v>
      </c>
      <c r="C713" s="18" t="s">
        <v>2574</v>
      </c>
      <c r="D713" s="16">
        <v>69.0</v>
      </c>
    </row>
    <row r="714">
      <c r="A714" s="8" t="s">
        <v>1453</v>
      </c>
      <c r="B714" s="8" t="s">
        <v>692</v>
      </c>
      <c r="C714" s="18" t="s">
        <v>2566</v>
      </c>
      <c r="D714" s="16">
        <v>70.0</v>
      </c>
    </row>
    <row r="715">
      <c r="A715" s="8" t="s">
        <v>924</v>
      </c>
      <c r="B715" s="8" t="s">
        <v>925</v>
      </c>
      <c r="C715" s="18" t="s">
        <v>2567</v>
      </c>
      <c r="D715" s="16">
        <v>75.0</v>
      </c>
    </row>
    <row r="716">
      <c r="A716" s="8" t="s">
        <v>1801</v>
      </c>
      <c r="B716" s="8" t="s">
        <v>50</v>
      </c>
      <c r="C716" s="18" t="s">
        <v>2552</v>
      </c>
      <c r="D716" s="16">
        <v>76.0</v>
      </c>
    </row>
    <row r="717">
      <c r="A717" s="8" t="s">
        <v>1802</v>
      </c>
      <c r="B717" s="8" t="s">
        <v>1803</v>
      </c>
      <c r="C717" s="18" t="s">
        <v>2605</v>
      </c>
      <c r="D717" s="16">
        <v>65.0</v>
      </c>
    </row>
    <row r="718">
      <c r="A718" s="8" t="s">
        <v>546</v>
      </c>
      <c r="B718" s="8" t="s">
        <v>798</v>
      </c>
      <c r="C718" s="18" t="s">
        <v>2567</v>
      </c>
      <c r="D718" s="16">
        <v>65.0</v>
      </c>
    </row>
    <row r="719">
      <c r="A719" s="8" t="s">
        <v>1804</v>
      </c>
      <c r="B719" s="8" t="s">
        <v>322</v>
      </c>
      <c r="C719" s="18" t="s">
        <v>2564</v>
      </c>
      <c r="D719" s="16">
        <v>72.0</v>
      </c>
    </row>
    <row r="720">
      <c r="A720" s="8" t="s">
        <v>2115</v>
      </c>
      <c r="B720" s="8" t="s">
        <v>183</v>
      </c>
      <c r="C720" s="18" t="s">
        <v>2581</v>
      </c>
      <c r="D720" s="16">
        <v>75.0</v>
      </c>
    </row>
    <row r="721">
      <c r="A721" s="8" t="s">
        <v>373</v>
      </c>
      <c r="B721" s="8" t="s">
        <v>11</v>
      </c>
      <c r="C721" s="18" t="s">
        <v>2592</v>
      </c>
      <c r="D721" s="16">
        <v>69.0</v>
      </c>
    </row>
    <row r="722">
      <c r="A722" s="8" t="s">
        <v>691</v>
      </c>
      <c r="B722" s="8" t="s">
        <v>692</v>
      </c>
      <c r="C722" s="18" t="s">
        <v>2592</v>
      </c>
      <c r="D722" s="16">
        <v>71.0</v>
      </c>
    </row>
    <row r="723">
      <c r="A723" s="8" t="s">
        <v>2805</v>
      </c>
      <c r="B723" s="8" t="s">
        <v>2806</v>
      </c>
      <c r="C723" s="18" t="s">
        <v>2556</v>
      </c>
      <c r="D723" s="16">
        <v>69.0</v>
      </c>
    </row>
    <row r="724">
      <c r="A724" s="8" t="s">
        <v>1454</v>
      </c>
      <c r="B724" s="8" t="s">
        <v>1310</v>
      </c>
      <c r="C724" s="18" t="s">
        <v>2564</v>
      </c>
      <c r="D724" s="16">
        <v>68.0</v>
      </c>
    </row>
    <row r="725">
      <c r="A725" s="8" t="s">
        <v>267</v>
      </c>
      <c r="B725" s="8" t="s">
        <v>252</v>
      </c>
      <c r="C725" s="18" t="s">
        <v>2574</v>
      </c>
      <c r="D725" s="16">
        <v>62.0</v>
      </c>
    </row>
    <row r="726">
      <c r="A726" s="8" t="s">
        <v>267</v>
      </c>
      <c r="B726" s="8" t="s">
        <v>247</v>
      </c>
      <c r="C726" s="18" t="s">
        <v>2577</v>
      </c>
      <c r="D726" s="16">
        <v>85.0</v>
      </c>
    </row>
    <row r="727">
      <c r="A727" s="8" t="s">
        <v>267</v>
      </c>
      <c r="B727" s="8" t="s">
        <v>1173</v>
      </c>
      <c r="C727" s="18" t="s">
        <v>2558</v>
      </c>
      <c r="D727" s="16">
        <v>62.0</v>
      </c>
    </row>
    <row r="728">
      <c r="A728" s="8" t="s">
        <v>2807</v>
      </c>
      <c r="B728" s="8" t="s">
        <v>247</v>
      </c>
      <c r="C728" s="18" t="s">
        <v>2556</v>
      </c>
      <c r="D728" s="16">
        <v>78.0</v>
      </c>
    </row>
    <row r="729">
      <c r="A729" s="8" t="s">
        <v>2808</v>
      </c>
      <c r="B729" s="8" t="s">
        <v>2809</v>
      </c>
      <c r="C729" s="18" t="s">
        <v>2585</v>
      </c>
      <c r="D729" s="16">
        <v>75.0</v>
      </c>
    </row>
    <row r="730">
      <c r="A730" s="8" t="s">
        <v>2810</v>
      </c>
      <c r="B730" s="8" t="s">
        <v>183</v>
      </c>
      <c r="C730" s="18" t="s">
        <v>2600</v>
      </c>
      <c r="D730" s="16">
        <v>76.0</v>
      </c>
    </row>
    <row r="731">
      <c r="A731" s="8" t="s">
        <v>693</v>
      </c>
      <c r="B731" s="8" t="s">
        <v>694</v>
      </c>
      <c r="C731" s="18" t="s">
        <v>2600</v>
      </c>
      <c r="D731" s="16">
        <v>84.0</v>
      </c>
    </row>
    <row r="732">
      <c r="A732" s="8" t="s">
        <v>693</v>
      </c>
      <c r="B732" s="8" t="s">
        <v>694</v>
      </c>
      <c r="C732" s="18" t="s">
        <v>2587</v>
      </c>
      <c r="D732" s="16">
        <v>88.0</v>
      </c>
    </row>
    <row r="733">
      <c r="A733" s="8" t="s">
        <v>2811</v>
      </c>
      <c r="B733" s="8" t="s">
        <v>114</v>
      </c>
      <c r="C733" s="18" t="s">
        <v>2595</v>
      </c>
      <c r="D733" s="16">
        <v>78.0</v>
      </c>
    </row>
    <row r="734">
      <c r="A734" s="8" t="s">
        <v>2811</v>
      </c>
      <c r="B734" s="8" t="s">
        <v>114</v>
      </c>
      <c r="C734" s="18" t="s">
        <v>2595</v>
      </c>
      <c r="D734" s="16">
        <v>85.0</v>
      </c>
    </row>
    <row r="735">
      <c r="A735" s="8" t="s">
        <v>515</v>
      </c>
      <c r="B735" s="8" t="s">
        <v>516</v>
      </c>
      <c r="C735" s="18" t="s">
        <v>2584</v>
      </c>
      <c r="D735" s="16">
        <v>82.0</v>
      </c>
    </row>
    <row r="736">
      <c r="A736" s="8" t="s">
        <v>2812</v>
      </c>
      <c r="B736" s="8" t="s">
        <v>809</v>
      </c>
      <c r="C736" s="18" t="s">
        <v>2592</v>
      </c>
      <c r="D736" s="16">
        <v>72.0</v>
      </c>
    </row>
    <row r="737">
      <c r="A737" s="8" t="s">
        <v>926</v>
      </c>
      <c r="B737" s="8" t="s">
        <v>203</v>
      </c>
      <c r="C737" s="18" t="s">
        <v>2554</v>
      </c>
      <c r="D737" s="16">
        <v>75.0</v>
      </c>
    </row>
    <row r="738">
      <c r="A738" s="8" t="s">
        <v>926</v>
      </c>
      <c r="B738" s="8" t="s">
        <v>67</v>
      </c>
      <c r="C738" s="18" t="s">
        <v>2610</v>
      </c>
      <c r="D738" s="16">
        <v>72.0</v>
      </c>
    </row>
    <row r="739">
      <c r="A739" s="8" t="s">
        <v>517</v>
      </c>
      <c r="B739" s="8" t="s">
        <v>518</v>
      </c>
      <c r="C739" s="18" t="s">
        <v>2610</v>
      </c>
      <c r="D739" s="16">
        <v>78.0</v>
      </c>
    </row>
    <row r="740">
      <c r="A740" s="8" t="s">
        <v>519</v>
      </c>
      <c r="B740" s="8" t="s">
        <v>183</v>
      </c>
      <c r="C740" s="18" t="s">
        <v>2589</v>
      </c>
      <c r="D740" s="16">
        <v>76.0</v>
      </c>
    </row>
    <row r="741">
      <c r="A741" s="8" t="s">
        <v>927</v>
      </c>
      <c r="B741" s="8" t="s">
        <v>471</v>
      </c>
      <c r="C741" s="18" t="s">
        <v>2567</v>
      </c>
      <c r="D741" s="16">
        <v>64.0</v>
      </c>
    </row>
    <row r="742">
      <c r="A742" s="8" t="s">
        <v>1807</v>
      </c>
      <c r="B742" s="8" t="s">
        <v>1808</v>
      </c>
      <c r="C742" s="18" t="s">
        <v>2581</v>
      </c>
      <c r="D742" s="16">
        <v>75.0</v>
      </c>
    </row>
    <row r="743">
      <c r="A743" s="8" t="s">
        <v>1848</v>
      </c>
      <c r="B743" s="8" t="s">
        <v>275</v>
      </c>
      <c r="C743" s="18" t="s">
        <v>2592</v>
      </c>
      <c r="D743" s="16">
        <v>77.0</v>
      </c>
    </row>
    <row r="744">
      <c r="A744" s="8" t="s">
        <v>1810</v>
      </c>
      <c r="B744" s="8" t="s">
        <v>1811</v>
      </c>
      <c r="C744" s="18" t="s">
        <v>2564</v>
      </c>
      <c r="D744" s="16">
        <v>74.0</v>
      </c>
    </row>
    <row r="745">
      <c r="A745" s="8" t="s">
        <v>1809</v>
      </c>
      <c r="B745" s="8" t="s">
        <v>196</v>
      </c>
      <c r="C745" s="18" t="s">
        <v>2593</v>
      </c>
      <c r="D745" s="16">
        <v>81.0</v>
      </c>
    </row>
    <row r="746">
      <c r="A746" s="8" t="s">
        <v>325</v>
      </c>
      <c r="B746" s="8" t="s">
        <v>695</v>
      </c>
      <c r="C746" s="18" t="s">
        <v>2589</v>
      </c>
      <c r="D746" s="16">
        <v>74.0</v>
      </c>
    </row>
    <row r="747">
      <c r="A747" s="8" t="s">
        <v>325</v>
      </c>
      <c r="B747" s="8" t="s">
        <v>337</v>
      </c>
      <c r="C747" s="18" t="s">
        <v>2183</v>
      </c>
      <c r="D747" s="16">
        <v>71.0</v>
      </c>
    </row>
    <row r="748">
      <c r="A748" s="8" t="s">
        <v>1455</v>
      </c>
      <c r="B748" s="8" t="s">
        <v>1347</v>
      </c>
      <c r="C748" s="18" t="s">
        <v>2605</v>
      </c>
      <c r="D748" s="16">
        <v>76.0</v>
      </c>
    </row>
    <row r="749">
      <c r="A749" s="8" t="s">
        <v>1456</v>
      </c>
      <c r="B749" s="8" t="s">
        <v>333</v>
      </c>
      <c r="C749" s="18" t="s">
        <v>2554</v>
      </c>
      <c r="D749" s="16">
        <v>76.0</v>
      </c>
    </row>
    <row r="750">
      <c r="A750" s="8" t="s">
        <v>1813</v>
      </c>
      <c r="B750" s="8" t="s">
        <v>1814</v>
      </c>
      <c r="C750" s="18" t="s">
        <v>2615</v>
      </c>
      <c r="D750" s="16">
        <v>77.0</v>
      </c>
    </row>
    <row r="751">
      <c r="A751" s="8" t="s">
        <v>696</v>
      </c>
      <c r="B751" s="8" t="s">
        <v>697</v>
      </c>
      <c r="C751" s="18" t="s">
        <v>2567</v>
      </c>
      <c r="D751" s="16">
        <v>74.0</v>
      </c>
    </row>
    <row r="752">
      <c r="A752" s="8" t="s">
        <v>374</v>
      </c>
      <c r="B752" s="8" t="s">
        <v>375</v>
      </c>
      <c r="C752" s="18" t="s">
        <v>2567</v>
      </c>
      <c r="D752" s="16">
        <v>65.0</v>
      </c>
    </row>
    <row r="753">
      <c r="A753" s="8" t="s">
        <v>1174</v>
      </c>
      <c r="B753" s="18" t="s">
        <v>912</v>
      </c>
      <c r="C753" s="18" t="s">
        <v>2566</v>
      </c>
      <c r="D753" s="16">
        <v>72.0</v>
      </c>
    </row>
    <row r="754">
      <c r="A754" s="8" t="s">
        <v>1174</v>
      </c>
      <c r="B754" s="8" t="s">
        <v>2813</v>
      </c>
      <c r="C754" s="18" t="s">
        <v>2558</v>
      </c>
      <c r="D754" s="16">
        <v>68.0</v>
      </c>
    </row>
    <row r="755">
      <c r="A755" s="8" t="s">
        <v>520</v>
      </c>
      <c r="B755" s="8" t="s">
        <v>699</v>
      </c>
      <c r="C755" s="18" t="s">
        <v>2585</v>
      </c>
      <c r="D755" s="16">
        <v>79.0</v>
      </c>
    </row>
    <row r="756">
      <c r="A756" s="8" t="s">
        <v>698</v>
      </c>
      <c r="B756" s="8" t="s">
        <v>1457</v>
      </c>
      <c r="C756" s="18" t="s">
        <v>2183</v>
      </c>
      <c r="D756" s="16">
        <v>68.0</v>
      </c>
    </row>
    <row r="757">
      <c r="A757" s="8" t="s">
        <v>698</v>
      </c>
      <c r="B757" s="8" t="s">
        <v>301</v>
      </c>
      <c r="C757" s="18" t="s">
        <v>2615</v>
      </c>
      <c r="D757" s="16">
        <v>78.0</v>
      </c>
    </row>
    <row r="758">
      <c r="A758" s="8" t="s">
        <v>698</v>
      </c>
      <c r="B758" s="8" t="s">
        <v>385</v>
      </c>
      <c r="C758" s="18" t="s">
        <v>2572</v>
      </c>
      <c r="D758" s="16">
        <v>84.0</v>
      </c>
    </row>
    <row r="759">
      <c r="A759" s="8" t="s">
        <v>698</v>
      </c>
      <c r="B759" s="8" t="s">
        <v>385</v>
      </c>
      <c r="C759" s="18" t="s">
        <v>2572</v>
      </c>
      <c r="D759" s="16">
        <v>90.0</v>
      </c>
    </row>
    <row r="760">
      <c r="A760" s="8" t="s">
        <v>68</v>
      </c>
      <c r="B760" s="8" t="s">
        <v>69</v>
      </c>
      <c r="C760" s="18" t="s">
        <v>2581</v>
      </c>
      <c r="D760" s="16">
        <v>77.0</v>
      </c>
    </row>
    <row r="761">
      <c r="A761" s="8" t="s">
        <v>1815</v>
      </c>
      <c r="B761" s="8" t="s">
        <v>1816</v>
      </c>
      <c r="C761" s="18" t="s">
        <v>2552</v>
      </c>
      <c r="D761" s="16">
        <v>71.0</v>
      </c>
    </row>
    <row r="762">
      <c r="A762" s="8" t="s">
        <v>87</v>
      </c>
      <c r="B762" s="8" t="s">
        <v>88</v>
      </c>
      <c r="C762" s="18" t="s">
        <v>2600</v>
      </c>
      <c r="D762" s="16">
        <v>85.0</v>
      </c>
    </row>
    <row r="763">
      <c r="A763" s="8" t="s">
        <v>1175</v>
      </c>
      <c r="B763" s="8" t="s">
        <v>11</v>
      </c>
      <c r="C763" s="18" t="s">
        <v>2620</v>
      </c>
      <c r="D763" s="16">
        <v>74.0</v>
      </c>
    </row>
    <row r="764">
      <c r="A764" s="8" t="s">
        <v>71</v>
      </c>
      <c r="B764" s="8" t="s">
        <v>72</v>
      </c>
      <c r="C764" s="18" t="s">
        <v>2585</v>
      </c>
      <c r="D764" s="16">
        <v>83.0</v>
      </c>
    </row>
    <row r="765">
      <c r="A765" s="8" t="s">
        <v>1458</v>
      </c>
      <c r="B765" s="8" t="s">
        <v>558</v>
      </c>
      <c r="C765" s="18" t="s">
        <v>2615</v>
      </c>
      <c r="D765" s="16">
        <v>71.0</v>
      </c>
    </row>
    <row r="766">
      <c r="A766" s="8" t="s">
        <v>203</v>
      </c>
      <c r="B766" s="8" t="s">
        <v>121</v>
      </c>
      <c r="C766" s="18" t="s">
        <v>2564</v>
      </c>
      <c r="D766" s="16">
        <v>86.0</v>
      </c>
    </row>
    <row r="767">
      <c r="A767" s="8" t="s">
        <v>203</v>
      </c>
      <c r="B767" s="8" t="s">
        <v>304</v>
      </c>
      <c r="C767" s="18" t="s">
        <v>2645</v>
      </c>
      <c r="D767" s="16">
        <v>74.0</v>
      </c>
    </row>
    <row r="768">
      <c r="A768" s="8" t="s">
        <v>203</v>
      </c>
      <c r="B768" s="8" t="s">
        <v>204</v>
      </c>
      <c r="C768" s="18" t="s">
        <v>2558</v>
      </c>
      <c r="D768" s="16">
        <v>83.0</v>
      </c>
    </row>
    <row r="769">
      <c r="A769" s="8" t="s">
        <v>700</v>
      </c>
      <c r="B769" s="8" t="s">
        <v>304</v>
      </c>
      <c r="C769" s="18" t="s">
        <v>2584</v>
      </c>
      <c r="D769" s="16">
        <v>72.0</v>
      </c>
    </row>
    <row r="770">
      <c r="A770" s="8" t="s">
        <v>700</v>
      </c>
      <c r="B770" s="8" t="s">
        <v>1176</v>
      </c>
      <c r="C770" s="18" t="s">
        <v>2581</v>
      </c>
      <c r="D770" s="16">
        <v>72.0</v>
      </c>
    </row>
    <row r="771">
      <c r="A771" s="8" t="s">
        <v>700</v>
      </c>
      <c r="B771" s="8" t="s">
        <v>67</v>
      </c>
      <c r="C771" s="18" t="s">
        <v>2567</v>
      </c>
      <c r="D771" s="16">
        <v>75.0</v>
      </c>
    </row>
    <row r="772">
      <c r="A772" s="8" t="s">
        <v>701</v>
      </c>
      <c r="B772" s="8" t="s">
        <v>702</v>
      </c>
      <c r="C772" s="18" t="s">
        <v>2605</v>
      </c>
      <c r="D772" s="16">
        <v>69.0</v>
      </c>
    </row>
    <row r="773">
      <c r="A773" s="8" t="s">
        <v>703</v>
      </c>
      <c r="B773" s="8" t="s">
        <v>1635</v>
      </c>
      <c r="C773" s="18" t="s">
        <v>2615</v>
      </c>
      <c r="D773" s="16">
        <v>65.0</v>
      </c>
    </row>
    <row r="774">
      <c r="A774" s="8" t="s">
        <v>703</v>
      </c>
      <c r="B774" s="8" t="s">
        <v>2814</v>
      </c>
      <c r="C774" s="18" t="s">
        <v>2581</v>
      </c>
      <c r="D774" s="16">
        <v>66.0</v>
      </c>
    </row>
    <row r="775">
      <c r="A775" s="8" t="s">
        <v>2815</v>
      </c>
      <c r="B775" s="8" t="s">
        <v>252</v>
      </c>
      <c r="C775" s="18" t="s">
        <v>2598</v>
      </c>
      <c r="D775" s="16">
        <v>63.0</v>
      </c>
    </row>
    <row r="776">
      <c r="A776" s="8" t="s">
        <v>2816</v>
      </c>
      <c r="B776" s="8" t="s">
        <v>23</v>
      </c>
      <c r="C776" s="18" t="s">
        <v>2566</v>
      </c>
      <c r="D776" s="16">
        <v>73.0</v>
      </c>
    </row>
    <row r="777">
      <c r="A777" s="8" t="s">
        <v>268</v>
      </c>
      <c r="B777" s="18" t="s">
        <v>269</v>
      </c>
      <c r="C777" s="18" t="s">
        <v>2610</v>
      </c>
      <c r="D777" s="16">
        <v>87.0</v>
      </c>
    </row>
    <row r="778">
      <c r="A778" s="8" t="s">
        <v>268</v>
      </c>
      <c r="B778" s="8" t="s">
        <v>928</v>
      </c>
      <c r="C778" s="18" t="s">
        <v>2614</v>
      </c>
      <c r="D778" s="16">
        <v>66.0</v>
      </c>
    </row>
    <row r="779">
      <c r="A779" s="8" t="s">
        <v>268</v>
      </c>
      <c r="B779" s="8" t="s">
        <v>2347</v>
      </c>
      <c r="C779" s="18" t="s">
        <v>2603</v>
      </c>
      <c r="D779" s="16">
        <v>70.0</v>
      </c>
    </row>
    <row r="780">
      <c r="A780" s="8" t="s">
        <v>268</v>
      </c>
      <c r="B780" s="8" t="s">
        <v>2817</v>
      </c>
      <c r="C780" s="18" t="s">
        <v>2645</v>
      </c>
      <c r="D780" s="16">
        <v>72.0</v>
      </c>
    </row>
    <row r="781">
      <c r="A781" s="8" t="s">
        <v>268</v>
      </c>
      <c r="B781" s="18" t="s">
        <v>491</v>
      </c>
      <c r="C781" s="18" t="s">
        <v>2567</v>
      </c>
      <c r="D781" s="16">
        <v>76.0</v>
      </c>
    </row>
    <row r="782">
      <c r="A782" s="8" t="s">
        <v>268</v>
      </c>
      <c r="B782" s="8" t="s">
        <v>270</v>
      </c>
      <c r="C782" s="18" t="s">
        <v>2572</v>
      </c>
      <c r="D782" s="16">
        <v>75.0</v>
      </c>
    </row>
    <row r="783">
      <c r="A783" s="8" t="s">
        <v>1818</v>
      </c>
      <c r="B783" s="8" t="s">
        <v>1338</v>
      </c>
      <c r="C783" s="18" t="s">
        <v>2564</v>
      </c>
      <c r="D783" s="16">
        <v>62.0</v>
      </c>
    </row>
    <row r="784">
      <c r="A784" s="8" t="s">
        <v>2818</v>
      </c>
      <c r="B784" s="8" t="s">
        <v>598</v>
      </c>
      <c r="C784" s="18" t="s">
        <v>2584</v>
      </c>
      <c r="D784" s="16">
        <v>70.0</v>
      </c>
    </row>
    <row r="785">
      <c r="A785" s="8" t="s">
        <v>1177</v>
      </c>
      <c r="B785" s="8" t="s">
        <v>483</v>
      </c>
      <c r="C785" s="18" t="s">
        <v>2614</v>
      </c>
      <c r="D785" s="16">
        <v>74.0</v>
      </c>
    </row>
    <row r="786">
      <c r="A786" s="8" t="s">
        <v>2819</v>
      </c>
      <c r="B786" s="8" t="s">
        <v>558</v>
      </c>
      <c r="C786" s="18" t="s">
        <v>2589</v>
      </c>
      <c r="D786" s="16">
        <v>80.0</v>
      </c>
    </row>
    <row r="787">
      <c r="A787" s="8" t="s">
        <v>271</v>
      </c>
      <c r="B787" s="8" t="s">
        <v>272</v>
      </c>
      <c r="C787" s="18" t="s">
        <v>2552</v>
      </c>
      <c r="D787" s="16">
        <v>86.0</v>
      </c>
    </row>
    <row r="788">
      <c r="A788" s="8" t="s">
        <v>522</v>
      </c>
      <c r="B788" s="8" t="s">
        <v>252</v>
      </c>
      <c r="C788" s="18" t="s">
        <v>2595</v>
      </c>
      <c r="D788" s="16">
        <v>67.0</v>
      </c>
    </row>
    <row r="789">
      <c r="A789" s="8" t="s">
        <v>522</v>
      </c>
      <c r="B789" s="8" t="s">
        <v>67</v>
      </c>
      <c r="C789" s="18" t="s">
        <v>2592</v>
      </c>
      <c r="D789" s="16">
        <v>63.0</v>
      </c>
    </row>
    <row r="790">
      <c r="A790" s="8" t="s">
        <v>522</v>
      </c>
      <c r="B790" s="8" t="s">
        <v>67</v>
      </c>
      <c r="C790" s="18" t="s">
        <v>2562</v>
      </c>
      <c r="D790" s="16">
        <v>74.0</v>
      </c>
    </row>
    <row r="791">
      <c r="A791" s="8" t="s">
        <v>522</v>
      </c>
      <c r="B791" s="8" t="s">
        <v>1821</v>
      </c>
      <c r="C791" s="18" t="s">
        <v>2603</v>
      </c>
      <c r="D791" s="16">
        <v>71.0</v>
      </c>
    </row>
    <row r="792">
      <c r="A792" s="8" t="s">
        <v>522</v>
      </c>
      <c r="B792" s="8" t="s">
        <v>1822</v>
      </c>
      <c r="C792" s="18" t="s">
        <v>2603</v>
      </c>
      <c r="D792" s="16">
        <v>80.0</v>
      </c>
    </row>
    <row r="793">
      <c r="A793" s="8" t="s">
        <v>2820</v>
      </c>
      <c r="B793" s="8" t="s">
        <v>337</v>
      </c>
      <c r="C793" s="18" t="s">
        <v>2575</v>
      </c>
      <c r="D793" s="16">
        <v>75.0</v>
      </c>
    </row>
    <row r="794">
      <c r="A794" s="8" t="s">
        <v>2821</v>
      </c>
      <c r="B794" s="8" t="s">
        <v>1907</v>
      </c>
      <c r="C794" s="18" t="s">
        <v>2600</v>
      </c>
      <c r="D794" s="16">
        <v>63.0</v>
      </c>
    </row>
    <row r="795">
      <c r="A795" s="8" t="s">
        <v>1178</v>
      </c>
      <c r="B795" s="8" t="s">
        <v>596</v>
      </c>
      <c r="C795" s="18" t="s">
        <v>2577</v>
      </c>
      <c r="D795" s="16">
        <v>72.0</v>
      </c>
    </row>
    <row r="796">
      <c r="A796" s="8" t="s">
        <v>2822</v>
      </c>
      <c r="B796" s="8" t="s">
        <v>780</v>
      </c>
      <c r="C796" s="18" t="s">
        <v>2592</v>
      </c>
      <c r="D796" s="16">
        <v>83.0</v>
      </c>
    </row>
    <row r="797">
      <c r="A797" s="8" t="s">
        <v>2822</v>
      </c>
      <c r="B797" s="8" t="s">
        <v>780</v>
      </c>
      <c r="C797" s="18" t="s">
        <v>2592</v>
      </c>
      <c r="D797" s="16">
        <v>86.0</v>
      </c>
    </row>
    <row r="798">
      <c r="A798" s="8" t="s">
        <v>929</v>
      </c>
      <c r="B798" s="8" t="s">
        <v>930</v>
      </c>
      <c r="C798" s="18" t="s">
        <v>2600</v>
      </c>
      <c r="D798" s="16">
        <v>64.0</v>
      </c>
    </row>
    <row r="799">
      <c r="A799" s="8" t="s">
        <v>704</v>
      </c>
      <c r="B799" s="8" t="s">
        <v>67</v>
      </c>
      <c r="C799" s="18" t="s">
        <v>2587</v>
      </c>
      <c r="D799" s="16">
        <v>75.0</v>
      </c>
    </row>
    <row r="800">
      <c r="A800" s="8" t="s">
        <v>1460</v>
      </c>
      <c r="B800" s="8" t="s">
        <v>1461</v>
      </c>
      <c r="C800" s="18" t="s">
        <v>2564</v>
      </c>
      <c r="D800" s="16">
        <v>71.0</v>
      </c>
    </row>
    <row r="801">
      <c r="A801" s="8" t="s">
        <v>2349</v>
      </c>
      <c r="B801" s="8" t="s">
        <v>2350</v>
      </c>
      <c r="C801" s="18" t="s">
        <v>2582</v>
      </c>
      <c r="D801" s="16">
        <v>77.0</v>
      </c>
    </row>
    <row r="802">
      <c r="A802" s="8" t="s">
        <v>931</v>
      </c>
      <c r="B802" s="8" t="s">
        <v>2823</v>
      </c>
      <c r="C802" s="18" t="s">
        <v>2574</v>
      </c>
      <c r="D802" s="16">
        <v>72.0</v>
      </c>
    </row>
    <row r="803">
      <c r="A803" s="8" t="s">
        <v>931</v>
      </c>
      <c r="B803" s="8" t="s">
        <v>383</v>
      </c>
      <c r="C803" s="18" t="s">
        <v>2589</v>
      </c>
      <c r="D803" s="16">
        <v>66.0</v>
      </c>
    </row>
    <row r="804">
      <c r="A804" s="8" t="s">
        <v>2824</v>
      </c>
      <c r="B804" s="8" t="s">
        <v>883</v>
      </c>
      <c r="C804" s="18" t="s">
        <v>2593</v>
      </c>
      <c r="D804" s="16">
        <v>86.0</v>
      </c>
    </row>
    <row r="805">
      <c r="A805" s="8" t="s">
        <v>523</v>
      </c>
      <c r="B805" s="8" t="s">
        <v>524</v>
      </c>
      <c r="C805" s="18" t="s">
        <v>2600</v>
      </c>
      <c r="D805" s="16">
        <v>73.0</v>
      </c>
    </row>
    <row r="806">
      <c r="A806" s="8" t="s">
        <v>2825</v>
      </c>
      <c r="B806" s="8" t="s">
        <v>2826</v>
      </c>
      <c r="C806" s="18" t="s">
        <v>2560</v>
      </c>
      <c r="D806" s="16">
        <v>63.0</v>
      </c>
    </row>
    <row r="807">
      <c r="A807" s="8" t="s">
        <v>1463</v>
      </c>
      <c r="B807" s="8" t="s">
        <v>33</v>
      </c>
      <c r="C807" s="18" t="s">
        <v>2581</v>
      </c>
      <c r="D807" s="16">
        <v>81.0</v>
      </c>
    </row>
    <row r="808">
      <c r="A808" s="8" t="s">
        <v>2827</v>
      </c>
      <c r="B808" s="8" t="s">
        <v>726</v>
      </c>
      <c r="C808" s="18" t="s">
        <v>2645</v>
      </c>
      <c r="D808" s="16">
        <v>66.0</v>
      </c>
    </row>
    <row r="809">
      <c r="A809" s="8" t="s">
        <v>376</v>
      </c>
      <c r="B809" s="8" t="s">
        <v>102</v>
      </c>
      <c r="C809" s="18" t="s">
        <v>2577</v>
      </c>
      <c r="D809" s="16">
        <v>83.0</v>
      </c>
    </row>
    <row r="810">
      <c r="A810" s="8" t="s">
        <v>1180</v>
      </c>
      <c r="B810" s="8" t="s">
        <v>102</v>
      </c>
      <c r="C810" s="18" t="s">
        <v>2567</v>
      </c>
      <c r="D810" s="16">
        <v>67.0</v>
      </c>
    </row>
    <row r="811">
      <c r="A811" s="8" t="s">
        <v>932</v>
      </c>
      <c r="B811" s="8" t="s">
        <v>871</v>
      </c>
      <c r="C811" s="18" t="s">
        <v>2593</v>
      </c>
      <c r="D811" s="16">
        <v>74.0</v>
      </c>
    </row>
    <row r="812">
      <c r="A812" s="8" t="s">
        <v>1464</v>
      </c>
      <c r="B812" s="8" t="s">
        <v>275</v>
      </c>
      <c r="C812" s="18" t="s">
        <v>2645</v>
      </c>
      <c r="D812" s="16">
        <v>73.0</v>
      </c>
    </row>
    <row r="813">
      <c r="A813" s="8" t="s">
        <v>1464</v>
      </c>
      <c r="B813" s="8" t="s">
        <v>317</v>
      </c>
      <c r="C813" s="18" t="s">
        <v>2567</v>
      </c>
      <c r="D813" s="16">
        <v>72.0</v>
      </c>
    </row>
    <row r="814">
      <c r="A814" s="8" t="s">
        <v>2828</v>
      </c>
      <c r="B814" s="8" t="s">
        <v>277</v>
      </c>
      <c r="C814" s="18" t="s">
        <v>2562</v>
      </c>
      <c r="D814" s="16">
        <v>81.0</v>
      </c>
    </row>
    <row r="815">
      <c r="A815" s="8" t="s">
        <v>705</v>
      </c>
      <c r="B815" s="8" t="s">
        <v>181</v>
      </c>
      <c r="C815" s="18" t="s">
        <v>2566</v>
      </c>
      <c r="D815" s="16">
        <v>64.0</v>
      </c>
    </row>
    <row r="816">
      <c r="A816" s="8" t="s">
        <v>1183</v>
      </c>
      <c r="B816" s="18" t="s">
        <v>1465</v>
      </c>
      <c r="C816" s="18" t="s">
        <v>2605</v>
      </c>
      <c r="D816" s="16">
        <v>69.0</v>
      </c>
    </row>
    <row r="817">
      <c r="A817" s="8" t="s">
        <v>1183</v>
      </c>
      <c r="B817" s="8" t="s">
        <v>2151</v>
      </c>
      <c r="C817" s="18" t="s">
        <v>2556</v>
      </c>
      <c r="D817" s="16">
        <v>71.0</v>
      </c>
    </row>
    <row r="818">
      <c r="A818" s="8" t="s">
        <v>1183</v>
      </c>
      <c r="B818" s="8" t="s">
        <v>556</v>
      </c>
      <c r="C818" s="18" t="s">
        <v>2598</v>
      </c>
      <c r="D818" s="16">
        <v>71.0</v>
      </c>
    </row>
    <row r="819">
      <c r="A819" s="8" t="s">
        <v>1183</v>
      </c>
      <c r="B819" s="18" t="s">
        <v>1341</v>
      </c>
      <c r="C819" s="18" t="s">
        <v>2556</v>
      </c>
      <c r="D819" s="16">
        <v>73.0</v>
      </c>
    </row>
    <row r="820">
      <c r="A820" s="8" t="s">
        <v>1184</v>
      </c>
      <c r="B820" s="18" t="s">
        <v>521</v>
      </c>
      <c r="C820" s="18" t="s">
        <v>2552</v>
      </c>
      <c r="D820" s="16">
        <v>71.0</v>
      </c>
    </row>
    <row r="821">
      <c r="A821" s="8" t="s">
        <v>1181</v>
      </c>
      <c r="B821" s="8" t="s">
        <v>2829</v>
      </c>
      <c r="C821" s="18" t="s">
        <v>2620</v>
      </c>
      <c r="D821" s="16">
        <v>74.0</v>
      </c>
    </row>
    <row r="822">
      <c r="A822" s="8" t="s">
        <v>1181</v>
      </c>
      <c r="B822" s="8" t="s">
        <v>381</v>
      </c>
      <c r="C822" s="18" t="s">
        <v>2183</v>
      </c>
      <c r="D822" s="16">
        <v>67.0</v>
      </c>
    </row>
    <row r="823">
      <c r="A823" s="8" t="s">
        <v>1181</v>
      </c>
      <c r="B823" s="8" t="s">
        <v>2830</v>
      </c>
      <c r="C823" s="18" t="s">
        <v>2582</v>
      </c>
      <c r="D823" s="16">
        <v>69.0</v>
      </c>
    </row>
    <row r="824">
      <c r="A824" s="8" t="s">
        <v>2120</v>
      </c>
      <c r="B824" s="18" t="s">
        <v>2121</v>
      </c>
      <c r="C824" s="18" t="s">
        <v>2554</v>
      </c>
      <c r="D824" s="16">
        <v>69.0</v>
      </c>
    </row>
    <row r="825">
      <c r="A825" s="8" t="s">
        <v>933</v>
      </c>
      <c r="B825" s="8" t="s">
        <v>92</v>
      </c>
      <c r="C825" s="18" t="s">
        <v>2645</v>
      </c>
      <c r="D825" s="16">
        <v>61.0</v>
      </c>
    </row>
    <row r="826">
      <c r="A826" s="8" t="s">
        <v>2831</v>
      </c>
      <c r="B826" s="8" t="s">
        <v>409</v>
      </c>
      <c r="C826" s="18" t="s">
        <v>2572</v>
      </c>
      <c r="D826" s="16">
        <v>63.0</v>
      </c>
    </row>
    <row r="827">
      <c r="A827" s="8" t="s">
        <v>2832</v>
      </c>
      <c r="B827" s="8" t="s">
        <v>117</v>
      </c>
      <c r="C827" s="18" t="s">
        <v>2560</v>
      </c>
      <c r="D827" s="16">
        <v>71.0</v>
      </c>
    </row>
    <row r="828">
      <c r="A828" s="8" t="s">
        <v>1466</v>
      </c>
      <c r="B828" s="8" t="s">
        <v>381</v>
      </c>
      <c r="C828" s="18" t="s">
        <v>2595</v>
      </c>
      <c r="D828" s="16">
        <v>69.0</v>
      </c>
    </row>
    <row r="829">
      <c r="A829" s="8" t="s">
        <v>2833</v>
      </c>
      <c r="B829" s="8" t="s">
        <v>247</v>
      </c>
      <c r="C829" s="18" t="s">
        <v>2562</v>
      </c>
      <c r="D829" s="16">
        <v>62.0</v>
      </c>
    </row>
    <row r="830">
      <c r="A830" s="8" t="s">
        <v>1185</v>
      </c>
      <c r="B830" s="8" t="s">
        <v>1186</v>
      </c>
      <c r="C830" s="18" t="s">
        <v>2577</v>
      </c>
      <c r="D830" s="16">
        <v>78.0</v>
      </c>
    </row>
    <row r="831">
      <c r="A831" s="8" t="s">
        <v>2834</v>
      </c>
      <c r="B831" s="8" t="s">
        <v>84</v>
      </c>
      <c r="C831" s="18" t="s">
        <v>2592</v>
      </c>
      <c r="D831" s="16">
        <v>76.0</v>
      </c>
    </row>
    <row r="832">
      <c r="A832" s="8" t="s">
        <v>1826</v>
      </c>
      <c r="B832" s="8" t="s">
        <v>162</v>
      </c>
      <c r="C832" s="18" t="s">
        <v>2598</v>
      </c>
      <c r="D832" s="16">
        <v>72.0</v>
      </c>
    </row>
    <row r="833">
      <c r="A833" s="8" t="s">
        <v>706</v>
      </c>
      <c r="B833" s="8" t="s">
        <v>707</v>
      </c>
      <c r="C833" s="18" t="s">
        <v>2600</v>
      </c>
      <c r="D833" s="16">
        <v>78.0</v>
      </c>
    </row>
    <row r="834">
      <c r="A834" s="8" t="s">
        <v>1467</v>
      </c>
      <c r="B834" s="8" t="s">
        <v>29</v>
      </c>
      <c r="C834" s="18" t="s">
        <v>2585</v>
      </c>
      <c r="D834" s="16">
        <v>71.0</v>
      </c>
    </row>
    <row r="835">
      <c r="A835" s="8" t="s">
        <v>89</v>
      </c>
      <c r="B835" s="8" t="s">
        <v>212</v>
      </c>
      <c r="C835" s="18" t="s">
        <v>2552</v>
      </c>
      <c r="D835" s="16">
        <v>74.0</v>
      </c>
    </row>
    <row r="836">
      <c r="A836" s="8" t="s">
        <v>89</v>
      </c>
      <c r="B836" s="8" t="s">
        <v>357</v>
      </c>
      <c r="C836" s="18" t="s">
        <v>2581</v>
      </c>
      <c r="D836" s="16">
        <v>73.0</v>
      </c>
    </row>
    <row r="837">
      <c r="A837" s="8" t="s">
        <v>89</v>
      </c>
      <c r="B837" s="8" t="s">
        <v>1827</v>
      </c>
      <c r="C837" s="18" t="s">
        <v>2610</v>
      </c>
      <c r="D837" s="16">
        <v>69.0</v>
      </c>
    </row>
    <row r="838">
      <c r="A838" s="8" t="s">
        <v>89</v>
      </c>
      <c r="B838" s="8" t="s">
        <v>708</v>
      </c>
      <c r="C838" s="18" t="s">
        <v>2183</v>
      </c>
      <c r="D838" s="16">
        <v>72.0</v>
      </c>
    </row>
    <row r="839">
      <c r="A839" s="8" t="s">
        <v>89</v>
      </c>
      <c r="B839" s="8" t="s">
        <v>273</v>
      </c>
      <c r="C839" s="18" t="s">
        <v>2556</v>
      </c>
      <c r="D839" s="16">
        <v>71.0</v>
      </c>
    </row>
    <row r="840">
      <c r="A840" s="8" t="s">
        <v>89</v>
      </c>
      <c r="B840" s="8" t="s">
        <v>527</v>
      </c>
      <c r="C840" s="18" t="s">
        <v>2556</v>
      </c>
      <c r="D840" s="16">
        <v>64.0</v>
      </c>
    </row>
    <row r="841">
      <c r="A841" s="8" t="s">
        <v>89</v>
      </c>
      <c r="B841" s="8" t="s">
        <v>505</v>
      </c>
      <c r="C841" s="18" t="s">
        <v>2585</v>
      </c>
      <c r="D841" s="16">
        <v>65.0</v>
      </c>
    </row>
    <row r="842">
      <c r="A842" s="8" t="s">
        <v>89</v>
      </c>
      <c r="B842" s="8" t="s">
        <v>634</v>
      </c>
      <c r="C842" s="18" t="s">
        <v>2582</v>
      </c>
      <c r="D842" s="16">
        <v>66.0</v>
      </c>
    </row>
    <row r="843">
      <c r="A843" s="8" t="s">
        <v>89</v>
      </c>
      <c r="B843" s="8" t="s">
        <v>476</v>
      </c>
      <c r="C843" s="18" t="s">
        <v>2592</v>
      </c>
      <c r="D843" s="16">
        <v>68.0</v>
      </c>
    </row>
    <row r="844">
      <c r="A844" s="8" t="s">
        <v>89</v>
      </c>
      <c r="B844" s="8" t="s">
        <v>709</v>
      </c>
      <c r="C844" s="18" t="s">
        <v>2620</v>
      </c>
      <c r="D844" s="16">
        <v>75.0</v>
      </c>
    </row>
    <row r="845">
      <c r="A845" s="8" t="s">
        <v>2835</v>
      </c>
      <c r="B845" s="8" t="s">
        <v>275</v>
      </c>
      <c r="C845" s="18" t="s">
        <v>2620</v>
      </c>
      <c r="D845" s="16">
        <v>85.0</v>
      </c>
    </row>
    <row r="846">
      <c r="A846" s="8" t="s">
        <v>377</v>
      </c>
      <c r="B846" s="8" t="s">
        <v>710</v>
      </c>
      <c r="C846" s="18" t="s">
        <v>2560</v>
      </c>
      <c r="D846" s="16">
        <v>71.0</v>
      </c>
    </row>
    <row r="847">
      <c r="A847" s="8" t="s">
        <v>377</v>
      </c>
      <c r="B847" s="8" t="s">
        <v>1624</v>
      </c>
      <c r="C847" s="18" t="s">
        <v>2584</v>
      </c>
      <c r="D847" s="16">
        <v>72.0</v>
      </c>
    </row>
    <row r="848">
      <c r="A848" s="8" t="s">
        <v>2836</v>
      </c>
      <c r="B848" s="8" t="s">
        <v>378</v>
      </c>
      <c r="C848" s="18" t="s">
        <v>2566</v>
      </c>
      <c r="D848" s="16">
        <v>85.0</v>
      </c>
    </row>
    <row r="849">
      <c r="A849" s="8" t="s">
        <v>1468</v>
      </c>
      <c r="B849" s="8" t="s">
        <v>399</v>
      </c>
      <c r="C849" s="18" t="s">
        <v>2610</v>
      </c>
      <c r="D849" s="16">
        <v>66.0</v>
      </c>
    </row>
    <row r="850">
      <c r="A850" s="8" t="s">
        <v>1468</v>
      </c>
      <c r="B850" s="8" t="s">
        <v>441</v>
      </c>
      <c r="C850" s="18" t="s">
        <v>2564</v>
      </c>
      <c r="D850" s="16">
        <v>68.0</v>
      </c>
    </row>
    <row r="851">
      <c r="A851" s="8" t="s">
        <v>1469</v>
      </c>
      <c r="B851" s="8" t="s">
        <v>301</v>
      </c>
      <c r="C851" s="18" t="s">
        <v>2582</v>
      </c>
      <c r="D851" s="16">
        <v>66.0</v>
      </c>
    </row>
    <row r="852">
      <c r="A852" s="8" t="s">
        <v>1829</v>
      </c>
      <c r="B852" s="8" t="s">
        <v>1830</v>
      </c>
      <c r="C852" s="18" t="s">
        <v>2556</v>
      </c>
      <c r="D852" s="16">
        <v>63.0</v>
      </c>
    </row>
    <row r="853">
      <c r="A853" s="8" t="s">
        <v>1828</v>
      </c>
      <c r="B853" s="8" t="s">
        <v>172</v>
      </c>
      <c r="C853" s="18" t="s">
        <v>2593</v>
      </c>
      <c r="D853" s="16">
        <v>62.0</v>
      </c>
    </row>
    <row r="854">
      <c r="A854" s="8" t="s">
        <v>2837</v>
      </c>
      <c r="B854" s="8" t="s">
        <v>2838</v>
      </c>
      <c r="C854" s="18" t="s">
        <v>2587</v>
      </c>
      <c r="D854" s="16">
        <v>66.0</v>
      </c>
    </row>
    <row r="855">
      <c r="A855" s="8" t="s">
        <v>115</v>
      </c>
      <c r="B855" s="8" t="s">
        <v>759</v>
      </c>
      <c r="C855" s="18" t="s">
        <v>2587</v>
      </c>
      <c r="D855" s="16">
        <v>81.0</v>
      </c>
    </row>
    <row r="856">
      <c r="A856" s="8" t="s">
        <v>935</v>
      </c>
      <c r="B856" s="8" t="s">
        <v>936</v>
      </c>
      <c r="C856" s="18" t="s">
        <v>2593</v>
      </c>
      <c r="D856" s="16">
        <v>80.0</v>
      </c>
    </row>
    <row r="857">
      <c r="A857" s="8" t="s">
        <v>1187</v>
      </c>
      <c r="B857" s="8" t="s">
        <v>1470</v>
      </c>
      <c r="C857" s="18" t="s">
        <v>2577</v>
      </c>
      <c r="D857" s="16">
        <v>70.0</v>
      </c>
    </row>
    <row r="858">
      <c r="A858" s="8" t="s">
        <v>1187</v>
      </c>
      <c r="B858" s="8" t="s">
        <v>301</v>
      </c>
      <c r="C858" s="18" t="s">
        <v>2558</v>
      </c>
      <c r="D858" s="16">
        <v>70.0</v>
      </c>
    </row>
    <row r="859">
      <c r="A859" s="8" t="s">
        <v>528</v>
      </c>
      <c r="B859" s="18" t="s">
        <v>529</v>
      </c>
      <c r="C859" s="18" t="s">
        <v>2584</v>
      </c>
      <c r="D859" s="16">
        <v>74.0</v>
      </c>
    </row>
    <row r="860">
      <c r="A860" s="8" t="s">
        <v>2839</v>
      </c>
      <c r="B860" s="8" t="s">
        <v>692</v>
      </c>
      <c r="C860" s="18" t="s">
        <v>2581</v>
      </c>
      <c r="D860" s="16">
        <v>79.0</v>
      </c>
    </row>
    <row r="861">
      <c r="A861" s="8" t="s">
        <v>1471</v>
      </c>
      <c r="B861" s="8" t="s">
        <v>914</v>
      </c>
      <c r="C861" s="18" t="s">
        <v>2574</v>
      </c>
      <c r="D861" s="16">
        <v>67.0</v>
      </c>
    </row>
    <row r="862">
      <c r="A862" s="8" t="s">
        <v>530</v>
      </c>
      <c r="B862" s="8" t="s">
        <v>494</v>
      </c>
      <c r="C862" s="18" t="s">
        <v>2572</v>
      </c>
      <c r="D862" s="16">
        <v>86.0</v>
      </c>
    </row>
    <row r="863">
      <c r="A863" s="8" t="s">
        <v>711</v>
      </c>
      <c r="B863" s="8" t="s">
        <v>712</v>
      </c>
      <c r="C863" s="18" t="s">
        <v>2614</v>
      </c>
      <c r="D863" s="16">
        <v>74.0</v>
      </c>
    </row>
    <row r="864">
      <c r="A864" s="8" t="s">
        <v>711</v>
      </c>
      <c r="B864" s="8" t="s">
        <v>850</v>
      </c>
      <c r="C864" s="18" t="s">
        <v>2562</v>
      </c>
      <c r="D864" s="16">
        <v>68.0</v>
      </c>
    </row>
    <row r="865">
      <c r="A865" s="8" t="s">
        <v>2840</v>
      </c>
      <c r="B865" s="8" t="s">
        <v>50</v>
      </c>
      <c r="C865" s="18" t="s">
        <v>2562</v>
      </c>
      <c r="D865" s="16">
        <v>73.0</v>
      </c>
    </row>
    <row r="866">
      <c r="A866" s="8" t="s">
        <v>1188</v>
      </c>
      <c r="B866" s="8" t="s">
        <v>441</v>
      </c>
      <c r="C866" s="18" t="s">
        <v>2574</v>
      </c>
      <c r="D866" s="16">
        <v>62.0</v>
      </c>
    </row>
    <row r="867">
      <c r="A867" s="8" t="s">
        <v>531</v>
      </c>
      <c r="B867" s="8" t="s">
        <v>532</v>
      </c>
      <c r="C867" s="18" t="s">
        <v>2593</v>
      </c>
      <c r="D867" s="16">
        <v>89.0</v>
      </c>
    </row>
    <row r="868">
      <c r="A868" s="8" t="s">
        <v>1189</v>
      </c>
      <c r="B868" s="8" t="s">
        <v>1190</v>
      </c>
      <c r="C868" s="18" t="s">
        <v>2593</v>
      </c>
      <c r="D868" s="16">
        <v>62.0</v>
      </c>
    </row>
    <row r="869">
      <c r="A869" s="8" t="s">
        <v>937</v>
      </c>
      <c r="B869" s="8" t="s">
        <v>366</v>
      </c>
      <c r="C869" s="18" t="s">
        <v>2620</v>
      </c>
      <c r="D869" s="16">
        <v>73.0</v>
      </c>
    </row>
    <row r="870">
      <c r="A870" s="8" t="s">
        <v>937</v>
      </c>
      <c r="B870" s="18" t="s">
        <v>1192</v>
      </c>
      <c r="C870" s="18" t="s">
        <v>2620</v>
      </c>
      <c r="D870" s="16">
        <v>69.0</v>
      </c>
    </row>
    <row r="871">
      <c r="A871" s="8" t="s">
        <v>937</v>
      </c>
      <c r="B871" s="8" t="s">
        <v>938</v>
      </c>
      <c r="C871" s="18" t="s">
        <v>2562</v>
      </c>
      <c r="D871" s="16">
        <v>75.0</v>
      </c>
    </row>
    <row r="872">
      <c r="A872" s="8" t="s">
        <v>2841</v>
      </c>
      <c r="B872" s="8" t="s">
        <v>114</v>
      </c>
      <c r="C872" s="18" t="s">
        <v>2558</v>
      </c>
      <c r="D872" s="16">
        <v>84.0</v>
      </c>
    </row>
    <row r="873">
      <c r="A873" s="8" t="s">
        <v>2841</v>
      </c>
      <c r="B873" s="8" t="s">
        <v>114</v>
      </c>
      <c r="C873" s="18" t="s">
        <v>2556</v>
      </c>
      <c r="D873" s="16">
        <v>83.0</v>
      </c>
    </row>
    <row r="874">
      <c r="A874" s="8" t="s">
        <v>2841</v>
      </c>
      <c r="B874" s="8" t="s">
        <v>114</v>
      </c>
      <c r="C874" s="18" t="s">
        <v>2567</v>
      </c>
      <c r="D874" s="16">
        <v>82.0</v>
      </c>
    </row>
    <row r="875">
      <c r="A875" s="8" t="s">
        <v>2841</v>
      </c>
      <c r="B875" s="8" t="s">
        <v>114</v>
      </c>
      <c r="C875" s="18" t="s">
        <v>2556</v>
      </c>
      <c r="D875" s="16">
        <v>86.0</v>
      </c>
    </row>
    <row r="876">
      <c r="A876" s="8" t="s">
        <v>2841</v>
      </c>
      <c r="B876" s="8" t="s">
        <v>114</v>
      </c>
      <c r="C876" s="18" t="s">
        <v>2556</v>
      </c>
      <c r="D876" s="16">
        <v>88.0</v>
      </c>
    </row>
    <row r="877">
      <c r="A877" s="8" t="s">
        <v>2841</v>
      </c>
      <c r="B877" s="8" t="s">
        <v>114</v>
      </c>
      <c r="C877" s="18" t="s">
        <v>2556</v>
      </c>
      <c r="D877" s="16">
        <v>90.0</v>
      </c>
    </row>
    <row r="878">
      <c r="A878" s="8" t="s">
        <v>1834</v>
      </c>
      <c r="B878" s="8" t="s">
        <v>865</v>
      </c>
      <c r="C878" s="18" t="s">
        <v>2595</v>
      </c>
      <c r="D878" s="16">
        <v>73.0</v>
      </c>
    </row>
    <row r="879">
      <c r="A879" s="8" t="s">
        <v>1191</v>
      </c>
      <c r="B879" s="18" t="s">
        <v>269</v>
      </c>
      <c r="C879" s="18" t="s">
        <v>2572</v>
      </c>
      <c r="D879" s="16">
        <v>63.0</v>
      </c>
    </row>
    <row r="880">
      <c r="A880" s="8" t="s">
        <v>116</v>
      </c>
      <c r="B880" s="8" t="s">
        <v>117</v>
      </c>
      <c r="C880" s="18" t="s">
        <v>2183</v>
      </c>
      <c r="D880" s="16">
        <v>69.0</v>
      </c>
    </row>
    <row r="881">
      <c r="A881" s="8" t="s">
        <v>637</v>
      </c>
      <c r="B881" s="8" t="s">
        <v>1473</v>
      </c>
      <c r="C881" s="18" t="s">
        <v>2621</v>
      </c>
      <c r="D881" s="16">
        <v>83.0</v>
      </c>
    </row>
    <row r="882">
      <c r="A882" s="8" t="s">
        <v>637</v>
      </c>
      <c r="B882" s="8" t="s">
        <v>1380</v>
      </c>
      <c r="C882" s="18" t="s">
        <v>2572</v>
      </c>
      <c r="D882" s="16">
        <v>84.0</v>
      </c>
    </row>
    <row r="883">
      <c r="A883" s="8" t="s">
        <v>637</v>
      </c>
      <c r="B883" s="8" t="s">
        <v>1317</v>
      </c>
      <c r="C883" s="18" t="s">
        <v>2575</v>
      </c>
      <c r="D883" s="16">
        <v>76.0</v>
      </c>
    </row>
    <row r="884">
      <c r="A884" s="8" t="s">
        <v>2126</v>
      </c>
      <c r="B884" s="8" t="s">
        <v>1046</v>
      </c>
      <c r="C884" s="18" t="s">
        <v>2566</v>
      </c>
      <c r="D884" s="16">
        <v>77.0</v>
      </c>
    </row>
    <row r="885">
      <c r="A885" s="8" t="s">
        <v>2842</v>
      </c>
      <c r="B885" s="8" t="s">
        <v>2128</v>
      </c>
      <c r="C885" s="18" t="s">
        <v>2560</v>
      </c>
      <c r="D885" s="16">
        <v>69.0</v>
      </c>
    </row>
    <row r="886">
      <c r="A886" s="8" t="s">
        <v>2843</v>
      </c>
      <c r="B886" s="8" t="s">
        <v>471</v>
      </c>
      <c r="C886" s="18" t="s">
        <v>2566</v>
      </c>
      <c r="D886" s="16">
        <v>73.0</v>
      </c>
    </row>
    <row r="887">
      <c r="A887" s="8" t="s">
        <v>1193</v>
      </c>
      <c r="B887" s="8" t="s">
        <v>1194</v>
      </c>
      <c r="C887" s="18" t="s">
        <v>2556</v>
      </c>
      <c r="D887" s="16">
        <v>72.0</v>
      </c>
    </row>
    <row r="888">
      <c r="A888" s="8" t="s">
        <v>1195</v>
      </c>
      <c r="B888" s="8" t="s">
        <v>712</v>
      </c>
      <c r="C888" s="18" t="s">
        <v>2620</v>
      </c>
      <c r="D888" s="16">
        <v>74.0</v>
      </c>
    </row>
    <row r="889">
      <c r="A889" s="8" t="s">
        <v>1196</v>
      </c>
      <c r="B889" s="8" t="s">
        <v>1197</v>
      </c>
      <c r="C889" s="18" t="s">
        <v>2560</v>
      </c>
      <c r="D889" s="16">
        <v>73.0</v>
      </c>
    </row>
    <row r="890">
      <c r="A890" s="8" t="s">
        <v>1196</v>
      </c>
      <c r="B890" s="8" t="s">
        <v>67</v>
      </c>
      <c r="C890" s="18" t="s">
        <v>2610</v>
      </c>
      <c r="D890" s="16">
        <v>66.0</v>
      </c>
    </row>
    <row r="891">
      <c r="A891" s="8" t="s">
        <v>379</v>
      </c>
      <c r="B891" s="8" t="s">
        <v>52</v>
      </c>
      <c r="C891" s="18" t="s">
        <v>2577</v>
      </c>
      <c r="D891" s="16">
        <v>82.0</v>
      </c>
    </row>
    <row r="892">
      <c r="A892" s="8" t="s">
        <v>2844</v>
      </c>
      <c r="B892" s="8" t="s">
        <v>2845</v>
      </c>
      <c r="C892" s="18" t="s">
        <v>2577</v>
      </c>
      <c r="D892" s="16">
        <v>71.0</v>
      </c>
    </row>
    <row r="893">
      <c r="A893" s="8" t="s">
        <v>533</v>
      </c>
      <c r="B893" s="8" t="s">
        <v>534</v>
      </c>
      <c r="C893" s="18" t="s">
        <v>2605</v>
      </c>
      <c r="D893" s="16">
        <v>80.0</v>
      </c>
    </row>
    <row r="894">
      <c r="A894" s="8" t="s">
        <v>533</v>
      </c>
      <c r="B894" s="8" t="s">
        <v>534</v>
      </c>
      <c r="C894" s="18" t="s">
        <v>2605</v>
      </c>
      <c r="D894" s="16">
        <v>87.0</v>
      </c>
    </row>
    <row r="895">
      <c r="A895" s="8" t="s">
        <v>533</v>
      </c>
      <c r="B895" s="8" t="s">
        <v>263</v>
      </c>
      <c r="C895" s="18" t="s">
        <v>2564</v>
      </c>
      <c r="D895" s="16">
        <v>82.0</v>
      </c>
    </row>
    <row r="896">
      <c r="A896" s="8" t="s">
        <v>1198</v>
      </c>
      <c r="B896" s="8" t="s">
        <v>676</v>
      </c>
      <c r="C896" s="18" t="s">
        <v>2593</v>
      </c>
      <c r="D896" s="16">
        <v>78.0</v>
      </c>
    </row>
    <row r="897">
      <c r="A897" s="8" t="s">
        <v>1835</v>
      </c>
      <c r="B897" s="8" t="s">
        <v>1786</v>
      </c>
      <c r="C897" s="18" t="s">
        <v>2615</v>
      </c>
      <c r="D897" s="16">
        <v>70.0</v>
      </c>
    </row>
    <row r="898">
      <c r="A898" s="8" t="s">
        <v>535</v>
      </c>
      <c r="B898" s="18" t="s">
        <v>536</v>
      </c>
      <c r="C898" s="18" t="s">
        <v>2600</v>
      </c>
      <c r="D898" s="16">
        <v>82.0</v>
      </c>
    </row>
    <row r="899">
      <c r="A899" s="8" t="s">
        <v>1474</v>
      </c>
      <c r="B899" s="8" t="s">
        <v>349</v>
      </c>
      <c r="C899" s="18" t="s">
        <v>2585</v>
      </c>
      <c r="D899" s="16">
        <v>66.0</v>
      </c>
    </row>
    <row r="900">
      <c r="A900" s="8" t="s">
        <v>537</v>
      </c>
      <c r="B900" s="18" t="s">
        <v>912</v>
      </c>
      <c r="C900" s="18" t="s">
        <v>2566</v>
      </c>
      <c r="D900" s="16">
        <v>71.0</v>
      </c>
    </row>
    <row r="901">
      <c r="A901" s="8" t="s">
        <v>537</v>
      </c>
      <c r="B901" s="8" t="s">
        <v>157</v>
      </c>
      <c r="C901" s="18" t="s">
        <v>2610</v>
      </c>
      <c r="D901" s="16">
        <v>71.0</v>
      </c>
    </row>
    <row r="902">
      <c r="A902" s="8" t="s">
        <v>537</v>
      </c>
      <c r="B902" s="8" t="s">
        <v>731</v>
      </c>
      <c r="C902" s="18" t="s">
        <v>2645</v>
      </c>
      <c r="D902" s="16">
        <v>67.0</v>
      </c>
    </row>
    <row r="903">
      <c r="A903" s="8" t="s">
        <v>537</v>
      </c>
      <c r="B903" s="8" t="s">
        <v>2129</v>
      </c>
      <c r="C903" s="18" t="s">
        <v>2603</v>
      </c>
      <c r="D903" s="16">
        <v>70.0</v>
      </c>
    </row>
    <row r="904">
      <c r="A904" s="8" t="s">
        <v>537</v>
      </c>
      <c r="B904" s="8" t="s">
        <v>1051</v>
      </c>
      <c r="C904" s="18" t="s">
        <v>2575</v>
      </c>
      <c r="D904" s="16">
        <v>65.0</v>
      </c>
    </row>
    <row r="905">
      <c r="A905" s="8" t="s">
        <v>537</v>
      </c>
      <c r="B905" s="8" t="s">
        <v>822</v>
      </c>
      <c r="C905" s="18" t="s">
        <v>2600</v>
      </c>
      <c r="D905" s="16">
        <v>75.0</v>
      </c>
    </row>
    <row r="906">
      <c r="A906" s="8" t="s">
        <v>537</v>
      </c>
      <c r="B906" s="8" t="s">
        <v>301</v>
      </c>
      <c r="C906" s="18" t="s">
        <v>2595</v>
      </c>
      <c r="D906" s="16">
        <v>78.0</v>
      </c>
    </row>
    <row r="907">
      <c r="A907" s="8" t="s">
        <v>537</v>
      </c>
      <c r="B907" s="8" t="s">
        <v>939</v>
      </c>
      <c r="C907" s="18" t="s">
        <v>2552</v>
      </c>
      <c r="D907" s="16">
        <v>65.0</v>
      </c>
    </row>
    <row r="908">
      <c r="A908" s="8" t="s">
        <v>537</v>
      </c>
      <c r="B908" s="8" t="s">
        <v>538</v>
      </c>
      <c r="C908" s="18" t="s">
        <v>2595</v>
      </c>
      <c r="D908" s="16">
        <v>62.0</v>
      </c>
    </row>
    <row r="909">
      <c r="A909" s="8" t="s">
        <v>537</v>
      </c>
      <c r="B909" s="8" t="s">
        <v>713</v>
      </c>
      <c r="C909" s="18" t="s">
        <v>2593</v>
      </c>
      <c r="D909" s="16">
        <v>72.0</v>
      </c>
    </row>
    <row r="910">
      <c r="A910" s="8" t="s">
        <v>537</v>
      </c>
      <c r="B910" s="8" t="s">
        <v>867</v>
      </c>
      <c r="C910" s="18" t="s">
        <v>2183</v>
      </c>
      <c r="D910" s="16">
        <v>83.0</v>
      </c>
    </row>
    <row r="911">
      <c r="A911" s="8" t="s">
        <v>539</v>
      </c>
      <c r="B911" s="8" t="s">
        <v>183</v>
      </c>
      <c r="C911" s="18" t="s">
        <v>2577</v>
      </c>
      <c r="D911" s="16">
        <v>79.0</v>
      </c>
    </row>
    <row r="912">
      <c r="A912" s="8" t="s">
        <v>539</v>
      </c>
      <c r="B912" s="18" t="s">
        <v>540</v>
      </c>
      <c r="C912" s="18" t="s">
        <v>2567</v>
      </c>
      <c r="D912" s="16">
        <v>84.0</v>
      </c>
    </row>
    <row r="913">
      <c r="A913" s="8" t="s">
        <v>2356</v>
      </c>
      <c r="B913" s="8" t="s">
        <v>2357</v>
      </c>
      <c r="C913" s="18" t="s">
        <v>2567</v>
      </c>
      <c r="D913" s="16">
        <v>73.0</v>
      </c>
    </row>
    <row r="914">
      <c r="A914" s="8" t="s">
        <v>940</v>
      </c>
      <c r="B914" s="8" t="s">
        <v>212</v>
      </c>
      <c r="C914" s="18" t="s">
        <v>2183</v>
      </c>
      <c r="D914" s="16">
        <v>81.0</v>
      </c>
    </row>
    <row r="915">
      <c r="A915" s="8" t="s">
        <v>274</v>
      </c>
      <c r="B915" s="8" t="s">
        <v>275</v>
      </c>
      <c r="C915" s="18" t="s">
        <v>2600</v>
      </c>
      <c r="D915" s="16">
        <v>80.0</v>
      </c>
    </row>
    <row r="916">
      <c r="A916" s="8" t="s">
        <v>274</v>
      </c>
      <c r="B916" s="8" t="s">
        <v>119</v>
      </c>
      <c r="C916" s="18" t="s">
        <v>2582</v>
      </c>
      <c r="D916" s="16">
        <v>70.0</v>
      </c>
    </row>
    <row r="917">
      <c r="A917" s="8" t="s">
        <v>274</v>
      </c>
      <c r="B917" s="8" t="s">
        <v>2846</v>
      </c>
      <c r="C917" s="18" t="s">
        <v>2567</v>
      </c>
      <c r="D917" s="16">
        <v>62.0</v>
      </c>
    </row>
    <row r="918">
      <c r="A918" s="8" t="s">
        <v>1476</v>
      </c>
      <c r="B918" s="8" t="s">
        <v>1046</v>
      </c>
      <c r="C918" s="18" t="s">
        <v>2589</v>
      </c>
      <c r="D918" s="16">
        <v>69.0</v>
      </c>
    </row>
    <row r="919">
      <c r="A919" s="8" t="s">
        <v>1477</v>
      </c>
      <c r="B919" s="8" t="s">
        <v>163</v>
      </c>
      <c r="C919" s="18" t="s">
        <v>2564</v>
      </c>
      <c r="D919" s="16">
        <v>72.0</v>
      </c>
    </row>
    <row r="920">
      <c r="A920" s="8" t="s">
        <v>1478</v>
      </c>
      <c r="B920" s="8" t="s">
        <v>1479</v>
      </c>
      <c r="C920" s="18" t="s">
        <v>2600</v>
      </c>
      <c r="D920" s="16">
        <v>72.0</v>
      </c>
    </row>
    <row r="921">
      <c r="A921" s="8" t="s">
        <v>276</v>
      </c>
      <c r="B921" s="8" t="s">
        <v>277</v>
      </c>
      <c r="C921" s="18" t="s">
        <v>2587</v>
      </c>
      <c r="D921" s="16">
        <v>74.0</v>
      </c>
    </row>
    <row r="922">
      <c r="A922" s="8" t="s">
        <v>276</v>
      </c>
      <c r="B922" s="8" t="s">
        <v>724</v>
      </c>
      <c r="C922" s="18" t="s">
        <v>2589</v>
      </c>
      <c r="D922" s="16">
        <v>62.0</v>
      </c>
    </row>
    <row r="923">
      <c r="A923" s="8" t="s">
        <v>276</v>
      </c>
      <c r="B923" s="8" t="s">
        <v>2134</v>
      </c>
      <c r="C923" s="18" t="s">
        <v>2552</v>
      </c>
      <c r="D923" s="16">
        <v>71.0</v>
      </c>
    </row>
    <row r="924">
      <c r="A924" s="8" t="s">
        <v>276</v>
      </c>
      <c r="B924" s="8" t="s">
        <v>501</v>
      </c>
      <c r="C924" s="18" t="s">
        <v>2183</v>
      </c>
      <c r="D924" s="16">
        <v>71.0</v>
      </c>
    </row>
    <row r="925">
      <c r="A925" s="8" t="s">
        <v>2847</v>
      </c>
      <c r="B925" s="8" t="s">
        <v>1283</v>
      </c>
      <c r="C925" s="18" t="s">
        <v>2582</v>
      </c>
      <c r="D925" s="16">
        <v>68.0</v>
      </c>
    </row>
    <row r="926">
      <c r="A926" s="8" t="s">
        <v>714</v>
      </c>
      <c r="B926" s="8" t="s">
        <v>532</v>
      </c>
      <c r="C926" s="18" t="s">
        <v>2556</v>
      </c>
      <c r="D926" s="16">
        <v>71.0</v>
      </c>
    </row>
    <row r="927">
      <c r="A927" s="8" t="s">
        <v>2135</v>
      </c>
      <c r="B927" s="8" t="s">
        <v>1528</v>
      </c>
      <c r="C927" s="18" t="s">
        <v>2574</v>
      </c>
      <c r="D927" s="16">
        <v>63.0</v>
      </c>
    </row>
    <row r="928">
      <c r="A928" s="8" t="s">
        <v>2135</v>
      </c>
      <c r="B928" s="8" t="s">
        <v>2848</v>
      </c>
      <c r="C928" s="18" t="s">
        <v>2582</v>
      </c>
      <c r="D928" s="16">
        <v>67.0</v>
      </c>
    </row>
    <row r="929">
      <c r="A929" s="8" t="s">
        <v>2136</v>
      </c>
      <c r="B929" s="8" t="s">
        <v>549</v>
      </c>
      <c r="C929" s="18" t="s">
        <v>2567</v>
      </c>
      <c r="D929" s="16">
        <v>76.0</v>
      </c>
    </row>
    <row r="930">
      <c r="A930" s="8" t="s">
        <v>941</v>
      </c>
      <c r="B930" s="8" t="s">
        <v>942</v>
      </c>
      <c r="C930" s="18" t="s">
        <v>2577</v>
      </c>
      <c r="D930" s="16">
        <v>62.0</v>
      </c>
    </row>
    <row r="931">
      <c r="A931" s="8" t="s">
        <v>2849</v>
      </c>
      <c r="B931" s="8" t="s">
        <v>137</v>
      </c>
      <c r="C931" s="18" t="s">
        <v>2595</v>
      </c>
      <c r="D931" s="16">
        <v>71.0</v>
      </c>
    </row>
    <row r="932">
      <c r="A932" s="8" t="s">
        <v>1843</v>
      </c>
      <c r="B932" s="8" t="s">
        <v>464</v>
      </c>
      <c r="C932" s="18" t="s">
        <v>2598</v>
      </c>
      <c r="D932" s="16">
        <v>79.0</v>
      </c>
    </row>
    <row r="933">
      <c r="A933" s="8" t="s">
        <v>715</v>
      </c>
      <c r="B933" s="8" t="s">
        <v>943</v>
      </c>
      <c r="C933" s="18" t="s">
        <v>2562</v>
      </c>
      <c r="D933" s="16">
        <v>88.0</v>
      </c>
    </row>
    <row r="934">
      <c r="A934" s="8" t="s">
        <v>715</v>
      </c>
      <c r="B934" s="8" t="s">
        <v>37</v>
      </c>
      <c r="C934" s="18" t="s">
        <v>2582</v>
      </c>
      <c r="D934" s="16">
        <v>77.0</v>
      </c>
    </row>
    <row r="935">
      <c r="A935" s="8" t="s">
        <v>715</v>
      </c>
      <c r="B935" s="8" t="s">
        <v>865</v>
      </c>
      <c r="C935" s="18" t="s">
        <v>2610</v>
      </c>
      <c r="D935" s="16">
        <v>72.0</v>
      </c>
    </row>
    <row r="936">
      <c r="A936" s="8" t="s">
        <v>541</v>
      </c>
      <c r="B936" s="8" t="s">
        <v>542</v>
      </c>
      <c r="C936" s="18" t="s">
        <v>2574</v>
      </c>
      <c r="D936" s="16">
        <v>69.0</v>
      </c>
    </row>
    <row r="937">
      <c r="A937" s="8" t="s">
        <v>2850</v>
      </c>
      <c r="B937" s="8" t="s">
        <v>1808</v>
      </c>
      <c r="C937" s="18" t="s">
        <v>2558</v>
      </c>
      <c r="D937" s="16">
        <v>72.0</v>
      </c>
    </row>
    <row r="938">
      <c r="A938" s="8" t="s">
        <v>380</v>
      </c>
      <c r="B938" s="8" t="s">
        <v>381</v>
      </c>
      <c r="C938" s="18" t="s">
        <v>2183</v>
      </c>
      <c r="D938" s="16">
        <v>87.0</v>
      </c>
    </row>
    <row r="939">
      <c r="A939" s="8" t="s">
        <v>1199</v>
      </c>
      <c r="B939" s="8" t="s">
        <v>943</v>
      </c>
      <c r="C939" s="18" t="s">
        <v>2605</v>
      </c>
      <c r="D939" s="16">
        <v>68.0</v>
      </c>
    </row>
    <row r="940">
      <c r="A940" s="8" t="s">
        <v>1200</v>
      </c>
      <c r="B940" s="8" t="s">
        <v>464</v>
      </c>
      <c r="C940" s="18" t="s">
        <v>2567</v>
      </c>
      <c r="D940" s="16">
        <v>77.0</v>
      </c>
    </row>
    <row r="941">
      <c r="A941" s="8" t="s">
        <v>1200</v>
      </c>
      <c r="B941" s="8" t="s">
        <v>263</v>
      </c>
      <c r="C941" s="18" t="s">
        <v>2605</v>
      </c>
      <c r="D941" s="16">
        <v>84.0</v>
      </c>
    </row>
    <row r="942">
      <c r="A942" s="8" t="s">
        <v>1200</v>
      </c>
      <c r="B942" s="18" t="s">
        <v>1845</v>
      </c>
      <c r="C942" s="18" t="s">
        <v>2592</v>
      </c>
      <c r="D942" s="16">
        <v>78.0</v>
      </c>
    </row>
    <row r="943">
      <c r="A943" s="8" t="s">
        <v>1200</v>
      </c>
      <c r="B943" s="8" t="s">
        <v>1434</v>
      </c>
      <c r="C943" s="18" t="s">
        <v>2593</v>
      </c>
      <c r="D943" s="16">
        <v>65.0</v>
      </c>
    </row>
    <row r="944">
      <c r="A944" s="8" t="s">
        <v>1200</v>
      </c>
      <c r="B944" s="8" t="s">
        <v>1201</v>
      </c>
      <c r="C944" s="18" t="s">
        <v>2581</v>
      </c>
      <c r="D944" s="16">
        <v>75.0</v>
      </c>
    </row>
    <row r="945">
      <c r="A945" s="8" t="s">
        <v>156</v>
      </c>
      <c r="B945" s="8" t="s">
        <v>157</v>
      </c>
      <c r="C945" s="18" t="s">
        <v>2600</v>
      </c>
      <c r="D945" s="16">
        <v>71.0</v>
      </c>
    </row>
    <row r="946">
      <c r="A946" s="8" t="s">
        <v>716</v>
      </c>
      <c r="B946" s="8" t="s">
        <v>275</v>
      </c>
      <c r="C946" s="18" t="s">
        <v>2615</v>
      </c>
      <c r="D946" s="16">
        <v>75.0</v>
      </c>
    </row>
    <row r="947">
      <c r="A947" s="8" t="s">
        <v>716</v>
      </c>
      <c r="B947" s="8" t="s">
        <v>41</v>
      </c>
      <c r="C947" s="18" t="s">
        <v>2610</v>
      </c>
      <c r="D947" s="16">
        <v>72.0</v>
      </c>
    </row>
    <row r="948">
      <c r="A948" s="8" t="s">
        <v>118</v>
      </c>
      <c r="B948" s="8" t="s">
        <v>119</v>
      </c>
      <c r="C948" s="18" t="s">
        <v>2610</v>
      </c>
      <c r="D948" s="16">
        <v>75.0</v>
      </c>
    </row>
    <row r="949">
      <c r="A949" s="8" t="s">
        <v>382</v>
      </c>
      <c r="B949" s="8" t="s">
        <v>383</v>
      </c>
      <c r="C949" s="18" t="s">
        <v>2556</v>
      </c>
      <c r="D949" s="16">
        <v>85.0</v>
      </c>
    </row>
    <row r="950">
      <c r="A950" s="8" t="s">
        <v>2851</v>
      </c>
      <c r="B950" s="8" t="s">
        <v>301</v>
      </c>
      <c r="C950" s="18" t="s">
        <v>2595</v>
      </c>
      <c r="D950" s="16">
        <v>71.0</v>
      </c>
    </row>
    <row r="951">
      <c r="A951" s="8" t="s">
        <v>2851</v>
      </c>
      <c r="B951" s="8" t="s">
        <v>2852</v>
      </c>
      <c r="C951" s="18" t="s">
        <v>2614</v>
      </c>
      <c r="D951" s="16">
        <v>69.0</v>
      </c>
    </row>
    <row r="952">
      <c r="A952" s="8" t="s">
        <v>278</v>
      </c>
      <c r="B952" s="8" t="s">
        <v>279</v>
      </c>
      <c r="C952" s="18" t="s">
        <v>2587</v>
      </c>
      <c r="D952" s="16">
        <v>80.0</v>
      </c>
    </row>
    <row r="953">
      <c r="A953" s="8" t="s">
        <v>278</v>
      </c>
      <c r="B953" s="8" t="s">
        <v>183</v>
      </c>
      <c r="C953" s="18" t="s">
        <v>2552</v>
      </c>
      <c r="D953" s="16">
        <v>76.0</v>
      </c>
    </row>
    <row r="954">
      <c r="A954" s="8" t="s">
        <v>717</v>
      </c>
      <c r="B954" s="8" t="s">
        <v>183</v>
      </c>
      <c r="C954" s="18" t="s">
        <v>2581</v>
      </c>
      <c r="D954" s="16">
        <v>70.0</v>
      </c>
    </row>
    <row r="955">
      <c r="A955" s="8" t="s">
        <v>2853</v>
      </c>
      <c r="B955" s="8" t="s">
        <v>155</v>
      </c>
      <c r="C955" s="18" t="s">
        <v>2587</v>
      </c>
      <c r="D955" s="16">
        <v>67.0</v>
      </c>
    </row>
    <row r="956">
      <c r="A956" s="8" t="s">
        <v>2142</v>
      </c>
      <c r="B956" s="8" t="s">
        <v>2143</v>
      </c>
      <c r="C956" s="18" t="s">
        <v>2575</v>
      </c>
      <c r="D956" s="16">
        <v>79.0</v>
      </c>
    </row>
    <row r="957">
      <c r="A957" s="8" t="s">
        <v>1202</v>
      </c>
      <c r="B957" s="8" t="s">
        <v>11</v>
      </c>
      <c r="C957" s="18" t="s">
        <v>2592</v>
      </c>
      <c r="D957" s="16">
        <v>75.0</v>
      </c>
    </row>
    <row r="958">
      <c r="A958" s="8" t="s">
        <v>1202</v>
      </c>
      <c r="B958" s="18" t="s">
        <v>529</v>
      </c>
      <c r="C958" s="18" t="s">
        <v>2589</v>
      </c>
      <c r="D958" s="16">
        <v>76.0</v>
      </c>
    </row>
    <row r="959">
      <c r="A959" s="8" t="s">
        <v>1203</v>
      </c>
      <c r="B959" s="8" t="s">
        <v>161</v>
      </c>
      <c r="C959" s="18" t="s">
        <v>2558</v>
      </c>
      <c r="D959" s="16">
        <v>75.0</v>
      </c>
    </row>
    <row r="960">
      <c r="A960" s="8" t="s">
        <v>205</v>
      </c>
      <c r="B960" s="8" t="s">
        <v>1249</v>
      </c>
      <c r="C960" s="18" t="s">
        <v>2603</v>
      </c>
      <c r="D960" s="16">
        <v>72.0</v>
      </c>
    </row>
    <row r="961">
      <c r="A961" s="8" t="s">
        <v>205</v>
      </c>
      <c r="B961" s="8" t="s">
        <v>281</v>
      </c>
      <c r="C961" s="18" t="s">
        <v>2183</v>
      </c>
      <c r="D961" s="16">
        <v>85.0</v>
      </c>
    </row>
    <row r="962">
      <c r="A962" s="8" t="s">
        <v>205</v>
      </c>
      <c r="B962" s="8" t="s">
        <v>206</v>
      </c>
      <c r="C962" s="18" t="s">
        <v>2567</v>
      </c>
      <c r="D962" s="16">
        <v>76.0</v>
      </c>
    </row>
    <row r="963">
      <c r="A963" s="8" t="s">
        <v>1380</v>
      </c>
      <c r="B963" s="8" t="s">
        <v>1846</v>
      </c>
      <c r="C963" s="18" t="s">
        <v>2552</v>
      </c>
      <c r="D963" s="16">
        <v>82.0</v>
      </c>
    </row>
    <row r="964">
      <c r="A964" s="8" t="s">
        <v>1380</v>
      </c>
      <c r="B964" s="8" t="s">
        <v>381</v>
      </c>
      <c r="C964" s="18" t="s">
        <v>2577</v>
      </c>
      <c r="D964" s="16">
        <v>72.0</v>
      </c>
    </row>
    <row r="965">
      <c r="A965" s="8" t="s">
        <v>945</v>
      </c>
      <c r="B965" s="8" t="s">
        <v>460</v>
      </c>
      <c r="C965" s="18" t="s">
        <v>2614</v>
      </c>
      <c r="D965" s="16">
        <v>78.0</v>
      </c>
    </row>
    <row r="966">
      <c r="A966" s="8" t="s">
        <v>944</v>
      </c>
      <c r="B966" s="8" t="s">
        <v>2854</v>
      </c>
      <c r="C966" s="18" t="s">
        <v>2621</v>
      </c>
      <c r="D966" s="16">
        <v>63.0</v>
      </c>
    </row>
    <row r="967">
      <c r="A967" s="8" t="s">
        <v>944</v>
      </c>
      <c r="B967" s="8" t="s">
        <v>528</v>
      </c>
      <c r="C967" s="18" t="s">
        <v>2575</v>
      </c>
      <c r="D967" s="16">
        <v>76.0</v>
      </c>
    </row>
    <row r="968">
      <c r="A968" s="8" t="s">
        <v>944</v>
      </c>
      <c r="B968" s="8" t="s">
        <v>260</v>
      </c>
      <c r="C968" s="18" t="s">
        <v>2575</v>
      </c>
      <c r="D968" s="16">
        <v>74.0</v>
      </c>
    </row>
    <row r="969">
      <c r="A969" s="8" t="s">
        <v>944</v>
      </c>
      <c r="B969" s="8" t="s">
        <v>634</v>
      </c>
      <c r="C969" s="18" t="s">
        <v>2556</v>
      </c>
      <c r="D969" s="16">
        <v>74.0</v>
      </c>
    </row>
    <row r="970">
      <c r="A970" s="8" t="s">
        <v>2855</v>
      </c>
      <c r="B970" s="8" t="s">
        <v>167</v>
      </c>
      <c r="C970" s="18" t="s">
        <v>2603</v>
      </c>
      <c r="D970" s="16">
        <v>83.0</v>
      </c>
    </row>
    <row r="971">
      <c r="A971" s="8" t="s">
        <v>2855</v>
      </c>
      <c r="B971" s="8" t="s">
        <v>167</v>
      </c>
      <c r="C971" s="18" t="s">
        <v>2621</v>
      </c>
      <c r="D971" s="16">
        <v>82.0</v>
      </c>
    </row>
    <row r="972">
      <c r="A972" s="8" t="s">
        <v>2855</v>
      </c>
      <c r="B972" s="8" t="s">
        <v>167</v>
      </c>
      <c r="C972" s="18" t="s">
        <v>2603</v>
      </c>
      <c r="D972" s="16">
        <v>88.0</v>
      </c>
    </row>
    <row r="973">
      <c r="A973" s="8" t="s">
        <v>2855</v>
      </c>
      <c r="B973" s="8" t="s">
        <v>167</v>
      </c>
      <c r="C973" s="18" t="s">
        <v>2603</v>
      </c>
      <c r="D973" s="16">
        <v>90.0</v>
      </c>
    </row>
    <row r="974">
      <c r="A974" s="8" t="s">
        <v>2855</v>
      </c>
      <c r="B974" s="8" t="s">
        <v>167</v>
      </c>
      <c r="C974" s="18" t="s">
        <v>2552</v>
      </c>
      <c r="D974" s="16">
        <v>86.0</v>
      </c>
    </row>
    <row r="975">
      <c r="A975" s="8" t="s">
        <v>2855</v>
      </c>
      <c r="B975" s="8" t="s">
        <v>167</v>
      </c>
      <c r="C975" s="18" t="s">
        <v>2552</v>
      </c>
      <c r="D975" s="16">
        <v>84.0</v>
      </c>
    </row>
    <row r="976">
      <c r="A976" s="8" t="s">
        <v>718</v>
      </c>
      <c r="B976" s="8" t="s">
        <v>366</v>
      </c>
      <c r="C976" s="18" t="s">
        <v>2615</v>
      </c>
      <c r="D976" s="16">
        <v>80.0</v>
      </c>
    </row>
    <row r="977">
      <c r="A977" s="8" t="s">
        <v>718</v>
      </c>
      <c r="B977" s="8" t="s">
        <v>719</v>
      </c>
      <c r="C977" s="18" t="s">
        <v>2587</v>
      </c>
      <c r="D977" s="16">
        <v>83.0</v>
      </c>
    </row>
    <row r="978">
      <c r="A978" s="8" t="s">
        <v>2856</v>
      </c>
      <c r="B978" s="8" t="s">
        <v>721</v>
      </c>
      <c r="C978" s="18" t="s">
        <v>2554</v>
      </c>
      <c r="D978" s="16">
        <v>76.0</v>
      </c>
    </row>
    <row r="979">
      <c r="A979" s="8" t="s">
        <v>1480</v>
      </c>
      <c r="B979" s="8" t="s">
        <v>1481</v>
      </c>
      <c r="C979" s="18" t="s">
        <v>2603</v>
      </c>
      <c r="D979" s="16">
        <v>73.0</v>
      </c>
    </row>
    <row r="980">
      <c r="A980" s="8" t="s">
        <v>2857</v>
      </c>
      <c r="B980" s="8" t="s">
        <v>50</v>
      </c>
      <c r="C980" s="18" t="s">
        <v>2560</v>
      </c>
      <c r="D980" s="16">
        <v>71.0</v>
      </c>
    </row>
    <row r="981">
      <c r="A981" s="8" t="s">
        <v>545</v>
      </c>
      <c r="B981" s="8" t="s">
        <v>546</v>
      </c>
      <c r="C981" s="18" t="s">
        <v>2610</v>
      </c>
      <c r="D981" s="16">
        <v>77.0</v>
      </c>
    </row>
    <row r="982">
      <c r="A982" s="8" t="s">
        <v>384</v>
      </c>
      <c r="B982" s="8" t="s">
        <v>385</v>
      </c>
      <c r="C982" s="18" t="s">
        <v>2572</v>
      </c>
      <c r="D982" s="16">
        <v>84.0</v>
      </c>
    </row>
    <row r="983">
      <c r="A983" s="8" t="s">
        <v>2858</v>
      </c>
      <c r="B983" s="8" t="s">
        <v>471</v>
      </c>
      <c r="C983" s="18" t="s">
        <v>2595</v>
      </c>
      <c r="D983" s="16">
        <v>83.0</v>
      </c>
    </row>
    <row r="984">
      <c r="A984" s="8" t="s">
        <v>386</v>
      </c>
      <c r="B984" s="8" t="s">
        <v>387</v>
      </c>
      <c r="C984" s="18" t="s">
        <v>2605</v>
      </c>
      <c r="D984" s="16">
        <v>61.0</v>
      </c>
    </row>
    <row r="985">
      <c r="A985" s="8" t="s">
        <v>1482</v>
      </c>
      <c r="B985" s="8" t="s">
        <v>176</v>
      </c>
      <c r="C985" s="18" t="s">
        <v>2582</v>
      </c>
      <c r="D985" s="16">
        <v>78.0</v>
      </c>
    </row>
    <row r="986">
      <c r="A986" s="8" t="s">
        <v>280</v>
      </c>
      <c r="B986" s="8" t="s">
        <v>249</v>
      </c>
      <c r="C986" s="18" t="s">
        <v>2556</v>
      </c>
      <c r="D986" s="16">
        <v>82.0</v>
      </c>
    </row>
    <row r="987">
      <c r="A987" s="8" t="s">
        <v>1483</v>
      </c>
      <c r="B987" s="8" t="s">
        <v>506</v>
      </c>
      <c r="C987" s="18" t="s">
        <v>2614</v>
      </c>
      <c r="D987" s="16">
        <v>79.0</v>
      </c>
    </row>
    <row r="988">
      <c r="A988" s="8" t="s">
        <v>1483</v>
      </c>
      <c r="B988" s="8" t="s">
        <v>948</v>
      </c>
      <c r="C988" s="18" t="s">
        <v>2605</v>
      </c>
      <c r="D988" s="16">
        <v>67.0</v>
      </c>
    </row>
    <row r="989">
      <c r="A989" s="8" t="s">
        <v>722</v>
      </c>
      <c r="B989" s="8" t="s">
        <v>723</v>
      </c>
      <c r="C989" s="18" t="s">
        <v>2598</v>
      </c>
      <c r="D989" s="16">
        <v>69.0</v>
      </c>
    </row>
    <row r="990">
      <c r="A990" s="8" t="s">
        <v>1484</v>
      </c>
      <c r="B990" s="8" t="s">
        <v>134</v>
      </c>
      <c r="C990" s="18" t="s">
        <v>2552</v>
      </c>
      <c r="D990" s="16">
        <v>70.0</v>
      </c>
    </row>
    <row r="991">
      <c r="A991" s="8" t="s">
        <v>207</v>
      </c>
      <c r="B991" s="8" t="s">
        <v>183</v>
      </c>
      <c r="C991" s="18" t="s">
        <v>2589</v>
      </c>
      <c r="D991" s="16">
        <v>79.0</v>
      </c>
    </row>
    <row r="992">
      <c r="A992" s="8" t="s">
        <v>1849</v>
      </c>
      <c r="B992" s="8" t="s">
        <v>1249</v>
      </c>
      <c r="C992" s="18" t="s">
        <v>2645</v>
      </c>
      <c r="D992" s="16">
        <v>67.0</v>
      </c>
    </row>
    <row r="993">
      <c r="A993" s="8" t="s">
        <v>2859</v>
      </c>
      <c r="B993" s="8" t="s">
        <v>275</v>
      </c>
      <c r="C993" s="18" t="s">
        <v>2587</v>
      </c>
      <c r="D993" s="16">
        <v>76.0</v>
      </c>
    </row>
    <row r="994">
      <c r="A994" s="8" t="s">
        <v>2145</v>
      </c>
      <c r="B994" s="8" t="s">
        <v>850</v>
      </c>
      <c r="C994" s="18" t="s">
        <v>2605</v>
      </c>
      <c r="D994" s="16">
        <v>71.0</v>
      </c>
    </row>
    <row r="995">
      <c r="A995" s="8" t="s">
        <v>2146</v>
      </c>
      <c r="B995" s="8" t="s">
        <v>67</v>
      </c>
      <c r="C995" s="18" t="s">
        <v>2600</v>
      </c>
      <c r="D995" s="16">
        <v>68.0</v>
      </c>
    </row>
    <row r="996">
      <c r="A996" s="8" t="s">
        <v>360</v>
      </c>
      <c r="B996" s="8" t="s">
        <v>2113</v>
      </c>
      <c r="C996" s="18" t="s">
        <v>2584</v>
      </c>
      <c r="D996" s="16">
        <v>85.0</v>
      </c>
    </row>
    <row r="997">
      <c r="A997" s="8" t="s">
        <v>208</v>
      </c>
      <c r="B997" s="18" t="s">
        <v>2147</v>
      </c>
      <c r="C997" s="18" t="s">
        <v>2621</v>
      </c>
      <c r="D997" s="16">
        <v>82.0</v>
      </c>
    </row>
    <row r="998">
      <c r="A998" s="8" t="s">
        <v>208</v>
      </c>
      <c r="B998" s="8" t="s">
        <v>1204</v>
      </c>
      <c r="C998" s="18" t="s">
        <v>2603</v>
      </c>
      <c r="D998" s="16">
        <v>64.0</v>
      </c>
    </row>
    <row r="999">
      <c r="A999" s="8" t="s">
        <v>208</v>
      </c>
      <c r="B999" s="8" t="s">
        <v>209</v>
      </c>
      <c r="C999" s="18" t="s">
        <v>2592</v>
      </c>
      <c r="D999" s="16">
        <v>82.0</v>
      </c>
    </row>
    <row r="1000">
      <c r="A1000" s="8" t="s">
        <v>208</v>
      </c>
      <c r="B1000" s="8" t="s">
        <v>1267</v>
      </c>
      <c r="C1000" s="18" t="s">
        <v>2574</v>
      </c>
      <c r="D1000" s="16">
        <v>74.0</v>
      </c>
    </row>
    <row r="1001">
      <c r="A1001" s="8" t="s">
        <v>208</v>
      </c>
      <c r="B1001" s="8" t="s">
        <v>1347</v>
      </c>
      <c r="C1001" s="18" t="s">
        <v>2605</v>
      </c>
      <c r="D1001" s="16">
        <v>77.0</v>
      </c>
    </row>
    <row r="1002">
      <c r="A1002" s="8" t="s">
        <v>208</v>
      </c>
      <c r="B1002" s="8" t="s">
        <v>724</v>
      </c>
      <c r="C1002" s="18" t="s">
        <v>2556</v>
      </c>
      <c r="D1002" s="16">
        <v>79.0</v>
      </c>
    </row>
    <row r="1003">
      <c r="A1003" s="8" t="s">
        <v>208</v>
      </c>
      <c r="B1003" s="8" t="s">
        <v>301</v>
      </c>
      <c r="C1003" s="18" t="s">
        <v>2558</v>
      </c>
      <c r="D1003" s="16">
        <v>75.0</v>
      </c>
    </row>
    <row r="1004">
      <c r="A1004" s="8" t="s">
        <v>208</v>
      </c>
      <c r="B1004" s="8" t="s">
        <v>381</v>
      </c>
      <c r="C1004" s="18" t="s">
        <v>2572</v>
      </c>
      <c r="D1004" s="16">
        <v>69.0</v>
      </c>
    </row>
    <row r="1005">
      <c r="A1005" s="8" t="s">
        <v>208</v>
      </c>
      <c r="B1005" s="8" t="s">
        <v>281</v>
      </c>
      <c r="C1005" s="18" t="s">
        <v>2562</v>
      </c>
      <c r="D1005" s="16">
        <v>78.0</v>
      </c>
    </row>
    <row r="1006">
      <c r="A1006" s="8" t="s">
        <v>208</v>
      </c>
      <c r="B1006" s="8" t="s">
        <v>761</v>
      </c>
      <c r="C1006" s="18" t="s">
        <v>2575</v>
      </c>
      <c r="D1006" s="16">
        <v>75.0</v>
      </c>
    </row>
    <row r="1007">
      <c r="A1007" s="8" t="s">
        <v>208</v>
      </c>
      <c r="B1007" s="8" t="s">
        <v>549</v>
      </c>
      <c r="C1007" s="18" t="s">
        <v>2584</v>
      </c>
      <c r="D1007" s="16">
        <v>82.0</v>
      </c>
    </row>
    <row r="1008">
      <c r="A1008" s="8" t="s">
        <v>208</v>
      </c>
      <c r="B1008" s="8" t="s">
        <v>692</v>
      </c>
      <c r="C1008" s="18" t="s">
        <v>2610</v>
      </c>
      <c r="D1008" s="16">
        <v>81.0</v>
      </c>
    </row>
    <row r="1009">
      <c r="A1009" s="8" t="s">
        <v>2150</v>
      </c>
      <c r="B1009" s="8" t="s">
        <v>50</v>
      </c>
      <c r="C1009" s="18" t="s">
        <v>2574</v>
      </c>
      <c r="D1009" s="16">
        <v>67.0</v>
      </c>
    </row>
    <row r="1010">
      <c r="A1010" s="8" t="s">
        <v>2150</v>
      </c>
      <c r="B1010" s="8" t="s">
        <v>2151</v>
      </c>
      <c r="C1010" s="18" t="s">
        <v>2584</v>
      </c>
      <c r="D1010" s="16">
        <v>67.0</v>
      </c>
    </row>
    <row r="1011">
      <c r="A1011" s="8" t="s">
        <v>2148</v>
      </c>
      <c r="B1011" s="8" t="s">
        <v>2149</v>
      </c>
      <c r="C1011" s="18" t="s">
        <v>2595</v>
      </c>
      <c r="D1011" s="16">
        <v>67.0</v>
      </c>
    </row>
    <row r="1012">
      <c r="A1012" s="8" t="s">
        <v>260</v>
      </c>
      <c r="B1012" s="8" t="s">
        <v>1817</v>
      </c>
      <c r="C1012" s="18" t="s">
        <v>2572</v>
      </c>
      <c r="D1012" s="16">
        <v>77.0</v>
      </c>
    </row>
    <row r="1013">
      <c r="A1013" s="8" t="s">
        <v>260</v>
      </c>
      <c r="B1013" s="18" t="s">
        <v>947</v>
      </c>
      <c r="C1013" s="18" t="s">
        <v>2581</v>
      </c>
      <c r="D1013" s="16">
        <v>80.0</v>
      </c>
    </row>
    <row r="1014">
      <c r="A1014" s="8" t="s">
        <v>260</v>
      </c>
      <c r="B1014" s="8" t="s">
        <v>884</v>
      </c>
      <c r="C1014" s="18" t="s">
        <v>2577</v>
      </c>
      <c r="D1014" s="16">
        <v>77.0</v>
      </c>
    </row>
    <row r="1015">
      <c r="A1015" s="8" t="s">
        <v>260</v>
      </c>
      <c r="B1015" s="8" t="s">
        <v>301</v>
      </c>
      <c r="C1015" s="18" t="s">
        <v>2587</v>
      </c>
      <c r="D1015" s="16">
        <v>62.0</v>
      </c>
    </row>
    <row r="1016">
      <c r="A1016" s="8" t="s">
        <v>260</v>
      </c>
      <c r="B1016" s="8" t="s">
        <v>74</v>
      </c>
      <c r="C1016" s="18" t="s">
        <v>2585</v>
      </c>
      <c r="D1016" s="16">
        <v>68.0</v>
      </c>
    </row>
    <row r="1017">
      <c r="A1017" s="8" t="s">
        <v>2860</v>
      </c>
      <c r="B1017" s="8" t="s">
        <v>1858</v>
      </c>
      <c r="C1017" s="18" t="s">
        <v>2603</v>
      </c>
      <c r="D1017" s="16">
        <v>84.0</v>
      </c>
    </row>
    <row r="1018">
      <c r="A1018" s="8" t="s">
        <v>2861</v>
      </c>
      <c r="B1018" s="8" t="s">
        <v>712</v>
      </c>
      <c r="C1018" s="18" t="s">
        <v>2615</v>
      </c>
      <c r="D1018" s="16">
        <v>70.0</v>
      </c>
    </row>
    <row r="1019">
      <c r="A1019" s="8" t="s">
        <v>1207</v>
      </c>
      <c r="B1019" s="8" t="s">
        <v>43</v>
      </c>
      <c r="C1019" s="18" t="s">
        <v>2620</v>
      </c>
      <c r="D1019" s="16">
        <v>78.0</v>
      </c>
    </row>
    <row r="1020">
      <c r="A1020" s="8" t="s">
        <v>1205</v>
      </c>
      <c r="B1020" s="8" t="s">
        <v>1206</v>
      </c>
      <c r="C1020" s="18" t="s">
        <v>2598</v>
      </c>
      <c r="D1020" s="16">
        <v>83.0</v>
      </c>
    </row>
    <row r="1021">
      <c r="A1021" s="8" t="s">
        <v>1485</v>
      </c>
      <c r="B1021" s="8" t="s">
        <v>647</v>
      </c>
      <c r="C1021" s="18" t="s">
        <v>2614</v>
      </c>
      <c r="D1021" s="16">
        <v>69.0</v>
      </c>
    </row>
    <row r="1022">
      <c r="A1022" s="8" t="s">
        <v>547</v>
      </c>
      <c r="B1022" s="8" t="s">
        <v>548</v>
      </c>
      <c r="C1022" s="18" t="s">
        <v>2575</v>
      </c>
      <c r="D1022" s="16">
        <v>69.0</v>
      </c>
    </row>
    <row r="1023">
      <c r="A1023" s="8" t="s">
        <v>946</v>
      </c>
      <c r="B1023" s="8" t="s">
        <v>549</v>
      </c>
      <c r="C1023" s="18" t="s">
        <v>2610</v>
      </c>
      <c r="D1023" s="16">
        <v>68.0</v>
      </c>
    </row>
    <row r="1024">
      <c r="A1024" s="8" t="s">
        <v>946</v>
      </c>
      <c r="B1024" s="8" t="s">
        <v>804</v>
      </c>
      <c r="C1024" s="18" t="s">
        <v>2603</v>
      </c>
      <c r="D1024" s="16">
        <v>64.0</v>
      </c>
    </row>
    <row r="1025">
      <c r="A1025" s="8" t="s">
        <v>946</v>
      </c>
      <c r="B1025" s="8" t="s">
        <v>140</v>
      </c>
      <c r="C1025" s="18" t="s">
        <v>2575</v>
      </c>
      <c r="D1025" s="16">
        <v>80.0</v>
      </c>
    </row>
    <row r="1026">
      <c r="A1026" s="8" t="s">
        <v>550</v>
      </c>
      <c r="B1026" s="8" t="s">
        <v>551</v>
      </c>
      <c r="C1026" s="18" t="s">
        <v>2564</v>
      </c>
      <c r="D1026" s="16">
        <v>85.0</v>
      </c>
    </row>
    <row r="1027">
      <c r="A1027" s="8" t="s">
        <v>282</v>
      </c>
      <c r="B1027" s="8" t="s">
        <v>388</v>
      </c>
      <c r="C1027" s="18" t="s">
        <v>2566</v>
      </c>
      <c r="D1027" s="16">
        <v>84.0</v>
      </c>
    </row>
    <row r="1028">
      <c r="A1028" s="8" t="s">
        <v>282</v>
      </c>
      <c r="B1028" s="8" t="s">
        <v>1227</v>
      </c>
      <c r="C1028" s="18" t="s">
        <v>2183</v>
      </c>
      <c r="D1028" s="16">
        <v>69.0</v>
      </c>
    </row>
    <row r="1029">
      <c r="A1029" s="8" t="s">
        <v>282</v>
      </c>
      <c r="B1029" s="8" t="s">
        <v>23</v>
      </c>
      <c r="C1029" s="18" t="s">
        <v>2605</v>
      </c>
      <c r="D1029" s="16">
        <v>72.0</v>
      </c>
    </row>
    <row r="1030">
      <c r="A1030" s="8" t="s">
        <v>282</v>
      </c>
      <c r="B1030" s="8" t="s">
        <v>263</v>
      </c>
      <c r="C1030" s="18" t="s">
        <v>2560</v>
      </c>
      <c r="D1030" s="16">
        <v>80.0</v>
      </c>
    </row>
    <row r="1031">
      <c r="A1031" s="8" t="s">
        <v>282</v>
      </c>
      <c r="B1031" s="8" t="s">
        <v>283</v>
      </c>
      <c r="C1031" s="18" t="s">
        <v>2564</v>
      </c>
      <c r="D1031" s="16">
        <v>86.0</v>
      </c>
    </row>
    <row r="1032">
      <c r="A1032" s="8" t="s">
        <v>282</v>
      </c>
      <c r="B1032" s="8" t="s">
        <v>1487</v>
      </c>
      <c r="C1032" s="18" t="s">
        <v>2572</v>
      </c>
      <c r="D1032" s="16">
        <v>70.0</v>
      </c>
    </row>
    <row r="1033">
      <c r="A1033" s="8" t="s">
        <v>950</v>
      </c>
      <c r="B1033" s="8" t="s">
        <v>800</v>
      </c>
      <c r="C1033" s="18" t="s">
        <v>2621</v>
      </c>
      <c r="D1033" s="16">
        <v>64.0</v>
      </c>
    </row>
    <row r="1034">
      <c r="A1034" s="8" t="s">
        <v>725</v>
      </c>
      <c r="B1034" s="8" t="s">
        <v>67</v>
      </c>
      <c r="C1034" s="18" t="s">
        <v>2592</v>
      </c>
      <c r="D1034" s="16">
        <v>78.0</v>
      </c>
    </row>
    <row r="1035">
      <c r="A1035" s="8" t="s">
        <v>1208</v>
      </c>
      <c r="B1035" s="8" t="s">
        <v>1209</v>
      </c>
      <c r="C1035" s="18" t="s">
        <v>2564</v>
      </c>
      <c r="D1035" s="16">
        <v>81.0</v>
      </c>
    </row>
    <row r="1036">
      <c r="A1036" s="8" t="s">
        <v>279</v>
      </c>
      <c r="B1036" s="8" t="s">
        <v>23</v>
      </c>
      <c r="C1036" s="18" t="s">
        <v>2566</v>
      </c>
      <c r="D1036" s="16">
        <v>77.0</v>
      </c>
    </row>
    <row r="1037">
      <c r="A1037" s="8" t="s">
        <v>1851</v>
      </c>
      <c r="B1037" s="8" t="s">
        <v>1852</v>
      </c>
      <c r="C1037" s="18" t="s">
        <v>2620</v>
      </c>
      <c r="D1037" s="16">
        <v>70.0</v>
      </c>
    </row>
    <row r="1038">
      <c r="A1038" s="8" t="s">
        <v>2862</v>
      </c>
      <c r="B1038" s="8" t="s">
        <v>320</v>
      </c>
      <c r="C1038" s="18" t="s">
        <v>2645</v>
      </c>
      <c r="D1038" s="16">
        <v>60.0</v>
      </c>
    </row>
    <row r="1039">
      <c r="A1039" s="8" t="s">
        <v>389</v>
      </c>
      <c r="B1039" s="8" t="s">
        <v>212</v>
      </c>
      <c r="C1039" s="18" t="s">
        <v>2567</v>
      </c>
      <c r="D1039" s="16">
        <v>64.0</v>
      </c>
    </row>
    <row r="1040">
      <c r="A1040" s="8" t="s">
        <v>389</v>
      </c>
      <c r="B1040" s="8" t="s">
        <v>464</v>
      </c>
      <c r="C1040" s="18" t="s">
        <v>2592</v>
      </c>
      <c r="D1040" s="16">
        <v>68.0</v>
      </c>
    </row>
    <row r="1041">
      <c r="A1041" s="8" t="s">
        <v>389</v>
      </c>
      <c r="B1041" s="8" t="s">
        <v>464</v>
      </c>
      <c r="C1041" s="18" t="s">
        <v>2621</v>
      </c>
      <c r="D1041" s="16">
        <v>72.0</v>
      </c>
    </row>
    <row r="1042">
      <c r="A1042" s="8" t="s">
        <v>389</v>
      </c>
      <c r="B1042" s="8" t="s">
        <v>407</v>
      </c>
      <c r="C1042" s="18" t="s">
        <v>2554</v>
      </c>
      <c r="D1042" s="16">
        <v>78.0</v>
      </c>
    </row>
    <row r="1043">
      <c r="A1043" s="8" t="s">
        <v>389</v>
      </c>
      <c r="B1043" s="8" t="s">
        <v>357</v>
      </c>
      <c r="C1043" s="18" t="s">
        <v>2560</v>
      </c>
      <c r="D1043" s="16">
        <v>72.0</v>
      </c>
    </row>
    <row r="1044">
      <c r="A1044" s="8" t="s">
        <v>389</v>
      </c>
      <c r="B1044" s="8" t="s">
        <v>506</v>
      </c>
      <c r="C1044" s="18" t="s">
        <v>2589</v>
      </c>
      <c r="D1044" s="16">
        <v>87.0</v>
      </c>
    </row>
    <row r="1045">
      <c r="A1045" s="8" t="s">
        <v>389</v>
      </c>
      <c r="B1045" s="8" t="s">
        <v>1285</v>
      </c>
      <c r="C1045" s="18" t="s">
        <v>2645</v>
      </c>
      <c r="D1045" s="16">
        <v>68.0</v>
      </c>
    </row>
    <row r="1046">
      <c r="A1046" s="8" t="s">
        <v>389</v>
      </c>
      <c r="B1046" s="8" t="s">
        <v>1473</v>
      </c>
      <c r="C1046" s="18" t="s">
        <v>2556</v>
      </c>
      <c r="D1046" s="16">
        <v>82.0</v>
      </c>
    </row>
    <row r="1047">
      <c r="A1047" s="8" t="s">
        <v>389</v>
      </c>
      <c r="B1047" s="8" t="s">
        <v>2863</v>
      </c>
      <c r="C1047" s="18" t="s">
        <v>2603</v>
      </c>
      <c r="D1047" s="16">
        <v>71.0</v>
      </c>
    </row>
    <row r="1048">
      <c r="A1048" s="8" t="s">
        <v>389</v>
      </c>
      <c r="B1048" s="8" t="s">
        <v>1850</v>
      </c>
      <c r="C1048" s="18" t="s">
        <v>2574</v>
      </c>
      <c r="D1048" s="16">
        <v>75.0</v>
      </c>
    </row>
    <row r="1049">
      <c r="A1049" s="8" t="s">
        <v>389</v>
      </c>
      <c r="B1049" s="8" t="s">
        <v>948</v>
      </c>
      <c r="C1049" s="18" t="s">
        <v>2592</v>
      </c>
      <c r="D1049" s="16">
        <v>67.0</v>
      </c>
    </row>
    <row r="1050">
      <c r="A1050" s="8" t="s">
        <v>389</v>
      </c>
      <c r="B1050" s="8" t="s">
        <v>948</v>
      </c>
      <c r="C1050" s="18" t="s">
        <v>2593</v>
      </c>
      <c r="D1050" s="16">
        <v>64.0</v>
      </c>
    </row>
    <row r="1051">
      <c r="A1051" s="8" t="s">
        <v>389</v>
      </c>
      <c r="B1051" s="8" t="s">
        <v>1488</v>
      </c>
      <c r="C1051" s="18" t="s">
        <v>2552</v>
      </c>
      <c r="D1051" s="16">
        <v>71.0</v>
      </c>
    </row>
    <row r="1052">
      <c r="A1052" s="8" t="s">
        <v>389</v>
      </c>
      <c r="B1052" s="8" t="s">
        <v>2362</v>
      </c>
      <c r="C1052" s="18" t="s">
        <v>2554</v>
      </c>
      <c r="D1052" s="16">
        <v>75.0</v>
      </c>
    </row>
    <row r="1053">
      <c r="A1053" s="8" t="s">
        <v>389</v>
      </c>
      <c r="B1053" s="8" t="s">
        <v>119</v>
      </c>
      <c r="C1053" s="18" t="s">
        <v>2562</v>
      </c>
      <c r="D1053" s="16">
        <v>73.0</v>
      </c>
    </row>
    <row r="1054">
      <c r="A1054" s="8" t="s">
        <v>389</v>
      </c>
      <c r="B1054" s="8" t="s">
        <v>552</v>
      </c>
      <c r="C1054" s="18" t="s">
        <v>2564</v>
      </c>
      <c r="D1054" s="16">
        <v>87.0</v>
      </c>
    </row>
    <row r="1055">
      <c r="A1055" s="8" t="s">
        <v>389</v>
      </c>
      <c r="B1055" s="8" t="s">
        <v>247</v>
      </c>
      <c r="C1055" s="18" t="s">
        <v>2603</v>
      </c>
      <c r="D1055" s="16">
        <v>69.0</v>
      </c>
    </row>
    <row r="1056">
      <c r="A1056" s="8" t="s">
        <v>389</v>
      </c>
      <c r="B1056" s="8" t="s">
        <v>137</v>
      </c>
      <c r="C1056" s="18" t="s">
        <v>2610</v>
      </c>
      <c r="D1056" s="16">
        <v>74.0</v>
      </c>
    </row>
    <row r="1057">
      <c r="A1057" s="8" t="s">
        <v>389</v>
      </c>
      <c r="B1057" s="8" t="s">
        <v>1033</v>
      </c>
      <c r="C1057" s="18" t="s">
        <v>2615</v>
      </c>
      <c r="D1057" s="16">
        <v>73.0</v>
      </c>
    </row>
    <row r="1058">
      <c r="A1058" s="8" t="s">
        <v>389</v>
      </c>
      <c r="B1058" s="8" t="s">
        <v>2159</v>
      </c>
      <c r="C1058" s="18" t="s">
        <v>2587</v>
      </c>
      <c r="D1058" s="16">
        <v>70.0</v>
      </c>
    </row>
    <row r="1059">
      <c r="A1059" s="8" t="s">
        <v>389</v>
      </c>
      <c r="B1059" s="18" t="s">
        <v>491</v>
      </c>
      <c r="C1059" s="18" t="s">
        <v>2610</v>
      </c>
      <c r="D1059" s="16">
        <v>68.0</v>
      </c>
    </row>
    <row r="1060">
      <c r="A1060" s="8" t="s">
        <v>389</v>
      </c>
      <c r="B1060" s="8" t="s">
        <v>2864</v>
      </c>
      <c r="C1060" s="18" t="s">
        <v>2554</v>
      </c>
      <c r="D1060" s="16">
        <v>66.0</v>
      </c>
    </row>
    <row r="1061">
      <c r="A1061" s="8" t="s">
        <v>389</v>
      </c>
      <c r="B1061" s="8" t="s">
        <v>15</v>
      </c>
      <c r="C1061" s="18" t="s">
        <v>2603</v>
      </c>
      <c r="D1061" s="16">
        <v>74.0</v>
      </c>
    </row>
    <row r="1062">
      <c r="A1062" s="8" t="s">
        <v>389</v>
      </c>
      <c r="B1062" s="18" t="s">
        <v>1408</v>
      </c>
      <c r="C1062" s="18" t="s">
        <v>2614</v>
      </c>
      <c r="D1062" s="16">
        <v>62.0</v>
      </c>
    </row>
    <row r="1063">
      <c r="A1063" s="8" t="s">
        <v>389</v>
      </c>
      <c r="B1063" s="8" t="s">
        <v>553</v>
      </c>
      <c r="C1063" s="18" t="s">
        <v>2560</v>
      </c>
      <c r="D1063" s="16">
        <v>82.0</v>
      </c>
    </row>
    <row r="1064">
      <c r="A1064" s="8" t="s">
        <v>389</v>
      </c>
      <c r="B1064" s="8" t="s">
        <v>185</v>
      </c>
      <c r="C1064" s="18" t="s">
        <v>2554</v>
      </c>
      <c r="D1064" s="16">
        <v>69.0</v>
      </c>
    </row>
    <row r="1065">
      <c r="A1065" s="8" t="s">
        <v>2865</v>
      </c>
      <c r="B1065" s="8" t="s">
        <v>23</v>
      </c>
      <c r="C1065" s="18" t="s">
        <v>2593</v>
      </c>
      <c r="D1065" s="16">
        <v>82.0</v>
      </c>
    </row>
    <row r="1066">
      <c r="A1066" s="8" t="s">
        <v>2866</v>
      </c>
      <c r="B1066" s="8" t="s">
        <v>1486</v>
      </c>
      <c r="C1066" s="18" t="s">
        <v>2615</v>
      </c>
      <c r="D1066" s="16">
        <v>78.0</v>
      </c>
    </row>
    <row r="1067">
      <c r="A1067" s="8" t="s">
        <v>2866</v>
      </c>
      <c r="B1067" s="8" t="s">
        <v>546</v>
      </c>
      <c r="C1067" s="18" t="s">
        <v>2595</v>
      </c>
      <c r="D1067" s="16">
        <v>69.0</v>
      </c>
    </row>
    <row r="1068">
      <c r="A1068" s="8" t="s">
        <v>284</v>
      </c>
      <c r="B1068" s="8" t="s">
        <v>98</v>
      </c>
      <c r="C1068" s="18" t="s">
        <v>2558</v>
      </c>
      <c r="D1068" s="16">
        <v>78.0</v>
      </c>
    </row>
    <row r="1069">
      <c r="A1069" s="8" t="s">
        <v>284</v>
      </c>
      <c r="B1069" s="8" t="s">
        <v>952</v>
      </c>
      <c r="C1069" s="18" t="s">
        <v>2584</v>
      </c>
      <c r="D1069" s="16">
        <v>76.0</v>
      </c>
    </row>
    <row r="1070">
      <c r="A1070" s="8" t="s">
        <v>284</v>
      </c>
      <c r="B1070" s="8" t="s">
        <v>11</v>
      </c>
      <c r="C1070" s="18" t="s">
        <v>2645</v>
      </c>
      <c r="D1070" s="16">
        <v>61.0</v>
      </c>
    </row>
    <row r="1071">
      <c r="A1071" s="8" t="s">
        <v>284</v>
      </c>
      <c r="B1071" s="8" t="s">
        <v>43</v>
      </c>
      <c r="C1071" s="18" t="s">
        <v>2554</v>
      </c>
      <c r="D1071" s="16">
        <v>67.0</v>
      </c>
    </row>
    <row r="1072">
      <c r="A1072" s="8" t="s">
        <v>284</v>
      </c>
      <c r="B1072" s="8" t="s">
        <v>50</v>
      </c>
      <c r="C1072" s="18" t="s">
        <v>2621</v>
      </c>
      <c r="D1072" s="16">
        <v>77.0</v>
      </c>
    </row>
    <row r="1073">
      <c r="A1073" s="8" t="s">
        <v>284</v>
      </c>
      <c r="B1073" s="8" t="s">
        <v>161</v>
      </c>
      <c r="C1073" s="18" t="s">
        <v>2566</v>
      </c>
      <c r="D1073" s="16">
        <v>73.0</v>
      </c>
    </row>
    <row r="1074">
      <c r="A1074" s="8" t="s">
        <v>284</v>
      </c>
      <c r="B1074" s="8" t="s">
        <v>1210</v>
      </c>
      <c r="C1074" s="18" t="s">
        <v>2614</v>
      </c>
      <c r="D1074" s="16">
        <v>78.0</v>
      </c>
    </row>
    <row r="1075">
      <c r="A1075" s="8" t="s">
        <v>284</v>
      </c>
      <c r="B1075" s="8" t="s">
        <v>1211</v>
      </c>
      <c r="C1075" s="18" t="s">
        <v>2572</v>
      </c>
      <c r="D1075" s="16">
        <v>67.0</v>
      </c>
    </row>
    <row r="1076">
      <c r="A1076" s="8" t="s">
        <v>284</v>
      </c>
      <c r="B1076" s="8" t="s">
        <v>554</v>
      </c>
      <c r="C1076" s="18" t="s">
        <v>2589</v>
      </c>
      <c r="D1076" s="16">
        <v>82.0</v>
      </c>
    </row>
    <row r="1077">
      <c r="A1077" s="8" t="s">
        <v>284</v>
      </c>
      <c r="B1077" s="8" t="s">
        <v>275</v>
      </c>
      <c r="C1077" s="18" t="s">
        <v>2614</v>
      </c>
      <c r="D1077" s="16">
        <v>84.0</v>
      </c>
    </row>
    <row r="1078">
      <c r="A1078" s="8" t="s">
        <v>284</v>
      </c>
      <c r="B1078" s="8" t="s">
        <v>275</v>
      </c>
      <c r="C1078" s="18" t="s">
        <v>2183</v>
      </c>
      <c r="D1078" s="16">
        <v>82.0</v>
      </c>
    </row>
    <row r="1079">
      <c r="A1079" s="8" t="s">
        <v>284</v>
      </c>
      <c r="B1079" s="8" t="s">
        <v>275</v>
      </c>
      <c r="C1079" s="18" t="s">
        <v>2183</v>
      </c>
      <c r="D1079" s="16">
        <v>87.0</v>
      </c>
    </row>
    <row r="1080">
      <c r="A1080" s="8" t="s">
        <v>284</v>
      </c>
      <c r="B1080" s="8" t="s">
        <v>726</v>
      </c>
      <c r="C1080" s="18" t="s">
        <v>2554</v>
      </c>
      <c r="D1080" s="16">
        <v>74.0</v>
      </c>
    </row>
    <row r="1081">
      <c r="A1081" s="8" t="s">
        <v>284</v>
      </c>
      <c r="B1081" s="8" t="s">
        <v>285</v>
      </c>
      <c r="C1081" s="18" t="s">
        <v>2574</v>
      </c>
      <c r="D1081" s="16">
        <v>71.0</v>
      </c>
    </row>
    <row r="1082">
      <c r="A1082" s="8" t="s">
        <v>284</v>
      </c>
      <c r="B1082" s="8" t="s">
        <v>1489</v>
      </c>
      <c r="C1082" s="18" t="s">
        <v>2600</v>
      </c>
      <c r="D1082" s="16">
        <v>71.0</v>
      </c>
    </row>
    <row r="1083">
      <c r="A1083" s="8" t="s">
        <v>284</v>
      </c>
      <c r="B1083" s="8" t="s">
        <v>953</v>
      </c>
      <c r="C1083" s="18" t="s">
        <v>2621</v>
      </c>
      <c r="D1083" s="16">
        <v>76.0</v>
      </c>
    </row>
    <row r="1084">
      <c r="A1084" s="8" t="s">
        <v>284</v>
      </c>
      <c r="B1084" s="8" t="s">
        <v>555</v>
      </c>
      <c r="C1084" s="18" t="s">
        <v>2614</v>
      </c>
      <c r="D1084" s="16">
        <v>70.0</v>
      </c>
    </row>
    <row r="1085">
      <c r="A1085" s="8" t="s">
        <v>284</v>
      </c>
      <c r="B1085" s="8" t="s">
        <v>1854</v>
      </c>
      <c r="C1085" s="18" t="s">
        <v>2598</v>
      </c>
      <c r="D1085" s="16">
        <v>85.0</v>
      </c>
    </row>
    <row r="1086">
      <c r="A1086" s="8" t="s">
        <v>284</v>
      </c>
      <c r="B1086" s="8" t="s">
        <v>1473</v>
      </c>
      <c r="C1086" s="18" t="s">
        <v>2560</v>
      </c>
      <c r="D1086" s="16">
        <v>64.0</v>
      </c>
    </row>
    <row r="1087">
      <c r="A1087" s="8" t="s">
        <v>284</v>
      </c>
      <c r="B1087" s="18" t="s">
        <v>529</v>
      </c>
      <c r="C1087" s="18" t="s">
        <v>2585</v>
      </c>
      <c r="D1087" s="16">
        <v>69.0</v>
      </c>
    </row>
    <row r="1088">
      <c r="A1088" s="8" t="s">
        <v>284</v>
      </c>
      <c r="B1088" s="8" t="s">
        <v>31</v>
      </c>
      <c r="C1088" s="18" t="s">
        <v>2585</v>
      </c>
      <c r="D1088" s="16">
        <v>70.0</v>
      </c>
    </row>
    <row r="1089">
      <c r="A1089" s="8" t="s">
        <v>284</v>
      </c>
      <c r="B1089" s="8" t="s">
        <v>1200</v>
      </c>
      <c r="C1089" s="18" t="s">
        <v>2645</v>
      </c>
      <c r="D1089" s="16">
        <v>66.0</v>
      </c>
    </row>
    <row r="1090">
      <c r="A1090" s="8" t="s">
        <v>284</v>
      </c>
      <c r="B1090" s="8" t="s">
        <v>2021</v>
      </c>
      <c r="C1090" s="18" t="s">
        <v>2574</v>
      </c>
      <c r="D1090" s="16">
        <v>62.0</v>
      </c>
    </row>
    <row r="1091">
      <c r="A1091" s="8" t="s">
        <v>284</v>
      </c>
      <c r="B1091" s="8" t="s">
        <v>2160</v>
      </c>
      <c r="C1091" s="18" t="s">
        <v>2603</v>
      </c>
      <c r="D1091" s="16">
        <v>68.0</v>
      </c>
    </row>
    <row r="1092">
      <c r="A1092" s="8" t="s">
        <v>284</v>
      </c>
      <c r="B1092" s="8" t="s">
        <v>2867</v>
      </c>
      <c r="C1092" s="18" t="s">
        <v>2645</v>
      </c>
      <c r="D1092" s="16">
        <v>63.0</v>
      </c>
    </row>
    <row r="1093">
      <c r="A1093" s="8" t="s">
        <v>284</v>
      </c>
      <c r="B1093" s="8" t="s">
        <v>842</v>
      </c>
      <c r="C1093" s="18" t="s">
        <v>2600</v>
      </c>
      <c r="D1093" s="16">
        <v>75.0</v>
      </c>
    </row>
    <row r="1094">
      <c r="A1094" s="8" t="s">
        <v>284</v>
      </c>
      <c r="B1094" s="8" t="s">
        <v>301</v>
      </c>
      <c r="C1094" s="18" t="s">
        <v>2558</v>
      </c>
      <c r="D1094" s="16">
        <v>73.0</v>
      </c>
    </row>
    <row r="1095">
      <c r="A1095" s="8" t="s">
        <v>284</v>
      </c>
      <c r="B1095" s="8" t="s">
        <v>390</v>
      </c>
      <c r="C1095" s="18" t="s">
        <v>2598</v>
      </c>
      <c r="D1095" s="16">
        <v>91.0</v>
      </c>
    </row>
    <row r="1096">
      <c r="A1096" s="8" t="s">
        <v>284</v>
      </c>
      <c r="B1096" s="8" t="s">
        <v>390</v>
      </c>
      <c r="C1096" s="18" t="s">
        <v>2598</v>
      </c>
      <c r="D1096" s="16">
        <v>88.0</v>
      </c>
    </row>
    <row r="1097">
      <c r="A1097" s="8" t="s">
        <v>284</v>
      </c>
      <c r="B1097" s="8" t="s">
        <v>381</v>
      </c>
      <c r="C1097" s="18" t="s">
        <v>2572</v>
      </c>
      <c r="D1097" s="16">
        <v>70.0</v>
      </c>
    </row>
    <row r="1098">
      <c r="A1098" s="8" t="s">
        <v>284</v>
      </c>
      <c r="B1098" s="8" t="s">
        <v>1226</v>
      </c>
      <c r="C1098" s="18" t="s">
        <v>2577</v>
      </c>
      <c r="D1098" s="16">
        <v>69.0</v>
      </c>
    </row>
    <row r="1099">
      <c r="A1099" s="8" t="s">
        <v>284</v>
      </c>
      <c r="B1099" s="8" t="s">
        <v>1855</v>
      </c>
      <c r="C1099" s="18" t="s">
        <v>2603</v>
      </c>
      <c r="D1099" s="16">
        <v>75.0</v>
      </c>
    </row>
    <row r="1100">
      <c r="A1100" s="8" t="s">
        <v>284</v>
      </c>
      <c r="B1100" s="8" t="s">
        <v>286</v>
      </c>
      <c r="C1100" s="18" t="s">
        <v>2581</v>
      </c>
      <c r="D1100" s="16">
        <v>85.0</v>
      </c>
    </row>
    <row r="1101">
      <c r="A1101" s="8" t="s">
        <v>284</v>
      </c>
      <c r="B1101" s="8" t="s">
        <v>286</v>
      </c>
      <c r="C1101" s="18" t="s">
        <v>2581</v>
      </c>
      <c r="D1101" s="16">
        <v>88.0</v>
      </c>
    </row>
    <row r="1102">
      <c r="A1102" s="8" t="s">
        <v>284</v>
      </c>
      <c r="B1102" s="8" t="s">
        <v>41</v>
      </c>
      <c r="C1102" s="18" t="s">
        <v>2620</v>
      </c>
      <c r="D1102" s="16">
        <v>68.0</v>
      </c>
    </row>
    <row r="1103">
      <c r="A1103" s="8" t="s">
        <v>284</v>
      </c>
      <c r="B1103" s="8" t="s">
        <v>287</v>
      </c>
      <c r="C1103" s="18" t="s">
        <v>2587</v>
      </c>
      <c r="D1103" s="16">
        <v>69.0</v>
      </c>
    </row>
    <row r="1104">
      <c r="A1104" s="8" t="s">
        <v>284</v>
      </c>
      <c r="B1104" s="18" t="s">
        <v>491</v>
      </c>
      <c r="C1104" s="18" t="s">
        <v>2554</v>
      </c>
      <c r="D1104" s="16">
        <v>74.0</v>
      </c>
    </row>
    <row r="1105">
      <c r="A1105" s="8" t="s">
        <v>284</v>
      </c>
      <c r="B1105" s="8" t="s">
        <v>1856</v>
      </c>
      <c r="C1105" s="18" t="s">
        <v>2587</v>
      </c>
      <c r="D1105" s="16">
        <v>75.0</v>
      </c>
    </row>
    <row r="1106">
      <c r="A1106" s="8" t="s">
        <v>2868</v>
      </c>
      <c r="B1106" s="8" t="s">
        <v>1091</v>
      </c>
      <c r="C1106" s="18" t="s">
        <v>2592</v>
      </c>
      <c r="D1106" s="16">
        <v>76.0</v>
      </c>
    </row>
    <row r="1107">
      <c r="A1107" s="8" t="s">
        <v>2869</v>
      </c>
      <c r="B1107" s="8" t="s">
        <v>2161</v>
      </c>
      <c r="C1107" s="18" t="s">
        <v>2564</v>
      </c>
      <c r="D1107" s="16">
        <v>77.0</v>
      </c>
    </row>
    <row r="1108">
      <c r="A1108" s="8" t="s">
        <v>2870</v>
      </c>
      <c r="B1108" s="8" t="s">
        <v>556</v>
      </c>
      <c r="C1108" s="18" t="s">
        <v>2554</v>
      </c>
      <c r="D1108" s="16">
        <v>82.0</v>
      </c>
    </row>
    <row r="1109">
      <c r="A1109" s="8" t="s">
        <v>263</v>
      </c>
      <c r="B1109" s="8" t="s">
        <v>52</v>
      </c>
      <c r="C1109" s="18" t="s">
        <v>2595</v>
      </c>
      <c r="D1109" s="16">
        <v>87.0</v>
      </c>
    </row>
    <row r="1110">
      <c r="A1110" s="8" t="s">
        <v>263</v>
      </c>
      <c r="B1110" s="8" t="s">
        <v>744</v>
      </c>
      <c r="C1110" s="18" t="s">
        <v>2603</v>
      </c>
      <c r="D1110" s="16">
        <v>75.0</v>
      </c>
    </row>
    <row r="1111">
      <c r="A1111" s="8" t="s">
        <v>263</v>
      </c>
      <c r="B1111" s="8" t="s">
        <v>137</v>
      </c>
      <c r="C1111" s="18" t="s">
        <v>2615</v>
      </c>
      <c r="D1111" s="16">
        <v>67.0</v>
      </c>
    </row>
    <row r="1112">
      <c r="A1112" s="8" t="s">
        <v>91</v>
      </c>
      <c r="B1112" s="8" t="s">
        <v>1492</v>
      </c>
      <c r="C1112" s="18" t="s">
        <v>2552</v>
      </c>
      <c r="D1112" s="16">
        <v>65.0</v>
      </c>
    </row>
    <row r="1113">
      <c r="A1113" s="8" t="s">
        <v>91</v>
      </c>
      <c r="B1113" s="8" t="s">
        <v>92</v>
      </c>
      <c r="C1113" s="18" t="s">
        <v>2562</v>
      </c>
      <c r="D1113" s="16">
        <v>81.0</v>
      </c>
    </row>
    <row r="1114">
      <c r="A1114" s="8" t="s">
        <v>91</v>
      </c>
      <c r="B1114" s="8" t="s">
        <v>1493</v>
      </c>
      <c r="C1114" s="18" t="s">
        <v>2556</v>
      </c>
      <c r="D1114" s="16">
        <v>78.0</v>
      </c>
    </row>
    <row r="1115">
      <c r="A1115" s="8" t="s">
        <v>91</v>
      </c>
      <c r="B1115" s="8" t="s">
        <v>391</v>
      </c>
      <c r="C1115" s="18" t="s">
        <v>2552</v>
      </c>
      <c r="D1115" s="16">
        <v>84.0</v>
      </c>
    </row>
    <row r="1116">
      <c r="A1116" s="8" t="s">
        <v>91</v>
      </c>
      <c r="B1116" s="8" t="s">
        <v>391</v>
      </c>
      <c r="C1116" s="18" t="s">
        <v>2552</v>
      </c>
      <c r="D1116" s="16">
        <v>88.0</v>
      </c>
    </row>
    <row r="1117">
      <c r="A1117" s="8" t="s">
        <v>1857</v>
      </c>
      <c r="B1117" s="8" t="s">
        <v>1858</v>
      </c>
      <c r="C1117" s="18" t="s">
        <v>2593</v>
      </c>
      <c r="D1117" s="16">
        <v>68.0</v>
      </c>
    </row>
    <row r="1118">
      <c r="A1118" s="8" t="s">
        <v>727</v>
      </c>
      <c r="B1118" s="8" t="s">
        <v>728</v>
      </c>
      <c r="C1118" s="18" t="s">
        <v>2593</v>
      </c>
      <c r="D1118" s="16">
        <v>85.0</v>
      </c>
    </row>
    <row r="1119">
      <c r="A1119" s="8" t="s">
        <v>727</v>
      </c>
      <c r="B1119" s="8" t="s">
        <v>728</v>
      </c>
      <c r="C1119" s="18" t="s">
        <v>2593</v>
      </c>
      <c r="D1119" s="16">
        <v>88.0</v>
      </c>
    </row>
    <row r="1120">
      <c r="A1120" s="8" t="s">
        <v>954</v>
      </c>
      <c r="B1120" s="8" t="s">
        <v>176</v>
      </c>
      <c r="C1120" s="18" t="s">
        <v>2575</v>
      </c>
      <c r="D1120" s="16">
        <v>80.0</v>
      </c>
    </row>
    <row r="1121">
      <c r="A1121" s="8" t="s">
        <v>729</v>
      </c>
      <c r="B1121" s="8" t="s">
        <v>214</v>
      </c>
      <c r="C1121" s="18" t="s">
        <v>2585</v>
      </c>
      <c r="D1121" s="16">
        <v>84.0</v>
      </c>
    </row>
    <row r="1122">
      <c r="A1122" s="8" t="s">
        <v>2871</v>
      </c>
      <c r="B1122" s="8" t="s">
        <v>1604</v>
      </c>
      <c r="C1122" s="18" t="s">
        <v>2567</v>
      </c>
      <c r="D1122" s="16">
        <v>66.0</v>
      </c>
    </row>
    <row r="1123">
      <c r="A1123" s="8" t="s">
        <v>1859</v>
      </c>
      <c r="B1123" s="8" t="s">
        <v>1860</v>
      </c>
      <c r="C1123" s="18" t="s">
        <v>2562</v>
      </c>
      <c r="D1123" s="16">
        <v>66.0</v>
      </c>
    </row>
    <row r="1124">
      <c r="A1124" s="8" t="s">
        <v>392</v>
      </c>
      <c r="B1124" s="8" t="s">
        <v>33</v>
      </c>
      <c r="C1124" s="18" t="s">
        <v>2574</v>
      </c>
      <c r="D1124" s="16">
        <v>74.0</v>
      </c>
    </row>
    <row r="1125">
      <c r="A1125" s="8" t="s">
        <v>392</v>
      </c>
      <c r="B1125" s="8" t="s">
        <v>67</v>
      </c>
      <c r="C1125" s="18" t="s">
        <v>2574</v>
      </c>
      <c r="D1125" s="16">
        <v>76.0</v>
      </c>
    </row>
    <row r="1126">
      <c r="A1126" s="8" t="s">
        <v>1494</v>
      </c>
      <c r="B1126" s="8" t="s">
        <v>214</v>
      </c>
      <c r="C1126" s="18" t="s">
        <v>2582</v>
      </c>
      <c r="D1126" s="16">
        <v>63.0</v>
      </c>
    </row>
    <row r="1127">
      <c r="A1127" s="8" t="s">
        <v>1212</v>
      </c>
      <c r="B1127" s="8" t="s">
        <v>1213</v>
      </c>
      <c r="C1127" s="18" t="s">
        <v>2562</v>
      </c>
      <c r="D1127" s="16">
        <v>66.0</v>
      </c>
    </row>
    <row r="1128">
      <c r="A1128" s="8" t="s">
        <v>1862</v>
      </c>
      <c r="B1128" s="8" t="s">
        <v>1853</v>
      </c>
      <c r="C1128" s="18" t="s">
        <v>2595</v>
      </c>
      <c r="D1128" s="16">
        <v>85.0</v>
      </c>
    </row>
    <row r="1129">
      <c r="A1129" s="8" t="s">
        <v>1214</v>
      </c>
      <c r="B1129" s="8" t="s">
        <v>114</v>
      </c>
      <c r="C1129" s="18" t="s">
        <v>2600</v>
      </c>
      <c r="D1129" s="16">
        <v>72.0</v>
      </c>
    </row>
    <row r="1130">
      <c r="A1130" s="8" t="s">
        <v>2872</v>
      </c>
      <c r="B1130" s="8" t="s">
        <v>20</v>
      </c>
      <c r="C1130" s="18" t="s">
        <v>2572</v>
      </c>
      <c r="D1130" s="16">
        <v>78.0</v>
      </c>
    </row>
    <row r="1131">
      <c r="A1131" s="8" t="s">
        <v>730</v>
      </c>
      <c r="B1131" s="8" t="s">
        <v>731</v>
      </c>
      <c r="C1131" s="18" t="s">
        <v>2575</v>
      </c>
      <c r="D1131" s="16">
        <v>67.0</v>
      </c>
    </row>
    <row r="1132">
      <c r="A1132" s="8" t="s">
        <v>1215</v>
      </c>
      <c r="B1132" s="8" t="s">
        <v>1216</v>
      </c>
      <c r="C1132" s="18" t="s">
        <v>2598</v>
      </c>
      <c r="D1132" s="16">
        <v>74.0</v>
      </c>
    </row>
    <row r="1133">
      <c r="A1133" s="8" t="s">
        <v>557</v>
      </c>
      <c r="B1133" s="8" t="s">
        <v>1495</v>
      </c>
      <c r="C1133" s="18" t="s">
        <v>2552</v>
      </c>
      <c r="D1133" s="16">
        <v>67.0</v>
      </c>
    </row>
    <row r="1134">
      <c r="A1134" s="8" t="s">
        <v>557</v>
      </c>
      <c r="B1134" s="8" t="s">
        <v>558</v>
      </c>
      <c r="C1134" s="18" t="s">
        <v>2560</v>
      </c>
      <c r="D1134" s="16">
        <v>79.0</v>
      </c>
    </row>
    <row r="1135">
      <c r="A1135" s="8" t="s">
        <v>288</v>
      </c>
      <c r="B1135" s="8" t="s">
        <v>289</v>
      </c>
      <c r="C1135" s="18" t="s">
        <v>2620</v>
      </c>
      <c r="D1135" s="16">
        <v>82.0</v>
      </c>
    </row>
    <row r="1136">
      <c r="A1136" s="8" t="s">
        <v>290</v>
      </c>
      <c r="B1136" s="8" t="s">
        <v>45</v>
      </c>
      <c r="C1136" s="18" t="s">
        <v>2564</v>
      </c>
      <c r="D1136" s="16">
        <v>83.0</v>
      </c>
    </row>
    <row r="1137">
      <c r="A1137" s="8" t="s">
        <v>290</v>
      </c>
      <c r="B1137" s="8" t="s">
        <v>472</v>
      </c>
      <c r="C1137" s="18" t="s">
        <v>2183</v>
      </c>
      <c r="D1137" s="16">
        <v>87.0</v>
      </c>
    </row>
    <row r="1138">
      <c r="A1138" s="8" t="s">
        <v>290</v>
      </c>
      <c r="B1138" s="8" t="s">
        <v>472</v>
      </c>
      <c r="C1138" s="18" t="s">
        <v>2183</v>
      </c>
      <c r="D1138" s="16">
        <v>91.0</v>
      </c>
    </row>
    <row r="1139">
      <c r="A1139" s="8" t="s">
        <v>559</v>
      </c>
      <c r="B1139" s="8" t="s">
        <v>560</v>
      </c>
      <c r="C1139" s="18" t="s">
        <v>2562</v>
      </c>
      <c r="D1139" s="16">
        <v>74.0</v>
      </c>
    </row>
    <row r="1140">
      <c r="A1140" s="8" t="s">
        <v>2873</v>
      </c>
      <c r="B1140" s="8" t="s">
        <v>337</v>
      </c>
      <c r="C1140" s="18" t="s">
        <v>2582</v>
      </c>
      <c r="D1140" s="16">
        <v>75.0</v>
      </c>
    </row>
    <row r="1141">
      <c r="A1141" s="8" t="s">
        <v>561</v>
      </c>
      <c r="B1141" s="8" t="s">
        <v>117</v>
      </c>
      <c r="C1141" s="18" t="s">
        <v>2620</v>
      </c>
      <c r="D1141" s="16">
        <v>70.0</v>
      </c>
    </row>
    <row r="1142">
      <c r="A1142" s="8" t="s">
        <v>561</v>
      </c>
      <c r="B1142" s="8" t="s">
        <v>562</v>
      </c>
      <c r="C1142" s="18" t="s">
        <v>2621</v>
      </c>
      <c r="D1142" s="16">
        <v>70.0</v>
      </c>
    </row>
    <row r="1143">
      <c r="A1143" s="8" t="s">
        <v>561</v>
      </c>
      <c r="B1143" s="8" t="s">
        <v>23</v>
      </c>
      <c r="C1143" s="18" t="s">
        <v>2593</v>
      </c>
      <c r="D1143" s="16">
        <v>73.0</v>
      </c>
    </row>
    <row r="1144">
      <c r="A1144" s="8" t="s">
        <v>561</v>
      </c>
      <c r="B1144" s="8" t="s">
        <v>67</v>
      </c>
      <c r="C1144" s="18" t="s">
        <v>2567</v>
      </c>
      <c r="D1144" s="16">
        <v>73.0</v>
      </c>
    </row>
    <row r="1145">
      <c r="A1145" s="8" t="s">
        <v>2874</v>
      </c>
      <c r="B1145" s="8" t="s">
        <v>558</v>
      </c>
      <c r="C1145" s="18" t="s">
        <v>2562</v>
      </c>
      <c r="D1145" s="16">
        <v>66.0</v>
      </c>
    </row>
    <row r="1146">
      <c r="A1146" s="8" t="s">
        <v>2875</v>
      </c>
      <c r="B1146" s="8" t="s">
        <v>782</v>
      </c>
      <c r="C1146" s="18" t="s">
        <v>2577</v>
      </c>
      <c r="D1146" s="16">
        <v>63.0</v>
      </c>
    </row>
    <row r="1147">
      <c r="A1147" s="8" t="s">
        <v>1864</v>
      </c>
      <c r="B1147" s="8" t="s">
        <v>247</v>
      </c>
      <c r="C1147" s="18" t="s">
        <v>2183</v>
      </c>
      <c r="D1147" s="16">
        <v>65.0</v>
      </c>
    </row>
    <row r="1148">
      <c r="A1148" s="8" t="s">
        <v>732</v>
      </c>
      <c r="B1148" s="8" t="s">
        <v>129</v>
      </c>
      <c r="C1148" s="18" t="s">
        <v>2552</v>
      </c>
      <c r="D1148" s="16">
        <v>81.0</v>
      </c>
    </row>
    <row r="1149">
      <c r="A1149" s="8" t="s">
        <v>732</v>
      </c>
      <c r="B1149" s="8" t="s">
        <v>1879</v>
      </c>
      <c r="C1149" s="18" t="s">
        <v>2558</v>
      </c>
      <c r="D1149" s="16">
        <v>75.0</v>
      </c>
    </row>
    <row r="1150">
      <c r="A1150" s="8" t="s">
        <v>732</v>
      </c>
      <c r="B1150" s="8" t="s">
        <v>733</v>
      </c>
      <c r="C1150" s="18" t="s">
        <v>2615</v>
      </c>
      <c r="D1150" s="16">
        <v>84.0</v>
      </c>
    </row>
    <row r="1151">
      <c r="A1151" s="8" t="s">
        <v>734</v>
      </c>
      <c r="B1151" s="8" t="s">
        <v>735</v>
      </c>
      <c r="C1151" s="18" t="s">
        <v>2554</v>
      </c>
      <c r="D1151" s="16">
        <v>77.0</v>
      </c>
    </row>
    <row r="1152">
      <c r="A1152" s="8" t="s">
        <v>2876</v>
      </c>
      <c r="B1152" s="8" t="s">
        <v>822</v>
      </c>
      <c r="C1152" s="18" t="s">
        <v>2587</v>
      </c>
      <c r="D1152" s="16">
        <v>74.0</v>
      </c>
    </row>
    <row r="1153">
      <c r="A1153" s="8" t="s">
        <v>160</v>
      </c>
      <c r="B1153" s="8" t="s">
        <v>161</v>
      </c>
      <c r="C1153" s="18" t="s">
        <v>2621</v>
      </c>
      <c r="D1153" s="16">
        <v>78.0</v>
      </c>
    </row>
    <row r="1154">
      <c r="A1154" s="8" t="s">
        <v>563</v>
      </c>
      <c r="B1154" s="8" t="s">
        <v>480</v>
      </c>
      <c r="C1154" s="18" t="s">
        <v>2620</v>
      </c>
      <c r="D1154" s="16">
        <v>73.0</v>
      </c>
    </row>
    <row r="1155">
      <c r="A1155" s="8" t="s">
        <v>2877</v>
      </c>
      <c r="B1155" s="8" t="s">
        <v>102</v>
      </c>
      <c r="C1155" s="18" t="s">
        <v>2558</v>
      </c>
      <c r="D1155" s="16">
        <v>67.0</v>
      </c>
    </row>
    <row r="1156">
      <c r="A1156" s="8" t="s">
        <v>291</v>
      </c>
      <c r="B1156" s="8" t="s">
        <v>67</v>
      </c>
      <c r="C1156" s="18" t="s">
        <v>2582</v>
      </c>
      <c r="D1156" s="16">
        <v>84.0</v>
      </c>
    </row>
    <row r="1157">
      <c r="A1157" s="8" t="s">
        <v>291</v>
      </c>
      <c r="B1157" s="8" t="s">
        <v>67</v>
      </c>
      <c r="C1157" s="18" t="s">
        <v>2582</v>
      </c>
      <c r="D1157" s="16">
        <v>90.0</v>
      </c>
    </row>
    <row r="1158">
      <c r="A1158" s="8" t="s">
        <v>1217</v>
      </c>
      <c r="B1158" s="8" t="s">
        <v>362</v>
      </c>
      <c r="C1158" s="18" t="s">
        <v>2584</v>
      </c>
      <c r="D1158" s="16">
        <v>71.0</v>
      </c>
    </row>
    <row r="1159">
      <c r="A1159" s="8" t="s">
        <v>2164</v>
      </c>
      <c r="B1159" s="8" t="s">
        <v>2165</v>
      </c>
      <c r="C1159" s="18" t="s">
        <v>2556</v>
      </c>
      <c r="D1159" s="16">
        <v>70.0</v>
      </c>
    </row>
    <row r="1160">
      <c r="A1160" s="8" t="s">
        <v>2878</v>
      </c>
      <c r="B1160" s="8" t="s">
        <v>301</v>
      </c>
      <c r="C1160" s="18" t="s">
        <v>2562</v>
      </c>
      <c r="D1160" s="16">
        <v>64.0</v>
      </c>
    </row>
    <row r="1161">
      <c r="A1161" s="8" t="s">
        <v>2879</v>
      </c>
      <c r="B1161" s="18" t="s">
        <v>2880</v>
      </c>
      <c r="C1161" s="18" t="s">
        <v>2595</v>
      </c>
      <c r="D1161" s="16">
        <v>68.0</v>
      </c>
    </row>
    <row r="1162">
      <c r="A1162" s="8" t="s">
        <v>955</v>
      </c>
      <c r="B1162" s="8" t="s">
        <v>800</v>
      </c>
      <c r="C1162" s="18" t="s">
        <v>2562</v>
      </c>
      <c r="D1162" s="16">
        <v>65.0</v>
      </c>
    </row>
    <row r="1163">
      <c r="A1163" s="8" t="s">
        <v>292</v>
      </c>
      <c r="B1163" s="8" t="s">
        <v>197</v>
      </c>
      <c r="C1163" s="18" t="s">
        <v>2581</v>
      </c>
      <c r="D1163" s="16">
        <v>74.0</v>
      </c>
    </row>
    <row r="1164">
      <c r="A1164" s="8" t="s">
        <v>1218</v>
      </c>
      <c r="B1164" s="8" t="s">
        <v>1219</v>
      </c>
      <c r="C1164" s="18" t="s">
        <v>2554</v>
      </c>
      <c r="D1164" s="16">
        <v>73.0</v>
      </c>
    </row>
    <row r="1165">
      <c r="A1165" s="8" t="s">
        <v>1496</v>
      </c>
      <c r="B1165" s="8" t="s">
        <v>1473</v>
      </c>
      <c r="C1165" s="18" t="s">
        <v>2615</v>
      </c>
      <c r="D1165" s="16">
        <v>77.0</v>
      </c>
    </row>
    <row r="1166">
      <c r="A1166" s="8" t="s">
        <v>956</v>
      </c>
      <c r="B1166" s="8" t="s">
        <v>121</v>
      </c>
      <c r="C1166" s="18" t="s">
        <v>2600</v>
      </c>
      <c r="D1166" s="16">
        <v>64.0</v>
      </c>
    </row>
    <row r="1167">
      <c r="A1167" s="8" t="s">
        <v>956</v>
      </c>
      <c r="B1167" s="8" t="s">
        <v>506</v>
      </c>
      <c r="C1167" s="18" t="s">
        <v>2621</v>
      </c>
      <c r="D1167" s="16">
        <v>63.0</v>
      </c>
    </row>
    <row r="1168">
      <c r="A1168" s="8" t="s">
        <v>956</v>
      </c>
      <c r="B1168" s="8" t="s">
        <v>569</v>
      </c>
      <c r="C1168" s="18" t="s">
        <v>2584</v>
      </c>
      <c r="D1168" s="16">
        <v>71.0</v>
      </c>
    </row>
    <row r="1169">
      <c r="A1169" s="8" t="s">
        <v>956</v>
      </c>
      <c r="B1169" s="8" t="s">
        <v>816</v>
      </c>
      <c r="C1169" s="18" t="s">
        <v>2572</v>
      </c>
      <c r="D1169" s="16">
        <v>79.0</v>
      </c>
    </row>
    <row r="1170">
      <c r="A1170" s="8" t="s">
        <v>956</v>
      </c>
      <c r="B1170" s="8" t="s">
        <v>45</v>
      </c>
      <c r="C1170" s="18" t="s">
        <v>2600</v>
      </c>
      <c r="D1170" s="16">
        <v>75.0</v>
      </c>
    </row>
    <row r="1171">
      <c r="A1171" s="8" t="s">
        <v>956</v>
      </c>
      <c r="B1171" s="8" t="s">
        <v>119</v>
      </c>
      <c r="C1171" s="18" t="s">
        <v>2558</v>
      </c>
      <c r="D1171" s="16">
        <v>76.0</v>
      </c>
    </row>
    <row r="1172">
      <c r="A1172" s="8" t="s">
        <v>956</v>
      </c>
      <c r="B1172" s="8" t="s">
        <v>2881</v>
      </c>
      <c r="C1172" s="18" t="s">
        <v>2620</v>
      </c>
      <c r="D1172" s="16">
        <v>87.0</v>
      </c>
    </row>
    <row r="1173">
      <c r="A1173" s="8" t="s">
        <v>956</v>
      </c>
      <c r="B1173" s="8" t="s">
        <v>2882</v>
      </c>
      <c r="C1173" s="18" t="s">
        <v>2552</v>
      </c>
      <c r="D1173" s="16">
        <v>70.0</v>
      </c>
    </row>
    <row r="1174">
      <c r="A1174" s="8" t="s">
        <v>255</v>
      </c>
      <c r="B1174" s="8" t="s">
        <v>726</v>
      </c>
      <c r="C1174" s="18" t="s">
        <v>2589</v>
      </c>
      <c r="D1174" s="16">
        <v>75.0</v>
      </c>
    </row>
    <row r="1175">
      <c r="A1175" s="8" t="s">
        <v>564</v>
      </c>
      <c r="B1175" s="8" t="s">
        <v>565</v>
      </c>
      <c r="C1175" s="18" t="s">
        <v>2610</v>
      </c>
      <c r="D1175" s="16">
        <v>77.0</v>
      </c>
    </row>
    <row r="1176">
      <c r="A1176" s="8" t="s">
        <v>958</v>
      </c>
      <c r="B1176" s="8" t="s">
        <v>726</v>
      </c>
      <c r="C1176" s="18" t="s">
        <v>2615</v>
      </c>
      <c r="D1176" s="16">
        <v>76.0</v>
      </c>
    </row>
    <row r="1177">
      <c r="A1177" s="8" t="s">
        <v>1867</v>
      </c>
      <c r="B1177" s="8" t="s">
        <v>719</v>
      </c>
      <c r="C1177" s="18" t="s">
        <v>2593</v>
      </c>
      <c r="D1177" s="16">
        <v>72.0</v>
      </c>
    </row>
    <row r="1178">
      <c r="A1178" s="8" t="s">
        <v>1499</v>
      </c>
      <c r="B1178" s="8" t="s">
        <v>546</v>
      </c>
      <c r="C1178" s="18" t="s">
        <v>2585</v>
      </c>
      <c r="D1178" s="16">
        <v>77.0</v>
      </c>
    </row>
    <row r="1179">
      <c r="A1179" s="8" t="s">
        <v>2166</v>
      </c>
      <c r="B1179" s="8" t="s">
        <v>2167</v>
      </c>
      <c r="C1179" s="18" t="s">
        <v>2558</v>
      </c>
      <c r="D1179" s="16">
        <v>76.0</v>
      </c>
    </row>
    <row r="1180">
      <c r="A1180" s="8" t="s">
        <v>738</v>
      </c>
      <c r="B1180" s="18" t="s">
        <v>269</v>
      </c>
      <c r="C1180" s="18" t="s">
        <v>2595</v>
      </c>
      <c r="D1180" s="16">
        <v>72.0</v>
      </c>
    </row>
    <row r="1181">
      <c r="A1181" s="8" t="s">
        <v>566</v>
      </c>
      <c r="B1181" s="8" t="s">
        <v>301</v>
      </c>
      <c r="C1181" s="18" t="s">
        <v>2621</v>
      </c>
      <c r="D1181" s="16">
        <v>79.0</v>
      </c>
    </row>
    <row r="1182">
      <c r="A1182" s="8" t="s">
        <v>40</v>
      </c>
      <c r="B1182" s="8" t="s">
        <v>41</v>
      </c>
      <c r="C1182" s="18" t="s">
        <v>2575</v>
      </c>
      <c r="D1182" s="16">
        <v>84.0</v>
      </c>
    </row>
    <row r="1183">
      <c r="A1183" s="8" t="s">
        <v>2883</v>
      </c>
      <c r="B1183" s="8" t="s">
        <v>2884</v>
      </c>
      <c r="C1183" s="18" t="s">
        <v>2582</v>
      </c>
      <c r="D1183" s="16">
        <v>68.0</v>
      </c>
    </row>
    <row r="1184">
      <c r="A1184" s="8" t="s">
        <v>2883</v>
      </c>
      <c r="B1184" s="8" t="s">
        <v>1489</v>
      </c>
      <c r="C1184" s="18" t="s">
        <v>2620</v>
      </c>
      <c r="D1184" s="16">
        <v>73.0</v>
      </c>
    </row>
    <row r="1185">
      <c r="A1185" s="8" t="s">
        <v>1220</v>
      </c>
      <c r="B1185" s="8" t="s">
        <v>50</v>
      </c>
      <c r="C1185" s="18" t="s">
        <v>2584</v>
      </c>
      <c r="D1185" s="16">
        <v>72.0</v>
      </c>
    </row>
    <row r="1186">
      <c r="A1186" s="8" t="s">
        <v>1502</v>
      </c>
      <c r="B1186" s="8" t="s">
        <v>1503</v>
      </c>
      <c r="C1186" s="18" t="s">
        <v>2183</v>
      </c>
      <c r="D1186" s="16">
        <v>67.0</v>
      </c>
    </row>
    <row r="1187">
      <c r="A1187" s="8" t="s">
        <v>2885</v>
      </c>
      <c r="B1187" s="8" t="s">
        <v>637</v>
      </c>
      <c r="C1187" s="18" t="s">
        <v>2593</v>
      </c>
      <c r="D1187" s="16">
        <v>62.0</v>
      </c>
    </row>
    <row r="1188">
      <c r="A1188" s="8" t="s">
        <v>1221</v>
      </c>
      <c r="B1188" s="8" t="s">
        <v>676</v>
      </c>
      <c r="C1188" s="18" t="s">
        <v>2610</v>
      </c>
      <c r="D1188" s="16">
        <v>76.0</v>
      </c>
    </row>
    <row r="1189">
      <c r="A1189" s="8" t="s">
        <v>739</v>
      </c>
      <c r="B1189" s="8" t="s">
        <v>320</v>
      </c>
      <c r="C1189" s="18" t="s">
        <v>2574</v>
      </c>
      <c r="D1189" s="16">
        <v>89.0</v>
      </c>
    </row>
    <row r="1190">
      <c r="A1190" s="8" t="s">
        <v>2886</v>
      </c>
      <c r="B1190" s="8" t="s">
        <v>23</v>
      </c>
      <c r="C1190" s="18" t="s">
        <v>2645</v>
      </c>
      <c r="D1190" s="16">
        <v>61.0</v>
      </c>
    </row>
    <row r="1191">
      <c r="A1191" s="8" t="s">
        <v>1222</v>
      </c>
      <c r="B1191" s="8" t="s">
        <v>500</v>
      </c>
      <c r="C1191" s="18" t="s">
        <v>2593</v>
      </c>
      <c r="D1191" s="16">
        <v>77.0</v>
      </c>
    </row>
    <row r="1192">
      <c r="A1192" s="8" t="s">
        <v>570</v>
      </c>
      <c r="B1192" s="8" t="s">
        <v>129</v>
      </c>
      <c r="C1192" s="18" t="s">
        <v>2605</v>
      </c>
      <c r="D1192" s="16">
        <v>66.0</v>
      </c>
    </row>
    <row r="1193">
      <c r="A1193" s="8" t="s">
        <v>1223</v>
      </c>
      <c r="B1193" s="8" t="s">
        <v>231</v>
      </c>
      <c r="C1193" s="18" t="s">
        <v>2605</v>
      </c>
      <c r="D1193" s="16">
        <v>79.0</v>
      </c>
    </row>
    <row r="1194">
      <c r="A1194" s="8" t="s">
        <v>568</v>
      </c>
      <c r="B1194" s="8" t="s">
        <v>569</v>
      </c>
      <c r="C1194" s="18" t="s">
        <v>2587</v>
      </c>
      <c r="D1194" s="16">
        <v>74.0</v>
      </c>
    </row>
    <row r="1195">
      <c r="A1195" s="8" t="s">
        <v>2887</v>
      </c>
      <c r="B1195" s="8" t="s">
        <v>121</v>
      </c>
      <c r="C1195" s="18" t="s">
        <v>2610</v>
      </c>
      <c r="D1195" s="16">
        <v>77.0</v>
      </c>
    </row>
    <row r="1196">
      <c r="A1196" s="8" t="s">
        <v>2888</v>
      </c>
      <c r="B1196" s="8" t="s">
        <v>2889</v>
      </c>
      <c r="C1196" s="18" t="s">
        <v>2592</v>
      </c>
      <c r="D1196" s="16">
        <v>64.0</v>
      </c>
    </row>
    <row r="1197">
      <c r="A1197" s="8" t="s">
        <v>740</v>
      </c>
      <c r="B1197" s="8" t="s">
        <v>301</v>
      </c>
      <c r="C1197" s="18" t="s">
        <v>2584</v>
      </c>
      <c r="D1197" s="16">
        <v>79.0</v>
      </c>
    </row>
    <row r="1198">
      <c r="A1198" s="8" t="s">
        <v>960</v>
      </c>
      <c r="B1198" s="8" t="s">
        <v>961</v>
      </c>
      <c r="C1198" s="18" t="s">
        <v>2562</v>
      </c>
      <c r="D1198" s="16">
        <v>74.0</v>
      </c>
    </row>
    <row r="1199">
      <c r="A1199" s="8" t="s">
        <v>1504</v>
      </c>
      <c r="B1199" s="8" t="s">
        <v>1505</v>
      </c>
      <c r="C1199" s="18" t="s">
        <v>2572</v>
      </c>
      <c r="D1199" s="16">
        <v>78.0</v>
      </c>
    </row>
    <row r="1200">
      <c r="A1200" s="8" t="s">
        <v>2890</v>
      </c>
      <c r="B1200" s="8" t="s">
        <v>299</v>
      </c>
      <c r="C1200" s="18" t="s">
        <v>2592</v>
      </c>
      <c r="D1200" s="16">
        <v>64.0</v>
      </c>
    </row>
    <row r="1201">
      <c r="A1201" s="8" t="s">
        <v>2891</v>
      </c>
      <c r="B1201" s="8" t="s">
        <v>226</v>
      </c>
      <c r="C1201" s="18" t="s">
        <v>2556</v>
      </c>
      <c r="D1201" s="16">
        <v>72.0</v>
      </c>
    </row>
    <row r="1202">
      <c r="A1202" s="8" t="s">
        <v>1226</v>
      </c>
      <c r="B1202" s="8" t="s">
        <v>1467</v>
      </c>
      <c r="C1202" s="18" t="s">
        <v>2621</v>
      </c>
      <c r="D1202" s="16">
        <v>75.0</v>
      </c>
    </row>
    <row r="1203">
      <c r="A1203" s="8" t="s">
        <v>1226</v>
      </c>
      <c r="B1203" s="8" t="s">
        <v>1227</v>
      </c>
      <c r="C1203" s="18" t="s">
        <v>2615</v>
      </c>
      <c r="D1203" s="16">
        <v>86.0</v>
      </c>
    </row>
    <row r="1204">
      <c r="A1204" s="8" t="s">
        <v>1226</v>
      </c>
      <c r="B1204" s="8" t="s">
        <v>1227</v>
      </c>
      <c r="C1204" s="18" t="s">
        <v>2615</v>
      </c>
      <c r="D1204" s="16">
        <v>89.0</v>
      </c>
    </row>
    <row r="1205">
      <c r="A1205" s="8" t="s">
        <v>2892</v>
      </c>
      <c r="B1205" s="18" t="s">
        <v>491</v>
      </c>
      <c r="C1205" s="18" t="s">
        <v>2554</v>
      </c>
      <c r="D1205" s="16">
        <v>80.0</v>
      </c>
    </row>
    <row r="1206">
      <c r="A1206" s="8" t="s">
        <v>2892</v>
      </c>
      <c r="B1206" s="18" t="s">
        <v>491</v>
      </c>
      <c r="C1206" s="18" t="s">
        <v>2554</v>
      </c>
      <c r="D1206" s="16">
        <v>86.0</v>
      </c>
    </row>
    <row r="1207">
      <c r="A1207" s="8" t="s">
        <v>1228</v>
      </c>
      <c r="B1207" s="8" t="s">
        <v>1229</v>
      </c>
      <c r="C1207" s="18" t="s">
        <v>2600</v>
      </c>
      <c r="D1207" s="16">
        <v>68.0</v>
      </c>
    </row>
    <row r="1208">
      <c r="A1208" s="8" t="s">
        <v>1871</v>
      </c>
      <c r="B1208" s="8" t="s">
        <v>1872</v>
      </c>
      <c r="C1208" s="18" t="s">
        <v>2620</v>
      </c>
      <c r="D1208" s="16">
        <v>70.0</v>
      </c>
    </row>
    <row r="1209">
      <c r="A1209" s="8" t="s">
        <v>2893</v>
      </c>
      <c r="B1209" s="8" t="s">
        <v>212</v>
      </c>
      <c r="C1209" s="18" t="s">
        <v>2582</v>
      </c>
      <c r="D1209" s="16">
        <v>67.0</v>
      </c>
    </row>
    <row r="1210">
      <c r="A1210" s="18" t="s">
        <v>1873</v>
      </c>
      <c r="B1210" s="8" t="s">
        <v>1128</v>
      </c>
      <c r="C1210" s="18" t="s">
        <v>2584</v>
      </c>
      <c r="D1210" s="16">
        <v>89.0</v>
      </c>
    </row>
    <row r="1211">
      <c r="A1211" s="18" t="s">
        <v>1873</v>
      </c>
      <c r="B1211" s="8" t="s">
        <v>1128</v>
      </c>
      <c r="C1211" s="18" t="s">
        <v>2584</v>
      </c>
      <c r="D1211" s="16">
        <v>92.0</v>
      </c>
    </row>
    <row r="1212">
      <c r="A1212" s="8" t="s">
        <v>210</v>
      </c>
      <c r="B1212" s="8" t="s">
        <v>114</v>
      </c>
      <c r="C1212" s="18" t="s">
        <v>2581</v>
      </c>
      <c r="D1212" s="16">
        <v>69.0</v>
      </c>
    </row>
    <row r="1213">
      <c r="A1213" s="8" t="s">
        <v>210</v>
      </c>
      <c r="B1213" s="8" t="s">
        <v>676</v>
      </c>
      <c r="C1213" s="18" t="s">
        <v>2574</v>
      </c>
      <c r="D1213" s="16">
        <v>73.0</v>
      </c>
    </row>
    <row r="1214">
      <c r="A1214" s="8" t="s">
        <v>2894</v>
      </c>
      <c r="B1214" s="8" t="s">
        <v>197</v>
      </c>
      <c r="C1214" s="18" t="s">
        <v>2595</v>
      </c>
      <c r="D1214" s="16">
        <v>65.0</v>
      </c>
    </row>
    <row r="1215">
      <c r="A1215" s="8" t="s">
        <v>2370</v>
      </c>
      <c r="B1215" s="8" t="s">
        <v>263</v>
      </c>
      <c r="C1215" s="18" t="s">
        <v>2575</v>
      </c>
      <c r="D1215" s="16">
        <v>69.0</v>
      </c>
    </row>
    <row r="1216">
      <c r="A1216" s="8" t="s">
        <v>2895</v>
      </c>
      <c r="B1216" s="8" t="s">
        <v>800</v>
      </c>
      <c r="C1216" s="18" t="s">
        <v>2645</v>
      </c>
      <c r="D1216" s="16">
        <v>67.0</v>
      </c>
    </row>
    <row r="1217">
      <c r="A1217" s="8" t="s">
        <v>1231</v>
      </c>
      <c r="B1217" s="8" t="s">
        <v>362</v>
      </c>
      <c r="C1217" s="18" t="s">
        <v>2566</v>
      </c>
      <c r="D1217" s="16">
        <v>72.0</v>
      </c>
    </row>
    <row r="1218">
      <c r="A1218" s="8" t="s">
        <v>2169</v>
      </c>
      <c r="B1218" s="8" t="s">
        <v>2170</v>
      </c>
      <c r="C1218" s="18" t="s">
        <v>2595</v>
      </c>
      <c r="D1218" s="16">
        <v>86.0</v>
      </c>
    </row>
    <row r="1219">
      <c r="A1219" s="8" t="s">
        <v>1875</v>
      </c>
      <c r="B1219" s="8" t="s">
        <v>214</v>
      </c>
      <c r="C1219" s="18" t="s">
        <v>2566</v>
      </c>
      <c r="D1219" s="16">
        <v>72.0</v>
      </c>
    </row>
    <row r="1220">
      <c r="A1220" s="8" t="s">
        <v>1874</v>
      </c>
      <c r="B1220" s="8" t="s">
        <v>381</v>
      </c>
      <c r="C1220" s="18" t="s">
        <v>2593</v>
      </c>
      <c r="D1220" s="16">
        <v>66.0</v>
      </c>
    </row>
    <row r="1221">
      <c r="A1221" s="8" t="s">
        <v>524</v>
      </c>
      <c r="B1221" s="8" t="s">
        <v>964</v>
      </c>
      <c r="C1221" s="18" t="s">
        <v>2614</v>
      </c>
      <c r="D1221" s="16">
        <v>83.0</v>
      </c>
    </row>
    <row r="1222">
      <c r="A1222" s="8" t="s">
        <v>741</v>
      </c>
      <c r="B1222" s="8" t="s">
        <v>881</v>
      </c>
      <c r="C1222" s="18" t="s">
        <v>2610</v>
      </c>
      <c r="D1222" s="16">
        <v>79.0</v>
      </c>
    </row>
    <row r="1223">
      <c r="A1223" s="8" t="s">
        <v>741</v>
      </c>
      <c r="B1223" s="8" t="s">
        <v>742</v>
      </c>
      <c r="C1223" s="18" t="s">
        <v>2554</v>
      </c>
      <c r="D1223" s="16">
        <v>72.0</v>
      </c>
    </row>
    <row r="1224">
      <c r="A1224" s="8" t="s">
        <v>741</v>
      </c>
      <c r="B1224" s="8" t="s">
        <v>1241</v>
      </c>
      <c r="C1224" s="18" t="s">
        <v>2587</v>
      </c>
      <c r="D1224" s="16">
        <v>75.0</v>
      </c>
    </row>
    <row r="1225">
      <c r="A1225" s="8" t="s">
        <v>393</v>
      </c>
      <c r="B1225" s="8" t="s">
        <v>394</v>
      </c>
      <c r="C1225" s="18" t="s">
        <v>2620</v>
      </c>
      <c r="D1225" s="16">
        <v>81.0</v>
      </c>
    </row>
    <row r="1226">
      <c r="A1226" s="8" t="s">
        <v>1508</v>
      </c>
      <c r="B1226" s="18" t="s">
        <v>1509</v>
      </c>
      <c r="C1226" s="18" t="s">
        <v>2605</v>
      </c>
      <c r="D1226" s="16">
        <v>75.0</v>
      </c>
    </row>
    <row r="1227">
      <c r="A1227" s="8" t="s">
        <v>2896</v>
      </c>
      <c r="B1227" s="8" t="s">
        <v>1295</v>
      </c>
      <c r="C1227" s="18" t="s">
        <v>2562</v>
      </c>
      <c r="D1227" s="16">
        <v>78.0</v>
      </c>
    </row>
    <row r="1228">
      <c r="A1228" s="8" t="s">
        <v>1510</v>
      </c>
      <c r="B1228" s="8" t="s">
        <v>798</v>
      </c>
      <c r="C1228" s="18" t="s">
        <v>2554</v>
      </c>
      <c r="D1228" s="16">
        <v>66.0</v>
      </c>
    </row>
    <row r="1229">
      <c r="A1229" s="8" t="s">
        <v>42</v>
      </c>
      <c r="B1229" s="8" t="s">
        <v>43</v>
      </c>
      <c r="C1229" s="18" t="s">
        <v>2589</v>
      </c>
      <c r="D1229" s="16">
        <v>82.0</v>
      </c>
    </row>
    <row r="1230">
      <c r="A1230" s="8" t="s">
        <v>42</v>
      </c>
      <c r="B1230" s="8" t="s">
        <v>52</v>
      </c>
      <c r="C1230" s="18" t="s">
        <v>2645</v>
      </c>
      <c r="D1230" s="16">
        <v>63.0</v>
      </c>
    </row>
    <row r="1231">
      <c r="A1231" s="8" t="s">
        <v>42</v>
      </c>
      <c r="B1231" s="8" t="s">
        <v>1876</v>
      </c>
      <c r="C1231" s="18" t="s">
        <v>2560</v>
      </c>
      <c r="D1231" s="16">
        <v>74.0</v>
      </c>
    </row>
    <row r="1232">
      <c r="A1232" s="8" t="s">
        <v>42</v>
      </c>
      <c r="B1232" s="8" t="s">
        <v>1528</v>
      </c>
      <c r="C1232" s="18" t="s">
        <v>2585</v>
      </c>
      <c r="D1232" s="16">
        <v>69.0</v>
      </c>
    </row>
    <row r="1233">
      <c r="A1233" s="8" t="s">
        <v>42</v>
      </c>
      <c r="B1233" s="8" t="s">
        <v>129</v>
      </c>
      <c r="C1233" s="18" t="s">
        <v>2600</v>
      </c>
      <c r="D1233" s="16">
        <v>70.0</v>
      </c>
    </row>
    <row r="1234">
      <c r="A1234" s="8" t="s">
        <v>42</v>
      </c>
      <c r="B1234" s="8" t="s">
        <v>2286</v>
      </c>
      <c r="C1234" s="18" t="s">
        <v>2587</v>
      </c>
      <c r="D1234" s="16">
        <v>70.0</v>
      </c>
    </row>
    <row r="1235">
      <c r="A1235" s="8" t="s">
        <v>42</v>
      </c>
      <c r="B1235" s="8" t="s">
        <v>965</v>
      </c>
      <c r="C1235" s="18" t="s">
        <v>2584</v>
      </c>
      <c r="D1235" s="16">
        <v>78.0</v>
      </c>
    </row>
    <row r="1236">
      <c r="A1236" s="8" t="s">
        <v>42</v>
      </c>
      <c r="B1236" s="8" t="s">
        <v>2172</v>
      </c>
      <c r="C1236" s="18" t="s">
        <v>2556</v>
      </c>
      <c r="D1236" s="16">
        <v>69.0</v>
      </c>
    </row>
    <row r="1237">
      <c r="A1237" s="8" t="s">
        <v>42</v>
      </c>
      <c r="B1237" s="8" t="s">
        <v>162</v>
      </c>
      <c r="C1237" s="18" t="s">
        <v>2614</v>
      </c>
      <c r="D1237" s="16">
        <v>86.0</v>
      </c>
    </row>
    <row r="1238">
      <c r="A1238" s="8" t="s">
        <v>42</v>
      </c>
      <c r="B1238" s="8" t="s">
        <v>1803</v>
      </c>
      <c r="C1238" s="18" t="s">
        <v>2584</v>
      </c>
      <c r="D1238" s="16">
        <v>66.0</v>
      </c>
    </row>
    <row r="1239">
      <c r="A1239" s="8" t="s">
        <v>1877</v>
      </c>
      <c r="B1239" s="8" t="s">
        <v>263</v>
      </c>
      <c r="C1239" s="18" t="s">
        <v>2560</v>
      </c>
      <c r="D1239" s="16">
        <v>69.0</v>
      </c>
    </row>
    <row r="1240">
      <c r="A1240" s="8" t="s">
        <v>2897</v>
      </c>
      <c r="B1240" s="8" t="s">
        <v>33</v>
      </c>
      <c r="C1240" s="18" t="s">
        <v>2562</v>
      </c>
      <c r="D1240" s="16">
        <v>69.0</v>
      </c>
    </row>
    <row r="1241">
      <c r="A1241" s="8" t="s">
        <v>2898</v>
      </c>
      <c r="B1241" s="8" t="s">
        <v>357</v>
      </c>
      <c r="C1241" s="18" t="s">
        <v>2605</v>
      </c>
      <c r="D1241" s="16">
        <v>79.0</v>
      </c>
    </row>
    <row r="1242">
      <c r="A1242" s="8" t="s">
        <v>1172</v>
      </c>
      <c r="B1242" s="8" t="s">
        <v>800</v>
      </c>
      <c r="C1242" s="18" t="s">
        <v>2567</v>
      </c>
      <c r="D1242" s="16">
        <v>74.0</v>
      </c>
    </row>
    <row r="1243">
      <c r="A1243" s="8" t="s">
        <v>1172</v>
      </c>
      <c r="B1243" s="8" t="s">
        <v>612</v>
      </c>
      <c r="C1243" s="18" t="s">
        <v>2595</v>
      </c>
      <c r="D1243" s="16">
        <v>68.0</v>
      </c>
    </row>
    <row r="1244">
      <c r="A1244" s="8" t="s">
        <v>2899</v>
      </c>
      <c r="B1244" s="8" t="s">
        <v>263</v>
      </c>
      <c r="C1244" s="18" t="s">
        <v>2620</v>
      </c>
      <c r="D1244" s="16">
        <v>68.0</v>
      </c>
    </row>
    <row r="1245">
      <c r="A1245" s="8" t="s">
        <v>1511</v>
      </c>
      <c r="B1245" s="8" t="s">
        <v>304</v>
      </c>
      <c r="C1245" s="18" t="s">
        <v>2621</v>
      </c>
      <c r="D1245" s="16">
        <v>67.0</v>
      </c>
    </row>
    <row r="1246">
      <c r="A1246" s="8" t="s">
        <v>2900</v>
      </c>
      <c r="B1246" s="8" t="s">
        <v>212</v>
      </c>
      <c r="C1246" s="18" t="s">
        <v>2575</v>
      </c>
      <c r="D1246" s="16">
        <v>75.0</v>
      </c>
    </row>
    <row r="1247">
      <c r="A1247" s="8" t="s">
        <v>2901</v>
      </c>
      <c r="B1247" s="8" t="s">
        <v>43</v>
      </c>
      <c r="C1247" s="18" t="s">
        <v>2598</v>
      </c>
      <c r="D1247" s="16">
        <v>80.0</v>
      </c>
    </row>
    <row r="1248">
      <c r="A1248" s="8" t="s">
        <v>743</v>
      </c>
      <c r="B1248" s="8" t="s">
        <v>441</v>
      </c>
      <c r="C1248" s="18" t="s">
        <v>2621</v>
      </c>
      <c r="D1248" s="16">
        <v>82.0</v>
      </c>
    </row>
    <row r="1249">
      <c r="A1249" s="8" t="s">
        <v>94</v>
      </c>
      <c r="B1249" s="8" t="s">
        <v>100</v>
      </c>
      <c r="C1249" s="18" t="s">
        <v>2575</v>
      </c>
      <c r="D1249" s="16">
        <v>74.0</v>
      </c>
    </row>
    <row r="1250">
      <c r="A1250" s="8" t="s">
        <v>94</v>
      </c>
      <c r="B1250" s="8" t="s">
        <v>744</v>
      </c>
      <c r="C1250" s="18" t="s">
        <v>2621</v>
      </c>
      <c r="D1250" s="16">
        <v>82.0</v>
      </c>
    </row>
    <row r="1251">
      <c r="A1251" s="8" t="s">
        <v>94</v>
      </c>
      <c r="B1251" s="8" t="s">
        <v>1880</v>
      </c>
      <c r="C1251" s="18" t="s">
        <v>2614</v>
      </c>
      <c r="D1251" s="16">
        <v>76.0</v>
      </c>
    </row>
    <row r="1252">
      <c r="A1252" s="8" t="s">
        <v>94</v>
      </c>
      <c r="B1252" s="8" t="s">
        <v>1711</v>
      </c>
      <c r="C1252" s="18" t="s">
        <v>2621</v>
      </c>
      <c r="D1252" s="16">
        <v>72.0</v>
      </c>
    </row>
    <row r="1253">
      <c r="A1253" s="8" t="s">
        <v>94</v>
      </c>
      <c r="B1253" s="8" t="s">
        <v>1512</v>
      </c>
      <c r="C1253" s="18" t="s">
        <v>2562</v>
      </c>
      <c r="D1253" s="16">
        <v>63.0</v>
      </c>
    </row>
    <row r="1254">
      <c r="A1254" s="8" t="s">
        <v>94</v>
      </c>
      <c r="B1254" s="8" t="s">
        <v>95</v>
      </c>
      <c r="C1254" s="18" t="s">
        <v>2558</v>
      </c>
      <c r="D1254" s="16">
        <v>78.0</v>
      </c>
    </row>
    <row r="1255">
      <c r="A1255" s="8" t="s">
        <v>94</v>
      </c>
      <c r="B1255" s="8" t="s">
        <v>1233</v>
      </c>
      <c r="C1255" s="18" t="s">
        <v>2595</v>
      </c>
      <c r="D1255" s="16">
        <v>68.0</v>
      </c>
    </row>
    <row r="1256">
      <c r="A1256" s="8" t="s">
        <v>94</v>
      </c>
      <c r="B1256" s="8" t="s">
        <v>1881</v>
      </c>
      <c r="C1256" s="18" t="s">
        <v>2567</v>
      </c>
      <c r="D1256" s="16">
        <v>75.0</v>
      </c>
    </row>
    <row r="1257">
      <c r="A1257" s="8" t="s">
        <v>2902</v>
      </c>
      <c r="B1257" s="8" t="s">
        <v>2903</v>
      </c>
      <c r="C1257" s="18" t="s">
        <v>2566</v>
      </c>
      <c r="D1257" s="16">
        <v>72.0</v>
      </c>
    </row>
    <row r="1258">
      <c r="A1258" s="8" t="s">
        <v>571</v>
      </c>
      <c r="B1258" s="8" t="s">
        <v>572</v>
      </c>
      <c r="C1258" s="18" t="s">
        <v>2584</v>
      </c>
      <c r="D1258" s="16">
        <v>67.0</v>
      </c>
    </row>
    <row r="1259">
      <c r="A1259" s="8" t="s">
        <v>967</v>
      </c>
      <c r="B1259" s="8" t="s">
        <v>183</v>
      </c>
      <c r="C1259" s="18" t="s">
        <v>2592</v>
      </c>
      <c r="D1259" s="16">
        <v>71.0</v>
      </c>
    </row>
    <row r="1260">
      <c r="A1260" s="8" t="s">
        <v>968</v>
      </c>
      <c r="B1260" s="8" t="s">
        <v>121</v>
      </c>
      <c r="C1260" s="18" t="s">
        <v>2584</v>
      </c>
      <c r="D1260" s="16">
        <v>84.0</v>
      </c>
    </row>
    <row r="1261">
      <c r="A1261" s="8" t="s">
        <v>573</v>
      </c>
      <c r="B1261" s="8" t="s">
        <v>480</v>
      </c>
      <c r="C1261" s="18" t="s">
        <v>2595</v>
      </c>
      <c r="D1261" s="16">
        <v>79.0</v>
      </c>
    </row>
    <row r="1262">
      <c r="A1262" s="8" t="s">
        <v>745</v>
      </c>
      <c r="B1262" s="8" t="s">
        <v>304</v>
      </c>
      <c r="C1262" s="18" t="s">
        <v>2558</v>
      </c>
      <c r="D1262" s="16">
        <v>77.0</v>
      </c>
    </row>
    <row r="1263">
      <c r="A1263" s="8" t="s">
        <v>969</v>
      </c>
      <c r="B1263" s="8" t="s">
        <v>140</v>
      </c>
      <c r="C1263" s="18" t="s">
        <v>2581</v>
      </c>
      <c r="D1263" s="16">
        <v>78.0</v>
      </c>
    </row>
    <row r="1264">
      <c r="A1264" s="8" t="s">
        <v>2904</v>
      </c>
      <c r="B1264" s="8" t="s">
        <v>2905</v>
      </c>
      <c r="C1264" s="18" t="s">
        <v>2645</v>
      </c>
      <c r="D1264" s="16">
        <v>69.0</v>
      </c>
    </row>
    <row r="1265">
      <c r="A1265" s="8" t="s">
        <v>1514</v>
      </c>
      <c r="B1265" s="8" t="s">
        <v>1515</v>
      </c>
      <c r="C1265" s="18" t="s">
        <v>2593</v>
      </c>
      <c r="D1265" s="16">
        <v>70.0</v>
      </c>
    </row>
    <row r="1266">
      <c r="A1266" s="8" t="s">
        <v>2906</v>
      </c>
      <c r="B1266" s="8" t="s">
        <v>304</v>
      </c>
      <c r="C1266" s="18" t="s">
        <v>2572</v>
      </c>
      <c r="D1266" s="16">
        <v>80.0</v>
      </c>
    </row>
    <row r="1267">
      <c r="A1267" s="8" t="s">
        <v>2907</v>
      </c>
      <c r="B1267" s="8" t="s">
        <v>712</v>
      </c>
      <c r="C1267" s="18" t="s">
        <v>2585</v>
      </c>
      <c r="D1267" s="16">
        <v>76.0</v>
      </c>
    </row>
    <row r="1268">
      <c r="A1268" s="8" t="s">
        <v>1234</v>
      </c>
      <c r="B1268" s="8" t="s">
        <v>676</v>
      </c>
      <c r="C1268" s="18" t="s">
        <v>2603</v>
      </c>
      <c r="D1268" s="16">
        <v>77.0</v>
      </c>
    </row>
    <row r="1269">
      <c r="A1269" s="8" t="s">
        <v>1235</v>
      </c>
      <c r="B1269" s="8" t="s">
        <v>427</v>
      </c>
      <c r="C1269" s="18" t="s">
        <v>2595</v>
      </c>
      <c r="D1269" s="16">
        <v>74.0</v>
      </c>
    </row>
    <row r="1270">
      <c r="A1270" s="8" t="s">
        <v>222</v>
      </c>
      <c r="B1270" s="8" t="s">
        <v>686</v>
      </c>
      <c r="C1270" s="18" t="s">
        <v>2621</v>
      </c>
      <c r="D1270" s="16">
        <v>76.0</v>
      </c>
    </row>
    <row r="1271">
      <c r="A1271" s="8" t="s">
        <v>222</v>
      </c>
      <c r="B1271" s="18" t="s">
        <v>491</v>
      </c>
      <c r="C1271" s="18" t="s">
        <v>2589</v>
      </c>
      <c r="D1271" s="16">
        <v>71.0</v>
      </c>
    </row>
    <row r="1272">
      <c r="A1272" s="8" t="s">
        <v>395</v>
      </c>
      <c r="B1272" s="8" t="s">
        <v>275</v>
      </c>
      <c r="C1272" s="18" t="s">
        <v>2564</v>
      </c>
      <c r="D1272" s="16">
        <v>79.0</v>
      </c>
    </row>
    <row r="1273">
      <c r="A1273" s="8" t="s">
        <v>395</v>
      </c>
      <c r="B1273" s="8" t="s">
        <v>275</v>
      </c>
      <c r="C1273" s="18" t="s">
        <v>2564</v>
      </c>
      <c r="D1273" s="16">
        <v>85.0</v>
      </c>
    </row>
    <row r="1274">
      <c r="A1274" s="8" t="s">
        <v>395</v>
      </c>
      <c r="B1274" s="8" t="s">
        <v>214</v>
      </c>
      <c r="C1274" s="18" t="s">
        <v>2605</v>
      </c>
      <c r="D1274" s="16">
        <v>81.0</v>
      </c>
    </row>
    <row r="1275">
      <c r="A1275" s="8" t="s">
        <v>395</v>
      </c>
      <c r="B1275" s="8" t="s">
        <v>746</v>
      </c>
      <c r="C1275" s="18" t="s">
        <v>2560</v>
      </c>
      <c r="D1275" s="16">
        <v>74.0</v>
      </c>
    </row>
    <row r="1276">
      <c r="A1276" s="8" t="s">
        <v>1884</v>
      </c>
      <c r="B1276" s="8" t="s">
        <v>167</v>
      </c>
      <c r="C1276" s="18" t="s">
        <v>2554</v>
      </c>
      <c r="D1276" s="16">
        <v>65.0</v>
      </c>
    </row>
    <row r="1277">
      <c r="A1277" s="8" t="s">
        <v>2908</v>
      </c>
      <c r="B1277" s="8" t="s">
        <v>33</v>
      </c>
      <c r="C1277" s="18" t="s">
        <v>2593</v>
      </c>
      <c r="D1277" s="16">
        <v>68.0</v>
      </c>
    </row>
    <row r="1278">
      <c r="A1278" s="8" t="s">
        <v>574</v>
      </c>
      <c r="B1278" s="8" t="s">
        <v>260</v>
      </c>
      <c r="C1278" s="18" t="s">
        <v>2558</v>
      </c>
      <c r="D1278" s="16">
        <v>66.0</v>
      </c>
    </row>
    <row r="1279">
      <c r="A1279" s="8" t="s">
        <v>574</v>
      </c>
      <c r="B1279" s="8" t="s">
        <v>102</v>
      </c>
      <c r="C1279" s="18" t="s">
        <v>2614</v>
      </c>
      <c r="D1279" s="16">
        <v>69.0</v>
      </c>
    </row>
    <row r="1280">
      <c r="A1280" s="8" t="s">
        <v>2909</v>
      </c>
      <c r="B1280" s="8" t="s">
        <v>1624</v>
      </c>
      <c r="C1280" s="18" t="s">
        <v>2585</v>
      </c>
      <c r="D1280" s="16">
        <v>94.0</v>
      </c>
    </row>
    <row r="1281">
      <c r="A1281" s="8" t="s">
        <v>575</v>
      </c>
      <c r="B1281" s="8" t="s">
        <v>576</v>
      </c>
      <c r="C1281" s="18" t="s">
        <v>2587</v>
      </c>
      <c r="D1281" s="16">
        <v>73.0</v>
      </c>
    </row>
    <row r="1282">
      <c r="A1282" s="8" t="s">
        <v>1516</v>
      </c>
      <c r="B1282" s="8" t="s">
        <v>2655</v>
      </c>
      <c r="C1282" s="18" t="s">
        <v>2615</v>
      </c>
      <c r="D1282" s="16">
        <v>71.0</v>
      </c>
    </row>
    <row r="1283">
      <c r="A1283" s="8" t="s">
        <v>213</v>
      </c>
      <c r="B1283" s="8" t="s">
        <v>214</v>
      </c>
      <c r="C1283" s="18" t="s">
        <v>2574</v>
      </c>
      <c r="D1283" s="16">
        <v>70.0</v>
      </c>
    </row>
    <row r="1284">
      <c r="A1284" s="8" t="s">
        <v>1517</v>
      </c>
      <c r="B1284" s="8" t="s">
        <v>974</v>
      </c>
      <c r="C1284" s="18" t="s">
        <v>2558</v>
      </c>
      <c r="D1284" s="16">
        <v>74.0</v>
      </c>
    </row>
    <row r="1285">
      <c r="A1285" s="8" t="s">
        <v>1520</v>
      </c>
      <c r="B1285" s="8" t="s">
        <v>1521</v>
      </c>
      <c r="C1285" s="18" t="s">
        <v>2556</v>
      </c>
      <c r="D1285" s="16">
        <v>66.0</v>
      </c>
    </row>
    <row r="1286">
      <c r="A1286" s="8" t="s">
        <v>747</v>
      </c>
      <c r="B1286" s="8" t="s">
        <v>748</v>
      </c>
      <c r="C1286" s="18" t="s">
        <v>2593</v>
      </c>
      <c r="D1286" s="16">
        <v>73.0</v>
      </c>
    </row>
    <row r="1287">
      <c r="A1287" s="8" t="s">
        <v>747</v>
      </c>
      <c r="B1287" s="8" t="s">
        <v>263</v>
      </c>
      <c r="C1287" s="18" t="s">
        <v>2581</v>
      </c>
      <c r="D1287" s="16">
        <v>68.0</v>
      </c>
    </row>
    <row r="1288">
      <c r="A1288" s="8" t="s">
        <v>577</v>
      </c>
      <c r="B1288" s="8" t="s">
        <v>55</v>
      </c>
      <c r="C1288" s="18" t="s">
        <v>2567</v>
      </c>
      <c r="D1288" s="16">
        <v>83.0</v>
      </c>
    </row>
    <row r="1289">
      <c r="A1289" s="8" t="s">
        <v>320</v>
      </c>
      <c r="B1289" s="8" t="s">
        <v>349</v>
      </c>
      <c r="C1289" s="18" t="s">
        <v>2574</v>
      </c>
      <c r="D1289" s="16">
        <v>65.0</v>
      </c>
    </row>
    <row r="1290">
      <c r="A1290" s="8" t="s">
        <v>1518</v>
      </c>
      <c r="B1290" s="8" t="s">
        <v>1519</v>
      </c>
      <c r="C1290" s="18" t="s">
        <v>2595</v>
      </c>
      <c r="D1290" s="16">
        <v>80.0</v>
      </c>
    </row>
    <row r="1291">
      <c r="A1291" s="8" t="s">
        <v>1237</v>
      </c>
      <c r="B1291" s="8" t="s">
        <v>98</v>
      </c>
      <c r="C1291" s="18" t="s">
        <v>2605</v>
      </c>
      <c r="D1291" s="16">
        <v>75.0</v>
      </c>
    </row>
    <row r="1292">
      <c r="A1292" s="8" t="s">
        <v>1237</v>
      </c>
      <c r="B1292" s="8" t="s">
        <v>2910</v>
      </c>
      <c r="C1292" s="18" t="s">
        <v>2556</v>
      </c>
      <c r="D1292" s="16">
        <v>81.0</v>
      </c>
    </row>
    <row r="1293">
      <c r="A1293" s="8" t="s">
        <v>1237</v>
      </c>
      <c r="B1293" s="8" t="s">
        <v>2910</v>
      </c>
      <c r="C1293" s="18" t="s">
        <v>2556</v>
      </c>
      <c r="D1293" s="16">
        <v>86.0</v>
      </c>
    </row>
    <row r="1294">
      <c r="A1294" s="8" t="s">
        <v>1237</v>
      </c>
      <c r="B1294" s="8" t="s">
        <v>1522</v>
      </c>
      <c r="C1294" s="18" t="s">
        <v>2620</v>
      </c>
      <c r="D1294" s="16">
        <v>74.0</v>
      </c>
    </row>
    <row r="1295">
      <c r="A1295" s="8" t="s">
        <v>1523</v>
      </c>
      <c r="B1295" s="8" t="s">
        <v>124</v>
      </c>
      <c r="C1295" s="18" t="s">
        <v>2585</v>
      </c>
      <c r="D1295" s="16">
        <v>69.0</v>
      </c>
    </row>
    <row r="1296">
      <c r="A1296" s="8" t="s">
        <v>163</v>
      </c>
      <c r="B1296" s="8" t="s">
        <v>100</v>
      </c>
      <c r="C1296" s="18" t="s">
        <v>2598</v>
      </c>
      <c r="D1296" s="16">
        <v>86.0</v>
      </c>
    </row>
    <row r="1297">
      <c r="A1297" s="8" t="s">
        <v>163</v>
      </c>
      <c r="B1297" s="8" t="s">
        <v>749</v>
      </c>
      <c r="C1297" s="18" t="s">
        <v>2556</v>
      </c>
      <c r="D1297" s="16">
        <v>88.0</v>
      </c>
    </row>
    <row r="1298">
      <c r="A1298" s="8" t="s">
        <v>163</v>
      </c>
      <c r="B1298" s="8" t="s">
        <v>2143</v>
      </c>
      <c r="C1298" s="18" t="s">
        <v>2567</v>
      </c>
      <c r="D1298" s="16">
        <v>74.0</v>
      </c>
    </row>
    <row r="1299">
      <c r="A1299" s="8" t="s">
        <v>2911</v>
      </c>
      <c r="B1299" s="8" t="s">
        <v>822</v>
      </c>
      <c r="C1299" s="18" t="s">
        <v>2645</v>
      </c>
      <c r="D1299" s="16">
        <v>61.0</v>
      </c>
    </row>
    <row r="1300">
      <c r="A1300" s="8" t="s">
        <v>2912</v>
      </c>
      <c r="B1300" s="8" t="s">
        <v>1633</v>
      </c>
      <c r="C1300" s="18" t="s">
        <v>2603</v>
      </c>
      <c r="D1300" s="16">
        <v>77.0</v>
      </c>
    </row>
    <row r="1301">
      <c r="A1301" s="8" t="s">
        <v>2176</v>
      </c>
      <c r="B1301" s="8" t="s">
        <v>2177</v>
      </c>
      <c r="C1301" s="18" t="s">
        <v>2564</v>
      </c>
      <c r="D1301" s="16">
        <v>71.0</v>
      </c>
    </row>
    <row r="1302">
      <c r="A1302" s="8" t="s">
        <v>1885</v>
      </c>
      <c r="B1302" s="8" t="s">
        <v>349</v>
      </c>
      <c r="C1302" s="18" t="s">
        <v>2558</v>
      </c>
      <c r="D1302" s="16">
        <v>70.0</v>
      </c>
    </row>
    <row r="1303">
      <c r="A1303" s="8" t="s">
        <v>2913</v>
      </c>
      <c r="B1303" s="8" t="s">
        <v>861</v>
      </c>
      <c r="C1303" s="18" t="s">
        <v>2645</v>
      </c>
      <c r="D1303" s="16">
        <v>68.0</v>
      </c>
    </row>
    <row r="1304">
      <c r="A1304" s="8" t="s">
        <v>2914</v>
      </c>
      <c r="B1304" s="8" t="s">
        <v>307</v>
      </c>
      <c r="C1304" s="18" t="s">
        <v>2572</v>
      </c>
      <c r="D1304" s="16">
        <v>75.0</v>
      </c>
    </row>
    <row r="1305">
      <c r="A1305" s="8" t="s">
        <v>1524</v>
      </c>
      <c r="B1305" s="8" t="s">
        <v>527</v>
      </c>
      <c r="C1305" s="18" t="s">
        <v>2585</v>
      </c>
      <c r="D1305" s="16">
        <v>69.0</v>
      </c>
    </row>
    <row r="1306">
      <c r="A1306" s="8" t="s">
        <v>2915</v>
      </c>
      <c r="B1306" s="8" t="s">
        <v>194</v>
      </c>
      <c r="C1306" s="18" t="s">
        <v>2183</v>
      </c>
      <c r="D1306" s="16">
        <v>78.0</v>
      </c>
    </row>
    <row r="1307">
      <c r="A1307" s="8" t="s">
        <v>2379</v>
      </c>
      <c r="B1307" s="8" t="s">
        <v>263</v>
      </c>
      <c r="C1307" s="18" t="s">
        <v>2564</v>
      </c>
      <c r="D1307" s="16">
        <v>66.0</v>
      </c>
    </row>
    <row r="1308">
      <c r="A1308" s="8" t="s">
        <v>2179</v>
      </c>
      <c r="B1308" s="8" t="s">
        <v>301</v>
      </c>
      <c r="C1308" s="18" t="s">
        <v>2610</v>
      </c>
      <c r="D1308" s="16">
        <v>70.0</v>
      </c>
    </row>
    <row r="1309">
      <c r="A1309" s="8" t="s">
        <v>1886</v>
      </c>
      <c r="B1309" s="8" t="s">
        <v>52</v>
      </c>
      <c r="C1309" s="18" t="s">
        <v>2581</v>
      </c>
      <c r="D1309" s="16">
        <v>67.0</v>
      </c>
    </row>
    <row r="1310">
      <c r="A1310" s="8" t="s">
        <v>970</v>
      </c>
      <c r="B1310" s="8" t="s">
        <v>124</v>
      </c>
      <c r="C1310" s="18" t="s">
        <v>2562</v>
      </c>
      <c r="D1310" s="16">
        <v>73.0</v>
      </c>
    </row>
    <row r="1311">
      <c r="A1311" s="8" t="s">
        <v>971</v>
      </c>
      <c r="B1311" s="8" t="s">
        <v>275</v>
      </c>
      <c r="C1311" s="18" t="s">
        <v>2574</v>
      </c>
      <c r="D1311" s="16">
        <v>65.0</v>
      </c>
    </row>
    <row r="1312">
      <c r="A1312" s="8" t="s">
        <v>28</v>
      </c>
      <c r="B1312" s="8" t="s">
        <v>29</v>
      </c>
      <c r="C1312" s="18" t="s">
        <v>2566</v>
      </c>
      <c r="D1312" s="16">
        <v>78.0</v>
      </c>
    </row>
    <row r="1313">
      <c r="A1313" s="8" t="s">
        <v>972</v>
      </c>
      <c r="B1313" s="8" t="s">
        <v>162</v>
      </c>
      <c r="C1313" s="18" t="s">
        <v>2593</v>
      </c>
      <c r="D1313" s="16">
        <v>65.0</v>
      </c>
    </row>
    <row r="1314">
      <c r="A1314" s="8" t="s">
        <v>2916</v>
      </c>
      <c r="B1314" s="18" t="s">
        <v>920</v>
      </c>
      <c r="C1314" s="18" t="s">
        <v>2556</v>
      </c>
      <c r="D1314" s="16">
        <v>73.0</v>
      </c>
    </row>
    <row r="1315">
      <c r="A1315" s="8" t="s">
        <v>2917</v>
      </c>
      <c r="B1315" s="8" t="s">
        <v>2918</v>
      </c>
      <c r="C1315" s="18" t="s">
        <v>2620</v>
      </c>
      <c r="D1315" s="16">
        <v>70.0</v>
      </c>
    </row>
    <row r="1316">
      <c r="A1316" s="8" t="s">
        <v>2919</v>
      </c>
      <c r="B1316" s="8" t="s">
        <v>275</v>
      </c>
      <c r="C1316" s="18" t="s">
        <v>2564</v>
      </c>
      <c r="D1316" s="16">
        <v>67.0</v>
      </c>
    </row>
    <row r="1317">
      <c r="A1317" s="8" t="s">
        <v>1238</v>
      </c>
      <c r="B1317" s="8" t="s">
        <v>381</v>
      </c>
      <c r="C1317" s="18" t="s">
        <v>2614</v>
      </c>
      <c r="D1317" s="16">
        <v>76.0</v>
      </c>
    </row>
    <row r="1318">
      <c r="A1318" s="8" t="s">
        <v>1525</v>
      </c>
      <c r="B1318" s="8" t="s">
        <v>247</v>
      </c>
      <c r="C1318" s="18" t="s">
        <v>2621</v>
      </c>
      <c r="D1318" s="16">
        <v>81.0</v>
      </c>
    </row>
    <row r="1319">
      <c r="A1319" s="8" t="s">
        <v>973</v>
      </c>
      <c r="B1319" s="8" t="s">
        <v>974</v>
      </c>
      <c r="C1319" s="18" t="s">
        <v>2587</v>
      </c>
      <c r="D1319" s="16">
        <v>70.0</v>
      </c>
    </row>
    <row r="1320">
      <c r="A1320" s="8" t="s">
        <v>1239</v>
      </c>
      <c r="B1320" s="8" t="s">
        <v>1240</v>
      </c>
      <c r="C1320" s="18" t="s">
        <v>2592</v>
      </c>
      <c r="D1320" s="16">
        <v>81.0</v>
      </c>
    </row>
    <row r="1321">
      <c r="A1321" s="8" t="s">
        <v>2007</v>
      </c>
      <c r="B1321" s="8" t="s">
        <v>436</v>
      </c>
      <c r="C1321" s="18" t="s">
        <v>2554</v>
      </c>
      <c r="D1321" s="16">
        <v>65.0</v>
      </c>
    </row>
    <row r="1322">
      <c r="A1322" s="8" t="s">
        <v>975</v>
      </c>
      <c r="B1322" s="8" t="s">
        <v>976</v>
      </c>
      <c r="C1322" s="18" t="s">
        <v>2585</v>
      </c>
      <c r="D1322" s="16">
        <v>66.0</v>
      </c>
    </row>
    <row r="1323">
      <c r="A1323" s="8" t="s">
        <v>405</v>
      </c>
      <c r="B1323" s="8" t="s">
        <v>121</v>
      </c>
      <c r="C1323" s="18" t="s">
        <v>2620</v>
      </c>
      <c r="D1323" s="16">
        <v>77.0</v>
      </c>
    </row>
    <row r="1324">
      <c r="A1324" s="8" t="s">
        <v>405</v>
      </c>
      <c r="B1324" s="8" t="s">
        <v>121</v>
      </c>
      <c r="C1324" s="18" t="s">
        <v>2603</v>
      </c>
      <c r="D1324" s="16">
        <v>76.0</v>
      </c>
    </row>
    <row r="1325">
      <c r="A1325" s="8" t="s">
        <v>405</v>
      </c>
      <c r="B1325" s="8" t="s">
        <v>1210</v>
      </c>
      <c r="C1325" s="18" t="s">
        <v>2582</v>
      </c>
      <c r="D1325" s="16">
        <v>65.0</v>
      </c>
    </row>
    <row r="1326">
      <c r="A1326" s="8" t="s">
        <v>405</v>
      </c>
      <c r="B1326" s="8" t="s">
        <v>782</v>
      </c>
      <c r="C1326" s="18" t="s">
        <v>2582</v>
      </c>
      <c r="D1326" s="16">
        <v>69.0</v>
      </c>
    </row>
    <row r="1327">
      <c r="A1327" s="8" t="s">
        <v>396</v>
      </c>
      <c r="B1327" s="8" t="s">
        <v>397</v>
      </c>
      <c r="C1327" s="18" t="s">
        <v>2556</v>
      </c>
      <c r="D1327" s="16">
        <v>78.0</v>
      </c>
    </row>
    <row r="1328">
      <c r="A1328" s="8" t="s">
        <v>396</v>
      </c>
      <c r="B1328" s="8" t="s">
        <v>724</v>
      </c>
      <c r="C1328" s="18" t="s">
        <v>2589</v>
      </c>
      <c r="D1328" s="16">
        <v>62.0</v>
      </c>
    </row>
    <row r="1329">
      <c r="A1329" s="8" t="s">
        <v>396</v>
      </c>
      <c r="B1329" s="8" t="s">
        <v>1479</v>
      </c>
      <c r="C1329" s="18" t="s">
        <v>2603</v>
      </c>
      <c r="D1329" s="16">
        <v>65.0</v>
      </c>
    </row>
    <row r="1330">
      <c r="A1330" s="8" t="s">
        <v>396</v>
      </c>
      <c r="B1330" s="8" t="s">
        <v>301</v>
      </c>
      <c r="C1330" s="18" t="s">
        <v>2560</v>
      </c>
      <c r="D1330" s="16">
        <v>74.0</v>
      </c>
    </row>
    <row r="1331">
      <c r="A1331" s="8" t="s">
        <v>396</v>
      </c>
      <c r="B1331" s="8" t="s">
        <v>281</v>
      </c>
      <c r="C1331" s="18" t="s">
        <v>2566</v>
      </c>
      <c r="D1331" s="16">
        <v>75.0</v>
      </c>
    </row>
    <row r="1332">
      <c r="A1332" s="8" t="s">
        <v>396</v>
      </c>
      <c r="B1332" s="8" t="s">
        <v>247</v>
      </c>
      <c r="C1332" s="18" t="s">
        <v>2614</v>
      </c>
      <c r="D1332" s="16">
        <v>68.0</v>
      </c>
    </row>
    <row r="1333">
      <c r="A1333" s="8" t="s">
        <v>396</v>
      </c>
      <c r="B1333" s="8" t="s">
        <v>231</v>
      </c>
      <c r="C1333" s="18" t="s">
        <v>2562</v>
      </c>
      <c r="D1333" s="16">
        <v>76.0</v>
      </c>
    </row>
    <row r="1334">
      <c r="A1334" s="8" t="s">
        <v>396</v>
      </c>
      <c r="B1334" s="8" t="s">
        <v>41</v>
      </c>
      <c r="C1334" s="18" t="s">
        <v>2554</v>
      </c>
      <c r="D1334" s="16">
        <v>82.0</v>
      </c>
    </row>
    <row r="1335">
      <c r="A1335" s="8" t="s">
        <v>396</v>
      </c>
      <c r="B1335" s="8" t="s">
        <v>750</v>
      </c>
      <c r="C1335" s="18" t="s">
        <v>2614</v>
      </c>
      <c r="D1335" s="16">
        <v>88.0</v>
      </c>
    </row>
    <row r="1336">
      <c r="A1336" s="8" t="s">
        <v>2920</v>
      </c>
      <c r="B1336" s="8" t="s">
        <v>1091</v>
      </c>
      <c r="C1336" s="18" t="s">
        <v>2567</v>
      </c>
      <c r="D1336" s="16">
        <v>66.0</v>
      </c>
    </row>
    <row r="1337">
      <c r="A1337" s="8" t="s">
        <v>1526</v>
      </c>
      <c r="B1337" s="8" t="s">
        <v>647</v>
      </c>
      <c r="C1337" s="18" t="s">
        <v>2558</v>
      </c>
      <c r="D1337" s="16">
        <v>79.0</v>
      </c>
    </row>
    <row r="1338">
      <c r="A1338" s="8" t="s">
        <v>2921</v>
      </c>
      <c r="B1338" s="8" t="s">
        <v>2922</v>
      </c>
      <c r="C1338" s="18" t="s">
        <v>2592</v>
      </c>
      <c r="D1338" s="16">
        <v>67.0</v>
      </c>
    </row>
    <row r="1339">
      <c r="A1339" s="8" t="s">
        <v>1242</v>
      </c>
      <c r="B1339" s="8" t="s">
        <v>676</v>
      </c>
      <c r="C1339" s="18" t="s">
        <v>2621</v>
      </c>
      <c r="D1339" s="16">
        <v>64.0</v>
      </c>
    </row>
    <row r="1340">
      <c r="A1340" s="8" t="s">
        <v>111</v>
      </c>
      <c r="B1340" s="8" t="s">
        <v>1241</v>
      </c>
      <c r="C1340" s="18" t="s">
        <v>2600</v>
      </c>
      <c r="D1340" s="16">
        <v>82.0</v>
      </c>
    </row>
    <row r="1341">
      <c r="A1341" s="8" t="s">
        <v>398</v>
      </c>
      <c r="B1341" s="8" t="s">
        <v>399</v>
      </c>
      <c r="C1341" s="18" t="s">
        <v>2605</v>
      </c>
      <c r="D1341" s="16">
        <v>76.0</v>
      </c>
    </row>
    <row r="1342">
      <c r="A1342" s="8" t="s">
        <v>1243</v>
      </c>
      <c r="B1342" s="8" t="s">
        <v>676</v>
      </c>
      <c r="C1342" s="18" t="s">
        <v>2577</v>
      </c>
      <c r="D1342" s="16">
        <v>68.0</v>
      </c>
    </row>
    <row r="1343">
      <c r="A1343" s="8" t="s">
        <v>977</v>
      </c>
      <c r="B1343" s="8" t="s">
        <v>978</v>
      </c>
      <c r="C1343" s="18" t="s">
        <v>2562</v>
      </c>
      <c r="D1343" s="16">
        <v>86.0</v>
      </c>
    </row>
    <row r="1344">
      <c r="A1344" s="8" t="s">
        <v>164</v>
      </c>
      <c r="B1344" s="8" t="s">
        <v>165</v>
      </c>
      <c r="C1344" s="18" t="s">
        <v>2558</v>
      </c>
      <c r="D1344" s="16">
        <v>83.0</v>
      </c>
    </row>
    <row r="1345">
      <c r="A1345" s="8" t="s">
        <v>164</v>
      </c>
      <c r="B1345" s="8" t="s">
        <v>299</v>
      </c>
      <c r="C1345" s="18" t="s">
        <v>2598</v>
      </c>
      <c r="D1345" s="16">
        <v>80.0</v>
      </c>
    </row>
    <row r="1346">
      <c r="A1346" s="8" t="s">
        <v>164</v>
      </c>
      <c r="B1346" s="8" t="s">
        <v>263</v>
      </c>
      <c r="C1346" s="18" t="s">
        <v>2600</v>
      </c>
      <c r="D1346" s="16">
        <v>76.0</v>
      </c>
    </row>
    <row r="1347">
      <c r="A1347" s="8" t="s">
        <v>164</v>
      </c>
      <c r="B1347" s="8" t="s">
        <v>2923</v>
      </c>
      <c r="C1347" s="18" t="s">
        <v>2621</v>
      </c>
      <c r="D1347" s="16">
        <v>80.0</v>
      </c>
    </row>
    <row r="1348">
      <c r="A1348" s="8" t="s">
        <v>2924</v>
      </c>
      <c r="B1348" s="8" t="s">
        <v>900</v>
      </c>
      <c r="C1348" s="18" t="s">
        <v>2645</v>
      </c>
      <c r="D1348" s="16">
        <v>68.0</v>
      </c>
    </row>
    <row r="1349">
      <c r="A1349" s="8" t="s">
        <v>2925</v>
      </c>
      <c r="B1349" s="8" t="s">
        <v>58</v>
      </c>
      <c r="C1349" s="18" t="s">
        <v>2560</v>
      </c>
      <c r="D1349" s="16">
        <v>71.0</v>
      </c>
    </row>
    <row r="1350">
      <c r="A1350" s="8" t="s">
        <v>1244</v>
      </c>
      <c r="B1350" s="8" t="s">
        <v>1245</v>
      </c>
      <c r="C1350" s="18" t="s">
        <v>2595</v>
      </c>
      <c r="D1350" s="16">
        <v>64.0</v>
      </c>
    </row>
    <row r="1351">
      <c r="A1351" s="8" t="s">
        <v>751</v>
      </c>
      <c r="B1351" s="8" t="s">
        <v>301</v>
      </c>
      <c r="C1351" s="18" t="s">
        <v>2566</v>
      </c>
      <c r="D1351" s="16">
        <v>65.0</v>
      </c>
    </row>
    <row r="1352">
      <c r="A1352" s="8" t="s">
        <v>2926</v>
      </c>
      <c r="B1352" s="8" t="s">
        <v>1210</v>
      </c>
      <c r="C1352" s="18" t="s">
        <v>2603</v>
      </c>
      <c r="D1352" s="16">
        <v>74.0</v>
      </c>
    </row>
    <row r="1353">
      <c r="A1353" s="8" t="s">
        <v>1246</v>
      </c>
      <c r="B1353" s="8" t="s">
        <v>247</v>
      </c>
      <c r="C1353" s="18" t="s">
        <v>2560</v>
      </c>
      <c r="D1353" s="16">
        <v>75.0</v>
      </c>
    </row>
    <row r="1354">
      <c r="A1354" s="8" t="s">
        <v>1890</v>
      </c>
      <c r="B1354" s="8" t="s">
        <v>1891</v>
      </c>
      <c r="C1354" s="18" t="s">
        <v>2615</v>
      </c>
      <c r="D1354" s="16">
        <v>79.0</v>
      </c>
    </row>
    <row r="1355">
      <c r="A1355" s="8" t="s">
        <v>1890</v>
      </c>
      <c r="B1355" s="8" t="s">
        <v>1891</v>
      </c>
      <c r="C1355" s="18" t="s">
        <v>2615</v>
      </c>
      <c r="D1355" s="16">
        <v>87.0</v>
      </c>
    </row>
    <row r="1356">
      <c r="A1356" s="8" t="s">
        <v>752</v>
      </c>
      <c r="B1356" s="8" t="s">
        <v>619</v>
      </c>
      <c r="C1356" s="18" t="s">
        <v>2575</v>
      </c>
      <c r="D1356" s="16">
        <v>70.0</v>
      </c>
    </row>
    <row r="1357">
      <c r="A1357" s="8" t="s">
        <v>1247</v>
      </c>
      <c r="B1357" s="8" t="s">
        <v>506</v>
      </c>
      <c r="C1357" s="18" t="s">
        <v>2574</v>
      </c>
      <c r="D1357" s="16">
        <v>71.0</v>
      </c>
    </row>
    <row r="1358">
      <c r="A1358" s="8" t="s">
        <v>753</v>
      </c>
      <c r="B1358" s="8" t="s">
        <v>754</v>
      </c>
      <c r="C1358" s="18" t="s">
        <v>2589</v>
      </c>
      <c r="D1358" s="16">
        <v>70.0</v>
      </c>
    </row>
    <row r="1359">
      <c r="A1359" s="8" t="s">
        <v>2927</v>
      </c>
      <c r="B1359" s="8" t="s">
        <v>1096</v>
      </c>
      <c r="C1359" s="18" t="s">
        <v>2558</v>
      </c>
      <c r="D1359" s="16">
        <v>67.0</v>
      </c>
    </row>
    <row r="1360">
      <c r="A1360" s="8" t="s">
        <v>2182</v>
      </c>
      <c r="B1360" s="8" t="s">
        <v>726</v>
      </c>
      <c r="C1360" s="18" t="s">
        <v>2574</v>
      </c>
      <c r="D1360" s="16">
        <v>82.0</v>
      </c>
    </row>
    <row r="1361">
      <c r="A1361" s="8" t="s">
        <v>2182</v>
      </c>
      <c r="B1361" s="8" t="s">
        <v>922</v>
      </c>
      <c r="C1361" s="18" t="s">
        <v>2585</v>
      </c>
      <c r="D1361" s="16">
        <v>66.0</v>
      </c>
    </row>
    <row r="1362">
      <c r="A1362" s="8" t="s">
        <v>1250</v>
      </c>
      <c r="B1362" s="8" t="s">
        <v>399</v>
      </c>
      <c r="C1362" s="18" t="s">
        <v>2581</v>
      </c>
      <c r="D1362" s="16">
        <v>77.0</v>
      </c>
    </row>
    <row r="1363">
      <c r="A1363" s="8" t="s">
        <v>755</v>
      </c>
      <c r="B1363" s="18" t="s">
        <v>269</v>
      </c>
      <c r="C1363" s="18" t="s">
        <v>2587</v>
      </c>
      <c r="D1363" s="16">
        <v>75.0</v>
      </c>
    </row>
    <row r="1364">
      <c r="A1364" s="8" t="s">
        <v>2928</v>
      </c>
      <c r="B1364" s="8" t="s">
        <v>1064</v>
      </c>
      <c r="C1364" s="18" t="s">
        <v>2575</v>
      </c>
      <c r="D1364" s="16">
        <v>73.0</v>
      </c>
    </row>
    <row r="1365">
      <c r="A1365" s="8" t="s">
        <v>2380</v>
      </c>
      <c r="B1365" s="8" t="s">
        <v>642</v>
      </c>
      <c r="C1365" s="18" t="s">
        <v>2587</v>
      </c>
      <c r="D1365" s="16">
        <v>68.0</v>
      </c>
    </row>
    <row r="1366">
      <c r="A1366" s="8" t="s">
        <v>2929</v>
      </c>
      <c r="B1366" s="8" t="s">
        <v>2726</v>
      </c>
      <c r="C1366" s="18" t="s">
        <v>2554</v>
      </c>
      <c r="D1366" s="16">
        <v>63.0</v>
      </c>
    </row>
    <row r="1367">
      <c r="A1367" s="8" t="s">
        <v>216</v>
      </c>
      <c r="B1367" s="8" t="s">
        <v>217</v>
      </c>
      <c r="C1367" s="18" t="s">
        <v>2600</v>
      </c>
      <c r="D1367" s="16">
        <v>84.0</v>
      </c>
    </row>
    <row r="1368">
      <c r="A1368" s="8" t="s">
        <v>216</v>
      </c>
      <c r="B1368" s="8" t="s">
        <v>45</v>
      </c>
      <c r="C1368" s="18" t="s">
        <v>2600</v>
      </c>
      <c r="D1368" s="16">
        <v>84.0</v>
      </c>
    </row>
    <row r="1369">
      <c r="A1369" s="8" t="s">
        <v>2930</v>
      </c>
      <c r="B1369" s="8" t="s">
        <v>301</v>
      </c>
      <c r="C1369" s="18" t="s">
        <v>2560</v>
      </c>
      <c r="D1369" s="16">
        <v>77.0</v>
      </c>
    </row>
    <row r="1370">
      <c r="A1370" s="8" t="s">
        <v>2930</v>
      </c>
      <c r="B1370" s="8" t="s">
        <v>301</v>
      </c>
      <c r="C1370" s="18" t="s">
        <v>2560</v>
      </c>
      <c r="D1370" s="16">
        <v>85.0</v>
      </c>
    </row>
    <row r="1371">
      <c r="A1371" s="8" t="s">
        <v>218</v>
      </c>
      <c r="B1371" s="8" t="s">
        <v>219</v>
      </c>
      <c r="C1371" s="18" t="s">
        <v>2582</v>
      </c>
      <c r="D1371" s="16">
        <v>69.0</v>
      </c>
    </row>
    <row r="1372">
      <c r="A1372" s="8" t="s">
        <v>218</v>
      </c>
      <c r="B1372" s="8" t="s">
        <v>294</v>
      </c>
      <c r="C1372" s="18" t="s">
        <v>2592</v>
      </c>
      <c r="D1372" s="16">
        <v>86.0</v>
      </c>
    </row>
    <row r="1373">
      <c r="A1373" s="8" t="s">
        <v>218</v>
      </c>
      <c r="B1373" s="8" t="s">
        <v>295</v>
      </c>
      <c r="C1373" s="18" t="s">
        <v>2587</v>
      </c>
      <c r="D1373" s="16">
        <v>83.0</v>
      </c>
    </row>
    <row r="1374">
      <c r="A1374" s="8" t="s">
        <v>579</v>
      </c>
      <c r="B1374" s="8" t="s">
        <v>381</v>
      </c>
      <c r="C1374" s="18" t="s">
        <v>2558</v>
      </c>
      <c r="D1374" s="16">
        <v>70.0</v>
      </c>
    </row>
    <row r="1375">
      <c r="A1375" s="8" t="s">
        <v>579</v>
      </c>
      <c r="B1375" s="8" t="s">
        <v>2931</v>
      </c>
      <c r="C1375" s="18" t="s">
        <v>2587</v>
      </c>
      <c r="D1375" s="16">
        <v>72.0</v>
      </c>
    </row>
    <row r="1376">
      <c r="A1376" s="8" t="s">
        <v>579</v>
      </c>
      <c r="B1376" s="8" t="s">
        <v>580</v>
      </c>
      <c r="C1376" s="18" t="s">
        <v>2584</v>
      </c>
      <c r="D1376" s="16">
        <v>69.0</v>
      </c>
    </row>
    <row r="1377">
      <c r="A1377" s="8" t="s">
        <v>2932</v>
      </c>
      <c r="B1377" s="18" t="s">
        <v>512</v>
      </c>
      <c r="C1377" s="18" t="s">
        <v>2587</v>
      </c>
      <c r="D1377" s="16">
        <v>70.0</v>
      </c>
    </row>
    <row r="1378">
      <c r="A1378" s="8" t="s">
        <v>979</v>
      </c>
      <c r="B1378" s="8" t="s">
        <v>197</v>
      </c>
      <c r="C1378" s="18" t="s">
        <v>2577</v>
      </c>
      <c r="D1378" s="16">
        <v>69.0</v>
      </c>
    </row>
    <row r="1379">
      <c r="A1379" s="8" t="s">
        <v>582</v>
      </c>
      <c r="B1379" s="8" t="s">
        <v>2933</v>
      </c>
      <c r="C1379" s="18" t="s">
        <v>2620</v>
      </c>
      <c r="D1379" s="16">
        <v>72.0</v>
      </c>
    </row>
    <row r="1380">
      <c r="A1380" s="8" t="s">
        <v>582</v>
      </c>
      <c r="B1380" s="8" t="s">
        <v>2450</v>
      </c>
      <c r="C1380" s="18" t="s">
        <v>2556</v>
      </c>
      <c r="D1380" s="16">
        <v>72.0</v>
      </c>
    </row>
    <row r="1381">
      <c r="A1381" s="8" t="s">
        <v>582</v>
      </c>
      <c r="B1381" s="8" t="s">
        <v>583</v>
      </c>
      <c r="C1381" s="18" t="s">
        <v>2577</v>
      </c>
      <c r="D1381" s="16">
        <v>77.0</v>
      </c>
    </row>
    <row r="1382">
      <c r="A1382" s="8" t="s">
        <v>2934</v>
      </c>
      <c r="B1382" s="18" t="s">
        <v>491</v>
      </c>
      <c r="C1382" s="18" t="s">
        <v>2581</v>
      </c>
      <c r="D1382" s="16">
        <v>73.0</v>
      </c>
    </row>
    <row r="1383">
      <c r="A1383" s="8" t="s">
        <v>756</v>
      </c>
      <c r="B1383" s="8" t="s">
        <v>436</v>
      </c>
      <c r="C1383" s="18" t="s">
        <v>2603</v>
      </c>
      <c r="D1383" s="16">
        <v>76.0</v>
      </c>
    </row>
    <row r="1384">
      <c r="A1384" s="8" t="s">
        <v>2935</v>
      </c>
      <c r="B1384" s="8" t="s">
        <v>549</v>
      </c>
      <c r="C1384" s="18" t="s">
        <v>2603</v>
      </c>
      <c r="D1384" s="16">
        <v>76.0</v>
      </c>
    </row>
    <row r="1385">
      <c r="A1385" s="8" t="s">
        <v>2936</v>
      </c>
      <c r="B1385" s="8" t="s">
        <v>1803</v>
      </c>
      <c r="C1385" s="18" t="s">
        <v>2603</v>
      </c>
      <c r="D1385" s="16">
        <v>70.0</v>
      </c>
    </row>
    <row r="1386">
      <c r="A1386" s="8" t="s">
        <v>2937</v>
      </c>
      <c r="B1386" s="8" t="s">
        <v>2151</v>
      </c>
      <c r="C1386" s="18" t="s">
        <v>2598</v>
      </c>
      <c r="D1386" s="16">
        <v>69.0</v>
      </c>
    </row>
    <row r="1387">
      <c r="A1387" s="8" t="s">
        <v>2938</v>
      </c>
      <c r="B1387" s="8" t="s">
        <v>299</v>
      </c>
      <c r="C1387" s="18" t="s">
        <v>2577</v>
      </c>
      <c r="D1387" s="16">
        <v>63.0</v>
      </c>
    </row>
    <row r="1388">
      <c r="A1388" s="8" t="s">
        <v>2938</v>
      </c>
      <c r="B1388" s="8" t="s">
        <v>2739</v>
      </c>
      <c r="C1388" s="18" t="s">
        <v>2582</v>
      </c>
      <c r="D1388" s="16">
        <v>71.0</v>
      </c>
    </row>
    <row r="1389">
      <c r="A1389" s="8" t="s">
        <v>1252</v>
      </c>
      <c r="B1389" s="18" t="s">
        <v>540</v>
      </c>
      <c r="C1389" s="18" t="s">
        <v>2183</v>
      </c>
      <c r="D1389" s="16">
        <v>74.0</v>
      </c>
    </row>
    <row r="1390">
      <c r="A1390" s="8" t="s">
        <v>1894</v>
      </c>
      <c r="B1390" s="8" t="s">
        <v>183</v>
      </c>
      <c r="C1390" s="18" t="s">
        <v>2585</v>
      </c>
      <c r="D1390" s="16">
        <v>79.0</v>
      </c>
    </row>
    <row r="1391">
      <c r="A1391" s="8" t="s">
        <v>2184</v>
      </c>
      <c r="B1391" s="8" t="s">
        <v>100</v>
      </c>
      <c r="C1391" s="18" t="s">
        <v>2603</v>
      </c>
      <c r="D1391" s="16">
        <v>65.0</v>
      </c>
    </row>
    <row r="1392">
      <c r="A1392" s="8" t="s">
        <v>1253</v>
      </c>
      <c r="B1392" s="8" t="s">
        <v>1131</v>
      </c>
      <c r="C1392" s="18" t="s">
        <v>2620</v>
      </c>
      <c r="D1392" s="16">
        <v>71.0</v>
      </c>
    </row>
    <row r="1393">
      <c r="A1393" s="8" t="s">
        <v>2939</v>
      </c>
      <c r="B1393" s="8" t="s">
        <v>162</v>
      </c>
      <c r="C1393" s="18" t="s">
        <v>2554</v>
      </c>
      <c r="D1393" s="16">
        <v>70.0</v>
      </c>
    </row>
    <row r="1394">
      <c r="A1394" s="8" t="s">
        <v>1527</v>
      </c>
      <c r="B1394" s="8" t="s">
        <v>1528</v>
      </c>
      <c r="C1394" s="18" t="s">
        <v>2560</v>
      </c>
      <c r="D1394" s="16">
        <v>74.0</v>
      </c>
    </row>
    <row r="1395">
      <c r="A1395" s="8" t="s">
        <v>2185</v>
      </c>
      <c r="B1395" s="8" t="s">
        <v>1941</v>
      </c>
      <c r="C1395" s="18" t="s">
        <v>2566</v>
      </c>
      <c r="D1395" s="16">
        <v>67.0</v>
      </c>
    </row>
    <row r="1396">
      <c r="A1396" s="8" t="s">
        <v>2940</v>
      </c>
      <c r="B1396" s="8" t="s">
        <v>2941</v>
      </c>
      <c r="C1396" s="18" t="s">
        <v>2645</v>
      </c>
      <c r="D1396" s="16">
        <v>65.0</v>
      </c>
    </row>
    <row r="1397">
      <c r="A1397" s="8" t="s">
        <v>1895</v>
      </c>
      <c r="B1397" s="8" t="s">
        <v>948</v>
      </c>
      <c r="C1397" s="18" t="s">
        <v>2620</v>
      </c>
      <c r="D1397" s="16">
        <v>69.0</v>
      </c>
    </row>
    <row r="1398">
      <c r="A1398" s="8" t="s">
        <v>1895</v>
      </c>
      <c r="B1398" s="8" t="s">
        <v>2381</v>
      </c>
      <c r="C1398" s="18" t="s">
        <v>2183</v>
      </c>
      <c r="D1398" s="16">
        <v>66.0</v>
      </c>
    </row>
    <row r="1399">
      <c r="A1399" s="8" t="s">
        <v>2186</v>
      </c>
      <c r="B1399" s="8" t="s">
        <v>2187</v>
      </c>
      <c r="C1399" s="18" t="s">
        <v>2598</v>
      </c>
      <c r="D1399" s="16">
        <v>77.0</v>
      </c>
    </row>
    <row r="1400">
      <c r="A1400" s="8" t="s">
        <v>1254</v>
      </c>
      <c r="B1400" s="8" t="s">
        <v>1255</v>
      </c>
      <c r="C1400" s="18" t="s">
        <v>2562</v>
      </c>
      <c r="D1400" s="16">
        <v>78.0</v>
      </c>
    </row>
    <row r="1401">
      <c r="A1401" s="8" t="s">
        <v>980</v>
      </c>
      <c r="B1401" s="8" t="s">
        <v>981</v>
      </c>
      <c r="C1401" s="18" t="s">
        <v>2585</v>
      </c>
      <c r="D1401" s="16">
        <v>79.0</v>
      </c>
    </row>
    <row r="1402">
      <c r="A1402" s="8" t="s">
        <v>1258</v>
      </c>
      <c r="B1402" s="18" t="s">
        <v>1259</v>
      </c>
      <c r="C1402" s="18" t="s">
        <v>2603</v>
      </c>
      <c r="D1402" s="16">
        <v>73.0</v>
      </c>
    </row>
    <row r="1403">
      <c r="A1403" s="8" t="s">
        <v>166</v>
      </c>
      <c r="B1403" s="8" t="s">
        <v>167</v>
      </c>
      <c r="C1403" s="18" t="s">
        <v>2560</v>
      </c>
      <c r="D1403" s="16">
        <v>79.0</v>
      </c>
    </row>
    <row r="1404">
      <c r="A1404" s="8" t="s">
        <v>2942</v>
      </c>
      <c r="B1404" s="8" t="s">
        <v>383</v>
      </c>
      <c r="C1404" s="18" t="s">
        <v>2564</v>
      </c>
      <c r="D1404" s="16">
        <v>79.0</v>
      </c>
    </row>
    <row r="1405">
      <c r="A1405" s="8" t="s">
        <v>296</v>
      </c>
      <c r="B1405" s="8" t="s">
        <v>297</v>
      </c>
      <c r="C1405" s="18" t="s">
        <v>2605</v>
      </c>
      <c r="D1405" s="16">
        <v>67.0</v>
      </c>
    </row>
    <row r="1406">
      <c r="A1406" s="8" t="s">
        <v>757</v>
      </c>
      <c r="B1406" s="8" t="s">
        <v>121</v>
      </c>
      <c r="C1406" s="18" t="s">
        <v>2620</v>
      </c>
      <c r="D1406" s="16">
        <v>84.0</v>
      </c>
    </row>
    <row r="1407">
      <c r="A1407" s="8" t="s">
        <v>2188</v>
      </c>
      <c r="B1407" s="8" t="s">
        <v>2189</v>
      </c>
      <c r="C1407" s="18" t="s">
        <v>2581</v>
      </c>
      <c r="D1407" s="16">
        <v>78.0</v>
      </c>
    </row>
    <row r="1408">
      <c r="A1408" s="8" t="s">
        <v>2190</v>
      </c>
      <c r="B1408" s="8" t="s">
        <v>822</v>
      </c>
      <c r="C1408" s="18" t="s">
        <v>2585</v>
      </c>
      <c r="D1408" s="16">
        <v>69.0</v>
      </c>
    </row>
    <row r="1409">
      <c r="A1409" s="8" t="s">
        <v>400</v>
      </c>
      <c r="B1409" s="8" t="s">
        <v>401</v>
      </c>
      <c r="C1409" s="18" t="s">
        <v>2582</v>
      </c>
      <c r="D1409" s="16">
        <v>81.0</v>
      </c>
    </row>
    <row r="1410">
      <c r="A1410" s="8" t="s">
        <v>2943</v>
      </c>
      <c r="B1410" s="8" t="s">
        <v>2151</v>
      </c>
      <c r="C1410" s="18" t="s">
        <v>2183</v>
      </c>
      <c r="D1410" s="16">
        <v>67.0</v>
      </c>
    </row>
    <row r="1411">
      <c r="A1411" s="8" t="s">
        <v>1260</v>
      </c>
      <c r="B1411" s="8" t="s">
        <v>140</v>
      </c>
      <c r="C1411" s="18" t="s">
        <v>2610</v>
      </c>
      <c r="D1411" s="16">
        <v>65.0</v>
      </c>
    </row>
    <row r="1412">
      <c r="A1412" s="8" t="s">
        <v>1896</v>
      </c>
      <c r="B1412" s="8" t="s">
        <v>1897</v>
      </c>
      <c r="C1412" s="18" t="s">
        <v>2581</v>
      </c>
      <c r="D1412" s="16">
        <v>64.0</v>
      </c>
    </row>
    <row r="1413">
      <c r="A1413" s="8" t="s">
        <v>758</v>
      </c>
      <c r="B1413" s="8" t="s">
        <v>759</v>
      </c>
      <c r="C1413" s="18" t="s">
        <v>2564</v>
      </c>
      <c r="D1413" s="16">
        <v>66.0</v>
      </c>
    </row>
    <row r="1414">
      <c r="A1414" s="8" t="s">
        <v>120</v>
      </c>
      <c r="B1414" s="8" t="s">
        <v>121</v>
      </c>
      <c r="C1414" s="18" t="s">
        <v>2572</v>
      </c>
      <c r="D1414" s="16">
        <v>74.0</v>
      </c>
    </row>
    <row r="1415">
      <c r="A1415" s="8" t="s">
        <v>760</v>
      </c>
      <c r="B1415" s="8" t="s">
        <v>499</v>
      </c>
      <c r="C1415" s="18" t="s">
        <v>2615</v>
      </c>
      <c r="D1415" s="16">
        <v>72.0</v>
      </c>
    </row>
    <row r="1416">
      <c r="A1416" s="8" t="s">
        <v>1529</v>
      </c>
      <c r="B1416" s="8" t="s">
        <v>1530</v>
      </c>
      <c r="C1416" s="18" t="s">
        <v>2556</v>
      </c>
      <c r="D1416" s="16">
        <v>74.0</v>
      </c>
    </row>
    <row r="1417">
      <c r="A1417" s="8" t="s">
        <v>385</v>
      </c>
      <c r="B1417" s="8" t="s">
        <v>585</v>
      </c>
      <c r="C1417" s="18" t="s">
        <v>2556</v>
      </c>
      <c r="D1417" s="16">
        <v>83.0</v>
      </c>
    </row>
    <row r="1418">
      <c r="A1418" s="8" t="s">
        <v>586</v>
      </c>
      <c r="B1418" s="8" t="s">
        <v>587</v>
      </c>
      <c r="C1418" s="18" t="s">
        <v>2562</v>
      </c>
      <c r="D1418" s="16">
        <v>82.0</v>
      </c>
    </row>
    <row r="1419">
      <c r="A1419" s="8" t="s">
        <v>586</v>
      </c>
      <c r="B1419" s="8" t="s">
        <v>587</v>
      </c>
      <c r="C1419" s="18" t="s">
        <v>2562</v>
      </c>
      <c r="D1419" s="16">
        <v>87.0</v>
      </c>
    </row>
    <row r="1420">
      <c r="A1420" s="8" t="s">
        <v>1261</v>
      </c>
      <c r="B1420" s="8" t="s">
        <v>52</v>
      </c>
      <c r="C1420" s="18" t="s">
        <v>2595</v>
      </c>
      <c r="D1420" s="16">
        <v>80.0</v>
      </c>
    </row>
    <row r="1421">
      <c r="A1421" s="8" t="s">
        <v>2944</v>
      </c>
      <c r="B1421" s="8" t="s">
        <v>360</v>
      </c>
      <c r="C1421" s="18" t="s">
        <v>2567</v>
      </c>
      <c r="D1421" s="16">
        <v>77.0</v>
      </c>
    </row>
    <row r="1422">
      <c r="A1422" s="8" t="s">
        <v>137</v>
      </c>
      <c r="B1422" s="8" t="s">
        <v>2945</v>
      </c>
      <c r="C1422" s="18" t="s">
        <v>2567</v>
      </c>
      <c r="D1422" s="16">
        <v>70.0</v>
      </c>
    </row>
    <row r="1423">
      <c r="A1423" s="8" t="s">
        <v>1900</v>
      </c>
      <c r="B1423" s="8" t="s">
        <v>1901</v>
      </c>
      <c r="C1423" s="18" t="s">
        <v>2600</v>
      </c>
      <c r="D1423" s="16">
        <v>77.0</v>
      </c>
    </row>
    <row r="1424">
      <c r="A1424" s="8" t="s">
        <v>2946</v>
      </c>
      <c r="B1424" s="8" t="s">
        <v>2947</v>
      </c>
      <c r="C1424" s="18" t="s">
        <v>2584</v>
      </c>
      <c r="D1424" s="16">
        <v>69.0</v>
      </c>
    </row>
    <row r="1425">
      <c r="A1425" s="8" t="s">
        <v>1531</v>
      </c>
      <c r="B1425" s="8" t="s">
        <v>397</v>
      </c>
      <c r="C1425" s="18" t="s">
        <v>2560</v>
      </c>
      <c r="D1425" s="16">
        <v>63.0</v>
      </c>
    </row>
    <row r="1426">
      <c r="A1426" s="8" t="s">
        <v>982</v>
      </c>
      <c r="B1426" s="8" t="s">
        <v>157</v>
      </c>
      <c r="C1426" s="18" t="s">
        <v>2554</v>
      </c>
      <c r="D1426" s="16">
        <v>70.0</v>
      </c>
    </row>
    <row r="1427">
      <c r="A1427" s="8" t="s">
        <v>1532</v>
      </c>
      <c r="B1427" s="8" t="s">
        <v>33</v>
      </c>
      <c r="C1427" s="18" t="s">
        <v>2587</v>
      </c>
      <c r="D1427" s="16">
        <v>73.0</v>
      </c>
    </row>
    <row r="1428">
      <c r="A1428" s="8" t="s">
        <v>1219</v>
      </c>
      <c r="B1428" s="8" t="s">
        <v>2948</v>
      </c>
      <c r="C1428" s="18" t="s">
        <v>2560</v>
      </c>
      <c r="D1428" s="16">
        <v>72.0</v>
      </c>
    </row>
    <row r="1429">
      <c r="A1429" s="8" t="s">
        <v>402</v>
      </c>
      <c r="B1429" s="8" t="s">
        <v>212</v>
      </c>
      <c r="C1429" s="18" t="s">
        <v>2605</v>
      </c>
      <c r="D1429" s="16">
        <v>76.0</v>
      </c>
    </row>
    <row r="1430">
      <c r="A1430" s="8" t="s">
        <v>402</v>
      </c>
      <c r="B1430" s="8" t="s">
        <v>1262</v>
      </c>
      <c r="C1430" s="18" t="s">
        <v>2562</v>
      </c>
      <c r="D1430" s="16">
        <v>73.0</v>
      </c>
    </row>
    <row r="1431">
      <c r="A1431" s="8" t="s">
        <v>402</v>
      </c>
      <c r="B1431" s="8" t="s">
        <v>2949</v>
      </c>
      <c r="C1431" s="18" t="s">
        <v>2645</v>
      </c>
      <c r="D1431" s="16">
        <v>66.0</v>
      </c>
    </row>
    <row r="1432">
      <c r="A1432" s="8" t="s">
        <v>402</v>
      </c>
      <c r="B1432" s="8" t="s">
        <v>23</v>
      </c>
      <c r="C1432" s="18" t="s">
        <v>2587</v>
      </c>
      <c r="D1432" s="16">
        <v>70.0</v>
      </c>
    </row>
    <row r="1433">
      <c r="A1433" s="8" t="s">
        <v>402</v>
      </c>
      <c r="B1433" s="8" t="s">
        <v>2193</v>
      </c>
      <c r="C1433" s="18" t="s">
        <v>2556</v>
      </c>
      <c r="D1433" s="16">
        <v>78.0</v>
      </c>
    </row>
    <row r="1434">
      <c r="A1434" s="8" t="s">
        <v>402</v>
      </c>
      <c r="B1434" s="8" t="s">
        <v>761</v>
      </c>
      <c r="C1434" s="18" t="s">
        <v>2562</v>
      </c>
      <c r="D1434" s="16">
        <v>81.0</v>
      </c>
    </row>
    <row r="1435">
      <c r="A1435" s="8" t="s">
        <v>402</v>
      </c>
      <c r="B1435" s="8" t="s">
        <v>761</v>
      </c>
      <c r="C1435" s="18" t="s">
        <v>2581</v>
      </c>
      <c r="D1435" s="16">
        <v>87.0</v>
      </c>
    </row>
    <row r="1436">
      <c r="A1436" s="8" t="s">
        <v>402</v>
      </c>
      <c r="B1436" s="8" t="s">
        <v>403</v>
      </c>
      <c r="C1436" s="18" t="s">
        <v>2620</v>
      </c>
      <c r="D1436" s="16">
        <v>88.0</v>
      </c>
    </row>
    <row r="1437">
      <c r="A1437" s="8" t="s">
        <v>402</v>
      </c>
      <c r="B1437" s="8" t="s">
        <v>480</v>
      </c>
      <c r="C1437" s="18" t="s">
        <v>2605</v>
      </c>
      <c r="D1437" s="16">
        <v>82.0</v>
      </c>
    </row>
    <row r="1438">
      <c r="A1438" s="8" t="s">
        <v>1533</v>
      </c>
      <c r="B1438" s="8" t="s">
        <v>1534</v>
      </c>
      <c r="C1438" s="18" t="s">
        <v>2554</v>
      </c>
      <c r="D1438" s="16">
        <v>62.0</v>
      </c>
    </row>
    <row r="1439">
      <c r="A1439" s="8" t="s">
        <v>762</v>
      </c>
      <c r="B1439" s="8" t="s">
        <v>1128</v>
      </c>
      <c r="C1439" s="18" t="s">
        <v>2564</v>
      </c>
      <c r="D1439" s="16">
        <v>81.0</v>
      </c>
    </row>
    <row r="1440">
      <c r="A1440" s="8" t="s">
        <v>762</v>
      </c>
      <c r="B1440" s="8" t="s">
        <v>263</v>
      </c>
      <c r="C1440" s="18" t="s">
        <v>2587</v>
      </c>
      <c r="D1440" s="16">
        <v>77.0</v>
      </c>
    </row>
    <row r="1441">
      <c r="A1441" s="8" t="s">
        <v>1263</v>
      </c>
      <c r="B1441" s="8" t="s">
        <v>275</v>
      </c>
      <c r="C1441" s="18" t="s">
        <v>2567</v>
      </c>
      <c r="D1441" s="16">
        <v>62.0</v>
      </c>
    </row>
    <row r="1442">
      <c r="A1442" s="8" t="s">
        <v>763</v>
      </c>
      <c r="B1442" s="8" t="s">
        <v>764</v>
      </c>
      <c r="C1442" s="18" t="s">
        <v>2603</v>
      </c>
      <c r="D1442" s="16">
        <v>81.0</v>
      </c>
    </row>
    <row r="1443">
      <c r="A1443" s="8" t="s">
        <v>2950</v>
      </c>
      <c r="B1443" s="8" t="s">
        <v>119</v>
      </c>
      <c r="C1443" s="18" t="s">
        <v>2560</v>
      </c>
      <c r="D1443" s="16">
        <v>74.0</v>
      </c>
    </row>
    <row r="1444">
      <c r="A1444" s="8" t="s">
        <v>427</v>
      </c>
      <c r="B1444" s="8" t="s">
        <v>443</v>
      </c>
      <c r="C1444" s="18" t="s">
        <v>2585</v>
      </c>
      <c r="D1444" s="16">
        <v>69.0</v>
      </c>
    </row>
    <row r="1445">
      <c r="A1445" s="8" t="s">
        <v>427</v>
      </c>
      <c r="B1445" s="8" t="s">
        <v>283</v>
      </c>
      <c r="C1445" s="18" t="s">
        <v>2600</v>
      </c>
      <c r="D1445" s="16">
        <v>75.0</v>
      </c>
    </row>
    <row r="1446">
      <c r="A1446" s="8" t="s">
        <v>427</v>
      </c>
      <c r="B1446" s="8" t="s">
        <v>183</v>
      </c>
      <c r="C1446" s="18" t="s">
        <v>2645</v>
      </c>
      <c r="D1446" s="16">
        <v>61.0</v>
      </c>
    </row>
    <row r="1447">
      <c r="A1447" s="8" t="s">
        <v>427</v>
      </c>
      <c r="B1447" s="8" t="s">
        <v>983</v>
      </c>
      <c r="C1447" s="18" t="s">
        <v>2615</v>
      </c>
      <c r="D1447" s="16">
        <v>74.0</v>
      </c>
    </row>
    <row r="1448">
      <c r="A1448" s="8" t="s">
        <v>2196</v>
      </c>
      <c r="B1448" s="8" t="s">
        <v>102</v>
      </c>
      <c r="C1448" s="18" t="s">
        <v>2610</v>
      </c>
      <c r="D1448" s="16">
        <v>80.0</v>
      </c>
    </row>
    <row r="1449">
      <c r="A1449" s="8" t="s">
        <v>1537</v>
      </c>
      <c r="B1449" s="8" t="s">
        <v>1538</v>
      </c>
      <c r="C1449" s="18" t="s">
        <v>2605</v>
      </c>
      <c r="D1449" s="16">
        <v>64.0</v>
      </c>
    </row>
    <row r="1450">
      <c r="A1450" s="8" t="s">
        <v>1266</v>
      </c>
      <c r="B1450" s="8" t="s">
        <v>1267</v>
      </c>
      <c r="C1450" s="18" t="s">
        <v>2584</v>
      </c>
      <c r="D1450" s="16">
        <v>77.0</v>
      </c>
    </row>
    <row r="1451">
      <c r="A1451" s="8" t="s">
        <v>1265</v>
      </c>
      <c r="B1451" s="8" t="s">
        <v>170</v>
      </c>
      <c r="C1451" s="18" t="s">
        <v>2558</v>
      </c>
      <c r="D1451" s="16">
        <v>79.0</v>
      </c>
    </row>
    <row r="1452">
      <c r="A1452" s="8" t="s">
        <v>1264</v>
      </c>
      <c r="B1452" s="8" t="s">
        <v>275</v>
      </c>
      <c r="C1452" s="18" t="s">
        <v>2575</v>
      </c>
      <c r="D1452" s="16">
        <v>70.0</v>
      </c>
    </row>
    <row r="1453">
      <c r="A1453" s="8" t="s">
        <v>1264</v>
      </c>
      <c r="B1453" s="8" t="s">
        <v>304</v>
      </c>
      <c r="C1453" s="18" t="s">
        <v>2562</v>
      </c>
      <c r="D1453" s="16">
        <v>76.0</v>
      </c>
    </row>
    <row r="1454">
      <c r="A1454" s="8" t="s">
        <v>1264</v>
      </c>
      <c r="B1454" s="8" t="s">
        <v>506</v>
      </c>
      <c r="C1454" s="18" t="s">
        <v>2603</v>
      </c>
      <c r="D1454" s="16">
        <v>68.0</v>
      </c>
    </row>
    <row r="1455">
      <c r="A1455" s="8" t="s">
        <v>1264</v>
      </c>
      <c r="B1455" s="18" t="s">
        <v>529</v>
      </c>
      <c r="C1455" s="18" t="s">
        <v>2574</v>
      </c>
      <c r="D1455" s="16">
        <v>77.0</v>
      </c>
    </row>
    <row r="1456">
      <c r="A1456" s="8" t="s">
        <v>1264</v>
      </c>
      <c r="B1456" s="18" t="s">
        <v>529</v>
      </c>
      <c r="C1456" s="18" t="s">
        <v>2574</v>
      </c>
      <c r="D1456" s="16">
        <v>87.0</v>
      </c>
    </row>
    <row r="1457">
      <c r="A1457" s="8" t="s">
        <v>1264</v>
      </c>
      <c r="B1457" s="18" t="s">
        <v>1902</v>
      </c>
      <c r="C1457" s="18" t="s">
        <v>2558</v>
      </c>
      <c r="D1457" s="16">
        <v>71.0</v>
      </c>
    </row>
    <row r="1458">
      <c r="A1458" s="8" t="s">
        <v>1264</v>
      </c>
      <c r="B1458" s="8" t="s">
        <v>2385</v>
      </c>
      <c r="C1458" s="18" t="s">
        <v>2595</v>
      </c>
      <c r="D1458" s="16">
        <v>68.0</v>
      </c>
    </row>
    <row r="1459">
      <c r="A1459" s="8" t="s">
        <v>1264</v>
      </c>
      <c r="B1459" s="8" t="s">
        <v>33</v>
      </c>
      <c r="C1459" s="18" t="s">
        <v>2645</v>
      </c>
      <c r="D1459" s="16">
        <v>61.0</v>
      </c>
    </row>
    <row r="1460">
      <c r="A1460" s="8" t="s">
        <v>1264</v>
      </c>
      <c r="B1460" s="8" t="s">
        <v>759</v>
      </c>
      <c r="C1460" s="18" t="s">
        <v>2645</v>
      </c>
      <c r="D1460" s="16">
        <v>63.0</v>
      </c>
    </row>
    <row r="1461">
      <c r="A1461" s="8" t="s">
        <v>1264</v>
      </c>
      <c r="B1461" s="8" t="s">
        <v>2198</v>
      </c>
      <c r="C1461" s="18" t="s">
        <v>2585</v>
      </c>
      <c r="D1461" s="16">
        <v>71.0</v>
      </c>
    </row>
    <row r="1462">
      <c r="A1462" s="8" t="s">
        <v>1264</v>
      </c>
      <c r="B1462" s="8" t="s">
        <v>480</v>
      </c>
      <c r="C1462" s="18" t="s">
        <v>2574</v>
      </c>
      <c r="D1462" s="16">
        <v>67.0</v>
      </c>
    </row>
    <row r="1463">
      <c r="A1463" s="8" t="s">
        <v>2951</v>
      </c>
      <c r="B1463" s="8" t="s">
        <v>333</v>
      </c>
      <c r="C1463" s="18" t="s">
        <v>2567</v>
      </c>
      <c r="D1463" s="16">
        <v>68.0</v>
      </c>
    </row>
    <row r="1464">
      <c r="A1464" s="8" t="s">
        <v>1539</v>
      </c>
      <c r="B1464" s="8" t="s">
        <v>1540</v>
      </c>
      <c r="C1464" s="18" t="s">
        <v>2582</v>
      </c>
      <c r="D1464" s="16">
        <v>73.0</v>
      </c>
    </row>
    <row r="1465">
      <c r="A1465" s="8" t="s">
        <v>146</v>
      </c>
      <c r="B1465" s="8" t="s">
        <v>1473</v>
      </c>
      <c r="C1465" s="18" t="s">
        <v>2621</v>
      </c>
      <c r="D1465" s="16">
        <v>76.0</v>
      </c>
    </row>
    <row r="1466">
      <c r="A1466" s="8" t="s">
        <v>146</v>
      </c>
      <c r="B1466" s="8" t="s">
        <v>263</v>
      </c>
      <c r="C1466" s="18" t="s">
        <v>2605</v>
      </c>
      <c r="D1466" s="16">
        <v>72.0</v>
      </c>
    </row>
    <row r="1467">
      <c r="A1467" s="8" t="s">
        <v>2952</v>
      </c>
      <c r="B1467" s="8" t="s">
        <v>506</v>
      </c>
      <c r="C1467" s="18" t="s">
        <v>2552</v>
      </c>
      <c r="D1467" s="16">
        <v>73.0</v>
      </c>
    </row>
    <row r="1468">
      <c r="A1468" s="8" t="s">
        <v>1905</v>
      </c>
      <c r="B1468" s="8" t="s">
        <v>650</v>
      </c>
      <c r="C1468" s="18" t="s">
        <v>2645</v>
      </c>
      <c r="D1468" s="16">
        <v>61.0</v>
      </c>
    </row>
    <row r="1469">
      <c r="A1469" s="8" t="s">
        <v>1905</v>
      </c>
      <c r="B1469" s="8" t="s">
        <v>88</v>
      </c>
      <c r="C1469" s="18" t="s">
        <v>2562</v>
      </c>
      <c r="D1469" s="16">
        <v>65.0</v>
      </c>
    </row>
    <row r="1470">
      <c r="A1470" s="8" t="s">
        <v>2953</v>
      </c>
      <c r="B1470" s="8" t="s">
        <v>245</v>
      </c>
      <c r="C1470" s="18" t="s">
        <v>2567</v>
      </c>
      <c r="D1470" s="16">
        <v>68.0</v>
      </c>
    </row>
    <row r="1471">
      <c r="A1471" s="8" t="s">
        <v>1906</v>
      </c>
      <c r="B1471" s="8" t="s">
        <v>1907</v>
      </c>
      <c r="C1471" s="18" t="s">
        <v>2556</v>
      </c>
      <c r="D1471" s="16">
        <v>70.0</v>
      </c>
    </row>
    <row r="1472">
      <c r="A1472" s="8" t="s">
        <v>984</v>
      </c>
      <c r="B1472" s="8" t="s">
        <v>985</v>
      </c>
      <c r="C1472" s="18" t="s">
        <v>2183</v>
      </c>
      <c r="D1472" s="16">
        <v>76.0</v>
      </c>
    </row>
    <row r="1473">
      <c r="A1473" s="8" t="s">
        <v>168</v>
      </c>
      <c r="B1473" s="8" t="s">
        <v>62</v>
      </c>
      <c r="C1473" s="18" t="s">
        <v>2595</v>
      </c>
      <c r="D1473" s="16">
        <v>85.0</v>
      </c>
    </row>
    <row r="1474">
      <c r="A1474" s="8" t="s">
        <v>765</v>
      </c>
      <c r="B1474" s="8" t="s">
        <v>146</v>
      </c>
      <c r="C1474" s="18" t="s">
        <v>2582</v>
      </c>
      <c r="D1474" s="16">
        <v>78.0</v>
      </c>
    </row>
    <row r="1475">
      <c r="A1475" s="8" t="s">
        <v>986</v>
      </c>
      <c r="B1475" s="18" t="s">
        <v>521</v>
      </c>
      <c r="C1475" s="18" t="s">
        <v>2575</v>
      </c>
      <c r="D1475" s="16">
        <v>83.0</v>
      </c>
    </row>
    <row r="1476">
      <c r="A1476" s="8" t="s">
        <v>1911</v>
      </c>
      <c r="B1476" s="8" t="s">
        <v>1063</v>
      </c>
      <c r="C1476" s="18" t="s">
        <v>2566</v>
      </c>
      <c r="D1476" s="16">
        <v>63.0</v>
      </c>
    </row>
    <row r="1477">
      <c r="A1477" s="8" t="s">
        <v>1911</v>
      </c>
      <c r="B1477" s="8" t="s">
        <v>483</v>
      </c>
      <c r="C1477" s="18" t="s">
        <v>2556</v>
      </c>
      <c r="D1477" s="16">
        <v>84.0</v>
      </c>
    </row>
    <row r="1478">
      <c r="A1478" s="8" t="s">
        <v>1911</v>
      </c>
      <c r="B1478" s="8" t="s">
        <v>483</v>
      </c>
      <c r="C1478" s="18" t="s">
        <v>2552</v>
      </c>
      <c r="D1478" s="16">
        <v>85.0</v>
      </c>
    </row>
    <row r="1479">
      <c r="A1479" s="8" t="s">
        <v>1911</v>
      </c>
      <c r="B1479" s="8" t="s">
        <v>483</v>
      </c>
      <c r="C1479" s="18" t="s">
        <v>2600</v>
      </c>
      <c r="D1479" s="16">
        <v>83.0</v>
      </c>
    </row>
    <row r="1480">
      <c r="A1480" s="8" t="s">
        <v>1911</v>
      </c>
      <c r="B1480" s="8" t="s">
        <v>483</v>
      </c>
      <c r="C1480" s="18" t="s">
        <v>2600</v>
      </c>
      <c r="D1480" s="16">
        <v>87.0</v>
      </c>
    </row>
    <row r="1481">
      <c r="A1481" s="8" t="s">
        <v>1911</v>
      </c>
      <c r="B1481" s="8" t="s">
        <v>483</v>
      </c>
      <c r="C1481" s="18" t="s">
        <v>2552</v>
      </c>
      <c r="D1481" s="16">
        <v>91.0</v>
      </c>
    </row>
    <row r="1482">
      <c r="A1482" s="8" t="s">
        <v>987</v>
      </c>
      <c r="B1482" s="8" t="s">
        <v>988</v>
      </c>
      <c r="C1482" s="18" t="s">
        <v>2585</v>
      </c>
      <c r="D1482" s="16">
        <v>65.0</v>
      </c>
    </row>
    <row r="1483">
      <c r="A1483" s="8" t="s">
        <v>1541</v>
      </c>
      <c r="B1483" s="8" t="s">
        <v>441</v>
      </c>
      <c r="C1483" s="18" t="s">
        <v>2574</v>
      </c>
      <c r="D1483" s="16">
        <v>72.0</v>
      </c>
    </row>
    <row r="1484">
      <c r="A1484" s="8" t="s">
        <v>2954</v>
      </c>
      <c r="B1484" s="8" t="s">
        <v>2955</v>
      </c>
      <c r="C1484" s="18" t="s">
        <v>2620</v>
      </c>
      <c r="D1484" s="16">
        <v>66.0</v>
      </c>
    </row>
    <row r="1485">
      <c r="A1485" s="8" t="s">
        <v>1908</v>
      </c>
      <c r="B1485" s="8" t="s">
        <v>1910</v>
      </c>
      <c r="C1485" s="18" t="s">
        <v>2595</v>
      </c>
      <c r="D1485" s="16">
        <v>64.0</v>
      </c>
    </row>
    <row r="1486">
      <c r="A1486" s="8" t="s">
        <v>1913</v>
      </c>
      <c r="B1486" s="8" t="s">
        <v>532</v>
      </c>
      <c r="C1486" s="18" t="s">
        <v>2593</v>
      </c>
      <c r="D1486" s="16">
        <v>65.0</v>
      </c>
    </row>
    <row r="1487">
      <c r="A1487" s="8" t="s">
        <v>2956</v>
      </c>
      <c r="B1487" s="8" t="s">
        <v>2957</v>
      </c>
      <c r="C1487" s="18" t="s">
        <v>2574</v>
      </c>
      <c r="D1487" s="16">
        <v>73.0</v>
      </c>
    </row>
    <row r="1488">
      <c r="A1488" s="8" t="s">
        <v>1914</v>
      </c>
      <c r="B1488" s="8" t="s">
        <v>1915</v>
      </c>
      <c r="C1488" s="18" t="s">
        <v>2566</v>
      </c>
      <c r="D1488" s="16">
        <v>62.0</v>
      </c>
    </row>
    <row r="1489">
      <c r="A1489" s="8" t="s">
        <v>2958</v>
      </c>
      <c r="B1489" s="8" t="s">
        <v>197</v>
      </c>
      <c r="C1489" s="18" t="s">
        <v>2589</v>
      </c>
      <c r="D1489" s="16">
        <v>62.0</v>
      </c>
    </row>
    <row r="1490">
      <c r="A1490" s="8" t="s">
        <v>766</v>
      </c>
      <c r="B1490" s="8" t="s">
        <v>214</v>
      </c>
      <c r="C1490" s="18" t="s">
        <v>2558</v>
      </c>
      <c r="D1490" s="16">
        <v>68.0</v>
      </c>
    </row>
    <row r="1491">
      <c r="A1491" s="8" t="s">
        <v>766</v>
      </c>
      <c r="B1491" s="8" t="s">
        <v>247</v>
      </c>
      <c r="C1491" s="18" t="s">
        <v>2587</v>
      </c>
      <c r="D1491" s="16">
        <v>67.0</v>
      </c>
    </row>
    <row r="1492">
      <c r="A1492" s="8" t="s">
        <v>766</v>
      </c>
      <c r="B1492" s="8" t="s">
        <v>1542</v>
      </c>
      <c r="C1492" s="18" t="s">
        <v>2585</v>
      </c>
      <c r="D1492" s="16">
        <v>68.0</v>
      </c>
    </row>
    <row r="1493">
      <c r="A1493" s="8" t="s">
        <v>766</v>
      </c>
      <c r="B1493" s="8" t="s">
        <v>334</v>
      </c>
      <c r="C1493" s="18" t="s">
        <v>2587</v>
      </c>
      <c r="D1493" s="16">
        <v>79.0</v>
      </c>
    </row>
    <row r="1494">
      <c r="A1494" s="8" t="s">
        <v>767</v>
      </c>
      <c r="B1494" s="8" t="s">
        <v>2959</v>
      </c>
      <c r="C1494" s="18" t="s">
        <v>2645</v>
      </c>
      <c r="D1494" s="16">
        <v>81.0</v>
      </c>
    </row>
    <row r="1495">
      <c r="A1495" s="8" t="s">
        <v>767</v>
      </c>
      <c r="B1495" s="8" t="s">
        <v>129</v>
      </c>
      <c r="C1495" s="18" t="s">
        <v>2183</v>
      </c>
      <c r="D1495" s="16">
        <v>65.0</v>
      </c>
    </row>
    <row r="1496">
      <c r="A1496" s="8" t="s">
        <v>767</v>
      </c>
      <c r="B1496" s="8" t="s">
        <v>381</v>
      </c>
      <c r="C1496" s="18" t="s">
        <v>2610</v>
      </c>
      <c r="D1496" s="16">
        <v>63.0</v>
      </c>
    </row>
    <row r="1497">
      <c r="A1497" s="8" t="s">
        <v>767</v>
      </c>
      <c r="B1497" s="8" t="s">
        <v>768</v>
      </c>
      <c r="C1497" s="18" t="s">
        <v>2552</v>
      </c>
      <c r="D1497" s="16">
        <v>80.0</v>
      </c>
    </row>
    <row r="1498">
      <c r="A1498" s="8" t="s">
        <v>769</v>
      </c>
      <c r="B1498" s="8" t="s">
        <v>45</v>
      </c>
      <c r="C1498" s="18" t="s">
        <v>2603</v>
      </c>
      <c r="D1498" s="16">
        <v>76.0</v>
      </c>
    </row>
    <row r="1499">
      <c r="A1499" s="8" t="s">
        <v>2960</v>
      </c>
      <c r="B1499" s="8" t="s">
        <v>1128</v>
      </c>
      <c r="C1499" s="18" t="s">
        <v>2584</v>
      </c>
      <c r="D1499" s="16">
        <v>70.0</v>
      </c>
    </row>
    <row r="1500">
      <c r="A1500" s="8" t="s">
        <v>1916</v>
      </c>
      <c r="B1500" s="8" t="s">
        <v>1917</v>
      </c>
      <c r="C1500" s="18" t="s">
        <v>2575</v>
      </c>
      <c r="D1500" s="16">
        <v>69.0</v>
      </c>
    </row>
    <row r="1501">
      <c r="A1501" s="8" t="s">
        <v>1268</v>
      </c>
      <c r="B1501" s="8" t="s">
        <v>881</v>
      </c>
      <c r="C1501" s="18" t="s">
        <v>2615</v>
      </c>
      <c r="D1501" s="16">
        <v>72.0</v>
      </c>
    </row>
    <row r="1502">
      <c r="A1502" s="8" t="s">
        <v>1036</v>
      </c>
      <c r="B1502" s="8" t="s">
        <v>1918</v>
      </c>
      <c r="C1502" s="18" t="s">
        <v>2598</v>
      </c>
      <c r="D1502" s="16">
        <v>83.0</v>
      </c>
    </row>
    <row r="1503">
      <c r="A1503" s="8" t="s">
        <v>1036</v>
      </c>
      <c r="B1503" s="8" t="s">
        <v>94</v>
      </c>
      <c r="C1503" s="18" t="s">
        <v>2614</v>
      </c>
      <c r="D1503" s="16">
        <v>62.0</v>
      </c>
    </row>
    <row r="1504">
      <c r="A1504" s="8" t="s">
        <v>1036</v>
      </c>
      <c r="B1504" s="8" t="s">
        <v>58</v>
      </c>
      <c r="C1504" s="18" t="s">
        <v>2572</v>
      </c>
      <c r="D1504" s="16">
        <v>88.0</v>
      </c>
    </row>
    <row r="1505">
      <c r="A1505" s="8" t="s">
        <v>1036</v>
      </c>
      <c r="B1505" s="8" t="s">
        <v>58</v>
      </c>
      <c r="C1505" s="18" t="s">
        <v>2595</v>
      </c>
      <c r="D1505" s="16">
        <v>83.0</v>
      </c>
    </row>
    <row r="1506">
      <c r="A1506" s="8" t="s">
        <v>1036</v>
      </c>
      <c r="B1506" s="8" t="s">
        <v>58</v>
      </c>
      <c r="C1506" s="18" t="s">
        <v>2575</v>
      </c>
      <c r="D1506" s="16">
        <v>82.0</v>
      </c>
    </row>
    <row r="1507">
      <c r="A1507" s="8" t="s">
        <v>1036</v>
      </c>
      <c r="B1507" s="8" t="s">
        <v>58</v>
      </c>
      <c r="C1507" s="18" t="s">
        <v>2572</v>
      </c>
      <c r="D1507" s="16">
        <v>84.0</v>
      </c>
    </row>
    <row r="1508">
      <c r="A1508" s="8" t="s">
        <v>1036</v>
      </c>
      <c r="B1508" s="8" t="s">
        <v>58</v>
      </c>
      <c r="C1508" s="18" t="s">
        <v>2572</v>
      </c>
      <c r="D1508" s="16">
        <v>86.0</v>
      </c>
    </row>
    <row r="1509">
      <c r="A1509" s="8" t="s">
        <v>1036</v>
      </c>
      <c r="B1509" s="8" t="s">
        <v>58</v>
      </c>
      <c r="C1509" s="18" t="s">
        <v>2572</v>
      </c>
      <c r="D1509" s="16">
        <v>90.0</v>
      </c>
    </row>
    <row r="1510">
      <c r="A1510" s="8" t="s">
        <v>1036</v>
      </c>
      <c r="B1510" s="8" t="s">
        <v>1545</v>
      </c>
      <c r="C1510" s="18" t="s">
        <v>2587</v>
      </c>
      <c r="D1510" s="16">
        <v>68.0</v>
      </c>
    </row>
    <row r="1511">
      <c r="A1511" s="8" t="s">
        <v>1269</v>
      </c>
      <c r="B1511" s="8" t="s">
        <v>98</v>
      </c>
      <c r="C1511" s="18" t="s">
        <v>2593</v>
      </c>
      <c r="D1511" s="16">
        <v>66.0</v>
      </c>
    </row>
    <row r="1512">
      <c r="A1512" s="8" t="s">
        <v>220</v>
      </c>
      <c r="B1512" s="8" t="s">
        <v>304</v>
      </c>
      <c r="C1512" s="18" t="s">
        <v>2564</v>
      </c>
      <c r="D1512" s="16">
        <v>70.0</v>
      </c>
    </row>
    <row r="1513">
      <c r="A1513" s="8" t="s">
        <v>220</v>
      </c>
      <c r="B1513" s="18" t="s">
        <v>159</v>
      </c>
      <c r="C1513" s="18" t="s">
        <v>2589</v>
      </c>
      <c r="D1513" s="16">
        <v>74.0</v>
      </c>
    </row>
    <row r="1514">
      <c r="A1514" s="8" t="s">
        <v>220</v>
      </c>
      <c r="B1514" s="8" t="s">
        <v>2961</v>
      </c>
      <c r="C1514" s="18" t="s">
        <v>2556</v>
      </c>
      <c r="D1514" s="16">
        <v>83.0</v>
      </c>
    </row>
    <row r="1515">
      <c r="A1515" s="8" t="s">
        <v>220</v>
      </c>
      <c r="B1515" s="8" t="s">
        <v>231</v>
      </c>
      <c r="C1515" s="18" t="s">
        <v>2556</v>
      </c>
      <c r="D1515" s="16">
        <v>69.0</v>
      </c>
    </row>
    <row r="1516">
      <c r="A1516" s="8" t="s">
        <v>220</v>
      </c>
      <c r="B1516" s="8" t="s">
        <v>2200</v>
      </c>
      <c r="C1516" s="18" t="s">
        <v>2567</v>
      </c>
      <c r="D1516" s="16">
        <v>79.0</v>
      </c>
    </row>
    <row r="1517">
      <c r="A1517" s="8" t="s">
        <v>220</v>
      </c>
      <c r="B1517" s="8" t="s">
        <v>759</v>
      </c>
      <c r="C1517" s="18" t="s">
        <v>2183</v>
      </c>
      <c r="D1517" s="16">
        <v>76.0</v>
      </c>
    </row>
    <row r="1518">
      <c r="A1518" s="8" t="s">
        <v>2962</v>
      </c>
      <c r="B1518" s="8" t="s">
        <v>337</v>
      </c>
      <c r="C1518" s="18" t="s">
        <v>2645</v>
      </c>
      <c r="D1518" s="16">
        <v>72.0</v>
      </c>
    </row>
    <row r="1519">
      <c r="A1519" s="8" t="s">
        <v>404</v>
      </c>
      <c r="B1519" s="8" t="s">
        <v>405</v>
      </c>
      <c r="C1519" s="18" t="s">
        <v>2587</v>
      </c>
      <c r="D1519" s="16">
        <v>72.0</v>
      </c>
    </row>
    <row r="1520">
      <c r="A1520" s="8" t="s">
        <v>2963</v>
      </c>
      <c r="B1520" s="8" t="s">
        <v>2804</v>
      </c>
      <c r="C1520" s="18" t="s">
        <v>2552</v>
      </c>
      <c r="D1520" s="16">
        <v>76.0</v>
      </c>
    </row>
    <row r="1521">
      <c r="A1521" s="8" t="s">
        <v>406</v>
      </c>
      <c r="B1521" s="8" t="s">
        <v>407</v>
      </c>
      <c r="C1521" s="18" t="s">
        <v>2574</v>
      </c>
      <c r="D1521" s="16">
        <v>84.0</v>
      </c>
    </row>
    <row r="1522">
      <c r="A1522" s="8" t="s">
        <v>406</v>
      </c>
      <c r="B1522" s="8" t="s">
        <v>493</v>
      </c>
      <c r="C1522" s="18" t="s">
        <v>2645</v>
      </c>
      <c r="D1522" s="16">
        <v>60.0</v>
      </c>
    </row>
    <row r="1523">
      <c r="A1523" s="8" t="s">
        <v>1919</v>
      </c>
      <c r="B1523" s="8" t="s">
        <v>1920</v>
      </c>
      <c r="C1523" s="18" t="s">
        <v>2584</v>
      </c>
      <c r="D1523" s="16">
        <v>81.0</v>
      </c>
    </row>
    <row r="1524">
      <c r="A1524" s="8" t="s">
        <v>2964</v>
      </c>
      <c r="B1524" s="8" t="s">
        <v>2965</v>
      </c>
      <c r="C1524" s="18" t="s">
        <v>2564</v>
      </c>
      <c r="D1524" s="16">
        <v>77.0</v>
      </c>
    </row>
    <row r="1525">
      <c r="A1525" s="8" t="s">
        <v>1548</v>
      </c>
      <c r="B1525" s="8" t="s">
        <v>2388</v>
      </c>
      <c r="C1525" s="18" t="s">
        <v>2605</v>
      </c>
      <c r="D1525" s="16">
        <v>68.0</v>
      </c>
    </row>
    <row r="1526">
      <c r="A1526" s="8" t="s">
        <v>2201</v>
      </c>
      <c r="B1526" s="8" t="s">
        <v>2202</v>
      </c>
      <c r="C1526" s="18" t="s">
        <v>2582</v>
      </c>
      <c r="D1526" s="16">
        <v>75.0</v>
      </c>
    </row>
    <row r="1527">
      <c r="A1527" s="8" t="s">
        <v>1550</v>
      </c>
      <c r="B1527" s="8" t="s">
        <v>934</v>
      </c>
      <c r="C1527" s="18" t="s">
        <v>2610</v>
      </c>
      <c r="D1527" s="16">
        <v>64.0</v>
      </c>
    </row>
    <row r="1528">
      <c r="A1528" s="8" t="s">
        <v>1550</v>
      </c>
      <c r="B1528" s="8" t="s">
        <v>1004</v>
      </c>
      <c r="C1528" s="18" t="s">
        <v>2560</v>
      </c>
      <c r="D1528" s="16">
        <v>71.0</v>
      </c>
    </row>
    <row r="1529">
      <c r="A1529" s="8" t="s">
        <v>2966</v>
      </c>
      <c r="B1529" s="8" t="s">
        <v>2967</v>
      </c>
      <c r="C1529" s="18" t="s">
        <v>2645</v>
      </c>
      <c r="D1529" s="16">
        <v>67.0</v>
      </c>
    </row>
    <row r="1530">
      <c r="A1530" s="8" t="s">
        <v>2968</v>
      </c>
      <c r="B1530" s="8" t="s">
        <v>713</v>
      </c>
      <c r="C1530" s="18" t="s">
        <v>2600</v>
      </c>
      <c r="D1530" s="16">
        <v>70.0</v>
      </c>
    </row>
    <row r="1531">
      <c r="A1531" s="8" t="s">
        <v>991</v>
      </c>
      <c r="B1531" s="8" t="s">
        <v>992</v>
      </c>
      <c r="C1531" s="18" t="s">
        <v>2577</v>
      </c>
      <c r="D1531" s="16">
        <v>72.0</v>
      </c>
    </row>
    <row r="1532">
      <c r="A1532" s="8" t="s">
        <v>2969</v>
      </c>
      <c r="B1532" s="8" t="s">
        <v>2970</v>
      </c>
      <c r="C1532" s="18" t="s">
        <v>2593</v>
      </c>
      <c r="D1532" s="16">
        <v>65.0</v>
      </c>
    </row>
    <row r="1533">
      <c r="A1533" s="8" t="s">
        <v>2205</v>
      </c>
      <c r="B1533" s="8" t="s">
        <v>506</v>
      </c>
      <c r="C1533" s="18" t="s">
        <v>2615</v>
      </c>
      <c r="D1533" s="16">
        <v>77.0</v>
      </c>
    </row>
    <row r="1534">
      <c r="A1534" s="8" t="s">
        <v>1922</v>
      </c>
      <c r="B1534" s="8" t="s">
        <v>337</v>
      </c>
      <c r="C1534" s="18" t="s">
        <v>2589</v>
      </c>
      <c r="D1534" s="16">
        <v>73.0</v>
      </c>
    </row>
    <row r="1535">
      <c r="A1535" s="8" t="s">
        <v>2207</v>
      </c>
      <c r="B1535" s="8" t="s">
        <v>1473</v>
      </c>
      <c r="C1535" s="18" t="s">
        <v>2183</v>
      </c>
      <c r="D1535" s="16">
        <v>72.0</v>
      </c>
    </row>
    <row r="1536">
      <c r="A1536" s="8" t="s">
        <v>300</v>
      </c>
      <c r="B1536" s="8" t="s">
        <v>301</v>
      </c>
      <c r="C1536" s="18" t="s">
        <v>2582</v>
      </c>
      <c r="D1536" s="16">
        <v>84.0</v>
      </c>
    </row>
    <row r="1537">
      <c r="A1537" s="8" t="s">
        <v>1270</v>
      </c>
      <c r="B1537" s="8" t="s">
        <v>196</v>
      </c>
      <c r="C1537" s="18" t="s">
        <v>2574</v>
      </c>
      <c r="D1537" s="16">
        <v>72.0</v>
      </c>
    </row>
    <row r="1538">
      <c r="A1538" s="8" t="s">
        <v>1551</v>
      </c>
      <c r="B1538" s="8" t="s">
        <v>1711</v>
      </c>
      <c r="C1538" s="18" t="s">
        <v>2574</v>
      </c>
      <c r="D1538" s="16">
        <v>67.0</v>
      </c>
    </row>
    <row r="1539">
      <c r="A1539" s="8" t="s">
        <v>1551</v>
      </c>
      <c r="B1539" s="8" t="s">
        <v>1552</v>
      </c>
      <c r="C1539" s="18" t="s">
        <v>2552</v>
      </c>
      <c r="D1539" s="16">
        <v>64.0</v>
      </c>
    </row>
    <row r="1540">
      <c r="A1540" s="8" t="s">
        <v>993</v>
      </c>
      <c r="B1540" s="8" t="s">
        <v>55</v>
      </c>
      <c r="C1540" s="18" t="s">
        <v>2584</v>
      </c>
      <c r="D1540" s="16">
        <v>85.0</v>
      </c>
    </row>
    <row r="1541">
      <c r="A1541" s="8" t="s">
        <v>1923</v>
      </c>
      <c r="B1541" s="8" t="s">
        <v>91</v>
      </c>
      <c r="C1541" s="18" t="s">
        <v>2593</v>
      </c>
      <c r="D1541" s="16">
        <v>69.0</v>
      </c>
    </row>
    <row r="1542">
      <c r="A1542" s="8" t="s">
        <v>169</v>
      </c>
      <c r="B1542" s="8" t="s">
        <v>170</v>
      </c>
      <c r="C1542" s="18" t="s">
        <v>2582</v>
      </c>
      <c r="D1542" s="16">
        <v>74.0</v>
      </c>
    </row>
    <row r="1543">
      <c r="A1543" s="8" t="s">
        <v>2971</v>
      </c>
      <c r="B1543" s="8" t="s">
        <v>2972</v>
      </c>
      <c r="C1543" s="18" t="s">
        <v>2645</v>
      </c>
      <c r="D1543" s="16">
        <v>63.0</v>
      </c>
    </row>
    <row r="1544">
      <c r="A1544" s="8" t="s">
        <v>2389</v>
      </c>
      <c r="B1544" s="8" t="s">
        <v>2390</v>
      </c>
      <c r="C1544" s="18" t="s">
        <v>2572</v>
      </c>
      <c r="D1544" s="16">
        <v>73.0</v>
      </c>
    </row>
    <row r="1545">
      <c r="A1545" s="8" t="s">
        <v>588</v>
      </c>
      <c r="B1545" s="8" t="s">
        <v>471</v>
      </c>
      <c r="C1545" s="18" t="s">
        <v>2585</v>
      </c>
      <c r="D1545" s="16">
        <v>71.0</v>
      </c>
    </row>
    <row r="1546">
      <c r="A1546" s="18" t="s">
        <v>1553</v>
      </c>
      <c r="B1546" s="8" t="s">
        <v>771</v>
      </c>
      <c r="C1546" s="18" t="s">
        <v>2592</v>
      </c>
      <c r="D1546" s="16">
        <v>69.0</v>
      </c>
    </row>
    <row r="1547">
      <c r="A1547" s="18" t="s">
        <v>1924</v>
      </c>
      <c r="B1547" s="8" t="s">
        <v>1850</v>
      </c>
      <c r="C1547" s="18" t="s">
        <v>2183</v>
      </c>
      <c r="D1547" s="16">
        <v>71.0</v>
      </c>
    </row>
    <row r="1548">
      <c r="A1548" s="8" t="s">
        <v>1554</v>
      </c>
      <c r="B1548" s="8" t="s">
        <v>1555</v>
      </c>
      <c r="C1548" s="18" t="s">
        <v>2552</v>
      </c>
      <c r="D1548" s="16">
        <v>67.0</v>
      </c>
    </row>
    <row r="1549">
      <c r="A1549" s="8" t="s">
        <v>1273</v>
      </c>
      <c r="B1549" s="8" t="s">
        <v>1274</v>
      </c>
      <c r="C1549" s="18" t="s">
        <v>2603</v>
      </c>
      <c r="D1549" s="16">
        <v>69.0</v>
      </c>
    </row>
    <row r="1550">
      <c r="A1550" s="8" t="s">
        <v>2973</v>
      </c>
      <c r="B1550" s="8" t="s">
        <v>2974</v>
      </c>
      <c r="C1550" s="18" t="s">
        <v>2587</v>
      </c>
      <c r="D1550" s="16">
        <v>67.0</v>
      </c>
    </row>
    <row r="1551">
      <c r="A1551" s="8" t="s">
        <v>1925</v>
      </c>
      <c r="B1551" s="8" t="s">
        <v>275</v>
      </c>
      <c r="C1551" s="18" t="s">
        <v>2558</v>
      </c>
      <c r="D1551" s="16">
        <v>63.0</v>
      </c>
    </row>
    <row r="1552">
      <c r="A1552" s="18" t="s">
        <v>770</v>
      </c>
      <c r="B1552" s="8" t="s">
        <v>771</v>
      </c>
      <c r="C1552" s="18" t="s">
        <v>2605</v>
      </c>
      <c r="D1552" s="16">
        <v>77.0</v>
      </c>
    </row>
    <row r="1553">
      <c r="A1553" s="8" t="s">
        <v>1557</v>
      </c>
      <c r="B1553" s="8" t="s">
        <v>226</v>
      </c>
      <c r="C1553" s="18" t="s">
        <v>2615</v>
      </c>
      <c r="D1553" s="16">
        <v>74.0</v>
      </c>
    </row>
    <row r="1554">
      <c r="A1554" s="8" t="s">
        <v>996</v>
      </c>
      <c r="B1554" s="8" t="s">
        <v>329</v>
      </c>
      <c r="C1554" s="18" t="s">
        <v>2610</v>
      </c>
      <c r="D1554" s="16">
        <v>72.0</v>
      </c>
    </row>
    <row r="1555">
      <c r="A1555" s="8" t="s">
        <v>997</v>
      </c>
      <c r="B1555" s="8" t="s">
        <v>998</v>
      </c>
      <c r="C1555" s="18" t="s">
        <v>2566</v>
      </c>
      <c r="D1555" s="16">
        <v>77.0</v>
      </c>
    </row>
    <row r="1556">
      <c r="A1556" s="8" t="s">
        <v>1560</v>
      </c>
      <c r="B1556" s="8" t="s">
        <v>64</v>
      </c>
      <c r="C1556" s="18" t="s">
        <v>2615</v>
      </c>
      <c r="D1556" s="16">
        <v>77.0</v>
      </c>
    </row>
    <row r="1557">
      <c r="A1557" s="8" t="s">
        <v>772</v>
      </c>
      <c r="B1557" s="8" t="s">
        <v>100</v>
      </c>
      <c r="C1557" s="18" t="s">
        <v>2595</v>
      </c>
      <c r="D1557" s="16">
        <v>78.0</v>
      </c>
    </row>
    <row r="1558">
      <c r="A1558" s="8" t="s">
        <v>2391</v>
      </c>
      <c r="B1558" s="8" t="s">
        <v>2392</v>
      </c>
      <c r="C1558" s="18" t="s">
        <v>2577</v>
      </c>
      <c r="D1558" s="16">
        <v>72.0</v>
      </c>
    </row>
    <row r="1559">
      <c r="A1559" s="8" t="s">
        <v>1926</v>
      </c>
      <c r="B1559" s="8" t="s">
        <v>1927</v>
      </c>
      <c r="C1559" s="18" t="s">
        <v>2593</v>
      </c>
      <c r="D1559" s="16">
        <v>67.0</v>
      </c>
    </row>
    <row r="1560">
      <c r="A1560" s="8" t="s">
        <v>408</v>
      </c>
      <c r="B1560" s="8" t="s">
        <v>409</v>
      </c>
      <c r="C1560" s="18" t="s">
        <v>2572</v>
      </c>
      <c r="D1560" s="16">
        <v>79.0</v>
      </c>
    </row>
    <row r="1561">
      <c r="A1561" s="8" t="s">
        <v>408</v>
      </c>
      <c r="B1561" s="8" t="s">
        <v>409</v>
      </c>
      <c r="C1561" s="18" t="s">
        <v>2572</v>
      </c>
      <c r="D1561" s="16">
        <v>87.0</v>
      </c>
    </row>
    <row r="1562">
      <c r="A1562" s="8" t="s">
        <v>1928</v>
      </c>
      <c r="B1562" s="8" t="s">
        <v>1929</v>
      </c>
      <c r="C1562" s="18" t="s">
        <v>2566</v>
      </c>
      <c r="D1562" s="16">
        <v>62.0</v>
      </c>
    </row>
    <row r="1563">
      <c r="A1563" s="8" t="s">
        <v>410</v>
      </c>
      <c r="B1563" s="8" t="s">
        <v>411</v>
      </c>
      <c r="C1563" s="18" t="s">
        <v>2614</v>
      </c>
      <c r="D1563" s="16">
        <v>76.0</v>
      </c>
    </row>
    <row r="1564">
      <c r="A1564" s="18" t="s">
        <v>999</v>
      </c>
      <c r="B1564" s="8" t="s">
        <v>231</v>
      </c>
      <c r="C1564" s="18" t="s">
        <v>2587</v>
      </c>
      <c r="D1564" s="16">
        <v>71.0</v>
      </c>
    </row>
    <row r="1565">
      <c r="A1565" s="8" t="s">
        <v>2393</v>
      </c>
      <c r="B1565" s="8" t="s">
        <v>1204</v>
      </c>
      <c r="C1565" s="18" t="s">
        <v>2645</v>
      </c>
      <c r="D1565" s="16">
        <v>61.0</v>
      </c>
    </row>
    <row r="1566">
      <c r="A1566" s="8" t="s">
        <v>2393</v>
      </c>
      <c r="B1566" s="8" t="s">
        <v>948</v>
      </c>
      <c r="C1566" s="18" t="s">
        <v>2598</v>
      </c>
      <c r="D1566" s="16">
        <v>73.0</v>
      </c>
    </row>
    <row r="1567">
      <c r="A1567" s="8" t="s">
        <v>123</v>
      </c>
      <c r="B1567" s="8" t="s">
        <v>124</v>
      </c>
      <c r="C1567" s="18" t="s">
        <v>2574</v>
      </c>
      <c r="D1567" s="16">
        <v>85.0</v>
      </c>
    </row>
    <row r="1568">
      <c r="A1568" s="8" t="s">
        <v>123</v>
      </c>
      <c r="B1568" s="8" t="s">
        <v>124</v>
      </c>
      <c r="C1568" s="18" t="s">
        <v>2574</v>
      </c>
      <c r="D1568" s="16">
        <v>91.0</v>
      </c>
    </row>
    <row r="1569">
      <c r="A1569" s="8" t="s">
        <v>1930</v>
      </c>
      <c r="B1569" s="8" t="s">
        <v>1931</v>
      </c>
      <c r="C1569" s="18" t="s">
        <v>2598</v>
      </c>
      <c r="D1569" s="16">
        <v>68.0</v>
      </c>
    </row>
    <row r="1570">
      <c r="A1570" s="18" t="s">
        <v>2975</v>
      </c>
      <c r="B1570" s="8" t="s">
        <v>67</v>
      </c>
      <c r="C1570" s="18" t="s">
        <v>2566</v>
      </c>
      <c r="D1570" s="16">
        <v>65.0</v>
      </c>
    </row>
    <row r="1571">
      <c r="A1571" s="8" t="s">
        <v>2976</v>
      </c>
      <c r="B1571" s="8" t="s">
        <v>194</v>
      </c>
      <c r="C1571" s="18" t="s">
        <v>2566</v>
      </c>
      <c r="D1571" s="16">
        <v>75.0</v>
      </c>
    </row>
    <row r="1572">
      <c r="A1572" s="18" t="s">
        <v>2209</v>
      </c>
      <c r="B1572" s="8" t="s">
        <v>157</v>
      </c>
      <c r="C1572" s="18" t="s">
        <v>2552</v>
      </c>
      <c r="D1572" s="16">
        <v>73.0</v>
      </c>
    </row>
    <row r="1573">
      <c r="A1573" s="8" t="s">
        <v>1932</v>
      </c>
      <c r="B1573" s="8" t="s">
        <v>260</v>
      </c>
      <c r="C1573" s="18" t="s">
        <v>2572</v>
      </c>
      <c r="D1573" s="16">
        <v>74.0</v>
      </c>
    </row>
    <row r="1574">
      <c r="A1574" s="8" t="s">
        <v>1000</v>
      </c>
      <c r="B1574" s="8" t="s">
        <v>194</v>
      </c>
      <c r="C1574" s="18" t="s">
        <v>2575</v>
      </c>
      <c r="D1574" s="16">
        <v>76.0</v>
      </c>
    </row>
    <row r="1575">
      <c r="A1575" s="8" t="s">
        <v>1275</v>
      </c>
      <c r="B1575" s="8" t="s">
        <v>506</v>
      </c>
      <c r="C1575" s="18" t="s">
        <v>2595</v>
      </c>
      <c r="D1575" s="16">
        <v>78.0</v>
      </c>
    </row>
    <row r="1576">
      <c r="A1576" s="8" t="s">
        <v>2977</v>
      </c>
      <c r="B1576" s="8" t="s">
        <v>157</v>
      </c>
      <c r="C1576" s="18" t="s">
        <v>2621</v>
      </c>
      <c r="D1576" s="16">
        <v>83.0</v>
      </c>
    </row>
    <row r="1577">
      <c r="A1577" s="8" t="s">
        <v>1561</v>
      </c>
      <c r="B1577" s="8" t="s">
        <v>317</v>
      </c>
      <c r="C1577" s="18" t="s">
        <v>2615</v>
      </c>
      <c r="D1577" s="16">
        <v>67.0</v>
      </c>
    </row>
    <row r="1578">
      <c r="A1578" s="8" t="s">
        <v>412</v>
      </c>
      <c r="B1578" s="8" t="s">
        <v>413</v>
      </c>
      <c r="C1578" s="18" t="s">
        <v>2556</v>
      </c>
      <c r="D1578" s="16">
        <v>84.0</v>
      </c>
    </row>
    <row r="1579">
      <c r="A1579" s="8" t="s">
        <v>412</v>
      </c>
      <c r="B1579" s="8" t="s">
        <v>413</v>
      </c>
      <c r="C1579" s="18" t="s">
        <v>2556</v>
      </c>
      <c r="D1579" s="16">
        <v>90.0</v>
      </c>
    </row>
    <row r="1580">
      <c r="A1580" s="18" t="s">
        <v>1001</v>
      </c>
      <c r="B1580" s="8" t="s">
        <v>260</v>
      </c>
      <c r="C1580" s="18" t="s">
        <v>2584</v>
      </c>
      <c r="D1580" s="16">
        <v>72.0</v>
      </c>
    </row>
    <row r="1581">
      <c r="A1581" s="8" t="s">
        <v>2978</v>
      </c>
      <c r="B1581" s="8" t="s">
        <v>243</v>
      </c>
      <c r="C1581" s="18" t="s">
        <v>2581</v>
      </c>
      <c r="D1581" s="16">
        <v>74.0</v>
      </c>
    </row>
    <row r="1582">
      <c r="A1582" s="8" t="s">
        <v>2979</v>
      </c>
      <c r="B1582" s="8" t="s">
        <v>2980</v>
      </c>
      <c r="C1582" s="18" t="s">
        <v>2589</v>
      </c>
      <c r="D1582" s="16">
        <v>64.0</v>
      </c>
    </row>
    <row r="1583">
      <c r="A1583" s="8" t="s">
        <v>1003</v>
      </c>
      <c r="B1583" s="8" t="s">
        <v>137</v>
      </c>
      <c r="C1583" s="18" t="s">
        <v>2574</v>
      </c>
      <c r="D1583" s="16">
        <v>77.0</v>
      </c>
    </row>
    <row r="1584">
      <c r="A1584" s="8" t="s">
        <v>2981</v>
      </c>
      <c r="B1584" s="8" t="s">
        <v>2982</v>
      </c>
      <c r="C1584" s="18" t="s">
        <v>2587</v>
      </c>
      <c r="D1584" s="16">
        <v>73.0</v>
      </c>
    </row>
    <row r="1585">
      <c r="A1585" s="8" t="s">
        <v>2983</v>
      </c>
      <c r="B1585" s="8" t="s">
        <v>317</v>
      </c>
      <c r="C1585" s="18" t="s">
        <v>2621</v>
      </c>
      <c r="D1585" s="16">
        <v>67.0</v>
      </c>
    </row>
    <row r="1586">
      <c r="A1586" s="8" t="s">
        <v>773</v>
      </c>
      <c r="B1586" s="8" t="s">
        <v>119</v>
      </c>
      <c r="C1586" s="18" t="s">
        <v>2621</v>
      </c>
      <c r="D1586" s="16">
        <v>73.0</v>
      </c>
    </row>
    <row r="1587">
      <c r="A1587" s="8" t="s">
        <v>2984</v>
      </c>
      <c r="B1587" s="8" t="s">
        <v>11</v>
      </c>
      <c r="C1587" s="18" t="s">
        <v>2558</v>
      </c>
      <c r="D1587" s="16">
        <v>65.0</v>
      </c>
    </row>
    <row r="1588">
      <c r="A1588" s="8" t="s">
        <v>589</v>
      </c>
      <c r="B1588" s="8" t="s">
        <v>33</v>
      </c>
      <c r="C1588" s="18" t="s">
        <v>2620</v>
      </c>
      <c r="D1588" s="16">
        <v>80.0</v>
      </c>
    </row>
    <row r="1589">
      <c r="A1589" s="8" t="s">
        <v>1276</v>
      </c>
      <c r="B1589" s="8" t="s">
        <v>121</v>
      </c>
      <c r="C1589" s="18" t="s">
        <v>2556</v>
      </c>
      <c r="D1589" s="16">
        <v>72.0</v>
      </c>
    </row>
    <row r="1590">
      <c r="A1590" s="8" t="s">
        <v>1276</v>
      </c>
      <c r="B1590" s="8" t="s">
        <v>157</v>
      </c>
      <c r="C1590" s="18" t="s">
        <v>2620</v>
      </c>
      <c r="D1590" s="16">
        <v>64.0</v>
      </c>
    </row>
    <row r="1591">
      <c r="A1591" s="8" t="s">
        <v>1276</v>
      </c>
      <c r="B1591" s="8" t="s">
        <v>1082</v>
      </c>
      <c r="C1591" s="18" t="s">
        <v>2581</v>
      </c>
      <c r="D1591" s="16">
        <v>81.0</v>
      </c>
    </row>
    <row r="1592">
      <c r="A1592" s="8" t="s">
        <v>1276</v>
      </c>
      <c r="B1592" s="8" t="s">
        <v>394</v>
      </c>
      <c r="C1592" s="18" t="s">
        <v>2645</v>
      </c>
      <c r="D1592" s="16">
        <v>61.0</v>
      </c>
    </row>
    <row r="1593">
      <c r="A1593" s="8" t="s">
        <v>2985</v>
      </c>
      <c r="B1593" s="8" t="s">
        <v>362</v>
      </c>
      <c r="C1593" s="18" t="s">
        <v>2605</v>
      </c>
      <c r="D1593" s="16">
        <v>77.0</v>
      </c>
    </row>
    <row r="1594">
      <c r="A1594" s="8" t="s">
        <v>1564</v>
      </c>
      <c r="B1594" s="8" t="s">
        <v>1046</v>
      </c>
      <c r="C1594" s="18" t="s">
        <v>2620</v>
      </c>
      <c r="D1594" s="16">
        <v>72.0</v>
      </c>
    </row>
    <row r="1595">
      <c r="A1595" s="8" t="s">
        <v>2986</v>
      </c>
      <c r="B1595" s="8" t="s">
        <v>2987</v>
      </c>
      <c r="C1595" s="18" t="s">
        <v>2584</v>
      </c>
      <c r="D1595" s="16">
        <v>79.0</v>
      </c>
    </row>
    <row r="1596">
      <c r="A1596" s="8" t="s">
        <v>1004</v>
      </c>
      <c r="B1596" s="8" t="s">
        <v>506</v>
      </c>
      <c r="C1596" s="18" t="s">
        <v>2552</v>
      </c>
      <c r="D1596" s="16">
        <v>68.0</v>
      </c>
    </row>
    <row r="1597">
      <c r="A1597" s="8" t="s">
        <v>1934</v>
      </c>
      <c r="B1597" s="8" t="s">
        <v>480</v>
      </c>
      <c r="C1597" s="18" t="s">
        <v>2645</v>
      </c>
      <c r="D1597" s="16">
        <v>67.0</v>
      </c>
    </row>
    <row r="1598">
      <c r="A1598" s="8" t="s">
        <v>774</v>
      </c>
      <c r="B1598" s="8" t="s">
        <v>464</v>
      </c>
      <c r="C1598" s="18" t="s">
        <v>2598</v>
      </c>
      <c r="D1598" s="16">
        <v>72.0</v>
      </c>
    </row>
    <row r="1599">
      <c r="A1599" s="8" t="s">
        <v>194</v>
      </c>
      <c r="B1599" s="8" t="s">
        <v>747</v>
      </c>
      <c r="C1599" s="18" t="s">
        <v>2558</v>
      </c>
      <c r="D1599" s="16">
        <v>69.0</v>
      </c>
    </row>
    <row r="1600">
      <c r="A1600" s="8" t="s">
        <v>194</v>
      </c>
      <c r="B1600" s="8" t="s">
        <v>1209</v>
      </c>
      <c r="C1600" s="18" t="s">
        <v>2620</v>
      </c>
      <c r="D1600" s="16">
        <v>64.0</v>
      </c>
    </row>
    <row r="1601">
      <c r="A1601" s="8" t="s">
        <v>775</v>
      </c>
      <c r="B1601" s="8" t="s">
        <v>776</v>
      </c>
      <c r="C1601" s="18" t="s">
        <v>2600</v>
      </c>
      <c r="D1601" s="16">
        <v>75.0</v>
      </c>
    </row>
    <row r="1602">
      <c r="A1602" s="8" t="s">
        <v>628</v>
      </c>
      <c r="B1602" s="8" t="s">
        <v>2239</v>
      </c>
      <c r="C1602" s="18" t="s">
        <v>2584</v>
      </c>
      <c r="D1602" s="16">
        <v>71.0</v>
      </c>
    </row>
    <row r="1603">
      <c r="A1603" s="8" t="s">
        <v>221</v>
      </c>
      <c r="B1603" s="8" t="s">
        <v>222</v>
      </c>
      <c r="C1603" s="18" t="s">
        <v>2598</v>
      </c>
      <c r="D1603" s="16">
        <v>65.0</v>
      </c>
    </row>
    <row r="1604">
      <c r="A1604" s="8" t="s">
        <v>2397</v>
      </c>
      <c r="B1604" s="18" t="s">
        <v>2398</v>
      </c>
      <c r="C1604" s="18" t="s">
        <v>2582</v>
      </c>
      <c r="D1604" s="16">
        <v>77.0</v>
      </c>
    </row>
    <row r="1605">
      <c r="A1605" s="8" t="s">
        <v>2397</v>
      </c>
      <c r="B1605" s="8" t="s">
        <v>669</v>
      </c>
      <c r="C1605" s="18" t="s">
        <v>2584</v>
      </c>
      <c r="D1605" s="16">
        <v>68.0</v>
      </c>
    </row>
    <row r="1606">
      <c r="A1606" s="8" t="s">
        <v>1277</v>
      </c>
      <c r="B1606" s="8" t="s">
        <v>1278</v>
      </c>
      <c r="C1606" s="18" t="s">
        <v>2560</v>
      </c>
      <c r="D1606" s="16">
        <v>69.0</v>
      </c>
    </row>
    <row r="1607">
      <c r="A1607" s="8" t="s">
        <v>1566</v>
      </c>
      <c r="B1607" s="8" t="s">
        <v>1567</v>
      </c>
      <c r="C1607" s="18" t="s">
        <v>2595</v>
      </c>
      <c r="D1607" s="16">
        <v>76.0</v>
      </c>
    </row>
    <row r="1608">
      <c r="A1608" s="8" t="s">
        <v>1279</v>
      </c>
      <c r="B1608" s="8" t="s">
        <v>214</v>
      </c>
      <c r="C1608" s="18" t="s">
        <v>2620</v>
      </c>
      <c r="D1608" s="16">
        <v>64.0</v>
      </c>
    </row>
    <row r="1609">
      <c r="A1609" s="8" t="s">
        <v>2988</v>
      </c>
      <c r="B1609" s="8" t="s">
        <v>2989</v>
      </c>
      <c r="C1609" s="18" t="s">
        <v>2620</v>
      </c>
      <c r="D1609" s="16">
        <v>77.0</v>
      </c>
    </row>
    <row r="1610">
      <c r="A1610" s="8" t="s">
        <v>2990</v>
      </c>
      <c r="B1610" s="8" t="s">
        <v>669</v>
      </c>
      <c r="C1610" s="18" t="s">
        <v>2556</v>
      </c>
      <c r="D1610" s="16">
        <v>83.0</v>
      </c>
    </row>
    <row r="1611">
      <c r="A1611" s="8" t="s">
        <v>777</v>
      </c>
      <c r="B1611" s="8" t="s">
        <v>183</v>
      </c>
      <c r="C1611" s="18" t="s">
        <v>2560</v>
      </c>
      <c r="D1611" s="16">
        <v>69.0</v>
      </c>
    </row>
    <row r="1612">
      <c r="A1612" s="8" t="s">
        <v>1280</v>
      </c>
      <c r="B1612" s="8" t="s">
        <v>1281</v>
      </c>
      <c r="C1612" s="18" t="s">
        <v>2589</v>
      </c>
      <c r="D1612" s="16">
        <v>66.0</v>
      </c>
    </row>
    <row r="1613">
      <c r="A1613" s="8" t="s">
        <v>1280</v>
      </c>
      <c r="B1613" s="8" t="s">
        <v>1749</v>
      </c>
      <c r="C1613" s="18" t="s">
        <v>2603</v>
      </c>
      <c r="D1613" s="16">
        <v>75.0</v>
      </c>
    </row>
    <row r="1614">
      <c r="A1614" s="8" t="s">
        <v>2213</v>
      </c>
      <c r="B1614" s="8" t="s">
        <v>2214</v>
      </c>
      <c r="C1614" s="18" t="s">
        <v>2615</v>
      </c>
      <c r="D1614" s="16">
        <v>76.0</v>
      </c>
    </row>
    <row r="1615">
      <c r="A1615" s="8" t="s">
        <v>2213</v>
      </c>
      <c r="B1615" s="8" t="s">
        <v>2991</v>
      </c>
      <c r="C1615" s="18" t="s">
        <v>2574</v>
      </c>
      <c r="D1615" s="16">
        <v>80.0</v>
      </c>
    </row>
    <row r="1616">
      <c r="A1616" s="8" t="s">
        <v>2215</v>
      </c>
      <c r="B1616" s="8" t="s">
        <v>2216</v>
      </c>
      <c r="C1616" s="18" t="s">
        <v>2582</v>
      </c>
      <c r="D1616" s="16">
        <v>74.0</v>
      </c>
    </row>
    <row r="1617">
      <c r="A1617" s="8" t="s">
        <v>1282</v>
      </c>
      <c r="B1617" s="8" t="s">
        <v>1283</v>
      </c>
      <c r="C1617" s="18" t="s">
        <v>2564</v>
      </c>
      <c r="D1617" s="16">
        <v>63.0</v>
      </c>
    </row>
    <row r="1618">
      <c r="A1618" s="8" t="s">
        <v>1282</v>
      </c>
      <c r="B1618" s="8" t="s">
        <v>628</v>
      </c>
      <c r="C1618" s="18" t="s">
        <v>2645</v>
      </c>
      <c r="D1618" s="16">
        <v>72.0</v>
      </c>
    </row>
    <row r="1619">
      <c r="A1619" s="8" t="s">
        <v>1569</v>
      </c>
      <c r="B1619" s="8" t="s">
        <v>1570</v>
      </c>
      <c r="C1619" s="18" t="s">
        <v>2575</v>
      </c>
      <c r="D1619" s="16">
        <v>74.0</v>
      </c>
    </row>
    <row r="1620">
      <c r="A1620" s="8" t="s">
        <v>2992</v>
      </c>
      <c r="B1620" s="8" t="s">
        <v>1283</v>
      </c>
      <c r="C1620" s="18" t="s">
        <v>2645</v>
      </c>
      <c r="D1620" s="16">
        <v>73.0</v>
      </c>
    </row>
    <row r="1621">
      <c r="A1621" s="8" t="s">
        <v>2992</v>
      </c>
      <c r="B1621" s="8" t="s">
        <v>231</v>
      </c>
      <c r="C1621" s="18" t="s">
        <v>2558</v>
      </c>
      <c r="D1621" s="16">
        <v>80.0</v>
      </c>
    </row>
    <row r="1622">
      <c r="A1622" s="8" t="s">
        <v>2992</v>
      </c>
      <c r="B1622" s="8" t="s">
        <v>2993</v>
      </c>
      <c r="C1622" s="18" t="s">
        <v>2581</v>
      </c>
      <c r="D1622" s="16">
        <v>64.0</v>
      </c>
    </row>
    <row r="1623">
      <c r="A1623" s="8" t="s">
        <v>1284</v>
      </c>
      <c r="B1623" s="8" t="s">
        <v>1285</v>
      </c>
      <c r="C1623" s="18" t="s">
        <v>2572</v>
      </c>
      <c r="D1623" s="16">
        <v>79.0</v>
      </c>
    </row>
    <row r="1624">
      <c r="A1624" s="8" t="s">
        <v>1568</v>
      </c>
      <c r="B1624" s="8" t="s">
        <v>322</v>
      </c>
      <c r="C1624" s="18" t="s">
        <v>2587</v>
      </c>
      <c r="D1624" s="16">
        <v>72.0</v>
      </c>
    </row>
    <row r="1625">
      <c r="A1625" s="8" t="s">
        <v>44</v>
      </c>
      <c r="B1625" s="8" t="s">
        <v>157</v>
      </c>
      <c r="C1625" s="18" t="s">
        <v>2562</v>
      </c>
      <c r="D1625" s="16">
        <v>65.0</v>
      </c>
    </row>
    <row r="1626">
      <c r="A1626" s="8" t="s">
        <v>44</v>
      </c>
      <c r="B1626" s="8" t="s">
        <v>304</v>
      </c>
      <c r="C1626" s="18" t="s">
        <v>2589</v>
      </c>
      <c r="D1626" s="16">
        <v>79.0</v>
      </c>
    </row>
    <row r="1627">
      <c r="A1627" s="8" t="s">
        <v>44</v>
      </c>
      <c r="B1627" s="8" t="s">
        <v>45</v>
      </c>
      <c r="C1627" s="18" t="s">
        <v>2564</v>
      </c>
      <c r="D1627" s="16">
        <v>85.0</v>
      </c>
    </row>
    <row r="1628">
      <c r="A1628" s="8" t="s">
        <v>44</v>
      </c>
      <c r="B1628" s="8" t="s">
        <v>247</v>
      </c>
      <c r="C1628" s="18" t="s">
        <v>2593</v>
      </c>
      <c r="D1628" s="16">
        <v>85.0</v>
      </c>
    </row>
    <row r="1629">
      <c r="A1629" s="8" t="s">
        <v>126</v>
      </c>
      <c r="B1629" s="8" t="s">
        <v>119</v>
      </c>
      <c r="C1629" s="18" t="s">
        <v>2593</v>
      </c>
      <c r="D1629" s="16">
        <v>64.0</v>
      </c>
    </row>
    <row r="1630">
      <c r="A1630" s="8" t="s">
        <v>126</v>
      </c>
      <c r="B1630" s="8" t="s">
        <v>194</v>
      </c>
      <c r="C1630" s="18" t="s">
        <v>2589</v>
      </c>
      <c r="D1630" s="16">
        <v>88.0</v>
      </c>
    </row>
    <row r="1631">
      <c r="A1631" s="8" t="s">
        <v>2217</v>
      </c>
      <c r="B1631" s="8" t="s">
        <v>1445</v>
      </c>
      <c r="C1631" s="18" t="s">
        <v>2585</v>
      </c>
      <c r="D1631" s="16">
        <v>76.0</v>
      </c>
    </row>
    <row r="1632">
      <c r="A1632" s="8" t="s">
        <v>2994</v>
      </c>
      <c r="B1632" s="8" t="s">
        <v>871</v>
      </c>
      <c r="C1632" s="18" t="s">
        <v>2581</v>
      </c>
      <c r="D1632" s="16">
        <v>72.0</v>
      </c>
    </row>
    <row r="1633">
      <c r="A1633" s="8" t="s">
        <v>1005</v>
      </c>
      <c r="B1633" s="8" t="s">
        <v>127</v>
      </c>
      <c r="C1633" s="18" t="s">
        <v>2572</v>
      </c>
      <c r="D1633" s="16">
        <v>73.0</v>
      </c>
    </row>
    <row r="1634">
      <c r="A1634" s="8" t="s">
        <v>1005</v>
      </c>
      <c r="B1634" s="8" t="s">
        <v>1286</v>
      </c>
      <c r="C1634" s="18" t="s">
        <v>2584</v>
      </c>
      <c r="D1634" s="16">
        <v>62.0</v>
      </c>
    </row>
    <row r="1635">
      <c r="A1635" s="8" t="s">
        <v>1005</v>
      </c>
      <c r="B1635" s="8" t="s">
        <v>800</v>
      </c>
      <c r="C1635" s="18" t="s">
        <v>2610</v>
      </c>
      <c r="D1635" s="16">
        <v>67.0</v>
      </c>
    </row>
    <row r="1636">
      <c r="A1636" s="8" t="s">
        <v>1005</v>
      </c>
      <c r="B1636" s="8" t="s">
        <v>2995</v>
      </c>
      <c r="C1636" s="18" t="s">
        <v>2577</v>
      </c>
      <c r="D1636" s="16">
        <v>65.0</v>
      </c>
    </row>
    <row r="1637">
      <c r="A1637" s="8" t="s">
        <v>1005</v>
      </c>
      <c r="B1637" s="8" t="s">
        <v>377</v>
      </c>
      <c r="C1637" s="18" t="s">
        <v>2587</v>
      </c>
      <c r="D1637" s="16">
        <v>72.0</v>
      </c>
    </row>
    <row r="1638">
      <c r="A1638" s="8" t="s">
        <v>1005</v>
      </c>
      <c r="B1638" s="8" t="s">
        <v>263</v>
      </c>
      <c r="C1638" s="18" t="s">
        <v>2581</v>
      </c>
      <c r="D1638" s="16">
        <v>73.0</v>
      </c>
    </row>
    <row r="1639">
      <c r="A1639" s="8" t="s">
        <v>1571</v>
      </c>
      <c r="B1639" s="8" t="s">
        <v>800</v>
      </c>
      <c r="C1639" s="18" t="s">
        <v>2572</v>
      </c>
      <c r="D1639" s="16">
        <v>70.0</v>
      </c>
    </row>
    <row r="1640">
      <c r="A1640" s="8" t="s">
        <v>1287</v>
      </c>
      <c r="B1640" s="8" t="s">
        <v>137</v>
      </c>
      <c r="C1640" s="18" t="s">
        <v>2575</v>
      </c>
      <c r="D1640" s="16">
        <v>81.0</v>
      </c>
    </row>
    <row r="1641">
      <c r="A1641" s="8" t="s">
        <v>668</v>
      </c>
      <c r="B1641" s="8" t="s">
        <v>123</v>
      </c>
      <c r="C1641" s="18" t="s">
        <v>2589</v>
      </c>
      <c r="D1641" s="16">
        <v>71.0</v>
      </c>
    </row>
    <row r="1642">
      <c r="A1642" s="8" t="s">
        <v>1006</v>
      </c>
      <c r="B1642" s="8" t="s">
        <v>119</v>
      </c>
      <c r="C1642" s="18" t="s">
        <v>2560</v>
      </c>
      <c r="D1642" s="16">
        <v>74.0</v>
      </c>
    </row>
    <row r="1643">
      <c r="A1643" s="8" t="s">
        <v>414</v>
      </c>
      <c r="B1643" s="8" t="s">
        <v>45</v>
      </c>
      <c r="C1643" s="18" t="s">
        <v>2592</v>
      </c>
      <c r="D1643" s="16">
        <v>78.0</v>
      </c>
    </row>
    <row r="1644">
      <c r="A1644" s="8" t="s">
        <v>1572</v>
      </c>
      <c r="B1644" s="8" t="s">
        <v>436</v>
      </c>
      <c r="C1644" s="18" t="s">
        <v>2585</v>
      </c>
      <c r="D1644" s="16">
        <v>80.0</v>
      </c>
    </row>
    <row r="1645">
      <c r="A1645" s="8" t="s">
        <v>1573</v>
      </c>
      <c r="B1645" s="8" t="s">
        <v>1574</v>
      </c>
      <c r="C1645" s="18" t="s">
        <v>2558</v>
      </c>
      <c r="D1645" s="16">
        <v>71.0</v>
      </c>
    </row>
    <row r="1646">
      <c r="A1646" s="8" t="s">
        <v>2996</v>
      </c>
      <c r="B1646" s="8" t="s">
        <v>2997</v>
      </c>
      <c r="C1646" s="18" t="s">
        <v>2587</v>
      </c>
      <c r="D1646" s="16">
        <v>66.0</v>
      </c>
    </row>
    <row r="1647">
      <c r="A1647" s="8" t="s">
        <v>2998</v>
      </c>
      <c r="B1647" s="8" t="s">
        <v>1347</v>
      </c>
      <c r="C1647" s="18" t="s">
        <v>2645</v>
      </c>
      <c r="D1647" s="16">
        <v>60.0</v>
      </c>
    </row>
    <row r="1648">
      <c r="A1648" s="8" t="s">
        <v>1939</v>
      </c>
      <c r="B1648" s="8" t="s">
        <v>1940</v>
      </c>
      <c r="C1648" s="18" t="s">
        <v>2603</v>
      </c>
      <c r="D1648" s="16">
        <v>70.0</v>
      </c>
    </row>
    <row r="1649">
      <c r="A1649" s="8" t="s">
        <v>590</v>
      </c>
      <c r="B1649" s="8" t="s">
        <v>591</v>
      </c>
      <c r="C1649" s="18" t="s">
        <v>2574</v>
      </c>
      <c r="D1649" s="16">
        <v>82.0</v>
      </c>
    </row>
    <row r="1650">
      <c r="A1650" s="8" t="s">
        <v>590</v>
      </c>
      <c r="B1650" s="8" t="s">
        <v>591</v>
      </c>
      <c r="C1650" s="18" t="s">
        <v>2574</v>
      </c>
      <c r="D1650" s="16">
        <v>87.0</v>
      </c>
    </row>
    <row r="1651">
      <c r="A1651" s="8" t="s">
        <v>2999</v>
      </c>
      <c r="B1651" s="8" t="s">
        <v>692</v>
      </c>
      <c r="C1651" s="18" t="s">
        <v>2584</v>
      </c>
      <c r="D1651" s="16">
        <v>71.0</v>
      </c>
    </row>
    <row r="1652">
      <c r="A1652" s="8" t="s">
        <v>1575</v>
      </c>
      <c r="B1652" s="8" t="s">
        <v>1576</v>
      </c>
      <c r="C1652" s="18" t="s">
        <v>2581</v>
      </c>
      <c r="D1652" s="16">
        <v>64.0</v>
      </c>
    </row>
    <row r="1653">
      <c r="A1653" s="8" t="s">
        <v>1288</v>
      </c>
      <c r="B1653" s="8" t="s">
        <v>157</v>
      </c>
      <c r="C1653" s="18" t="s">
        <v>2598</v>
      </c>
      <c r="D1653" s="16">
        <v>79.0</v>
      </c>
    </row>
    <row r="1654">
      <c r="A1654" s="8" t="s">
        <v>415</v>
      </c>
      <c r="B1654" s="8" t="s">
        <v>416</v>
      </c>
      <c r="C1654" s="18" t="s">
        <v>2577</v>
      </c>
      <c r="D1654" s="16">
        <v>81.0</v>
      </c>
    </row>
    <row r="1655">
      <c r="A1655" s="8" t="s">
        <v>415</v>
      </c>
      <c r="B1655" s="8" t="s">
        <v>183</v>
      </c>
      <c r="C1655" s="18" t="s">
        <v>2572</v>
      </c>
      <c r="D1655" s="16">
        <v>78.0</v>
      </c>
    </row>
    <row r="1656">
      <c r="A1656" s="8" t="s">
        <v>3000</v>
      </c>
      <c r="B1656" s="8" t="s">
        <v>798</v>
      </c>
      <c r="C1656" s="18" t="s">
        <v>2620</v>
      </c>
      <c r="D1656" s="16">
        <v>71.0</v>
      </c>
    </row>
    <row r="1657">
      <c r="A1657" s="8" t="s">
        <v>2220</v>
      </c>
      <c r="B1657" s="8" t="s">
        <v>2388</v>
      </c>
      <c r="C1657" s="18" t="s">
        <v>2560</v>
      </c>
      <c r="D1657" s="16">
        <v>79.0</v>
      </c>
    </row>
    <row r="1658">
      <c r="A1658" s="8" t="s">
        <v>2220</v>
      </c>
      <c r="B1658" s="8" t="s">
        <v>3001</v>
      </c>
      <c r="C1658" s="18" t="s">
        <v>2585</v>
      </c>
      <c r="D1658" s="16">
        <v>70.0</v>
      </c>
    </row>
    <row r="1659">
      <c r="A1659" s="8" t="s">
        <v>778</v>
      </c>
      <c r="B1659" s="8" t="s">
        <v>263</v>
      </c>
      <c r="C1659" s="18" t="s">
        <v>2587</v>
      </c>
      <c r="D1659" s="16">
        <v>83.0</v>
      </c>
    </row>
    <row r="1660">
      <c r="A1660" s="8" t="s">
        <v>96</v>
      </c>
      <c r="B1660" s="8" t="s">
        <v>33</v>
      </c>
      <c r="C1660" s="18" t="s">
        <v>2554</v>
      </c>
      <c r="D1660" s="16">
        <v>85.0</v>
      </c>
    </row>
    <row r="1661">
      <c r="A1661" s="8" t="s">
        <v>1289</v>
      </c>
      <c r="B1661" s="8" t="s">
        <v>1290</v>
      </c>
      <c r="C1661" s="18" t="s">
        <v>2614</v>
      </c>
      <c r="D1661" s="16">
        <v>81.0</v>
      </c>
    </row>
    <row r="1662">
      <c r="A1662" s="8" t="s">
        <v>1291</v>
      </c>
      <c r="B1662" s="8" t="s">
        <v>1292</v>
      </c>
      <c r="C1662" s="18" t="s">
        <v>2621</v>
      </c>
      <c r="D1662" s="16">
        <v>64.0</v>
      </c>
    </row>
    <row r="1663">
      <c r="A1663" s="8" t="s">
        <v>1579</v>
      </c>
      <c r="B1663" s="8" t="s">
        <v>1044</v>
      </c>
      <c r="C1663" s="18" t="s">
        <v>2610</v>
      </c>
      <c r="D1663" s="16">
        <v>76.0</v>
      </c>
    </row>
    <row r="1664">
      <c r="A1664" s="8" t="s">
        <v>1579</v>
      </c>
      <c r="B1664" s="8" t="s">
        <v>157</v>
      </c>
      <c r="C1664" s="18" t="s">
        <v>2614</v>
      </c>
      <c r="D1664" s="16">
        <v>64.0</v>
      </c>
    </row>
    <row r="1665">
      <c r="A1665" s="8" t="s">
        <v>1579</v>
      </c>
      <c r="B1665" s="8" t="s">
        <v>3002</v>
      </c>
      <c r="C1665" s="18" t="s">
        <v>2593</v>
      </c>
      <c r="D1665" s="16">
        <v>65.0</v>
      </c>
    </row>
    <row r="1666">
      <c r="A1666" s="8" t="s">
        <v>1579</v>
      </c>
      <c r="B1666" s="8" t="s">
        <v>3003</v>
      </c>
      <c r="C1666" s="18" t="s">
        <v>2592</v>
      </c>
      <c r="D1666" s="16">
        <v>62.0</v>
      </c>
    </row>
    <row r="1667">
      <c r="A1667" s="8" t="s">
        <v>2223</v>
      </c>
      <c r="B1667" s="8" t="s">
        <v>464</v>
      </c>
      <c r="C1667" s="18" t="s">
        <v>2587</v>
      </c>
      <c r="D1667" s="16">
        <v>67.0</v>
      </c>
    </row>
    <row r="1668">
      <c r="A1668" s="8" t="s">
        <v>3004</v>
      </c>
      <c r="B1668" s="8" t="s">
        <v>2651</v>
      </c>
      <c r="C1668" s="18" t="s">
        <v>2562</v>
      </c>
      <c r="D1668" s="16">
        <v>74.0</v>
      </c>
    </row>
    <row r="1669">
      <c r="A1669" s="8" t="s">
        <v>1581</v>
      </c>
      <c r="B1669" s="18" t="s">
        <v>521</v>
      </c>
      <c r="C1669" s="18" t="s">
        <v>2603</v>
      </c>
      <c r="D1669" s="16">
        <v>74.0</v>
      </c>
    </row>
    <row r="1670">
      <c r="A1670" s="8" t="s">
        <v>1007</v>
      </c>
      <c r="B1670" s="8" t="s">
        <v>1008</v>
      </c>
      <c r="C1670" s="18" t="s">
        <v>2562</v>
      </c>
      <c r="D1670" s="16">
        <v>67.0</v>
      </c>
    </row>
    <row r="1671">
      <c r="A1671" s="8" t="s">
        <v>417</v>
      </c>
      <c r="B1671" s="8" t="s">
        <v>33</v>
      </c>
      <c r="C1671" s="18" t="s">
        <v>2564</v>
      </c>
      <c r="D1671" s="16">
        <v>71.0</v>
      </c>
    </row>
    <row r="1672">
      <c r="A1672" s="8" t="s">
        <v>3005</v>
      </c>
      <c r="B1672" s="8" t="s">
        <v>418</v>
      </c>
      <c r="C1672" s="18" t="s">
        <v>2560</v>
      </c>
      <c r="D1672" s="16">
        <v>75.0</v>
      </c>
    </row>
    <row r="1673">
      <c r="A1673" s="8" t="s">
        <v>592</v>
      </c>
      <c r="B1673" s="8" t="s">
        <v>381</v>
      </c>
      <c r="C1673" s="18" t="s">
        <v>2589</v>
      </c>
      <c r="D1673" s="16">
        <v>80.0</v>
      </c>
    </row>
    <row r="1674">
      <c r="A1674" s="8" t="s">
        <v>3006</v>
      </c>
      <c r="B1674" s="8" t="s">
        <v>2839</v>
      </c>
      <c r="C1674" s="18" t="s">
        <v>2572</v>
      </c>
      <c r="D1674" s="16">
        <v>71.0</v>
      </c>
    </row>
    <row r="1675">
      <c r="A1675" s="8" t="s">
        <v>1293</v>
      </c>
      <c r="B1675" s="8" t="s">
        <v>746</v>
      </c>
      <c r="C1675" s="18" t="s">
        <v>2572</v>
      </c>
      <c r="D1675" s="16">
        <v>71.0</v>
      </c>
    </row>
    <row r="1676">
      <c r="A1676" s="8" t="s">
        <v>3007</v>
      </c>
      <c r="B1676" s="8" t="s">
        <v>1943</v>
      </c>
      <c r="C1676" s="18" t="s">
        <v>2564</v>
      </c>
      <c r="D1676" s="16">
        <v>71.0</v>
      </c>
    </row>
    <row r="1677">
      <c r="A1677" s="8" t="s">
        <v>1944</v>
      </c>
      <c r="B1677" s="8" t="s">
        <v>1528</v>
      </c>
      <c r="C1677" s="18" t="s">
        <v>2564</v>
      </c>
      <c r="D1677" s="16">
        <v>70.0</v>
      </c>
    </row>
    <row r="1678">
      <c r="A1678" s="8" t="s">
        <v>593</v>
      </c>
      <c r="B1678" s="8" t="s">
        <v>506</v>
      </c>
      <c r="C1678" s="18" t="s">
        <v>2562</v>
      </c>
      <c r="D1678" s="16">
        <v>72.0</v>
      </c>
    </row>
    <row r="1679">
      <c r="A1679" s="8" t="s">
        <v>593</v>
      </c>
      <c r="B1679" s="8" t="s">
        <v>1031</v>
      </c>
      <c r="C1679" s="18" t="s">
        <v>2572</v>
      </c>
      <c r="D1679" s="16">
        <v>70.0</v>
      </c>
    </row>
    <row r="1680">
      <c r="A1680" s="8" t="s">
        <v>419</v>
      </c>
      <c r="B1680" s="8" t="s">
        <v>157</v>
      </c>
      <c r="C1680" s="18" t="s">
        <v>2582</v>
      </c>
      <c r="D1680" s="16">
        <v>73.0</v>
      </c>
    </row>
    <row r="1681">
      <c r="A1681" s="8" t="s">
        <v>3008</v>
      </c>
      <c r="B1681" s="8" t="s">
        <v>67</v>
      </c>
      <c r="C1681" s="18" t="s">
        <v>2552</v>
      </c>
      <c r="D1681" s="16">
        <v>79.0</v>
      </c>
    </row>
    <row r="1682">
      <c r="A1682" s="8" t="s">
        <v>2054</v>
      </c>
      <c r="B1682" s="8" t="s">
        <v>3009</v>
      </c>
      <c r="C1682" s="18" t="s">
        <v>2554</v>
      </c>
      <c r="D1682" s="16">
        <v>83.0</v>
      </c>
    </row>
    <row r="1683">
      <c r="A1683" s="8" t="s">
        <v>594</v>
      </c>
      <c r="B1683" s="8" t="s">
        <v>337</v>
      </c>
      <c r="C1683" s="18" t="s">
        <v>2581</v>
      </c>
      <c r="D1683" s="16">
        <v>77.0</v>
      </c>
    </row>
    <row r="1684">
      <c r="A1684" s="8" t="s">
        <v>594</v>
      </c>
      <c r="B1684" s="8" t="s">
        <v>865</v>
      </c>
      <c r="C1684" s="18" t="s">
        <v>2582</v>
      </c>
      <c r="D1684" s="16">
        <v>70.0</v>
      </c>
    </row>
    <row r="1685">
      <c r="A1685" s="8" t="s">
        <v>779</v>
      </c>
      <c r="B1685" s="8" t="s">
        <v>780</v>
      </c>
      <c r="C1685" s="18" t="s">
        <v>2560</v>
      </c>
      <c r="D1685" s="16">
        <v>65.0</v>
      </c>
    </row>
    <row r="1686">
      <c r="A1686" s="8" t="s">
        <v>1582</v>
      </c>
      <c r="B1686" s="8" t="s">
        <v>1173</v>
      </c>
      <c r="C1686" s="18" t="s">
        <v>2183</v>
      </c>
      <c r="D1686" s="16">
        <v>78.0</v>
      </c>
    </row>
    <row r="1687">
      <c r="A1687" s="8" t="s">
        <v>2224</v>
      </c>
      <c r="B1687" s="8" t="s">
        <v>69</v>
      </c>
      <c r="C1687" s="18" t="s">
        <v>2554</v>
      </c>
      <c r="D1687" s="16">
        <v>78.0</v>
      </c>
    </row>
    <row r="1688">
      <c r="A1688" s="8" t="s">
        <v>1583</v>
      </c>
      <c r="B1688" s="8" t="s">
        <v>67</v>
      </c>
      <c r="C1688" s="18" t="s">
        <v>2595</v>
      </c>
      <c r="D1688" s="16">
        <v>85.0</v>
      </c>
    </row>
    <row r="1689">
      <c r="A1689" s="8" t="s">
        <v>497</v>
      </c>
      <c r="B1689" s="8" t="s">
        <v>1009</v>
      </c>
      <c r="C1689" s="18" t="s">
        <v>2615</v>
      </c>
      <c r="D1689" s="16">
        <v>78.0</v>
      </c>
    </row>
    <row r="1690">
      <c r="A1690" s="8" t="s">
        <v>1947</v>
      </c>
      <c r="B1690" s="8" t="s">
        <v>1948</v>
      </c>
      <c r="C1690" s="18" t="s">
        <v>2562</v>
      </c>
      <c r="D1690" s="16">
        <v>70.0</v>
      </c>
    </row>
    <row r="1691">
      <c r="A1691" s="8" t="s">
        <v>1584</v>
      </c>
      <c r="B1691" s="8" t="s">
        <v>787</v>
      </c>
      <c r="C1691" s="18" t="s">
        <v>2595</v>
      </c>
      <c r="D1691" s="16">
        <v>78.0</v>
      </c>
    </row>
    <row r="1692">
      <c r="A1692" s="8" t="s">
        <v>1946</v>
      </c>
      <c r="B1692" s="8" t="s">
        <v>438</v>
      </c>
      <c r="C1692" s="18" t="s">
        <v>2615</v>
      </c>
      <c r="D1692" s="16">
        <v>67.0</v>
      </c>
    </row>
    <row r="1693">
      <c r="A1693" s="8" t="s">
        <v>1296</v>
      </c>
      <c r="B1693" s="8" t="s">
        <v>62</v>
      </c>
      <c r="C1693" s="18" t="s">
        <v>2560</v>
      </c>
      <c r="D1693" s="16">
        <v>74.0</v>
      </c>
    </row>
    <row r="1694">
      <c r="A1694" s="8" t="s">
        <v>1294</v>
      </c>
      <c r="B1694" s="8" t="s">
        <v>1295</v>
      </c>
      <c r="C1694" s="18" t="s">
        <v>2620</v>
      </c>
      <c r="D1694" s="16">
        <v>74.0</v>
      </c>
    </row>
    <row r="1695">
      <c r="A1695" s="8" t="s">
        <v>1585</v>
      </c>
      <c r="B1695" s="8" t="s">
        <v>1586</v>
      </c>
      <c r="C1695" s="18" t="s">
        <v>2566</v>
      </c>
      <c r="D1695" s="16">
        <v>68.0</v>
      </c>
    </row>
    <row r="1696">
      <c r="A1696" s="8" t="s">
        <v>1587</v>
      </c>
      <c r="B1696" s="18" t="s">
        <v>529</v>
      </c>
      <c r="C1696" s="18" t="s">
        <v>2562</v>
      </c>
      <c r="D1696" s="16">
        <v>80.0</v>
      </c>
    </row>
    <row r="1697">
      <c r="A1697" s="8" t="s">
        <v>781</v>
      </c>
      <c r="B1697" s="8" t="s">
        <v>782</v>
      </c>
      <c r="C1697" s="18" t="s">
        <v>2183</v>
      </c>
      <c r="D1697" s="16">
        <v>68.0</v>
      </c>
    </row>
    <row r="1698">
      <c r="A1698" s="8" t="s">
        <v>1950</v>
      </c>
      <c r="B1698" s="8" t="s">
        <v>1951</v>
      </c>
      <c r="C1698" s="18" t="s">
        <v>2589</v>
      </c>
      <c r="D1698" s="16">
        <v>76.0</v>
      </c>
    </row>
    <row r="1699">
      <c r="A1699" s="8" t="s">
        <v>1297</v>
      </c>
      <c r="B1699" s="8" t="s">
        <v>11</v>
      </c>
      <c r="C1699" s="18" t="s">
        <v>2587</v>
      </c>
      <c r="D1699" s="16">
        <v>65.0</v>
      </c>
    </row>
    <row r="1700">
      <c r="A1700" s="8" t="s">
        <v>1297</v>
      </c>
      <c r="B1700" s="8" t="s">
        <v>100</v>
      </c>
      <c r="C1700" s="18" t="s">
        <v>2610</v>
      </c>
      <c r="D1700" s="16">
        <v>65.0</v>
      </c>
    </row>
    <row r="1701">
      <c r="A1701" s="8" t="s">
        <v>1297</v>
      </c>
      <c r="B1701" s="8" t="s">
        <v>1046</v>
      </c>
      <c r="C1701" s="18" t="s">
        <v>2183</v>
      </c>
      <c r="D1701" s="16">
        <v>66.0</v>
      </c>
    </row>
    <row r="1702">
      <c r="A1702" s="8" t="s">
        <v>223</v>
      </c>
      <c r="B1702" s="8" t="s">
        <v>224</v>
      </c>
      <c r="C1702" s="18" t="s">
        <v>2598</v>
      </c>
      <c r="D1702" s="16">
        <v>78.0</v>
      </c>
    </row>
    <row r="1703">
      <c r="A1703" s="8" t="s">
        <v>223</v>
      </c>
      <c r="B1703" s="8" t="s">
        <v>275</v>
      </c>
      <c r="C1703" s="18" t="s">
        <v>2584</v>
      </c>
      <c r="D1703" s="16">
        <v>70.0</v>
      </c>
    </row>
    <row r="1704">
      <c r="A1704" s="8" t="s">
        <v>223</v>
      </c>
      <c r="B1704" s="18" t="s">
        <v>529</v>
      </c>
      <c r="C1704" s="18" t="s">
        <v>2585</v>
      </c>
      <c r="D1704" s="16">
        <v>70.0</v>
      </c>
    </row>
    <row r="1705">
      <c r="A1705" s="8" t="s">
        <v>223</v>
      </c>
      <c r="B1705" s="8" t="s">
        <v>1588</v>
      </c>
      <c r="C1705" s="18" t="s">
        <v>2603</v>
      </c>
      <c r="D1705" s="16">
        <v>77.0</v>
      </c>
    </row>
    <row r="1706">
      <c r="A1706" s="8" t="s">
        <v>223</v>
      </c>
      <c r="B1706" s="8" t="s">
        <v>263</v>
      </c>
      <c r="C1706" s="18" t="s">
        <v>2582</v>
      </c>
      <c r="D1706" s="16">
        <v>85.0</v>
      </c>
    </row>
    <row r="1707">
      <c r="A1707" s="8" t="s">
        <v>223</v>
      </c>
      <c r="B1707" s="8" t="s">
        <v>1589</v>
      </c>
      <c r="C1707" s="18" t="s">
        <v>2621</v>
      </c>
      <c r="D1707" s="16">
        <v>68.0</v>
      </c>
    </row>
    <row r="1708">
      <c r="A1708" s="8" t="s">
        <v>223</v>
      </c>
      <c r="B1708" s="8" t="s">
        <v>3010</v>
      </c>
      <c r="C1708" s="18" t="s">
        <v>2645</v>
      </c>
      <c r="D1708" s="16">
        <v>66.0</v>
      </c>
    </row>
    <row r="1709">
      <c r="A1709" s="8" t="s">
        <v>1952</v>
      </c>
      <c r="B1709" s="8" t="s">
        <v>1128</v>
      </c>
      <c r="C1709" s="18" t="s">
        <v>2554</v>
      </c>
      <c r="D1709" s="16">
        <v>70.0</v>
      </c>
    </row>
    <row r="1710">
      <c r="A1710" s="8" t="s">
        <v>1012</v>
      </c>
      <c r="B1710" s="8" t="s">
        <v>3011</v>
      </c>
      <c r="C1710" s="18" t="s">
        <v>2567</v>
      </c>
      <c r="D1710" s="16">
        <v>63.0</v>
      </c>
    </row>
    <row r="1711">
      <c r="A1711" s="8" t="s">
        <v>1012</v>
      </c>
      <c r="B1711" s="8" t="s">
        <v>129</v>
      </c>
      <c r="C1711" s="18" t="s">
        <v>2645</v>
      </c>
      <c r="D1711" s="16">
        <v>79.0</v>
      </c>
    </row>
    <row r="1712">
      <c r="A1712" s="8" t="s">
        <v>1012</v>
      </c>
      <c r="B1712" s="8" t="s">
        <v>381</v>
      </c>
      <c r="C1712" s="18" t="s">
        <v>2562</v>
      </c>
      <c r="D1712" s="16">
        <v>73.0</v>
      </c>
    </row>
    <row r="1713">
      <c r="A1713" s="8" t="s">
        <v>420</v>
      </c>
      <c r="B1713" s="8" t="s">
        <v>421</v>
      </c>
      <c r="C1713" s="18" t="s">
        <v>2552</v>
      </c>
      <c r="D1713" s="16">
        <v>76.0</v>
      </c>
    </row>
    <row r="1714">
      <c r="A1714" s="8" t="s">
        <v>3012</v>
      </c>
      <c r="B1714" s="8" t="s">
        <v>121</v>
      </c>
      <c r="C1714" s="18" t="s">
        <v>2587</v>
      </c>
      <c r="D1714" s="16">
        <v>64.0</v>
      </c>
    </row>
    <row r="1715">
      <c r="A1715" s="8" t="s">
        <v>1013</v>
      </c>
      <c r="B1715" s="8" t="s">
        <v>464</v>
      </c>
      <c r="C1715" s="18" t="s">
        <v>2615</v>
      </c>
      <c r="D1715" s="16">
        <v>66.0</v>
      </c>
    </row>
    <row r="1716">
      <c r="A1716" s="8" t="s">
        <v>422</v>
      </c>
      <c r="B1716" s="8" t="s">
        <v>183</v>
      </c>
      <c r="C1716" s="18" t="s">
        <v>2552</v>
      </c>
      <c r="D1716" s="16">
        <v>78.0</v>
      </c>
    </row>
    <row r="1717">
      <c r="A1717" s="8" t="s">
        <v>3013</v>
      </c>
      <c r="B1717" s="8" t="s">
        <v>1640</v>
      </c>
      <c r="C1717" s="18" t="s">
        <v>2610</v>
      </c>
      <c r="D1717" s="16">
        <v>74.0</v>
      </c>
    </row>
    <row r="1718">
      <c r="A1718" s="8" t="s">
        <v>783</v>
      </c>
      <c r="B1718" s="8" t="s">
        <v>301</v>
      </c>
      <c r="C1718" s="18" t="s">
        <v>2593</v>
      </c>
      <c r="D1718" s="16">
        <v>72.0</v>
      </c>
    </row>
    <row r="1719">
      <c r="A1719" s="8" t="s">
        <v>3014</v>
      </c>
      <c r="B1719" s="8" t="s">
        <v>708</v>
      </c>
      <c r="C1719" s="18" t="s">
        <v>2582</v>
      </c>
      <c r="D1719" s="16">
        <v>68.0</v>
      </c>
    </row>
    <row r="1720">
      <c r="A1720" s="8" t="s">
        <v>595</v>
      </c>
      <c r="B1720" s="8" t="s">
        <v>596</v>
      </c>
      <c r="C1720" s="18" t="s">
        <v>2552</v>
      </c>
      <c r="D1720" s="16">
        <v>88.0</v>
      </c>
    </row>
    <row r="1721">
      <c r="A1721" s="8" t="s">
        <v>3015</v>
      </c>
      <c r="B1721" s="8" t="s">
        <v>1285</v>
      </c>
      <c r="C1721" s="18" t="s">
        <v>2615</v>
      </c>
      <c r="D1721" s="16">
        <v>63.0</v>
      </c>
    </row>
    <row r="1722">
      <c r="A1722" s="8" t="s">
        <v>315</v>
      </c>
      <c r="B1722" s="8" t="s">
        <v>1128</v>
      </c>
      <c r="C1722" s="18" t="s">
        <v>2556</v>
      </c>
      <c r="D1722" s="16">
        <v>73.0</v>
      </c>
    </row>
    <row r="1723">
      <c r="A1723" s="8" t="s">
        <v>785</v>
      </c>
      <c r="B1723" s="8" t="s">
        <v>712</v>
      </c>
      <c r="C1723" s="18" t="s">
        <v>2572</v>
      </c>
      <c r="D1723" s="16">
        <v>66.0</v>
      </c>
    </row>
    <row r="1724">
      <c r="A1724" s="8" t="s">
        <v>785</v>
      </c>
      <c r="B1724" s="8" t="s">
        <v>263</v>
      </c>
      <c r="C1724" s="18" t="s">
        <v>2600</v>
      </c>
      <c r="D1724" s="16">
        <v>71.0</v>
      </c>
    </row>
    <row r="1725">
      <c r="A1725" s="8" t="s">
        <v>786</v>
      </c>
      <c r="B1725" s="8" t="s">
        <v>787</v>
      </c>
      <c r="C1725" s="18" t="s">
        <v>2552</v>
      </c>
      <c r="D1725" s="16">
        <v>82.0</v>
      </c>
    </row>
    <row r="1726">
      <c r="A1726" s="8" t="s">
        <v>3016</v>
      </c>
      <c r="B1726" s="8" t="s">
        <v>628</v>
      </c>
      <c r="C1726" s="18" t="s">
        <v>2582</v>
      </c>
      <c r="D1726" s="16">
        <v>79.0</v>
      </c>
    </row>
    <row r="1727">
      <c r="A1727" s="8" t="s">
        <v>3016</v>
      </c>
      <c r="B1727" s="8" t="s">
        <v>1046</v>
      </c>
      <c r="C1727" s="18" t="s">
        <v>2584</v>
      </c>
      <c r="D1727" s="16">
        <v>69.0</v>
      </c>
    </row>
    <row r="1728">
      <c r="A1728" s="8" t="s">
        <v>790</v>
      </c>
      <c r="B1728" s="8" t="s">
        <v>791</v>
      </c>
      <c r="C1728" s="18" t="s">
        <v>2585</v>
      </c>
      <c r="D1728" s="16">
        <v>79.0</v>
      </c>
    </row>
    <row r="1729">
      <c r="A1729" s="8" t="s">
        <v>788</v>
      </c>
      <c r="B1729" s="8" t="s">
        <v>789</v>
      </c>
      <c r="C1729" s="18" t="s">
        <v>2554</v>
      </c>
      <c r="D1729" s="16">
        <v>76.0</v>
      </c>
    </row>
    <row r="1730">
      <c r="A1730" s="8" t="s">
        <v>1953</v>
      </c>
      <c r="B1730" s="8" t="s">
        <v>1954</v>
      </c>
      <c r="C1730" s="18" t="s">
        <v>2567</v>
      </c>
      <c r="D1730" s="16">
        <v>70.0</v>
      </c>
    </row>
    <row r="1731">
      <c r="A1731" s="8" t="s">
        <v>1955</v>
      </c>
      <c r="B1731" s="8" t="s">
        <v>1915</v>
      </c>
      <c r="C1731" s="18" t="s">
        <v>2598</v>
      </c>
      <c r="D1731" s="16">
        <v>77.0</v>
      </c>
    </row>
    <row r="1732">
      <c r="A1732" s="8" t="s">
        <v>1955</v>
      </c>
      <c r="B1732" s="8" t="s">
        <v>3017</v>
      </c>
      <c r="C1732" s="18" t="s">
        <v>2577</v>
      </c>
      <c r="D1732" s="16">
        <v>68.0</v>
      </c>
    </row>
    <row r="1733">
      <c r="A1733" s="8" t="s">
        <v>3018</v>
      </c>
      <c r="B1733" s="8" t="s">
        <v>194</v>
      </c>
      <c r="C1733" s="18" t="s">
        <v>2575</v>
      </c>
      <c r="D1733" s="16">
        <v>81.0</v>
      </c>
    </row>
    <row r="1734">
      <c r="A1734" s="8" t="s">
        <v>421</v>
      </c>
      <c r="B1734" s="8" t="s">
        <v>1015</v>
      </c>
      <c r="C1734" s="18" t="s">
        <v>2566</v>
      </c>
      <c r="D1734" s="16">
        <v>63.0</v>
      </c>
    </row>
    <row r="1735">
      <c r="A1735" s="8" t="s">
        <v>421</v>
      </c>
      <c r="B1735" s="8" t="s">
        <v>1486</v>
      </c>
      <c r="C1735" s="18" t="s">
        <v>2598</v>
      </c>
      <c r="D1735" s="16">
        <v>68.0</v>
      </c>
    </row>
    <row r="1736">
      <c r="A1736" s="8" t="s">
        <v>1014</v>
      </c>
      <c r="B1736" s="8" t="s">
        <v>726</v>
      </c>
      <c r="C1736" s="18" t="s">
        <v>2554</v>
      </c>
      <c r="D1736" s="16">
        <v>65.0</v>
      </c>
    </row>
    <row r="1737">
      <c r="A1737" s="8" t="s">
        <v>3019</v>
      </c>
      <c r="B1737" s="8" t="s">
        <v>247</v>
      </c>
      <c r="C1737" s="18" t="s">
        <v>2620</v>
      </c>
      <c r="D1737" s="16">
        <v>62.0</v>
      </c>
    </row>
    <row r="1738">
      <c r="A1738" s="8" t="s">
        <v>3020</v>
      </c>
      <c r="B1738" s="8" t="s">
        <v>98</v>
      </c>
      <c r="C1738" s="18" t="s">
        <v>2558</v>
      </c>
      <c r="D1738" s="16">
        <v>75.0</v>
      </c>
    </row>
    <row r="1739">
      <c r="A1739" s="8" t="s">
        <v>47</v>
      </c>
      <c r="B1739" s="8" t="s">
        <v>506</v>
      </c>
      <c r="C1739" s="18" t="s">
        <v>2592</v>
      </c>
      <c r="D1739" s="16">
        <v>63.0</v>
      </c>
    </row>
    <row r="1740">
      <c r="A1740" s="8" t="s">
        <v>47</v>
      </c>
      <c r="B1740" s="8" t="s">
        <v>493</v>
      </c>
      <c r="C1740" s="18" t="s">
        <v>2600</v>
      </c>
      <c r="D1740" s="16">
        <v>74.0</v>
      </c>
    </row>
    <row r="1741">
      <c r="A1741" s="8" t="s">
        <v>47</v>
      </c>
      <c r="B1741" s="8" t="s">
        <v>48</v>
      </c>
      <c r="C1741" s="18" t="s">
        <v>2572</v>
      </c>
      <c r="D1741" s="16">
        <v>82.0</v>
      </c>
    </row>
    <row r="1742">
      <c r="A1742" s="8" t="s">
        <v>3021</v>
      </c>
      <c r="B1742" s="8" t="s">
        <v>1317</v>
      </c>
      <c r="C1742" s="18" t="s">
        <v>2595</v>
      </c>
      <c r="D1742" s="16">
        <v>83.0</v>
      </c>
    </row>
    <row r="1743">
      <c r="A1743" s="8" t="s">
        <v>3021</v>
      </c>
      <c r="B1743" s="8" t="s">
        <v>1317</v>
      </c>
      <c r="C1743" s="18" t="s">
        <v>2595</v>
      </c>
      <c r="D1743" s="16">
        <v>84.0</v>
      </c>
    </row>
    <row r="1744">
      <c r="A1744" s="8" t="s">
        <v>3021</v>
      </c>
      <c r="B1744" s="8" t="s">
        <v>1317</v>
      </c>
      <c r="C1744" s="18" t="s">
        <v>2595</v>
      </c>
      <c r="D1744" s="16">
        <v>82.0</v>
      </c>
    </row>
    <row r="1745">
      <c r="A1745" s="8" t="s">
        <v>3021</v>
      </c>
      <c r="B1745" s="8" t="s">
        <v>1317</v>
      </c>
      <c r="C1745" s="18" t="s">
        <v>2595</v>
      </c>
      <c r="D1745" s="16">
        <v>88.0</v>
      </c>
    </row>
    <row r="1746">
      <c r="A1746" s="8" t="s">
        <v>3021</v>
      </c>
      <c r="B1746" s="8" t="s">
        <v>1317</v>
      </c>
      <c r="C1746" s="18" t="s">
        <v>2595</v>
      </c>
      <c r="D1746" s="16">
        <v>86.0</v>
      </c>
    </row>
    <row r="1747">
      <c r="A1747" s="8" t="s">
        <v>3021</v>
      </c>
      <c r="B1747" s="8" t="s">
        <v>1317</v>
      </c>
      <c r="C1747" s="18" t="s">
        <v>2595</v>
      </c>
      <c r="D1747" s="16">
        <v>90.0</v>
      </c>
    </row>
    <row r="1748">
      <c r="A1748" s="8" t="s">
        <v>305</v>
      </c>
      <c r="B1748" s="8" t="s">
        <v>792</v>
      </c>
      <c r="C1748" s="18" t="s">
        <v>2560</v>
      </c>
      <c r="D1748" s="16">
        <v>74.0</v>
      </c>
    </row>
    <row r="1749">
      <c r="A1749" s="8" t="s">
        <v>305</v>
      </c>
      <c r="B1749" s="8" t="s">
        <v>1592</v>
      </c>
      <c r="C1749" s="18" t="s">
        <v>2600</v>
      </c>
      <c r="D1749" s="16">
        <v>75.0</v>
      </c>
    </row>
    <row r="1750">
      <c r="A1750" s="8" t="s">
        <v>305</v>
      </c>
      <c r="B1750" s="8" t="s">
        <v>137</v>
      </c>
      <c r="C1750" s="18" t="s">
        <v>2554</v>
      </c>
      <c r="D1750" s="16">
        <v>73.0</v>
      </c>
    </row>
    <row r="1751">
      <c r="A1751" s="8" t="s">
        <v>305</v>
      </c>
      <c r="B1751" s="8" t="s">
        <v>793</v>
      </c>
      <c r="C1751" s="18" t="s">
        <v>2556</v>
      </c>
      <c r="D1751" s="16">
        <v>75.0</v>
      </c>
    </row>
    <row r="1752">
      <c r="A1752" s="8" t="s">
        <v>306</v>
      </c>
      <c r="B1752" s="8" t="s">
        <v>307</v>
      </c>
      <c r="C1752" s="18" t="s">
        <v>2595</v>
      </c>
      <c r="D1752" s="16">
        <v>79.0</v>
      </c>
    </row>
    <row r="1753">
      <c r="A1753" s="8" t="s">
        <v>306</v>
      </c>
      <c r="B1753" s="8" t="s">
        <v>1298</v>
      </c>
      <c r="C1753" s="18" t="s">
        <v>2582</v>
      </c>
      <c r="D1753" s="16">
        <v>62.0</v>
      </c>
    </row>
    <row r="1754">
      <c r="A1754" s="8" t="s">
        <v>1299</v>
      </c>
      <c r="B1754" s="8" t="s">
        <v>1300</v>
      </c>
      <c r="C1754" s="18" t="s">
        <v>2605</v>
      </c>
      <c r="D1754" s="16">
        <v>69.0</v>
      </c>
    </row>
    <row r="1755">
      <c r="A1755" s="8" t="s">
        <v>1016</v>
      </c>
      <c r="B1755" s="8" t="s">
        <v>1017</v>
      </c>
      <c r="C1755" s="18" t="s">
        <v>2593</v>
      </c>
      <c r="D1755" s="16">
        <v>80.0</v>
      </c>
    </row>
    <row r="1756">
      <c r="A1756" s="8" t="s">
        <v>308</v>
      </c>
      <c r="B1756" s="8" t="s">
        <v>423</v>
      </c>
      <c r="C1756" s="18" t="s">
        <v>2585</v>
      </c>
      <c r="D1756" s="16">
        <v>72.0</v>
      </c>
    </row>
    <row r="1757">
      <c r="A1757" s="8" t="s">
        <v>308</v>
      </c>
      <c r="B1757" s="8" t="s">
        <v>460</v>
      </c>
      <c r="C1757" s="18" t="s">
        <v>2605</v>
      </c>
      <c r="D1757" s="16">
        <v>82.0</v>
      </c>
    </row>
    <row r="1758">
      <c r="A1758" s="8" t="s">
        <v>308</v>
      </c>
      <c r="B1758" s="18" t="s">
        <v>1957</v>
      </c>
      <c r="C1758" s="18" t="s">
        <v>2554</v>
      </c>
      <c r="D1758" s="16">
        <v>77.0</v>
      </c>
    </row>
    <row r="1759">
      <c r="A1759" s="8" t="s">
        <v>308</v>
      </c>
      <c r="B1759" s="8" t="s">
        <v>407</v>
      </c>
      <c r="C1759" s="18" t="s">
        <v>2584</v>
      </c>
      <c r="D1759" s="16">
        <v>76.0</v>
      </c>
    </row>
    <row r="1760">
      <c r="A1760" s="8" t="s">
        <v>308</v>
      </c>
      <c r="B1760" s="8" t="s">
        <v>304</v>
      </c>
      <c r="C1760" s="18" t="s">
        <v>2554</v>
      </c>
      <c r="D1760" s="16">
        <v>70.0</v>
      </c>
    </row>
    <row r="1761">
      <c r="A1761" s="8" t="s">
        <v>308</v>
      </c>
      <c r="B1761" s="8" t="s">
        <v>1735</v>
      </c>
      <c r="C1761" s="18" t="s">
        <v>2183</v>
      </c>
      <c r="D1761" s="16">
        <v>73.0</v>
      </c>
    </row>
    <row r="1762">
      <c r="A1762" s="8" t="s">
        <v>308</v>
      </c>
      <c r="B1762" s="8" t="s">
        <v>3022</v>
      </c>
      <c r="C1762" s="18" t="s">
        <v>2589</v>
      </c>
      <c r="D1762" s="16">
        <v>64.0</v>
      </c>
    </row>
    <row r="1763">
      <c r="A1763" s="8" t="s">
        <v>308</v>
      </c>
      <c r="B1763" s="8" t="s">
        <v>301</v>
      </c>
      <c r="C1763" s="18" t="s">
        <v>2592</v>
      </c>
      <c r="D1763" s="16">
        <v>65.0</v>
      </c>
    </row>
    <row r="1764">
      <c r="A1764" s="8" t="s">
        <v>308</v>
      </c>
      <c r="B1764" s="8" t="s">
        <v>194</v>
      </c>
      <c r="C1764" s="18" t="s">
        <v>2595</v>
      </c>
      <c r="D1764" s="16">
        <v>82.0</v>
      </c>
    </row>
    <row r="1765">
      <c r="A1765" s="8" t="s">
        <v>308</v>
      </c>
      <c r="B1765" s="8" t="s">
        <v>1786</v>
      </c>
      <c r="C1765" s="18" t="s">
        <v>2560</v>
      </c>
      <c r="D1765" s="16">
        <v>68.0</v>
      </c>
    </row>
    <row r="1766">
      <c r="A1766" s="8" t="s">
        <v>3023</v>
      </c>
      <c r="B1766" s="8" t="s">
        <v>157</v>
      </c>
      <c r="C1766" s="18" t="s">
        <v>2552</v>
      </c>
      <c r="D1766" s="16">
        <v>72.0</v>
      </c>
    </row>
    <row r="1767">
      <c r="A1767" s="8" t="s">
        <v>1018</v>
      </c>
      <c r="B1767" s="8" t="s">
        <v>436</v>
      </c>
      <c r="C1767" s="18" t="s">
        <v>2620</v>
      </c>
      <c r="D1767" s="16">
        <v>81.0</v>
      </c>
    </row>
    <row r="1768">
      <c r="A1768" s="8" t="s">
        <v>1958</v>
      </c>
      <c r="B1768" s="8" t="s">
        <v>1611</v>
      </c>
      <c r="C1768" s="18" t="s">
        <v>2572</v>
      </c>
      <c r="D1768" s="16">
        <v>68.0</v>
      </c>
    </row>
    <row r="1769">
      <c r="A1769" s="8" t="s">
        <v>97</v>
      </c>
      <c r="B1769" s="8" t="s">
        <v>98</v>
      </c>
      <c r="C1769" s="18" t="s">
        <v>2558</v>
      </c>
      <c r="D1769" s="16">
        <v>89.0</v>
      </c>
    </row>
    <row r="1770">
      <c r="A1770" s="8" t="s">
        <v>97</v>
      </c>
      <c r="B1770" s="8" t="s">
        <v>3024</v>
      </c>
      <c r="C1770" s="18" t="s">
        <v>2592</v>
      </c>
      <c r="D1770" s="16">
        <v>75.0</v>
      </c>
    </row>
    <row r="1771">
      <c r="A1771" s="8" t="s">
        <v>97</v>
      </c>
      <c r="B1771" s="8" t="s">
        <v>299</v>
      </c>
      <c r="C1771" s="18" t="s">
        <v>2577</v>
      </c>
      <c r="D1771" s="16">
        <v>68.0</v>
      </c>
    </row>
    <row r="1772">
      <c r="A1772" s="8" t="s">
        <v>97</v>
      </c>
      <c r="B1772" s="8" t="s">
        <v>315</v>
      </c>
      <c r="C1772" s="18" t="s">
        <v>2564</v>
      </c>
      <c r="D1772" s="16">
        <v>74.0</v>
      </c>
    </row>
    <row r="1773">
      <c r="A1773" s="8" t="s">
        <v>171</v>
      </c>
      <c r="B1773" s="8" t="s">
        <v>172</v>
      </c>
      <c r="C1773" s="18" t="s">
        <v>2645</v>
      </c>
      <c r="D1773" s="16">
        <v>83.0</v>
      </c>
    </row>
    <row r="1774">
      <c r="A1774" s="8" t="s">
        <v>49</v>
      </c>
      <c r="B1774" s="8" t="s">
        <v>50</v>
      </c>
      <c r="C1774" s="18" t="s">
        <v>2577</v>
      </c>
      <c r="D1774" s="16">
        <v>84.0</v>
      </c>
    </row>
    <row r="1775">
      <c r="A1775" s="8" t="s">
        <v>1301</v>
      </c>
      <c r="B1775" s="8" t="s">
        <v>1594</v>
      </c>
      <c r="C1775" s="18" t="s">
        <v>2567</v>
      </c>
      <c r="D1775" s="16">
        <v>73.0</v>
      </c>
    </row>
    <row r="1776">
      <c r="A1776" s="8" t="s">
        <v>1301</v>
      </c>
      <c r="B1776" s="8" t="s">
        <v>29</v>
      </c>
      <c r="C1776" s="18" t="s">
        <v>2645</v>
      </c>
      <c r="D1776" s="16">
        <v>61.0</v>
      </c>
    </row>
    <row r="1777">
      <c r="A1777" s="8" t="s">
        <v>1301</v>
      </c>
      <c r="B1777" s="8" t="s">
        <v>41</v>
      </c>
      <c r="C1777" s="18" t="s">
        <v>2645</v>
      </c>
      <c r="D1777" s="16">
        <v>70.0</v>
      </c>
    </row>
    <row r="1778">
      <c r="A1778" s="8" t="s">
        <v>3025</v>
      </c>
      <c r="B1778" s="8" t="s">
        <v>3026</v>
      </c>
      <c r="C1778" s="18" t="s">
        <v>2558</v>
      </c>
      <c r="D1778" s="16">
        <v>73.0</v>
      </c>
    </row>
    <row r="1779">
      <c r="A1779" s="8" t="s">
        <v>1302</v>
      </c>
      <c r="B1779" s="8" t="s">
        <v>263</v>
      </c>
      <c r="C1779" s="18" t="s">
        <v>2603</v>
      </c>
      <c r="D1779" s="16">
        <v>69.0</v>
      </c>
    </row>
    <row r="1780">
      <c r="A1780" s="8" t="s">
        <v>1959</v>
      </c>
      <c r="B1780" s="8" t="s">
        <v>423</v>
      </c>
      <c r="C1780" s="18" t="s">
        <v>2566</v>
      </c>
      <c r="D1780" s="16">
        <v>76.0</v>
      </c>
    </row>
    <row r="1781">
      <c r="A1781" s="8" t="s">
        <v>2407</v>
      </c>
      <c r="B1781" s="8" t="s">
        <v>301</v>
      </c>
      <c r="C1781" s="18" t="s">
        <v>2589</v>
      </c>
      <c r="D1781" s="16">
        <v>78.0</v>
      </c>
    </row>
    <row r="1782">
      <c r="A1782" s="8" t="s">
        <v>597</v>
      </c>
      <c r="B1782" s="8" t="s">
        <v>197</v>
      </c>
      <c r="C1782" s="18" t="s">
        <v>2614</v>
      </c>
      <c r="D1782" s="16">
        <v>62.0</v>
      </c>
    </row>
    <row r="1783">
      <c r="A1783" s="8" t="s">
        <v>597</v>
      </c>
      <c r="B1783" s="8" t="s">
        <v>23</v>
      </c>
      <c r="C1783" s="18" t="s">
        <v>2610</v>
      </c>
      <c r="D1783" s="16">
        <v>74.0</v>
      </c>
    </row>
    <row r="1784">
      <c r="A1784" s="8" t="s">
        <v>597</v>
      </c>
      <c r="B1784" s="8" t="s">
        <v>598</v>
      </c>
      <c r="C1784" s="18" t="s">
        <v>2589</v>
      </c>
      <c r="D1784" s="16">
        <v>67.0</v>
      </c>
    </row>
    <row r="1785">
      <c r="A1785" s="8" t="s">
        <v>1305</v>
      </c>
      <c r="B1785" s="8" t="s">
        <v>198</v>
      </c>
      <c r="C1785" s="18" t="s">
        <v>2582</v>
      </c>
      <c r="D1785" s="16">
        <v>72.0</v>
      </c>
    </row>
    <row r="1786">
      <c r="A1786" s="8" t="s">
        <v>1303</v>
      </c>
      <c r="B1786" s="8" t="s">
        <v>129</v>
      </c>
      <c r="C1786" s="18" t="s">
        <v>2600</v>
      </c>
      <c r="D1786" s="16">
        <v>73.0</v>
      </c>
    </row>
    <row r="1787">
      <c r="A1787" s="8" t="s">
        <v>3027</v>
      </c>
      <c r="B1787" s="8" t="s">
        <v>3028</v>
      </c>
      <c r="C1787" s="18" t="s">
        <v>2556</v>
      </c>
      <c r="D1787" s="16">
        <v>72.0</v>
      </c>
    </row>
    <row r="1788">
      <c r="A1788" s="8" t="s">
        <v>1304</v>
      </c>
      <c r="B1788" s="8" t="s">
        <v>299</v>
      </c>
      <c r="C1788" s="18" t="s">
        <v>2554</v>
      </c>
      <c r="D1788" s="16">
        <v>64.0</v>
      </c>
    </row>
    <row r="1789">
      <c r="A1789" s="8" t="s">
        <v>599</v>
      </c>
      <c r="B1789" s="8" t="s">
        <v>214</v>
      </c>
      <c r="C1789" s="18" t="s">
        <v>2552</v>
      </c>
      <c r="D1789" s="16">
        <v>83.0</v>
      </c>
    </row>
    <row r="1790">
      <c r="A1790" s="8" t="s">
        <v>599</v>
      </c>
      <c r="B1790" s="8" t="s">
        <v>111</v>
      </c>
      <c r="C1790" s="18" t="s">
        <v>2577</v>
      </c>
      <c r="D1790" s="16">
        <v>74.0</v>
      </c>
    </row>
    <row r="1791">
      <c r="A1791" s="8" t="s">
        <v>599</v>
      </c>
      <c r="B1791" s="8" t="s">
        <v>472</v>
      </c>
      <c r="C1791" s="18" t="s">
        <v>2566</v>
      </c>
      <c r="D1791" s="16">
        <v>69.0</v>
      </c>
    </row>
    <row r="1792">
      <c r="A1792" s="8" t="s">
        <v>1595</v>
      </c>
      <c r="B1792" s="8" t="s">
        <v>500</v>
      </c>
      <c r="C1792" s="18" t="s">
        <v>2614</v>
      </c>
      <c r="D1792" s="16">
        <v>67.0</v>
      </c>
    </row>
    <row r="1793">
      <c r="A1793" s="8" t="s">
        <v>409</v>
      </c>
      <c r="B1793" s="8" t="s">
        <v>1596</v>
      </c>
      <c r="C1793" s="18" t="s">
        <v>2610</v>
      </c>
      <c r="D1793" s="16">
        <v>70.0</v>
      </c>
    </row>
    <row r="1794">
      <c r="A1794" s="8" t="s">
        <v>67</v>
      </c>
      <c r="B1794" s="8" t="s">
        <v>299</v>
      </c>
      <c r="C1794" s="18" t="s">
        <v>2558</v>
      </c>
      <c r="D1794" s="16">
        <v>80.0</v>
      </c>
    </row>
    <row r="1795">
      <c r="A1795" s="8" t="s">
        <v>67</v>
      </c>
      <c r="B1795" s="8" t="s">
        <v>181</v>
      </c>
      <c r="C1795" s="18" t="s">
        <v>2603</v>
      </c>
      <c r="D1795" s="16">
        <v>76.0</v>
      </c>
    </row>
    <row r="1796">
      <c r="A1796" s="8" t="s">
        <v>67</v>
      </c>
      <c r="B1796" s="8" t="s">
        <v>222</v>
      </c>
      <c r="C1796" s="18" t="s">
        <v>2621</v>
      </c>
      <c r="D1796" s="16">
        <v>81.0</v>
      </c>
    </row>
    <row r="1797">
      <c r="A1797" s="8" t="s">
        <v>67</v>
      </c>
      <c r="B1797" s="8" t="s">
        <v>33</v>
      </c>
      <c r="C1797" s="18" t="s">
        <v>2598</v>
      </c>
      <c r="D1797" s="16">
        <v>85.0</v>
      </c>
    </row>
    <row r="1798">
      <c r="A1798" s="8" t="s">
        <v>67</v>
      </c>
      <c r="B1798" s="8" t="s">
        <v>33</v>
      </c>
      <c r="C1798" s="18" t="s">
        <v>2598</v>
      </c>
      <c r="D1798" s="16">
        <v>88.0</v>
      </c>
    </row>
    <row r="1799">
      <c r="A1799" s="8" t="s">
        <v>3029</v>
      </c>
      <c r="B1799" s="8" t="s">
        <v>310</v>
      </c>
      <c r="C1799" s="18" t="s">
        <v>2593</v>
      </c>
      <c r="D1799" s="16">
        <v>83.0</v>
      </c>
    </row>
    <row r="1800">
      <c r="A1800" s="8" t="s">
        <v>41</v>
      </c>
      <c r="B1800" s="8" t="s">
        <v>726</v>
      </c>
      <c r="C1800" s="18" t="s">
        <v>2600</v>
      </c>
      <c r="D1800" s="16">
        <v>67.0</v>
      </c>
    </row>
    <row r="1801">
      <c r="A1801" s="8" t="s">
        <v>1019</v>
      </c>
      <c r="B1801" s="8" t="s">
        <v>170</v>
      </c>
      <c r="C1801" s="18" t="s">
        <v>2598</v>
      </c>
      <c r="D1801" s="16">
        <v>71.0</v>
      </c>
    </row>
    <row r="1802">
      <c r="A1802" s="8" t="s">
        <v>2229</v>
      </c>
      <c r="B1802" s="8" t="s">
        <v>1015</v>
      </c>
      <c r="C1802" s="18" t="s">
        <v>2574</v>
      </c>
      <c r="D1802" s="16">
        <v>74.0</v>
      </c>
    </row>
    <row r="1803">
      <c r="A1803" s="8" t="s">
        <v>2231</v>
      </c>
      <c r="B1803" s="8" t="s">
        <v>1051</v>
      </c>
      <c r="C1803" s="18" t="s">
        <v>2577</v>
      </c>
      <c r="D1803" s="16">
        <v>72.0</v>
      </c>
    </row>
    <row r="1804">
      <c r="A1804" s="8" t="s">
        <v>1960</v>
      </c>
      <c r="B1804" s="8" t="s">
        <v>1961</v>
      </c>
      <c r="C1804" s="18" t="s">
        <v>2567</v>
      </c>
      <c r="D1804" s="16">
        <v>78.0</v>
      </c>
    </row>
    <row r="1805">
      <c r="A1805" s="8" t="s">
        <v>1960</v>
      </c>
      <c r="B1805" s="8" t="s">
        <v>750</v>
      </c>
      <c r="C1805" s="18" t="s">
        <v>2645</v>
      </c>
      <c r="D1805" s="16">
        <v>69.0</v>
      </c>
    </row>
    <row r="1806">
      <c r="A1806" s="8" t="s">
        <v>225</v>
      </c>
      <c r="B1806" s="8" t="s">
        <v>226</v>
      </c>
      <c r="C1806" s="18" t="s">
        <v>2620</v>
      </c>
      <c r="D1806" s="16">
        <v>83.0</v>
      </c>
    </row>
    <row r="1807">
      <c r="A1807" s="8" t="s">
        <v>225</v>
      </c>
      <c r="B1807" s="8" t="s">
        <v>45</v>
      </c>
      <c r="C1807" s="18" t="s">
        <v>2581</v>
      </c>
      <c r="D1807" s="16">
        <v>77.0</v>
      </c>
    </row>
    <row r="1808">
      <c r="A1808" s="8" t="s">
        <v>3030</v>
      </c>
      <c r="B1808" s="8" t="s">
        <v>479</v>
      </c>
      <c r="C1808" s="18" t="s">
        <v>2589</v>
      </c>
      <c r="D1808" s="16">
        <v>64.0</v>
      </c>
    </row>
    <row r="1809">
      <c r="A1809" s="8" t="s">
        <v>1020</v>
      </c>
      <c r="B1809" s="8" t="s">
        <v>1021</v>
      </c>
      <c r="C1809" s="18" t="s">
        <v>2560</v>
      </c>
      <c r="D1809" s="16">
        <v>79.0</v>
      </c>
    </row>
    <row r="1810">
      <c r="A1810" s="8" t="s">
        <v>3031</v>
      </c>
      <c r="B1810" s="8" t="s">
        <v>425</v>
      </c>
      <c r="C1810" s="18" t="s">
        <v>2598</v>
      </c>
      <c r="D1810" s="16">
        <v>80.0</v>
      </c>
    </row>
    <row r="1811">
      <c r="A1811" s="8" t="s">
        <v>1599</v>
      </c>
      <c r="B1811" s="8" t="s">
        <v>129</v>
      </c>
      <c r="C1811" s="18" t="s">
        <v>2598</v>
      </c>
      <c r="D1811" s="16">
        <v>71.0</v>
      </c>
    </row>
    <row r="1812">
      <c r="A1812" s="8" t="s">
        <v>600</v>
      </c>
      <c r="B1812" s="8" t="s">
        <v>15</v>
      </c>
      <c r="C1812" s="18" t="s">
        <v>2595</v>
      </c>
      <c r="D1812" s="16">
        <v>74.0</v>
      </c>
    </row>
    <row r="1813">
      <c r="A1813" s="8" t="s">
        <v>2234</v>
      </c>
      <c r="B1813" s="8" t="s">
        <v>494</v>
      </c>
      <c r="C1813" s="18" t="s">
        <v>2645</v>
      </c>
      <c r="D1813" s="16">
        <v>69.0</v>
      </c>
    </row>
    <row r="1814">
      <c r="A1814" s="8" t="s">
        <v>3032</v>
      </c>
      <c r="B1814" s="8" t="s">
        <v>2062</v>
      </c>
      <c r="C1814" s="18" t="s">
        <v>2582</v>
      </c>
      <c r="D1814" s="16">
        <v>76.0</v>
      </c>
    </row>
    <row r="1815">
      <c r="A1815" s="8" t="s">
        <v>2411</v>
      </c>
      <c r="B1815" s="8" t="s">
        <v>2412</v>
      </c>
      <c r="C1815" s="18" t="s">
        <v>2614</v>
      </c>
      <c r="D1815" s="16">
        <v>71.0</v>
      </c>
    </row>
    <row r="1816">
      <c r="A1816" s="8" t="s">
        <v>1307</v>
      </c>
      <c r="B1816" s="8" t="s">
        <v>1308</v>
      </c>
      <c r="C1816" s="18" t="s">
        <v>2562</v>
      </c>
      <c r="D1816" s="16">
        <v>69.0</v>
      </c>
    </row>
    <row r="1817">
      <c r="A1817" s="8" t="s">
        <v>32</v>
      </c>
      <c r="B1817" s="8" t="s">
        <v>33</v>
      </c>
      <c r="C1817" s="18" t="s">
        <v>2598</v>
      </c>
      <c r="D1817" s="16">
        <v>68.0</v>
      </c>
    </row>
    <row r="1818">
      <c r="A1818" s="8" t="s">
        <v>1022</v>
      </c>
      <c r="B1818" s="8" t="s">
        <v>121</v>
      </c>
      <c r="C1818" s="18" t="s">
        <v>2582</v>
      </c>
      <c r="D1818" s="16">
        <v>84.0</v>
      </c>
    </row>
    <row r="1819">
      <c r="A1819" s="8" t="s">
        <v>3033</v>
      </c>
      <c r="B1819" s="8" t="s">
        <v>3034</v>
      </c>
      <c r="C1819" s="18" t="s">
        <v>2587</v>
      </c>
      <c r="D1819" s="16">
        <v>76.0</v>
      </c>
    </row>
    <row r="1820">
      <c r="A1820" s="8" t="s">
        <v>1600</v>
      </c>
      <c r="B1820" s="8" t="s">
        <v>102</v>
      </c>
      <c r="C1820" s="18" t="s">
        <v>2615</v>
      </c>
      <c r="D1820" s="16">
        <v>77.0</v>
      </c>
    </row>
    <row r="1821">
      <c r="A1821" s="8" t="s">
        <v>794</v>
      </c>
      <c r="B1821" s="8" t="s">
        <v>137</v>
      </c>
      <c r="C1821" s="18" t="s">
        <v>2572</v>
      </c>
      <c r="D1821" s="16">
        <v>69.0</v>
      </c>
    </row>
    <row r="1822">
      <c r="A1822" s="8" t="s">
        <v>3035</v>
      </c>
      <c r="B1822" s="8" t="s">
        <v>67</v>
      </c>
      <c r="C1822" s="18" t="s">
        <v>2598</v>
      </c>
      <c r="D1822" s="16">
        <v>81.0</v>
      </c>
    </row>
    <row r="1823">
      <c r="A1823" s="8" t="s">
        <v>1601</v>
      </c>
      <c r="B1823" s="8" t="s">
        <v>111</v>
      </c>
      <c r="C1823" s="18" t="s">
        <v>2610</v>
      </c>
      <c r="D1823" s="16">
        <v>68.0</v>
      </c>
    </row>
    <row r="1824">
      <c r="A1824" s="8" t="s">
        <v>2238</v>
      </c>
      <c r="B1824" s="8" t="s">
        <v>258</v>
      </c>
      <c r="C1824" s="18" t="s">
        <v>2614</v>
      </c>
      <c r="D1824" s="16">
        <v>69.0</v>
      </c>
    </row>
    <row r="1825">
      <c r="A1825" s="8" t="s">
        <v>426</v>
      </c>
      <c r="B1825" s="8" t="s">
        <v>427</v>
      </c>
      <c r="C1825" s="18" t="s">
        <v>2183</v>
      </c>
      <c r="D1825" s="16">
        <v>81.0</v>
      </c>
    </row>
    <row r="1826">
      <c r="A1826" s="8" t="s">
        <v>1602</v>
      </c>
      <c r="B1826" s="8" t="s">
        <v>542</v>
      </c>
      <c r="C1826" s="18" t="s">
        <v>2598</v>
      </c>
      <c r="D1826" s="16">
        <v>68.0</v>
      </c>
    </row>
    <row r="1827">
      <c r="A1827" s="8" t="s">
        <v>1031</v>
      </c>
      <c r="B1827" s="8" t="s">
        <v>1964</v>
      </c>
      <c r="C1827" s="18" t="s">
        <v>2572</v>
      </c>
      <c r="D1827" s="16">
        <v>66.0</v>
      </c>
    </row>
    <row r="1828">
      <c r="A1828" s="8" t="s">
        <v>1031</v>
      </c>
      <c r="B1828" s="8" t="s">
        <v>1965</v>
      </c>
      <c r="C1828" s="18" t="s">
        <v>2595</v>
      </c>
      <c r="D1828" s="16">
        <v>70.0</v>
      </c>
    </row>
    <row r="1829">
      <c r="A1829" s="8" t="s">
        <v>1031</v>
      </c>
      <c r="B1829" s="8" t="s">
        <v>1488</v>
      </c>
      <c r="C1829" s="18" t="s">
        <v>2575</v>
      </c>
      <c r="D1829" s="16">
        <v>71.0</v>
      </c>
    </row>
    <row r="1830">
      <c r="A1830" s="8" t="s">
        <v>1031</v>
      </c>
      <c r="B1830" s="8" t="s">
        <v>2413</v>
      </c>
      <c r="C1830" s="18" t="s">
        <v>2558</v>
      </c>
      <c r="D1830" s="16">
        <v>78.0</v>
      </c>
    </row>
    <row r="1831">
      <c r="A1831" s="8" t="s">
        <v>1031</v>
      </c>
      <c r="B1831" s="8" t="s">
        <v>3036</v>
      </c>
      <c r="C1831" s="18" t="s">
        <v>2581</v>
      </c>
      <c r="D1831" s="16">
        <v>63.0</v>
      </c>
    </row>
    <row r="1832">
      <c r="A1832" s="8" t="s">
        <v>1967</v>
      </c>
      <c r="B1832" s="8" t="s">
        <v>1563</v>
      </c>
      <c r="C1832" s="18" t="s">
        <v>2589</v>
      </c>
      <c r="D1832" s="16">
        <v>72.0</v>
      </c>
    </row>
    <row r="1833">
      <c r="A1833" s="8" t="s">
        <v>3037</v>
      </c>
      <c r="B1833" s="8" t="s">
        <v>1334</v>
      </c>
      <c r="C1833" s="18" t="s">
        <v>2584</v>
      </c>
      <c r="D1833" s="16">
        <v>66.0</v>
      </c>
    </row>
    <row r="1834">
      <c r="A1834" s="8" t="s">
        <v>3038</v>
      </c>
      <c r="B1834" s="18" t="s">
        <v>3039</v>
      </c>
      <c r="C1834" s="18" t="s">
        <v>2574</v>
      </c>
      <c r="D1834" s="16">
        <v>72.0</v>
      </c>
    </row>
    <row r="1835">
      <c r="A1835" s="8" t="s">
        <v>1603</v>
      </c>
      <c r="B1835" s="8" t="s">
        <v>1604</v>
      </c>
      <c r="C1835" s="18" t="s">
        <v>2592</v>
      </c>
      <c r="D1835" s="16">
        <v>66.0</v>
      </c>
    </row>
    <row r="1836">
      <c r="A1836" s="8" t="s">
        <v>3040</v>
      </c>
      <c r="B1836" s="8" t="s">
        <v>464</v>
      </c>
      <c r="C1836" s="18" t="s">
        <v>2584</v>
      </c>
      <c r="D1836" s="16">
        <v>78.0</v>
      </c>
    </row>
    <row r="1837">
      <c r="A1837" s="8" t="s">
        <v>1605</v>
      </c>
      <c r="B1837" s="8" t="s">
        <v>1606</v>
      </c>
      <c r="C1837" s="18" t="s">
        <v>2598</v>
      </c>
      <c r="D1837" s="16">
        <v>71.0</v>
      </c>
    </row>
    <row r="1838">
      <c r="A1838" s="8" t="s">
        <v>1605</v>
      </c>
      <c r="B1838" s="8" t="s">
        <v>124</v>
      </c>
      <c r="C1838" s="18" t="s">
        <v>2575</v>
      </c>
      <c r="D1838" s="16">
        <v>67.0</v>
      </c>
    </row>
    <row r="1839">
      <c r="A1839" s="8" t="s">
        <v>312</v>
      </c>
      <c r="B1839" s="8" t="s">
        <v>55</v>
      </c>
      <c r="C1839" s="18" t="s">
        <v>2552</v>
      </c>
      <c r="D1839" s="16">
        <v>80.0</v>
      </c>
    </row>
    <row r="1840">
      <c r="A1840" s="8" t="s">
        <v>3041</v>
      </c>
      <c r="B1840" s="8" t="s">
        <v>3042</v>
      </c>
      <c r="C1840" s="18" t="s">
        <v>2577</v>
      </c>
      <c r="D1840" s="16">
        <v>70.0</v>
      </c>
    </row>
    <row r="1841">
      <c r="A1841" s="8" t="s">
        <v>2415</v>
      </c>
      <c r="B1841" s="8" t="s">
        <v>1209</v>
      </c>
      <c r="C1841" s="18" t="s">
        <v>2582</v>
      </c>
      <c r="D1841" s="16">
        <v>69.0</v>
      </c>
    </row>
    <row r="1842">
      <c r="A1842" s="8" t="s">
        <v>1610</v>
      </c>
      <c r="B1842" s="8" t="s">
        <v>1611</v>
      </c>
      <c r="C1842" s="18" t="s">
        <v>2564</v>
      </c>
      <c r="D1842" s="16">
        <v>72.0</v>
      </c>
    </row>
    <row r="1843">
      <c r="A1843" s="8" t="s">
        <v>1608</v>
      </c>
      <c r="B1843" s="8" t="s">
        <v>1609</v>
      </c>
      <c r="C1843" s="18" t="s">
        <v>2574</v>
      </c>
      <c r="D1843" s="16">
        <v>72.0</v>
      </c>
    </row>
    <row r="1844">
      <c r="A1844" s="8" t="s">
        <v>1968</v>
      </c>
      <c r="B1844" s="8" t="s">
        <v>11</v>
      </c>
      <c r="C1844" s="18" t="s">
        <v>2605</v>
      </c>
      <c r="D1844" s="16">
        <v>76.0</v>
      </c>
    </row>
    <row r="1845">
      <c r="A1845" s="8" t="s">
        <v>1612</v>
      </c>
      <c r="B1845" s="8" t="s">
        <v>1613</v>
      </c>
      <c r="C1845" s="18" t="s">
        <v>2575</v>
      </c>
      <c r="D1845" s="16">
        <v>65.0</v>
      </c>
    </row>
    <row r="1846">
      <c r="A1846" s="8" t="s">
        <v>3043</v>
      </c>
      <c r="B1846" s="8" t="s">
        <v>1380</v>
      </c>
      <c r="C1846" s="18" t="s">
        <v>2566</v>
      </c>
      <c r="D1846" s="16">
        <v>66.0</v>
      </c>
    </row>
    <row r="1847">
      <c r="A1847" s="8" t="s">
        <v>1969</v>
      </c>
      <c r="B1847" s="8" t="s">
        <v>506</v>
      </c>
      <c r="C1847" s="18" t="s">
        <v>2556</v>
      </c>
      <c r="D1847" s="16">
        <v>69.0</v>
      </c>
    </row>
    <row r="1848">
      <c r="A1848" s="8" t="s">
        <v>1969</v>
      </c>
      <c r="B1848" s="8" t="s">
        <v>1970</v>
      </c>
      <c r="C1848" s="18" t="s">
        <v>2621</v>
      </c>
      <c r="D1848" s="16">
        <v>75.0</v>
      </c>
    </row>
    <row r="1849">
      <c r="A1849" s="8" t="s">
        <v>795</v>
      </c>
      <c r="B1849" s="8" t="s">
        <v>676</v>
      </c>
      <c r="C1849" s="18" t="s">
        <v>2584</v>
      </c>
      <c r="D1849" s="16">
        <v>71.0</v>
      </c>
    </row>
    <row r="1850">
      <c r="A1850" s="8" t="s">
        <v>1023</v>
      </c>
      <c r="B1850" s="8" t="s">
        <v>301</v>
      </c>
      <c r="C1850" s="18" t="s">
        <v>2610</v>
      </c>
      <c r="D1850" s="16">
        <v>65.0</v>
      </c>
    </row>
    <row r="1851">
      <c r="A1851" s="8" t="s">
        <v>3044</v>
      </c>
      <c r="B1851" s="8" t="s">
        <v>1339</v>
      </c>
      <c r="C1851" s="18" t="s">
        <v>2554</v>
      </c>
      <c r="D1851" s="16">
        <v>76.0</v>
      </c>
    </row>
    <row r="1852">
      <c r="A1852" s="8" t="s">
        <v>428</v>
      </c>
      <c r="B1852" s="8" t="s">
        <v>429</v>
      </c>
      <c r="C1852" s="18" t="s">
        <v>2567</v>
      </c>
      <c r="D1852" s="16">
        <v>83.0</v>
      </c>
    </row>
    <row r="1853">
      <c r="A1853" s="8" t="s">
        <v>428</v>
      </c>
      <c r="B1853" s="8" t="s">
        <v>429</v>
      </c>
      <c r="C1853" s="18" t="s">
        <v>2567</v>
      </c>
      <c r="D1853" s="16">
        <v>88.0</v>
      </c>
    </row>
    <row r="1854">
      <c r="A1854" s="8" t="s">
        <v>709</v>
      </c>
      <c r="B1854" s="8" t="s">
        <v>1473</v>
      </c>
      <c r="C1854" s="18" t="s">
        <v>2598</v>
      </c>
      <c r="D1854" s="16">
        <v>73.0</v>
      </c>
    </row>
    <row r="1855">
      <c r="A1855" s="8" t="s">
        <v>1024</v>
      </c>
      <c r="B1855" s="8" t="s">
        <v>121</v>
      </c>
      <c r="C1855" s="18" t="s">
        <v>2560</v>
      </c>
      <c r="D1855" s="16">
        <v>73.0</v>
      </c>
    </row>
    <row r="1856">
      <c r="A1856" s="8" t="s">
        <v>1310</v>
      </c>
      <c r="B1856" s="8" t="s">
        <v>134</v>
      </c>
      <c r="C1856" s="18" t="s">
        <v>2600</v>
      </c>
      <c r="D1856" s="16">
        <v>80.0</v>
      </c>
    </row>
    <row r="1857">
      <c r="A1857" s="8" t="s">
        <v>796</v>
      </c>
      <c r="B1857" s="8" t="s">
        <v>409</v>
      </c>
      <c r="C1857" s="18" t="s">
        <v>2566</v>
      </c>
      <c r="D1857" s="16">
        <v>72.0</v>
      </c>
    </row>
    <row r="1858">
      <c r="A1858" s="8" t="s">
        <v>796</v>
      </c>
      <c r="B1858" s="8" t="s">
        <v>1035</v>
      </c>
      <c r="C1858" s="18" t="s">
        <v>2566</v>
      </c>
      <c r="D1858" s="16">
        <v>78.0</v>
      </c>
    </row>
    <row r="1859">
      <c r="A1859" s="8" t="s">
        <v>1614</v>
      </c>
      <c r="B1859" s="8" t="s">
        <v>322</v>
      </c>
      <c r="C1859" s="18" t="s">
        <v>2560</v>
      </c>
      <c r="D1859" s="16">
        <v>71.0</v>
      </c>
    </row>
    <row r="1860">
      <c r="A1860" s="8" t="s">
        <v>313</v>
      </c>
      <c r="B1860" s="8" t="s">
        <v>247</v>
      </c>
      <c r="C1860" s="18" t="s">
        <v>2552</v>
      </c>
      <c r="D1860" s="16">
        <v>67.0</v>
      </c>
    </row>
    <row r="1861">
      <c r="A1861" s="8" t="s">
        <v>314</v>
      </c>
      <c r="B1861" s="8" t="s">
        <v>212</v>
      </c>
      <c r="C1861" s="18" t="s">
        <v>2183</v>
      </c>
      <c r="D1861" s="16">
        <v>82.0</v>
      </c>
    </row>
    <row r="1862">
      <c r="A1862" s="8" t="s">
        <v>314</v>
      </c>
      <c r="B1862" s="8" t="s">
        <v>315</v>
      </c>
      <c r="C1862" s="18" t="s">
        <v>2585</v>
      </c>
      <c r="D1862" s="16">
        <v>87.0</v>
      </c>
    </row>
    <row r="1863">
      <c r="A1863" s="8" t="s">
        <v>3045</v>
      </c>
      <c r="B1863" s="8" t="s">
        <v>41</v>
      </c>
      <c r="C1863" s="18" t="s">
        <v>2593</v>
      </c>
      <c r="D1863" s="16">
        <v>71.0</v>
      </c>
    </row>
    <row r="1864">
      <c r="A1864" s="8" t="s">
        <v>173</v>
      </c>
      <c r="B1864" s="18" t="s">
        <v>174</v>
      </c>
      <c r="C1864" s="18" t="s">
        <v>2589</v>
      </c>
      <c r="D1864" s="16">
        <v>75.0</v>
      </c>
    </row>
    <row r="1865">
      <c r="A1865" s="8" t="s">
        <v>3046</v>
      </c>
      <c r="B1865" s="8" t="s">
        <v>3047</v>
      </c>
      <c r="C1865" s="18" t="s">
        <v>2564</v>
      </c>
      <c r="D1865" s="16">
        <v>68.0</v>
      </c>
    </row>
    <row r="1866">
      <c r="A1866" s="8" t="s">
        <v>430</v>
      </c>
      <c r="B1866" s="8" t="s">
        <v>431</v>
      </c>
      <c r="C1866" s="18" t="s">
        <v>2574</v>
      </c>
      <c r="D1866" s="16">
        <v>85.0</v>
      </c>
    </row>
    <row r="1867">
      <c r="A1867" s="8" t="s">
        <v>1025</v>
      </c>
      <c r="B1867" s="8" t="s">
        <v>1026</v>
      </c>
      <c r="C1867" s="18" t="s">
        <v>2614</v>
      </c>
      <c r="D1867" s="16">
        <v>62.0</v>
      </c>
    </row>
    <row r="1868">
      <c r="A1868" s="8" t="s">
        <v>3048</v>
      </c>
      <c r="B1868" s="8" t="s">
        <v>252</v>
      </c>
      <c r="C1868" s="18" t="s">
        <v>2593</v>
      </c>
      <c r="D1868" s="16">
        <v>63.0</v>
      </c>
    </row>
    <row r="1869">
      <c r="A1869" s="8" t="s">
        <v>2243</v>
      </c>
      <c r="B1869" s="8" t="s">
        <v>480</v>
      </c>
      <c r="C1869" s="18" t="s">
        <v>2575</v>
      </c>
      <c r="D1869" s="16">
        <v>68.0</v>
      </c>
    </row>
    <row r="1870">
      <c r="A1870" s="8" t="s">
        <v>1027</v>
      </c>
      <c r="B1870" s="8" t="s">
        <v>1028</v>
      </c>
      <c r="C1870" s="18" t="s">
        <v>2552</v>
      </c>
      <c r="D1870" s="16">
        <v>75.0</v>
      </c>
    </row>
    <row r="1871">
      <c r="A1871" s="8" t="s">
        <v>3049</v>
      </c>
      <c r="B1871" s="8" t="s">
        <v>3050</v>
      </c>
      <c r="C1871" s="18" t="s">
        <v>2574</v>
      </c>
      <c r="D1871" s="16">
        <v>71.0</v>
      </c>
    </row>
    <row r="1872">
      <c r="A1872" s="8" t="s">
        <v>1311</v>
      </c>
      <c r="B1872" s="8" t="s">
        <v>1312</v>
      </c>
      <c r="C1872" s="18" t="s">
        <v>2556</v>
      </c>
      <c r="D1872" s="16">
        <v>70.0</v>
      </c>
    </row>
    <row r="1873">
      <c r="A1873" s="8" t="s">
        <v>1615</v>
      </c>
      <c r="B1873" s="8" t="s">
        <v>381</v>
      </c>
      <c r="C1873" s="18" t="s">
        <v>2620</v>
      </c>
      <c r="D1873" s="16">
        <v>79.0</v>
      </c>
    </row>
    <row r="1874">
      <c r="A1874" s="8" t="s">
        <v>601</v>
      </c>
      <c r="B1874" s="8" t="s">
        <v>569</v>
      </c>
      <c r="C1874" s="18" t="s">
        <v>2560</v>
      </c>
      <c r="D1874" s="16">
        <v>69.0</v>
      </c>
    </row>
    <row r="1875">
      <c r="A1875" s="8" t="s">
        <v>601</v>
      </c>
      <c r="B1875" s="8" t="s">
        <v>23</v>
      </c>
      <c r="C1875" s="18" t="s">
        <v>2567</v>
      </c>
      <c r="D1875" s="16">
        <v>79.0</v>
      </c>
    </row>
    <row r="1876">
      <c r="A1876" s="8" t="s">
        <v>1619</v>
      </c>
      <c r="B1876" s="8" t="s">
        <v>744</v>
      </c>
      <c r="C1876" s="18" t="s">
        <v>2605</v>
      </c>
      <c r="D1876" s="16">
        <v>77.0</v>
      </c>
    </row>
    <row r="1877">
      <c r="A1877" s="8" t="s">
        <v>1619</v>
      </c>
      <c r="B1877" s="8" t="s">
        <v>1620</v>
      </c>
      <c r="C1877" s="18" t="s">
        <v>2621</v>
      </c>
      <c r="D1877" s="16">
        <v>71.0</v>
      </c>
    </row>
    <row r="1878">
      <c r="A1878" s="8" t="s">
        <v>3051</v>
      </c>
      <c r="B1878" s="8" t="s">
        <v>357</v>
      </c>
      <c r="C1878" s="18" t="s">
        <v>2592</v>
      </c>
      <c r="D1878" s="16">
        <v>76.0</v>
      </c>
    </row>
    <row r="1879">
      <c r="A1879" s="8" t="s">
        <v>3052</v>
      </c>
      <c r="B1879" s="8" t="s">
        <v>1784</v>
      </c>
      <c r="C1879" s="18" t="s">
        <v>2575</v>
      </c>
      <c r="D1879" s="16">
        <v>76.0</v>
      </c>
    </row>
    <row r="1880">
      <c r="A1880" s="8" t="s">
        <v>797</v>
      </c>
      <c r="B1880" s="8" t="s">
        <v>798</v>
      </c>
      <c r="C1880" s="18" t="s">
        <v>2574</v>
      </c>
      <c r="D1880" s="16">
        <v>66.0</v>
      </c>
    </row>
    <row r="1881">
      <c r="A1881" s="8" t="s">
        <v>3053</v>
      </c>
      <c r="B1881" s="8" t="s">
        <v>301</v>
      </c>
      <c r="C1881" s="18" t="s">
        <v>2581</v>
      </c>
      <c r="D1881" s="16">
        <v>86.0</v>
      </c>
    </row>
    <row r="1882">
      <c r="A1882" s="8" t="s">
        <v>1974</v>
      </c>
      <c r="B1882" s="8" t="s">
        <v>241</v>
      </c>
      <c r="C1882" s="18" t="s">
        <v>2554</v>
      </c>
      <c r="D1882" s="16">
        <v>67.0</v>
      </c>
    </row>
    <row r="1883">
      <c r="A1883" s="8" t="s">
        <v>432</v>
      </c>
      <c r="B1883" s="8" t="s">
        <v>433</v>
      </c>
      <c r="C1883" s="18" t="s">
        <v>2560</v>
      </c>
      <c r="D1883" s="16">
        <v>76.0</v>
      </c>
    </row>
    <row r="1884">
      <c r="A1884" s="8" t="s">
        <v>1313</v>
      </c>
      <c r="B1884" s="8" t="s">
        <v>33</v>
      </c>
      <c r="C1884" s="18" t="s">
        <v>2575</v>
      </c>
      <c r="D1884" s="16">
        <v>68.0</v>
      </c>
    </row>
    <row r="1885">
      <c r="A1885" s="8" t="s">
        <v>1032</v>
      </c>
      <c r="B1885" s="8" t="s">
        <v>117</v>
      </c>
      <c r="C1885" s="18" t="s">
        <v>2562</v>
      </c>
      <c r="D1885" s="16">
        <v>66.0</v>
      </c>
    </row>
    <row r="1886">
      <c r="A1886" s="8" t="s">
        <v>175</v>
      </c>
      <c r="B1886" s="8" t="s">
        <v>176</v>
      </c>
      <c r="C1886" s="18" t="s">
        <v>2600</v>
      </c>
      <c r="D1886" s="16">
        <v>69.0</v>
      </c>
    </row>
    <row r="1887">
      <c r="A1887" s="8" t="s">
        <v>3054</v>
      </c>
      <c r="B1887" s="8" t="s">
        <v>33</v>
      </c>
      <c r="C1887" s="18" t="s">
        <v>2567</v>
      </c>
      <c r="D1887" s="16">
        <v>77.0</v>
      </c>
    </row>
    <row r="1888">
      <c r="A1888" s="8" t="s">
        <v>3055</v>
      </c>
      <c r="B1888" s="8" t="s">
        <v>800</v>
      </c>
      <c r="C1888" s="18" t="s">
        <v>2554</v>
      </c>
      <c r="D1888" s="16">
        <v>86.0</v>
      </c>
    </row>
    <row r="1889">
      <c r="A1889" s="8" t="s">
        <v>1616</v>
      </c>
      <c r="B1889" s="8" t="s">
        <v>214</v>
      </c>
      <c r="C1889" s="18" t="s">
        <v>2552</v>
      </c>
      <c r="D1889" s="16">
        <v>69.0</v>
      </c>
    </row>
    <row r="1890">
      <c r="A1890" s="8" t="s">
        <v>1617</v>
      </c>
      <c r="B1890" s="8" t="s">
        <v>1618</v>
      </c>
      <c r="C1890" s="18" t="s">
        <v>2564</v>
      </c>
      <c r="D1890" s="16">
        <v>72.0</v>
      </c>
    </row>
    <row r="1891">
      <c r="A1891" s="8" t="s">
        <v>1972</v>
      </c>
      <c r="B1891" s="8" t="s">
        <v>1973</v>
      </c>
      <c r="C1891" s="18" t="s">
        <v>2593</v>
      </c>
      <c r="D1891" s="16">
        <v>68.0</v>
      </c>
    </row>
    <row r="1892">
      <c r="A1892" s="8" t="s">
        <v>3056</v>
      </c>
      <c r="B1892" s="8" t="s">
        <v>943</v>
      </c>
      <c r="C1892" s="18" t="s">
        <v>2645</v>
      </c>
      <c r="D1892" s="16">
        <v>66.0</v>
      </c>
    </row>
    <row r="1893">
      <c r="A1893" s="8" t="s">
        <v>99</v>
      </c>
      <c r="B1893" s="8" t="s">
        <v>100</v>
      </c>
      <c r="C1893" s="18" t="s">
        <v>2582</v>
      </c>
      <c r="D1893" s="16">
        <v>83.0</v>
      </c>
    </row>
    <row r="1894">
      <c r="A1894" s="8" t="s">
        <v>99</v>
      </c>
      <c r="B1894" s="8" t="s">
        <v>277</v>
      </c>
      <c r="C1894" s="18" t="s">
        <v>2589</v>
      </c>
      <c r="D1894" s="16">
        <v>76.0</v>
      </c>
    </row>
    <row r="1895">
      <c r="A1895" s="8" t="s">
        <v>99</v>
      </c>
      <c r="B1895" s="8" t="s">
        <v>277</v>
      </c>
      <c r="C1895" s="18" t="s">
        <v>2574</v>
      </c>
      <c r="D1895" s="16">
        <v>66.0</v>
      </c>
    </row>
    <row r="1896">
      <c r="A1896" s="8" t="s">
        <v>99</v>
      </c>
      <c r="B1896" s="8" t="s">
        <v>1379</v>
      </c>
      <c r="C1896" s="18" t="s">
        <v>2567</v>
      </c>
      <c r="D1896" s="16">
        <v>75.0</v>
      </c>
    </row>
    <row r="1897">
      <c r="A1897" s="8" t="s">
        <v>99</v>
      </c>
      <c r="B1897" s="8" t="s">
        <v>249</v>
      </c>
      <c r="C1897" s="18" t="s">
        <v>2587</v>
      </c>
      <c r="D1897" s="16">
        <v>83.0</v>
      </c>
    </row>
    <row r="1898">
      <c r="A1898" s="8" t="s">
        <v>99</v>
      </c>
      <c r="B1898" s="8" t="s">
        <v>249</v>
      </c>
      <c r="C1898" s="18" t="s">
        <v>2582</v>
      </c>
      <c r="D1898" s="16">
        <v>84.0</v>
      </c>
    </row>
    <row r="1899">
      <c r="A1899" s="8" t="s">
        <v>99</v>
      </c>
      <c r="B1899" s="8" t="s">
        <v>249</v>
      </c>
      <c r="C1899" s="18" t="s">
        <v>2582</v>
      </c>
      <c r="D1899" s="16">
        <v>82.0</v>
      </c>
    </row>
    <row r="1900">
      <c r="A1900" s="8" t="s">
        <v>99</v>
      </c>
      <c r="B1900" s="8" t="s">
        <v>249</v>
      </c>
      <c r="C1900" s="18" t="s">
        <v>2587</v>
      </c>
      <c r="D1900" s="16">
        <v>90.0</v>
      </c>
    </row>
    <row r="1901">
      <c r="A1901" s="8" t="s">
        <v>99</v>
      </c>
      <c r="B1901" s="8" t="s">
        <v>249</v>
      </c>
      <c r="C1901" s="18" t="s">
        <v>2587</v>
      </c>
      <c r="D1901" s="16">
        <v>86.0</v>
      </c>
    </row>
    <row r="1902">
      <c r="A1902" s="8" t="s">
        <v>99</v>
      </c>
      <c r="B1902" s="8" t="s">
        <v>249</v>
      </c>
      <c r="C1902" s="18" t="s">
        <v>2587</v>
      </c>
      <c r="D1902" s="16">
        <v>88.0</v>
      </c>
    </row>
    <row r="1903">
      <c r="A1903" s="8" t="s">
        <v>99</v>
      </c>
      <c r="B1903" s="8" t="s">
        <v>275</v>
      </c>
      <c r="C1903" s="18" t="s">
        <v>2615</v>
      </c>
      <c r="D1903" s="16">
        <v>70.0</v>
      </c>
    </row>
    <row r="1904">
      <c r="A1904" s="8" t="s">
        <v>99</v>
      </c>
      <c r="B1904" s="8" t="s">
        <v>1029</v>
      </c>
      <c r="C1904" s="18" t="s">
        <v>2615</v>
      </c>
      <c r="D1904" s="16">
        <v>70.0</v>
      </c>
    </row>
    <row r="1905">
      <c r="A1905" s="8" t="s">
        <v>99</v>
      </c>
      <c r="B1905" s="18" t="s">
        <v>3057</v>
      </c>
      <c r="C1905" s="18" t="s">
        <v>2645</v>
      </c>
      <c r="D1905" s="16">
        <v>65.0</v>
      </c>
    </row>
    <row r="1906">
      <c r="A1906" s="8" t="s">
        <v>99</v>
      </c>
      <c r="B1906" s="8" t="s">
        <v>217</v>
      </c>
      <c r="C1906" s="18" t="s">
        <v>2560</v>
      </c>
      <c r="D1906" s="16">
        <v>70.0</v>
      </c>
    </row>
    <row r="1907">
      <c r="A1907" s="8" t="s">
        <v>99</v>
      </c>
      <c r="B1907" s="8" t="s">
        <v>1314</v>
      </c>
      <c r="C1907" s="18" t="s">
        <v>2592</v>
      </c>
      <c r="D1907" s="16">
        <v>76.0</v>
      </c>
    </row>
    <row r="1908">
      <c r="A1908" s="8" t="s">
        <v>99</v>
      </c>
      <c r="B1908" s="8" t="s">
        <v>129</v>
      </c>
      <c r="C1908" s="18" t="s">
        <v>2581</v>
      </c>
      <c r="D1908" s="16">
        <v>65.0</v>
      </c>
    </row>
    <row r="1909">
      <c r="A1909" s="8" t="s">
        <v>99</v>
      </c>
      <c r="B1909" s="8" t="s">
        <v>177</v>
      </c>
      <c r="C1909" s="18" t="s">
        <v>2592</v>
      </c>
      <c r="D1909" s="16">
        <v>77.0</v>
      </c>
    </row>
    <row r="1910">
      <c r="A1910" s="8" t="s">
        <v>99</v>
      </c>
      <c r="B1910" s="8" t="s">
        <v>3058</v>
      </c>
      <c r="C1910" s="18" t="s">
        <v>2598</v>
      </c>
      <c r="D1910" s="16">
        <v>63.0</v>
      </c>
    </row>
    <row r="1911">
      <c r="A1911" s="8" t="s">
        <v>99</v>
      </c>
      <c r="B1911" s="8" t="s">
        <v>239</v>
      </c>
      <c r="C1911" s="18" t="s">
        <v>2572</v>
      </c>
      <c r="D1911" s="16">
        <v>74.0</v>
      </c>
    </row>
    <row r="1912">
      <c r="A1912" s="8" t="s">
        <v>99</v>
      </c>
      <c r="B1912" s="8" t="s">
        <v>377</v>
      </c>
      <c r="C1912" s="18" t="s">
        <v>2552</v>
      </c>
      <c r="D1912" s="16">
        <v>88.0</v>
      </c>
    </row>
    <row r="1913">
      <c r="A1913" s="8" t="s">
        <v>99</v>
      </c>
      <c r="B1913" s="8" t="s">
        <v>2245</v>
      </c>
      <c r="C1913" s="18" t="s">
        <v>2598</v>
      </c>
      <c r="D1913" s="16">
        <v>70.0</v>
      </c>
    </row>
    <row r="1914">
      <c r="A1914" s="8" t="s">
        <v>99</v>
      </c>
      <c r="B1914" s="8" t="s">
        <v>1971</v>
      </c>
      <c r="C1914" s="18" t="s">
        <v>2614</v>
      </c>
      <c r="D1914" s="16">
        <v>78.0</v>
      </c>
    </row>
    <row r="1915">
      <c r="A1915" s="8" t="s">
        <v>99</v>
      </c>
      <c r="B1915" s="8" t="s">
        <v>204</v>
      </c>
      <c r="C1915" s="18" t="s">
        <v>2575</v>
      </c>
      <c r="D1915" s="16">
        <v>85.0</v>
      </c>
    </row>
    <row r="1916">
      <c r="A1916" s="8" t="s">
        <v>99</v>
      </c>
      <c r="B1916" s="8" t="s">
        <v>1975</v>
      </c>
      <c r="C1916" s="18" t="s">
        <v>2621</v>
      </c>
      <c r="D1916" s="16">
        <v>73.0</v>
      </c>
    </row>
    <row r="1917">
      <c r="A1917" s="8" t="s">
        <v>99</v>
      </c>
      <c r="B1917" s="8" t="s">
        <v>782</v>
      </c>
      <c r="C1917" s="18" t="s">
        <v>2556</v>
      </c>
      <c r="D1917" s="16">
        <v>66.0</v>
      </c>
    </row>
    <row r="1918">
      <c r="A1918" s="8" t="s">
        <v>99</v>
      </c>
      <c r="B1918" s="8" t="s">
        <v>42</v>
      </c>
      <c r="C1918" s="18" t="s">
        <v>2556</v>
      </c>
      <c r="D1918" s="16">
        <v>67.0</v>
      </c>
    </row>
    <row r="1919">
      <c r="A1919" s="8" t="s">
        <v>99</v>
      </c>
      <c r="B1919" s="8" t="s">
        <v>283</v>
      </c>
      <c r="C1919" s="18" t="s">
        <v>2585</v>
      </c>
      <c r="D1919" s="16">
        <v>73.0</v>
      </c>
    </row>
    <row r="1920">
      <c r="A1920" s="8" t="s">
        <v>99</v>
      </c>
      <c r="B1920" s="8" t="s">
        <v>634</v>
      </c>
      <c r="C1920" s="18" t="s">
        <v>2581</v>
      </c>
      <c r="D1920" s="16">
        <v>68.0</v>
      </c>
    </row>
    <row r="1921">
      <c r="A1921" s="8" t="s">
        <v>99</v>
      </c>
      <c r="B1921" s="8" t="s">
        <v>1107</v>
      </c>
      <c r="C1921" s="18" t="s">
        <v>2582</v>
      </c>
      <c r="D1921" s="16">
        <v>77.0</v>
      </c>
    </row>
    <row r="1922">
      <c r="A1922" s="8" t="s">
        <v>99</v>
      </c>
      <c r="B1922" s="8" t="s">
        <v>1033</v>
      </c>
      <c r="C1922" s="18" t="s">
        <v>2614</v>
      </c>
      <c r="D1922" s="16">
        <v>71.0</v>
      </c>
    </row>
    <row r="1923">
      <c r="A1923" s="8" t="s">
        <v>99</v>
      </c>
      <c r="B1923" s="8" t="s">
        <v>2419</v>
      </c>
      <c r="C1923" s="18" t="s">
        <v>2605</v>
      </c>
      <c r="D1923" s="16">
        <v>79.0</v>
      </c>
    </row>
    <row r="1924">
      <c r="A1924" s="8" t="s">
        <v>99</v>
      </c>
      <c r="B1924" s="8" t="s">
        <v>67</v>
      </c>
      <c r="C1924" s="18" t="s">
        <v>2592</v>
      </c>
      <c r="D1924" s="16">
        <v>69.0</v>
      </c>
    </row>
    <row r="1925">
      <c r="A1925" s="8" t="s">
        <v>99</v>
      </c>
      <c r="B1925" s="8" t="s">
        <v>1295</v>
      </c>
      <c r="C1925" s="18" t="s">
        <v>2566</v>
      </c>
      <c r="D1925" s="16">
        <v>65.0</v>
      </c>
    </row>
    <row r="1926">
      <c r="A1926" s="8" t="s">
        <v>99</v>
      </c>
      <c r="B1926" s="8" t="s">
        <v>801</v>
      </c>
      <c r="C1926" s="18" t="s">
        <v>2584</v>
      </c>
      <c r="D1926" s="16">
        <v>85.0</v>
      </c>
    </row>
    <row r="1927">
      <c r="A1927" s="8" t="s">
        <v>99</v>
      </c>
      <c r="B1927" s="8" t="s">
        <v>983</v>
      </c>
      <c r="C1927" s="18" t="s">
        <v>2183</v>
      </c>
      <c r="D1927" s="16">
        <v>71.0</v>
      </c>
    </row>
    <row r="1928">
      <c r="A1928" s="8" t="s">
        <v>99</v>
      </c>
      <c r="B1928" s="8" t="s">
        <v>434</v>
      </c>
      <c r="C1928" s="18" t="s">
        <v>2574</v>
      </c>
      <c r="D1928" s="16">
        <v>76.0</v>
      </c>
    </row>
    <row r="1929">
      <c r="A1929" s="8" t="s">
        <v>99</v>
      </c>
      <c r="B1929" s="8" t="s">
        <v>2247</v>
      </c>
      <c r="C1929" s="18" t="s">
        <v>2183</v>
      </c>
      <c r="D1929" s="16">
        <v>72.0</v>
      </c>
    </row>
    <row r="1930">
      <c r="A1930" s="8" t="s">
        <v>99</v>
      </c>
      <c r="B1930" s="18" t="s">
        <v>3059</v>
      </c>
      <c r="C1930" s="18" t="s">
        <v>2595</v>
      </c>
      <c r="D1930" s="16">
        <v>75.0</v>
      </c>
    </row>
    <row r="1931">
      <c r="A1931" s="8" t="s">
        <v>99</v>
      </c>
      <c r="B1931" s="8" t="s">
        <v>1045</v>
      </c>
      <c r="C1931" s="18" t="s">
        <v>2621</v>
      </c>
      <c r="D1931" s="16">
        <v>66.0</v>
      </c>
    </row>
    <row r="1932">
      <c r="A1932" s="8" t="s">
        <v>99</v>
      </c>
      <c r="B1932" s="8" t="s">
        <v>802</v>
      </c>
      <c r="C1932" s="18" t="s">
        <v>2614</v>
      </c>
      <c r="D1932" s="16">
        <v>88.0</v>
      </c>
    </row>
    <row r="1933">
      <c r="A1933" s="8" t="s">
        <v>99</v>
      </c>
      <c r="B1933" s="18" t="s">
        <v>1315</v>
      </c>
      <c r="C1933" s="18" t="s">
        <v>2575</v>
      </c>
      <c r="D1933" s="16">
        <v>70.0</v>
      </c>
    </row>
    <row r="1934">
      <c r="A1934" s="8" t="s">
        <v>3060</v>
      </c>
      <c r="B1934" s="8" t="s">
        <v>247</v>
      </c>
      <c r="C1934" s="18" t="s">
        <v>2603</v>
      </c>
      <c r="D1934" s="16">
        <v>70.0</v>
      </c>
    </row>
    <row r="1935">
      <c r="A1935" s="8" t="s">
        <v>3061</v>
      </c>
      <c r="B1935" s="18" t="s">
        <v>521</v>
      </c>
      <c r="C1935" s="18" t="s">
        <v>2620</v>
      </c>
      <c r="D1935" s="16">
        <v>62.0</v>
      </c>
    </row>
    <row r="1936">
      <c r="A1936" s="8" t="s">
        <v>2420</v>
      </c>
      <c r="B1936" s="8" t="s">
        <v>2421</v>
      </c>
      <c r="C1936" s="18" t="s">
        <v>2577</v>
      </c>
      <c r="D1936" s="16">
        <v>80.0</v>
      </c>
    </row>
    <row r="1937">
      <c r="A1937" s="8" t="s">
        <v>3062</v>
      </c>
      <c r="B1937" s="8" t="s">
        <v>3063</v>
      </c>
      <c r="C1937" s="18" t="s">
        <v>2582</v>
      </c>
      <c r="D1937" s="16">
        <v>62.0</v>
      </c>
    </row>
    <row r="1938">
      <c r="A1938" s="8" t="s">
        <v>1976</v>
      </c>
      <c r="B1938" s="8" t="s">
        <v>1977</v>
      </c>
      <c r="C1938" s="18" t="s">
        <v>2584</v>
      </c>
      <c r="D1938" s="16">
        <v>72.0</v>
      </c>
    </row>
    <row r="1939">
      <c r="A1939" s="8" t="s">
        <v>1978</v>
      </c>
      <c r="B1939" s="8" t="s">
        <v>1979</v>
      </c>
      <c r="C1939" s="18" t="s">
        <v>2581</v>
      </c>
      <c r="D1939" s="16">
        <v>70.0</v>
      </c>
    </row>
    <row r="1940">
      <c r="A1940" s="8" t="s">
        <v>3064</v>
      </c>
      <c r="B1940" s="8" t="s">
        <v>1317</v>
      </c>
      <c r="C1940" s="18" t="s">
        <v>2575</v>
      </c>
      <c r="D1940" s="16">
        <v>75.0</v>
      </c>
    </row>
    <row r="1941">
      <c r="A1941" s="8" t="s">
        <v>3065</v>
      </c>
      <c r="B1941" s="8" t="s">
        <v>3066</v>
      </c>
      <c r="C1941" s="18" t="s">
        <v>2566</v>
      </c>
      <c r="D1941" s="16">
        <v>67.0</v>
      </c>
    </row>
    <row r="1942">
      <c r="A1942" s="8" t="s">
        <v>316</v>
      </c>
      <c r="B1942" s="8" t="s">
        <v>317</v>
      </c>
      <c r="C1942" s="18" t="s">
        <v>2566</v>
      </c>
      <c r="D1942" s="16">
        <v>82.0</v>
      </c>
    </row>
    <row r="1943">
      <c r="A1943" s="8" t="s">
        <v>602</v>
      </c>
      <c r="B1943" s="8" t="s">
        <v>197</v>
      </c>
      <c r="C1943" s="18" t="s">
        <v>2183</v>
      </c>
      <c r="D1943" s="16">
        <v>73.0</v>
      </c>
    </row>
    <row r="1944">
      <c r="A1944" s="8" t="s">
        <v>3067</v>
      </c>
      <c r="B1944" s="8" t="s">
        <v>3068</v>
      </c>
      <c r="C1944" s="18" t="s">
        <v>2574</v>
      </c>
      <c r="D1944" s="16">
        <v>71.0</v>
      </c>
    </row>
    <row r="1945">
      <c r="A1945" s="8" t="s">
        <v>435</v>
      </c>
      <c r="B1945" s="8" t="s">
        <v>436</v>
      </c>
      <c r="C1945" s="18" t="s">
        <v>2605</v>
      </c>
      <c r="D1945" s="16">
        <v>68.0</v>
      </c>
    </row>
    <row r="1946">
      <c r="A1946" s="8" t="s">
        <v>3069</v>
      </c>
      <c r="B1946" s="8" t="s">
        <v>3070</v>
      </c>
      <c r="C1946" s="18" t="s">
        <v>2582</v>
      </c>
      <c r="D1946" s="16">
        <v>72.0</v>
      </c>
    </row>
    <row r="1947">
      <c r="A1947" s="8" t="s">
        <v>803</v>
      </c>
      <c r="B1947" s="8" t="s">
        <v>804</v>
      </c>
      <c r="C1947" s="18" t="s">
        <v>2621</v>
      </c>
      <c r="D1947" s="16">
        <v>78.0</v>
      </c>
    </row>
    <row r="1948">
      <c r="A1948" s="8" t="s">
        <v>2250</v>
      </c>
      <c r="B1948" s="8" t="s">
        <v>859</v>
      </c>
      <c r="C1948" s="18" t="s">
        <v>2183</v>
      </c>
      <c r="D1948" s="16">
        <v>74.0</v>
      </c>
    </row>
    <row r="1949">
      <c r="A1949" s="8" t="s">
        <v>1034</v>
      </c>
      <c r="B1949" s="8" t="s">
        <v>957</v>
      </c>
      <c r="C1949" s="18" t="s">
        <v>2581</v>
      </c>
      <c r="D1949" s="16">
        <v>75.0</v>
      </c>
    </row>
    <row r="1950">
      <c r="A1950" s="8" t="s">
        <v>1034</v>
      </c>
      <c r="B1950" s="8" t="s">
        <v>1621</v>
      </c>
      <c r="C1950" s="18" t="s">
        <v>2592</v>
      </c>
      <c r="D1950" s="16">
        <v>74.0</v>
      </c>
    </row>
    <row r="1951">
      <c r="A1951" s="8" t="s">
        <v>1622</v>
      </c>
      <c r="B1951" s="8" t="s">
        <v>45</v>
      </c>
      <c r="C1951" s="18" t="s">
        <v>2558</v>
      </c>
      <c r="D1951" s="16">
        <v>71.0</v>
      </c>
    </row>
    <row r="1952">
      <c r="A1952" s="8" t="s">
        <v>1623</v>
      </c>
      <c r="B1952" s="8" t="s">
        <v>822</v>
      </c>
      <c r="C1952" s="18" t="s">
        <v>2582</v>
      </c>
      <c r="D1952" s="16">
        <v>69.0</v>
      </c>
    </row>
    <row r="1953">
      <c r="A1953" s="8" t="s">
        <v>3071</v>
      </c>
      <c r="B1953" s="8" t="s">
        <v>153</v>
      </c>
      <c r="C1953" s="18" t="s">
        <v>2564</v>
      </c>
      <c r="D1953" s="16">
        <v>75.0</v>
      </c>
    </row>
    <row r="1954">
      <c r="A1954" s="8" t="s">
        <v>437</v>
      </c>
      <c r="B1954" s="8" t="s">
        <v>438</v>
      </c>
      <c r="C1954" s="18" t="s">
        <v>2572</v>
      </c>
      <c r="D1954" s="16">
        <v>65.0</v>
      </c>
    </row>
    <row r="1955">
      <c r="A1955" s="8" t="s">
        <v>3072</v>
      </c>
      <c r="B1955" s="8" t="s">
        <v>2423</v>
      </c>
      <c r="C1955" s="18" t="s">
        <v>2558</v>
      </c>
      <c r="D1955" s="16">
        <v>68.0</v>
      </c>
    </row>
    <row r="1956">
      <c r="A1956" s="8" t="s">
        <v>318</v>
      </c>
      <c r="B1956" s="8" t="s">
        <v>176</v>
      </c>
      <c r="C1956" s="18" t="s">
        <v>2554</v>
      </c>
      <c r="D1956" s="16">
        <v>83.0</v>
      </c>
    </row>
    <row r="1957">
      <c r="A1957" s="8" t="s">
        <v>318</v>
      </c>
      <c r="B1957" s="8" t="s">
        <v>176</v>
      </c>
      <c r="C1957" s="18" t="s">
        <v>2554</v>
      </c>
      <c r="D1957" s="16">
        <v>89.0</v>
      </c>
    </row>
    <row r="1958">
      <c r="A1958" s="8" t="s">
        <v>101</v>
      </c>
      <c r="B1958" s="8" t="s">
        <v>102</v>
      </c>
      <c r="C1958" s="18" t="s">
        <v>2585</v>
      </c>
      <c r="D1958" s="16">
        <v>84.0</v>
      </c>
    </row>
    <row r="1959">
      <c r="A1959" s="8" t="s">
        <v>805</v>
      </c>
      <c r="B1959" s="8" t="s">
        <v>151</v>
      </c>
      <c r="C1959" s="18" t="s">
        <v>2587</v>
      </c>
      <c r="D1959" s="16">
        <v>69.0</v>
      </c>
    </row>
    <row r="1960">
      <c r="A1960" s="8" t="s">
        <v>548</v>
      </c>
      <c r="B1960" s="8" t="s">
        <v>1624</v>
      </c>
      <c r="C1960" s="18" t="s">
        <v>2575</v>
      </c>
      <c r="D1960" s="16">
        <v>79.0</v>
      </c>
    </row>
    <row r="1961">
      <c r="A1961" s="8" t="s">
        <v>103</v>
      </c>
      <c r="B1961" s="8" t="s">
        <v>20</v>
      </c>
      <c r="C1961" s="18" t="s">
        <v>2615</v>
      </c>
      <c r="D1961" s="16">
        <v>73.0</v>
      </c>
    </row>
    <row r="1962">
      <c r="A1962" s="8" t="s">
        <v>3073</v>
      </c>
      <c r="B1962" s="8" t="s">
        <v>669</v>
      </c>
      <c r="C1962" s="18" t="s">
        <v>2615</v>
      </c>
      <c r="D1962" s="16">
        <v>75.0</v>
      </c>
    </row>
    <row r="1963">
      <c r="A1963" s="8" t="s">
        <v>1035</v>
      </c>
      <c r="B1963" s="8" t="s">
        <v>1036</v>
      </c>
      <c r="C1963" s="18" t="s">
        <v>2645</v>
      </c>
      <c r="D1963" s="16">
        <v>71.0</v>
      </c>
    </row>
    <row r="1964">
      <c r="A1964" s="8" t="s">
        <v>1037</v>
      </c>
      <c r="B1964" s="8" t="s">
        <v>480</v>
      </c>
      <c r="C1964" s="18" t="s">
        <v>2581</v>
      </c>
      <c r="D1964" s="16">
        <v>69.0</v>
      </c>
    </row>
    <row r="1965">
      <c r="A1965" s="8" t="s">
        <v>3074</v>
      </c>
      <c r="B1965" s="8" t="s">
        <v>2922</v>
      </c>
      <c r="C1965" s="18" t="s">
        <v>2645</v>
      </c>
      <c r="D1965" s="16">
        <v>61.0</v>
      </c>
    </row>
    <row r="1966">
      <c r="A1966" s="8" t="s">
        <v>1625</v>
      </c>
      <c r="B1966" s="8" t="s">
        <v>3075</v>
      </c>
      <c r="C1966" s="18" t="s">
        <v>2560</v>
      </c>
      <c r="D1966" s="16">
        <v>73.0</v>
      </c>
    </row>
    <row r="1967">
      <c r="A1967" s="8" t="s">
        <v>1625</v>
      </c>
      <c r="B1967" s="8" t="s">
        <v>1643</v>
      </c>
      <c r="C1967" s="18" t="s">
        <v>2620</v>
      </c>
      <c r="D1967" s="16">
        <v>78.0</v>
      </c>
    </row>
    <row r="1968">
      <c r="A1968" s="8" t="s">
        <v>1625</v>
      </c>
      <c r="B1968" s="8" t="s">
        <v>1626</v>
      </c>
      <c r="C1968" s="18" t="s">
        <v>2567</v>
      </c>
      <c r="D1968" s="16">
        <v>68.0</v>
      </c>
    </row>
    <row r="1969">
      <c r="A1969" s="8" t="s">
        <v>1625</v>
      </c>
      <c r="B1969" s="8" t="s">
        <v>842</v>
      </c>
      <c r="C1969" s="18" t="s">
        <v>2566</v>
      </c>
      <c r="D1969" s="16">
        <v>80.0</v>
      </c>
    </row>
    <row r="1970">
      <c r="A1970" s="8" t="s">
        <v>1625</v>
      </c>
      <c r="B1970" s="8" t="s">
        <v>1627</v>
      </c>
      <c r="C1970" s="18" t="s">
        <v>2566</v>
      </c>
      <c r="D1970" s="16">
        <v>65.0</v>
      </c>
    </row>
    <row r="1971">
      <c r="A1971" s="8" t="s">
        <v>3076</v>
      </c>
      <c r="B1971" s="18" t="s">
        <v>2254</v>
      </c>
      <c r="C1971" s="18" t="s">
        <v>2592</v>
      </c>
      <c r="D1971" s="16">
        <v>74.0</v>
      </c>
    </row>
    <row r="1972">
      <c r="A1972" s="8" t="s">
        <v>1038</v>
      </c>
      <c r="B1972" s="8" t="s">
        <v>333</v>
      </c>
      <c r="C1972" s="18" t="s">
        <v>2581</v>
      </c>
      <c r="D1972" s="16">
        <v>79.0</v>
      </c>
    </row>
    <row r="1973">
      <c r="A1973" s="8" t="s">
        <v>319</v>
      </c>
      <c r="B1973" s="8" t="s">
        <v>320</v>
      </c>
      <c r="C1973" s="18" t="s">
        <v>2621</v>
      </c>
      <c r="D1973" s="16">
        <v>72.0</v>
      </c>
    </row>
    <row r="1974">
      <c r="A1974" s="8" t="s">
        <v>3077</v>
      </c>
      <c r="B1974" s="8" t="s">
        <v>1033</v>
      </c>
      <c r="C1974" s="18" t="s">
        <v>2587</v>
      </c>
      <c r="D1974" s="16">
        <v>71.0</v>
      </c>
    </row>
    <row r="1975">
      <c r="A1975" s="8" t="s">
        <v>2255</v>
      </c>
      <c r="B1975" s="8" t="s">
        <v>2256</v>
      </c>
      <c r="C1975" s="18" t="s">
        <v>2585</v>
      </c>
      <c r="D1975" s="16">
        <v>69.0</v>
      </c>
    </row>
    <row r="1976">
      <c r="A1976" s="8" t="s">
        <v>3078</v>
      </c>
      <c r="B1976" s="8" t="s">
        <v>3079</v>
      </c>
      <c r="C1976" s="18" t="s">
        <v>2645</v>
      </c>
      <c r="D1976" s="16">
        <v>63.0</v>
      </c>
    </row>
    <row r="1977">
      <c r="A1977" s="8" t="s">
        <v>2257</v>
      </c>
      <c r="B1977" s="8" t="s">
        <v>124</v>
      </c>
      <c r="C1977" s="18" t="s">
        <v>2582</v>
      </c>
      <c r="D1977" s="16">
        <v>69.0</v>
      </c>
    </row>
    <row r="1978">
      <c r="A1978" s="8" t="s">
        <v>321</v>
      </c>
      <c r="B1978" s="8" t="s">
        <v>322</v>
      </c>
      <c r="C1978" s="18" t="s">
        <v>2595</v>
      </c>
      <c r="D1978" s="16">
        <v>71.0</v>
      </c>
    </row>
    <row r="1979">
      <c r="A1979" s="8" t="s">
        <v>3080</v>
      </c>
      <c r="B1979" s="8" t="s">
        <v>1376</v>
      </c>
      <c r="C1979" s="18" t="s">
        <v>2572</v>
      </c>
      <c r="D1979" s="16">
        <v>79.0</v>
      </c>
    </row>
    <row r="1980">
      <c r="A1980" s="18" t="s">
        <v>807</v>
      </c>
      <c r="B1980" s="8" t="s">
        <v>596</v>
      </c>
      <c r="C1980" s="18" t="s">
        <v>2621</v>
      </c>
      <c r="D1980" s="16">
        <v>71.0</v>
      </c>
    </row>
    <row r="1981">
      <c r="A1981" s="8" t="s">
        <v>227</v>
      </c>
      <c r="B1981" s="8" t="s">
        <v>67</v>
      </c>
      <c r="C1981" s="18" t="s">
        <v>2621</v>
      </c>
      <c r="D1981" s="16">
        <v>77.0</v>
      </c>
    </row>
    <row r="1982">
      <c r="A1982" s="8" t="s">
        <v>1631</v>
      </c>
      <c r="B1982" s="8" t="s">
        <v>317</v>
      </c>
      <c r="C1982" s="18" t="s">
        <v>2564</v>
      </c>
      <c r="D1982" s="16">
        <v>67.0</v>
      </c>
    </row>
    <row r="1983">
      <c r="A1983" s="8" t="s">
        <v>76</v>
      </c>
      <c r="B1983" s="8" t="s">
        <v>77</v>
      </c>
      <c r="C1983" s="18" t="s">
        <v>2575</v>
      </c>
      <c r="D1983" s="16">
        <v>82.0</v>
      </c>
    </row>
    <row r="1984">
      <c r="A1984" s="8" t="s">
        <v>76</v>
      </c>
      <c r="B1984" s="8" t="s">
        <v>77</v>
      </c>
      <c r="C1984" s="18" t="s">
        <v>2575</v>
      </c>
      <c r="D1984" s="16">
        <v>86.0</v>
      </c>
    </row>
    <row r="1985">
      <c r="A1985" s="8" t="s">
        <v>228</v>
      </c>
      <c r="B1985" s="8" t="s">
        <v>229</v>
      </c>
      <c r="C1985" s="18" t="s">
        <v>2593</v>
      </c>
      <c r="D1985" s="16">
        <v>88.0</v>
      </c>
    </row>
    <row r="1986">
      <c r="A1986" s="8" t="s">
        <v>228</v>
      </c>
      <c r="B1986" s="8" t="s">
        <v>229</v>
      </c>
      <c r="C1986" s="18" t="s">
        <v>2593</v>
      </c>
      <c r="D1986" s="16">
        <v>92.0</v>
      </c>
    </row>
    <row r="1987">
      <c r="A1987" s="8" t="s">
        <v>1632</v>
      </c>
      <c r="B1987" s="8" t="s">
        <v>23</v>
      </c>
      <c r="C1987" s="18" t="s">
        <v>2593</v>
      </c>
      <c r="D1987" s="16">
        <v>79.0</v>
      </c>
    </row>
    <row r="1988">
      <c r="A1988" s="8" t="s">
        <v>230</v>
      </c>
      <c r="B1988" s="8" t="s">
        <v>231</v>
      </c>
      <c r="C1988" s="18" t="s">
        <v>2582</v>
      </c>
      <c r="D1988" s="16">
        <v>62.0</v>
      </c>
    </row>
    <row r="1989">
      <c r="A1989" s="8" t="s">
        <v>3081</v>
      </c>
      <c r="B1989" s="8" t="s">
        <v>690</v>
      </c>
      <c r="C1989" s="18" t="s">
        <v>2621</v>
      </c>
      <c r="D1989" s="16">
        <v>67.0</v>
      </c>
    </row>
    <row r="1990">
      <c r="A1990" s="8" t="s">
        <v>1984</v>
      </c>
      <c r="B1990" s="8" t="s">
        <v>52</v>
      </c>
      <c r="C1990" s="18" t="s">
        <v>2577</v>
      </c>
      <c r="D1990" s="16">
        <v>69.0</v>
      </c>
    </row>
    <row r="1991">
      <c r="A1991" s="8" t="s">
        <v>1984</v>
      </c>
      <c r="B1991" s="8" t="s">
        <v>2259</v>
      </c>
      <c r="C1991" s="18" t="s">
        <v>2620</v>
      </c>
      <c r="D1991" s="16">
        <v>77.0</v>
      </c>
    </row>
    <row r="1992">
      <c r="A1992" s="8" t="s">
        <v>1634</v>
      </c>
      <c r="B1992" s="8" t="s">
        <v>1635</v>
      </c>
      <c r="C1992" s="18" t="s">
        <v>2614</v>
      </c>
      <c r="D1992" s="16">
        <v>73.0</v>
      </c>
    </row>
    <row r="1993">
      <c r="A1993" s="8" t="s">
        <v>808</v>
      </c>
      <c r="B1993" s="18" t="s">
        <v>529</v>
      </c>
      <c r="C1993" s="18" t="s">
        <v>2582</v>
      </c>
      <c r="D1993" s="16">
        <v>84.0</v>
      </c>
    </row>
    <row r="1994">
      <c r="A1994" s="8" t="s">
        <v>2428</v>
      </c>
      <c r="B1994" s="8" t="s">
        <v>301</v>
      </c>
      <c r="C1994" s="18" t="s">
        <v>2564</v>
      </c>
      <c r="D1994" s="16">
        <v>67.0</v>
      </c>
    </row>
    <row r="1995">
      <c r="A1995" s="8" t="s">
        <v>439</v>
      </c>
      <c r="B1995" s="18" t="s">
        <v>440</v>
      </c>
      <c r="C1995" s="18" t="s">
        <v>2645</v>
      </c>
      <c r="D1995" s="16">
        <v>76.0</v>
      </c>
    </row>
    <row r="1996">
      <c r="A1996" s="8" t="s">
        <v>1987</v>
      </c>
      <c r="B1996" s="8" t="s">
        <v>67</v>
      </c>
      <c r="C1996" s="18" t="s">
        <v>2556</v>
      </c>
      <c r="D1996" s="16">
        <v>73.0</v>
      </c>
    </row>
    <row r="1997">
      <c r="A1997" s="8" t="s">
        <v>3082</v>
      </c>
      <c r="B1997" s="8" t="s">
        <v>527</v>
      </c>
      <c r="C1997" s="18" t="s">
        <v>2567</v>
      </c>
      <c r="D1997" s="16">
        <v>66.0</v>
      </c>
    </row>
    <row r="1998">
      <c r="A1998" s="8" t="s">
        <v>2432</v>
      </c>
      <c r="B1998" s="8" t="s">
        <v>2433</v>
      </c>
      <c r="C1998" s="18" t="s">
        <v>2554</v>
      </c>
      <c r="D1998" s="16">
        <v>73.0</v>
      </c>
    </row>
    <row r="1999">
      <c r="A1999" s="8" t="s">
        <v>178</v>
      </c>
      <c r="B1999" s="8" t="s">
        <v>179</v>
      </c>
      <c r="C1999" s="18" t="s">
        <v>2593</v>
      </c>
      <c r="D1999" s="16">
        <v>86.0</v>
      </c>
    </row>
    <row r="2000">
      <c r="A2000" s="8" t="s">
        <v>3083</v>
      </c>
      <c r="B2000" s="8" t="s">
        <v>782</v>
      </c>
      <c r="C2000" s="18" t="s">
        <v>2592</v>
      </c>
      <c r="D2000" s="16">
        <v>71.0</v>
      </c>
    </row>
    <row r="2001">
      <c r="A2001" s="8" t="s">
        <v>1636</v>
      </c>
      <c r="B2001" s="8" t="s">
        <v>1637</v>
      </c>
      <c r="C2001" s="18" t="s">
        <v>2581</v>
      </c>
      <c r="D2001" s="16">
        <v>74.0</v>
      </c>
    </row>
    <row r="2002">
      <c r="A2002" s="8" t="s">
        <v>326</v>
      </c>
      <c r="B2002" s="8" t="s">
        <v>67</v>
      </c>
      <c r="C2002" s="18" t="s">
        <v>2581</v>
      </c>
      <c r="D2002" s="16">
        <v>79.0</v>
      </c>
    </row>
    <row r="2003">
      <c r="A2003" s="8" t="s">
        <v>3084</v>
      </c>
      <c r="B2003" s="8" t="s">
        <v>357</v>
      </c>
      <c r="C2003" s="18" t="s">
        <v>2614</v>
      </c>
      <c r="D2003" s="16">
        <v>74.0</v>
      </c>
    </row>
    <row r="2004">
      <c r="A2004" s="8" t="s">
        <v>1039</v>
      </c>
      <c r="B2004" s="8" t="s">
        <v>1040</v>
      </c>
      <c r="C2004" s="18" t="s">
        <v>2585</v>
      </c>
      <c r="D2004" s="16">
        <v>80.0</v>
      </c>
    </row>
    <row r="2005">
      <c r="A2005" s="8" t="s">
        <v>324</v>
      </c>
      <c r="B2005" s="8" t="s">
        <v>2431</v>
      </c>
      <c r="C2005" s="18" t="s">
        <v>2610</v>
      </c>
      <c r="D2005" s="16">
        <v>69.0</v>
      </c>
    </row>
    <row r="2006">
      <c r="A2006" s="8" t="s">
        <v>3085</v>
      </c>
      <c r="B2006" s="8" t="s">
        <v>325</v>
      </c>
      <c r="C2006" s="18" t="s">
        <v>2554</v>
      </c>
      <c r="D2006" s="16">
        <v>85.0</v>
      </c>
    </row>
    <row r="2007">
      <c r="A2007" s="8" t="s">
        <v>1638</v>
      </c>
      <c r="B2007" s="8" t="s">
        <v>1639</v>
      </c>
      <c r="C2007" s="18" t="s">
        <v>2585</v>
      </c>
      <c r="D2007" s="16">
        <v>62.0</v>
      </c>
    </row>
    <row r="2008">
      <c r="A2008" s="8" t="s">
        <v>603</v>
      </c>
      <c r="B2008" s="8" t="s">
        <v>604</v>
      </c>
      <c r="C2008" s="18" t="s">
        <v>2556</v>
      </c>
      <c r="D2008" s="16">
        <v>75.0</v>
      </c>
    </row>
    <row r="2009">
      <c r="A2009" s="8" t="s">
        <v>441</v>
      </c>
      <c r="B2009" s="8" t="s">
        <v>810</v>
      </c>
      <c r="C2009" s="18" t="s">
        <v>2589</v>
      </c>
      <c r="D2009" s="16">
        <v>79.0</v>
      </c>
    </row>
    <row r="2010">
      <c r="A2010" s="8" t="s">
        <v>441</v>
      </c>
      <c r="B2010" s="8" t="s">
        <v>263</v>
      </c>
      <c r="C2010" s="18" t="s">
        <v>2620</v>
      </c>
      <c r="D2010" s="16">
        <v>71.0</v>
      </c>
    </row>
    <row r="2011">
      <c r="A2011" s="8" t="s">
        <v>441</v>
      </c>
      <c r="B2011" s="8" t="s">
        <v>1993</v>
      </c>
      <c r="C2011" s="18" t="s">
        <v>2585</v>
      </c>
      <c r="D2011" s="16">
        <v>69.0</v>
      </c>
    </row>
    <row r="2012">
      <c r="A2012" s="8" t="s">
        <v>441</v>
      </c>
      <c r="B2012" s="8" t="s">
        <v>552</v>
      </c>
      <c r="C2012" s="18" t="s">
        <v>2558</v>
      </c>
      <c r="D2012" s="16">
        <v>76.0</v>
      </c>
    </row>
    <row r="2013">
      <c r="A2013" s="8" t="s">
        <v>441</v>
      </c>
      <c r="B2013" s="8" t="s">
        <v>1033</v>
      </c>
      <c r="C2013" s="18" t="s">
        <v>2610</v>
      </c>
      <c r="D2013" s="16">
        <v>67.0</v>
      </c>
    </row>
    <row r="2014">
      <c r="A2014" s="8" t="s">
        <v>441</v>
      </c>
      <c r="B2014" s="8" t="s">
        <v>162</v>
      </c>
      <c r="C2014" s="18" t="s">
        <v>2582</v>
      </c>
      <c r="D2014" s="16">
        <v>90.0</v>
      </c>
    </row>
    <row r="2015">
      <c r="A2015" s="8" t="s">
        <v>441</v>
      </c>
      <c r="B2015" s="8" t="s">
        <v>162</v>
      </c>
      <c r="C2015" s="18" t="s">
        <v>2582</v>
      </c>
      <c r="D2015" s="16">
        <v>83.0</v>
      </c>
    </row>
    <row r="2016">
      <c r="A2016" s="8" t="s">
        <v>441</v>
      </c>
      <c r="B2016" s="8" t="s">
        <v>162</v>
      </c>
      <c r="C2016" s="18" t="s">
        <v>2582</v>
      </c>
      <c r="D2016" s="16">
        <v>82.0</v>
      </c>
    </row>
    <row r="2017">
      <c r="A2017" s="8" t="s">
        <v>441</v>
      </c>
      <c r="B2017" s="8" t="s">
        <v>162</v>
      </c>
      <c r="C2017" s="18" t="s">
        <v>2582</v>
      </c>
      <c r="D2017" s="16">
        <v>86.0</v>
      </c>
    </row>
    <row r="2018">
      <c r="A2018" s="8" t="s">
        <v>441</v>
      </c>
      <c r="B2018" s="8" t="s">
        <v>162</v>
      </c>
      <c r="C2018" s="18" t="s">
        <v>2582</v>
      </c>
      <c r="D2018" s="16">
        <v>84.0</v>
      </c>
    </row>
    <row r="2019">
      <c r="A2019" s="8" t="s">
        <v>441</v>
      </c>
      <c r="B2019" s="8" t="s">
        <v>1994</v>
      </c>
      <c r="C2019" s="18" t="s">
        <v>2621</v>
      </c>
      <c r="D2019" s="16">
        <v>74.0</v>
      </c>
    </row>
    <row r="2020">
      <c r="A2020" s="8" t="s">
        <v>441</v>
      </c>
      <c r="B2020" s="8" t="s">
        <v>334</v>
      </c>
      <c r="C2020" s="18" t="s">
        <v>2585</v>
      </c>
      <c r="D2020" s="16">
        <v>73.0</v>
      </c>
    </row>
    <row r="2021">
      <c r="A2021" s="8" t="s">
        <v>441</v>
      </c>
      <c r="B2021" s="8" t="s">
        <v>442</v>
      </c>
      <c r="C2021" s="18" t="s">
        <v>2615</v>
      </c>
      <c r="D2021" s="16">
        <v>80.0</v>
      </c>
    </row>
    <row r="2022">
      <c r="A2022" s="8" t="s">
        <v>441</v>
      </c>
      <c r="B2022" s="8" t="s">
        <v>1640</v>
      </c>
      <c r="C2022" s="18" t="s">
        <v>2581</v>
      </c>
      <c r="D2022" s="16">
        <v>73.0</v>
      </c>
    </row>
    <row r="2023">
      <c r="A2023" s="8" t="s">
        <v>3086</v>
      </c>
      <c r="B2023" s="8" t="s">
        <v>2124</v>
      </c>
      <c r="C2023" s="18" t="s">
        <v>2582</v>
      </c>
      <c r="D2023" s="16">
        <v>74.0</v>
      </c>
    </row>
    <row r="2024">
      <c r="A2024" s="8" t="s">
        <v>1989</v>
      </c>
      <c r="B2024" s="8" t="s">
        <v>1990</v>
      </c>
      <c r="C2024" s="18" t="s">
        <v>2587</v>
      </c>
      <c r="D2024" s="16">
        <v>73.0</v>
      </c>
    </row>
    <row r="2025">
      <c r="A2025" s="18" t="s">
        <v>3087</v>
      </c>
      <c r="B2025" s="8" t="s">
        <v>3088</v>
      </c>
      <c r="C2025" s="18" t="s">
        <v>2595</v>
      </c>
      <c r="D2025" s="16">
        <v>80.0</v>
      </c>
    </row>
    <row r="2026">
      <c r="A2026" s="8" t="s">
        <v>1992</v>
      </c>
      <c r="B2026" s="8" t="s">
        <v>41</v>
      </c>
      <c r="C2026" s="18" t="s">
        <v>2572</v>
      </c>
      <c r="D2026" s="16">
        <v>66.0</v>
      </c>
    </row>
    <row r="2027">
      <c r="A2027" s="8" t="s">
        <v>605</v>
      </c>
      <c r="B2027" s="8" t="s">
        <v>11</v>
      </c>
      <c r="C2027" s="18" t="s">
        <v>2552</v>
      </c>
      <c r="D2027" s="16">
        <v>84.0</v>
      </c>
    </row>
    <row r="2028">
      <c r="A2028" s="8" t="s">
        <v>62</v>
      </c>
      <c r="B2028" s="8" t="s">
        <v>121</v>
      </c>
      <c r="C2028" s="18" t="s">
        <v>2584</v>
      </c>
      <c r="D2028" s="16">
        <v>74.0</v>
      </c>
    </row>
    <row r="2029">
      <c r="A2029" s="8" t="s">
        <v>62</v>
      </c>
      <c r="B2029" s="8" t="s">
        <v>117</v>
      </c>
      <c r="C2029" s="18" t="s">
        <v>2615</v>
      </c>
      <c r="D2029" s="16">
        <v>72.0</v>
      </c>
    </row>
    <row r="2030">
      <c r="A2030" s="8" t="s">
        <v>62</v>
      </c>
      <c r="B2030" s="18" t="s">
        <v>3089</v>
      </c>
      <c r="C2030" s="18" t="s">
        <v>2183</v>
      </c>
      <c r="D2030" s="16">
        <v>70.0</v>
      </c>
    </row>
    <row r="2031">
      <c r="A2031" s="8" t="s">
        <v>62</v>
      </c>
      <c r="B2031" s="8" t="s">
        <v>327</v>
      </c>
      <c r="C2031" s="18" t="s">
        <v>2620</v>
      </c>
      <c r="D2031" s="16">
        <v>83.0</v>
      </c>
    </row>
    <row r="2032">
      <c r="A2032" s="8" t="s">
        <v>62</v>
      </c>
      <c r="B2032" s="8" t="s">
        <v>1641</v>
      </c>
      <c r="C2032" s="18" t="s">
        <v>2620</v>
      </c>
      <c r="D2032" s="16">
        <v>67.0</v>
      </c>
    </row>
    <row r="2033">
      <c r="A2033" s="8" t="s">
        <v>62</v>
      </c>
      <c r="B2033" s="8" t="s">
        <v>1312</v>
      </c>
      <c r="C2033" s="18" t="s">
        <v>2574</v>
      </c>
      <c r="D2033" s="16">
        <v>71.0</v>
      </c>
    </row>
    <row r="2034">
      <c r="A2034" s="8" t="s">
        <v>62</v>
      </c>
      <c r="B2034" s="8" t="s">
        <v>102</v>
      </c>
      <c r="C2034" s="18" t="s">
        <v>2614</v>
      </c>
      <c r="D2034" s="16">
        <v>76.0</v>
      </c>
    </row>
    <row r="2035">
      <c r="A2035" s="8" t="s">
        <v>62</v>
      </c>
      <c r="B2035" s="8" t="s">
        <v>263</v>
      </c>
      <c r="C2035" s="18" t="s">
        <v>2562</v>
      </c>
      <c r="D2035" s="16">
        <v>66.0</v>
      </c>
    </row>
    <row r="2036">
      <c r="A2036" s="8" t="s">
        <v>62</v>
      </c>
      <c r="B2036" s="8" t="s">
        <v>2991</v>
      </c>
      <c r="C2036" s="18" t="s">
        <v>2645</v>
      </c>
      <c r="D2036" s="16">
        <v>60.0</v>
      </c>
    </row>
    <row r="2037">
      <c r="A2037" s="8" t="s">
        <v>62</v>
      </c>
      <c r="B2037" s="8" t="s">
        <v>524</v>
      </c>
      <c r="C2037" s="18" t="s">
        <v>2560</v>
      </c>
      <c r="D2037" s="16">
        <v>62.0</v>
      </c>
    </row>
    <row r="2038">
      <c r="A2038" s="8" t="s">
        <v>62</v>
      </c>
      <c r="B2038" s="8" t="s">
        <v>222</v>
      </c>
      <c r="C2038" s="18" t="s">
        <v>2587</v>
      </c>
      <c r="D2038" s="16">
        <v>71.0</v>
      </c>
    </row>
    <row r="2039">
      <c r="A2039" s="8" t="s">
        <v>62</v>
      </c>
      <c r="B2039" s="8" t="s">
        <v>137</v>
      </c>
      <c r="C2039" s="18" t="s">
        <v>2566</v>
      </c>
      <c r="D2039" s="16">
        <v>75.0</v>
      </c>
    </row>
    <row r="2040">
      <c r="A2040" s="8" t="s">
        <v>62</v>
      </c>
      <c r="B2040" s="8" t="s">
        <v>137</v>
      </c>
      <c r="C2040" s="18" t="s">
        <v>2595</v>
      </c>
      <c r="D2040" s="16">
        <v>86.0</v>
      </c>
    </row>
    <row r="2041">
      <c r="A2041" s="8" t="s">
        <v>62</v>
      </c>
      <c r="B2041" s="8" t="s">
        <v>183</v>
      </c>
      <c r="C2041" s="18" t="s">
        <v>2593</v>
      </c>
      <c r="D2041" s="16">
        <v>67.0</v>
      </c>
    </row>
    <row r="2042">
      <c r="A2042" s="8" t="s">
        <v>62</v>
      </c>
      <c r="B2042" s="8" t="s">
        <v>337</v>
      </c>
      <c r="C2042" s="18" t="s">
        <v>2566</v>
      </c>
      <c r="D2042" s="16">
        <v>66.0</v>
      </c>
    </row>
    <row r="2043">
      <c r="A2043" s="8" t="s">
        <v>62</v>
      </c>
      <c r="B2043" s="8" t="s">
        <v>1642</v>
      </c>
      <c r="C2043" s="18" t="s">
        <v>2615</v>
      </c>
      <c r="D2043" s="16">
        <v>66.0</v>
      </c>
    </row>
    <row r="2044">
      <c r="A2044" s="8" t="s">
        <v>62</v>
      </c>
      <c r="B2044" s="8" t="s">
        <v>1995</v>
      </c>
      <c r="C2044" s="18" t="s">
        <v>2585</v>
      </c>
      <c r="D2044" s="16">
        <v>75.0</v>
      </c>
    </row>
    <row r="2045">
      <c r="A2045" s="8" t="s">
        <v>3090</v>
      </c>
      <c r="B2045" s="8" t="s">
        <v>443</v>
      </c>
      <c r="C2045" s="18" t="s">
        <v>2603</v>
      </c>
      <c r="D2045" s="16">
        <v>87.0</v>
      </c>
    </row>
    <row r="2046">
      <c r="A2046" s="8" t="s">
        <v>444</v>
      </c>
      <c r="B2046" s="8" t="s">
        <v>366</v>
      </c>
      <c r="C2046" s="18" t="s">
        <v>2645</v>
      </c>
      <c r="D2046" s="16">
        <v>64.0</v>
      </c>
    </row>
    <row r="2047">
      <c r="A2047" s="8" t="s">
        <v>444</v>
      </c>
      <c r="B2047" s="8" t="s">
        <v>275</v>
      </c>
      <c r="C2047" s="18" t="s">
        <v>2562</v>
      </c>
      <c r="D2047" s="16">
        <v>68.0</v>
      </c>
    </row>
    <row r="2048">
      <c r="A2048" s="8" t="s">
        <v>444</v>
      </c>
      <c r="B2048" s="8" t="s">
        <v>275</v>
      </c>
      <c r="C2048" s="18" t="s">
        <v>2582</v>
      </c>
      <c r="D2048" s="16">
        <v>78.0</v>
      </c>
    </row>
    <row r="2049">
      <c r="A2049" s="8" t="s">
        <v>444</v>
      </c>
      <c r="B2049" s="8" t="s">
        <v>1643</v>
      </c>
      <c r="C2049" s="18" t="s">
        <v>2566</v>
      </c>
      <c r="D2049" s="16">
        <v>71.0</v>
      </c>
    </row>
    <row r="2050">
      <c r="A2050" s="8" t="s">
        <v>444</v>
      </c>
      <c r="B2050" s="8" t="s">
        <v>445</v>
      </c>
      <c r="C2050" s="18" t="s">
        <v>2614</v>
      </c>
      <c r="D2050" s="16">
        <v>74.0</v>
      </c>
    </row>
    <row r="2051">
      <c r="A2051" s="8" t="s">
        <v>444</v>
      </c>
      <c r="B2051" s="8" t="s">
        <v>1241</v>
      </c>
      <c r="C2051" s="18" t="s">
        <v>2574</v>
      </c>
      <c r="D2051" s="16">
        <v>80.0</v>
      </c>
    </row>
    <row r="2052">
      <c r="A2052" s="8" t="s">
        <v>444</v>
      </c>
      <c r="B2052" s="8" t="s">
        <v>1996</v>
      </c>
      <c r="C2052" s="18" t="s">
        <v>2603</v>
      </c>
      <c r="D2052" s="16">
        <v>72.0</v>
      </c>
    </row>
    <row r="2053">
      <c r="A2053" s="8" t="s">
        <v>606</v>
      </c>
      <c r="B2053" s="8" t="s">
        <v>607</v>
      </c>
      <c r="C2053" s="18" t="s">
        <v>2603</v>
      </c>
      <c r="D2053" s="16">
        <v>65.0</v>
      </c>
    </row>
    <row r="2054">
      <c r="A2054" s="8" t="s">
        <v>1318</v>
      </c>
      <c r="B2054" s="8" t="s">
        <v>102</v>
      </c>
      <c r="C2054" s="18" t="s">
        <v>2600</v>
      </c>
      <c r="D2054" s="16">
        <v>80.0</v>
      </c>
    </row>
    <row r="2055">
      <c r="A2055" s="8" t="s">
        <v>3091</v>
      </c>
      <c r="B2055" s="8" t="s">
        <v>524</v>
      </c>
      <c r="C2055" s="18" t="s">
        <v>2645</v>
      </c>
      <c r="D2055" s="16">
        <v>61.0</v>
      </c>
    </row>
    <row r="2056">
      <c r="A2056" s="8" t="s">
        <v>3092</v>
      </c>
      <c r="B2056" s="8" t="s">
        <v>23</v>
      </c>
      <c r="C2056" s="18" t="s">
        <v>2605</v>
      </c>
      <c r="D2056" s="16">
        <v>75.0</v>
      </c>
    </row>
    <row r="2057">
      <c r="A2057" s="8" t="s">
        <v>3093</v>
      </c>
      <c r="B2057" s="8" t="s">
        <v>33</v>
      </c>
      <c r="C2057" s="18" t="s">
        <v>2600</v>
      </c>
      <c r="D2057" s="16">
        <v>71.0</v>
      </c>
    </row>
    <row r="2058">
      <c r="A2058" s="8" t="s">
        <v>3094</v>
      </c>
      <c r="B2058" s="8" t="s">
        <v>360</v>
      </c>
      <c r="C2058" s="18" t="s">
        <v>2552</v>
      </c>
      <c r="D2058" s="16">
        <v>67.0</v>
      </c>
    </row>
    <row r="2059">
      <c r="A2059" s="8" t="s">
        <v>812</v>
      </c>
      <c r="B2059" s="8" t="s">
        <v>211</v>
      </c>
      <c r="C2059" s="18" t="s">
        <v>2554</v>
      </c>
      <c r="D2059" s="16">
        <v>75.0</v>
      </c>
    </row>
    <row r="2060">
      <c r="A2060" s="8" t="s">
        <v>15</v>
      </c>
      <c r="B2060" s="8" t="s">
        <v>52</v>
      </c>
      <c r="C2060" s="18" t="s">
        <v>2595</v>
      </c>
      <c r="D2060" s="16">
        <v>63.0</v>
      </c>
    </row>
    <row r="2061">
      <c r="A2061" s="8" t="s">
        <v>1041</v>
      </c>
      <c r="B2061" s="8" t="s">
        <v>1644</v>
      </c>
      <c r="C2061" s="18" t="s">
        <v>2566</v>
      </c>
      <c r="D2061" s="16">
        <v>77.0</v>
      </c>
    </row>
    <row r="2062">
      <c r="A2062" s="8" t="s">
        <v>1041</v>
      </c>
      <c r="B2062" s="8" t="s">
        <v>129</v>
      </c>
      <c r="C2062" s="18" t="s">
        <v>2560</v>
      </c>
      <c r="D2062" s="16">
        <v>70.0</v>
      </c>
    </row>
    <row r="2063">
      <c r="A2063" s="8" t="s">
        <v>1041</v>
      </c>
      <c r="B2063" s="8" t="s">
        <v>1042</v>
      </c>
      <c r="C2063" s="18" t="s">
        <v>2585</v>
      </c>
      <c r="D2063" s="16">
        <v>76.0</v>
      </c>
    </row>
    <row r="2064">
      <c r="A2064" s="8" t="s">
        <v>1645</v>
      </c>
      <c r="B2064" s="8" t="s">
        <v>349</v>
      </c>
      <c r="C2064" s="18" t="s">
        <v>2572</v>
      </c>
      <c r="D2064" s="16">
        <v>62.0</v>
      </c>
    </row>
    <row r="2065">
      <c r="A2065" s="8" t="s">
        <v>3095</v>
      </c>
      <c r="B2065" s="8" t="s">
        <v>1756</v>
      </c>
      <c r="C2065" s="18" t="s">
        <v>2585</v>
      </c>
      <c r="D2065" s="16">
        <v>79.0</v>
      </c>
    </row>
    <row r="2066">
      <c r="A2066" s="8" t="s">
        <v>3096</v>
      </c>
      <c r="B2066" s="8" t="s">
        <v>63</v>
      </c>
      <c r="C2066" s="18" t="s">
        <v>2577</v>
      </c>
      <c r="D2066" s="16">
        <v>66.0</v>
      </c>
    </row>
    <row r="2067">
      <c r="A2067" s="8" t="s">
        <v>1998</v>
      </c>
      <c r="B2067" s="8" t="s">
        <v>782</v>
      </c>
      <c r="C2067" s="18" t="s">
        <v>2587</v>
      </c>
      <c r="D2067" s="16">
        <v>68.0</v>
      </c>
    </row>
    <row r="2068">
      <c r="A2068" s="8" t="s">
        <v>1997</v>
      </c>
      <c r="B2068" s="8" t="s">
        <v>532</v>
      </c>
      <c r="C2068" s="18" t="s">
        <v>2556</v>
      </c>
      <c r="D2068" s="16">
        <v>77.0</v>
      </c>
    </row>
    <row r="2069">
      <c r="A2069" s="8" t="s">
        <v>472</v>
      </c>
      <c r="B2069" s="8" t="s">
        <v>597</v>
      </c>
      <c r="C2069" s="18" t="s">
        <v>2567</v>
      </c>
      <c r="D2069" s="16">
        <v>68.0</v>
      </c>
    </row>
    <row r="2070">
      <c r="A2070" s="8" t="s">
        <v>3097</v>
      </c>
      <c r="B2070" s="8" t="s">
        <v>3098</v>
      </c>
      <c r="C2070" s="18" t="s">
        <v>2621</v>
      </c>
      <c r="D2070" s="16">
        <v>66.0</v>
      </c>
    </row>
    <row r="2071">
      <c r="A2071" s="8" t="s">
        <v>3099</v>
      </c>
      <c r="B2071" s="8" t="s">
        <v>464</v>
      </c>
      <c r="C2071" s="18" t="s">
        <v>2620</v>
      </c>
      <c r="D2071" s="16">
        <v>69.0</v>
      </c>
    </row>
    <row r="2072">
      <c r="A2072" s="8" t="s">
        <v>2001</v>
      </c>
      <c r="B2072" s="8" t="s">
        <v>2002</v>
      </c>
      <c r="C2072" s="18" t="s">
        <v>2552</v>
      </c>
      <c r="D2072" s="16">
        <v>73.0</v>
      </c>
    </row>
    <row r="2073">
      <c r="A2073" s="8" t="s">
        <v>3100</v>
      </c>
      <c r="B2073" s="8" t="s">
        <v>871</v>
      </c>
      <c r="C2073" s="18" t="s">
        <v>2564</v>
      </c>
      <c r="D2073" s="16">
        <v>69.0</v>
      </c>
    </row>
    <row r="2074">
      <c r="A2074" s="8" t="s">
        <v>813</v>
      </c>
      <c r="B2074" s="18" t="s">
        <v>814</v>
      </c>
      <c r="C2074" s="18" t="s">
        <v>2615</v>
      </c>
      <c r="D2074" s="16">
        <v>77.0</v>
      </c>
    </row>
    <row r="2075">
      <c r="A2075" s="8" t="s">
        <v>608</v>
      </c>
      <c r="B2075" s="8" t="s">
        <v>134</v>
      </c>
      <c r="C2075" s="18" t="s">
        <v>2605</v>
      </c>
      <c r="D2075" s="16">
        <v>84.0</v>
      </c>
    </row>
    <row r="2076">
      <c r="A2076" s="8" t="s">
        <v>608</v>
      </c>
      <c r="B2076" s="8" t="s">
        <v>134</v>
      </c>
      <c r="C2076" s="18" t="s">
        <v>2620</v>
      </c>
      <c r="D2076" s="16">
        <v>88.0</v>
      </c>
    </row>
    <row r="2077">
      <c r="A2077" s="8" t="s">
        <v>1648</v>
      </c>
      <c r="B2077" s="8" t="s">
        <v>427</v>
      </c>
      <c r="C2077" s="18" t="s">
        <v>2605</v>
      </c>
      <c r="D2077" s="16">
        <v>77.0</v>
      </c>
    </row>
    <row r="2078">
      <c r="A2078" s="8" t="s">
        <v>815</v>
      </c>
      <c r="B2078" s="8" t="s">
        <v>816</v>
      </c>
      <c r="C2078" s="18" t="s">
        <v>2598</v>
      </c>
      <c r="D2078" s="16">
        <v>87.0</v>
      </c>
    </row>
    <row r="2079">
      <c r="A2079" s="8" t="s">
        <v>609</v>
      </c>
      <c r="B2079" s="8" t="s">
        <v>381</v>
      </c>
      <c r="C2079" s="18" t="s">
        <v>2575</v>
      </c>
      <c r="D2079" s="16">
        <v>89.0</v>
      </c>
    </row>
    <row r="2080">
      <c r="A2080" s="8" t="s">
        <v>609</v>
      </c>
      <c r="B2080" s="8" t="s">
        <v>247</v>
      </c>
      <c r="C2080" s="18" t="s">
        <v>2577</v>
      </c>
      <c r="D2080" s="16">
        <v>63.0</v>
      </c>
    </row>
    <row r="2081">
      <c r="A2081" s="18" t="s">
        <v>3101</v>
      </c>
      <c r="B2081" s="8" t="s">
        <v>3102</v>
      </c>
      <c r="C2081" s="18" t="s">
        <v>2592</v>
      </c>
      <c r="D2081" s="16">
        <v>71.0</v>
      </c>
    </row>
    <row r="2082">
      <c r="A2082" s="8" t="s">
        <v>1319</v>
      </c>
      <c r="B2082" s="8" t="s">
        <v>694</v>
      </c>
      <c r="C2082" s="18" t="s">
        <v>2577</v>
      </c>
      <c r="D2082" s="16">
        <v>81.0</v>
      </c>
    </row>
    <row r="2083">
      <c r="A2083" s="8" t="s">
        <v>1649</v>
      </c>
      <c r="B2083" s="8" t="s">
        <v>1650</v>
      </c>
      <c r="C2083" s="18" t="s">
        <v>2581</v>
      </c>
      <c r="D2083" s="16">
        <v>77.0</v>
      </c>
    </row>
    <row r="2084">
      <c r="A2084" s="8" t="s">
        <v>1651</v>
      </c>
      <c r="B2084" s="8" t="s">
        <v>301</v>
      </c>
      <c r="C2084" s="18" t="s">
        <v>2610</v>
      </c>
      <c r="D2084" s="16">
        <v>62.0</v>
      </c>
    </row>
    <row r="2085">
      <c r="A2085" s="8" t="s">
        <v>2003</v>
      </c>
      <c r="B2085" s="8" t="s">
        <v>2004</v>
      </c>
      <c r="C2085" s="18" t="s">
        <v>2567</v>
      </c>
      <c r="D2085" s="16">
        <v>72.0</v>
      </c>
    </row>
    <row r="2086">
      <c r="A2086" s="8" t="s">
        <v>3103</v>
      </c>
      <c r="B2086" s="8" t="s">
        <v>337</v>
      </c>
      <c r="C2086" s="18" t="s">
        <v>2567</v>
      </c>
      <c r="D2086" s="16">
        <v>73.0</v>
      </c>
    </row>
    <row r="2087">
      <c r="A2087" s="8" t="s">
        <v>1043</v>
      </c>
      <c r="B2087" s="8" t="s">
        <v>1044</v>
      </c>
      <c r="C2087" s="18" t="s">
        <v>2620</v>
      </c>
      <c r="D2087" s="16">
        <v>69.0</v>
      </c>
    </row>
    <row r="2088">
      <c r="A2088" s="8" t="s">
        <v>1043</v>
      </c>
      <c r="B2088" s="8" t="s">
        <v>1320</v>
      </c>
      <c r="C2088" s="18" t="s">
        <v>2574</v>
      </c>
      <c r="D2088" s="16">
        <v>82.0</v>
      </c>
    </row>
    <row r="2089">
      <c r="A2089" s="8" t="s">
        <v>1045</v>
      </c>
      <c r="B2089" s="8" t="s">
        <v>1046</v>
      </c>
      <c r="C2089" s="18" t="s">
        <v>2600</v>
      </c>
      <c r="D2089" s="16">
        <v>75.0</v>
      </c>
    </row>
    <row r="2090">
      <c r="A2090" s="8" t="s">
        <v>188</v>
      </c>
      <c r="B2090" s="8" t="s">
        <v>183</v>
      </c>
      <c r="C2090" s="18" t="s">
        <v>2603</v>
      </c>
      <c r="D2090" s="16">
        <v>68.0</v>
      </c>
    </row>
    <row r="2091">
      <c r="A2091" s="8" t="s">
        <v>3104</v>
      </c>
      <c r="B2091" s="8" t="s">
        <v>922</v>
      </c>
      <c r="C2091" s="18" t="s">
        <v>2595</v>
      </c>
      <c r="D2091" s="16">
        <v>80.0</v>
      </c>
    </row>
    <row r="2092">
      <c r="A2092" s="8" t="s">
        <v>3105</v>
      </c>
      <c r="B2092" s="8" t="s">
        <v>985</v>
      </c>
      <c r="C2092" s="18" t="s">
        <v>2592</v>
      </c>
      <c r="D2092" s="16">
        <v>78.0</v>
      </c>
    </row>
    <row r="2093">
      <c r="A2093" s="8" t="s">
        <v>817</v>
      </c>
      <c r="B2093" s="8" t="s">
        <v>780</v>
      </c>
      <c r="C2093" s="18" t="s">
        <v>2575</v>
      </c>
      <c r="D2093" s="16">
        <v>70.0</v>
      </c>
    </row>
    <row r="2094">
      <c r="A2094" s="8" t="s">
        <v>1321</v>
      </c>
      <c r="B2094" s="18" t="s">
        <v>521</v>
      </c>
      <c r="C2094" s="18" t="s">
        <v>2610</v>
      </c>
      <c r="D2094" s="16">
        <v>74.0</v>
      </c>
    </row>
    <row r="2095">
      <c r="A2095" s="8" t="s">
        <v>818</v>
      </c>
      <c r="B2095" s="8" t="s">
        <v>333</v>
      </c>
      <c r="C2095" s="18" t="s">
        <v>2645</v>
      </c>
      <c r="D2095" s="16">
        <v>79.0</v>
      </c>
    </row>
    <row r="2096">
      <c r="A2096" s="8" t="s">
        <v>1653</v>
      </c>
      <c r="B2096" s="8" t="s">
        <v>1654</v>
      </c>
      <c r="C2096" s="18" t="s">
        <v>2564</v>
      </c>
      <c r="D2096" s="16">
        <v>63.0</v>
      </c>
    </row>
    <row r="2097">
      <c r="A2097" s="8" t="s">
        <v>1322</v>
      </c>
      <c r="B2097" s="8" t="s">
        <v>2828</v>
      </c>
      <c r="C2097" s="18" t="s">
        <v>2564</v>
      </c>
      <c r="D2097" s="16">
        <v>75.0</v>
      </c>
    </row>
    <row r="2098">
      <c r="A2098" s="8" t="s">
        <v>2006</v>
      </c>
      <c r="B2098" s="8" t="s">
        <v>2007</v>
      </c>
      <c r="C2098" s="18" t="s">
        <v>2558</v>
      </c>
      <c r="D2098" s="16">
        <v>73.0</v>
      </c>
    </row>
    <row r="2099">
      <c r="A2099" s="8" t="s">
        <v>1655</v>
      </c>
      <c r="B2099" s="8" t="s">
        <v>1640</v>
      </c>
      <c r="C2099" s="18" t="s">
        <v>2600</v>
      </c>
      <c r="D2099" s="16">
        <v>73.0</v>
      </c>
    </row>
    <row r="2100">
      <c r="A2100" s="8" t="s">
        <v>2008</v>
      </c>
      <c r="B2100" s="8" t="s">
        <v>1803</v>
      </c>
      <c r="C2100" s="18" t="s">
        <v>2587</v>
      </c>
      <c r="D2100" s="16">
        <v>66.0</v>
      </c>
    </row>
    <row r="2101">
      <c r="A2101" s="8" t="s">
        <v>3106</v>
      </c>
      <c r="B2101" s="8" t="s">
        <v>2066</v>
      </c>
      <c r="C2101" s="18" t="s">
        <v>2554</v>
      </c>
      <c r="D2101" s="16">
        <v>64.0</v>
      </c>
    </row>
    <row r="2102">
      <c r="A2102" s="8" t="s">
        <v>3107</v>
      </c>
      <c r="B2102" s="8" t="s">
        <v>798</v>
      </c>
      <c r="C2102" s="18" t="s">
        <v>2554</v>
      </c>
      <c r="D2102" s="16">
        <v>63.0</v>
      </c>
    </row>
    <row r="2103">
      <c r="A2103" s="8" t="s">
        <v>3108</v>
      </c>
      <c r="B2103" s="8" t="s">
        <v>214</v>
      </c>
      <c r="C2103" s="18" t="s">
        <v>2600</v>
      </c>
      <c r="D2103" s="16">
        <v>78.0</v>
      </c>
    </row>
    <row r="2104">
      <c r="A2104" s="8" t="s">
        <v>3109</v>
      </c>
      <c r="B2104" s="8" t="s">
        <v>124</v>
      </c>
      <c r="C2104" s="18" t="s">
        <v>2574</v>
      </c>
      <c r="D2104" s="16">
        <v>71.0</v>
      </c>
    </row>
    <row r="2105">
      <c r="A2105" s="8" t="s">
        <v>3110</v>
      </c>
      <c r="B2105" s="8" t="s">
        <v>2273</v>
      </c>
      <c r="C2105" s="18" t="s">
        <v>2614</v>
      </c>
      <c r="D2105" s="16">
        <v>76.0</v>
      </c>
    </row>
    <row r="2106">
      <c r="A2106" s="8" t="s">
        <v>2009</v>
      </c>
      <c r="B2106" s="8" t="s">
        <v>1347</v>
      </c>
      <c r="C2106" s="18" t="s">
        <v>2556</v>
      </c>
      <c r="D2106" s="16">
        <v>72.0</v>
      </c>
    </row>
    <row r="2107">
      <c r="A2107" s="8" t="s">
        <v>1325</v>
      </c>
      <c r="B2107" s="8" t="s">
        <v>231</v>
      </c>
      <c r="C2107" s="18" t="s">
        <v>2603</v>
      </c>
      <c r="D2107" s="16">
        <v>70.0</v>
      </c>
    </row>
    <row r="2108">
      <c r="A2108" s="8" t="s">
        <v>2010</v>
      </c>
      <c r="B2108" s="8" t="s">
        <v>2011</v>
      </c>
      <c r="C2108" s="18" t="s">
        <v>2592</v>
      </c>
      <c r="D2108" s="16">
        <v>78.0</v>
      </c>
    </row>
    <row r="2109">
      <c r="A2109" s="8" t="s">
        <v>2010</v>
      </c>
      <c r="B2109" s="8" t="s">
        <v>2011</v>
      </c>
      <c r="C2109" s="18" t="s">
        <v>2592</v>
      </c>
      <c r="D2109" s="16">
        <v>87.0</v>
      </c>
    </row>
    <row r="2110">
      <c r="A2110" s="8" t="s">
        <v>3111</v>
      </c>
      <c r="B2110" s="8" t="s">
        <v>196</v>
      </c>
      <c r="C2110" s="18" t="s">
        <v>2620</v>
      </c>
      <c r="D2110" s="16">
        <v>77.0</v>
      </c>
    </row>
    <row r="2111">
      <c r="A2111" s="8" t="s">
        <v>3112</v>
      </c>
      <c r="B2111" s="8" t="s">
        <v>3113</v>
      </c>
      <c r="C2111" s="18" t="s">
        <v>2645</v>
      </c>
      <c r="D2111" s="16">
        <v>61.0</v>
      </c>
    </row>
    <row r="2112">
      <c r="A2112" s="8" t="s">
        <v>84</v>
      </c>
      <c r="B2112" s="8" t="s">
        <v>819</v>
      </c>
      <c r="C2112" s="18" t="s">
        <v>2566</v>
      </c>
      <c r="D2112" s="16">
        <v>80.0</v>
      </c>
    </row>
    <row r="2113">
      <c r="A2113" s="8" t="s">
        <v>820</v>
      </c>
      <c r="B2113" s="8" t="s">
        <v>45</v>
      </c>
      <c r="C2113" s="18" t="s">
        <v>2572</v>
      </c>
      <c r="D2113" s="16">
        <v>83.0</v>
      </c>
    </row>
    <row r="2114">
      <c r="A2114" s="8" t="s">
        <v>1598</v>
      </c>
      <c r="B2114" s="8" t="s">
        <v>3114</v>
      </c>
      <c r="C2114" s="18" t="s">
        <v>2556</v>
      </c>
      <c r="D2114" s="16">
        <v>68.0</v>
      </c>
    </row>
    <row r="2115">
      <c r="A2115" s="8" t="s">
        <v>1327</v>
      </c>
      <c r="B2115" s="8" t="s">
        <v>231</v>
      </c>
      <c r="C2115" s="18" t="s">
        <v>2610</v>
      </c>
      <c r="D2115" s="16">
        <v>70.0</v>
      </c>
    </row>
    <row r="2116">
      <c r="A2116" s="8" t="s">
        <v>1327</v>
      </c>
      <c r="B2116" s="8" t="s">
        <v>480</v>
      </c>
      <c r="C2116" s="18" t="s">
        <v>2582</v>
      </c>
      <c r="D2116" s="16">
        <v>75.0</v>
      </c>
    </row>
    <row r="2117">
      <c r="A2117" s="8" t="s">
        <v>446</v>
      </c>
      <c r="B2117" s="8" t="s">
        <v>447</v>
      </c>
      <c r="C2117" s="18" t="s">
        <v>2577</v>
      </c>
      <c r="D2117" s="16">
        <v>78.0</v>
      </c>
    </row>
    <row r="2118">
      <c r="A2118" s="8" t="s">
        <v>10</v>
      </c>
      <c r="B2118" s="8" t="s">
        <v>11</v>
      </c>
      <c r="C2118" s="18" t="s">
        <v>2567</v>
      </c>
      <c r="D2118" s="16">
        <v>80.0</v>
      </c>
    </row>
    <row r="2119">
      <c r="A2119" s="8" t="s">
        <v>3115</v>
      </c>
      <c r="B2119" s="8" t="s">
        <v>684</v>
      </c>
      <c r="C2119" s="18" t="s">
        <v>2562</v>
      </c>
      <c r="D2119" s="16">
        <v>66.0</v>
      </c>
    </row>
    <row r="2120">
      <c r="A2120" s="8" t="s">
        <v>1658</v>
      </c>
      <c r="B2120" s="8" t="s">
        <v>134</v>
      </c>
      <c r="C2120" s="18" t="s">
        <v>2615</v>
      </c>
      <c r="D2120" s="16">
        <v>69.0</v>
      </c>
    </row>
    <row r="2121">
      <c r="A2121" s="8" t="s">
        <v>3116</v>
      </c>
      <c r="B2121" s="8" t="s">
        <v>381</v>
      </c>
      <c r="C2121" s="18" t="s">
        <v>2615</v>
      </c>
      <c r="D2121" s="16">
        <v>77.0</v>
      </c>
    </row>
    <row r="2122">
      <c r="A2122" s="8" t="s">
        <v>821</v>
      </c>
      <c r="B2122" s="8" t="s">
        <v>822</v>
      </c>
      <c r="C2122" s="18" t="s">
        <v>2567</v>
      </c>
      <c r="D2122" s="16">
        <v>70.0</v>
      </c>
    </row>
    <row r="2123">
      <c r="A2123" s="8" t="s">
        <v>823</v>
      </c>
      <c r="B2123" s="8" t="s">
        <v>824</v>
      </c>
      <c r="C2123" s="18" t="s">
        <v>2600</v>
      </c>
      <c r="D2123" s="16">
        <v>73.0</v>
      </c>
    </row>
    <row r="2124">
      <c r="A2124" s="8" t="s">
        <v>611</v>
      </c>
      <c r="B2124" s="8" t="s">
        <v>612</v>
      </c>
      <c r="C2124" s="18" t="s">
        <v>2554</v>
      </c>
      <c r="D2124" s="16">
        <v>83.0</v>
      </c>
    </row>
    <row r="2125">
      <c r="A2125" s="8" t="s">
        <v>51</v>
      </c>
      <c r="B2125" s="8" t="s">
        <v>52</v>
      </c>
      <c r="C2125" s="18" t="s">
        <v>2581</v>
      </c>
      <c r="D2125" s="16">
        <v>81.0</v>
      </c>
    </row>
    <row r="2126">
      <c r="A2126" s="8" t="s">
        <v>1047</v>
      </c>
      <c r="B2126" s="8" t="s">
        <v>1048</v>
      </c>
      <c r="C2126" s="18" t="s">
        <v>2560</v>
      </c>
      <c r="D2126" s="16">
        <v>73.0</v>
      </c>
    </row>
    <row r="2127">
      <c r="A2127" s="8" t="s">
        <v>104</v>
      </c>
      <c r="B2127" s="8" t="s">
        <v>105</v>
      </c>
      <c r="C2127" s="18" t="s">
        <v>2621</v>
      </c>
      <c r="D2127" s="16">
        <v>86.0</v>
      </c>
    </row>
    <row r="2128">
      <c r="A2128" s="8" t="s">
        <v>104</v>
      </c>
      <c r="B2128" s="8" t="s">
        <v>105</v>
      </c>
      <c r="C2128" s="18" t="s">
        <v>2621</v>
      </c>
      <c r="D2128" s="16">
        <v>90.0</v>
      </c>
    </row>
    <row r="2129">
      <c r="A2129" s="8" t="s">
        <v>104</v>
      </c>
      <c r="B2129" s="8" t="s">
        <v>964</v>
      </c>
      <c r="C2129" s="18" t="s">
        <v>2620</v>
      </c>
      <c r="D2129" s="16">
        <v>71.0</v>
      </c>
    </row>
    <row r="2130">
      <c r="A2130" s="8" t="s">
        <v>104</v>
      </c>
      <c r="B2130" s="8" t="s">
        <v>102</v>
      </c>
      <c r="C2130" s="18" t="s">
        <v>2564</v>
      </c>
      <c r="D2130" s="16">
        <v>67.0</v>
      </c>
    </row>
    <row r="2131">
      <c r="A2131" s="8" t="s">
        <v>104</v>
      </c>
      <c r="B2131" s="8" t="s">
        <v>2017</v>
      </c>
      <c r="C2131" s="18" t="s">
        <v>2554</v>
      </c>
      <c r="D2131" s="16">
        <v>71.0</v>
      </c>
    </row>
    <row r="2132">
      <c r="A2132" s="8" t="s">
        <v>3117</v>
      </c>
      <c r="B2132" s="8" t="s">
        <v>212</v>
      </c>
      <c r="C2132" s="18" t="s">
        <v>2567</v>
      </c>
      <c r="D2132" s="16">
        <v>69.0</v>
      </c>
    </row>
    <row r="2133">
      <c r="A2133" s="8" t="s">
        <v>1328</v>
      </c>
      <c r="B2133" s="8" t="s">
        <v>98</v>
      </c>
      <c r="C2133" s="18" t="s">
        <v>2621</v>
      </c>
      <c r="D2133" s="16">
        <v>67.0</v>
      </c>
    </row>
    <row r="2134">
      <c r="A2134" s="8" t="s">
        <v>1328</v>
      </c>
      <c r="B2134" s="8" t="s">
        <v>183</v>
      </c>
      <c r="C2134" s="18" t="s">
        <v>2564</v>
      </c>
      <c r="D2134" s="16">
        <v>79.0</v>
      </c>
    </row>
    <row r="2135">
      <c r="A2135" s="8" t="s">
        <v>2443</v>
      </c>
      <c r="B2135" s="18" t="s">
        <v>46</v>
      </c>
      <c r="C2135" s="18" t="s">
        <v>2577</v>
      </c>
      <c r="D2135" s="16">
        <v>68.0</v>
      </c>
    </row>
    <row r="2136">
      <c r="A2136" s="8" t="s">
        <v>3118</v>
      </c>
      <c r="B2136" s="8" t="s">
        <v>471</v>
      </c>
      <c r="C2136" s="18" t="s">
        <v>2610</v>
      </c>
      <c r="D2136" s="16">
        <v>71.0</v>
      </c>
    </row>
    <row r="2137">
      <c r="A2137" s="8" t="s">
        <v>825</v>
      </c>
      <c r="B2137" s="8" t="s">
        <v>3079</v>
      </c>
      <c r="C2137" s="18" t="s">
        <v>2592</v>
      </c>
      <c r="D2137" s="16">
        <v>63.0</v>
      </c>
    </row>
    <row r="2138">
      <c r="A2138" s="8" t="s">
        <v>825</v>
      </c>
      <c r="B2138" s="8" t="s">
        <v>1285</v>
      </c>
      <c r="C2138" s="18" t="s">
        <v>2615</v>
      </c>
      <c r="D2138" s="16">
        <v>79.0</v>
      </c>
    </row>
    <row r="2139">
      <c r="A2139" s="8" t="s">
        <v>825</v>
      </c>
      <c r="B2139" s="8" t="s">
        <v>1659</v>
      </c>
      <c r="C2139" s="18" t="s">
        <v>2614</v>
      </c>
      <c r="D2139" s="16">
        <v>65.0</v>
      </c>
    </row>
    <row r="2140">
      <c r="A2140" s="8" t="s">
        <v>825</v>
      </c>
      <c r="B2140" s="8" t="s">
        <v>826</v>
      </c>
      <c r="C2140" s="18" t="s">
        <v>2585</v>
      </c>
      <c r="D2140" s="16">
        <v>74.0</v>
      </c>
    </row>
    <row r="2141">
      <c r="A2141" s="8" t="s">
        <v>825</v>
      </c>
      <c r="B2141" s="18" t="s">
        <v>491</v>
      </c>
      <c r="C2141" s="18" t="s">
        <v>2645</v>
      </c>
      <c r="D2141" s="16">
        <v>76.0</v>
      </c>
    </row>
    <row r="2142">
      <c r="A2142" s="8" t="s">
        <v>1049</v>
      </c>
      <c r="B2142" s="8" t="s">
        <v>3119</v>
      </c>
      <c r="C2142" s="18" t="s">
        <v>2556</v>
      </c>
      <c r="D2142" s="16">
        <v>68.0</v>
      </c>
    </row>
    <row r="2143">
      <c r="A2143" s="8" t="s">
        <v>1049</v>
      </c>
      <c r="B2143" s="8" t="s">
        <v>746</v>
      </c>
      <c r="C2143" s="18" t="s">
        <v>2183</v>
      </c>
      <c r="D2143" s="16">
        <v>79.0</v>
      </c>
    </row>
    <row r="2144">
      <c r="A2144" s="8" t="s">
        <v>827</v>
      </c>
      <c r="B2144" s="8" t="s">
        <v>64</v>
      </c>
      <c r="C2144" s="18" t="s">
        <v>2595</v>
      </c>
      <c r="D2144" s="16">
        <v>78.0</v>
      </c>
    </row>
    <row r="2145">
      <c r="A2145" s="8" t="s">
        <v>3120</v>
      </c>
      <c r="B2145" s="8" t="s">
        <v>3121</v>
      </c>
      <c r="C2145" s="18" t="s">
        <v>2564</v>
      </c>
      <c r="D2145" s="16">
        <v>74.0</v>
      </c>
    </row>
    <row r="2146">
      <c r="A2146" s="8" t="s">
        <v>3122</v>
      </c>
      <c r="B2146" s="8" t="s">
        <v>2991</v>
      </c>
      <c r="C2146" s="18" t="s">
        <v>2621</v>
      </c>
      <c r="D2146" s="16">
        <v>65.0</v>
      </c>
    </row>
    <row r="2147">
      <c r="A2147" s="8" t="s">
        <v>2444</v>
      </c>
      <c r="B2147" s="8" t="s">
        <v>2364</v>
      </c>
      <c r="C2147" s="18" t="s">
        <v>2585</v>
      </c>
      <c r="D2147" s="16">
        <v>73.0</v>
      </c>
    </row>
    <row r="2148">
      <c r="A2148" s="8" t="s">
        <v>1330</v>
      </c>
      <c r="B2148" s="8" t="s">
        <v>1331</v>
      </c>
      <c r="C2148" s="18" t="s">
        <v>2587</v>
      </c>
      <c r="D2148" s="16">
        <v>68.0</v>
      </c>
    </row>
    <row r="2149">
      <c r="A2149" s="8" t="s">
        <v>1330</v>
      </c>
      <c r="B2149" s="8" t="s">
        <v>357</v>
      </c>
      <c r="C2149" s="18" t="s">
        <v>2554</v>
      </c>
      <c r="D2149" s="16">
        <v>63.0</v>
      </c>
    </row>
    <row r="2150">
      <c r="A2150" s="8" t="s">
        <v>1330</v>
      </c>
      <c r="B2150" s="8" t="s">
        <v>748</v>
      </c>
      <c r="C2150" s="18" t="s">
        <v>2554</v>
      </c>
      <c r="D2150" s="16">
        <v>74.0</v>
      </c>
    </row>
    <row r="2151">
      <c r="A2151" s="8" t="s">
        <v>1330</v>
      </c>
      <c r="B2151" s="8" t="s">
        <v>943</v>
      </c>
      <c r="C2151" s="18" t="s">
        <v>2556</v>
      </c>
      <c r="D2151" s="16">
        <v>73.0</v>
      </c>
    </row>
    <row r="2152">
      <c r="A2152" s="8" t="s">
        <v>1330</v>
      </c>
      <c r="B2152" s="8" t="s">
        <v>260</v>
      </c>
      <c r="C2152" s="18" t="s">
        <v>2577</v>
      </c>
      <c r="D2152" s="16">
        <v>76.0</v>
      </c>
    </row>
    <row r="2153">
      <c r="A2153" s="8" t="s">
        <v>1332</v>
      </c>
      <c r="B2153" s="8" t="s">
        <v>1333</v>
      </c>
      <c r="C2153" s="18" t="s">
        <v>2558</v>
      </c>
      <c r="D2153" s="16">
        <v>63.0</v>
      </c>
    </row>
    <row r="2154">
      <c r="A2154" s="8" t="s">
        <v>1050</v>
      </c>
      <c r="B2154" s="8" t="s">
        <v>366</v>
      </c>
      <c r="C2154" s="18" t="s">
        <v>2562</v>
      </c>
      <c r="D2154" s="16">
        <v>73.0</v>
      </c>
    </row>
    <row r="2155">
      <c r="A2155" s="8" t="s">
        <v>1050</v>
      </c>
      <c r="B2155" s="8" t="s">
        <v>1051</v>
      </c>
      <c r="C2155" s="18" t="s">
        <v>2572</v>
      </c>
      <c r="D2155" s="16">
        <v>74.0</v>
      </c>
    </row>
    <row r="2156">
      <c r="A2156" s="8" t="s">
        <v>1050</v>
      </c>
      <c r="B2156" s="8" t="s">
        <v>1334</v>
      </c>
      <c r="C2156" s="18" t="s">
        <v>2183</v>
      </c>
      <c r="D2156" s="16">
        <v>81.0</v>
      </c>
    </row>
    <row r="2157">
      <c r="A2157" s="8" t="s">
        <v>34</v>
      </c>
      <c r="B2157" s="8" t="s">
        <v>330</v>
      </c>
      <c r="C2157" s="18" t="s">
        <v>2585</v>
      </c>
      <c r="D2157" s="16">
        <v>70.0</v>
      </c>
    </row>
    <row r="2158">
      <c r="A2158" s="8" t="s">
        <v>34</v>
      </c>
      <c r="B2158" s="8" t="s">
        <v>2276</v>
      </c>
      <c r="C2158" s="18" t="s">
        <v>2562</v>
      </c>
      <c r="D2158" s="16">
        <v>80.0</v>
      </c>
    </row>
    <row r="2159">
      <c r="A2159" s="8" t="s">
        <v>34</v>
      </c>
      <c r="B2159" s="8" t="s">
        <v>381</v>
      </c>
      <c r="C2159" s="18" t="s">
        <v>2592</v>
      </c>
      <c r="D2159" s="16">
        <v>72.0</v>
      </c>
    </row>
    <row r="2160">
      <c r="A2160" s="8" t="s">
        <v>34</v>
      </c>
      <c r="B2160" s="8" t="s">
        <v>3123</v>
      </c>
      <c r="C2160" s="18" t="s">
        <v>2620</v>
      </c>
      <c r="D2160" s="16">
        <v>71.0</v>
      </c>
    </row>
    <row r="2161">
      <c r="A2161" s="8" t="s">
        <v>448</v>
      </c>
      <c r="B2161" s="8" t="s">
        <v>493</v>
      </c>
      <c r="C2161" s="18" t="s">
        <v>2572</v>
      </c>
      <c r="D2161" s="16">
        <v>69.0</v>
      </c>
    </row>
    <row r="2162">
      <c r="A2162" s="8" t="s">
        <v>448</v>
      </c>
      <c r="B2162" s="18" t="s">
        <v>159</v>
      </c>
      <c r="C2162" s="18" t="s">
        <v>2562</v>
      </c>
      <c r="D2162" s="16">
        <v>89.0</v>
      </c>
    </row>
    <row r="2163">
      <c r="A2163" s="8" t="s">
        <v>448</v>
      </c>
      <c r="B2163" s="18" t="s">
        <v>491</v>
      </c>
      <c r="C2163" s="18" t="s">
        <v>2577</v>
      </c>
      <c r="D2163" s="16">
        <v>80.0</v>
      </c>
    </row>
    <row r="2164">
      <c r="A2164" s="8" t="s">
        <v>2277</v>
      </c>
      <c r="B2164" s="8" t="s">
        <v>2278</v>
      </c>
      <c r="C2164" s="18" t="s">
        <v>2183</v>
      </c>
      <c r="D2164" s="16">
        <v>68.0</v>
      </c>
    </row>
    <row r="2165">
      <c r="A2165" s="8" t="s">
        <v>1052</v>
      </c>
      <c r="B2165" s="8" t="s">
        <v>1053</v>
      </c>
      <c r="C2165" s="18" t="s">
        <v>2552</v>
      </c>
      <c r="D2165" s="16">
        <v>79.0</v>
      </c>
    </row>
    <row r="2166">
      <c r="A2166" s="8" t="s">
        <v>1660</v>
      </c>
      <c r="B2166" s="8" t="s">
        <v>88</v>
      </c>
      <c r="C2166" s="18" t="s">
        <v>2552</v>
      </c>
      <c r="D2166" s="16">
        <v>64.0</v>
      </c>
    </row>
    <row r="2167">
      <c r="A2167" s="8" t="s">
        <v>232</v>
      </c>
      <c r="B2167" s="8" t="s">
        <v>61</v>
      </c>
      <c r="C2167" s="18" t="s">
        <v>2566</v>
      </c>
      <c r="D2167" s="16">
        <v>72.0</v>
      </c>
    </row>
    <row r="2168">
      <c r="A2168" s="8" t="s">
        <v>3124</v>
      </c>
      <c r="B2168" s="8" t="s">
        <v>102</v>
      </c>
      <c r="C2168" s="18" t="s">
        <v>2562</v>
      </c>
      <c r="D2168" s="16">
        <v>68.0</v>
      </c>
    </row>
    <row r="2169">
      <c r="A2169" s="8" t="s">
        <v>2280</v>
      </c>
      <c r="B2169" s="8" t="s">
        <v>3125</v>
      </c>
      <c r="C2169" s="18" t="s">
        <v>2645</v>
      </c>
      <c r="D2169" s="16">
        <v>61.0</v>
      </c>
    </row>
    <row r="2170">
      <c r="A2170" s="8" t="s">
        <v>128</v>
      </c>
      <c r="B2170" s="8" t="s">
        <v>129</v>
      </c>
      <c r="C2170" s="18" t="s">
        <v>2575</v>
      </c>
      <c r="D2170" s="16">
        <v>81.0</v>
      </c>
    </row>
    <row r="2171">
      <c r="A2171" s="8" t="s">
        <v>3126</v>
      </c>
      <c r="B2171" s="8" t="s">
        <v>121</v>
      </c>
      <c r="C2171" s="18" t="s">
        <v>2562</v>
      </c>
      <c r="D2171" s="16">
        <v>66.0</v>
      </c>
    </row>
    <row r="2172">
      <c r="A2172" s="8" t="s">
        <v>828</v>
      </c>
      <c r="B2172" s="8" t="s">
        <v>301</v>
      </c>
      <c r="C2172" s="18" t="s">
        <v>2584</v>
      </c>
      <c r="D2172" s="16">
        <v>70.0</v>
      </c>
    </row>
    <row r="2173">
      <c r="A2173" s="8" t="s">
        <v>1335</v>
      </c>
      <c r="B2173" s="8" t="s">
        <v>1118</v>
      </c>
      <c r="C2173" s="18" t="s">
        <v>2564</v>
      </c>
      <c r="D2173" s="16">
        <v>85.0</v>
      </c>
    </row>
    <row r="2174">
      <c r="A2174" s="8" t="s">
        <v>185</v>
      </c>
      <c r="B2174" s="18" t="s">
        <v>1054</v>
      </c>
      <c r="C2174" s="18" t="s">
        <v>2587</v>
      </c>
      <c r="D2174" s="16">
        <v>67.0</v>
      </c>
    </row>
    <row r="2175">
      <c r="A2175" s="8" t="s">
        <v>3127</v>
      </c>
      <c r="B2175" s="8" t="s">
        <v>3128</v>
      </c>
      <c r="C2175" s="18" t="s">
        <v>2183</v>
      </c>
      <c r="D2175" s="16">
        <v>76.0</v>
      </c>
    </row>
    <row r="2176">
      <c r="A2176" s="8" t="s">
        <v>3127</v>
      </c>
      <c r="B2176" s="8" t="s">
        <v>983</v>
      </c>
      <c r="C2176" s="18" t="s">
        <v>2595</v>
      </c>
      <c r="D2176" s="16">
        <v>73.0</v>
      </c>
    </row>
    <row r="2177">
      <c r="A2177" s="8" t="s">
        <v>1661</v>
      </c>
      <c r="B2177" s="8" t="s">
        <v>1662</v>
      </c>
      <c r="C2177" s="18" t="s">
        <v>2584</v>
      </c>
      <c r="D2177" s="16">
        <v>77.0</v>
      </c>
    </row>
    <row r="2178">
      <c r="A2178" s="8" t="s">
        <v>3129</v>
      </c>
      <c r="B2178" s="8" t="s">
        <v>1940</v>
      </c>
      <c r="C2178" s="18" t="s">
        <v>2593</v>
      </c>
      <c r="D2178" s="16">
        <v>71.0</v>
      </c>
    </row>
    <row r="2179">
      <c r="A2179" s="8" t="s">
        <v>1336</v>
      </c>
      <c r="B2179" s="8" t="s">
        <v>1172</v>
      </c>
      <c r="C2179" s="18" t="s">
        <v>2592</v>
      </c>
      <c r="D2179" s="16">
        <v>65.0</v>
      </c>
    </row>
    <row r="2180">
      <c r="A2180" s="8" t="s">
        <v>1337</v>
      </c>
      <c r="B2180" s="8" t="s">
        <v>726</v>
      </c>
      <c r="C2180" s="18" t="s">
        <v>2610</v>
      </c>
      <c r="D2180" s="16">
        <v>70.0</v>
      </c>
    </row>
    <row r="2181">
      <c r="A2181" s="8" t="s">
        <v>829</v>
      </c>
      <c r="B2181" s="8" t="s">
        <v>23</v>
      </c>
      <c r="C2181" s="18" t="s">
        <v>2589</v>
      </c>
      <c r="D2181" s="16">
        <v>67.0</v>
      </c>
    </row>
    <row r="2182">
      <c r="A2182" s="8" t="s">
        <v>3130</v>
      </c>
      <c r="B2182" s="8" t="s">
        <v>695</v>
      </c>
      <c r="C2182" s="18" t="s">
        <v>2564</v>
      </c>
      <c r="D2182" s="16">
        <v>71.0</v>
      </c>
    </row>
    <row r="2183">
      <c r="A2183" s="8" t="s">
        <v>1663</v>
      </c>
      <c r="B2183" s="8" t="s">
        <v>117</v>
      </c>
      <c r="C2183" s="18" t="s">
        <v>2566</v>
      </c>
      <c r="D2183" s="16">
        <v>69.0</v>
      </c>
    </row>
    <row r="2184">
      <c r="A2184" s="8" t="s">
        <v>1055</v>
      </c>
      <c r="B2184" s="8" t="s">
        <v>1056</v>
      </c>
      <c r="C2184" s="18" t="s">
        <v>2562</v>
      </c>
      <c r="D2184" s="16">
        <v>67.0</v>
      </c>
    </row>
    <row r="2185">
      <c r="A2185" s="8" t="s">
        <v>1055</v>
      </c>
      <c r="B2185" s="18" t="s">
        <v>529</v>
      </c>
      <c r="C2185" s="18" t="s">
        <v>2567</v>
      </c>
      <c r="D2185" s="16">
        <v>67.0</v>
      </c>
    </row>
    <row r="2186">
      <c r="A2186" s="8" t="s">
        <v>1055</v>
      </c>
      <c r="B2186" s="8" t="s">
        <v>260</v>
      </c>
      <c r="C2186" s="18" t="s">
        <v>2600</v>
      </c>
      <c r="D2186" s="16">
        <v>78.0</v>
      </c>
    </row>
    <row r="2187">
      <c r="A2187" s="8" t="s">
        <v>1055</v>
      </c>
      <c r="B2187" s="8" t="s">
        <v>119</v>
      </c>
      <c r="C2187" s="18" t="s">
        <v>2605</v>
      </c>
      <c r="D2187" s="16">
        <v>72.0</v>
      </c>
    </row>
    <row r="2188">
      <c r="A2188" s="8" t="s">
        <v>1055</v>
      </c>
      <c r="B2188" s="8" t="s">
        <v>2282</v>
      </c>
      <c r="C2188" s="18" t="s">
        <v>2572</v>
      </c>
      <c r="D2188" s="16">
        <v>70.0</v>
      </c>
    </row>
    <row r="2189">
      <c r="A2189" s="8" t="s">
        <v>1055</v>
      </c>
      <c r="B2189" s="8" t="s">
        <v>2007</v>
      </c>
      <c r="C2189" s="18" t="s">
        <v>2614</v>
      </c>
      <c r="D2189" s="16">
        <v>65.0</v>
      </c>
    </row>
    <row r="2190">
      <c r="A2190" s="8" t="s">
        <v>1055</v>
      </c>
      <c r="B2190" s="8" t="s">
        <v>183</v>
      </c>
      <c r="C2190" s="18" t="s">
        <v>2614</v>
      </c>
      <c r="D2190" s="16">
        <v>69.0</v>
      </c>
    </row>
    <row r="2191">
      <c r="A2191" s="8" t="s">
        <v>1055</v>
      </c>
      <c r="B2191" s="8" t="s">
        <v>1209</v>
      </c>
      <c r="C2191" s="18" t="s">
        <v>2575</v>
      </c>
      <c r="D2191" s="16">
        <v>62.0</v>
      </c>
    </row>
    <row r="2192">
      <c r="A2192" s="8" t="s">
        <v>1055</v>
      </c>
      <c r="B2192" s="18" t="s">
        <v>2019</v>
      </c>
      <c r="C2192" s="18" t="s">
        <v>2587</v>
      </c>
      <c r="D2192" s="16">
        <v>85.0</v>
      </c>
    </row>
    <row r="2193">
      <c r="A2193" s="8" t="s">
        <v>1055</v>
      </c>
      <c r="B2193" s="18" t="s">
        <v>2019</v>
      </c>
      <c r="C2193" s="18" t="s">
        <v>2587</v>
      </c>
      <c r="D2193" s="16">
        <v>88.0</v>
      </c>
    </row>
    <row r="2194">
      <c r="A2194" s="8" t="s">
        <v>1058</v>
      </c>
      <c r="B2194" s="8" t="s">
        <v>362</v>
      </c>
      <c r="C2194" s="18" t="s">
        <v>2605</v>
      </c>
      <c r="D2194" s="16">
        <v>82.0</v>
      </c>
    </row>
    <row r="2195">
      <c r="A2195" s="8" t="s">
        <v>617</v>
      </c>
      <c r="B2195" s="8" t="s">
        <v>558</v>
      </c>
      <c r="C2195" s="18" t="s">
        <v>2558</v>
      </c>
      <c r="D2195" s="16">
        <v>62.0</v>
      </c>
    </row>
    <row r="2196">
      <c r="A2196" s="8" t="s">
        <v>617</v>
      </c>
      <c r="B2196" s="8" t="s">
        <v>263</v>
      </c>
      <c r="C2196" s="18" t="s">
        <v>2592</v>
      </c>
      <c r="D2196" s="16">
        <v>70.0</v>
      </c>
    </row>
    <row r="2197">
      <c r="A2197" s="8" t="s">
        <v>617</v>
      </c>
      <c r="B2197" s="8" t="s">
        <v>3131</v>
      </c>
      <c r="C2197" s="18" t="s">
        <v>2560</v>
      </c>
      <c r="D2197" s="16">
        <v>70.0</v>
      </c>
    </row>
    <row r="2198">
      <c r="A2198" s="8" t="s">
        <v>617</v>
      </c>
      <c r="B2198" s="8" t="s">
        <v>618</v>
      </c>
      <c r="C2198" s="18" t="s">
        <v>2556</v>
      </c>
      <c r="D2198" s="16">
        <v>78.0</v>
      </c>
    </row>
    <row r="2199">
      <c r="A2199" s="8" t="s">
        <v>587</v>
      </c>
      <c r="B2199" s="8" t="s">
        <v>1611</v>
      </c>
      <c r="C2199" s="18" t="s">
        <v>2556</v>
      </c>
      <c r="D2199" s="16">
        <v>62.0</v>
      </c>
    </row>
    <row r="2200">
      <c r="A2200" s="8" t="s">
        <v>3132</v>
      </c>
      <c r="B2200" s="8" t="s">
        <v>3133</v>
      </c>
      <c r="C2200" s="18" t="s">
        <v>2574</v>
      </c>
      <c r="D2200" s="16">
        <v>69.0</v>
      </c>
    </row>
    <row r="2201">
      <c r="A2201" s="8" t="s">
        <v>54</v>
      </c>
      <c r="B2201" s="8" t="s">
        <v>55</v>
      </c>
      <c r="C2201" s="18" t="s">
        <v>2593</v>
      </c>
      <c r="D2201" s="16">
        <v>84.0</v>
      </c>
    </row>
    <row r="2202">
      <c r="A2202" s="8" t="s">
        <v>1059</v>
      </c>
      <c r="B2202" s="8" t="s">
        <v>362</v>
      </c>
      <c r="C2202" s="18" t="s">
        <v>2621</v>
      </c>
      <c r="D2202" s="16">
        <v>73.0</v>
      </c>
    </row>
    <row r="2203">
      <c r="A2203" s="8" t="s">
        <v>1665</v>
      </c>
      <c r="B2203" s="8" t="s">
        <v>349</v>
      </c>
      <c r="C2203" s="18" t="s">
        <v>2585</v>
      </c>
      <c r="D2203" s="16">
        <v>66.0</v>
      </c>
    </row>
    <row r="2204">
      <c r="A2204" s="8" t="s">
        <v>332</v>
      </c>
      <c r="B2204" s="8" t="s">
        <v>333</v>
      </c>
      <c r="C2204" s="18" t="s">
        <v>2554</v>
      </c>
      <c r="D2204" s="16">
        <v>69.0</v>
      </c>
    </row>
    <row r="2205">
      <c r="A2205" s="8" t="s">
        <v>449</v>
      </c>
      <c r="B2205" s="8" t="s">
        <v>214</v>
      </c>
      <c r="C2205" s="18" t="s">
        <v>2556</v>
      </c>
      <c r="D2205" s="16">
        <v>69.0</v>
      </c>
    </row>
    <row r="2206">
      <c r="A2206" s="8" t="s">
        <v>3134</v>
      </c>
      <c r="B2206" s="8" t="s">
        <v>121</v>
      </c>
      <c r="C2206" s="18" t="s">
        <v>2584</v>
      </c>
      <c r="D2206" s="16">
        <v>67.0</v>
      </c>
    </row>
    <row r="2207">
      <c r="A2207" s="8" t="s">
        <v>3135</v>
      </c>
      <c r="B2207" s="8" t="s">
        <v>137</v>
      </c>
      <c r="C2207" s="18" t="s">
        <v>2645</v>
      </c>
      <c r="D2207" s="16">
        <v>77.0</v>
      </c>
    </row>
    <row r="2208">
      <c r="A2208" s="8" t="s">
        <v>3136</v>
      </c>
      <c r="B2208" s="8" t="s">
        <v>1908</v>
      </c>
      <c r="C2208" s="18" t="s">
        <v>2558</v>
      </c>
      <c r="D2208" s="16">
        <v>77.0</v>
      </c>
    </row>
    <row r="2209">
      <c r="A2209" s="8" t="s">
        <v>1664</v>
      </c>
      <c r="B2209" s="8" t="s">
        <v>263</v>
      </c>
      <c r="C2209" s="18" t="s">
        <v>2567</v>
      </c>
      <c r="D2209" s="16">
        <v>72.0</v>
      </c>
    </row>
    <row r="2210">
      <c r="A2210" s="8" t="s">
        <v>2020</v>
      </c>
      <c r="B2210" s="8" t="s">
        <v>1528</v>
      </c>
      <c r="C2210" s="18" t="s">
        <v>2620</v>
      </c>
      <c r="D2210" s="16">
        <v>67.0</v>
      </c>
    </row>
    <row r="2211">
      <c r="A2211" s="8" t="s">
        <v>78</v>
      </c>
      <c r="B2211" s="8" t="s">
        <v>277</v>
      </c>
      <c r="C2211" s="18" t="s">
        <v>2645</v>
      </c>
      <c r="D2211" s="16">
        <v>67.0</v>
      </c>
    </row>
    <row r="2212">
      <c r="A2212" s="8" t="s">
        <v>78</v>
      </c>
      <c r="B2212" s="8" t="s">
        <v>3137</v>
      </c>
      <c r="C2212" s="18" t="s">
        <v>2552</v>
      </c>
      <c r="D2212" s="16">
        <v>68.0</v>
      </c>
    </row>
    <row r="2213">
      <c r="A2213" s="8" t="s">
        <v>78</v>
      </c>
      <c r="B2213" s="8" t="s">
        <v>121</v>
      </c>
      <c r="C2213" s="18" t="s">
        <v>2575</v>
      </c>
      <c r="D2213" s="16">
        <v>80.0</v>
      </c>
    </row>
    <row r="2214">
      <c r="A2214" s="8" t="s">
        <v>78</v>
      </c>
      <c r="B2214" s="8" t="s">
        <v>121</v>
      </c>
      <c r="C2214" s="18" t="s">
        <v>2589</v>
      </c>
      <c r="D2214" s="16">
        <v>67.0</v>
      </c>
    </row>
    <row r="2215">
      <c r="A2215" s="8" t="s">
        <v>78</v>
      </c>
      <c r="B2215" s="8" t="s">
        <v>117</v>
      </c>
      <c r="C2215" s="18" t="s">
        <v>2589</v>
      </c>
      <c r="D2215" s="16">
        <v>71.0</v>
      </c>
    </row>
    <row r="2216">
      <c r="A2216" s="8" t="s">
        <v>78</v>
      </c>
      <c r="B2216" s="8" t="s">
        <v>1131</v>
      </c>
      <c r="C2216" s="18" t="s">
        <v>2614</v>
      </c>
      <c r="D2216" s="16">
        <v>76.0</v>
      </c>
    </row>
    <row r="2217">
      <c r="A2217" s="8" t="s">
        <v>78</v>
      </c>
      <c r="B2217" s="8" t="s">
        <v>1060</v>
      </c>
      <c r="C2217" s="18" t="s">
        <v>2183</v>
      </c>
      <c r="D2217" s="16">
        <v>77.0</v>
      </c>
    </row>
    <row r="2218">
      <c r="A2218" s="8" t="s">
        <v>78</v>
      </c>
      <c r="B2218" s="8" t="s">
        <v>1338</v>
      </c>
      <c r="C2218" s="18" t="s">
        <v>2585</v>
      </c>
      <c r="D2218" s="16">
        <v>64.0</v>
      </c>
    </row>
    <row r="2219">
      <c r="A2219" s="8" t="s">
        <v>78</v>
      </c>
      <c r="B2219" s="8" t="s">
        <v>1338</v>
      </c>
      <c r="C2219" s="18" t="s">
        <v>2593</v>
      </c>
      <c r="D2219" s="16">
        <v>66.0</v>
      </c>
    </row>
    <row r="2220">
      <c r="A2220" s="8" t="s">
        <v>78</v>
      </c>
      <c r="B2220" s="8" t="s">
        <v>1057</v>
      </c>
      <c r="C2220" s="18" t="s">
        <v>2574</v>
      </c>
      <c r="D2220" s="16">
        <v>86.0</v>
      </c>
    </row>
    <row r="2221">
      <c r="A2221" s="8" t="s">
        <v>78</v>
      </c>
      <c r="B2221" s="8" t="s">
        <v>506</v>
      </c>
      <c r="C2221" s="18" t="s">
        <v>2620</v>
      </c>
      <c r="D2221" s="16">
        <v>66.0</v>
      </c>
    </row>
    <row r="2222">
      <c r="A2222" s="8" t="s">
        <v>78</v>
      </c>
      <c r="B2222" s="8" t="s">
        <v>1339</v>
      </c>
      <c r="C2222" s="18" t="s">
        <v>2620</v>
      </c>
      <c r="D2222" s="16">
        <v>65.0</v>
      </c>
    </row>
    <row r="2223">
      <c r="A2223" s="8" t="s">
        <v>78</v>
      </c>
      <c r="B2223" s="8" t="s">
        <v>2021</v>
      </c>
      <c r="C2223" s="18" t="s">
        <v>2558</v>
      </c>
      <c r="D2223" s="16">
        <v>78.0</v>
      </c>
    </row>
    <row r="2224">
      <c r="A2224" s="8" t="s">
        <v>78</v>
      </c>
      <c r="B2224" s="8" t="s">
        <v>3138</v>
      </c>
      <c r="C2224" s="18" t="s">
        <v>2610</v>
      </c>
      <c r="D2224" s="16">
        <v>66.0</v>
      </c>
    </row>
    <row r="2225">
      <c r="A2225" s="8" t="s">
        <v>78</v>
      </c>
      <c r="B2225" s="8" t="s">
        <v>102</v>
      </c>
      <c r="C2225" s="18" t="s">
        <v>2585</v>
      </c>
      <c r="D2225" s="16">
        <v>70.0</v>
      </c>
    </row>
    <row r="2226">
      <c r="A2226" s="8" t="s">
        <v>78</v>
      </c>
      <c r="B2226" s="8" t="s">
        <v>842</v>
      </c>
      <c r="C2226" s="18" t="s">
        <v>2645</v>
      </c>
      <c r="D2226" s="16">
        <v>64.0</v>
      </c>
    </row>
    <row r="2227">
      <c r="A2227" s="8" t="s">
        <v>78</v>
      </c>
      <c r="B2227" s="8" t="s">
        <v>263</v>
      </c>
      <c r="C2227" s="18" t="s">
        <v>2566</v>
      </c>
      <c r="D2227" s="16">
        <v>62.0</v>
      </c>
    </row>
    <row r="2228">
      <c r="A2228" s="8" t="s">
        <v>78</v>
      </c>
      <c r="B2228" s="8" t="s">
        <v>3139</v>
      </c>
      <c r="C2228" s="18" t="s">
        <v>2183</v>
      </c>
      <c r="D2228" s="16">
        <v>73.0</v>
      </c>
    </row>
    <row r="2229">
      <c r="A2229" s="8" t="s">
        <v>78</v>
      </c>
      <c r="B2229" s="18" t="s">
        <v>831</v>
      </c>
      <c r="C2229" s="18" t="s">
        <v>2585</v>
      </c>
      <c r="D2229" s="16">
        <v>74.0</v>
      </c>
    </row>
    <row r="2230">
      <c r="A2230" s="8" t="s">
        <v>78</v>
      </c>
      <c r="B2230" s="8" t="s">
        <v>214</v>
      </c>
      <c r="C2230" s="18" t="s">
        <v>2587</v>
      </c>
      <c r="D2230" s="16">
        <v>79.0</v>
      </c>
    </row>
    <row r="2231">
      <c r="A2231" s="8" t="s">
        <v>78</v>
      </c>
      <c r="B2231" s="8" t="s">
        <v>1172</v>
      </c>
      <c r="C2231" s="18" t="s">
        <v>2560</v>
      </c>
      <c r="D2231" s="16">
        <v>81.0</v>
      </c>
    </row>
    <row r="2232">
      <c r="A2232" s="8" t="s">
        <v>78</v>
      </c>
      <c r="B2232" s="8" t="s">
        <v>247</v>
      </c>
      <c r="C2232" s="18" t="s">
        <v>2595</v>
      </c>
      <c r="D2232" s="16">
        <v>81.0</v>
      </c>
    </row>
    <row r="2233">
      <c r="A2233" s="8" t="s">
        <v>78</v>
      </c>
      <c r="B2233" s="8" t="s">
        <v>247</v>
      </c>
      <c r="C2233" s="18" t="s">
        <v>2645</v>
      </c>
      <c r="D2233" s="16">
        <v>73.0</v>
      </c>
    </row>
    <row r="2234">
      <c r="A2234" s="8" t="s">
        <v>78</v>
      </c>
      <c r="B2234" s="8" t="s">
        <v>2007</v>
      </c>
      <c r="C2234" s="18" t="s">
        <v>2615</v>
      </c>
      <c r="D2234" s="16">
        <v>70.0</v>
      </c>
    </row>
    <row r="2235">
      <c r="A2235" s="8" t="s">
        <v>78</v>
      </c>
      <c r="B2235" s="8" t="s">
        <v>1666</v>
      </c>
      <c r="C2235" s="18" t="s">
        <v>2575</v>
      </c>
      <c r="D2235" s="16">
        <v>75.0</v>
      </c>
    </row>
    <row r="2236">
      <c r="A2236" s="8" t="s">
        <v>78</v>
      </c>
      <c r="B2236" s="8" t="s">
        <v>183</v>
      </c>
      <c r="C2236" s="18" t="s">
        <v>2572</v>
      </c>
      <c r="D2236" s="16">
        <v>77.0</v>
      </c>
    </row>
    <row r="2237">
      <c r="A2237" s="8" t="s">
        <v>78</v>
      </c>
      <c r="B2237" s="18" t="s">
        <v>1341</v>
      </c>
      <c r="C2237" s="18" t="s">
        <v>2595</v>
      </c>
      <c r="D2237" s="16">
        <v>77.0</v>
      </c>
    </row>
    <row r="2238">
      <c r="A2238" s="8" t="s">
        <v>78</v>
      </c>
      <c r="B2238" s="8" t="s">
        <v>832</v>
      </c>
      <c r="C2238" s="18" t="s">
        <v>2610</v>
      </c>
      <c r="D2238" s="16">
        <v>78.0</v>
      </c>
    </row>
    <row r="2239">
      <c r="A2239" s="8" t="s">
        <v>78</v>
      </c>
      <c r="B2239" s="8" t="s">
        <v>450</v>
      </c>
      <c r="C2239" s="18" t="s">
        <v>2554</v>
      </c>
      <c r="D2239" s="16">
        <v>75.0</v>
      </c>
    </row>
    <row r="2240">
      <c r="A2240" s="8" t="s">
        <v>78</v>
      </c>
      <c r="B2240" s="8" t="s">
        <v>1101</v>
      </c>
      <c r="C2240" s="18" t="s">
        <v>2566</v>
      </c>
      <c r="D2240" s="16">
        <v>63.0</v>
      </c>
    </row>
    <row r="2241">
      <c r="A2241" s="8" t="s">
        <v>78</v>
      </c>
      <c r="B2241" s="8" t="s">
        <v>983</v>
      </c>
      <c r="C2241" s="18" t="s">
        <v>2614</v>
      </c>
      <c r="D2241" s="16">
        <v>76.0</v>
      </c>
    </row>
    <row r="2242">
      <c r="A2242" s="8" t="s">
        <v>78</v>
      </c>
      <c r="B2242" s="8" t="s">
        <v>1209</v>
      </c>
      <c r="C2242" s="18" t="s">
        <v>2575</v>
      </c>
      <c r="D2242" s="16">
        <v>71.0</v>
      </c>
    </row>
    <row r="2243">
      <c r="A2243" s="8" t="s">
        <v>78</v>
      </c>
      <c r="B2243" s="8" t="s">
        <v>79</v>
      </c>
      <c r="C2243" s="18" t="s">
        <v>2558</v>
      </c>
      <c r="D2243" s="16">
        <v>77.0</v>
      </c>
    </row>
    <row r="2244">
      <c r="A2244" s="8" t="s">
        <v>78</v>
      </c>
      <c r="B2244" s="8" t="s">
        <v>334</v>
      </c>
      <c r="C2244" s="18" t="s">
        <v>2582</v>
      </c>
      <c r="D2244" s="16">
        <v>87.0</v>
      </c>
    </row>
    <row r="2245">
      <c r="A2245" s="8" t="s">
        <v>78</v>
      </c>
      <c r="B2245" s="8" t="s">
        <v>1028</v>
      </c>
      <c r="C2245" s="18" t="s">
        <v>2572</v>
      </c>
      <c r="D2245" s="16">
        <v>80.0</v>
      </c>
    </row>
    <row r="2246">
      <c r="A2246" s="8" t="s">
        <v>78</v>
      </c>
      <c r="B2246" s="8" t="s">
        <v>865</v>
      </c>
      <c r="C2246" s="18" t="s">
        <v>2614</v>
      </c>
      <c r="D2246" s="16">
        <v>63.0</v>
      </c>
    </row>
    <row r="2247">
      <c r="A2247" s="8" t="s">
        <v>78</v>
      </c>
      <c r="B2247" s="8" t="s">
        <v>836</v>
      </c>
      <c r="C2247" s="18" t="s">
        <v>2572</v>
      </c>
      <c r="D2247" s="16">
        <v>79.0</v>
      </c>
    </row>
    <row r="2248">
      <c r="A2248" s="8" t="s">
        <v>78</v>
      </c>
      <c r="B2248" s="8" t="s">
        <v>619</v>
      </c>
      <c r="C2248" s="18" t="s">
        <v>2577</v>
      </c>
      <c r="D2248" s="16">
        <v>79.0</v>
      </c>
    </row>
    <row r="2249">
      <c r="A2249" s="8" t="s">
        <v>78</v>
      </c>
      <c r="B2249" s="8" t="s">
        <v>596</v>
      </c>
      <c r="C2249" s="18" t="s">
        <v>2183</v>
      </c>
      <c r="D2249" s="16">
        <v>76.0</v>
      </c>
    </row>
    <row r="2250">
      <c r="A2250" s="8" t="s">
        <v>1062</v>
      </c>
      <c r="B2250" s="8" t="s">
        <v>1063</v>
      </c>
      <c r="C2250" s="18" t="s">
        <v>2560</v>
      </c>
      <c r="D2250" s="16">
        <v>87.0</v>
      </c>
    </row>
    <row r="2251">
      <c r="A2251" s="8" t="s">
        <v>1062</v>
      </c>
      <c r="B2251" s="8" t="s">
        <v>1063</v>
      </c>
      <c r="C2251" s="18" t="s">
        <v>2560</v>
      </c>
      <c r="D2251" s="16">
        <v>81.0</v>
      </c>
    </row>
    <row r="2252">
      <c r="A2252" s="8" t="s">
        <v>2024</v>
      </c>
      <c r="B2252" s="8" t="s">
        <v>263</v>
      </c>
      <c r="C2252" s="18" t="s">
        <v>2610</v>
      </c>
      <c r="D2252" s="16">
        <v>76.0</v>
      </c>
    </row>
    <row r="2253">
      <c r="A2253" s="8" t="s">
        <v>620</v>
      </c>
      <c r="B2253" s="8" t="s">
        <v>320</v>
      </c>
      <c r="C2253" s="18" t="s">
        <v>2554</v>
      </c>
      <c r="D2253" s="16">
        <v>77.0</v>
      </c>
    </row>
    <row r="2254">
      <c r="A2254" s="8" t="s">
        <v>451</v>
      </c>
      <c r="B2254" s="8" t="s">
        <v>1064</v>
      </c>
      <c r="C2254" s="18" t="s">
        <v>2581</v>
      </c>
      <c r="D2254" s="16">
        <v>75.0</v>
      </c>
    </row>
    <row r="2255">
      <c r="A2255" s="8" t="s">
        <v>451</v>
      </c>
      <c r="B2255" s="8" t="s">
        <v>121</v>
      </c>
      <c r="C2255" s="18" t="s">
        <v>2610</v>
      </c>
      <c r="D2255" s="16">
        <v>62.0</v>
      </c>
    </row>
    <row r="2256">
      <c r="A2256" s="8" t="s">
        <v>451</v>
      </c>
      <c r="B2256" s="8" t="s">
        <v>2287</v>
      </c>
      <c r="C2256" s="18" t="s">
        <v>2614</v>
      </c>
      <c r="D2256" s="16">
        <v>73.0</v>
      </c>
    </row>
    <row r="2257">
      <c r="A2257" s="8" t="s">
        <v>451</v>
      </c>
      <c r="B2257" s="8" t="s">
        <v>1060</v>
      </c>
      <c r="C2257" s="18" t="s">
        <v>2614</v>
      </c>
      <c r="D2257" s="16">
        <v>71.0</v>
      </c>
    </row>
    <row r="2258">
      <c r="A2258" s="8" t="s">
        <v>451</v>
      </c>
      <c r="B2258" s="8" t="s">
        <v>129</v>
      </c>
      <c r="C2258" s="18" t="s">
        <v>2552</v>
      </c>
      <c r="D2258" s="16">
        <v>69.0</v>
      </c>
    </row>
    <row r="2259">
      <c r="A2259" s="8" t="s">
        <v>451</v>
      </c>
      <c r="B2259" s="8" t="s">
        <v>1200</v>
      </c>
      <c r="C2259" s="18" t="s">
        <v>2615</v>
      </c>
      <c r="D2259" s="16">
        <v>69.0</v>
      </c>
    </row>
    <row r="2260">
      <c r="A2260" s="8" t="s">
        <v>451</v>
      </c>
      <c r="B2260" s="8" t="s">
        <v>1668</v>
      </c>
      <c r="C2260" s="18" t="s">
        <v>2584</v>
      </c>
      <c r="D2260" s="16">
        <v>72.0</v>
      </c>
    </row>
    <row r="2261">
      <c r="A2261" s="8" t="s">
        <v>451</v>
      </c>
      <c r="B2261" s="8" t="s">
        <v>3140</v>
      </c>
      <c r="C2261" s="18" t="s">
        <v>2564</v>
      </c>
      <c r="D2261" s="16">
        <v>74.0</v>
      </c>
    </row>
    <row r="2262">
      <c r="A2262" s="8" t="s">
        <v>451</v>
      </c>
      <c r="B2262" s="8" t="s">
        <v>900</v>
      </c>
      <c r="C2262" s="18" t="s">
        <v>2567</v>
      </c>
      <c r="D2262" s="16">
        <v>74.0</v>
      </c>
    </row>
    <row r="2263">
      <c r="A2263" s="8" t="s">
        <v>451</v>
      </c>
      <c r="B2263" s="8" t="s">
        <v>1065</v>
      </c>
      <c r="C2263" s="18" t="s">
        <v>2593</v>
      </c>
      <c r="D2263" s="16">
        <v>77.0</v>
      </c>
    </row>
    <row r="2264">
      <c r="A2264" s="8" t="s">
        <v>451</v>
      </c>
      <c r="B2264" s="8" t="s">
        <v>409</v>
      </c>
      <c r="C2264" s="18" t="s">
        <v>2603</v>
      </c>
      <c r="D2264" s="16">
        <v>87.0</v>
      </c>
    </row>
    <row r="2265">
      <c r="A2265" s="8" t="s">
        <v>3141</v>
      </c>
      <c r="B2265" s="8" t="s">
        <v>2025</v>
      </c>
      <c r="C2265" s="18" t="s">
        <v>2592</v>
      </c>
      <c r="D2265" s="16">
        <v>66.0</v>
      </c>
    </row>
    <row r="2266">
      <c r="A2266" s="8" t="s">
        <v>3142</v>
      </c>
      <c r="B2266" s="8" t="s">
        <v>465</v>
      </c>
      <c r="C2266" s="18" t="s">
        <v>2554</v>
      </c>
      <c r="D2266" s="16">
        <v>77.0</v>
      </c>
    </row>
    <row r="2267">
      <c r="A2267" s="8" t="s">
        <v>2026</v>
      </c>
      <c r="B2267" s="8" t="s">
        <v>1186</v>
      </c>
      <c r="C2267" s="18" t="s">
        <v>2605</v>
      </c>
      <c r="D2267" s="16">
        <v>69.0</v>
      </c>
    </row>
    <row r="2268">
      <c r="A2268" s="8" t="s">
        <v>3143</v>
      </c>
      <c r="B2268" s="8" t="s">
        <v>1604</v>
      </c>
      <c r="C2268" s="18" t="s">
        <v>2645</v>
      </c>
      <c r="D2268" s="16">
        <v>75.0</v>
      </c>
    </row>
    <row r="2269">
      <c r="A2269" s="8" t="s">
        <v>1669</v>
      </c>
      <c r="B2269" s="8" t="s">
        <v>1670</v>
      </c>
      <c r="C2269" s="18" t="s">
        <v>2592</v>
      </c>
      <c r="D2269" s="16">
        <v>80.0</v>
      </c>
    </row>
    <row r="2270">
      <c r="A2270" s="8" t="s">
        <v>833</v>
      </c>
      <c r="B2270" s="8" t="s">
        <v>157</v>
      </c>
      <c r="C2270" s="18" t="s">
        <v>2560</v>
      </c>
      <c r="D2270" s="16">
        <v>72.0</v>
      </c>
    </row>
    <row r="2271">
      <c r="A2271" s="8" t="s">
        <v>3144</v>
      </c>
      <c r="B2271" s="8" t="s">
        <v>1672</v>
      </c>
      <c r="C2271" s="18" t="s">
        <v>2600</v>
      </c>
      <c r="D2271" s="16">
        <v>71.0</v>
      </c>
    </row>
    <row r="2272">
      <c r="A2272" s="8" t="s">
        <v>453</v>
      </c>
      <c r="B2272" s="8" t="s">
        <v>454</v>
      </c>
      <c r="C2272" s="18" t="s">
        <v>2564</v>
      </c>
      <c r="D2272" s="16">
        <v>79.0</v>
      </c>
    </row>
    <row r="2273">
      <c r="A2273" s="8" t="s">
        <v>2027</v>
      </c>
      <c r="B2273" s="8" t="s">
        <v>2028</v>
      </c>
      <c r="C2273" s="18" t="s">
        <v>2585</v>
      </c>
      <c r="D2273" s="16">
        <v>75.0</v>
      </c>
    </row>
    <row r="2274">
      <c r="A2274" s="8" t="s">
        <v>621</v>
      </c>
      <c r="B2274" s="8" t="s">
        <v>354</v>
      </c>
      <c r="C2274" s="18" t="s">
        <v>2183</v>
      </c>
      <c r="D2274" s="16">
        <v>72.0</v>
      </c>
    </row>
    <row r="2275">
      <c r="A2275" s="8" t="s">
        <v>622</v>
      </c>
      <c r="B2275" s="8" t="s">
        <v>493</v>
      </c>
      <c r="C2275" s="18" t="s">
        <v>2620</v>
      </c>
      <c r="D2275" s="16">
        <v>76.0</v>
      </c>
    </row>
    <row r="2276">
      <c r="A2276" s="8" t="s">
        <v>1673</v>
      </c>
      <c r="B2276" s="8" t="s">
        <v>842</v>
      </c>
      <c r="C2276" s="18" t="s">
        <v>2581</v>
      </c>
      <c r="D2276" s="16">
        <v>70.0</v>
      </c>
    </row>
    <row r="2277">
      <c r="A2277" s="8" t="s">
        <v>1344</v>
      </c>
      <c r="B2277" s="8" t="s">
        <v>301</v>
      </c>
      <c r="C2277" s="18" t="s">
        <v>2575</v>
      </c>
      <c r="D2277" s="16">
        <v>64.0</v>
      </c>
    </row>
    <row r="2278">
      <c r="A2278" s="8" t="s">
        <v>233</v>
      </c>
      <c r="B2278" s="8" t="s">
        <v>234</v>
      </c>
      <c r="C2278" s="18" t="s">
        <v>2567</v>
      </c>
      <c r="D2278" s="16">
        <v>78.0</v>
      </c>
    </row>
    <row r="2279">
      <c r="A2279" s="8" t="s">
        <v>233</v>
      </c>
      <c r="B2279" s="8" t="s">
        <v>1342</v>
      </c>
      <c r="C2279" s="18" t="s">
        <v>2614</v>
      </c>
      <c r="D2279" s="16">
        <v>64.0</v>
      </c>
    </row>
    <row r="2280">
      <c r="A2280" s="8" t="s">
        <v>233</v>
      </c>
      <c r="B2280" s="8" t="s">
        <v>337</v>
      </c>
      <c r="C2280" s="18" t="s">
        <v>2593</v>
      </c>
      <c r="D2280" s="16">
        <v>81.0</v>
      </c>
    </row>
    <row r="2281">
      <c r="A2281" s="8" t="s">
        <v>233</v>
      </c>
      <c r="B2281" s="8" t="s">
        <v>596</v>
      </c>
      <c r="C2281" s="18" t="s">
        <v>2614</v>
      </c>
      <c r="D2281" s="16">
        <v>77.0</v>
      </c>
    </row>
    <row r="2282">
      <c r="A2282" s="8" t="s">
        <v>2029</v>
      </c>
      <c r="B2282" s="8" t="s">
        <v>222</v>
      </c>
      <c r="C2282" s="18" t="s">
        <v>2610</v>
      </c>
      <c r="D2282" s="16">
        <v>68.0</v>
      </c>
    </row>
    <row r="2283">
      <c r="A2283" s="8" t="s">
        <v>2030</v>
      </c>
      <c r="B2283" s="8" t="s">
        <v>596</v>
      </c>
      <c r="C2283" s="18" t="s">
        <v>2587</v>
      </c>
      <c r="D2283" s="16">
        <v>63.0</v>
      </c>
    </row>
    <row r="2284">
      <c r="A2284" s="8" t="s">
        <v>184</v>
      </c>
      <c r="B2284" s="8" t="s">
        <v>185</v>
      </c>
      <c r="C2284" s="18" t="s">
        <v>2621</v>
      </c>
      <c r="D2284" s="16">
        <v>79.0</v>
      </c>
    </row>
    <row r="2285">
      <c r="A2285" s="8" t="s">
        <v>2031</v>
      </c>
      <c r="B2285" s="8" t="s">
        <v>1057</v>
      </c>
      <c r="C2285" s="18" t="s">
        <v>2556</v>
      </c>
      <c r="D2285" s="16">
        <v>74.0</v>
      </c>
    </row>
    <row r="2286">
      <c r="A2286" s="8" t="s">
        <v>1674</v>
      </c>
      <c r="B2286" s="8" t="s">
        <v>275</v>
      </c>
      <c r="C2286" s="18" t="s">
        <v>2575</v>
      </c>
      <c r="D2286" s="16">
        <v>71.0</v>
      </c>
    </row>
    <row r="2287">
      <c r="A2287" s="8" t="s">
        <v>627</v>
      </c>
      <c r="B2287" s="8" t="s">
        <v>628</v>
      </c>
      <c r="C2287" s="18" t="s">
        <v>2564</v>
      </c>
      <c r="D2287" s="16">
        <v>73.0</v>
      </c>
    </row>
    <row r="2288">
      <c r="A2288" s="8" t="s">
        <v>623</v>
      </c>
      <c r="B2288" s="8" t="s">
        <v>624</v>
      </c>
      <c r="C2288" s="18" t="s">
        <v>2598</v>
      </c>
      <c r="D2288" s="16">
        <v>72.0</v>
      </c>
    </row>
    <row r="2289">
      <c r="A2289" s="8" t="s">
        <v>455</v>
      </c>
      <c r="B2289" s="8" t="s">
        <v>724</v>
      </c>
      <c r="C2289" s="18" t="s">
        <v>2581</v>
      </c>
      <c r="D2289" s="16">
        <v>71.0</v>
      </c>
    </row>
    <row r="2290">
      <c r="A2290" s="8" t="s">
        <v>455</v>
      </c>
      <c r="B2290" s="8" t="s">
        <v>961</v>
      </c>
      <c r="C2290" s="18" t="s">
        <v>2552</v>
      </c>
      <c r="D2290" s="16">
        <v>76.0</v>
      </c>
    </row>
    <row r="2291">
      <c r="A2291" s="8" t="s">
        <v>455</v>
      </c>
      <c r="B2291" s="18" t="s">
        <v>456</v>
      </c>
      <c r="C2291" s="18" t="s">
        <v>2603</v>
      </c>
      <c r="D2291" s="16">
        <v>81.0</v>
      </c>
    </row>
    <row r="2292">
      <c r="A2292" s="8" t="s">
        <v>455</v>
      </c>
      <c r="B2292" s="8" t="s">
        <v>3145</v>
      </c>
      <c r="C2292" s="18" t="s">
        <v>2556</v>
      </c>
      <c r="D2292" s="16">
        <v>72.0</v>
      </c>
    </row>
    <row r="2293">
      <c r="A2293" s="8" t="s">
        <v>455</v>
      </c>
      <c r="B2293" s="8" t="s">
        <v>3146</v>
      </c>
      <c r="C2293" s="18" t="s">
        <v>2183</v>
      </c>
      <c r="D2293" s="16">
        <v>69.0</v>
      </c>
    </row>
    <row r="2294">
      <c r="A2294" s="8" t="s">
        <v>3147</v>
      </c>
      <c r="B2294" s="8" t="s">
        <v>3148</v>
      </c>
      <c r="C2294" s="18" t="s">
        <v>2589</v>
      </c>
      <c r="D2294" s="16">
        <v>73.0</v>
      </c>
    </row>
    <row r="2295">
      <c r="A2295" s="8" t="s">
        <v>834</v>
      </c>
      <c r="B2295" s="8" t="s">
        <v>948</v>
      </c>
      <c r="C2295" s="18" t="s">
        <v>2600</v>
      </c>
      <c r="D2295" s="16">
        <v>77.0</v>
      </c>
    </row>
    <row r="2296">
      <c r="A2296" s="8" t="s">
        <v>834</v>
      </c>
      <c r="B2296" s="8" t="s">
        <v>721</v>
      </c>
      <c r="C2296" s="18" t="s">
        <v>2566</v>
      </c>
      <c r="D2296" s="16">
        <v>69.0</v>
      </c>
    </row>
    <row r="2297">
      <c r="A2297" s="8" t="s">
        <v>834</v>
      </c>
      <c r="B2297" s="8" t="s">
        <v>1295</v>
      </c>
      <c r="C2297" s="18" t="s">
        <v>2584</v>
      </c>
      <c r="D2297" s="16">
        <v>63.0</v>
      </c>
    </row>
    <row r="2298">
      <c r="A2298" s="8" t="s">
        <v>3149</v>
      </c>
      <c r="B2298" s="8" t="s">
        <v>1192</v>
      </c>
      <c r="C2298" s="18" t="s">
        <v>2558</v>
      </c>
      <c r="D2298" s="16">
        <v>68.0</v>
      </c>
    </row>
    <row r="2299">
      <c r="A2299" s="8" t="s">
        <v>130</v>
      </c>
      <c r="B2299" s="8" t="s">
        <v>131</v>
      </c>
      <c r="C2299" s="18" t="s">
        <v>2575</v>
      </c>
      <c r="D2299" s="16">
        <v>86.0</v>
      </c>
    </row>
    <row r="2300">
      <c r="A2300" s="8" t="s">
        <v>130</v>
      </c>
      <c r="B2300" s="8" t="s">
        <v>131</v>
      </c>
      <c r="C2300" s="18" t="s">
        <v>2575</v>
      </c>
      <c r="D2300" s="16">
        <v>89.0</v>
      </c>
    </row>
    <row r="2301">
      <c r="A2301" s="8" t="s">
        <v>1346</v>
      </c>
      <c r="B2301" s="8" t="s">
        <v>1347</v>
      </c>
      <c r="C2301" s="18" t="s">
        <v>2587</v>
      </c>
      <c r="D2301" s="16">
        <v>73.0</v>
      </c>
    </row>
    <row r="2302">
      <c r="A2302" s="8" t="s">
        <v>1676</v>
      </c>
      <c r="B2302" s="18" t="s">
        <v>491</v>
      </c>
      <c r="C2302" s="18" t="s">
        <v>2584</v>
      </c>
      <c r="D2302" s="16">
        <v>77.0</v>
      </c>
    </row>
    <row r="2303">
      <c r="A2303" s="8" t="s">
        <v>2292</v>
      </c>
      <c r="B2303" s="8" t="s">
        <v>1611</v>
      </c>
      <c r="C2303" s="18" t="s">
        <v>2620</v>
      </c>
      <c r="D2303" s="16">
        <v>72.0</v>
      </c>
    </row>
    <row r="2304">
      <c r="A2304" s="8" t="s">
        <v>1675</v>
      </c>
      <c r="B2304" s="8" t="s">
        <v>1063</v>
      </c>
      <c r="C2304" s="18" t="s">
        <v>2603</v>
      </c>
      <c r="D2304" s="16">
        <v>62.0</v>
      </c>
    </row>
    <row r="2305">
      <c r="A2305" s="8" t="s">
        <v>1675</v>
      </c>
      <c r="B2305" s="8" t="s">
        <v>333</v>
      </c>
      <c r="C2305" s="18" t="s">
        <v>2575</v>
      </c>
      <c r="D2305" s="16">
        <v>73.0</v>
      </c>
    </row>
    <row r="2306">
      <c r="A2306" s="8" t="s">
        <v>1675</v>
      </c>
      <c r="B2306" s="8" t="s">
        <v>3150</v>
      </c>
      <c r="C2306" s="18" t="s">
        <v>2589</v>
      </c>
      <c r="D2306" s="16">
        <v>63.0</v>
      </c>
    </row>
    <row r="2307">
      <c r="A2307" s="8" t="s">
        <v>1675</v>
      </c>
      <c r="B2307" s="8" t="s">
        <v>41</v>
      </c>
      <c r="C2307" s="18" t="s">
        <v>2581</v>
      </c>
      <c r="D2307" s="16">
        <v>72.0</v>
      </c>
    </row>
    <row r="2308">
      <c r="A2308" s="8" t="s">
        <v>1675</v>
      </c>
      <c r="B2308" s="8" t="s">
        <v>167</v>
      </c>
      <c r="C2308" s="18" t="s">
        <v>2585</v>
      </c>
      <c r="D2308" s="16">
        <v>88.0</v>
      </c>
    </row>
    <row r="2309">
      <c r="A2309" s="8" t="s">
        <v>1675</v>
      </c>
      <c r="B2309" s="8" t="s">
        <v>167</v>
      </c>
      <c r="C2309" s="18" t="s">
        <v>2585</v>
      </c>
      <c r="D2309" s="16">
        <v>83.0</v>
      </c>
    </row>
    <row r="2310">
      <c r="A2310" s="8" t="s">
        <v>1675</v>
      </c>
      <c r="B2310" s="8" t="s">
        <v>167</v>
      </c>
      <c r="C2310" s="18" t="s">
        <v>2585</v>
      </c>
      <c r="D2310" s="16">
        <v>82.0</v>
      </c>
    </row>
    <row r="2311">
      <c r="A2311" s="8" t="s">
        <v>1675</v>
      </c>
      <c r="B2311" s="8" t="s">
        <v>167</v>
      </c>
      <c r="C2311" s="18" t="s">
        <v>2585</v>
      </c>
      <c r="D2311" s="16">
        <v>84.0</v>
      </c>
    </row>
    <row r="2312">
      <c r="A2312" s="8" t="s">
        <v>1675</v>
      </c>
      <c r="B2312" s="8" t="s">
        <v>167</v>
      </c>
      <c r="C2312" s="18" t="s">
        <v>2585</v>
      </c>
      <c r="D2312" s="16">
        <v>86.0</v>
      </c>
    </row>
    <row r="2313">
      <c r="A2313" s="8" t="s">
        <v>1675</v>
      </c>
      <c r="B2313" s="8" t="s">
        <v>167</v>
      </c>
      <c r="C2313" s="18" t="s">
        <v>2585</v>
      </c>
      <c r="D2313" s="16">
        <v>90.0</v>
      </c>
    </row>
    <row r="2314">
      <c r="A2314" s="8" t="s">
        <v>1675</v>
      </c>
      <c r="B2314" s="8" t="s">
        <v>465</v>
      </c>
      <c r="C2314" s="18" t="s">
        <v>2575</v>
      </c>
      <c r="D2314" s="16">
        <v>80.0</v>
      </c>
    </row>
    <row r="2315">
      <c r="A2315" s="8" t="s">
        <v>1675</v>
      </c>
      <c r="B2315" s="8" t="s">
        <v>1408</v>
      </c>
      <c r="C2315" s="18" t="s">
        <v>2593</v>
      </c>
      <c r="D2315" s="16">
        <v>66.0</v>
      </c>
    </row>
    <row r="2316">
      <c r="A2316" s="8" t="s">
        <v>626</v>
      </c>
      <c r="B2316" s="8" t="s">
        <v>119</v>
      </c>
      <c r="C2316" s="18" t="s">
        <v>2615</v>
      </c>
      <c r="D2316" s="16">
        <v>83.0</v>
      </c>
    </row>
    <row r="2317">
      <c r="A2317" s="8" t="s">
        <v>1348</v>
      </c>
      <c r="B2317" s="8" t="s">
        <v>480</v>
      </c>
      <c r="C2317" s="18" t="s">
        <v>2554</v>
      </c>
      <c r="D2317" s="16">
        <v>72.0</v>
      </c>
    </row>
    <row r="2318">
      <c r="A2318" s="8" t="s">
        <v>1067</v>
      </c>
      <c r="B2318" s="8" t="s">
        <v>212</v>
      </c>
      <c r="C2318" s="18" t="s">
        <v>2554</v>
      </c>
      <c r="D2318" s="16">
        <v>79.0</v>
      </c>
    </row>
    <row r="2319">
      <c r="A2319" s="8" t="s">
        <v>3151</v>
      </c>
      <c r="B2319" s="8" t="s">
        <v>69</v>
      </c>
      <c r="C2319" s="18" t="s">
        <v>2183</v>
      </c>
      <c r="D2319" s="16">
        <v>65.0</v>
      </c>
    </row>
    <row r="2320">
      <c r="A2320" s="8" t="s">
        <v>335</v>
      </c>
      <c r="B2320" s="8" t="s">
        <v>124</v>
      </c>
      <c r="C2320" s="18" t="s">
        <v>2593</v>
      </c>
      <c r="D2320" s="16">
        <v>86.0</v>
      </c>
    </row>
    <row r="2321">
      <c r="A2321" s="8"/>
      <c r="B2321" s="8"/>
      <c r="C2321" s="8"/>
      <c r="D2321" s="16"/>
    </row>
    <row r="2322">
      <c r="A2322" s="8"/>
      <c r="B2322" s="8"/>
      <c r="C2322" s="8"/>
      <c r="D2322" s="16"/>
    </row>
    <row r="2323">
      <c r="A2323" s="8"/>
      <c r="B2323" s="8"/>
      <c r="C2323" s="8"/>
      <c r="D2323" s="16"/>
    </row>
    <row r="2324">
      <c r="A2324" s="8"/>
      <c r="B2324" s="8"/>
      <c r="C2324" s="8"/>
      <c r="D2324" s="16"/>
    </row>
    <row r="2325">
      <c r="A2325" s="8"/>
      <c r="B2325" s="8"/>
      <c r="C2325" s="8"/>
      <c r="D2325" s="16"/>
    </row>
    <row r="2326">
      <c r="A2326" s="8"/>
      <c r="B2326" s="8"/>
      <c r="C2326" s="8"/>
      <c r="D2326" s="16"/>
    </row>
    <row r="2327">
      <c r="A2327" s="8"/>
      <c r="B2327" s="8"/>
      <c r="C2327" s="8"/>
      <c r="D2327" s="16"/>
    </row>
    <row r="2328">
      <c r="A2328" s="8"/>
      <c r="B2328" s="8"/>
      <c r="C2328" s="8"/>
      <c r="D2328" s="16"/>
    </row>
    <row r="2329">
      <c r="A2329" s="8"/>
      <c r="B2329" s="8"/>
      <c r="C2329" s="8"/>
      <c r="D2329" s="16"/>
    </row>
    <row r="2330">
      <c r="A2330" s="8"/>
      <c r="B2330" s="8"/>
      <c r="C2330" s="8"/>
      <c r="D2330" s="16"/>
    </row>
    <row r="2331">
      <c r="A2331" s="8"/>
      <c r="B2331" s="8"/>
      <c r="C2331" s="8"/>
      <c r="D2331" s="16"/>
    </row>
    <row r="2332">
      <c r="A2332" s="8"/>
      <c r="B2332" s="8"/>
      <c r="C2332" s="8"/>
      <c r="D2332" s="16"/>
    </row>
    <row r="2333">
      <c r="A2333" s="8"/>
      <c r="B2333" s="8"/>
      <c r="C2333" s="8"/>
      <c r="D2333" s="16"/>
    </row>
    <row r="2334">
      <c r="A2334" s="8"/>
      <c r="B2334" s="8"/>
      <c r="C2334" s="8"/>
      <c r="D2334" s="16"/>
    </row>
    <row r="2335">
      <c r="A2335" s="8"/>
      <c r="B2335" s="8"/>
      <c r="C2335" s="8"/>
      <c r="D2335" s="16"/>
    </row>
    <row r="2336">
      <c r="A2336" s="8"/>
      <c r="B2336" s="8"/>
      <c r="C2336" s="8"/>
      <c r="D2336" s="16"/>
    </row>
    <row r="2337">
      <c r="A2337" s="8"/>
      <c r="B2337" s="8"/>
      <c r="C2337" s="8"/>
      <c r="D2337" s="16"/>
    </row>
    <row r="2338">
      <c r="A2338" s="8"/>
      <c r="B2338" s="8"/>
      <c r="C2338" s="8"/>
      <c r="D2338" s="16"/>
    </row>
    <row r="2339">
      <c r="A2339" s="8"/>
      <c r="B2339" s="8"/>
      <c r="C2339" s="8"/>
      <c r="D2339" s="16"/>
    </row>
    <row r="2340">
      <c r="A2340" s="8"/>
      <c r="B2340" s="8"/>
      <c r="C2340" s="8"/>
      <c r="D2340" s="16"/>
    </row>
    <row r="2341">
      <c r="A2341" s="8"/>
      <c r="B2341" s="8"/>
      <c r="C2341" s="8"/>
      <c r="D2341" s="16"/>
    </row>
    <row r="2342">
      <c r="A2342" s="8"/>
      <c r="B2342" s="8"/>
      <c r="C2342" s="8"/>
      <c r="D2342" s="16"/>
    </row>
    <row r="2343">
      <c r="A2343" s="8"/>
      <c r="B2343" s="8"/>
      <c r="C2343" s="8"/>
      <c r="D2343" s="16"/>
    </row>
    <row r="2344">
      <c r="A2344" s="8"/>
      <c r="B2344" s="8"/>
      <c r="C2344" s="8"/>
      <c r="D2344" s="16"/>
    </row>
    <row r="2345">
      <c r="A2345" s="8"/>
      <c r="B2345" s="8"/>
      <c r="C2345" s="8"/>
      <c r="D2345" s="16"/>
    </row>
    <row r="2346">
      <c r="A2346" s="8"/>
      <c r="B2346" s="8"/>
      <c r="C2346" s="8"/>
      <c r="D2346" s="16"/>
    </row>
    <row r="2347">
      <c r="A2347" s="8"/>
      <c r="B2347" s="8"/>
      <c r="C2347" s="8"/>
      <c r="D2347" s="16"/>
    </row>
    <row r="2348">
      <c r="A2348" s="8"/>
      <c r="B2348" s="8"/>
      <c r="C2348" s="8"/>
      <c r="D2348" s="16"/>
    </row>
    <row r="2349">
      <c r="A2349" s="8"/>
      <c r="B2349" s="8"/>
      <c r="C2349" s="8"/>
      <c r="D2349" s="16"/>
    </row>
    <row r="2350">
      <c r="A2350" s="8"/>
      <c r="B2350" s="8"/>
      <c r="C2350" s="8"/>
      <c r="D2350" s="16"/>
    </row>
    <row r="2351">
      <c r="A2351" s="8"/>
      <c r="B2351" s="8"/>
      <c r="C2351" s="8"/>
      <c r="D2351" s="16"/>
    </row>
    <row r="2352">
      <c r="A2352" s="8"/>
      <c r="B2352" s="8"/>
      <c r="C2352" s="8"/>
      <c r="D2352" s="16"/>
    </row>
    <row r="2353">
      <c r="A2353" s="8"/>
      <c r="B2353" s="8"/>
      <c r="C2353" s="8"/>
      <c r="D2353" s="16"/>
    </row>
    <row r="2354">
      <c r="A2354" s="8"/>
      <c r="B2354" s="8"/>
      <c r="C2354" s="8"/>
      <c r="D2354" s="16"/>
    </row>
    <row r="2355">
      <c r="A2355" s="8"/>
      <c r="B2355" s="8"/>
      <c r="C2355" s="8"/>
      <c r="D2355" s="16"/>
    </row>
    <row r="2356">
      <c r="A2356" s="8"/>
      <c r="B2356" s="8"/>
      <c r="C2356" s="8"/>
      <c r="D2356" s="16"/>
    </row>
    <row r="2357">
      <c r="A2357" s="8"/>
      <c r="B2357" s="8"/>
      <c r="C2357" s="8"/>
      <c r="D2357" s="16"/>
    </row>
    <row r="2358">
      <c r="A2358" s="8"/>
      <c r="B2358" s="8"/>
      <c r="C2358" s="8"/>
      <c r="D2358" s="16"/>
    </row>
    <row r="2359">
      <c r="A2359" s="8"/>
      <c r="B2359" s="8"/>
      <c r="C2359" s="8"/>
      <c r="D2359" s="16"/>
    </row>
    <row r="2360">
      <c r="A2360" s="8"/>
      <c r="B2360" s="8"/>
      <c r="C2360" s="8"/>
      <c r="D2360" s="16"/>
    </row>
    <row r="2361">
      <c r="A2361" s="8"/>
      <c r="B2361" s="8"/>
      <c r="C2361" s="8"/>
      <c r="D2361" s="16"/>
    </row>
    <row r="2362">
      <c r="A2362" s="8"/>
      <c r="B2362" s="8"/>
      <c r="C2362" s="8"/>
      <c r="D2362" s="16"/>
    </row>
    <row r="2363">
      <c r="A2363" s="8"/>
      <c r="B2363" s="8"/>
      <c r="C2363" s="8"/>
      <c r="D2363" s="16"/>
    </row>
    <row r="2364">
      <c r="A2364" s="8"/>
      <c r="B2364" s="8"/>
      <c r="C2364" s="8"/>
      <c r="D2364" s="16"/>
    </row>
    <row r="2365">
      <c r="A2365" s="8"/>
      <c r="B2365" s="8"/>
      <c r="C2365" s="8"/>
      <c r="D2365" s="16"/>
    </row>
    <row r="2366">
      <c r="A2366" s="8"/>
      <c r="B2366" s="8"/>
      <c r="C2366" s="8"/>
      <c r="D2366" s="16"/>
    </row>
    <row r="2367">
      <c r="A2367" s="8"/>
      <c r="B2367" s="8"/>
      <c r="C2367" s="8"/>
      <c r="D2367" s="16"/>
    </row>
    <row r="2368">
      <c r="A2368" s="8"/>
      <c r="B2368" s="8"/>
      <c r="C2368" s="8"/>
      <c r="D2368" s="16"/>
    </row>
    <row r="2369">
      <c r="A2369" s="8"/>
      <c r="B2369" s="8"/>
      <c r="C2369" s="8"/>
      <c r="D2369" s="16"/>
    </row>
    <row r="2370">
      <c r="A2370" s="8"/>
      <c r="B2370" s="8"/>
      <c r="C2370" s="8"/>
      <c r="D2370" s="16"/>
    </row>
    <row r="2371">
      <c r="A2371" s="8"/>
      <c r="B2371" s="8"/>
      <c r="C2371" s="8"/>
      <c r="D2371" s="16"/>
    </row>
    <row r="2372">
      <c r="A2372" s="8"/>
      <c r="B2372" s="8"/>
      <c r="C2372" s="8"/>
      <c r="D2372" s="16"/>
    </row>
    <row r="2373">
      <c r="A2373" s="8"/>
      <c r="B2373" s="8"/>
      <c r="C2373" s="8"/>
      <c r="D2373" s="16"/>
    </row>
    <row r="2374">
      <c r="A2374" s="8"/>
      <c r="B2374" s="8"/>
      <c r="C2374" s="8"/>
      <c r="D2374" s="16"/>
    </row>
    <row r="2375">
      <c r="A2375" s="8"/>
      <c r="B2375" s="8"/>
      <c r="C2375" s="8"/>
      <c r="D2375" s="16"/>
    </row>
    <row r="2376">
      <c r="A2376" s="8"/>
      <c r="B2376" s="8"/>
      <c r="C2376" s="8"/>
      <c r="D2376" s="16"/>
    </row>
    <row r="2377">
      <c r="A2377" s="8"/>
      <c r="B2377" s="8"/>
      <c r="C2377" s="8"/>
      <c r="D2377" s="16"/>
    </row>
    <row r="2378">
      <c r="A2378" s="8"/>
      <c r="B2378" s="8"/>
      <c r="C2378" s="8"/>
      <c r="D2378" s="16"/>
    </row>
    <row r="2379">
      <c r="A2379" s="8"/>
      <c r="B2379" s="8"/>
      <c r="C2379" s="8"/>
      <c r="D2379" s="16"/>
    </row>
    <row r="2380">
      <c r="A2380" s="8"/>
      <c r="B2380" s="8"/>
      <c r="C2380" s="8"/>
      <c r="D2380" s="16"/>
    </row>
    <row r="2381">
      <c r="A2381" s="8"/>
      <c r="B2381" s="8"/>
      <c r="C2381" s="8"/>
      <c r="D2381" s="16"/>
    </row>
    <row r="2382">
      <c r="A2382" s="8"/>
      <c r="B2382" s="8"/>
      <c r="C2382" s="8"/>
      <c r="D2382" s="16"/>
    </row>
    <row r="2383">
      <c r="A2383" s="8"/>
      <c r="B2383" s="8"/>
      <c r="C2383" s="8"/>
      <c r="D2383" s="16"/>
    </row>
    <row r="2384">
      <c r="A2384" s="8"/>
      <c r="B2384" s="8"/>
      <c r="C2384" s="8"/>
      <c r="D2384" s="16"/>
    </row>
    <row r="2385">
      <c r="A2385" s="8"/>
      <c r="B2385" s="8"/>
      <c r="C2385" s="8"/>
      <c r="D2385" s="16"/>
    </row>
    <row r="2386">
      <c r="A2386" s="8"/>
      <c r="B2386" s="8"/>
      <c r="C2386" s="8"/>
      <c r="D2386" s="16"/>
    </row>
    <row r="2387">
      <c r="A2387" s="8"/>
      <c r="B2387" s="8"/>
      <c r="C2387" s="8"/>
      <c r="D2387" s="16"/>
    </row>
    <row r="2388">
      <c r="A2388" s="8"/>
      <c r="B2388" s="8"/>
      <c r="C2388" s="8"/>
      <c r="D2388" s="16"/>
    </row>
    <row r="2389">
      <c r="A2389" s="8"/>
      <c r="B2389" s="8"/>
      <c r="C2389" s="8"/>
      <c r="D2389" s="16"/>
    </row>
    <row r="2390">
      <c r="A2390" s="8"/>
      <c r="B2390" s="8"/>
      <c r="C2390" s="8"/>
      <c r="D2390" s="16"/>
    </row>
    <row r="2391">
      <c r="A2391" s="8"/>
      <c r="B2391" s="8"/>
      <c r="C2391" s="8"/>
      <c r="D2391" s="16"/>
    </row>
    <row r="2392">
      <c r="A2392" s="8"/>
      <c r="B2392" s="8"/>
      <c r="C2392" s="8"/>
      <c r="D2392" s="16"/>
    </row>
    <row r="2393">
      <c r="A2393" s="8"/>
      <c r="B2393" s="8"/>
      <c r="C2393" s="8"/>
      <c r="D2393" s="16"/>
    </row>
    <row r="2394">
      <c r="A2394" s="8"/>
      <c r="B2394" s="8"/>
      <c r="C2394" s="8"/>
      <c r="D2394" s="16"/>
    </row>
    <row r="2395">
      <c r="A2395" s="8"/>
      <c r="B2395" s="8"/>
      <c r="C2395" s="8"/>
      <c r="D2395" s="16"/>
    </row>
    <row r="2396">
      <c r="A2396" s="8"/>
      <c r="B2396" s="8"/>
      <c r="C2396" s="8"/>
      <c r="D2396" s="16"/>
    </row>
    <row r="2397">
      <c r="A2397" s="8"/>
      <c r="B2397" s="8"/>
      <c r="C2397" s="8"/>
      <c r="D2397" s="16"/>
    </row>
    <row r="2398">
      <c r="A2398" s="8"/>
      <c r="B2398" s="8"/>
      <c r="C2398" s="8"/>
      <c r="D2398" s="16"/>
    </row>
    <row r="2399">
      <c r="A2399" s="8"/>
      <c r="B2399" s="8"/>
      <c r="C2399" s="8"/>
      <c r="D2399" s="16"/>
    </row>
    <row r="2400">
      <c r="A2400" s="8"/>
      <c r="B2400" s="8"/>
      <c r="C2400" s="8"/>
      <c r="D2400" s="16"/>
    </row>
    <row r="2401">
      <c r="A2401" s="8"/>
      <c r="B2401" s="8"/>
      <c r="C2401" s="8"/>
      <c r="D2401" s="16"/>
    </row>
    <row r="2402">
      <c r="A2402" s="8"/>
      <c r="B2402" s="8"/>
      <c r="C2402" s="8"/>
      <c r="D2402" s="16"/>
    </row>
    <row r="2403">
      <c r="A2403" s="8"/>
      <c r="B2403" s="8"/>
      <c r="C2403" s="8"/>
      <c r="D2403" s="16"/>
    </row>
    <row r="2404">
      <c r="A2404" s="8"/>
      <c r="B2404" s="8"/>
      <c r="C2404" s="8"/>
      <c r="D2404" s="16"/>
    </row>
    <row r="2405">
      <c r="A2405" s="8"/>
      <c r="B2405" s="8"/>
      <c r="C2405" s="8"/>
      <c r="D2405" s="16"/>
    </row>
    <row r="2406">
      <c r="A2406" s="8"/>
      <c r="B2406" s="8"/>
      <c r="C2406" s="8"/>
      <c r="D2406" s="16"/>
    </row>
    <row r="2407">
      <c r="A2407" s="8"/>
      <c r="B2407" s="8"/>
      <c r="C2407" s="8"/>
      <c r="D2407" s="16"/>
    </row>
    <row r="2408">
      <c r="A2408" s="8"/>
      <c r="B2408" s="8"/>
      <c r="C2408" s="8"/>
      <c r="D2408" s="16"/>
    </row>
    <row r="2409">
      <c r="A2409" s="8"/>
      <c r="B2409" s="8"/>
      <c r="C2409" s="8"/>
      <c r="D2409" s="16"/>
    </row>
    <row r="2410">
      <c r="A2410" s="8"/>
      <c r="B2410" s="8"/>
      <c r="C2410" s="8"/>
      <c r="D2410" s="16"/>
    </row>
    <row r="2411">
      <c r="A2411" s="8"/>
      <c r="B2411" s="8"/>
      <c r="C2411" s="8"/>
      <c r="D2411" s="16"/>
    </row>
    <row r="2412">
      <c r="A2412" s="8"/>
      <c r="B2412" s="8"/>
      <c r="C2412" s="8"/>
      <c r="D2412" s="16"/>
    </row>
    <row r="2413">
      <c r="A2413" s="8"/>
      <c r="B2413" s="8"/>
      <c r="C2413" s="8"/>
      <c r="D2413" s="16"/>
    </row>
    <row r="2414">
      <c r="A2414" s="8"/>
      <c r="B2414" s="8"/>
      <c r="C2414" s="8"/>
      <c r="D2414" s="16"/>
    </row>
    <row r="2415">
      <c r="A2415" s="8"/>
      <c r="B2415" s="8"/>
      <c r="C2415" s="8"/>
      <c r="D2415" s="16"/>
    </row>
    <row r="2416">
      <c r="A2416" s="8"/>
      <c r="B2416" s="8"/>
      <c r="C2416" s="8"/>
      <c r="D2416" s="16"/>
    </row>
    <row r="2417">
      <c r="A2417" s="8"/>
      <c r="B2417" s="8"/>
      <c r="C2417" s="8"/>
      <c r="D2417" s="16"/>
    </row>
    <row r="2418">
      <c r="A2418" s="8"/>
      <c r="B2418" s="8"/>
      <c r="C2418" s="8"/>
      <c r="D2418" s="16"/>
    </row>
    <row r="2419">
      <c r="A2419" s="8"/>
      <c r="B2419" s="8"/>
      <c r="C2419" s="8"/>
      <c r="D2419" s="16"/>
    </row>
    <row r="2420">
      <c r="A2420" s="8"/>
      <c r="B2420" s="8"/>
      <c r="C2420" s="8"/>
      <c r="D2420" s="16"/>
    </row>
    <row r="2421">
      <c r="A2421" s="8"/>
      <c r="B2421" s="8"/>
      <c r="C2421" s="8"/>
      <c r="D2421" s="16"/>
    </row>
    <row r="2422">
      <c r="A2422" s="8"/>
      <c r="B2422" s="8"/>
      <c r="C2422" s="8"/>
      <c r="D2422" s="16"/>
    </row>
    <row r="2423">
      <c r="A2423" s="8"/>
      <c r="B2423" s="8"/>
      <c r="C2423" s="8"/>
      <c r="D2423" s="16"/>
    </row>
    <row r="2424">
      <c r="A2424" s="8"/>
      <c r="B2424" s="8"/>
      <c r="C2424" s="8"/>
      <c r="D2424" s="16"/>
    </row>
    <row r="2425">
      <c r="A2425" s="8"/>
      <c r="B2425" s="8"/>
      <c r="C2425" s="8"/>
      <c r="D2425" s="16"/>
    </row>
    <row r="2426">
      <c r="A2426" s="8"/>
      <c r="B2426" s="8"/>
      <c r="C2426" s="8"/>
      <c r="D2426" s="16"/>
    </row>
    <row r="2427">
      <c r="A2427" s="8"/>
      <c r="B2427" s="8"/>
      <c r="C2427" s="8"/>
      <c r="D2427" s="16"/>
    </row>
    <row r="2428">
      <c r="A2428" s="8"/>
      <c r="B2428" s="8"/>
      <c r="C2428" s="8"/>
      <c r="D2428" s="16"/>
    </row>
    <row r="2429">
      <c r="A2429" s="8"/>
      <c r="B2429" s="8"/>
      <c r="C2429" s="8"/>
      <c r="D2429" s="16"/>
    </row>
    <row r="2430">
      <c r="A2430" s="8"/>
      <c r="B2430" s="8"/>
      <c r="C2430" s="8"/>
      <c r="D2430" s="16"/>
    </row>
    <row r="2431">
      <c r="A2431" s="8"/>
      <c r="B2431" s="8"/>
      <c r="C2431" s="8"/>
      <c r="D2431" s="16"/>
    </row>
    <row r="2432">
      <c r="A2432" s="8"/>
      <c r="B2432" s="8"/>
      <c r="C2432" s="8"/>
      <c r="D2432" s="16"/>
    </row>
    <row r="2433">
      <c r="A2433" s="8"/>
      <c r="B2433" s="8"/>
      <c r="C2433" s="8"/>
      <c r="D2433" s="16"/>
    </row>
    <row r="2434">
      <c r="A2434" s="8"/>
      <c r="B2434" s="8"/>
      <c r="C2434" s="8"/>
      <c r="D2434" s="16"/>
    </row>
    <row r="2435">
      <c r="A2435" s="8"/>
      <c r="B2435" s="8"/>
      <c r="C2435" s="8"/>
      <c r="D2435" s="16"/>
    </row>
    <row r="2436">
      <c r="A2436" s="8"/>
      <c r="B2436" s="8"/>
      <c r="C2436" s="8"/>
      <c r="D2436" s="16"/>
    </row>
    <row r="2437">
      <c r="A2437" s="8"/>
      <c r="B2437" s="8"/>
      <c r="C2437" s="8"/>
      <c r="D2437" s="16"/>
    </row>
    <row r="2438">
      <c r="A2438" s="8"/>
      <c r="B2438" s="8"/>
      <c r="C2438" s="8"/>
      <c r="D2438" s="16"/>
    </row>
    <row r="2439">
      <c r="A2439" s="8"/>
      <c r="B2439" s="8"/>
      <c r="C2439" s="8"/>
      <c r="D2439" s="16"/>
    </row>
    <row r="2440">
      <c r="A2440" s="8"/>
      <c r="B2440" s="8"/>
      <c r="C2440" s="8"/>
      <c r="D2440" s="16"/>
    </row>
    <row r="2441">
      <c r="A2441" s="8"/>
      <c r="B2441" s="8"/>
      <c r="C2441" s="8"/>
      <c r="D2441" s="16"/>
    </row>
    <row r="2442">
      <c r="A2442" s="8"/>
      <c r="B2442" s="8"/>
      <c r="C2442" s="8"/>
      <c r="D2442" s="16"/>
    </row>
    <row r="2443">
      <c r="A2443" s="8"/>
      <c r="B2443" s="8"/>
      <c r="C2443" s="8"/>
      <c r="D2443" s="16"/>
    </row>
    <row r="2444">
      <c r="A2444" s="8"/>
      <c r="B2444" s="8"/>
      <c r="C2444" s="8"/>
      <c r="D2444" s="16"/>
    </row>
    <row r="2445">
      <c r="A2445" s="8"/>
      <c r="B2445" s="8"/>
      <c r="C2445" s="8"/>
      <c r="D2445" s="16"/>
    </row>
    <row r="2446">
      <c r="A2446" s="8"/>
      <c r="B2446" s="8"/>
      <c r="C2446" s="8"/>
      <c r="D2446" s="16"/>
    </row>
    <row r="2447">
      <c r="A2447" s="8"/>
      <c r="B2447" s="8"/>
      <c r="C2447" s="8"/>
      <c r="D2447" s="16"/>
    </row>
    <row r="2448">
      <c r="A2448" s="8"/>
      <c r="B2448" s="8"/>
      <c r="C2448" s="8"/>
      <c r="D2448" s="16"/>
    </row>
    <row r="2449">
      <c r="A2449" s="8"/>
      <c r="B2449" s="8"/>
      <c r="C2449" s="8"/>
      <c r="D2449" s="16"/>
    </row>
    <row r="2450">
      <c r="A2450" s="8"/>
      <c r="B2450" s="8"/>
      <c r="C2450" s="8"/>
      <c r="D2450" s="16"/>
    </row>
    <row r="2451">
      <c r="A2451" s="8"/>
      <c r="B2451" s="8"/>
      <c r="C2451" s="8"/>
      <c r="D2451" s="16"/>
    </row>
    <row r="2452">
      <c r="A2452" s="8"/>
      <c r="B2452" s="8"/>
      <c r="C2452" s="8"/>
      <c r="D2452" s="16"/>
    </row>
    <row r="2453">
      <c r="A2453" s="8"/>
      <c r="B2453" s="8"/>
      <c r="C2453" s="8"/>
      <c r="D2453" s="16"/>
    </row>
    <row r="2454">
      <c r="A2454" s="8"/>
      <c r="B2454" s="8"/>
      <c r="C2454" s="8"/>
      <c r="D2454" s="16"/>
    </row>
    <row r="2455">
      <c r="A2455" s="8"/>
      <c r="B2455" s="8"/>
      <c r="C2455" s="8"/>
      <c r="D2455" s="16"/>
    </row>
    <row r="2456">
      <c r="A2456" s="8"/>
      <c r="B2456" s="8"/>
      <c r="C2456" s="8"/>
      <c r="D2456" s="16"/>
    </row>
    <row r="2457">
      <c r="A2457" s="8"/>
      <c r="B2457" s="8"/>
      <c r="C2457" s="8"/>
      <c r="D2457" s="16"/>
    </row>
    <row r="2458">
      <c r="A2458" s="8"/>
      <c r="B2458" s="8"/>
      <c r="C2458" s="8"/>
      <c r="D2458" s="16"/>
    </row>
    <row r="2459">
      <c r="A2459" s="8"/>
      <c r="B2459" s="8"/>
      <c r="C2459" s="8"/>
      <c r="D2459" s="16"/>
    </row>
    <row r="2460">
      <c r="A2460" s="8"/>
      <c r="B2460" s="8"/>
      <c r="C2460" s="8"/>
      <c r="D2460" s="16"/>
    </row>
    <row r="2461">
      <c r="A2461" s="8"/>
      <c r="B2461" s="8"/>
      <c r="C2461" s="8"/>
      <c r="D2461" s="16"/>
    </row>
    <row r="2462">
      <c r="A2462" s="8"/>
      <c r="B2462" s="8"/>
      <c r="C2462" s="8"/>
      <c r="D2462" s="16"/>
    </row>
    <row r="2463">
      <c r="A2463" s="8"/>
      <c r="B2463" s="8"/>
      <c r="C2463" s="8"/>
      <c r="D2463" s="16"/>
    </row>
    <row r="2464">
      <c r="A2464" s="8"/>
      <c r="B2464" s="8"/>
      <c r="C2464" s="8"/>
      <c r="D2464" s="16"/>
    </row>
    <row r="2465">
      <c r="A2465" s="8"/>
      <c r="B2465" s="8"/>
      <c r="C2465" s="8"/>
      <c r="D2465" s="16"/>
    </row>
    <row r="2466">
      <c r="A2466" s="8"/>
      <c r="B2466" s="8"/>
      <c r="C2466" s="8"/>
      <c r="D2466" s="16"/>
    </row>
    <row r="2467">
      <c r="A2467" s="8"/>
      <c r="B2467" s="8"/>
      <c r="C2467" s="8"/>
      <c r="D2467" s="16"/>
    </row>
    <row r="2468">
      <c r="A2468" s="8"/>
      <c r="B2468" s="8"/>
      <c r="C2468" s="8"/>
      <c r="D2468" s="16"/>
    </row>
    <row r="2469">
      <c r="A2469" s="8"/>
      <c r="B2469" s="8"/>
      <c r="C2469" s="8"/>
      <c r="D2469" s="16"/>
    </row>
    <row r="2470">
      <c r="A2470" s="8"/>
      <c r="B2470" s="8"/>
      <c r="C2470" s="8"/>
      <c r="D2470" s="16"/>
    </row>
    <row r="2471">
      <c r="A2471" s="8"/>
      <c r="B2471" s="8"/>
      <c r="C2471" s="8"/>
      <c r="D2471" s="16"/>
    </row>
    <row r="2472">
      <c r="A2472" s="8"/>
      <c r="B2472" s="8"/>
      <c r="C2472" s="8"/>
      <c r="D2472" s="16"/>
    </row>
    <row r="2473">
      <c r="A2473" s="8"/>
      <c r="B2473" s="8"/>
      <c r="C2473" s="8"/>
      <c r="D2473" s="16"/>
    </row>
    <row r="2474">
      <c r="A2474" s="8"/>
      <c r="B2474" s="8"/>
      <c r="C2474" s="8"/>
      <c r="D2474" s="16"/>
    </row>
    <row r="2475">
      <c r="A2475" s="8"/>
      <c r="B2475" s="8"/>
      <c r="C2475" s="8"/>
      <c r="D2475" s="16"/>
    </row>
    <row r="2476">
      <c r="A2476" s="8"/>
      <c r="B2476" s="8"/>
      <c r="C2476" s="8"/>
      <c r="D2476" s="16"/>
    </row>
    <row r="2477">
      <c r="A2477" s="8"/>
      <c r="B2477" s="8"/>
      <c r="C2477" s="8"/>
      <c r="D2477" s="16"/>
    </row>
    <row r="2478">
      <c r="A2478" s="8"/>
      <c r="B2478" s="8"/>
      <c r="C2478" s="8"/>
      <c r="D2478" s="16"/>
    </row>
    <row r="2479">
      <c r="A2479" s="8"/>
      <c r="B2479" s="8"/>
      <c r="C2479" s="8"/>
      <c r="D2479" s="16"/>
    </row>
    <row r="2480">
      <c r="A2480" s="8"/>
      <c r="B2480" s="8"/>
      <c r="C2480" s="8"/>
      <c r="D2480" s="16"/>
    </row>
    <row r="2481">
      <c r="A2481" s="8"/>
      <c r="B2481" s="8"/>
      <c r="C2481" s="8"/>
      <c r="D2481" s="16"/>
    </row>
    <row r="2482">
      <c r="A2482" s="8"/>
      <c r="B2482" s="8"/>
      <c r="C2482" s="8"/>
      <c r="D2482" s="16"/>
    </row>
    <row r="2483">
      <c r="A2483" s="8"/>
      <c r="B2483" s="8"/>
      <c r="C2483" s="8"/>
      <c r="D2483" s="16"/>
    </row>
    <row r="2484">
      <c r="A2484" s="8"/>
      <c r="B2484" s="8"/>
      <c r="C2484" s="8"/>
      <c r="D2484" s="16"/>
    </row>
    <row r="2485">
      <c r="A2485" s="8"/>
      <c r="B2485" s="8"/>
      <c r="C2485" s="8"/>
      <c r="D2485" s="16"/>
    </row>
    <row r="2486">
      <c r="A2486" s="8"/>
      <c r="B2486" s="8"/>
      <c r="C2486" s="8"/>
      <c r="D2486" s="16"/>
    </row>
    <row r="2487">
      <c r="A2487" s="8"/>
      <c r="B2487" s="8"/>
      <c r="C2487" s="8"/>
      <c r="D2487" s="16"/>
    </row>
    <row r="2488">
      <c r="A2488" s="8"/>
      <c r="B2488" s="8"/>
      <c r="C2488" s="8"/>
      <c r="D2488" s="16"/>
    </row>
    <row r="2489">
      <c r="A2489" s="8"/>
      <c r="B2489" s="8"/>
      <c r="C2489" s="8"/>
      <c r="D2489" s="16"/>
    </row>
    <row r="2490">
      <c r="A2490" s="8"/>
      <c r="B2490" s="8"/>
      <c r="C2490" s="8"/>
      <c r="D2490" s="16"/>
    </row>
    <row r="2491">
      <c r="A2491" s="8"/>
      <c r="B2491" s="8"/>
      <c r="C2491" s="8"/>
      <c r="D2491" s="16"/>
    </row>
    <row r="2492">
      <c r="A2492" s="8"/>
      <c r="B2492" s="8"/>
      <c r="C2492" s="8"/>
      <c r="D2492" s="16"/>
    </row>
    <row r="2493">
      <c r="A2493" s="8"/>
      <c r="B2493" s="8"/>
      <c r="C2493" s="8"/>
      <c r="D2493" s="16"/>
    </row>
    <row r="2494">
      <c r="A2494" s="8"/>
      <c r="B2494" s="8"/>
      <c r="C2494" s="8"/>
      <c r="D2494" s="16"/>
    </row>
    <row r="2495">
      <c r="A2495" s="8"/>
      <c r="B2495" s="8"/>
      <c r="C2495" s="8"/>
      <c r="D2495" s="16"/>
    </row>
    <row r="2496">
      <c r="A2496" s="8"/>
      <c r="B2496" s="8"/>
      <c r="C2496" s="8"/>
      <c r="D2496" s="16"/>
    </row>
    <row r="2497">
      <c r="A2497" s="8"/>
      <c r="B2497" s="8"/>
      <c r="C2497" s="8"/>
      <c r="D2497" s="16"/>
    </row>
    <row r="2498">
      <c r="A2498" s="8"/>
      <c r="B2498" s="8"/>
      <c r="C2498" s="8"/>
      <c r="D2498" s="16"/>
    </row>
    <row r="2499">
      <c r="A2499" s="8"/>
      <c r="B2499" s="8"/>
      <c r="C2499" s="8"/>
      <c r="D2499" s="16"/>
    </row>
    <row r="2500">
      <c r="A2500" s="8"/>
      <c r="B2500" s="8"/>
      <c r="C2500" s="8"/>
      <c r="D2500" s="16"/>
    </row>
    <row r="2501">
      <c r="A2501" s="8"/>
      <c r="B2501" s="8"/>
      <c r="C2501" s="8"/>
      <c r="D2501" s="16"/>
    </row>
    <row r="2502">
      <c r="A2502" s="8"/>
      <c r="B2502" s="8"/>
      <c r="C2502" s="8"/>
      <c r="D2502" s="16"/>
    </row>
    <row r="2503">
      <c r="A2503" s="8"/>
      <c r="B2503" s="8"/>
      <c r="C2503" s="8"/>
      <c r="D2503" s="16"/>
    </row>
    <row r="2504">
      <c r="A2504" s="8"/>
      <c r="B2504" s="8"/>
      <c r="C2504" s="8"/>
      <c r="D2504" s="16"/>
    </row>
    <row r="2505">
      <c r="A2505" s="8"/>
      <c r="B2505" s="8"/>
      <c r="C2505" s="8"/>
      <c r="D2505" s="16"/>
    </row>
    <row r="2506">
      <c r="A2506" s="8"/>
      <c r="B2506" s="8"/>
      <c r="C2506" s="8"/>
      <c r="D2506" s="16"/>
    </row>
    <row r="2507">
      <c r="A2507" s="8"/>
      <c r="B2507" s="8"/>
      <c r="C2507" s="8"/>
      <c r="D2507" s="16"/>
    </row>
    <row r="2508">
      <c r="A2508" s="8"/>
      <c r="B2508" s="8"/>
      <c r="C2508" s="8"/>
      <c r="D2508" s="16"/>
    </row>
    <row r="2509">
      <c r="A2509" s="8"/>
      <c r="B2509" s="8"/>
      <c r="C2509" s="8"/>
      <c r="D2509" s="16"/>
    </row>
    <row r="2510">
      <c r="A2510" s="8"/>
      <c r="B2510" s="8"/>
      <c r="C2510" s="8"/>
      <c r="D2510" s="16"/>
    </row>
    <row r="2511">
      <c r="A2511" s="8"/>
      <c r="B2511" s="8"/>
      <c r="C2511" s="8"/>
      <c r="D2511" s="16"/>
    </row>
    <row r="2512">
      <c r="A2512" s="8"/>
      <c r="B2512" s="8"/>
      <c r="C2512" s="8"/>
      <c r="D2512" s="16"/>
    </row>
    <row r="2513">
      <c r="A2513" s="8"/>
      <c r="B2513" s="8"/>
      <c r="C2513" s="8"/>
      <c r="D2513" s="16"/>
    </row>
    <row r="2514">
      <c r="A2514" s="8"/>
      <c r="B2514" s="8"/>
      <c r="C2514" s="8"/>
      <c r="D2514" s="16"/>
    </row>
    <row r="2515">
      <c r="A2515" s="8"/>
      <c r="B2515" s="8"/>
      <c r="C2515" s="8"/>
      <c r="D2515" s="16"/>
    </row>
    <row r="2516">
      <c r="A2516" s="8"/>
      <c r="B2516" s="8"/>
      <c r="C2516" s="8"/>
      <c r="D2516" s="16"/>
    </row>
    <row r="2517">
      <c r="A2517" s="8"/>
      <c r="B2517" s="8"/>
      <c r="C2517" s="8"/>
      <c r="D2517" s="16"/>
    </row>
    <row r="2518">
      <c r="A2518" s="8"/>
      <c r="B2518" s="8"/>
      <c r="C2518" s="8"/>
      <c r="D2518" s="16"/>
    </row>
    <row r="2519">
      <c r="A2519" s="8"/>
      <c r="B2519" s="8"/>
      <c r="C2519" s="8"/>
      <c r="D2519" s="16"/>
    </row>
    <row r="2520">
      <c r="A2520" s="8"/>
      <c r="B2520" s="8"/>
      <c r="C2520" s="8"/>
      <c r="D2520" s="16"/>
    </row>
    <row r="2521">
      <c r="A2521" s="8"/>
      <c r="B2521" s="8"/>
      <c r="C2521" s="8"/>
      <c r="D2521" s="16"/>
    </row>
    <row r="2522">
      <c r="A2522" s="8"/>
      <c r="B2522" s="8"/>
      <c r="C2522" s="8"/>
      <c r="D2522" s="16"/>
    </row>
    <row r="2523">
      <c r="A2523" s="8"/>
      <c r="B2523" s="8"/>
      <c r="C2523" s="8"/>
      <c r="D2523" s="16"/>
    </row>
    <row r="2524">
      <c r="A2524" s="8"/>
      <c r="B2524" s="8"/>
      <c r="C2524" s="8"/>
      <c r="D2524" s="16"/>
    </row>
    <row r="2525">
      <c r="A2525" s="8"/>
      <c r="B2525" s="8"/>
      <c r="C2525" s="8"/>
      <c r="D2525" s="16"/>
    </row>
    <row r="2526">
      <c r="A2526" s="8"/>
      <c r="B2526" s="8"/>
      <c r="C2526" s="8"/>
      <c r="D2526" s="16"/>
    </row>
    <row r="2527">
      <c r="A2527" s="8"/>
      <c r="B2527" s="8"/>
      <c r="C2527" s="8"/>
      <c r="D2527" s="16"/>
    </row>
    <row r="2528">
      <c r="A2528" s="8"/>
      <c r="B2528" s="8"/>
      <c r="C2528" s="8"/>
      <c r="D2528" s="16"/>
    </row>
    <row r="2529">
      <c r="A2529" s="8"/>
      <c r="B2529" s="8"/>
      <c r="C2529" s="8"/>
      <c r="D2529" s="16"/>
    </row>
    <row r="2530">
      <c r="A2530" s="8"/>
      <c r="B2530" s="8"/>
      <c r="C2530" s="8"/>
      <c r="D2530" s="16"/>
    </row>
    <row r="2531">
      <c r="A2531" s="8"/>
      <c r="B2531" s="8"/>
      <c r="C2531" s="8"/>
      <c r="D2531" s="16"/>
    </row>
    <row r="2532">
      <c r="A2532" s="8"/>
      <c r="B2532" s="8"/>
      <c r="C2532" s="8"/>
      <c r="D2532" s="16"/>
    </row>
    <row r="2533">
      <c r="A2533" s="8"/>
      <c r="B2533" s="8"/>
      <c r="C2533" s="8"/>
      <c r="D2533" s="16"/>
    </row>
    <row r="2534">
      <c r="A2534" s="8"/>
      <c r="B2534" s="8"/>
      <c r="C2534" s="8"/>
      <c r="D2534" s="16"/>
    </row>
    <row r="2535">
      <c r="A2535" s="8"/>
      <c r="B2535" s="8"/>
      <c r="C2535" s="8"/>
      <c r="D2535" s="16"/>
    </row>
    <row r="2536">
      <c r="A2536" s="8"/>
      <c r="B2536" s="8"/>
      <c r="C2536" s="8"/>
      <c r="D2536" s="16"/>
    </row>
    <row r="2537">
      <c r="A2537" s="8"/>
      <c r="B2537" s="8"/>
      <c r="C2537" s="8"/>
      <c r="D2537" s="16"/>
    </row>
    <row r="2538">
      <c r="A2538" s="8"/>
      <c r="B2538" s="8"/>
      <c r="C2538" s="8"/>
      <c r="D2538" s="16"/>
    </row>
    <row r="2539">
      <c r="A2539" s="8"/>
      <c r="B2539" s="8"/>
      <c r="C2539" s="8"/>
      <c r="D2539" s="16"/>
    </row>
    <row r="2540">
      <c r="A2540" s="8"/>
      <c r="B2540" s="8"/>
      <c r="C2540" s="8"/>
      <c r="D2540" s="16"/>
    </row>
    <row r="2541">
      <c r="A2541" s="8"/>
      <c r="B2541" s="8"/>
      <c r="C2541" s="8"/>
      <c r="D2541" s="16"/>
    </row>
    <row r="2542">
      <c r="A2542" s="8"/>
      <c r="B2542" s="8"/>
      <c r="C2542" s="8"/>
      <c r="D2542" s="16"/>
    </row>
    <row r="2543">
      <c r="A2543" s="8"/>
      <c r="B2543" s="8"/>
      <c r="C2543" s="8"/>
      <c r="D2543" s="16"/>
    </row>
    <row r="2544">
      <c r="A2544" s="8"/>
      <c r="B2544" s="8"/>
      <c r="C2544" s="8"/>
      <c r="D2544" s="16"/>
    </row>
    <row r="2545">
      <c r="A2545" s="8"/>
      <c r="B2545" s="8"/>
      <c r="C2545" s="8"/>
      <c r="D2545" s="16"/>
    </row>
    <row r="2546">
      <c r="A2546" s="8"/>
      <c r="B2546" s="8"/>
      <c r="C2546" s="8"/>
      <c r="D2546" s="16"/>
    </row>
    <row r="2547">
      <c r="A2547" s="8"/>
      <c r="B2547" s="8"/>
      <c r="C2547" s="8"/>
      <c r="D2547" s="16"/>
    </row>
    <row r="2548">
      <c r="A2548" s="8"/>
      <c r="B2548" s="8"/>
      <c r="C2548" s="8"/>
      <c r="D2548" s="16"/>
    </row>
    <row r="2549">
      <c r="A2549" s="8"/>
      <c r="B2549" s="8"/>
      <c r="C2549" s="8"/>
      <c r="D2549" s="16"/>
    </row>
    <row r="2550">
      <c r="A2550" s="8"/>
      <c r="B2550" s="8"/>
      <c r="C2550" s="8"/>
      <c r="D2550" s="16"/>
    </row>
    <row r="2551">
      <c r="A2551" s="8"/>
      <c r="B2551" s="8"/>
      <c r="C2551" s="8"/>
      <c r="D2551" s="16"/>
    </row>
    <row r="2552">
      <c r="A2552" s="8"/>
      <c r="B2552" s="8"/>
      <c r="C2552" s="8"/>
      <c r="D2552" s="16"/>
    </row>
    <row r="2553">
      <c r="A2553" s="8"/>
      <c r="B2553" s="8"/>
      <c r="C2553" s="8"/>
      <c r="D2553" s="16"/>
    </row>
    <row r="2554">
      <c r="A2554" s="8"/>
      <c r="B2554" s="8"/>
      <c r="C2554" s="8"/>
      <c r="D2554" s="16"/>
    </row>
    <row r="2555">
      <c r="A2555" s="8"/>
      <c r="B2555" s="8"/>
      <c r="C2555" s="8"/>
      <c r="D2555" s="16"/>
    </row>
    <row r="2556">
      <c r="A2556" s="8"/>
      <c r="B2556" s="8"/>
      <c r="C2556" s="8"/>
      <c r="D2556" s="16"/>
    </row>
    <row r="2557">
      <c r="A2557" s="8"/>
      <c r="B2557" s="8"/>
      <c r="C2557" s="8"/>
      <c r="D2557" s="16"/>
    </row>
    <row r="2558">
      <c r="A2558" s="8"/>
      <c r="B2558" s="8"/>
      <c r="C2558" s="8"/>
      <c r="D2558" s="16"/>
    </row>
    <row r="2559">
      <c r="A2559" s="8"/>
      <c r="B2559" s="8"/>
      <c r="C2559" s="8"/>
      <c r="D2559" s="16"/>
    </row>
    <row r="2560">
      <c r="A2560" s="8"/>
      <c r="B2560" s="8"/>
      <c r="C2560" s="8"/>
      <c r="D2560" s="16"/>
    </row>
    <row r="2561">
      <c r="A2561" s="8"/>
      <c r="B2561" s="8"/>
      <c r="C2561" s="8"/>
      <c r="D2561" s="16"/>
    </row>
    <row r="2562">
      <c r="A2562" s="8"/>
      <c r="B2562" s="8"/>
      <c r="C2562" s="8"/>
      <c r="D2562" s="16"/>
    </row>
    <row r="2563">
      <c r="A2563" s="8"/>
      <c r="B2563" s="8"/>
      <c r="C2563" s="8"/>
      <c r="D2563" s="16"/>
    </row>
    <row r="2564">
      <c r="A2564" s="8"/>
      <c r="B2564" s="8"/>
      <c r="C2564" s="8"/>
      <c r="D2564" s="16"/>
    </row>
    <row r="2565">
      <c r="A2565" s="8"/>
      <c r="B2565" s="8"/>
      <c r="C2565" s="8"/>
      <c r="D2565" s="16"/>
    </row>
    <row r="2566">
      <c r="A2566" s="8"/>
      <c r="B2566" s="8"/>
      <c r="C2566" s="8"/>
      <c r="D2566" s="16"/>
    </row>
    <row r="2567">
      <c r="A2567" s="8"/>
      <c r="B2567" s="8"/>
      <c r="C2567" s="8"/>
      <c r="D2567" s="16"/>
    </row>
    <row r="2568">
      <c r="A2568" s="8"/>
      <c r="B2568" s="8"/>
      <c r="C2568" s="8"/>
      <c r="D2568" s="16"/>
    </row>
    <row r="2569">
      <c r="A2569" s="8"/>
      <c r="B2569" s="8"/>
      <c r="C2569" s="8"/>
      <c r="D2569" s="16"/>
    </row>
    <row r="2570">
      <c r="A2570" s="8"/>
      <c r="B2570" s="8"/>
      <c r="C2570" s="8"/>
      <c r="D2570" s="16"/>
    </row>
    <row r="2571">
      <c r="A2571" s="8"/>
      <c r="B2571" s="8"/>
      <c r="C2571" s="8"/>
      <c r="D2571" s="16"/>
    </row>
    <row r="2572">
      <c r="A2572" s="8"/>
      <c r="B2572" s="8"/>
      <c r="C2572" s="8"/>
      <c r="D2572" s="16"/>
    </row>
    <row r="2573">
      <c r="A2573" s="8"/>
      <c r="B2573" s="8"/>
      <c r="C2573" s="8"/>
      <c r="D2573" s="16"/>
    </row>
    <row r="2574">
      <c r="A2574" s="8"/>
      <c r="B2574" s="8"/>
      <c r="C2574" s="8"/>
      <c r="D2574" s="16"/>
    </row>
    <row r="2575">
      <c r="A2575" s="8"/>
      <c r="B2575" s="8"/>
      <c r="C2575" s="8"/>
      <c r="D2575" s="16"/>
    </row>
    <row r="2576">
      <c r="A2576" s="8"/>
      <c r="B2576" s="8"/>
      <c r="C2576" s="8"/>
      <c r="D2576" s="16"/>
    </row>
    <row r="2577">
      <c r="A2577" s="8"/>
      <c r="B2577" s="8"/>
      <c r="C2577" s="8"/>
      <c r="D2577" s="16"/>
    </row>
    <row r="2578">
      <c r="A2578" s="8"/>
      <c r="B2578" s="8"/>
      <c r="C2578" s="8"/>
      <c r="D2578" s="16"/>
    </row>
    <row r="2579">
      <c r="A2579" s="8"/>
      <c r="B2579" s="8"/>
      <c r="C2579" s="8"/>
      <c r="D2579" s="16"/>
    </row>
    <row r="2580">
      <c r="A2580" s="8"/>
      <c r="B2580" s="8"/>
      <c r="C2580" s="8"/>
      <c r="D2580" s="16"/>
    </row>
    <row r="2581">
      <c r="A2581" s="8"/>
      <c r="B2581" s="8"/>
      <c r="C2581" s="8"/>
      <c r="D2581" s="16"/>
    </row>
    <row r="2582">
      <c r="A2582" s="8"/>
      <c r="B2582" s="8"/>
      <c r="C2582" s="8"/>
      <c r="D2582" s="16"/>
    </row>
    <row r="2583">
      <c r="A2583" s="8"/>
      <c r="B2583" s="8"/>
      <c r="C2583" s="8"/>
      <c r="D2583" s="16"/>
    </row>
    <row r="2584">
      <c r="A2584" s="8"/>
      <c r="B2584" s="8"/>
      <c r="C2584" s="8"/>
      <c r="D2584" s="16"/>
    </row>
    <row r="2585">
      <c r="A2585" s="8"/>
      <c r="B2585" s="8"/>
      <c r="C2585" s="8"/>
      <c r="D2585" s="16"/>
    </row>
    <row r="2586">
      <c r="A2586" s="8"/>
      <c r="B2586" s="8"/>
      <c r="C2586" s="8"/>
      <c r="D2586" s="16"/>
    </row>
    <row r="2587">
      <c r="A2587" s="8"/>
      <c r="B2587" s="8"/>
      <c r="C2587" s="8"/>
      <c r="D2587" s="16"/>
    </row>
    <row r="2588">
      <c r="A2588" s="8"/>
      <c r="B2588" s="8"/>
      <c r="C2588" s="8"/>
      <c r="D2588" s="16"/>
    </row>
    <row r="2589">
      <c r="A2589" s="8"/>
      <c r="B2589" s="8"/>
      <c r="C2589" s="8"/>
      <c r="D2589" s="16"/>
    </row>
    <row r="2590">
      <c r="A2590" s="8"/>
      <c r="B2590" s="8"/>
      <c r="C2590" s="8"/>
      <c r="D2590" s="16"/>
    </row>
    <row r="2591">
      <c r="A2591" s="8"/>
      <c r="B2591" s="8"/>
      <c r="C2591" s="8"/>
      <c r="D2591" s="16"/>
    </row>
    <row r="2592">
      <c r="A2592" s="8"/>
      <c r="B2592" s="8"/>
      <c r="C2592" s="8"/>
      <c r="D2592" s="16"/>
    </row>
    <row r="2593">
      <c r="A2593" s="8"/>
      <c r="B2593" s="8"/>
      <c r="C2593" s="8"/>
      <c r="D2593" s="16"/>
    </row>
    <row r="2594">
      <c r="A2594" s="8"/>
      <c r="B2594" s="8"/>
      <c r="C2594" s="8"/>
      <c r="D2594" s="16"/>
    </row>
    <row r="2595">
      <c r="A2595" s="8"/>
      <c r="B2595" s="8"/>
      <c r="C2595" s="8"/>
      <c r="D2595" s="16"/>
    </row>
    <row r="2596">
      <c r="A2596" s="8"/>
      <c r="B2596" s="8"/>
      <c r="C2596" s="8"/>
      <c r="D2596" s="16"/>
    </row>
    <row r="2597">
      <c r="A2597" s="8"/>
      <c r="B2597" s="8"/>
      <c r="C2597" s="8"/>
      <c r="D2597" s="16"/>
    </row>
    <row r="2598">
      <c r="A2598" s="8"/>
      <c r="B2598" s="8"/>
      <c r="C2598" s="8"/>
      <c r="D2598" s="16"/>
    </row>
    <row r="2599">
      <c r="A2599" s="8"/>
      <c r="B2599" s="8"/>
      <c r="C2599" s="8"/>
      <c r="D2599" s="16"/>
    </row>
    <row r="2600">
      <c r="A2600" s="8"/>
      <c r="B2600" s="8"/>
      <c r="C2600" s="8"/>
      <c r="D2600" s="16"/>
    </row>
    <row r="2601">
      <c r="A2601" s="8"/>
      <c r="B2601" s="8"/>
      <c r="C2601" s="8"/>
      <c r="D2601" s="16"/>
    </row>
    <row r="2602">
      <c r="A2602" s="8"/>
      <c r="B2602" s="8"/>
      <c r="C2602" s="8"/>
      <c r="D2602" s="16"/>
    </row>
    <row r="2603">
      <c r="A2603" s="8"/>
      <c r="B2603" s="8"/>
      <c r="C2603" s="8"/>
      <c r="D2603" s="16"/>
    </row>
    <row r="2604">
      <c r="A2604" s="8"/>
      <c r="B2604" s="8"/>
      <c r="C2604" s="8"/>
      <c r="D2604" s="16"/>
    </row>
    <row r="2605">
      <c r="A2605" s="8"/>
      <c r="B2605" s="8"/>
      <c r="C2605" s="8"/>
      <c r="D2605" s="16"/>
    </row>
    <row r="2606">
      <c r="A2606" s="8"/>
      <c r="B2606" s="8"/>
      <c r="C2606" s="8"/>
      <c r="D2606" s="16"/>
    </row>
    <row r="2607">
      <c r="A2607" s="8"/>
      <c r="B2607" s="8"/>
      <c r="C2607" s="8"/>
      <c r="D2607" s="16"/>
    </row>
    <row r="2608">
      <c r="A2608" s="8"/>
      <c r="B2608" s="8"/>
      <c r="C2608" s="8"/>
      <c r="D2608" s="16"/>
    </row>
    <row r="2609">
      <c r="A2609" s="8"/>
      <c r="B2609" s="8"/>
      <c r="C2609" s="8"/>
      <c r="D2609" s="16"/>
    </row>
    <row r="2610">
      <c r="A2610" s="8"/>
      <c r="B2610" s="8"/>
      <c r="C2610" s="8"/>
      <c r="D2610" s="16"/>
    </row>
    <row r="2611">
      <c r="A2611" s="8"/>
      <c r="B2611" s="8"/>
      <c r="C2611" s="8"/>
      <c r="D2611" s="16"/>
    </row>
    <row r="2612">
      <c r="A2612" s="8"/>
      <c r="B2612" s="8"/>
      <c r="C2612" s="8"/>
      <c r="D2612" s="16"/>
    </row>
    <row r="2613">
      <c r="A2613" s="8"/>
      <c r="B2613" s="8"/>
      <c r="C2613" s="8"/>
      <c r="D2613" s="16"/>
    </row>
    <row r="2614">
      <c r="A2614" s="8"/>
      <c r="B2614" s="8"/>
      <c r="C2614" s="8"/>
      <c r="D2614" s="16"/>
    </row>
    <row r="2615">
      <c r="A2615" s="8"/>
      <c r="B2615" s="8"/>
      <c r="C2615" s="8"/>
      <c r="D2615" s="16"/>
    </row>
    <row r="2616">
      <c r="A2616" s="8"/>
      <c r="B2616" s="8"/>
      <c r="C2616" s="8"/>
      <c r="D2616" s="16"/>
    </row>
    <row r="2617">
      <c r="A2617" s="8"/>
      <c r="B2617" s="8"/>
      <c r="C2617" s="8"/>
      <c r="D2617" s="16"/>
    </row>
    <row r="2618">
      <c r="A2618" s="8"/>
      <c r="B2618" s="8"/>
      <c r="C2618" s="8"/>
      <c r="D2618" s="16"/>
    </row>
    <row r="2619">
      <c r="A2619" s="8"/>
      <c r="B2619" s="8"/>
      <c r="C2619" s="8"/>
      <c r="D2619" s="16"/>
    </row>
    <row r="2620">
      <c r="A2620" s="8"/>
      <c r="B2620" s="8"/>
      <c r="C2620" s="8"/>
      <c r="D2620" s="16"/>
    </row>
    <row r="2621">
      <c r="A2621" s="8"/>
      <c r="B2621" s="8"/>
      <c r="C2621" s="8"/>
      <c r="D2621" s="16"/>
    </row>
    <row r="2622">
      <c r="A2622" s="8"/>
      <c r="B2622" s="8"/>
      <c r="C2622" s="8"/>
      <c r="D2622" s="16"/>
    </row>
    <row r="2623">
      <c r="A2623" s="8"/>
      <c r="B2623" s="8"/>
      <c r="C2623" s="8"/>
      <c r="D2623" s="16"/>
    </row>
    <row r="2624">
      <c r="A2624" s="8"/>
      <c r="B2624" s="8"/>
      <c r="C2624" s="8"/>
      <c r="D2624" s="16"/>
    </row>
    <row r="2625">
      <c r="A2625" s="8"/>
      <c r="B2625" s="8"/>
      <c r="C2625" s="8"/>
      <c r="D2625" s="16"/>
    </row>
    <row r="2626">
      <c r="A2626" s="8"/>
      <c r="B2626" s="8"/>
      <c r="C2626" s="8"/>
      <c r="D2626" s="16"/>
    </row>
    <row r="2627">
      <c r="A2627" s="8"/>
      <c r="B2627" s="8"/>
      <c r="C2627" s="8"/>
      <c r="D2627" s="16"/>
    </row>
    <row r="2628">
      <c r="A2628" s="8"/>
      <c r="B2628" s="8"/>
      <c r="C2628" s="8"/>
      <c r="D2628" s="16"/>
    </row>
    <row r="2629">
      <c r="A2629" s="8"/>
      <c r="B2629" s="8"/>
      <c r="C2629" s="8"/>
      <c r="D2629" s="16"/>
    </row>
    <row r="2630">
      <c r="A2630" s="8"/>
      <c r="B2630" s="8"/>
      <c r="C2630" s="8"/>
      <c r="D2630" s="16"/>
    </row>
    <row r="2631">
      <c r="A2631" s="8"/>
      <c r="B2631" s="8"/>
      <c r="C2631" s="8"/>
      <c r="D2631" s="16"/>
    </row>
    <row r="2632">
      <c r="A2632" s="8"/>
      <c r="B2632" s="8"/>
      <c r="C2632" s="8"/>
      <c r="D2632" s="16"/>
    </row>
    <row r="2633">
      <c r="A2633" s="8"/>
      <c r="B2633" s="8"/>
      <c r="C2633" s="8"/>
      <c r="D2633" s="16"/>
    </row>
    <row r="2634">
      <c r="A2634" s="8"/>
      <c r="B2634" s="8"/>
      <c r="C2634" s="8"/>
      <c r="D2634" s="16"/>
    </row>
    <row r="2635">
      <c r="A2635" s="8"/>
      <c r="B2635" s="8"/>
      <c r="C2635" s="8"/>
      <c r="D2635" s="16"/>
    </row>
    <row r="2636">
      <c r="A2636" s="8"/>
      <c r="B2636" s="8"/>
      <c r="C2636" s="8"/>
      <c r="D2636" s="16"/>
    </row>
    <row r="2637">
      <c r="A2637" s="8"/>
      <c r="B2637" s="8"/>
      <c r="C2637" s="8"/>
      <c r="D2637" s="16"/>
    </row>
    <row r="2638">
      <c r="A2638" s="8"/>
      <c r="B2638" s="8"/>
      <c r="C2638" s="8"/>
      <c r="D2638" s="16"/>
    </row>
    <row r="2639">
      <c r="A2639" s="8"/>
      <c r="B2639" s="8"/>
      <c r="C2639" s="8"/>
      <c r="D2639" s="16"/>
    </row>
    <row r="2640">
      <c r="A2640" s="8"/>
      <c r="B2640" s="8"/>
      <c r="C2640" s="8"/>
      <c r="D2640" s="16"/>
    </row>
    <row r="2641">
      <c r="A2641" s="8"/>
      <c r="B2641" s="8"/>
      <c r="C2641" s="8"/>
      <c r="D2641" s="16"/>
    </row>
    <row r="2642">
      <c r="A2642" s="8"/>
      <c r="B2642" s="8"/>
      <c r="C2642" s="8"/>
      <c r="D2642" s="16"/>
    </row>
    <row r="2643">
      <c r="A2643" s="8"/>
      <c r="B2643" s="8"/>
      <c r="C2643" s="8"/>
      <c r="D2643" s="16"/>
    </row>
    <row r="2644">
      <c r="A2644" s="8"/>
      <c r="B2644" s="8"/>
      <c r="C2644" s="8"/>
      <c r="D2644" s="16"/>
    </row>
    <row r="2645">
      <c r="A2645" s="8"/>
      <c r="B2645" s="8"/>
      <c r="C2645" s="8"/>
      <c r="D2645" s="16"/>
    </row>
    <row r="2646">
      <c r="A2646" s="8"/>
      <c r="B2646" s="8"/>
      <c r="C2646" s="8"/>
      <c r="D2646" s="16"/>
    </row>
    <row r="2647">
      <c r="A2647" s="8"/>
      <c r="B2647" s="8"/>
      <c r="C2647" s="8"/>
      <c r="D2647" s="16"/>
    </row>
    <row r="2648">
      <c r="A2648" s="8"/>
      <c r="B2648" s="8"/>
      <c r="C2648" s="8"/>
      <c r="D2648" s="16"/>
    </row>
    <row r="2649">
      <c r="A2649" s="8"/>
      <c r="B2649" s="8"/>
      <c r="C2649" s="8"/>
      <c r="D2649" s="16"/>
    </row>
    <row r="2650">
      <c r="A2650" s="8"/>
      <c r="B2650" s="8"/>
      <c r="C2650" s="8"/>
      <c r="D2650" s="16"/>
    </row>
    <row r="2651">
      <c r="A2651" s="8"/>
      <c r="B2651" s="8"/>
      <c r="C2651" s="8"/>
      <c r="D2651" s="16"/>
    </row>
    <row r="2652">
      <c r="A2652" s="8"/>
      <c r="B2652" s="8"/>
      <c r="C2652" s="8"/>
      <c r="D2652" s="16"/>
    </row>
    <row r="2653">
      <c r="A2653" s="8"/>
      <c r="B2653" s="8"/>
      <c r="C2653" s="8"/>
      <c r="D2653" s="16"/>
    </row>
    <row r="2654">
      <c r="A2654" s="8"/>
      <c r="B2654" s="8"/>
      <c r="C2654" s="8"/>
      <c r="D2654" s="16"/>
    </row>
    <row r="2655">
      <c r="A2655" s="8"/>
      <c r="B2655" s="8"/>
      <c r="C2655" s="8"/>
      <c r="D2655" s="16"/>
    </row>
    <row r="2656">
      <c r="A2656" s="8"/>
      <c r="B2656" s="8"/>
      <c r="C2656" s="8"/>
      <c r="D2656" s="16"/>
    </row>
    <row r="2657">
      <c r="A2657" s="8"/>
      <c r="B2657" s="8"/>
      <c r="C2657" s="8"/>
      <c r="D2657" s="16"/>
    </row>
    <row r="2658">
      <c r="A2658" s="8"/>
      <c r="B2658" s="8"/>
      <c r="C2658" s="8"/>
      <c r="D2658" s="16"/>
    </row>
    <row r="2659">
      <c r="A2659" s="8"/>
      <c r="B2659" s="8"/>
      <c r="C2659" s="8"/>
      <c r="D2659" s="16"/>
    </row>
    <row r="2660">
      <c r="A2660" s="8"/>
      <c r="B2660" s="8"/>
      <c r="C2660" s="8"/>
      <c r="D2660" s="16"/>
    </row>
    <row r="2661">
      <c r="A2661" s="8"/>
      <c r="B2661" s="8"/>
      <c r="C2661" s="8"/>
      <c r="D2661" s="16"/>
    </row>
    <row r="2662">
      <c r="A2662" s="8"/>
      <c r="B2662" s="8"/>
      <c r="C2662" s="8"/>
      <c r="D2662" s="16"/>
    </row>
    <row r="2663">
      <c r="A2663" s="8"/>
      <c r="B2663" s="8"/>
      <c r="C2663" s="8"/>
      <c r="D2663" s="16"/>
    </row>
    <row r="2664">
      <c r="A2664" s="8"/>
      <c r="B2664" s="8"/>
      <c r="C2664" s="8"/>
      <c r="D2664" s="16"/>
    </row>
    <row r="2665">
      <c r="A2665" s="8"/>
      <c r="B2665" s="8"/>
      <c r="C2665" s="8"/>
      <c r="D2665" s="16"/>
    </row>
    <row r="2666">
      <c r="A2666" s="8"/>
      <c r="B2666" s="8"/>
      <c r="C2666" s="8"/>
      <c r="D2666" s="16"/>
    </row>
    <row r="2667">
      <c r="A2667" s="8"/>
      <c r="B2667" s="8"/>
      <c r="C2667" s="8"/>
      <c r="D2667" s="16"/>
    </row>
    <row r="2668">
      <c r="A2668" s="8"/>
      <c r="B2668" s="8"/>
      <c r="C2668" s="8"/>
      <c r="D2668" s="16"/>
    </row>
    <row r="2669">
      <c r="A2669" s="8"/>
      <c r="B2669" s="8"/>
      <c r="C2669" s="8"/>
      <c r="D2669" s="16"/>
    </row>
    <row r="2670">
      <c r="A2670" s="8"/>
      <c r="B2670" s="8"/>
      <c r="C2670" s="8"/>
      <c r="D2670" s="16"/>
    </row>
    <row r="2671">
      <c r="A2671" s="8"/>
      <c r="B2671" s="8"/>
      <c r="C2671" s="8"/>
      <c r="D2671" s="16"/>
    </row>
    <row r="2672">
      <c r="A2672" s="8"/>
      <c r="B2672" s="8"/>
      <c r="C2672" s="8"/>
      <c r="D2672" s="16"/>
    </row>
    <row r="2673">
      <c r="A2673" s="8"/>
      <c r="B2673" s="8"/>
      <c r="C2673" s="8"/>
      <c r="D2673" s="16"/>
    </row>
    <row r="2674">
      <c r="A2674" s="8"/>
      <c r="B2674" s="8"/>
      <c r="C2674" s="8"/>
      <c r="D2674" s="16"/>
    </row>
    <row r="2675">
      <c r="A2675" s="8"/>
      <c r="B2675" s="8"/>
      <c r="C2675" s="8"/>
      <c r="D2675" s="16"/>
    </row>
    <row r="2676">
      <c r="A2676" s="8"/>
      <c r="B2676" s="8"/>
      <c r="C2676" s="8"/>
      <c r="D2676" s="16"/>
    </row>
    <row r="2677">
      <c r="A2677" s="8"/>
      <c r="B2677" s="8"/>
      <c r="C2677" s="8"/>
      <c r="D2677" s="16"/>
    </row>
    <row r="2678">
      <c r="A2678" s="8"/>
      <c r="B2678" s="8"/>
      <c r="C2678" s="8"/>
      <c r="D2678" s="16"/>
    </row>
    <row r="2679">
      <c r="A2679" s="8"/>
      <c r="B2679" s="8"/>
      <c r="C2679" s="8"/>
      <c r="D2679" s="16"/>
    </row>
    <row r="2680">
      <c r="A2680" s="8"/>
      <c r="B2680" s="8"/>
      <c r="C2680" s="8"/>
      <c r="D2680" s="16"/>
    </row>
    <row r="2681">
      <c r="A2681" s="8"/>
      <c r="B2681" s="8"/>
      <c r="C2681" s="8"/>
      <c r="D2681" s="16"/>
    </row>
    <row r="2682">
      <c r="A2682" s="8"/>
      <c r="B2682" s="8"/>
      <c r="C2682" s="8"/>
      <c r="D2682" s="16"/>
    </row>
    <row r="2683">
      <c r="A2683" s="8"/>
      <c r="B2683" s="8"/>
      <c r="C2683" s="8"/>
      <c r="D2683" s="16"/>
    </row>
    <row r="2684">
      <c r="A2684" s="8"/>
      <c r="B2684" s="8"/>
      <c r="C2684" s="8"/>
      <c r="D2684" s="16"/>
    </row>
    <row r="2685">
      <c r="A2685" s="8"/>
      <c r="B2685" s="8"/>
      <c r="C2685" s="8"/>
      <c r="D2685" s="16"/>
    </row>
    <row r="2686">
      <c r="A2686" s="8"/>
      <c r="B2686" s="8"/>
      <c r="C2686" s="8"/>
      <c r="D2686" s="16"/>
    </row>
    <row r="2687">
      <c r="A2687" s="8"/>
      <c r="B2687" s="8"/>
      <c r="C2687" s="8"/>
      <c r="D2687" s="16"/>
    </row>
    <row r="2688">
      <c r="A2688" s="8"/>
      <c r="B2688" s="8"/>
      <c r="C2688" s="8"/>
      <c r="D2688" s="16"/>
    </row>
    <row r="2689">
      <c r="A2689" s="8"/>
      <c r="B2689" s="8"/>
      <c r="C2689" s="8"/>
      <c r="D2689" s="16"/>
    </row>
    <row r="2690">
      <c r="A2690" s="8"/>
      <c r="B2690" s="8"/>
      <c r="C2690" s="8"/>
      <c r="D2690" s="16"/>
    </row>
    <row r="2691">
      <c r="A2691" s="8"/>
      <c r="B2691" s="8"/>
      <c r="C2691" s="8"/>
      <c r="D2691" s="16"/>
    </row>
    <row r="2692">
      <c r="A2692" s="8"/>
      <c r="B2692" s="8"/>
      <c r="C2692" s="8"/>
      <c r="D2692" s="16"/>
    </row>
    <row r="2693">
      <c r="A2693" s="8"/>
      <c r="B2693" s="8"/>
      <c r="C2693" s="8"/>
      <c r="D2693" s="16"/>
    </row>
    <row r="2694">
      <c r="A2694" s="8"/>
      <c r="B2694" s="8"/>
      <c r="C2694" s="8"/>
      <c r="D2694" s="16"/>
    </row>
    <row r="2695">
      <c r="A2695" s="8"/>
      <c r="B2695" s="8"/>
      <c r="C2695" s="8"/>
      <c r="D2695" s="16"/>
    </row>
    <row r="2696">
      <c r="A2696" s="8"/>
      <c r="B2696" s="8"/>
      <c r="C2696" s="8"/>
      <c r="D2696" s="16"/>
    </row>
    <row r="2697">
      <c r="A2697" s="8"/>
      <c r="B2697" s="8"/>
      <c r="C2697" s="8"/>
      <c r="D2697" s="16"/>
    </row>
    <row r="2698">
      <c r="A2698" s="8"/>
      <c r="B2698" s="8"/>
      <c r="C2698" s="8"/>
      <c r="D2698" s="16"/>
    </row>
    <row r="2699">
      <c r="A2699" s="8"/>
      <c r="B2699" s="8"/>
      <c r="C2699" s="8"/>
      <c r="D2699" s="16"/>
    </row>
    <row r="2700">
      <c r="A2700" s="8"/>
      <c r="B2700" s="8"/>
      <c r="C2700" s="8"/>
      <c r="D2700" s="16"/>
    </row>
    <row r="2701">
      <c r="A2701" s="8"/>
      <c r="B2701" s="8"/>
      <c r="C2701" s="8"/>
      <c r="D2701" s="16"/>
    </row>
    <row r="2702">
      <c r="A2702" s="8"/>
      <c r="B2702" s="8"/>
      <c r="C2702" s="8"/>
      <c r="D2702" s="16"/>
    </row>
    <row r="2703">
      <c r="A2703" s="8"/>
      <c r="B2703" s="8"/>
      <c r="C2703" s="8"/>
      <c r="D2703" s="16"/>
    </row>
    <row r="2704">
      <c r="A2704" s="8"/>
      <c r="B2704" s="8"/>
      <c r="C2704" s="8"/>
      <c r="D2704" s="16"/>
    </row>
    <row r="2705">
      <c r="A2705" s="8"/>
      <c r="B2705" s="8"/>
      <c r="C2705" s="8"/>
      <c r="D2705" s="16"/>
    </row>
    <row r="2706">
      <c r="A2706" s="8"/>
      <c r="B2706" s="8"/>
      <c r="C2706" s="8"/>
      <c r="D2706" s="16"/>
    </row>
    <row r="2707">
      <c r="A2707" s="8"/>
      <c r="B2707" s="8"/>
      <c r="C2707" s="8"/>
      <c r="D2707" s="16"/>
    </row>
    <row r="2708">
      <c r="A2708" s="8"/>
      <c r="B2708" s="8"/>
      <c r="C2708" s="8"/>
      <c r="D2708" s="16"/>
    </row>
    <row r="2709">
      <c r="A2709" s="8"/>
      <c r="B2709" s="8"/>
      <c r="C2709" s="8"/>
      <c r="D2709" s="16"/>
    </row>
    <row r="2710">
      <c r="A2710" s="8"/>
      <c r="B2710" s="8"/>
      <c r="C2710" s="8"/>
      <c r="D2710" s="16"/>
    </row>
    <row r="2711">
      <c r="A2711" s="8"/>
      <c r="B2711" s="8"/>
      <c r="C2711" s="8"/>
      <c r="D2711" s="16"/>
    </row>
    <row r="2712">
      <c r="A2712" s="8"/>
      <c r="B2712" s="8"/>
      <c r="C2712" s="8"/>
      <c r="D2712" s="16"/>
    </row>
    <row r="2713">
      <c r="A2713" s="8"/>
      <c r="B2713" s="8"/>
      <c r="C2713" s="8"/>
      <c r="D2713" s="16"/>
    </row>
    <row r="2714">
      <c r="A2714" s="8"/>
      <c r="B2714" s="8"/>
      <c r="C2714" s="8"/>
      <c r="D2714" s="16"/>
    </row>
    <row r="2715">
      <c r="A2715" s="8"/>
      <c r="B2715" s="8"/>
      <c r="C2715" s="8"/>
      <c r="D2715" s="16"/>
    </row>
    <row r="2716">
      <c r="A2716" s="8"/>
      <c r="B2716" s="8"/>
      <c r="C2716" s="8"/>
      <c r="D2716" s="16"/>
    </row>
    <row r="2717">
      <c r="A2717" s="8"/>
      <c r="B2717" s="8"/>
      <c r="C2717" s="8"/>
      <c r="D2717" s="16"/>
    </row>
    <row r="2718">
      <c r="A2718" s="8"/>
      <c r="B2718" s="8"/>
      <c r="C2718" s="8"/>
      <c r="D2718" s="16"/>
    </row>
    <row r="2719">
      <c r="A2719" s="8"/>
      <c r="B2719" s="8"/>
      <c r="C2719" s="8"/>
      <c r="D2719" s="16"/>
    </row>
    <row r="2720">
      <c r="A2720" s="8"/>
      <c r="B2720" s="8"/>
      <c r="C2720" s="8"/>
      <c r="D2720" s="16"/>
    </row>
    <row r="2721">
      <c r="A2721" s="8"/>
      <c r="B2721" s="8"/>
      <c r="C2721" s="8"/>
      <c r="D2721" s="16"/>
    </row>
    <row r="2722">
      <c r="A2722" s="8"/>
      <c r="B2722" s="8"/>
      <c r="C2722" s="8"/>
      <c r="D2722" s="16"/>
    </row>
    <row r="2723">
      <c r="A2723" s="8"/>
      <c r="B2723" s="8"/>
      <c r="C2723" s="8"/>
      <c r="D2723" s="16"/>
    </row>
    <row r="2724">
      <c r="A2724" s="8"/>
      <c r="B2724" s="8"/>
      <c r="C2724" s="8"/>
      <c r="D2724" s="16"/>
    </row>
    <row r="2725">
      <c r="A2725" s="8"/>
      <c r="B2725" s="8"/>
      <c r="C2725" s="8"/>
      <c r="D2725" s="16"/>
    </row>
    <row r="2726">
      <c r="A2726" s="8"/>
      <c r="B2726" s="8"/>
      <c r="C2726" s="8"/>
      <c r="D2726" s="16"/>
    </row>
    <row r="2727">
      <c r="A2727" s="8"/>
      <c r="B2727" s="8"/>
      <c r="C2727" s="8"/>
      <c r="D2727" s="16"/>
    </row>
    <row r="2728">
      <c r="A2728" s="8"/>
      <c r="B2728" s="8"/>
      <c r="C2728" s="8"/>
      <c r="D2728" s="16"/>
    </row>
    <row r="2729">
      <c r="A2729" s="8"/>
      <c r="B2729" s="8"/>
      <c r="C2729" s="8"/>
      <c r="D2729" s="16"/>
    </row>
    <row r="2730">
      <c r="A2730" s="8"/>
      <c r="B2730" s="8"/>
      <c r="C2730" s="8"/>
      <c r="D2730" s="16"/>
    </row>
    <row r="2731">
      <c r="A2731" s="8"/>
      <c r="B2731" s="8"/>
      <c r="C2731" s="8"/>
      <c r="D2731" s="16"/>
    </row>
    <row r="2732">
      <c r="A2732" s="8"/>
      <c r="B2732" s="8"/>
      <c r="C2732" s="8"/>
      <c r="D2732" s="16"/>
    </row>
    <row r="2733">
      <c r="A2733" s="8"/>
      <c r="B2733" s="8"/>
      <c r="C2733" s="8"/>
      <c r="D2733" s="16"/>
    </row>
    <row r="2734">
      <c r="A2734" s="8"/>
      <c r="B2734" s="8"/>
      <c r="C2734" s="8"/>
      <c r="D2734" s="16"/>
    </row>
    <row r="2735">
      <c r="A2735" s="8"/>
      <c r="B2735" s="8"/>
      <c r="C2735" s="8"/>
      <c r="D2735" s="16"/>
    </row>
    <row r="2736">
      <c r="A2736" s="8"/>
      <c r="B2736" s="8"/>
      <c r="C2736" s="8"/>
      <c r="D2736" s="16"/>
    </row>
    <row r="2737">
      <c r="A2737" s="8"/>
      <c r="B2737" s="8"/>
      <c r="C2737" s="8"/>
      <c r="D2737" s="16"/>
    </row>
    <row r="2738">
      <c r="A2738" s="8"/>
      <c r="B2738" s="8"/>
      <c r="C2738" s="8"/>
      <c r="D2738" s="16"/>
    </row>
    <row r="2739">
      <c r="A2739" s="8"/>
      <c r="B2739" s="8"/>
      <c r="C2739" s="8"/>
      <c r="D2739" s="16"/>
    </row>
    <row r="2740">
      <c r="A2740" s="8"/>
      <c r="B2740" s="8"/>
      <c r="C2740" s="8"/>
      <c r="D2740" s="16"/>
    </row>
    <row r="2741">
      <c r="A2741" s="8"/>
      <c r="B2741" s="8"/>
      <c r="C2741" s="8"/>
      <c r="D2741" s="16"/>
    </row>
    <row r="2742">
      <c r="A2742" s="8"/>
      <c r="B2742" s="8"/>
      <c r="C2742" s="8"/>
      <c r="D2742" s="16"/>
    </row>
    <row r="2743">
      <c r="A2743" s="8"/>
      <c r="B2743" s="8"/>
      <c r="C2743" s="8"/>
      <c r="D2743" s="16"/>
    </row>
    <row r="2744">
      <c r="A2744" s="8"/>
      <c r="B2744" s="8"/>
      <c r="C2744" s="8"/>
      <c r="D2744" s="16"/>
    </row>
    <row r="2745">
      <c r="A2745" s="8"/>
      <c r="B2745" s="8"/>
      <c r="C2745" s="8"/>
      <c r="D2745" s="16"/>
    </row>
    <row r="2746">
      <c r="A2746" s="8"/>
      <c r="B2746" s="8"/>
      <c r="C2746" s="8"/>
      <c r="D2746" s="16"/>
    </row>
    <row r="2747">
      <c r="A2747" s="8"/>
      <c r="B2747" s="8"/>
      <c r="C2747" s="8"/>
      <c r="D2747" s="16"/>
    </row>
    <row r="2748">
      <c r="A2748" s="8"/>
      <c r="B2748" s="8"/>
      <c r="C2748" s="8"/>
      <c r="D2748" s="16"/>
    </row>
    <row r="2749">
      <c r="A2749" s="8"/>
      <c r="B2749" s="8"/>
      <c r="C2749" s="8"/>
      <c r="D2749" s="16"/>
    </row>
    <row r="2750">
      <c r="A2750" s="8"/>
      <c r="B2750" s="8"/>
      <c r="C2750" s="8"/>
      <c r="D2750" s="16"/>
    </row>
    <row r="2751">
      <c r="A2751" s="8"/>
      <c r="B2751" s="8"/>
      <c r="C2751" s="8"/>
      <c r="D2751" s="16"/>
    </row>
    <row r="2752">
      <c r="A2752" s="8"/>
      <c r="B2752" s="8"/>
      <c r="C2752" s="8"/>
      <c r="D2752" s="16"/>
    </row>
    <row r="2753">
      <c r="A2753" s="8"/>
      <c r="B2753" s="8"/>
      <c r="C2753" s="8"/>
      <c r="D2753" s="16"/>
    </row>
    <row r="2754">
      <c r="A2754" s="8"/>
      <c r="B2754" s="8"/>
      <c r="C2754" s="8"/>
      <c r="D2754" s="16"/>
    </row>
    <row r="2755">
      <c r="A2755" s="8"/>
      <c r="B2755" s="8"/>
      <c r="C2755" s="8"/>
      <c r="D2755" s="16"/>
    </row>
    <row r="2756">
      <c r="A2756" s="8"/>
      <c r="B2756" s="8"/>
      <c r="C2756" s="8"/>
      <c r="D2756" s="16"/>
    </row>
    <row r="2757">
      <c r="A2757" s="8"/>
      <c r="B2757" s="8"/>
      <c r="C2757" s="8"/>
      <c r="D2757" s="16"/>
    </row>
    <row r="2758">
      <c r="A2758" s="8"/>
      <c r="B2758" s="8"/>
      <c r="C2758" s="8"/>
      <c r="D2758" s="16"/>
    </row>
    <row r="2759">
      <c r="A2759" s="8"/>
      <c r="B2759" s="8"/>
      <c r="C2759" s="8"/>
      <c r="D2759" s="16"/>
    </row>
    <row r="2760">
      <c r="A2760" s="8"/>
      <c r="B2760" s="8"/>
      <c r="C2760" s="8"/>
      <c r="D2760" s="16"/>
    </row>
    <row r="2761">
      <c r="A2761" s="8"/>
      <c r="B2761" s="8"/>
      <c r="C2761" s="8"/>
      <c r="D2761" s="16"/>
    </row>
    <row r="2762">
      <c r="A2762" s="8"/>
      <c r="B2762" s="8"/>
      <c r="C2762" s="8"/>
      <c r="D2762" s="16"/>
    </row>
    <row r="2763">
      <c r="A2763" s="8"/>
      <c r="B2763" s="8"/>
      <c r="C2763" s="8"/>
      <c r="D2763" s="16"/>
    </row>
    <row r="2764">
      <c r="A2764" s="8"/>
      <c r="B2764" s="8"/>
      <c r="C2764" s="8"/>
      <c r="D2764" s="16"/>
    </row>
    <row r="2765">
      <c r="A2765" s="8"/>
      <c r="B2765" s="8"/>
      <c r="C2765" s="8"/>
      <c r="D2765" s="16"/>
    </row>
    <row r="2766">
      <c r="A2766" s="8"/>
      <c r="B2766" s="8"/>
      <c r="C2766" s="8"/>
      <c r="D2766" s="16"/>
    </row>
    <row r="2767">
      <c r="A2767" s="8"/>
      <c r="B2767" s="8"/>
      <c r="C2767" s="8"/>
      <c r="D2767" s="16"/>
    </row>
    <row r="2768">
      <c r="A2768" s="8"/>
      <c r="B2768" s="8"/>
      <c r="C2768" s="8"/>
      <c r="D2768" s="16"/>
    </row>
    <row r="2769">
      <c r="A2769" s="8"/>
      <c r="B2769" s="8"/>
      <c r="C2769" s="8"/>
      <c r="D2769" s="16"/>
    </row>
    <row r="2770">
      <c r="A2770" s="8"/>
      <c r="B2770" s="8"/>
      <c r="C2770" s="8"/>
      <c r="D2770" s="16"/>
    </row>
    <row r="2771">
      <c r="A2771" s="8"/>
      <c r="B2771" s="8"/>
      <c r="C2771" s="8"/>
      <c r="D2771" s="16"/>
    </row>
    <row r="2772">
      <c r="A2772" s="8"/>
      <c r="B2772" s="8"/>
      <c r="C2772" s="8"/>
      <c r="D2772" s="16"/>
    </row>
    <row r="2773">
      <c r="A2773" s="8"/>
      <c r="B2773" s="8"/>
      <c r="C2773" s="8"/>
      <c r="D2773" s="16"/>
    </row>
    <row r="2774">
      <c r="A2774" s="8"/>
      <c r="B2774" s="8"/>
      <c r="C2774" s="8"/>
      <c r="D2774" s="16"/>
    </row>
    <row r="2775">
      <c r="A2775" s="8"/>
      <c r="B2775" s="8"/>
      <c r="C2775" s="8"/>
      <c r="D2775" s="16"/>
    </row>
    <row r="2776">
      <c r="A2776" s="8"/>
      <c r="B2776" s="8"/>
      <c r="C2776" s="8"/>
      <c r="D2776" s="16"/>
    </row>
    <row r="2777">
      <c r="A2777" s="8"/>
      <c r="B2777" s="8"/>
      <c r="C2777" s="8"/>
      <c r="D2777" s="16"/>
    </row>
    <row r="2778">
      <c r="A2778" s="8"/>
      <c r="B2778" s="8"/>
      <c r="C2778" s="8"/>
      <c r="D2778" s="16"/>
    </row>
    <row r="2779">
      <c r="A2779" s="8"/>
      <c r="B2779" s="8"/>
      <c r="C2779" s="8"/>
      <c r="D2779" s="16"/>
    </row>
    <row r="2780">
      <c r="A2780" s="8"/>
      <c r="B2780" s="8"/>
      <c r="C2780" s="8"/>
      <c r="D2780" s="16"/>
    </row>
    <row r="2781">
      <c r="A2781" s="8"/>
      <c r="B2781" s="8"/>
      <c r="C2781" s="8"/>
      <c r="D2781" s="16"/>
    </row>
    <row r="2782">
      <c r="A2782" s="8"/>
      <c r="B2782" s="8"/>
      <c r="C2782" s="8"/>
      <c r="D2782" s="16"/>
    </row>
    <row r="2783">
      <c r="A2783" s="8"/>
      <c r="B2783" s="8"/>
      <c r="C2783" s="8"/>
      <c r="D2783" s="16"/>
    </row>
    <row r="2784">
      <c r="A2784" s="8"/>
      <c r="B2784" s="8"/>
      <c r="C2784" s="8"/>
      <c r="D2784" s="16"/>
    </row>
    <row r="2785">
      <c r="A2785" s="8"/>
      <c r="B2785" s="8"/>
      <c r="C2785" s="8"/>
      <c r="D2785" s="16"/>
    </row>
    <row r="2786">
      <c r="A2786" s="8"/>
      <c r="B2786" s="8"/>
      <c r="C2786" s="8"/>
      <c r="D2786" s="16"/>
    </row>
    <row r="2787">
      <c r="A2787" s="8"/>
      <c r="B2787" s="8"/>
      <c r="C2787" s="8"/>
      <c r="D2787" s="16"/>
    </row>
    <row r="2788">
      <c r="A2788" s="8"/>
      <c r="B2788" s="8"/>
      <c r="C2788" s="8"/>
      <c r="D2788" s="16"/>
    </row>
    <row r="2789">
      <c r="A2789" s="8"/>
      <c r="B2789" s="8"/>
      <c r="C2789" s="8"/>
      <c r="D2789" s="16"/>
    </row>
    <row r="2790">
      <c r="A2790" s="8"/>
      <c r="B2790" s="8"/>
      <c r="C2790" s="8"/>
      <c r="D2790" s="16"/>
    </row>
    <row r="2791">
      <c r="A2791" s="8"/>
      <c r="B2791" s="8"/>
      <c r="C2791" s="8"/>
      <c r="D2791" s="16"/>
    </row>
    <row r="2792">
      <c r="A2792" s="8"/>
      <c r="B2792" s="8"/>
      <c r="C2792" s="8"/>
      <c r="D2792" s="16"/>
    </row>
    <row r="2793">
      <c r="A2793" s="8"/>
      <c r="B2793" s="8"/>
      <c r="C2793" s="8"/>
      <c r="D2793" s="16"/>
    </row>
    <row r="2794">
      <c r="A2794" s="8"/>
      <c r="B2794" s="8"/>
      <c r="C2794" s="8"/>
      <c r="D2794" s="16"/>
    </row>
    <row r="2795">
      <c r="A2795" s="8"/>
      <c r="B2795" s="8"/>
      <c r="C2795" s="8"/>
      <c r="D2795" s="16"/>
    </row>
    <row r="2796">
      <c r="A2796" s="8"/>
      <c r="B2796" s="8"/>
      <c r="C2796" s="8"/>
      <c r="D2796" s="16"/>
    </row>
    <row r="2797">
      <c r="A2797" s="8"/>
      <c r="B2797" s="8"/>
      <c r="C2797" s="8"/>
      <c r="D2797" s="16"/>
    </row>
    <row r="2798">
      <c r="A2798" s="8"/>
      <c r="B2798" s="8"/>
      <c r="C2798" s="8"/>
      <c r="D2798" s="16"/>
    </row>
    <row r="2799">
      <c r="A2799" s="8"/>
      <c r="B2799" s="8"/>
      <c r="C2799" s="8"/>
      <c r="D2799" s="16"/>
    </row>
    <row r="2800">
      <c r="A2800" s="8"/>
      <c r="B2800" s="8"/>
      <c r="C2800" s="8"/>
      <c r="D2800" s="16"/>
    </row>
    <row r="2801">
      <c r="A2801" s="8"/>
      <c r="B2801" s="8"/>
      <c r="C2801" s="8"/>
      <c r="D2801" s="16"/>
    </row>
    <row r="2802">
      <c r="A2802" s="8"/>
      <c r="B2802" s="8"/>
      <c r="C2802" s="8"/>
      <c r="D2802" s="16"/>
    </row>
    <row r="2803">
      <c r="A2803" s="8"/>
      <c r="B2803" s="8"/>
      <c r="C2803" s="8"/>
      <c r="D2803" s="16"/>
    </row>
    <row r="2804">
      <c r="A2804" s="8"/>
      <c r="B2804" s="8"/>
      <c r="C2804" s="8"/>
      <c r="D2804" s="16"/>
    </row>
    <row r="2805">
      <c r="A2805" s="8"/>
      <c r="B2805" s="8"/>
      <c r="C2805" s="8"/>
      <c r="D2805" s="16"/>
    </row>
    <row r="2806">
      <c r="A2806" s="8"/>
      <c r="B2806" s="8"/>
      <c r="C2806" s="8"/>
      <c r="D2806" s="16"/>
    </row>
    <row r="2807">
      <c r="A2807" s="8"/>
      <c r="B2807" s="8"/>
      <c r="C2807" s="8"/>
      <c r="D2807" s="16"/>
    </row>
    <row r="2808">
      <c r="A2808" s="8"/>
      <c r="B2808" s="8"/>
      <c r="C2808" s="8"/>
      <c r="D2808" s="16"/>
    </row>
    <row r="2809">
      <c r="A2809" s="8"/>
      <c r="B2809" s="8"/>
      <c r="C2809" s="8"/>
      <c r="D2809" s="16"/>
    </row>
    <row r="2810">
      <c r="A2810" s="8"/>
      <c r="B2810" s="8"/>
      <c r="C2810" s="8"/>
      <c r="D2810" s="16"/>
    </row>
    <row r="2811">
      <c r="A2811" s="8"/>
      <c r="B2811" s="8"/>
      <c r="C2811" s="8"/>
      <c r="D2811" s="16"/>
    </row>
    <row r="2812">
      <c r="A2812" s="8"/>
      <c r="B2812" s="8"/>
      <c r="C2812" s="8"/>
      <c r="D2812" s="16"/>
    </row>
    <row r="2813">
      <c r="A2813" s="8"/>
      <c r="B2813" s="8"/>
      <c r="C2813" s="8"/>
      <c r="D2813" s="16"/>
    </row>
    <row r="2814">
      <c r="A2814" s="8"/>
      <c r="B2814" s="8"/>
      <c r="C2814" s="8"/>
      <c r="D2814" s="16"/>
    </row>
    <row r="2815">
      <c r="A2815" s="8"/>
      <c r="B2815" s="8"/>
      <c r="C2815" s="8"/>
      <c r="D2815" s="16"/>
    </row>
    <row r="2816">
      <c r="A2816" s="8"/>
      <c r="B2816" s="8"/>
      <c r="C2816" s="8"/>
      <c r="D2816" s="16"/>
    </row>
    <row r="2817">
      <c r="A2817" s="8"/>
      <c r="B2817" s="8"/>
      <c r="C2817" s="8"/>
      <c r="D2817" s="16"/>
    </row>
    <row r="2818">
      <c r="A2818" s="8"/>
      <c r="B2818" s="8"/>
      <c r="C2818" s="8"/>
      <c r="D2818" s="16"/>
    </row>
    <row r="2819">
      <c r="A2819" s="8"/>
      <c r="B2819" s="8"/>
      <c r="C2819" s="8"/>
      <c r="D2819" s="16"/>
    </row>
    <row r="2820">
      <c r="A2820" s="8"/>
      <c r="B2820" s="8"/>
      <c r="C2820" s="8"/>
      <c r="D2820" s="16"/>
    </row>
    <row r="2821">
      <c r="A2821" s="8"/>
      <c r="B2821" s="8"/>
      <c r="C2821" s="8"/>
      <c r="D2821" s="16"/>
    </row>
    <row r="2822">
      <c r="A2822" s="8"/>
      <c r="B2822" s="8"/>
      <c r="C2822" s="8"/>
      <c r="D2822" s="16"/>
    </row>
    <row r="2823">
      <c r="A2823" s="8"/>
      <c r="B2823" s="8"/>
      <c r="C2823" s="8"/>
      <c r="D2823" s="16"/>
    </row>
    <row r="2824">
      <c r="A2824" s="8"/>
      <c r="B2824" s="8"/>
      <c r="C2824" s="8"/>
      <c r="D2824" s="16"/>
    </row>
    <row r="2825">
      <c r="A2825" s="8"/>
      <c r="B2825" s="8"/>
      <c r="C2825" s="8"/>
      <c r="D2825" s="16"/>
    </row>
    <row r="2826">
      <c r="A2826" s="8"/>
      <c r="B2826" s="8"/>
      <c r="C2826" s="8"/>
      <c r="D2826" s="16"/>
    </row>
    <row r="2827">
      <c r="A2827" s="8"/>
      <c r="B2827" s="8"/>
      <c r="C2827" s="8"/>
      <c r="D2827" s="16"/>
    </row>
    <row r="2828">
      <c r="A2828" s="8"/>
      <c r="B2828" s="8"/>
      <c r="C2828" s="8"/>
      <c r="D2828" s="16"/>
    </row>
    <row r="2829">
      <c r="A2829" s="8"/>
      <c r="B2829" s="8"/>
      <c r="C2829" s="8"/>
      <c r="D2829" s="16"/>
    </row>
    <row r="2830">
      <c r="A2830" s="8"/>
      <c r="B2830" s="8"/>
      <c r="C2830" s="8"/>
      <c r="D2830" s="16"/>
    </row>
    <row r="2831">
      <c r="A2831" s="8"/>
      <c r="B2831" s="8"/>
      <c r="C2831" s="8"/>
      <c r="D2831" s="16"/>
    </row>
    <row r="2832">
      <c r="A2832" s="8"/>
      <c r="B2832" s="8"/>
      <c r="C2832" s="8"/>
      <c r="D2832" s="16"/>
    </row>
    <row r="2833">
      <c r="A2833" s="8"/>
      <c r="B2833" s="8"/>
      <c r="C2833" s="8"/>
      <c r="D2833" s="16"/>
    </row>
    <row r="2834">
      <c r="A2834" s="8"/>
      <c r="B2834" s="8"/>
      <c r="C2834" s="8"/>
      <c r="D2834" s="16"/>
    </row>
    <row r="2835">
      <c r="A2835" s="8"/>
      <c r="B2835" s="8"/>
      <c r="C2835" s="8"/>
      <c r="D2835" s="16"/>
    </row>
    <row r="2836">
      <c r="A2836" s="8"/>
      <c r="B2836" s="8"/>
      <c r="C2836" s="8"/>
      <c r="D2836" s="16"/>
    </row>
    <row r="2837">
      <c r="A2837" s="8"/>
      <c r="B2837" s="8"/>
      <c r="C2837" s="8"/>
      <c r="D2837" s="16"/>
    </row>
    <row r="2838">
      <c r="A2838" s="8"/>
      <c r="B2838" s="8"/>
      <c r="C2838" s="8"/>
      <c r="D2838" s="16"/>
    </row>
    <row r="2839">
      <c r="A2839" s="8"/>
      <c r="B2839" s="8"/>
      <c r="C2839" s="8"/>
      <c r="D2839" s="16"/>
    </row>
    <row r="2840">
      <c r="A2840" s="8"/>
      <c r="B2840" s="8"/>
      <c r="C2840" s="8"/>
      <c r="D2840" s="16"/>
    </row>
    <row r="2841">
      <c r="A2841" s="8"/>
      <c r="B2841" s="8"/>
      <c r="C2841" s="8"/>
      <c r="D2841" s="16"/>
    </row>
    <row r="2842">
      <c r="A2842" s="8"/>
      <c r="B2842" s="8"/>
      <c r="C2842" s="8"/>
      <c r="D2842" s="16"/>
    </row>
    <row r="2843">
      <c r="A2843" s="8"/>
      <c r="B2843" s="8"/>
      <c r="C2843" s="8"/>
      <c r="D2843" s="16"/>
    </row>
    <row r="2844">
      <c r="A2844" s="8"/>
      <c r="B2844" s="8"/>
      <c r="C2844" s="8"/>
      <c r="D2844" s="16"/>
    </row>
    <row r="2845">
      <c r="A2845" s="8"/>
      <c r="B2845" s="8"/>
      <c r="C2845" s="8"/>
      <c r="D2845" s="16"/>
    </row>
    <row r="2846">
      <c r="A2846" s="8"/>
      <c r="B2846" s="8"/>
      <c r="C2846" s="8"/>
      <c r="D2846" s="16"/>
    </row>
    <row r="2847">
      <c r="A2847" s="8"/>
      <c r="B2847" s="8"/>
      <c r="C2847" s="8"/>
      <c r="D2847" s="16"/>
    </row>
    <row r="2848">
      <c r="A2848" s="8"/>
      <c r="B2848" s="8"/>
      <c r="C2848" s="8"/>
      <c r="D2848" s="16"/>
    </row>
    <row r="2849">
      <c r="A2849" s="8"/>
      <c r="B2849" s="8"/>
      <c r="C2849" s="8"/>
      <c r="D2849" s="16"/>
    </row>
    <row r="2850">
      <c r="A2850" s="8"/>
      <c r="B2850" s="8"/>
      <c r="C2850" s="8"/>
      <c r="D2850" s="16"/>
    </row>
    <row r="2851">
      <c r="A2851" s="8"/>
      <c r="B2851" s="8"/>
      <c r="C2851" s="8"/>
      <c r="D2851" s="16"/>
    </row>
    <row r="2852">
      <c r="A2852" s="8"/>
      <c r="B2852" s="8"/>
      <c r="C2852" s="8"/>
      <c r="D2852" s="16"/>
    </row>
    <row r="2853">
      <c r="A2853" s="8"/>
      <c r="B2853" s="8"/>
      <c r="C2853" s="8"/>
      <c r="D2853" s="16"/>
    </row>
    <row r="2854">
      <c r="A2854" s="8"/>
      <c r="B2854" s="8"/>
      <c r="C2854" s="8"/>
      <c r="D2854" s="16"/>
    </row>
    <row r="2855">
      <c r="A2855" s="8"/>
      <c r="B2855" s="8"/>
      <c r="C2855" s="8"/>
      <c r="D2855" s="16"/>
    </row>
    <row r="2856">
      <c r="A2856" s="8"/>
      <c r="B2856" s="8"/>
      <c r="C2856" s="8"/>
      <c r="D2856" s="16"/>
    </row>
    <row r="2857">
      <c r="A2857" s="8"/>
      <c r="B2857" s="8"/>
      <c r="C2857" s="8"/>
      <c r="D2857" s="16"/>
    </row>
    <row r="2858">
      <c r="A2858" s="8"/>
      <c r="B2858" s="8"/>
      <c r="C2858" s="8"/>
      <c r="D2858" s="16"/>
    </row>
    <row r="2859">
      <c r="A2859" s="8"/>
      <c r="B2859" s="8"/>
      <c r="C2859" s="8"/>
      <c r="D2859" s="16"/>
    </row>
    <row r="2860">
      <c r="A2860" s="8"/>
      <c r="B2860" s="8"/>
      <c r="C2860" s="8"/>
      <c r="D2860" s="16"/>
    </row>
    <row r="2861">
      <c r="A2861" s="8"/>
      <c r="B2861" s="8"/>
      <c r="C2861" s="8"/>
      <c r="D2861" s="16"/>
    </row>
    <row r="2862">
      <c r="A2862" s="8"/>
      <c r="B2862" s="8"/>
      <c r="C2862" s="8"/>
      <c r="D2862" s="16"/>
    </row>
    <row r="2863">
      <c r="A2863" s="8"/>
      <c r="B2863" s="8"/>
      <c r="C2863" s="8"/>
      <c r="D2863" s="16"/>
    </row>
    <row r="2864">
      <c r="A2864" s="8"/>
      <c r="B2864" s="8"/>
      <c r="C2864" s="8"/>
      <c r="D2864" s="16"/>
    </row>
    <row r="2865">
      <c r="A2865" s="8"/>
      <c r="B2865" s="8"/>
      <c r="C2865" s="8"/>
      <c r="D2865" s="16"/>
    </row>
    <row r="2866">
      <c r="A2866" s="8"/>
      <c r="B2866" s="8"/>
      <c r="C2866" s="8"/>
      <c r="D2866" s="16"/>
    </row>
    <row r="2867">
      <c r="A2867" s="8"/>
      <c r="B2867" s="8"/>
      <c r="C2867" s="8"/>
      <c r="D2867" s="16"/>
    </row>
    <row r="2868">
      <c r="A2868" s="8"/>
      <c r="B2868" s="8"/>
      <c r="C2868" s="8"/>
      <c r="D2868" s="16"/>
    </row>
    <row r="2869">
      <c r="A2869" s="8"/>
      <c r="B2869" s="8"/>
      <c r="C2869" s="8"/>
      <c r="D2869" s="16"/>
    </row>
    <row r="2870">
      <c r="A2870" s="8"/>
      <c r="B2870" s="8"/>
      <c r="C2870" s="8"/>
      <c r="D2870" s="16"/>
    </row>
    <row r="2871">
      <c r="A2871" s="8"/>
      <c r="B2871" s="8"/>
      <c r="C2871" s="8"/>
      <c r="D2871" s="16"/>
    </row>
    <row r="2872">
      <c r="A2872" s="8"/>
      <c r="B2872" s="8"/>
      <c r="C2872" s="8"/>
      <c r="D2872" s="16"/>
    </row>
    <row r="2873">
      <c r="A2873" s="8"/>
      <c r="B2873" s="8"/>
      <c r="C2873" s="8"/>
      <c r="D2873" s="16"/>
    </row>
    <row r="2874">
      <c r="A2874" s="8"/>
      <c r="B2874" s="8"/>
      <c r="C2874" s="8"/>
      <c r="D2874" s="16"/>
    </row>
    <row r="2875">
      <c r="A2875" s="8"/>
      <c r="B2875" s="8"/>
      <c r="C2875" s="8"/>
      <c r="D2875" s="16"/>
    </row>
    <row r="2876">
      <c r="A2876" s="8"/>
      <c r="B2876" s="8"/>
      <c r="C2876" s="8"/>
      <c r="D2876" s="16"/>
    </row>
    <row r="2877">
      <c r="A2877" s="8"/>
      <c r="B2877" s="8"/>
      <c r="C2877" s="8"/>
      <c r="D2877" s="16"/>
    </row>
    <row r="2878">
      <c r="A2878" s="8"/>
      <c r="B2878" s="8"/>
      <c r="C2878" s="8"/>
      <c r="D2878" s="16"/>
    </row>
    <row r="2879">
      <c r="A2879" s="8"/>
      <c r="B2879" s="8"/>
      <c r="C2879" s="8"/>
      <c r="D2879" s="16"/>
    </row>
    <row r="2880">
      <c r="A2880" s="8"/>
      <c r="B2880" s="8"/>
      <c r="C2880" s="8"/>
      <c r="D2880" s="16"/>
    </row>
    <row r="2881">
      <c r="A2881" s="8"/>
      <c r="B2881" s="8"/>
      <c r="C2881" s="8"/>
      <c r="D2881" s="16"/>
    </row>
    <row r="2882">
      <c r="A2882" s="8"/>
      <c r="B2882" s="8"/>
      <c r="C2882" s="8"/>
      <c r="D2882" s="16"/>
    </row>
    <row r="2883">
      <c r="A2883" s="8"/>
      <c r="B2883" s="8"/>
      <c r="C2883" s="8"/>
      <c r="D2883" s="16"/>
    </row>
    <row r="2884">
      <c r="A2884" s="8"/>
      <c r="B2884" s="8"/>
      <c r="C2884" s="8"/>
      <c r="D2884" s="16"/>
    </row>
    <row r="2885">
      <c r="A2885" s="8"/>
      <c r="B2885" s="8"/>
      <c r="C2885" s="8"/>
      <c r="D2885" s="16"/>
    </row>
    <row r="2886">
      <c r="A2886" s="8"/>
      <c r="B2886" s="8"/>
      <c r="C2886" s="8"/>
      <c r="D2886" s="16"/>
    </row>
    <row r="2887">
      <c r="A2887" s="8"/>
      <c r="B2887" s="8"/>
      <c r="C2887" s="8"/>
      <c r="D2887" s="16"/>
    </row>
    <row r="2888">
      <c r="A2888" s="8"/>
      <c r="B2888" s="8"/>
      <c r="C2888" s="8"/>
      <c r="D2888" s="16"/>
    </row>
    <row r="2889">
      <c r="A2889" s="8"/>
      <c r="B2889" s="8"/>
      <c r="C2889" s="8"/>
      <c r="D2889" s="16"/>
    </row>
    <row r="2890">
      <c r="A2890" s="8"/>
      <c r="B2890" s="8"/>
      <c r="C2890" s="8"/>
      <c r="D2890" s="16"/>
    </row>
    <row r="2891">
      <c r="A2891" s="8"/>
      <c r="B2891" s="8"/>
      <c r="C2891" s="8"/>
      <c r="D2891" s="16"/>
    </row>
    <row r="2892">
      <c r="A2892" s="8"/>
      <c r="B2892" s="8"/>
      <c r="C2892" s="8"/>
      <c r="D2892" s="16"/>
    </row>
    <row r="2893">
      <c r="A2893" s="8"/>
      <c r="B2893" s="8"/>
      <c r="C2893" s="8"/>
      <c r="D2893" s="16"/>
    </row>
    <row r="2894">
      <c r="A2894" s="8"/>
      <c r="B2894" s="8"/>
      <c r="C2894" s="8"/>
      <c r="D2894" s="16"/>
    </row>
    <row r="2895">
      <c r="A2895" s="8"/>
      <c r="B2895" s="8"/>
      <c r="C2895" s="8"/>
      <c r="D2895" s="16"/>
    </row>
    <row r="2896">
      <c r="A2896" s="8"/>
      <c r="B2896" s="8"/>
      <c r="C2896" s="8"/>
      <c r="D2896" s="16"/>
    </row>
    <row r="2897">
      <c r="A2897" s="8"/>
      <c r="B2897" s="8"/>
      <c r="C2897" s="8"/>
      <c r="D2897" s="16"/>
    </row>
    <row r="2898">
      <c r="A2898" s="8"/>
      <c r="B2898" s="8"/>
      <c r="C2898" s="8"/>
      <c r="D2898" s="16"/>
    </row>
    <row r="2899">
      <c r="A2899" s="8"/>
      <c r="B2899" s="8"/>
      <c r="C2899" s="8"/>
      <c r="D2899" s="16"/>
    </row>
    <row r="2900">
      <c r="A2900" s="8"/>
      <c r="B2900" s="8"/>
      <c r="C2900" s="8"/>
      <c r="D2900" s="16"/>
    </row>
    <row r="2901">
      <c r="A2901" s="8"/>
      <c r="B2901" s="8"/>
      <c r="C2901" s="8"/>
      <c r="D2901" s="16"/>
    </row>
    <row r="2902">
      <c r="A2902" s="8"/>
      <c r="B2902" s="8"/>
      <c r="C2902" s="8"/>
      <c r="D2902" s="16"/>
    </row>
    <row r="2903">
      <c r="A2903" s="8"/>
      <c r="B2903" s="8"/>
      <c r="C2903" s="8"/>
      <c r="D2903" s="16"/>
    </row>
    <row r="2904">
      <c r="A2904" s="8"/>
      <c r="B2904" s="8"/>
      <c r="C2904" s="8"/>
      <c r="D2904" s="16"/>
    </row>
    <row r="2905">
      <c r="A2905" s="8"/>
      <c r="B2905" s="8"/>
      <c r="C2905" s="8"/>
      <c r="D2905" s="16"/>
    </row>
    <row r="2906">
      <c r="A2906" s="8"/>
      <c r="B2906" s="8"/>
      <c r="C2906" s="8"/>
      <c r="D2906" s="16"/>
    </row>
    <row r="2907">
      <c r="A2907" s="8"/>
      <c r="B2907" s="8"/>
      <c r="C2907" s="8"/>
      <c r="D2907" s="16"/>
    </row>
    <row r="2908">
      <c r="A2908" s="8"/>
      <c r="B2908" s="8"/>
      <c r="C2908" s="8"/>
      <c r="D2908" s="16"/>
    </row>
    <row r="2909">
      <c r="A2909" s="8"/>
      <c r="B2909" s="8"/>
      <c r="C2909" s="8"/>
      <c r="D2909" s="16"/>
    </row>
    <row r="2910">
      <c r="A2910" s="8"/>
      <c r="B2910" s="8"/>
      <c r="C2910" s="8"/>
      <c r="D2910" s="16"/>
    </row>
    <row r="2911">
      <c r="A2911" s="8"/>
      <c r="B2911" s="8"/>
      <c r="C2911" s="8"/>
      <c r="D2911" s="16"/>
    </row>
    <row r="2912">
      <c r="A2912" s="8"/>
      <c r="B2912" s="8"/>
      <c r="C2912" s="8"/>
      <c r="D2912" s="16"/>
    </row>
    <row r="2913">
      <c r="A2913" s="8"/>
      <c r="B2913" s="8"/>
      <c r="C2913" s="8"/>
      <c r="D2913" s="16"/>
    </row>
    <row r="2914">
      <c r="A2914" s="8"/>
      <c r="B2914" s="8"/>
      <c r="C2914" s="8"/>
      <c r="D2914" s="16"/>
    </row>
    <row r="2915">
      <c r="A2915" s="8"/>
      <c r="B2915" s="8"/>
      <c r="C2915" s="8"/>
      <c r="D2915" s="16"/>
    </row>
    <row r="2916">
      <c r="A2916" s="8"/>
      <c r="B2916" s="8"/>
      <c r="C2916" s="8"/>
      <c r="D2916" s="16"/>
    </row>
    <row r="2917">
      <c r="A2917" s="8"/>
      <c r="B2917" s="8"/>
      <c r="C2917" s="8"/>
      <c r="D2917" s="16"/>
    </row>
    <row r="2918">
      <c r="A2918" s="8"/>
      <c r="B2918" s="8"/>
      <c r="C2918" s="8"/>
      <c r="D2918" s="16"/>
    </row>
    <row r="2919">
      <c r="A2919" s="8"/>
      <c r="B2919" s="8"/>
      <c r="C2919" s="8"/>
      <c r="D2919" s="16"/>
    </row>
    <row r="2920">
      <c r="A2920" s="8"/>
      <c r="B2920" s="8"/>
      <c r="C2920" s="8"/>
      <c r="D2920" s="16"/>
    </row>
    <row r="2921">
      <c r="A2921" s="8"/>
      <c r="B2921" s="8"/>
      <c r="C2921" s="8"/>
      <c r="D2921" s="16"/>
    </row>
    <row r="2922">
      <c r="A2922" s="8"/>
      <c r="B2922" s="8"/>
      <c r="C2922" s="8"/>
      <c r="D2922" s="16"/>
    </row>
    <row r="2923">
      <c r="A2923" s="8"/>
      <c r="B2923" s="8"/>
      <c r="C2923" s="8"/>
      <c r="D2923" s="16"/>
    </row>
    <row r="2924">
      <c r="A2924" s="8"/>
      <c r="B2924" s="8"/>
      <c r="C2924" s="8"/>
      <c r="D2924" s="16"/>
    </row>
    <row r="2925">
      <c r="A2925" s="8"/>
      <c r="B2925" s="8"/>
      <c r="C2925" s="8"/>
      <c r="D2925" s="16"/>
    </row>
    <row r="2926">
      <c r="A2926" s="8"/>
      <c r="B2926" s="8"/>
      <c r="C2926" s="8"/>
      <c r="D2926" s="16"/>
    </row>
    <row r="2927">
      <c r="A2927" s="8"/>
      <c r="B2927" s="8"/>
      <c r="C2927" s="8"/>
      <c r="D2927" s="16"/>
    </row>
    <row r="2928">
      <c r="A2928" s="8"/>
      <c r="B2928" s="8"/>
      <c r="C2928" s="8"/>
      <c r="D2928" s="16"/>
    </row>
    <row r="2929">
      <c r="A2929" s="8"/>
      <c r="B2929" s="8"/>
      <c r="C2929" s="8"/>
      <c r="D2929" s="16"/>
    </row>
    <row r="2930">
      <c r="A2930" s="8"/>
      <c r="B2930" s="8"/>
      <c r="C2930" s="8"/>
      <c r="D2930" s="16"/>
    </row>
    <row r="2931">
      <c r="A2931" s="8"/>
      <c r="B2931" s="8"/>
      <c r="C2931" s="8"/>
      <c r="D2931" s="16"/>
    </row>
    <row r="2932">
      <c r="A2932" s="8"/>
      <c r="B2932" s="8"/>
      <c r="C2932" s="8"/>
      <c r="D2932" s="16"/>
    </row>
    <row r="2933">
      <c r="A2933" s="8"/>
      <c r="B2933" s="8"/>
      <c r="C2933" s="8"/>
      <c r="D2933" s="16"/>
    </row>
    <row r="2934">
      <c r="A2934" s="8"/>
      <c r="B2934" s="8"/>
      <c r="C2934" s="8"/>
      <c r="D2934" s="16"/>
    </row>
    <row r="2935">
      <c r="A2935" s="8"/>
      <c r="B2935" s="8"/>
      <c r="C2935" s="8"/>
      <c r="D2935" s="16"/>
    </row>
    <row r="2936">
      <c r="A2936" s="8"/>
      <c r="B2936" s="8"/>
      <c r="C2936" s="8"/>
      <c r="D2936" s="16"/>
    </row>
    <row r="2937">
      <c r="A2937" s="8"/>
      <c r="B2937" s="8"/>
      <c r="C2937" s="8"/>
      <c r="D2937" s="16"/>
    </row>
    <row r="2938">
      <c r="A2938" s="8"/>
      <c r="B2938" s="8"/>
      <c r="C2938" s="8"/>
      <c r="D2938" s="16"/>
    </row>
    <row r="2939">
      <c r="A2939" s="8"/>
      <c r="B2939" s="8"/>
      <c r="C2939" s="8"/>
      <c r="D2939" s="16"/>
    </row>
    <row r="2940">
      <c r="A2940" s="8"/>
      <c r="B2940" s="8"/>
      <c r="C2940" s="8"/>
      <c r="D2940" s="16"/>
    </row>
    <row r="2941">
      <c r="A2941" s="8"/>
      <c r="B2941" s="8"/>
      <c r="C2941" s="8"/>
      <c r="D2941" s="16"/>
    </row>
    <row r="2942">
      <c r="A2942" s="8"/>
      <c r="B2942" s="8"/>
      <c r="C2942" s="8"/>
      <c r="D2942" s="16"/>
    </row>
    <row r="2943">
      <c r="A2943" s="8"/>
      <c r="B2943" s="8"/>
      <c r="C2943" s="8"/>
      <c r="D2943" s="16"/>
    </row>
    <row r="2944">
      <c r="A2944" s="8"/>
      <c r="B2944" s="8"/>
      <c r="C2944" s="8"/>
      <c r="D2944" s="16"/>
    </row>
    <row r="2945">
      <c r="A2945" s="8"/>
      <c r="B2945" s="8"/>
      <c r="C2945" s="8"/>
      <c r="D2945" s="16"/>
    </row>
    <row r="2946">
      <c r="A2946" s="8"/>
      <c r="B2946" s="8"/>
      <c r="C2946" s="8"/>
      <c r="D2946" s="16"/>
    </row>
    <row r="2947">
      <c r="A2947" s="8"/>
      <c r="B2947" s="8"/>
      <c r="C2947" s="8"/>
      <c r="D2947" s="16"/>
    </row>
    <row r="2948">
      <c r="A2948" s="8"/>
      <c r="B2948" s="8"/>
      <c r="C2948" s="8"/>
      <c r="D2948" s="16"/>
    </row>
    <row r="2949">
      <c r="A2949" s="8"/>
      <c r="B2949" s="8"/>
      <c r="C2949" s="8"/>
      <c r="D2949" s="16"/>
    </row>
    <row r="2950">
      <c r="A2950" s="8"/>
      <c r="B2950" s="8"/>
      <c r="C2950" s="8"/>
      <c r="D2950" s="16"/>
    </row>
    <row r="2951">
      <c r="A2951" s="8"/>
      <c r="B2951" s="8"/>
      <c r="C2951" s="8"/>
      <c r="D2951" s="16"/>
    </row>
    <row r="2952">
      <c r="A2952" s="8"/>
      <c r="B2952" s="8"/>
      <c r="C2952" s="8"/>
      <c r="D2952" s="16"/>
    </row>
    <row r="2953">
      <c r="A2953" s="8"/>
      <c r="B2953" s="8"/>
      <c r="C2953" s="8"/>
      <c r="D2953" s="16"/>
    </row>
    <row r="2954">
      <c r="A2954" s="8"/>
      <c r="B2954" s="8"/>
      <c r="C2954" s="8"/>
      <c r="D2954" s="16"/>
    </row>
    <row r="2955">
      <c r="A2955" s="8"/>
      <c r="B2955" s="8"/>
      <c r="C2955" s="8"/>
      <c r="D2955" s="16"/>
    </row>
    <row r="2956">
      <c r="A2956" s="8"/>
      <c r="B2956" s="8"/>
      <c r="C2956" s="8"/>
      <c r="D2956" s="16"/>
    </row>
    <row r="2957">
      <c r="A2957" s="8"/>
      <c r="B2957" s="8"/>
      <c r="C2957" s="8"/>
      <c r="D2957" s="16"/>
    </row>
    <row r="2958">
      <c r="A2958" s="8"/>
      <c r="B2958" s="8"/>
      <c r="C2958" s="8"/>
      <c r="D2958" s="16"/>
    </row>
    <row r="2959">
      <c r="A2959" s="8"/>
      <c r="B2959" s="8"/>
      <c r="C2959" s="8"/>
      <c r="D2959" s="16"/>
    </row>
    <row r="2960">
      <c r="A2960" s="8"/>
      <c r="B2960" s="8"/>
      <c r="C2960" s="8"/>
      <c r="D2960" s="16"/>
    </row>
    <row r="2961">
      <c r="A2961" s="8"/>
      <c r="B2961" s="8"/>
      <c r="C2961" s="8"/>
      <c r="D2961" s="16"/>
    </row>
    <row r="2962">
      <c r="A2962" s="8"/>
      <c r="B2962" s="8"/>
      <c r="C2962" s="8"/>
      <c r="D2962" s="16"/>
    </row>
    <row r="2963">
      <c r="A2963" s="8"/>
      <c r="B2963" s="8"/>
      <c r="C2963" s="8"/>
      <c r="D2963" s="16"/>
    </row>
    <row r="2964">
      <c r="A2964" s="8"/>
      <c r="B2964" s="8"/>
      <c r="C2964" s="8"/>
      <c r="D2964" s="16"/>
    </row>
    <row r="2965">
      <c r="A2965" s="8"/>
      <c r="B2965" s="8"/>
      <c r="C2965" s="8"/>
      <c r="D2965" s="16"/>
    </row>
    <row r="2966">
      <c r="A2966" s="8"/>
      <c r="B2966" s="8"/>
      <c r="C2966" s="8"/>
      <c r="D2966" s="16"/>
    </row>
    <row r="2967">
      <c r="A2967" s="8"/>
      <c r="B2967" s="8"/>
      <c r="C2967" s="8"/>
      <c r="D2967" s="16"/>
    </row>
    <row r="2968">
      <c r="A2968" s="8"/>
      <c r="B2968" s="8"/>
      <c r="C2968" s="8"/>
      <c r="D2968" s="16"/>
    </row>
    <row r="2969">
      <c r="A2969" s="8"/>
      <c r="B2969" s="8"/>
      <c r="C2969" s="8"/>
      <c r="D2969" s="16"/>
    </row>
    <row r="2970">
      <c r="A2970" s="8"/>
      <c r="B2970" s="8"/>
      <c r="C2970" s="8"/>
      <c r="D2970" s="16"/>
    </row>
    <row r="2971">
      <c r="A2971" s="8"/>
      <c r="B2971" s="8"/>
      <c r="C2971" s="8"/>
      <c r="D2971" s="16"/>
    </row>
    <row r="2972">
      <c r="A2972" s="8"/>
      <c r="B2972" s="8"/>
      <c r="C2972" s="8"/>
      <c r="D2972" s="16"/>
    </row>
    <row r="2973">
      <c r="A2973" s="8"/>
      <c r="B2973" s="8"/>
      <c r="C2973" s="8"/>
      <c r="D2973" s="16"/>
    </row>
    <row r="2974">
      <c r="A2974" s="8"/>
      <c r="B2974" s="8"/>
      <c r="C2974" s="8"/>
      <c r="D2974" s="16"/>
    </row>
    <row r="2975">
      <c r="A2975" s="8"/>
      <c r="B2975" s="8"/>
      <c r="C2975" s="8"/>
      <c r="D2975" s="16"/>
    </row>
    <row r="2976">
      <c r="A2976" s="8"/>
      <c r="B2976" s="8"/>
      <c r="C2976" s="8"/>
      <c r="D2976" s="16"/>
    </row>
    <row r="2977">
      <c r="A2977" s="8"/>
      <c r="B2977" s="8"/>
      <c r="C2977" s="8"/>
      <c r="D2977" s="16"/>
    </row>
    <row r="2978">
      <c r="A2978" s="8"/>
      <c r="B2978" s="8"/>
      <c r="C2978" s="8"/>
      <c r="D2978" s="16"/>
    </row>
    <row r="2979">
      <c r="A2979" s="8"/>
      <c r="B2979" s="8"/>
      <c r="C2979" s="8"/>
      <c r="D2979" s="16"/>
    </row>
    <row r="2980">
      <c r="A2980" s="8"/>
      <c r="B2980" s="8"/>
      <c r="C2980" s="8"/>
      <c r="D2980" s="16"/>
    </row>
    <row r="2981">
      <c r="A2981" s="8"/>
      <c r="B2981" s="8"/>
      <c r="C2981" s="8"/>
      <c r="D2981" s="16"/>
    </row>
    <row r="2982">
      <c r="A2982" s="8"/>
      <c r="B2982" s="8"/>
      <c r="C2982" s="8"/>
      <c r="D2982" s="16"/>
    </row>
    <row r="2983">
      <c r="A2983" s="8"/>
      <c r="B2983" s="8"/>
      <c r="C2983" s="8"/>
      <c r="D2983" s="16"/>
    </row>
    <row r="2984">
      <c r="A2984" s="8"/>
      <c r="B2984" s="8"/>
      <c r="C2984" s="8"/>
      <c r="D2984" s="16"/>
    </row>
    <row r="2985">
      <c r="A2985" s="8"/>
      <c r="B2985" s="8"/>
      <c r="C2985" s="8"/>
      <c r="D2985" s="16"/>
    </row>
    <row r="2986">
      <c r="A2986" s="8"/>
      <c r="B2986" s="8"/>
      <c r="C2986" s="8"/>
      <c r="D2986" s="16"/>
    </row>
    <row r="2987">
      <c r="A2987" s="8"/>
      <c r="B2987" s="8"/>
      <c r="C2987" s="8"/>
      <c r="D2987" s="16"/>
    </row>
    <row r="2988">
      <c r="A2988" s="8"/>
      <c r="B2988" s="8"/>
      <c r="C2988" s="8"/>
      <c r="D2988" s="16"/>
    </row>
    <row r="2989">
      <c r="A2989" s="8"/>
      <c r="B2989" s="8"/>
      <c r="C2989" s="8"/>
      <c r="D2989" s="16"/>
    </row>
    <row r="2990">
      <c r="A2990" s="8"/>
      <c r="B2990" s="8"/>
      <c r="C2990" s="8"/>
      <c r="D2990" s="16"/>
    </row>
    <row r="2991">
      <c r="A2991" s="8"/>
      <c r="B2991" s="8"/>
      <c r="C2991" s="8"/>
      <c r="D2991" s="16"/>
    </row>
    <row r="2992">
      <c r="A2992" s="8"/>
      <c r="B2992" s="8"/>
      <c r="C2992" s="8"/>
      <c r="D2992" s="16"/>
    </row>
    <row r="2993">
      <c r="A2993" s="8"/>
      <c r="B2993" s="8"/>
      <c r="C2993" s="8"/>
      <c r="D2993" s="16"/>
    </row>
    <row r="2994">
      <c r="A2994" s="8"/>
      <c r="B2994" s="8"/>
      <c r="C2994" s="8"/>
      <c r="D2994" s="16"/>
    </row>
    <row r="2995">
      <c r="A2995" s="8"/>
      <c r="B2995" s="8"/>
      <c r="C2995" s="8"/>
      <c r="D2995" s="16"/>
    </row>
    <row r="2996">
      <c r="A2996" s="8"/>
      <c r="B2996" s="8"/>
      <c r="C2996" s="8"/>
      <c r="D2996" s="16"/>
    </row>
    <row r="2997">
      <c r="A2997" s="8"/>
      <c r="B2997" s="8"/>
      <c r="C2997" s="8"/>
      <c r="D2997" s="16"/>
    </row>
    <row r="2998">
      <c r="A2998" s="8"/>
      <c r="B2998" s="8"/>
      <c r="C2998" s="8"/>
      <c r="D2998" s="16"/>
    </row>
    <row r="2999">
      <c r="A2999" s="8"/>
      <c r="B2999" s="8"/>
      <c r="C2999" s="8"/>
      <c r="D2999" s="16"/>
    </row>
    <row r="3000">
      <c r="A3000" s="8"/>
      <c r="B3000" s="8"/>
      <c r="C3000" s="8"/>
      <c r="D3000" s="16"/>
    </row>
    <row r="3001">
      <c r="A3001" s="8"/>
      <c r="B3001" s="8"/>
      <c r="C3001" s="8"/>
      <c r="D3001" s="16"/>
    </row>
    <row r="3002">
      <c r="A3002" s="8"/>
      <c r="B3002" s="8"/>
      <c r="C3002" s="8"/>
      <c r="D3002" s="16"/>
    </row>
    <row r="3003">
      <c r="A3003" s="8"/>
      <c r="B3003" s="8"/>
      <c r="C3003" s="8"/>
      <c r="D3003" s="16"/>
    </row>
    <row r="3004">
      <c r="A3004" s="8"/>
      <c r="B3004" s="8"/>
      <c r="C3004" s="8"/>
      <c r="D3004" s="16"/>
    </row>
    <row r="3005">
      <c r="A3005" s="8"/>
      <c r="B3005" s="8"/>
      <c r="C3005" s="8"/>
      <c r="D3005" s="16"/>
    </row>
    <row r="3006">
      <c r="A3006" s="8"/>
      <c r="B3006" s="8"/>
      <c r="C3006" s="8"/>
      <c r="D3006" s="16"/>
    </row>
    <row r="3007">
      <c r="A3007" s="8"/>
      <c r="B3007" s="8"/>
      <c r="C3007" s="8"/>
      <c r="D3007" s="16"/>
    </row>
    <row r="3008">
      <c r="A3008" s="8"/>
      <c r="B3008" s="8"/>
      <c r="C3008" s="8"/>
      <c r="D3008" s="16"/>
    </row>
    <row r="3009">
      <c r="A3009" s="8"/>
      <c r="B3009" s="8"/>
      <c r="C3009" s="8"/>
      <c r="D3009" s="16"/>
    </row>
    <row r="3010">
      <c r="A3010" s="8"/>
      <c r="B3010" s="8"/>
      <c r="C3010" s="8"/>
      <c r="D3010" s="16"/>
    </row>
    <row r="3011">
      <c r="A3011" s="8"/>
      <c r="B3011" s="8"/>
      <c r="C3011" s="8"/>
      <c r="D3011" s="16"/>
    </row>
    <row r="3012">
      <c r="A3012" s="8"/>
      <c r="B3012" s="8"/>
      <c r="C3012" s="8"/>
      <c r="D3012" s="16"/>
    </row>
    <row r="3013">
      <c r="A3013" s="8"/>
      <c r="B3013" s="8"/>
      <c r="C3013" s="8"/>
      <c r="D3013" s="16"/>
    </row>
    <row r="3014">
      <c r="A3014" s="8"/>
      <c r="B3014" s="8"/>
      <c r="C3014" s="8"/>
      <c r="D3014" s="16"/>
    </row>
    <row r="3015">
      <c r="A3015" s="8"/>
      <c r="B3015" s="8"/>
      <c r="C3015" s="8"/>
      <c r="D3015" s="16"/>
    </row>
    <row r="3016">
      <c r="A3016" s="8"/>
      <c r="B3016" s="8"/>
      <c r="C3016" s="8"/>
      <c r="D3016" s="16"/>
    </row>
    <row r="3017">
      <c r="A3017" s="8"/>
      <c r="B3017" s="8"/>
      <c r="C3017" s="8"/>
      <c r="D3017" s="16"/>
    </row>
    <row r="3018">
      <c r="A3018" s="8"/>
      <c r="B3018" s="8"/>
      <c r="C3018" s="8"/>
      <c r="D3018" s="16"/>
    </row>
    <row r="3019">
      <c r="A3019" s="8"/>
      <c r="B3019" s="8"/>
      <c r="C3019" s="8"/>
      <c r="D3019" s="16"/>
    </row>
    <row r="3020">
      <c r="A3020" s="8"/>
      <c r="B3020" s="8"/>
      <c r="C3020" s="8"/>
      <c r="D3020" s="16"/>
    </row>
    <row r="3021">
      <c r="A3021" s="8"/>
      <c r="B3021" s="8"/>
      <c r="C3021" s="8"/>
      <c r="D3021" s="16"/>
    </row>
    <row r="3022">
      <c r="A3022" s="8"/>
      <c r="B3022" s="8"/>
      <c r="C3022" s="8"/>
      <c r="D3022" s="16"/>
    </row>
    <row r="3023">
      <c r="A3023" s="8"/>
      <c r="B3023" s="8"/>
      <c r="C3023" s="8"/>
      <c r="D3023" s="16"/>
    </row>
    <row r="3024">
      <c r="D3024" s="23"/>
    </row>
    <row r="3025">
      <c r="D3025" s="23"/>
    </row>
    <row r="3026">
      <c r="D3026" s="23"/>
    </row>
    <row r="3027">
      <c r="D3027" s="23"/>
    </row>
    <row r="3028">
      <c r="D3028" s="23"/>
    </row>
    <row r="3029">
      <c r="D3029" s="23"/>
    </row>
    <row r="3030">
      <c r="D3030" s="23"/>
    </row>
    <row r="3031">
      <c r="D3031" s="23"/>
    </row>
    <row r="3032">
      <c r="D3032" s="23"/>
    </row>
    <row r="3033">
      <c r="D3033" s="23"/>
    </row>
    <row r="3034">
      <c r="D3034" s="23"/>
    </row>
    <row r="3035">
      <c r="D3035" s="23"/>
    </row>
    <row r="3036">
      <c r="D3036" s="23"/>
    </row>
    <row r="3037">
      <c r="D3037" s="23"/>
    </row>
    <row r="3038">
      <c r="D3038" s="23"/>
    </row>
    <row r="3039">
      <c r="D3039" s="23"/>
    </row>
    <row r="3040">
      <c r="D3040" s="23"/>
    </row>
    <row r="3041">
      <c r="D3041" s="23"/>
    </row>
    <row r="3042">
      <c r="D3042" s="23"/>
    </row>
    <row r="3043">
      <c r="D3043" s="23"/>
    </row>
    <row r="3044">
      <c r="D3044" s="23"/>
    </row>
    <row r="3045">
      <c r="D3045" s="23"/>
    </row>
    <row r="3046">
      <c r="D3046" s="23"/>
    </row>
    <row r="3047">
      <c r="D3047" s="23"/>
    </row>
    <row r="3048">
      <c r="D3048" s="23"/>
    </row>
    <row r="3049">
      <c r="D3049" s="23"/>
    </row>
    <row r="3050">
      <c r="D3050" s="23"/>
    </row>
    <row r="3051">
      <c r="D3051" s="23"/>
    </row>
    <row r="3052">
      <c r="D3052" s="23"/>
    </row>
    <row r="3053">
      <c r="D3053" s="23"/>
    </row>
    <row r="3054">
      <c r="D3054" s="23"/>
    </row>
    <row r="3055">
      <c r="D3055" s="23"/>
    </row>
    <row r="3056">
      <c r="D3056" s="23"/>
    </row>
    <row r="3057">
      <c r="D3057" s="23"/>
    </row>
    <row r="3058">
      <c r="D3058" s="23"/>
    </row>
    <row r="3059">
      <c r="D3059" s="23"/>
    </row>
    <row r="3060">
      <c r="D3060" s="23"/>
    </row>
    <row r="3061">
      <c r="D3061" s="23"/>
    </row>
    <row r="3062">
      <c r="D3062" s="23"/>
    </row>
    <row r="3063">
      <c r="D3063" s="23"/>
    </row>
    <row r="3064">
      <c r="D3064" s="23"/>
    </row>
    <row r="3065">
      <c r="D3065" s="23"/>
    </row>
    <row r="3066">
      <c r="D3066" s="23"/>
    </row>
    <row r="3067">
      <c r="D3067" s="23"/>
    </row>
    <row r="3068">
      <c r="D3068" s="23"/>
    </row>
    <row r="3069">
      <c r="D3069" s="23"/>
    </row>
    <row r="3070">
      <c r="D3070" s="23"/>
    </row>
    <row r="3071">
      <c r="D3071" s="23"/>
    </row>
    <row r="3072">
      <c r="D3072" s="23"/>
    </row>
    <row r="3073">
      <c r="D3073" s="23"/>
    </row>
    <row r="3074">
      <c r="D3074" s="23"/>
    </row>
    <row r="3075">
      <c r="D3075" s="23"/>
    </row>
    <row r="3076">
      <c r="D3076" s="23"/>
    </row>
    <row r="3077">
      <c r="D3077" s="23"/>
    </row>
    <row r="3078">
      <c r="D3078" s="23"/>
    </row>
    <row r="3079">
      <c r="D3079" s="23"/>
    </row>
    <row r="3080">
      <c r="D3080" s="23"/>
    </row>
    <row r="3081">
      <c r="D3081" s="23"/>
    </row>
    <row r="3082">
      <c r="D3082" s="23"/>
    </row>
    <row r="3083">
      <c r="D3083" s="23"/>
    </row>
    <row r="3084">
      <c r="D3084" s="23"/>
    </row>
    <row r="3085">
      <c r="D3085" s="23"/>
    </row>
    <row r="3086">
      <c r="D3086" s="23"/>
    </row>
    <row r="3087">
      <c r="D3087" s="23"/>
    </row>
    <row r="3088">
      <c r="D3088" s="23"/>
    </row>
    <row r="3089">
      <c r="D3089" s="23"/>
    </row>
    <row r="3090">
      <c r="D3090" s="23"/>
    </row>
    <row r="3091">
      <c r="D3091" s="23"/>
    </row>
    <row r="3092">
      <c r="D3092" s="23"/>
    </row>
    <row r="3093">
      <c r="D3093" s="23"/>
    </row>
    <row r="3094">
      <c r="D3094" s="23"/>
    </row>
    <row r="3095">
      <c r="D3095" s="23"/>
    </row>
    <row r="3096">
      <c r="D3096" s="23"/>
    </row>
    <row r="3097">
      <c r="D3097" s="23"/>
    </row>
    <row r="3098">
      <c r="D3098" s="23"/>
    </row>
    <row r="3099">
      <c r="D3099" s="23"/>
    </row>
    <row r="3100">
      <c r="D3100" s="23"/>
    </row>
    <row r="3101">
      <c r="D3101" s="23"/>
    </row>
    <row r="3102">
      <c r="D3102" s="23"/>
    </row>
    <row r="3103">
      <c r="D3103" s="23"/>
    </row>
    <row r="3104">
      <c r="D3104" s="23"/>
    </row>
    <row r="3105">
      <c r="D3105" s="23"/>
    </row>
    <row r="3106">
      <c r="D3106" s="23"/>
    </row>
    <row r="3107">
      <c r="D3107" s="23"/>
    </row>
    <row r="3108">
      <c r="D3108" s="23"/>
    </row>
    <row r="3109">
      <c r="D3109" s="23"/>
    </row>
    <row r="3110">
      <c r="D3110" s="23"/>
    </row>
    <row r="3111">
      <c r="D3111" s="23"/>
    </row>
    <row r="3112">
      <c r="D3112" s="23"/>
    </row>
    <row r="3113">
      <c r="D3113" s="23"/>
    </row>
    <row r="3114">
      <c r="D3114" s="23"/>
    </row>
    <row r="3115">
      <c r="D3115" s="23"/>
    </row>
    <row r="3116">
      <c r="D3116" s="23"/>
    </row>
    <row r="3117">
      <c r="D3117" s="23"/>
    </row>
    <row r="3118">
      <c r="D3118" s="23"/>
    </row>
    <row r="3119">
      <c r="D3119" s="23"/>
    </row>
    <row r="3120">
      <c r="D3120" s="23"/>
    </row>
    <row r="3121">
      <c r="D3121" s="23"/>
    </row>
    <row r="3122">
      <c r="D3122" s="23"/>
    </row>
    <row r="3123">
      <c r="D3123" s="23"/>
    </row>
    <row r="3124">
      <c r="D3124" s="23"/>
    </row>
    <row r="3125">
      <c r="D3125" s="23"/>
    </row>
    <row r="3126">
      <c r="D3126" s="23"/>
    </row>
    <row r="3127">
      <c r="D3127" s="23"/>
    </row>
    <row r="3128">
      <c r="D3128" s="23"/>
    </row>
    <row r="3129">
      <c r="D3129" s="23"/>
    </row>
    <row r="3130">
      <c r="D3130" s="23"/>
    </row>
    <row r="3131">
      <c r="D3131" s="23"/>
    </row>
    <row r="3132">
      <c r="D3132" s="23"/>
    </row>
    <row r="3133">
      <c r="D3133" s="23"/>
    </row>
    <row r="3134">
      <c r="D3134" s="23"/>
    </row>
    <row r="3135">
      <c r="D3135" s="23"/>
    </row>
    <row r="3136">
      <c r="D3136" s="23"/>
    </row>
    <row r="3137">
      <c r="D3137" s="23"/>
    </row>
    <row r="3138">
      <c r="D3138" s="23"/>
    </row>
    <row r="3139">
      <c r="D3139" s="23"/>
    </row>
    <row r="3140">
      <c r="D3140" s="23"/>
    </row>
    <row r="3141">
      <c r="D3141" s="23"/>
    </row>
    <row r="3142">
      <c r="D3142" s="23"/>
    </row>
    <row r="3143">
      <c r="D3143" s="23"/>
    </row>
    <row r="3144">
      <c r="D3144" s="23"/>
    </row>
    <row r="3145">
      <c r="D3145" s="23"/>
    </row>
    <row r="3146">
      <c r="D3146" s="23"/>
    </row>
    <row r="3147">
      <c r="D3147" s="23"/>
    </row>
    <row r="3148">
      <c r="D3148" s="23"/>
    </row>
    <row r="3149">
      <c r="D3149" s="23"/>
    </row>
    <row r="3150">
      <c r="D3150" s="23"/>
    </row>
    <row r="3151">
      <c r="D3151" s="23"/>
    </row>
    <row r="3152">
      <c r="D3152" s="23"/>
    </row>
    <row r="3153">
      <c r="D3153" s="23"/>
    </row>
    <row r="3154">
      <c r="D3154" s="23"/>
    </row>
    <row r="3155">
      <c r="D3155" s="23"/>
    </row>
    <row r="3156">
      <c r="D3156" s="23"/>
    </row>
    <row r="3157">
      <c r="D3157" s="23"/>
    </row>
    <row r="3158">
      <c r="D3158" s="23"/>
    </row>
    <row r="3159">
      <c r="D3159" s="23"/>
    </row>
    <row r="3160">
      <c r="D3160" s="23"/>
    </row>
    <row r="3161">
      <c r="D3161" s="23"/>
    </row>
    <row r="3162">
      <c r="D3162" s="23"/>
    </row>
    <row r="3163">
      <c r="D3163" s="23"/>
    </row>
    <row r="3164">
      <c r="D3164" s="23"/>
    </row>
    <row r="3165">
      <c r="D3165" s="23"/>
    </row>
    <row r="3166">
      <c r="D3166" s="23"/>
    </row>
    <row r="3167">
      <c r="D3167" s="23"/>
    </row>
    <row r="3168">
      <c r="D3168" s="23"/>
    </row>
    <row r="3169">
      <c r="D3169" s="23"/>
    </row>
    <row r="3170">
      <c r="D3170" s="23"/>
    </row>
    <row r="3171">
      <c r="D3171" s="23"/>
    </row>
    <row r="3172">
      <c r="D3172" s="23"/>
    </row>
    <row r="3173">
      <c r="D3173" s="23"/>
    </row>
    <row r="3174">
      <c r="D3174" s="23"/>
    </row>
    <row r="3175">
      <c r="D3175" s="23"/>
    </row>
    <row r="3176">
      <c r="D3176" s="23"/>
    </row>
    <row r="3177">
      <c r="D3177" s="23"/>
    </row>
    <row r="3178">
      <c r="D3178" s="23"/>
    </row>
    <row r="3179">
      <c r="D3179" s="23"/>
    </row>
    <row r="3180">
      <c r="D3180" s="23"/>
    </row>
    <row r="3181">
      <c r="D3181" s="23"/>
    </row>
    <row r="3182">
      <c r="D3182" s="23"/>
    </row>
    <row r="3183">
      <c r="D3183" s="23"/>
    </row>
    <row r="3184">
      <c r="D3184" s="23"/>
    </row>
    <row r="3185">
      <c r="D3185" s="23"/>
    </row>
    <row r="3186">
      <c r="D3186" s="23"/>
    </row>
    <row r="3187">
      <c r="D3187" s="23"/>
    </row>
    <row r="3188">
      <c r="D3188" s="23"/>
    </row>
    <row r="3189">
      <c r="D3189" s="23"/>
    </row>
    <row r="3190">
      <c r="D3190" s="23"/>
    </row>
    <row r="3191">
      <c r="D3191" s="23"/>
    </row>
    <row r="3192">
      <c r="D3192" s="23"/>
    </row>
    <row r="3193">
      <c r="D3193" s="23"/>
    </row>
    <row r="3194">
      <c r="D3194" s="23"/>
    </row>
    <row r="3195">
      <c r="D3195" s="23"/>
    </row>
    <row r="3196">
      <c r="D3196" s="23"/>
    </row>
    <row r="3197">
      <c r="D3197" s="23"/>
    </row>
    <row r="3198">
      <c r="D3198" s="23"/>
    </row>
    <row r="3199">
      <c r="D3199" s="23"/>
    </row>
    <row r="3200">
      <c r="D3200" s="23"/>
    </row>
    <row r="3201">
      <c r="D3201" s="23"/>
    </row>
    <row r="3202">
      <c r="D3202" s="23"/>
    </row>
    <row r="3203">
      <c r="D3203" s="23"/>
    </row>
    <row r="3204">
      <c r="D3204" s="23"/>
    </row>
    <row r="3205">
      <c r="D3205" s="23"/>
    </row>
    <row r="3206">
      <c r="D3206" s="23"/>
    </row>
    <row r="3207">
      <c r="D3207" s="23"/>
    </row>
    <row r="3208">
      <c r="D3208" s="23"/>
    </row>
    <row r="3209">
      <c r="D3209" s="23"/>
    </row>
    <row r="3210">
      <c r="D3210" s="23"/>
    </row>
    <row r="3211">
      <c r="D3211" s="23"/>
    </row>
    <row r="3212">
      <c r="D3212" s="23"/>
    </row>
    <row r="3213">
      <c r="D3213" s="23"/>
    </row>
    <row r="3214">
      <c r="D3214" s="23"/>
    </row>
    <row r="3215">
      <c r="D3215" s="23"/>
    </row>
    <row r="3216">
      <c r="D3216" s="23"/>
    </row>
    <row r="3217">
      <c r="D3217" s="23"/>
    </row>
    <row r="3218">
      <c r="D3218" s="23"/>
    </row>
    <row r="3219">
      <c r="D3219" s="23"/>
    </row>
    <row r="3220">
      <c r="D3220" s="23"/>
    </row>
    <row r="3221">
      <c r="D3221" s="23"/>
    </row>
    <row r="3222">
      <c r="D3222" s="23"/>
    </row>
    <row r="3223">
      <c r="D3223" s="23"/>
    </row>
    <row r="3224">
      <c r="D3224" s="23"/>
    </row>
    <row r="3225">
      <c r="D3225" s="23"/>
    </row>
    <row r="3226">
      <c r="D3226" s="23"/>
    </row>
    <row r="3227">
      <c r="D3227" s="23"/>
    </row>
    <row r="3228">
      <c r="D3228" s="23"/>
    </row>
    <row r="3229">
      <c r="D3229" s="23"/>
    </row>
    <row r="3230">
      <c r="D3230" s="23"/>
    </row>
    <row r="3231">
      <c r="D3231" s="23"/>
    </row>
    <row r="3232">
      <c r="D3232" s="23"/>
    </row>
    <row r="3233">
      <c r="D3233" s="23"/>
    </row>
    <row r="3234">
      <c r="D3234" s="23"/>
    </row>
    <row r="3235">
      <c r="D3235" s="23"/>
    </row>
    <row r="3236">
      <c r="D3236" s="23"/>
    </row>
    <row r="3237">
      <c r="D3237" s="23"/>
    </row>
    <row r="3238">
      <c r="D3238" s="23"/>
    </row>
    <row r="3239">
      <c r="D3239" s="23"/>
    </row>
    <row r="3240">
      <c r="D3240" s="23"/>
    </row>
    <row r="3241">
      <c r="D3241" s="23"/>
    </row>
    <row r="3242">
      <c r="D3242" s="23"/>
    </row>
    <row r="3243">
      <c r="D3243" s="23"/>
    </row>
    <row r="3244">
      <c r="D3244" s="23"/>
    </row>
    <row r="3245">
      <c r="D3245" s="23"/>
    </row>
    <row r="3246">
      <c r="D3246" s="23"/>
    </row>
    <row r="3247">
      <c r="D3247" s="23"/>
    </row>
    <row r="3248">
      <c r="D3248" s="23"/>
    </row>
    <row r="3249">
      <c r="D3249" s="23"/>
    </row>
    <row r="3250">
      <c r="D3250" s="23"/>
    </row>
    <row r="3251">
      <c r="D3251" s="23"/>
    </row>
    <row r="3252">
      <c r="D3252" s="23"/>
    </row>
    <row r="3253">
      <c r="D3253" s="23"/>
    </row>
    <row r="3254">
      <c r="D3254" s="23"/>
    </row>
    <row r="3255">
      <c r="D3255" s="23"/>
    </row>
    <row r="3256">
      <c r="D3256" s="23"/>
    </row>
    <row r="3257">
      <c r="D3257" s="23"/>
    </row>
    <row r="3258">
      <c r="D3258" s="23"/>
    </row>
    <row r="3259">
      <c r="D3259" s="23"/>
    </row>
    <row r="3260">
      <c r="D3260" s="23"/>
    </row>
    <row r="3261">
      <c r="D3261" s="23"/>
    </row>
    <row r="3262">
      <c r="D3262" s="23"/>
    </row>
    <row r="3263">
      <c r="D3263" s="23"/>
    </row>
    <row r="3264">
      <c r="D3264" s="23"/>
    </row>
    <row r="3265">
      <c r="D3265" s="23"/>
    </row>
    <row r="3266">
      <c r="D3266" s="23"/>
    </row>
    <row r="3267">
      <c r="D3267" s="23"/>
    </row>
    <row r="3268">
      <c r="D3268" s="23"/>
    </row>
    <row r="3269">
      <c r="D3269" s="23"/>
    </row>
    <row r="3270">
      <c r="D3270" s="23"/>
    </row>
    <row r="3271">
      <c r="D3271" s="23"/>
    </row>
    <row r="3272">
      <c r="D3272" s="23"/>
    </row>
    <row r="3273">
      <c r="D3273" s="23"/>
    </row>
    <row r="3274">
      <c r="D3274" s="23"/>
    </row>
    <row r="3275">
      <c r="D3275" s="23"/>
    </row>
    <row r="3276">
      <c r="D3276" s="23"/>
    </row>
    <row r="3277">
      <c r="D3277" s="23"/>
    </row>
    <row r="3278">
      <c r="D3278" s="23"/>
    </row>
    <row r="3279">
      <c r="D3279" s="23"/>
    </row>
    <row r="3280">
      <c r="D3280" s="23"/>
    </row>
    <row r="3281">
      <c r="D3281" s="23"/>
    </row>
    <row r="3282">
      <c r="D3282" s="23"/>
    </row>
    <row r="3283">
      <c r="D3283" s="23"/>
    </row>
    <row r="3284">
      <c r="D3284" s="23"/>
    </row>
    <row r="3285">
      <c r="D3285" s="23"/>
    </row>
    <row r="3286">
      <c r="D3286" s="23"/>
    </row>
    <row r="3287">
      <c r="D3287" s="23"/>
    </row>
    <row r="3288">
      <c r="D3288" s="23"/>
    </row>
    <row r="3289">
      <c r="D3289" s="23"/>
    </row>
    <row r="3290">
      <c r="D3290" s="23"/>
    </row>
    <row r="3291">
      <c r="D3291" s="23"/>
    </row>
    <row r="3292">
      <c r="D3292" s="23"/>
    </row>
    <row r="3293">
      <c r="D3293" s="23"/>
    </row>
    <row r="3294">
      <c r="D3294" s="23"/>
    </row>
    <row r="3295">
      <c r="D3295" s="23"/>
    </row>
    <row r="3296">
      <c r="D3296" s="23"/>
    </row>
    <row r="3297">
      <c r="D3297" s="23"/>
    </row>
    <row r="3298">
      <c r="D3298" s="23"/>
    </row>
    <row r="3299">
      <c r="D3299" s="23"/>
    </row>
    <row r="3300">
      <c r="D3300" s="23"/>
    </row>
    <row r="3301">
      <c r="D3301" s="23"/>
    </row>
    <row r="3302">
      <c r="D3302" s="23"/>
    </row>
    <row r="3303">
      <c r="D3303" s="23"/>
    </row>
    <row r="3304">
      <c r="D3304" s="23"/>
    </row>
    <row r="3305">
      <c r="D3305" s="23"/>
    </row>
    <row r="3306">
      <c r="D3306" s="23"/>
    </row>
    <row r="3307">
      <c r="D3307" s="23"/>
    </row>
    <row r="3308">
      <c r="D3308" s="23"/>
    </row>
    <row r="3309">
      <c r="D3309" s="23"/>
    </row>
    <row r="3310">
      <c r="D3310" s="23"/>
    </row>
    <row r="3311">
      <c r="D3311" s="23"/>
    </row>
    <row r="3312">
      <c r="D3312" s="23"/>
    </row>
    <row r="3313">
      <c r="D3313" s="23"/>
    </row>
    <row r="3314">
      <c r="D3314" s="23"/>
    </row>
    <row r="3315">
      <c r="D3315" s="23"/>
    </row>
    <row r="3316">
      <c r="D3316" s="23"/>
    </row>
    <row r="3317">
      <c r="D3317" s="23"/>
    </row>
    <row r="3318">
      <c r="D3318" s="23"/>
    </row>
    <row r="3319">
      <c r="D3319" s="23"/>
    </row>
    <row r="3320">
      <c r="D3320" s="23"/>
    </row>
    <row r="3321">
      <c r="D3321" s="23"/>
    </row>
    <row r="3322">
      <c r="D3322" s="23"/>
    </row>
    <row r="3323">
      <c r="D3323" s="23"/>
    </row>
    <row r="3324">
      <c r="D3324" s="23"/>
    </row>
    <row r="3325">
      <c r="D3325" s="23"/>
    </row>
    <row r="3326">
      <c r="D3326" s="23"/>
    </row>
    <row r="3327">
      <c r="D3327" s="23"/>
    </row>
    <row r="3328">
      <c r="D3328" s="23"/>
    </row>
    <row r="3329">
      <c r="D3329" s="23"/>
    </row>
    <row r="3330">
      <c r="D3330" s="23"/>
    </row>
    <row r="3331">
      <c r="D3331" s="23"/>
    </row>
    <row r="3332">
      <c r="D3332" s="23"/>
    </row>
    <row r="3333">
      <c r="D3333" s="23"/>
    </row>
    <row r="3334">
      <c r="D3334" s="23"/>
    </row>
    <row r="3335">
      <c r="D3335" s="23"/>
    </row>
    <row r="3336">
      <c r="D3336" s="23"/>
    </row>
    <row r="3337">
      <c r="D3337" s="23"/>
    </row>
    <row r="3338">
      <c r="D3338" s="23"/>
    </row>
    <row r="3339">
      <c r="D3339" s="23"/>
    </row>
    <row r="3340">
      <c r="D3340" s="23"/>
    </row>
    <row r="3341">
      <c r="D3341" s="23"/>
    </row>
    <row r="3342">
      <c r="D3342" s="23"/>
    </row>
    <row r="3343">
      <c r="D3343" s="23"/>
    </row>
    <row r="3344">
      <c r="D3344" s="23"/>
    </row>
    <row r="3345">
      <c r="D3345" s="23"/>
    </row>
    <row r="3346">
      <c r="D3346" s="23"/>
    </row>
    <row r="3347">
      <c r="D3347" s="23"/>
    </row>
    <row r="3348">
      <c r="D3348" s="23"/>
    </row>
    <row r="3349">
      <c r="D3349" s="23"/>
    </row>
    <row r="3350">
      <c r="D3350" s="23"/>
    </row>
    <row r="3351">
      <c r="D3351" s="23"/>
    </row>
    <row r="3352">
      <c r="D3352" s="23"/>
    </row>
    <row r="3353">
      <c r="D3353" s="23"/>
    </row>
    <row r="3354">
      <c r="D3354" s="23"/>
    </row>
    <row r="3355">
      <c r="D3355" s="23"/>
    </row>
    <row r="3356">
      <c r="D3356" s="23"/>
    </row>
    <row r="3357">
      <c r="D3357" s="23"/>
    </row>
    <row r="3358">
      <c r="D3358" s="23"/>
    </row>
    <row r="3359">
      <c r="D3359" s="23"/>
    </row>
    <row r="3360">
      <c r="D3360" s="23"/>
    </row>
    <row r="3361">
      <c r="D3361" s="23"/>
    </row>
    <row r="3362">
      <c r="D3362" s="23"/>
    </row>
    <row r="3363">
      <c r="D3363" s="23"/>
    </row>
    <row r="3364">
      <c r="D3364" s="2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8.29"/>
    <col customWidth="1" min="2" max="2" width="13.14"/>
    <col customWidth="1" min="3" max="3" width="7.14"/>
    <col customWidth="1" min="4" max="4" width="9.0"/>
    <col customWidth="1" min="5" max="5" width="7.14"/>
  </cols>
  <sheetData>
    <row r="1">
      <c r="A1" s="2" t="s">
        <v>1</v>
      </c>
      <c r="B1" s="2" t="s">
        <v>3</v>
      </c>
      <c r="C1" s="2" t="s">
        <v>4</v>
      </c>
      <c r="D1" s="2" t="s">
        <v>8</v>
      </c>
      <c r="E1" s="26" t="s">
        <v>9</v>
      </c>
    </row>
    <row r="2">
      <c r="A2" s="8" t="s">
        <v>3152</v>
      </c>
      <c r="B2" s="8" t="s">
        <v>196</v>
      </c>
      <c r="C2" s="8" t="s">
        <v>65</v>
      </c>
      <c r="D2" s="18" t="s">
        <v>2554</v>
      </c>
      <c r="E2" s="16">
        <v>69.0</v>
      </c>
    </row>
    <row r="3">
      <c r="A3" s="8" t="s">
        <v>3153</v>
      </c>
      <c r="B3" s="8" t="s">
        <v>3154</v>
      </c>
      <c r="C3" s="8" t="s">
        <v>138</v>
      </c>
      <c r="D3" s="18" t="s">
        <v>2621</v>
      </c>
      <c r="E3" s="16">
        <v>60.0</v>
      </c>
    </row>
    <row r="4">
      <c r="A4" s="8" t="s">
        <v>1068</v>
      </c>
      <c r="B4" s="8" t="s">
        <v>1069</v>
      </c>
      <c r="C4" s="8" t="s">
        <v>70</v>
      </c>
      <c r="D4" s="18" t="s">
        <v>2554</v>
      </c>
      <c r="E4" s="16">
        <v>78.0</v>
      </c>
    </row>
    <row r="5">
      <c r="A5" s="8" t="s">
        <v>629</v>
      </c>
      <c r="B5" s="8" t="s">
        <v>630</v>
      </c>
      <c r="C5" s="8" t="s">
        <v>149</v>
      </c>
      <c r="D5" s="18" t="s">
        <v>2603</v>
      </c>
      <c r="E5" s="16">
        <v>74.0</v>
      </c>
    </row>
    <row r="6">
      <c r="A6" s="8" t="s">
        <v>2643</v>
      </c>
      <c r="B6" s="8" t="s">
        <v>41</v>
      </c>
      <c r="C6" s="8" t="s">
        <v>59</v>
      </c>
      <c r="D6" s="18" t="s">
        <v>2605</v>
      </c>
      <c r="E6" s="16">
        <v>74.0</v>
      </c>
    </row>
    <row r="7">
      <c r="A7" s="8" t="s">
        <v>2644</v>
      </c>
      <c r="B7" s="8" t="s">
        <v>892</v>
      </c>
      <c r="C7" s="8" t="s">
        <v>93</v>
      </c>
      <c r="D7" s="18" t="s">
        <v>2183</v>
      </c>
      <c r="E7" s="16">
        <v>67.0</v>
      </c>
    </row>
    <row r="8">
      <c r="A8" s="8" t="s">
        <v>835</v>
      </c>
      <c r="B8" s="8" t="s">
        <v>55</v>
      </c>
      <c r="C8" s="8" t="s">
        <v>80</v>
      </c>
      <c r="D8" s="18" t="s">
        <v>2566</v>
      </c>
      <c r="E8" s="16">
        <v>78.0</v>
      </c>
    </row>
    <row r="9">
      <c r="A9" s="8" t="s">
        <v>835</v>
      </c>
      <c r="B9" s="8" t="s">
        <v>1071</v>
      </c>
      <c r="C9" s="8" t="s">
        <v>65</v>
      </c>
      <c r="D9" s="18" t="s">
        <v>2558</v>
      </c>
      <c r="E9" s="16">
        <v>84.0</v>
      </c>
    </row>
    <row r="10">
      <c r="A10" s="8" t="s">
        <v>835</v>
      </c>
      <c r="B10" s="8" t="s">
        <v>1402</v>
      </c>
      <c r="C10" s="8" t="s">
        <v>192</v>
      </c>
      <c r="D10" s="18" t="s">
        <v>2560</v>
      </c>
      <c r="E10" s="16">
        <v>81.0</v>
      </c>
    </row>
    <row r="11">
      <c r="A11" s="8" t="s">
        <v>835</v>
      </c>
      <c r="B11" s="8" t="s">
        <v>712</v>
      </c>
      <c r="C11" s="8" t="s">
        <v>75</v>
      </c>
      <c r="D11" s="18" t="s">
        <v>2560</v>
      </c>
      <c r="E11" s="16">
        <v>72.0</v>
      </c>
    </row>
    <row r="12">
      <c r="A12" s="8" t="s">
        <v>835</v>
      </c>
      <c r="B12" s="8" t="s">
        <v>1072</v>
      </c>
      <c r="C12" s="8" t="s">
        <v>24</v>
      </c>
      <c r="D12" s="18" t="s">
        <v>2566</v>
      </c>
      <c r="E12" s="16">
        <v>66.0</v>
      </c>
    </row>
    <row r="13">
      <c r="A13" s="8" t="s">
        <v>835</v>
      </c>
      <c r="B13" s="8" t="s">
        <v>1680</v>
      </c>
      <c r="C13" s="8" t="s">
        <v>59</v>
      </c>
      <c r="D13" s="18" t="s">
        <v>2577</v>
      </c>
      <c r="E13" s="16">
        <v>64.0</v>
      </c>
    </row>
    <row r="14">
      <c r="A14" s="8" t="s">
        <v>835</v>
      </c>
      <c r="B14" s="8" t="s">
        <v>183</v>
      </c>
      <c r="C14" s="8" t="s">
        <v>80</v>
      </c>
      <c r="D14" s="18" t="s">
        <v>2574</v>
      </c>
      <c r="E14" s="16">
        <v>81.0</v>
      </c>
    </row>
    <row r="15">
      <c r="A15" s="8" t="s">
        <v>835</v>
      </c>
      <c r="B15" s="8" t="s">
        <v>1678</v>
      </c>
      <c r="C15" s="8" t="s">
        <v>122</v>
      </c>
      <c r="D15" s="18" t="s">
        <v>2558</v>
      </c>
      <c r="E15" s="16">
        <v>72.0</v>
      </c>
    </row>
    <row r="16">
      <c r="A16" s="8" t="s">
        <v>835</v>
      </c>
      <c r="B16" s="8" t="s">
        <v>383</v>
      </c>
      <c r="C16" s="8" t="s">
        <v>65</v>
      </c>
      <c r="D16" s="18" t="s">
        <v>2552</v>
      </c>
      <c r="E16" s="16">
        <v>68.0</v>
      </c>
    </row>
    <row r="17">
      <c r="A17" s="8" t="s">
        <v>835</v>
      </c>
      <c r="B17" s="8" t="s">
        <v>836</v>
      </c>
      <c r="C17" s="8" t="s">
        <v>53</v>
      </c>
      <c r="D17" s="18" t="s">
        <v>2556</v>
      </c>
      <c r="E17" s="16">
        <v>62.0</v>
      </c>
    </row>
    <row r="18">
      <c r="A18" s="8" t="s">
        <v>457</v>
      </c>
      <c r="B18" s="8" t="s">
        <v>458</v>
      </c>
      <c r="C18" s="8" t="s">
        <v>192</v>
      </c>
      <c r="D18" s="18" t="s">
        <v>2572</v>
      </c>
      <c r="E18" s="16">
        <v>83.0</v>
      </c>
    </row>
    <row r="19">
      <c r="A19" s="8" t="s">
        <v>235</v>
      </c>
      <c r="B19" s="8" t="s">
        <v>236</v>
      </c>
      <c r="C19" s="8" t="s">
        <v>215</v>
      </c>
      <c r="D19" s="18" t="s">
        <v>2574</v>
      </c>
      <c r="E19" s="16">
        <v>83.0</v>
      </c>
    </row>
    <row r="20">
      <c r="A20" s="8" t="s">
        <v>1681</v>
      </c>
      <c r="B20" s="8" t="s">
        <v>900</v>
      </c>
      <c r="C20" s="8" t="s">
        <v>65</v>
      </c>
      <c r="D20" s="18" t="s">
        <v>2575</v>
      </c>
      <c r="E20" s="16">
        <v>62.0</v>
      </c>
    </row>
    <row r="21">
      <c r="A21" s="8" t="s">
        <v>3155</v>
      </c>
      <c r="B21" s="8" t="s">
        <v>3156</v>
      </c>
      <c r="C21" s="8" t="s">
        <v>93</v>
      </c>
      <c r="D21" s="18" t="s">
        <v>2592</v>
      </c>
      <c r="E21" s="16">
        <v>72.0</v>
      </c>
    </row>
    <row r="22">
      <c r="A22" s="8" t="s">
        <v>1073</v>
      </c>
      <c r="B22" s="8" t="s">
        <v>220</v>
      </c>
      <c r="C22" s="8" t="s">
        <v>65</v>
      </c>
      <c r="D22" s="18" t="s">
        <v>2564</v>
      </c>
      <c r="E22" s="16">
        <v>71.0</v>
      </c>
    </row>
    <row r="23">
      <c r="A23" s="8" t="s">
        <v>1682</v>
      </c>
      <c r="B23" s="8" t="s">
        <v>1402</v>
      </c>
      <c r="C23" s="8" t="s">
        <v>93</v>
      </c>
      <c r="D23" s="18" t="s">
        <v>2554</v>
      </c>
      <c r="E23" s="16">
        <v>66.0</v>
      </c>
    </row>
    <row r="24">
      <c r="A24" s="8" t="s">
        <v>2646</v>
      </c>
      <c r="B24" s="8" t="s">
        <v>2647</v>
      </c>
      <c r="C24" s="8" t="s">
        <v>12</v>
      </c>
      <c r="D24" s="18" t="s">
        <v>2592</v>
      </c>
      <c r="E24" s="16">
        <v>73.0</v>
      </c>
    </row>
    <row r="25">
      <c r="A25" s="8" t="s">
        <v>2648</v>
      </c>
      <c r="B25" s="8" t="s">
        <v>2649</v>
      </c>
      <c r="C25" s="8" t="s">
        <v>65</v>
      </c>
      <c r="D25" s="18" t="s">
        <v>2567</v>
      </c>
      <c r="E25" s="16">
        <v>78.0</v>
      </c>
    </row>
    <row r="26">
      <c r="A26" s="8" t="s">
        <v>632</v>
      </c>
      <c r="B26" s="8" t="s">
        <v>633</v>
      </c>
      <c r="C26" s="8" t="s">
        <v>80</v>
      </c>
      <c r="D26" s="18" t="s">
        <v>2581</v>
      </c>
      <c r="E26" s="16">
        <v>69.0</v>
      </c>
    </row>
    <row r="27">
      <c r="A27" s="8" t="s">
        <v>2650</v>
      </c>
      <c r="B27" s="8" t="s">
        <v>2651</v>
      </c>
      <c r="C27" s="8" t="s">
        <v>70</v>
      </c>
      <c r="D27" s="18" t="s">
        <v>2581</v>
      </c>
      <c r="E27" s="16">
        <v>87.0</v>
      </c>
    </row>
    <row r="28">
      <c r="A28" s="8" t="s">
        <v>1064</v>
      </c>
      <c r="B28" s="8" t="s">
        <v>1204</v>
      </c>
      <c r="C28" s="8" t="s">
        <v>46</v>
      </c>
      <c r="D28" s="18" t="s">
        <v>2584</v>
      </c>
      <c r="E28" s="16">
        <v>73.0</v>
      </c>
    </row>
    <row r="29">
      <c r="A29" s="8" t="s">
        <v>2652</v>
      </c>
      <c r="B29" s="8" t="s">
        <v>2653</v>
      </c>
      <c r="C29" s="8" t="s">
        <v>53</v>
      </c>
      <c r="D29" s="18" t="s">
        <v>2610</v>
      </c>
      <c r="E29" s="16">
        <v>60.0</v>
      </c>
    </row>
    <row r="30">
      <c r="A30" s="8" t="s">
        <v>57</v>
      </c>
      <c r="B30" s="18" t="s">
        <v>529</v>
      </c>
      <c r="C30" s="8" t="s">
        <v>186</v>
      </c>
      <c r="D30" s="18" t="s">
        <v>2183</v>
      </c>
      <c r="E30" s="16">
        <v>66.0</v>
      </c>
    </row>
    <row r="31">
      <c r="A31" s="8" t="s">
        <v>57</v>
      </c>
      <c r="B31" s="8" t="s">
        <v>172</v>
      </c>
      <c r="C31" s="8" t="s">
        <v>59</v>
      </c>
      <c r="D31" s="18" t="s">
        <v>2615</v>
      </c>
      <c r="E31" s="16">
        <v>61.0</v>
      </c>
    </row>
    <row r="32">
      <c r="A32" s="8" t="s">
        <v>57</v>
      </c>
      <c r="B32" s="8" t="s">
        <v>1354</v>
      </c>
      <c r="C32" s="8" t="s">
        <v>186</v>
      </c>
      <c r="D32" s="18" t="s">
        <v>2592</v>
      </c>
      <c r="E32" s="16">
        <v>80.0</v>
      </c>
    </row>
    <row r="33">
      <c r="A33" s="8" t="s">
        <v>57</v>
      </c>
      <c r="B33" s="8" t="s">
        <v>58</v>
      </c>
      <c r="C33" s="8" t="s">
        <v>59</v>
      </c>
      <c r="D33" s="18" t="s">
        <v>2587</v>
      </c>
      <c r="E33" s="16">
        <v>84.0</v>
      </c>
    </row>
    <row r="34">
      <c r="A34" s="8" t="s">
        <v>57</v>
      </c>
      <c r="B34" s="8" t="s">
        <v>1353</v>
      </c>
      <c r="C34" s="8" t="s">
        <v>93</v>
      </c>
      <c r="D34" s="18" t="s">
        <v>2552</v>
      </c>
      <c r="E34" s="16">
        <v>73.0</v>
      </c>
    </row>
    <row r="35">
      <c r="A35" s="8" t="s">
        <v>57</v>
      </c>
      <c r="B35" s="8" t="s">
        <v>634</v>
      </c>
      <c r="C35" s="8" t="s">
        <v>192</v>
      </c>
      <c r="D35" s="18" t="s">
        <v>2593</v>
      </c>
      <c r="E35" s="16">
        <v>84.0</v>
      </c>
    </row>
    <row r="36">
      <c r="A36" s="8" t="s">
        <v>57</v>
      </c>
      <c r="B36" s="8" t="s">
        <v>2654</v>
      </c>
      <c r="C36" s="8" t="s">
        <v>132</v>
      </c>
      <c r="D36" s="18" t="s">
        <v>2556</v>
      </c>
      <c r="E36" s="16">
        <v>67.0</v>
      </c>
    </row>
    <row r="37">
      <c r="A37" s="8" t="s">
        <v>336</v>
      </c>
      <c r="B37" s="8" t="s">
        <v>236</v>
      </c>
      <c r="C37" s="8" t="s">
        <v>65</v>
      </c>
      <c r="D37" s="18" t="s">
        <v>2615</v>
      </c>
      <c r="E37" s="16">
        <v>60.0</v>
      </c>
    </row>
    <row r="38">
      <c r="A38" s="8" t="s">
        <v>336</v>
      </c>
      <c r="B38" s="8" t="s">
        <v>337</v>
      </c>
      <c r="C38" s="8" t="s">
        <v>93</v>
      </c>
      <c r="D38" s="18" t="s">
        <v>2598</v>
      </c>
      <c r="E38" s="16">
        <v>80.0</v>
      </c>
    </row>
    <row r="39">
      <c r="A39" s="8" t="s">
        <v>460</v>
      </c>
      <c r="B39" s="8" t="s">
        <v>479</v>
      </c>
      <c r="C39" s="8" t="s">
        <v>122</v>
      </c>
      <c r="D39" s="18" t="s">
        <v>2564</v>
      </c>
      <c r="E39" s="16">
        <v>68.0</v>
      </c>
    </row>
    <row r="40">
      <c r="A40" s="8" t="s">
        <v>460</v>
      </c>
      <c r="B40" s="8" t="s">
        <v>121</v>
      </c>
      <c r="C40" s="8" t="s">
        <v>16</v>
      </c>
      <c r="D40" s="18" t="s">
        <v>2584</v>
      </c>
      <c r="E40" s="16">
        <v>63.0</v>
      </c>
    </row>
    <row r="41">
      <c r="A41" s="8" t="s">
        <v>460</v>
      </c>
      <c r="B41" s="8" t="s">
        <v>157</v>
      </c>
      <c r="C41" s="8" t="s">
        <v>93</v>
      </c>
      <c r="D41" s="18" t="s">
        <v>2577</v>
      </c>
      <c r="E41" s="16">
        <v>65.0</v>
      </c>
    </row>
    <row r="42">
      <c r="A42" s="8" t="s">
        <v>460</v>
      </c>
      <c r="B42" s="8" t="s">
        <v>273</v>
      </c>
      <c r="C42" s="8" t="s">
        <v>24</v>
      </c>
      <c r="D42" s="18" t="s">
        <v>2600</v>
      </c>
      <c r="E42" s="16">
        <v>80.0</v>
      </c>
    </row>
    <row r="43">
      <c r="A43" s="8" t="s">
        <v>460</v>
      </c>
      <c r="B43" s="8" t="s">
        <v>360</v>
      </c>
      <c r="C43" s="8" t="s">
        <v>141</v>
      </c>
      <c r="D43" s="18" t="s">
        <v>2595</v>
      </c>
      <c r="E43" s="16">
        <v>59.0</v>
      </c>
    </row>
    <row r="44">
      <c r="A44" s="8" t="s">
        <v>460</v>
      </c>
      <c r="B44" s="8" t="s">
        <v>635</v>
      </c>
      <c r="C44" s="8" t="s">
        <v>70</v>
      </c>
      <c r="D44" s="18" t="s">
        <v>2575</v>
      </c>
      <c r="E44" s="16">
        <v>72.0</v>
      </c>
    </row>
    <row r="45">
      <c r="A45" s="8" t="s">
        <v>460</v>
      </c>
      <c r="B45" s="8" t="s">
        <v>712</v>
      </c>
      <c r="C45" s="8" t="s">
        <v>132</v>
      </c>
      <c r="D45" s="18" t="s">
        <v>2562</v>
      </c>
      <c r="E45" s="16">
        <v>72.0</v>
      </c>
    </row>
    <row r="46">
      <c r="A46" s="8" t="s">
        <v>460</v>
      </c>
      <c r="B46" s="8" t="s">
        <v>842</v>
      </c>
      <c r="C46" s="8" t="s">
        <v>138</v>
      </c>
      <c r="D46" s="18" t="s">
        <v>2582</v>
      </c>
      <c r="E46" s="16">
        <v>73.0</v>
      </c>
    </row>
    <row r="47">
      <c r="A47" s="8" t="s">
        <v>460</v>
      </c>
      <c r="B47" s="8" t="s">
        <v>301</v>
      </c>
      <c r="C47" s="8" t="s">
        <v>141</v>
      </c>
      <c r="D47" s="18" t="s">
        <v>2592</v>
      </c>
      <c r="E47" s="16">
        <v>61.0</v>
      </c>
    </row>
    <row r="48">
      <c r="A48" s="8" t="s">
        <v>460</v>
      </c>
      <c r="B48" s="8" t="s">
        <v>839</v>
      </c>
      <c r="C48" s="8" t="s">
        <v>65</v>
      </c>
      <c r="D48" s="18" t="s">
        <v>2572</v>
      </c>
      <c r="E48" s="16">
        <v>89.0</v>
      </c>
    </row>
    <row r="49">
      <c r="A49" s="8" t="s">
        <v>460</v>
      </c>
      <c r="B49" s="8" t="s">
        <v>317</v>
      </c>
      <c r="C49" s="8" t="s">
        <v>80</v>
      </c>
      <c r="D49" s="18" t="s">
        <v>2581</v>
      </c>
      <c r="E49" s="16">
        <v>72.0</v>
      </c>
    </row>
    <row r="50">
      <c r="A50" s="8" t="s">
        <v>460</v>
      </c>
      <c r="B50" s="8" t="s">
        <v>840</v>
      </c>
      <c r="C50" s="8" t="s">
        <v>80</v>
      </c>
      <c r="D50" s="18" t="s">
        <v>2598</v>
      </c>
      <c r="E50" s="16">
        <v>81.0</v>
      </c>
    </row>
    <row r="51">
      <c r="A51" s="8" t="s">
        <v>460</v>
      </c>
      <c r="B51" s="8" t="s">
        <v>67</v>
      </c>
      <c r="C51" s="8" t="s">
        <v>38</v>
      </c>
      <c r="D51" s="18" t="s">
        <v>2600</v>
      </c>
      <c r="E51" s="16">
        <v>75.0</v>
      </c>
    </row>
    <row r="52">
      <c r="A52" s="8" t="s">
        <v>1357</v>
      </c>
      <c r="B52" s="8" t="s">
        <v>1358</v>
      </c>
      <c r="C52" s="8" t="s">
        <v>65</v>
      </c>
      <c r="D52" s="18" t="s">
        <v>2558</v>
      </c>
      <c r="E52" s="16">
        <v>67.0</v>
      </c>
    </row>
    <row r="53">
      <c r="A53" s="8" t="s">
        <v>461</v>
      </c>
      <c r="B53" s="8" t="s">
        <v>462</v>
      </c>
      <c r="C53" s="8" t="s">
        <v>186</v>
      </c>
      <c r="D53" s="18" t="s">
        <v>2581</v>
      </c>
      <c r="E53" s="16">
        <v>76.0</v>
      </c>
    </row>
    <row r="54">
      <c r="A54" s="8" t="s">
        <v>187</v>
      </c>
      <c r="B54" s="8" t="s">
        <v>188</v>
      </c>
      <c r="C54" s="8" t="s">
        <v>138</v>
      </c>
      <c r="D54" s="18" t="s">
        <v>2577</v>
      </c>
      <c r="E54" s="16">
        <v>73.0</v>
      </c>
    </row>
    <row r="55">
      <c r="A55" s="8" t="s">
        <v>2656</v>
      </c>
      <c r="B55" s="8" t="s">
        <v>2425</v>
      </c>
      <c r="C55" s="8" t="s">
        <v>24</v>
      </c>
      <c r="D55" s="18" t="s">
        <v>2621</v>
      </c>
      <c r="E55" s="16">
        <v>75.0</v>
      </c>
    </row>
    <row r="56">
      <c r="A56" s="8" t="s">
        <v>133</v>
      </c>
      <c r="B56" s="8" t="s">
        <v>134</v>
      </c>
      <c r="C56" s="8" t="s">
        <v>65</v>
      </c>
      <c r="D56" s="18" t="s">
        <v>2600</v>
      </c>
      <c r="E56" s="16">
        <v>78.0</v>
      </c>
    </row>
    <row r="57">
      <c r="A57" s="8" t="s">
        <v>841</v>
      </c>
      <c r="B57" s="8" t="s">
        <v>506</v>
      </c>
      <c r="C57" s="8" t="s">
        <v>93</v>
      </c>
      <c r="D57" s="18" t="s">
        <v>2556</v>
      </c>
      <c r="E57" s="16">
        <v>82.0</v>
      </c>
    </row>
    <row r="58">
      <c r="A58" s="8" t="s">
        <v>1359</v>
      </c>
      <c r="B58" s="8" t="s">
        <v>1360</v>
      </c>
      <c r="C58" s="8" t="s">
        <v>141</v>
      </c>
      <c r="D58" s="18" t="s">
        <v>2558</v>
      </c>
      <c r="E58" s="16">
        <v>66.0</v>
      </c>
    </row>
    <row r="59">
      <c r="A59" s="8" t="s">
        <v>1074</v>
      </c>
      <c r="B59" s="8" t="s">
        <v>127</v>
      </c>
      <c r="C59" s="8" t="s">
        <v>80</v>
      </c>
      <c r="D59" s="18" t="s">
        <v>2605</v>
      </c>
      <c r="E59" s="16">
        <v>80.0</v>
      </c>
    </row>
    <row r="60">
      <c r="A60" s="8" t="s">
        <v>339</v>
      </c>
      <c r="B60" s="8" t="s">
        <v>340</v>
      </c>
      <c r="C60" s="8" t="s">
        <v>93</v>
      </c>
      <c r="D60" s="18" t="s">
        <v>2605</v>
      </c>
      <c r="E60" s="16">
        <v>81.0</v>
      </c>
    </row>
    <row r="61">
      <c r="A61" s="8" t="s">
        <v>636</v>
      </c>
      <c r="B61" s="18" t="s">
        <v>521</v>
      </c>
      <c r="C61" s="8" t="s">
        <v>70</v>
      </c>
      <c r="D61" s="18" t="s">
        <v>2620</v>
      </c>
      <c r="E61" s="16">
        <v>85.0</v>
      </c>
    </row>
    <row r="62">
      <c r="A62" s="8" t="s">
        <v>636</v>
      </c>
      <c r="B62" s="8" t="s">
        <v>219</v>
      </c>
      <c r="C62" s="8" t="s">
        <v>80</v>
      </c>
      <c r="D62" s="18" t="s">
        <v>2587</v>
      </c>
      <c r="E62" s="16">
        <v>69.0</v>
      </c>
    </row>
    <row r="63">
      <c r="A63" s="8" t="s">
        <v>636</v>
      </c>
      <c r="B63" s="8" t="s">
        <v>493</v>
      </c>
      <c r="C63" s="8" t="s">
        <v>16</v>
      </c>
      <c r="D63" s="18" t="s">
        <v>2574</v>
      </c>
      <c r="E63" s="16">
        <v>69.0</v>
      </c>
    </row>
    <row r="64">
      <c r="A64" s="8" t="s">
        <v>636</v>
      </c>
      <c r="B64" s="8" t="s">
        <v>2657</v>
      </c>
      <c r="C64" s="8" t="s">
        <v>65</v>
      </c>
      <c r="D64" s="18" t="s">
        <v>2562</v>
      </c>
      <c r="E64" s="16">
        <v>62.0</v>
      </c>
    </row>
    <row r="65">
      <c r="A65" s="8" t="s">
        <v>636</v>
      </c>
      <c r="B65" s="8" t="s">
        <v>637</v>
      </c>
      <c r="C65" s="8" t="s">
        <v>138</v>
      </c>
      <c r="D65" s="18" t="s">
        <v>2567</v>
      </c>
      <c r="E65" s="16">
        <v>76.0</v>
      </c>
    </row>
    <row r="66">
      <c r="A66" s="8" t="s">
        <v>636</v>
      </c>
      <c r="B66" s="8" t="s">
        <v>842</v>
      </c>
      <c r="C66" s="8" t="s">
        <v>186</v>
      </c>
      <c r="D66" s="18" t="s">
        <v>2605</v>
      </c>
      <c r="E66" s="16">
        <v>66.0</v>
      </c>
    </row>
    <row r="67">
      <c r="A67" s="8" t="s">
        <v>636</v>
      </c>
      <c r="B67" s="8" t="s">
        <v>1075</v>
      </c>
      <c r="C67" s="8" t="s">
        <v>65</v>
      </c>
      <c r="D67" s="18" t="s">
        <v>2560</v>
      </c>
      <c r="E67" s="16">
        <v>74.0</v>
      </c>
    </row>
    <row r="68">
      <c r="A68" s="8" t="s">
        <v>636</v>
      </c>
      <c r="B68" s="8" t="s">
        <v>67</v>
      </c>
      <c r="C68" s="8" t="s">
        <v>53</v>
      </c>
      <c r="D68" s="18" t="s">
        <v>2582</v>
      </c>
      <c r="E68" s="16">
        <v>73.0</v>
      </c>
    </row>
    <row r="69">
      <c r="A69" s="8" t="s">
        <v>636</v>
      </c>
      <c r="B69" s="8" t="s">
        <v>88</v>
      </c>
      <c r="C69" s="8" t="s">
        <v>24</v>
      </c>
      <c r="D69" s="18" t="s">
        <v>2562</v>
      </c>
      <c r="E69" s="16">
        <v>65.0</v>
      </c>
    </row>
    <row r="70">
      <c r="A70" s="8" t="s">
        <v>636</v>
      </c>
      <c r="B70" s="8" t="s">
        <v>2102</v>
      </c>
      <c r="C70" s="8" t="s">
        <v>186</v>
      </c>
      <c r="D70" s="18" t="s">
        <v>2620</v>
      </c>
      <c r="E70" s="16">
        <v>60.0</v>
      </c>
    </row>
    <row r="71">
      <c r="A71" s="8" t="s">
        <v>638</v>
      </c>
      <c r="B71" s="8" t="s">
        <v>506</v>
      </c>
      <c r="C71" s="8" t="s">
        <v>141</v>
      </c>
      <c r="D71" s="18" t="s">
        <v>2600</v>
      </c>
      <c r="E71" s="16">
        <v>78.0</v>
      </c>
    </row>
    <row r="72">
      <c r="A72" s="8" t="s">
        <v>638</v>
      </c>
      <c r="B72" s="8" t="s">
        <v>301</v>
      </c>
      <c r="C72" s="8" t="s">
        <v>141</v>
      </c>
      <c r="D72" s="18" t="s">
        <v>2564</v>
      </c>
      <c r="E72" s="16">
        <v>61.0</v>
      </c>
    </row>
    <row r="73">
      <c r="A73" s="8" t="s">
        <v>2658</v>
      </c>
      <c r="B73" s="8" t="s">
        <v>354</v>
      </c>
      <c r="C73" s="8" t="s">
        <v>38</v>
      </c>
      <c r="D73" s="18" t="s">
        <v>2592</v>
      </c>
      <c r="E73" s="16">
        <v>85.0</v>
      </c>
    </row>
    <row r="74">
      <c r="A74" s="8" t="s">
        <v>341</v>
      </c>
      <c r="B74" s="8" t="s">
        <v>342</v>
      </c>
      <c r="C74" s="8" t="s">
        <v>215</v>
      </c>
      <c r="D74" s="18" t="s">
        <v>2554</v>
      </c>
      <c r="E74" s="16">
        <v>84.0</v>
      </c>
    </row>
    <row r="75">
      <c r="A75" s="8" t="s">
        <v>212</v>
      </c>
      <c r="B75" s="8" t="s">
        <v>2659</v>
      </c>
      <c r="C75" s="8" t="s">
        <v>53</v>
      </c>
      <c r="D75" s="18" t="s">
        <v>2595</v>
      </c>
      <c r="E75" s="16">
        <v>72.0</v>
      </c>
    </row>
    <row r="76">
      <c r="A76" s="8" t="s">
        <v>1683</v>
      </c>
      <c r="B76" s="8" t="s">
        <v>100</v>
      </c>
      <c r="C76" s="8" t="s">
        <v>59</v>
      </c>
      <c r="D76" s="18" t="s">
        <v>2595</v>
      </c>
      <c r="E76" s="16">
        <v>68.0</v>
      </c>
    </row>
    <row r="77">
      <c r="A77" s="8" t="s">
        <v>1684</v>
      </c>
      <c r="B77" s="8" t="s">
        <v>29</v>
      </c>
      <c r="C77" s="8" t="s">
        <v>93</v>
      </c>
      <c r="D77" s="18" t="s">
        <v>2566</v>
      </c>
      <c r="E77" s="16">
        <v>77.0</v>
      </c>
    </row>
    <row r="78">
      <c r="A78" s="8" t="s">
        <v>1362</v>
      </c>
      <c r="B78" s="8" t="s">
        <v>100</v>
      </c>
      <c r="C78" s="8" t="s">
        <v>261</v>
      </c>
      <c r="D78" s="18" t="s">
        <v>2574</v>
      </c>
      <c r="E78" s="16">
        <v>72.0</v>
      </c>
    </row>
    <row r="79">
      <c r="A79" s="8" t="s">
        <v>2660</v>
      </c>
      <c r="B79" s="8" t="s">
        <v>2661</v>
      </c>
      <c r="C79" s="8" t="s">
        <v>59</v>
      </c>
      <c r="D79" s="18" t="s">
        <v>2554</v>
      </c>
      <c r="E79" s="16">
        <v>61.0</v>
      </c>
    </row>
    <row r="80">
      <c r="A80" s="8" t="s">
        <v>639</v>
      </c>
      <c r="B80" s="8" t="s">
        <v>1363</v>
      </c>
      <c r="C80" s="8" t="s">
        <v>215</v>
      </c>
      <c r="D80" s="18" t="s">
        <v>2585</v>
      </c>
      <c r="E80" s="16">
        <v>75.0</v>
      </c>
    </row>
    <row r="81">
      <c r="A81" s="8" t="s">
        <v>639</v>
      </c>
      <c r="B81" s="8" t="s">
        <v>640</v>
      </c>
      <c r="C81" s="8" t="s">
        <v>46</v>
      </c>
      <c r="D81" s="18" t="s">
        <v>2595</v>
      </c>
      <c r="E81" s="16">
        <v>85.0</v>
      </c>
    </row>
    <row r="82">
      <c r="A82" s="8" t="s">
        <v>641</v>
      </c>
      <c r="B82" s="8" t="s">
        <v>642</v>
      </c>
      <c r="C82" s="8" t="s">
        <v>53</v>
      </c>
      <c r="D82" s="18" t="s">
        <v>2585</v>
      </c>
      <c r="E82" s="16">
        <v>73.0</v>
      </c>
    </row>
    <row r="83">
      <c r="A83" s="8" t="s">
        <v>463</v>
      </c>
      <c r="B83" s="8" t="s">
        <v>52</v>
      </c>
      <c r="C83" s="8" t="s">
        <v>70</v>
      </c>
      <c r="D83" s="18" t="s">
        <v>2574</v>
      </c>
      <c r="E83" s="16">
        <v>68.0</v>
      </c>
    </row>
    <row r="84">
      <c r="A84" s="8" t="s">
        <v>2663</v>
      </c>
      <c r="B84" s="8" t="s">
        <v>315</v>
      </c>
      <c r="C84" s="8" t="s">
        <v>122</v>
      </c>
      <c r="D84" s="18" t="s">
        <v>2614</v>
      </c>
      <c r="E84" s="16">
        <v>63.0</v>
      </c>
    </row>
    <row r="85">
      <c r="A85" s="8" t="s">
        <v>2664</v>
      </c>
      <c r="B85" s="8" t="s">
        <v>1611</v>
      </c>
      <c r="C85" s="8" t="s">
        <v>75</v>
      </c>
      <c r="D85" s="18" t="s">
        <v>2581</v>
      </c>
      <c r="E85" s="16">
        <v>68.0</v>
      </c>
    </row>
    <row r="86">
      <c r="A86" s="8" t="s">
        <v>2664</v>
      </c>
      <c r="B86" s="8" t="s">
        <v>33</v>
      </c>
      <c r="C86" s="8" t="s">
        <v>70</v>
      </c>
      <c r="D86" s="18" t="s">
        <v>2554</v>
      </c>
      <c r="E86" s="16">
        <v>75.0</v>
      </c>
    </row>
    <row r="87">
      <c r="A87" s="8" t="s">
        <v>238</v>
      </c>
      <c r="B87" s="8" t="s">
        <v>239</v>
      </c>
      <c r="C87" s="8" t="s">
        <v>122</v>
      </c>
      <c r="D87" s="18" t="s">
        <v>2610</v>
      </c>
      <c r="E87" s="16">
        <v>91.0</v>
      </c>
    </row>
    <row r="88">
      <c r="A88" s="8" t="s">
        <v>3157</v>
      </c>
      <c r="B88" s="8" t="s">
        <v>546</v>
      </c>
      <c r="C88" s="8" t="s">
        <v>70</v>
      </c>
      <c r="D88" s="18" t="s">
        <v>2615</v>
      </c>
      <c r="E88" s="16">
        <v>63.0</v>
      </c>
    </row>
    <row r="89">
      <c r="A89" s="8" t="s">
        <v>1076</v>
      </c>
      <c r="B89" s="8" t="s">
        <v>798</v>
      </c>
      <c r="C89" s="8" t="s">
        <v>59</v>
      </c>
      <c r="D89" s="18" t="s">
        <v>2572</v>
      </c>
      <c r="E89" s="16">
        <v>80.0</v>
      </c>
    </row>
    <row r="90">
      <c r="A90" s="8" t="s">
        <v>3158</v>
      </c>
      <c r="B90" s="8" t="s">
        <v>527</v>
      </c>
      <c r="C90" s="8" t="s">
        <v>141</v>
      </c>
      <c r="D90" s="18" t="s">
        <v>2562</v>
      </c>
      <c r="E90" s="16">
        <v>60.0</v>
      </c>
    </row>
    <row r="91">
      <c r="A91" s="8" t="s">
        <v>464</v>
      </c>
      <c r="B91" s="8" t="s">
        <v>465</v>
      </c>
      <c r="C91" s="8" t="s">
        <v>65</v>
      </c>
      <c r="D91" s="18" t="s">
        <v>2593</v>
      </c>
      <c r="E91" s="16">
        <v>81.0</v>
      </c>
    </row>
    <row r="92">
      <c r="A92" s="8" t="s">
        <v>466</v>
      </c>
      <c r="B92" s="8" t="s">
        <v>467</v>
      </c>
      <c r="C92" s="8" t="s">
        <v>215</v>
      </c>
      <c r="D92" s="18" t="s">
        <v>2556</v>
      </c>
      <c r="E92" s="16">
        <v>65.0</v>
      </c>
    </row>
    <row r="93">
      <c r="A93" s="8" t="s">
        <v>2665</v>
      </c>
      <c r="B93" s="8" t="s">
        <v>2666</v>
      </c>
      <c r="C93" s="8" t="s">
        <v>215</v>
      </c>
      <c r="D93" s="18" t="s">
        <v>2603</v>
      </c>
      <c r="E93" s="16">
        <v>86.0</v>
      </c>
    </row>
    <row r="94">
      <c r="A94" s="8" t="s">
        <v>1690</v>
      </c>
      <c r="B94" s="8" t="s">
        <v>1691</v>
      </c>
      <c r="C94" s="8" t="s">
        <v>93</v>
      </c>
      <c r="D94" s="18" t="s">
        <v>2614</v>
      </c>
      <c r="E94" s="16">
        <v>76.0</v>
      </c>
    </row>
    <row r="95">
      <c r="A95" s="8" t="s">
        <v>2667</v>
      </c>
      <c r="B95" s="8" t="s">
        <v>957</v>
      </c>
      <c r="C95" s="8" t="s">
        <v>59</v>
      </c>
      <c r="D95" s="18" t="s">
        <v>2567</v>
      </c>
      <c r="E95" s="16">
        <v>76.0</v>
      </c>
    </row>
    <row r="96">
      <c r="A96" s="8" t="s">
        <v>2667</v>
      </c>
      <c r="B96" s="8" t="s">
        <v>1735</v>
      </c>
      <c r="C96" s="8" t="s">
        <v>65</v>
      </c>
      <c r="D96" s="18" t="s">
        <v>2577</v>
      </c>
      <c r="E96" s="16">
        <v>62.0</v>
      </c>
    </row>
    <row r="97">
      <c r="A97" s="8" t="s">
        <v>2668</v>
      </c>
      <c r="B97" s="8" t="s">
        <v>337</v>
      </c>
      <c r="C97" s="8" t="s">
        <v>215</v>
      </c>
      <c r="D97" s="18" t="s">
        <v>2592</v>
      </c>
      <c r="E97" s="16">
        <v>80.0</v>
      </c>
    </row>
    <row r="98">
      <c r="A98" s="8" t="s">
        <v>468</v>
      </c>
      <c r="B98" s="8" t="s">
        <v>389</v>
      </c>
      <c r="C98" s="8" t="s">
        <v>93</v>
      </c>
      <c r="D98" s="18" t="s">
        <v>2554</v>
      </c>
      <c r="E98" s="16">
        <v>69.0</v>
      </c>
    </row>
    <row r="99">
      <c r="A99" s="8" t="s">
        <v>240</v>
      </c>
      <c r="B99" s="8" t="s">
        <v>460</v>
      </c>
      <c r="C99" s="8" t="s">
        <v>215</v>
      </c>
      <c r="D99" s="18" t="s">
        <v>2183</v>
      </c>
      <c r="E99" s="16">
        <v>77.0</v>
      </c>
    </row>
    <row r="100">
      <c r="A100" s="8" t="s">
        <v>240</v>
      </c>
      <c r="B100" s="8" t="s">
        <v>241</v>
      </c>
      <c r="C100" s="8" t="s">
        <v>12</v>
      </c>
      <c r="D100" s="18" t="s">
        <v>2614</v>
      </c>
      <c r="E100" s="16">
        <v>84.0</v>
      </c>
    </row>
    <row r="101">
      <c r="A101" s="8" t="s">
        <v>240</v>
      </c>
      <c r="B101" s="8" t="s">
        <v>1035</v>
      </c>
      <c r="C101" s="8" t="s">
        <v>215</v>
      </c>
      <c r="D101" s="18" t="s">
        <v>2592</v>
      </c>
      <c r="E101" s="16">
        <v>60.0</v>
      </c>
    </row>
    <row r="102">
      <c r="A102" s="8" t="s">
        <v>1891</v>
      </c>
      <c r="B102" s="8" t="s">
        <v>2037</v>
      </c>
      <c r="C102" s="8" t="s">
        <v>80</v>
      </c>
      <c r="D102" s="18" t="s">
        <v>2589</v>
      </c>
      <c r="E102" s="16">
        <v>74.0</v>
      </c>
    </row>
    <row r="103">
      <c r="A103" s="8" t="s">
        <v>1891</v>
      </c>
      <c r="B103" s="8" t="s">
        <v>275</v>
      </c>
      <c r="C103" s="8" t="s">
        <v>122</v>
      </c>
      <c r="D103" s="18" t="s">
        <v>2592</v>
      </c>
      <c r="E103" s="16">
        <v>84.0</v>
      </c>
    </row>
    <row r="104">
      <c r="A104" s="8" t="s">
        <v>843</v>
      </c>
      <c r="B104" s="8" t="s">
        <v>506</v>
      </c>
      <c r="C104" s="8" t="s">
        <v>46</v>
      </c>
      <c r="D104" s="18" t="s">
        <v>2558</v>
      </c>
      <c r="E104" s="16">
        <v>91.0</v>
      </c>
    </row>
    <row r="105">
      <c r="A105" s="8" t="s">
        <v>2670</v>
      </c>
      <c r="B105" s="8" t="s">
        <v>100</v>
      </c>
      <c r="C105" s="8" t="s">
        <v>132</v>
      </c>
      <c r="D105" s="18" t="s">
        <v>2560</v>
      </c>
      <c r="E105" s="16">
        <v>62.0</v>
      </c>
    </row>
    <row r="106">
      <c r="A106" s="8" t="s">
        <v>2671</v>
      </c>
      <c r="B106" s="8" t="s">
        <v>397</v>
      </c>
      <c r="C106" s="8" t="s">
        <v>65</v>
      </c>
      <c r="D106" s="18" t="s">
        <v>2603</v>
      </c>
      <c r="E106" s="16">
        <v>89.0</v>
      </c>
    </row>
    <row r="107">
      <c r="A107" s="8" t="s">
        <v>2040</v>
      </c>
      <c r="B107" s="8" t="s">
        <v>2155</v>
      </c>
      <c r="C107" s="8" t="s">
        <v>80</v>
      </c>
      <c r="D107" s="18" t="s">
        <v>2562</v>
      </c>
      <c r="E107" s="16">
        <v>67.0</v>
      </c>
    </row>
    <row r="108">
      <c r="A108" s="8" t="s">
        <v>469</v>
      </c>
      <c r="B108" s="8" t="s">
        <v>275</v>
      </c>
      <c r="C108" s="8" t="s">
        <v>192</v>
      </c>
      <c r="D108" s="18" t="s">
        <v>2595</v>
      </c>
      <c r="E108" s="16">
        <v>66.0</v>
      </c>
    </row>
    <row r="109">
      <c r="A109" s="8" t="s">
        <v>3159</v>
      </c>
      <c r="B109" s="8" t="s">
        <v>3160</v>
      </c>
      <c r="C109" s="8" t="s">
        <v>93</v>
      </c>
      <c r="D109" s="18" t="s">
        <v>2605</v>
      </c>
      <c r="E109" s="16">
        <v>67.0</v>
      </c>
    </row>
    <row r="110">
      <c r="A110" s="8" t="s">
        <v>1366</v>
      </c>
      <c r="B110" s="8" t="s">
        <v>480</v>
      </c>
      <c r="C110" s="8" t="s">
        <v>149</v>
      </c>
      <c r="D110" s="18" t="s">
        <v>2567</v>
      </c>
      <c r="E110" s="16">
        <v>71.0</v>
      </c>
    </row>
    <row r="111">
      <c r="A111" s="8" t="s">
        <v>3161</v>
      </c>
      <c r="B111" s="8" t="s">
        <v>102</v>
      </c>
      <c r="C111" s="8" t="s">
        <v>70</v>
      </c>
      <c r="D111" s="18" t="s">
        <v>2587</v>
      </c>
      <c r="E111" s="16">
        <v>69.0</v>
      </c>
    </row>
    <row r="112">
      <c r="A112" s="8" t="s">
        <v>1367</v>
      </c>
      <c r="B112" s="8" t="s">
        <v>1368</v>
      </c>
      <c r="C112" s="8" t="s">
        <v>70</v>
      </c>
      <c r="D112" s="18" t="s">
        <v>2592</v>
      </c>
      <c r="E112" s="16">
        <v>61.0</v>
      </c>
    </row>
    <row r="113">
      <c r="A113" s="8" t="s">
        <v>3162</v>
      </c>
      <c r="B113" s="8" t="s">
        <v>460</v>
      </c>
      <c r="C113" s="8" t="s">
        <v>75</v>
      </c>
      <c r="D113" s="18" t="s">
        <v>2564</v>
      </c>
      <c r="E113" s="16">
        <v>81.0</v>
      </c>
    </row>
    <row r="114">
      <c r="A114" s="8" t="s">
        <v>343</v>
      </c>
      <c r="B114" s="8" t="s">
        <v>31</v>
      </c>
      <c r="C114" s="8" t="s">
        <v>132</v>
      </c>
      <c r="D114" s="18" t="s">
        <v>2558</v>
      </c>
      <c r="E114" s="16">
        <v>67.0</v>
      </c>
    </row>
    <row r="115">
      <c r="A115" s="8" t="s">
        <v>643</v>
      </c>
      <c r="B115" s="8" t="s">
        <v>33</v>
      </c>
      <c r="C115" s="8" t="s">
        <v>16</v>
      </c>
      <c r="D115" s="18" t="s">
        <v>2585</v>
      </c>
      <c r="E115" s="16">
        <v>72.0</v>
      </c>
    </row>
    <row r="116">
      <c r="A116" s="8" t="s">
        <v>2672</v>
      </c>
      <c r="B116" s="8" t="s">
        <v>102</v>
      </c>
      <c r="C116" s="8" t="s">
        <v>149</v>
      </c>
      <c r="D116" s="18" t="s">
        <v>2572</v>
      </c>
      <c r="E116" s="16">
        <v>72.0</v>
      </c>
    </row>
    <row r="117">
      <c r="A117" s="8" t="s">
        <v>344</v>
      </c>
      <c r="B117" s="8" t="s">
        <v>345</v>
      </c>
      <c r="C117" s="8" t="s">
        <v>70</v>
      </c>
      <c r="D117" s="18" t="s">
        <v>2572</v>
      </c>
      <c r="E117" s="16">
        <v>69.0</v>
      </c>
    </row>
    <row r="118">
      <c r="A118" s="8" t="s">
        <v>2310</v>
      </c>
      <c r="B118" s="8" t="s">
        <v>3163</v>
      </c>
      <c r="C118" s="8" t="s">
        <v>93</v>
      </c>
      <c r="D118" s="18" t="s">
        <v>2554</v>
      </c>
      <c r="E118" s="16">
        <v>64.0</v>
      </c>
    </row>
    <row r="119">
      <c r="A119" s="8" t="s">
        <v>2310</v>
      </c>
      <c r="B119" s="8" t="s">
        <v>2673</v>
      </c>
      <c r="C119" s="8" t="s">
        <v>59</v>
      </c>
      <c r="D119" s="18" t="s">
        <v>2592</v>
      </c>
      <c r="E119" s="16">
        <v>61.0</v>
      </c>
    </row>
    <row r="120">
      <c r="A120" s="8" t="s">
        <v>2310</v>
      </c>
      <c r="B120" s="8" t="s">
        <v>1209</v>
      </c>
      <c r="C120" s="8" t="s">
        <v>141</v>
      </c>
      <c r="D120" s="18" t="s">
        <v>2585</v>
      </c>
      <c r="E120" s="16">
        <v>71.0</v>
      </c>
    </row>
    <row r="121">
      <c r="A121" s="8" t="s">
        <v>2042</v>
      </c>
      <c r="B121" s="8" t="s">
        <v>493</v>
      </c>
      <c r="C121" s="8" t="s">
        <v>215</v>
      </c>
      <c r="D121" s="18" t="s">
        <v>2564</v>
      </c>
      <c r="E121" s="16">
        <v>75.0</v>
      </c>
    </row>
    <row r="122">
      <c r="A122" s="8" t="s">
        <v>844</v>
      </c>
      <c r="B122" s="8" t="s">
        <v>212</v>
      </c>
      <c r="C122" s="8" t="s">
        <v>53</v>
      </c>
      <c r="D122" s="18" t="s">
        <v>2552</v>
      </c>
      <c r="E122" s="16">
        <v>79.0</v>
      </c>
    </row>
    <row r="123">
      <c r="A123" s="8" t="s">
        <v>1079</v>
      </c>
      <c r="B123" s="8" t="s">
        <v>1080</v>
      </c>
      <c r="C123" s="8" t="s">
        <v>53</v>
      </c>
      <c r="D123" s="18" t="s">
        <v>2620</v>
      </c>
      <c r="E123" s="16">
        <v>81.0</v>
      </c>
    </row>
    <row r="124">
      <c r="A124" s="8" t="s">
        <v>470</v>
      </c>
      <c r="B124" s="8" t="s">
        <v>471</v>
      </c>
      <c r="C124" s="8" t="s">
        <v>186</v>
      </c>
      <c r="D124" s="18" t="s">
        <v>2593</v>
      </c>
      <c r="E124" s="16">
        <v>77.0</v>
      </c>
    </row>
    <row r="125">
      <c r="A125" s="8" t="s">
        <v>3164</v>
      </c>
      <c r="B125" s="8" t="s">
        <v>3165</v>
      </c>
      <c r="C125" s="8" t="s">
        <v>186</v>
      </c>
      <c r="D125" s="18" t="s">
        <v>2581</v>
      </c>
      <c r="E125" s="16">
        <v>64.0</v>
      </c>
    </row>
    <row r="126">
      <c r="A126" s="8" t="s">
        <v>3166</v>
      </c>
      <c r="B126" s="8" t="s">
        <v>1131</v>
      </c>
      <c r="C126" s="8" t="s">
        <v>12</v>
      </c>
      <c r="D126" s="18" t="s">
        <v>2605</v>
      </c>
      <c r="E126" s="16">
        <v>75.0</v>
      </c>
    </row>
    <row r="127">
      <c r="A127" s="8" t="s">
        <v>2674</v>
      </c>
      <c r="B127" s="8" t="s">
        <v>1131</v>
      </c>
      <c r="C127" s="8" t="s">
        <v>53</v>
      </c>
      <c r="D127" s="18" t="s">
        <v>2593</v>
      </c>
      <c r="E127" s="16">
        <v>78.0</v>
      </c>
    </row>
    <row r="128">
      <c r="A128" s="8" t="s">
        <v>1369</v>
      </c>
      <c r="B128" s="8" t="s">
        <v>1370</v>
      </c>
      <c r="C128" s="8" t="s">
        <v>215</v>
      </c>
      <c r="D128" s="18" t="s">
        <v>2567</v>
      </c>
      <c r="E128" s="16">
        <v>70.0</v>
      </c>
    </row>
    <row r="129">
      <c r="A129" s="8" t="s">
        <v>2675</v>
      </c>
      <c r="B129" s="8" t="s">
        <v>506</v>
      </c>
      <c r="C129" s="8" t="s">
        <v>59</v>
      </c>
      <c r="D129" s="18" t="s">
        <v>2603</v>
      </c>
      <c r="E129" s="16">
        <v>66.0</v>
      </c>
    </row>
    <row r="130">
      <c r="A130" s="8" t="s">
        <v>644</v>
      </c>
      <c r="B130" s="8" t="s">
        <v>645</v>
      </c>
      <c r="C130" s="8" t="s">
        <v>186</v>
      </c>
      <c r="D130" s="18" t="s">
        <v>2621</v>
      </c>
      <c r="E130" s="16">
        <v>62.0</v>
      </c>
    </row>
    <row r="131">
      <c r="A131" s="8" t="s">
        <v>644</v>
      </c>
      <c r="B131" s="8" t="s">
        <v>380</v>
      </c>
      <c r="C131" s="8" t="s">
        <v>53</v>
      </c>
      <c r="D131" s="18" t="s">
        <v>2582</v>
      </c>
      <c r="E131" s="16">
        <v>60.0</v>
      </c>
    </row>
    <row r="132">
      <c r="A132" s="8" t="s">
        <v>644</v>
      </c>
      <c r="B132" s="8" t="s">
        <v>1028</v>
      </c>
      <c r="C132" s="8" t="s">
        <v>186</v>
      </c>
      <c r="D132" s="18" t="s">
        <v>2600</v>
      </c>
      <c r="E132" s="16">
        <v>57.0</v>
      </c>
    </row>
    <row r="133">
      <c r="A133" s="8" t="s">
        <v>2677</v>
      </c>
      <c r="B133" s="8" t="s">
        <v>948</v>
      </c>
      <c r="C133" s="8" t="s">
        <v>149</v>
      </c>
      <c r="D133" s="18" t="s">
        <v>2183</v>
      </c>
      <c r="E133" s="16">
        <v>67.0</v>
      </c>
    </row>
    <row r="134">
      <c r="A134" s="8" t="s">
        <v>1081</v>
      </c>
      <c r="B134" s="18" t="s">
        <v>1082</v>
      </c>
      <c r="C134" s="8" t="s">
        <v>93</v>
      </c>
      <c r="D134" s="18" t="s">
        <v>2183</v>
      </c>
      <c r="E134" s="16">
        <v>64.0</v>
      </c>
    </row>
    <row r="135">
      <c r="A135" s="8" t="s">
        <v>346</v>
      </c>
      <c r="B135" s="8" t="s">
        <v>347</v>
      </c>
      <c r="C135" s="8" t="s">
        <v>149</v>
      </c>
      <c r="D135" s="18" t="s">
        <v>2560</v>
      </c>
      <c r="E135" s="16">
        <v>75.0</v>
      </c>
    </row>
    <row r="136">
      <c r="A136" s="8" t="s">
        <v>3167</v>
      </c>
      <c r="B136" s="8" t="s">
        <v>1814</v>
      </c>
      <c r="C136" s="8" t="s">
        <v>75</v>
      </c>
      <c r="D136" s="18" t="s">
        <v>2585</v>
      </c>
      <c r="E136" s="16">
        <v>70.0</v>
      </c>
    </row>
    <row r="137">
      <c r="A137" s="8" t="s">
        <v>348</v>
      </c>
      <c r="B137" s="8" t="s">
        <v>349</v>
      </c>
      <c r="C137" s="8" t="s">
        <v>65</v>
      </c>
      <c r="D137" s="18" t="s">
        <v>2614</v>
      </c>
      <c r="E137" s="16">
        <v>81.0</v>
      </c>
    </row>
    <row r="138">
      <c r="A138" s="8" t="s">
        <v>2678</v>
      </c>
      <c r="B138" s="8" t="s">
        <v>845</v>
      </c>
      <c r="C138" s="8" t="s">
        <v>53</v>
      </c>
      <c r="D138" s="18" t="s">
        <v>2598</v>
      </c>
      <c r="E138" s="16">
        <v>83.0</v>
      </c>
    </row>
    <row r="139">
      <c r="A139" s="8" t="s">
        <v>1372</v>
      </c>
      <c r="B139" s="18" t="s">
        <v>521</v>
      </c>
      <c r="C139" s="8" t="s">
        <v>16</v>
      </c>
      <c r="D139" s="18" t="s">
        <v>2585</v>
      </c>
      <c r="E139" s="16">
        <v>72.0</v>
      </c>
    </row>
    <row r="140">
      <c r="A140" s="8" t="s">
        <v>1373</v>
      </c>
      <c r="B140" s="8" t="s">
        <v>1317</v>
      </c>
      <c r="C140" s="8" t="s">
        <v>132</v>
      </c>
      <c r="D140" s="18" t="s">
        <v>2552</v>
      </c>
      <c r="E140" s="16">
        <v>69.0</v>
      </c>
    </row>
    <row r="141">
      <c r="A141" s="8" t="s">
        <v>2679</v>
      </c>
      <c r="B141" s="8" t="s">
        <v>1084</v>
      </c>
      <c r="C141" s="8" t="s">
        <v>65</v>
      </c>
      <c r="D141" s="18" t="s">
        <v>2566</v>
      </c>
      <c r="E141" s="16">
        <v>93.0</v>
      </c>
    </row>
    <row r="142">
      <c r="A142" s="8" t="s">
        <v>1695</v>
      </c>
      <c r="B142" s="8" t="s">
        <v>1696</v>
      </c>
      <c r="C142" s="8" t="s">
        <v>186</v>
      </c>
      <c r="D142" s="18" t="s">
        <v>2592</v>
      </c>
      <c r="E142" s="16">
        <v>69.0</v>
      </c>
    </row>
    <row r="143">
      <c r="A143" s="8" t="s">
        <v>646</v>
      </c>
      <c r="B143" s="8" t="s">
        <v>647</v>
      </c>
      <c r="C143" s="8" t="s">
        <v>24</v>
      </c>
      <c r="D143" s="18" t="s">
        <v>2585</v>
      </c>
      <c r="E143" s="16">
        <v>65.0</v>
      </c>
    </row>
    <row r="144">
      <c r="A144" s="8" t="s">
        <v>646</v>
      </c>
      <c r="B144" s="8" t="s">
        <v>1210</v>
      </c>
      <c r="C144" s="8" t="s">
        <v>149</v>
      </c>
      <c r="D144" s="18" t="s">
        <v>2614</v>
      </c>
      <c r="E144" s="16">
        <v>71.0</v>
      </c>
    </row>
    <row r="145">
      <c r="A145" s="8" t="s">
        <v>646</v>
      </c>
      <c r="B145" s="8" t="s">
        <v>333</v>
      </c>
      <c r="C145" s="8" t="s">
        <v>65</v>
      </c>
      <c r="D145" s="18" t="s">
        <v>2575</v>
      </c>
      <c r="E145" s="16">
        <v>63.0</v>
      </c>
    </row>
    <row r="146">
      <c r="A146" s="8" t="s">
        <v>646</v>
      </c>
      <c r="B146" s="18" t="s">
        <v>846</v>
      </c>
      <c r="C146" s="8" t="s">
        <v>70</v>
      </c>
      <c r="D146" s="18" t="s">
        <v>2577</v>
      </c>
      <c r="E146" s="16">
        <v>97.0</v>
      </c>
    </row>
    <row r="147">
      <c r="A147" s="8" t="s">
        <v>646</v>
      </c>
      <c r="B147" s="8" t="s">
        <v>1694</v>
      </c>
      <c r="C147" s="8" t="s">
        <v>80</v>
      </c>
      <c r="D147" s="18" t="s">
        <v>2595</v>
      </c>
      <c r="E147" s="16">
        <v>74.0</v>
      </c>
    </row>
    <row r="148">
      <c r="A148" s="8" t="s">
        <v>350</v>
      </c>
      <c r="B148" s="8" t="s">
        <v>1283</v>
      </c>
      <c r="C148" s="8" t="s">
        <v>65</v>
      </c>
      <c r="D148" s="18" t="s">
        <v>2605</v>
      </c>
      <c r="E148" s="16">
        <v>70.0</v>
      </c>
    </row>
    <row r="149">
      <c r="A149" s="8" t="s">
        <v>2681</v>
      </c>
      <c r="B149" s="8" t="s">
        <v>231</v>
      </c>
      <c r="C149" s="8" t="s">
        <v>186</v>
      </c>
      <c r="D149" s="18" t="s">
        <v>2554</v>
      </c>
      <c r="E149" s="16">
        <v>69.0</v>
      </c>
    </row>
    <row r="150">
      <c r="A150" s="8" t="s">
        <v>1375</v>
      </c>
      <c r="B150" s="8" t="s">
        <v>1376</v>
      </c>
      <c r="C150" s="8" t="s">
        <v>132</v>
      </c>
      <c r="D150" s="18" t="s">
        <v>2592</v>
      </c>
      <c r="E150" s="16">
        <v>66.0</v>
      </c>
    </row>
    <row r="151">
      <c r="A151" s="8" t="s">
        <v>35</v>
      </c>
      <c r="B151" s="8" t="s">
        <v>347</v>
      </c>
      <c r="C151" s="8" t="s">
        <v>65</v>
      </c>
      <c r="D151" s="18" t="s">
        <v>2574</v>
      </c>
      <c r="E151" s="16">
        <v>85.0</v>
      </c>
    </row>
    <row r="152">
      <c r="A152" s="8" t="s">
        <v>35</v>
      </c>
      <c r="B152" s="8" t="s">
        <v>472</v>
      </c>
      <c r="C152" s="8" t="s">
        <v>65</v>
      </c>
      <c r="D152" s="18" t="s">
        <v>2572</v>
      </c>
      <c r="E152" s="16">
        <v>80.0</v>
      </c>
    </row>
    <row r="153">
      <c r="A153" s="8" t="s">
        <v>3168</v>
      </c>
      <c r="B153" s="8" t="s">
        <v>3169</v>
      </c>
      <c r="C153" s="8" t="s">
        <v>65</v>
      </c>
      <c r="D153" s="18" t="s">
        <v>2584</v>
      </c>
      <c r="E153" s="16">
        <v>70.0</v>
      </c>
    </row>
    <row r="154">
      <c r="A154" s="8" t="s">
        <v>136</v>
      </c>
      <c r="B154" s="8" t="s">
        <v>3170</v>
      </c>
      <c r="C154" s="8" t="s">
        <v>24</v>
      </c>
      <c r="D154" s="18" t="s">
        <v>2558</v>
      </c>
      <c r="E154" s="16">
        <v>89.0</v>
      </c>
    </row>
    <row r="155">
      <c r="A155" s="8" t="s">
        <v>136</v>
      </c>
      <c r="B155" s="8" t="s">
        <v>137</v>
      </c>
      <c r="C155" s="8" t="s">
        <v>122</v>
      </c>
      <c r="D155" s="18" t="s">
        <v>2584</v>
      </c>
      <c r="E155" s="16">
        <v>67.0</v>
      </c>
    </row>
    <row r="156">
      <c r="A156" s="8" t="s">
        <v>136</v>
      </c>
      <c r="B156" s="8" t="s">
        <v>137</v>
      </c>
      <c r="C156" s="8" t="s">
        <v>138</v>
      </c>
      <c r="D156" s="18" t="s">
        <v>2603</v>
      </c>
      <c r="E156" s="16">
        <v>90.0</v>
      </c>
    </row>
    <row r="157">
      <c r="A157" s="8" t="s">
        <v>2682</v>
      </c>
      <c r="B157" s="8" t="s">
        <v>2683</v>
      </c>
      <c r="C157" s="8" t="s">
        <v>93</v>
      </c>
      <c r="D157" s="18" t="s">
        <v>2610</v>
      </c>
      <c r="E157" s="16">
        <v>69.0</v>
      </c>
    </row>
    <row r="158">
      <c r="A158" s="8" t="s">
        <v>3171</v>
      </c>
      <c r="B158" s="8" t="s">
        <v>183</v>
      </c>
      <c r="C158" s="8" t="s">
        <v>16</v>
      </c>
      <c r="D158" s="18" t="s">
        <v>2572</v>
      </c>
      <c r="E158" s="16">
        <v>61.0</v>
      </c>
    </row>
    <row r="159">
      <c r="A159" s="8" t="s">
        <v>3172</v>
      </c>
      <c r="B159" s="8" t="s">
        <v>102</v>
      </c>
      <c r="C159" s="8" t="s">
        <v>132</v>
      </c>
      <c r="D159" s="18" t="s">
        <v>2552</v>
      </c>
      <c r="E159" s="16">
        <v>83.0</v>
      </c>
    </row>
    <row r="160">
      <c r="A160" s="8" t="s">
        <v>139</v>
      </c>
      <c r="B160" s="8" t="s">
        <v>140</v>
      </c>
      <c r="C160" s="8" t="s">
        <v>141</v>
      </c>
      <c r="D160" s="18" t="s">
        <v>2589</v>
      </c>
      <c r="E160" s="16">
        <v>68.0</v>
      </c>
    </row>
    <row r="161">
      <c r="A161" s="8" t="s">
        <v>2684</v>
      </c>
      <c r="B161" s="8" t="s">
        <v>2685</v>
      </c>
      <c r="C161" s="8" t="s">
        <v>192</v>
      </c>
      <c r="D161" s="18" t="s">
        <v>2566</v>
      </c>
      <c r="E161" s="16">
        <v>65.0</v>
      </c>
    </row>
    <row r="162">
      <c r="A162" s="8" t="s">
        <v>847</v>
      </c>
      <c r="B162" s="8" t="s">
        <v>848</v>
      </c>
      <c r="C162" s="8" t="s">
        <v>70</v>
      </c>
      <c r="D162" s="18" t="s">
        <v>2610</v>
      </c>
      <c r="E162" s="16">
        <v>86.0</v>
      </c>
    </row>
    <row r="163">
      <c r="A163" s="8" t="s">
        <v>648</v>
      </c>
      <c r="B163" s="8" t="s">
        <v>129</v>
      </c>
      <c r="C163" s="8" t="s">
        <v>192</v>
      </c>
      <c r="D163" s="18" t="s">
        <v>2183</v>
      </c>
      <c r="E163" s="16">
        <v>94.0</v>
      </c>
    </row>
    <row r="164">
      <c r="A164" s="8" t="s">
        <v>648</v>
      </c>
      <c r="B164" s="8" t="s">
        <v>263</v>
      </c>
      <c r="C164" s="8" t="s">
        <v>38</v>
      </c>
      <c r="D164" s="18" t="s">
        <v>2577</v>
      </c>
      <c r="E164" s="16">
        <v>78.0</v>
      </c>
    </row>
    <row r="165">
      <c r="A165" s="8" t="s">
        <v>3173</v>
      </c>
      <c r="B165" s="8" t="s">
        <v>3174</v>
      </c>
      <c r="C165" s="8" t="s">
        <v>65</v>
      </c>
      <c r="D165" s="18" t="s">
        <v>2574</v>
      </c>
      <c r="E165" s="16">
        <v>69.0</v>
      </c>
    </row>
    <row r="166">
      <c r="A166" s="8" t="s">
        <v>81</v>
      </c>
      <c r="B166" s="8" t="s">
        <v>82</v>
      </c>
      <c r="C166" s="8" t="s">
        <v>192</v>
      </c>
      <c r="D166" s="18" t="s">
        <v>2589</v>
      </c>
      <c r="E166" s="16">
        <v>75.0</v>
      </c>
    </row>
    <row r="167">
      <c r="A167" s="8" t="s">
        <v>473</v>
      </c>
      <c r="B167" s="8" t="s">
        <v>381</v>
      </c>
      <c r="C167" s="8" t="s">
        <v>93</v>
      </c>
      <c r="D167" s="18" t="s">
        <v>2589</v>
      </c>
      <c r="E167" s="16">
        <v>72.0</v>
      </c>
    </row>
    <row r="168">
      <c r="A168" s="8" t="s">
        <v>1085</v>
      </c>
      <c r="B168" s="8" t="s">
        <v>1086</v>
      </c>
      <c r="C168" s="8" t="s">
        <v>70</v>
      </c>
      <c r="D168" s="18" t="s">
        <v>2585</v>
      </c>
      <c r="E168" s="16">
        <v>68.0</v>
      </c>
    </row>
    <row r="169">
      <c r="A169" s="8" t="s">
        <v>1087</v>
      </c>
      <c r="B169" s="8" t="s">
        <v>619</v>
      </c>
      <c r="C169" s="8" t="s">
        <v>53</v>
      </c>
      <c r="D169" s="18" t="s">
        <v>2558</v>
      </c>
      <c r="E169" s="16">
        <v>68.0</v>
      </c>
    </row>
    <row r="170">
      <c r="A170" s="8" t="s">
        <v>1702</v>
      </c>
      <c r="B170" s="8" t="s">
        <v>55</v>
      </c>
      <c r="C170" s="8" t="s">
        <v>122</v>
      </c>
      <c r="D170" s="18" t="s">
        <v>2610</v>
      </c>
      <c r="E170" s="16">
        <v>68.0</v>
      </c>
    </row>
    <row r="171">
      <c r="A171" s="8" t="s">
        <v>3175</v>
      </c>
      <c r="B171" s="8" t="s">
        <v>2425</v>
      </c>
      <c r="C171" s="8" t="s">
        <v>65</v>
      </c>
      <c r="D171" s="18" t="s">
        <v>2554</v>
      </c>
      <c r="E171" s="16">
        <v>64.0</v>
      </c>
    </row>
    <row r="172">
      <c r="A172" s="8" t="s">
        <v>3176</v>
      </c>
      <c r="B172" s="8" t="s">
        <v>2922</v>
      </c>
      <c r="C172" s="8" t="s">
        <v>53</v>
      </c>
      <c r="D172" s="18" t="s">
        <v>2560</v>
      </c>
      <c r="E172" s="16">
        <v>59.0</v>
      </c>
    </row>
    <row r="173">
      <c r="A173" s="8" t="s">
        <v>2687</v>
      </c>
      <c r="B173" s="8" t="s">
        <v>11</v>
      </c>
      <c r="C173" s="8" t="s">
        <v>46</v>
      </c>
      <c r="D173" s="18" t="s">
        <v>2566</v>
      </c>
      <c r="E173" s="16">
        <v>65.0</v>
      </c>
    </row>
    <row r="174">
      <c r="A174" s="8" t="s">
        <v>849</v>
      </c>
      <c r="B174" s="8" t="s">
        <v>850</v>
      </c>
      <c r="C174" s="8" t="s">
        <v>75</v>
      </c>
      <c r="D174" s="18" t="s">
        <v>2615</v>
      </c>
      <c r="E174" s="16">
        <v>84.0</v>
      </c>
    </row>
    <row r="175">
      <c r="A175" s="8" t="s">
        <v>3177</v>
      </c>
      <c r="B175" s="8" t="s">
        <v>1046</v>
      </c>
      <c r="C175" s="8" t="s">
        <v>80</v>
      </c>
      <c r="D175" s="18" t="s">
        <v>2582</v>
      </c>
      <c r="E175" s="16">
        <v>77.0</v>
      </c>
    </row>
    <row r="176">
      <c r="A176" s="8" t="s">
        <v>1088</v>
      </c>
      <c r="B176" s="8" t="s">
        <v>1089</v>
      </c>
      <c r="C176" s="8" t="s">
        <v>138</v>
      </c>
      <c r="D176" s="18" t="s">
        <v>2621</v>
      </c>
      <c r="E176" s="16">
        <v>63.0</v>
      </c>
    </row>
    <row r="177">
      <c r="A177" s="8" t="s">
        <v>2688</v>
      </c>
      <c r="B177" s="8" t="s">
        <v>1091</v>
      </c>
      <c r="C177" s="8" t="s">
        <v>138</v>
      </c>
      <c r="D177" s="18" t="s">
        <v>2585</v>
      </c>
      <c r="E177" s="16">
        <v>67.0</v>
      </c>
    </row>
    <row r="178">
      <c r="A178" s="8" t="s">
        <v>647</v>
      </c>
      <c r="B178" s="8" t="s">
        <v>3178</v>
      </c>
      <c r="C178" s="8" t="s">
        <v>93</v>
      </c>
      <c r="D178" s="18" t="s">
        <v>2566</v>
      </c>
      <c r="E178" s="16">
        <v>72.0</v>
      </c>
    </row>
    <row r="179">
      <c r="A179" s="8" t="s">
        <v>2055</v>
      </c>
      <c r="B179" s="8" t="s">
        <v>337</v>
      </c>
      <c r="C179" s="8" t="s">
        <v>192</v>
      </c>
      <c r="D179" s="18" t="s">
        <v>2614</v>
      </c>
      <c r="E179" s="16">
        <v>72.0</v>
      </c>
    </row>
    <row r="180">
      <c r="A180" s="8" t="s">
        <v>2689</v>
      </c>
      <c r="B180" s="8" t="s">
        <v>2690</v>
      </c>
      <c r="C180" s="8" t="s">
        <v>70</v>
      </c>
      <c r="D180" s="18" t="s">
        <v>2564</v>
      </c>
      <c r="E180" s="16">
        <v>85.0</v>
      </c>
    </row>
    <row r="181">
      <c r="A181" s="8" t="s">
        <v>649</v>
      </c>
      <c r="B181" s="8" t="s">
        <v>650</v>
      </c>
      <c r="C181" s="8" t="s">
        <v>70</v>
      </c>
      <c r="D181" s="18" t="s">
        <v>2562</v>
      </c>
      <c r="E181" s="16">
        <v>75.0</v>
      </c>
    </row>
    <row r="182">
      <c r="A182" s="8" t="s">
        <v>851</v>
      </c>
      <c r="B182" s="8" t="s">
        <v>464</v>
      </c>
      <c r="C182" s="8" t="s">
        <v>141</v>
      </c>
      <c r="D182" s="18" t="s">
        <v>2593</v>
      </c>
      <c r="E182" s="16">
        <v>62.0</v>
      </c>
    </row>
    <row r="183">
      <c r="A183" s="8" t="s">
        <v>1092</v>
      </c>
      <c r="B183" s="8" t="s">
        <v>1093</v>
      </c>
      <c r="C183" s="8" t="s">
        <v>93</v>
      </c>
      <c r="D183" s="18" t="s">
        <v>2615</v>
      </c>
      <c r="E183" s="16">
        <v>71.0</v>
      </c>
    </row>
    <row r="184">
      <c r="A184" s="8" t="s">
        <v>852</v>
      </c>
      <c r="B184" s="8" t="s">
        <v>409</v>
      </c>
      <c r="C184" s="8" t="s">
        <v>141</v>
      </c>
      <c r="D184" s="18" t="s">
        <v>2610</v>
      </c>
      <c r="E184" s="16">
        <v>78.0</v>
      </c>
    </row>
    <row r="185">
      <c r="A185" s="8" t="s">
        <v>1094</v>
      </c>
      <c r="B185" s="8" t="s">
        <v>177</v>
      </c>
      <c r="C185" s="8" t="s">
        <v>75</v>
      </c>
      <c r="D185" s="18" t="s">
        <v>2589</v>
      </c>
      <c r="E185" s="16">
        <v>68.0</v>
      </c>
    </row>
    <row r="186">
      <c r="A186" s="8" t="s">
        <v>1377</v>
      </c>
      <c r="B186" s="8" t="s">
        <v>1378</v>
      </c>
      <c r="C186" s="8" t="s">
        <v>65</v>
      </c>
      <c r="D186" s="18" t="s">
        <v>2552</v>
      </c>
      <c r="E186" s="16">
        <v>62.0</v>
      </c>
    </row>
    <row r="187">
      <c r="A187" s="8" t="s">
        <v>2691</v>
      </c>
      <c r="B187" s="8" t="s">
        <v>1986</v>
      </c>
      <c r="C187" s="8" t="s">
        <v>261</v>
      </c>
      <c r="D187" s="18" t="s">
        <v>2584</v>
      </c>
      <c r="E187" s="16">
        <v>69.0</v>
      </c>
    </row>
    <row r="188">
      <c r="A188" s="8" t="s">
        <v>474</v>
      </c>
      <c r="B188" s="8" t="s">
        <v>121</v>
      </c>
      <c r="C188" s="8" t="s">
        <v>70</v>
      </c>
      <c r="D188" s="18" t="s">
        <v>2600</v>
      </c>
      <c r="E188" s="16">
        <v>72.0</v>
      </c>
    </row>
    <row r="189">
      <c r="A189" s="8" t="s">
        <v>2692</v>
      </c>
      <c r="B189" s="8" t="s">
        <v>1598</v>
      </c>
      <c r="C189" s="8" t="s">
        <v>65</v>
      </c>
      <c r="D189" s="18" t="s">
        <v>2585</v>
      </c>
      <c r="E189" s="16">
        <v>61.0</v>
      </c>
    </row>
    <row r="190">
      <c r="A190" s="8" t="s">
        <v>351</v>
      </c>
      <c r="B190" s="8" t="s">
        <v>352</v>
      </c>
      <c r="C190" s="8" t="s">
        <v>75</v>
      </c>
      <c r="D190" s="18" t="s">
        <v>2610</v>
      </c>
      <c r="E190" s="16">
        <v>77.0</v>
      </c>
    </row>
    <row r="191">
      <c r="A191" s="8" t="s">
        <v>853</v>
      </c>
      <c r="B191" s="8" t="s">
        <v>854</v>
      </c>
      <c r="C191" s="8" t="s">
        <v>46</v>
      </c>
      <c r="D191" s="18" t="s">
        <v>2620</v>
      </c>
      <c r="E191" s="16">
        <v>77.0</v>
      </c>
    </row>
    <row r="192">
      <c r="A192" s="8" t="s">
        <v>1095</v>
      </c>
      <c r="B192" s="8" t="s">
        <v>1096</v>
      </c>
      <c r="C192" s="8" t="s">
        <v>59</v>
      </c>
      <c r="D192" s="18" t="s">
        <v>2592</v>
      </c>
      <c r="E192" s="16">
        <v>62.0</v>
      </c>
    </row>
    <row r="193">
      <c r="A193" s="8" t="s">
        <v>855</v>
      </c>
      <c r="B193" s="8" t="s">
        <v>856</v>
      </c>
      <c r="C193" s="8" t="s">
        <v>70</v>
      </c>
      <c r="D193" s="18" t="s">
        <v>2620</v>
      </c>
      <c r="E193" s="16">
        <v>73.0</v>
      </c>
    </row>
    <row r="194">
      <c r="A194" s="8" t="s">
        <v>1705</v>
      </c>
      <c r="B194" s="8" t="s">
        <v>100</v>
      </c>
      <c r="C194" s="8" t="s">
        <v>75</v>
      </c>
      <c r="D194" s="18" t="s">
        <v>2552</v>
      </c>
      <c r="E194" s="16">
        <v>79.0</v>
      </c>
    </row>
    <row r="195">
      <c r="A195" s="8" t="s">
        <v>857</v>
      </c>
      <c r="B195" s="8" t="s">
        <v>647</v>
      </c>
      <c r="C195" s="8" t="s">
        <v>16</v>
      </c>
      <c r="D195" s="18" t="s">
        <v>2584</v>
      </c>
      <c r="E195" s="16">
        <v>77.0</v>
      </c>
    </row>
    <row r="196">
      <c r="A196" s="8" t="s">
        <v>1709</v>
      </c>
      <c r="B196" s="8" t="s">
        <v>1249</v>
      </c>
      <c r="C196" s="8" t="s">
        <v>138</v>
      </c>
      <c r="D196" s="18" t="s">
        <v>2572</v>
      </c>
      <c r="E196" s="16">
        <v>88.0</v>
      </c>
    </row>
    <row r="197">
      <c r="A197" s="8" t="s">
        <v>242</v>
      </c>
      <c r="B197" s="8" t="s">
        <v>33</v>
      </c>
      <c r="C197" s="8" t="s">
        <v>38</v>
      </c>
      <c r="D197" s="18" t="s">
        <v>2598</v>
      </c>
      <c r="E197" s="16">
        <v>82.0</v>
      </c>
    </row>
    <row r="198">
      <c r="A198" s="8" t="s">
        <v>651</v>
      </c>
      <c r="B198" s="8" t="s">
        <v>181</v>
      </c>
      <c r="C198" s="8" t="s">
        <v>186</v>
      </c>
      <c r="D198" s="18" t="s">
        <v>2567</v>
      </c>
      <c r="E198" s="16">
        <v>68.0</v>
      </c>
    </row>
    <row r="199">
      <c r="A199" s="8" t="s">
        <v>1965</v>
      </c>
      <c r="B199" s="8" t="s">
        <v>1633</v>
      </c>
      <c r="C199" s="8" t="s">
        <v>80</v>
      </c>
      <c r="D199" s="18" t="s">
        <v>2572</v>
      </c>
      <c r="E199" s="16">
        <v>79.0</v>
      </c>
    </row>
    <row r="200">
      <c r="A200" s="8" t="s">
        <v>652</v>
      </c>
      <c r="B200" s="8" t="s">
        <v>275</v>
      </c>
      <c r="C200" s="8" t="s">
        <v>12</v>
      </c>
      <c r="D200" s="18" t="s">
        <v>2577</v>
      </c>
      <c r="E200" s="16">
        <v>82.0</v>
      </c>
    </row>
    <row r="201">
      <c r="A201" s="8" t="s">
        <v>3179</v>
      </c>
      <c r="B201" s="8" t="s">
        <v>50</v>
      </c>
      <c r="C201" s="8" t="s">
        <v>186</v>
      </c>
      <c r="D201" s="18" t="s">
        <v>2574</v>
      </c>
      <c r="E201" s="16">
        <v>61.0</v>
      </c>
    </row>
    <row r="202">
      <c r="A202" s="8" t="s">
        <v>653</v>
      </c>
      <c r="B202" s="18" t="s">
        <v>269</v>
      </c>
      <c r="C202" s="8" t="s">
        <v>93</v>
      </c>
      <c r="D202" s="18" t="s">
        <v>2584</v>
      </c>
      <c r="E202" s="16">
        <v>88.0</v>
      </c>
    </row>
    <row r="203">
      <c r="A203" s="8" t="s">
        <v>2694</v>
      </c>
      <c r="B203" s="8" t="s">
        <v>320</v>
      </c>
      <c r="C203" s="8" t="s">
        <v>141</v>
      </c>
      <c r="D203" s="18" t="s">
        <v>2584</v>
      </c>
      <c r="E203" s="16">
        <v>70.0</v>
      </c>
    </row>
    <row r="204">
      <c r="A204" s="8" t="s">
        <v>1712</v>
      </c>
      <c r="B204" s="8" t="s">
        <v>1713</v>
      </c>
      <c r="C204" s="8" t="s">
        <v>138</v>
      </c>
      <c r="D204" s="18" t="s">
        <v>2552</v>
      </c>
      <c r="E204" s="16">
        <v>62.0</v>
      </c>
    </row>
    <row r="205">
      <c r="A205" s="8" t="s">
        <v>3180</v>
      </c>
      <c r="B205" s="8" t="s">
        <v>137</v>
      </c>
      <c r="C205" s="8" t="s">
        <v>46</v>
      </c>
      <c r="D205" s="18" t="s">
        <v>2566</v>
      </c>
      <c r="E205" s="16">
        <v>67.0</v>
      </c>
    </row>
    <row r="206">
      <c r="A206" s="8" t="s">
        <v>2695</v>
      </c>
      <c r="B206" s="8" t="s">
        <v>2696</v>
      </c>
      <c r="C206" s="8" t="s">
        <v>186</v>
      </c>
      <c r="D206" s="18" t="s">
        <v>2585</v>
      </c>
      <c r="E206" s="16">
        <v>88.0</v>
      </c>
    </row>
    <row r="207">
      <c r="A207" s="8" t="s">
        <v>1714</v>
      </c>
      <c r="B207" s="8" t="s">
        <v>1715</v>
      </c>
      <c r="C207" s="8" t="s">
        <v>53</v>
      </c>
      <c r="D207" s="18" t="s">
        <v>2575</v>
      </c>
      <c r="E207" s="16">
        <v>71.0</v>
      </c>
    </row>
    <row r="208">
      <c r="A208" s="8" t="s">
        <v>3181</v>
      </c>
      <c r="B208" s="8" t="s">
        <v>301</v>
      </c>
      <c r="C208" s="8" t="s">
        <v>65</v>
      </c>
      <c r="D208" s="18" t="s">
        <v>2615</v>
      </c>
      <c r="E208" s="16">
        <v>64.0</v>
      </c>
    </row>
    <row r="209">
      <c r="A209" s="8" t="s">
        <v>1716</v>
      </c>
      <c r="B209" s="8" t="s">
        <v>301</v>
      </c>
      <c r="C209" s="8" t="s">
        <v>122</v>
      </c>
      <c r="D209" s="18" t="s">
        <v>2567</v>
      </c>
      <c r="E209" s="16">
        <v>71.0</v>
      </c>
    </row>
    <row r="210">
      <c r="A210" s="8" t="s">
        <v>1716</v>
      </c>
      <c r="B210" s="8" t="s">
        <v>676</v>
      </c>
      <c r="C210" s="8" t="s">
        <v>65</v>
      </c>
      <c r="D210" s="18" t="s">
        <v>2610</v>
      </c>
      <c r="E210" s="16">
        <v>74.0</v>
      </c>
    </row>
    <row r="211">
      <c r="A211" s="8" t="s">
        <v>2315</v>
      </c>
      <c r="B211" s="8" t="s">
        <v>121</v>
      </c>
      <c r="C211" s="8" t="s">
        <v>93</v>
      </c>
      <c r="D211" s="18" t="s">
        <v>2575</v>
      </c>
      <c r="E211" s="16">
        <v>71.0</v>
      </c>
    </row>
    <row r="212">
      <c r="A212" s="8" t="s">
        <v>2315</v>
      </c>
      <c r="B212" s="8" t="s">
        <v>3182</v>
      </c>
      <c r="C212" s="8" t="s">
        <v>16</v>
      </c>
      <c r="D212" s="18" t="s">
        <v>2603</v>
      </c>
      <c r="E212" s="16">
        <v>64.0</v>
      </c>
    </row>
    <row r="213">
      <c r="A213" s="8" t="s">
        <v>2697</v>
      </c>
      <c r="B213" s="8" t="s">
        <v>822</v>
      </c>
      <c r="C213" s="8" t="s">
        <v>93</v>
      </c>
      <c r="D213" s="18" t="s">
        <v>2621</v>
      </c>
      <c r="E213" s="16">
        <v>59.0</v>
      </c>
    </row>
    <row r="214">
      <c r="A214" s="8" t="s">
        <v>1097</v>
      </c>
      <c r="B214" s="8" t="s">
        <v>231</v>
      </c>
      <c r="C214" s="8" t="s">
        <v>24</v>
      </c>
      <c r="D214" s="18" t="s">
        <v>2575</v>
      </c>
      <c r="E214" s="16">
        <v>75.0</v>
      </c>
    </row>
    <row r="215">
      <c r="A215" s="8" t="s">
        <v>1098</v>
      </c>
      <c r="B215" s="8" t="s">
        <v>260</v>
      </c>
      <c r="C215" s="8" t="s">
        <v>93</v>
      </c>
      <c r="D215" s="18" t="s">
        <v>2574</v>
      </c>
      <c r="E215" s="16">
        <v>81.0</v>
      </c>
    </row>
    <row r="216">
      <c r="A216" s="8" t="s">
        <v>1379</v>
      </c>
      <c r="B216" s="8" t="s">
        <v>50</v>
      </c>
      <c r="C216" s="8" t="s">
        <v>75</v>
      </c>
      <c r="D216" s="18" t="s">
        <v>2560</v>
      </c>
      <c r="E216" s="16">
        <v>63.0</v>
      </c>
    </row>
    <row r="217">
      <c r="A217" s="8" t="s">
        <v>2698</v>
      </c>
      <c r="B217" s="8" t="s">
        <v>881</v>
      </c>
      <c r="C217" s="8" t="s">
        <v>59</v>
      </c>
      <c r="D217" s="18" t="s">
        <v>2587</v>
      </c>
      <c r="E217" s="16">
        <v>72.0</v>
      </c>
    </row>
    <row r="218">
      <c r="A218" s="8" t="s">
        <v>2698</v>
      </c>
      <c r="B218" s="8" t="s">
        <v>41</v>
      </c>
      <c r="C218" s="8" t="s">
        <v>16</v>
      </c>
      <c r="D218" s="18" t="s">
        <v>2552</v>
      </c>
      <c r="E218" s="16">
        <v>83.0</v>
      </c>
    </row>
    <row r="219">
      <c r="A219" s="8" t="s">
        <v>475</v>
      </c>
      <c r="B219" s="8" t="s">
        <v>476</v>
      </c>
      <c r="C219" s="8" t="s">
        <v>53</v>
      </c>
      <c r="D219" s="18" t="s">
        <v>2564</v>
      </c>
      <c r="E219" s="16">
        <v>84.0</v>
      </c>
    </row>
    <row r="220">
      <c r="A220" s="8" t="s">
        <v>14</v>
      </c>
      <c r="B220" s="8" t="s">
        <v>15</v>
      </c>
      <c r="C220" s="8" t="s">
        <v>16</v>
      </c>
      <c r="D220" s="18" t="s">
        <v>2600</v>
      </c>
      <c r="E220" s="16">
        <v>99.0</v>
      </c>
    </row>
    <row r="221">
      <c r="A221" s="8" t="s">
        <v>1381</v>
      </c>
      <c r="B221" s="8" t="s">
        <v>2748</v>
      </c>
      <c r="C221" s="8" t="s">
        <v>122</v>
      </c>
      <c r="D221" s="18" t="s">
        <v>2600</v>
      </c>
      <c r="E221" s="16">
        <v>83.0</v>
      </c>
    </row>
    <row r="222">
      <c r="A222" s="8" t="s">
        <v>1381</v>
      </c>
      <c r="B222" s="8" t="s">
        <v>277</v>
      </c>
      <c r="C222" s="8" t="s">
        <v>138</v>
      </c>
      <c r="D222" s="18" t="s">
        <v>2581</v>
      </c>
      <c r="E222" s="16">
        <v>78.0</v>
      </c>
    </row>
    <row r="223">
      <c r="A223" s="8" t="s">
        <v>1381</v>
      </c>
      <c r="B223" s="8" t="s">
        <v>3183</v>
      </c>
      <c r="C223" s="8" t="s">
        <v>192</v>
      </c>
      <c r="D223" s="18" t="s">
        <v>2589</v>
      </c>
      <c r="E223" s="16">
        <v>77.0</v>
      </c>
    </row>
    <row r="224">
      <c r="A224" s="8" t="s">
        <v>1720</v>
      </c>
      <c r="B224" s="8" t="s">
        <v>1376</v>
      </c>
      <c r="C224" s="8" t="s">
        <v>122</v>
      </c>
      <c r="D224" s="18" t="s">
        <v>2615</v>
      </c>
      <c r="E224" s="16">
        <v>70.0</v>
      </c>
    </row>
    <row r="225">
      <c r="A225" s="8" t="s">
        <v>654</v>
      </c>
      <c r="B225" s="8" t="s">
        <v>52</v>
      </c>
      <c r="C225" s="8" t="s">
        <v>24</v>
      </c>
      <c r="D225" s="18" t="s">
        <v>2592</v>
      </c>
      <c r="E225" s="16">
        <v>83.0</v>
      </c>
    </row>
    <row r="226">
      <c r="A226" s="8" t="s">
        <v>3184</v>
      </c>
      <c r="B226" s="8" t="s">
        <v>197</v>
      </c>
      <c r="C226" s="8" t="s">
        <v>65</v>
      </c>
      <c r="D226" s="18" t="s">
        <v>2605</v>
      </c>
      <c r="E226" s="16">
        <v>65.0</v>
      </c>
    </row>
    <row r="227">
      <c r="A227" s="8" t="s">
        <v>858</v>
      </c>
      <c r="B227" s="8" t="s">
        <v>2700</v>
      </c>
      <c r="C227" s="8" t="s">
        <v>65</v>
      </c>
      <c r="D227" s="18" t="s">
        <v>2567</v>
      </c>
      <c r="E227" s="16">
        <v>65.0</v>
      </c>
    </row>
    <row r="228">
      <c r="A228" s="8" t="s">
        <v>858</v>
      </c>
      <c r="B228" s="8" t="s">
        <v>676</v>
      </c>
      <c r="C228" s="8" t="s">
        <v>16</v>
      </c>
      <c r="D228" s="18" t="s">
        <v>2183</v>
      </c>
      <c r="E228" s="16">
        <v>60.0</v>
      </c>
    </row>
    <row r="229">
      <c r="A229" s="8" t="s">
        <v>2701</v>
      </c>
      <c r="B229" s="8" t="s">
        <v>2702</v>
      </c>
      <c r="C229" s="8" t="s">
        <v>93</v>
      </c>
      <c r="D229" s="18" t="s">
        <v>2595</v>
      </c>
      <c r="E229" s="16">
        <v>79.0</v>
      </c>
    </row>
    <row r="230">
      <c r="A230" s="8" t="s">
        <v>859</v>
      </c>
      <c r="B230" s="8" t="s">
        <v>860</v>
      </c>
      <c r="C230" s="8" t="s">
        <v>93</v>
      </c>
      <c r="D230" s="18" t="s">
        <v>2582</v>
      </c>
      <c r="E230" s="16">
        <v>75.0</v>
      </c>
    </row>
    <row r="231">
      <c r="A231" s="8" t="s">
        <v>19</v>
      </c>
      <c r="B231" s="8" t="s">
        <v>20</v>
      </c>
      <c r="C231" s="8" t="s">
        <v>16</v>
      </c>
      <c r="D231" s="18" t="s">
        <v>2595</v>
      </c>
      <c r="E231" s="16">
        <v>92.0</v>
      </c>
    </row>
    <row r="232">
      <c r="A232" s="8" t="s">
        <v>1099</v>
      </c>
      <c r="B232" s="8" t="s">
        <v>299</v>
      </c>
      <c r="C232" s="8" t="s">
        <v>141</v>
      </c>
      <c r="D232" s="18" t="s">
        <v>2581</v>
      </c>
      <c r="E232" s="16">
        <v>60.0</v>
      </c>
    </row>
    <row r="233">
      <c r="A233" s="8" t="s">
        <v>780</v>
      </c>
      <c r="B233" s="18" t="s">
        <v>456</v>
      </c>
      <c r="C233" s="8" t="s">
        <v>65</v>
      </c>
      <c r="D233" s="18" t="s">
        <v>2556</v>
      </c>
      <c r="E233" s="16">
        <v>62.0</v>
      </c>
    </row>
    <row r="234">
      <c r="A234" s="8" t="s">
        <v>477</v>
      </c>
      <c r="B234" s="8" t="s">
        <v>98</v>
      </c>
      <c r="C234" s="8" t="s">
        <v>24</v>
      </c>
      <c r="D234" s="18" t="s">
        <v>2589</v>
      </c>
      <c r="E234" s="16">
        <v>45.0</v>
      </c>
    </row>
    <row r="235">
      <c r="A235" s="8" t="s">
        <v>487</v>
      </c>
      <c r="B235" s="8" t="s">
        <v>1105</v>
      </c>
      <c r="C235" s="8" t="s">
        <v>80</v>
      </c>
      <c r="D235" s="18" t="s">
        <v>2558</v>
      </c>
      <c r="E235" s="16">
        <v>68.0</v>
      </c>
    </row>
    <row r="236">
      <c r="A236" s="8" t="s">
        <v>1100</v>
      </c>
      <c r="B236" s="8" t="s">
        <v>1101</v>
      </c>
      <c r="C236" s="8" t="s">
        <v>16</v>
      </c>
      <c r="D236" s="18" t="s">
        <v>2552</v>
      </c>
      <c r="E236" s="16">
        <v>79.0</v>
      </c>
    </row>
    <row r="237">
      <c r="A237" s="8" t="s">
        <v>478</v>
      </c>
      <c r="B237" s="8" t="s">
        <v>479</v>
      </c>
      <c r="C237" s="8" t="s">
        <v>24</v>
      </c>
      <c r="D237" s="18" t="s">
        <v>2621</v>
      </c>
      <c r="E237" s="16">
        <v>46.0</v>
      </c>
    </row>
    <row r="238">
      <c r="A238" s="8" t="s">
        <v>1102</v>
      </c>
      <c r="B238" s="8" t="s">
        <v>1103</v>
      </c>
      <c r="C238" s="8" t="s">
        <v>16</v>
      </c>
      <c r="D238" s="18" t="s">
        <v>2600</v>
      </c>
      <c r="E238" s="16">
        <v>72.0</v>
      </c>
    </row>
    <row r="239">
      <c r="A239" s="8" t="s">
        <v>655</v>
      </c>
      <c r="B239" s="8" t="s">
        <v>381</v>
      </c>
      <c r="C239" s="8" t="s">
        <v>141</v>
      </c>
      <c r="D239" s="18" t="s">
        <v>2603</v>
      </c>
      <c r="E239" s="16">
        <v>80.0</v>
      </c>
    </row>
    <row r="240">
      <c r="A240" s="8" t="s">
        <v>655</v>
      </c>
      <c r="B240" s="8" t="s">
        <v>333</v>
      </c>
      <c r="C240" s="8" t="s">
        <v>65</v>
      </c>
      <c r="D240" s="18" t="s">
        <v>2615</v>
      </c>
      <c r="E240" s="16">
        <v>82.0</v>
      </c>
    </row>
    <row r="241">
      <c r="A241" s="8" t="s">
        <v>656</v>
      </c>
      <c r="B241" s="8" t="s">
        <v>137</v>
      </c>
      <c r="C241" s="8" t="s">
        <v>122</v>
      </c>
      <c r="D241" s="18" t="s">
        <v>2593</v>
      </c>
      <c r="E241" s="16">
        <v>81.0</v>
      </c>
    </row>
    <row r="242">
      <c r="A242" s="8" t="s">
        <v>2704</v>
      </c>
      <c r="B242" s="8" t="s">
        <v>2651</v>
      </c>
      <c r="C242" s="8" t="s">
        <v>122</v>
      </c>
      <c r="D242" s="18" t="s">
        <v>2566</v>
      </c>
      <c r="E242" s="16">
        <v>67.0</v>
      </c>
    </row>
    <row r="243">
      <c r="A243" s="8" t="s">
        <v>224</v>
      </c>
      <c r="B243" s="8" t="s">
        <v>1991</v>
      </c>
      <c r="C243" s="8" t="s">
        <v>53</v>
      </c>
      <c r="D243" s="18" t="s">
        <v>2585</v>
      </c>
      <c r="E243" s="16">
        <v>75.0</v>
      </c>
    </row>
    <row r="244">
      <c r="A244" s="8" t="s">
        <v>224</v>
      </c>
      <c r="B244" s="8" t="s">
        <v>121</v>
      </c>
      <c r="C244" s="8" t="s">
        <v>132</v>
      </c>
      <c r="D244" s="18" t="s">
        <v>2564</v>
      </c>
      <c r="E244" s="16">
        <v>89.0</v>
      </c>
    </row>
    <row r="245">
      <c r="A245" s="8" t="s">
        <v>224</v>
      </c>
      <c r="B245" s="8" t="s">
        <v>394</v>
      </c>
      <c r="C245" s="8" t="s">
        <v>93</v>
      </c>
      <c r="D245" s="18" t="s">
        <v>2564</v>
      </c>
      <c r="E245" s="16">
        <v>70.0</v>
      </c>
    </row>
    <row r="246">
      <c r="A246" s="8" t="s">
        <v>224</v>
      </c>
      <c r="B246" s="8" t="s">
        <v>861</v>
      </c>
      <c r="C246" s="8" t="s">
        <v>192</v>
      </c>
      <c r="D246" s="18" t="s">
        <v>2564</v>
      </c>
      <c r="E246" s="16">
        <v>70.0</v>
      </c>
    </row>
    <row r="247">
      <c r="A247" s="8" t="s">
        <v>1104</v>
      </c>
      <c r="B247" s="8" t="s">
        <v>1105</v>
      </c>
      <c r="C247" s="8" t="s">
        <v>59</v>
      </c>
      <c r="D247" s="18" t="s">
        <v>2552</v>
      </c>
      <c r="E247" s="16">
        <v>66.0</v>
      </c>
    </row>
    <row r="248">
      <c r="A248" s="8" t="s">
        <v>106</v>
      </c>
      <c r="B248" s="8" t="s">
        <v>3185</v>
      </c>
      <c r="C248" s="8" t="s">
        <v>261</v>
      </c>
      <c r="D248" s="18" t="s">
        <v>2603</v>
      </c>
      <c r="E248" s="16">
        <v>73.0</v>
      </c>
    </row>
    <row r="249">
      <c r="A249" s="8" t="s">
        <v>106</v>
      </c>
      <c r="B249" s="8" t="s">
        <v>212</v>
      </c>
      <c r="C249" s="8" t="s">
        <v>93</v>
      </c>
      <c r="D249" s="18" t="s">
        <v>2614</v>
      </c>
      <c r="E249" s="16">
        <v>79.0</v>
      </c>
    </row>
    <row r="250">
      <c r="A250" s="8" t="s">
        <v>106</v>
      </c>
      <c r="B250" s="8" t="s">
        <v>245</v>
      </c>
      <c r="C250" s="8" t="s">
        <v>65</v>
      </c>
      <c r="D250" s="18" t="s">
        <v>2577</v>
      </c>
      <c r="E250" s="16">
        <v>97.0</v>
      </c>
    </row>
    <row r="251">
      <c r="A251" s="8" t="s">
        <v>106</v>
      </c>
      <c r="B251" s="8" t="s">
        <v>1245</v>
      </c>
      <c r="C251" s="8" t="s">
        <v>186</v>
      </c>
      <c r="D251" s="18" t="s">
        <v>2603</v>
      </c>
      <c r="E251" s="16">
        <v>69.0</v>
      </c>
    </row>
    <row r="252">
      <c r="A252" s="8" t="s">
        <v>106</v>
      </c>
      <c r="B252" s="8" t="s">
        <v>1090</v>
      </c>
      <c r="C252" s="8" t="s">
        <v>53</v>
      </c>
      <c r="D252" s="18" t="s">
        <v>2584</v>
      </c>
      <c r="E252" s="16">
        <v>68.0</v>
      </c>
    </row>
    <row r="253">
      <c r="A253" s="8" t="s">
        <v>106</v>
      </c>
      <c r="B253" s="8" t="s">
        <v>275</v>
      </c>
      <c r="C253" s="8" t="s">
        <v>65</v>
      </c>
      <c r="D253" s="18" t="s">
        <v>2610</v>
      </c>
      <c r="E253" s="16">
        <v>61.0</v>
      </c>
    </row>
    <row r="254">
      <c r="A254" s="8" t="s">
        <v>106</v>
      </c>
      <c r="B254" s="18" t="s">
        <v>2398</v>
      </c>
      <c r="C254" s="8" t="s">
        <v>65</v>
      </c>
      <c r="D254" s="18" t="s">
        <v>2572</v>
      </c>
      <c r="E254" s="16">
        <v>57.0</v>
      </c>
    </row>
    <row r="255">
      <c r="A255" s="8" t="s">
        <v>106</v>
      </c>
      <c r="B255" s="8" t="s">
        <v>1192</v>
      </c>
      <c r="C255" s="8" t="s">
        <v>122</v>
      </c>
      <c r="D255" s="18" t="s">
        <v>2621</v>
      </c>
      <c r="E255" s="16">
        <v>66.0</v>
      </c>
    </row>
    <row r="256">
      <c r="A256" s="8" t="s">
        <v>106</v>
      </c>
      <c r="B256" s="8" t="s">
        <v>2705</v>
      </c>
      <c r="C256" s="8" t="s">
        <v>93</v>
      </c>
      <c r="D256" s="18" t="s">
        <v>2558</v>
      </c>
      <c r="E256" s="16">
        <v>62.0</v>
      </c>
    </row>
    <row r="257">
      <c r="A257" s="8" t="s">
        <v>106</v>
      </c>
      <c r="B257" s="8" t="s">
        <v>107</v>
      </c>
      <c r="C257" s="8" t="s">
        <v>46</v>
      </c>
      <c r="D257" s="18" t="s">
        <v>2562</v>
      </c>
      <c r="E257" s="16">
        <v>86.0</v>
      </c>
    </row>
    <row r="258">
      <c r="A258" s="8" t="s">
        <v>106</v>
      </c>
      <c r="B258" s="8" t="s">
        <v>1108</v>
      </c>
      <c r="C258" s="8" t="s">
        <v>138</v>
      </c>
      <c r="D258" s="18" t="s">
        <v>2556</v>
      </c>
      <c r="E258" s="16">
        <v>62.0</v>
      </c>
    </row>
    <row r="259">
      <c r="A259" s="8" t="s">
        <v>106</v>
      </c>
      <c r="B259" s="8" t="s">
        <v>1106</v>
      </c>
      <c r="C259" s="8" t="s">
        <v>75</v>
      </c>
      <c r="D259" s="18" t="s">
        <v>2593</v>
      </c>
      <c r="E259" s="16">
        <v>69.0</v>
      </c>
    </row>
    <row r="260">
      <c r="A260" s="8" t="s">
        <v>106</v>
      </c>
      <c r="B260" s="8" t="s">
        <v>481</v>
      </c>
      <c r="C260" s="8" t="s">
        <v>65</v>
      </c>
      <c r="D260" s="18" t="s">
        <v>2589</v>
      </c>
      <c r="E260" s="16">
        <v>74.0</v>
      </c>
    </row>
    <row r="261">
      <c r="A261" s="8" t="s">
        <v>106</v>
      </c>
      <c r="B261" s="8" t="s">
        <v>1385</v>
      </c>
      <c r="C261" s="8" t="s">
        <v>53</v>
      </c>
      <c r="D261" s="18" t="s">
        <v>2572</v>
      </c>
      <c r="E261" s="16">
        <v>80.0</v>
      </c>
    </row>
    <row r="262">
      <c r="A262" s="8" t="s">
        <v>106</v>
      </c>
      <c r="B262" s="8" t="s">
        <v>1722</v>
      </c>
      <c r="C262" s="8" t="s">
        <v>186</v>
      </c>
      <c r="D262" s="18" t="s">
        <v>2621</v>
      </c>
      <c r="E262" s="16">
        <v>64.0</v>
      </c>
    </row>
    <row r="263">
      <c r="A263" s="8" t="s">
        <v>106</v>
      </c>
      <c r="B263" s="8" t="s">
        <v>23</v>
      </c>
      <c r="C263" s="8" t="s">
        <v>65</v>
      </c>
      <c r="D263" s="18" t="s">
        <v>2589</v>
      </c>
      <c r="E263" s="16">
        <v>84.0</v>
      </c>
    </row>
    <row r="264">
      <c r="A264" s="8" t="s">
        <v>106</v>
      </c>
      <c r="B264" s="8" t="s">
        <v>163</v>
      </c>
      <c r="C264" s="8" t="s">
        <v>70</v>
      </c>
      <c r="D264" s="18" t="s">
        <v>2582</v>
      </c>
      <c r="E264" s="16">
        <v>66.0</v>
      </c>
    </row>
    <row r="265">
      <c r="A265" s="8" t="s">
        <v>106</v>
      </c>
      <c r="B265" s="8" t="s">
        <v>283</v>
      </c>
      <c r="C265" s="8" t="s">
        <v>70</v>
      </c>
      <c r="D265" s="18" t="s">
        <v>2593</v>
      </c>
      <c r="E265" s="16">
        <v>65.0</v>
      </c>
    </row>
    <row r="266">
      <c r="A266" s="8" t="s">
        <v>106</v>
      </c>
      <c r="B266" s="8" t="s">
        <v>1386</v>
      </c>
      <c r="C266" s="8" t="s">
        <v>122</v>
      </c>
      <c r="D266" s="18" t="s">
        <v>2600</v>
      </c>
      <c r="E266" s="16">
        <v>78.0</v>
      </c>
    </row>
    <row r="267">
      <c r="A267" s="8" t="s">
        <v>106</v>
      </c>
      <c r="B267" s="8" t="s">
        <v>2143</v>
      </c>
      <c r="C267" s="8" t="s">
        <v>65</v>
      </c>
      <c r="D267" s="18" t="s">
        <v>2620</v>
      </c>
      <c r="E267" s="16">
        <v>71.0</v>
      </c>
    </row>
    <row r="268">
      <c r="A268" s="8" t="s">
        <v>106</v>
      </c>
      <c r="B268" s="8" t="s">
        <v>1621</v>
      </c>
      <c r="C268" s="8" t="s">
        <v>65</v>
      </c>
      <c r="D268" s="18" t="s">
        <v>2614</v>
      </c>
      <c r="E268" s="16">
        <v>67.0</v>
      </c>
    </row>
    <row r="269">
      <c r="A269" s="8" t="s">
        <v>106</v>
      </c>
      <c r="B269" s="8" t="s">
        <v>1384</v>
      </c>
      <c r="C269" s="8" t="s">
        <v>24</v>
      </c>
      <c r="D269" s="18" t="s">
        <v>2556</v>
      </c>
      <c r="E269" s="16">
        <v>68.0</v>
      </c>
    </row>
    <row r="270">
      <c r="A270" s="8" t="s">
        <v>106</v>
      </c>
      <c r="B270" s="8" t="s">
        <v>3186</v>
      </c>
      <c r="C270" s="8" t="s">
        <v>65</v>
      </c>
      <c r="D270" s="18" t="s">
        <v>2587</v>
      </c>
      <c r="E270" s="16">
        <v>77.0</v>
      </c>
    </row>
    <row r="271">
      <c r="A271" s="8" t="s">
        <v>106</v>
      </c>
      <c r="B271" s="8" t="s">
        <v>1107</v>
      </c>
      <c r="C271" s="8" t="s">
        <v>186</v>
      </c>
      <c r="D271" s="18" t="s">
        <v>2587</v>
      </c>
      <c r="E271" s="16">
        <v>74.0</v>
      </c>
    </row>
    <row r="272">
      <c r="A272" s="8" t="s">
        <v>106</v>
      </c>
      <c r="B272" s="8" t="s">
        <v>67</v>
      </c>
      <c r="C272" s="8" t="s">
        <v>138</v>
      </c>
      <c r="D272" s="18" t="s">
        <v>2610</v>
      </c>
      <c r="E272" s="16">
        <v>59.0</v>
      </c>
    </row>
    <row r="273">
      <c r="A273" s="8" t="s">
        <v>106</v>
      </c>
      <c r="B273" s="8" t="s">
        <v>334</v>
      </c>
      <c r="C273" s="8" t="s">
        <v>149</v>
      </c>
      <c r="D273" s="18" t="s">
        <v>2585</v>
      </c>
      <c r="E273" s="16">
        <v>75.0</v>
      </c>
    </row>
    <row r="274">
      <c r="A274" s="8" t="s">
        <v>106</v>
      </c>
      <c r="B274" s="8" t="s">
        <v>480</v>
      </c>
      <c r="C274" s="8" t="s">
        <v>186</v>
      </c>
      <c r="D274" s="18" t="s">
        <v>2582</v>
      </c>
      <c r="E274" s="16">
        <v>85.0</v>
      </c>
    </row>
    <row r="275">
      <c r="A275" s="8" t="s">
        <v>1387</v>
      </c>
      <c r="B275" s="8" t="s">
        <v>197</v>
      </c>
      <c r="C275" s="8" t="s">
        <v>149</v>
      </c>
      <c r="D275" s="18" t="s">
        <v>2598</v>
      </c>
      <c r="E275" s="16">
        <v>61.0</v>
      </c>
    </row>
    <row r="276">
      <c r="A276" s="8" t="s">
        <v>2064</v>
      </c>
      <c r="B276" s="8" t="s">
        <v>3187</v>
      </c>
      <c r="C276" s="8" t="s">
        <v>138</v>
      </c>
      <c r="D276" s="18" t="s">
        <v>2554</v>
      </c>
      <c r="E276" s="16">
        <v>71.0</v>
      </c>
    </row>
    <row r="277">
      <c r="A277" s="8" t="s">
        <v>2064</v>
      </c>
      <c r="B277" s="8" t="s">
        <v>3188</v>
      </c>
      <c r="C277" s="8" t="s">
        <v>122</v>
      </c>
      <c r="D277" s="18" t="s">
        <v>2566</v>
      </c>
      <c r="E277" s="16">
        <v>71.0</v>
      </c>
    </row>
    <row r="278">
      <c r="A278" s="8" t="s">
        <v>2064</v>
      </c>
      <c r="B278" s="8" t="s">
        <v>816</v>
      </c>
      <c r="C278" s="8" t="s">
        <v>122</v>
      </c>
      <c r="D278" s="18" t="s">
        <v>2615</v>
      </c>
      <c r="E278" s="16">
        <v>79.0</v>
      </c>
    </row>
    <row r="279">
      <c r="A279" s="8" t="s">
        <v>2064</v>
      </c>
      <c r="B279" s="8" t="s">
        <v>2706</v>
      </c>
      <c r="C279" s="8" t="s">
        <v>65</v>
      </c>
      <c r="D279" s="18" t="s">
        <v>2614</v>
      </c>
      <c r="E279" s="16">
        <v>91.0</v>
      </c>
    </row>
    <row r="280">
      <c r="A280" s="8" t="s">
        <v>2064</v>
      </c>
      <c r="B280" s="8" t="s">
        <v>2707</v>
      </c>
      <c r="C280" s="8" t="s">
        <v>65</v>
      </c>
      <c r="D280" s="18" t="s">
        <v>2577</v>
      </c>
      <c r="E280" s="16">
        <v>80.0</v>
      </c>
    </row>
    <row r="281">
      <c r="A281" s="8" t="s">
        <v>2064</v>
      </c>
      <c r="B281" s="8" t="s">
        <v>33</v>
      </c>
      <c r="C281" s="8" t="s">
        <v>12</v>
      </c>
      <c r="D281" s="18" t="s">
        <v>2598</v>
      </c>
      <c r="E281" s="16">
        <v>85.0</v>
      </c>
    </row>
    <row r="282">
      <c r="A282" s="8" t="s">
        <v>862</v>
      </c>
      <c r="B282" s="8" t="s">
        <v>863</v>
      </c>
      <c r="C282" s="8" t="s">
        <v>186</v>
      </c>
      <c r="D282" s="18" t="s">
        <v>2589</v>
      </c>
      <c r="E282" s="16">
        <v>80.0</v>
      </c>
    </row>
    <row r="283">
      <c r="A283" s="8" t="s">
        <v>1388</v>
      </c>
      <c r="B283" s="8" t="s">
        <v>1389</v>
      </c>
      <c r="C283" s="8" t="s">
        <v>138</v>
      </c>
      <c r="D283" s="18" t="s">
        <v>2585</v>
      </c>
      <c r="E283" s="16">
        <v>79.0</v>
      </c>
    </row>
    <row r="284">
      <c r="A284" s="8" t="s">
        <v>353</v>
      </c>
      <c r="B284" s="8" t="s">
        <v>354</v>
      </c>
      <c r="C284" s="8" t="s">
        <v>149</v>
      </c>
      <c r="D284" s="18" t="s">
        <v>2558</v>
      </c>
      <c r="E284" s="16">
        <v>86.0</v>
      </c>
    </row>
    <row r="285">
      <c r="A285" s="8" t="s">
        <v>1390</v>
      </c>
      <c r="B285" s="8" t="s">
        <v>842</v>
      </c>
      <c r="C285" s="8" t="s">
        <v>215</v>
      </c>
      <c r="D285" s="18" t="s">
        <v>2605</v>
      </c>
      <c r="E285" s="16">
        <v>69.0</v>
      </c>
    </row>
    <row r="286">
      <c r="A286" s="8" t="s">
        <v>482</v>
      </c>
      <c r="B286" s="8" t="s">
        <v>483</v>
      </c>
      <c r="C286" s="8" t="s">
        <v>12</v>
      </c>
      <c r="D286" s="18" t="s">
        <v>2610</v>
      </c>
      <c r="E286" s="16">
        <v>74.0</v>
      </c>
    </row>
    <row r="287">
      <c r="A287" s="8" t="s">
        <v>1391</v>
      </c>
      <c r="B287" s="8" t="s">
        <v>421</v>
      </c>
      <c r="C287" s="8" t="s">
        <v>186</v>
      </c>
      <c r="D287" s="18" t="s">
        <v>2592</v>
      </c>
      <c r="E287" s="16">
        <v>61.0</v>
      </c>
    </row>
    <row r="288">
      <c r="A288" s="8" t="s">
        <v>3189</v>
      </c>
      <c r="B288" s="8" t="s">
        <v>914</v>
      </c>
      <c r="C288" s="8" t="s">
        <v>65</v>
      </c>
      <c r="D288" s="18" t="s">
        <v>2589</v>
      </c>
      <c r="E288" s="16">
        <v>62.0</v>
      </c>
    </row>
    <row r="289">
      <c r="A289" s="8" t="s">
        <v>1392</v>
      </c>
      <c r="B289" s="8" t="s">
        <v>98</v>
      </c>
      <c r="C289" s="8" t="s">
        <v>65</v>
      </c>
      <c r="D289" s="18" t="s">
        <v>2585</v>
      </c>
      <c r="E289" s="16">
        <v>67.0</v>
      </c>
    </row>
    <row r="290">
      <c r="A290" s="8" t="s">
        <v>657</v>
      </c>
      <c r="B290" s="8" t="s">
        <v>658</v>
      </c>
      <c r="C290" s="8" t="s">
        <v>59</v>
      </c>
      <c r="D290" s="18" t="s">
        <v>2610</v>
      </c>
      <c r="E290" s="16">
        <v>87.0</v>
      </c>
    </row>
    <row r="291">
      <c r="A291" s="8" t="s">
        <v>1393</v>
      </c>
      <c r="B291" s="8" t="s">
        <v>260</v>
      </c>
      <c r="C291" s="8" t="s">
        <v>53</v>
      </c>
      <c r="D291" s="18" t="s">
        <v>2615</v>
      </c>
      <c r="E291" s="16">
        <v>60.0</v>
      </c>
    </row>
    <row r="292">
      <c r="A292" s="8" t="s">
        <v>484</v>
      </c>
      <c r="B292" s="8" t="s">
        <v>485</v>
      </c>
      <c r="C292" s="8" t="s">
        <v>70</v>
      </c>
      <c r="D292" s="18" t="s">
        <v>2600</v>
      </c>
      <c r="E292" s="16">
        <v>76.0</v>
      </c>
    </row>
    <row r="293">
      <c r="A293" s="8" t="s">
        <v>3190</v>
      </c>
      <c r="B293" s="8" t="s">
        <v>247</v>
      </c>
      <c r="C293" s="8" t="s">
        <v>93</v>
      </c>
      <c r="D293" s="18" t="s">
        <v>2615</v>
      </c>
      <c r="E293" s="16">
        <v>69.0</v>
      </c>
    </row>
    <row r="294">
      <c r="A294" s="8" t="s">
        <v>355</v>
      </c>
      <c r="B294" s="8" t="s">
        <v>146</v>
      </c>
      <c r="C294" s="8" t="s">
        <v>192</v>
      </c>
      <c r="D294" s="18" t="s">
        <v>2558</v>
      </c>
      <c r="E294" s="16">
        <v>86.0</v>
      </c>
    </row>
    <row r="295">
      <c r="A295" s="8" t="s">
        <v>1725</v>
      </c>
      <c r="B295" s="8" t="s">
        <v>1726</v>
      </c>
      <c r="C295" s="8" t="s">
        <v>93</v>
      </c>
      <c r="D295" s="18" t="s">
        <v>2577</v>
      </c>
      <c r="E295" s="16">
        <v>78.0</v>
      </c>
    </row>
    <row r="296">
      <c r="A296" s="8" t="s">
        <v>1109</v>
      </c>
      <c r="B296" s="8" t="s">
        <v>1110</v>
      </c>
      <c r="C296" s="8" t="s">
        <v>93</v>
      </c>
      <c r="D296" s="18" t="s">
        <v>2560</v>
      </c>
      <c r="E296" s="16">
        <v>69.0</v>
      </c>
    </row>
    <row r="297">
      <c r="A297" s="8" t="s">
        <v>3191</v>
      </c>
      <c r="B297" s="8" t="s">
        <v>948</v>
      </c>
      <c r="C297" s="8" t="s">
        <v>65</v>
      </c>
      <c r="D297" s="18" t="s">
        <v>2572</v>
      </c>
      <c r="E297" s="16">
        <v>61.0</v>
      </c>
    </row>
    <row r="298">
      <c r="A298" s="8" t="s">
        <v>864</v>
      </c>
      <c r="B298" s="8" t="s">
        <v>865</v>
      </c>
      <c r="C298" s="8" t="s">
        <v>24</v>
      </c>
      <c r="D298" s="18" t="s">
        <v>2564</v>
      </c>
      <c r="E298" s="16">
        <v>79.0</v>
      </c>
    </row>
    <row r="299">
      <c r="A299" s="8" t="s">
        <v>866</v>
      </c>
      <c r="B299" s="8" t="s">
        <v>867</v>
      </c>
      <c r="C299" s="8" t="s">
        <v>46</v>
      </c>
      <c r="D299" s="18" t="s">
        <v>2572</v>
      </c>
      <c r="E299" s="16">
        <v>62.0</v>
      </c>
    </row>
    <row r="300">
      <c r="A300" s="8" t="s">
        <v>190</v>
      </c>
      <c r="B300" s="8" t="s">
        <v>569</v>
      </c>
      <c r="C300" s="8" t="s">
        <v>192</v>
      </c>
      <c r="D300" s="18" t="s">
        <v>2605</v>
      </c>
      <c r="E300" s="16">
        <v>66.0</v>
      </c>
    </row>
    <row r="301">
      <c r="A301" s="8" t="s">
        <v>190</v>
      </c>
      <c r="B301" s="8" t="s">
        <v>191</v>
      </c>
      <c r="C301" s="8" t="s">
        <v>80</v>
      </c>
      <c r="D301" s="18" t="s">
        <v>2595</v>
      </c>
      <c r="E301" s="16">
        <v>75.0</v>
      </c>
    </row>
    <row r="302">
      <c r="A302" s="8" t="s">
        <v>2709</v>
      </c>
      <c r="B302" s="8" t="s">
        <v>2710</v>
      </c>
      <c r="C302" s="8" t="s">
        <v>132</v>
      </c>
      <c r="D302" s="18" t="s">
        <v>2581</v>
      </c>
      <c r="E302" s="16">
        <v>72.0</v>
      </c>
    </row>
    <row r="303">
      <c r="A303" s="8" t="s">
        <v>1727</v>
      </c>
      <c r="B303" s="8" t="s">
        <v>377</v>
      </c>
      <c r="C303" s="8" t="s">
        <v>12</v>
      </c>
      <c r="D303" s="18" t="s">
        <v>2574</v>
      </c>
      <c r="E303" s="16">
        <v>72.0</v>
      </c>
    </row>
    <row r="304">
      <c r="A304" s="8" t="s">
        <v>486</v>
      </c>
      <c r="B304" s="8" t="s">
        <v>487</v>
      </c>
      <c r="C304" s="8" t="s">
        <v>65</v>
      </c>
      <c r="D304" s="18" t="s">
        <v>2614</v>
      </c>
      <c r="E304" s="16">
        <v>74.0</v>
      </c>
    </row>
    <row r="305">
      <c r="A305" s="8" t="s">
        <v>486</v>
      </c>
      <c r="B305" s="8" t="s">
        <v>800</v>
      </c>
      <c r="C305" s="8" t="s">
        <v>93</v>
      </c>
      <c r="D305" s="18" t="s">
        <v>2567</v>
      </c>
      <c r="E305" s="16">
        <v>82.0</v>
      </c>
    </row>
    <row r="306">
      <c r="A306" s="8" t="s">
        <v>486</v>
      </c>
      <c r="B306" s="8" t="s">
        <v>822</v>
      </c>
      <c r="C306" s="8" t="s">
        <v>65</v>
      </c>
      <c r="D306" s="18" t="s">
        <v>2587</v>
      </c>
      <c r="E306" s="16">
        <v>63.0</v>
      </c>
    </row>
    <row r="307">
      <c r="A307" s="8" t="s">
        <v>486</v>
      </c>
      <c r="B307" s="8" t="s">
        <v>283</v>
      </c>
      <c r="C307" s="8" t="s">
        <v>93</v>
      </c>
      <c r="D307" s="18" t="s">
        <v>2600</v>
      </c>
      <c r="E307" s="16">
        <v>92.0</v>
      </c>
    </row>
    <row r="308">
      <c r="A308" s="8" t="s">
        <v>486</v>
      </c>
      <c r="B308" s="8" t="s">
        <v>84</v>
      </c>
      <c r="C308" s="8" t="s">
        <v>122</v>
      </c>
      <c r="D308" s="18" t="s">
        <v>2574</v>
      </c>
      <c r="E308" s="16">
        <v>75.0</v>
      </c>
    </row>
    <row r="309">
      <c r="A309" s="8" t="s">
        <v>1728</v>
      </c>
      <c r="B309" s="8" t="s">
        <v>299</v>
      </c>
      <c r="C309" s="8" t="s">
        <v>24</v>
      </c>
      <c r="D309" s="18" t="s">
        <v>2620</v>
      </c>
      <c r="E309" s="16">
        <v>74.0</v>
      </c>
    </row>
    <row r="310">
      <c r="A310" s="8" t="s">
        <v>1111</v>
      </c>
      <c r="B310" s="8" t="s">
        <v>119</v>
      </c>
      <c r="C310" s="8" t="s">
        <v>80</v>
      </c>
      <c r="D310" s="18" t="s">
        <v>2621</v>
      </c>
      <c r="E310" s="16">
        <v>76.0</v>
      </c>
    </row>
    <row r="311">
      <c r="A311" s="8" t="s">
        <v>1112</v>
      </c>
      <c r="B311" s="8" t="s">
        <v>1113</v>
      </c>
      <c r="C311" s="8" t="s">
        <v>65</v>
      </c>
      <c r="D311" s="18" t="s">
        <v>2574</v>
      </c>
      <c r="E311" s="16">
        <v>58.0</v>
      </c>
    </row>
    <row r="312">
      <c r="A312" s="8" t="s">
        <v>2713</v>
      </c>
      <c r="B312" s="8" t="s">
        <v>2714</v>
      </c>
      <c r="C312" s="8" t="s">
        <v>70</v>
      </c>
      <c r="D312" s="18" t="s">
        <v>2595</v>
      </c>
      <c r="E312" s="16">
        <v>70.0</v>
      </c>
    </row>
    <row r="313">
      <c r="A313" s="8" t="s">
        <v>3192</v>
      </c>
      <c r="B313" s="8" t="s">
        <v>865</v>
      </c>
      <c r="C313" s="8" t="s">
        <v>80</v>
      </c>
      <c r="D313" s="18" t="s">
        <v>2615</v>
      </c>
      <c r="E313" s="16">
        <v>61.0</v>
      </c>
    </row>
    <row r="314">
      <c r="A314" s="8" t="s">
        <v>868</v>
      </c>
      <c r="B314" s="8" t="s">
        <v>869</v>
      </c>
      <c r="C314" s="8" t="s">
        <v>59</v>
      </c>
      <c r="D314" s="18" t="s">
        <v>2556</v>
      </c>
      <c r="E314" s="16">
        <v>67.0</v>
      </c>
    </row>
    <row r="315">
      <c r="A315" s="8" t="s">
        <v>868</v>
      </c>
      <c r="B315" s="8" t="s">
        <v>1114</v>
      </c>
      <c r="C315" s="8" t="s">
        <v>93</v>
      </c>
      <c r="D315" s="18" t="s">
        <v>2595</v>
      </c>
      <c r="E315" s="16">
        <v>62.0</v>
      </c>
    </row>
    <row r="316">
      <c r="A316" s="8" t="s">
        <v>870</v>
      </c>
      <c r="B316" s="8" t="s">
        <v>871</v>
      </c>
      <c r="C316" s="8" t="s">
        <v>93</v>
      </c>
      <c r="D316" s="18" t="s">
        <v>2605</v>
      </c>
      <c r="E316" s="16">
        <v>76.0</v>
      </c>
    </row>
    <row r="317">
      <c r="A317" s="8" t="s">
        <v>870</v>
      </c>
      <c r="B317" s="8" t="s">
        <v>102</v>
      </c>
      <c r="C317" s="8" t="s">
        <v>16</v>
      </c>
      <c r="D317" s="18" t="s">
        <v>2558</v>
      </c>
      <c r="E317" s="16">
        <v>62.0</v>
      </c>
    </row>
    <row r="318">
      <c r="A318" s="8" t="s">
        <v>1915</v>
      </c>
      <c r="B318" s="8" t="s">
        <v>92</v>
      </c>
      <c r="C318" s="8" t="s">
        <v>138</v>
      </c>
      <c r="D318" s="18" t="s">
        <v>2558</v>
      </c>
      <c r="E318" s="16">
        <v>61.0</v>
      </c>
    </row>
    <row r="319">
      <c r="A319" s="8" t="s">
        <v>2715</v>
      </c>
      <c r="B319" s="8" t="s">
        <v>137</v>
      </c>
      <c r="C319" s="8" t="s">
        <v>65</v>
      </c>
      <c r="D319" s="18" t="s">
        <v>2575</v>
      </c>
      <c r="E319" s="16">
        <v>71.0</v>
      </c>
    </row>
    <row r="320">
      <c r="A320" s="8" t="s">
        <v>142</v>
      </c>
      <c r="B320" s="8" t="s">
        <v>143</v>
      </c>
      <c r="C320" s="8" t="s">
        <v>215</v>
      </c>
      <c r="D320" s="18" t="s">
        <v>2584</v>
      </c>
      <c r="E320" s="16">
        <v>91.0</v>
      </c>
    </row>
    <row r="321">
      <c r="A321" s="8" t="s">
        <v>142</v>
      </c>
      <c r="B321" s="18" t="s">
        <v>1115</v>
      </c>
      <c r="C321" s="8" t="s">
        <v>59</v>
      </c>
      <c r="D321" s="18" t="s">
        <v>2598</v>
      </c>
      <c r="E321" s="16">
        <v>73.0</v>
      </c>
    </row>
    <row r="322">
      <c r="A322" s="8" t="s">
        <v>142</v>
      </c>
      <c r="B322" s="8" t="s">
        <v>2716</v>
      </c>
      <c r="C322" s="8" t="s">
        <v>192</v>
      </c>
      <c r="D322" s="18" t="s">
        <v>2615</v>
      </c>
      <c r="E322" s="16">
        <v>70.0</v>
      </c>
    </row>
    <row r="323">
      <c r="A323" s="8" t="s">
        <v>1116</v>
      </c>
      <c r="B323" s="8" t="s">
        <v>1117</v>
      </c>
      <c r="C323" s="8" t="s">
        <v>24</v>
      </c>
      <c r="D323" s="18" t="s">
        <v>2577</v>
      </c>
      <c r="E323" s="16">
        <v>42.0</v>
      </c>
    </row>
    <row r="324">
      <c r="A324" s="8" t="s">
        <v>1396</v>
      </c>
      <c r="B324" s="8" t="s">
        <v>634</v>
      </c>
      <c r="C324" s="8" t="s">
        <v>93</v>
      </c>
      <c r="D324" s="18" t="s">
        <v>2575</v>
      </c>
      <c r="E324" s="16">
        <v>64.0</v>
      </c>
    </row>
    <row r="325">
      <c r="A325" s="8" t="s">
        <v>872</v>
      </c>
      <c r="B325" s="18" t="s">
        <v>269</v>
      </c>
      <c r="C325" s="8" t="s">
        <v>132</v>
      </c>
      <c r="D325" s="18" t="s">
        <v>2584</v>
      </c>
      <c r="E325" s="16">
        <v>72.0</v>
      </c>
    </row>
    <row r="326">
      <c r="A326" s="8" t="s">
        <v>246</v>
      </c>
      <c r="B326" s="18" t="s">
        <v>2717</v>
      </c>
      <c r="C326" s="8" t="s">
        <v>65</v>
      </c>
      <c r="D326" s="18" t="s">
        <v>2560</v>
      </c>
      <c r="E326" s="16">
        <v>65.0</v>
      </c>
    </row>
    <row r="327">
      <c r="A327" s="8" t="s">
        <v>246</v>
      </c>
      <c r="B327" s="8" t="s">
        <v>247</v>
      </c>
      <c r="C327" s="8" t="s">
        <v>149</v>
      </c>
      <c r="D327" s="18" t="s">
        <v>2600</v>
      </c>
      <c r="E327" s="16">
        <v>88.0</v>
      </c>
    </row>
    <row r="328">
      <c r="A328" s="8" t="s">
        <v>2718</v>
      </c>
      <c r="B328" s="8" t="s">
        <v>489</v>
      </c>
      <c r="C328" s="8" t="s">
        <v>186</v>
      </c>
      <c r="D328" s="18" t="s">
        <v>2615</v>
      </c>
      <c r="E328" s="16">
        <v>65.0</v>
      </c>
    </row>
    <row r="329">
      <c r="A329" s="8" t="s">
        <v>873</v>
      </c>
      <c r="B329" s="8" t="s">
        <v>102</v>
      </c>
      <c r="C329" s="8" t="s">
        <v>24</v>
      </c>
      <c r="D329" s="18" t="s">
        <v>2600</v>
      </c>
      <c r="E329" s="16">
        <v>41.0</v>
      </c>
    </row>
    <row r="330">
      <c r="A330" s="8" t="s">
        <v>2719</v>
      </c>
      <c r="B330" s="8" t="s">
        <v>31</v>
      </c>
      <c r="C330" s="8" t="s">
        <v>80</v>
      </c>
      <c r="D330" s="18" t="s">
        <v>2554</v>
      </c>
      <c r="E330" s="16">
        <v>70.0</v>
      </c>
    </row>
    <row r="331">
      <c r="A331" s="8" t="s">
        <v>2719</v>
      </c>
      <c r="B331" s="18" t="s">
        <v>3193</v>
      </c>
      <c r="C331" s="8" t="s">
        <v>70</v>
      </c>
      <c r="D331" s="18" t="s">
        <v>2605</v>
      </c>
      <c r="E331" s="16">
        <v>72.0</v>
      </c>
    </row>
    <row r="332">
      <c r="A332" s="8" t="s">
        <v>356</v>
      </c>
      <c r="B332" s="8" t="s">
        <v>260</v>
      </c>
      <c r="C332" s="8" t="s">
        <v>75</v>
      </c>
      <c r="D332" s="18" t="s">
        <v>2560</v>
      </c>
      <c r="E332" s="16">
        <v>82.0</v>
      </c>
    </row>
    <row r="333">
      <c r="A333" s="8" t="s">
        <v>144</v>
      </c>
      <c r="B333" s="8" t="s">
        <v>121</v>
      </c>
      <c r="C333" s="8" t="s">
        <v>93</v>
      </c>
      <c r="D333" s="18" t="s">
        <v>2575</v>
      </c>
      <c r="E333" s="16">
        <v>79.0</v>
      </c>
    </row>
    <row r="334">
      <c r="A334" s="8" t="s">
        <v>144</v>
      </c>
      <c r="B334" s="8" t="s">
        <v>493</v>
      </c>
      <c r="C334" s="8" t="s">
        <v>16</v>
      </c>
      <c r="D334" s="18" t="s">
        <v>2556</v>
      </c>
      <c r="E334" s="16">
        <v>89.0</v>
      </c>
    </row>
    <row r="335">
      <c r="A335" s="8" t="s">
        <v>488</v>
      </c>
      <c r="B335" s="8" t="s">
        <v>489</v>
      </c>
      <c r="C335" s="8" t="s">
        <v>138</v>
      </c>
      <c r="D335" s="18" t="s">
        <v>2585</v>
      </c>
      <c r="E335" s="16">
        <v>77.0</v>
      </c>
    </row>
    <row r="336">
      <c r="A336" s="8" t="s">
        <v>1400</v>
      </c>
      <c r="B336" s="8" t="s">
        <v>301</v>
      </c>
      <c r="C336" s="8" t="s">
        <v>59</v>
      </c>
      <c r="D336" s="18" t="s">
        <v>2621</v>
      </c>
      <c r="E336" s="16">
        <v>64.0</v>
      </c>
    </row>
    <row r="337">
      <c r="A337" s="8" t="s">
        <v>3194</v>
      </c>
      <c r="B337" s="8" t="s">
        <v>263</v>
      </c>
      <c r="C337" s="8" t="s">
        <v>122</v>
      </c>
      <c r="D337" s="18" t="s">
        <v>2614</v>
      </c>
      <c r="E337" s="16">
        <v>62.0</v>
      </c>
    </row>
    <row r="338">
      <c r="A338" s="8" t="s">
        <v>3195</v>
      </c>
      <c r="B338" s="8" t="s">
        <v>67</v>
      </c>
      <c r="C338" s="8" t="s">
        <v>122</v>
      </c>
      <c r="D338" s="18" t="s">
        <v>2572</v>
      </c>
      <c r="E338" s="16">
        <v>68.0</v>
      </c>
    </row>
    <row r="339">
      <c r="A339" s="8" t="s">
        <v>490</v>
      </c>
      <c r="B339" s="18" t="s">
        <v>491</v>
      </c>
      <c r="C339" s="8" t="s">
        <v>93</v>
      </c>
      <c r="D339" s="18" t="s">
        <v>2556</v>
      </c>
      <c r="E339" s="16">
        <v>74.0</v>
      </c>
    </row>
    <row r="340">
      <c r="A340" s="8" t="s">
        <v>492</v>
      </c>
      <c r="B340" s="8" t="s">
        <v>493</v>
      </c>
      <c r="C340" s="8" t="s">
        <v>24</v>
      </c>
      <c r="D340" s="18" t="s">
        <v>2582</v>
      </c>
      <c r="E340" s="16">
        <v>72.0</v>
      </c>
    </row>
    <row r="341">
      <c r="A341" s="8" t="s">
        <v>3196</v>
      </c>
      <c r="B341" s="8" t="s">
        <v>3197</v>
      </c>
      <c r="C341" s="8" t="s">
        <v>93</v>
      </c>
      <c r="D341" s="18" t="s">
        <v>2614</v>
      </c>
      <c r="E341" s="16">
        <v>76.0</v>
      </c>
    </row>
    <row r="342">
      <c r="A342" s="8" t="s">
        <v>2720</v>
      </c>
      <c r="B342" s="8" t="s">
        <v>2721</v>
      </c>
      <c r="C342" s="8" t="s">
        <v>65</v>
      </c>
      <c r="D342" s="18" t="s">
        <v>2581</v>
      </c>
      <c r="E342" s="16">
        <v>69.0</v>
      </c>
    </row>
    <row r="343">
      <c r="A343" s="8" t="s">
        <v>1118</v>
      </c>
      <c r="B343" s="8" t="s">
        <v>275</v>
      </c>
      <c r="C343" s="8" t="s">
        <v>70</v>
      </c>
      <c r="D343" s="18" t="s">
        <v>2603</v>
      </c>
      <c r="E343" s="16">
        <v>66.0</v>
      </c>
    </row>
    <row r="344">
      <c r="A344" s="8" t="s">
        <v>248</v>
      </c>
      <c r="B344" s="8" t="s">
        <v>100</v>
      </c>
      <c r="C344" s="8" t="s">
        <v>93</v>
      </c>
      <c r="D344" s="18" t="s">
        <v>2554</v>
      </c>
      <c r="E344" s="16">
        <v>67.0</v>
      </c>
    </row>
    <row r="345">
      <c r="A345" s="8" t="s">
        <v>248</v>
      </c>
      <c r="B345" s="8" t="s">
        <v>249</v>
      </c>
      <c r="C345" s="8" t="s">
        <v>186</v>
      </c>
      <c r="D345" s="18" t="s">
        <v>2560</v>
      </c>
      <c r="E345" s="16">
        <v>72.0</v>
      </c>
    </row>
    <row r="346">
      <c r="A346" s="8" t="s">
        <v>248</v>
      </c>
      <c r="B346" s="8" t="s">
        <v>1401</v>
      </c>
      <c r="C346" s="8" t="s">
        <v>24</v>
      </c>
      <c r="D346" s="18" t="s">
        <v>2610</v>
      </c>
      <c r="E346" s="16">
        <v>67.0</v>
      </c>
    </row>
    <row r="347">
      <c r="A347" s="8" t="s">
        <v>248</v>
      </c>
      <c r="B347" s="8" t="s">
        <v>275</v>
      </c>
      <c r="C347" s="8" t="s">
        <v>53</v>
      </c>
      <c r="D347" s="18" t="s">
        <v>2582</v>
      </c>
      <c r="E347" s="16">
        <v>67.0</v>
      </c>
    </row>
    <row r="348">
      <c r="A348" s="8" t="s">
        <v>248</v>
      </c>
      <c r="B348" s="8" t="s">
        <v>1402</v>
      </c>
      <c r="C348" s="8" t="s">
        <v>80</v>
      </c>
      <c r="D348" s="18" t="s">
        <v>2620</v>
      </c>
      <c r="E348" s="16">
        <v>62.0</v>
      </c>
    </row>
    <row r="349">
      <c r="A349" s="8" t="s">
        <v>248</v>
      </c>
      <c r="B349" s="8" t="s">
        <v>214</v>
      </c>
      <c r="C349" s="8" t="s">
        <v>24</v>
      </c>
      <c r="D349" s="18" t="s">
        <v>2552</v>
      </c>
      <c r="E349" s="16">
        <v>57.0</v>
      </c>
    </row>
    <row r="350">
      <c r="A350" s="8" t="s">
        <v>494</v>
      </c>
      <c r="B350" s="8" t="s">
        <v>495</v>
      </c>
      <c r="C350" s="8" t="s">
        <v>215</v>
      </c>
      <c r="D350" s="18" t="s">
        <v>2621</v>
      </c>
      <c r="E350" s="16">
        <v>86.0</v>
      </c>
    </row>
    <row r="351">
      <c r="A351" s="8" t="s">
        <v>3198</v>
      </c>
      <c r="B351" s="8" t="s">
        <v>822</v>
      </c>
      <c r="C351" s="8" t="s">
        <v>59</v>
      </c>
      <c r="D351" s="18" t="s">
        <v>2574</v>
      </c>
      <c r="E351" s="16">
        <v>64.0</v>
      </c>
    </row>
    <row r="352">
      <c r="A352" s="8" t="s">
        <v>3199</v>
      </c>
      <c r="B352" s="8" t="s">
        <v>275</v>
      </c>
      <c r="C352" s="8" t="s">
        <v>138</v>
      </c>
      <c r="D352" s="18" t="s">
        <v>2556</v>
      </c>
      <c r="E352" s="16">
        <v>64.0</v>
      </c>
    </row>
    <row r="353">
      <c r="A353" s="8" t="s">
        <v>3200</v>
      </c>
      <c r="B353" s="8" t="s">
        <v>842</v>
      </c>
      <c r="C353" s="8" t="s">
        <v>59</v>
      </c>
      <c r="D353" s="18" t="s">
        <v>2566</v>
      </c>
      <c r="E353" s="16">
        <v>74.0</v>
      </c>
    </row>
    <row r="354">
      <c r="A354" s="8" t="s">
        <v>2723</v>
      </c>
      <c r="B354" s="8" t="s">
        <v>33</v>
      </c>
      <c r="C354" s="8" t="s">
        <v>16</v>
      </c>
      <c r="D354" s="18" t="s">
        <v>2621</v>
      </c>
      <c r="E354" s="16">
        <v>69.0</v>
      </c>
    </row>
    <row r="355">
      <c r="A355" s="8" t="s">
        <v>250</v>
      </c>
      <c r="B355" s="8" t="s">
        <v>212</v>
      </c>
      <c r="C355" s="8" t="s">
        <v>46</v>
      </c>
      <c r="D355" s="18" t="s">
        <v>2567</v>
      </c>
      <c r="E355" s="16">
        <v>83.0</v>
      </c>
    </row>
    <row r="356">
      <c r="A356" s="8" t="s">
        <v>659</v>
      </c>
      <c r="B356" s="8" t="s">
        <v>554</v>
      </c>
      <c r="C356" s="8" t="s">
        <v>12</v>
      </c>
      <c r="D356" s="18" t="s">
        <v>2560</v>
      </c>
      <c r="E356" s="16">
        <v>76.0</v>
      </c>
    </row>
    <row r="357">
      <c r="A357" s="8" t="s">
        <v>251</v>
      </c>
      <c r="B357" s="8" t="s">
        <v>780</v>
      </c>
      <c r="C357" s="8" t="s">
        <v>24</v>
      </c>
      <c r="D357" s="18" t="s">
        <v>2564</v>
      </c>
      <c r="E357" s="16">
        <v>82.0</v>
      </c>
    </row>
    <row r="358">
      <c r="A358" s="8" t="s">
        <v>251</v>
      </c>
      <c r="B358" s="8" t="s">
        <v>252</v>
      </c>
      <c r="C358" s="8" t="s">
        <v>24</v>
      </c>
      <c r="D358" s="18" t="s">
        <v>2585</v>
      </c>
      <c r="E358" s="16">
        <v>70.0</v>
      </c>
    </row>
    <row r="359">
      <c r="A359" s="8" t="s">
        <v>2724</v>
      </c>
      <c r="B359" s="8" t="s">
        <v>2725</v>
      </c>
      <c r="C359" s="8" t="s">
        <v>192</v>
      </c>
      <c r="D359" s="18" t="s">
        <v>2603</v>
      </c>
      <c r="E359" s="16">
        <v>95.0</v>
      </c>
    </row>
    <row r="360">
      <c r="A360" s="8" t="s">
        <v>357</v>
      </c>
      <c r="B360" s="8" t="s">
        <v>2021</v>
      </c>
      <c r="C360" s="8" t="s">
        <v>70</v>
      </c>
      <c r="D360" s="18" t="s">
        <v>2620</v>
      </c>
      <c r="E360" s="16">
        <v>84.0</v>
      </c>
    </row>
    <row r="361">
      <c r="A361" s="8" t="s">
        <v>357</v>
      </c>
      <c r="B361" s="8" t="s">
        <v>2726</v>
      </c>
      <c r="C361" s="8" t="s">
        <v>122</v>
      </c>
      <c r="D361" s="18" t="s">
        <v>2584</v>
      </c>
      <c r="E361" s="16">
        <v>71.0</v>
      </c>
    </row>
    <row r="362">
      <c r="A362" s="8" t="s">
        <v>1731</v>
      </c>
      <c r="B362" s="8" t="s">
        <v>1732</v>
      </c>
      <c r="C362" s="8" t="s">
        <v>215</v>
      </c>
      <c r="D362" s="18" t="s">
        <v>2614</v>
      </c>
      <c r="E362" s="16">
        <v>75.0</v>
      </c>
    </row>
    <row r="363">
      <c r="A363" s="8" t="s">
        <v>2727</v>
      </c>
      <c r="B363" s="8" t="s">
        <v>91</v>
      </c>
      <c r="C363" s="8" t="s">
        <v>75</v>
      </c>
      <c r="D363" s="18" t="s">
        <v>2183</v>
      </c>
      <c r="E363" s="16">
        <v>58.0</v>
      </c>
    </row>
    <row r="364">
      <c r="A364" s="8" t="s">
        <v>3201</v>
      </c>
      <c r="B364" s="8" t="s">
        <v>31</v>
      </c>
      <c r="C364" s="8" t="s">
        <v>186</v>
      </c>
      <c r="D364" s="18" t="s">
        <v>2564</v>
      </c>
      <c r="E364" s="16">
        <v>57.0</v>
      </c>
    </row>
    <row r="365">
      <c r="A365" s="8" t="s">
        <v>1403</v>
      </c>
      <c r="B365" s="8" t="s">
        <v>1404</v>
      </c>
      <c r="C365" s="8" t="s">
        <v>65</v>
      </c>
      <c r="D365" s="18" t="s">
        <v>2183</v>
      </c>
      <c r="E365" s="16">
        <v>68.0</v>
      </c>
    </row>
    <row r="366">
      <c r="A366" s="8" t="s">
        <v>1121</v>
      </c>
      <c r="B366" s="8" t="s">
        <v>212</v>
      </c>
      <c r="C366" s="8" t="s">
        <v>53</v>
      </c>
      <c r="D366" s="18" t="s">
        <v>2577</v>
      </c>
      <c r="E366" s="16">
        <v>66.0</v>
      </c>
    </row>
    <row r="367">
      <c r="A367" s="8" t="s">
        <v>726</v>
      </c>
      <c r="B367" s="8" t="s">
        <v>1733</v>
      </c>
      <c r="C367" s="8" t="s">
        <v>93</v>
      </c>
      <c r="D367" s="18" t="s">
        <v>2593</v>
      </c>
      <c r="E367" s="16">
        <v>62.0</v>
      </c>
    </row>
    <row r="368">
      <c r="A368" s="8" t="s">
        <v>193</v>
      </c>
      <c r="B368" s="8" t="s">
        <v>194</v>
      </c>
      <c r="C368" s="8" t="s">
        <v>192</v>
      </c>
      <c r="D368" s="18" t="s">
        <v>2600</v>
      </c>
      <c r="E368" s="16">
        <v>77.0</v>
      </c>
    </row>
    <row r="369">
      <c r="A369" s="8" t="s">
        <v>2728</v>
      </c>
      <c r="B369" s="8" t="s">
        <v>2729</v>
      </c>
      <c r="C369" s="8" t="s">
        <v>192</v>
      </c>
      <c r="D369" s="18" t="s">
        <v>2584</v>
      </c>
      <c r="E369" s="16">
        <v>83.0</v>
      </c>
    </row>
    <row r="370">
      <c r="A370" s="8" t="s">
        <v>3202</v>
      </c>
      <c r="B370" s="8" t="s">
        <v>212</v>
      </c>
      <c r="C370" s="8" t="s">
        <v>93</v>
      </c>
      <c r="D370" s="18" t="s">
        <v>2556</v>
      </c>
      <c r="E370" s="16">
        <v>60.0</v>
      </c>
    </row>
    <row r="371">
      <c r="A371" s="8" t="s">
        <v>2730</v>
      </c>
      <c r="B371" s="8" t="s">
        <v>1905</v>
      </c>
      <c r="C371" s="8" t="s">
        <v>93</v>
      </c>
      <c r="D371" s="18" t="s">
        <v>2560</v>
      </c>
      <c r="E371" s="16">
        <v>79.0</v>
      </c>
    </row>
    <row r="372">
      <c r="A372" s="8" t="s">
        <v>90</v>
      </c>
      <c r="B372" s="8" t="s">
        <v>275</v>
      </c>
      <c r="C372" s="8" t="s">
        <v>149</v>
      </c>
      <c r="D372" s="18" t="s">
        <v>2562</v>
      </c>
      <c r="E372" s="16">
        <v>72.0</v>
      </c>
    </row>
    <row r="373">
      <c r="A373" s="8" t="s">
        <v>90</v>
      </c>
      <c r="B373" s="8" t="s">
        <v>1736</v>
      </c>
      <c r="C373" s="8" t="s">
        <v>80</v>
      </c>
      <c r="D373" s="18" t="s">
        <v>2575</v>
      </c>
      <c r="E373" s="16">
        <v>65.0</v>
      </c>
    </row>
    <row r="374">
      <c r="A374" s="8" t="s">
        <v>90</v>
      </c>
      <c r="B374" s="8" t="s">
        <v>2731</v>
      </c>
      <c r="C374" s="8" t="s">
        <v>132</v>
      </c>
      <c r="D374" s="18" t="s">
        <v>2572</v>
      </c>
      <c r="E374" s="16">
        <v>63.0</v>
      </c>
    </row>
    <row r="375">
      <c r="A375" s="8" t="s">
        <v>90</v>
      </c>
      <c r="B375" s="8" t="s">
        <v>69</v>
      </c>
      <c r="C375" s="8" t="s">
        <v>138</v>
      </c>
      <c r="D375" s="18" t="s">
        <v>2603</v>
      </c>
      <c r="E375" s="16">
        <v>82.0</v>
      </c>
    </row>
    <row r="376">
      <c r="A376" s="8" t="s">
        <v>90</v>
      </c>
      <c r="B376" s="8" t="s">
        <v>822</v>
      </c>
      <c r="C376" s="8" t="s">
        <v>93</v>
      </c>
      <c r="D376" s="18" t="s">
        <v>2560</v>
      </c>
      <c r="E376" s="16">
        <v>64.0</v>
      </c>
    </row>
    <row r="377">
      <c r="A377" s="8" t="s">
        <v>90</v>
      </c>
      <c r="B377" s="8" t="s">
        <v>333</v>
      </c>
      <c r="C377" s="8" t="s">
        <v>138</v>
      </c>
      <c r="D377" s="18" t="s">
        <v>2558</v>
      </c>
      <c r="E377" s="16">
        <v>75.0</v>
      </c>
    </row>
    <row r="378">
      <c r="A378" s="8" t="s">
        <v>90</v>
      </c>
      <c r="B378" s="18" t="s">
        <v>1122</v>
      </c>
      <c r="C378" s="8" t="s">
        <v>46</v>
      </c>
      <c r="D378" s="18" t="s">
        <v>2567</v>
      </c>
      <c r="E378" s="16">
        <v>66.0</v>
      </c>
    </row>
    <row r="379">
      <c r="A379" s="8" t="s">
        <v>3203</v>
      </c>
      <c r="B379" s="8" t="s">
        <v>1046</v>
      </c>
      <c r="C379" s="8" t="s">
        <v>215</v>
      </c>
      <c r="D379" s="18" t="s">
        <v>2610</v>
      </c>
      <c r="E379" s="16">
        <v>70.0</v>
      </c>
    </row>
    <row r="380">
      <c r="A380" s="8" t="s">
        <v>165</v>
      </c>
      <c r="B380" s="8" t="s">
        <v>357</v>
      </c>
      <c r="C380" s="8" t="s">
        <v>24</v>
      </c>
      <c r="D380" s="18" t="s">
        <v>2587</v>
      </c>
      <c r="E380" s="16">
        <v>86.0</v>
      </c>
    </row>
    <row r="381">
      <c r="A381" s="8" t="s">
        <v>165</v>
      </c>
      <c r="B381" s="8" t="s">
        <v>2734</v>
      </c>
      <c r="C381" s="8" t="s">
        <v>65</v>
      </c>
      <c r="D381" s="18" t="s">
        <v>2574</v>
      </c>
      <c r="E381" s="16">
        <v>58.0</v>
      </c>
    </row>
    <row r="382">
      <c r="A382" s="8" t="s">
        <v>253</v>
      </c>
      <c r="B382" s="8" t="s">
        <v>127</v>
      </c>
      <c r="C382" s="8" t="s">
        <v>138</v>
      </c>
      <c r="D382" s="18" t="s">
        <v>2598</v>
      </c>
      <c r="E382" s="16">
        <v>77.0</v>
      </c>
    </row>
    <row r="383">
      <c r="A383" s="8" t="s">
        <v>3204</v>
      </c>
      <c r="B383" s="8" t="s">
        <v>3205</v>
      </c>
      <c r="C383" s="8" t="s">
        <v>46</v>
      </c>
      <c r="D383" s="18" t="s">
        <v>2614</v>
      </c>
      <c r="E383" s="16">
        <v>65.0</v>
      </c>
    </row>
    <row r="384">
      <c r="A384" s="8" t="s">
        <v>3206</v>
      </c>
      <c r="B384" s="8" t="s">
        <v>3207</v>
      </c>
      <c r="C384" s="8" t="s">
        <v>16</v>
      </c>
      <c r="D384" s="18" t="s">
        <v>2572</v>
      </c>
      <c r="E384" s="16">
        <v>67.0</v>
      </c>
    </row>
    <row r="385">
      <c r="A385" s="8" t="s">
        <v>874</v>
      </c>
      <c r="B385" s="18" t="s">
        <v>491</v>
      </c>
      <c r="C385" s="8" t="s">
        <v>46</v>
      </c>
      <c r="D385" s="18" t="s">
        <v>2552</v>
      </c>
      <c r="E385" s="16">
        <v>68.0</v>
      </c>
    </row>
    <row r="386">
      <c r="A386" s="8" t="s">
        <v>3208</v>
      </c>
      <c r="B386" s="8" t="s">
        <v>3209</v>
      </c>
      <c r="C386" s="8" t="s">
        <v>24</v>
      </c>
      <c r="D386" s="18" t="s">
        <v>2572</v>
      </c>
      <c r="E386" s="16">
        <v>67.0</v>
      </c>
    </row>
    <row r="387">
      <c r="A387" s="8" t="s">
        <v>875</v>
      </c>
      <c r="B387" s="8" t="s">
        <v>876</v>
      </c>
      <c r="C387" s="8" t="s">
        <v>186</v>
      </c>
      <c r="D387" s="18" t="s">
        <v>2183</v>
      </c>
      <c r="E387" s="16">
        <v>55.0</v>
      </c>
    </row>
    <row r="388">
      <c r="A388" s="8" t="s">
        <v>2735</v>
      </c>
      <c r="B388" s="8" t="s">
        <v>2736</v>
      </c>
      <c r="C388" s="8" t="s">
        <v>80</v>
      </c>
      <c r="D388" s="18" t="s">
        <v>2558</v>
      </c>
      <c r="E388" s="16">
        <v>82.0</v>
      </c>
    </row>
    <row r="389">
      <c r="A389" s="8" t="s">
        <v>1123</v>
      </c>
      <c r="B389" s="8" t="s">
        <v>1124</v>
      </c>
      <c r="C389" s="8" t="s">
        <v>53</v>
      </c>
      <c r="D389" s="18" t="s">
        <v>2562</v>
      </c>
      <c r="E389" s="16">
        <v>86.0</v>
      </c>
    </row>
    <row r="390">
      <c r="A390" s="8" t="s">
        <v>2737</v>
      </c>
      <c r="B390" s="8" t="s">
        <v>2738</v>
      </c>
      <c r="C390" s="8" t="s">
        <v>65</v>
      </c>
      <c r="D390" s="18" t="s">
        <v>2577</v>
      </c>
      <c r="E390" s="16">
        <v>75.0</v>
      </c>
    </row>
    <row r="391">
      <c r="A391" s="8" t="s">
        <v>496</v>
      </c>
      <c r="B391" s="8" t="s">
        <v>497</v>
      </c>
      <c r="C391" s="8" t="s">
        <v>65</v>
      </c>
      <c r="D391" s="18" t="s">
        <v>2558</v>
      </c>
      <c r="E391" s="16">
        <v>87.0</v>
      </c>
    </row>
    <row r="392">
      <c r="A392" s="8" t="s">
        <v>661</v>
      </c>
      <c r="B392" s="8" t="s">
        <v>597</v>
      </c>
      <c r="C392" s="8" t="s">
        <v>93</v>
      </c>
      <c r="D392" s="18" t="s">
        <v>2577</v>
      </c>
      <c r="E392" s="16">
        <v>80.0</v>
      </c>
    </row>
    <row r="393">
      <c r="A393" s="8" t="s">
        <v>1740</v>
      </c>
      <c r="B393" s="8" t="s">
        <v>1741</v>
      </c>
      <c r="C393" s="8" t="s">
        <v>70</v>
      </c>
      <c r="D393" s="18" t="s">
        <v>2605</v>
      </c>
      <c r="E393" s="16">
        <v>72.0</v>
      </c>
    </row>
    <row r="394">
      <c r="A394" s="8" t="s">
        <v>1406</v>
      </c>
      <c r="B394" s="8" t="s">
        <v>127</v>
      </c>
      <c r="C394" s="8" t="s">
        <v>192</v>
      </c>
      <c r="D394" s="18" t="s">
        <v>2585</v>
      </c>
      <c r="E394" s="16">
        <v>60.0</v>
      </c>
    </row>
    <row r="395">
      <c r="A395" s="8" t="s">
        <v>349</v>
      </c>
      <c r="B395" s="8" t="s">
        <v>3210</v>
      </c>
      <c r="C395" s="8" t="s">
        <v>186</v>
      </c>
      <c r="D395" s="18" t="s">
        <v>2584</v>
      </c>
      <c r="E395" s="16">
        <v>68.0</v>
      </c>
    </row>
    <row r="396">
      <c r="A396" s="8" t="s">
        <v>349</v>
      </c>
      <c r="B396" s="8" t="s">
        <v>1399</v>
      </c>
      <c r="C396" s="8" t="s">
        <v>186</v>
      </c>
      <c r="D396" s="18" t="s">
        <v>2562</v>
      </c>
      <c r="E396" s="16">
        <v>61.0</v>
      </c>
    </row>
    <row r="397">
      <c r="A397" s="8" t="s">
        <v>877</v>
      </c>
      <c r="B397" s="8" t="s">
        <v>121</v>
      </c>
      <c r="C397" s="8" t="s">
        <v>65</v>
      </c>
      <c r="D397" s="18" t="s">
        <v>2595</v>
      </c>
      <c r="E397" s="16">
        <v>72.0</v>
      </c>
    </row>
    <row r="398">
      <c r="A398" s="8" t="s">
        <v>877</v>
      </c>
      <c r="B398" s="8" t="s">
        <v>304</v>
      </c>
      <c r="C398" s="8" t="s">
        <v>65</v>
      </c>
      <c r="D398" s="18" t="s">
        <v>2615</v>
      </c>
      <c r="E398" s="16">
        <v>78.0</v>
      </c>
    </row>
    <row r="399">
      <c r="A399" s="8" t="s">
        <v>877</v>
      </c>
      <c r="B399" s="8" t="s">
        <v>3211</v>
      </c>
      <c r="C399" s="8" t="s">
        <v>122</v>
      </c>
      <c r="D399" s="18" t="s">
        <v>2587</v>
      </c>
      <c r="E399" s="16">
        <v>65.0</v>
      </c>
    </row>
    <row r="400">
      <c r="A400" s="8" t="s">
        <v>877</v>
      </c>
      <c r="B400" s="8" t="s">
        <v>1473</v>
      </c>
      <c r="C400" s="8" t="s">
        <v>261</v>
      </c>
      <c r="D400" s="18" t="s">
        <v>2598</v>
      </c>
      <c r="E400" s="16">
        <v>75.0</v>
      </c>
    </row>
    <row r="401">
      <c r="A401" s="8" t="s">
        <v>877</v>
      </c>
      <c r="B401" s="8" t="s">
        <v>381</v>
      </c>
      <c r="C401" s="8" t="s">
        <v>93</v>
      </c>
      <c r="D401" s="18" t="s">
        <v>2600</v>
      </c>
      <c r="E401" s="16">
        <v>73.0</v>
      </c>
    </row>
    <row r="402">
      <c r="A402" s="8" t="s">
        <v>877</v>
      </c>
      <c r="B402" s="8" t="s">
        <v>1699</v>
      </c>
      <c r="C402" s="8" t="s">
        <v>192</v>
      </c>
      <c r="D402" s="18" t="s">
        <v>2574</v>
      </c>
      <c r="E402" s="16">
        <v>78.0</v>
      </c>
    </row>
    <row r="403">
      <c r="A403" s="8" t="s">
        <v>877</v>
      </c>
      <c r="B403" s="8" t="s">
        <v>878</v>
      </c>
      <c r="C403" s="8" t="s">
        <v>149</v>
      </c>
      <c r="D403" s="18" t="s">
        <v>2615</v>
      </c>
      <c r="E403" s="16">
        <v>68.0</v>
      </c>
    </row>
    <row r="404">
      <c r="A404" s="8" t="s">
        <v>877</v>
      </c>
      <c r="B404" s="8" t="s">
        <v>1126</v>
      </c>
      <c r="C404" s="8" t="s">
        <v>70</v>
      </c>
      <c r="D404" s="18" t="s">
        <v>2598</v>
      </c>
      <c r="E404" s="16">
        <v>85.0</v>
      </c>
    </row>
    <row r="405">
      <c r="A405" s="8" t="s">
        <v>1407</v>
      </c>
      <c r="B405" s="8" t="s">
        <v>2739</v>
      </c>
      <c r="C405" s="8" t="s">
        <v>65</v>
      </c>
      <c r="D405" s="18" t="s">
        <v>2552</v>
      </c>
      <c r="E405" s="16">
        <v>66.0</v>
      </c>
    </row>
    <row r="406">
      <c r="A406" s="8" t="s">
        <v>498</v>
      </c>
      <c r="B406" s="8" t="s">
        <v>100</v>
      </c>
      <c r="C406" s="8" t="s">
        <v>70</v>
      </c>
      <c r="D406" s="18" t="s">
        <v>2603</v>
      </c>
      <c r="E406" s="16">
        <v>67.0</v>
      </c>
    </row>
    <row r="407">
      <c r="A407" s="8" t="s">
        <v>498</v>
      </c>
      <c r="B407" s="8" t="s">
        <v>1129</v>
      </c>
      <c r="C407" s="8" t="s">
        <v>149</v>
      </c>
      <c r="D407" s="18" t="s">
        <v>2552</v>
      </c>
      <c r="E407" s="16">
        <v>65.0</v>
      </c>
    </row>
    <row r="408">
      <c r="A408" s="8" t="s">
        <v>498</v>
      </c>
      <c r="B408" s="8" t="s">
        <v>1128</v>
      </c>
      <c r="C408" s="8" t="s">
        <v>93</v>
      </c>
      <c r="D408" s="18" t="s">
        <v>2598</v>
      </c>
      <c r="E408" s="16">
        <v>79.0</v>
      </c>
    </row>
    <row r="409">
      <c r="A409" s="8" t="s">
        <v>498</v>
      </c>
      <c r="B409" s="18" t="s">
        <v>1127</v>
      </c>
      <c r="C409" s="8" t="s">
        <v>149</v>
      </c>
      <c r="D409" s="18" t="s">
        <v>2614</v>
      </c>
      <c r="E409" s="16">
        <v>79.0</v>
      </c>
    </row>
    <row r="410">
      <c r="A410" s="8" t="s">
        <v>498</v>
      </c>
      <c r="B410" s="8" t="s">
        <v>1409</v>
      </c>
      <c r="C410" s="8" t="s">
        <v>192</v>
      </c>
      <c r="D410" s="18" t="s">
        <v>2566</v>
      </c>
      <c r="E410" s="16">
        <v>92.0</v>
      </c>
    </row>
    <row r="411">
      <c r="A411" s="8" t="s">
        <v>498</v>
      </c>
      <c r="B411" s="8" t="s">
        <v>1742</v>
      </c>
      <c r="C411" s="8" t="s">
        <v>122</v>
      </c>
      <c r="D411" s="18" t="s">
        <v>2614</v>
      </c>
      <c r="E411" s="16">
        <v>72.0</v>
      </c>
    </row>
    <row r="412">
      <c r="A412" s="8" t="s">
        <v>2740</v>
      </c>
      <c r="B412" s="8" t="s">
        <v>499</v>
      </c>
      <c r="C412" s="8" t="s">
        <v>53</v>
      </c>
      <c r="D412" s="18" t="s">
        <v>2615</v>
      </c>
      <c r="E412" s="16">
        <v>85.0</v>
      </c>
    </row>
    <row r="413">
      <c r="A413" s="8" t="s">
        <v>36</v>
      </c>
      <c r="B413" s="8" t="s">
        <v>109</v>
      </c>
      <c r="C413" s="8" t="s">
        <v>38</v>
      </c>
      <c r="D413" s="18" t="s">
        <v>2615</v>
      </c>
      <c r="E413" s="16">
        <v>76.0</v>
      </c>
    </row>
    <row r="414">
      <c r="A414" s="8" t="s">
        <v>36</v>
      </c>
      <c r="B414" s="8" t="s">
        <v>37</v>
      </c>
      <c r="C414" s="8" t="s">
        <v>38</v>
      </c>
      <c r="D414" s="18" t="s">
        <v>2183</v>
      </c>
      <c r="E414" s="16">
        <v>81.0</v>
      </c>
    </row>
    <row r="415">
      <c r="A415" s="8" t="s">
        <v>879</v>
      </c>
      <c r="B415" s="8" t="s">
        <v>98</v>
      </c>
      <c r="C415" s="8" t="s">
        <v>93</v>
      </c>
      <c r="D415" s="18" t="s">
        <v>2584</v>
      </c>
      <c r="E415" s="16">
        <v>78.0</v>
      </c>
    </row>
    <row r="416">
      <c r="A416" s="8" t="s">
        <v>358</v>
      </c>
      <c r="B416" s="8" t="s">
        <v>15</v>
      </c>
      <c r="C416" s="8" t="s">
        <v>132</v>
      </c>
      <c r="D416" s="18" t="s">
        <v>2605</v>
      </c>
      <c r="E416" s="16">
        <v>72.0</v>
      </c>
    </row>
    <row r="417">
      <c r="A417" s="8" t="s">
        <v>358</v>
      </c>
      <c r="B417" s="8" t="s">
        <v>1046</v>
      </c>
      <c r="C417" s="8" t="s">
        <v>186</v>
      </c>
      <c r="D417" s="18" t="s">
        <v>2582</v>
      </c>
      <c r="E417" s="16">
        <v>75.0</v>
      </c>
    </row>
    <row r="418">
      <c r="A418" s="8" t="s">
        <v>3212</v>
      </c>
      <c r="B418" s="8" t="s">
        <v>181</v>
      </c>
      <c r="C418" s="8" t="s">
        <v>24</v>
      </c>
      <c r="D418" s="18" t="s">
        <v>2556</v>
      </c>
      <c r="E418" s="16">
        <v>42.0</v>
      </c>
    </row>
    <row r="419">
      <c r="A419" s="8" t="s">
        <v>1410</v>
      </c>
      <c r="B419" s="8" t="s">
        <v>360</v>
      </c>
      <c r="C419" s="8" t="s">
        <v>149</v>
      </c>
      <c r="D419" s="18" t="s">
        <v>2621</v>
      </c>
      <c r="E419" s="16">
        <v>86.0</v>
      </c>
    </row>
    <row r="420">
      <c r="A420" s="8" t="s">
        <v>1130</v>
      </c>
      <c r="B420" s="8" t="s">
        <v>275</v>
      </c>
      <c r="C420" s="8" t="s">
        <v>65</v>
      </c>
      <c r="D420" s="18" t="s">
        <v>2183</v>
      </c>
      <c r="E420" s="16">
        <v>76.0</v>
      </c>
    </row>
    <row r="421">
      <c r="A421" s="8" t="s">
        <v>1130</v>
      </c>
      <c r="B421" s="8" t="s">
        <v>1743</v>
      </c>
      <c r="C421" s="8" t="s">
        <v>93</v>
      </c>
      <c r="D421" s="18" t="s">
        <v>2556</v>
      </c>
      <c r="E421" s="16">
        <v>75.0</v>
      </c>
    </row>
    <row r="422">
      <c r="A422" s="8" t="s">
        <v>1744</v>
      </c>
      <c r="B422" s="8" t="s">
        <v>260</v>
      </c>
      <c r="C422" s="8" t="s">
        <v>70</v>
      </c>
      <c r="D422" s="18" t="s">
        <v>2577</v>
      </c>
      <c r="E422" s="16">
        <v>71.0</v>
      </c>
    </row>
    <row r="423">
      <c r="A423" s="8" t="s">
        <v>3213</v>
      </c>
      <c r="B423" s="8" t="s">
        <v>480</v>
      </c>
      <c r="C423" s="8" t="s">
        <v>24</v>
      </c>
      <c r="D423" s="18" t="s">
        <v>2562</v>
      </c>
      <c r="E423" s="16">
        <v>62.0</v>
      </c>
    </row>
    <row r="424">
      <c r="A424" s="8" t="s">
        <v>2741</v>
      </c>
      <c r="B424" s="8" t="s">
        <v>275</v>
      </c>
      <c r="C424" s="8" t="s">
        <v>192</v>
      </c>
      <c r="D424" s="18" t="s">
        <v>2592</v>
      </c>
      <c r="E424" s="16">
        <v>71.0</v>
      </c>
    </row>
    <row r="425">
      <c r="A425" s="8" t="s">
        <v>195</v>
      </c>
      <c r="B425" s="8" t="s">
        <v>1131</v>
      </c>
      <c r="C425" s="8" t="s">
        <v>16</v>
      </c>
      <c r="D425" s="18" t="s">
        <v>2556</v>
      </c>
      <c r="E425" s="16">
        <v>69.0</v>
      </c>
    </row>
    <row r="426">
      <c r="A426" s="8" t="s">
        <v>195</v>
      </c>
      <c r="B426" s="8" t="s">
        <v>1644</v>
      </c>
      <c r="C426" s="8" t="s">
        <v>70</v>
      </c>
      <c r="D426" s="18" t="s">
        <v>2552</v>
      </c>
      <c r="E426" s="16">
        <v>80.0</v>
      </c>
    </row>
    <row r="427">
      <c r="A427" s="8" t="s">
        <v>195</v>
      </c>
      <c r="B427" s="8" t="s">
        <v>196</v>
      </c>
      <c r="C427" s="8" t="s">
        <v>24</v>
      </c>
      <c r="D427" s="18" t="s">
        <v>2556</v>
      </c>
      <c r="E427" s="16">
        <v>85.0</v>
      </c>
    </row>
    <row r="428">
      <c r="A428" s="8" t="s">
        <v>1412</v>
      </c>
      <c r="B428" s="8" t="s">
        <v>1413</v>
      </c>
      <c r="C428" s="8" t="s">
        <v>65</v>
      </c>
      <c r="D428" s="18" t="s">
        <v>2600</v>
      </c>
      <c r="E428" s="16">
        <v>86.0</v>
      </c>
    </row>
    <row r="429">
      <c r="A429" s="8" t="s">
        <v>500</v>
      </c>
      <c r="B429" s="8" t="s">
        <v>1411</v>
      </c>
      <c r="C429" s="8" t="s">
        <v>65</v>
      </c>
      <c r="D429" s="18" t="s">
        <v>2556</v>
      </c>
      <c r="E429" s="16">
        <v>87.0</v>
      </c>
    </row>
    <row r="430">
      <c r="A430" s="8" t="s">
        <v>500</v>
      </c>
      <c r="B430" s="8" t="s">
        <v>1940</v>
      </c>
      <c r="C430" s="8" t="s">
        <v>132</v>
      </c>
      <c r="D430" s="18" t="s">
        <v>2577</v>
      </c>
      <c r="E430" s="16">
        <v>62.0</v>
      </c>
    </row>
    <row r="431">
      <c r="A431" s="8" t="s">
        <v>500</v>
      </c>
      <c r="B431" s="8" t="s">
        <v>3214</v>
      </c>
      <c r="C431" s="8" t="s">
        <v>46</v>
      </c>
      <c r="D431" s="18" t="s">
        <v>2567</v>
      </c>
      <c r="E431" s="16">
        <v>64.0</v>
      </c>
    </row>
    <row r="432">
      <c r="A432" s="8" t="s">
        <v>500</v>
      </c>
      <c r="B432" s="8" t="s">
        <v>842</v>
      </c>
      <c r="C432" s="8" t="s">
        <v>75</v>
      </c>
      <c r="D432" s="18" t="s">
        <v>2614</v>
      </c>
      <c r="E432" s="16">
        <v>77.0</v>
      </c>
    </row>
    <row r="433">
      <c r="A433" s="8" t="s">
        <v>500</v>
      </c>
      <c r="B433" s="8" t="s">
        <v>247</v>
      </c>
      <c r="C433" s="8" t="s">
        <v>93</v>
      </c>
      <c r="D433" s="18" t="s">
        <v>2605</v>
      </c>
      <c r="E433" s="16">
        <v>73.0</v>
      </c>
    </row>
    <row r="434">
      <c r="A434" s="8" t="s">
        <v>500</v>
      </c>
      <c r="B434" s="8" t="s">
        <v>1746</v>
      </c>
      <c r="C434" s="8" t="s">
        <v>65</v>
      </c>
      <c r="D434" s="18" t="s">
        <v>2593</v>
      </c>
      <c r="E434" s="16">
        <v>64.0</v>
      </c>
    </row>
    <row r="435">
      <c r="A435" s="8" t="s">
        <v>500</v>
      </c>
      <c r="B435" s="8" t="s">
        <v>596</v>
      </c>
      <c r="C435" s="8" t="s">
        <v>122</v>
      </c>
      <c r="D435" s="18" t="s">
        <v>2615</v>
      </c>
      <c r="E435" s="16">
        <v>70.0</v>
      </c>
    </row>
    <row r="436">
      <c r="A436" s="8" t="s">
        <v>662</v>
      </c>
      <c r="B436" s="8" t="s">
        <v>121</v>
      </c>
      <c r="C436" s="8" t="s">
        <v>138</v>
      </c>
      <c r="D436" s="18" t="s">
        <v>2554</v>
      </c>
      <c r="E436" s="16">
        <v>66.0</v>
      </c>
    </row>
    <row r="437">
      <c r="A437" s="8" t="s">
        <v>1414</v>
      </c>
      <c r="B437" s="8" t="s">
        <v>362</v>
      </c>
      <c r="C437" s="8" t="s">
        <v>65</v>
      </c>
      <c r="D437" s="18" t="s">
        <v>2610</v>
      </c>
      <c r="E437" s="16">
        <v>68.0</v>
      </c>
    </row>
    <row r="438">
      <c r="A438" s="8" t="s">
        <v>1415</v>
      </c>
      <c r="B438" s="8" t="s">
        <v>1416</v>
      </c>
      <c r="C438" s="8" t="s">
        <v>186</v>
      </c>
      <c r="D438" s="18" t="s">
        <v>2575</v>
      </c>
      <c r="E438" s="16">
        <v>71.0</v>
      </c>
    </row>
    <row r="439">
      <c r="A439" s="8" t="s">
        <v>1132</v>
      </c>
      <c r="B439" s="8" t="s">
        <v>647</v>
      </c>
      <c r="C439" s="8" t="s">
        <v>93</v>
      </c>
      <c r="D439" s="18" t="s">
        <v>2593</v>
      </c>
      <c r="E439" s="16">
        <v>65.0</v>
      </c>
    </row>
    <row r="440">
      <c r="A440" s="8" t="s">
        <v>254</v>
      </c>
      <c r="B440" s="8" t="s">
        <v>255</v>
      </c>
      <c r="C440" s="8" t="s">
        <v>16</v>
      </c>
      <c r="D440" s="18" t="s">
        <v>2582</v>
      </c>
      <c r="E440" s="16">
        <v>85.0</v>
      </c>
    </row>
    <row r="441">
      <c r="A441" s="8" t="s">
        <v>1417</v>
      </c>
      <c r="B441" s="8" t="s">
        <v>726</v>
      </c>
      <c r="C441" s="8" t="s">
        <v>215</v>
      </c>
      <c r="D441" s="18" t="s">
        <v>2562</v>
      </c>
      <c r="E441" s="16">
        <v>70.0</v>
      </c>
    </row>
    <row r="442">
      <c r="A442" s="8" t="s">
        <v>663</v>
      </c>
      <c r="B442" s="8" t="s">
        <v>260</v>
      </c>
      <c r="C442" s="8" t="s">
        <v>59</v>
      </c>
      <c r="D442" s="18" t="s">
        <v>2556</v>
      </c>
      <c r="E442" s="16">
        <v>59.0</v>
      </c>
    </row>
    <row r="443">
      <c r="A443" s="8" t="s">
        <v>145</v>
      </c>
      <c r="B443" s="8" t="s">
        <v>664</v>
      </c>
      <c r="C443" s="8" t="s">
        <v>122</v>
      </c>
      <c r="D443" s="18" t="s">
        <v>2564</v>
      </c>
      <c r="E443" s="16">
        <v>91.0</v>
      </c>
    </row>
    <row r="444">
      <c r="A444" s="8" t="s">
        <v>145</v>
      </c>
      <c r="B444" s="8" t="s">
        <v>146</v>
      </c>
      <c r="C444" s="8" t="s">
        <v>24</v>
      </c>
      <c r="D444" s="18" t="s">
        <v>2575</v>
      </c>
      <c r="E444" s="16">
        <v>40.0</v>
      </c>
    </row>
    <row r="445">
      <c r="A445" s="8" t="s">
        <v>3215</v>
      </c>
      <c r="B445" s="8" t="s">
        <v>354</v>
      </c>
      <c r="C445" s="8" t="s">
        <v>138</v>
      </c>
      <c r="D445" s="18" t="s">
        <v>2574</v>
      </c>
      <c r="E445" s="16">
        <v>64.0</v>
      </c>
    </row>
    <row r="446">
      <c r="A446" s="8" t="s">
        <v>2743</v>
      </c>
      <c r="B446" s="8" t="s">
        <v>243</v>
      </c>
      <c r="C446" s="8" t="s">
        <v>186</v>
      </c>
      <c r="D446" s="18" t="s">
        <v>2585</v>
      </c>
      <c r="E446" s="16">
        <v>68.0</v>
      </c>
    </row>
    <row r="447">
      <c r="A447" s="8" t="s">
        <v>2744</v>
      </c>
      <c r="B447" s="8" t="s">
        <v>137</v>
      </c>
      <c r="C447" s="8" t="s">
        <v>65</v>
      </c>
      <c r="D447" s="18" t="s">
        <v>2556</v>
      </c>
      <c r="E447" s="16">
        <v>85.0</v>
      </c>
    </row>
    <row r="448">
      <c r="A448" s="8" t="s">
        <v>1752</v>
      </c>
      <c r="B448" s="18" t="s">
        <v>1753</v>
      </c>
      <c r="C448" s="8" t="s">
        <v>192</v>
      </c>
      <c r="D448" s="18" t="s">
        <v>2582</v>
      </c>
      <c r="E448" s="16">
        <v>80.0</v>
      </c>
    </row>
    <row r="449">
      <c r="A449" s="8" t="s">
        <v>359</v>
      </c>
      <c r="B449" s="8" t="s">
        <v>360</v>
      </c>
      <c r="C449" s="8" t="s">
        <v>215</v>
      </c>
      <c r="D449" s="18" t="s">
        <v>2598</v>
      </c>
      <c r="E449" s="16">
        <v>69.0</v>
      </c>
    </row>
    <row r="450">
      <c r="A450" s="8" t="s">
        <v>359</v>
      </c>
      <c r="B450" s="8" t="s">
        <v>501</v>
      </c>
      <c r="C450" s="8" t="s">
        <v>138</v>
      </c>
      <c r="D450" s="18" t="s">
        <v>2614</v>
      </c>
      <c r="E450" s="16">
        <v>77.0</v>
      </c>
    </row>
    <row r="451">
      <c r="A451" s="8" t="s">
        <v>1133</v>
      </c>
      <c r="B451" s="8" t="s">
        <v>1134</v>
      </c>
      <c r="C451" s="8" t="s">
        <v>93</v>
      </c>
      <c r="D451" s="18" t="s">
        <v>2595</v>
      </c>
      <c r="E451" s="16">
        <v>71.0</v>
      </c>
    </row>
    <row r="452">
      <c r="A452" s="8" t="s">
        <v>3216</v>
      </c>
      <c r="B452" s="8" t="s">
        <v>196</v>
      </c>
      <c r="C452" s="8" t="s">
        <v>215</v>
      </c>
      <c r="D452" s="18" t="s">
        <v>2620</v>
      </c>
      <c r="E452" s="16">
        <v>71.0</v>
      </c>
    </row>
    <row r="453">
      <c r="A453" s="8" t="s">
        <v>3217</v>
      </c>
      <c r="B453" s="8" t="s">
        <v>247</v>
      </c>
      <c r="C453" s="8" t="s">
        <v>80</v>
      </c>
      <c r="D453" s="18" t="s">
        <v>2603</v>
      </c>
      <c r="E453" s="16">
        <v>64.0</v>
      </c>
    </row>
    <row r="454">
      <c r="A454" s="8" t="s">
        <v>1419</v>
      </c>
      <c r="B454" s="8" t="s">
        <v>45</v>
      </c>
      <c r="C454" s="8" t="s">
        <v>24</v>
      </c>
      <c r="D454" s="18" t="s">
        <v>2587</v>
      </c>
      <c r="E454" s="16">
        <v>66.0</v>
      </c>
    </row>
    <row r="455">
      <c r="A455" s="8" t="s">
        <v>110</v>
      </c>
      <c r="B455" s="8" t="s">
        <v>111</v>
      </c>
      <c r="C455" s="8" t="s">
        <v>12</v>
      </c>
      <c r="D455" s="18" t="s">
        <v>2558</v>
      </c>
      <c r="E455" s="16">
        <v>77.0</v>
      </c>
    </row>
    <row r="456">
      <c r="A456" s="8" t="s">
        <v>2747</v>
      </c>
      <c r="B456" s="8" t="s">
        <v>2748</v>
      </c>
      <c r="C456" s="8" t="s">
        <v>261</v>
      </c>
      <c r="D456" s="18" t="s">
        <v>2592</v>
      </c>
      <c r="E456" s="16">
        <v>68.0</v>
      </c>
    </row>
    <row r="457">
      <c r="A457" s="8" t="s">
        <v>2749</v>
      </c>
      <c r="B457" s="8" t="s">
        <v>258</v>
      </c>
      <c r="C457" s="8" t="s">
        <v>70</v>
      </c>
      <c r="D457" s="18" t="s">
        <v>2567</v>
      </c>
      <c r="E457" s="16">
        <v>61.0</v>
      </c>
    </row>
    <row r="458">
      <c r="A458" s="8" t="s">
        <v>1135</v>
      </c>
      <c r="B458" s="8" t="s">
        <v>1136</v>
      </c>
      <c r="C458" s="8" t="s">
        <v>65</v>
      </c>
      <c r="D458" s="18" t="s">
        <v>2582</v>
      </c>
      <c r="E458" s="16">
        <v>82.0</v>
      </c>
    </row>
    <row r="459">
      <c r="A459" s="8" t="s">
        <v>1137</v>
      </c>
      <c r="B459" s="8" t="s">
        <v>948</v>
      </c>
      <c r="C459" s="8" t="s">
        <v>70</v>
      </c>
      <c r="D459" s="18" t="s">
        <v>2615</v>
      </c>
      <c r="E459" s="16">
        <v>82.0</v>
      </c>
    </row>
    <row r="460">
      <c r="A460" s="8" t="s">
        <v>3218</v>
      </c>
      <c r="B460" s="8" t="s">
        <v>1598</v>
      </c>
      <c r="C460" s="8" t="s">
        <v>65</v>
      </c>
      <c r="D460" s="18" t="s">
        <v>2605</v>
      </c>
      <c r="E460" s="16">
        <v>77.0</v>
      </c>
    </row>
    <row r="461">
      <c r="A461" s="8" t="s">
        <v>3219</v>
      </c>
      <c r="B461" s="8" t="s">
        <v>712</v>
      </c>
      <c r="C461" s="8" t="s">
        <v>24</v>
      </c>
      <c r="D461" s="18" t="s">
        <v>2572</v>
      </c>
      <c r="E461" s="16">
        <v>72.0</v>
      </c>
    </row>
    <row r="462">
      <c r="A462" s="8" t="s">
        <v>502</v>
      </c>
      <c r="B462" s="8" t="s">
        <v>665</v>
      </c>
      <c r="C462" s="8" t="s">
        <v>24</v>
      </c>
      <c r="D462" s="18" t="s">
        <v>2621</v>
      </c>
      <c r="E462" s="16">
        <v>66.0</v>
      </c>
    </row>
    <row r="463">
      <c r="A463" s="8" t="s">
        <v>502</v>
      </c>
      <c r="B463" s="8" t="s">
        <v>480</v>
      </c>
      <c r="C463" s="8" t="s">
        <v>59</v>
      </c>
      <c r="D463" s="18" t="s">
        <v>2562</v>
      </c>
      <c r="E463" s="16">
        <v>71.0</v>
      </c>
    </row>
    <row r="464">
      <c r="A464" s="8" t="s">
        <v>3220</v>
      </c>
      <c r="B464" s="8" t="s">
        <v>503</v>
      </c>
      <c r="C464" s="8" t="s">
        <v>70</v>
      </c>
      <c r="D464" s="18" t="s">
        <v>2605</v>
      </c>
      <c r="E464" s="16">
        <v>74.0</v>
      </c>
    </row>
    <row r="465">
      <c r="A465" s="8" t="s">
        <v>256</v>
      </c>
      <c r="B465" s="8" t="s">
        <v>257</v>
      </c>
      <c r="C465" s="8" t="s">
        <v>215</v>
      </c>
      <c r="D465" s="18" t="s">
        <v>2564</v>
      </c>
      <c r="E465" s="16">
        <v>79.0</v>
      </c>
    </row>
    <row r="466">
      <c r="A466" s="8" t="s">
        <v>3221</v>
      </c>
      <c r="B466" s="8" t="s">
        <v>157</v>
      </c>
      <c r="C466" s="8" t="s">
        <v>186</v>
      </c>
      <c r="D466" s="18" t="s">
        <v>2562</v>
      </c>
      <c r="E466" s="16">
        <v>78.0</v>
      </c>
    </row>
    <row r="467">
      <c r="A467" s="8" t="s">
        <v>2751</v>
      </c>
      <c r="B467" s="8" t="s">
        <v>92</v>
      </c>
      <c r="C467" s="8" t="s">
        <v>80</v>
      </c>
      <c r="D467" s="18" t="s">
        <v>2621</v>
      </c>
      <c r="E467" s="16">
        <v>84.0</v>
      </c>
    </row>
    <row r="468">
      <c r="A468" s="8" t="s">
        <v>1139</v>
      </c>
      <c r="B468" s="8" t="s">
        <v>102</v>
      </c>
      <c r="C468" s="8" t="s">
        <v>132</v>
      </c>
      <c r="D468" s="18" t="s">
        <v>2554</v>
      </c>
      <c r="E468" s="16">
        <v>66.0</v>
      </c>
    </row>
    <row r="469">
      <c r="A469" s="8" t="s">
        <v>258</v>
      </c>
      <c r="B469" s="8" t="s">
        <v>43</v>
      </c>
      <c r="C469" s="8" t="s">
        <v>16</v>
      </c>
      <c r="D469" s="18" t="s">
        <v>2610</v>
      </c>
      <c r="E469" s="16">
        <v>84.0</v>
      </c>
    </row>
    <row r="470">
      <c r="A470" s="8" t="s">
        <v>666</v>
      </c>
      <c r="B470" s="8" t="s">
        <v>263</v>
      </c>
      <c r="C470" s="8" t="s">
        <v>80</v>
      </c>
      <c r="D470" s="18" t="s">
        <v>2577</v>
      </c>
      <c r="E470" s="16">
        <v>70.0</v>
      </c>
    </row>
    <row r="471">
      <c r="A471" s="8" t="s">
        <v>197</v>
      </c>
      <c r="B471" s="8" t="s">
        <v>198</v>
      </c>
      <c r="C471" s="8" t="s">
        <v>16</v>
      </c>
      <c r="D471" s="18" t="s">
        <v>2595</v>
      </c>
      <c r="E471" s="16">
        <v>70.0</v>
      </c>
    </row>
    <row r="472">
      <c r="A472" s="8" t="s">
        <v>197</v>
      </c>
      <c r="B472" s="8" t="s">
        <v>306</v>
      </c>
      <c r="C472" s="8" t="s">
        <v>93</v>
      </c>
      <c r="D472" s="18" t="s">
        <v>2575</v>
      </c>
      <c r="E472" s="16">
        <v>61.0</v>
      </c>
    </row>
    <row r="473">
      <c r="A473" s="8" t="s">
        <v>361</v>
      </c>
      <c r="B473" s="18" t="s">
        <v>912</v>
      </c>
      <c r="C473" s="8" t="s">
        <v>65</v>
      </c>
      <c r="D473" s="18" t="s">
        <v>2598</v>
      </c>
      <c r="E473" s="16">
        <v>58.0</v>
      </c>
    </row>
    <row r="474">
      <c r="A474" s="8" t="s">
        <v>361</v>
      </c>
      <c r="B474" s="8" t="s">
        <v>183</v>
      </c>
      <c r="C474" s="8" t="s">
        <v>215</v>
      </c>
      <c r="D474" s="18" t="s">
        <v>2558</v>
      </c>
      <c r="E474" s="16">
        <v>87.0</v>
      </c>
    </row>
    <row r="475">
      <c r="A475" s="8" t="s">
        <v>2753</v>
      </c>
      <c r="B475" s="8" t="s">
        <v>2754</v>
      </c>
      <c r="C475" s="8" t="s">
        <v>186</v>
      </c>
      <c r="D475" s="18" t="s">
        <v>2589</v>
      </c>
      <c r="E475" s="16">
        <v>76.0</v>
      </c>
    </row>
    <row r="476">
      <c r="A476" s="8" t="s">
        <v>2755</v>
      </c>
      <c r="B476" s="8" t="s">
        <v>2756</v>
      </c>
      <c r="C476" s="8" t="s">
        <v>65</v>
      </c>
      <c r="D476" s="18" t="s">
        <v>2603</v>
      </c>
      <c r="E476" s="16">
        <v>74.0</v>
      </c>
    </row>
    <row r="477">
      <c r="A477" s="8" t="s">
        <v>1421</v>
      </c>
      <c r="B477" s="8" t="s">
        <v>1091</v>
      </c>
      <c r="C477" s="8" t="s">
        <v>93</v>
      </c>
      <c r="D477" s="18" t="s">
        <v>2587</v>
      </c>
      <c r="E477" s="16">
        <v>79.0</v>
      </c>
    </row>
    <row r="478">
      <c r="A478" s="8" t="s">
        <v>504</v>
      </c>
      <c r="B478" s="8" t="s">
        <v>505</v>
      </c>
      <c r="C478" s="8" t="s">
        <v>122</v>
      </c>
      <c r="D478" s="18" t="s">
        <v>2587</v>
      </c>
      <c r="E478" s="16">
        <v>85.0</v>
      </c>
    </row>
    <row r="479">
      <c r="A479" s="8" t="s">
        <v>2757</v>
      </c>
      <c r="B479" s="8" t="s">
        <v>2758</v>
      </c>
      <c r="C479" s="8" t="s">
        <v>70</v>
      </c>
      <c r="D479" s="18" t="s">
        <v>2566</v>
      </c>
      <c r="E479" s="16">
        <v>74.0</v>
      </c>
    </row>
    <row r="480">
      <c r="A480" s="8" t="s">
        <v>880</v>
      </c>
      <c r="B480" s="8" t="s">
        <v>33</v>
      </c>
      <c r="C480" s="8" t="s">
        <v>38</v>
      </c>
      <c r="D480" s="18" t="s">
        <v>2581</v>
      </c>
      <c r="E480" s="16">
        <v>78.0</v>
      </c>
    </row>
    <row r="481">
      <c r="A481" s="8" t="s">
        <v>1757</v>
      </c>
      <c r="B481" s="18" t="s">
        <v>1758</v>
      </c>
      <c r="C481" s="8" t="s">
        <v>149</v>
      </c>
      <c r="D481" s="18" t="s">
        <v>2562</v>
      </c>
      <c r="E481" s="16">
        <v>70.0</v>
      </c>
    </row>
    <row r="482">
      <c r="A482" s="8" t="s">
        <v>506</v>
      </c>
      <c r="B482" s="8" t="s">
        <v>507</v>
      </c>
      <c r="C482" s="8" t="s">
        <v>59</v>
      </c>
      <c r="D482" s="18" t="s">
        <v>2592</v>
      </c>
      <c r="E482" s="16">
        <v>84.0</v>
      </c>
    </row>
    <row r="483">
      <c r="A483" s="8" t="s">
        <v>61</v>
      </c>
      <c r="B483" s="8" t="s">
        <v>464</v>
      </c>
      <c r="C483" s="8" t="s">
        <v>16</v>
      </c>
      <c r="D483" s="18" t="s">
        <v>2603</v>
      </c>
      <c r="E483" s="16">
        <v>68.0</v>
      </c>
    </row>
    <row r="484">
      <c r="A484" s="8" t="s">
        <v>61</v>
      </c>
      <c r="B484" s="8" t="s">
        <v>881</v>
      </c>
      <c r="C484" s="8" t="s">
        <v>122</v>
      </c>
      <c r="D484" s="18" t="s">
        <v>2575</v>
      </c>
      <c r="E484" s="16">
        <v>66.0</v>
      </c>
    </row>
    <row r="485">
      <c r="A485" s="8" t="s">
        <v>61</v>
      </c>
      <c r="B485" s="8" t="s">
        <v>362</v>
      </c>
      <c r="C485" s="8" t="s">
        <v>80</v>
      </c>
      <c r="D485" s="18" t="s">
        <v>2593</v>
      </c>
      <c r="E485" s="16">
        <v>65.0</v>
      </c>
    </row>
    <row r="486">
      <c r="A486" s="8" t="s">
        <v>61</v>
      </c>
      <c r="B486" s="8" t="s">
        <v>304</v>
      </c>
      <c r="C486" s="8" t="s">
        <v>65</v>
      </c>
      <c r="D486" s="18" t="s">
        <v>2621</v>
      </c>
      <c r="E486" s="16">
        <v>79.0</v>
      </c>
    </row>
    <row r="487">
      <c r="A487" s="8" t="s">
        <v>61</v>
      </c>
      <c r="B487" s="8" t="s">
        <v>363</v>
      </c>
      <c r="C487" s="8" t="s">
        <v>186</v>
      </c>
      <c r="D487" s="18" t="s">
        <v>2560</v>
      </c>
      <c r="E487" s="16">
        <v>74.0</v>
      </c>
    </row>
    <row r="488">
      <c r="A488" s="8" t="s">
        <v>61</v>
      </c>
      <c r="B488" s="8" t="s">
        <v>882</v>
      </c>
      <c r="C488" s="8" t="s">
        <v>65</v>
      </c>
      <c r="D488" s="18" t="s">
        <v>2572</v>
      </c>
      <c r="E488" s="16">
        <v>64.0</v>
      </c>
    </row>
    <row r="489">
      <c r="A489" s="8" t="s">
        <v>61</v>
      </c>
      <c r="B489" s="8" t="s">
        <v>2080</v>
      </c>
      <c r="C489" s="8" t="s">
        <v>186</v>
      </c>
      <c r="D489" s="18" t="s">
        <v>2554</v>
      </c>
      <c r="E489" s="16">
        <v>74.0</v>
      </c>
    </row>
    <row r="490">
      <c r="A490" s="8" t="s">
        <v>61</v>
      </c>
      <c r="B490" s="8" t="s">
        <v>381</v>
      </c>
      <c r="C490" s="8" t="s">
        <v>70</v>
      </c>
      <c r="D490" s="18" t="s">
        <v>2593</v>
      </c>
      <c r="E490" s="16">
        <v>64.0</v>
      </c>
    </row>
    <row r="491">
      <c r="A491" s="8" t="s">
        <v>61</v>
      </c>
      <c r="B491" s="8" t="s">
        <v>119</v>
      </c>
      <c r="C491" s="8" t="s">
        <v>186</v>
      </c>
      <c r="D491" s="18" t="s">
        <v>2593</v>
      </c>
      <c r="E491" s="16">
        <v>59.0</v>
      </c>
    </row>
    <row r="492">
      <c r="A492" s="8" t="s">
        <v>61</v>
      </c>
      <c r="B492" s="8" t="s">
        <v>3222</v>
      </c>
      <c r="C492" s="8" t="s">
        <v>70</v>
      </c>
      <c r="D492" s="18" t="s">
        <v>2577</v>
      </c>
      <c r="E492" s="16">
        <v>71.0</v>
      </c>
    </row>
    <row r="493">
      <c r="A493" s="8" t="s">
        <v>61</v>
      </c>
      <c r="B493" s="8" t="s">
        <v>183</v>
      </c>
      <c r="C493" s="8" t="s">
        <v>70</v>
      </c>
      <c r="D493" s="18" t="s">
        <v>2603</v>
      </c>
      <c r="E493" s="16">
        <v>72.0</v>
      </c>
    </row>
    <row r="494">
      <c r="A494" s="8" t="s">
        <v>61</v>
      </c>
      <c r="B494" s="8" t="s">
        <v>337</v>
      </c>
      <c r="C494" s="8" t="s">
        <v>65</v>
      </c>
      <c r="D494" s="18" t="s">
        <v>2582</v>
      </c>
      <c r="E494" s="16">
        <v>65.0</v>
      </c>
    </row>
    <row r="495">
      <c r="A495" s="8" t="s">
        <v>61</v>
      </c>
      <c r="B495" s="8" t="s">
        <v>67</v>
      </c>
      <c r="C495" s="8" t="s">
        <v>215</v>
      </c>
      <c r="D495" s="18" t="s">
        <v>2587</v>
      </c>
      <c r="E495" s="16">
        <v>71.0</v>
      </c>
    </row>
    <row r="496">
      <c r="A496" s="8" t="s">
        <v>61</v>
      </c>
      <c r="B496" s="8" t="s">
        <v>162</v>
      </c>
      <c r="C496" s="8" t="s">
        <v>192</v>
      </c>
      <c r="D496" s="18" t="s">
        <v>2577</v>
      </c>
      <c r="E496" s="16">
        <v>73.0</v>
      </c>
    </row>
    <row r="497">
      <c r="A497" s="8" t="s">
        <v>61</v>
      </c>
      <c r="B497" s="8" t="s">
        <v>883</v>
      </c>
      <c r="C497" s="8" t="s">
        <v>186</v>
      </c>
      <c r="D497" s="18" t="s">
        <v>2620</v>
      </c>
      <c r="E497" s="16">
        <v>76.0</v>
      </c>
    </row>
    <row r="498">
      <c r="A498" s="8" t="s">
        <v>61</v>
      </c>
      <c r="B498" s="8" t="s">
        <v>1028</v>
      </c>
      <c r="C498" s="8" t="s">
        <v>65</v>
      </c>
      <c r="D498" s="18" t="s">
        <v>2558</v>
      </c>
      <c r="E498" s="16">
        <v>64.0</v>
      </c>
    </row>
    <row r="499">
      <c r="A499" s="8" t="s">
        <v>61</v>
      </c>
      <c r="B499" s="8" t="s">
        <v>84</v>
      </c>
      <c r="C499" s="8" t="s">
        <v>24</v>
      </c>
      <c r="D499" s="18" t="s">
        <v>2582</v>
      </c>
      <c r="E499" s="16">
        <v>80.0</v>
      </c>
    </row>
    <row r="500">
      <c r="A500" s="8" t="s">
        <v>61</v>
      </c>
      <c r="B500" s="8" t="s">
        <v>2759</v>
      </c>
      <c r="C500" s="8" t="s">
        <v>93</v>
      </c>
      <c r="D500" s="18" t="s">
        <v>2567</v>
      </c>
      <c r="E500" s="16">
        <v>86.0</v>
      </c>
    </row>
    <row r="501">
      <c r="A501" s="8" t="s">
        <v>61</v>
      </c>
      <c r="B501" s="8" t="s">
        <v>1046</v>
      </c>
      <c r="C501" s="8" t="s">
        <v>93</v>
      </c>
      <c r="D501" s="18" t="s">
        <v>2585</v>
      </c>
      <c r="E501" s="16">
        <v>70.0</v>
      </c>
    </row>
    <row r="502">
      <c r="A502" s="8" t="s">
        <v>2760</v>
      </c>
      <c r="B502" s="8" t="s">
        <v>62</v>
      </c>
      <c r="C502" s="8" t="s">
        <v>59</v>
      </c>
      <c r="D502" s="18" t="s">
        <v>2574</v>
      </c>
      <c r="E502" s="16">
        <v>87.0</v>
      </c>
    </row>
    <row r="503">
      <c r="A503" s="8" t="s">
        <v>1140</v>
      </c>
      <c r="B503" s="8" t="s">
        <v>1141</v>
      </c>
      <c r="C503" s="8" t="s">
        <v>122</v>
      </c>
      <c r="D503" s="18" t="s">
        <v>2595</v>
      </c>
      <c r="E503" s="16">
        <v>72.0</v>
      </c>
    </row>
    <row r="504">
      <c r="A504" s="8" t="s">
        <v>1422</v>
      </c>
      <c r="B504" s="8" t="s">
        <v>744</v>
      </c>
      <c r="C504" s="8" t="s">
        <v>149</v>
      </c>
      <c r="D504" s="18" t="s">
        <v>2587</v>
      </c>
      <c r="E504" s="16">
        <v>76.0</v>
      </c>
    </row>
    <row r="505">
      <c r="A505" s="8" t="s">
        <v>2081</v>
      </c>
      <c r="B505" s="8" t="s">
        <v>2124</v>
      </c>
      <c r="C505" s="8" t="s">
        <v>12</v>
      </c>
      <c r="D505" s="18" t="s">
        <v>2589</v>
      </c>
      <c r="E505" s="16">
        <v>80.0</v>
      </c>
    </row>
    <row r="506">
      <c r="A506" s="8" t="s">
        <v>2081</v>
      </c>
      <c r="B506" s="18" t="s">
        <v>1341</v>
      </c>
      <c r="C506" s="8" t="s">
        <v>59</v>
      </c>
      <c r="D506" s="18" t="s">
        <v>2610</v>
      </c>
      <c r="E506" s="16">
        <v>71.0</v>
      </c>
    </row>
    <row r="507">
      <c r="A507" s="8" t="s">
        <v>1424</v>
      </c>
      <c r="B507" s="8" t="s">
        <v>787</v>
      </c>
      <c r="C507" s="8" t="s">
        <v>122</v>
      </c>
      <c r="D507" s="18" t="s">
        <v>2584</v>
      </c>
      <c r="E507" s="16">
        <v>69.0</v>
      </c>
    </row>
    <row r="508">
      <c r="A508" s="8" t="s">
        <v>1761</v>
      </c>
      <c r="B508" s="8" t="s">
        <v>176</v>
      </c>
      <c r="C508" s="8" t="s">
        <v>70</v>
      </c>
      <c r="D508" s="18" t="s">
        <v>2615</v>
      </c>
      <c r="E508" s="16">
        <v>63.0</v>
      </c>
    </row>
    <row r="509">
      <c r="A509" s="8" t="s">
        <v>974</v>
      </c>
      <c r="B509" s="8" t="s">
        <v>506</v>
      </c>
      <c r="C509" s="8" t="s">
        <v>122</v>
      </c>
      <c r="D509" s="18" t="s">
        <v>2610</v>
      </c>
      <c r="E509" s="16">
        <v>60.0</v>
      </c>
    </row>
    <row r="510">
      <c r="A510" s="8" t="s">
        <v>3223</v>
      </c>
      <c r="B510" s="8" t="s">
        <v>165</v>
      </c>
      <c r="C510" s="8" t="s">
        <v>46</v>
      </c>
      <c r="D510" s="18" t="s">
        <v>2614</v>
      </c>
      <c r="E510" s="16">
        <v>60.0</v>
      </c>
    </row>
    <row r="511">
      <c r="A511" s="8" t="s">
        <v>508</v>
      </c>
      <c r="B511" s="8" t="s">
        <v>506</v>
      </c>
      <c r="C511" s="8" t="s">
        <v>132</v>
      </c>
      <c r="D511" s="18" t="s">
        <v>2577</v>
      </c>
      <c r="E511" s="16">
        <v>88.0</v>
      </c>
    </row>
    <row r="512">
      <c r="A512" s="8" t="s">
        <v>1428</v>
      </c>
      <c r="B512" s="8" t="s">
        <v>129</v>
      </c>
      <c r="C512" s="8" t="s">
        <v>65</v>
      </c>
      <c r="D512" s="18" t="s">
        <v>2621</v>
      </c>
      <c r="E512" s="16">
        <v>86.0</v>
      </c>
    </row>
    <row r="513">
      <c r="A513" s="8" t="s">
        <v>1428</v>
      </c>
      <c r="B513" s="8" t="s">
        <v>441</v>
      </c>
      <c r="C513" s="8" t="s">
        <v>46</v>
      </c>
      <c r="D513" s="18" t="s">
        <v>2554</v>
      </c>
      <c r="E513" s="16">
        <v>82.0</v>
      </c>
    </row>
    <row r="514">
      <c r="A514" s="8" t="s">
        <v>1142</v>
      </c>
      <c r="B514" s="8" t="s">
        <v>1143</v>
      </c>
      <c r="C514" s="8" t="s">
        <v>93</v>
      </c>
      <c r="D514" s="18" t="s">
        <v>2562</v>
      </c>
      <c r="E514" s="16">
        <v>66.0</v>
      </c>
    </row>
    <row r="515">
      <c r="A515" s="8" t="s">
        <v>3224</v>
      </c>
      <c r="B515" s="8" t="s">
        <v>67</v>
      </c>
      <c r="C515" s="8" t="s">
        <v>215</v>
      </c>
      <c r="D515" s="18" t="s">
        <v>2574</v>
      </c>
      <c r="E515" s="16">
        <v>67.0</v>
      </c>
    </row>
    <row r="516">
      <c r="A516" s="8" t="s">
        <v>3225</v>
      </c>
      <c r="B516" s="8" t="s">
        <v>3226</v>
      </c>
      <c r="C516" s="8" t="s">
        <v>192</v>
      </c>
      <c r="D516" s="18" t="s">
        <v>2605</v>
      </c>
      <c r="E516" s="16">
        <v>80.0</v>
      </c>
    </row>
    <row r="517">
      <c r="A517" s="8" t="s">
        <v>885</v>
      </c>
      <c r="B517" s="8" t="s">
        <v>886</v>
      </c>
      <c r="C517" s="8" t="s">
        <v>93</v>
      </c>
      <c r="D517" s="18" t="s">
        <v>2610</v>
      </c>
      <c r="E517" s="16">
        <v>73.0</v>
      </c>
    </row>
    <row r="518">
      <c r="A518" s="8" t="s">
        <v>22</v>
      </c>
      <c r="B518" s="8" t="s">
        <v>23</v>
      </c>
      <c r="C518" s="8" t="s">
        <v>24</v>
      </c>
      <c r="D518" s="18" t="s">
        <v>2581</v>
      </c>
      <c r="E518" s="16">
        <v>48.0</v>
      </c>
    </row>
    <row r="519">
      <c r="A519" s="8" t="s">
        <v>85</v>
      </c>
      <c r="B519" s="8" t="s">
        <v>86</v>
      </c>
      <c r="C519" s="8" t="s">
        <v>24</v>
      </c>
      <c r="D519" s="18" t="s">
        <v>2566</v>
      </c>
      <c r="E519" s="16">
        <v>55.0</v>
      </c>
    </row>
    <row r="520">
      <c r="A520" s="8" t="s">
        <v>2762</v>
      </c>
      <c r="B520" s="18" t="s">
        <v>269</v>
      </c>
      <c r="C520" s="8" t="s">
        <v>24</v>
      </c>
      <c r="D520" s="18" t="s">
        <v>2620</v>
      </c>
      <c r="E520" s="16">
        <v>73.0</v>
      </c>
    </row>
    <row r="521">
      <c r="A521" s="8" t="s">
        <v>667</v>
      </c>
      <c r="B521" s="8" t="s">
        <v>668</v>
      </c>
      <c r="C521" s="8" t="s">
        <v>93</v>
      </c>
      <c r="D521" s="18" t="s">
        <v>2603</v>
      </c>
      <c r="E521" s="16">
        <v>70.0</v>
      </c>
    </row>
    <row r="522">
      <c r="A522" s="8" t="s">
        <v>1144</v>
      </c>
      <c r="B522" s="8" t="s">
        <v>793</v>
      </c>
      <c r="C522" s="8" t="s">
        <v>24</v>
      </c>
      <c r="D522" s="18" t="s">
        <v>2615</v>
      </c>
      <c r="E522" s="16">
        <v>68.0</v>
      </c>
    </row>
    <row r="523">
      <c r="A523" s="8" t="s">
        <v>259</v>
      </c>
      <c r="B523" s="8" t="s">
        <v>260</v>
      </c>
      <c r="C523" s="8" t="s">
        <v>261</v>
      </c>
      <c r="D523" s="18" t="s">
        <v>2600</v>
      </c>
      <c r="E523" s="16">
        <v>84.0</v>
      </c>
    </row>
    <row r="524">
      <c r="A524" s="8" t="s">
        <v>262</v>
      </c>
      <c r="B524" s="8" t="s">
        <v>263</v>
      </c>
      <c r="C524" s="8" t="s">
        <v>46</v>
      </c>
      <c r="D524" s="18" t="s">
        <v>2183</v>
      </c>
      <c r="E524" s="16">
        <v>64.0</v>
      </c>
    </row>
    <row r="525">
      <c r="A525" s="8" t="s">
        <v>3227</v>
      </c>
      <c r="B525" s="8" t="s">
        <v>804</v>
      </c>
      <c r="C525" s="8" t="s">
        <v>122</v>
      </c>
      <c r="D525" s="18" t="s">
        <v>2585</v>
      </c>
      <c r="E525" s="16">
        <v>76.0</v>
      </c>
    </row>
    <row r="526">
      <c r="A526" s="8" t="s">
        <v>200</v>
      </c>
      <c r="B526" s="8" t="s">
        <v>201</v>
      </c>
      <c r="C526" s="8" t="s">
        <v>24</v>
      </c>
      <c r="D526" s="18" t="s">
        <v>2574</v>
      </c>
      <c r="E526" s="16">
        <v>70.0</v>
      </c>
    </row>
    <row r="527">
      <c r="A527" s="8" t="s">
        <v>2763</v>
      </c>
      <c r="B527" s="18" t="s">
        <v>159</v>
      </c>
      <c r="C527" s="8" t="s">
        <v>141</v>
      </c>
      <c r="D527" s="18" t="s">
        <v>2610</v>
      </c>
      <c r="E527" s="16">
        <v>66.0</v>
      </c>
    </row>
    <row r="528">
      <c r="A528" s="8" t="s">
        <v>1147</v>
      </c>
      <c r="B528" s="8" t="s">
        <v>1148</v>
      </c>
      <c r="C528" s="8" t="s">
        <v>93</v>
      </c>
      <c r="D528" s="18" t="s">
        <v>2554</v>
      </c>
      <c r="E528" s="16">
        <v>71.0</v>
      </c>
    </row>
    <row r="529">
      <c r="A529" s="8" t="s">
        <v>1147</v>
      </c>
      <c r="B529" s="8" t="s">
        <v>1429</v>
      </c>
      <c r="C529" s="8" t="s">
        <v>65</v>
      </c>
      <c r="D529" s="18" t="s">
        <v>2552</v>
      </c>
      <c r="E529" s="16">
        <v>86.0</v>
      </c>
    </row>
    <row r="530">
      <c r="A530" s="8" t="s">
        <v>1457</v>
      </c>
      <c r="B530" s="18" t="s">
        <v>456</v>
      </c>
      <c r="C530" s="8" t="s">
        <v>192</v>
      </c>
      <c r="D530" s="18" t="s">
        <v>2562</v>
      </c>
      <c r="E530" s="16">
        <v>65.0</v>
      </c>
    </row>
    <row r="531">
      <c r="A531" s="8" t="s">
        <v>364</v>
      </c>
      <c r="B531" s="8" t="s">
        <v>194</v>
      </c>
      <c r="C531" s="8" t="s">
        <v>261</v>
      </c>
      <c r="D531" s="18" t="s">
        <v>2587</v>
      </c>
      <c r="E531" s="16">
        <v>84.0</v>
      </c>
    </row>
    <row r="532">
      <c r="A532" s="8" t="s">
        <v>1149</v>
      </c>
      <c r="B532" s="8" t="s">
        <v>157</v>
      </c>
      <c r="C532" s="8" t="s">
        <v>93</v>
      </c>
      <c r="D532" s="18" t="s">
        <v>2584</v>
      </c>
      <c r="E532" s="16">
        <v>65.0</v>
      </c>
    </row>
    <row r="533">
      <c r="A533" s="8" t="s">
        <v>1149</v>
      </c>
      <c r="B533" s="8" t="s">
        <v>892</v>
      </c>
      <c r="C533" s="8" t="s">
        <v>70</v>
      </c>
      <c r="D533" s="18" t="s">
        <v>2575</v>
      </c>
      <c r="E533" s="16">
        <v>76.0</v>
      </c>
    </row>
    <row r="534">
      <c r="A534" s="8" t="s">
        <v>1149</v>
      </c>
      <c r="B534" s="8" t="s">
        <v>421</v>
      </c>
      <c r="C534" s="8" t="s">
        <v>38</v>
      </c>
      <c r="D534" s="18" t="s">
        <v>2620</v>
      </c>
      <c r="E534" s="16">
        <v>74.0</v>
      </c>
    </row>
    <row r="535">
      <c r="A535" s="8" t="s">
        <v>1766</v>
      </c>
      <c r="B535" s="8" t="s">
        <v>1283</v>
      </c>
      <c r="C535" s="8" t="s">
        <v>16</v>
      </c>
      <c r="D535" s="18" t="s">
        <v>2577</v>
      </c>
      <c r="E535" s="16">
        <v>72.0</v>
      </c>
    </row>
    <row r="536">
      <c r="A536" s="8" t="s">
        <v>3228</v>
      </c>
      <c r="B536" s="8" t="s">
        <v>98</v>
      </c>
      <c r="C536" s="8" t="s">
        <v>65</v>
      </c>
      <c r="D536" s="18" t="s">
        <v>2589</v>
      </c>
      <c r="E536" s="16">
        <v>71.0</v>
      </c>
    </row>
    <row r="537">
      <c r="A537" s="8" t="s">
        <v>1150</v>
      </c>
      <c r="B537" s="8" t="s">
        <v>301</v>
      </c>
      <c r="C537" s="8" t="s">
        <v>65</v>
      </c>
      <c r="D537" s="18" t="s">
        <v>2582</v>
      </c>
      <c r="E537" s="16">
        <v>75.0</v>
      </c>
    </row>
    <row r="538">
      <c r="A538" s="8" t="s">
        <v>2764</v>
      </c>
      <c r="B538" s="8" t="s">
        <v>119</v>
      </c>
      <c r="C538" s="8" t="s">
        <v>59</v>
      </c>
      <c r="D538" s="18" t="s">
        <v>2621</v>
      </c>
      <c r="E538" s="16">
        <v>73.0</v>
      </c>
    </row>
    <row r="539">
      <c r="A539" s="8" t="s">
        <v>2765</v>
      </c>
      <c r="B539" s="8" t="s">
        <v>1399</v>
      </c>
      <c r="C539" s="8" t="s">
        <v>59</v>
      </c>
      <c r="D539" s="18" t="s">
        <v>2560</v>
      </c>
      <c r="E539" s="16">
        <v>64.0</v>
      </c>
    </row>
    <row r="540">
      <c r="A540" s="8" t="s">
        <v>669</v>
      </c>
      <c r="B540" s="8" t="s">
        <v>98</v>
      </c>
      <c r="C540" s="8" t="s">
        <v>215</v>
      </c>
      <c r="D540" s="18" t="s">
        <v>2593</v>
      </c>
      <c r="E540" s="16">
        <v>99.0</v>
      </c>
    </row>
    <row r="541">
      <c r="A541" s="8" t="s">
        <v>887</v>
      </c>
      <c r="B541" s="8" t="s">
        <v>55</v>
      </c>
      <c r="C541" s="8" t="s">
        <v>132</v>
      </c>
      <c r="D541" s="18" t="s">
        <v>2593</v>
      </c>
      <c r="E541" s="16">
        <v>65.0</v>
      </c>
    </row>
    <row r="542">
      <c r="A542" s="8" t="s">
        <v>1151</v>
      </c>
      <c r="B542" s="8" t="s">
        <v>1152</v>
      </c>
      <c r="C542" s="8" t="s">
        <v>59</v>
      </c>
      <c r="D542" s="18" t="s">
        <v>2620</v>
      </c>
      <c r="E542" s="16">
        <v>58.0</v>
      </c>
    </row>
    <row r="543">
      <c r="A543" s="8" t="s">
        <v>3229</v>
      </c>
      <c r="B543" s="8" t="s">
        <v>181</v>
      </c>
      <c r="C543" s="8" t="s">
        <v>24</v>
      </c>
      <c r="D543" s="18" t="s">
        <v>2564</v>
      </c>
      <c r="E543" s="16">
        <v>44.0</v>
      </c>
    </row>
    <row r="544">
      <c r="A544" s="8" t="s">
        <v>1155</v>
      </c>
      <c r="B544" s="8" t="s">
        <v>690</v>
      </c>
      <c r="C544" s="8" t="s">
        <v>65</v>
      </c>
      <c r="D544" s="18" t="s">
        <v>2567</v>
      </c>
      <c r="E544" s="16">
        <v>73.0</v>
      </c>
    </row>
    <row r="545">
      <c r="A545" s="8" t="s">
        <v>1430</v>
      </c>
      <c r="B545" s="8" t="s">
        <v>58</v>
      </c>
      <c r="C545" s="8" t="s">
        <v>93</v>
      </c>
      <c r="D545" s="18" t="s">
        <v>2620</v>
      </c>
      <c r="E545" s="16">
        <v>70.0</v>
      </c>
    </row>
    <row r="546">
      <c r="A546" s="8" t="s">
        <v>147</v>
      </c>
      <c r="B546" s="8" t="s">
        <v>148</v>
      </c>
      <c r="C546" s="8" t="s">
        <v>149</v>
      </c>
      <c r="D546" s="18" t="s">
        <v>2592</v>
      </c>
      <c r="E546" s="16">
        <v>80.0</v>
      </c>
    </row>
    <row r="547">
      <c r="A547" s="8" t="s">
        <v>3230</v>
      </c>
      <c r="B547" s="8" t="s">
        <v>121</v>
      </c>
      <c r="C547" s="8" t="s">
        <v>16</v>
      </c>
      <c r="D547" s="18" t="s">
        <v>2581</v>
      </c>
      <c r="E547" s="16">
        <v>61.0</v>
      </c>
    </row>
    <row r="548">
      <c r="A548" s="8" t="s">
        <v>888</v>
      </c>
      <c r="B548" s="8" t="s">
        <v>2473</v>
      </c>
      <c r="C548" s="8" t="s">
        <v>65</v>
      </c>
      <c r="D548" s="18" t="s">
        <v>2621</v>
      </c>
      <c r="E548" s="16">
        <v>73.0</v>
      </c>
    </row>
    <row r="549">
      <c r="A549" s="8" t="s">
        <v>888</v>
      </c>
      <c r="B549" s="8" t="s">
        <v>889</v>
      </c>
      <c r="C549" s="8" t="s">
        <v>75</v>
      </c>
      <c r="D549" s="18" t="s">
        <v>2600</v>
      </c>
      <c r="E549" s="16">
        <v>65.0</v>
      </c>
    </row>
    <row r="550">
      <c r="A550" s="8" t="s">
        <v>888</v>
      </c>
      <c r="B550" s="8" t="s">
        <v>1769</v>
      </c>
      <c r="C550" s="8" t="s">
        <v>93</v>
      </c>
      <c r="D550" s="18" t="s">
        <v>2564</v>
      </c>
      <c r="E550" s="16">
        <v>68.0</v>
      </c>
    </row>
    <row r="551">
      <c r="A551" s="8" t="s">
        <v>509</v>
      </c>
      <c r="B551" s="8" t="s">
        <v>360</v>
      </c>
      <c r="C551" s="8" t="s">
        <v>24</v>
      </c>
      <c r="D551" s="18" t="s">
        <v>2567</v>
      </c>
      <c r="E551" s="16">
        <v>79.0</v>
      </c>
    </row>
    <row r="552">
      <c r="A552" s="8" t="s">
        <v>670</v>
      </c>
      <c r="B552" s="8" t="s">
        <v>671</v>
      </c>
      <c r="C552" s="8" t="s">
        <v>132</v>
      </c>
      <c r="D552" s="18" t="s">
        <v>2560</v>
      </c>
      <c r="E552" s="16">
        <v>71.0</v>
      </c>
    </row>
    <row r="553">
      <c r="A553" s="8" t="s">
        <v>1431</v>
      </c>
      <c r="B553" s="8" t="s">
        <v>1432</v>
      </c>
      <c r="C553" s="8" t="s">
        <v>70</v>
      </c>
      <c r="D553" s="18" t="s">
        <v>2581</v>
      </c>
      <c r="E553" s="16">
        <v>69.0</v>
      </c>
    </row>
    <row r="554">
      <c r="A554" s="8" t="s">
        <v>1156</v>
      </c>
      <c r="B554" s="8" t="s">
        <v>746</v>
      </c>
      <c r="C554" s="8" t="s">
        <v>75</v>
      </c>
      <c r="D554" s="18" t="s">
        <v>2615</v>
      </c>
      <c r="E554" s="16">
        <v>72.0</v>
      </c>
    </row>
    <row r="555">
      <c r="A555" s="8" t="s">
        <v>3231</v>
      </c>
      <c r="B555" s="8" t="s">
        <v>2087</v>
      </c>
      <c r="C555" s="8" t="s">
        <v>70</v>
      </c>
      <c r="D555" s="18" t="s">
        <v>2566</v>
      </c>
      <c r="E555" s="16">
        <v>74.0</v>
      </c>
    </row>
    <row r="556">
      <c r="A556" s="8" t="s">
        <v>1157</v>
      </c>
      <c r="B556" s="8" t="s">
        <v>712</v>
      </c>
      <c r="C556" s="8" t="s">
        <v>16</v>
      </c>
      <c r="D556" s="18" t="s">
        <v>2610</v>
      </c>
      <c r="E556" s="16">
        <v>65.0</v>
      </c>
    </row>
    <row r="557">
      <c r="A557" s="8" t="s">
        <v>2766</v>
      </c>
      <c r="B557" s="8" t="s">
        <v>2767</v>
      </c>
      <c r="C557" s="8" t="s">
        <v>80</v>
      </c>
      <c r="D557" s="18" t="s">
        <v>2562</v>
      </c>
      <c r="E557" s="16">
        <v>68.0</v>
      </c>
    </row>
    <row r="558">
      <c r="A558" s="8" t="s">
        <v>2768</v>
      </c>
      <c r="B558" s="8" t="s">
        <v>62</v>
      </c>
      <c r="C558" s="8" t="s">
        <v>24</v>
      </c>
      <c r="D558" s="18" t="s">
        <v>2581</v>
      </c>
      <c r="E558" s="16">
        <v>62.0</v>
      </c>
    </row>
    <row r="559">
      <c r="A559" s="8" t="s">
        <v>264</v>
      </c>
      <c r="B559" s="8" t="s">
        <v>265</v>
      </c>
      <c r="C559" s="8" t="s">
        <v>132</v>
      </c>
      <c r="D559" s="18" t="s">
        <v>2587</v>
      </c>
      <c r="E559" s="16">
        <v>72.0</v>
      </c>
    </row>
    <row r="560">
      <c r="A560" s="8" t="s">
        <v>3232</v>
      </c>
      <c r="B560" s="8" t="s">
        <v>3233</v>
      </c>
      <c r="C560" s="8" t="s">
        <v>215</v>
      </c>
      <c r="D560" s="18" t="s">
        <v>2585</v>
      </c>
      <c r="E560" s="16">
        <v>83.0</v>
      </c>
    </row>
    <row r="561">
      <c r="A561" s="8" t="s">
        <v>890</v>
      </c>
      <c r="B561" s="8" t="s">
        <v>1879</v>
      </c>
      <c r="C561" s="8" t="s">
        <v>70</v>
      </c>
      <c r="D561" s="18" t="s">
        <v>2593</v>
      </c>
      <c r="E561" s="16">
        <v>77.0</v>
      </c>
    </row>
    <row r="562">
      <c r="A562" s="8" t="s">
        <v>890</v>
      </c>
      <c r="B562" s="8" t="s">
        <v>804</v>
      </c>
      <c r="C562" s="8" t="s">
        <v>93</v>
      </c>
      <c r="D562" s="18" t="s">
        <v>2582</v>
      </c>
      <c r="E562" s="16">
        <v>71.0</v>
      </c>
    </row>
    <row r="563">
      <c r="A563" s="8" t="s">
        <v>3234</v>
      </c>
      <c r="B563" s="8" t="s">
        <v>3235</v>
      </c>
      <c r="C563" s="8" t="s">
        <v>132</v>
      </c>
      <c r="D563" s="18" t="s">
        <v>2566</v>
      </c>
      <c r="E563" s="16">
        <v>61.0</v>
      </c>
    </row>
    <row r="564">
      <c r="A564" s="8" t="s">
        <v>365</v>
      </c>
      <c r="B564" s="8" t="s">
        <v>366</v>
      </c>
      <c r="C564" s="8" t="s">
        <v>138</v>
      </c>
      <c r="D564" s="18" t="s">
        <v>2610</v>
      </c>
      <c r="E564" s="16">
        <v>86.0</v>
      </c>
    </row>
    <row r="565">
      <c r="A565" s="8" t="s">
        <v>1158</v>
      </c>
      <c r="B565" s="8" t="s">
        <v>121</v>
      </c>
      <c r="C565" s="8" t="s">
        <v>215</v>
      </c>
      <c r="D565" s="18" t="s">
        <v>2562</v>
      </c>
      <c r="E565" s="16">
        <v>68.0</v>
      </c>
    </row>
    <row r="566">
      <c r="A566" s="8" t="s">
        <v>2769</v>
      </c>
      <c r="B566" s="8" t="s">
        <v>2770</v>
      </c>
      <c r="C566" s="8" t="s">
        <v>65</v>
      </c>
      <c r="D566" s="18" t="s">
        <v>2558</v>
      </c>
      <c r="E566" s="16">
        <v>66.0</v>
      </c>
    </row>
    <row r="567">
      <c r="A567" s="8" t="s">
        <v>1159</v>
      </c>
      <c r="B567" s="8" t="s">
        <v>1160</v>
      </c>
      <c r="C567" s="8" t="s">
        <v>53</v>
      </c>
      <c r="D567" s="18" t="s">
        <v>2577</v>
      </c>
      <c r="E567" s="16">
        <v>75.0</v>
      </c>
    </row>
    <row r="568">
      <c r="A568" s="8" t="s">
        <v>1433</v>
      </c>
      <c r="B568" s="8" t="s">
        <v>1434</v>
      </c>
      <c r="C568" s="8" t="s">
        <v>65</v>
      </c>
      <c r="D568" s="18" t="s">
        <v>2595</v>
      </c>
      <c r="E568" s="16">
        <v>63.0</v>
      </c>
    </row>
    <row r="569">
      <c r="A569" s="8" t="s">
        <v>672</v>
      </c>
      <c r="B569" s="8" t="s">
        <v>673</v>
      </c>
      <c r="C569" s="8" t="s">
        <v>132</v>
      </c>
      <c r="D569" s="18" t="s">
        <v>2183</v>
      </c>
      <c r="E569" s="16">
        <v>78.0</v>
      </c>
    </row>
    <row r="570">
      <c r="A570" s="8" t="s">
        <v>3236</v>
      </c>
      <c r="B570" s="8" t="s">
        <v>3237</v>
      </c>
      <c r="C570" s="8" t="s">
        <v>65</v>
      </c>
      <c r="D570" s="18" t="s">
        <v>2592</v>
      </c>
      <c r="E570" s="16">
        <v>64.0</v>
      </c>
    </row>
    <row r="571">
      <c r="A571" s="8" t="s">
        <v>3238</v>
      </c>
      <c r="B571" s="8" t="s">
        <v>737</v>
      </c>
      <c r="C571" s="8" t="s">
        <v>16</v>
      </c>
      <c r="D571" s="18" t="s">
        <v>2614</v>
      </c>
      <c r="E571" s="16">
        <v>60.0</v>
      </c>
    </row>
    <row r="572">
      <c r="A572" s="8" t="s">
        <v>674</v>
      </c>
      <c r="B572" s="8" t="s">
        <v>231</v>
      </c>
      <c r="C572" s="8" t="s">
        <v>186</v>
      </c>
      <c r="D572" s="18" t="s">
        <v>2572</v>
      </c>
      <c r="E572" s="16">
        <v>62.0</v>
      </c>
    </row>
    <row r="573">
      <c r="A573" s="8" t="s">
        <v>2771</v>
      </c>
      <c r="B573" s="8" t="s">
        <v>2772</v>
      </c>
      <c r="C573" s="8" t="s">
        <v>138</v>
      </c>
      <c r="D573" s="18" t="s">
        <v>2600</v>
      </c>
      <c r="E573" s="16">
        <v>77.0</v>
      </c>
    </row>
    <row r="574">
      <c r="A574" s="8" t="s">
        <v>2773</v>
      </c>
      <c r="B574" s="8" t="s">
        <v>172</v>
      </c>
      <c r="C574" s="8" t="s">
        <v>215</v>
      </c>
      <c r="D574" s="18" t="s">
        <v>2593</v>
      </c>
      <c r="E574" s="16">
        <v>78.0</v>
      </c>
    </row>
    <row r="575">
      <c r="A575" s="8" t="s">
        <v>894</v>
      </c>
      <c r="B575" s="8" t="s">
        <v>231</v>
      </c>
      <c r="C575" s="8" t="s">
        <v>141</v>
      </c>
      <c r="D575" s="18" t="s">
        <v>2552</v>
      </c>
      <c r="E575" s="16">
        <v>62.0</v>
      </c>
    </row>
    <row r="576">
      <c r="A576" s="8" t="s">
        <v>367</v>
      </c>
      <c r="B576" s="8" t="s">
        <v>317</v>
      </c>
      <c r="C576" s="8" t="s">
        <v>80</v>
      </c>
      <c r="D576" s="18" t="s">
        <v>2600</v>
      </c>
      <c r="E576" s="16">
        <v>65.0</v>
      </c>
    </row>
    <row r="577">
      <c r="A577" s="8" t="s">
        <v>1161</v>
      </c>
      <c r="B577" s="8" t="s">
        <v>129</v>
      </c>
      <c r="C577" s="8" t="s">
        <v>24</v>
      </c>
      <c r="D577" s="18" t="s">
        <v>2554</v>
      </c>
      <c r="E577" s="16">
        <v>81.0</v>
      </c>
    </row>
    <row r="578">
      <c r="A578" s="8" t="s">
        <v>1770</v>
      </c>
      <c r="B578" s="8" t="s">
        <v>1771</v>
      </c>
      <c r="C578" s="8" t="s">
        <v>59</v>
      </c>
      <c r="D578" s="18" t="s">
        <v>2593</v>
      </c>
      <c r="E578" s="16">
        <v>67.0</v>
      </c>
    </row>
    <row r="579">
      <c r="A579" s="8" t="s">
        <v>3239</v>
      </c>
      <c r="B579" s="8" t="s">
        <v>3240</v>
      </c>
      <c r="C579" s="8" t="s">
        <v>59</v>
      </c>
      <c r="D579" s="18" t="s">
        <v>2620</v>
      </c>
      <c r="E579" s="16">
        <v>63.0</v>
      </c>
    </row>
    <row r="580">
      <c r="A580" s="8" t="s">
        <v>150</v>
      </c>
      <c r="B580" s="8" t="s">
        <v>151</v>
      </c>
      <c r="C580" s="8" t="s">
        <v>65</v>
      </c>
      <c r="D580" s="18" t="s">
        <v>2600</v>
      </c>
      <c r="E580" s="16">
        <v>89.0</v>
      </c>
    </row>
    <row r="581">
      <c r="A581" s="8" t="s">
        <v>2774</v>
      </c>
      <c r="B581" s="8" t="s">
        <v>748</v>
      </c>
      <c r="C581" s="8" t="s">
        <v>141</v>
      </c>
      <c r="D581" s="18" t="s">
        <v>2598</v>
      </c>
      <c r="E581" s="16">
        <v>60.0</v>
      </c>
    </row>
    <row r="582">
      <c r="A582" s="8" t="s">
        <v>895</v>
      </c>
      <c r="B582" s="8" t="s">
        <v>2775</v>
      </c>
      <c r="C582" s="8" t="s">
        <v>75</v>
      </c>
      <c r="D582" s="18" t="s">
        <v>2614</v>
      </c>
      <c r="E582" s="16">
        <v>64.0</v>
      </c>
    </row>
    <row r="583">
      <c r="A583" s="8" t="s">
        <v>895</v>
      </c>
      <c r="B583" s="8" t="s">
        <v>3241</v>
      </c>
      <c r="C583" s="8" t="s">
        <v>38</v>
      </c>
      <c r="D583" s="18" t="s">
        <v>2560</v>
      </c>
      <c r="E583" s="16">
        <v>72.0</v>
      </c>
    </row>
    <row r="584">
      <c r="A584" s="8" t="s">
        <v>895</v>
      </c>
      <c r="B584" s="8" t="s">
        <v>3242</v>
      </c>
      <c r="C584" s="8" t="s">
        <v>59</v>
      </c>
      <c r="D584" s="18" t="s">
        <v>2567</v>
      </c>
      <c r="E584" s="16">
        <v>64.0</v>
      </c>
    </row>
    <row r="585">
      <c r="A585" s="8" t="s">
        <v>2776</v>
      </c>
      <c r="B585" s="8" t="s">
        <v>236</v>
      </c>
      <c r="C585" s="8" t="s">
        <v>215</v>
      </c>
      <c r="D585" s="18" t="s">
        <v>2556</v>
      </c>
      <c r="E585" s="16">
        <v>76.0</v>
      </c>
    </row>
    <row r="586">
      <c r="A586" s="8" t="s">
        <v>2777</v>
      </c>
      <c r="B586" s="8" t="s">
        <v>1276</v>
      </c>
      <c r="C586" s="8" t="s">
        <v>75</v>
      </c>
      <c r="D586" s="18" t="s">
        <v>2183</v>
      </c>
      <c r="E586" s="16">
        <v>69.0</v>
      </c>
    </row>
    <row r="587">
      <c r="A587" s="8" t="s">
        <v>675</v>
      </c>
      <c r="B587" s="8" t="s">
        <v>676</v>
      </c>
      <c r="C587" s="8" t="s">
        <v>24</v>
      </c>
      <c r="D587" s="18" t="s">
        <v>2610</v>
      </c>
      <c r="E587" s="16">
        <v>91.0</v>
      </c>
    </row>
    <row r="588">
      <c r="A588" s="8" t="s">
        <v>1774</v>
      </c>
      <c r="B588" s="8" t="s">
        <v>1775</v>
      </c>
      <c r="C588" s="8" t="s">
        <v>93</v>
      </c>
      <c r="D588" s="18" t="s">
        <v>2574</v>
      </c>
      <c r="E588" s="16">
        <v>69.0</v>
      </c>
    </row>
    <row r="589">
      <c r="A589" s="8" t="s">
        <v>1436</v>
      </c>
      <c r="B589" s="8" t="s">
        <v>299</v>
      </c>
      <c r="C589" s="8" t="s">
        <v>141</v>
      </c>
      <c r="D589" s="18" t="s">
        <v>2593</v>
      </c>
      <c r="E589" s="16">
        <v>61.0</v>
      </c>
    </row>
    <row r="590">
      <c r="A590" s="8" t="s">
        <v>1437</v>
      </c>
      <c r="B590" s="8" t="s">
        <v>771</v>
      </c>
      <c r="C590" s="8" t="s">
        <v>141</v>
      </c>
      <c r="D590" s="18" t="s">
        <v>2552</v>
      </c>
      <c r="E590" s="16">
        <v>73.0</v>
      </c>
    </row>
    <row r="591">
      <c r="A591" s="8" t="s">
        <v>2778</v>
      </c>
      <c r="B591" s="8" t="s">
        <v>2779</v>
      </c>
      <c r="C591" s="8" t="s">
        <v>186</v>
      </c>
      <c r="D591" s="18" t="s">
        <v>2183</v>
      </c>
      <c r="E591" s="16">
        <v>62.0</v>
      </c>
    </row>
    <row r="592">
      <c r="A592" s="8" t="s">
        <v>3243</v>
      </c>
      <c r="B592" s="8" t="s">
        <v>3244</v>
      </c>
      <c r="C592" s="8" t="s">
        <v>59</v>
      </c>
      <c r="D592" s="18" t="s">
        <v>2595</v>
      </c>
      <c r="E592" s="16">
        <v>75.0</v>
      </c>
    </row>
    <row r="593">
      <c r="A593" s="8" t="s">
        <v>368</v>
      </c>
      <c r="B593" s="8" t="s">
        <v>277</v>
      </c>
      <c r="C593" s="8" t="s">
        <v>65</v>
      </c>
      <c r="D593" s="18" t="s">
        <v>2589</v>
      </c>
      <c r="E593" s="16">
        <v>72.0</v>
      </c>
    </row>
    <row r="594">
      <c r="A594" s="8" t="s">
        <v>368</v>
      </c>
      <c r="B594" s="8" t="s">
        <v>249</v>
      </c>
      <c r="C594" s="8" t="s">
        <v>65</v>
      </c>
      <c r="D594" s="18" t="s">
        <v>2585</v>
      </c>
      <c r="E594" s="16">
        <v>71.0</v>
      </c>
    </row>
    <row r="595">
      <c r="A595" s="8" t="s">
        <v>897</v>
      </c>
      <c r="B595" s="8" t="s">
        <v>943</v>
      </c>
      <c r="C595" s="8" t="s">
        <v>93</v>
      </c>
      <c r="D595" s="18" t="s">
        <v>2603</v>
      </c>
      <c r="E595" s="16">
        <v>64.0</v>
      </c>
    </row>
    <row r="596">
      <c r="A596" s="8" t="s">
        <v>897</v>
      </c>
      <c r="B596" s="8" t="s">
        <v>342</v>
      </c>
      <c r="C596" s="8" t="s">
        <v>70</v>
      </c>
      <c r="D596" s="18" t="s">
        <v>2614</v>
      </c>
      <c r="E596" s="16">
        <v>90.0</v>
      </c>
    </row>
    <row r="597">
      <c r="A597" s="8" t="s">
        <v>897</v>
      </c>
      <c r="B597" s="8" t="s">
        <v>299</v>
      </c>
      <c r="C597" s="8" t="s">
        <v>12</v>
      </c>
      <c r="D597" s="18" t="s">
        <v>2610</v>
      </c>
      <c r="E597" s="16">
        <v>75.0</v>
      </c>
    </row>
    <row r="598">
      <c r="A598" s="8" t="s">
        <v>897</v>
      </c>
      <c r="B598" s="8" t="s">
        <v>1162</v>
      </c>
      <c r="C598" s="8" t="s">
        <v>93</v>
      </c>
      <c r="D598" s="18" t="s">
        <v>2592</v>
      </c>
      <c r="E598" s="16">
        <v>68.0</v>
      </c>
    </row>
    <row r="599">
      <c r="A599" s="8" t="s">
        <v>897</v>
      </c>
      <c r="B599" s="8" t="s">
        <v>898</v>
      </c>
      <c r="C599" s="8" t="s">
        <v>53</v>
      </c>
      <c r="D599" s="18" t="s">
        <v>2558</v>
      </c>
      <c r="E599" s="16">
        <v>69.0</v>
      </c>
    </row>
    <row r="600">
      <c r="A600" s="8" t="s">
        <v>677</v>
      </c>
      <c r="B600" s="8" t="s">
        <v>100</v>
      </c>
      <c r="C600" s="8" t="s">
        <v>24</v>
      </c>
      <c r="D600" s="18" t="s">
        <v>2584</v>
      </c>
      <c r="E600" s="16">
        <v>64.0</v>
      </c>
    </row>
    <row r="601">
      <c r="A601" s="8" t="s">
        <v>677</v>
      </c>
      <c r="B601" s="8" t="s">
        <v>224</v>
      </c>
      <c r="C601" s="8" t="s">
        <v>186</v>
      </c>
      <c r="D601" s="18" t="s">
        <v>2600</v>
      </c>
      <c r="E601" s="16">
        <v>60.0</v>
      </c>
    </row>
    <row r="602">
      <c r="A602" s="8" t="s">
        <v>677</v>
      </c>
      <c r="B602" s="8" t="s">
        <v>381</v>
      </c>
      <c r="C602" s="8" t="s">
        <v>122</v>
      </c>
      <c r="D602" s="18" t="s">
        <v>2556</v>
      </c>
      <c r="E602" s="16">
        <v>70.0</v>
      </c>
    </row>
    <row r="603">
      <c r="A603" s="8" t="s">
        <v>369</v>
      </c>
      <c r="B603" s="8" t="s">
        <v>370</v>
      </c>
      <c r="C603" s="8" t="s">
        <v>261</v>
      </c>
      <c r="D603" s="18" t="s">
        <v>2566</v>
      </c>
      <c r="E603" s="16">
        <v>79.0</v>
      </c>
    </row>
    <row r="604">
      <c r="A604" s="8" t="s">
        <v>2781</v>
      </c>
      <c r="B604" s="8" t="s">
        <v>1053</v>
      </c>
      <c r="C604" s="8" t="s">
        <v>80</v>
      </c>
      <c r="D604" s="18" t="s">
        <v>2587</v>
      </c>
      <c r="E604" s="16">
        <v>62.0</v>
      </c>
    </row>
    <row r="605">
      <c r="A605" s="8" t="s">
        <v>1780</v>
      </c>
      <c r="B605" s="8" t="s">
        <v>558</v>
      </c>
      <c r="C605" s="8" t="s">
        <v>132</v>
      </c>
      <c r="D605" s="18" t="s">
        <v>2575</v>
      </c>
      <c r="E605" s="16">
        <v>68.0</v>
      </c>
    </row>
    <row r="606">
      <c r="A606" s="8" t="s">
        <v>2351</v>
      </c>
      <c r="B606" s="8" t="s">
        <v>214</v>
      </c>
      <c r="C606" s="8" t="s">
        <v>53</v>
      </c>
      <c r="D606" s="18" t="s">
        <v>2572</v>
      </c>
      <c r="E606" s="16">
        <v>74.0</v>
      </c>
    </row>
    <row r="607">
      <c r="A607" s="8" t="s">
        <v>1781</v>
      </c>
      <c r="B607" s="8" t="s">
        <v>177</v>
      </c>
      <c r="C607" s="8" t="s">
        <v>24</v>
      </c>
      <c r="D607" s="18" t="s">
        <v>2566</v>
      </c>
      <c r="E607" s="16">
        <v>75.0</v>
      </c>
    </row>
    <row r="608">
      <c r="A608" s="8" t="s">
        <v>899</v>
      </c>
      <c r="B608" s="8" t="s">
        <v>900</v>
      </c>
      <c r="C608" s="8" t="s">
        <v>65</v>
      </c>
      <c r="D608" s="18" t="s">
        <v>2560</v>
      </c>
      <c r="E608" s="16">
        <v>79.0</v>
      </c>
    </row>
    <row r="609">
      <c r="A609" s="8" t="s">
        <v>1163</v>
      </c>
      <c r="B609" s="8" t="s">
        <v>100</v>
      </c>
      <c r="C609" s="8" t="s">
        <v>65</v>
      </c>
      <c r="D609" s="18" t="s">
        <v>2610</v>
      </c>
      <c r="E609" s="16">
        <v>61.0</v>
      </c>
    </row>
    <row r="610">
      <c r="A610" s="8" t="s">
        <v>678</v>
      </c>
      <c r="B610" s="8" t="s">
        <v>480</v>
      </c>
      <c r="C610" s="8" t="s">
        <v>24</v>
      </c>
      <c r="D610" s="18" t="s">
        <v>2564</v>
      </c>
      <c r="E610" s="16">
        <v>85.0</v>
      </c>
    </row>
    <row r="611">
      <c r="A611" s="8" t="s">
        <v>1438</v>
      </c>
      <c r="B611" s="8" t="s">
        <v>676</v>
      </c>
      <c r="C611" s="8" t="s">
        <v>70</v>
      </c>
      <c r="D611" s="18" t="s">
        <v>2562</v>
      </c>
      <c r="E611" s="16">
        <v>64.0</v>
      </c>
    </row>
    <row r="612">
      <c r="A612" s="8" t="s">
        <v>901</v>
      </c>
      <c r="B612" s="8" t="s">
        <v>52</v>
      </c>
      <c r="C612" s="8" t="s">
        <v>149</v>
      </c>
      <c r="D612" s="18" t="s">
        <v>2615</v>
      </c>
      <c r="E612" s="16">
        <v>71.0</v>
      </c>
    </row>
    <row r="613">
      <c r="A613" s="8" t="s">
        <v>2782</v>
      </c>
      <c r="B613" s="8" t="s">
        <v>2783</v>
      </c>
      <c r="C613" s="8" t="s">
        <v>24</v>
      </c>
      <c r="D613" s="18" t="s">
        <v>2183</v>
      </c>
      <c r="E613" s="16">
        <v>74.0</v>
      </c>
    </row>
    <row r="614">
      <c r="A614" s="8" t="s">
        <v>2784</v>
      </c>
      <c r="B614" s="8" t="s">
        <v>2785</v>
      </c>
      <c r="C614" s="8" t="s">
        <v>65</v>
      </c>
      <c r="D614" s="18" t="s">
        <v>2584</v>
      </c>
      <c r="E614" s="16">
        <v>63.0</v>
      </c>
    </row>
    <row r="615">
      <c r="A615" s="8" t="s">
        <v>3245</v>
      </c>
      <c r="B615" s="8" t="s">
        <v>1893</v>
      </c>
      <c r="C615" s="8" t="s">
        <v>122</v>
      </c>
      <c r="D615" s="18" t="s">
        <v>2572</v>
      </c>
      <c r="E615" s="16">
        <v>64.0</v>
      </c>
    </row>
    <row r="616">
      <c r="A616" s="8" t="s">
        <v>1164</v>
      </c>
      <c r="B616" s="8" t="s">
        <v>2786</v>
      </c>
      <c r="C616" s="8" t="s">
        <v>132</v>
      </c>
      <c r="D616" s="18" t="s">
        <v>2558</v>
      </c>
      <c r="E616" s="16">
        <v>76.0</v>
      </c>
    </row>
    <row r="617">
      <c r="A617" s="8" t="s">
        <v>1164</v>
      </c>
      <c r="B617" s="8" t="s">
        <v>263</v>
      </c>
      <c r="C617" s="8" t="s">
        <v>186</v>
      </c>
      <c r="D617" s="18" t="s">
        <v>2610</v>
      </c>
      <c r="E617" s="16">
        <v>61.0</v>
      </c>
    </row>
    <row r="618">
      <c r="A618" s="8" t="s">
        <v>1164</v>
      </c>
      <c r="B618" s="8" t="s">
        <v>301</v>
      </c>
      <c r="C618" s="8" t="s">
        <v>192</v>
      </c>
      <c r="D618" s="18" t="s">
        <v>2582</v>
      </c>
      <c r="E618" s="16">
        <v>67.0</v>
      </c>
    </row>
    <row r="619">
      <c r="A619" s="8" t="s">
        <v>1164</v>
      </c>
      <c r="B619" s="8" t="s">
        <v>381</v>
      </c>
      <c r="C619" s="8" t="s">
        <v>80</v>
      </c>
      <c r="D619" s="18" t="s">
        <v>2592</v>
      </c>
      <c r="E619" s="16">
        <v>73.0</v>
      </c>
    </row>
    <row r="620">
      <c r="A620" s="8" t="s">
        <v>1164</v>
      </c>
      <c r="B620" s="8" t="s">
        <v>1165</v>
      </c>
      <c r="C620" s="8" t="s">
        <v>192</v>
      </c>
      <c r="D620" s="18" t="s">
        <v>2558</v>
      </c>
      <c r="E620" s="16">
        <v>61.0</v>
      </c>
    </row>
    <row r="621">
      <c r="A621" s="8" t="s">
        <v>1164</v>
      </c>
      <c r="B621" s="8" t="s">
        <v>183</v>
      </c>
      <c r="C621" s="8" t="s">
        <v>65</v>
      </c>
      <c r="D621" s="18" t="s">
        <v>2592</v>
      </c>
      <c r="E621" s="16">
        <v>90.0</v>
      </c>
    </row>
    <row r="622">
      <c r="A622" s="8" t="s">
        <v>1164</v>
      </c>
      <c r="B622" s="8" t="s">
        <v>497</v>
      </c>
      <c r="C622" s="8" t="s">
        <v>93</v>
      </c>
      <c r="D622" s="18" t="s">
        <v>2572</v>
      </c>
      <c r="E622" s="16">
        <v>65.0</v>
      </c>
    </row>
    <row r="623">
      <c r="A623" s="8" t="s">
        <v>902</v>
      </c>
      <c r="B623" s="8" t="s">
        <v>903</v>
      </c>
      <c r="C623" s="8" t="s">
        <v>80</v>
      </c>
      <c r="D623" s="18" t="s">
        <v>2582</v>
      </c>
      <c r="E623" s="16">
        <v>67.0</v>
      </c>
    </row>
    <row r="624">
      <c r="A624" s="8" t="s">
        <v>902</v>
      </c>
      <c r="B624" s="8" t="s">
        <v>294</v>
      </c>
      <c r="C624" s="8" t="s">
        <v>24</v>
      </c>
      <c r="D624" s="18" t="s">
        <v>2593</v>
      </c>
      <c r="E624" s="16">
        <v>75.0</v>
      </c>
    </row>
    <row r="625">
      <c r="A625" s="8" t="s">
        <v>3246</v>
      </c>
      <c r="B625" s="8" t="s">
        <v>680</v>
      </c>
      <c r="C625" s="8" t="s">
        <v>80</v>
      </c>
      <c r="D625" s="18" t="s">
        <v>2552</v>
      </c>
      <c r="E625" s="16">
        <v>71.0</v>
      </c>
    </row>
    <row r="626">
      <c r="A626" s="8" t="s">
        <v>1166</v>
      </c>
      <c r="B626" s="8" t="s">
        <v>212</v>
      </c>
      <c r="C626" s="8" t="s">
        <v>141</v>
      </c>
      <c r="D626" s="18" t="s">
        <v>2615</v>
      </c>
      <c r="E626" s="16">
        <v>64.0</v>
      </c>
    </row>
    <row r="627">
      <c r="A627" s="8" t="s">
        <v>904</v>
      </c>
      <c r="B627" s="8" t="s">
        <v>905</v>
      </c>
      <c r="C627" s="8" t="s">
        <v>59</v>
      </c>
      <c r="D627" s="18" t="s">
        <v>2558</v>
      </c>
      <c r="E627" s="16">
        <v>71.0</v>
      </c>
    </row>
    <row r="628">
      <c r="A628" s="8" t="s">
        <v>1440</v>
      </c>
      <c r="B628" s="18" t="s">
        <v>1441</v>
      </c>
      <c r="C628" s="8" t="s">
        <v>12</v>
      </c>
      <c r="D628" s="18" t="s">
        <v>2562</v>
      </c>
      <c r="E628" s="16">
        <v>71.0</v>
      </c>
    </row>
    <row r="629">
      <c r="A629" s="8" t="s">
        <v>3247</v>
      </c>
      <c r="B629" s="8" t="s">
        <v>231</v>
      </c>
      <c r="C629" s="8" t="s">
        <v>122</v>
      </c>
      <c r="D629" s="18" t="s">
        <v>2595</v>
      </c>
      <c r="E629" s="16">
        <v>79.0</v>
      </c>
    </row>
    <row r="630">
      <c r="A630" s="8" t="s">
        <v>2787</v>
      </c>
      <c r="B630" s="8" t="s">
        <v>506</v>
      </c>
      <c r="C630" s="8" t="s">
        <v>16</v>
      </c>
      <c r="D630" s="18" t="s">
        <v>2581</v>
      </c>
      <c r="E630" s="16">
        <v>62.0</v>
      </c>
    </row>
    <row r="631">
      <c r="A631" s="8" t="s">
        <v>906</v>
      </c>
      <c r="B631" s="8" t="s">
        <v>546</v>
      </c>
      <c r="C631" s="8" t="s">
        <v>46</v>
      </c>
      <c r="D631" s="18" t="s">
        <v>2603</v>
      </c>
      <c r="E631" s="16">
        <v>69.0</v>
      </c>
    </row>
    <row r="632">
      <c r="A632" s="8" t="s">
        <v>907</v>
      </c>
      <c r="B632" s="8" t="s">
        <v>908</v>
      </c>
      <c r="C632" s="8" t="s">
        <v>192</v>
      </c>
      <c r="D632" s="18" t="s">
        <v>2567</v>
      </c>
      <c r="E632" s="16">
        <v>61.0</v>
      </c>
    </row>
    <row r="633">
      <c r="A633" s="8" t="s">
        <v>3248</v>
      </c>
      <c r="B633" s="8" t="s">
        <v>198</v>
      </c>
      <c r="C633" s="8" t="s">
        <v>132</v>
      </c>
      <c r="D633" s="18" t="s">
        <v>2600</v>
      </c>
      <c r="E633" s="16">
        <v>59.0</v>
      </c>
    </row>
    <row r="634">
      <c r="A634" s="8" t="s">
        <v>1167</v>
      </c>
      <c r="B634" s="8" t="s">
        <v>892</v>
      </c>
      <c r="C634" s="8" t="s">
        <v>70</v>
      </c>
      <c r="D634" s="18" t="s">
        <v>2572</v>
      </c>
      <c r="E634" s="16">
        <v>57.0</v>
      </c>
    </row>
    <row r="635">
      <c r="A635" s="8" t="s">
        <v>3249</v>
      </c>
      <c r="B635" s="8" t="s">
        <v>212</v>
      </c>
      <c r="C635" s="8" t="s">
        <v>24</v>
      </c>
      <c r="D635" s="18" t="s">
        <v>2581</v>
      </c>
      <c r="E635" s="16">
        <v>83.0</v>
      </c>
    </row>
    <row r="636">
      <c r="A636" s="8" t="s">
        <v>2788</v>
      </c>
      <c r="B636" s="8" t="s">
        <v>861</v>
      </c>
      <c r="C636" s="8" t="s">
        <v>138</v>
      </c>
      <c r="D636" s="18" t="s">
        <v>2581</v>
      </c>
      <c r="E636" s="16">
        <v>67.0</v>
      </c>
    </row>
    <row r="637">
      <c r="A637" s="8" t="s">
        <v>1442</v>
      </c>
      <c r="B637" s="8" t="s">
        <v>241</v>
      </c>
      <c r="C637" s="8" t="s">
        <v>132</v>
      </c>
      <c r="D637" s="18" t="s">
        <v>2572</v>
      </c>
      <c r="E637" s="16">
        <v>76.0</v>
      </c>
    </row>
    <row r="638">
      <c r="A638" s="8" t="s">
        <v>909</v>
      </c>
      <c r="B638" s="8" t="s">
        <v>33</v>
      </c>
      <c r="C638" s="8" t="s">
        <v>46</v>
      </c>
      <c r="D638" s="18" t="s">
        <v>2577</v>
      </c>
      <c r="E638" s="16">
        <v>66.0</v>
      </c>
    </row>
    <row r="639">
      <c r="A639" s="8" t="s">
        <v>1168</v>
      </c>
      <c r="B639" s="8" t="s">
        <v>925</v>
      </c>
      <c r="C639" s="8" t="s">
        <v>192</v>
      </c>
      <c r="D639" s="18" t="s">
        <v>2610</v>
      </c>
      <c r="E639" s="16">
        <v>63.0</v>
      </c>
    </row>
    <row r="640">
      <c r="A640" s="8" t="s">
        <v>910</v>
      </c>
      <c r="B640" s="8" t="s">
        <v>181</v>
      </c>
      <c r="C640" s="8" t="s">
        <v>141</v>
      </c>
      <c r="D640" s="18" t="s">
        <v>2556</v>
      </c>
      <c r="E640" s="16">
        <v>63.0</v>
      </c>
    </row>
    <row r="641">
      <c r="A641" s="8" t="s">
        <v>152</v>
      </c>
      <c r="B641" s="8" t="s">
        <v>153</v>
      </c>
      <c r="C641" s="8" t="s">
        <v>24</v>
      </c>
      <c r="D641" s="18" t="s">
        <v>2554</v>
      </c>
      <c r="E641" s="16">
        <v>74.0</v>
      </c>
    </row>
    <row r="642">
      <c r="A642" s="8" t="s">
        <v>371</v>
      </c>
      <c r="B642" s="8" t="s">
        <v>260</v>
      </c>
      <c r="C642" s="8" t="s">
        <v>141</v>
      </c>
      <c r="D642" s="18" t="s">
        <v>2600</v>
      </c>
      <c r="E642" s="16">
        <v>63.0</v>
      </c>
    </row>
    <row r="643">
      <c r="A643" s="8" t="s">
        <v>1170</v>
      </c>
      <c r="B643" s="8" t="s">
        <v>3250</v>
      </c>
      <c r="C643" s="8" t="s">
        <v>215</v>
      </c>
      <c r="D643" s="18" t="s">
        <v>2554</v>
      </c>
      <c r="E643" s="16">
        <v>67.0</v>
      </c>
    </row>
    <row r="644">
      <c r="A644" s="8" t="s">
        <v>1170</v>
      </c>
      <c r="B644" s="8" t="s">
        <v>301</v>
      </c>
      <c r="C644" s="8" t="s">
        <v>70</v>
      </c>
      <c r="D644" s="18" t="s">
        <v>2567</v>
      </c>
      <c r="E644" s="16">
        <v>61.0</v>
      </c>
    </row>
    <row r="645">
      <c r="A645" s="8" t="s">
        <v>3251</v>
      </c>
      <c r="B645" s="18" t="s">
        <v>521</v>
      </c>
      <c r="C645" s="8" t="s">
        <v>24</v>
      </c>
      <c r="D645" s="18" t="s">
        <v>2562</v>
      </c>
      <c r="E645" s="16">
        <v>81.0</v>
      </c>
    </row>
    <row r="646">
      <c r="A646" s="8" t="s">
        <v>911</v>
      </c>
      <c r="B646" s="18" t="s">
        <v>912</v>
      </c>
      <c r="C646" s="8" t="s">
        <v>75</v>
      </c>
      <c r="D646" s="18" t="s">
        <v>2577</v>
      </c>
      <c r="E646" s="16">
        <v>73.0</v>
      </c>
    </row>
    <row r="647">
      <c r="A647" s="8" t="s">
        <v>681</v>
      </c>
      <c r="B647" s="8" t="s">
        <v>129</v>
      </c>
      <c r="C647" s="8" t="s">
        <v>46</v>
      </c>
      <c r="D647" s="18" t="s">
        <v>2183</v>
      </c>
      <c r="E647" s="16">
        <v>76.0</v>
      </c>
    </row>
    <row r="648">
      <c r="A648" s="8" t="s">
        <v>681</v>
      </c>
      <c r="B648" s="8" t="s">
        <v>299</v>
      </c>
      <c r="C648" s="8" t="s">
        <v>46</v>
      </c>
      <c r="D648" s="18" t="s">
        <v>2610</v>
      </c>
      <c r="E648" s="16">
        <v>70.0</v>
      </c>
    </row>
    <row r="649">
      <c r="A649" s="8" t="s">
        <v>63</v>
      </c>
      <c r="B649" s="8" t="s">
        <v>64</v>
      </c>
      <c r="C649" s="8" t="s">
        <v>65</v>
      </c>
      <c r="D649" s="18" t="s">
        <v>2589</v>
      </c>
      <c r="E649" s="16">
        <v>90.0</v>
      </c>
    </row>
    <row r="650">
      <c r="A650" s="8" t="s">
        <v>66</v>
      </c>
      <c r="B650" s="8" t="s">
        <v>67</v>
      </c>
      <c r="C650" s="8" t="s">
        <v>16</v>
      </c>
      <c r="D650" s="18" t="s">
        <v>2592</v>
      </c>
      <c r="E650" s="16">
        <v>69.0</v>
      </c>
    </row>
    <row r="651">
      <c r="A651" s="8" t="s">
        <v>112</v>
      </c>
      <c r="B651" s="8" t="s">
        <v>102</v>
      </c>
      <c r="C651" s="8" t="s">
        <v>16</v>
      </c>
      <c r="D651" s="18" t="s">
        <v>2575</v>
      </c>
      <c r="E651" s="16">
        <v>81.0</v>
      </c>
    </row>
    <row r="652">
      <c r="A652" s="8" t="s">
        <v>3252</v>
      </c>
      <c r="B652" s="8" t="s">
        <v>3253</v>
      </c>
      <c r="C652" s="8" t="s">
        <v>24</v>
      </c>
      <c r="D652" s="18" t="s">
        <v>2595</v>
      </c>
      <c r="E652" s="16">
        <v>80.0</v>
      </c>
    </row>
    <row r="653">
      <c r="A653" s="8" t="s">
        <v>1171</v>
      </c>
      <c r="B653" s="8" t="s">
        <v>52</v>
      </c>
      <c r="C653" s="8" t="s">
        <v>149</v>
      </c>
      <c r="D653" s="18" t="s">
        <v>2600</v>
      </c>
      <c r="E653" s="16">
        <v>71.0</v>
      </c>
    </row>
    <row r="654">
      <c r="A654" s="8" t="s">
        <v>913</v>
      </c>
      <c r="B654" s="8" t="s">
        <v>1443</v>
      </c>
      <c r="C654" s="8" t="s">
        <v>46</v>
      </c>
      <c r="D654" s="18" t="s">
        <v>2566</v>
      </c>
      <c r="E654" s="16">
        <v>71.0</v>
      </c>
    </row>
    <row r="655">
      <c r="A655" s="8" t="s">
        <v>913</v>
      </c>
      <c r="B655" s="8" t="s">
        <v>914</v>
      </c>
      <c r="C655" s="8" t="s">
        <v>53</v>
      </c>
      <c r="D655" s="18" t="s">
        <v>2610</v>
      </c>
      <c r="E655" s="16">
        <v>63.0</v>
      </c>
    </row>
    <row r="656">
      <c r="A656" s="8" t="s">
        <v>913</v>
      </c>
      <c r="B656" s="8" t="s">
        <v>865</v>
      </c>
      <c r="C656" s="8" t="s">
        <v>215</v>
      </c>
      <c r="D656" s="18" t="s">
        <v>2600</v>
      </c>
      <c r="E656" s="16">
        <v>82.0</v>
      </c>
    </row>
    <row r="657">
      <c r="A657" s="8" t="s">
        <v>510</v>
      </c>
      <c r="B657" s="8" t="s">
        <v>1172</v>
      </c>
      <c r="C657" s="8" t="s">
        <v>53</v>
      </c>
      <c r="D657" s="18" t="s">
        <v>2605</v>
      </c>
      <c r="E657" s="16">
        <v>77.0</v>
      </c>
    </row>
    <row r="658">
      <c r="A658" s="8" t="s">
        <v>510</v>
      </c>
      <c r="B658" s="8" t="s">
        <v>137</v>
      </c>
      <c r="C658" s="8" t="s">
        <v>65</v>
      </c>
      <c r="D658" s="18" t="s">
        <v>2552</v>
      </c>
      <c r="E658" s="16">
        <v>75.0</v>
      </c>
    </row>
    <row r="659">
      <c r="A659" s="8" t="s">
        <v>510</v>
      </c>
      <c r="B659" s="8" t="s">
        <v>3254</v>
      </c>
      <c r="C659" s="8" t="s">
        <v>122</v>
      </c>
      <c r="D659" s="18" t="s">
        <v>2552</v>
      </c>
      <c r="E659" s="16">
        <v>83.0</v>
      </c>
    </row>
    <row r="660">
      <c r="A660" s="8" t="s">
        <v>915</v>
      </c>
      <c r="B660" s="8" t="s">
        <v>506</v>
      </c>
      <c r="C660" s="8" t="s">
        <v>70</v>
      </c>
      <c r="D660" s="18" t="s">
        <v>2621</v>
      </c>
      <c r="E660" s="16">
        <v>61.0</v>
      </c>
    </row>
    <row r="661">
      <c r="A661" s="8" t="s">
        <v>682</v>
      </c>
      <c r="B661" s="18" t="s">
        <v>529</v>
      </c>
      <c r="C661" s="8" t="s">
        <v>149</v>
      </c>
      <c r="D661" s="18" t="s">
        <v>2566</v>
      </c>
      <c r="E661" s="16">
        <v>75.0</v>
      </c>
    </row>
    <row r="662">
      <c r="A662" s="8" t="s">
        <v>372</v>
      </c>
      <c r="B662" s="8" t="s">
        <v>231</v>
      </c>
      <c r="C662" s="8" t="s">
        <v>16</v>
      </c>
      <c r="D662" s="18" t="s">
        <v>2564</v>
      </c>
      <c r="E662" s="16">
        <v>71.0</v>
      </c>
    </row>
    <row r="663">
      <c r="A663" s="8" t="s">
        <v>3255</v>
      </c>
      <c r="B663" s="8" t="s">
        <v>231</v>
      </c>
      <c r="C663" s="8" t="s">
        <v>12</v>
      </c>
      <c r="D663" s="18" t="s">
        <v>2592</v>
      </c>
      <c r="E663" s="16">
        <v>78.0</v>
      </c>
    </row>
    <row r="664">
      <c r="A664" s="8" t="s">
        <v>2789</v>
      </c>
      <c r="B664" s="8" t="s">
        <v>1917</v>
      </c>
      <c r="C664" s="8" t="s">
        <v>12</v>
      </c>
      <c r="D664" s="18" t="s">
        <v>2552</v>
      </c>
      <c r="E664" s="16">
        <v>77.0</v>
      </c>
    </row>
    <row r="665">
      <c r="A665" s="8" t="s">
        <v>683</v>
      </c>
      <c r="B665" s="8" t="s">
        <v>684</v>
      </c>
      <c r="C665" s="8" t="s">
        <v>59</v>
      </c>
      <c r="D665" s="18" t="s">
        <v>2183</v>
      </c>
      <c r="E665" s="16">
        <v>78.0</v>
      </c>
    </row>
    <row r="666">
      <c r="A666" s="8" t="s">
        <v>683</v>
      </c>
      <c r="B666" s="8" t="s">
        <v>948</v>
      </c>
      <c r="C666" s="8" t="s">
        <v>65</v>
      </c>
      <c r="D666" s="18" t="s">
        <v>2581</v>
      </c>
      <c r="E666" s="16">
        <v>67.0</v>
      </c>
    </row>
    <row r="667">
      <c r="A667" s="8" t="s">
        <v>683</v>
      </c>
      <c r="B667" s="8" t="s">
        <v>1793</v>
      </c>
      <c r="C667" s="8" t="s">
        <v>192</v>
      </c>
      <c r="D667" s="18" t="s">
        <v>2589</v>
      </c>
      <c r="E667" s="16">
        <v>67.0</v>
      </c>
    </row>
    <row r="668">
      <c r="A668" s="8" t="s">
        <v>2098</v>
      </c>
      <c r="B668" s="18" t="s">
        <v>2099</v>
      </c>
      <c r="C668" s="8" t="s">
        <v>70</v>
      </c>
      <c r="D668" s="18" t="s">
        <v>2562</v>
      </c>
      <c r="E668" s="16">
        <v>71.0</v>
      </c>
    </row>
    <row r="669">
      <c r="A669" s="8" t="s">
        <v>1505</v>
      </c>
      <c r="B669" s="8" t="s">
        <v>301</v>
      </c>
      <c r="C669" s="8" t="s">
        <v>53</v>
      </c>
      <c r="D669" s="18" t="s">
        <v>2593</v>
      </c>
      <c r="E669" s="16">
        <v>63.0</v>
      </c>
    </row>
    <row r="670">
      <c r="A670" s="8" t="s">
        <v>511</v>
      </c>
      <c r="B670" s="18" t="s">
        <v>512</v>
      </c>
      <c r="C670" s="8" t="s">
        <v>186</v>
      </c>
      <c r="D670" s="18" t="s">
        <v>2577</v>
      </c>
      <c r="E670" s="16">
        <v>66.0</v>
      </c>
    </row>
    <row r="671">
      <c r="A671" s="8" t="s">
        <v>3256</v>
      </c>
      <c r="B671" s="8" t="s">
        <v>33</v>
      </c>
      <c r="C671" s="8" t="s">
        <v>70</v>
      </c>
      <c r="D671" s="18" t="s">
        <v>2560</v>
      </c>
      <c r="E671" s="16">
        <v>84.0</v>
      </c>
    </row>
    <row r="672">
      <c r="A672" s="8" t="s">
        <v>154</v>
      </c>
      <c r="B672" s="18" t="s">
        <v>529</v>
      </c>
      <c r="C672" s="8" t="s">
        <v>70</v>
      </c>
      <c r="D672" s="18" t="s">
        <v>2600</v>
      </c>
      <c r="E672" s="16">
        <v>63.0</v>
      </c>
    </row>
    <row r="673">
      <c r="A673" s="8" t="s">
        <v>154</v>
      </c>
      <c r="B673" s="8" t="s">
        <v>111</v>
      </c>
      <c r="C673" s="8" t="s">
        <v>186</v>
      </c>
      <c r="D673" s="18" t="s">
        <v>2582</v>
      </c>
      <c r="E673" s="16">
        <v>83.0</v>
      </c>
    </row>
    <row r="674">
      <c r="A674" s="8" t="s">
        <v>154</v>
      </c>
      <c r="B674" s="8" t="s">
        <v>155</v>
      </c>
      <c r="C674" s="8" t="s">
        <v>75</v>
      </c>
      <c r="D674" s="18" t="s">
        <v>2577</v>
      </c>
      <c r="E674" s="16">
        <v>88.0</v>
      </c>
    </row>
    <row r="675">
      <c r="A675" s="8" t="s">
        <v>154</v>
      </c>
      <c r="B675" s="8" t="s">
        <v>1444</v>
      </c>
      <c r="C675" s="8" t="s">
        <v>186</v>
      </c>
      <c r="D675" s="18" t="s">
        <v>2585</v>
      </c>
      <c r="E675" s="16">
        <v>76.0</v>
      </c>
    </row>
    <row r="676">
      <c r="A676" s="8" t="s">
        <v>1794</v>
      </c>
      <c r="B676" s="8" t="s">
        <v>1172</v>
      </c>
      <c r="C676" s="8" t="s">
        <v>70</v>
      </c>
      <c r="D676" s="18" t="s">
        <v>2584</v>
      </c>
      <c r="E676" s="16">
        <v>81.0</v>
      </c>
    </row>
    <row r="677">
      <c r="A677" s="8" t="s">
        <v>685</v>
      </c>
      <c r="B677" s="8" t="s">
        <v>2790</v>
      </c>
      <c r="C677" s="8" t="s">
        <v>261</v>
      </c>
      <c r="D677" s="18" t="s">
        <v>2621</v>
      </c>
      <c r="E677" s="16">
        <v>78.0</v>
      </c>
    </row>
    <row r="678">
      <c r="A678" s="8" t="s">
        <v>2791</v>
      </c>
      <c r="B678" s="8" t="s">
        <v>686</v>
      </c>
      <c r="C678" s="8" t="s">
        <v>65</v>
      </c>
      <c r="D678" s="18" t="s">
        <v>2620</v>
      </c>
      <c r="E678" s="16">
        <v>71.0</v>
      </c>
    </row>
    <row r="679">
      <c r="A679" s="8" t="s">
        <v>2792</v>
      </c>
      <c r="B679" s="8" t="s">
        <v>1445</v>
      </c>
      <c r="C679" s="8" t="s">
        <v>138</v>
      </c>
      <c r="D679" s="18" t="s">
        <v>2584</v>
      </c>
      <c r="E679" s="16">
        <v>76.0</v>
      </c>
    </row>
    <row r="680">
      <c r="A680" s="8" t="s">
        <v>1795</v>
      </c>
      <c r="B680" s="8" t="s">
        <v>146</v>
      </c>
      <c r="C680" s="8" t="s">
        <v>215</v>
      </c>
      <c r="D680" s="18" t="s">
        <v>2593</v>
      </c>
      <c r="E680" s="16">
        <v>66.0</v>
      </c>
    </row>
    <row r="681">
      <c r="A681" s="8" t="s">
        <v>3257</v>
      </c>
      <c r="B681" s="8" t="s">
        <v>241</v>
      </c>
      <c r="C681" s="8" t="s">
        <v>46</v>
      </c>
      <c r="D681" s="18" t="s">
        <v>2574</v>
      </c>
      <c r="E681" s="16">
        <v>66.0</v>
      </c>
    </row>
    <row r="682">
      <c r="A682" s="8" t="s">
        <v>2793</v>
      </c>
      <c r="B682" s="18" t="s">
        <v>269</v>
      </c>
      <c r="C682" s="8" t="s">
        <v>215</v>
      </c>
      <c r="D682" s="18" t="s">
        <v>2582</v>
      </c>
      <c r="E682" s="16">
        <v>55.0</v>
      </c>
    </row>
    <row r="683">
      <c r="A683" s="8" t="s">
        <v>2103</v>
      </c>
      <c r="B683" s="8" t="s">
        <v>55</v>
      </c>
      <c r="C683" s="8" t="s">
        <v>12</v>
      </c>
      <c r="D683" s="18" t="s">
        <v>2581</v>
      </c>
      <c r="E683" s="16">
        <v>75.0</v>
      </c>
    </row>
    <row r="684">
      <c r="A684" s="8" t="s">
        <v>1446</v>
      </c>
      <c r="B684" s="8" t="s">
        <v>1447</v>
      </c>
      <c r="C684" s="8" t="s">
        <v>192</v>
      </c>
      <c r="D684" s="18" t="s">
        <v>2614</v>
      </c>
      <c r="E684" s="16">
        <v>65.0</v>
      </c>
    </row>
    <row r="685">
      <c r="A685" s="8" t="s">
        <v>1446</v>
      </c>
      <c r="B685" s="8" t="s">
        <v>2794</v>
      </c>
      <c r="C685" s="8" t="s">
        <v>65</v>
      </c>
      <c r="D685" s="18" t="s">
        <v>2574</v>
      </c>
      <c r="E685" s="16">
        <v>63.0</v>
      </c>
    </row>
    <row r="686">
      <c r="A686" s="8" t="s">
        <v>687</v>
      </c>
      <c r="B686" s="8" t="s">
        <v>472</v>
      </c>
      <c r="C686" s="8" t="s">
        <v>141</v>
      </c>
      <c r="D686" s="18" t="s">
        <v>2614</v>
      </c>
      <c r="E686" s="16">
        <v>93.0</v>
      </c>
    </row>
    <row r="687">
      <c r="A687" s="8" t="s">
        <v>916</v>
      </c>
      <c r="B687" s="8" t="s">
        <v>917</v>
      </c>
      <c r="C687" s="8" t="s">
        <v>70</v>
      </c>
      <c r="D687" s="18" t="s">
        <v>2598</v>
      </c>
      <c r="E687" s="16">
        <v>89.0</v>
      </c>
    </row>
    <row r="688">
      <c r="A688" s="8" t="s">
        <v>916</v>
      </c>
      <c r="B688" s="8" t="s">
        <v>3258</v>
      </c>
      <c r="C688" s="8" t="s">
        <v>186</v>
      </c>
      <c r="D688" s="18" t="s">
        <v>2605</v>
      </c>
      <c r="E688" s="16">
        <v>88.0</v>
      </c>
    </row>
    <row r="689">
      <c r="A689" s="8" t="s">
        <v>2795</v>
      </c>
      <c r="B689" s="8" t="s">
        <v>842</v>
      </c>
      <c r="C689" s="8" t="s">
        <v>59</v>
      </c>
      <c r="D689" s="18" t="s">
        <v>2600</v>
      </c>
      <c r="E689" s="16">
        <v>73.0</v>
      </c>
    </row>
    <row r="690">
      <c r="A690" s="8" t="s">
        <v>3259</v>
      </c>
      <c r="B690" s="8" t="s">
        <v>3197</v>
      </c>
      <c r="C690" s="8" t="s">
        <v>24</v>
      </c>
      <c r="D690" s="18" t="s">
        <v>2603</v>
      </c>
      <c r="E690" s="16">
        <v>39.0</v>
      </c>
    </row>
    <row r="691">
      <c r="A691" s="8" t="s">
        <v>3260</v>
      </c>
      <c r="B691" s="8" t="s">
        <v>214</v>
      </c>
      <c r="C691" s="8" t="s">
        <v>141</v>
      </c>
      <c r="D691" s="18" t="s">
        <v>2577</v>
      </c>
      <c r="E691" s="16">
        <v>62.0</v>
      </c>
    </row>
    <row r="692">
      <c r="A692" s="8" t="s">
        <v>3261</v>
      </c>
      <c r="B692" s="8" t="s">
        <v>3262</v>
      </c>
      <c r="C692" s="8" t="s">
        <v>53</v>
      </c>
      <c r="D692" s="18" t="s">
        <v>2589</v>
      </c>
      <c r="E692" s="16">
        <v>63.0</v>
      </c>
    </row>
    <row r="693">
      <c r="A693" s="8" t="s">
        <v>918</v>
      </c>
      <c r="B693" s="8" t="s">
        <v>304</v>
      </c>
      <c r="C693" s="8" t="s">
        <v>65</v>
      </c>
      <c r="D693" s="18" t="s">
        <v>2595</v>
      </c>
      <c r="E693" s="16">
        <v>70.0</v>
      </c>
    </row>
    <row r="694">
      <c r="A694" s="8" t="s">
        <v>918</v>
      </c>
      <c r="B694" s="8" t="s">
        <v>217</v>
      </c>
      <c r="C694" s="8" t="s">
        <v>65</v>
      </c>
      <c r="D694" s="18" t="s">
        <v>2598</v>
      </c>
      <c r="E694" s="16">
        <v>62.0</v>
      </c>
    </row>
    <row r="695">
      <c r="A695" s="8" t="s">
        <v>918</v>
      </c>
      <c r="B695" s="8" t="s">
        <v>961</v>
      </c>
      <c r="C695" s="8" t="s">
        <v>93</v>
      </c>
      <c r="D695" s="18" t="s">
        <v>2582</v>
      </c>
      <c r="E695" s="16">
        <v>73.0</v>
      </c>
    </row>
    <row r="696">
      <c r="A696" s="8" t="s">
        <v>918</v>
      </c>
      <c r="B696" s="8" t="s">
        <v>214</v>
      </c>
      <c r="C696" s="8" t="s">
        <v>93</v>
      </c>
      <c r="D696" s="18" t="s">
        <v>2605</v>
      </c>
      <c r="E696" s="16">
        <v>80.0</v>
      </c>
    </row>
    <row r="697">
      <c r="A697" s="8" t="s">
        <v>918</v>
      </c>
      <c r="B697" s="8" t="s">
        <v>214</v>
      </c>
      <c r="C697" s="8" t="s">
        <v>141</v>
      </c>
      <c r="D697" s="18" t="s">
        <v>2562</v>
      </c>
      <c r="E697" s="16">
        <v>62.0</v>
      </c>
    </row>
    <row r="698">
      <c r="A698" s="8" t="s">
        <v>2796</v>
      </c>
      <c r="B698" s="8" t="s">
        <v>1046</v>
      </c>
      <c r="C698" s="8" t="s">
        <v>65</v>
      </c>
      <c r="D698" s="18" t="s">
        <v>2562</v>
      </c>
      <c r="E698" s="16">
        <v>76.0</v>
      </c>
    </row>
    <row r="699">
      <c r="A699" s="8" t="s">
        <v>919</v>
      </c>
      <c r="B699" s="8" t="s">
        <v>480</v>
      </c>
      <c r="C699" s="8" t="s">
        <v>141</v>
      </c>
      <c r="D699" s="18" t="s">
        <v>2183</v>
      </c>
      <c r="E699" s="16">
        <v>74.0</v>
      </c>
    </row>
    <row r="700">
      <c r="A700" s="8" t="s">
        <v>1448</v>
      </c>
      <c r="B700" s="8" t="s">
        <v>217</v>
      </c>
      <c r="C700" s="8" t="s">
        <v>65</v>
      </c>
      <c r="D700" s="18" t="s">
        <v>2574</v>
      </c>
      <c r="E700" s="16">
        <v>76.0</v>
      </c>
    </row>
    <row r="701">
      <c r="A701" s="8" t="s">
        <v>2798</v>
      </c>
      <c r="B701" s="8" t="s">
        <v>121</v>
      </c>
      <c r="C701" s="8" t="s">
        <v>75</v>
      </c>
      <c r="D701" s="18" t="s">
        <v>2585</v>
      </c>
      <c r="E701" s="16">
        <v>70.0</v>
      </c>
    </row>
    <row r="702">
      <c r="A702" s="8" t="s">
        <v>513</v>
      </c>
      <c r="B702" s="8" t="s">
        <v>514</v>
      </c>
      <c r="C702" s="8" t="s">
        <v>16</v>
      </c>
      <c r="D702" s="18" t="s">
        <v>2589</v>
      </c>
      <c r="E702" s="16">
        <v>72.0</v>
      </c>
    </row>
    <row r="703">
      <c r="A703" s="8" t="s">
        <v>688</v>
      </c>
      <c r="B703" s="8" t="s">
        <v>441</v>
      </c>
      <c r="C703" s="8" t="s">
        <v>65</v>
      </c>
      <c r="D703" s="18" t="s">
        <v>2598</v>
      </c>
      <c r="E703" s="16">
        <v>79.0</v>
      </c>
    </row>
    <row r="704">
      <c r="A704" s="8" t="s">
        <v>2108</v>
      </c>
      <c r="B704" s="8" t="s">
        <v>62</v>
      </c>
      <c r="C704" s="8" t="s">
        <v>24</v>
      </c>
      <c r="D704" s="18" t="s">
        <v>2595</v>
      </c>
      <c r="E704" s="16">
        <v>62.0</v>
      </c>
    </row>
    <row r="705">
      <c r="A705" s="8" t="s">
        <v>689</v>
      </c>
      <c r="B705" s="18" t="s">
        <v>920</v>
      </c>
      <c r="C705" s="8" t="s">
        <v>93</v>
      </c>
      <c r="D705" s="18" t="s">
        <v>2593</v>
      </c>
      <c r="E705" s="16">
        <v>74.0</v>
      </c>
    </row>
    <row r="706">
      <c r="A706" s="8" t="s">
        <v>689</v>
      </c>
      <c r="B706" s="8" t="s">
        <v>690</v>
      </c>
      <c r="C706" s="8" t="s">
        <v>93</v>
      </c>
      <c r="D706" s="18" t="s">
        <v>2183</v>
      </c>
      <c r="E706" s="16">
        <v>71.0</v>
      </c>
    </row>
    <row r="707">
      <c r="A707" s="8" t="s">
        <v>3263</v>
      </c>
      <c r="B707" s="8" t="s">
        <v>3264</v>
      </c>
      <c r="C707" s="8" t="s">
        <v>53</v>
      </c>
      <c r="D707" s="18" t="s">
        <v>2582</v>
      </c>
      <c r="E707" s="16">
        <v>76.0</v>
      </c>
    </row>
    <row r="708">
      <c r="A708" s="8" t="s">
        <v>1798</v>
      </c>
      <c r="B708" s="8" t="s">
        <v>1799</v>
      </c>
      <c r="C708" s="8" t="s">
        <v>70</v>
      </c>
      <c r="D708" s="18" t="s">
        <v>2566</v>
      </c>
      <c r="E708" s="16">
        <v>73.0</v>
      </c>
    </row>
    <row r="709">
      <c r="A709" s="8" t="s">
        <v>202</v>
      </c>
      <c r="B709" s="8" t="s">
        <v>203</v>
      </c>
      <c r="C709" s="8" t="s">
        <v>12</v>
      </c>
      <c r="D709" s="18" t="s">
        <v>2574</v>
      </c>
      <c r="E709" s="16">
        <v>76.0</v>
      </c>
    </row>
    <row r="710">
      <c r="A710" s="8" t="s">
        <v>921</v>
      </c>
      <c r="B710" s="8" t="s">
        <v>245</v>
      </c>
      <c r="C710" s="8" t="s">
        <v>46</v>
      </c>
      <c r="D710" s="18" t="s">
        <v>2600</v>
      </c>
      <c r="E710" s="16">
        <v>71.0</v>
      </c>
    </row>
    <row r="711">
      <c r="A711" s="8" t="s">
        <v>921</v>
      </c>
      <c r="B711" s="8" t="s">
        <v>922</v>
      </c>
      <c r="C711" s="8" t="s">
        <v>75</v>
      </c>
      <c r="D711" s="18" t="s">
        <v>2620</v>
      </c>
      <c r="E711" s="16">
        <v>74.0</v>
      </c>
    </row>
    <row r="712">
      <c r="A712" s="8" t="s">
        <v>2802</v>
      </c>
      <c r="B712" s="8" t="s">
        <v>668</v>
      </c>
      <c r="C712" s="8" t="s">
        <v>65</v>
      </c>
      <c r="D712" s="18" t="s">
        <v>2585</v>
      </c>
      <c r="E712" s="16">
        <v>85.0</v>
      </c>
    </row>
    <row r="713">
      <c r="A713" s="8" t="s">
        <v>266</v>
      </c>
      <c r="B713" s="8" t="s">
        <v>50</v>
      </c>
      <c r="C713" s="8" t="s">
        <v>141</v>
      </c>
      <c r="D713" s="18" t="s">
        <v>2598</v>
      </c>
      <c r="E713" s="16">
        <v>66.0</v>
      </c>
    </row>
    <row r="714">
      <c r="A714" s="8" t="s">
        <v>1450</v>
      </c>
      <c r="B714" s="8" t="s">
        <v>1283</v>
      </c>
      <c r="C714" s="8" t="s">
        <v>132</v>
      </c>
      <c r="D714" s="18" t="s">
        <v>2585</v>
      </c>
      <c r="E714" s="16">
        <v>69.0</v>
      </c>
    </row>
    <row r="715">
      <c r="A715" s="8" t="s">
        <v>923</v>
      </c>
      <c r="B715" s="8" t="s">
        <v>204</v>
      </c>
      <c r="C715" s="8" t="s">
        <v>16</v>
      </c>
      <c r="D715" s="18" t="s">
        <v>2600</v>
      </c>
      <c r="E715" s="16">
        <v>77.0</v>
      </c>
    </row>
    <row r="716">
      <c r="A716" s="8" t="s">
        <v>252</v>
      </c>
      <c r="B716" s="8" t="s">
        <v>3265</v>
      </c>
      <c r="C716" s="8" t="s">
        <v>65</v>
      </c>
      <c r="D716" s="18" t="s">
        <v>2574</v>
      </c>
      <c r="E716" s="16">
        <v>60.0</v>
      </c>
    </row>
    <row r="717">
      <c r="A717" s="8" t="s">
        <v>252</v>
      </c>
      <c r="B717" s="8" t="s">
        <v>2113</v>
      </c>
      <c r="C717" s="8" t="s">
        <v>215</v>
      </c>
      <c r="D717" s="18" t="s">
        <v>2615</v>
      </c>
      <c r="E717" s="16">
        <v>83.0</v>
      </c>
    </row>
    <row r="718">
      <c r="A718" s="8" t="s">
        <v>2803</v>
      </c>
      <c r="B718" s="8" t="s">
        <v>2804</v>
      </c>
      <c r="C718" s="8" t="s">
        <v>186</v>
      </c>
      <c r="D718" s="18" t="s">
        <v>2603</v>
      </c>
      <c r="E718" s="16">
        <v>63.0</v>
      </c>
    </row>
    <row r="719">
      <c r="A719" s="8" t="s">
        <v>2157</v>
      </c>
      <c r="B719" s="8" t="s">
        <v>3266</v>
      </c>
      <c r="C719" s="8" t="s">
        <v>192</v>
      </c>
      <c r="D719" s="18" t="s">
        <v>2587</v>
      </c>
      <c r="E719" s="16">
        <v>61.0</v>
      </c>
    </row>
    <row r="720">
      <c r="A720" s="8" t="s">
        <v>3267</v>
      </c>
      <c r="B720" s="8" t="s">
        <v>249</v>
      </c>
      <c r="C720" s="8" t="s">
        <v>122</v>
      </c>
      <c r="D720" s="18" t="s">
        <v>2554</v>
      </c>
      <c r="E720" s="16">
        <v>68.0</v>
      </c>
    </row>
    <row r="721">
      <c r="A721" s="8" t="s">
        <v>2114</v>
      </c>
      <c r="B721" s="8" t="s">
        <v>245</v>
      </c>
      <c r="C721" s="8" t="s">
        <v>24</v>
      </c>
      <c r="D721" s="18" t="s">
        <v>2572</v>
      </c>
      <c r="E721" s="16">
        <v>87.0</v>
      </c>
    </row>
    <row r="722">
      <c r="A722" s="8" t="s">
        <v>1451</v>
      </c>
      <c r="B722" s="8" t="s">
        <v>1452</v>
      </c>
      <c r="C722" s="8" t="s">
        <v>24</v>
      </c>
      <c r="D722" s="18" t="s">
        <v>2614</v>
      </c>
      <c r="E722" s="16">
        <v>67.0</v>
      </c>
    </row>
    <row r="723">
      <c r="A723" s="8" t="s">
        <v>3268</v>
      </c>
      <c r="B723" s="8" t="s">
        <v>1576</v>
      </c>
      <c r="C723" s="8" t="s">
        <v>59</v>
      </c>
      <c r="D723" s="18" t="s">
        <v>2620</v>
      </c>
      <c r="E723" s="16">
        <v>57.0</v>
      </c>
    </row>
    <row r="724">
      <c r="A724" s="8" t="s">
        <v>1453</v>
      </c>
      <c r="B724" s="8" t="s">
        <v>263</v>
      </c>
      <c r="C724" s="8" t="s">
        <v>12</v>
      </c>
      <c r="D724" s="18" t="s">
        <v>2621</v>
      </c>
      <c r="E724" s="16">
        <v>70.0</v>
      </c>
    </row>
    <row r="725">
      <c r="A725" s="8" t="s">
        <v>1453</v>
      </c>
      <c r="B725" s="8" t="s">
        <v>692</v>
      </c>
      <c r="C725" s="8" t="s">
        <v>93</v>
      </c>
      <c r="D725" s="18" t="s">
        <v>2577</v>
      </c>
      <c r="E725" s="16">
        <v>84.0</v>
      </c>
    </row>
    <row r="726">
      <c r="A726" s="8" t="s">
        <v>924</v>
      </c>
      <c r="B726" s="8" t="s">
        <v>925</v>
      </c>
      <c r="C726" s="8" t="s">
        <v>192</v>
      </c>
      <c r="D726" s="18" t="s">
        <v>2567</v>
      </c>
      <c r="E726" s="16">
        <v>81.0</v>
      </c>
    </row>
    <row r="727">
      <c r="A727" s="8" t="s">
        <v>1801</v>
      </c>
      <c r="B727" s="8" t="s">
        <v>50</v>
      </c>
      <c r="C727" s="8" t="s">
        <v>186</v>
      </c>
      <c r="D727" s="18" t="s">
        <v>2552</v>
      </c>
      <c r="E727" s="16">
        <v>65.0</v>
      </c>
    </row>
    <row r="728">
      <c r="A728" s="8" t="s">
        <v>3269</v>
      </c>
      <c r="B728" s="8" t="s">
        <v>1063</v>
      </c>
      <c r="C728" s="8" t="s">
        <v>132</v>
      </c>
      <c r="D728" s="18" t="s">
        <v>2584</v>
      </c>
      <c r="E728" s="16">
        <v>62.0</v>
      </c>
    </row>
    <row r="729">
      <c r="A729" s="8" t="s">
        <v>546</v>
      </c>
      <c r="B729" s="8" t="s">
        <v>798</v>
      </c>
      <c r="C729" s="8" t="s">
        <v>186</v>
      </c>
      <c r="D729" s="18" t="s">
        <v>2567</v>
      </c>
      <c r="E729" s="16">
        <v>66.0</v>
      </c>
    </row>
    <row r="730">
      <c r="A730" s="8" t="s">
        <v>1804</v>
      </c>
      <c r="B730" s="8" t="s">
        <v>322</v>
      </c>
      <c r="C730" s="8" t="s">
        <v>59</v>
      </c>
      <c r="D730" s="18" t="s">
        <v>2564</v>
      </c>
      <c r="E730" s="16">
        <v>61.0</v>
      </c>
    </row>
    <row r="731">
      <c r="A731" s="8" t="s">
        <v>373</v>
      </c>
      <c r="B731" s="8" t="s">
        <v>11</v>
      </c>
      <c r="C731" s="8" t="s">
        <v>75</v>
      </c>
      <c r="D731" s="18" t="s">
        <v>2566</v>
      </c>
      <c r="E731" s="16">
        <v>67.0</v>
      </c>
    </row>
    <row r="732">
      <c r="A732" s="8" t="s">
        <v>691</v>
      </c>
      <c r="B732" s="8" t="s">
        <v>692</v>
      </c>
      <c r="C732" s="8" t="s">
        <v>138</v>
      </c>
      <c r="D732" s="18" t="s">
        <v>2592</v>
      </c>
      <c r="E732" s="16">
        <v>76.0</v>
      </c>
    </row>
    <row r="733">
      <c r="A733" s="8" t="s">
        <v>2805</v>
      </c>
      <c r="B733" s="8" t="s">
        <v>2806</v>
      </c>
      <c r="C733" s="8" t="s">
        <v>149</v>
      </c>
      <c r="D733" s="18" t="s">
        <v>2562</v>
      </c>
      <c r="E733" s="16">
        <v>69.0</v>
      </c>
    </row>
    <row r="734">
      <c r="A734" s="8" t="s">
        <v>1454</v>
      </c>
      <c r="B734" s="8" t="s">
        <v>3270</v>
      </c>
      <c r="C734" s="8" t="s">
        <v>46</v>
      </c>
      <c r="D734" s="18" t="s">
        <v>2562</v>
      </c>
      <c r="E734" s="16">
        <v>64.0</v>
      </c>
    </row>
    <row r="735">
      <c r="A735" s="8" t="s">
        <v>1454</v>
      </c>
      <c r="B735" s="8" t="s">
        <v>1310</v>
      </c>
      <c r="C735" s="8" t="s">
        <v>65</v>
      </c>
      <c r="D735" s="18" t="s">
        <v>2564</v>
      </c>
      <c r="E735" s="16">
        <v>67.0</v>
      </c>
    </row>
    <row r="736">
      <c r="A736" s="8" t="s">
        <v>3271</v>
      </c>
      <c r="B736" s="8" t="s">
        <v>1328</v>
      </c>
      <c r="C736" s="8" t="s">
        <v>215</v>
      </c>
      <c r="D736" s="18" t="s">
        <v>2610</v>
      </c>
      <c r="E736" s="16">
        <v>70.0</v>
      </c>
    </row>
    <row r="737">
      <c r="A737" s="8" t="s">
        <v>267</v>
      </c>
      <c r="B737" s="8" t="s">
        <v>252</v>
      </c>
      <c r="C737" s="8" t="s">
        <v>16</v>
      </c>
      <c r="D737" s="18" t="s">
        <v>2574</v>
      </c>
      <c r="E737" s="16">
        <v>59.0</v>
      </c>
    </row>
    <row r="738">
      <c r="A738" s="8" t="s">
        <v>267</v>
      </c>
      <c r="B738" s="8" t="s">
        <v>247</v>
      </c>
      <c r="C738" s="8" t="s">
        <v>149</v>
      </c>
      <c r="D738" s="18" t="s">
        <v>2577</v>
      </c>
      <c r="E738" s="16">
        <v>88.0</v>
      </c>
    </row>
    <row r="739">
      <c r="A739" s="8" t="s">
        <v>267</v>
      </c>
      <c r="B739" s="8" t="s">
        <v>1173</v>
      </c>
      <c r="C739" s="8" t="s">
        <v>138</v>
      </c>
      <c r="D739" s="18" t="s">
        <v>2558</v>
      </c>
      <c r="E739" s="16">
        <v>61.0</v>
      </c>
    </row>
    <row r="740">
      <c r="A740" s="8" t="s">
        <v>2808</v>
      </c>
      <c r="B740" s="8" t="s">
        <v>2809</v>
      </c>
      <c r="C740" s="8" t="s">
        <v>149</v>
      </c>
      <c r="D740" s="18" t="s">
        <v>2585</v>
      </c>
      <c r="E740" s="16">
        <v>71.0</v>
      </c>
    </row>
    <row r="741">
      <c r="A741" s="8" t="s">
        <v>2810</v>
      </c>
      <c r="B741" s="8" t="s">
        <v>183</v>
      </c>
      <c r="C741" s="8" t="s">
        <v>70</v>
      </c>
      <c r="D741" s="18" t="s">
        <v>2600</v>
      </c>
      <c r="E741" s="16">
        <v>77.0</v>
      </c>
    </row>
    <row r="742">
      <c r="A742" s="8" t="s">
        <v>3272</v>
      </c>
      <c r="B742" s="8" t="s">
        <v>2745</v>
      </c>
      <c r="C742" s="8" t="s">
        <v>24</v>
      </c>
      <c r="D742" s="18" t="s">
        <v>2575</v>
      </c>
      <c r="E742" s="16">
        <v>77.0</v>
      </c>
    </row>
    <row r="743">
      <c r="A743" s="8" t="s">
        <v>693</v>
      </c>
      <c r="B743" s="8" t="s">
        <v>694</v>
      </c>
      <c r="C743" s="8" t="s">
        <v>93</v>
      </c>
      <c r="D743" s="18" t="s">
        <v>2600</v>
      </c>
      <c r="E743" s="16">
        <v>83.0</v>
      </c>
    </row>
    <row r="744">
      <c r="A744" s="8" t="s">
        <v>2811</v>
      </c>
      <c r="B744" s="8" t="s">
        <v>114</v>
      </c>
      <c r="C744" s="8" t="s">
        <v>65</v>
      </c>
      <c r="D744" s="18" t="s">
        <v>2595</v>
      </c>
      <c r="E744" s="16">
        <v>79.0</v>
      </c>
    </row>
    <row r="745">
      <c r="A745" s="8" t="s">
        <v>515</v>
      </c>
      <c r="B745" s="8" t="s">
        <v>516</v>
      </c>
      <c r="C745" s="8" t="s">
        <v>80</v>
      </c>
      <c r="D745" s="18" t="s">
        <v>2584</v>
      </c>
      <c r="E745" s="16">
        <v>75.0</v>
      </c>
    </row>
    <row r="746">
      <c r="A746" s="8" t="s">
        <v>2812</v>
      </c>
      <c r="B746" s="8" t="s">
        <v>809</v>
      </c>
      <c r="C746" s="8" t="s">
        <v>59</v>
      </c>
      <c r="D746" s="18" t="s">
        <v>2592</v>
      </c>
      <c r="E746" s="16">
        <v>65.0</v>
      </c>
    </row>
    <row r="747">
      <c r="A747" s="8" t="s">
        <v>926</v>
      </c>
      <c r="B747" s="8" t="s">
        <v>203</v>
      </c>
      <c r="C747" s="8" t="s">
        <v>75</v>
      </c>
      <c r="D747" s="18" t="s">
        <v>2554</v>
      </c>
      <c r="E747" s="16">
        <v>69.0</v>
      </c>
    </row>
    <row r="748">
      <c r="A748" s="8" t="s">
        <v>926</v>
      </c>
      <c r="B748" s="8" t="s">
        <v>67</v>
      </c>
      <c r="C748" s="8" t="s">
        <v>122</v>
      </c>
      <c r="D748" s="18" t="s">
        <v>2610</v>
      </c>
      <c r="E748" s="16">
        <v>68.0</v>
      </c>
    </row>
    <row r="749">
      <c r="A749" s="8" t="s">
        <v>517</v>
      </c>
      <c r="B749" s="8" t="s">
        <v>518</v>
      </c>
      <c r="C749" s="8" t="s">
        <v>46</v>
      </c>
      <c r="D749" s="18" t="s">
        <v>2587</v>
      </c>
      <c r="E749" s="16">
        <v>84.0</v>
      </c>
    </row>
    <row r="750">
      <c r="A750" s="8" t="s">
        <v>519</v>
      </c>
      <c r="B750" s="8" t="s">
        <v>183</v>
      </c>
      <c r="C750" s="8" t="s">
        <v>16</v>
      </c>
      <c r="D750" s="18" t="s">
        <v>2605</v>
      </c>
      <c r="E750" s="16">
        <v>74.0</v>
      </c>
    </row>
    <row r="751">
      <c r="A751" s="8" t="s">
        <v>927</v>
      </c>
      <c r="B751" s="8" t="s">
        <v>471</v>
      </c>
      <c r="C751" s="8" t="s">
        <v>75</v>
      </c>
      <c r="D751" s="18" t="s">
        <v>2603</v>
      </c>
      <c r="E751" s="16">
        <v>71.0</v>
      </c>
    </row>
    <row r="752">
      <c r="A752" s="8" t="s">
        <v>1807</v>
      </c>
      <c r="B752" s="8" t="s">
        <v>1808</v>
      </c>
      <c r="C752" s="8" t="s">
        <v>122</v>
      </c>
      <c r="D752" s="18" t="s">
        <v>2581</v>
      </c>
      <c r="E752" s="16">
        <v>65.0</v>
      </c>
    </row>
    <row r="753">
      <c r="A753" s="8" t="s">
        <v>1848</v>
      </c>
      <c r="B753" s="8" t="s">
        <v>275</v>
      </c>
      <c r="C753" s="8" t="s">
        <v>65</v>
      </c>
      <c r="D753" s="18" t="s">
        <v>2592</v>
      </c>
      <c r="E753" s="16">
        <v>75.0</v>
      </c>
    </row>
    <row r="754">
      <c r="A754" s="8" t="s">
        <v>1809</v>
      </c>
      <c r="B754" s="8" t="s">
        <v>196</v>
      </c>
      <c r="C754" s="8" t="s">
        <v>16</v>
      </c>
      <c r="D754" s="18" t="s">
        <v>2593</v>
      </c>
      <c r="E754" s="16">
        <v>73.0</v>
      </c>
    </row>
    <row r="755">
      <c r="A755" s="8" t="s">
        <v>325</v>
      </c>
      <c r="B755" s="8" t="s">
        <v>3273</v>
      </c>
      <c r="C755" s="8" t="s">
        <v>65</v>
      </c>
      <c r="D755" s="18" t="s">
        <v>2589</v>
      </c>
      <c r="E755" s="16">
        <v>63.0</v>
      </c>
    </row>
    <row r="756">
      <c r="A756" s="8" t="s">
        <v>325</v>
      </c>
      <c r="B756" s="8" t="s">
        <v>695</v>
      </c>
      <c r="C756" s="8" t="s">
        <v>53</v>
      </c>
      <c r="D756" s="18" t="s">
        <v>2589</v>
      </c>
      <c r="E756" s="16">
        <v>82.0</v>
      </c>
    </row>
    <row r="757">
      <c r="A757" s="8" t="s">
        <v>325</v>
      </c>
      <c r="B757" s="8" t="s">
        <v>337</v>
      </c>
      <c r="C757" s="8" t="s">
        <v>80</v>
      </c>
      <c r="D757" s="18" t="s">
        <v>2577</v>
      </c>
      <c r="E757" s="16">
        <v>70.0</v>
      </c>
    </row>
    <row r="758">
      <c r="A758" s="8" t="s">
        <v>1455</v>
      </c>
      <c r="B758" s="8" t="s">
        <v>1347</v>
      </c>
      <c r="C758" s="8" t="s">
        <v>122</v>
      </c>
      <c r="D758" s="18" t="s">
        <v>2605</v>
      </c>
      <c r="E758" s="16">
        <v>81.0</v>
      </c>
    </row>
    <row r="759">
      <c r="A759" s="8" t="s">
        <v>1456</v>
      </c>
      <c r="B759" s="8" t="s">
        <v>333</v>
      </c>
      <c r="C759" s="8" t="s">
        <v>65</v>
      </c>
      <c r="D759" s="18" t="s">
        <v>2554</v>
      </c>
      <c r="E759" s="16">
        <v>74.0</v>
      </c>
    </row>
    <row r="760">
      <c r="A760" s="8" t="s">
        <v>3274</v>
      </c>
      <c r="B760" s="8" t="s">
        <v>3275</v>
      </c>
      <c r="C760" s="8" t="s">
        <v>93</v>
      </c>
      <c r="D760" s="18" t="s">
        <v>2577</v>
      </c>
      <c r="E760" s="16">
        <v>72.0</v>
      </c>
    </row>
    <row r="761">
      <c r="A761" s="8" t="s">
        <v>1813</v>
      </c>
      <c r="B761" s="8" t="s">
        <v>1814</v>
      </c>
      <c r="C761" s="8" t="s">
        <v>12</v>
      </c>
      <c r="D761" s="18" t="s">
        <v>2615</v>
      </c>
      <c r="E761" s="16">
        <v>73.0</v>
      </c>
    </row>
    <row r="762">
      <c r="A762" s="8" t="s">
        <v>696</v>
      </c>
      <c r="B762" s="8" t="s">
        <v>697</v>
      </c>
      <c r="C762" s="8" t="s">
        <v>132</v>
      </c>
      <c r="D762" s="18" t="s">
        <v>2567</v>
      </c>
      <c r="E762" s="16">
        <v>69.0</v>
      </c>
    </row>
    <row r="763">
      <c r="A763" s="8" t="s">
        <v>374</v>
      </c>
      <c r="B763" s="8" t="s">
        <v>375</v>
      </c>
      <c r="C763" s="8" t="s">
        <v>53</v>
      </c>
      <c r="D763" s="18" t="s">
        <v>2564</v>
      </c>
      <c r="E763" s="16">
        <v>66.0</v>
      </c>
    </row>
    <row r="764">
      <c r="A764" s="8" t="s">
        <v>3276</v>
      </c>
      <c r="B764" s="8" t="s">
        <v>3277</v>
      </c>
      <c r="C764" s="8" t="s">
        <v>186</v>
      </c>
      <c r="D764" s="18" t="s">
        <v>2589</v>
      </c>
      <c r="E764" s="16">
        <v>65.0</v>
      </c>
    </row>
    <row r="765">
      <c r="A765" s="8" t="s">
        <v>3278</v>
      </c>
      <c r="B765" s="8" t="s">
        <v>3279</v>
      </c>
      <c r="C765" s="8" t="s">
        <v>215</v>
      </c>
      <c r="D765" s="18" t="s">
        <v>2584</v>
      </c>
      <c r="E765" s="16">
        <v>68.0</v>
      </c>
    </row>
    <row r="766">
      <c r="A766" s="8" t="s">
        <v>1174</v>
      </c>
      <c r="B766" s="18" t="s">
        <v>912</v>
      </c>
      <c r="C766" s="8" t="s">
        <v>186</v>
      </c>
      <c r="D766" s="18" t="s">
        <v>2566</v>
      </c>
      <c r="E766" s="16">
        <v>65.0</v>
      </c>
    </row>
    <row r="767">
      <c r="A767" s="8" t="s">
        <v>1174</v>
      </c>
      <c r="B767" s="8" t="s">
        <v>2813</v>
      </c>
      <c r="C767" s="8" t="s">
        <v>93</v>
      </c>
      <c r="D767" s="18" t="s">
        <v>2558</v>
      </c>
      <c r="E767" s="16">
        <v>68.0</v>
      </c>
    </row>
    <row r="768">
      <c r="A768" s="8" t="s">
        <v>520</v>
      </c>
      <c r="B768" s="18" t="s">
        <v>521</v>
      </c>
      <c r="C768" s="8" t="s">
        <v>93</v>
      </c>
      <c r="D768" s="18" t="s">
        <v>2598</v>
      </c>
      <c r="E768" s="16">
        <v>68.0</v>
      </c>
    </row>
    <row r="769">
      <c r="A769" s="8" t="s">
        <v>520</v>
      </c>
      <c r="B769" s="8" t="s">
        <v>699</v>
      </c>
      <c r="C769" s="8" t="s">
        <v>65</v>
      </c>
      <c r="D769" s="18" t="s">
        <v>2585</v>
      </c>
      <c r="E769" s="16">
        <v>73.0</v>
      </c>
    </row>
    <row r="770">
      <c r="A770" s="8" t="s">
        <v>698</v>
      </c>
      <c r="B770" s="8" t="s">
        <v>1457</v>
      </c>
      <c r="C770" s="8" t="s">
        <v>46</v>
      </c>
      <c r="D770" s="18" t="s">
        <v>2564</v>
      </c>
      <c r="E770" s="16">
        <v>64.0</v>
      </c>
    </row>
    <row r="771">
      <c r="A771" s="8" t="s">
        <v>698</v>
      </c>
      <c r="B771" s="8" t="s">
        <v>301</v>
      </c>
      <c r="C771" s="8" t="s">
        <v>65</v>
      </c>
      <c r="D771" s="18" t="s">
        <v>2615</v>
      </c>
      <c r="E771" s="16">
        <v>78.0</v>
      </c>
    </row>
    <row r="772">
      <c r="A772" s="8" t="s">
        <v>698</v>
      </c>
      <c r="B772" s="8" t="s">
        <v>385</v>
      </c>
      <c r="C772" s="8" t="s">
        <v>70</v>
      </c>
      <c r="D772" s="18" t="s">
        <v>2572</v>
      </c>
      <c r="E772" s="16">
        <v>87.0</v>
      </c>
    </row>
    <row r="773">
      <c r="A773" s="8" t="s">
        <v>68</v>
      </c>
      <c r="B773" s="8" t="s">
        <v>69</v>
      </c>
      <c r="C773" s="8" t="s">
        <v>70</v>
      </c>
      <c r="D773" s="18" t="s">
        <v>2567</v>
      </c>
      <c r="E773" s="16">
        <v>83.0</v>
      </c>
    </row>
    <row r="774">
      <c r="A774" s="8" t="s">
        <v>87</v>
      </c>
      <c r="B774" s="8" t="s">
        <v>88</v>
      </c>
      <c r="C774" s="8" t="s">
        <v>12</v>
      </c>
      <c r="D774" s="18" t="s">
        <v>2600</v>
      </c>
      <c r="E774" s="16">
        <v>76.0</v>
      </c>
    </row>
    <row r="775">
      <c r="A775" s="8" t="s">
        <v>1175</v>
      </c>
      <c r="B775" s="8" t="s">
        <v>11</v>
      </c>
      <c r="C775" s="8" t="s">
        <v>215</v>
      </c>
      <c r="D775" s="18" t="s">
        <v>2620</v>
      </c>
      <c r="E775" s="16">
        <v>66.0</v>
      </c>
    </row>
    <row r="776">
      <c r="A776" s="8" t="s">
        <v>71</v>
      </c>
      <c r="B776" s="8" t="s">
        <v>72</v>
      </c>
      <c r="C776" s="8" t="s">
        <v>12</v>
      </c>
      <c r="D776" s="18" t="s">
        <v>2585</v>
      </c>
      <c r="E776" s="16">
        <v>76.0</v>
      </c>
    </row>
    <row r="777">
      <c r="A777" s="8" t="s">
        <v>3280</v>
      </c>
      <c r="B777" s="8" t="s">
        <v>3281</v>
      </c>
      <c r="C777" s="8" t="s">
        <v>141</v>
      </c>
      <c r="D777" s="18" t="s">
        <v>2574</v>
      </c>
      <c r="E777" s="16">
        <v>71.0</v>
      </c>
    </row>
    <row r="778">
      <c r="A778" s="8" t="s">
        <v>3282</v>
      </c>
      <c r="B778" s="8" t="s">
        <v>119</v>
      </c>
      <c r="C778" s="8" t="s">
        <v>46</v>
      </c>
      <c r="D778" s="18" t="s">
        <v>2598</v>
      </c>
      <c r="E778" s="16">
        <v>64.0</v>
      </c>
    </row>
    <row r="779">
      <c r="A779" s="8" t="s">
        <v>203</v>
      </c>
      <c r="B779" s="8" t="s">
        <v>121</v>
      </c>
      <c r="C779" s="8" t="s">
        <v>215</v>
      </c>
      <c r="D779" s="18" t="s">
        <v>2564</v>
      </c>
      <c r="E779" s="16">
        <v>95.0</v>
      </c>
    </row>
    <row r="780">
      <c r="A780" s="8" t="s">
        <v>203</v>
      </c>
      <c r="B780" s="8" t="s">
        <v>204</v>
      </c>
      <c r="C780" s="8" t="s">
        <v>24</v>
      </c>
      <c r="D780" s="18" t="s">
        <v>2603</v>
      </c>
      <c r="E780" s="16">
        <v>93.0</v>
      </c>
    </row>
    <row r="781">
      <c r="A781" s="8" t="s">
        <v>700</v>
      </c>
      <c r="B781" s="8" t="s">
        <v>304</v>
      </c>
      <c r="C781" s="8" t="s">
        <v>70</v>
      </c>
      <c r="D781" s="18" t="s">
        <v>2584</v>
      </c>
      <c r="E781" s="16">
        <v>65.0</v>
      </c>
    </row>
    <row r="782">
      <c r="A782" s="8" t="s">
        <v>700</v>
      </c>
      <c r="B782" s="8" t="s">
        <v>1015</v>
      </c>
      <c r="C782" s="8" t="s">
        <v>186</v>
      </c>
      <c r="D782" s="18" t="s">
        <v>2566</v>
      </c>
      <c r="E782" s="16">
        <v>60.0</v>
      </c>
    </row>
    <row r="783">
      <c r="A783" s="8" t="s">
        <v>700</v>
      </c>
      <c r="B783" s="8" t="s">
        <v>3283</v>
      </c>
      <c r="C783" s="8" t="s">
        <v>93</v>
      </c>
      <c r="D783" s="18" t="s">
        <v>2584</v>
      </c>
      <c r="E783" s="16">
        <v>66.0</v>
      </c>
    </row>
    <row r="784">
      <c r="A784" s="8" t="s">
        <v>700</v>
      </c>
      <c r="B784" s="8" t="s">
        <v>1176</v>
      </c>
      <c r="C784" s="8" t="s">
        <v>65</v>
      </c>
      <c r="D784" s="18" t="s">
        <v>2581</v>
      </c>
      <c r="E784" s="16">
        <v>67.0</v>
      </c>
    </row>
    <row r="785">
      <c r="A785" s="8" t="s">
        <v>700</v>
      </c>
      <c r="B785" s="8" t="s">
        <v>67</v>
      </c>
      <c r="C785" s="8" t="s">
        <v>65</v>
      </c>
      <c r="D785" s="18" t="s">
        <v>2582</v>
      </c>
      <c r="E785" s="16">
        <v>67.0</v>
      </c>
    </row>
    <row r="786">
      <c r="A786" s="8" t="s">
        <v>701</v>
      </c>
      <c r="B786" s="8" t="s">
        <v>702</v>
      </c>
      <c r="C786" s="8" t="s">
        <v>141</v>
      </c>
      <c r="D786" s="18" t="s">
        <v>2605</v>
      </c>
      <c r="E786" s="16">
        <v>69.0</v>
      </c>
    </row>
    <row r="787">
      <c r="A787" s="8" t="s">
        <v>3284</v>
      </c>
      <c r="B787" s="8" t="s">
        <v>273</v>
      </c>
      <c r="C787" s="8" t="s">
        <v>93</v>
      </c>
      <c r="D787" s="18" t="s">
        <v>2564</v>
      </c>
      <c r="E787" s="16">
        <v>71.0</v>
      </c>
    </row>
    <row r="788">
      <c r="A788" s="8" t="s">
        <v>703</v>
      </c>
      <c r="B788" s="8" t="s">
        <v>2814</v>
      </c>
      <c r="C788" s="8" t="s">
        <v>24</v>
      </c>
      <c r="D788" s="18" t="s">
        <v>2581</v>
      </c>
      <c r="E788" s="16">
        <v>69.0</v>
      </c>
    </row>
    <row r="789">
      <c r="A789" s="8" t="s">
        <v>2815</v>
      </c>
      <c r="B789" s="8" t="s">
        <v>252</v>
      </c>
      <c r="C789" s="8" t="s">
        <v>16</v>
      </c>
      <c r="D789" s="18" t="s">
        <v>2595</v>
      </c>
      <c r="E789" s="16">
        <v>62.0</v>
      </c>
    </row>
    <row r="790">
      <c r="A790" s="8" t="s">
        <v>2816</v>
      </c>
      <c r="B790" s="8" t="s">
        <v>23</v>
      </c>
      <c r="C790" s="8" t="s">
        <v>132</v>
      </c>
      <c r="D790" s="18" t="s">
        <v>2615</v>
      </c>
      <c r="E790" s="16">
        <v>82.0</v>
      </c>
    </row>
    <row r="791">
      <c r="A791" s="8" t="s">
        <v>268</v>
      </c>
      <c r="B791" s="18" t="s">
        <v>269</v>
      </c>
      <c r="C791" s="8" t="s">
        <v>65</v>
      </c>
      <c r="D791" s="18" t="s">
        <v>2610</v>
      </c>
      <c r="E791" s="16">
        <v>94.0</v>
      </c>
    </row>
    <row r="792">
      <c r="A792" s="8" t="s">
        <v>268</v>
      </c>
      <c r="B792" s="8" t="s">
        <v>928</v>
      </c>
      <c r="C792" s="8" t="s">
        <v>149</v>
      </c>
      <c r="D792" s="18" t="s">
        <v>2614</v>
      </c>
      <c r="E792" s="16">
        <v>70.0</v>
      </c>
    </row>
    <row r="793">
      <c r="A793" s="8" t="s">
        <v>268</v>
      </c>
      <c r="B793" s="18" t="s">
        <v>491</v>
      </c>
      <c r="C793" s="8" t="s">
        <v>80</v>
      </c>
      <c r="D793" s="18" t="s">
        <v>2567</v>
      </c>
      <c r="E793" s="16">
        <v>68.0</v>
      </c>
    </row>
    <row r="794">
      <c r="A794" s="8" t="s">
        <v>268</v>
      </c>
      <c r="B794" s="8" t="s">
        <v>270</v>
      </c>
      <c r="C794" s="8" t="s">
        <v>24</v>
      </c>
      <c r="D794" s="18" t="s">
        <v>2620</v>
      </c>
      <c r="E794" s="16">
        <v>81.0</v>
      </c>
    </row>
    <row r="795">
      <c r="A795" s="8" t="s">
        <v>1818</v>
      </c>
      <c r="B795" s="8" t="s">
        <v>1338</v>
      </c>
      <c r="C795" s="8" t="s">
        <v>132</v>
      </c>
      <c r="D795" s="18" t="s">
        <v>2564</v>
      </c>
      <c r="E795" s="16">
        <v>61.0</v>
      </c>
    </row>
    <row r="796">
      <c r="A796" s="8" t="s">
        <v>2818</v>
      </c>
      <c r="B796" s="8" t="s">
        <v>598</v>
      </c>
      <c r="C796" s="8" t="s">
        <v>65</v>
      </c>
      <c r="D796" s="18" t="s">
        <v>2584</v>
      </c>
      <c r="E796" s="16">
        <v>71.0</v>
      </c>
    </row>
    <row r="797">
      <c r="A797" s="8" t="s">
        <v>1177</v>
      </c>
      <c r="B797" s="8" t="s">
        <v>483</v>
      </c>
      <c r="C797" s="8" t="s">
        <v>215</v>
      </c>
      <c r="D797" s="18" t="s">
        <v>2614</v>
      </c>
      <c r="E797" s="16">
        <v>74.0</v>
      </c>
    </row>
    <row r="798">
      <c r="A798" s="8" t="s">
        <v>2819</v>
      </c>
      <c r="B798" s="8" t="s">
        <v>558</v>
      </c>
      <c r="C798" s="8" t="s">
        <v>24</v>
      </c>
      <c r="D798" s="18" t="s">
        <v>2589</v>
      </c>
      <c r="E798" s="16">
        <v>77.0</v>
      </c>
    </row>
    <row r="799">
      <c r="A799" s="8" t="s">
        <v>271</v>
      </c>
      <c r="B799" s="8" t="s">
        <v>272</v>
      </c>
      <c r="C799" s="8" t="s">
        <v>215</v>
      </c>
      <c r="D799" s="18" t="s">
        <v>2552</v>
      </c>
      <c r="E799" s="16">
        <v>86.0</v>
      </c>
    </row>
    <row r="800">
      <c r="A800" s="8" t="s">
        <v>522</v>
      </c>
      <c r="B800" s="8" t="s">
        <v>67</v>
      </c>
      <c r="C800" s="8" t="s">
        <v>16</v>
      </c>
      <c r="D800" s="18" t="s">
        <v>2592</v>
      </c>
      <c r="E800" s="16">
        <v>61.0</v>
      </c>
    </row>
    <row r="801">
      <c r="A801" s="8" t="s">
        <v>522</v>
      </c>
      <c r="B801" s="8" t="s">
        <v>67</v>
      </c>
      <c r="C801" s="8" t="s">
        <v>24</v>
      </c>
      <c r="D801" s="18" t="s">
        <v>2562</v>
      </c>
      <c r="E801" s="16">
        <v>72.0</v>
      </c>
    </row>
    <row r="802">
      <c r="A802" s="8" t="s">
        <v>522</v>
      </c>
      <c r="B802" s="8" t="s">
        <v>1822</v>
      </c>
      <c r="C802" s="8" t="s">
        <v>93</v>
      </c>
      <c r="D802" s="18" t="s">
        <v>2603</v>
      </c>
      <c r="E802" s="16">
        <v>70.0</v>
      </c>
    </row>
    <row r="803">
      <c r="A803" s="8" t="s">
        <v>2821</v>
      </c>
      <c r="B803" s="8" t="s">
        <v>3285</v>
      </c>
      <c r="C803" s="8" t="s">
        <v>53</v>
      </c>
      <c r="D803" s="18" t="s">
        <v>2593</v>
      </c>
      <c r="E803" s="16">
        <v>62.0</v>
      </c>
    </row>
    <row r="804">
      <c r="A804" s="8" t="s">
        <v>1178</v>
      </c>
      <c r="B804" s="8" t="s">
        <v>596</v>
      </c>
      <c r="C804" s="8" t="s">
        <v>24</v>
      </c>
      <c r="D804" s="18" t="s">
        <v>2577</v>
      </c>
      <c r="E804" s="16">
        <v>69.0</v>
      </c>
    </row>
    <row r="805">
      <c r="A805" s="8" t="s">
        <v>2822</v>
      </c>
      <c r="B805" s="8" t="s">
        <v>780</v>
      </c>
      <c r="C805" s="8" t="s">
        <v>93</v>
      </c>
      <c r="D805" s="18" t="s">
        <v>2592</v>
      </c>
      <c r="E805" s="16">
        <v>88.0</v>
      </c>
    </row>
    <row r="806">
      <c r="A806" s="8" t="s">
        <v>929</v>
      </c>
      <c r="B806" s="8" t="s">
        <v>930</v>
      </c>
      <c r="C806" s="8" t="s">
        <v>138</v>
      </c>
      <c r="D806" s="18" t="s">
        <v>2600</v>
      </c>
      <c r="E806" s="16">
        <v>63.0</v>
      </c>
    </row>
    <row r="807">
      <c r="A807" s="8" t="s">
        <v>3286</v>
      </c>
      <c r="B807" s="8" t="s">
        <v>517</v>
      </c>
      <c r="C807" s="8" t="s">
        <v>261</v>
      </c>
      <c r="D807" s="18" t="s">
        <v>2600</v>
      </c>
      <c r="E807" s="16">
        <v>67.0</v>
      </c>
    </row>
    <row r="808">
      <c r="A808" s="8" t="s">
        <v>3286</v>
      </c>
      <c r="B808" s="8" t="s">
        <v>936</v>
      </c>
      <c r="C808" s="8" t="s">
        <v>24</v>
      </c>
      <c r="D808" s="18" t="s">
        <v>2600</v>
      </c>
      <c r="E808" s="16">
        <v>98.0</v>
      </c>
    </row>
    <row r="809">
      <c r="A809" s="8" t="s">
        <v>704</v>
      </c>
      <c r="B809" s="8" t="s">
        <v>67</v>
      </c>
      <c r="C809" s="8" t="s">
        <v>75</v>
      </c>
      <c r="D809" s="18" t="s">
        <v>2587</v>
      </c>
      <c r="E809" s="16">
        <v>72.0</v>
      </c>
    </row>
    <row r="810">
      <c r="A810" s="8" t="s">
        <v>1460</v>
      </c>
      <c r="B810" s="8" t="s">
        <v>1461</v>
      </c>
      <c r="C810" s="8" t="s">
        <v>59</v>
      </c>
      <c r="D810" s="18" t="s">
        <v>2564</v>
      </c>
      <c r="E810" s="16">
        <v>63.0</v>
      </c>
    </row>
    <row r="811">
      <c r="A811" s="8" t="s">
        <v>3287</v>
      </c>
      <c r="B811" s="8" t="s">
        <v>98</v>
      </c>
      <c r="C811" s="8" t="s">
        <v>93</v>
      </c>
      <c r="D811" s="18" t="s">
        <v>2564</v>
      </c>
      <c r="E811" s="16">
        <v>62.0</v>
      </c>
    </row>
    <row r="812">
      <c r="A812" s="8" t="s">
        <v>3288</v>
      </c>
      <c r="B812" s="8" t="s">
        <v>3289</v>
      </c>
      <c r="C812" s="8" t="s">
        <v>122</v>
      </c>
      <c r="D812" s="18" t="s">
        <v>2558</v>
      </c>
      <c r="E812" s="16">
        <v>74.0</v>
      </c>
    </row>
    <row r="813">
      <c r="A813" s="8" t="s">
        <v>931</v>
      </c>
      <c r="B813" s="8" t="s">
        <v>2823</v>
      </c>
      <c r="C813" s="8" t="s">
        <v>93</v>
      </c>
      <c r="D813" s="18" t="s">
        <v>2558</v>
      </c>
      <c r="E813" s="16">
        <v>72.0</v>
      </c>
    </row>
    <row r="814">
      <c r="A814" s="8" t="s">
        <v>931</v>
      </c>
      <c r="B814" s="8" t="s">
        <v>383</v>
      </c>
      <c r="C814" s="8" t="s">
        <v>215</v>
      </c>
      <c r="D814" s="18" t="s">
        <v>2589</v>
      </c>
      <c r="E814" s="16">
        <v>65.0</v>
      </c>
    </row>
    <row r="815">
      <c r="A815" s="8" t="s">
        <v>2824</v>
      </c>
      <c r="B815" s="8" t="s">
        <v>883</v>
      </c>
      <c r="C815" s="8" t="s">
        <v>70</v>
      </c>
      <c r="D815" s="18" t="s">
        <v>2593</v>
      </c>
      <c r="E815" s="16">
        <v>85.0</v>
      </c>
    </row>
    <row r="816">
      <c r="A816" s="8" t="s">
        <v>523</v>
      </c>
      <c r="B816" s="8" t="s">
        <v>524</v>
      </c>
      <c r="C816" s="8" t="s">
        <v>215</v>
      </c>
      <c r="D816" s="18" t="s">
        <v>2600</v>
      </c>
      <c r="E816" s="16">
        <v>75.0</v>
      </c>
    </row>
    <row r="817">
      <c r="A817" s="8" t="s">
        <v>2825</v>
      </c>
      <c r="B817" s="8" t="s">
        <v>2826</v>
      </c>
      <c r="C817" s="8" t="s">
        <v>138</v>
      </c>
      <c r="D817" s="18" t="s">
        <v>2595</v>
      </c>
      <c r="E817" s="16">
        <v>62.0</v>
      </c>
    </row>
    <row r="818">
      <c r="A818" s="8" t="s">
        <v>2827</v>
      </c>
      <c r="B818" s="8" t="s">
        <v>726</v>
      </c>
      <c r="C818" s="8" t="s">
        <v>16</v>
      </c>
      <c r="D818" s="18" t="s">
        <v>2560</v>
      </c>
      <c r="E818" s="16">
        <v>66.0</v>
      </c>
    </row>
    <row r="819">
      <c r="A819" s="8" t="s">
        <v>376</v>
      </c>
      <c r="B819" s="8" t="s">
        <v>102</v>
      </c>
      <c r="C819" s="8" t="s">
        <v>93</v>
      </c>
      <c r="D819" s="18" t="s">
        <v>2615</v>
      </c>
      <c r="E819" s="16">
        <v>81.0</v>
      </c>
    </row>
    <row r="820">
      <c r="A820" s="8" t="s">
        <v>1180</v>
      </c>
      <c r="B820" s="8" t="s">
        <v>102</v>
      </c>
      <c r="C820" s="8" t="s">
        <v>149</v>
      </c>
      <c r="D820" s="18" t="s">
        <v>2567</v>
      </c>
      <c r="E820" s="16">
        <v>72.0</v>
      </c>
    </row>
    <row r="821">
      <c r="A821" s="8" t="s">
        <v>525</v>
      </c>
      <c r="B821" s="18" t="s">
        <v>526</v>
      </c>
      <c r="C821" s="8" t="s">
        <v>215</v>
      </c>
      <c r="D821" s="18" t="s">
        <v>2598</v>
      </c>
      <c r="E821" s="16">
        <v>75.0</v>
      </c>
    </row>
    <row r="822">
      <c r="A822" s="8" t="s">
        <v>932</v>
      </c>
      <c r="B822" s="8" t="s">
        <v>871</v>
      </c>
      <c r="C822" s="8" t="s">
        <v>186</v>
      </c>
      <c r="D822" s="18" t="s">
        <v>2593</v>
      </c>
      <c r="E822" s="16">
        <v>60.0</v>
      </c>
    </row>
    <row r="823">
      <c r="A823" s="8" t="s">
        <v>1464</v>
      </c>
      <c r="B823" s="8" t="s">
        <v>275</v>
      </c>
      <c r="C823" s="8" t="s">
        <v>149</v>
      </c>
      <c r="D823" s="18" t="s">
        <v>2572</v>
      </c>
      <c r="E823" s="16">
        <v>71.0</v>
      </c>
    </row>
    <row r="824">
      <c r="A824" s="8" t="s">
        <v>1464</v>
      </c>
      <c r="B824" s="8" t="s">
        <v>317</v>
      </c>
      <c r="C824" s="8" t="s">
        <v>93</v>
      </c>
      <c r="D824" s="18" t="s">
        <v>2567</v>
      </c>
      <c r="E824" s="16">
        <v>64.0</v>
      </c>
    </row>
    <row r="825">
      <c r="A825" s="8" t="s">
        <v>2828</v>
      </c>
      <c r="B825" s="8" t="s">
        <v>277</v>
      </c>
      <c r="C825" s="8" t="s">
        <v>80</v>
      </c>
      <c r="D825" s="18" t="s">
        <v>2562</v>
      </c>
      <c r="E825" s="16">
        <v>74.0</v>
      </c>
    </row>
    <row r="826">
      <c r="A826" s="8" t="s">
        <v>705</v>
      </c>
      <c r="B826" s="8" t="s">
        <v>181</v>
      </c>
      <c r="C826" s="8" t="s">
        <v>132</v>
      </c>
      <c r="D826" s="18" t="s">
        <v>2566</v>
      </c>
      <c r="E826" s="16">
        <v>62.0</v>
      </c>
    </row>
    <row r="827">
      <c r="A827" s="8" t="s">
        <v>3290</v>
      </c>
      <c r="B827" s="8" t="s">
        <v>3291</v>
      </c>
      <c r="C827" s="8" t="s">
        <v>59</v>
      </c>
      <c r="D827" s="18" t="s">
        <v>2183</v>
      </c>
      <c r="E827" s="16">
        <v>82.0</v>
      </c>
    </row>
    <row r="828">
      <c r="A828" s="8" t="s">
        <v>1183</v>
      </c>
      <c r="B828" s="8" t="s">
        <v>1823</v>
      </c>
      <c r="C828" s="8" t="s">
        <v>215</v>
      </c>
      <c r="D828" s="18" t="s">
        <v>2574</v>
      </c>
      <c r="E828" s="16">
        <v>69.0</v>
      </c>
    </row>
    <row r="829">
      <c r="A829" s="8" t="s">
        <v>1183</v>
      </c>
      <c r="B829" s="8" t="s">
        <v>1192</v>
      </c>
      <c r="C829" s="8" t="s">
        <v>80</v>
      </c>
      <c r="D829" s="18" t="s">
        <v>2582</v>
      </c>
      <c r="E829" s="16">
        <v>79.0</v>
      </c>
    </row>
    <row r="830">
      <c r="A830" s="8" t="s">
        <v>1183</v>
      </c>
      <c r="B830" s="18" t="s">
        <v>1465</v>
      </c>
      <c r="C830" s="8" t="s">
        <v>93</v>
      </c>
      <c r="D830" s="18" t="s">
        <v>2605</v>
      </c>
      <c r="E830" s="16">
        <v>65.0</v>
      </c>
    </row>
    <row r="831">
      <c r="A831" s="8" t="s">
        <v>1183</v>
      </c>
      <c r="B831" s="8" t="s">
        <v>3292</v>
      </c>
      <c r="C831" s="8" t="s">
        <v>65</v>
      </c>
      <c r="D831" s="18" t="s">
        <v>2615</v>
      </c>
      <c r="E831" s="16">
        <v>62.0</v>
      </c>
    </row>
    <row r="832">
      <c r="A832" s="8" t="s">
        <v>1181</v>
      </c>
      <c r="B832" s="8" t="s">
        <v>245</v>
      </c>
      <c r="C832" s="8" t="s">
        <v>93</v>
      </c>
      <c r="D832" s="18" t="s">
        <v>2556</v>
      </c>
      <c r="E832" s="16">
        <v>61.0</v>
      </c>
    </row>
    <row r="833">
      <c r="A833" s="8" t="s">
        <v>1181</v>
      </c>
      <c r="B833" s="8" t="s">
        <v>3293</v>
      </c>
      <c r="C833" s="8" t="s">
        <v>65</v>
      </c>
      <c r="D833" s="18" t="s">
        <v>2577</v>
      </c>
      <c r="E833" s="16">
        <v>68.0</v>
      </c>
    </row>
    <row r="834">
      <c r="A834" s="8" t="s">
        <v>1181</v>
      </c>
      <c r="B834" s="8" t="s">
        <v>381</v>
      </c>
      <c r="C834" s="8" t="s">
        <v>122</v>
      </c>
      <c r="D834" s="18" t="s">
        <v>2564</v>
      </c>
      <c r="E834" s="16">
        <v>64.0</v>
      </c>
    </row>
    <row r="835">
      <c r="A835" s="8" t="s">
        <v>1181</v>
      </c>
      <c r="B835" s="8" t="s">
        <v>1182</v>
      </c>
      <c r="C835" s="8" t="s">
        <v>122</v>
      </c>
      <c r="D835" s="18" t="s">
        <v>2600</v>
      </c>
      <c r="E835" s="16">
        <v>65.0</v>
      </c>
    </row>
    <row r="836">
      <c r="A836" s="8" t="s">
        <v>3294</v>
      </c>
      <c r="B836" s="8" t="s">
        <v>1131</v>
      </c>
      <c r="C836" s="8" t="s">
        <v>24</v>
      </c>
      <c r="D836" s="18" t="s">
        <v>2614</v>
      </c>
      <c r="E836" s="16">
        <v>64.0</v>
      </c>
    </row>
    <row r="837">
      <c r="A837" s="8" t="s">
        <v>3295</v>
      </c>
      <c r="B837" s="8" t="s">
        <v>2376</v>
      </c>
      <c r="C837" s="8" t="s">
        <v>65</v>
      </c>
      <c r="D837" s="18" t="s">
        <v>2560</v>
      </c>
      <c r="E837" s="16">
        <v>63.0</v>
      </c>
    </row>
    <row r="838">
      <c r="A838" s="8" t="s">
        <v>933</v>
      </c>
      <c r="B838" s="8" t="s">
        <v>92</v>
      </c>
      <c r="C838" s="8" t="s">
        <v>122</v>
      </c>
      <c r="D838" s="18" t="s">
        <v>2567</v>
      </c>
      <c r="E838" s="16">
        <v>76.0</v>
      </c>
    </row>
    <row r="839">
      <c r="A839" s="8" t="s">
        <v>3296</v>
      </c>
      <c r="B839" s="8" t="s">
        <v>260</v>
      </c>
      <c r="C839" s="8" t="s">
        <v>24</v>
      </c>
      <c r="D839" s="18" t="s">
        <v>2614</v>
      </c>
      <c r="E839" s="16">
        <v>73.0</v>
      </c>
    </row>
    <row r="840">
      <c r="A840" s="8" t="s">
        <v>2832</v>
      </c>
      <c r="B840" s="8" t="s">
        <v>117</v>
      </c>
      <c r="C840" s="8" t="s">
        <v>65</v>
      </c>
      <c r="D840" s="18" t="s">
        <v>2560</v>
      </c>
      <c r="E840" s="16">
        <v>70.0</v>
      </c>
    </row>
    <row r="841">
      <c r="A841" s="8" t="s">
        <v>2833</v>
      </c>
      <c r="B841" s="8" t="s">
        <v>247</v>
      </c>
      <c r="C841" s="8" t="s">
        <v>122</v>
      </c>
      <c r="D841" s="18" t="s">
        <v>2610</v>
      </c>
      <c r="E841" s="16">
        <v>60.0</v>
      </c>
    </row>
    <row r="842">
      <c r="A842" s="8" t="s">
        <v>934</v>
      </c>
      <c r="B842" s="8" t="s">
        <v>381</v>
      </c>
      <c r="C842" s="8" t="s">
        <v>65</v>
      </c>
      <c r="D842" s="18" t="s">
        <v>2598</v>
      </c>
      <c r="E842" s="16">
        <v>73.0</v>
      </c>
    </row>
    <row r="843">
      <c r="A843" s="8" t="s">
        <v>1185</v>
      </c>
      <c r="B843" s="8" t="s">
        <v>1186</v>
      </c>
      <c r="C843" s="8" t="s">
        <v>122</v>
      </c>
      <c r="D843" s="18" t="s">
        <v>2577</v>
      </c>
      <c r="E843" s="16">
        <v>73.0</v>
      </c>
    </row>
    <row r="844">
      <c r="A844" s="8" t="s">
        <v>2834</v>
      </c>
      <c r="B844" s="8" t="s">
        <v>84</v>
      </c>
      <c r="C844" s="8" t="s">
        <v>93</v>
      </c>
      <c r="D844" s="18" t="s">
        <v>2592</v>
      </c>
      <c r="E844" s="16">
        <v>75.0</v>
      </c>
    </row>
    <row r="845">
      <c r="A845" s="8" t="s">
        <v>3297</v>
      </c>
      <c r="B845" s="8" t="s">
        <v>1515</v>
      </c>
      <c r="C845" s="8" t="s">
        <v>261</v>
      </c>
      <c r="D845" s="18" t="s">
        <v>2593</v>
      </c>
      <c r="E845" s="16">
        <v>78.0</v>
      </c>
    </row>
    <row r="846">
      <c r="A846" s="8" t="s">
        <v>1826</v>
      </c>
      <c r="B846" s="8" t="s">
        <v>162</v>
      </c>
      <c r="C846" s="8" t="s">
        <v>75</v>
      </c>
      <c r="D846" s="18" t="s">
        <v>2598</v>
      </c>
      <c r="E846" s="16">
        <v>70.0</v>
      </c>
    </row>
    <row r="847">
      <c r="A847" s="8" t="s">
        <v>706</v>
      </c>
      <c r="B847" s="8" t="s">
        <v>707</v>
      </c>
      <c r="C847" s="8" t="s">
        <v>192</v>
      </c>
      <c r="D847" s="18" t="s">
        <v>2600</v>
      </c>
      <c r="E847" s="16">
        <v>77.0</v>
      </c>
    </row>
    <row r="848">
      <c r="A848" s="8" t="s">
        <v>1467</v>
      </c>
      <c r="B848" s="8" t="s">
        <v>29</v>
      </c>
      <c r="C848" s="8" t="s">
        <v>53</v>
      </c>
      <c r="D848" s="18" t="s">
        <v>2585</v>
      </c>
      <c r="E848" s="16">
        <v>69.0</v>
      </c>
    </row>
    <row r="849">
      <c r="A849" s="8" t="s">
        <v>89</v>
      </c>
      <c r="B849" s="8" t="s">
        <v>212</v>
      </c>
      <c r="C849" s="8" t="s">
        <v>80</v>
      </c>
      <c r="D849" s="18" t="s">
        <v>2552</v>
      </c>
      <c r="E849" s="16">
        <v>67.0</v>
      </c>
    </row>
    <row r="850">
      <c r="A850" s="8" t="s">
        <v>89</v>
      </c>
      <c r="B850" s="8" t="s">
        <v>357</v>
      </c>
      <c r="C850" s="8" t="s">
        <v>215</v>
      </c>
      <c r="D850" s="18" t="s">
        <v>2581</v>
      </c>
      <c r="E850" s="16">
        <v>73.0</v>
      </c>
    </row>
    <row r="851">
      <c r="A851" s="8" t="s">
        <v>89</v>
      </c>
      <c r="B851" s="8" t="s">
        <v>90</v>
      </c>
      <c r="C851" s="8" t="s">
        <v>24</v>
      </c>
      <c r="D851" s="18" t="s">
        <v>2610</v>
      </c>
      <c r="E851" s="16">
        <v>56.0</v>
      </c>
    </row>
    <row r="852">
      <c r="A852" s="8" t="s">
        <v>89</v>
      </c>
      <c r="B852" s="8" t="s">
        <v>506</v>
      </c>
      <c r="C852" s="8" t="s">
        <v>186</v>
      </c>
      <c r="D852" s="18" t="s">
        <v>2600</v>
      </c>
      <c r="E852" s="16">
        <v>81.0</v>
      </c>
    </row>
    <row r="853">
      <c r="A853" s="8" t="s">
        <v>89</v>
      </c>
      <c r="B853" s="8" t="s">
        <v>708</v>
      </c>
      <c r="C853" s="8" t="s">
        <v>24</v>
      </c>
      <c r="D853" s="18" t="s">
        <v>2183</v>
      </c>
      <c r="E853" s="16">
        <v>70.0</v>
      </c>
    </row>
    <row r="854">
      <c r="A854" s="8" t="s">
        <v>89</v>
      </c>
      <c r="B854" s="18" t="s">
        <v>1082</v>
      </c>
      <c r="C854" s="8" t="s">
        <v>93</v>
      </c>
      <c r="D854" s="18" t="s">
        <v>2595</v>
      </c>
      <c r="E854" s="16">
        <v>63.0</v>
      </c>
    </row>
    <row r="855">
      <c r="A855" s="8" t="s">
        <v>89</v>
      </c>
      <c r="B855" s="8" t="s">
        <v>273</v>
      </c>
      <c r="C855" s="8" t="s">
        <v>65</v>
      </c>
      <c r="D855" s="18" t="s">
        <v>2566</v>
      </c>
      <c r="E855" s="16">
        <v>71.0</v>
      </c>
    </row>
    <row r="856">
      <c r="A856" s="8" t="s">
        <v>89</v>
      </c>
      <c r="B856" s="8" t="s">
        <v>527</v>
      </c>
      <c r="C856" s="8" t="s">
        <v>192</v>
      </c>
      <c r="D856" s="18" t="s">
        <v>2595</v>
      </c>
      <c r="E856" s="16">
        <v>63.0</v>
      </c>
    </row>
    <row r="857">
      <c r="A857" s="8" t="s">
        <v>89</v>
      </c>
      <c r="B857" s="8" t="s">
        <v>301</v>
      </c>
      <c r="C857" s="8" t="s">
        <v>24</v>
      </c>
      <c r="D857" s="18" t="s">
        <v>2598</v>
      </c>
      <c r="E857" s="16">
        <v>54.0</v>
      </c>
    </row>
    <row r="858">
      <c r="A858" s="8" t="s">
        <v>89</v>
      </c>
      <c r="B858" s="8" t="s">
        <v>634</v>
      </c>
      <c r="C858" s="8" t="s">
        <v>65</v>
      </c>
      <c r="D858" s="18" t="s">
        <v>2582</v>
      </c>
      <c r="E858" s="16">
        <v>63.0</v>
      </c>
    </row>
    <row r="859">
      <c r="A859" s="8" t="s">
        <v>89</v>
      </c>
      <c r="B859" s="8" t="s">
        <v>375</v>
      </c>
      <c r="C859" s="8" t="s">
        <v>186</v>
      </c>
      <c r="D859" s="18" t="s">
        <v>2556</v>
      </c>
      <c r="E859" s="16">
        <v>60.0</v>
      </c>
    </row>
    <row r="860">
      <c r="A860" s="8" t="s">
        <v>89</v>
      </c>
      <c r="B860" s="8" t="s">
        <v>709</v>
      </c>
      <c r="C860" s="8" t="s">
        <v>215</v>
      </c>
      <c r="D860" s="18" t="s">
        <v>2620</v>
      </c>
      <c r="E860" s="16">
        <v>66.0</v>
      </c>
    </row>
    <row r="861">
      <c r="A861" s="8" t="s">
        <v>2835</v>
      </c>
      <c r="B861" s="8" t="s">
        <v>275</v>
      </c>
      <c r="C861" s="8" t="s">
        <v>93</v>
      </c>
      <c r="D861" s="18" t="s">
        <v>2620</v>
      </c>
      <c r="E861" s="16">
        <v>94.0</v>
      </c>
    </row>
    <row r="862">
      <c r="A862" s="8" t="s">
        <v>377</v>
      </c>
      <c r="B862" s="8" t="s">
        <v>378</v>
      </c>
      <c r="C862" s="8" t="s">
        <v>122</v>
      </c>
      <c r="D862" s="18" t="s">
        <v>2566</v>
      </c>
      <c r="E862" s="16">
        <v>89.0</v>
      </c>
    </row>
    <row r="863">
      <c r="A863" s="8" t="s">
        <v>377</v>
      </c>
      <c r="B863" s="8" t="s">
        <v>260</v>
      </c>
      <c r="C863" s="8" t="s">
        <v>59</v>
      </c>
      <c r="D863" s="18" t="s">
        <v>2577</v>
      </c>
      <c r="E863" s="16">
        <v>86.0</v>
      </c>
    </row>
    <row r="864">
      <c r="A864" s="8" t="s">
        <v>377</v>
      </c>
      <c r="B864" s="8" t="s">
        <v>1227</v>
      </c>
      <c r="C864" s="8" t="s">
        <v>132</v>
      </c>
      <c r="D864" s="18" t="s">
        <v>2592</v>
      </c>
      <c r="E864" s="16">
        <v>66.0</v>
      </c>
    </row>
    <row r="865">
      <c r="A865" s="8" t="s">
        <v>377</v>
      </c>
      <c r="B865" s="8" t="s">
        <v>710</v>
      </c>
      <c r="C865" s="8" t="s">
        <v>141</v>
      </c>
      <c r="D865" s="18" t="s">
        <v>2560</v>
      </c>
      <c r="E865" s="16">
        <v>69.0</v>
      </c>
    </row>
    <row r="866">
      <c r="A866" s="8" t="s">
        <v>1468</v>
      </c>
      <c r="B866" s="8" t="s">
        <v>399</v>
      </c>
      <c r="C866" s="8" t="s">
        <v>149</v>
      </c>
      <c r="D866" s="18" t="s">
        <v>2566</v>
      </c>
      <c r="E866" s="16">
        <v>70.0</v>
      </c>
    </row>
    <row r="867">
      <c r="A867" s="8" t="s">
        <v>1468</v>
      </c>
      <c r="B867" s="8" t="s">
        <v>493</v>
      </c>
      <c r="C867" s="8" t="s">
        <v>24</v>
      </c>
      <c r="D867" s="18" t="s">
        <v>2558</v>
      </c>
      <c r="E867" s="16">
        <v>44.0</v>
      </c>
    </row>
    <row r="868">
      <c r="A868" s="8" t="s">
        <v>1468</v>
      </c>
      <c r="B868" s="8" t="s">
        <v>441</v>
      </c>
      <c r="C868" s="8" t="s">
        <v>149</v>
      </c>
      <c r="D868" s="18" t="s">
        <v>2564</v>
      </c>
      <c r="E868" s="16">
        <v>69.0</v>
      </c>
    </row>
    <row r="869">
      <c r="A869" s="8" t="s">
        <v>1469</v>
      </c>
      <c r="B869" s="8" t="s">
        <v>301</v>
      </c>
      <c r="C869" s="8" t="s">
        <v>186</v>
      </c>
      <c r="D869" s="18" t="s">
        <v>2582</v>
      </c>
      <c r="E869" s="16">
        <v>64.0</v>
      </c>
    </row>
    <row r="870">
      <c r="A870" s="8" t="s">
        <v>1829</v>
      </c>
      <c r="B870" s="8" t="s">
        <v>1830</v>
      </c>
      <c r="C870" s="8" t="s">
        <v>65</v>
      </c>
      <c r="D870" s="18" t="s">
        <v>2556</v>
      </c>
      <c r="E870" s="16">
        <v>62.0</v>
      </c>
    </row>
    <row r="871">
      <c r="A871" s="8" t="s">
        <v>115</v>
      </c>
      <c r="B871" s="8" t="s">
        <v>759</v>
      </c>
      <c r="C871" s="8" t="s">
        <v>12</v>
      </c>
      <c r="D871" s="18" t="s">
        <v>2587</v>
      </c>
      <c r="E871" s="16">
        <v>76.0</v>
      </c>
    </row>
    <row r="872">
      <c r="A872" s="8" t="s">
        <v>935</v>
      </c>
      <c r="B872" s="8" t="s">
        <v>936</v>
      </c>
      <c r="C872" s="8" t="s">
        <v>149</v>
      </c>
      <c r="D872" s="18" t="s">
        <v>2593</v>
      </c>
      <c r="E872" s="16">
        <v>77.0</v>
      </c>
    </row>
    <row r="873">
      <c r="A873" s="8" t="s">
        <v>1187</v>
      </c>
      <c r="B873" s="8" t="s">
        <v>55</v>
      </c>
      <c r="C873" s="8" t="s">
        <v>65</v>
      </c>
      <c r="D873" s="18" t="s">
        <v>2600</v>
      </c>
      <c r="E873" s="16">
        <v>74.0</v>
      </c>
    </row>
    <row r="874">
      <c r="A874" s="8" t="s">
        <v>1187</v>
      </c>
      <c r="B874" s="8" t="s">
        <v>669</v>
      </c>
      <c r="C874" s="8" t="s">
        <v>132</v>
      </c>
      <c r="D874" s="18" t="s">
        <v>2183</v>
      </c>
      <c r="E874" s="16">
        <v>60.0</v>
      </c>
    </row>
    <row r="875">
      <c r="A875" s="8" t="s">
        <v>1187</v>
      </c>
      <c r="B875" s="8" t="s">
        <v>1470</v>
      </c>
      <c r="C875" s="8" t="s">
        <v>75</v>
      </c>
      <c r="D875" s="18" t="s">
        <v>2577</v>
      </c>
      <c r="E875" s="16">
        <v>66.0</v>
      </c>
    </row>
    <row r="876">
      <c r="A876" s="8" t="s">
        <v>1187</v>
      </c>
      <c r="B876" s="8" t="s">
        <v>301</v>
      </c>
      <c r="C876" s="8" t="s">
        <v>93</v>
      </c>
      <c r="D876" s="18" t="s">
        <v>2558</v>
      </c>
      <c r="E876" s="16">
        <v>61.0</v>
      </c>
    </row>
    <row r="877">
      <c r="A877" s="8" t="s">
        <v>3298</v>
      </c>
      <c r="B877" s="8" t="s">
        <v>102</v>
      </c>
      <c r="C877" s="8" t="s">
        <v>141</v>
      </c>
      <c r="D877" s="18" t="s">
        <v>2592</v>
      </c>
      <c r="E877" s="16">
        <v>74.0</v>
      </c>
    </row>
    <row r="878">
      <c r="A878" s="8" t="s">
        <v>528</v>
      </c>
      <c r="B878" s="18" t="s">
        <v>529</v>
      </c>
      <c r="C878" s="8" t="s">
        <v>93</v>
      </c>
      <c r="D878" s="18" t="s">
        <v>2554</v>
      </c>
      <c r="E878" s="16">
        <v>74.0</v>
      </c>
    </row>
    <row r="879">
      <c r="A879" s="8" t="s">
        <v>2839</v>
      </c>
      <c r="B879" s="8" t="s">
        <v>692</v>
      </c>
      <c r="C879" s="8" t="s">
        <v>215</v>
      </c>
      <c r="D879" s="18" t="s">
        <v>2581</v>
      </c>
      <c r="E879" s="16">
        <v>83.0</v>
      </c>
    </row>
    <row r="880">
      <c r="A880" s="8" t="s">
        <v>530</v>
      </c>
      <c r="B880" s="8" t="s">
        <v>494</v>
      </c>
      <c r="C880" s="8" t="s">
        <v>93</v>
      </c>
      <c r="D880" s="18" t="s">
        <v>2572</v>
      </c>
      <c r="E880" s="16">
        <v>86.0</v>
      </c>
    </row>
    <row r="881">
      <c r="A881" s="8" t="s">
        <v>3299</v>
      </c>
      <c r="B881" s="8" t="s">
        <v>33</v>
      </c>
      <c r="C881" s="8" t="s">
        <v>65</v>
      </c>
      <c r="D881" s="18" t="s">
        <v>2582</v>
      </c>
      <c r="E881" s="16">
        <v>64.0</v>
      </c>
    </row>
    <row r="882">
      <c r="A882" s="8" t="s">
        <v>711</v>
      </c>
      <c r="B882" s="8" t="s">
        <v>712</v>
      </c>
      <c r="C882" s="8" t="s">
        <v>80</v>
      </c>
      <c r="D882" s="18" t="s">
        <v>2614</v>
      </c>
      <c r="E882" s="16">
        <v>75.0</v>
      </c>
    </row>
    <row r="883">
      <c r="A883" s="8" t="s">
        <v>711</v>
      </c>
      <c r="B883" s="8" t="s">
        <v>850</v>
      </c>
      <c r="C883" s="8" t="s">
        <v>138</v>
      </c>
      <c r="D883" s="18" t="s">
        <v>2562</v>
      </c>
      <c r="E883" s="16">
        <v>65.0</v>
      </c>
    </row>
    <row r="884">
      <c r="A884" s="8" t="s">
        <v>2840</v>
      </c>
      <c r="B884" s="8" t="s">
        <v>50</v>
      </c>
      <c r="C884" s="8" t="s">
        <v>186</v>
      </c>
      <c r="D884" s="18" t="s">
        <v>2556</v>
      </c>
      <c r="E884" s="16">
        <v>66.0</v>
      </c>
    </row>
    <row r="885">
      <c r="A885" s="8" t="s">
        <v>1188</v>
      </c>
      <c r="B885" s="8" t="s">
        <v>441</v>
      </c>
      <c r="C885" s="8" t="s">
        <v>16</v>
      </c>
      <c r="D885" s="18" t="s">
        <v>2552</v>
      </c>
      <c r="E885" s="16">
        <v>58.0</v>
      </c>
    </row>
    <row r="886">
      <c r="A886" s="8" t="s">
        <v>531</v>
      </c>
      <c r="B886" s="8" t="s">
        <v>532</v>
      </c>
      <c r="C886" s="8" t="s">
        <v>38</v>
      </c>
      <c r="D886" s="18" t="s">
        <v>2593</v>
      </c>
      <c r="E886" s="16">
        <v>86.0</v>
      </c>
    </row>
    <row r="887">
      <c r="A887" s="8" t="s">
        <v>3300</v>
      </c>
      <c r="B887" s="8" t="s">
        <v>500</v>
      </c>
      <c r="C887" s="8" t="s">
        <v>24</v>
      </c>
      <c r="D887" s="18" t="s">
        <v>2556</v>
      </c>
      <c r="E887" s="16">
        <v>69.0</v>
      </c>
    </row>
    <row r="888">
      <c r="A888" s="8" t="s">
        <v>1189</v>
      </c>
      <c r="B888" s="8" t="s">
        <v>1190</v>
      </c>
      <c r="C888" s="8" t="s">
        <v>24</v>
      </c>
      <c r="D888" s="18" t="s">
        <v>2593</v>
      </c>
      <c r="E888" s="16">
        <v>62.0</v>
      </c>
    </row>
    <row r="889">
      <c r="A889" s="8" t="s">
        <v>937</v>
      </c>
      <c r="B889" s="8" t="s">
        <v>366</v>
      </c>
      <c r="C889" s="8" t="s">
        <v>65</v>
      </c>
      <c r="D889" s="18" t="s">
        <v>2620</v>
      </c>
      <c r="E889" s="16">
        <v>76.0</v>
      </c>
    </row>
    <row r="890">
      <c r="A890" s="8" t="s">
        <v>937</v>
      </c>
      <c r="B890" s="18" t="s">
        <v>1192</v>
      </c>
      <c r="C890" s="8" t="s">
        <v>70</v>
      </c>
      <c r="D890" s="18" t="s">
        <v>2620</v>
      </c>
      <c r="E890" s="16">
        <v>68.0</v>
      </c>
    </row>
    <row r="891">
      <c r="A891" s="8" t="s">
        <v>937</v>
      </c>
      <c r="B891" s="8" t="s">
        <v>938</v>
      </c>
      <c r="C891" s="8" t="s">
        <v>149</v>
      </c>
      <c r="D891" s="18" t="s">
        <v>2587</v>
      </c>
      <c r="E891" s="16">
        <v>71.0</v>
      </c>
    </row>
    <row r="892">
      <c r="A892" s="8" t="s">
        <v>1834</v>
      </c>
      <c r="B892" s="8" t="s">
        <v>865</v>
      </c>
      <c r="C892" s="8" t="s">
        <v>138</v>
      </c>
      <c r="D892" s="18" t="s">
        <v>2595</v>
      </c>
      <c r="E892" s="16">
        <v>69.0</v>
      </c>
    </row>
    <row r="893">
      <c r="A893" s="8" t="s">
        <v>1191</v>
      </c>
      <c r="B893" s="18" t="s">
        <v>269</v>
      </c>
      <c r="C893" s="8" t="s">
        <v>192</v>
      </c>
      <c r="D893" s="18" t="s">
        <v>2581</v>
      </c>
      <c r="E893" s="16">
        <v>60.0</v>
      </c>
    </row>
    <row r="894">
      <c r="A894" s="8" t="s">
        <v>116</v>
      </c>
      <c r="B894" s="8" t="s">
        <v>117</v>
      </c>
      <c r="C894" s="8" t="s">
        <v>16</v>
      </c>
      <c r="D894" s="18" t="s">
        <v>2584</v>
      </c>
      <c r="E894" s="16">
        <v>67.0</v>
      </c>
    </row>
    <row r="895">
      <c r="A895" s="8" t="s">
        <v>1472</v>
      </c>
      <c r="B895" s="8" t="s">
        <v>62</v>
      </c>
      <c r="C895" s="8" t="s">
        <v>24</v>
      </c>
      <c r="D895" s="18" t="s">
        <v>2567</v>
      </c>
      <c r="E895" s="16">
        <v>43.0</v>
      </c>
    </row>
    <row r="896">
      <c r="A896" s="8" t="s">
        <v>637</v>
      </c>
      <c r="B896" s="8" t="s">
        <v>1473</v>
      </c>
      <c r="C896" s="8" t="s">
        <v>70</v>
      </c>
      <c r="D896" s="18" t="s">
        <v>2621</v>
      </c>
      <c r="E896" s="16">
        <v>79.0</v>
      </c>
    </row>
    <row r="897">
      <c r="A897" s="8" t="s">
        <v>637</v>
      </c>
      <c r="B897" s="8" t="s">
        <v>1380</v>
      </c>
      <c r="C897" s="8" t="s">
        <v>24</v>
      </c>
      <c r="D897" s="18" t="s">
        <v>2572</v>
      </c>
      <c r="E897" s="16">
        <v>82.0</v>
      </c>
    </row>
    <row r="898">
      <c r="A898" s="8" t="s">
        <v>637</v>
      </c>
      <c r="B898" s="8" t="s">
        <v>1317</v>
      </c>
      <c r="C898" s="8" t="s">
        <v>138</v>
      </c>
      <c r="D898" s="18" t="s">
        <v>2575</v>
      </c>
      <c r="E898" s="16">
        <v>66.0</v>
      </c>
    </row>
    <row r="899">
      <c r="A899" s="8" t="s">
        <v>2843</v>
      </c>
      <c r="B899" s="8" t="s">
        <v>471</v>
      </c>
      <c r="C899" s="8" t="s">
        <v>53</v>
      </c>
      <c r="D899" s="18" t="s">
        <v>2566</v>
      </c>
      <c r="E899" s="16">
        <v>68.0</v>
      </c>
    </row>
    <row r="900">
      <c r="A900" s="8" t="s">
        <v>1193</v>
      </c>
      <c r="B900" s="8" t="s">
        <v>1194</v>
      </c>
      <c r="C900" s="8" t="s">
        <v>122</v>
      </c>
      <c r="D900" s="18" t="s">
        <v>2556</v>
      </c>
      <c r="E900" s="16">
        <v>65.0</v>
      </c>
    </row>
    <row r="901">
      <c r="A901" s="8" t="s">
        <v>1195</v>
      </c>
      <c r="B901" s="8" t="s">
        <v>712</v>
      </c>
      <c r="C901" s="8" t="s">
        <v>24</v>
      </c>
      <c r="D901" s="18" t="s">
        <v>2620</v>
      </c>
      <c r="E901" s="16">
        <v>74.0</v>
      </c>
    </row>
    <row r="902">
      <c r="A902" s="8" t="s">
        <v>1196</v>
      </c>
      <c r="B902" s="8" t="s">
        <v>1197</v>
      </c>
      <c r="C902" s="8" t="s">
        <v>59</v>
      </c>
      <c r="D902" s="18" t="s">
        <v>2581</v>
      </c>
      <c r="E902" s="16">
        <v>70.0</v>
      </c>
    </row>
    <row r="903">
      <c r="A903" s="8" t="s">
        <v>1196</v>
      </c>
      <c r="B903" s="8" t="s">
        <v>67</v>
      </c>
      <c r="C903" s="8" t="s">
        <v>261</v>
      </c>
      <c r="D903" s="18" t="s">
        <v>2610</v>
      </c>
      <c r="E903" s="16">
        <v>78.0</v>
      </c>
    </row>
    <row r="904">
      <c r="A904" s="8" t="s">
        <v>379</v>
      </c>
      <c r="B904" s="8" t="s">
        <v>52</v>
      </c>
      <c r="C904" s="8" t="s">
        <v>138</v>
      </c>
      <c r="D904" s="18" t="s">
        <v>2577</v>
      </c>
      <c r="E904" s="16">
        <v>81.0</v>
      </c>
    </row>
    <row r="905">
      <c r="A905" s="8" t="s">
        <v>2844</v>
      </c>
      <c r="B905" s="8" t="s">
        <v>2845</v>
      </c>
      <c r="C905" s="8" t="s">
        <v>65</v>
      </c>
      <c r="D905" s="18" t="s">
        <v>2577</v>
      </c>
      <c r="E905" s="16">
        <v>72.0</v>
      </c>
    </row>
    <row r="906">
      <c r="A906" s="8" t="s">
        <v>533</v>
      </c>
      <c r="B906" s="8" t="s">
        <v>534</v>
      </c>
      <c r="C906" s="8" t="s">
        <v>138</v>
      </c>
      <c r="D906" s="18" t="s">
        <v>2605</v>
      </c>
      <c r="E906" s="16">
        <v>83.0</v>
      </c>
    </row>
    <row r="907">
      <c r="A907" s="8" t="s">
        <v>533</v>
      </c>
      <c r="B907" s="8" t="s">
        <v>263</v>
      </c>
      <c r="C907" s="8" t="s">
        <v>186</v>
      </c>
      <c r="D907" s="18" t="s">
        <v>2564</v>
      </c>
      <c r="E907" s="16">
        <v>85.0</v>
      </c>
    </row>
    <row r="908">
      <c r="A908" s="8" t="s">
        <v>1198</v>
      </c>
      <c r="B908" s="8" t="s">
        <v>676</v>
      </c>
      <c r="C908" s="8" t="s">
        <v>24</v>
      </c>
      <c r="D908" s="18" t="s">
        <v>2593</v>
      </c>
      <c r="E908" s="16">
        <v>70.0</v>
      </c>
    </row>
    <row r="909">
      <c r="A909" s="8" t="s">
        <v>1835</v>
      </c>
      <c r="B909" s="8" t="s">
        <v>1786</v>
      </c>
      <c r="C909" s="8" t="s">
        <v>65</v>
      </c>
      <c r="D909" s="18" t="s">
        <v>2615</v>
      </c>
      <c r="E909" s="16">
        <v>65.0</v>
      </c>
    </row>
    <row r="910">
      <c r="A910" s="8" t="s">
        <v>535</v>
      </c>
      <c r="B910" s="18" t="s">
        <v>536</v>
      </c>
      <c r="C910" s="8" t="s">
        <v>186</v>
      </c>
      <c r="D910" s="18" t="s">
        <v>2600</v>
      </c>
      <c r="E910" s="16">
        <v>89.0</v>
      </c>
    </row>
    <row r="911">
      <c r="A911" s="8" t="s">
        <v>535</v>
      </c>
      <c r="B911" s="8" t="s">
        <v>1209</v>
      </c>
      <c r="C911" s="8" t="s">
        <v>70</v>
      </c>
      <c r="D911" s="18" t="s">
        <v>2585</v>
      </c>
      <c r="E911" s="16">
        <v>80.0</v>
      </c>
    </row>
    <row r="912">
      <c r="A912" s="8" t="s">
        <v>1474</v>
      </c>
      <c r="B912" s="8" t="s">
        <v>349</v>
      </c>
      <c r="C912" s="8" t="s">
        <v>24</v>
      </c>
      <c r="D912" s="18" t="s">
        <v>2585</v>
      </c>
      <c r="E912" s="16">
        <v>67.0</v>
      </c>
    </row>
    <row r="913">
      <c r="A913" s="8" t="s">
        <v>537</v>
      </c>
      <c r="B913" s="8" t="s">
        <v>157</v>
      </c>
      <c r="C913" s="8" t="s">
        <v>70</v>
      </c>
      <c r="D913" s="18" t="s">
        <v>2598</v>
      </c>
      <c r="E913" s="16">
        <v>72.0</v>
      </c>
    </row>
    <row r="914">
      <c r="A914" s="8" t="s">
        <v>537</v>
      </c>
      <c r="B914" s="8" t="s">
        <v>2129</v>
      </c>
      <c r="C914" s="8" t="s">
        <v>80</v>
      </c>
      <c r="D914" s="18" t="s">
        <v>2603</v>
      </c>
      <c r="E914" s="16">
        <v>68.0</v>
      </c>
    </row>
    <row r="915">
      <c r="A915" s="8" t="s">
        <v>537</v>
      </c>
      <c r="B915" s="8" t="s">
        <v>822</v>
      </c>
      <c r="C915" s="8" t="s">
        <v>70</v>
      </c>
      <c r="D915" s="18" t="s">
        <v>2610</v>
      </c>
      <c r="E915" s="16">
        <v>82.0</v>
      </c>
    </row>
    <row r="916">
      <c r="A916" s="8" t="s">
        <v>537</v>
      </c>
      <c r="B916" s="8" t="s">
        <v>263</v>
      </c>
      <c r="C916" s="8" t="s">
        <v>122</v>
      </c>
      <c r="D916" s="18" t="s">
        <v>2554</v>
      </c>
      <c r="E916" s="16">
        <v>72.0</v>
      </c>
    </row>
    <row r="917">
      <c r="A917" s="8" t="s">
        <v>537</v>
      </c>
      <c r="B917" s="8" t="s">
        <v>301</v>
      </c>
      <c r="C917" s="8" t="s">
        <v>24</v>
      </c>
      <c r="D917" s="18" t="s">
        <v>2595</v>
      </c>
      <c r="E917" s="16">
        <v>74.0</v>
      </c>
    </row>
    <row r="918">
      <c r="A918" s="8" t="s">
        <v>537</v>
      </c>
      <c r="B918" s="8" t="s">
        <v>939</v>
      </c>
      <c r="C918" s="8" t="s">
        <v>46</v>
      </c>
      <c r="D918" s="18" t="s">
        <v>2552</v>
      </c>
      <c r="E918" s="16">
        <v>64.0</v>
      </c>
    </row>
    <row r="919">
      <c r="A919" s="8" t="s">
        <v>537</v>
      </c>
      <c r="B919" s="8" t="s">
        <v>1241</v>
      </c>
      <c r="C919" s="8" t="s">
        <v>65</v>
      </c>
      <c r="D919" s="18" t="s">
        <v>2562</v>
      </c>
      <c r="E919" s="16">
        <v>64.0</v>
      </c>
    </row>
    <row r="920">
      <c r="A920" s="8" t="s">
        <v>537</v>
      </c>
      <c r="B920" s="8" t="s">
        <v>538</v>
      </c>
      <c r="C920" s="8" t="s">
        <v>16</v>
      </c>
      <c r="D920" s="18" t="s">
        <v>2558</v>
      </c>
      <c r="E920" s="16">
        <v>60.0</v>
      </c>
    </row>
    <row r="921">
      <c r="A921" s="8" t="s">
        <v>537</v>
      </c>
      <c r="B921" s="8" t="s">
        <v>713</v>
      </c>
      <c r="C921" s="8" t="s">
        <v>93</v>
      </c>
      <c r="D921" s="18" t="s">
        <v>2593</v>
      </c>
      <c r="E921" s="16">
        <v>66.0</v>
      </c>
    </row>
    <row r="922">
      <c r="A922" s="8" t="s">
        <v>537</v>
      </c>
      <c r="B922" s="8" t="s">
        <v>867</v>
      </c>
      <c r="C922" s="8" t="s">
        <v>65</v>
      </c>
      <c r="D922" s="18" t="s">
        <v>2183</v>
      </c>
      <c r="E922" s="16">
        <v>83.0</v>
      </c>
    </row>
    <row r="923">
      <c r="A923" s="8" t="s">
        <v>3301</v>
      </c>
      <c r="B923" s="8" t="s">
        <v>800</v>
      </c>
      <c r="C923" s="8" t="s">
        <v>93</v>
      </c>
      <c r="D923" s="18" t="s">
        <v>2615</v>
      </c>
      <c r="E923" s="16">
        <v>61.0</v>
      </c>
    </row>
    <row r="924">
      <c r="A924" s="8" t="s">
        <v>539</v>
      </c>
      <c r="B924" s="18" t="s">
        <v>540</v>
      </c>
      <c r="C924" s="8" t="s">
        <v>65</v>
      </c>
      <c r="D924" s="18" t="s">
        <v>2567</v>
      </c>
      <c r="E924" s="16">
        <v>88.0</v>
      </c>
    </row>
    <row r="925">
      <c r="A925" s="8" t="s">
        <v>940</v>
      </c>
      <c r="B925" s="8" t="s">
        <v>212</v>
      </c>
      <c r="C925" s="8" t="s">
        <v>186</v>
      </c>
      <c r="D925" s="18" t="s">
        <v>2614</v>
      </c>
      <c r="E925" s="16">
        <v>74.0</v>
      </c>
    </row>
    <row r="926">
      <c r="A926" s="8" t="s">
        <v>3302</v>
      </c>
      <c r="B926" s="8" t="s">
        <v>3303</v>
      </c>
      <c r="C926" s="8" t="s">
        <v>24</v>
      </c>
      <c r="D926" s="18" t="s">
        <v>2552</v>
      </c>
      <c r="E926" s="16">
        <v>71.0</v>
      </c>
    </row>
    <row r="927">
      <c r="A927" s="8" t="s">
        <v>3304</v>
      </c>
      <c r="B927" s="8" t="s">
        <v>294</v>
      </c>
      <c r="C927" s="8" t="s">
        <v>53</v>
      </c>
      <c r="D927" s="18" t="s">
        <v>2587</v>
      </c>
      <c r="E927" s="16">
        <v>79.0</v>
      </c>
    </row>
    <row r="928">
      <c r="A928" s="8" t="s">
        <v>274</v>
      </c>
      <c r="B928" s="8" t="s">
        <v>275</v>
      </c>
      <c r="C928" s="8" t="s">
        <v>65</v>
      </c>
      <c r="D928" s="18" t="s">
        <v>2600</v>
      </c>
      <c r="E928" s="16">
        <v>83.0</v>
      </c>
    </row>
    <row r="929">
      <c r="A929" s="8" t="s">
        <v>274</v>
      </c>
      <c r="B929" s="8" t="s">
        <v>119</v>
      </c>
      <c r="C929" s="8" t="s">
        <v>16</v>
      </c>
      <c r="D929" s="18" t="s">
        <v>2615</v>
      </c>
      <c r="E929" s="16">
        <v>66.0</v>
      </c>
    </row>
    <row r="930">
      <c r="A930" s="8" t="s">
        <v>274</v>
      </c>
      <c r="B930" s="8" t="s">
        <v>2846</v>
      </c>
      <c r="C930" s="8" t="s">
        <v>65</v>
      </c>
      <c r="D930" s="18" t="s">
        <v>2589</v>
      </c>
      <c r="E930" s="16">
        <v>61.0</v>
      </c>
    </row>
    <row r="931">
      <c r="A931" s="8" t="s">
        <v>1475</v>
      </c>
      <c r="B931" s="8" t="s">
        <v>285</v>
      </c>
      <c r="C931" s="8" t="s">
        <v>24</v>
      </c>
      <c r="D931" s="18" t="s">
        <v>2577</v>
      </c>
      <c r="E931" s="16">
        <v>47.0</v>
      </c>
    </row>
    <row r="932">
      <c r="A932" s="8" t="s">
        <v>1476</v>
      </c>
      <c r="B932" s="8" t="s">
        <v>1046</v>
      </c>
      <c r="C932" s="8" t="s">
        <v>46</v>
      </c>
      <c r="D932" s="18" t="s">
        <v>2589</v>
      </c>
      <c r="E932" s="16">
        <v>68.0</v>
      </c>
    </row>
    <row r="933">
      <c r="A933" s="8" t="s">
        <v>1477</v>
      </c>
      <c r="B933" s="8" t="s">
        <v>163</v>
      </c>
      <c r="C933" s="8" t="s">
        <v>65</v>
      </c>
      <c r="D933" s="18" t="s">
        <v>2564</v>
      </c>
      <c r="E933" s="16">
        <v>69.0</v>
      </c>
    </row>
    <row r="934">
      <c r="A934" s="8" t="s">
        <v>276</v>
      </c>
      <c r="B934" s="8" t="s">
        <v>277</v>
      </c>
      <c r="C934" s="8" t="s">
        <v>65</v>
      </c>
      <c r="D934" s="18" t="s">
        <v>2587</v>
      </c>
      <c r="E934" s="16">
        <v>76.0</v>
      </c>
    </row>
    <row r="935">
      <c r="A935" s="8" t="s">
        <v>276</v>
      </c>
      <c r="B935" s="8" t="s">
        <v>724</v>
      </c>
      <c r="C935" s="8" t="s">
        <v>24</v>
      </c>
      <c r="D935" s="18" t="s">
        <v>2556</v>
      </c>
      <c r="E935" s="16">
        <v>61.0</v>
      </c>
    </row>
    <row r="936">
      <c r="A936" s="8" t="s">
        <v>276</v>
      </c>
      <c r="B936" s="8" t="s">
        <v>501</v>
      </c>
      <c r="C936" s="8" t="s">
        <v>138</v>
      </c>
      <c r="D936" s="18" t="s">
        <v>2615</v>
      </c>
      <c r="E936" s="16">
        <v>69.0</v>
      </c>
    </row>
    <row r="937">
      <c r="A937" s="8" t="s">
        <v>2847</v>
      </c>
      <c r="B937" s="8" t="s">
        <v>1283</v>
      </c>
      <c r="C937" s="8" t="s">
        <v>93</v>
      </c>
      <c r="D937" s="18" t="s">
        <v>2582</v>
      </c>
      <c r="E937" s="16">
        <v>64.0</v>
      </c>
    </row>
    <row r="938">
      <c r="A938" s="8" t="s">
        <v>714</v>
      </c>
      <c r="B938" s="8" t="s">
        <v>532</v>
      </c>
      <c r="C938" s="8" t="s">
        <v>65</v>
      </c>
      <c r="D938" s="18" t="s">
        <v>2556</v>
      </c>
      <c r="E938" s="16">
        <v>64.0</v>
      </c>
    </row>
    <row r="939">
      <c r="A939" s="8" t="s">
        <v>2135</v>
      </c>
      <c r="B939" s="8" t="s">
        <v>1528</v>
      </c>
      <c r="C939" s="8" t="s">
        <v>70</v>
      </c>
      <c r="D939" s="18" t="s">
        <v>2556</v>
      </c>
      <c r="E939" s="16">
        <v>65.0</v>
      </c>
    </row>
    <row r="940">
      <c r="A940" s="8" t="s">
        <v>2135</v>
      </c>
      <c r="B940" s="8" t="s">
        <v>2848</v>
      </c>
      <c r="C940" s="8" t="s">
        <v>122</v>
      </c>
      <c r="D940" s="18" t="s">
        <v>2582</v>
      </c>
      <c r="E940" s="16">
        <v>72.0</v>
      </c>
    </row>
    <row r="941">
      <c r="A941" s="8" t="s">
        <v>2136</v>
      </c>
      <c r="B941" s="8" t="s">
        <v>549</v>
      </c>
      <c r="C941" s="8" t="s">
        <v>80</v>
      </c>
      <c r="D941" s="18" t="s">
        <v>2567</v>
      </c>
      <c r="E941" s="16">
        <v>76.0</v>
      </c>
    </row>
    <row r="942">
      <c r="A942" s="8" t="s">
        <v>941</v>
      </c>
      <c r="B942" s="8" t="s">
        <v>942</v>
      </c>
      <c r="C942" s="8" t="s">
        <v>138</v>
      </c>
      <c r="D942" s="18" t="s">
        <v>2577</v>
      </c>
      <c r="E942" s="16">
        <v>60.0</v>
      </c>
    </row>
    <row r="943">
      <c r="A943" s="8" t="s">
        <v>2849</v>
      </c>
      <c r="B943" s="8" t="s">
        <v>137</v>
      </c>
      <c r="C943" s="8" t="s">
        <v>24</v>
      </c>
      <c r="D943" s="18" t="s">
        <v>2595</v>
      </c>
      <c r="E943" s="16">
        <v>74.0</v>
      </c>
    </row>
    <row r="944">
      <c r="A944" s="8" t="s">
        <v>1843</v>
      </c>
      <c r="B944" s="8" t="s">
        <v>464</v>
      </c>
      <c r="C944" s="8" t="s">
        <v>24</v>
      </c>
      <c r="D944" s="18" t="s">
        <v>2598</v>
      </c>
      <c r="E944" s="16">
        <v>77.0</v>
      </c>
    </row>
    <row r="945">
      <c r="A945" s="8" t="s">
        <v>715</v>
      </c>
      <c r="B945" s="8" t="s">
        <v>943</v>
      </c>
      <c r="C945" s="8" t="s">
        <v>65</v>
      </c>
      <c r="D945" s="18" t="s">
        <v>2562</v>
      </c>
      <c r="E945" s="16">
        <v>91.0</v>
      </c>
    </row>
    <row r="946">
      <c r="A946" s="8" t="s">
        <v>715</v>
      </c>
      <c r="B946" s="8" t="s">
        <v>37</v>
      </c>
      <c r="C946" s="8" t="s">
        <v>12</v>
      </c>
      <c r="D946" s="18" t="s">
        <v>2582</v>
      </c>
      <c r="E946" s="16">
        <v>74.0</v>
      </c>
    </row>
    <row r="947">
      <c r="A947" s="8" t="s">
        <v>715</v>
      </c>
      <c r="B947" s="8" t="s">
        <v>865</v>
      </c>
      <c r="C947" s="8" t="s">
        <v>75</v>
      </c>
      <c r="D947" s="18" t="s">
        <v>2610</v>
      </c>
      <c r="E947" s="16">
        <v>66.0</v>
      </c>
    </row>
    <row r="948">
      <c r="A948" s="8" t="s">
        <v>541</v>
      </c>
      <c r="B948" s="8" t="s">
        <v>542</v>
      </c>
      <c r="C948" s="8" t="s">
        <v>215</v>
      </c>
      <c r="D948" s="18" t="s">
        <v>2574</v>
      </c>
      <c r="E948" s="16">
        <v>72.0</v>
      </c>
    </row>
    <row r="949">
      <c r="A949" s="8" t="s">
        <v>2850</v>
      </c>
      <c r="B949" s="8" t="s">
        <v>1808</v>
      </c>
      <c r="C949" s="8" t="s">
        <v>93</v>
      </c>
      <c r="D949" s="18" t="s">
        <v>2558</v>
      </c>
      <c r="E949" s="16">
        <v>74.0</v>
      </c>
    </row>
    <row r="950">
      <c r="A950" s="8" t="s">
        <v>380</v>
      </c>
      <c r="B950" s="8" t="s">
        <v>381</v>
      </c>
      <c r="C950" s="8" t="s">
        <v>53</v>
      </c>
      <c r="D950" s="18" t="s">
        <v>2183</v>
      </c>
      <c r="E950" s="16">
        <v>93.0</v>
      </c>
    </row>
    <row r="951">
      <c r="A951" s="8" t="s">
        <v>380</v>
      </c>
      <c r="B951" s="8" t="s">
        <v>3305</v>
      </c>
      <c r="C951" s="8" t="s">
        <v>59</v>
      </c>
      <c r="D951" s="18" t="s">
        <v>2605</v>
      </c>
      <c r="E951" s="16">
        <v>80.0</v>
      </c>
    </row>
    <row r="952">
      <c r="A952" s="8" t="s">
        <v>1199</v>
      </c>
      <c r="B952" s="8" t="s">
        <v>943</v>
      </c>
      <c r="C952" s="8" t="s">
        <v>80</v>
      </c>
      <c r="D952" s="18" t="s">
        <v>2605</v>
      </c>
      <c r="E952" s="16">
        <v>66.0</v>
      </c>
    </row>
    <row r="953">
      <c r="A953" s="8" t="s">
        <v>1200</v>
      </c>
      <c r="B953" s="8" t="s">
        <v>464</v>
      </c>
      <c r="C953" s="8" t="s">
        <v>149</v>
      </c>
      <c r="D953" s="18" t="s">
        <v>2556</v>
      </c>
      <c r="E953" s="16">
        <v>72.0</v>
      </c>
    </row>
    <row r="954">
      <c r="A954" s="8" t="s">
        <v>1200</v>
      </c>
      <c r="B954" s="8" t="s">
        <v>1844</v>
      </c>
      <c r="C954" s="8" t="s">
        <v>65</v>
      </c>
      <c r="D954" s="18" t="s">
        <v>2567</v>
      </c>
      <c r="E954" s="16">
        <v>64.0</v>
      </c>
    </row>
    <row r="955">
      <c r="A955" s="8" t="s">
        <v>1200</v>
      </c>
      <c r="B955" s="8" t="s">
        <v>3306</v>
      </c>
      <c r="C955" s="8" t="s">
        <v>215</v>
      </c>
      <c r="D955" s="18" t="s">
        <v>2605</v>
      </c>
      <c r="E955" s="16">
        <v>76.0</v>
      </c>
    </row>
    <row r="956">
      <c r="A956" s="8" t="s">
        <v>1200</v>
      </c>
      <c r="B956" s="8" t="s">
        <v>263</v>
      </c>
      <c r="C956" s="8" t="s">
        <v>70</v>
      </c>
      <c r="D956" s="18" t="s">
        <v>2605</v>
      </c>
      <c r="E956" s="16">
        <v>85.0</v>
      </c>
    </row>
    <row r="957">
      <c r="A957" s="8" t="s">
        <v>1200</v>
      </c>
      <c r="B957" s="18" t="s">
        <v>1845</v>
      </c>
      <c r="C957" s="8" t="s">
        <v>24</v>
      </c>
      <c r="D957" s="18" t="s">
        <v>2592</v>
      </c>
      <c r="E957" s="16">
        <v>82.0</v>
      </c>
    </row>
    <row r="958">
      <c r="A958" s="8" t="s">
        <v>1200</v>
      </c>
      <c r="B958" s="8" t="s">
        <v>2017</v>
      </c>
      <c r="C958" s="8" t="s">
        <v>93</v>
      </c>
      <c r="D958" s="18" t="s">
        <v>2584</v>
      </c>
      <c r="E958" s="16">
        <v>63.0</v>
      </c>
    </row>
    <row r="959">
      <c r="A959" s="8" t="s">
        <v>1200</v>
      </c>
      <c r="B959" s="8" t="s">
        <v>1201</v>
      </c>
      <c r="C959" s="8" t="s">
        <v>93</v>
      </c>
      <c r="D959" s="18" t="s">
        <v>2581</v>
      </c>
      <c r="E959" s="16">
        <v>74.0</v>
      </c>
    </row>
    <row r="960">
      <c r="A960" s="8" t="s">
        <v>3307</v>
      </c>
      <c r="B960" s="8" t="s">
        <v>151</v>
      </c>
      <c r="C960" s="8" t="s">
        <v>261</v>
      </c>
      <c r="D960" s="18" t="s">
        <v>2560</v>
      </c>
      <c r="E960" s="16">
        <v>63.0</v>
      </c>
    </row>
    <row r="961">
      <c r="A961" s="8" t="s">
        <v>156</v>
      </c>
      <c r="B961" s="8" t="s">
        <v>157</v>
      </c>
      <c r="C961" s="8" t="s">
        <v>16</v>
      </c>
      <c r="D961" s="18" t="s">
        <v>2585</v>
      </c>
      <c r="E961" s="16">
        <v>75.0</v>
      </c>
    </row>
    <row r="962">
      <c r="A962" s="8" t="s">
        <v>716</v>
      </c>
      <c r="B962" s="8" t="s">
        <v>275</v>
      </c>
      <c r="C962" s="8" t="s">
        <v>149</v>
      </c>
      <c r="D962" s="18" t="s">
        <v>2577</v>
      </c>
      <c r="E962" s="16">
        <v>71.0</v>
      </c>
    </row>
    <row r="963">
      <c r="A963" s="8" t="s">
        <v>118</v>
      </c>
      <c r="B963" s="8" t="s">
        <v>119</v>
      </c>
      <c r="C963" s="8" t="s">
        <v>38</v>
      </c>
      <c r="D963" s="18" t="s">
        <v>2610</v>
      </c>
      <c r="E963" s="16">
        <v>72.0</v>
      </c>
    </row>
    <row r="964">
      <c r="A964" s="8" t="s">
        <v>3308</v>
      </c>
      <c r="B964" s="8" t="s">
        <v>275</v>
      </c>
      <c r="C964" s="8" t="s">
        <v>65</v>
      </c>
      <c r="D964" s="18" t="s">
        <v>2589</v>
      </c>
      <c r="E964" s="16">
        <v>60.0</v>
      </c>
    </row>
    <row r="965">
      <c r="A965" s="8" t="s">
        <v>382</v>
      </c>
      <c r="B965" s="8" t="s">
        <v>383</v>
      </c>
      <c r="C965" s="8" t="s">
        <v>141</v>
      </c>
      <c r="D965" s="18" t="s">
        <v>2556</v>
      </c>
      <c r="E965" s="16">
        <v>90.0</v>
      </c>
    </row>
    <row r="966">
      <c r="A966" s="8" t="s">
        <v>2851</v>
      </c>
      <c r="B966" s="8" t="s">
        <v>301</v>
      </c>
      <c r="C966" s="8" t="s">
        <v>65</v>
      </c>
      <c r="D966" s="18" t="s">
        <v>2592</v>
      </c>
      <c r="E966" s="16">
        <v>71.0</v>
      </c>
    </row>
    <row r="967">
      <c r="A967" s="8" t="s">
        <v>278</v>
      </c>
      <c r="B967" s="8" t="s">
        <v>279</v>
      </c>
      <c r="C967" s="8" t="s">
        <v>215</v>
      </c>
      <c r="D967" s="18" t="s">
        <v>2587</v>
      </c>
      <c r="E967" s="16">
        <v>81.0</v>
      </c>
    </row>
    <row r="968">
      <c r="A968" s="8" t="s">
        <v>278</v>
      </c>
      <c r="B968" s="8" t="s">
        <v>3309</v>
      </c>
      <c r="C968" s="8" t="s">
        <v>122</v>
      </c>
      <c r="D968" s="18" t="s">
        <v>2183</v>
      </c>
      <c r="E968" s="16">
        <v>65.0</v>
      </c>
    </row>
    <row r="969">
      <c r="A969" s="8" t="s">
        <v>543</v>
      </c>
      <c r="B969" s="8" t="s">
        <v>544</v>
      </c>
      <c r="C969" s="8" t="s">
        <v>24</v>
      </c>
      <c r="D969" s="18" t="s">
        <v>2615</v>
      </c>
      <c r="E969" s="16">
        <v>51.0</v>
      </c>
    </row>
    <row r="970">
      <c r="A970" s="8" t="s">
        <v>717</v>
      </c>
      <c r="B970" s="8" t="s">
        <v>183</v>
      </c>
      <c r="C970" s="8" t="s">
        <v>186</v>
      </c>
      <c r="D970" s="18" t="s">
        <v>2581</v>
      </c>
      <c r="E970" s="16">
        <v>63.0</v>
      </c>
    </row>
    <row r="971">
      <c r="A971" s="8" t="s">
        <v>2853</v>
      </c>
      <c r="B971" s="8" t="s">
        <v>155</v>
      </c>
      <c r="C971" s="8" t="s">
        <v>53</v>
      </c>
      <c r="D971" s="18" t="s">
        <v>2587</v>
      </c>
      <c r="E971" s="16">
        <v>69.0</v>
      </c>
    </row>
    <row r="972">
      <c r="A972" s="8" t="s">
        <v>2142</v>
      </c>
      <c r="B972" s="8" t="s">
        <v>2143</v>
      </c>
      <c r="C972" s="8" t="s">
        <v>93</v>
      </c>
      <c r="D972" s="18" t="s">
        <v>2575</v>
      </c>
      <c r="E972" s="16">
        <v>75.0</v>
      </c>
    </row>
    <row r="973">
      <c r="A973" s="8" t="s">
        <v>1202</v>
      </c>
      <c r="B973" s="8" t="s">
        <v>11</v>
      </c>
      <c r="C973" s="8" t="s">
        <v>65</v>
      </c>
      <c r="D973" s="18" t="s">
        <v>2592</v>
      </c>
      <c r="E973" s="16">
        <v>76.0</v>
      </c>
    </row>
    <row r="974">
      <c r="A974" s="8" t="s">
        <v>1202</v>
      </c>
      <c r="B974" s="18" t="s">
        <v>529</v>
      </c>
      <c r="C974" s="8" t="s">
        <v>46</v>
      </c>
      <c r="D974" s="18" t="s">
        <v>2589</v>
      </c>
      <c r="E974" s="16">
        <v>71.0</v>
      </c>
    </row>
    <row r="975">
      <c r="A975" s="8" t="s">
        <v>1203</v>
      </c>
      <c r="B975" s="8" t="s">
        <v>161</v>
      </c>
      <c r="C975" s="8" t="s">
        <v>16</v>
      </c>
      <c r="D975" s="18" t="s">
        <v>2558</v>
      </c>
      <c r="E975" s="16">
        <v>69.0</v>
      </c>
    </row>
    <row r="976">
      <c r="A976" s="8" t="s">
        <v>205</v>
      </c>
      <c r="B976" s="8" t="s">
        <v>957</v>
      </c>
      <c r="C976" s="8" t="s">
        <v>70</v>
      </c>
      <c r="D976" s="18" t="s">
        <v>2562</v>
      </c>
      <c r="E976" s="16">
        <v>69.0</v>
      </c>
    </row>
    <row r="977">
      <c r="A977" s="8" t="s">
        <v>205</v>
      </c>
      <c r="B977" s="8" t="s">
        <v>1249</v>
      </c>
      <c r="C977" s="8" t="s">
        <v>141</v>
      </c>
      <c r="D977" s="18" t="s">
        <v>2603</v>
      </c>
      <c r="E977" s="16">
        <v>70.0</v>
      </c>
    </row>
    <row r="978">
      <c r="A978" s="8" t="s">
        <v>205</v>
      </c>
      <c r="B978" s="8" t="s">
        <v>281</v>
      </c>
      <c r="C978" s="8" t="s">
        <v>70</v>
      </c>
      <c r="D978" s="18" t="s">
        <v>2183</v>
      </c>
      <c r="E978" s="16">
        <v>75.0</v>
      </c>
    </row>
    <row r="979">
      <c r="A979" s="8" t="s">
        <v>205</v>
      </c>
      <c r="B979" s="8" t="s">
        <v>206</v>
      </c>
      <c r="C979" s="8" t="s">
        <v>215</v>
      </c>
      <c r="D979" s="18" t="s">
        <v>2567</v>
      </c>
      <c r="E979" s="16">
        <v>70.0</v>
      </c>
    </row>
    <row r="980">
      <c r="A980" s="8" t="s">
        <v>1380</v>
      </c>
      <c r="B980" s="8" t="s">
        <v>1846</v>
      </c>
      <c r="C980" s="8" t="s">
        <v>138</v>
      </c>
      <c r="D980" s="18" t="s">
        <v>2552</v>
      </c>
      <c r="E980" s="16">
        <v>86.0</v>
      </c>
    </row>
    <row r="981">
      <c r="A981" s="8" t="s">
        <v>1380</v>
      </c>
      <c r="B981" s="8" t="s">
        <v>381</v>
      </c>
      <c r="C981" s="8" t="s">
        <v>65</v>
      </c>
      <c r="D981" s="18" t="s">
        <v>2577</v>
      </c>
      <c r="E981" s="16">
        <v>71.0</v>
      </c>
    </row>
    <row r="982">
      <c r="A982" s="8" t="s">
        <v>1380</v>
      </c>
      <c r="B982" s="8" t="s">
        <v>137</v>
      </c>
      <c r="C982" s="8" t="s">
        <v>93</v>
      </c>
      <c r="D982" s="18" t="s">
        <v>2566</v>
      </c>
      <c r="E982" s="16">
        <v>61.0</v>
      </c>
    </row>
    <row r="983">
      <c r="A983" s="8" t="s">
        <v>945</v>
      </c>
      <c r="B983" s="8" t="s">
        <v>460</v>
      </c>
      <c r="C983" s="8" t="s">
        <v>65</v>
      </c>
      <c r="D983" s="18" t="s">
        <v>2584</v>
      </c>
      <c r="E983" s="16">
        <v>81.0</v>
      </c>
    </row>
    <row r="984">
      <c r="A984" s="8" t="s">
        <v>944</v>
      </c>
      <c r="B984" s="8" t="s">
        <v>2854</v>
      </c>
      <c r="C984" s="8" t="s">
        <v>80</v>
      </c>
      <c r="D984" s="18" t="s">
        <v>2621</v>
      </c>
      <c r="E984" s="16">
        <v>66.0</v>
      </c>
    </row>
    <row r="985">
      <c r="A985" s="8" t="s">
        <v>944</v>
      </c>
      <c r="B985" s="8" t="s">
        <v>260</v>
      </c>
      <c r="C985" s="8" t="s">
        <v>149</v>
      </c>
      <c r="D985" s="18" t="s">
        <v>2575</v>
      </c>
      <c r="E985" s="16">
        <v>69.0</v>
      </c>
    </row>
    <row r="986">
      <c r="A986" s="8" t="s">
        <v>718</v>
      </c>
      <c r="B986" s="8" t="s">
        <v>366</v>
      </c>
      <c r="C986" s="8" t="s">
        <v>70</v>
      </c>
      <c r="D986" s="18" t="s">
        <v>2585</v>
      </c>
      <c r="E986" s="16">
        <v>83.0</v>
      </c>
    </row>
    <row r="987">
      <c r="A987" s="8" t="s">
        <v>718</v>
      </c>
      <c r="B987" s="8" t="s">
        <v>719</v>
      </c>
      <c r="C987" s="8" t="s">
        <v>192</v>
      </c>
      <c r="D987" s="18" t="s">
        <v>2587</v>
      </c>
      <c r="E987" s="16">
        <v>76.0</v>
      </c>
    </row>
    <row r="988">
      <c r="A988" s="8" t="s">
        <v>2856</v>
      </c>
      <c r="B988" s="8" t="s">
        <v>721</v>
      </c>
      <c r="C988" s="8" t="s">
        <v>138</v>
      </c>
      <c r="D988" s="18" t="s">
        <v>2554</v>
      </c>
      <c r="E988" s="16">
        <v>78.0</v>
      </c>
    </row>
    <row r="989">
      <c r="A989" s="8" t="s">
        <v>1480</v>
      </c>
      <c r="B989" s="8" t="s">
        <v>1481</v>
      </c>
      <c r="C989" s="8" t="s">
        <v>149</v>
      </c>
      <c r="D989" s="18" t="s">
        <v>2603</v>
      </c>
      <c r="E989" s="16">
        <v>73.0</v>
      </c>
    </row>
    <row r="990">
      <c r="A990" s="8" t="s">
        <v>1480</v>
      </c>
      <c r="B990" s="8" t="s">
        <v>396</v>
      </c>
      <c r="C990" s="8" t="s">
        <v>215</v>
      </c>
      <c r="D990" s="18" t="s">
        <v>2598</v>
      </c>
      <c r="E990" s="16">
        <v>60.0</v>
      </c>
    </row>
    <row r="991">
      <c r="A991" s="8" t="s">
        <v>3310</v>
      </c>
      <c r="B991" s="8" t="s">
        <v>1486</v>
      </c>
      <c r="C991" s="8" t="s">
        <v>192</v>
      </c>
      <c r="D991" s="18" t="s">
        <v>2566</v>
      </c>
      <c r="E991" s="16">
        <v>75.0</v>
      </c>
    </row>
    <row r="992">
      <c r="A992" s="8" t="s">
        <v>2857</v>
      </c>
      <c r="B992" s="8" t="s">
        <v>50</v>
      </c>
      <c r="C992" s="8" t="s">
        <v>46</v>
      </c>
      <c r="D992" s="18" t="s">
        <v>2560</v>
      </c>
      <c r="E992" s="16">
        <v>66.0</v>
      </c>
    </row>
    <row r="993">
      <c r="A993" s="8" t="s">
        <v>3311</v>
      </c>
      <c r="B993" s="8" t="s">
        <v>724</v>
      </c>
      <c r="C993" s="8" t="s">
        <v>141</v>
      </c>
      <c r="D993" s="18" t="s">
        <v>2615</v>
      </c>
      <c r="E993" s="16">
        <v>65.0</v>
      </c>
    </row>
    <row r="994">
      <c r="A994" s="8" t="s">
        <v>545</v>
      </c>
      <c r="B994" s="8" t="s">
        <v>546</v>
      </c>
      <c r="C994" s="8" t="s">
        <v>80</v>
      </c>
      <c r="D994" s="18" t="s">
        <v>2610</v>
      </c>
      <c r="E994" s="16">
        <v>75.0</v>
      </c>
    </row>
    <row r="995">
      <c r="A995" s="8" t="s">
        <v>73</v>
      </c>
      <c r="B995" s="8" t="s">
        <v>74</v>
      </c>
      <c r="C995" s="8" t="s">
        <v>75</v>
      </c>
      <c r="D995" s="18" t="s">
        <v>2587</v>
      </c>
      <c r="E995" s="16">
        <v>88.0</v>
      </c>
    </row>
    <row r="996">
      <c r="A996" s="8" t="s">
        <v>384</v>
      </c>
      <c r="B996" s="8" t="s">
        <v>471</v>
      </c>
      <c r="C996" s="8" t="s">
        <v>70</v>
      </c>
      <c r="D996" s="18" t="s">
        <v>2595</v>
      </c>
      <c r="E996" s="16">
        <v>84.0</v>
      </c>
    </row>
    <row r="997">
      <c r="A997" s="8" t="s">
        <v>384</v>
      </c>
      <c r="B997" s="8" t="s">
        <v>385</v>
      </c>
      <c r="C997" s="8" t="s">
        <v>215</v>
      </c>
      <c r="D997" s="18" t="s">
        <v>2572</v>
      </c>
      <c r="E997" s="16">
        <v>89.0</v>
      </c>
    </row>
    <row r="998">
      <c r="A998" s="8" t="s">
        <v>386</v>
      </c>
      <c r="B998" s="8" t="s">
        <v>387</v>
      </c>
      <c r="C998" s="8" t="s">
        <v>65</v>
      </c>
      <c r="D998" s="18" t="s">
        <v>2572</v>
      </c>
      <c r="E998" s="16">
        <v>76.0</v>
      </c>
    </row>
    <row r="999">
      <c r="A999" s="8" t="s">
        <v>1482</v>
      </c>
      <c r="B999" s="8" t="s">
        <v>176</v>
      </c>
      <c r="C999" s="8" t="s">
        <v>215</v>
      </c>
      <c r="D999" s="18" t="s">
        <v>2582</v>
      </c>
      <c r="E999" s="16">
        <v>66.0</v>
      </c>
    </row>
    <row r="1000">
      <c r="A1000" s="8" t="s">
        <v>280</v>
      </c>
      <c r="B1000" s="8" t="s">
        <v>249</v>
      </c>
      <c r="C1000" s="8" t="s">
        <v>59</v>
      </c>
      <c r="D1000" s="18" t="s">
        <v>2556</v>
      </c>
      <c r="E1000" s="16">
        <v>84.0</v>
      </c>
    </row>
    <row r="1001">
      <c r="A1001" s="8" t="s">
        <v>1483</v>
      </c>
      <c r="B1001" s="8" t="s">
        <v>506</v>
      </c>
      <c r="C1001" s="8" t="s">
        <v>138</v>
      </c>
      <c r="D1001" s="18" t="s">
        <v>2614</v>
      </c>
      <c r="E1001" s="16">
        <v>79.0</v>
      </c>
    </row>
    <row r="1002">
      <c r="A1002" s="8" t="s">
        <v>722</v>
      </c>
      <c r="B1002" s="8" t="s">
        <v>723</v>
      </c>
      <c r="C1002" s="8" t="s">
        <v>192</v>
      </c>
      <c r="D1002" s="18" t="s">
        <v>2598</v>
      </c>
      <c r="E1002" s="16">
        <v>75.0</v>
      </c>
    </row>
    <row r="1003">
      <c r="A1003" s="8" t="s">
        <v>1484</v>
      </c>
      <c r="B1003" s="8" t="s">
        <v>134</v>
      </c>
      <c r="C1003" s="8" t="s">
        <v>132</v>
      </c>
      <c r="D1003" s="18" t="s">
        <v>2552</v>
      </c>
      <c r="E1003" s="16">
        <v>68.0</v>
      </c>
    </row>
    <row r="1004">
      <c r="A1004" s="8" t="s">
        <v>207</v>
      </c>
      <c r="B1004" s="8" t="s">
        <v>183</v>
      </c>
      <c r="C1004" s="8" t="s">
        <v>75</v>
      </c>
      <c r="D1004" s="18" t="s">
        <v>2589</v>
      </c>
      <c r="E1004" s="16">
        <v>77.0</v>
      </c>
    </row>
    <row r="1005">
      <c r="A1005" s="8" t="s">
        <v>3312</v>
      </c>
      <c r="B1005" s="8" t="s">
        <v>1249</v>
      </c>
      <c r="C1005" s="8" t="s">
        <v>122</v>
      </c>
      <c r="D1005" s="18" t="s">
        <v>2614</v>
      </c>
      <c r="E1005" s="16">
        <v>64.0</v>
      </c>
    </row>
    <row r="1006">
      <c r="A1006" s="8" t="s">
        <v>2859</v>
      </c>
      <c r="B1006" s="8" t="s">
        <v>275</v>
      </c>
      <c r="C1006" s="8" t="s">
        <v>70</v>
      </c>
      <c r="D1006" s="18" t="s">
        <v>2584</v>
      </c>
      <c r="E1006" s="16">
        <v>80.0</v>
      </c>
    </row>
    <row r="1007">
      <c r="A1007" s="8" t="s">
        <v>3313</v>
      </c>
      <c r="B1007" s="8" t="s">
        <v>340</v>
      </c>
      <c r="C1007" s="8" t="s">
        <v>93</v>
      </c>
      <c r="D1007" s="18" t="s">
        <v>2585</v>
      </c>
      <c r="E1007" s="16">
        <v>62.0</v>
      </c>
    </row>
    <row r="1008">
      <c r="A1008" s="8" t="s">
        <v>360</v>
      </c>
      <c r="B1008" s="8" t="s">
        <v>2113</v>
      </c>
      <c r="C1008" s="8" t="s">
        <v>186</v>
      </c>
      <c r="D1008" s="18" t="s">
        <v>2584</v>
      </c>
      <c r="E1008" s="16">
        <v>75.0</v>
      </c>
    </row>
    <row r="1009">
      <c r="A1009" s="8" t="s">
        <v>208</v>
      </c>
      <c r="B1009" s="18" t="s">
        <v>2147</v>
      </c>
      <c r="C1009" s="8" t="s">
        <v>93</v>
      </c>
      <c r="D1009" s="18" t="s">
        <v>2621</v>
      </c>
      <c r="E1009" s="16">
        <v>74.0</v>
      </c>
    </row>
    <row r="1010">
      <c r="A1010" s="8" t="s">
        <v>208</v>
      </c>
      <c r="B1010" s="8" t="s">
        <v>1204</v>
      </c>
      <c r="C1010" s="8" t="s">
        <v>215</v>
      </c>
      <c r="D1010" s="18" t="s">
        <v>2556</v>
      </c>
      <c r="E1010" s="16">
        <v>61.0</v>
      </c>
    </row>
    <row r="1011">
      <c r="A1011" s="8" t="s">
        <v>208</v>
      </c>
      <c r="B1011" s="8" t="s">
        <v>209</v>
      </c>
      <c r="C1011" s="8" t="s">
        <v>65</v>
      </c>
      <c r="D1011" s="18" t="s">
        <v>2592</v>
      </c>
      <c r="E1011" s="16">
        <v>87.0</v>
      </c>
    </row>
    <row r="1012">
      <c r="A1012" s="8" t="s">
        <v>208</v>
      </c>
      <c r="B1012" s="8" t="s">
        <v>1347</v>
      </c>
      <c r="C1012" s="8" t="s">
        <v>192</v>
      </c>
      <c r="D1012" s="18" t="s">
        <v>2605</v>
      </c>
      <c r="E1012" s="16">
        <v>71.0</v>
      </c>
    </row>
    <row r="1013">
      <c r="A1013" s="8" t="s">
        <v>208</v>
      </c>
      <c r="B1013" s="8" t="s">
        <v>3314</v>
      </c>
      <c r="C1013" s="8" t="s">
        <v>186</v>
      </c>
      <c r="D1013" s="18" t="s">
        <v>2567</v>
      </c>
      <c r="E1013" s="16">
        <v>65.0</v>
      </c>
    </row>
    <row r="1014">
      <c r="A1014" s="8" t="s">
        <v>208</v>
      </c>
      <c r="B1014" s="8" t="s">
        <v>724</v>
      </c>
      <c r="C1014" s="8" t="s">
        <v>132</v>
      </c>
      <c r="D1014" s="18" t="s">
        <v>2556</v>
      </c>
      <c r="E1014" s="16">
        <v>84.0</v>
      </c>
    </row>
    <row r="1015">
      <c r="A1015" s="8" t="s">
        <v>208</v>
      </c>
      <c r="B1015" s="8" t="s">
        <v>281</v>
      </c>
      <c r="C1015" s="8" t="s">
        <v>93</v>
      </c>
      <c r="D1015" s="18" t="s">
        <v>2562</v>
      </c>
      <c r="E1015" s="16">
        <v>78.0</v>
      </c>
    </row>
    <row r="1016">
      <c r="A1016" s="8" t="s">
        <v>208</v>
      </c>
      <c r="B1016" s="8" t="s">
        <v>549</v>
      </c>
      <c r="C1016" s="8" t="s">
        <v>122</v>
      </c>
      <c r="D1016" s="18" t="s">
        <v>2584</v>
      </c>
      <c r="E1016" s="16">
        <v>83.0</v>
      </c>
    </row>
    <row r="1017">
      <c r="A1017" s="8" t="s">
        <v>3315</v>
      </c>
      <c r="B1017" s="8" t="s">
        <v>692</v>
      </c>
      <c r="C1017" s="8" t="s">
        <v>93</v>
      </c>
      <c r="D1017" s="18" t="s">
        <v>2610</v>
      </c>
      <c r="E1017" s="16">
        <v>73.0</v>
      </c>
    </row>
    <row r="1018">
      <c r="A1018" s="8" t="s">
        <v>2150</v>
      </c>
      <c r="B1018" s="8" t="s">
        <v>50</v>
      </c>
      <c r="C1018" s="8" t="s">
        <v>186</v>
      </c>
      <c r="D1018" s="18" t="s">
        <v>2574</v>
      </c>
      <c r="E1018" s="16">
        <v>63.0</v>
      </c>
    </row>
    <row r="1019">
      <c r="A1019" s="8" t="s">
        <v>260</v>
      </c>
      <c r="B1019" s="8" t="s">
        <v>1515</v>
      </c>
      <c r="C1019" s="8" t="s">
        <v>186</v>
      </c>
      <c r="D1019" s="18" t="s">
        <v>2556</v>
      </c>
      <c r="E1019" s="16">
        <v>66.0</v>
      </c>
    </row>
    <row r="1020">
      <c r="A1020" s="8" t="s">
        <v>260</v>
      </c>
      <c r="B1020" s="18" t="s">
        <v>947</v>
      </c>
      <c r="C1020" s="8" t="s">
        <v>149</v>
      </c>
      <c r="D1020" s="18" t="s">
        <v>2581</v>
      </c>
      <c r="E1020" s="16">
        <v>78.0</v>
      </c>
    </row>
    <row r="1021">
      <c r="A1021" s="8" t="s">
        <v>260</v>
      </c>
      <c r="B1021" s="8" t="s">
        <v>884</v>
      </c>
      <c r="C1021" s="8" t="s">
        <v>24</v>
      </c>
      <c r="D1021" s="18" t="s">
        <v>2577</v>
      </c>
      <c r="E1021" s="16">
        <v>78.0</v>
      </c>
    </row>
    <row r="1022">
      <c r="A1022" s="8" t="s">
        <v>3316</v>
      </c>
      <c r="B1022" s="8" t="s">
        <v>357</v>
      </c>
      <c r="C1022" s="8" t="s">
        <v>93</v>
      </c>
      <c r="D1022" s="18" t="s">
        <v>2587</v>
      </c>
      <c r="E1022" s="16">
        <v>70.0</v>
      </c>
    </row>
    <row r="1023">
      <c r="A1023" s="8" t="s">
        <v>2860</v>
      </c>
      <c r="B1023" s="8" t="s">
        <v>1858</v>
      </c>
      <c r="C1023" s="8" t="s">
        <v>12</v>
      </c>
      <c r="D1023" s="18" t="s">
        <v>2556</v>
      </c>
      <c r="E1023" s="16">
        <v>80.0</v>
      </c>
    </row>
    <row r="1024">
      <c r="A1024" s="8" t="s">
        <v>2861</v>
      </c>
      <c r="B1024" s="8" t="s">
        <v>712</v>
      </c>
      <c r="C1024" s="8" t="s">
        <v>65</v>
      </c>
      <c r="D1024" s="18" t="s">
        <v>2558</v>
      </c>
      <c r="E1024" s="16">
        <v>68.0</v>
      </c>
    </row>
    <row r="1025">
      <c r="A1025" s="8" t="s">
        <v>1207</v>
      </c>
      <c r="B1025" s="8" t="s">
        <v>43</v>
      </c>
      <c r="C1025" s="8" t="s">
        <v>261</v>
      </c>
      <c r="D1025" s="18" t="s">
        <v>2620</v>
      </c>
      <c r="E1025" s="16">
        <v>82.0</v>
      </c>
    </row>
    <row r="1026">
      <c r="A1026" s="8" t="s">
        <v>158</v>
      </c>
      <c r="B1026" s="18" t="s">
        <v>159</v>
      </c>
      <c r="C1026" s="8" t="s">
        <v>24</v>
      </c>
      <c r="D1026" s="18" t="s">
        <v>2574</v>
      </c>
      <c r="E1026" s="16">
        <v>44.0</v>
      </c>
    </row>
    <row r="1027">
      <c r="A1027" s="8" t="s">
        <v>1205</v>
      </c>
      <c r="B1027" s="8" t="s">
        <v>1206</v>
      </c>
      <c r="C1027" s="8" t="s">
        <v>122</v>
      </c>
      <c r="D1027" s="18" t="s">
        <v>2598</v>
      </c>
      <c r="E1027" s="16">
        <v>82.0</v>
      </c>
    </row>
    <row r="1028">
      <c r="A1028" s="8" t="s">
        <v>1485</v>
      </c>
      <c r="B1028" s="8" t="s">
        <v>647</v>
      </c>
      <c r="C1028" s="8" t="s">
        <v>24</v>
      </c>
      <c r="D1028" s="18" t="s">
        <v>2614</v>
      </c>
      <c r="E1028" s="16">
        <v>67.0</v>
      </c>
    </row>
    <row r="1029">
      <c r="A1029" s="8" t="s">
        <v>3317</v>
      </c>
      <c r="B1029" s="8" t="s">
        <v>1563</v>
      </c>
      <c r="C1029" s="8" t="s">
        <v>215</v>
      </c>
      <c r="D1029" s="18" t="s">
        <v>2558</v>
      </c>
      <c r="E1029" s="16">
        <v>73.0</v>
      </c>
    </row>
    <row r="1030">
      <c r="A1030" s="8" t="s">
        <v>946</v>
      </c>
      <c r="B1030" s="18" t="s">
        <v>269</v>
      </c>
      <c r="C1030" s="8" t="s">
        <v>138</v>
      </c>
      <c r="D1030" s="18" t="s">
        <v>2593</v>
      </c>
      <c r="E1030" s="16">
        <v>63.0</v>
      </c>
    </row>
    <row r="1031">
      <c r="A1031" s="8" t="s">
        <v>946</v>
      </c>
      <c r="B1031" s="8" t="s">
        <v>804</v>
      </c>
      <c r="C1031" s="8" t="s">
        <v>138</v>
      </c>
      <c r="D1031" s="18" t="s">
        <v>2603</v>
      </c>
      <c r="E1031" s="16">
        <v>65.0</v>
      </c>
    </row>
    <row r="1032">
      <c r="A1032" s="8" t="s">
        <v>946</v>
      </c>
      <c r="B1032" s="8" t="s">
        <v>140</v>
      </c>
      <c r="C1032" s="8" t="s">
        <v>192</v>
      </c>
      <c r="D1032" s="18" t="s">
        <v>2575</v>
      </c>
      <c r="E1032" s="16">
        <v>88.0</v>
      </c>
    </row>
    <row r="1033">
      <c r="A1033" s="8" t="s">
        <v>550</v>
      </c>
      <c r="B1033" s="8" t="s">
        <v>551</v>
      </c>
      <c r="C1033" s="8" t="s">
        <v>65</v>
      </c>
      <c r="D1033" s="18" t="s">
        <v>2564</v>
      </c>
      <c r="E1033" s="16">
        <v>87.0</v>
      </c>
    </row>
    <row r="1034">
      <c r="A1034" s="8" t="s">
        <v>282</v>
      </c>
      <c r="B1034" s="8" t="s">
        <v>388</v>
      </c>
      <c r="C1034" s="8" t="s">
        <v>93</v>
      </c>
      <c r="D1034" s="18" t="s">
        <v>2566</v>
      </c>
      <c r="E1034" s="16">
        <v>89.0</v>
      </c>
    </row>
    <row r="1035">
      <c r="A1035" s="8" t="s">
        <v>282</v>
      </c>
      <c r="B1035" s="8" t="s">
        <v>1227</v>
      </c>
      <c r="C1035" s="8" t="s">
        <v>215</v>
      </c>
      <c r="D1035" s="18" t="s">
        <v>2183</v>
      </c>
      <c r="E1035" s="16">
        <v>68.0</v>
      </c>
    </row>
    <row r="1036">
      <c r="A1036" s="8" t="s">
        <v>282</v>
      </c>
      <c r="B1036" s="8" t="s">
        <v>3318</v>
      </c>
      <c r="C1036" s="8" t="s">
        <v>53</v>
      </c>
      <c r="D1036" s="18" t="s">
        <v>2556</v>
      </c>
      <c r="E1036" s="16">
        <v>71.0</v>
      </c>
    </row>
    <row r="1037">
      <c r="A1037" s="8" t="s">
        <v>282</v>
      </c>
      <c r="B1037" s="8" t="s">
        <v>23</v>
      </c>
      <c r="C1037" s="8" t="s">
        <v>138</v>
      </c>
      <c r="D1037" s="18" t="s">
        <v>2605</v>
      </c>
      <c r="E1037" s="16">
        <v>65.0</v>
      </c>
    </row>
    <row r="1038">
      <c r="A1038" s="8" t="s">
        <v>282</v>
      </c>
      <c r="B1038" s="8" t="s">
        <v>263</v>
      </c>
      <c r="C1038" s="8" t="s">
        <v>53</v>
      </c>
      <c r="D1038" s="18" t="s">
        <v>2560</v>
      </c>
      <c r="E1038" s="16">
        <v>69.0</v>
      </c>
    </row>
    <row r="1039">
      <c r="A1039" s="8" t="s">
        <v>282</v>
      </c>
      <c r="B1039" s="8" t="s">
        <v>283</v>
      </c>
      <c r="C1039" s="8" t="s">
        <v>192</v>
      </c>
      <c r="D1039" s="18" t="s">
        <v>2564</v>
      </c>
      <c r="E1039" s="16">
        <v>85.0</v>
      </c>
    </row>
    <row r="1040">
      <c r="A1040" s="8" t="s">
        <v>282</v>
      </c>
      <c r="B1040" s="8" t="s">
        <v>1487</v>
      </c>
      <c r="C1040" s="8" t="s">
        <v>80</v>
      </c>
      <c r="D1040" s="18" t="s">
        <v>2572</v>
      </c>
      <c r="E1040" s="16">
        <v>70.0</v>
      </c>
    </row>
    <row r="1041">
      <c r="A1041" s="8" t="s">
        <v>282</v>
      </c>
      <c r="B1041" s="8" t="s">
        <v>3319</v>
      </c>
      <c r="C1041" s="8" t="s">
        <v>215</v>
      </c>
      <c r="D1041" s="18" t="s">
        <v>2603</v>
      </c>
      <c r="E1041" s="16">
        <v>62.0</v>
      </c>
    </row>
    <row r="1042">
      <c r="A1042" s="8" t="s">
        <v>950</v>
      </c>
      <c r="B1042" s="8" t="s">
        <v>800</v>
      </c>
      <c r="C1042" s="8" t="s">
        <v>65</v>
      </c>
      <c r="D1042" s="18" t="s">
        <v>2621</v>
      </c>
      <c r="E1042" s="16">
        <v>61.0</v>
      </c>
    </row>
    <row r="1043">
      <c r="A1043" s="8" t="s">
        <v>725</v>
      </c>
      <c r="B1043" s="8" t="s">
        <v>67</v>
      </c>
      <c r="C1043" s="8" t="s">
        <v>141</v>
      </c>
      <c r="D1043" s="18" t="s">
        <v>2575</v>
      </c>
      <c r="E1043" s="16">
        <v>71.0</v>
      </c>
    </row>
    <row r="1044">
      <c r="A1044" s="8" t="s">
        <v>1208</v>
      </c>
      <c r="B1044" s="8" t="s">
        <v>1209</v>
      </c>
      <c r="C1044" s="8" t="s">
        <v>122</v>
      </c>
      <c r="D1044" s="18" t="s">
        <v>2564</v>
      </c>
      <c r="E1044" s="16">
        <v>81.0</v>
      </c>
    </row>
    <row r="1045">
      <c r="A1045" s="8" t="s">
        <v>665</v>
      </c>
      <c r="B1045" s="8" t="s">
        <v>58</v>
      </c>
      <c r="C1045" s="8" t="s">
        <v>80</v>
      </c>
      <c r="D1045" s="18" t="s">
        <v>2585</v>
      </c>
      <c r="E1045" s="16">
        <v>63.0</v>
      </c>
    </row>
    <row r="1046">
      <c r="A1046" s="8" t="s">
        <v>279</v>
      </c>
      <c r="B1046" s="8" t="s">
        <v>23</v>
      </c>
      <c r="C1046" s="8" t="s">
        <v>132</v>
      </c>
      <c r="D1046" s="18" t="s">
        <v>2566</v>
      </c>
      <c r="E1046" s="16">
        <v>77.0</v>
      </c>
    </row>
    <row r="1047">
      <c r="A1047" s="8" t="s">
        <v>3320</v>
      </c>
      <c r="B1047" s="8" t="s">
        <v>285</v>
      </c>
      <c r="C1047" s="8" t="s">
        <v>24</v>
      </c>
      <c r="D1047" s="18" t="s">
        <v>2567</v>
      </c>
      <c r="E1047" s="16">
        <v>67.0</v>
      </c>
    </row>
    <row r="1048">
      <c r="A1048" s="8" t="s">
        <v>2862</v>
      </c>
      <c r="B1048" s="8" t="s">
        <v>320</v>
      </c>
      <c r="C1048" s="8" t="s">
        <v>132</v>
      </c>
      <c r="D1048" s="18" t="s">
        <v>2603</v>
      </c>
      <c r="E1048" s="16">
        <v>75.0</v>
      </c>
    </row>
    <row r="1049">
      <c r="A1049" s="8" t="s">
        <v>23</v>
      </c>
      <c r="B1049" s="8" t="s">
        <v>949</v>
      </c>
      <c r="C1049" s="8" t="s">
        <v>149</v>
      </c>
      <c r="D1049" s="18" t="s">
        <v>2589</v>
      </c>
      <c r="E1049" s="16">
        <v>69.0</v>
      </c>
    </row>
    <row r="1050">
      <c r="A1050" s="8" t="s">
        <v>389</v>
      </c>
      <c r="B1050" s="8" t="s">
        <v>212</v>
      </c>
      <c r="C1050" s="8" t="s">
        <v>138</v>
      </c>
      <c r="D1050" s="18" t="s">
        <v>2560</v>
      </c>
      <c r="E1050" s="16">
        <v>62.0</v>
      </c>
    </row>
    <row r="1051">
      <c r="A1051" s="8" t="s">
        <v>389</v>
      </c>
      <c r="B1051" s="8" t="s">
        <v>464</v>
      </c>
      <c r="C1051" s="8" t="s">
        <v>122</v>
      </c>
      <c r="D1051" s="18" t="s">
        <v>2621</v>
      </c>
      <c r="E1051" s="16">
        <v>70.0</v>
      </c>
    </row>
    <row r="1052">
      <c r="A1052" s="8" t="s">
        <v>389</v>
      </c>
      <c r="B1052" s="8" t="s">
        <v>464</v>
      </c>
      <c r="C1052" s="8" t="s">
        <v>261</v>
      </c>
      <c r="D1052" s="18" t="s">
        <v>2592</v>
      </c>
      <c r="E1052" s="16">
        <v>68.0</v>
      </c>
    </row>
    <row r="1053">
      <c r="A1053" s="8" t="s">
        <v>389</v>
      </c>
      <c r="B1053" s="8" t="s">
        <v>407</v>
      </c>
      <c r="C1053" s="8" t="s">
        <v>215</v>
      </c>
      <c r="D1053" s="18" t="s">
        <v>2615</v>
      </c>
      <c r="E1053" s="16">
        <v>71.0</v>
      </c>
    </row>
    <row r="1054">
      <c r="A1054" s="8" t="s">
        <v>389</v>
      </c>
      <c r="B1054" s="8" t="s">
        <v>357</v>
      </c>
      <c r="C1054" s="8" t="s">
        <v>65</v>
      </c>
      <c r="D1054" s="18" t="s">
        <v>2574</v>
      </c>
      <c r="E1054" s="16">
        <v>73.0</v>
      </c>
    </row>
    <row r="1055">
      <c r="A1055" s="8" t="s">
        <v>389</v>
      </c>
      <c r="B1055" s="8" t="s">
        <v>357</v>
      </c>
      <c r="C1055" s="8" t="s">
        <v>138</v>
      </c>
      <c r="D1055" s="18" t="s">
        <v>2574</v>
      </c>
      <c r="E1055" s="16">
        <v>83.0</v>
      </c>
    </row>
    <row r="1056">
      <c r="A1056" s="8" t="s">
        <v>389</v>
      </c>
      <c r="B1056" s="8" t="s">
        <v>506</v>
      </c>
      <c r="C1056" s="8" t="s">
        <v>70</v>
      </c>
      <c r="D1056" s="18" t="s">
        <v>2589</v>
      </c>
      <c r="E1056" s="16">
        <v>94.0</v>
      </c>
    </row>
    <row r="1057">
      <c r="A1057" s="8" t="s">
        <v>389</v>
      </c>
      <c r="B1057" s="8" t="s">
        <v>506</v>
      </c>
      <c r="C1057" s="8" t="s">
        <v>24</v>
      </c>
      <c r="D1057" s="18" t="s">
        <v>2577</v>
      </c>
      <c r="E1057" s="16">
        <v>64.0</v>
      </c>
    </row>
    <row r="1058">
      <c r="A1058" s="8" t="s">
        <v>389</v>
      </c>
      <c r="B1058" s="8" t="s">
        <v>1285</v>
      </c>
      <c r="C1058" s="8" t="s">
        <v>192</v>
      </c>
      <c r="D1058" s="18" t="s">
        <v>2621</v>
      </c>
      <c r="E1058" s="16">
        <v>61.0</v>
      </c>
    </row>
    <row r="1059">
      <c r="A1059" s="8" t="s">
        <v>389</v>
      </c>
      <c r="B1059" s="8" t="s">
        <v>1473</v>
      </c>
      <c r="C1059" s="8" t="s">
        <v>186</v>
      </c>
      <c r="D1059" s="18" t="s">
        <v>2183</v>
      </c>
      <c r="E1059" s="16">
        <v>83.0</v>
      </c>
    </row>
    <row r="1060">
      <c r="A1060" s="8" t="s">
        <v>389</v>
      </c>
      <c r="B1060" s="8" t="s">
        <v>2863</v>
      </c>
      <c r="C1060" s="8" t="s">
        <v>93</v>
      </c>
      <c r="D1060" s="18" t="s">
        <v>2585</v>
      </c>
      <c r="E1060" s="16">
        <v>69.0</v>
      </c>
    </row>
    <row r="1061">
      <c r="A1061" s="8" t="s">
        <v>389</v>
      </c>
      <c r="B1061" s="8" t="s">
        <v>1850</v>
      </c>
      <c r="C1061" s="8" t="s">
        <v>132</v>
      </c>
      <c r="D1061" s="18" t="s">
        <v>2589</v>
      </c>
      <c r="E1061" s="16">
        <v>71.0</v>
      </c>
    </row>
    <row r="1062">
      <c r="A1062" s="8" t="s">
        <v>389</v>
      </c>
      <c r="B1062" s="8" t="s">
        <v>546</v>
      </c>
      <c r="C1062" s="8" t="s">
        <v>138</v>
      </c>
      <c r="D1062" s="18" t="s">
        <v>2592</v>
      </c>
      <c r="E1062" s="16">
        <v>71.0</v>
      </c>
    </row>
    <row r="1063">
      <c r="A1063" s="8" t="s">
        <v>389</v>
      </c>
      <c r="B1063" s="8" t="s">
        <v>948</v>
      </c>
      <c r="C1063" s="8" t="s">
        <v>192</v>
      </c>
      <c r="D1063" s="18" t="s">
        <v>2593</v>
      </c>
      <c r="E1063" s="16">
        <v>60.0</v>
      </c>
    </row>
    <row r="1064">
      <c r="A1064" s="8" t="s">
        <v>389</v>
      </c>
      <c r="B1064" s="8" t="s">
        <v>3321</v>
      </c>
      <c r="C1064" s="8" t="s">
        <v>80</v>
      </c>
      <c r="D1064" s="18" t="s">
        <v>2566</v>
      </c>
      <c r="E1064" s="16">
        <v>58.0</v>
      </c>
    </row>
    <row r="1065">
      <c r="A1065" s="8" t="s">
        <v>389</v>
      </c>
      <c r="B1065" s="8" t="s">
        <v>1488</v>
      </c>
      <c r="C1065" s="8" t="s">
        <v>122</v>
      </c>
      <c r="D1065" s="18" t="s">
        <v>2552</v>
      </c>
      <c r="E1065" s="16">
        <v>69.0</v>
      </c>
    </row>
    <row r="1066">
      <c r="A1066" s="8" t="s">
        <v>389</v>
      </c>
      <c r="B1066" s="8" t="s">
        <v>23</v>
      </c>
      <c r="C1066" s="8" t="s">
        <v>80</v>
      </c>
      <c r="D1066" s="18" t="s">
        <v>2593</v>
      </c>
      <c r="E1066" s="16">
        <v>74.0</v>
      </c>
    </row>
    <row r="1067">
      <c r="A1067" s="8" t="s">
        <v>389</v>
      </c>
      <c r="B1067" s="8" t="s">
        <v>263</v>
      </c>
      <c r="C1067" s="8" t="s">
        <v>70</v>
      </c>
      <c r="D1067" s="18" t="s">
        <v>2587</v>
      </c>
      <c r="E1067" s="16">
        <v>64.0</v>
      </c>
    </row>
    <row r="1068">
      <c r="A1068" s="8" t="s">
        <v>389</v>
      </c>
      <c r="B1068" s="8" t="s">
        <v>301</v>
      </c>
      <c r="C1068" s="8" t="s">
        <v>93</v>
      </c>
      <c r="D1068" s="18" t="s">
        <v>2584</v>
      </c>
      <c r="E1068" s="16">
        <v>66.0</v>
      </c>
    </row>
    <row r="1069">
      <c r="A1069" s="8" t="s">
        <v>389</v>
      </c>
      <c r="B1069" s="8" t="s">
        <v>301</v>
      </c>
      <c r="C1069" s="8" t="s">
        <v>16</v>
      </c>
      <c r="D1069" s="18" t="s">
        <v>2566</v>
      </c>
      <c r="E1069" s="16">
        <v>63.0</v>
      </c>
    </row>
    <row r="1070">
      <c r="A1070" s="8" t="s">
        <v>389</v>
      </c>
      <c r="B1070" s="8" t="s">
        <v>1893</v>
      </c>
      <c r="C1070" s="8" t="s">
        <v>132</v>
      </c>
      <c r="D1070" s="18" t="s">
        <v>2589</v>
      </c>
      <c r="E1070" s="16">
        <v>67.0</v>
      </c>
    </row>
    <row r="1071">
      <c r="A1071" s="8" t="s">
        <v>389</v>
      </c>
      <c r="B1071" s="8" t="s">
        <v>119</v>
      </c>
      <c r="C1071" s="8" t="s">
        <v>93</v>
      </c>
      <c r="D1071" s="18" t="s">
        <v>2562</v>
      </c>
      <c r="E1071" s="16">
        <v>80.0</v>
      </c>
    </row>
    <row r="1072">
      <c r="A1072" s="8" t="s">
        <v>389</v>
      </c>
      <c r="B1072" s="8" t="s">
        <v>552</v>
      </c>
      <c r="C1072" s="8" t="s">
        <v>149</v>
      </c>
      <c r="D1072" s="18" t="s">
        <v>2564</v>
      </c>
      <c r="E1072" s="16">
        <v>90.0</v>
      </c>
    </row>
    <row r="1073">
      <c r="A1073" s="8" t="s">
        <v>389</v>
      </c>
      <c r="B1073" s="8" t="s">
        <v>1172</v>
      </c>
      <c r="C1073" s="8" t="s">
        <v>93</v>
      </c>
      <c r="D1073" s="18" t="s">
        <v>2587</v>
      </c>
      <c r="E1073" s="16">
        <v>71.0</v>
      </c>
    </row>
    <row r="1074">
      <c r="A1074" s="8" t="s">
        <v>389</v>
      </c>
      <c r="B1074" s="8" t="s">
        <v>137</v>
      </c>
      <c r="C1074" s="8" t="s">
        <v>215</v>
      </c>
      <c r="D1074" s="18" t="s">
        <v>2610</v>
      </c>
      <c r="E1074" s="16">
        <v>76.0</v>
      </c>
    </row>
    <row r="1075">
      <c r="A1075" s="8" t="s">
        <v>389</v>
      </c>
      <c r="B1075" s="8" t="s">
        <v>1033</v>
      </c>
      <c r="C1075" s="8" t="s">
        <v>46</v>
      </c>
      <c r="D1075" s="18" t="s">
        <v>2615</v>
      </c>
      <c r="E1075" s="16">
        <v>70.0</v>
      </c>
    </row>
    <row r="1076">
      <c r="A1076" s="8" t="s">
        <v>389</v>
      </c>
      <c r="B1076" s="8" t="s">
        <v>759</v>
      </c>
      <c r="C1076" s="8" t="s">
        <v>186</v>
      </c>
      <c r="D1076" s="18" t="s">
        <v>2577</v>
      </c>
      <c r="E1076" s="16">
        <v>69.0</v>
      </c>
    </row>
    <row r="1077">
      <c r="A1077" s="8" t="s">
        <v>389</v>
      </c>
      <c r="B1077" s="8" t="s">
        <v>1552</v>
      </c>
      <c r="C1077" s="8" t="s">
        <v>70</v>
      </c>
      <c r="D1077" s="18" t="s">
        <v>2581</v>
      </c>
      <c r="E1077" s="16">
        <v>67.0</v>
      </c>
    </row>
    <row r="1078">
      <c r="A1078" s="8" t="s">
        <v>389</v>
      </c>
      <c r="B1078" s="18" t="s">
        <v>491</v>
      </c>
      <c r="C1078" s="8" t="s">
        <v>141</v>
      </c>
      <c r="D1078" s="18" t="s">
        <v>2610</v>
      </c>
      <c r="E1078" s="16">
        <v>67.0</v>
      </c>
    </row>
    <row r="1079">
      <c r="A1079" s="8" t="s">
        <v>389</v>
      </c>
      <c r="B1079" s="8" t="s">
        <v>15</v>
      </c>
      <c r="C1079" s="8" t="s">
        <v>122</v>
      </c>
      <c r="D1079" s="18" t="s">
        <v>2552</v>
      </c>
      <c r="E1079" s="16">
        <v>71.0</v>
      </c>
    </row>
    <row r="1080">
      <c r="A1080" s="8" t="s">
        <v>389</v>
      </c>
      <c r="B1080" s="8" t="s">
        <v>553</v>
      </c>
      <c r="C1080" s="8" t="s">
        <v>93</v>
      </c>
      <c r="D1080" s="18" t="s">
        <v>2593</v>
      </c>
      <c r="E1080" s="16">
        <v>82.0</v>
      </c>
    </row>
    <row r="1081">
      <c r="A1081" s="8" t="s">
        <v>389</v>
      </c>
      <c r="B1081" s="8" t="s">
        <v>185</v>
      </c>
      <c r="C1081" s="8" t="s">
        <v>141</v>
      </c>
      <c r="D1081" s="18" t="s">
        <v>2560</v>
      </c>
      <c r="E1081" s="16">
        <v>70.0</v>
      </c>
    </row>
    <row r="1082">
      <c r="A1082" s="8" t="s">
        <v>2866</v>
      </c>
      <c r="B1082" s="8" t="s">
        <v>1486</v>
      </c>
      <c r="C1082" s="8" t="s">
        <v>70</v>
      </c>
      <c r="D1082" s="18" t="s">
        <v>2615</v>
      </c>
      <c r="E1082" s="16">
        <v>80.0</v>
      </c>
    </row>
    <row r="1083">
      <c r="A1083" s="8" t="s">
        <v>284</v>
      </c>
      <c r="B1083" s="8" t="s">
        <v>98</v>
      </c>
      <c r="C1083" s="8" t="s">
        <v>70</v>
      </c>
      <c r="D1083" s="18" t="s">
        <v>2558</v>
      </c>
      <c r="E1083" s="16">
        <v>70.0</v>
      </c>
    </row>
    <row r="1084">
      <c r="A1084" s="8" t="s">
        <v>284</v>
      </c>
      <c r="B1084" s="8" t="s">
        <v>952</v>
      </c>
      <c r="C1084" s="8" t="s">
        <v>122</v>
      </c>
      <c r="D1084" s="18" t="s">
        <v>2584</v>
      </c>
      <c r="E1084" s="16">
        <v>80.0</v>
      </c>
    </row>
    <row r="1085">
      <c r="A1085" s="8" t="s">
        <v>284</v>
      </c>
      <c r="B1085" s="8" t="s">
        <v>11</v>
      </c>
      <c r="C1085" s="8" t="s">
        <v>93</v>
      </c>
      <c r="D1085" s="18" t="s">
        <v>2610</v>
      </c>
      <c r="E1085" s="16">
        <v>81.0</v>
      </c>
    </row>
    <row r="1086">
      <c r="A1086" s="8" t="s">
        <v>284</v>
      </c>
      <c r="B1086" s="8" t="s">
        <v>43</v>
      </c>
      <c r="C1086" s="8" t="s">
        <v>65</v>
      </c>
      <c r="D1086" s="18" t="s">
        <v>2614</v>
      </c>
      <c r="E1086" s="16">
        <v>64.0</v>
      </c>
    </row>
    <row r="1087">
      <c r="A1087" s="8" t="s">
        <v>284</v>
      </c>
      <c r="B1087" s="8" t="s">
        <v>50</v>
      </c>
      <c r="C1087" s="8" t="s">
        <v>141</v>
      </c>
      <c r="D1087" s="18" t="s">
        <v>2621</v>
      </c>
      <c r="E1087" s="16">
        <v>83.0</v>
      </c>
    </row>
    <row r="1088">
      <c r="A1088" s="8" t="s">
        <v>284</v>
      </c>
      <c r="B1088" s="8" t="s">
        <v>161</v>
      </c>
      <c r="C1088" s="8" t="s">
        <v>141</v>
      </c>
      <c r="D1088" s="18" t="s">
        <v>2566</v>
      </c>
      <c r="E1088" s="16">
        <v>64.0</v>
      </c>
    </row>
    <row r="1089">
      <c r="A1089" s="8" t="s">
        <v>284</v>
      </c>
      <c r="B1089" s="8" t="s">
        <v>1210</v>
      </c>
      <c r="C1089" s="8" t="s">
        <v>80</v>
      </c>
      <c r="D1089" s="18" t="s">
        <v>2614</v>
      </c>
      <c r="E1089" s="16">
        <v>84.0</v>
      </c>
    </row>
    <row r="1090">
      <c r="A1090" s="8" t="s">
        <v>284</v>
      </c>
      <c r="B1090" s="8" t="s">
        <v>1211</v>
      </c>
      <c r="C1090" s="8" t="s">
        <v>16</v>
      </c>
      <c r="D1090" s="18" t="s">
        <v>2587</v>
      </c>
      <c r="E1090" s="16">
        <v>66.0</v>
      </c>
    </row>
    <row r="1091">
      <c r="A1091" s="8" t="s">
        <v>284</v>
      </c>
      <c r="B1091" s="8" t="s">
        <v>554</v>
      </c>
      <c r="C1091" s="8" t="s">
        <v>59</v>
      </c>
      <c r="D1091" s="18" t="s">
        <v>2589</v>
      </c>
      <c r="E1091" s="16">
        <v>88.0</v>
      </c>
    </row>
    <row r="1092">
      <c r="A1092" s="8" t="s">
        <v>284</v>
      </c>
      <c r="B1092" s="8" t="s">
        <v>275</v>
      </c>
      <c r="C1092" s="8" t="s">
        <v>215</v>
      </c>
      <c r="D1092" s="18" t="s">
        <v>2585</v>
      </c>
      <c r="E1092" s="16">
        <v>61.0</v>
      </c>
    </row>
    <row r="1093">
      <c r="A1093" s="8" t="s">
        <v>284</v>
      </c>
      <c r="B1093" s="8" t="s">
        <v>275</v>
      </c>
      <c r="C1093" s="8" t="s">
        <v>215</v>
      </c>
      <c r="D1093" s="18" t="s">
        <v>2183</v>
      </c>
      <c r="E1093" s="16">
        <v>84.0</v>
      </c>
    </row>
    <row r="1094">
      <c r="A1094" s="8" t="s">
        <v>284</v>
      </c>
      <c r="B1094" s="8" t="s">
        <v>275</v>
      </c>
      <c r="C1094" s="8" t="s">
        <v>38</v>
      </c>
      <c r="D1094" s="18" t="s">
        <v>2614</v>
      </c>
      <c r="E1094" s="16">
        <v>83.0</v>
      </c>
    </row>
    <row r="1095">
      <c r="A1095" s="8" t="s">
        <v>284</v>
      </c>
      <c r="B1095" s="8" t="s">
        <v>726</v>
      </c>
      <c r="C1095" s="8" t="s">
        <v>53</v>
      </c>
      <c r="D1095" s="18" t="s">
        <v>2605</v>
      </c>
      <c r="E1095" s="16">
        <v>73.0</v>
      </c>
    </row>
    <row r="1096">
      <c r="A1096" s="8" t="s">
        <v>284</v>
      </c>
      <c r="B1096" s="8" t="s">
        <v>285</v>
      </c>
      <c r="C1096" s="8" t="s">
        <v>80</v>
      </c>
      <c r="D1096" s="18" t="s">
        <v>2574</v>
      </c>
      <c r="E1096" s="16">
        <v>65.0</v>
      </c>
    </row>
    <row r="1097">
      <c r="A1097" s="8" t="s">
        <v>284</v>
      </c>
      <c r="B1097" s="8" t="s">
        <v>1489</v>
      </c>
      <c r="C1097" s="8" t="s">
        <v>93</v>
      </c>
      <c r="D1097" s="18" t="s">
        <v>2600</v>
      </c>
      <c r="E1097" s="16">
        <v>69.0</v>
      </c>
    </row>
    <row r="1098">
      <c r="A1098" s="8" t="s">
        <v>284</v>
      </c>
      <c r="B1098" s="8" t="s">
        <v>953</v>
      </c>
      <c r="C1098" s="8" t="s">
        <v>138</v>
      </c>
      <c r="D1098" s="18" t="s">
        <v>2621</v>
      </c>
      <c r="E1098" s="16">
        <v>78.0</v>
      </c>
    </row>
    <row r="1099">
      <c r="A1099" s="8" t="s">
        <v>284</v>
      </c>
      <c r="B1099" s="8" t="s">
        <v>555</v>
      </c>
      <c r="C1099" s="8" t="s">
        <v>215</v>
      </c>
      <c r="D1099" s="18" t="s">
        <v>2552</v>
      </c>
      <c r="E1099" s="16">
        <v>76.0</v>
      </c>
    </row>
    <row r="1100">
      <c r="A1100" s="8" t="s">
        <v>284</v>
      </c>
      <c r="B1100" s="8" t="s">
        <v>1854</v>
      </c>
      <c r="C1100" s="8" t="s">
        <v>186</v>
      </c>
      <c r="D1100" s="18" t="s">
        <v>2598</v>
      </c>
      <c r="E1100" s="16">
        <v>81.0</v>
      </c>
    </row>
    <row r="1101">
      <c r="A1101" s="8" t="s">
        <v>284</v>
      </c>
      <c r="B1101" s="8" t="s">
        <v>1473</v>
      </c>
      <c r="C1101" s="8" t="s">
        <v>93</v>
      </c>
      <c r="D1101" s="18" t="s">
        <v>2560</v>
      </c>
      <c r="E1101" s="16">
        <v>63.0</v>
      </c>
    </row>
    <row r="1102">
      <c r="A1102" s="8" t="s">
        <v>284</v>
      </c>
      <c r="B1102" s="18" t="s">
        <v>529</v>
      </c>
      <c r="C1102" s="8" t="s">
        <v>122</v>
      </c>
      <c r="D1102" s="18" t="s">
        <v>2585</v>
      </c>
      <c r="E1102" s="16">
        <v>64.0</v>
      </c>
    </row>
    <row r="1103">
      <c r="A1103" s="8" t="s">
        <v>284</v>
      </c>
      <c r="B1103" s="8" t="s">
        <v>31</v>
      </c>
      <c r="C1103" s="8" t="s">
        <v>80</v>
      </c>
      <c r="D1103" s="18" t="s">
        <v>2585</v>
      </c>
      <c r="E1103" s="16">
        <v>69.0</v>
      </c>
    </row>
    <row r="1104">
      <c r="A1104" s="8" t="s">
        <v>284</v>
      </c>
      <c r="B1104" s="8" t="s">
        <v>2173</v>
      </c>
      <c r="C1104" s="8" t="s">
        <v>38</v>
      </c>
      <c r="D1104" s="18" t="s">
        <v>2564</v>
      </c>
      <c r="E1104" s="16">
        <v>76.0</v>
      </c>
    </row>
    <row r="1105">
      <c r="A1105" s="8" t="s">
        <v>284</v>
      </c>
      <c r="B1105" s="8" t="s">
        <v>2021</v>
      </c>
      <c r="C1105" s="8" t="s">
        <v>65</v>
      </c>
      <c r="D1105" s="18" t="s">
        <v>2572</v>
      </c>
      <c r="E1105" s="16">
        <v>61.0</v>
      </c>
    </row>
    <row r="1106">
      <c r="A1106" s="8" t="s">
        <v>284</v>
      </c>
      <c r="B1106" s="8" t="s">
        <v>2867</v>
      </c>
      <c r="C1106" s="8" t="s">
        <v>122</v>
      </c>
      <c r="D1106" s="18" t="s">
        <v>2566</v>
      </c>
      <c r="E1106" s="16">
        <v>64.0</v>
      </c>
    </row>
    <row r="1107">
      <c r="A1107" s="8" t="s">
        <v>284</v>
      </c>
      <c r="B1107" s="8" t="s">
        <v>1227</v>
      </c>
      <c r="C1107" s="8" t="s">
        <v>59</v>
      </c>
      <c r="D1107" s="18" t="s">
        <v>2589</v>
      </c>
      <c r="E1107" s="16">
        <v>76.0</v>
      </c>
    </row>
    <row r="1108">
      <c r="A1108" s="8" t="s">
        <v>284</v>
      </c>
      <c r="B1108" s="8" t="s">
        <v>842</v>
      </c>
      <c r="C1108" s="8" t="s">
        <v>93</v>
      </c>
      <c r="D1108" s="18" t="s">
        <v>2600</v>
      </c>
      <c r="E1108" s="16">
        <v>62.0</v>
      </c>
    </row>
    <row r="1109">
      <c r="A1109" s="8" t="s">
        <v>284</v>
      </c>
      <c r="B1109" s="8" t="s">
        <v>301</v>
      </c>
      <c r="C1109" s="8" t="s">
        <v>80</v>
      </c>
      <c r="D1109" s="18" t="s">
        <v>2558</v>
      </c>
      <c r="E1109" s="16">
        <v>74.0</v>
      </c>
    </row>
    <row r="1110">
      <c r="A1110" s="8" t="s">
        <v>284</v>
      </c>
      <c r="B1110" s="8" t="s">
        <v>390</v>
      </c>
      <c r="C1110" s="8" t="s">
        <v>65</v>
      </c>
      <c r="D1110" s="18" t="s">
        <v>2598</v>
      </c>
      <c r="E1110" s="16">
        <v>98.0</v>
      </c>
    </row>
    <row r="1111">
      <c r="A1111" s="8" t="s">
        <v>284</v>
      </c>
      <c r="B1111" s="8" t="s">
        <v>1226</v>
      </c>
      <c r="C1111" s="8" t="s">
        <v>16</v>
      </c>
      <c r="D1111" s="18" t="s">
        <v>2577</v>
      </c>
      <c r="E1111" s="16">
        <v>66.0</v>
      </c>
    </row>
    <row r="1112">
      <c r="A1112" s="8" t="s">
        <v>284</v>
      </c>
      <c r="B1112" s="8" t="s">
        <v>33</v>
      </c>
      <c r="C1112" s="8" t="s">
        <v>70</v>
      </c>
      <c r="D1112" s="18" t="s">
        <v>2582</v>
      </c>
      <c r="E1112" s="16">
        <v>69.0</v>
      </c>
    </row>
    <row r="1113">
      <c r="A1113" s="8" t="s">
        <v>284</v>
      </c>
      <c r="B1113" s="8" t="s">
        <v>1855</v>
      </c>
      <c r="C1113" s="8" t="s">
        <v>122</v>
      </c>
      <c r="D1113" s="18" t="s">
        <v>2603</v>
      </c>
      <c r="E1113" s="16">
        <v>71.0</v>
      </c>
    </row>
    <row r="1114">
      <c r="A1114" s="8" t="s">
        <v>284</v>
      </c>
      <c r="B1114" s="8" t="s">
        <v>286</v>
      </c>
      <c r="C1114" s="8" t="s">
        <v>192</v>
      </c>
      <c r="D1114" s="18" t="s">
        <v>2581</v>
      </c>
      <c r="E1114" s="16">
        <v>91.0</v>
      </c>
    </row>
    <row r="1115">
      <c r="A1115" s="8" t="s">
        <v>284</v>
      </c>
      <c r="B1115" s="8" t="s">
        <v>3322</v>
      </c>
      <c r="C1115" s="8" t="s">
        <v>65</v>
      </c>
      <c r="D1115" s="18" t="s">
        <v>2183</v>
      </c>
      <c r="E1115" s="16">
        <v>61.0</v>
      </c>
    </row>
    <row r="1116">
      <c r="A1116" s="8" t="s">
        <v>284</v>
      </c>
      <c r="B1116" s="8" t="s">
        <v>287</v>
      </c>
      <c r="C1116" s="8" t="s">
        <v>70</v>
      </c>
      <c r="D1116" s="18" t="s">
        <v>2556</v>
      </c>
      <c r="E1116" s="16">
        <v>72.0</v>
      </c>
    </row>
    <row r="1117">
      <c r="A1117" s="8" t="s">
        <v>284</v>
      </c>
      <c r="B1117" s="18" t="s">
        <v>491</v>
      </c>
      <c r="C1117" s="8" t="s">
        <v>65</v>
      </c>
      <c r="D1117" s="18" t="s">
        <v>2554</v>
      </c>
      <c r="E1117" s="16">
        <v>69.0</v>
      </c>
    </row>
    <row r="1118">
      <c r="A1118" s="8" t="s">
        <v>284</v>
      </c>
      <c r="B1118" s="8" t="s">
        <v>1856</v>
      </c>
      <c r="C1118" s="8" t="s">
        <v>65</v>
      </c>
      <c r="D1118" s="18" t="s">
        <v>2587</v>
      </c>
      <c r="E1118" s="16">
        <v>74.0</v>
      </c>
    </row>
    <row r="1119">
      <c r="A1119" s="8" t="s">
        <v>2869</v>
      </c>
      <c r="B1119" s="8" t="s">
        <v>2161</v>
      </c>
      <c r="C1119" s="8" t="s">
        <v>93</v>
      </c>
      <c r="D1119" s="18" t="s">
        <v>2564</v>
      </c>
      <c r="E1119" s="16">
        <v>74.0</v>
      </c>
    </row>
    <row r="1120">
      <c r="A1120" s="8" t="s">
        <v>2870</v>
      </c>
      <c r="B1120" s="8" t="s">
        <v>556</v>
      </c>
      <c r="C1120" s="8" t="s">
        <v>65</v>
      </c>
      <c r="D1120" s="18" t="s">
        <v>2554</v>
      </c>
      <c r="E1120" s="16">
        <v>84.0</v>
      </c>
    </row>
    <row r="1121">
      <c r="A1121" s="8" t="s">
        <v>1491</v>
      </c>
      <c r="B1121" s="8" t="s">
        <v>1467</v>
      </c>
      <c r="C1121" s="8" t="s">
        <v>192</v>
      </c>
      <c r="D1121" s="18" t="s">
        <v>2605</v>
      </c>
      <c r="E1121" s="16">
        <v>72.0</v>
      </c>
    </row>
    <row r="1122">
      <c r="A1122" s="8" t="s">
        <v>263</v>
      </c>
      <c r="B1122" s="8" t="s">
        <v>52</v>
      </c>
      <c r="C1122" s="8" t="s">
        <v>215</v>
      </c>
      <c r="D1122" s="18" t="s">
        <v>2595</v>
      </c>
      <c r="E1122" s="16">
        <v>92.0</v>
      </c>
    </row>
    <row r="1123">
      <c r="A1123" s="8" t="s">
        <v>263</v>
      </c>
      <c r="B1123" s="8" t="s">
        <v>744</v>
      </c>
      <c r="C1123" s="8" t="s">
        <v>215</v>
      </c>
      <c r="D1123" s="18" t="s">
        <v>2603</v>
      </c>
      <c r="E1123" s="16">
        <v>68.0</v>
      </c>
    </row>
    <row r="1124">
      <c r="A1124" s="8" t="s">
        <v>263</v>
      </c>
      <c r="B1124" s="8" t="s">
        <v>183</v>
      </c>
      <c r="C1124" s="8" t="s">
        <v>93</v>
      </c>
      <c r="D1124" s="18" t="s">
        <v>2593</v>
      </c>
      <c r="E1124" s="16">
        <v>66.0</v>
      </c>
    </row>
    <row r="1125">
      <c r="A1125" s="8" t="s">
        <v>91</v>
      </c>
      <c r="B1125" s="8" t="s">
        <v>92</v>
      </c>
      <c r="C1125" s="8" t="s">
        <v>93</v>
      </c>
      <c r="D1125" s="18" t="s">
        <v>2562</v>
      </c>
      <c r="E1125" s="16">
        <v>83.0</v>
      </c>
    </row>
    <row r="1126">
      <c r="A1126" s="8" t="s">
        <v>91</v>
      </c>
      <c r="B1126" s="8" t="s">
        <v>1493</v>
      </c>
      <c r="C1126" s="8" t="s">
        <v>192</v>
      </c>
      <c r="D1126" s="18" t="s">
        <v>2556</v>
      </c>
      <c r="E1126" s="16">
        <v>81.0</v>
      </c>
    </row>
    <row r="1127">
      <c r="A1127" s="8" t="s">
        <v>91</v>
      </c>
      <c r="B1127" s="8" t="s">
        <v>391</v>
      </c>
      <c r="C1127" s="8" t="s">
        <v>122</v>
      </c>
      <c r="D1127" s="18" t="s">
        <v>2552</v>
      </c>
      <c r="E1127" s="16">
        <v>86.0</v>
      </c>
    </row>
    <row r="1128">
      <c r="A1128" s="8" t="s">
        <v>727</v>
      </c>
      <c r="B1128" s="8" t="s">
        <v>728</v>
      </c>
      <c r="C1128" s="8" t="s">
        <v>80</v>
      </c>
      <c r="D1128" s="18" t="s">
        <v>2593</v>
      </c>
      <c r="E1128" s="16">
        <v>82.0</v>
      </c>
    </row>
    <row r="1129">
      <c r="A1129" s="8" t="s">
        <v>954</v>
      </c>
      <c r="B1129" s="8" t="s">
        <v>176</v>
      </c>
      <c r="C1129" s="8" t="s">
        <v>59</v>
      </c>
      <c r="D1129" s="18" t="s">
        <v>2575</v>
      </c>
      <c r="E1129" s="16">
        <v>70.0</v>
      </c>
    </row>
    <row r="1130">
      <c r="A1130" s="8" t="s">
        <v>729</v>
      </c>
      <c r="B1130" s="8" t="s">
        <v>214</v>
      </c>
      <c r="C1130" s="8" t="s">
        <v>261</v>
      </c>
      <c r="D1130" s="18" t="s">
        <v>2585</v>
      </c>
      <c r="E1130" s="16">
        <v>91.0</v>
      </c>
    </row>
    <row r="1131">
      <c r="A1131" s="8" t="s">
        <v>2871</v>
      </c>
      <c r="B1131" s="8" t="s">
        <v>1604</v>
      </c>
      <c r="C1131" s="8" t="s">
        <v>16</v>
      </c>
      <c r="D1131" s="18" t="s">
        <v>2554</v>
      </c>
      <c r="E1131" s="16">
        <v>64.0</v>
      </c>
    </row>
    <row r="1132">
      <c r="A1132" s="8" t="s">
        <v>392</v>
      </c>
      <c r="B1132" s="8" t="s">
        <v>33</v>
      </c>
      <c r="C1132" s="8" t="s">
        <v>46</v>
      </c>
      <c r="D1132" s="18" t="s">
        <v>2574</v>
      </c>
      <c r="E1132" s="16">
        <v>78.0</v>
      </c>
    </row>
    <row r="1133">
      <c r="A1133" s="8" t="s">
        <v>392</v>
      </c>
      <c r="B1133" s="8" t="s">
        <v>67</v>
      </c>
      <c r="C1133" s="8" t="s">
        <v>141</v>
      </c>
      <c r="D1133" s="18" t="s">
        <v>2574</v>
      </c>
      <c r="E1133" s="16">
        <v>81.0</v>
      </c>
    </row>
    <row r="1134">
      <c r="A1134" s="8" t="s">
        <v>3323</v>
      </c>
      <c r="B1134" s="8" t="s">
        <v>2793</v>
      </c>
      <c r="C1134" s="8" t="s">
        <v>215</v>
      </c>
      <c r="D1134" s="18" t="s">
        <v>2577</v>
      </c>
      <c r="E1134" s="16">
        <v>61.0</v>
      </c>
    </row>
    <row r="1135">
      <c r="A1135" s="8" t="s">
        <v>1212</v>
      </c>
      <c r="B1135" s="8" t="s">
        <v>1213</v>
      </c>
      <c r="C1135" s="8" t="s">
        <v>138</v>
      </c>
      <c r="D1135" s="18" t="s">
        <v>2562</v>
      </c>
      <c r="E1135" s="16">
        <v>61.0</v>
      </c>
    </row>
    <row r="1136">
      <c r="A1136" s="8" t="s">
        <v>1862</v>
      </c>
      <c r="B1136" s="8" t="s">
        <v>1853</v>
      </c>
      <c r="C1136" s="8" t="s">
        <v>70</v>
      </c>
      <c r="D1136" s="18" t="s">
        <v>2595</v>
      </c>
      <c r="E1136" s="16">
        <v>76.0</v>
      </c>
    </row>
    <row r="1137">
      <c r="A1137" s="8" t="s">
        <v>1214</v>
      </c>
      <c r="B1137" s="8" t="s">
        <v>114</v>
      </c>
      <c r="C1137" s="8" t="s">
        <v>141</v>
      </c>
      <c r="D1137" s="18" t="s">
        <v>2600</v>
      </c>
      <c r="E1137" s="16">
        <v>65.0</v>
      </c>
    </row>
    <row r="1138">
      <c r="A1138" s="8" t="s">
        <v>2872</v>
      </c>
      <c r="B1138" s="8" t="s">
        <v>20</v>
      </c>
      <c r="C1138" s="8" t="s">
        <v>38</v>
      </c>
      <c r="D1138" s="18" t="s">
        <v>2572</v>
      </c>
      <c r="E1138" s="16">
        <v>72.0</v>
      </c>
    </row>
    <row r="1139">
      <c r="A1139" s="8" t="s">
        <v>730</v>
      </c>
      <c r="B1139" s="8" t="s">
        <v>731</v>
      </c>
      <c r="C1139" s="8" t="s">
        <v>215</v>
      </c>
      <c r="D1139" s="18" t="s">
        <v>2575</v>
      </c>
      <c r="E1139" s="16">
        <v>69.0</v>
      </c>
    </row>
    <row r="1140">
      <c r="A1140" s="8" t="s">
        <v>1215</v>
      </c>
      <c r="B1140" s="8" t="s">
        <v>1216</v>
      </c>
      <c r="C1140" s="8" t="s">
        <v>93</v>
      </c>
      <c r="D1140" s="18" t="s">
        <v>2598</v>
      </c>
      <c r="E1140" s="16">
        <v>68.0</v>
      </c>
    </row>
    <row r="1141">
      <c r="A1141" s="8" t="s">
        <v>557</v>
      </c>
      <c r="B1141" s="8" t="s">
        <v>1495</v>
      </c>
      <c r="C1141" s="8" t="s">
        <v>192</v>
      </c>
      <c r="D1141" s="18" t="s">
        <v>2552</v>
      </c>
      <c r="E1141" s="16">
        <v>64.0</v>
      </c>
    </row>
    <row r="1142">
      <c r="A1142" s="8" t="s">
        <v>557</v>
      </c>
      <c r="B1142" s="8" t="s">
        <v>558</v>
      </c>
      <c r="C1142" s="8" t="s">
        <v>65</v>
      </c>
      <c r="D1142" s="18" t="s">
        <v>2603</v>
      </c>
      <c r="E1142" s="16">
        <v>80.0</v>
      </c>
    </row>
    <row r="1143">
      <c r="A1143" s="8" t="s">
        <v>288</v>
      </c>
      <c r="B1143" s="8" t="s">
        <v>289</v>
      </c>
      <c r="C1143" s="8" t="s">
        <v>16</v>
      </c>
      <c r="D1143" s="18" t="s">
        <v>2552</v>
      </c>
      <c r="E1143" s="16">
        <v>73.0</v>
      </c>
    </row>
    <row r="1144">
      <c r="A1144" s="8" t="s">
        <v>290</v>
      </c>
      <c r="B1144" s="8" t="s">
        <v>45</v>
      </c>
      <c r="C1144" s="8" t="s">
        <v>141</v>
      </c>
      <c r="D1144" s="18" t="s">
        <v>2564</v>
      </c>
      <c r="E1144" s="16">
        <v>76.0</v>
      </c>
    </row>
    <row r="1145">
      <c r="A1145" s="8" t="s">
        <v>290</v>
      </c>
      <c r="B1145" s="8" t="s">
        <v>472</v>
      </c>
      <c r="C1145" s="8" t="s">
        <v>24</v>
      </c>
      <c r="D1145" s="18" t="s">
        <v>2183</v>
      </c>
      <c r="E1145" s="16">
        <v>94.0</v>
      </c>
    </row>
    <row r="1146">
      <c r="A1146" s="8" t="s">
        <v>559</v>
      </c>
      <c r="B1146" s="8" t="s">
        <v>560</v>
      </c>
      <c r="C1146" s="8" t="s">
        <v>141</v>
      </c>
      <c r="D1146" s="18" t="s">
        <v>2595</v>
      </c>
      <c r="E1146" s="16">
        <v>69.0</v>
      </c>
    </row>
    <row r="1147">
      <c r="A1147" s="8" t="s">
        <v>2873</v>
      </c>
      <c r="B1147" s="8" t="s">
        <v>337</v>
      </c>
      <c r="C1147" s="8" t="s">
        <v>70</v>
      </c>
      <c r="D1147" s="18" t="s">
        <v>2582</v>
      </c>
      <c r="E1147" s="16">
        <v>78.0</v>
      </c>
    </row>
    <row r="1148">
      <c r="A1148" s="8" t="s">
        <v>561</v>
      </c>
      <c r="B1148" s="8" t="s">
        <v>117</v>
      </c>
      <c r="C1148" s="8" t="s">
        <v>16</v>
      </c>
      <c r="D1148" s="18" t="s">
        <v>2620</v>
      </c>
      <c r="E1148" s="16">
        <v>68.0</v>
      </c>
    </row>
    <row r="1149">
      <c r="A1149" s="8" t="s">
        <v>561</v>
      </c>
      <c r="B1149" s="8" t="s">
        <v>562</v>
      </c>
      <c r="C1149" s="8" t="s">
        <v>46</v>
      </c>
      <c r="D1149" s="18" t="s">
        <v>2621</v>
      </c>
      <c r="E1149" s="16">
        <v>68.0</v>
      </c>
    </row>
    <row r="1150">
      <c r="A1150" s="8" t="s">
        <v>561</v>
      </c>
      <c r="B1150" s="8" t="s">
        <v>67</v>
      </c>
      <c r="C1150" s="8" t="s">
        <v>141</v>
      </c>
      <c r="D1150" s="18" t="s">
        <v>2567</v>
      </c>
      <c r="E1150" s="16">
        <v>79.0</v>
      </c>
    </row>
    <row r="1151">
      <c r="A1151" s="8" t="s">
        <v>2875</v>
      </c>
      <c r="B1151" s="8" t="s">
        <v>782</v>
      </c>
      <c r="C1151" s="8" t="s">
        <v>186</v>
      </c>
      <c r="D1151" s="18" t="s">
        <v>2577</v>
      </c>
      <c r="E1151" s="16">
        <v>60.0</v>
      </c>
    </row>
    <row r="1152">
      <c r="A1152" s="8" t="s">
        <v>732</v>
      </c>
      <c r="B1152" s="8" t="s">
        <v>129</v>
      </c>
      <c r="C1152" s="8" t="s">
        <v>186</v>
      </c>
      <c r="D1152" s="18" t="s">
        <v>2552</v>
      </c>
      <c r="E1152" s="16">
        <v>80.0</v>
      </c>
    </row>
    <row r="1153">
      <c r="A1153" s="8" t="s">
        <v>732</v>
      </c>
      <c r="B1153" s="8" t="s">
        <v>1879</v>
      </c>
      <c r="C1153" s="8" t="s">
        <v>24</v>
      </c>
      <c r="D1153" s="18" t="s">
        <v>2558</v>
      </c>
      <c r="E1153" s="16">
        <v>74.0</v>
      </c>
    </row>
    <row r="1154">
      <c r="A1154" s="8" t="s">
        <v>732</v>
      </c>
      <c r="B1154" s="8" t="s">
        <v>733</v>
      </c>
      <c r="C1154" s="8" t="s">
        <v>59</v>
      </c>
      <c r="D1154" s="18" t="s">
        <v>2564</v>
      </c>
      <c r="E1154" s="16">
        <v>77.0</v>
      </c>
    </row>
    <row r="1155">
      <c r="A1155" s="8" t="s">
        <v>734</v>
      </c>
      <c r="B1155" s="8" t="s">
        <v>735</v>
      </c>
      <c r="C1155" s="8" t="s">
        <v>53</v>
      </c>
      <c r="D1155" s="18" t="s">
        <v>2566</v>
      </c>
      <c r="E1155" s="16">
        <v>80.0</v>
      </c>
    </row>
    <row r="1156">
      <c r="A1156" s="8" t="s">
        <v>736</v>
      </c>
      <c r="B1156" s="8" t="s">
        <v>737</v>
      </c>
      <c r="C1156" s="8" t="s">
        <v>75</v>
      </c>
      <c r="D1156" s="18" t="s">
        <v>2552</v>
      </c>
      <c r="E1156" s="16">
        <v>62.0</v>
      </c>
    </row>
    <row r="1157">
      <c r="A1157" s="8" t="s">
        <v>2876</v>
      </c>
      <c r="B1157" s="8" t="s">
        <v>822</v>
      </c>
      <c r="C1157" s="8" t="s">
        <v>65</v>
      </c>
      <c r="D1157" s="18" t="s">
        <v>2585</v>
      </c>
      <c r="E1157" s="16">
        <v>77.0</v>
      </c>
    </row>
    <row r="1158">
      <c r="A1158" s="8" t="s">
        <v>160</v>
      </c>
      <c r="B1158" s="8" t="s">
        <v>161</v>
      </c>
      <c r="C1158" s="8" t="s">
        <v>38</v>
      </c>
      <c r="D1158" s="18" t="s">
        <v>2621</v>
      </c>
      <c r="E1158" s="16">
        <v>78.0</v>
      </c>
    </row>
    <row r="1159">
      <c r="A1159" s="8" t="s">
        <v>563</v>
      </c>
      <c r="B1159" s="8" t="s">
        <v>480</v>
      </c>
      <c r="C1159" s="8" t="s">
        <v>138</v>
      </c>
      <c r="D1159" s="18" t="s">
        <v>2620</v>
      </c>
      <c r="E1159" s="16">
        <v>71.0</v>
      </c>
    </row>
    <row r="1160">
      <c r="A1160" s="8" t="s">
        <v>2877</v>
      </c>
      <c r="B1160" s="8" t="s">
        <v>102</v>
      </c>
      <c r="C1160" s="8" t="s">
        <v>261</v>
      </c>
      <c r="D1160" s="18" t="s">
        <v>2558</v>
      </c>
      <c r="E1160" s="16">
        <v>63.0</v>
      </c>
    </row>
    <row r="1161">
      <c r="A1161" s="8" t="s">
        <v>291</v>
      </c>
      <c r="B1161" s="8" t="s">
        <v>67</v>
      </c>
      <c r="C1161" s="8" t="s">
        <v>53</v>
      </c>
      <c r="D1161" s="18" t="s">
        <v>2582</v>
      </c>
      <c r="E1161" s="16">
        <v>86.0</v>
      </c>
    </row>
    <row r="1162">
      <c r="A1162" s="8" t="s">
        <v>1217</v>
      </c>
      <c r="B1162" s="8" t="s">
        <v>362</v>
      </c>
      <c r="C1162" s="8" t="s">
        <v>16</v>
      </c>
      <c r="D1162" s="18" t="s">
        <v>2615</v>
      </c>
      <c r="E1162" s="16">
        <v>75.0</v>
      </c>
    </row>
    <row r="1163">
      <c r="A1163" s="8" t="s">
        <v>2878</v>
      </c>
      <c r="B1163" s="8" t="s">
        <v>301</v>
      </c>
      <c r="C1163" s="8" t="s">
        <v>59</v>
      </c>
      <c r="D1163" s="18" t="s">
        <v>2598</v>
      </c>
      <c r="E1163" s="16">
        <v>62.0</v>
      </c>
    </row>
    <row r="1164">
      <c r="A1164" s="8" t="s">
        <v>3324</v>
      </c>
      <c r="B1164" s="8" t="s">
        <v>1376</v>
      </c>
      <c r="C1164" s="8" t="s">
        <v>138</v>
      </c>
      <c r="D1164" s="18" t="s">
        <v>2552</v>
      </c>
      <c r="E1164" s="16">
        <v>64.0</v>
      </c>
    </row>
    <row r="1165">
      <c r="A1165" s="8" t="s">
        <v>2879</v>
      </c>
      <c r="B1165" s="18" t="s">
        <v>2880</v>
      </c>
      <c r="C1165" s="8" t="s">
        <v>53</v>
      </c>
      <c r="D1165" s="18" t="s">
        <v>2595</v>
      </c>
      <c r="E1165" s="16">
        <v>73.0</v>
      </c>
    </row>
    <row r="1166">
      <c r="A1166" s="8" t="s">
        <v>955</v>
      </c>
      <c r="B1166" s="8" t="s">
        <v>800</v>
      </c>
      <c r="C1166" s="8" t="s">
        <v>122</v>
      </c>
      <c r="D1166" s="18" t="s">
        <v>2600</v>
      </c>
      <c r="E1166" s="16">
        <v>62.0</v>
      </c>
    </row>
    <row r="1167">
      <c r="A1167" s="8" t="s">
        <v>292</v>
      </c>
      <c r="B1167" s="8" t="s">
        <v>197</v>
      </c>
      <c r="C1167" s="8" t="s">
        <v>141</v>
      </c>
      <c r="D1167" s="18" t="s">
        <v>2585</v>
      </c>
      <c r="E1167" s="16">
        <v>71.0</v>
      </c>
    </row>
    <row r="1168">
      <c r="A1168" s="8" t="s">
        <v>1218</v>
      </c>
      <c r="B1168" s="8" t="s">
        <v>1219</v>
      </c>
      <c r="C1168" s="8" t="s">
        <v>192</v>
      </c>
      <c r="D1168" s="18" t="s">
        <v>2554</v>
      </c>
      <c r="E1168" s="16">
        <v>67.0</v>
      </c>
    </row>
    <row r="1169">
      <c r="A1169" s="8" t="s">
        <v>1496</v>
      </c>
      <c r="B1169" s="8" t="s">
        <v>1473</v>
      </c>
      <c r="C1169" s="8" t="s">
        <v>192</v>
      </c>
      <c r="D1169" s="18" t="s">
        <v>2615</v>
      </c>
      <c r="E1169" s="16">
        <v>66.0</v>
      </c>
    </row>
    <row r="1170">
      <c r="A1170" s="8" t="s">
        <v>956</v>
      </c>
      <c r="B1170" s="8" t="s">
        <v>957</v>
      </c>
      <c r="C1170" s="8" t="s">
        <v>80</v>
      </c>
      <c r="D1170" s="18" t="s">
        <v>2598</v>
      </c>
      <c r="E1170" s="16">
        <v>57.0</v>
      </c>
    </row>
    <row r="1171">
      <c r="A1171" s="8" t="s">
        <v>956</v>
      </c>
      <c r="B1171" s="8" t="s">
        <v>121</v>
      </c>
      <c r="C1171" s="8" t="s">
        <v>80</v>
      </c>
      <c r="D1171" s="18" t="s">
        <v>2600</v>
      </c>
      <c r="E1171" s="16">
        <v>62.0</v>
      </c>
    </row>
    <row r="1172">
      <c r="A1172" s="8" t="s">
        <v>956</v>
      </c>
      <c r="B1172" s="8" t="s">
        <v>506</v>
      </c>
      <c r="C1172" s="8" t="s">
        <v>138</v>
      </c>
      <c r="D1172" s="18" t="s">
        <v>2183</v>
      </c>
      <c r="E1172" s="16">
        <v>64.0</v>
      </c>
    </row>
    <row r="1173">
      <c r="A1173" s="8" t="s">
        <v>956</v>
      </c>
      <c r="B1173" s="8" t="s">
        <v>816</v>
      </c>
      <c r="C1173" s="8" t="s">
        <v>192</v>
      </c>
      <c r="D1173" s="18" t="s">
        <v>2572</v>
      </c>
      <c r="E1173" s="16">
        <v>67.0</v>
      </c>
    </row>
    <row r="1174">
      <c r="A1174" s="8" t="s">
        <v>956</v>
      </c>
      <c r="B1174" s="8" t="s">
        <v>119</v>
      </c>
      <c r="C1174" s="8" t="s">
        <v>93</v>
      </c>
      <c r="D1174" s="18" t="s">
        <v>2558</v>
      </c>
      <c r="E1174" s="16">
        <v>71.0</v>
      </c>
    </row>
    <row r="1175">
      <c r="A1175" s="8" t="s">
        <v>956</v>
      </c>
      <c r="B1175" s="8" t="s">
        <v>2881</v>
      </c>
      <c r="C1175" s="8" t="s">
        <v>38</v>
      </c>
      <c r="D1175" s="18" t="s">
        <v>2556</v>
      </c>
      <c r="E1175" s="16">
        <v>85.0</v>
      </c>
    </row>
    <row r="1176">
      <c r="A1176" s="8" t="s">
        <v>956</v>
      </c>
      <c r="B1176" s="8" t="s">
        <v>2882</v>
      </c>
      <c r="C1176" s="8" t="s">
        <v>65</v>
      </c>
      <c r="D1176" s="18" t="s">
        <v>2566</v>
      </c>
      <c r="E1176" s="16">
        <v>67.0</v>
      </c>
    </row>
    <row r="1177">
      <c r="A1177" s="8" t="s">
        <v>1497</v>
      </c>
      <c r="B1177" s="8" t="s">
        <v>1498</v>
      </c>
      <c r="C1177" s="8" t="s">
        <v>46</v>
      </c>
      <c r="D1177" s="18" t="s">
        <v>2556</v>
      </c>
      <c r="E1177" s="16">
        <v>69.0</v>
      </c>
    </row>
    <row r="1178">
      <c r="A1178" s="8" t="s">
        <v>564</v>
      </c>
      <c r="B1178" s="8" t="s">
        <v>565</v>
      </c>
      <c r="C1178" s="8" t="s">
        <v>93</v>
      </c>
      <c r="D1178" s="18" t="s">
        <v>2610</v>
      </c>
      <c r="E1178" s="16">
        <v>78.0</v>
      </c>
    </row>
    <row r="1179">
      <c r="A1179" s="8" t="s">
        <v>958</v>
      </c>
      <c r="B1179" s="8" t="s">
        <v>726</v>
      </c>
      <c r="C1179" s="8" t="s">
        <v>186</v>
      </c>
      <c r="D1179" s="18" t="s">
        <v>2615</v>
      </c>
      <c r="E1179" s="16">
        <v>82.0</v>
      </c>
    </row>
    <row r="1180">
      <c r="A1180" s="8" t="s">
        <v>1499</v>
      </c>
      <c r="B1180" s="8" t="s">
        <v>546</v>
      </c>
      <c r="C1180" s="8" t="s">
        <v>24</v>
      </c>
      <c r="D1180" s="18" t="s">
        <v>2585</v>
      </c>
      <c r="E1180" s="16">
        <v>72.0</v>
      </c>
    </row>
    <row r="1181">
      <c r="A1181" s="8" t="s">
        <v>2166</v>
      </c>
      <c r="B1181" s="8" t="s">
        <v>2167</v>
      </c>
      <c r="C1181" s="8" t="s">
        <v>16</v>
      </c>
      <c r="D1181" s="18" t="s">
        <v>2615</v>
      </c>
      <c r="E1181" s="16">
        <v>75.0</v>
      </c>
    </row>
    <row r="1182">
      <c r="A1182" s="8" t="s">
        <v>738</v>
      </c>
      <c r="B1182" s="18" t="s">
        <v>269</v>
      </c>
      <c r="C1182" s="8" t="s">
        <v>186</v>
      </c>
      <c r="D1182" s="18" t="s">
        <v>2595</v>
      </c>
      <c r="E1182" s="16">
        <v>72.0</v>
      </c>
    </row>
    <row r="1183">
      <c r="A1183" s="8" t="s">
        <v>566</v>
      </c>
      <c r="B1183" s="8" t="s">
        <v>301</v>
      </c>
      <c r="C1183" s="8" t="s">
        <v>132</v>
      </c>
      <c r="D1183" s="18" t="s">
        <v>2621</v>
      </c>
      <c r="E1183" s="16">
        <v>80.0</v>
      </c>
    </row>
    <row r="1184">
      <c r="A1184" s="8" t="s">
        <v>3325</v>
      </c>
      <c r="B1184" s="8" t="s">
        <v>1493</v>
      </c>
      <c r="C1184" s="8" t="s">
        <v>215</v>
      </c>
      <c r="D1184" s="18" t="s">
        <v>2621</v>
      </c>
      <c r="E1184" s="16">
        <v>80.0</v>
      </c>
    </row>
    <row r="1185">
      <c r="A1185" s="8" t="s">
        <v>40</v>
      </c>
      <c r="B1185" s="8" t="s">
        <v>41</v>
      </c>
      <c r="C1185" s="8" t="s">
        <v>38</v>
      </c>
      <c r="D1185" s="18" t="s">
        <v>2575</v>
      </c>
      <c r="E1185" s="16">
        <v>84.0</v>
      </c>
    </row>
    <row r="1186">
      <c r="A1186" s="8" t="s">
        <v>2883</v>
      </c>
      <c r="B1186" s="8" t="s">
        <v>2884</v>
      </c>
      <c r="C1186" s="8" t="s">
        <v>132</v>
      </c>
      <c r="D1186" s="18" t="s">
        <v>2582</v>
      </c>
      <c r="E1186" s="16">
        <v>63.0</v>
      </c>
    </row>
    <row r="1187">
      <c r="A1187" s="8" t="s">
        <v>2883</v>
      </c>
      <c r="B1187" s="8" t="s">
        <v>1489</v>
      </c>
      <c r="C1187" s="8" t="s">
        <v>46</v>
      </c>
      <c r="D1187" s="18" t="s">
        <v>2554</v>
      </c>
      <c r="E1187" s="16">
        <v>72.0</v>
      </c>
    </row>
    <row r="1188">
      <c r="A1188" s="8" t="s">
        <v>1220</v>
      </c>
      <c r="B1188" s="8" t="s">
        <v>50</v>
      </c>
      <c r="C1188" s="8" t="s">
        <v>24</v>
      </c>
      <c r="D1188" s="18" t="s">
        <v>2584</v>
      </c>
      <c r="E1188" s="16">
        <v>66.0</v>
      </c>
    </row>
    <row r="1189">
      <c r="A1189" s="8" t="s">
        <v>1502</v>
      </c>
      <c r="B1189" s="8" t="s">
        <v>1503</v>
      </c>
      <c r="C1189" s="8" t="s">
        <v>138</v>
      </c>
      <c r="D1189" s="18" t="s">
        <v>2183</v>
      </c>
      <c r="E1189" s="16">
        <v>69.0</v>
      </c>
    </row>
    <row r="1190">
      <c r="A1190" s="8" t="s">
        <v>3326</v>
      </c>
      <c r="B1190" s="8" t="s">
        <v>842</v>
      </c>
      <c r="C1190" s="8" t="s">
        <v>65</v>
      </c>
      <c r="D1190" s="18" t="s">
        <v>2621</v>
      </c>
      <c r="E1190" s="16">
        <v>58.0</v>
      </c>
    </row>
    <row r="1191">
      <c r="A1191" s="8" t="s">
        <v>567</v>
      </c>
      <c r="B1191" s="8" t="s">
        <v>494</v>
      </c>
      <c r="C1191" s="8" t="s">
        <v>24</v>
      </c>
      <c r="D1191" s="18" t="s">
        <v>2620</v>
      </c>
      <c r="E1191" s="16">
        <v>41.0</v>
      </c>
    </row>
    <row r="1192">
      <c r="A1192" s="8" t="s">
        <v>2885</v>
      </c>
      <c r="B1192" s="8" t="s">
        <v>637</v>
      </c>
      <c r="C1192" s="8" t="s">
        <v>24</v>
      </c>
      <c r="D1192" s="18" t="s">
        <v>2620</v>
      </c>
      <c r="E1192" s="16">
        <v>61.0</v>
      </c>
    </row>
    <row r="1193">
      <c r="A1193" s="8" t="s">
        <v>1221</v>
      </c>
      <c r="B1193" s="8" t="s">
        <v>676</v>
      </c>
      <c r="C1193" s="8" t="s">
        <v>24</v>
      </c>
      <c r="D1193" s="18" t="s">
        <v>2610</v>
      </c>
      <c r="E1193" s="16">
        <v>69.0</v>
      </c>
    </row>
    <row r="1194">
      <c r="A1194" s="8" t="s">
        <v>739</v>
      </c>
      <c r="B1194" s="8" t="s">
        <v>320</v>
      </c>
      <c r="C1194" s="8" t="s">
        <v>186</v>
      </c>
      <c r="D1194" s="18" t="s">
        <v>2574</v>
      </c>
      <c r="E1194" s="16">
        <v>98.0</v>
      </c>
    </row>
    <row r="1195">
      <c r="A1195" s="8" t="s">
        <v>2886</v>
      </c>
      <c r="B1195" s="8" t="s">
        <v>23</v>
      </c>
      <c r="C1195" s="8" t="s">
        <v>261</v>
      </c>
      <c r="D1195" s="18" t="s">
        <v>2595</v>
      </c>
      <c r="E1195" s="16">
        <v>80.0</v>
      </c>
    </row>
    <row r="1196">
      <c r="A1196" s="8" t="s">
        <v>1222</v>
      </c>
      <c r="B1196" s="8" t="s">
        <v>500</v>
      </c>
      <c r="C1196" s="8" t="s">
        <v>65</v>
      </c>
      <c r="D1196" s="18" t="s">
        <v>2593</v>
      </c>
      <c r="E1196" s="16">
        <v>74.0</v>
      </c>
    </row>
    <row r="1197">
      <c r="A1197" s="8" t="s">
        <v>570</v>
      </c>
      <c r="B1197" s="8" t="s">
        <v>129</v>
      </c>
      <c r="C1197" s="8" t="s">
        <v>141</v>
      </c>
      <c r="D1197" s="18" t="s">
        <v>2605</v>
      </c>
      <c r="E1197" s="16">
        <v>69.0</v>
      </c>
    </row>
    <row r="1198">
      <c r="A1198" s="8" t="s">
        <v>1223</v>
      </c>
      <c r="B1198" s="8" t="s">
        <v>231</v>
      </c>
      <c r="C1198" s="8" t="s">
        <v>186</v>
      </c>
      <c r="D1198" s="18" t="s">
        <v>2605</v>
      </c>
      <c r="E1198" s="16">
        <v>75.0</v>
      </c>
    </row>
    <row r="1199">
      <c r="A1199" s="8" t="s">
        <v>1224</v>
      </c>
      <c r="B1199" s="8" t="s">
        <v>33</v>
      </c>
      <c r="C1199" s="8" t="s">
        <v>24</v>
      </c>
      <c r="D1199" s="18" t="s">
        <v>2566</v>
      </c>
      <c r="E1199" s="16">
        <v>66.0</v>
      </c>
    </row>
    <row r="1200">
      <c r="A1200" s="8" t="s">
        <v>3327</v>
      </c>
      <c r="B1200" s="8" t="s">
        <v>1347</v>
      </c>
      <c r="C1200" s="8" t="s">
        <v>70</v>
      </c>
      <c r="D1200" s="18" t="s">
        <v>2603</v>
      </c>
      <c r="E1200" s="16">
        <v>82.0</v>
      </c>
    </row>
    <row r="1201">
      <c r="A1201" s="8" t="s">
        <v>25</v>
      </c>
      <c r="B1201" s="18" t="s">
        <v>26</v>
      </c>
      <c r="C1201" s="8" t="s">
        <v>24</v>
      </c>
      <c r="D1201" s="18" t="s">
        <v>2614</v>
      </c>
      <c r="E1201" s="16">
        <v>48.0</v>
      </c>
    </row>
    <row r="1202">
      <c r="A1202" s="8" t="s">
        <v>2887</v>
      </c>
      <c r="B1202" s="8" t="s">
        <v>121</v>
      </c>
      <c r="C1202" s="8" t="s">
        <v>65</v>
      </c>
      <c r="D1202" s="18" t="s">
        <v>2610</v>
      </c>
      <c r="E1202" s="16">
        <v>82.0</v>
      </c>
    </row>
    <row r="1203">
      <c r="A1203" s="8" t="s">
        <v>2888</v>
      </c>
      <c r="B1203" s="8" t="s">
        <v>2889</v>
      </c>
      <c r="C1203" s="8" t="s">
        <v>122</v>
      </c>
      <c r="D1203" s="18" t="s">
        <v>2592</v>
      </c>
      <c r="E1203" s="16">
        <v>64.0</v>
      </c>
    </row>
    <row r="1204">
      <c r="A1204" s="8" t="s">
        <v>740</v>
      </c>
      <c r="B1204" s="8" t="s">
        <v>301</v>
      </c>
      <c r="C1204" s="8" t="s">
        <v>12</v>
      </c>
      <c r="D1204" s="18" t="s">
        <v>2572</v>
      </c>
      <c r="E1204" s="16">
        <v>76.0</v>
      </c>
    </row>
    <row r="1205">
      <c r="A1205" s="8" t="s">
        <v>960</v>
      </c>
      <c r="B1205" s="8" t="s">
        <v>961</v>
      </c>
      <c r="C1205" s="8" t="s">
        <v>46</v>
      </c>
      <c r="D1205" s="18" t="s">
        <v>2562</v>
      </c>
      <c r="E1205" s="16">
        <v>66.0</v>
      </c>
    </row>
    <row r="1206">
      <c r="A1206" s="8" t="s">
        <v>1504</v>
      </c>
      <c r="B1206" s="8" t="s">
        <v>1505</v>
      </c>
      <c r="C1206" s="8" t="s">
        <v>75</v>
      </c>
      <c r="D1206" s="18" t="s">
        <v>2572</v>
      </c>
      <c r="E1206" s="16">
        <v>79.0</v>
      </c>
    </row>
    <row r="1207">
      <c r="A1207" s="8" t="s">
        <v>2890</v>
      </c>
      <c r="B1207" s="8" t="s">
        <v>299</v>
      </c>
      <c r="C1207" s="8" t="s">
        <v>65</v>
      </c>
      <c r="D1207" s="18" t="s">
        <v>2595</v>
      </c>
      <c r="E1207" s="16">
        <v>61.0</v>
      </c>
    </row>
    <row r="1208">
      <c r="A1208" s="8" t="s">
        <v>2891</v>
      </c>
      <c r="B1208" s="8" t="s">
        <v>226</v>
      </c>
      <c r="C1208" s="8" t="s">
        <v>59</v>
      </c>
      <c r="D1208" s="18" t="s">
        <v>2552</v>
      </c>
      <c r="E1208" s="16">
        <v>72.0</v>
      </c>
    </row>
    <row r="1209">
      <c r="A1209" s="8" t="s">
        <v>1225</v>
      </c>
      <c r="B1209" s="8" t="s">
        <v>275</v>
      </c>
      <c r="C1209" s="8" t="s">
        <v>59</v>
      </c>
      <c r="D1209" s="18" t="s">
        <v>2572</v>
      </c>
      <c r="E1209" s="16">
        <v>57.0</v>
      </c>
    </row>
    <row r="1210">
      <c r="A1210" s="8" t="s">
        <v>1226</v>
      </c>
      <c r="B1210" s="8" t="s">
        <v>1227</v>
      </c>
      <c r="C1210" s="8" t="s">
        <v>65</v>
      </c>
      <c r="D1210" s="18" t="s">
        <v>2581</v>
      </c>
      <c r="E1210" s="16">
        <v>88.0</v>
      </c>
    </row>
    <row r="1211">
      <c r="A1211" s="8" t="s">
        <v>552</v>
      </c>
      <c r="B1211" s="8" t="s">
        <v>822</v>
      </c>
      <c r="C1211" s="8" t="s">
        <v>93</v>
      </c>
      <c r="D1211" s="18" t="s">
        <v>2603</v>
      </c>
      <c r="E1211" s="16">
        <v>76.0</v>
      </c>
    </row>
    <row r="1212">
      <c r="A1212" s="8" t="s">
        <v>2892</v>
      </c>
      <c r="B1212" s="18" t="s">
        <v>491</v>
      </c>
      <c r="C1212" s="8" t="s">
        <v>132</v>
      </c>
      <c r="D1212" s="18" t="s">
        <v>2554</v>
      </c>
      <c r="E1212" s="16">
        <v>87.0</v>
      </c>
    </row>
    <row r="1213">
      <c r="A1213" s="8" t="s">
        <v>963</v>
      </c>
      <c r="B1213" s="8" t="s">
        <v>822</v>
      </c>
      <c r="C1213" s="8" t="s">
        <v>70</v>
      </c>
      <c r="D1213" s="18" t="s">
        <v>2605</v>
      </c>
      <c r="E1213" s="16">
        <v>74.0</v>
      </c>
    </row>
    <row r="1214">
      <c r="A1214" s="8" t="s">
        <v>963</v>
      </c>
      <c r="B1214" s="8" t="s">
        <v>961</v>
      </c>
      <c r="C1214" s="8" t="s">
        <v>138</v>
      </c>
      <c r="D1214" s="18" t="s">
        <v>2567</v>
      </c>
      <c r="E1214" s="16">
        <v>74.0</v>
      </c>
    </row>
    <row r="1215">
      <c r="A1215" s="8" t="s">
        <v>1228</v>
      </c>
      <c r="B1215" s="8" t="s">
        <v>1229</v>
      </c>
      <c r="C1215" s="8" t="s">
        <v>186</v>
      </c>
      <c r="D1215" s="18" t="s">
        <v>2600</v>
      </c>
      <c r="E1215" s="16">
        <v>59.0</v>
      </c>
    </row>
    <row r="1216">
      <c r="A1216" s="8" t="s">
        <v>1871</v>
      </c>
      <c r="B1216" s="8" t="s">
        <v>1872</v>
      </c>
      <c r="C1216" s="8" t="s">
        <v>93</v>
      </c>
      <c r="D1216" s="18" t="s">
        <v>2620</v>
      </c>
      <c r="E1216" s="16">
        <v>68.0</v>
      </c>
    </row>
    <row r="1217">
      <c r="A1217" s="8" t="s">
        <v>2893</v>
      </c>
      <c r="B1217" s="8" t="s">
        <v>212</v>
      </c>
      <c r="C1217" s="8" t="s">
        <v>138</v>
      </c>
      <c r="D1217" s="18" t="s">
        <v>2582</v>
      </c>
      <c r="E1217" s="16">
        <v>61.0</v>
      </c>
    </row>
    <row r="1218">
      <c r="A1218" s="18" t="s">
        <v>1873</v>
      </c>
      <c r="B1218" s="8" t="s">
        <v>1128</v>
      </c>
      <c r="C1218" s="8" t="s">
        <v>93</v>
      </c>
      <c r="D1218" s="18" t="s">
        <v>2584</v>
      </c>
      <c r="E1218" s="16">
        <v>86.0</v>
      </c>
    </row>
    <row r="1219">
      <c r="A1219" s="8" t="s">
        <v>210</v>
      </c>
      <c r="B1219" s="8" t="s">
        <v>114</v>
      </c>
      <c r="C1219" s="8" t="s">
        <v>75</v>
      </c>
      <c r="D1219" s="18" t="s">
        <v>2581</v>
      </c>
      <c r="E1219" s="16">
        <v>69.0</v>
      </c>
    </row>
    <row r="1220">
      <c r="A1220" s="8" t="s">
        <v>210</v>
      </c>
      <c r="B1220" s="8" t="s">
        <v>676</v>
      </c>
      <c r="C1220" s="8" t="s">
        <v>141</v>
      </c>
      <c r="D1220" s="18" t="s">
        <v>2574</v>
      </c>
      <c r="E1220" s="16">
        <v>67.0</v>
      </c>
    </row>
    <row r="1221">
      <c r="A1221" s="8" t="s">
        <v>2894</v>
      </c>
      <c r="B1221" s="8" t="s">
        <v>197</v>
      </c>
      <c r="C1221" s="8" t="s">
        <v>70</v>
      </c>
      <c r="D1221" s="18" t="s">
        <v>2595</v>
      </c>
      <c r="E1221" s="16">
        <v>63.0</v>
      </c>
    </row>
    <row r="1222">
      <c r="A1222" s="8" t="s">
        <v>2895</v>
      </c>
      <c r="B1222" s="8" t="s">
        <v>800</v>
      </c>
      <c r="C1222" s="8" t="s">
        <v>138</v>
      </c>
      <c r="D1222" s="18" t="s">
        <v>2556</v>
      </c>
      <c r="E1222" s="16">
        <v>60.0</v>
      </c>
    </row>
    <row r="1223">
      <c r="A1223" s="8" t="s">
        <v>1231</v>
      </c>
      <c r="B1223" s="8" t="s">
        <v>362</v>
      </c>
      <c r="C1223" s="8" t="s">
        <v>65</v>
      </c>
      <c r="D1223" s="18" t="s">
        <v>2620</v>
      </c>
      <c r="E1223" s="16">
        <v>68.0</v>
      </c>
    </row>
    <row r="1224">
      <c r="A1224" s="8" t="s">
        <v>2169</v>
      </c>
      <c r="B1224" s="8" t="s">
        <v>2170</v>
      </c>
      <c r="C1224" s="8" t="s">
        <v>93</v>
      </c>
      <c r="D1224" s="18" t="s">
        <v>2595</v>
      </c>
      <c r="E1224" s="16">
        <v>76.0</v>
      </c>
    </row>
    <row r="1225">
      <c r="A1225" s="8" t="s">
        <v>3328</v>
      </c>
      <c r="B1225" s="8" t="s">
        <v>832</v>
      </c>
      <c r="C1225" s="8" t="s">
        <v>75</v>
      </c>
      <c r="D1225" s="18" t="s">
        <v>2582</v>
      </c>
      <c r="E1225" s="16">
        <v>71.0</v>
      </c>
    </row>
    <row r="1226">
      <c r="A1226" s="8" t="s">
        <v>1874</v>
      </c>
      <c r="B1226" s="8" t="s">
        <v>333</v>
      </c>
      <c r="C1226" s="8" t="s">
        <v>65</v>
      </c>
      <c r="D1226" s="18" t="s">
        <v>2603</v>
      </c>
      <c r="E1226" s="16">
        <v>66.0</v>
      </c>
    </row>
    <row r="1227">
      <c r="A1227" s="8" t="s">
        <v>524</v>
      </c>
      <c r="B1227" s="8" t="s">
        <v>964</v>
      </c>
      <c r="C1227" s="8" t="s">
        <v>215</v>
      </c>
      <c r="D1227" s="18" t="s">
        <v>2614</v>
      </c>
      <c r="E1227" s="16">
        <v>79.0</v>
      </c>
    </row>
    <row r="1228">
      <c r="A1228" s="8" t="s">
        <v>3329</v>
      </c>
      <c r="B1228" s="8" t="s">
        <v>3330</v>
      </c>
      <c r="C1228" s="8" t="s">
        <v>122</v>
      </c>
      <c r="D1228" s="18" t="s">
        <v>2615</v>
      </c>
      <c r="E1228" s="16">
        <v>70.0</v>
      </c>
    </row>
    <row r="1229">
      <c r="A1229" s="8" t="s">
        <v>741</v>
      </c>
      <c r="B1229" s="8" t="s">
        <v>881</v>
      </c>
      <c r="C1229" s="8" t="s">
        <v>53</v>
      </c>
      <c r="D1229" s="18" t="s">
        <v>2610</v>
      </c>
      <c r="E1229" s="16">
        <v>66.0</v>
      </c>
    </row>
    <row r="1230">
      <c r="A1230" s="8" t="s">
        <v>741</v>
      </c>
      <c r="B1230" s="8" t="s">
        <v>742</v>
      </c>
      <c r="C1230" s="8" t="s">
        <v>93</v>
      </c>
      <c r="D1230" s="18" t="s">
        <v>2554</v>
      </c>
      <c r="E1230" s="16">
        <v>80.0</v>
      </c>
    </row>
    <row r="1231">
      <c r="A1231" s="8" t="s">
        <v>741</v>
      </c>
      <c r="B1231" s="8" t="s">
        <v>1241</v>
      </c>
      <c r="C1231" s="8" t="s">
        <v>138</v>
      </c>
      <c r="D1231" s="18" t="s">
        <v>2587</v>
      </c>
      <c r="E1231" s="16">
        <v>76.0</v>
      </c>
    </row>
    <row r="1232">
      <c r="A1232" s="8" t="s">
        <v>393</v>
      </c>
      <c r="B1232" s="8" t="s">
        <v>1091</v>
      </c>
      <c r="C1232" s="8" t="s">
        <v>132</v>
      </c>
      <c r="D1232" s="18" t="s">
        <v>2620</v>
      </c>
      <c r="E1232" s="16">
        <v>83.0</v>
      </c>
    </row>
    <row r="1233">
      <c r="A1233" s="8" t="s">
        <v>1508</v>
      </c>
      <c r="B1233" s="18" t="s">
        <v>1509</v>
      </c>
      <c r="C1233" s="8" t="s">
        <v>93</v>
      </c>
      <c r="D1233" s="18" t="s">
        <v>2605</v>
      </c>
      <c r="E1233" s="16">
        <v>71.0</v>
      </c>
    </row>
    <row r="1234">
      <c r="A1234" s="8" t="s">
        <v>2896</v>
      </c>
      <c r="B1234" s="8" t="s">
        <v>1295</v>
      </c>
      <c r="C1234" s="8" t="s">
        <v>38</v>
      </c>
      <c r="D1234" s="18" t="s">
        <v>2562</v>
      </c>
      <c r="E1234" s="16">
        <v>80.0</v>
      </c>
    </row>
    <row r="1235">
      <c r="A1235" s="8" t="s">
        <v>1510</v>
      </c>
      <c r="B1235" s="8" t="s">
        <v>798</v>
      </c>
      <c r="C1235" s="8" t="s">
        <v>122</v>
      </c>
      <c r="D1235" s="18" t="s">
        <v>2554</v>
      </c>
      <c r="E1235" s="16">
        <v>63.0</v>
      </c>
    </row>
    <row r="1236">
      <c r="A1236" s="8" t="s">
        <v>42</v>
      </c>
      <c r="B1236" s="8" t="s">
        <v>43</v>
      </c>
      <c r="C1236" s="8" t="s">
        <v>38</v>
      </c>
      <c r="D1236" s="18" t="s">
        <v>2574</v>
      </c>
      <c r="E1236" s="16">
        <v>79.0</v>
      </c>
    </row>
    <row r="1237">
      <c r="A1237" s="8" t="s">
        <v>42</v>
      </c>
      <c r="B1237" s="8" t="s">
        <v>1876</v>
      </c>
      <c r="C1237" s="8" t="s">
        <v>186</v>
      </c>
      <c r="D1237" s="18" t="s">
        <v>2560</v>
      </c>
      <c r="E1237" s="16">
        <v>72.0</v>
      </c>
    </row>
    <row r="1238">
      <c r="A1238" s="8" t="s">
        <v>42</v>
      </c>
      <c r="B1238" s="8" t="s">
        <v>1528</v>
      </c>
      <c r="C1238" s="8" t="s">
        <v>59</v>
      </c>
      <c r="D1238" s="18" t="s">
        <v>2552</v>
      </c>
      <c r="E1238" s="16">
        <v>65.0</v>
      </c>
    </row>
    <row r="1239">
      <c r="A1239" s="8" t="s">
        <v>42</v>
      </c>
      <c r="B1239" s="8" t="s">
        <v>2286</v>
      </c>
      <c r="C1239" s="8" t="s">
        <v>24</v>
      </c>
      <c r="D1239" s="18" t="s">
        <v>2554</v>
      </c>
      <c r="E1239" s="16">
        <v>72.0</v>
      </c>
    </row>
    <row r="1240">
      <c r="A1240" s="8" t="s">
        <v>42</v>
      </c>
      <c r="B1240" s="8" t="s">
        <v>965</v>
      </c>
      <c r="C1240" s="8" t="s">
        <v>65</v>
      </c>
      <c r="D1240" s="18" t="s">
        <v>2584</v>
      </c>
      <c r="E1240" s="16">
        <v>80.0</v>
      </c>
    </row>
    <row r="1241">
      <c r="A1241" s="8" t="s">
        <v>42</v>
      </c>
      <c r="B1241" s="8" t="s">
        <v>2172</v>
      </c>
      <c r="C1241" s="8" t="s">
        <v>186</v>
      </c>
      <c r="D1241" s="18" t="s">
        <v>2556</v>
      </c>
      <c r="E1241" s="16">
        <v>63.0</v>
      </c>
    </row>
    <row r="1242">
      <c r="A1242" s="8" t="s">
        <v>42</v>
      </c>
      <c r="B1242" s="8" t="s">
        <v>162</v>
      </c>
      <c r="C1242" s="8" t="s">
        <v>59</v>
      </c>
      <c r="D1242" s="18" t="s">
        <v>2614</v>
      </c>
      <c r="E1242" s="16">
        <v>91.0</v>
      </c>
    </row>
    <row r="1243">
      <c r="A1243" s="8" t="s">
        <v>3331</v>
      </c>
      <c r="B1243" s="8" t="s">
        <v>337</v>
      </c>
      <c r="C1243" s="8" t="s">
        <v>149</v>
      </c>
      <c r="D1243" s="18" t="s">
        <v>2558</v>
      </c>
      <c r="E1243" s="16">
        <v>63.0</v>
      </c>
    </row>
    <row r="1244">
      <c r="A1244" s="8" t="s">
        <v>1877</v>
      </c>
      <c r="B1244" s="8" t="s">
        <v>263</v>
      </c>
      <c r="C1244" s="8" t="s">
        <v>24</v>
      </c>
      <c r="D1244" s="18" t="s">
        <v>2560</v>
      </c>
      <c r="E1244" s="16">
        <v>72.0</v>
      </c>
    </row>
    <row r="1245">
      <c r="A1245" s="8" t="s">
        <v>3332</v>
      </c>
      <c r="B1245" s="8" t="s">
        <v>1209</v>
      </c>
      <c r="C1245" s="8" t="s">
        <v>141</v>
      </c>
      <c r="D1245" s="18" t="s">
        <v>2621</v>
      </c>
      <c r="E1245" s="16">
        <v>70.0</v>
      </c>
    </row>
    <row r="1246">
      <c r="A1246" s="8" t="s">
        <v>3333</v>
      </c>
      <c r="B1246" s="8" t="s">
        <v>304</v>
      </c>
      <c r="C1246" s="8" t="s">
        <v>53</v>
      </c>
      <c r="D1246" s="18" t="s">
        <v>2560</v>
      </c>
      <c r="E1246" s="16">
        <v>65.0</v>
      </c>
    </row>
    <row r="1247">
      <c r="A1247" s="8" t="s">
        <v>2897</v>
      </c>
      <c r="B1247" s="8" t="s">
        <v>33</v>
      </c>
      <c r="C1247" s="8" t="s">
        <v>24</v>
      </c>
      <c r="D1247" s="18" t="s">
        <v>2600</v>
      </c>
      <c r="E1247" s="16">
        <v>69.0</v>
      </c>
    </row>
    <row r="1248">
      <c r="A1248" s="8" t="s">
        <v>2898</v>
      </c>
      <c r="B1248" s="8" t="s">
        <v>357</v>
      </c>
      <c r="C1248" s="8" t="s">
        <v>46</v>
      </c>
      <c r="D1248" s="18" t="s">
        <v>2605</v>
      </c>
      <c r="E1248" s="16">
        <v>73.0</v>
      </c>
    </row>
    <row r="1249">
      <c r="A1249" s="8" t="s">
        <v>3334</v>
      </c>
      <c r="B1249" s="8" t="s">
        <v>301</v>
      </c>
      <c r="C1249" s="8" t="s">
        <v>75</v>
      </c>
      <c r="D1249" s="18" t="s">
        <v>2595</v>
      </c>
      <c r="E1249" s="16">
        <v>69.0</v>
      </c>
    </row>
    <row r="1250">
      <c r="A1250" s="8" t="s">
        <v>1511</v>
      </c>
      <c r="B1250" s="8" t="s">
        <v>304</v>
      </c>
      <c r="C1250" s="8" t="s">
        <v>132</v>
      </c>
      <c r="D1250" s="18" t="s">
        <v>2621</v>
      </c>
      <c r="E1250" s="16">
        <v>67.0</v>
      </c>
    </row>
    <row r="1251">
      <c r="A1251" s="8" t="s">
        <v>2900</v>
      </c>
      <c r="B1251" s="8" t="s">
        <v>212</v>
      </c>
      <c r="C1251" s="8" t="s">
        <v>192</v>
      </c>
      <c r="D1251" s="18" t="s">
        <v>2575</v>
      </c>
      <c r="E1251" s="16">
        <v>70.0</v>
      </c>
    </row>
    <row r="1252">
      <c r="A1252" s="8" t="s">
        <v>2901</v>
      </c>
      <c r="B1252" s="8" t="s">
        <v>43</v>
      </c>
      <c r="C1252" s="8" t="s">
        <v>75</v>
      </c>
      <c r="D1252" s="18" t="s">
        <v>2598</v>
      </c>
      <c r="E1252" s="16">
        <v>84.0</v>
      </c>
    </row>
    <row r="1253">
      <c r="A1253" s="8" t="s">
        <v>743</v>
      </c>
      <c r="B1253" s="8" t="s">
        <v>441</v>
      </c>
      <c r="C1253" s="8" t="s">
        <v>46</v>
      </c>
      <c r="D1253" s="18" t="s">
        <v>2621</v>
      </c>
      <c r="E1253" s="16">
        <v>88.0</v>
      </c>
    </row>
    <row r="1254">
      <c r="A1254" s="8" t="s">
        <v>94</v>
      </c>
      <c r="B1254" s="8" t="s">
        <v>100</v>
      </c>
      <c r="C1254" s="8" t="s">
        <v>75</v>
      </c>
      <c r="D1254" s="18" t="s">
        <v>2575</v>
      </c>
      <c r="E1254" s="16">
        <v>70.0</v>
      </c>
    </row>
    <row r="1255">
      <c r="A1255" s="8" t="s">
        <v>94</v>
      </c>
      <c r="B1255" s="8" t="s">
        <v>3335</v>
      </c>
      <c r="C1255" s="8" t="s">
        <v>65</v>
      </c>
      <c r="D1255" s="18" t="s">
        <v>2587</v>
      </c>
      <c r="E1255" s="16">
        <v>65.0</v>
      </c>
    </row>
    <row r="1256">
      <c r="A1256" s="8" t="s">
        <v>94</v>
      </c>
      <c r="B1256" s="8" t="s">
        <v>744</v>
      </c>
      <c r="C1256" s="8" t="s">
        <v>70</v>
      </c>
      <c r="D1256" s="18" t="s">
        <v>2600</v>
      </c>
      <c r="E1256" s="16">
        <v>82.0</v>
      </c>
    </row>
    <row r="1257">
      <c r="A1257" s="8" t="s">
        <v>94</v>
      </c>
      <c r="B1257" s="8" t="s">
        <v>1880</v>
      </c>
      <c r="C1257" s="8" t="s">
        <v>93</v>
      </c>
      <c r="D1257" s="18" t="s">
        <v>2614</v>
      </c>
      <c r="E1257" s="16">
        <v>75.0</v>
      </c>
    </row>
    <row r="1258">
      <c r="A1258" s="8" t="s">
        <v>94</v>
      </c>
      <c r="B1258" s="8" t="s">
        <v>1512</v>
      </c>
      <c r="C1258" s="8" t="s">
        <v>53</v>
      </c>
      <c r="D1258" s="18" t="s">
        <v>2556</v>
      </c>
      <c r="E1258" s="16">
        <v>62.0</v>
      </c>
    </row>
    <row r="1259">
      <c r="A1259" s="8" t="s">
        <v>94</v>
      </c>
      <c r="B1259" s="8" t="s">
        <v>95</v>
      </c>
      <c r="C1259" s="8" t="s">
        <v>24</v>
      </c>
      <c r="D1259" s="18" t="s">
        <v>2584</v>
      </c>
      <c r="E1259" s="16">
        <v>77.0</v>
      </c>
    </row>
    <row r="1260">
      <c r="A1260" s="8" t="s">
        <v>94</v>
      </c>
      <c r="B1260" s="8" t="s">
        <v>3336</v>
      </c>
      <c r="C1260" s="8" t="s">
        <v>215</v>
      </c>
      <c r="D1260" s="18" t="s">
        <v>2587</v>
      </c>
      <c r="E1260" s="16">
        <v>61.0</v>
      </c>
    </row>
    <row r="1261">
      <c r="A1261" s="8" t="s">
        <v>94</v>
      </c>
      <c r="B1261" s="8" t="s">
        <v>194</v>
      </c>
      <c r="C1261" s="8" t="s">
        <v>141</v>
      </c>
      <c r="D1261" s="18" t="s">
        <v>2587</v>
      </c>
      <c r="E1261" s="16">
        <v>70.0</v>
      </c>
    </row>
    <row r="1262">
      <c r="A1262" s="8" t="s">
        <v>94</v>
      </c>
      <c r="B1262" s="8" t="s">
        <v>1233</v>
      </c>
      <c r="C1262" s="8" t="s">
        <v>65</v>
      </c>
      <c r="D1262" s="18" t="s">
        <v>2595</v>
      </c>
      <c r="E1262" s="16">
        <v>62.0</v>
      </c>
    </row>
    <row r="1263">
      <c r="A1263" s="8" t="s">
        <v>2902</v>
      </c>
      <c r="B1263" s="8" t="s">
        <v>2903</v>
      </c>
      <c r="C1263" s="8" t="s">
        <v>65</v>
      </c>
      <c r="D1263" s="18" t="s">
        <v>2566</v>
      </c>
      <c r="E1263" s="16">
        <v>67.0</v>
      </c>
    </row>
    <row r="1264">
      <c r="A1264" s="8" t="s">
        <v>3337</v>
      </c>
      <c r="B1264" s="8" t="s">
        <v>275</v>
      </c>
      <c r="C1264" s="8" t="s">
        <v>93</v>
      </c>
      <c r="D1264" s="18" t="s">
        <v>2620</v>
      </c>
      <c r="E1264" s="16">
        <v>68.0</v>
      </c>
    </row>
    <row r="1265">
      <c r="A1265" s="8" t="s">
        <v>571</v>
      </c>
      <c r="B1265" s="8" t="s">
        <v>572</v>
      </c>
      <c r="C1265" s="8" t="s">
        <v>138</v>
      </c>
      <c r="D1265" s="18" t="s">
        <v>2605</v>
      </c>
      <c r="E1265" s="16">
        <v>61.0</v>
      </c>
    </row>
    <row r="1266">
      <c r="A1266" s="8" t="s">
        <v>967</v>
      </c>
      <c r="B1266" s="8" t="s">
        <v>183</v>
      </c>
      <c r="C1266" s="8" t="s">
        <v>75</v>
      </c>
      <c r="D1266" s="18" t="s">
        <v>2592</v>
      </c>
      <c r="E1266" s="16">
        <v>65.0</v>
      </c>
    </row>
    <row r="1267">
      <c r="A1267" s="8" t="s">
        <v>968</v>
      </c>
      <c r="B1267" s="8" t="s">
        <v>121</v>
      </c>
      <c r="C1267" s="8" t="s">
        <v>141</v>
      </c>
      <c r="D1267" s="18" t="s">
        <v>2584</v>
      </c>
      <c r="E1267" s="16">
        <v>85.0</v>
      </c>
    </row>
    <row r="1268">
      <c r="A1268" s="8" t="s">
        <v>745</v>
      </c>
      <c r="B1268" s="8" t="s">
        <v>304</v>
      </c>
      <c r="C1268" s="8" t="s">
        <v>141</v>
      </c>
      <c r="D1268" s="18" t="s">
        <v>2558</v>
      </c>
      <c r="E1268" s="16">
        <v>82.0</v>
      </c>
    </row>
    <row r="1269">
      <c r="A1269" s="8" t="s">
        <v>969</v>
      </c>
      <c r="B1269" s="8" t="s">
        <v>140</v>
      </c>
      <c r="C1269" s="8" t="s">
        <v>93</v>
      </c>
      <c r="D1269" s="18" t="s">
        <v>2581</v>
      </c>
      <c r="E1269" s="16">
        <v>76.0</v>
      </c>
    </row>
    <row r="1270">
      <c r="A1270" s="8" t="s">
        <v>1514</v>
      </c>
      <c r="B1270" s="8" t="s">
        <v>1515</v>
      </c>
      <c r="C1270" s="8" t="s">
        <v>59</v>
      </c>
      <c r="D1270" s="18" t="s">
        <v>2593</v>
      </c>
      <c r="E1270" s="16">
        <v>62.0</v>
      </c>
    </row>
    <row r="1271">
      <c r="A1271" s="8" t="s">
        <v>2906</v>
      </c>
      <c r="B1271" s="8" t="s">
        <v>304</v>
      </c>
      <c r="C1271" s="8" t="s">
        <v>122</v>
      </c>
      <c r="D1271" s="18" t="s">
        <v>2572</v>
      </c>
      <c r="E1271" s="16">
        <v>80.0</v>
      </c>
    </row>
    <row r="1272">
      <c r="A1272" s="8" t="s">
        <v>2907</v>
      </c>
      <c r="B1272" s="8" t="s">
        <v>712</v>
      </c>
      <c r="C1272" s="8" t="s">
        <v>38</v>
      </c>
      <c r="D1272" s="18" t="s">
        <v>2567</v>
      </c>
      <c r="E1272" s="16">
        <v>75.0</v>
      </c>
    </row>
    <row r="1273">
      <c r="A1273" s="8" t="s">
        <v>1234</v>
      </c>
      <c r="B1273" s="8" t="s">
        <v>676</v>
      </c>
      <c r="C1273" s="8" t="s">
        <v>65</v>
      </c>
      <c r="D1273" s="18" t="s">
        <v>2603</v>
      </c>
      <c r="E1273" s="16">
        <v>80.0</v>
      </c>
    </row>
    <row r="1274">
      <c r="A1274" s="8" t="s">
        <v>222</v>
      </c>
      <c r="B1274" s="8" t="s">
        <v>686</v>
      </c>
      <c r="C1274" s="8" t="s">
        <v>122</v>
      </c>
      <c r="D1274" s="18" t="s">
        <v>2183</v>
      </c>
      <c r="E1274" s="16">
        <v>78.0</v>
      </c>
    </row>
    <row r="1275">
      <c r="A1275" s="8" t="s">
        <v>222</v>
      </c>
      <c r="B1275" s="18" t="s">
        <v>491</v>
      </c>
      <c r="C1275" s="8" t="s">
        <v>70</v>
      </c>
      <c r="D1275" s="18" t="s">
        <v>2589</v>
      </c>
      <c r="E1275" s="16">
        <v>69.0</v>
      </c>
    </row>
    <row r="1276">
      <c r="A1276" s="8" t="s">
        <v>395</v>
      </c>
      <c r="B1276" s="8" t="s">
        <v>275</v>
      </c>
      <c r="C1276" s="8" t="s">
        <v>138</v>
      </c>
      <c r="D1276" s="18" t="s">
        <v>2564</v>
      </c>
      <c r="E1276" s="16">
        <v>80.0</v>
      </c>
    </row>
    <row r="1277">
      <c r="A1277" s="8" t="s">
        <v>395</v>
      </c>
      <c r="B1277" s="8" t="s">
        <v>214</v>
      </c>
      <c r="C1277" s="8" t="s">
        <v>132</v>
      </c>
      <c r="D1277" s="18" t="s">
        <v>2605</v>
      </c>
      <c r="E1277" s="16">
        <v>80.0</v>
      </c>
    </row>
    <row r="1278">
      <c r="A1278" s="8" t="s">
        <v>395</v>
      </c>
      <c r="B1278" s="8" t="s">
        <v>746</v>
      </c>
      <c r="C1278" s="8" t="s">
        <v>141</v>
      </c>
      <c r="D1278" s="18" t="s">
        <v>2582</v>
      </c>
      <c r="E1278" s="16">
        <v>78.0</v>
      </c>
    </row>
    <row r="1279">
      <c r="A1279" s="8" t="s">
        <v>1884</v>
      </c>
      <c r="B1279" s="8" t="s">
        <v>167</v>
      </c>
      <c r="C1279" s="8" t="s">
        <v>59</v>
      </c>
      <c r="D1279" s="18" t="s">
        <v>2554</v>
      </c>
      <c r="E1279" s="16">
        <v>62.0</v>
      </c>
    </row>
    <row r="1280">
      <c r="A1280" s="8" t="s">
        <v>2908</v>
      </c>
      <c r="B1280" s="8" t="s">
        <v>33</v>
      </c>
      <c r="C1280" s="8" t="s">
        <v>138</v>
      </c>
      <c r="D1280" s="18" t="s">
        <v>2593</v>
      </c>
      <c r="E1280" s="16">
        <v>63.0</v>
      </c>
    </row>
    <row r="1281">
      <c r="A1281" s="8" t="s">
        <v>574</v>
      </c>
      <c r="B1281" s="8" t="s">
        <v>102</v>
      </c>
      <c r="C1281" s="8" t="s">
        <v>141</v>
      </c>
      <c r="D1281" s="18" t="s">
        <v>2614</v>
      </c>
      <c r="E1281" s="16">
        <v>66.0</v>
      </c>
    </row>
    <row r="1282">
      <c r="A1282" s="8" t="s">
        <v>575</v>
      </c>
      <c r="B1282" s="8" t="s">
        <v>23</v>
      </c>
      <c r="C1282" s="8" t="s">
        <v>59</v>
      </c>
      <c r="D1282" s="18" t="s">
        <v>2614</v>
      </c>
      <c r="E1282" s="16">
        <v>65.0</v>
      </c>
    </row>
    <row r="1283">
      <c r="A1283" s="8" t="s">
        <v>575</v>
      </c>
      <c r="B1283" s="8" t="s">
        <v>576</v>
      </c>
      <c r="C1283" s="8" t="s">
        <v>122</v>
      </c>
      <c r="D1283" s="18" t="s">
        <v>2574</v>
      </c>
      <c r="E1283" s="16">
        <v>75.0</v>
      </c>
    </row>
    <row r="1284">
      <c r="A1284" s="8" t="s">
        <v>1516</v>
      </c>
      <c r="B1284" s="8" t="s">
        <v>761</v>
      </c>
      <c r="C1284" s="8" t="s">
        <v>186</v>
      </c>
      <c r="D1284" s="18" t="s">
        <v>2575</v>
      </c>
      <c r="E1284" s="16">
        <v>54.0</v>
      </c>
    </row>
    <row r="1285">
      <c r="A1285" s="8" t="s">
        <v>1516</v>
      </c>
      <c r="B1285" s="8" t="s">
        <v>840</v>
      </c>
      <c r="C1285" s="8" t="s">
        <v>65</v>
      </c>
      <c r="D1285" s="18" t="s">
        <v>2615</v>
      </c>
      <c r="E1285" s="16">
        <v>66.0</v>
      </c>
    </row>
    <row r="1286">
      <c r="A1286" s="8" t="s">
        <v>1236</v>
      </c>
      <c r="B1286" s="8" t="s">
        <v>612</v>
      </c>
      <c r="C1286" s="8" t="s">
        <v>24</v>
      </c>
      <c r="D1286" s="18" t="s">
        <v>2564</v>
      </c>
      <c r="E1286" s="16">
        <v>42.0</v>
      </c>
    </row>
    <row r="1287">
      <c r="A1287" s="8" t="s">
        <v>213</v>
      </c>
      <c r="B1287" s="8" t="s">
        <v>214</v>
      </c>
      <c r="C1287" s="8" t="s">
        <v>122</v>
      </c>
      <c r="D1287" s="18" t="s">
        <v>2574</v>
      </c>
      <c r="E1287" s="16">
        <v>72.0</v>
      </c>
    </row>
    <row r="1288">
      <c r="A1288" s="8" t="s">
        <v>3338</v>
      </c>
      <c r="B1288" s="8" t="s">
        <v>3339</v>
      </c>
      <c r="C1288" s="8" t="s">
        <v>80</v>
      </c>
      <c r="D1288" s="18" t="s">
        <v>2572</v>
      </c>
      <c r="E1288" s="16">
        <v>81.0</v>
      </c>
    </row>
    <row r="1289">
      <c r="A1289" s="8" t="s">
        <v>1517</v>
      </c>
      <c r="B1289" s="8" t="s">
        <v>974</v>
      </c>
      <c r="C1289" s="8" t="s">
        <v>138</v>
      </c>
      <c r="D1289" s="18" t="s">
        <v>2558</v>
      </c>
      <c r="E1289" s="16">
        <v>67.0</v>
      </c>
    </row>
    <row r="1290">
      <c r="A1290" s="8" t="s">
        <v>1520</v>
      </c>
      <c r="B1290" s="8" t="s">
        <v>1521</v>
      </c>
      <c r="C1290" s="8" t="s">
        <v>192</v>
      </c>
      <c r="D1290" s="18" t="s">
        <v>2556</v>
      </c>
      <c r="E1290" s="16">
        <v>63.0</v>
      </c>
    </row>
    <row r="1291">
      <c r="A1291" s="8" t="s">
        <v>747</v>
      </c>
      <c r="B1291" s="8" t="s">
        <v>748</v>
      </c>
      <c r="C1291" s="8" t="s">
        <v>149</v>
      </c>
      <c r="D1291" s="18" t="s">
        <v>2554</v>
      </c>
      <c r="E1291" s="16">
        <v>69.0</v>
      </c>
    </row>
    <row r="1292">
      <c r="A1292" s="8" t="s">
        <v>747</v>
      </c>
      <c r="B1292" s="8" t="s">
        <v>263</v>
      </c>
      <c r="C1292" s="8" t="s">
        <v>93</v>
      </c>
      <c r="D1292" s="18" t="s">
        <v>2581</v>
      </c>
      <c r="E1292" s="16">
        <v>63.0</v>
      </c>
    </row>
    <row r="1293">
      <c r="A1293" s="8" t="s">
        <v>3340</v>
      </c>
      <c r="B1293" s="8" t="s">
        <v>217</v>
      </c>
      <c r="C1293" s="8" t="s">
        <v>65</v>
      </c>
      <c r="D1293" s="18" t="s">
        <v>2600</v>
      </c>
      <c r="E1293" s="16">
        <v>63.0</v>
      </c>
    </row>
    <row r="1294">
      <c r="A1294" s="8" t="s">
        <v>577</v>
      </c>
      <c r="B1294" s="8" t="s">
        <v>55</v>
      </c>
      <c r="C1294" s="8" t="s">
        <v>16</v>
      </c>
      <c r="D1294" s="18" t="s">
        <v>2567</v>
      </c>
      <c r="E1294" s="16">
        <v>90.0</v>
      </c>
    </row>
    <row r="1295">
      <c r="A1295" s="8" t="s">
        <v>3341</v>
      </c>
      <c r="B1295" s="8" t="s">
        <v>542</v>
      </c>
      <c r="C1295" s="8" t="s">
        <v>16</v>
      </c>
      <c r="D1295" s="18" t="s">
        <v>2552</v>
      </c>
      <c r="E1295" s="16">
        <v>54.0</v>
      </c>
    </row>
    <row r="1296">
      <c r="A1296" s="8" t="s">
        <v>1518</v>
      </c>
      <c r="B1296" s="8" t="s">
        <v>1519</v>
      </c>
      <c r="C1296" s="8" t="s">
        <v>12</v>
      </c>
      <c r="D1296" s="18" t="s">
        <v>2595</v>
      </c>
      <c r="E1296" s="16">
        <v>79.0</v>
      </c>
    </row>
    <row r="1297">
      <c r="A1297" s="8" t="s">
        <v>1237</v>
      </c>
      <c r="B1297" s="8" t="s">
        <v>98</v>
      </c>
      <c r="C1297" s="8" t="s">
        <v>215</v>
      </c>
      <c r="D1297" s="18" t="s">
        <v>2585</v>
      </c>
      <c r="E1297" s="16">
        <v>76.0</v>
      </c>
    </row>
    <row r="1298">
      <c r="A1298" s="8" t="s">
        <v>1237</v>
      </c>
      <c r="B1298" s="8" t="s">
        <v>52</v>
      </c>
      <c r="C1298" s="8" t="s">
        <v>53</v>
      </c>
      <c r="D1298" s="18" t="s">
        <v>2592</v>
      </c>
      <c r="E1298" s="16">
        <v>62.0</v>
      </c>
    </row>
    <row r="1299">
      <c r="A1299" s="8" t="s">
        <v>1237</v>
      </c>
      <c r="B1299" s="8" t="s">
        <v>2910</v>
      </c>
      <c r="C1299" s="8" t="s">
        <v>70</v>
      </c>
      <c r="D1299" s="18" t="s">
        <v>2556</v>
      </c>
      <c r="E1299" s="16">
        <v>85.0</v>
      </c>
    </row>
    <row r="1300">
      <c r="A1300" s="8" t="s">
        <v>1237</v>
      </c>
      <c r="B1300" s="8" t="s">
        <v>1522</v>
      </c>
      <c r="C1300" s="8" t="s">
        <v>16</v>
      </c>
      <c r="D1300" s="18" t="s">
        <v>2620</v>
      </c>
      <c r="E1300" s="16">
        <v>72.0</v>
      </c>
    </row>
    <row r="1301">
      <c r="A1301" s="8" t="s">
        <v>163</v>
      </c>
      <c r="B1301" s="8" t="s">
        <v>100</v>
      </c>
      <c r="C1301" s="8" t="s">
        <v>141</v>
      </c>
      <c r="D1301" s="18" t="s">
        <v>2598</v>
      </c>
      <c r="E1301" s="16">
        <v>91.0</v>
      </c>
    </row>
    <row r="1302">
      <c r="A1302" s="8" t="s">
        <v>163</v>
      </c>
      <c r="B1302" s="8" t="s">
        <v>749</v>
      </c>
      <c r="C1302" s="8" t="s">
        <v>53</v>
      </c>
      <c r="D1302" s="18" t="s">
        <v>2556</v>
      </c>
      <c r="E1302" s="16">
        <v>97.0</v>
      </c>
    </row>
    <row r="1303">
      <c r="A1303" s="8" t="s">
        <v>163</v>
      </c>
      <c r="B1303" s="8" t="s">
        <v>2143</v>
      </c>
      <c r="C1303" s="8" t="s">
        <v>70</v>
      </c>
      <c r="D1303" s="18" t="s">
        <v>2567</v>
      </c>
      <c r="E1303" s="16">
        <v>72.0</v>
      </c>
    </row>
    <row r="1304">
      <c r="A1304" s="8" t="s">
        <v>2911</v>
      </c>
      <c r="B1304" s="8" t="s">
        <v>822</v>
      </c>
      <c r="C1304" s="8" t="s">
        <v>65</v>
      </c>
      <c r="D1304" s="18" t="s">
        <v>2575</v>
      </c>
      <c r="E1304" s="16">
        <v>83.0</v>
      </c>
    </row>
    <row r="1305">
      <c r="A1305" s="8" t="s">
        <v>2913</v>
      </c>
      <c r="B1305" s="8" t="s">
        <v>301</v>
      </c>
      <c r="C1305" s="8" t="s">
        <v>65</v>
      </c>
      <c r="D1305" s="18" t="s">
        <v>2598</v>
      </c>
      <c r="E1305" s="16">
        <v>57.0</v>
      </c>
    </row>
    <row r="1306">
      <c r="A1306" s="8" t="s">
        <v>2913</v>
      </c>
      <c r="B1306" s="8" t="s">
        <v>861</v>
      </c>
      <c r="C1306" s="8" t="s">
        <v>70</v>
      </c>
      <c r="D1306" s="18" t="s">
        <v>2615</v>
      </c>
      <c r="E1306" s="16">
        <v>64.0</v>
      </c>
    </row>
    <row r="1307">
      <c r="A1307" s="8" t="s">
        <v>2914</v>
      </c>
      <c r="B1307" s="8" t="s">
        <v>307</v>
      </c>
      <c r="C1307" s="8" t="s">
        <v>93</v>
      </c>
      <c r="D1307" s="18" t="s">
        <v>2572</v>
      </c>
      <c r="E1307" s="16">
        <v>72.0</v>
      </c>
    </row>
    <row r="1308">
      <c r="A1308" s="8" t="s">
        <v>2915</v>
      </c>
      <c r="B1308" s="8" t="s">
        <v>194</v>
      </c>
      <c r="C1308" s="8" t="s">
        <v>16</v>
      </c>
      <c r="D1308" s="18" t="s">
        <v>2183</v>
      </c>
      <c r="E1308" s="16">
        <v>76.0</v>
      </c>
    </row>
    <row r="1309">
      <c r="A1309" s="8" t="s">
        <v>3342</v>
      </c>
      <c r="B1309" s="8" t="s">
        <v>67</v>
      </c>
      <c r="C1309" s="8" t="s">
        <v>24</v>
      </c>
      <c r="D1309" s="18" t="s">
        <v>2575</v>
      </c>
      <c r="E1309" s="16">
        <v>62.0</v>
      </c>
    </row>
    <row r="1310">
      <c r="A1310" s="8" t="s">
        <v>3343</v>
      </c>
      <c r="B1310" s="8" t="s">
        <v>67</v>
      </c>
      <c r="C1310" s="8" t="s">
        <v>16</v>
      </c>
      <c r="D1310" s="18" t="s">
        <v>2575</v>
      </c>
      <c r="E1310" s="16">
        <v>66.0</v>
      </c>
    </row>
    <row r="1311">
      <c r="A1311" s="8" t="s">
        <v>2179</v>
      </c>
      <c r="B1311" s="8" t="s">
        <v>301</v>
      </c>
      <c r="C1311" s="8" t="s">
        <v>65</v>
      </c>
      <c r="D1311" s="18" t="s">
        <v>2610</v>
      </c>
      <c r="E1311" s="16">
        <v>68.0</v>
      </c>
    </row>
    <row r="1312">
      <c r="A1312" s="8" t="s">
        <v>970</v>
      </c>
      <c r="B1312" s="8" t="s">
        <v>124</v>
      </c>
      <c r="C1312" s="8" t="s">
        <v>141</v>
      </c>
      <c r="D1312" s="18" t="s">
        <v>2562</v>
      </c>
      <c r="E1312" s="16">
        <v>78.0</v>
      </c>
    </row>
    <row r="1313">
      <c r="A1313" s="8" t="s">
        <v>971</v>
      </c>
      <c r="B1313" s="8" t="s">
        <v>275</v>
      </c>
      <c r="C1313" s="8" t="s">
        <v>24</v>
      </c>
      <c r="D1313" s="18" t="s">
        <v>2574</v>
      </c>
      <c r="E1313" s="16">
        <v>62.0</v>
      </c>
    </row>
    <row r="1314">
      <c r="A1314" s="8" t="s">
        <v>28</v>
      </c>
      <c r="B1314" s="8" t="s">
        <v>29</v>
      </c>
      <c r="C1314" s="8" t="s">
        <v>16</v>
      </c>
      <c r="D1314" s="18" t="s">
        <v>2566</v>
      </c>
      <c r="E1314" s="16">
        <v>80.0</v>
      </c>
    </row>
    <row r="1315">
      <c r="A1315" s="8" t="s">
        <v>972</v>
      </c>
      <c r="B1315" s="8" t="s">
        <v>162</v>
      </c>
      <c r="C1315" s="8" t="s">
        <v>16</v>
      </c>
      <c r="D1315" s="18" t="s">
        <v>2593</v>
      </c>
      <c r="E1315" s="16">
        <v>61.0</v>
      </c>
    </row>
    <row r="1316">
      <c r="A1316" s="8" t="s">
        <v>2916</v>
      </c>
      <c r="B1316" s="18" t="s">
        <v>920</v>
      </c>
      <c r="C1316" s="8" t="s">
        <v>16</v>
      </c>
      <c r="D1316" s="18" t="s">
        <v>2556</v>
      </c>
      <c r="E1316" s="16">
        <v>70.0</v>
      </c>
    </row>
    <row r="1317">
      <c r="A1317" s="8" t="s">
        <v>2919</v>
      </c>
      <c r="B1317" s="8" t="s">
        <v>275</v>
      </c>
      <c r="C1317" s="8" t="s">
        <v>80</v>
      </c>
      <c r="D1317" s="18" t="s">
        <v>2564</v>
      </c>
      <c r="E1317" s="16">
        <v>70.0</v>
      </c>
    </row>
    <row r="1318">
      <c r="A1318" s="8" t="s">
        <v>1238</v>
      </c>
      <c r="B1318" s="8" t="s">
        <v>381</v>
      </c>
      <c r="C1318" s="8" t="s">
        <v>186</v>
      </c>
      <c r="D1318" s="18" t="s">
        <v>2183</v>
      </c>
      <c r="E1318" s="16">
        <v>72.0</v>
      </c>
    </row>
    <row r="1319">
      <c r="A1319" s="8" t="s">
        <v>1525</v>
      </c>
      <c r="B1319" s="8" t="s">
        <v>247</v>
      </c>
      <c r="C1319" s="8" t="s">
        <v>16</v>
      </c>
      <c r="D1319" s="18" t="s">
        <v>2621</v>
      </c>
      <c r="E1319" s="16">
        <v>80.0</v>
      </c>
    </row>
    <row r="1320">
      <c r="A1320" s="8" t="s">
        <v>973</v>
      </c>
      <c r="B1320" s="8" t="s">
        <v>974</v>
      </c>
      <c r="C1320" s="8" t="s">
        <v>192</v>
      </c>
      <c r="D1320" s="18" t="s">
        <v>2574</v>
      </c>
      <c r="E1320" s="16">
        <v>65.0</v>
      </c>
    </row>
    <row r="1321">
      <c r="A1321" s="8" t="s">
        <v>1239</v>
      </c>
      <c r="B1321" s="8" t="s">
        <v>1240</v>
      </c>
      <c r="C1321" s="8" t="s">
        <v>132</v>
      </c>
      <c r="D1321" s="18" t="s">
        <v>2592</v>
      </c>
      <c r="E1321" s="16">
        <v>85.0</v>
      </c>
    </row>
    <row r="1322">
      <c r="A1322" s="8" t="s">
        <v>2007</v>
      </c>
      <c r="B1322" s="8" t="s">
        <v>436</v>
      </c>
      <c r="C1322" s="8" t="s">
        <v>65</v>
      </c>
      <c r="D1322" s="18" t="s">
        <v>2593</v>
      </c>
      <c r="E1322" s="16">
        <v>64.0</v>
      </c>
    </row>
    <row r="1323">
      <c r="A1323" s="8" t="s">
        <v>975</v>
      </c>
      <c r="B1323" s="8" t="s">
        <v>976</v>
      </c>
      <c r="C1323" s="8" t="s">
        <v>53</v>
      </c>
      <c r="D1323" s="18" t="s">
        <v>2603</v>
      </c>
      <c r="E1323" s="16">
        <v>68.0</v>
      </c>
    </row>
    <row r="1324">
      <c r="A1324" s="8" t="s">
        <v>405</v>
      </c>
      <c r="B1324" s="8" t="s">
        <v>121</v>
      </c>
      <c r="C1324" s="8" t="s">
        <v>186</v>
      </c>
      <c r="D1324" s="18" t="s">
        <v>2620</v>
      </c>
      <c r="E1324" s="16">
        <v>86.0</v>
      </c>
    </row>
    <row r="1325">
      <c r="A1325" s="8" t="s">
        <v>405</v>
      </c>
      <c r="B1325" s="8" t="s">
        <v>121</v>
      </c>
      <c r="C1325" s="8" t="s">
        <v>65</v>
      </c>
      <c r="D1325" s="18" t="s">
        <v>2566</v>
      </c>
      <c r="E1325" s="16">
        <v>85.0</v>
      </c>
    </row>
    <row r="1326">
      <c r="A1326" s="8" t="s">
        <v>405</v>
      </c>
      <c r="B1326" s="8" t="s">
        <v>1210</v>
      </c>
      <c r="C1326" s="8" t="s">
        <v>65</v>
      </c>
      <c r="D1326" s="18" t="s">
        <v>2564</v>
      </c>
      <c r="E1326" s="16">
        <v>54.0</v>
      </c>
    </row>
    <row r="1327">
      <c r="A1327" s="8" t="s">
        <v>405</v>
      </c>
      <c r="B1327" s="8" t="s">
        <v>2197</v>
      </c>
      <c r="C1327" s="8" t="s">
        <v>65</v>
      </c>
      <c r="D1327" s="18" t="s">
        <v>2560</v>
      </c>
      <c r="E1327" s="16">
        <v>69.0</v>
      </c>
    </row>
    <row r="1328">
      <c r="A1328" s="8" t="s">
        <v>405</v>
      </c>
      <c r="B1328" s="8" t="s">
        <v>782</v>
      </c>
      <c r="C1328" s="8" t="s">
        <v>70</v>
      </c>
      <c r="D1328" s="18" t="s">
        <v>2582</v>
      </c>
      <c r="E1328" s="16">
        <v>67.0</v>
      </c>
    </row>
    <row r="1329">
      <c r="A1329" s="8" t="s">
        <v>396</v>
      </c>
      <c r="B1329" s="8" t="s">
        <v>397</v>
      </c>
      <c r="C1329" s="8" t="s">
        <v>70</v>
      </c>
      <c r="D1329" s="18" t="s">
        <v>2592</v>
      </c>
      <c r="E1329" s="16">
        <v>83.0</v>
      </c>
    </row>
    <row r="1330">
      <c r="A1330" s="8" t="s">
        <v>396</v>
      </c>
      <c r="B1330" s="8" t="s">
        <v>724</v>
      </c>
      <c r="C1330" s="8" t="s">
        <v>186</v>
      </c>
      <c r="D1330" s="18" t="s">
        <v>2589</v>
      </c>
      <c r="E1330" s="16">
        <v>58.0</v>
      </c>
    </row>
    <row r="1331">
      <c r="A1331" s="8" t="s">
        <v>396</v>
      </c>
      <c r="B1331" s="8" t="s">
        <v>301</v>
      </c>
      <c r="C1331" s="8" t="s">
        <v>59</v>
      </c>
      <c r="D1331" s="18" t="s">
        <v>2560</v>
      </c>
      <c r="E1331" s="16">
        <v>68.0</v>
      </c>
    </row>
    <row r="1332">
      <c r="A1332" s="8" t="s">
        <v>396</v>
      </c>
      <c r="B1332" s="8" t="s">
        <v>281</v>
      </c>
      <c r="C1332" s="8" t="s">
        <v>53</v>
      </c>
      <c r="D1332" s="18" t="s">
        <v>2589</v>
      </c>
      <c r="E1332" s="16">
        <v>63.0</v>
      </c>
    </row>
    <row r="1333">
      <c r="A1333" s="8" t="s">
        <v>396</v>
      </c>
      <c r="B1333" s="8" t="s">
        <v>3344</v>
      </c>
      <c r="C1333" s="8" t="s">
        <v>65</v>
      </c>
      <c r="D1333" s="18" t="s">
        <v>2554</v>
      </c>
      <c r="E1333" s="16">
        <v>66.0</v>
      </c>
    </row>
    <row r="1334">
      <c r="A1334" s="8" t="s">
        <v>396</v>
      </c>
      <c r="B1334" s="8" t="s">
        <v>247</v>
      </c>
      <c r="C1334" s="8" t="s">
        <v>141</v>
      </c>
      <c r="D1334" s="18" t="s">
        <v>2615</v>
      </c>
      <c r="E1334" s="16">
        <v>68.0</v>
      </c>
    </row>
    <row r="1335">
      <c r="A1335" s="8" t="s">
        <v>396</v>
      </c>
      <c r="B1335" s="8" t="s">
        <v>231</v>
      </c>
      <c r="C1335" s="8" t="s">
        <v>141</v>
      </c>
      <c r="D1335" s="18" t="s">
        <v>2562</v>
      </c>
      <c r="E1335" s="16">
        <v>74.0</v>
      </c>
    </row>
    <row r="1336">
      <c r="A1336" s="8" t="s">
        <v>396</v>
      </c>
      <c r="B1336" s="8" t="s">
        <v>41</v>
      </c>
      <c r="C1336" s="8" t="s">
        <v>38</v>
      </c>
      <c r="D1336" s="18" t="s">
        <v>2554</v>
      </c>
      <c r="E1336" s="16">
        <v>81.0</v>
      </c>
    </row>
    <row r="1337">
      <c r="A1337" s="8" t="s">
        <v>396</v>
      </c>
      <c r="B1337" s="8" t="s">
        <v>750</v>
      </c>
      <c r="C1337" s="8" t="s">
        <v>132</v>
      </c>
      <c r="D1337" s="18" t="s">
        <v>2614</v>
      </c>
      <c r="E1337" s="16">
        <v>95.0</v>
      </c>
    </row>
    <row r="1338">
      <c r="A1338" s="8" t="s">
        <v>2920</v>
      </c>
      <c r="B1338" s="8" t="s">
        <v>1091</v>
      </c>
      <c r="C1338" s="8" t="s">
        <v>80</v>
      </c>
      <c r="D1338" s="18" t="s">
        <v>2560</v>
      </c>
      <c r="E1338" s="16">
        <v>63.0</v>
      </c>
    </row>
    <row r="1339">
      <c r="A1339" s="8" t="s">
        <v>1526</v>
      </c>
      <c r="B1339" s="8" t="s">
        <v>647</v>
      </c>
      <c r="C1339" s="8" t="s">
        <v>186</v>
      </c>
      <c r="D1339" s="18" t="s">
        <v>2558</v>
      </c>
      <c r="E1339" s="16">
        <v>74.0</v>
      </c>
    </row>
    <row r="1340">
      <c r="A1340" s="8" t="s">
        <v>2921</v>
      </c>
      <c r="B1340" s="8" t="s">
        <v>2922</v>
      </c>
      <c r="C1340" s="8" t="s">
        <v>65</v>
      </c>
      <c r="D1340" s="18" t="s">
        <v>2592</v>
      </c>
      <c r="E1340" s="16">
        <v>62.0</v>
      </c>
    </row>
    <row r="1341">
      <c r="A1341" s="8" t="s">
        <v>111</v>
      </c>
      <c r="B1341" s="8" t="s">
        <v>1241</v>
      </c>
      <c r="C1341" s="8" t="s">
        <v>132</v>
      </c>
      <c r="D1341" s="18" t="s">
        <v>2600</v>
      </c>
      <c r="E1341" s="16">
        <v>85.0</v>
      </c>
    </row>
    <row r="1342">
      <c r="A1342" s="8" t="s">
        <v>398</v>
      </c>
      <c r="B1342" s="8" t="s">
        <v>399</v>
      </c>
      <c r="C1342" s="8" t="s">
        <v>149</v>
      </c>
      <c r="D1342" s="18" t="s">
        <v>2605</v>
      </c>
      <c r="E1342" s="16">
        <v>73.0</v>
      </c>
    </row>
    <row r="1343">
      <c r="A1343" s="8" t="s">
        <v>1243</v>
      </c>
      <c r="B1343" s="8" t="s">
        <v>676</v>
      </c>
      <c r="C1343" s="8" t="s">
        <v>186</v>
      </c>
      <c r="D1343" s="18" t="s">
        <v>2577</v>
      </c>
      <c r="E1343" s="16">
        <v>64.0</v>
      </c>
    </row>
    <row r="1344">
      <c r="A1344" s="8" t="s">
        <v>3345</v>
      </c>
      <c r="B1344" s="8" t="s">
        <v>985</v>
      </c>
      <c r="C1344" s="8" t="s">
        <v>65</v>
      </c>
      <c r="D1344" s="18" t="s">
        <v>2581</v>
      </c>
      <c r="E1344" s="16">
        <v>60.0</v>
      </c>
    </row>
    <row r="1345">
      <c r="A1345" s="8" t="s">
        <v>3345</v>
      </c>
      <c r="B1345" s="8" t="s">
        <v>67</v>
      </c>
      <c r="C1345" s="8" t="s">
        <v>70</v>
      </c>
      <c r="D1345" s="18" t="s">
        <v>2564</v>
      </c>
      <c r="E1345" s="16">
        <v>82.0</v>
      </c>
    </row>
    <row r="1346">
      <c r="A1346" s="8" t="s">
        <v>977</v>
      </c>
      <c r="B1346" s="8" t="s">
        <v>978</v>
      </c>
      <c r="C1346" s="8" t="s">
        <v>80</v>
      </c>
      <c r="D1346" s="18" t="s">
        <v>2589</v>
      </c>
      <c r="E1346" s="16">
        <v>87.0</v>
      </c>
    </row>
    <row r="1347">
      <c r="A1347" s="8" t="s">
        <v>3346</v>
      </c>
      <c r="B1347" s="8" t="s">
        <v>3347</v>
      </c>
      <c r="C1347" s="8" t="s">
        <v>132</v>
      </c>
      <c r="D1347" s="18" t="s">
        <v>2621</v>
      </c>
      <c r="E1347" s="16">
        <v>61.0</v>
      </c>
    </row>
    <row r="1348">
      <c r="A1348" s="8" t="s">
        <v>164</v>
      </c>
      <c r="B1348" s="8" t="s">
        <v>275</v>
      </c>
      <c r="C1348" s="8" t="s">
        <v>65</v>
      </c>
      <c r="D1348" s="18" t="s">
        <v>2575</v>
      </c>
      <c r="E1348" s="16">
        <v>68.0</v>
      </c>
    </row>
    <row r="1349">
      <c r="A1349" s="8" t="s">
        <v>164</v>
      </c>
      <c r="B1349" s="8" t="s">
        <v>165</v>
      </c>
      <c r="C1349" s="8" t="s">
        <v>59</v>
      </c>
      <c r="D1349" s="18" t="s">
        <v>2558</v>
      </c>
      <c r="E1349" s="16">
        <v>82.0</v>
      </c>
    </row>
    <row r="1350">
      <c r="A1350" s="8" t="s">
        <v>164</v>
      </c>
      <c r="B1350" s="8" t="s">
        <v>299</v>
      </c>
      <c r="C1350" s="8" t="s">
        <v>46</v>
      </c>
      <c r="D1350" s="18" t="s">
        <v>2598</v>
      </c>
      <c r="E1350" s="16">
        <v>77.0</v>
      </c>
    </row>
    <row r="1351">
      <c r="A1351" s="8" t="s">
        <v>164</v>
      </c>
      <c r="B1351" s="8" t="s">
        <v>263</v>
      </c>
      <c r="C1351" s="8" t="s">
        <v>65</v>
      </c>
      <c r="D1351" s="18" t="s">
        <v>2564</v>
      </c>
      <c r="E1351" s="16">
        <v>81.0</v>
      </c>
    </row>
    <row r="1352">
      <c r="A1352" s="8" t="s">
        <v>164</v>
      </c>
      <c r="B1352" s="8" t="s">
        <v>2923</v>
      </c>
      <c r="C1352" s="8" t="s">
        <v>65</v>
      </c>
      <c r="D1352" s="18" t="s">
        <v>2621</v>
      </c>
      <c r="E1352" s="16">
        <v>82.0</v>
      </c>
    </row>
    <row r="1353">
      <c r="A1353" s="8" t="s">
        <v>3348</v>
      </c>
      <c r="B1353" s="8" t="s">
        <v>301</v>
      </c>
      <c r="C1353" s="8" t="s">
        <v>186</v>
      </c>
      <c r="D1353" s="18" t="s">
        <v>2183</v>
      </c>
      <c r="E1353" s="16">
        <v>73.0</v>
      </c>
    </row>
    <row r="1354">
      <c r="A1354" s="8" t="s">
        <v>2924</v>
      </c>
      <c r="B1354" s="8" t="s">
        <v>900</v>
      </c>
      <c r="C1354" s="8" t="s">
        <v>192</v>
      </c>
      <c r="D1354" s="18" t="s">
        <v>2598</v>
      </c>
      <c r="E1354" s="16">
        <v>60.0</v>
      </c>
    </row>
    <row r="1355">
      <c r="A1355" s="8" t="s">
        <v>2925</v>
      </c>
      <c r="B1355" s="8" t="s">
        <v>58</v>
      </c>
      <c r="C1355" s="8" t="s">
        <v>59</v>
      </c>
      <c r="D1355" s="18" t="s">
        <v>2560</v>
      </c>
      <c r="E1355" s="16">
        <v>72.0</v>
      </c>
    </row>
    <row r="1356">
      <c r="A1356" s="8" t="s">
        <v>1244</v>
      </c>
      <c r="B1356" s="8" t="s">
        <v>1245</v>
      </c>
      <c r="C1356" s="8" t="s">
        <v>93</v>
      </c>
      <c r="D1356" s="18" t="s">
        <v>2595</v>
      </c>
      <c r="E1356" s="16">
        <v>61.0</v>
      </c>
    </row>
    <row r="1357">
      <c r="A1357" s="8" t="s">
        <v>751</v>
      </c>
      <c r="B1357" s="8" t="s">
        <v>301</v>
      </c>
      <c r="C1357" s="8" t="s">
        <v>215</v>
      </c>
      <c r="D1357" s="18" t="s">
        <v>2589</v>
      </c>
      <c r="E1357" s="16">
        <v>66.0</v>
      </c>
    </row>
    <row r="1358">
      <c r="A1358" s="8" t="s">
        <v>3349</v>
      </c>
      <c r="B1358" s="8" t="s">
        <v>532</v>
      </c>
      <c r="C1358" s="8" t="s">
        <v>122</v>
      </c>
      <c r="D1358" s="18" t="s">
        <v>2577</v>
      </c>
      <c r="E1358" s="16">
        <v>61.0</v>
      </c>
    </row>
    <row r="1359">
      <c r="A1359" s="8" t="s">
        <v>2926</v>
      </c>
      <c r="B1359" s="8" t="s">
        <v>1210</v>
      </c>
      <c r="C1359" s="8" t="s">
        <v>93</v>
      </c>
      <c r="D1359" s="18" t="s">
        <v>2581</v>
      </c>
      <c r="E1359" s="16">
        <v>85.0</v>
      </c>
    </row>
    <row r="1360">
      <c r="A1360" s="8" t="s">
        <v>1246</v>
      </c>
      <c r="B1360" s="8" t="s">
        <v>247</v>
      </c>
      <c r="C1360" s="8" t="s">
        <v>192</v>
      </c>
      <c r="D1360" s="18" t="s">
        <v>2560</v>
      </c>
      <c r="E1360" s="16">
        <v>74.0</v>
      </c>
    </row>
    <row r="1361">
      <c r="A1361" s="8" t="s">
        <v>752</v>
      </c>
      <c r="B1361" s="8" t="s">
        <v>619</v>
      </c>
      <c r="C1361" s="8" t="s">
        <v>65</v>
      </c>
      <c r="D1361" s="18" t="s">
        <v>2575</v>
      </c>
      <c r="E1361" s="16">
        <v>66.0</v>
      </c>
    </row>
    <row r="1362">
      <c r="A1362" s="8" t="s">
        <v>1247</v>
      </c>
      <c r="B1362" s="8" t="s">
        <v>506</v>
      </c>
      <c r="C1362" s="8" t="s">
        <v>59</v>
      </c>
      <c r="D1362" s="18" t="s">
        <v>2574</v>
      </c>
      <c r="E1362" s="16">
        <v>66.0</v>
      </c>
    </row>
    <row r="1363">
      <c r="A1363" s="8" t="s">
        <v>753</v>
      </c>
      <c r="B1363" s="8" t="s">
        <v>754</v>
      </c>
      <c r="C1363" s="8" t="s">
        <v>215</v>
      </c>
      <c r="D1363" s="18" t="s">
        <v>2614</v>
      </c>
      <c r="E1363" s="16">
        <v>74.0</v>
      </c>
    </row>
    <row r="1364">
      <c r="A1364" s="8" t="s">
        <v>2927</v>
      </c>
      <c r="B1364" s="8" t="s">
        <v>1096</v>
      </c>
      <c r="C1364" s="8" t="s">
        <v>70</v>
      </c>
      <c r="D1364" s="18" t="s">
        <v>2558</v>
      </c>
      <c r="E1364" s="16">
        <v>66.0</v>
      </c>
    </row>
    <row r="1365">
      <c r="A1365" s="8" t="s">
        <v>1248</v>
      </c>
      <c r="B1365" s="8" t="s">
        <v>1249</v>
      </c>
      <c r="C1365" s="8" t="s">
        <v>122</v>
      </c>
      <c r="D1365" s="18" t="s">
        <v>2582</v>
      </c>
      <c r="E1365" s="16">
        <v>60.0</v>
      </c>
    </row>
    <row r="1366">
      <c r="A1366" s="8" t="s">
        <v>3350</v>
      </c>
      <c r="B1366" s="8" t="s">
        <v>1633</v>
      </c>
      <c r="C1366" s="8" t="s">
        <v>65</v>
      </c>
      <c r="D1366" s="18" t="s">
        <v>2621</v>
      </c>
      <c r="E1366" s="16">
        <v>65.0</v>
      </c>
    </row>
    <row r="1367">
      <c r="A1367" s="8" t="s">
        <v>2182</v>
      </c>
      <c r="B1367" s="8" t="s">
        <v>726</v>
      </c>
      <c r="C1367" s="8" t="s">
        <v>70</v>
      </c>
      <c r="D1367" s="18" t="s">
        <v>2574</v>
      </c>
      <c r="E1367" s="16">
        <v>81.0</v>
      </c>
    </row>
    <row r="1368">
      <c r="A1368" s="8" t="s">
        <v>2182</v>
      </c>
      <c r="B1368" s="8" t="s">
        <v>922</v>
      </c>
      <c r="C1368" s="8" t="s">
        <v>65</v>
      </c>
      <c r="D1368" s="18" t="s">
        <v>2558</v>
      </c>
      <c r="E1368" s="16">
        <v>62.0</v>
      </c>
    </row>
    <row r="1369">
      <c r="A1369" s="8" t="s">
        <v>1250</v>
      </c>
      <c r="B1369" s="8" t="s">
        <v>399</v>
      </c>
      <c r="C1369" s="8" t="s">
        <v>93</v>
      </c>
      <c r="D1369" s="18" t="s">
        <v>2581</v>
      </c>
      <c r="E1369" s="16">
        <v>74.0</v>
      </c>
    </row>
    <row r="1370">
      <c r="A1370" s="8" t="s">
        <v>1250</v>
      </c>
      <c r="B1370" s="8" t="s">
        <v>487</v>
      </c>
      <c r="C1370" s="8" t="s">
        <v>93</v>
      </c>
      <c r="D1370" s="18" t="s">
        <v>2621</v>
      </c>
      <c r="E1370" s="16">
        <v>78.0</v>
      </c>
    </row>
    <row r="1371">
      <c r="A1371" s="8" t="s">
        <v>1250</v>
      </c>
      <c r="B1371" s="8" t="s">
        <v>275</v>
      </c>
      <c r="C1371" s="8" t="s">
        <v>53</v>
      </c>
      <c r="D1371" s="18" t="s">
        <v>2572</v>
      </c>
      <c r="E1371" s="16">
        <v>68.0</v>
      </c>
    </row>
    <row r="1372">
      <c r="A1372" s="8" t="s">
        <v>3351</v>
      </c>
      <c r="B1372" s="8" t="s">
        <v>100</v>
      </c>
      <c r="C1372" s="8" t="s">
        <v>138</v>
      </c>
      <c r="D1372" s="18" t="s">
        <v>2564</v>
      </c>
      <c r="E1372" s="16">
        <v>60.0</v>
      </c>
    </row>
    <row r="1373">
      <c r="A1373" s="8" t="s">
        <v>3352</v>
      </c>
      <c r="B1373" s="8" t="s">
        <v>176</v>
      </c>
      <c r="C1373" s="8" t="s">
        <v>46</v>
      </c>
      <c r="D1373" s="18" t="s">
        <v>2615</v>
      </c>
      <c r="E1373" s="16">
        <v>71.0</v>
      </c>
    </row>
    <row r="1374">
      <c r="A1374" s="8" t="s">
        <v>755</v>
      </c>
      <c r="B1374" s="18" t="s">
        <v>269</v>
      </c>
      <c r="C1374" s="8" t="s">
        <v>16</v>
      </c>
      <c r="D1374" s="18" t="s">
        <v>2610</v>
      </c>
      <c r="E1374" s="16">
        <v>73.0</v>
      </c>
    </row>
    <row r="1375">
      <c r="A1375" s="8" t="s">
        <v>755</v>
      </c>
      <c r="B1375" s="8" t="s">
        <v>421</v>
      </c>
      <c r="C1375" s="8" t="s">
        <v>65</v>
      </c>
      <c r="D1375" s="18" t="s">
        <v>2562</v>
      </c>
      <c r="E1375" s="16">
        <v>64.0</v>
      </c>
    </row>
    <row r="1376">
      <c r="A1376" s="8" t="s">
        <v>3353</v>
      </c>
      <c r="B1376" s="8" t="s">
        <v>41</v>
      </c>
      <c r="C1376" s="8" t="s">
        <v>138</v>
      </c>
      <c r="D1376" s="18" t="s">
        <v>2552</v>
      </c>
      <c r="E1376" s="16">
        <v>63.0</v>
      </c>
    </row>
    <row r="1377">
      <c r="A1377" s="8" t="s">
        <v>293</v>
      </c>
      <c r="B1377" s="8" t="s">
        <v>337</v>
      </c>
      <c r="C1377" s="8" t="s">
        <v>93</v>
      </c>
      <c r="D1377" s="18" t="s">
        <v>2592</v>
      </c>
      <c r="E1377" s="16">
        <v>69.0</v>
      </c>
    </row>
    <row r="1378">
      <c r="A1378" s="8" t="s">
        <v>293</v>
      </c>
      <c r="B1378" s="8" t="s">
        <v>77</v>
      </c>
      <c r="C1378" s="8" t="s">
        <v>215</v>
      </c>
      <c r="D1378" s="18" t="s">
        <v>2582</v>
      </c>
      <c r="E1378" s="16">
        <v>73.0</v>
      </c>
    </row>
    <row r="1379">
      <c r="A1379" s="8" t="s">
        <v>2928</v>
      </c>
      <c r="B1379" s="8" t="s">
        <v>1064</v>
      </c>
      <c r="C1379" s="8" t="s">
        <v>53</v>
      </c>
      <c r="D1379" s="18" t="s">
        <v>2575</v>
      </c>
      <c r="E1379" s="16">
        <v>70.0</v>
      </c>
    </row>
    <row r="1380">
      <c r="A1380" s="8" t="s">
        <v>3354</v>
      </c>
      <c r="B1380" s="8" t="s">
        <v>3355</v>
      </c>
      <c r="C1380" s="8" t="s">
        <v>53</v>
      </c>
      <c r="D1380" s="18" t="s">
        <v>2600</v>
      </c>
      <c r="E1380" s="16">
        <v>74.0</v>
      </c>
    </row>
    <row r="1381">
      <c r="A1381" s="8" t="s">
        <v>3356</v>
      </c>
      <c r="B1381" s="8" t="s">
        <v>2450</v>
      </c>
      <c r="C1381" s="8" t="s">
        <v>80</v>
      </c>
      <c r="D1381" s="18" t="s">
        <v>2572</v>
      </c>
      <c r="E1381" s="16">
        <v>67.0</v>
      </c>
    </row>
    <row r="1382">
      <c r="A1382" s="8" t="s">
        <v>216</v>
      </c>
      <c r="B1382" s="8" t="s">
        <v>217</v>
      </c>
      <c r="C1382" s="8" t="s">
        <v>80</v>
      </c>
      <c r="D1382" s="18" t="s">
        <v>2600</v>
      </c>
      <c r="E1382" s="16">
        <v>92.0</v>
      </c>
    </row>
    <row r="1383">
      <c r="A1383" s="8" t="s">
        <v>216</v>
      </c>
      <c r="B1383" s="8" t="s">
        <v>45</v>
      </c>
      <c r="C1383" s="8" t="s">
        <v>93</v>
      </c>
      <c r="D1383" s="18" t="s">
        <v>2615</v>
      </c>
      <c r="E1383" s="16">
        <v>81.0</v>
      </c>
    </row>
    <row r="1384">
      <c r="A1384" s="8" t="s">
        <v>2930</v>
      </c>
      <c r="B1384" s="8" t="s">
        <v>301</v>
      </c>
      <c r="C1384" s="8" t="s">
        <v>16</v>
      </c>
      <c r="D1384" s="18" t="s">
        <v>2560</v>
      </c>
      <c r="E1384" s="16">
        <v>73.0</v>
      </c>
    </row>
    <row r="1385">
      <c r="A1385" s="8" t="s">
        <v>218</v>
      </c>
      <c r="B1385" s="8" t="s">
        <v>219</v>
      </c>
      <c r="C1385" s="8" t="s">
        <v>16</v>
      </c>
      <c r="D1385" s="18" t="s">
        <v>2582</v>
      </c>
      <c r="E1385" s="16">
        <v>67.0</v>
      </c>
    </row>
    <row r="1386">
      <c r="A1386" s="8" t="s">
        <v>218</v>
      </c>
      <c r="B1386" s="8" t="s">
        <v>294</v>
      </c>
      <c r="C1386" s="8" t="s">
        <v>122</v>
      </c>
      <c r="D1386" s="18" t="s">
        <v>2592</v>
      </c>
      <c r="E1386" s="16">
        <v>90.0</v>
      </c>
    </row>
    <row r="1387">
      <c r="A1387" s="8" t="s">
        <v>218</v>
      </c>
      <c r="B1387" s="8" t="s">
        <v>295</v>
      </c>
      <c r="C1387" s="8" t="s">
        <v>70</v>
      </c>
      <c r="D1387" s="18" t="s">
        <v>2587</v>
      </c>
      <c r="E1387" s="16">
        <v>92.0</v>
      </c>
    </row>
    <row r="1388">
      <c r="A1388" s="8" t="s">
        <v>579</v>
      </c>
      <c r="B1388" s="8" t="s">
        <v>381</v>
      </c>
      <c r="C1388" s="8" t="s">
        <v>132</v>
      </c>
      <c r="D1388" s="18" t="s">
        <v>2558</v>
      </c>
      <c r="E1388" s="16">
        <v>67.0</v>
      </c>
    </row>
    <row r="1389">
      <c r="A1389" s="8" t="s">
        <v>579</v>
      </c>
      <c r="B1389" s="8" t="s">
        <v>580</v>
      </c>
      <c r="C1389" s="8" t="s">
        <v>59</v>
      </c>
      <c r="D1389" s="18" t="s">
        <v>2584</v>
      </c>
      <c r="E1389" s="16">
        <v>72.0</v>
      </c>
    </row>
    <row r="1390">
      <c r="A1390" s="8" t="s">
        <v>979</v>
      </c>
      <c r="B1390" s="8" t="s">
        <v>197</v>
      </c>
      <c r="C1390" s="8" t="s">
        <v>122</v>
      </c>
      <c r="D1390" s="18" t="s">
        <v>2577</v>
      </c>
      <c r="E1390" s="16">
        <v>69.0</v>
      </c>
    </row>
    <row r="1391">
      <c r="A1391" s="8" t="s">
        <v>3357</v>
      </c>
      <c r="B1391" s="8" t="s">
        <v>140</v>
      </c>
      <c r="C1391" s="8" t="s">
        <v>122</v>
      </c>
      <c r="D1391" s="18" t="s">
        <v>2595</v>
      </c>
      <c r="E1391" s="16">
        <v>73.0</v>
      </c>
    </row>
    <row r="1392">
      <c r="A1392" s="8" t="s">
        <v>581</v>
      </c>
      <c r="B1392" s="8" t="s">
        <v>1251</v>
      </c>
      <c r="C1392" s="8" t="s">
        <v>149</v>
      </c>
      <c r="D1392" s="18" t="s">
        <v>2600</v>
      </c>
      <c r="E1392" s="16">
        <v>67.0</v>
      </c>
    </row>
    <row r="1393">
      <c r="A1393" s="8" t="s">
        <v>581</v>
      </c>
      <c r="B1393" s="8" t="s">
        <v>119</v>
      </c>
      <c r="C1393" s="8" t="s">
        <v>24</v>
      </c>
      <c r="D1393" s="18" t="s">
        <v>2552</v>
      </c>
      <c r="E1393" s="16">
        <v>50.0</v>
      </c>
    </row>
    <row r="1394">
      <c r="A1394" s="8" t="s">
        <v>582</v>
      </c>
      <c r="B1394" s="8" t="s">
        <v>2933</v>
      </c>
      <c r="C1394" s="8" t="s">
        <v>122</v>
      </c>
      <c r="D1394" s="18" t="s">
        <v>2592</v>
      </c>
      <c r="E1394" s="16">
        <v>75.0</v>
      </c>
    </row>
    <row r="1395">
      <c r="A1395" s="8" t="s">
        <v>582</v>
      </c>
      <c r="B1395" s="8" t="s">
        <v>3358</v>
      </c>
      <c r="C1395" s="8" t="s">
        <v>59</v>
      </c>
      <c r="D1395" s="18" t="s">
        <v>2603</v>
      </c>
      <c r="E1395" s="16">
        <v>59.0</v>
      </c>
    </row>
    <row r="1396">
      <c r="A1396" s="8" t="s">
        <v>582</v>
      </c>
      <c r="B1396" s="8" t="s">
        <v>2450</v>
      </c>
      <c r="C1396" s="8" t="s">
        <v>93</v>
      </c>
      <c r="D1396" s="18" t="s">
        <v>2556</v>
      </c>
      <c r="E1396" s="16">
        <v>60.0</v>
      </c>
    </row>
    <row r="1397">
      <c r="A1397" s="8" t="s">
        <v>582</v>
      </c>
      <c r="B1397" s="8" t="s">
        <v>583</v>
      </c>
      <c r="C1397" s="8" t="s">
        <v>24</v>
      </c>
      <c r="D1397" s="18" t="s">
        <v>2585</v>
      </c>
      <c r="E1397" s="16">
        <v>77.0</v>
      </c>
    </row>
    <row r="1398">
      <c r="A1398" s="8" t="s">
        <v>2934</v>
      </c>
      <c r="B1398" s="18" t="s">
        <v>491</v>
      </c>
      <c r="C1398" s="8" t="s">
        <v>192</v>
      </c>
      <c r="D1398" s="18" t="s">
        <v>2581</v>
      </c>
      <c r="E1398" s="16">
        <v>76.0</v>
      </c>
    </row>
    <row r="1399">
      <c r="A1399" s="8" t="s">
        <v>756</v>
      </c>
      <c r="B1399" s="8" t="s">
        <v>436</v>
      </c>
      <c r="C1399" s="8" t="s">
        <v>80</v>
      </c>
      <c r="D1399" s="18" t="s">
        <v>2603</v>
      </c>
      <c r="E1399" s="16">
        <v>78.0</v>
      </c>
    </row>
    <row r="1400">
      <c r="A1400" s="8" t="s">
        <v>3359</v>
      </c>
      <c r="B1400" s="8" t="s">
        <v>2450</v>
      </c>
      <c r="C1400" s="8" t="s">
        <v>93</v>
      </c>
      <c r="D1400" s="18" t="s">
        <v>2560</v>
      </c>
      <c r="E1400" s="16">
        <v>67.0</v>
      </c>
    </row>
    <row r="1401">
      <c r="A1401" s="8" t="s">
        <v>2935</v>
      </c>
      <c r="B1401" s="8" t="s">
        <v>549</v>
      </c>
      <c r="C1401" s="8" t="s">
        <v>122</v>
      </c>
      <c r="D1401" s="18" t="s">
        <v>2603</v>
      </c>
      <c r="E1401" s="16">
        <v>74.0</v>
      </c>
    </row>
    <row r="1402">
      <c r="A1402" s="8" t="s">
        <v>2936</v>
      </c>
      <c r="B1402" s="8" t="s">
        <v>1803</v>
      </c>
      <c r="C1402" s="8" t="s">
        <v>65</v>
      </c>
      <c r="D1402" s="18" t="s">
        <v>2603</v>
      </c>
      <c r="E1402" s="16">
        <v>67.0</v>
      </c>
    </row>
    <row r="1403">
      <c r="A1403" s="8" t="s">
        <v>2937</v>
      </c>
      <c r="B1403" s="8" t="s">
        <v>153</v>
      </c>
      <c r="C1403" s="8" t="s">
        <v>70</v>
      </c>
      <c r="D1403" s="18" t="s">
        <v>2614</v>
      </c>
      <c r="E1403" s="16">
        <v>77.0</v>
      </c>
    </row>
    <row r="1404">
      <c r="A1404" s="8" t="s">
        <v>2937</v>
      </c>
      <c r="B1404" s="8" t="s">
        <v>2151</v>
      </c>
      <c r="C1404" s="8" t="s">
        <v>93</v>
      </c>
      <c r="D1404" s="18" t="s">
        <v>2614</v>
      </c>
      <c r="E1404" s="16">
        <v>70.0</v>
      </c>
    </row>
    <row r="1405">
      <c r="A1405" s="8" t="s">
        <v>2938</v>
      </c>
      <c r="B1405" s="8" t="s">
        <v>2739</v>
      </c>
      <c r="C1405" s="8" t="s">
        <v>138</v>
      </c>
      <c r="D1405" s="18" t="s">
        <v>2582</v>
      </c>
      <c r="E1405" s="16">
        <v>70.0</v>
      </c>
    </row>
    <row r="1406">
      <c r="A1406" s="8" t="s">
        <v>1252</v>
      </c>
      <c r="B1406" s="18" t="s">
        <v>540</v>
      </c>
      <c r="C1406" s="8" t="s">
        <v>122</v>
      </c>
      <c r="D1406" s="18" t="s">
        <v>2567</v>
      </c>
      <c r="E1406" s="16">
        <v>73.0</v>
      </c>
    </row>
    <row r="1407">
      <c r="A1407" s="8" t="s">
        <v>3360</v>
      </c>
      <c r="B1407" s="8" t="s">
        <v>782</v>
      </c>
      <c r="C1407" s="8" t="s">
        <v>192</v>
      </c>
      <c r="D1407" s="18" t="s">
        <v>2556</v>
      </c>
      <c r="E1407" s="16">
        <v>66.0</v>
      </c>
    </row>
    <row r="1408">
      <c r="A1408" s="8" t="s">
        <v>3361</v>
      </c>
      <c r="B1408" s="8" t="s">
        <v>33</v>
      </c>
      <c r="C1408" s="8" t="s">
        <v>16</v>
      </c>
      <c r="D1408" s="18" t="s">
        <v>2564</v>
      </c>
      <c r="E1408" s="16">
        <v>67.0</v>
      </c>
    </row>
    <row r="1409">
      <c r="A1409" s="8" t="s">
        <v>1253</v>
      </c>
      <c r="B1409" s="8" t="s">
        <v>1131</v>
      </c>
      <c r="C1409" s="8" t="s">
        <v>75</v>
      </c>
      <c r="D1409" s="18" t="s">
        <v>2620</v>
      </c>
      <c r="E1409" s="16">
        <v>66.0</v>
      </c>
    </row>
    <row r="1410">
      <c r="A1410" s="8" t="s">
        <v>2939</v>
      </c>
      <c r="B1410" s="8" t="s">
        <v>162</v>
      </c>
      <c r="C1410" s="8" t="s">
        <v>24</v>
      </c>
      <c r="D1410" s="18" t="s">
        <v>2572</v>
      </c>
      <c r="E1410" s="16">
        <v>67.0</v>
      </c>
    </row>
    <row r="1411">
      <c r="A1411" s="8" t="s">
        <v>1527</v>
      </c>
      <c r="B1411" s="8" t="s">
        <v>1528</v>
      </c>
      <c r="C1411" s="8" t="s">
        <v>70</v>
      </c>
      <c r="D1411" s="18" t="s">
        <v>2560</v>
      </c>
      <c r="E1411" s="16">
        <v>70.0</v>
      </c>
    </row>
    <row r="1412">
      <c r="A1412" s="8" t="s">
        <v>1895</v>
      </c>
      <c r="B1412" s="8" t="s">
        <v>948</v>
      </c>
      <c r="C1412" s="8" t="s">
        <v>65</v>
      </c>
      <c r="D1412" s="18" t="s">
        <v>2620</v>
      </c>
      <c r="E1412" s="16">
        <v>67.0</v>
      </c>
    </row>
    <row r="1413">
      <c r="A1413" s="8" t="s">
        <v>2186</v>
      </c>
      <c r="B1413" s="8" t="s">
        <v>2187</v>
      </c>
      <c r="C1413" s="8" t="s">
        <v>138</v>
      </c>
      <c r="D1413" s="18" t="s">
        <v>2598</v>
      </c>
      <c r="E1413" s="16">
        <v>75.0</v>
      </c>
    </row>
    <row r="1414">
      <c r="A1414" s="8" t="s">
        <v>1254</v>
      </c>
      <c r="B1414" s="8" t="s">
        <v>1255</v>
      </c>
      <c r="C1414" s="8" t="s">
        <v>186</v>
      </c>
      <c r="D1414" s="18" t="s">
        <v>2562</v>
      </c>
      <c r="E1414" s="16">
        <v>82.0</v>
      </c>
    </row>
    <row r="1415">
      <c r="A1415" s="8" t="s">
        <v>980</v>
      </c>
      <c r="B1415" s="8" t="s">
        <v>981</v>
      </c>
      <c r="C1415" s="8" t="s">
        <v>70</v>
      </c>
      <c r="D1415" s="18" t="s">
        <v>2552</v>
      </c>
      <c r="E1415" s="16">
        <v>80.0</v>
      </c>
    </row>
    <row r="1416">
      <c r="A1416" s="8" t="s">
        <v>1258</v>
      </c>
      <c r="B1416" s="18" t="s">
        <v>1259</v>
      </c>
      <c r="C1416" s="8" t="s">
        <v>70</v>
      </c>
      <c r="D1416" s="18" t="s">
        <v>2603</v>
      </c>
      <c r="E1416" s="16">
        <v>63.0</v>
      </c>
    </row>
    <row r="1417">
      <c r="A1417" s="8" t="s">
        <v>166</v>
      </c>
      <c r="B1417" s="8" t="s">
        <v>167</v>
      </c>
      <c r="C1417" s="8" t="s">
        <v>122</v>
      </c>
      <c r="D1417" s="18" t="s">
        <v>2560</v>
      </c>
      <c r="E1417" s="16">
        <v>75.0</v>
      </c>
    </row>
    <row r="1418">
      <c r="A1418" s="8" t="s">
        <v>2942</v>
      </c>
      <c r="B1418" s="8" t="s">
        <v>383</v>
      </c>
      <c r="C1418" s="8" t="s">
        <v>80</v>
      </c>
      <c r="D1418" s="18" t="s">
        <v>2564</v>
      </c>
      <c r="E1418" s="16">
        <v>80.0</v>
      </c>
    </row>
    <row r="1419">
      <c r="A1419" s="8" t="s">
        <v>296</v>
      </c>
      <c r="B1419" s="8" t="s">
        <v>297</v>
      </c>
      <c r="C1419" s="8" t="s">
        <v>93</v>
      </c>
      <c r="D1419" s="18" t="s">
        <v>2605</v>
      </c>
      <c r="E1419" s="16">
        <v>65.0</v>
      </c>
    </row>
    <row r="1420">
      <c r="A1420" s="8" t="s">
        <v>757</v>
      </c>
      <c r="B1420" s="8" t="s">
        <v>121</v>
      </c>
      <c r="C1420" s="8" t="s">
        <v>12</v>
      </c>
      <c r="D1420" s="18" t="s">
        <v>2620</v>
      </c>
      <c r="E1420" s="16">
        <v>80.0</v>
      </c>
    </row>
    <row r="1421">
      <c r="A1421" s="8" t="s">
        <v>2188</v>
      </c>
      <c r="B1421" s="8" t="s">
        <v>2189</v>
      </c>
      <c r="C1421" s="8" t="s">
        <v>59</v>
      </c>
      <c r="D1421" s="18" t="s">
        <v>2581</v>
      </c>
      <c r="E1421" s="16">
        <v>72.0</v>
      </c>
    </row>
    <row r="1422">
      <c r="A1422" s="8" t="s">
        <v>3362</v>
      </c>
      <c r="B1422" s="8" t="s">
        <v>301</v>
      </c>
      <c r="C1422" s="8" t="s">
        <v>59</v>
      </c>
      <c r="D1422" s="18" t="s">
        <v>2584</v>
      </c>
      <c r="E1422" s="16">
        <v>69.0</v>
      </c>
    </row>
    <row r="1423">
      <c r="A1423" s="8" t="s">
        <v>2190</v>
      </c>
      <c r="B1423" s="8" t="s">
        <v>822</v>
      </c>
      <c r="C1423" s="8" t="s">
        <v>70</v>
      </c>
      <c r="D1423" s="18" t="s">
        <v>2592</v>
      </c>
      <c r="E1423" s="16">
        <v>71.0</v>
      </c>
    </row>
    <row r="1424">
      <c r="A1424" s="8" t="s">
        <v>400</v>
      </c>
      <c r="B1424" s="8" t="s">
        <v>401</v>
      </c>
      <c r="C1424" s="8" t="s">
        <v>53</v>
      </c>
      <c r="D1424" s="18" t="s">
        <v>2605</v>
      </c>
      <c r="E1424" s="16">
        <v>84.0</v>
      </c>
    </row>
    <row r="1425">
      <c r="A1425" s="8" t="s">
        <v>298</v>
      </c>
      <c r="B1425" s="8" t="s">
        <v>299</v>
      </c>
      <c r="C1425" s="8" t="s">
        <v>24</v>
      </c>
      <c r="D1425" s="18" t="s">
        <v>2593</v>
      </c>
      <c r="E1425" s="16">
        <v>44.0</v>
      </c>
    </row>
    <row r="1426">
      <c r="A1426" s="8" t="s">
        <v>2943</v>
      </c>
      <c r="B1426" s="8" t="s">
        <v>2151</v>
      </c>
      <c r="C1426" s="8" t="s">
        <v>192</v>
      </c>
      <c r="D1426" s="18" t="s">
        <v>2183</v>
      </c>
      <c r="E1426" s="16">
        <v>61.0</v>
      </c>
    </row>
    <row r="1427">
      <c r="A1427" s="8" t="s">
        <v>3363</v>
      </c>
      <c r="B1427" s="8" t="s">
        <v>628</v>
      </c>
      <c r="C1427" s="8" t="s">
        <v>65</v>
      </c>
      <c r="D1427" s="18" t="s">
        <v>2593</v>
      </c>
      <c r="E1427" s="16">
        <v>62.0</v>
      </c>
    </row>
    <row r="1428">
      <c r="A1428" s="8" t="s">
        <v>758</v>
      </c>
      <c r="B1428" s="8" t="s">
        <v>759</v>
      </c>
      <c r="C1428" s="8" t="s">
        <v>138</v>
      </c>
      <c r="D1428" s="18" t="s">
        <v>2564</v>
      </c>
      <c r="E1428" s="16">
        <v>68.0</v>
      </c>
    </row>
    <row r="1429">
      <c r="A1429" s="8" t="s">
        <v>120</v>
      </c>
      <c r="B1429" s="8" t="s">
        <v>121</v>
      </c>
      <c r="C1429" s="8" t="s">
        <v>122</v>
      </c>
      <c r="D1429" s="18" t="s">
        <v>2572</v>
      </c>
      <c r="E1429" s="16">
        <v>82.0</v>
      </c>
    </row>
    <row r="1430">
      <c r="A1430" s="8" t="s">
        <v>760</v>
      </c>
      <c r="B1430" s="8" t="s">
        <v>499</v>
      </c>
      <c r="C1430" s="8" t="s">
        <v>122</v>
      </c>
      <c r="D1430" s="18" t="s">
        <v>2615</v>
      </c>
      <c r="E1430" s="16">
        <v>72.0</v>
      </c>
    </row>
    <row r="1431">
      <c r="A1431" s="8" t="s">
        <v>1529</v>
      </c>
      <c r="B1431" s="8" t="s">
        <v>1530</v>
      </c>
      <c r="C1431" s="8" t="s">
        <v>80</v>
      </c>
      <c r="D1431" s="18" t="s">
        <v>2556</v>
      </c>
      <c r="E1431" s="16">
        <v>75.0</v>
      </c>
    </row>
    <row r="1432">
      <c r="A1432" s="8" t="s">
        <v>385</v>
      </c>
      <c r="B1432" s="8" t="s">
        <v>585</v>
      </c>
      <c r="C1432" s="8" t="s">
        <v>93</v>
      </c>
      <c r="D1432" s="18" t="s">
        <v>2567</v>
      </c>
      <c r="E1432" s="16">
        <v>72.0</v>
      </c>
    </row>
    <row r="1433">
      <c r="A1433" s="8" t="s">
        <v>586</v>
      </c>
      <c r="B1433" s="8" t="s">
        <v>587</v>
      </c>
      <c r="C1433" s="8" t="s">
        <v>59</v>
      </c>
      <c r="D1433" s="18" t="s">
        <v>2562</v>
      </c>
      <c r="E1433" s="16">
        <v>87.0</v>
      </c>
    </row>
    <row r="1434">
      <c r="A1434" s="8" t="s">
        <v>1261</v>
      </c>
      <c r="B1434" s="8" t="s">
        <v>52</v>
      </c>
      <c r="C1434" s="8" t="s">
        <v>65</v>
      </c>
      <c r="D1434" s="18" t="s">
        <v>2605</v>
      </c>
      <c r="E1434" s="16">
        <v>83.0</v>
      </c>
    </row>
    <row r="1435">
      <c r="A1435" s="8" t="s">
        <v>2944</v>
      </c>
      <c r="B1435" s="8" t="s">
        <v>360</v>
      </c>
      <c r="C1435" s="8" t="s">
        <v>75</v>
      </c>
      <c r="D1435" s="18" t="s">
        <v>2567</v>
      </c>
      <c r="E1435" s="16">
        <v>82.0</v>
      </c>
    </row>
    <row r="1436">
      <c r="A1436" s="8" t="s">
        <v>137</v>
      </c>
      <c r="B1436" s="8" t="s">
        <v>2945</v>
      </c>
      <c r="C1436" s="8" t="s">
        <v>70</v>
      </c>
      <c r="D1436" s="18" t="s">
        <v>2567</v>
      </c>
      <c r="E1436" s="16">
        <v>75.0</v>
      </c>
    </row>
    <row r="1437">
      <c r="A1437" s="8" t="s">
        <v>1531</v>
      </c>
      <c r="B1437" s="8" t="s">
        <v>397</v>
      </c>
      <c r="C1437" s="8" t="s">
        <v>192</v>
      </c>
      <c r="D1437" s="18" t="s">
        <v>2560</v>
      </c>
      <c r="E1437" s="16">
        <v>60.0</v>
      </c>
    </row>
    <row r="1438">
      <c r="A1438" s="8" t="s">
        <v>982</v>
      </c>
      <c r="B1438" s="8" t="s">
        <v>157</v>
      </c>
      <c r="C1438" s="8" t="s">
        <v>149</v>
      </c>
      <c r="D1438" s="18" t="s">
        <v>2577</v>
      </c>
      <c r="E1438" s="16">
        <v>65.0</v>
      </c>
    </row>
    <row r="1439">
      <c r="A1439" s="8" t="s">
        <v>1532</v>
      </c>
      <c r="B1439" s="8" t="s">
        <v>33</v>
      </c>
      <c r="C1439" s="8" t="s">
        <v>186</v>
      </c>
      <c r="D1439" s="18" t="s">
        <v>2587</v>
      </c>
      <c r="E1439" s="16">
        <v>65.0</v>
      </c>
    </row>
    <row r="1440">
      <c r="A1440" s="8" t="s">
        <v>1219</v>
      </c>
      <c r="B1440" s="8" t="s">
        <v>2948</v>
      </c>
      <c r="C1440" s="8" t="s">
        <v>80</v>
      </c>
      <c r="D1440" s="18" t="s">
        <v>2560</v>
      </c>
      <c r="E1440" s="16">
        <v>72.0</v>
      </c>
    </row>
    <row r="1441">
      <c r="A1441" s="8" t="s">
        <v>402</v>
      </c>
      <c r="B1441" s="8" t="s">
        <v>1262</v>
      </c>
      <c r="C1441" s="8" t="s">
        <v>65</v>
      </c>
      <c r="D1441" s="18" t="s">
        <v>2562</v>
      </c>
      <c r="E1441" s="16">
        <v>73.0</v>
      </c>
    </row>
    <row r="1442">
      <c r="A1442" s="8" t="s">
        <v>402</v>
      </c>
      <c r="B1442" s="8" t="s">
        <v>2949</v>
      </c>
      <c r="C1442" s="8" t="s">
        <v>93</v>
      </c>
      <c r="D1442" s="18" t="s">
        <v>2589</v>
      </c>
      <c r="E1442" s="16">
        <v>66.0</v>
      </c>
    </row>
    <row r="1443">
      <c r="A1443" s="8" t="s">
        <v>402</v>
      </c>
      <c r="B1443" s="8" t="s">
        <v>23</v>
      </c>
      <c r="C1443" s="8" t="s">
        <v>132</v>
      </c>
      <c r="D1443" s="18" t="s">
        <v>2587</v>
      </c>
      <c r="E1443" s="16">
        <v>76.0</v>
      </c>
    </row>
    <row r="1444">
      <c r="A1444" s="8" t="s">
        <v>402</v>
      </c>
      <c r="B1444" s="8" t="s">
        <v>761</v>
      </c>
      <c r="C1444" s="8" t="s">
        <v>70</v>
      </c>
      <c r="D1444" s="18" t="s">
        <v>2562</v>
      </c>
      <c r="E1444" s="16">
        <v>85.0</v>
      </c>
    </row>
    <row r="1445">
      <c r="A1445" s="8" t="s">
        <v>402</v>
      </c>
      <c r="B1445" s="8" t="s">
        <v>403</v>
      </c>
      <c r="C1445" s="8" t="s">
        <v>53</v>
      </c>
      <c r="D1445" s="18" t="s">
        <v>2620</v>
      </c>
      <c r="E1445" s="16">
        <v>99.0</v>
      </c>
    </row>
    <row r="1446">
      <c r="A1446" s="8" t="s">
        <v>402</v>
      </c>
      <c r="B1446" s="8" t="s">
        <v>480</v>
      </c>
      <c r="C1446" s="8" t="s">
        <v>24</v>
      </c>
      <c r="D1446" s="18" t="s">
        <v>2605</v>
      </c>
      <c r="E1446" s="16">
        <v>86.0</v>
      </c>
    </row>
    <row r="1447">
      <c r="A1447" s="8" t="s">
        <v>762</v>
      </c>
      <c r="B1447" s="8" t="s">
        <v>1128</v>
      </c>
      <c r="C1447" s="8" t="s">
        <v>93</v>
      </c>
      <c r="D1447" s="18" t="s">
        <v>2564</v>
      </c>
      <c r="E1447" s="16">
        <v>70.0</v>
      </c>
    </row>
    <row r="1448">
      <c r="A1448" s="8" t="s">
        <v>762</v>
      </c>
      <c r="B1448" s="8" t="s">
        <v>263</v>
      </c>
      <c r="C1448" s="8" t="s">
        <v>149</v>
      </c>
      <c r="D1448" s="18" t="s">
        <v>2587</v>
      </c>
      <c r="E1448" s="16">
        <v>72.0</v>
      </c>
    </row>
    <row r="1449">
      <c r="A1449" s="8" t="s">
        <v>1263</v>
      </c>
      <c r="B1449" s="8" t="s">
        <v>275</v>
      </c>
      <c r="C1449" s="8" t="s">
        <v>93</v>
      </c>
      <c r="D1449" s="18" t="s">
        <v>2567</v>
      </c>
      <c r="E1449" s="16">
        <v>64.0</v>
      </c>
    </row>
    <row r="1450">
      <c r="A1450" s="8" t="s">
        <v>1263</v>
      </c>
      <c r="B1450" s="8" t="s">
        <v>3364</v>
      </c>
      <c r="C1450" s="8" t="s">
        <v>149</v>
      </c>
      <c r="D1450" s="18" t="s">
        <v>2577</v>
      </c>
      <c r="E1450" s="16">
        <v>64.0</v>
      </c>
    </row>
    <row r="1451">
      <c r="A1451" s="8" t="s">
        <v>763</v>
      </c>
      <c r="B1451" s="8" t="s">
        <v>764</v>
      </c>
      <c r="C1451" s="8" t="s">
        <v>59</v>
      </c>
      <c r="D1451" s="18" t="s">
        <v>2567</v>
      </c>
      <c r="E1451" s="16">
        <v>78.0</v>
      </c>
    </row>
    <row r="1452">
      <c r="A1452" s="8" t="s">
        <v>2950</v>
      </c>
      <c r="B1452" s="8" t="s">
        <v>119</v>
      </c>
      <c r="C1452" s="8" t="s">
        <v>186</v>
      </c>
      <c r="D1452" s="18" t="s">
        <v>2610</v>
      </c>
      <c r="E1452" s="16">
        <v>78.0</v>
      </c>
    </row>
    <row r="1453">
      <c r="A1453" s="8" t="s">
        <v>3365</v>
      </c>
      <c r="B1453" s="8" t="s">
        <v>3366</v>
      </c>
      <c r="C1453" s="8" t="s">
        <v>53</v>
      </c>
      <c r="D1453" s="18" t="s">
        <v>2581</v>
      </c>
      <c r="E1453" s="16">
        <v>82.0</v>
      </c>
    </row>
    <row r="1454">
      <c r="A1454" s="8" t="s">
        <v>3367</v>
      </c>
      <c r="B1454" s="8" t="s">
        <v>1126</v>
      </c>
      <c r="C1454" s="8" t="s">
        <v>93</v>
      </c>
      <c r="D1454" s="18" t="s">
        <v>2567</v>
      </c>
      <c r="E1454" s="16">
        <v>65.0</v>
      </c>
    </row>
    <row r="1455">
      <c r="A1455" s="8" t="s">
        <v>427</v>
      </c>
      <c r="B1455" s="8" t="s">
        <v>443</v>
      </c>
      <c r="C1455" s="8" t="s">
        <v>122</v>
      </c>
      <c r="D1455" s="18" t="s">
        <v>2585</v>
      </c>
      <c r="E1455" s="16">
        <v>72.0</v>
      </c>
    </row>
    <row r="1456">
      <c r="A1456" s="8" t="s">
        <v>427</v>
      </c>
      <c r="B1456" s="8" t="s">
        <v>283</v>
      </c>
      <c r="C1456" s="8" t="s">
        <v>65</v>
      </c>
      <c r="D1456" s="18" t="s">
        <v>2600</v>
      </c>
      <c r="E1456" s="16">
        <v>76.0</v>
      </c>
    </row>
    <row r="1457">
      <c r="A1457" s="8" t="s">
        <v>427</v>
      </c>
      <c r="B1457" s="8" t="s">
        <v>183</v>
      </c>
      <c r="C1457" s="8" t="s">
        <v>80</v>
      </c>
      <c r="D1457" s="18" t="s">
        <v>2577</v>
      </c>
      <c r="E1457" s="16">
        <v>81.0</v>
      </c>
    </row>
    <row r="1458">
      <c r="A1458" s="8" t="s">
        <v>427</v>
      </c>
      <c r="B1458" s="8" t="s">
        <v>983</v>
      </c>
      <c r="C1458" s="8" t="s">
        <v>93</v>
      </c>
      <c r="D1458" s="18" t="s">
        <v>2183</v>
      </c>
      <c r="E1458" s="16">
        <v>79.0</v>
      </c>
    </row>
    <row r="1459">
      <c r="A1459" s="8" t="s">
        <v>2196</v>
      </c>
      <c r="B1459" s="8" t="s">
        <v>102</v>
      </c>
      <c r="C1459" s="8" t="s">
        <v>70</v>
      </c>
      <c r="D1459" s="18" t="s">
        <v>2610</v>
      </c>
      <c r="E1459" s="16">
        <v>79.0</v>
      </c>
    </row>
    <row r="1460">
      <c r="A1460" s="8" t="s">
        <v>1537</v>
      </c>
      <c r="B1460" s="8" t="s">
        <v>1538</v>
      </c>
      <c r="C1460" s="8" t="s">
        <v>70</v>
      </c>
      <c r="D1460" s="18" t="s">
        <v>2575</v>
      </c>
      <c r="E1460" s="16">
        <v>62.0</v>
      </c>
    </row>
    <row r="1461">
      <c r="A1461" s="8" t="s">
        <v>3368</v>
      </c>
      <c r="B1461" s="8" t="s">
        <v>1245</v>
      </c>
      <c r="C1461" s="8" t="s">
        <v>53</v>
      </c>
      <c r="D1461" s="18" t="s">
        <v>2577</v>
      </c>
      <c r="E1461" s="16">
        <v>74.0</v>
      </c>
    </row>
    <row r="1462">
      <c r="A1462" s="8" t="s">
        <v>3369</v>
      </c>
      <c r="B1462" s="8" t="s">
        <v>3370</v>
      </c>
      <c r="C1462" s="8" t="s">
        <v>24</v>
      </c>
      <c r="D1462" s="18" t="s">
        <v>2589</v>
      </c>
      <c r="E1462" s="16">
        <v>66.0</v>
      </c>
    </row>
    <row r="1463">
      <c r="A1463" s="8" t="s">
        <v>1266</v>
      </c>
      <c r="B1463" s="8" t="s">
        <v>1267</v>
      </c>
      <c r="C1463" s="8" t="s">
        <v>65</v>
      </c>
      <c r="D1463" s="18" t="s">
        <v>2567</v>
      </c>
      <c r="E1463" s="16">
        <v>80.0</v>
      </c>
    </row>
    <row r="1464">
      <c r="A1464" s="8" t="s">
        <v>1265</v>
      </c>
      <c r="B1464" s="8" t="s">
        <v>170</v>
      </c>
      <c r="C1464" s="8" t="s">
        <v>70</v>
      </c>
      <c r="D1464" s="18" t="s">
        <v>2558</v>
      </c>
      <c r="E1464" s="16">
        <v>83.0</v>
      </c>
    </row>
    <row r="1465">
      <c r="A1465" s="8" t="s">
        <v>1264</v>
      </c>
      <c r="B1465" s="8" t="s">
        <v>275</v>
      </c>
      <c r="C1465" s="8" t="s">
        <v>65</v>
      </c>
      <c r="D1465" s="18" t="s">
        <v>2575</v>
      </c>
      <c r="E1465" s="16">
        <v>65.0</v>
      </c>
    </row>
    <row r="1466">
      <c r="A1466" s="8" t="s">
        <v>1264</v>
      </c>
      <c r="B1466" s="8" t="s">
        <v>304</v>
      </c>
      <c r="C1466" s="8" t="s">
        <v>80</v>
      </c>
      <c r="D1466" s="18" t="s">
        <v>2562</v>
      </c>
      <c r="E1466" s="16">
        <v>70.0</v>
      </c>
    </row>
    <row r="1467">
      <c r="A1467" s="8" t="s">
        <v>1264</v>
      </c>
      <c r="B1467" s="8" t="s">
        <v>3371</v>
      </c>
      <c r="C1467" s="8" t="s">
        <v>215</v>
      </c>
      <c r="D1467" s="18" t="s">
        <v>2614</v>
      </c>
      <c r="E1467" s="16">
        <v>70.0</v>
      </c>
    </row>
    <row r="1468">
      <c r="A1468" s="8" t="s">
        <v>1264</v>
      </c>
      <c r="B1468" s="8" t="s">
        <v>506</v>
      </c>
      <c r="C1468" s="8" t="s">
        <v>65</v>
      </c>
      <c r="D1468" s="18" t="s">
        <v>2603</v>
      </c>
      <c r="E1468" s="16">
        <v>66.0</v>
      </c>
    </row>
    <row r="1469">
      <c r="A1469" s="8" t="s">
        <v>1264</v>
      </c>
      <c r="B1469" s="8" t="s">
        <v>3207</v>
      </c>
      <c r="C1469" s="8" t="s">
        <v>16</v>
      </c>
      <c r="D1469" s="18" t="s">
        <v>2614</v>
      </c>
      <c r="E1469" s="16">
        <v>67.0</v>
      </c>
    </row>
    <row r="1470">
      <c r="A1470" s="8" t="s">
        <v>1264</v>
      </c>
      <c r="B1470" s="8" t="s">
        <v>33</v>
      </c>
      <c r="C1470" s="8" t="s">
        <v>16</v>
      </c>
      <c r="D1470" s="18" t="s">
        <v>2581</v>
      </c>
      <c r="E1470" s="16">
        <v>71.0</v>
      </c>
    </row>
    <row r="1471">
      <c r="A1471" s="8" t="s">
        <v>1264</v>
      </c>
      <c r="B1471" s="8" t="s">
        <v>3372</v>
      </c>
      <c r="C1471" s="8" t="s">
        <v>186</v>
      </c>
      <c r="D1471" s="18" t="s">
        <v>2562</v>
      </c>
      <c r="E1471" s="16">
        <v>75.0</v>
      </c>
    </row>
    <row r="1472">
      <c r="A1472" s="8" t="s">
        <v>1264</v>
      </c>
      <c r="B1472" s="8" t="s">
        <v>1035</v>
      </c>
      <c r="C1472" s="8" t="s">
        <v>93</v>
      </c>
      <c r="D1472" s="18" t="s">
        <v>2595</v>
      </c>
      <c r="E1472" s="16">
        <v>76.0</v>
      </c>
    </row>
    <row r="1473">
      <c r="A1473" s="8" t="s">
        <v>1264</v>
      </c>
      <c r="B1473" s="8" t="s">
        <v>759</v>
      </c>
      <c r="C1473" s="8" t="s">
        <v>149</v>
      </c>
      <c r="D1473" s="18" t="s">
        <v>2621</v>
      </c>
      <c r="E1473" s="16">
        <v>63.0</v>
      </c>
    </row>
    <row r="1474">
      <c r="A1474" s="8" t="s">
        <v>1264</v>
      </c>
      <c r="B1474" s="8" t="s">
        <v>480</v>
      </c>
      <c r="C1474" s="8" t="s">
        <v>138</v>
      </c>
      <c r="D1474" s="18" t="s">
        <v>2574</v>
      </c>
      <c r="E1474" s="16">
        <v>64.0</v>
      </c>
    </row>
    <row r="1475">
      <c r="A1475" s="8" t="s">
        <v>1539</v>
      </c>
      <c r="B1475" s="8" t="s">
        <v>1540</v>
      </c>
      <c r="C1475" s="8" t="s">
        <v>93</v>
      </c>
      <c r="D1475" s="18" t="s">
        <v>2582</v>
      </c>
      <c r="E1475" s="16">
        <v>70.0</v>
      </c>
    </row>
    <row r="1476">
      <c r="A1476" s="8" t="s">
        <v>146</v>
      </c>
      <c r="B1476" s="8" t="s">
        <v>1473</v>
      </c>
      <c r="C1476" s="8" t="s">
        <v>53</v>
      </c>
      <c r="D1476" s="18" t="s">
        <v>2621</v>
      </c>
      <c r="E1476" s="16">
        <v>79.0</v>
      </c>
    </row>
    <row r="1477">
      <c r="A1477" s="8" t="s">
        <v>146</v>
      </c>
      <c r="B1477" s="8" t="s">
        <v>263</v>
      </c>
      <c r="C1477" s="8" t="s">
        <v>75</v>
      </c>
      <c r="D1477" s="18" t="s">
        <v>2605</v>
      </c>
      <c r="E1477" s="16">
        <v>68.0</v>
      </c>
    </row>
    <row r="1478">
      <c r="A1478" s="8" t="s">
        <v>2952</v>
      </c>
      <c r="B1478" s="8" t="s">
        <v>506</v>
      </c>
      <c r="C1478" s="8" t="s">
        <v>24</v>
      </c>
      <c r="D1478" s="18" t="s">
        <v>2552</v>
      </c>
      <c r="E1478" s="16">
        <v>67.0</v>
      </c>
    </row>
    <row r="1479">
      <c r="A1479" s="8" t="s">
        <v>1905</v>
      </c>
      <c r="B1479" s="8" t="s">
        <v>650</v>
      </c>
      <c r="C1479" s="8" t="s">
        <v>70</v>
      </c>
      <c r="D1479" s="18" t="s">
        <v>2614</v>
      </c>
      <c r="E1479" s="16">
        <v>75.0</v>
      </c>
    </row>
    <row r="1480">
      <c r="A1480" s="8" t="s">
        <v>1905</v>
      </c>
      <c r="B1480" s="8" t="s">
        <v>792</v>
      </c>
      <c r="C1480" s="8" t="s">
        <v>93</v>
      </c>
      <c r="D1480" s="18" t="s">
        <v>2567</v>
      </c>
      <c r="E1480" s="16">
        <v>72.0</v>
      </c>
    </row>
    <row r="1481">
      <c r="A1481" s="8" t="s">
        <v>1905</v>
      </c>
      <c r="B1481" s="8" t="s">
        <v>88</v>
      </c>
      <c r="C1481" s="8" t="s">
        <v>16</v>
      </c>
      <c r="D1481" s="18" t="s">
        <v>2567</v>
      </c>
      <c r="E1481" s="16">
        <v>61.0</v>
      </c>
    </row>
    <row r="1482">
      <c r="A1482" s="8" t="s">
        <v>2953</v>
      </c>
      <c r="B1482" s="8" t="s">
        <v>245</v>
      </c>
      <c r="C1482" s="8" t="s">
        <v>186</v>
      </c>
      <c r="D1482" s="18" t="s">
        <v>2567</v>
      </c>
      <c r="E1482" s="16">
        <v>68.0</v>
      </c>
    </row>
    <row r="1483">
      <c r="A1483" s="8" t="s">
        <v>984</v>
      </c>
      <c r="B1483" s="8" t="s">
        <v>985</v>
      </c>
      <c r="C1483" s="8" t="s">
        <v>141</v>
      </c>
      <c r="D1483" s="18" t="s">
        <v>2183</v>
      </c>
      <c r="E1483" s="16">
        <v>80.0</v>
      </c>
    </row>
    <row r="1484">
      <c r="A1484" s="8" t="s">
        <v>168</v>
      </c>
      <c r="B1484" s="8" t="s">
        <v>62</v>
      </c>
      <c r="C1484" s="8" t="s">
        <v>38</v>
      </c>
      <c r="D1484" s="18" t="s">
        <v>2595</v>
      </c>
      <c r="E1484" s="16">
        <v>84.0</v>
      </c>
    </row>
    <row r="1485">
      <c r="A1485" s="8" t="s">
        <v>765</v>
      </c>
      <c r="B1485" s="8" t="s">
        <v>146</v>
      </c>
      <c r="C1485" s="8" t="s">
        <v>149</v>
      </c>
      <c r="D1485" s="18" t="s">
        <v>2582</v>
      </c>
      <c r="E1485" s="16">
        <v>85.0</v>
      </c>
    </row>
    <row r="1486">
      <c r="A1486" s="8" t="s">
        <v>986</v>
      </c>
      <c r="B1486" s="18" t="s">
        <v>521</v>
      </c>
      <c r="C1486" s="8" t="s">
        <v>186</v>
      </c>
      <c r="D1486" s="18" t="s">
        <v>2575</v>
      </c>
      <c r="E1486" s="16">
        <v>89.0</v>
      </c>
    </row>
    <row r="1487">
      <c r="A1487" s="8" t="s">
        <v>1911</v>
      </c>
      <c r="B1487" s="8" t="s">
        <v>1063</v>
      </c>
      <c r="C1487" s="8" t="s">
        <v>215</v>
      </c>
      <c r="D1487" s="18" t="s">
        <v>2566</v>
      </c>
      <c r="E1487" s="16">
        <v>66.0</v>
      </c>
    </row>
    <row r="1488">
      <c r="A1488" s="8" t="s">
        <v>987</v>
      </c>
      <c r="B1488" s="8" t="s">
        <v>988</v>
      </c>
      <c r="C1488" s="8" t="s">
        <v>70</v>
      </c>
      <c r="D1488" s="18" t="s">
        <v>2585</v>
      </c>
      <c r="E1488" s="16">
        <v>60.0</v>
      </c>
    </row>
    <row r="1489">
      <c r="A1489" s="8" t="s">
        <v>1541</v>
      </c>
      <c r="B1489" s="8" t="s">
        <v>441</v>
      </c>
      <c r="C1489" s="8" t="s">
        <v>132</v>
      </c>
      <c r="D1489" s="18" t="s">
        <v>2574</v>
      </c>
      <c r="E1489" s="16">
        <v>73.0</v>
      </c>
    </row>
    <row r="1490">
      <c r="A1490" s="8" t="s">
        <v>2954</v>
      </c>
      <c r="B1490" s="8" t="s">
        <v>2955</v>
      </c>
      <c r="C1490" s="8" t="s">
        <v>53</v>
      </c>
      <c r="D1490" s="18" t="s">
        <v>2567</v>
      </c>
      <c r="E1490" s="16">
        <v>63.0</v>
      </c>
    </row>
    <row r="1491">
      <c r="A1491" s="8" t="s">
        <v>1908</v>
      </c>
      <c r="B1491" s="8" t="s">
        <v>1910</v>
      </c>
      <c r="C1491" s="8" t="s">
        <v>215</v>
      </c>
      <c r="D1491" s="18" t="s">
        <v>2595</v>
      </c>
      <c r="E1491" s="16">
        <v>65.0</v>
      </c>
    </row>
    <row r="1492">
      <c r="A1492" s="8" t="s">
        <v>1908</v>
      </c>
      <c r="B1492" s="8" t="s">
        <v>1909</v>
      </c>
      <c r="C1492" s="8" t="s">
        <v>70</v>
      </c>
      <c r="D1492" s="18" t="s">
        <v>2621</v>
      </c>
      <c r="E1492" s="16">
        <v>67.0</v>
      </c>
    </row>
    <row r="1493">
      <c r="A1493" s="8" t="s">
        <v>30</v>
      </c>
      <c r="B1493" s="8" t="s">
        <v>31</v>
      </c>
      <c r="C1493" s="8" t="s">
        <v>24</v>
      </c>
      <c r="D1493" s="18" t="s">
        <v>2554</v>
      </c>
      <c r="E1493" s="16">
        <v>49.0</v>
      </c>
    </row>
    <row r="1494">
      <c r="A1494" s="8" t="s">
        <v>2956</v>
      </c>
      <c r="B1494" s="8" t="s">
        <v>2957</v>
      </c>
      <c r="C1494" s="8" t="s">
        <v>93</v>
      </c>
      <c r="D1494" s="18" t="s">
        <v>2574</v>
      </c>
      <c r="E1494" s="16">
        <v>80.0</v>
      </c>
    </row>
    <row r="1495">
      <c r="A1495" s="8" t="s">
        <v>2958</v>
      </c>
      <c r="B1495" s="8" t="s">
        <v>197</v>
      </c>
      <c r="C1495" s="8" t="s">
        <v>75</v>
      </c>
      <c r="D1495" s="18" t="s">
        <v>2589</v>
      </c>
      <c r="E1495" s="16">
        <v>63.0</v>
      </c>
    </row>
    <row r="1496">
      <c r="A1496" s="8" t="s">
        <v>766</v>
      </c>
      <c r="B1496" s="8" t="s">
        <v>214</v>
      </c>
      <c r="C1496" s="8" t="s">
        <v>149</v>
      </c>
      <c r="D1496" s="18" t="s">
        <v>2558</v>
      </c>
      <c r="E1496" s="16">
        <v>66.0</v>
      </c>
    </row>
    <row r="1497">
      <c r="A1497" s="8" t="s">
        <v>766</v>
      </c>
      <c r="B1497" s="8" t="s">
        <v>247</v>
      </c>
      <c r="C1497" s="8" t="s">
        <v>70</v>
      </c>
      <c r="D1497" s="18" t="s">
        <v>2595</v>
      </c>
      <c r="E1497" s="16">
        <v>65.0</v>
      </c>
    </row>
    <row r="1498">
      <c r="A1498" s="8" t="s">
        <v>766</v>
      </c>
      <c r="B1498" s="8" t="s">
        <v>1542</v>
      </c>
      <c r="C1498" s="8" t="s">
        <v>46</v>
      </c>
      <c r="D1498" s="18" t="s">
        <v>2593</v>
      </c>
      <c r="E1498" s="16">
        <v>62.0</v>
      </c>
    </row>
    <row r="1499">
      <c r="A1499" s="8" t="s">
        <v>766</v>
      </c>
      <c r="B1499" s="8" t="s">
        <v>67</v>
      </c>
      <c r="C1499" s="8" t="s">
        <v>192</v>
      </c>
      <c r="D1499" s="18" t="s">
        <v>2566</v>
      </c>
      <c r="E1499" s="16">
        <v>67.0</v>
      </c>
    </row>
    <row r="1500">
      <c r="A1500" s="8" t="s">
        <v>766</v>
      </c>
      <c r="B1500" s="8" t="s">
        <v>334</v>
      </c>
      <c r="C1500" s="8" t="s">
        <v>59</v>
      </c>
      <c r="D1500" s="18" t="s">
        <v>2582</v>
      </c>
      <c r="E1500" s="16">
        <v>81.0</v>
      </c>
    </row>
    <row r="1501">
      <c r="A1501" s="8" t="s">
        <v>767</v>
      </c>
      <c r="B1501" s="8" t="s">
        <v>2959</v>
      </c>
      <c r="C1501" s="8" t="s">
        <v>70</v>
      </c>
      <c r="D1501" s="18" t="s">
        <v>2621</v>
      </c>
      <c r="E1501" s="16">
        <v>91.0</v>
      </c>
    </row>
    <row r="1502">
      <c r="A1502" s="8" t="s">
        <v>767</v>
      </c>
      <c r="B1502" s="8" t="s">
        <v>129</v>
      </c>
      <c r="C1502" s="8" t="s">
        <v>80</v>
      </c>
      <c r="D1502" s="18" t="s">
        <v>2183</v>
      </c>
      <c r="E1502" s="16">
        <v>70.0</v>
      </c>
    </row>
    <row r="1503">
      <c r="A1503" s="8" t="s">
        <v>767</v>
      </c>
      <c r="B1503" s="8" t="s">
        <v>381</v>
      </c>
      <c r="C1503" s="8" t="s">
        <v>149</v>
      </c>
      <c r="D1503" s="18" t="s">
        <v>2620</v>
      </c>
      <c r="E1503" s="16">
        <v>62.0</v>
      </c>
    </row>
    <row r="1504">
      <c r="A1504" s="8" t="s">
        <v>767</v>
      </c>
      <c r="B1504" s="8" t="s">
        <v>768</v>
      </c>
      <c r="C1504" s="8" t="s">
        <v>70</v>
      </c>
      <c r="D1504" s="18" t="s">
        <v>2552</v>
      </c>
      <c r="E1504" s="16">
        <v>84.0</v>
      </c>
    </row>
    <row r="1505">
      <c r="A1505" s="8" t="s">
        <v>769</v>
      </c>
      <c r="B1505" s="8" t="s">
        <v>45</v>
      </c>
      <c r="C1505" s="8" t="s">
        <v>12</v>
      </c>
      <c r="D1505" s="18" t="s">
        <v>2584</v>
      </c>
      <c r="E1505" s="16">
        <v>78.0</v>
      </c>
    </row>
    <row r="1506">
      <c r="A1506" s="8" t="s">
        <v>3373</v>
      </c>
      <c r="B1506" s="8" t="s">
        <v>337</v>
      </c>
      <c r="C1506" s="8" t="s">
        <v>46</v>
      </c>
      <c r="D1506" s="18" t="s">
        <v>2603</v>
      </c>
      <c r="E1506" s="16">
        <v>61.0</v>
      </c>
    </row>
    <row r="1507">
      <c r="A1507" s="8" t="s">
        <v>2960</v>
      </c>
      <c r="B1507" s="8" t="s">
        <v>1128</v>
      </c>
      <c r="C1507" s="8" t="s">
        <v>93</v>
      </c>
      <c r="D1507" s="18" t="s">
        <v>2584</v>
      </c>
      <c r="E1507" s="16">
        <v>67.0</v>
      </c>
    </row>
    <row r="1508">
      <c r="A1508" s="8" t="s">
        <v>1268</v>
      </c>
      <c r="B1508" s="8" t="s">
        <v>881</v>
      </c>
      <c r="C1508" s="8" t="s">
        <v>215</v>
      </c>
      <c r="D1508" s="18" t="s">
        <v>2615</v>
      </c>
      <c r="E1508" s="16">
        <v>71.0</v>
      </c>
    </row>
    <row r="1509">
      <c r="A1509" s="8" t="s">
        <v>1543</v>
      </c>
      <c r="B1509" s="8" t="s">
        <v>1544</v>
      </c>
      <c r="C1509" s="8" t="s">
        <v>65</v>
      </c>
      <c r="D1509" s="18" t="s">
        <v>2567</v>
      </c>
      <c r="E1509" s="16">
        <v>59.0</v>
      </c>
    </row>
    <row r="1510">
      <c r="A1510" s="8" t="s">
        <v>1036</v>
      </c>
      <c r="B1510" s="8" t="s">
        <v>1918</v>
      </c>
      <c r="C1510" s="8" t="s">
        <v>192</v>
      </c>
      <c r="D1510" s="18" t="s">
        <v>2598</v>
      </c>
      <c r="E1510" s="16">
        <v>83.0</v>
      </c>
    </row>
    <row r="1511">
      <c r="A1511" s="8" t="s">
        <v>1036</v>
      </c>
      <c r="B1511" s="8" t="s">
        <v>94</v>
      </c>
      <c r="C1511" s="8" t="s">
        <v>138</v>
      </c>
      <c r="D1511" s="18" t="s">
        <v>2614</v>
      </c>
      <c r="E1511" s="16">
        <v>63.0</v>
      </c>
    </row>
    <row r="1512">
      <c r="A1512" s="8" t="s">
        <v>989</v>
      </c>
      <c r="B1512" s="8" t="s">
        <v>990</v>
      </c>
      <c r="C1512" s="8" t="s">
        <v>192</v>
      </c>
      <c r="D1512" s="18" t="s">
        <v>2598</v>
      </c>
      <c r="E1512" s="16">
        <v>61.0</v>
      </c>
    </row>
    <row r="1513">
      <c r="A1513" s="8" t="s">
        <v>220</v>
      </c>
      <c r="B1513" s="8" t="s">
        <v>304</v>
      </c>
      <c r="C1513" s="8" t="s">
        <v>186</v>
      </c>
      <c r="D1513" s="18" t="s">
        <v>2620</v>
      </c>
      <c r="E1513" s="16">
        <v>66.0</v>
      </c>
    </row>
    <row r="1514">
      <c r="A1514" s="8" t="s">
        <v>220</v>
      </c>
      <c r="B1514" s="18" t="s">
        <v>159</v>
      </c>
      <c r="C1514" s="8" t="s">
        <v>65</v>
      </c>
      <c r="D1514" s="18" t="s">
        <v>2589</v>
      </c>
      <c r="E1514" s="16">
        <v>73.0</v>
      </c>
    </row>
    <row r="1515">
      <c r="A1515" s="8" t="s">
        <v>220</v>
      </c>
      <c r="B1515" s="8" t="s">
        <v>2961</v>
      </c>
      <c r="C1515" s="8" t="s">
        <v>65</v>
      </c>
      <c r="D1515" s="18" t="s">
        <v>2558</v>
      </c>
      <c r="E1515" s="16">
        <v>91.0</v>
      </c>
    </row>
    <row r="1516">
      <c r="A1516" s="8" t="s">
        <v>220</v>
      </c>
      <c r="B1516" s="8" t="s">
        <v>214</v>
      </c>
      <c r="C1516" s="8" t="s">
        <v>24</v>
      </c>
      <c r="D1516" s="18" t="s">
        <v>2585</v>
      </c>
      <c r="E1516" s="16">
        <v>44.0</v>
      </c>
    </row>
    <row r="1517">
      <c r="A1517" s="8" t="s">
        <v>220</v>
      </c>
      <c r="B1517" s="8" t="s">
        <v>1173</v>
      </c>
      <c r="C1517" s="8" t="s">
        <v>80</v>
      </c>
      <c r="D1517" s="18" t="s">
        <v>2556</v>
      </c>
      <c r="E1517" s="16">
        <v>79.0</v>
      </c>
    </row>
    <row r="1518">
      <c r="A1518" s="8" t="s">
        <v>220</v>
      </c>
      <c r="B1518" s="8" t="s">
        <v>759</v>
      </c>
      <c r="C1518" s="8" t="s">
        <v>93</v>
      </c>
      <c r="D1518" s="18" t="s">
        <v>2183</v>
      </c>
      <c r="E1518" s="16">
        <v>74.0</v>
      </c>
    </row>
    <row r="1519">
      <c r="A1519" s="8" t="s">
        <v>2962</v>
      </c>
      <c r="B1519" s="8" t="s">
        <v>337</v>
      </c>
      <c r="C1519" s="8" t="s">
        <v>93</v>
      </c>
      <c r="D1519" s="18" t="s">
        <v>2562</v>
      </c>
      <c r="E1519" s="16">
        <v>69.0</v>
      </c>
    </row>
    <row r="1520">
      <c r="A1520" s="8" t="s">
        <v>3374</v>
      </c>
      <c r="B1520" s="8" t="s">
        <v>3375</v>
      </c>
      <c r="C1520" s="8" t="s">
        <v>46</v>
      </c>
      <c r="D1520" s="18" t="s">
        <v>2575</v>
      </c>
      <c r="E1520" s="16">
        <v>59.0</v>
      </c>
    </row>
    <row r="1521">
      <c r="A1521" s="8" t="s">
        <v>404</v>
      </c>
      <c r="B1521" s="8" t="s">
        <v>405</v>
      </c>
      <c r="C1521" s="8" t="s">
        <v>149</v>
      </c>
      <c r="D1521" s="18" t="s">
        <v>2556</v>
      </c>
      <c r="E1521" s="16">
        <v>71.0</v>
      </c>
    </row>
    <row r="1522">
      <c r="A1522" s="8" t="s">
        <v>2963</v>
      </c>
      <c r="B1522" s="8" t="s">
        <v>2804</v>
      </c>
      <c r="C1522" s="8" t="s">
        <v>93</v>
      </c>
      <c r="D1522" s="18" t="s">
        <v>2552</v>
      </c>
      <c r="E1522" s="16">
        <v>85.0</v>
      </c>
    </row>
    <row r="1523">
      <c r="A1523" s="8" t="s">
        <v>406</v>
      </c>
      <c r="B1523" s="8" t="s">
        <v>407</v>
      </c>
      <c r="C1523" s="8" t="s">
        <v>16</v>
      </c>
      <c r="D1523" s="18" t="s">
        <v>2574</v>
      </c>
      <c r="E1523" s="16">
        <v>88.0</v>
      </c>
    </row>
    <row r="1524">
      <c r="A1524" s="8" t="s">
        <v>406</v>
      </c>
      <c r="B1524" s="8" t="s">
        <v>493</v>
      </c>
      <c r="C1524" s="8" t="s">
        <v>149</v>
      </c>
      <c r="D1524" s="18" t="s">
        <v>2562</v>
      </c>
      <c r="E1524" s="16">
        <v>78.0</v>
      </c>
    </row>
    <row r="1525">
      <c r="A1525" s="8" t="s">
        <v>1919</v>
      </c>
      <c r="B1525" s="8" t="s">
        <v>1920</v>
      </c>
      <c r="C1525" s="8" t="s">
        <v>138</v>
      </c>
      <c r="D1525" s="18" t="s">
        <v>2584</v>
      </c>
      <c r="E1525" s="16">
        <v>77.0</v>
      </c>
    </row>
    <row r="1526">
      <c r="A1526" s="8" t="s">
        <v>2964</v>
      </c>
      <c r="B1526" s="8" t="s">
        <v>2965</v>
      </c>
      <c r="C1526" s="8" t="s">
        <v>122</v>
      </c>
      <c r="D1526" s="18" t="s">
        <v>2554</v>
      </c>
      <c r="E1526" s="16">
        <v>78.0</v>
      </c>
    </row>
    <row r="1527">
      <c r="A1527" s="8" t="s">
        <v>2201</v>
      </c>
      <c r="B1527" s="8" t="s">
        <v>2202</v>
      </c>
      <c r="C1527" s="8" t="s">
        <v>192</v>
      </c>
      <c r="D1527" s="18" t="s">
        <v>2582</v>
      </c>
      <c r="E1527" s="16">
        <v>68.0</v>
      </c>
    </row>
    <row r="1528">
      <c r="A1528" s="8" t="s">
        <v>1550</v>
      </c>
      <c r="B1528" s="8" t="s">
        <v>934</v>
      </c>
      <c r="C1528" s="8" t="s">
        <v>186</v>
      </c>
      <c r="D1528" s="18" t="s">
        <v>2610</v>
      </c>
      <c r="E1528" s="16">
        <v>62.0</v>
      </c>
    </row>
    <row r="1529">
      <c r="A1529" s="8" t="s">
        <v>2966</v>
      </c>
      <c r="B1529" s="8" t="s">
        <v>2967</v>
      </c>
      <c r="C1529" s="8" t="s">
        <v>53</v>
      </c>
      <c r="D1529" s="18" t="s">
        <v>2183</v>
      </c>
      <c r="E1529" s="16">
        <v>67.0</v>
      </c>
    </row>
    <row r="1530">
      <c r="A1530" s="8" t="s">
        <v>2968</v>
      </c>
      <c r="B1530" s="8" t="s">
        <v>713</v>
      </c>
      <c r="C1530" s="8" t="s">
        <v>24</v>
      </c>
      <c r="D1530" s="18" t="s">
        <v>2589</v>
      </c>
      <c r="E1530" s="16">
        <v>74.0</v>
      </c>
    </row>
    <row r="1531">
      <c r="A1531" s="8" t="s">
        <v>3376</v>
      </c>
      <c r="B1531" s="8" t="s">
        <v>936</v>
      </c>
      <c r="C1531" s="8" t="s">
        <v>59</v>
      </c>
      <c r="D1531" s="18" t="s">
        <v>2600</v>
      </c>
      <c r="E1531" s="16">
        <v>78.0</v>
      </c>
    </row>
    <row r="1532">
      <c r="A1532" s="8" t="s">
        <v>991</v>
      </c>
      <c r="B1532" s="8" t="s">
        <v>992</v>
      </c>
      <c r="C1532" s="8" t="s">
        <v>261</v>
      </c>
      <c r="D1532" s="18" t="s">
        <v>2577</v>
      </c>
      <c r="E1532" s="16">
        <v>80.0</v>
      </c>
    </row>
    <row r="1533">
      <c r="A1533" s="8" t="s">
        <v>2969</v>
      </c>
      <c r="B1533" s="8" t="s">
        <v>2970</v>
      </c>
      <c r="C1533" s="8" t="s">
        <v>93</v>
      </c>
      <c r="D1533" s="18" t="s">
        <v>2584</v>
      </c>
      <c r="E1533" s="16">
        <v>61.0</v>
      </c>
    </row>
    <row r="1534">
      <c r="A1534" s="8" t="s">
        <v>2205</v>
      </c>
      <c r="B1534" s="8" t="s">
        <v>506</v>
      </c>
      <c r="C1534" s="8" t="s">
        <v>24</v>
      </c>
      <c r="D1534" s="18" t="s">
        <v>2615</v>
      </c>
      <c r="E1534" s="16">
        <v>78.0</v>
      </c>
    </row>
    <row r="1535">
      <c r="A1535" s="8" t="s">
        <v>1922</v>
      </c>
      <c r="B1535" s="8" t="s">
        <v>337</v>
      </c>
      <c r="C1535" s="8" t="s">
        <v>138</v>
      </c>
      <c r="D1535" s="18" t="s">
        <v>2589</v>
      </c>
      <c r="E1535" s="16">
        <v>76.0</v>
      </c>
    </row>
    <row r="1536">
      <c r="A1536" s="8" t="s">
        <v>300</v>
      </c>
      <c r="B1536" s="8" t="s">
        <v>301</v>
      </c>
      <c r="C1536" s="8" t="s">
        <v>93</v>
      </c>
      <c r="D1536" s="18" t="s">
        <v>2582</v>
      </c>
      <c r="E1536" s="16">
        <v>90.0</v>
      </c>
    </row>
    <row r="1537">
      <c r="A1537" s="8" t="s">
        <v>1270</v>
      </c>
      <c r="B1537" s="8" t="s">
        <v>196</v>
      </c>
      <c r="C1537" s="8" t="s">
        <v>53</v>
      </c>
      <c r="D1537" s="18" t="s">
        <v>2574</v>
      </c>
      <c r="E1537" s="16">
        <v>60.0</v>
      </c>
    </row>
    <row r="1538">
      <c r="A1538" s="8" t="s">
        <v>3377</v>
      </c>
      <c r="B1538" s="8" t="s">
        <v>1604</v>
      </c>
      <c r="C1538" s="8" t="s">
        <v>38</v>
      </c>
      <c r="D1538" s="18" t="s">
        <v>2584</v>
      </c>
      <c r="E1538" s="16">
        <v>77.0</v>
      </c>
    </row>
    <row r="1539">
      <c r="A1539" s="8" t="s">
        <v>993</v>
      </c>
      <c r="B1539" s="8" t="s">
        <v>55</v>
      </c>
      <c r="C1539" s="8" t="s">
        <v>75</v>
      </c>
      <c r="D1539" s="18" t="s">
        <v>2574</v>
      </c>
      <c r="E1539" s="16">
        <v>84.0</v>
      </c>
    </row>
    <row r="1540">
      <c r="A1540" s="8" t="s">
        <v>3378</v>
      </c>
      <c r="B1540" s="8" t="s">
        <v>119</v>
      </c>
      <c r="C1540" s="8" t="s">
        <v>65</v>
      </c>
      <c r="D1540" s="18" t="s">
        <v>2566</v>
      </c>
      <c r="E1540" s="16">
        <v>68.0</v>
      </c>
    </row>
    <row r="1541">
      <c r="A1541" s="8" t="s">
        <v>3379</v>
      </c>
      <c r="B1541" s="8" t="s">
        <v>231</v>
      </c>
      <c r="C1541" s="8" t="s">
        <v>12</v>
      </c>
      <c r="D1541" s="18" t="s">
        <v>2562</v>
      </c>
      <c r="E1541" s="16">
        <v>79.0</v>
      </c>
    </row>
    <row r="1542">
      <c r="A1542" s="8" t="s">
        <v>169</v>
      </c>
      <c r="B1542" s="8" t="s">
        <v>170</v>
      </c>
      <c r="C1542" s="8" t="s">
        <v>46</v>
      </c>
      <c r="D1542" s="18" t="s">
        <v>2582</v>
      </c>
      <c r="E1542" s="16">
        <v>74.0</v>
      </c>
    </row>
    <row r="1543">
      <c r="A1543" s="8" t="s">
        <v>1271</v>
      </c>
      <c r="B1543" s="8" t="s">
        <v>1272</v>
      </c>
      <c r="C1543" s="8" t="s">
        <v>138</v>
      </c>
      <c r="D1543" s="18" t="s">
        <v>2183</v>
      </c>
      <c r="E1543" s="16">
        <v>65.0</v>
      </c>
    </row>
    <row r="1544">
      <c r="A1544" s="8" t="s">
        <v>2971</v>
      </c>
      <c r="B1544" s="8" t="s">
        <v>2972</v>
      </c>
      <c r="C1544" s="8" t="s">
        <v>215</v>
      </c>
      <c r="D1544" s="18" t="s">
        <v>2585</v>
      </c>
      <c r="E1544" s="16">
        <v>62.0</v>
      </c>
    </row>
    <row r="1545">
      <c r="A1545" s="8" t="s">
        <v>2971</v>
      </c>
      <c r="B1545" s="8" t="s">
        <v>3380</v>
      </c>
      <c r="C1545" s="8" t="s">
        <v>65</v>
      </c>
      <c r="D1545" s="18" t="s">
        <v>2614</v>
      </c>
      <c r="E1545" s="16">
        <v>64.0</v>
      </c>
    </row>
    <row r="1546">
      <c r="A1546" s="8" t="s">
        <v>588</v>
      </c>
      <c r="B1546" s="8" t="s">
        <v>471</v>
      </c>
      <c r="C1546" s="8" t="s">
        <v>186</v>
      </c>
      <c r="D1546" s="18" t="s">
        <v>2614</v>
      </c>
      <c r="E1546" s="16">
        <v>64.0</v>
      </c>
    </row>
    <row r="1547">
      <c r="A1547" s="8" t="s">
        <v>3381</v>
      </c>
      <c r="B1547" s="8" t="s">
        <v>1598</v>
      </c>
      <c r="C1547" s="8" t="s">
        <v>53</v>
      </c>
      <c r="D1547" s="18" t="s">
        <v>2621</v>
      </c>
      <c r="E1547" s="16">
        <v>61.0</v>
      </c>
    </row>
    <row r="1548">
      <c r="A1548" s="18" t="s">
        <v>1553</v>
      </c>
      <c r="B1548" s="8" t="s">
        <v>771</v>
      </c>
      <c r="C1548" s="8" t="s">
        <v>138</v>
      </c>
      <c r="D1548" s="18" t="s">
        <v>2554</v>
      </c>
      <c r="E1548" s="16">
        <v>64.0</v>
      </c>
    </row>
    <row r="1549">
      <c r="A1549" s="8" t="s">
        <v>1554</v>
      </c>
      <c r="B1549" s="8" t="s">
        <v>1555</v>
      </c>
      <c r="C1549" s="8" t="s">
        <v>215</v>
      </c>
      <c r="D1549" s="18" t="s">
        <v>2552</v>
      </c>
      <c r="E1549" s="16">
        <v>65.0</v>
      </c>
    </row>
    <row r="1550">
      <c r="A1550" s="8" t="s">
        <v>1273</v>
      </c>
      <c r="B1550" s="8" t="s">
        <v>1274</v>
      </c>
      <c r="C1550" s="8" t="s">
        <v>132</v>
      </c>
      <c r="D1550" s="18" t="s">
        <v>2603</v>
      </c>
      <c r="E1550" s="16">
        <v>66.0</v>
      </c>
    </row>
    <row r="1551">
      <c r="A1551" s="8" t="s">
        <v>2973</v>
      </c>
      <c r="B1551" s="8" t="s">
        <v>2974</v>
      </c>
      <c r="C1551" s="8" t="s">
        <v>215</v>
      </c>
      <c r="D1551" s="18" t="s">
        <v>2566</v>
      </c>
      <c r="E1551" s="16">
        <v>67.0</v>
      </c>
    </row>
    <row r="1552">
      <c r="A1552" s="8" t="s">
        <v>1925</v>
      </c>
      <c r="B1552" s="8" t="s">
        <v>275</v>
      </c>
      <c r="C1552" s="8" t="s">
        <v>215</v>
      </c>
      <c r="D1552" s="18" t="s">
        <v>2598</v>
      </c>
      <c r="E1552" s="16">
        <v>62.0</v>
      </c>
    </row>
    <row r="1553">
      <c r="A1553" s="18" t="s">
        <v>770</v>
      </c>
      <c r="B1553" s="8" t="s">
        <v>771</v>
      </c>
      <c r="C1553" s="8" t="s">
        <v>38</v>
      </c>
      <c r="D1553" s="18" t="s">
        <v>2605</v>
      </c>
      <c r="E1553" s="16">
        <v>79.0</v>
      </c>
    </row>
    <row r="1554">
      <c r="A1554" s="8" t="s">
        <v>1557</v>
      </c>
      <c r="B1554" s="8" t="s">
        <v>226</v>
      </c>
      <c r="C1554" s="8" t="s">
        <v>138</v>
      </c>
      <c r="D1554" s="18" t="s">
        <v>2615</v>
      </c>
      <c r="E1554" s="16">
        <v>74.0</v>
      </c>
    </row>
    <row r="1555">
      <c r="A1555" s="8" t="s">
        <v>996</v>
      </c>
      <c r="B1555" s="8" t="s">
        <v>329</v>
      </c>
      <c r="C1555" s="8" t="s">
        <v>149</v>
      </c>
      <c r="D1555" s="18" t="s">
        <v>2610</v>
      </c>
      <c r="E1555" s="16">
        <v>72.0</v>
      </c>
    </row>
    <row r="1556">
      <c r="A1556" s="8" t="s">
        <v>997</v>
      </c>
      <c r="B1556" s="8" t="s">
        <v>998</v>
      </c>
      <c r="C1556" s="8" t="s">
        <v>186</v>
      </c>
      <c r="D1556" s="18" t="s">
        <v>2593</v>
      </c>
      <c r="E1556" s="16">
        <v>77.0</v>
      </c>
    </row>
    <row r="1557">
      <c r="A1557" s="8" t="s">
        <v>1558</v>
      </c>
      <c r="B1557" s="8" t="s">
        <v>1559</v>
      </c>
      <c r="C1557" s="8" t="s">
        <v>70</v>
      </c>
      <c r="D1557" s="18" t="s">
        <v>2562</v>
      </c>
      <c r="E1557" s="16">
        <v>65.0</v>
      </c>
    </row>
    <row r="1558">
      <c r="A1558" s="8" t="s">
        <v>1560</v>
      </c>
      <c r="B1558" s="8" t="s">
        <v>64</v>
      </c>
      <c r="C1558" s="8" t="s">
        <v>122</v>
      </c>
      <c r="D1558" s="18" t="s">
        <v>2615</v>
      </c>
      <c r="E1558" s="16">
        <v>69.0</v>
      </c>
    </row>
    <row r="1559">
      <c r="A1559" s="8" t="s">
        <v>3382</v>
      </c>
      <c r="B1559" s="8" t="s">
        <v>137</v>
      </c>
      <c r="C1559" s="8" t="s">
        <v>149</v>
      </c>
      <c r="D1559" s="18" t="s">
        <v>2574</v>
      </c>
      <c r="E1559" s="16">
        <v>74.0</v>
      </c>
    </row>
    <row r="1560">
      <c r="A1560" s="8" t="s">
        <v>772</v>
      </c>
      <c r="B1560" s="8" t="s">
        <v>100</v>
      </c>
      <c r="C1560" s="8" t="s">
        <v>138</v>
      </c>
      <c r="D1560" s="18" t="s">
        <v>2595</v>
      </c>
      <c r="E1560" s="16">
        <v>72.0</v>
      </c>
    </row>
    <row r="1561">
      <c r="A1561" s="8" t="s">
        <v>3383</v>
      </c>
      <c r="B1561" s="8" t="s">
        <v>443</v>
      </c>
      <c r="C1561" s="8" t="s">
        <v>138</v>
      </c>
      <c r="D1561" s="18" t="s">
        <v>2183</v>
      </c>
      <c r="E1561" s="16">
        <v>57.0</v>
      </c>
    </row>
    <row r="1562">
      <c r="A1562" s="8" t="s">
        <v>3384</v>
      </c>
      <c r="B1562" s="8" t="s">
        <v>524</v>
      </c>
      <c r="C1562" s="8" t="s">
        <v>215</v>
      </c>
      <c r="D1562" s="18" t="s">
        <v>2581</v>
      </c>
      <c r="E1562" s="16">
        <v>56.0</v>
      </c>
    </row>
    <row r="1563">
      <c r="A1563" s="8" t="s">
        <v>408</v>
      </c>
      <c r="B1563" s="8" t="s">
        <v>409</v>
      </c>
      <c r="C1563" s="8" t="s">
        <v>46</v>
      </c>
      <c r="D1563" s="18" t="s">
        <v>2572</v>
      </c>
      <c r="E1563" s="16">
        <v>73.0</v>
      </c>
    </row>
    <row r="1564">
      <c r="A1564" s="8" t="s">
        <v>1928</v>
      </c>
      <c r="B1564" s="8" t="s">
        <v>1929</v>
      </c>
      <c r="C1564" s="8" t="s">
        <v>138</v>
      </c>
      <c r="D1564" s="18" t="s">
        <v>2566</v>
      </c>
      <c r="E1564" s="16">
        <v>70.0</v>
      </c>
    </row>
    <row r="1565">
      <c r="A1565" s="8" t="s">
        <v>302</v>
      </c>
      <c r="B1565" s="8" t="s">
        <v>137</v>
      </c>
      <c r="C1565" s="8" t="s">
        <v>132</v>
      </c>
      <c r="D1565" s="18" t="s">
        <v>2587</v>
      </c>
      <c r="E1565" s="16">
        <v>67.0</v>
      </c>
    </row>
    <row r="1566">
      <c r="A1566" s="8" t="s">
        <v>3385</v>
      </c>
      <c r="B1566" s="8" t="s">
        <v>3386</v>
      </c>
      <c r="C1566" s="8" t="s">
        <v>93</v>
      </c>
      <c r="D1566" s="18" t="s">
        <v>2598</v>
      </c>
      <c r="E1566" s="16">
        <v>66.0</v>
      </c>
    </row>
    <row r="1567">
      <c r="A1567" s="8" t="s">
        <v>410</v>
      </c>
      <c r="B1567" s="8" t="s">
        <v>411</v>
      </c>
      <c r="C1567" s="8" t="s">
        <v>261</v>
      </c>
      <c r="D1567" s="18" t="s">
        <v>2556</v>
      </c>
      <c r="E1567" s="16">
        <v>72.0</v>
      </c>
    </row>
    <row r="1568">
      <c r="A1568" s="18" t="s">
        <v>999</v>
      </c>
      <c r="B1568" s="8" t="s">
        <v>231</v>
      </c>
      <c r="C1568" s="8" t="s">
        <v>24</v>
      </c>
      <c r="D1568" s="18" t="s">
        <v>2587</v>
      </c>
      <c r="E1568" s="16">
        <v>76.0</v>
      </c>
    </row>
    <row r="1569">
      <c r="A1569" s="8" t="s">
        <v>2393</v>
      </c>
      <c r="B1569" s="8" t="s">
        <v>1204</v>
      </c>
      <c r="C1569" s="8" t="s">
        <v>70</v>
      </c>
      <c r="D1569" s="18" t="s">
        <v>2572</v>
      </c>
      <c r="E1569" s="16">
        <v>79.0</v>
      </c>
    </row>
    <row r="1570">
      <c r="A1570" s="8" t="s">
        <v>123</v>
      </c>
      <c r="B1570" s="8" t="s">
        <v>124</v>
      </c>
      <c r="C1570" s="8" t="s">
        <v>24</v>
      </c>
      <c r="D1570" s="18" t="s">
        <v>2574</v>
      </c>
      <c r="E1570" s="16">
        <v>92.0</v>
      </c>
    </row>
    <row r="1571">
      <c r="A1571" s="18" t="s">
        <v>2975</v>
      </c>
      <c r="B1571" s="8" t="s">
        <v>67</v>
      </c>
      <c r="C1571" s="8" t="s">
        <v>24</v>
      </c>
      <c r="D1571" s="18" t="s">
        <v>2556</v>
      </c>
      <c r="E1571" s="16">
        <v>67.0</v>
      </c>
    </row>
    <row r="1572">
      <c r="A1572" s="8" t="s">
        <v>2976</v>
      </c>
      <c r="B1572" s="8" t="s">
        <v>194</v>
      </c>
      <c r="C1572" s="8" t="s">
        <v>75</v>
      </c>
      <c r="D1572" s="18" t="s">
        <v>2584</v>
      </c>
      <c r="E1572" s="16">
        <v>76.0</v>
      </c>
    </row>
    <row r="1573">
      <c r="A1573" s="8" t="s">
        <v>1000</v>
      </c>
      <c r="B1573" s="8" t="s">
        <v>194</v>
      </c>
      <c r="C1573" s="8" t="s">
        <v>186</v>
      </c>
      <c r="D1573" s="18" t="s">
        <v>2575</v>
      </c>
      <c r="E1573" s="16">
        <v>60.0</v>
      </c>
    </row>
    <row r="1574">
      <c r="A1574" s="8" t="s">
        <v>1275</v>
      </c>
      <c r="B1574" s="8" t="s">
        <v>506</v>
      </c>
      <c r="C1574" s="8" t="s">
        <v>122</v>
      </c>
      <c r="D1574" s="18" t="s">
        <v>2595</v>
      </c>
      <c r="E1574" s="16">
        <v>72.0</v>
      </c>
    </row>
    <row r="1575">
      <c r="A1575" s="8" t="s">
        <v>2977</v>
      </c>
      <c r="B1575" s="8" t="s">
        <v>157</v>
      </c>
      <c r="C1575" s="8" t="s">
        <v>59</v>
      </c>
      <c r="D1575" s="18" t="s">
        <v>2621</v>
      </c>
      <c r="E1575" s="16">
        <v>85.0</v>
      </c>
    </row>
    <row r="1576">
      <c r="A1576" s="8" t="s">
        <v>1561</v>
      </c>
      <c r="B1576" s="8" t="s">
        <v>317</v>
      </c>
      <c r="C1576" s="8" t="s">
        <v>138</v>
      </c>
      <c r="D1576" s="18" t="s">
        <v>2615</v>
      </c>
      <c r="E1576" s="16">
        <v>69.0</v>
      </c>
    </row>
    <row r="1577">
      <c r="A1577" s="8" t="s">
        <v>3387</v>
      </c>
      <c r="B1577" s="8" t="s">
        <v>1031</v>
      </c>
      <c r="C1577" s="8" t="s">
        <v>24</v>
      </c>
      <c r="D1577" s="18" t="s">
        <v>2577</v>
      </c>
      <c r="E1577" s="16">
        <v>65.0</v>
      </c>
    </row>
    <row r="1578">
      <c r="A1578" s="8" t="s">
        <v>1562</v>
      </c>
      <c r="B1578" s="8" t="s">
        <v>1563</v>
      </c>
      <c r="C1578" s="8" t="s">
        <v>261</v>
      </c>
      <c r="D1578" s="18" t="s">
        <v>2575</v>
      </c>
      <c r="E1578" s="16">
        <v>69.0</v>
      </c>
    </row>
    <row r="1579">
      <c r="A1579" s="8" t="s">
        <v>412</v>
      </c>
      <c r="B1579" s="8" t="s">
        <v>413</v>
      </c>
      <c r="C1579" s="8" t="s">
        <v>75</v>
      </c>
      <c r="D1579" s="18" t="s">
        <v>2556</v>
      </c>
      <c r="E1579" s="16">
        <v>92.0</v>
      </c>
    </row>
    <row r="1580">
      <c r="A1580" s="18" t="s">
        <v>1001</v>
      </c>
      <c r="B1580" s="8" t="s">
        <v>260</v>
      </c>
      <c r="C1580" s="8" t="s">
        <v>24</v>
      </c>
      <c r="D1580" s="18" t="s">
        <v>2600</v>
      </c>
      <c r="E1580" s="16">
        <v>67.0</v>
      </c>
    </row>
    <row r="1581">
      <c r="A1581" s="8" t="s">
        <v>2978</v>
      </c>
      <c r="B1581" s="8" t="s">
        <v>243</v>
      </c>
      <c r="C1581" s="8" t="s">
        <v>16</v>
      </c>
      <c r="D1581" s="18" t="s">
        <v>2615</v>
      </c>
      <c r="E1581" s="16">
        <v>75.0</v>
      </c>
    </row>
    <row r="1582">
      <c r="A1582" s="8" t="s">
        <v>1002</v>
      </c>
      <c r="B1582" s="8" t="s">
        <v>676</v>
      </c>
      <c r="C1582" s="8" t="s">
        <v>24</v>
      </c>
      <c r="D1582" s="18" t="s">
        <v>2603</v>
      </c>
      <c r="E1582" s="16">
        <v>47.0</v>
      </c>
    </row>
    <row r="1583">
      <c r="A1583" s="8" t="s">
        <v>3388</v>
      </c>
      <c r="B1583" s="8" t="s">
        <v>88</v>
      </c>
      <c r="C1583" s="8" t="s">
        <v>122</v>
      </c>
      <c r="D1583" s="18" t="s">
        <v>2614</v>
      </c>
      <c r="E1583" s="16">
        <v>79.0</v>
      </c>
    </row>
    <row r="1584">
      <c r="A1584" s="8" t="s">
        <v>2979</v>
      </c>
      <c r="B1584" s="8" t="s">
        <v>2980</v>
      </c>
      <c r="C1584" s="8" t="s">
        <v>149</v>
      </c>
      <c r="D1584" s="18" t="s">
        <v>2582</v>
      </c>
      <c r="E1584" s="16">
        <v>66.0</v>
      </c>
    </row>
    <row r="1585">
      <c r="A1585" s="8" t="s">
        <v>1003</v>
      </c>
      <c r="B1585" s="8" t="s">
        <v>137</v>
      </c>
      <c r="C1585" s="8" t="s">
        <v>38</v>
      </c>
      <c r="D1585" s="18" t="s">
        <v>2574</v>
      </c>
      <c r="E1585" s="16">
        <v>74.0</v>
      </c>
    </row>
    <row r="1586">
      <c r="A1586" s="8" t="s">
        <v>2981</v>
      </c>
      <c r="B1586" s="8" t="s">
        <v>2982</v>
      </c>
      <c r="C1586" s="8" t="s">
        <v>215</v>
      </c>
      <c r="D1586" s="18" t="s">
        <v>2572</v>
      </c>
      <c r="E1586" s="16">
        <v>68.0</v>
      </c>
    </row>
    <row r="1587">
      <c r="A1587" s="8" t="s">
        <v>2983</v>
      </c>
      <c r="B1587" s="8" t="s">
        <v>1118</v>
      </c>
      <c r="C1587" s="8" t="s">
        <v>16</v>
      </c>
      <c r="D1587" s="18" t="s">
        <v>2589</v>
      </c>
      <c r="E1587" s="16">
        <v>83.0</v>
      </c>
    </row>
    <row r="1588">
      <c r="A1588" s="8" t="s">
        <v>2983</v>
      </c>
      <c r="B1588" s="8" t="s">
        <v>317</v>
      </c>
      <c r="C1588" s="8" t="s">
        <v>186</v>
      </c>
      <c r="D1588" s="18" t="s">
        <v>2621</v>
      </c>
      <c r="E1588" s="16">
        <v>66.0</v>
      </c>
    </row>
    <row r="1589">
      <c r="A1589" s="8" t="s">
        <v>773</v>
      </c>
      <c r="B1589" s="8" t="s">
        <v>119</v>
      </c>
      <c r="C1589" s="8" t="s">
        <v>75</v>
      </c>
      <c r="D1589" s="18" t="s">
        <v>2592</v>
      </c>
      <c r="E1589" s="16">
        <v>70.0</v>
      </c>
    </row>
    <row r="1590">
      <c r="A1590" s="8" t="s">
        <v>2984</v>
      </c>
      <c r="B1590" s="8" t="s">
        <v>11</v>
      </c>
      <c r="C1590" s="8" t="s">
        <v>75</v>
      </c>
      <c r="D1590" s="18" t="s">
        <v>2558</v>
      </c>
      <c r="E1590" s="16">
        <v>61.0</v>
      </c>
    </row>
    <row r="1591">
      <c r="A1591" s="8" t="s">
        <v>3389</v>
      </c>
      <c r="B1591" s="8" t="s">
        <v>275</v>
      </c>
      <c r="C1591" s="8" t="s">
        <v>24</v>
      </c>
      <c r="D1591" s="18" t="s">
        <v>2581</v>
      </c>
      <c r="E1591" s="16">
        <v>63.0</v>
      </c>
    </row>
    <row r="1592">
      <c r="A1592" s="8" t="s">
        <v>589</v>
      </c>
      <c r="B1592" s="8" t="s">
        <v>33</v>
      </c>
      <c r="C1592" s="8" t="s">
        <v>141</v>
      </c>
      <c r="D1592" s="18" t="s">
        <v>2620</v>
      </c>
      <c r="E1592" s="16">
        <v>88.0</v>
      </c>
    </row>
    <row r="1593">
      <c r="A1593" s="8" t="s">
        <v>1276</v>
      </c>
      <c r="B1593" s="8" t="s">
        <v>157</v>
      </c>
      <c r="C1593" s="8" t="s">
        <v>24</v>
      </c>
      <c r="D1593" s="18" t="s">
        <v>2560</v>
      </c>
      <c r="E1593" s="16">
        <v>65.0</v>
      </c>
    </row>
    <row r="1594">
      <c r="A1594" s="8" t="s">
        <v>1276</v>
      </c>
      <c r="B1594" s="8" t="s">
        <v>1082</v>
      </c>
      <c r="C1594" s="8" t="s">
        <v>65</v>
      </c>
      <c r="D1594" s="18" t="s">
        <v>2581</v>
      </c>
      <c r="E1594" s="16">
        <v>81.0</v>
      </c>
    </row>
    <row r="1595">
      <c r="A1595" s="8" t="s">
        <v>1276</v>
      </c>
      <c r="B1595" s="8" t="s">
        <v>394</v>
      </c>
      <c r="C1595" s="8" t="s">
        <v>80</v>
      </c>
      <c r="D1595" s="18" t="s">
        <v>2183</v>
      </c>
      <c r="E1595" s="16">
        <v>85.0</v>
      </c>
    </row>
    <row r="1596">
      <c r="A1596" s="8" t="s">
        <v>2985</v>
      </c>
      <c r="B1596" s="8" t="s">
        <v>362</v>
      </c>
      <c r="C1596" s="8" t="s">
        <v>12</v>
      </c>
      <c r="D1596" s="18" t="s">
        <v>2615</v>
      </c>
      <c r="E1596" s="16">
        <v>74.0</v>
      </c>
    </row>
    <row r="1597">
      <c r="A1597" s="8" t="s">
        <v>1564</v>
      </c>
      <c r="B1597" s="8" t="s">
        <v>1046</v>
      </c>
      <c r="C1597" s="8" t="s">
        <v>192</v>
      </c>
      <c r="D1597" s="18" t="s">
        <v>2620</v>
      </c>
      <c r="E1597" s="16">
        <v>69.0</v>
      </c>
    </row>
    <row r="1598">
      <c r="A1598" s="8" t="s">
        <v>2986</v>
      </c>
      <c r="B1598" s="8" t="s">
        <v>2987</v>
      </c>
      <c r="C1598" s="8" t="s">
        <v>149</v>
      </c>
      <c r="D1598" s="18" t="s">
        <v>2584</v>
      </c>
      <c r="E1598" s="16">
        <v>77.0</v>
      </c>
    </row>
    <row r="1599">
      <c r="A1599" s="8" t="s">
        <v>1004</v>
      </c>
      <c r="B1599" s="8" t="s">
        <v>506</v>
      </c>
      <c r="C1599" s="8" t="s">
        <v>122</v>
      </c>
      <c r="D1599" s="18" t="s">
        <v>2567</v>
      </c>
      <c r="E1599" s="16">
        <v>70.0</v>
      </c>
    </row>
    <row r="1600">
      <c r="A1600" s="8" t="s">
        <v>3390</v>
      </c>
      <c r="B1600" s="8" t="s">
        <v>676</v>
      </c>
      <c r="C1600" s="8" t="s">
        <v>93</v>
      </c>
      <c r="D1600" s="18" t="s">
        <v>2584</v>
      </c>
      <c r="E1600" s="16">
        <v>69.0</v>
      </c>
    </row>
    <row r="1601">
      <c r="A1601" s="8" t="s">
        <v>194</v>
      </c>
      <c r="B1601" s="8" t="s">
        <v>1091</v>
      </c>
      <c r="C1601" s="8" t="s">
        <v>141</v>
      </c>
      <c r="D1601" s="18" t="s">
        <v>2582</v>
      </c>
      <c r="E1601" s="16">
        <v>62.0</v>
      </c>
    </row>
    <row r="1602">
      <c r="A1602" s="8" t="s">
        <v>194</v>
      </c>
      <c r="B1602" s="8" t="s">
        <v>1209</v>
      </c>
      <c r="C1602" s="8" t="s">
        <v>65</v>
      </c>
      <c r="D1602" s="18" t="s">
        <v>2575</v>
      </c>
      <c r="E1602" s="16">
        <v>63.0</v>
      </c>
    </row>
    <row r="1603">
      <c r="A1603" s="8" t="s">
        <v>775</v>
      </c>
      <c r="B1603" s="8" t="s">
        <v>776</v>
      </c>
      <c r="C1603" s="8" t="s">
        <v>65</v>
      </c>
      <c r="D1603" s="18" t="s">
        <v>2556</v>
      </c>
      <c r="E1603" s="16">
        <v>78.0</v>
      </c>
    </row>
    <row r="1604">
      <c r="A1604" s="8" t="s">
        <v>628</v>
      </c>
      <c r="B1604" s="8" t="s">
        <v>2239</v>
      </c>
      <c r="C1604" s="8" t="s">
        <v>24</v>
      </c>
      <c r="D1604" s="18" t="s">
        <v>2582</v>
      </c>
      <c r="E1604" s="16">
        <v>75.0</v>
      </c>
    </row>
    <row r="1605">
      <c r="A1605" s="8" t="s">
        <v>221</v>
      </c>
      <c r="B1605" s="8" t="s">
        <v>222</v>
      </c>
      <c r="C1605" s="8" t="s">
        <v>24</v>
      </c>
      <c r="D1605" s="18" t="s">
        <v>2585</v>
      </c>
      <c r="E1605" s="16">
        <v>70.0</v>
      </c>
    </row>
    <row r="1606">
      <c r="A1606" s="8" t="s">
        <v>2397</v>
      </c>
      <c r="B1606" s="8" t="s">
        <v>669</v>
      </c>
      <c r="C1606" s="8" t="s">
        <v>53</v>
      </c>
      <c r="D1606" s="18" t="s">
        <v>2575</v>
      </c>
      <c r="E1606" s="16">
        <v>59.0</v>
      </c>
    </row>
    <row r="1607">
      <c r="A1607" s="8" t="s">
        <v>3391</v>
      </c>
      <c r="B1607" s="8" t="s">
        <v>746</v>
      </c>
      <c r="C1607" s="8" t="s">
        <v>186</v>
      </c>
      <c r="D1607" s="18" t="s">
        <v>2560</v>
      </c>
      <c r="E1607" s="16">
        <v>73.0</v>
      </c>
    </row>
    <row r="1608">
      <c r="A1608" s="8" t="s">
        <v>3392</v>
      </c>
      <c r="B1608" s="8" t="s">
        <v>263</v>
      </c>
      <c r="C1608" s="8" t="s">
        <v>65</v>
      </c>
      <c r="D1608" s="18" t="s">
        <v>2615</v>
      </c>
      <c r="E1608" s="16">
        <v>64.0</v>
      </c>
    </row>
    <row r="1609">
      <c r="A1609" s="8" t="s">
        <v>1277</v>
      </c>
      <c r="B1609" s="8" t="s">
        <v>1278</v>
      </c>
      <c r="C1609" s="8" t="s">
        <v>65</v>
      </c>
      <c r="D1609" s="18" t="s">
        <v>2560</v>
      </c>
      <c r="E1609" s="16">
        <v>66.0</v>
      </c>
    </row>
    <row r="1610">
      <c r="A1610" s="8" t="s">
        <v>1566</v>
      </c>
      <c r="B1610" s="8" t="s">
        <v>1567</v>
      </c>
      <c r="C1610" s="8" t="s">
        <v>75</v>
      </c>
      <c r="D1610" s="18" t="s">
        <v>2595</v>
      </c>
      <c r="E1610" s="16">
        <v>74.0</v>
      </c>
    </row>
    <row r="1611">
      <c r="A1611" s="8" t="s">
        <v>3393</v>
      </c>
      <c r="B1611" s="8" t="s">
        <v>98</v>
      </c>
      <c r="C1611" s="8" t="s">
        <v>24</v>
      </c>
      <c r="D1611" s="18" t="s">
        <v>2558</v>
      </c>
      <c r="E1611" s="16">
        <v>66.0</v>
      </c>
    </row>
    <row r="1612">
      <c r="A1612" s="8" t="s">
        <v>3394</v>
      </c>
      <c r="B1612" s="8" t="s">
        <v>329</v>
      </c>
      <c r="C1612" s="8" t="s">
        <v>70</v>
      </c>
      <c r="D1612" s="18" t="s">
        <v>2610</v>
      </c>
      <c r="E1612" s="16">
        <v>71.0</v>
      </c>
    </row>
    <row r="1613">
      <c r="A1613" s="8" t="s">
        <v>1279</v>
      </c>
      <c r="B1613" s="8" t="s">
        <v>2989</v>
      </c>
      <c r="C1613" s="8" t="s">
        <v>122</v>
      </c>
      <c r="D1613" s="18" t="s">
        <v>2620</v>
      </c>
      <c r="E1613" s="16">
        <v>74.0</v>
      </c>
    </row>
    <row r="1614">
      <c r="A1614" s="8" t="s">
        <v>1279</v>
      </c>
      <c r="B1614" s="8" t="s">
        <v>214</v>
      </c>
      <c r="C1614" s="8" t="s">
        <v>122</v>
      </c>
      <c r="D1614" s="18" t="s">
        <v>2620</v>
      </c>
      <c r="E1614" s="16">
        <v>64.0</v>
      </c>
    </row>
    <row r="1615">
      <c r="A1615" s="8" t="s">
        <v>2990</v>
      </c>
      <c r="B1615" s="8" t="s">
        <v>669</v>
      </c>
      <c r="C1615" s="8" t="s">
        <v>46</v>
      </c>
      <c r="D1615" s="18" t="s">
        <v>2556</v>
      </c>
      <c r="E1615" s="16">
        <v>89.0</v>
      </c>
    </row>
    <row r="1616">
      <c r="A1616" s="8" t="s">
        <v>777</v>
      </c>
      <c r="B1616" s="8" t="s">
        <v>183</v>
      </c>
      <c r="C1616" s="8" t="s">
        <v>215</v>
      </c>
      <c r="D1616" s="18" t="s">
        <v>2560</v>
      </c>
      <c r="E1616" s="16">
        <v>67.0</v>
      </c>
    </row>
    <row r="1617">
      <c r="A1617" s="8" t="s">
        <v>3395</v>
      </c>
      <c r="B1617" s="8" t="s">
        <v>3396</v>
      </c>
      <c r="C1617" s="8" t="s">
        <v>93</v>
      </c>
      <c r="D1617" s="18" t="s">
        <v>2593</v>
      </c>
      <c r="E1617" s="16">
        <v>61.0</v>
      </c>
    </row>
    <row r="1618">
      <c r="A1618" s="8" t="s">
        <v>2213</v>
      </c>
      <c r="B1618" s="8" t="s">
        <v>2214</v>
      </c>
      <c r="C1618" s="8" t="s">
        <v>192</v>
      </c>
      <c r="D1618" s="18" t="s">
        <v>2615</v>
      </c>
      <c r="E1618" s="16">
        <v>76.0</v>
      </c>
    </row>
    <row r="1619">
      <c r="A1619" s="8" t="s">
        <v>2213</v>
      </c>
      <c r="B1619" s="8" t="s">
        <v>2991</v>
      </c>
      <c r="C1619" s="8" t="s">
        <v>215</v>
      </c>
      <c r="D1619" s="18" t="s">
        <v>2574</v>
      </c>
      <c r="E1619" s="16">
        <v>83.0</v>
      </c>
    </row>
    <row r="1620">
      <c r="A1620" s="8" t="s">
        <v>2215</v>
      </c>
      <c r="B1620" s="8" t="s">
        <v>2216</v>
      </c>
      <c r="C1620" s="8" t="s">
        <v>70</v>
      </c>
      <c r="D1620" s="18" t="s">
        <v>2582</v>
      </c>
      <c r="E1620" s="16">
        <v>72.0</v>
      </c>
    </row>
    <row r="1621">
      <c r="A1621" s="8" t="s">
        <v>1282</v>
      </c>
      <c r="B1621" s="8" t="s">
        <v>1283</v>
      </c>
      <c r="C1621" s="8" t="s">
        <v>24</v>
      </c>
      <c r="D1621" s="18" t="s">
        <v>2598</v>
      </c>
      <c r="E1621" s="16">
        <v>64.0</v>
      </c>
    </row>
    <row r="1622">
      <c r="A1622" s="8" t="s">
        <v>1282</v>
      </c>
      <c r="B1622" s="8" t="s">
        <v>628</v>
      </c>
      <c r="C1622" s="8" t="s">
        <v>70</v>
      </c>
      <c r="D1622" s="18" t="s">
        <v>2566</v>
      </c>
      <c r="E1622" s="16">
        <v>77.0</v>
      </c>
    </row>
    <row r="1623">
      <c r="A1623" s="8" t="s">
        <v>1569</v>
      </c>
      <c r="B1623" s="8" t="s">
        <v>1570</v>
      </c>
      <c r="C1623" s="8" t="s">
        <v>65</v>
      </c>
      <c r="D1623" s="18" t="s">
        <v>2575</v>
      </c>
      <c r="E1623" s="16">
        <v>74.0</v>
      </c>
    </row>
    <row r="1624">
      <c r="A1624" s="8" t="s">
        <v>2992</v>
      </c>
      <c r="B1624" s="8" t="s">
        <v>1283</v>
      </c>
      <c r="C1624" s="8" t="s">
        <v>59</v>
      </c>
      <c r="D1624" s="18" t="s">
        <v>2572</v>
      </c>
      <c r="E1624" s="16">
        <v>68.0</v>
      </c>
    </row>
    <row r="1625">
      <c r="A1625" s="8" t="s">
        <v>2992</v>
      </c>
      <c r="B1625" s="8" t="s">
        <v>231</v>
      </c>
      <c r="C1625" s="8" t="s">
        <v>53</v>
      </c>
      <c r="D1625" s="18" t="s">
        <v>2558</v>
      </c>
      <c r="E1625" s="16">
        <v>84.0</v>
      </c>
    </row>
    <row r="1626">
      <c r="A1626" s="8" t="s">
        <v>2992</v>
      </c>
      <c r="B1626" s="8" t="s">
        <v>2993</v>
      </c>
      <c r="C1626" s="8" t="s">
        <v>70</v>
      </c>
      <c r="D1626" s="18" t="s">
        <v>2581</v>
      </c>
      <c r="E1626" s="16">
        <v>62.0</v>
      </c>
    </row>
    <row r="1627">
      <c r="A1627" s="8" t="s">
        <v>1284</v>
      </c>
      <c r="B1627" s="8" t="s">
        <v>1285</v>
      </c>
      <c r="C1627" s="8" t="s">
        <v>186</v>
      </c>
      <c r="D1627" s="18" t="s">
        <v>2572</v>
      </c>
      <c r="E1627" s="16">
        <v>76.0</v>
      </c>
    </row>
    <row r="1628">
      <c r="A1628" s="8" t="s">
        <v>303</v>
      </c>
      <c r="B1628" s="8" t="s">
        <v>183</v>
      </c>
      <c r="C1628" s="8" t="s">
        <v>75</v>
      </c>
      <c r="D1628" s="18" t="s">
        <v>2183</v>
      </c>
      <c r="E1628" s="16">
        <v>69.0</v>
      </c>
    </row>
    <row r="1629">
      <c r="A1629" s="8" t="s">
        <v>1568</v>
      </c>
      <c r="B1629" s="8" t="s">
        <v>322</v>
      </c>
      <c r="C1629" s="8" t="s">
        <v>16</v>
      </c>
      <c r="D1629" s="18" t="s">
        <v>2587</v>
      </c>
      <c r="E1629" s="16">
        <v>72.0</v>
      </c>
    </row>
    <row r="1630">
      <c r="A1630" s="8" t="s">
        <v>44</v>
      </c>
      <c r="B1630" s="8" t="s">
        <v>157</v>
      </c>
      <c r="C1630" s="8" t="s">
        <v>186</v>
      </c>
      <c r="D1630" s="18" t="s">
        <v>2562</v>
      </c>
      <c r="E1630" s="16">
        <v>61.0</v>
      </c>
    </row>
    <row r="1631">
      <c r="A1631" s="8" t="s">
        <v>44</v>
      </c>
      <c r="B1631" s="8" t="s">
        <v>304</v>
      </c>
      <c r="C1631" s="8" t="s">
        <v>122</v>
      </c>
      <c r="D1631" s="18" t="s">
        <v>2589</v>
      </c>
      <c r="E1631" s="16">
        <v>74.0</v>
      </c>
    </row>
    <row r="1632">
      <c r="A1632" s="8" t="s">
        <v>44</v>
      </c>
      <c r="B1632" s="8" t="s">
        <v>45</v>
      </c>
      <c r="C1632" s="8" t="s">
        <v>46</v>
      </c>
      <c r="D1632" s="18" t="s">
        <v>2564</v>
      </c>
      <c r="E1632" s="16">
        <v>87.0</v>
      </c>
    </row>
    <row r="1633">
      <c r="A1633" s="8" t="s">
        <v>44</v>
      </c>
      <c r="B1633" s="8" t="s">
        <v>247</v>
      </c>
      <c r="C1633" s="8" t="s">
        <v>93</v>
      </c>
      <c r="D1633" s="18" t="s">
        <v>2183</v>
      </c>
      <c r="E1633" s="16">
        <v>88.0</v>
      </c>
    </row>
    <row r="1634">
      <c r="A1634" s="8" t="s">
        <v>126</v>
      </c>
      <c r="B1634" s="8" t="s">
        <v>127</v>
      </c>
      <c r="C1634" s="8" t="s">
        <v>70</v>
      </c>
      <c r="D1634" s="18" t="s">
        <v>2595</v>
      </c>
      <c r="E1634" s="16">
        <v>84.0</v>
      </c>
    </row>
    <row r="1635">
      <c r="A1635" s="8" t="s">
        <v>126</v>
      </c>
      <c r="B1635" s="8" t="s">
        <v>194</v>
      </c>
      <c r="C1635" s="8" t="s">
        <v>93</v>
      </c>
      <c r="D1635" s="18" t="s">
        <v>2589</v>
      </c>
      <c r="E1635" s="16">
        <v>91.0</v>
      </c>
    </row>
    <row r="1636">
      <c r="A1636" s="8" t="s">
        <v>2994</v>
      </c>
      <c r="B1636" s="8" t="s">
        <v>871</v>
      </c>
      <c r="C1636" s="8" t="s">
        <v>16</v>
      </c>
      <c r="D1636" s="18" t="s">
        <v>2560</v>
      </c>
      <c r="E1636" s="16">
        <v>69.0</v>
      </c>
    </row>
    <row r="1637">
      <c r="A1637" s="8" t="s">
        <v>1005</v>
      </c>
      <c r="B1637" s="8" t="s">
        <v>127</v>
      </c>
      <c r="C1637" s="8" t="s">
        <v>80</v>
      </c>
      <c r="D1637" s="18" t="s">
        <v>2572</v>
      </c>
      <c r="E1637" s="16">
        <v>67.0</v>
      </c>
    </row>
    <row r="1638">
      <c r="A1638" s="8" t="s">
        <v>1005</v>
      </c>
      <c r="B1638" s="8" t="s">
        <v>1286</v>
      </c>
      <c r="C1638" s="8" t="s">
        <v>138</v>
      </c>
      <c r="D1638" s="18" t="s">
        <v>2584</v>
      </c>
      <c r="E1638" s="16">
        <v>60.0</v>
      </c>
    </row>
    <row r="1639">
      <c r="A1639" s="8" t="s">
        <v>1005</v>
      </c>
      <c r="B1639" s="8" t="s">
        <v>2995</v>
      </c>
      <c r="C1639" s="8" t="s">
        <v>93</v>
      </c>
      <c r="D1639" s="18" t="s">
        <v>2582</v>
      </c>
      <c r="E1639" s="16">
        <v>67.0</v>
      </c>
    </row>
    <row r="1640">
      <c r="A1640" s="8" t="s">
        <v>1005</v>
      </c>
      <c r="B1640" s="8" t="s">
        <v>23</v>
      </c>
      <c r="C1640" s="8" t="s">
        <v>24</v>
      </c>
      <c r="D1640" s="18" t="s">
        <v>2595</v>
      </c>
      <c r="E1640" s="16">
        <v>71.0</v>
      </c>
    </row>
    <row r="1641">
      <c r="A1641" s="8" t="s">
        <v>1005</v>
      </c>
      <c r="B1641" s="8" t="s">
        <v>263</v>
      </c>
      <c r="C1641" s="8" t="s">
        <v>122</v>
      </c>
      <c r="D1641" s="18" t="s">
        <v>2581</v>
      </c>
      <c r="E1641" s="16">
        <v>76.0</v>
      </c>
    </row>
    <row r="1642">
      <c r="A1642" s="8" t="s">
        <v>1571</v>
      </c>
      <c r="B1642" s="8" t="s">
        <v>800</v>
      </c>
      <c r="C1642" s="8" t="s">
        <v>138</v>
      </c>
      <c r="D1642" s="18" t="s">
        <v>2572</v>
      </c>
      <c r="E1642" s="16">
        <v>66.0</v>
      </c>
    </row>
    <row r="1643">
      <c r="A1643" s="8" t="s">
        <v>1287</v>
      </c>
      <c r="B1643" s="8" t="s">
        <v>847</v>
      </c>
      <c r="C1643" s="8" t="s">
        <v>70</v>
      </c>
      <c r="D1643" s="18" t="s">
        <v>2620</v>
      </c>
      <c r="E1643" s="16">
        <v>69.0</v>
      </c>
    </row>
    <row r="1644">
      <c r="A1644" s="8" t="s">
        <v>1287</v>
      </c>
      <c r="B1644" s="8" t="s">
        <v>137</v>
      </c>
      <c r="C1644" s="8" t="s">
        <v>122</v>
      </c>
      <c r="D1644" s="18" t="s">
        <v>2575</v>
      </c>
      <c r="E1644" s="16">
        <v>79.0</v>
      </c>
    </row>
    <row r="1645">
      <c r="A1645" s="8" t="s">
        <v>668</v>
      </c>
      <c r="B1645" s="8" t="s">
        <v>123</v>
      </c>
      <c r="C1645" s="8" t="s">
        <v>122</v>
      </c>
      <c r="D1645" s="18" t="s">
        <v>2589</v>
      </c>
      <c r="E1645" s="16">
        <v>59.0</v>
      </c>
    </row>
    <row r="1646">
      <c r="A1646" s="8" t="s">
        <v>1006</v>
      </c>
      <c r="B1646" s="8" t="s">
        <v>119</v>
      </c>
      <c r="C1646" s="8" t="s">
        <v>59</v>
      </c>
      <c r="D1646" s="18" t="s">
        <v>2603</v>
      </c>
      <c r="E1646" s="16">
        <v>70.0</v>
      </c>
    </row>
    <row r="1647">
      <c r="A1647" s="8" t="s">
        <v>414</v>
      </c>
      <c r="B1647" s="8" t="s">
        <v>45</v>
      </c>
      <c r="C1647" s="8" t="s">
        <v>138</v>
      </c>
      <c r="D1647" s="18" t="s">
        <v>2566</v>
      </c>
      <c r="E1647" s="16">
        <v>88.0</v>
      </c>
    </row>
    <row r="1648">
      <c r="A1648" s="8" t="s">
        <v>1572</v>
      </c>
      <c r="B1648" s="8" t="s">
        <v>436</v>
      </c>
      <c r="C1648" s="8" t="s">
        <v>38</v>
      </c>
      <c r="D1648" s="18" t="s">
        <v>2585</v>
      </c>
      <c r="E1648" s="16">
        <v>73.0</v>
      </c>
    </row>
    <row r="1649">
      <c r="A1649" s="8" t="s">
        <v>3397</v>
      </c>
      <c r="B1649" s="8" t="s">
        <v>129</v>
      </c>
      <c r="C1649" s="8" t="s">
        <v>59</v>
      </c>
      <c r="D1649" s="18" t="s">
        <v>2566</v>
      </c>
      <c r="E1649" s="16">
        <v>58.0</v>
      </c>
    </row>
    <row r="1650">
      <c r="A1650" s="8" t="s">
        <v>2996</v>
      </c>
      <c r="B1650" s="8" t="s">
        <v>2997</v>
      </c>
      <c r="C1650" s="8" t="s">
        <v>93</v>
      </c>
      <c r="D1650" s="18" t="s">
        <v>2581</v>
      </c>
      <c r="E1650" s="16">
        <v>62.0</v>
      </c>
    </row>
    <row r="1651">
      <c r="A1651" s="8" t="s">
        <v>2998</v>
      </c>
      <c r="B1651" s="8" t="s">
        <v>1347</v>
      </c>
      <c r="C1651" s="8" t="s">
        <v>192</v>
      </c>
      <c r="D1651" s="18" t="s">
        <v>2562</v>
      </c>
      <c r="E1651" s="16">
        <v>74.0</v>
      </c>
    </row>
    <row r="1652">
      <c r="A1652" s="8" t="s">
        <v>1939</v>
      </c>
      <c r="B1652" s="8" t="s">
        <v>1940</v>
      </c>
      <c r="C1652" s="8" t="s">
        <v>149</v>
      </c>
      <c r="D1652" s="18" t="s">
        <v>2603</v>
      </c>
      <c r="E1652" s="16">
        <v>75.0</v>
      </c>
    </row>
    <row r="1653">
      <c r="A1653" s="8" t="s">
        <v>590</v>
      </c>
      <c r="B1653" s="8" t="s">
        <v>591</v>
      </c>
      <c r="C1653" s="8" t="s">
        <v>122</v>
      </c>
      <c r="D1653" s="18" t="s">
        <v>2598</v>
      </c>
      <c r="E1653" s="16">
        <v>79.0</v>
      </c>
    </row>
    <row r="1654">
      <c r="A1654" s="8" t="s">
        <v>1288</v>
      </c>
      <c r="B1654" s="8" t="s">
        <v>157</v>
      </c>
      <c r="C1654" s="8" t="s">
        <v>93</v>
      </c>
      <c r="D1654" s="18" t="s">
        <v>2598</v>
      </c>
      <c r="E1654" s="16">
        <v>76.0</v>
      </c>
    </row>
    <row r="1655">
      <c r="A1655" s="8" t="s">
        <v>1288</v>
      </c>
      <c r="B1655" s="8" t="s">
        <v>2313</v>
      </c>
      <c r="C1655" s="8" t="s">
        <v>46</v>
      </c>
      <c r="D1655" s="18" t="s">
        <v>2581</v>
      </c>
      <c r="E1655" s="16">
        <v>65.0</v>
      </c>
    </row>
    <row r="1656">
      <c r="A1656" s="8" t="s">
        <v>1577</v>
      </c>
      <c r="B1656" s="8" t="s">
        <v>1578</v>
      </c>
      <c r="C1656" s="8" t="s">
        <v>70</v>
      </c>
      <c r="D1656" s="18" t="s">
        <v>2567</v>
      </c>
      <c r="E1656" s="16">
        <v>65.0</v>
      </c>
    </row>
    <row r="1657">
      <c r="A1657" s="8" t="s">
        <v>3398</v>
      </c>
      <c r="B1657" s="8" t="s">
        <v>628</v>
      </c>
      <c r="C1657" s="8" t="s">
        <v>53</v>
      </c>
      <c r="D1657" s="18" t="s">
        <v>2584</v>
      </c>
      <c r="E1657" s="16">
        <v>87.0</v>
      </c>
    </row>
    <row r="1658">
      <c r="A1658" s="8" t="s">
        <v>415</v>
      </c>
      <c r="B1658" s="8" t="s">
        <v>416</v>
      </c>
      <c r="C1658" s="8" t="s">
        <v>141</v>
      </c>
      <c r="D1658" s="18" t="s">
        <v>2577</v>
      </c>
      <c r="E1658" s="16">
        <v>85.0</v>
      </c>
    </row>
    <row r="1659">
      <c r="A1659" s="8" t="s">
        <v>415</v>
      </c>
      <c r="B1659" s="8" t="s">
        <v>183</v>
      </c>
      <c r="C1659" s="8" t="s">
        <v>141</v>
      </c>
      <c r="D1659" s="18" t="s">
        <v>2581</v>
      </c>
      <c r="E1659" s="16">
        <v>77.0</v>
      </c>
    </row>
    <row r="1660">
      <c r="A1660" s="8" t="s">
        <v>3000</v>
      </c>
      <c r="B1660" s="8" t="s">
        <v>798</v>
      </c>
      <c r="C1660" s="8" t="s">
        <v>132</v>
      </c>
      <c r="D1660" s="18" t="s">
        <v>2584</v>
      </c>
      <c r="E1660" s="16">
        <v>69.0</v>
      </c>
    </row>
    <row r="1661">
      <c r="A1661" s="8" t="s">
        <v>2220</v>
      </c>
      <c r="B1661" s="8" t="s">
        <v>2388</v>
      </c>
      <c r="C1661" s="8" t="s">
        <v>70</v>
      </c>
      <c r="D1661" s="18" t="s">
        <v>2560</v>
      </c>
      <c r="E1661" s="16">
        <v>81.0</v>
      </c>
    </row>
    <row r="1662">
      <c r="A1662" s="8" t="s">
        <v>2220</v>
      </c>
      <c r="B1662" s="8" t="s">
        <v>1091</v>
      </c>
      <c r="C1662" s="8" t="s">
        <v>53</v>
      </c>
      <c r="D1662" s="18" t="s">
        <v>2603</v>
      </c>
      <c r="E1662" s="16">
        <v>62.0</v>
      </c>
    </row>
    <row r="1663">
      <c r="A1663" s="8" t="s">
        <v>2220</v>
      </c>
      <c r="B1663" s="8" t="s">
        <v>3001</v>
      </c>
      <c r="C1663" s="8" t="s">
        <v>192</v>
      </c>
      <c r="D1663" s="18" t="s">
        <v>2567</v>
      </c>
      <c r="E1663" s="16">
        <v>60.0</v>
      </c>
    </row>
    <row r="1664">
      <c r="A1664" s="8" t="s">
        <v>2220</v>
      </c>
      <c r="B1664" s="8" t="s">
        <v>3399</v>
      </c>
      <c r="C1664" s="8" t="s">
        <v>65</v>
      </c>
      <c r="D1664" s="18" t="s">
        <v>2587</v>
      </c>
      <c r="E1664" s="16">
        <v>66.0</v>
      </c>
    </row>
    <row r="1665">
      <c r="A1665" s="8" t="s">
        <v>778</v>
      </c>
      <c r="B1665" s="8" t="s">
        <v>263</v>
      </c>
      <c r="C1665" s="8" t="s">
        <v>80</v>
      </c>
      <c r="D1665" s="18" t="s">
        <v>2587</v>
      </c>
      <c r="E1665" s="16">
        <v>70.0</v>
      </c>
    </row>
    <row r="1666">
      <c r="A1666" s="8" t="s">
        <v>96</v>
      </c>
      <c r="B1666" s="8" t="s">
        <v>33</v>
      </c>
      <c r="C1666" s="8" t="s">
        <v>12</v>
      </c>
      <c r="D1666" s="18" t="s">
        <v>2554</v>
      </c>
      <c r="E1666" s="16">
        <v>83.0</v>
      </c>
    </row>
    <row r="1667">
      <c r="A1667" s="8" t="s">
        <v>2221</v>
      </c>
      <c r="B1667" s="8" t="s">
        <v>3400</v>
      </c>
      <c r="C1667" s="8" t="s">
        <v>53</v>
      </c>
      <c r="D1667" s="18" t="s">
        <v>2562</v>
      </c>
      <c r="E1667" s="16">
        <v>64.0</v>
      </c>
    </row>
    <row r="1668">
      <c r="A1668" s="8" t="s">
        <v>1289</v>
      </c>
      <c r="B1668" s="8" t="s">
        <v>1290</v>
      </c>
      <c r="C1668" s="8" t="s">
        <v>16</v>
      </c>
      <c r="D1668" s="18" t="s">
        <v>2614</v>
      </c>
      <c r="E1668" s="16">
        <v>86.0</v>
      </c>
    </row>
    <row r="1669">
      <c r="A1669" s="8" t="s">
        <v>1579</v>
      </c>
      <c r="B1669" s="8" t="s">
        <v>157</v>
      </c>
      <c r="C1669" s="8" t="s">
        <v>215</v>
      </c>
      <c r="D1669" s="18" t="s">
        <v>2558</v>
      </c>
      <c r="E1669" s="16">
        <v>57.0</v>
      </c>
    </row>
    <row r="1670">
      <c r="A1670" s="8" t="s">
        <v>1579</v>
      </c>
      <c r="B1670" s="8" t="s">
        <v>3002</v>
      </c>
      <c r="C1670" s="8" t="s">
        <v>59</v>
      </c>
      <c r="D1670" s="18" t="s">
        <v>2593</v>
      </c>
      <c r="E1670" s="16">
        <v>66.0</v>
      </c>
    </row>
    <row r="1671">
      <c r="A1671" s="8" t="s">
        <v>1579</v>
      </c>
      <c r="B1671" s="8" t="s">
        <v>3003</v>
      </c>
      <c r="C1671" s="8" t="s">
        <v>149</v>
      </c>
      <c r="D1671" s="18" t="s">
        <v>2589</v>
      </c>
      <c r="E1671" s="16">
        <v>60.0</v>
      </c>
    </row>
    <row r="1672">
      <c r="A1672" s="8" t="s">
        <v>1579</v>
      </c>
      <c r="B1672" s="8" t="s">
        <v>3401</v>
      </c>
      <c r="C1672" s="8" t="s">
        <v>93</v>
      </c>
      <c r="D1672" s="18" t="s">
        <v>2552</v>
      </c>
      <c r="E1672" s="16">
        <v>65.0</v>
      </c>
    </row>
    <row r="1673">
      <c r="A1673" s="8" t="s">
        <v>1579</v>
      </c>
      <c r="B1673" s="8" t="s">
        <v>787</v>
      </c>
      <c r="C1673" s="8" t="s">
        <v>93</v>
      </c>
      <c r="D1673" s="18" t="s">
        <v>2575</v>
      </c>
      <c r="E1673" s="16">
        <v>61.0</v>
      </c>
    </row>
    <row r="1674">
      <c r="A1674" s="8" t="s">
        <v>3004</v>
      </c>
      <c r="B1674" s="8" t="s">
        <v>2651</v>
      </c>
      <c r="C1674" s="8" t="s">
        <v>261</v>
      </c>
      <c r="D1674" s="18" t="s">
        <v>2562</v>
      </c>
      <c r="E1674" s="16">
        <v>81.0</v>
      </c>
    </row>
    <row r="1675">
      <c r="A1675" s="8" t="s">
        <v>3402</v>
      </c>
      <c r="B1675" s="8" t="s">
        <v>275</v>
      </c>
      <c r="C1675" s="8" t="s">
        <v>80</v>
      </c>
      <c r="D1675" s="18" t="s">
        <v>2605</v>
      </c>
      <c r="E1675" s="16">
        <v>70.0</v>
      </c>
    </row>
    <row r="1676">
      <c r="A1676" s="8" t="s">
        <v>1581</v>
      </c>
      <c r="B1676" s="18" t="s">
        <v>521</v>
      </c>
      <c r="C1676" s="8" t="s">
        <v>70</v>
      </c>
      <c r="D1676" s="18" t="s">
        <v>2603</v>
      </c>
      <c r="E1676" s="16">
        <v>74.0</v>
      </c>
    </row>
    <row r="1677">
      <c r="A1677" s="8" t="s">
        <v>1007</v>
      </c>
      <c r="B1677" s="8" t="s">
        <v>1008</v>
      </c>
      <c r="C1677" s="8" t="s">
        <v>24</v>
      </c>
      <c r="D1677" s="18" t="s">
        <v>2605</v>
      </c>
      <c r="E1677" s="16">
        <v>71.0</v>
      </c>
    </row>
    <row r="1678">
      <c r="A1678" s="8" t="s">
        <v>3403</v>
      </c>
      <c r="B1678" s="8" t="s">
        <v>1915</v>
      </c>
      <c r="C1678" s="8" t="s">
        <v>80</v>
      </c>
      <c r="D1678" s="18" t="s">
        <v>2615</v>
      </c>
      <c r="E1678" s="16">
        <v>72.0</v>
      </c>
    </row>
    <row r="1679">
      <c r="A1679" s="8" t="s">
        <v>3005</v>
      </c>
      <c r="B1679" s="8" t="s">
        <v>418</v>
      </c>
      <c r="C1679" s="8" t="s">
        <v>65</v>
      </c>
      <c r="D1679" s="18" t="s">
        <v>2582</v>
      </c>
      <c r="E1679" s="16">
        <v>83.0</v>
      </c>
    </row>
    <row r="1680">
      <c r="A1680" s="8" t="s">
        <v>592</v>
      </c>
      <c r="B1680" s="8" t="s">
        <v>381</v>
      </c>
      <c r="C1680" s="8" t="s">
        <v>75</v>
      </c>
      <c r="D1680" s="18" t="s">
        <v>2566</v>
      </c>
      <c r="E1680" s="16">
        <v>86.0</v>
      </c>
    </row>
    <row r="1681">
      <c r="A1681" s="8" t="s">
        <v>3404</v>
      </c>
      <c r="B1681" s="8" t="s">
        <v>1668</v>
      </c>
      <c r="C1681" s="8" t="s">
        <v>132</v>
      </c>
      <c r="D1681" s="18" t="s">
        <v>2575</v>
      </c>
      <c r="E1681" s="16">
        <v>64.0</v>
      </c>
    </row>
    <row r="1682">
      <c r="A1682" s="8" t="s">
        <v>3006</v>
      </c>
      <c r="B1682" s="8" t="s">
        <v>2839</v>
      </c>
      <c r="C1682" s="8" t="s">
        <v>186</v>
      </c>
      <c r="D1682" s="18" t="s">
        <v>2584</v>
      </c>
      <c r="E1682" s="16">
        <v>66.0</v>
      </c>
    </row>
    <row r="1683">
      <c r="A1683" s="8" t="s">
        <v>1293</v>
      </c>
      <c r="B1683" s="8" t="s">
        <v>746</v>
      </c>
      <c r="C1683" s="8" t="s">
        <v>132</v>
      </c>
      <c r="D1683" s="18" t="s">
        <v>2572</v>
      </c>
      <c r="E1683" s="16">
        <v>62.0</v>
      </c>
    </row>
    <row r="1684">
      <c r="A1684" s="8" t="s">
        <v>3007</v>
      </c>
      <c r="B1684" s="8" t="s">
        <v>1943</v>
      </c>
      <c r="C1684" s="8" t="s">
        <v>70</v>
      </c>
      <c r="D1684" s="18" t="s">
        <v>2564</v>
      </c>
      <c r="E1684" s="16">
        <v>73.0</v>
      </c>
    </row>
    <row r="1685">
      <c r="A1685" s="8" t="s">
        <v>3405</v>
      </c>
      <c r="B1685" s="8" t="s">
        <v>183</v>
      </c>
      <c r="C1685" s="8" t="s">
        <v>122</v>
      </c>
      <c r="D1685" s="18" t="s">
        <v>2593</v>
      </c>
      <c r="E1685" s="16">
        <v>69.0</v>
      </c>
    </row>
    <row r="1686">
      <c r="A1686" s="8" t="s">
        <v>3406</v>
      </c>
      <c r="B1686" s="8" t="s">
        <v>1803</v>
      </c>
      <c r="C1686" s="8" t="s">
        <v>24</v>
      </c>
      <c r="D1686" s="18" t="s">
        <v>2560</v>
      </c>
      <c r="E1686" s="16">
        <v>46.0</v>
      </c>
    </row>
    <row r="1687">
      <c r="A1687" s="8" t="s">
        <v>3407</v>
      </c>
      <c r="B1687" s="8" t="s">
        <v>124</v>
      </c>
      <c r="C1687" s="8" t="s">
        <v>132</v>
      </c>
      <c r="D1687" s="18" t="s">
        <v>2587</v>
      </c>
      <c r="E1687" s="16">
        <v>61.0</v>
      </c>
    </row>
    <row r="1688">
      <c r="A1688" s="8" t="s">
        <v>1944</v>
      </c>
      <c r="B1688" s="8" t="s">
        <v>1528</v>
      </c>
      <c r="C1688" s="8" t="s">
        <v>122</v>
      </c>
      <c r="D1688" s="18" t="s">
        <v>2564</v>
      </c>
      <c r="E1688" s="16">
        <v>69.0</v>
      </c>
    </row>
    <row r="1689">
      <c r="A1689" s="8" t="s">
        <v>593</v>
      </c>
      <c r="B1689" s="8" t="s">
        <v>506</v>
      </c>
      <c r="C1689" s="8" t="s">
        <v>132</v>
      </c>
      <c r="D1689" s="18" t="s">
        <v>2562</v>
      </c>
      <c r="E1689" s="16">
        <v>66.0</v>
      </c>
    </row>
    <row r="1690">
      <c r="A1690" s="8" t="s">
        <v>419</v>
      </c>
      <c r="B1690" s="8" t="s">
        <v>157</v>
      </c>
      <c r="C1690" s="8" t="s">
        <v>65</v>
      </c>
      <c r="D1690" s="18" t="s">
        <v>2582</v>
      </c>
      <c r="E1690" s="16">
        <v>77.0</v>
      </c>
    </row>
    <row r="1691">
      <c r="A1691" s="8" t="s">
        <v>3008</v>
      </c>
      <c r="B1691" s="8" t="s">
        <v>67</v>
      </c>
      <c r="C1691" s="8" t="s">
        <v>38</v>
      </c>
      <c r="D1691" s="18" t="s">
        <v>2552</v>
      </c>
      <c r="E1691" s="16">
        <v>76.0</v>
      </c>
    </row>
    <row r="1692">
      <c r="A1692" s="8" t="s">
        <v>2054</v>
      </c>
      <c r="B1692" s="8" t="s">
        <v>3009</v>
      </c>
      <c r="C1692" s="8" t="s">
        <v>80</v>
      </c>
      <c r="D1692" s="18" t="s">
        <v>2554</v>
      </c>
      <c r="E1692" s="16">
        <v>82.0</v>
      </c>
    </row>
    <row r="1693">
      <c r="A1693" s="8" t="s">
        <v>594</v>
      </c>
      <c r="B1693" s="8" t="s">
        <v>337</v>
      </c>
      <c r="C1693" s="8" t="s">
        <v>59</v>
      </c>
      <c r="D1693" s="18" t="s">
        <v>2593</v>
      </c>
      <c r="E1693" s="16">
        <v>81.0</v>
      </c>
    </row>
    <row r="1694">
      <c r="A1694" s="8" t="s">
        <v>779</v>
      </c>
      <c r="B1694" s="8" t="s">
        <v>780</v>
      </c>
      <c r="C1694" s="8" t="s">
        <v>149</v>
      </c>
      <c r="D1694" s="18" t="s">
        <v>2560</v>
      </c>
      <c r="E1694" s="16">
        <v>69.0</v>
      </c>
    </row>
    <row r="1695">
      <c r="A1695" s="8" t="s">
        <v>1582</v>
      </c>
      <c r="B1695" s="8" t="s">
        <v>1173</v>
      </c>
      <c r="C1695" s="8" t="s">
        <v>186</v>
      </c>
      <c r="D1695" s="18" t="s">
        <v>2587</v>
      </c>
      <c r="E1695" s="16">
        <v>73.0</v>
      </c>
    </row>
    <row r="1696">
      <c r="A1696" s="8" t="s">
        <v>1583</v>
      </c>
      <c r="B1696" s="8" t="s">
        <v>67</v>
      </c>
      <c r="C1696" s="8" t="s">
        <v>149</v>
      </c>
      <c r="D1696" s="18" t="s">
        <v>2595</v>
      </c>
      <c r="E1696" s="16">
        <v>78.0</v>
      </c>
    </row>
    <row r="1697">
      <c r="A1697" s="8" t="s">
        <v>497</v>
      </c>
      <c r="B1697" s="8" t="s">
        <v>1009</v>
      </c>
      <c r="C1697" s="8" t="s">
        <v>93</v>
      </c>
      <c r="D1697" s="18" t="s">
        <v>2558</v>
      </c>
      <c r="E1697" s="16">
        <v>77.0</v>
      </c>
    </row>
    <row r="1698">
      <c r="A1698" s="8" t="s">
        <v>3408</v>
      </c>
      <c r="B1698" s="8" t="s">
        <v>3409</v>
      </c>
      <c r="C1698" s="8" t="s">
        <v>65</v>
      </c>
      <c r="D1698" s="18" t="s">
        <v>2605</v>
      </c>
      <c r="E1698" s="16">
        <v>71.0</v>
      </c>
    </row>
    <row r="1699">
      <c r="A1699" s="8" t="s">
        <v>1584</v>
      </c>
      <c r="B1699" s="8" t="s">
        <v>787</v>
      </c>
      <c r="C1699" s="8" t="s">
        <v>122</v>
      </c>
      <c r="D1699" s="18" t="s">
        <v>2595</v>
      </c>
      <c r="E1699" s="16">
        <v>78.0</v>
      </c>
    </row>
    <row r="1700">
      <c r="A1700" s="8" t="s">
        <v>1296</v>
      </c>
      <c r="B1700" s="8" t="s">
        <v>62</v>
      </c>
      <c r="C1700" s="8" t="s">
        <v>70</v>
      </c>
      <c r="D1700" s="18" t="s">
        <v>2603</v>
      </c>
      <c r="E1700" s="16">
        <v>83.0</v>
      </c>
    </row>
    <row r="1701">
      <c r="A1701" s="8" t="s">
        <v>1294</v>
      </c>
      <c r="B1701" s="8" t="s">
        <v>1295</v>
      </c>
      <c r="C1701" s="8" t="s">
        <v>59</v>
      </c>
      <c r="D1701" s="18" t="s">
        <v>2620</v>
      </c>
      <c r="E1701" s="16">
        <v>79.0</v>
      </c>
    </row>
    <row r="1702">
      <c r="A1702" s="8" t="s">
        <v>1585</v>
      </c>
      <c r="B1702" s="8" t="s">
        <v>1586</v>
      </c>
      <c r="C1702" s="8" t="s">
        <v>65</v>
      </c>
      <c r="D1702" s="18" t="s">
        <v>2620</v>
      </c>
      <c r="E1702" s="16">
        <v>64.0</v>
      </c>
    </row>
    <row r="1703">
      <c r="A1703" s="8" t="s">
        <v>1587</v>
      </c>
      <c r="B1703" s="18" t="s">
        <v>529</v>
      </c>
      <c r="C1703" s="8" t="s">
        <v>122</v>
      </c>
      <c r="D1703" s="18" t="s">
        <v>2562</v>
      </c>
      <c r="E1703" s="16">
        <v>67.0</v>
      </c>
    </row>
    <row r="1704">
      <c r="A1704" s="8" t="s">
        <v>781</v>
      </c>
      <c r="B1704" s="8" t="s">
        <v>782</v>
      </c>
      <c r="C1704" s="8" t="s">
        <v>93</v>
      </c>
      <c r="D1704" s="18" t="s">
        <v>2585</v>
      </c>
      <c r="E1704" s="16">
        <v>71.0</v>
      </c>
    </row>
    <row r="1705">
      <c r="A1705" s="8" t="s">
        <v>1950</v>
      </c>
      <c r="B1705" s="8" t="s">
        <v>1951</v>
      </c>
      <c r="C1705" s="8" t="s">
        <v>186</v>
      </c>
      <c r="D1705" s="18" t="s">
        <v>2589</v>
      </c>
      <c r="E1705" s="16">
        <v>73.0</v>
      </c>
    </row>
    <row r="1706">
      <c r="A1706" s="8" t="s">
        <v>1010</v>
      </c>
      <c r="B1706" s="8" t="s">
        <v>1011</v>
      </c>
      <c r="C1706" s="8" t="s">
        <v>38</v>
      </c>
      <c r="D1706" s="18" t="s">
        <v>2554</v>
      </c>
      <c r="E1706" s="16">
        <v>69.0</v>
      </c>
    </row>
    <row r="1707">
      <c r="A1707" s="8" t="s">
        <v>1297</v>
      </c>
      <c r="B1707" s="8" t="s">
        <v>100</v>
      </c>
      <c r="C1707" s="8" t="s">
        <v>132</v>
      </c>
      <c r="D1707" s="18" t="s">
        <v>2610</v>
      </c>
      <c r="E1707" s="16">
        <v>58.0</v>
      </c>
    </row>
    <row r="1708">
      <c r="A1708" s="8" t="s">
        <v>1297</v>
      </c>
      <c r="B1708" s="8" t="s">
        <v>1046</v>
      </c>
      <c r="C1708" s="8" t="s">
        <v>93</v>
      </c>
      <c r="D1708" s="18" t="s">
        <v>2585</v>
      </c>
      <c r="E1708" s="16">
        <v>67.0</v>
      </c>
    </row>
    <row r="1709">
      <c r="A1709" s="8" t="s">
        <v>223</v>
      </c>
      <c r="B1709" s="8" t="s">
        <v>224</v>
      </c>
      <c r="C1709" s="8" t="s">
        <v>138</v>
      </c>
      <c r="D1709" s="18" t="s">
        <v>2598</v>
      </c>
      <c r="E1709" s="16">
        <v>76.0</v>
      </c>
    </row>
    <row r="1710">
      <c r="A1710" s="8" t="s">
        <v>223</v>
      </c>
      <c r="B1710" s="8" t="s">
        <v>275</v>
      </c>
      <c r="C1710" s="8" t="s">
        <v>132</v>
      </c>
      <c r="D1710" s="18" t="s">
        <v>2584</v>
      </c>
      <c r="E1710" s="16">
        <v>68.0</v>
      </c>
    </row>
    <row r="1711">
      <c r="A1711" s="8" t="s">
        <v>223</v>
      </c>
      <c r="B1711" s="8" t="s">
        <v>1588</v>
      </c>
      <c r="C1711" s="8" t="s">
        <v>122</v>
      </c>
      <c r="D1711" s="18" t="s">
        <v>2603</v>
      </c>
      <c r="E1711" s="16">
        <v>73.0</v>
      </c>
    </row>
    <row r="1712">
      <c r="A1712" s="8" t="s">
        <v>223</v>
      </c>
      <c r="B1712" s="8" t="s">
        <v>263</v>
      </c>
      <c r="C1712" s="8" t="s">
        <v>24</v>
      </c>
      <c r="D1712" s="18" t="s">
        <v>2582</v>
      </c>
      <c r="E1712" s="16">
        <v>91.0</v>
      </c>
    </row>
    <row r="1713">
      <c r="A1713" s="8" t="s">
        <v>223</v>
      </c>
      <c r="B1713" s="8" t="s">
        <v>1589</v>
      </c>
      <c r="C1713" s="8" t="s">
        <v>93</v>
      </c>
      <c r="D1713" s="18" t="s">
        <v>2621</v>
      </c>
      <c r="E1713" s="16">
        <v>64.0</v>
      </c>
    </row>
    <row r="1714">
      <c r="A1714" s="8" t="s">
        <v>223</v>
      </c>
      <c r="B1714" s="8" t="s">
        <v>3010</v>
      </c>
      <c r="C1714" s="8" t="s">
        <v>93</v>
      </c>
      <c r="D1714" s="18" t="s">
        <v>2572</v>
      </c>
      <c r="E1714" s="16">
        <v>66.0</v>
      </c>
    </row>
    <row r="1715">
      <c r="A1715" s="8" t="s">
        <v>3410</v>
      </c>
      <c r="B1715" s="8" t="s">
        <v>847</v>
      </c>
      <c r="C1715" s="8" t="s">
        <v>65</v>
      </c>
      <c r="D1715" s="18" t="s">
        <v>2592</v>
      </c>
      <c r="E1715" s="16">
        <v>60.0</v>
      </c>
    </row>
    <row r="1716">
      <c r="A1716" s="8" t="s">
        <v>1952</v>
      </c>
      <c r="B1716" s="8" t="s">
        <v>1128</v>
      </c>
      <c r="C1716" s="8" t="s">
        <v>53</v>
      </c>
      <c r="D1716" s="18" t="s">
        <v>2554</v>
      </c>
      <c r="E1716" s="16">
        <v>67.0</v>
      </c>
    </row>
    <row r="1717">
      <c r="A1717" s="8" t="s">
        <v>1012</v>
      </c>
      <c r="B1717" s="8" t="s">
        <v>3011</v>
      </c>
      <c r="C1717" s="8" t="s">
        <v>138</v>
      </c>
      <c r="D1717" s="18" t="s">
        <v>2572</v>
      </c>
      <c r="E1717" s="16">
        <v>68.0</v>
      </c>
    </row>
    <row r="1718">
      <c r="A1718" s="8" t="s">
        <v>1012</v>
      </c>
      <c r="B1718" s="8" t="s">
        <v>129</v>
      </c>
      <c r="C1718" s="8" t="s">
        <v>192</v>
      </c>
      <c r="D1718" s="18" t="s">
        <v>2585</v>
      </c>
      <c r="E1718" s="16">
        <v>77.0</v>
      </c>
    </row>
    <row r="1719">
      <c r="A1719" s="8" t="s">
        <v>1012</v>
      </c>
      <c r="B1719" s="8" t="s">
        <v>3411</v>
      </c>
      <c r="C1719" s="8" t="s">
        <v>149</v>
      </c>
      <c r="D1719" s="18" t="s">
        <v>2183</v>
      </c>
      <c r="E1719" s="16">
        <v>73.0</v>
      </c>
    </row>
    <row r="1720">
      <c r="A1720" s="8" t="s">
        <v>420</v>
      </c>
      <c r="B1720" s="8" t="s">
        <v>421</v>
      </c>
      <c r="C1720" s="8" t="s">
        <v>46</v>
      </c>
      <c r="D1720" s="18" t="s">
        <v>2552</v>
      </c>
      <c r="E1720" s="16">
        <v>71.0</v>
      </c>
    </row>
    <row r="1721">
      <c r="A1721" s="8" t="s">
        <v>3012</v>
      </c>
      <c r="B1721" s="8" t="s">
        <v>1028</v>
      </c>
      <c r="C1721" s="8" t="s">
        <v>53</v>
      </c>
      <c r="D1721" s="18" t="s">
        <v>2581</v>
      </c>
      <c r="E1721" s="16">
        <v>67.0</v>
      </c>
    </row>
    <row r="1722">
      <c r="A1722" s="8" t="s">
        <v>422</v>
      </c>
      <c r="B1722" s="8" t="s">
        <v>183</v>
      </c>
      <c r="C1722" s="8" t="s">
        <v>149</v>
      </c>
      <c r="D1722" s="18" t="s">
        <v>2552</v>
      </c>
      <c r="E1722" s="16">
        <v>73.0</v>
      </c>
    </row>
    <row r="1723">
      <c r="A1723" s="8" t="s">
        <v>3412</v>
      </c>
      <c r="B1723" s="8" t="s">
        <v>676</v>
      </c>
      <c r="C1723" s="8" t="s">
        <v>261</v>
      </c>
      <c r="D1723" s="18" t="s">
        <v>2598</v>
      </c>
      <c r="E1723" s="16">
        <v>70.0</v>
      </c>
    </row>
    <row r="1724">
      <c r="A1724" s="8" t="s">
        <v>3013</v>
      </c>
      <c r="B1724" s="8" t="s">
        <v>1640</v>
      </c>
      <c r="C1724" s="8" t="s">
        <v>186</v>
      </c>
      <c r="D1724" s="18" t="s">
        <v>2610</v>
      </c>
      <c r="E1724" s="16">
        <v>80.0</v>
      </c>
    </row>
    <row r="1725">
      <c r="A1725" s="8" t="s">
        <v>783</v>
      </c>
      <c r="B1725" s="8" t="s">
        <v>301</v>
      </c>
      <c r="C1725" s="8" t="s">
        <v>65</v>
      </c>
      <c r="D1725" s="18" t="s">
        <v>2593</v>
      </c>
      <c r="E1725" s="16">
        <v>72.0</v>
      </c>
    </row>
    <row r="1726">
      <c r="A1726" s="8" t="s">
        <v>783</v>
      </c>
      <c r="B1726" s="8" t="s">
        <v>839</v>
      </c>
      <c r="C1726" s="8" t="s">
        <v>65</v>
      </c>
      <c r="D1726" s="18" t="s">
        <v>2575</v>
      </c>
      <c r="E1726" s="16">
        <v>61.0</v>
      </c>
    </row>
    <row r="1727">
      <c r="A1727" s="8" t="s">
        <v>783</v>
      </c>
      <c r="B1727" s="8" t="s">
        <v>784</v>
      </c>
      <c r="C1727" s="8" t="s">
        <v>186</v>
      </c>
      <c r="D1727" s="18" t="s">
        <v>2598</v>
      </c>
      <c r="E1727" s="16">
        <v>67.0</v>
      </c>
    </row>
    <row r="1728">
      <c r="A1728" s="8" t="s">
        <v>783</v>
      </c>
      <c r="B1728" s="8" t="s">
        <v>441</v>
      </c>
      <c r="C1728" s="8" t="s">
        <v>93</v>
      </c>
      <c r="D1728" s="18" t="s">
        <v>2598</v>
      </c>
      <c r="E1728" s="16">
        <v>58.0</v>
      </c>
    </row>
    <row r="1729">
      <c r="A1729" s="8" t="s">
        <v>3413</v>
      </c>
      <c r="B1729" s="8" t="s">
        <v>201</v>
      </c>
      <c r="C1729" s="8" t="s">
        <v>80</v>
      </c>
      <c r="D1729" s="18" t="s">
        <v>2615</v>
      </c>
      <c r="E1729" s="16">
        <v>68.0</v>
      </c>
    </row>
    <row r="1730">
      <c r="A1730" s="8" t="s">
        <v>595</v>
      </c>
      <c r="B1730" s="8" t="s">
        <v>320</v>
      </c>
      <c r="C1730" s="8" t="s">
        <v>186</v>
      </c>
      <c r="D1730" s="18" t="s">
        <v>2567</v>
      </c>
      <c r="E1730" s="16">
        <v>58.0</v>
      </c>
    </row>
    <row r="1731">
      <c r="A1731" s="8" t="s">
        <v>595</v>
      </c>
      <c r="B1731" s="8" t="s">
        <v>596</v>
      </c>
      <c r="C1731" s="8" t="s">
        <v>93</v>
      </c>
      <c r="D1731" s="18" t="s">
        <v>2552</v>
      </c>
      <c r="E1731" s="16">
        <v>88.0</v>
      </c>
    </row>
    <row r="1732">
      <c r="A1732" s="8" t="s">
        <v>3015</v>
      </c>
      <c r="B1732" s="8" t="s">
        <v>1285</v>
      </c>
      <c r="C1732" s="8" t="s">
        <v>93</v>
      </c>
      <c r="D1732" s="18" t="s">
        <v>2562</v>
      </c>
      <c r="E1732" s="16">
        <v>62.0</v>
      </c>
    </row>
    <row r="1733">
      <c r="A1733" s="8" t="s">
        <v>315</v>
      </c>
      <c r="B1733" s="8" t="s">
        <v>1128</v>
      </c>
      <c r="C1733" s="8" t="s">
        <v>70</v>
      </c>
      <c r="D1733" s="18" t="s">
        <v>2556</v>
      </c>
      <c r="E1733" s="16">
        <v>77.0</v>
      </c>
    </row>
    <row r="1734">
      <c r="A1734" s="8" t="s">
        <v>785</v>
      </c>
      <c r="B1734" s="8" t="s">
        <v>263</v>
      </c>
      <c r="C1734" s="8" t="s">
        <v>192</v>
      </c>
      <c r="D1734" s="18" t="s">
        <v>2600</v>
      </c>
      <c r="E1734" s="16">
        <v>67.0</v>
      </c>
    </row>
    <row r="1735">
      <c r="A1735" s="8" t="s">
        <v>786</v>
      </c>
      <c r="B1735" s="8" t="s">
        <v>3414</v>
      </c>
      <c r="C1735" s="8" t="s">
        <v>75</v>
      </c>
      <c r="D1735" s="18" t="s">
        <v>2605</v>
      </c>
      <c r="E1735" s="16">
        <v>63.0</v>
      </c>
    </row>
    <row r="1736">
      <c r="A1736" s="8" t="s">
        <v>786</v>
      </c>
      <c r="B1736" s="8" t="s">
        <v>628</v>
      </c>
      <c r="C1736" s="8" t="s">
        <v>65</v>
      </c>
      <c r="D1736" s="18" t="s">
        <v>2603</v>
      </c>
      <c r="E1736" s="16">
        <v>75.0</v>
      </c>
    </row>
    <row r="1737">
      <c r="A1737" s="8" t="s">
        <v>786</v>
      </c>
      <c r="B1737" s="8" t="s">
        <v>787</v>
      </c>
      <c r="C1737" s="8" t="s">
        <v>59</v>
      </c>
      <c r="D1737" s="18" t="s">
        <v>2560</v>
      </c>
      <c r="E1737" s="16">
        <v>81.0</v>
      </c>
    </row>
    <row r="1738">
      <c r="A1738" s="8" t="s">
        <v>790</v>
      </c>
      <c r="B1738" s="8" t="s">
        <v>791</v>
      </c>
      <c r="C1738" s="8" t="s">
        <v>141</v>
      </c>
      <c r="D1738" s="18" t="s">
        <v>2566</v>
      </c>
      <c r="E1738" s="16">
        <v>86.0</v>
      </c>
    </row>
    <row r="1739">
      <c r="A1739" s="8" t="s">
        <v>788</v>
      </c>
      <c r="B1739" s="8" t="s">
        <v>789</v>
      </c>
      <c r="C1739" s="8" t="s">
        <v>70</v>
      </c>
      <c r="D1739" s="18" t="s">
        <v>2554</v>
      </c>
      <c r="E1739" s="16">
        <v>82.0</v>
      </c>
    </row>
    <row r="1740">
      <c r="A1740" s="8" t="s">
        <v>1953</v>
      </c>
      <c r="B1740" s="8" t="s">
        <v>1954</v>
      </c>
      <c r="C1740" s="8" t="s">
        <v>138</v>
      </c>
      <c r="D1740" s="18" t="s">
        <v>2567</v>
      </c>
      <c r="E1740" s="16">
        <v>69.0</v>
      </c>
    </row>
    <row r="1741">
      <c r="A1741" s="8" t="s">
        <v>3415</v>
      </c>
      <c r="B1741" s="8" t="s">
        <v>362</v>
      </c>
      <c r="C1741" s="8" t="s">
        <v>93</v>
      </c>
      <c r="D1741" s="18" t="s">
        <v>2592</v>
      </c>
      <c r="E1741" s="16">
        <v>71.0</v>
      </c>
    </row>
    <row r="1742">
      <c r="A1742" s="8" t="s">
        <v>421</v>
      </c>
      <c r="B1742" s="8" t="s">
        <v>1015</v>
      </c>
      <c r="C1742" s="8" t="s">
        <v>80</v>
      </c>
      <c r="D1742" s="18" t="s">
        <v>2621</v>
      </c>
      <c r="E1742" s="16">
        <v>61.0</v>
      </c>
    </row>
    <row r="1743">
      <c r="A1743" s="8" t="s">
        <v>421</v>
      </c>
      <c r="B1743" s="8" t="s">
        <v>1486</v>
      </c>
      <c r="C1743" s="8" t="s">
        <v>59</v>
      </c>
      <c r="D1743" s="18" t="s">
        <v>2598</v>
      </c>
      <c r="E1743" s="16">
        <v>71.0</v>
      </c>
    </row>
    <row r="1744">
      <c r="A1744" s="8" t="s">
        <v>1014</v>
      </c>
      <c r="B1744" s="8" t="s">
        <v>726</v>
      </c>
      <c r="C1744" s="8" t="s">
        <v>122</v>
      </c>
      <c r="D1744" s="18" t="s">
        <v>2558</v>
      </c>
      <c r="E1744" s="16">
        <v>66.0</v>
      </c>
    </row>
    <row r="1745">
      <c r="A1745" s="8" t="s">
        <v>3020</v>
      </c>
      <c r="B1745" s="8" t="s">
        <v>98</v>
      </c>
      <c r="C1745" s="8" t="s">
        <v>261</v>
      </c>
      <c r="D1745" s="18" t="s">
        <v>2558</v>
      </c>
      <c r="E1745" s="16">
        <v>83.0</v>
      </c>
    </row>
    <row r="1746">
      <c r="A1746" s="8" t="s">
        <v>3416</v>
      </c>
      <c r="B1746" s="8" t="s">
        <v>733</v>
      </c>
      <c r="C1746" s="8" t="s">
        <v>24</v>
      </c>
      <c r="D1746" s="18" t="s">
        <v>2584</v>
      </c>
      <c r="E1746" s="16">
        <v>73.0</v>
      </c>
    </row>
    <row r="1747">
      <c r="A1747" s="8" t="s">
        <v>47</v>
      </c>
      <c r="B1747" s="8" t="s">
        <v>493</v>
      </c>
      <c r="C1747" s="8" t="s">
        <v>59</v>
      </c>
      <c r="D1747" s="18" t="s">
        <v>2600</v>
      </c>
      <c r="E1747" s="16">
        <v>72.0</v>
      </c>
    </row>
    <row r="1748">
      <c r="A1748" s="8" t="s">
        <v>47</v>
      </c>
      <c r="B1748" s="8" t="s">
        <v>48</v>
      </c>
      <c r="C1748" s="8" t="s">
        <v>16</v>
      </c>
      <c r="D1748" s="18" t="s">
        <v>2572</v>
      </c>
      <c r="E1748" s="16">
        <v>84.0</v>
      </c>
    </row>
    <row r="1749">
      <c r="A1749" s="8" t="s">
        <v>3417</v>
      </c>
      <c r="B1749" s="8" t="s">
        <v>247</v>
      </c>
      <c r="C1749" s="8" t="s">
        <v>93</v>
      </c>
      <c r="D1749" s="18" t="s">
        <v>2562</v>
      </c>
      <c r="E1749" s="16">
        <v>68.0</v>
      </c>
    </row>
    <row r="1750">
      <c r="A1750" s="8" t="s">
        <v>305</v>
      </c>
      <c r="B1750" s="8" t="s">
        <v>277</v>
      </c>
      <c r="C1750" s="8" t="s">
        <v>65</v>
      </c>
      <c r="D1750" s="18" t="s">
        <v>2598</v>
      </c>
      <c r="E1750" s="16">
        <v>72.0</v>
      </c>
    </row>
    <row r="1751">
      <c r="A1751" s="8" t="s">
        <v>305</v>
      </c>
      <c r="B1751" s="8" t="s">
        <v>792</v>
      </c>
      <c r="C1751" s="8" t="s">
        <v>93</v>
      </c>
      <c r="D1751" s="18" t="s">
        <v>2560</v>
      </c>
      <c r="E1751" s="16">
        <v>68.0</v>
      </c>
    </row>
    <row r="1752">
      <c r="A1752" s="8" t="s">
        <v>305</v>
      </c>
      <c r="B1752" s="8" t="s">
        <v>1592</v>
      </c>
      <c r="C1752" s="8" t="s">
        <v>53</v>
      </c>
      <c r="D1752" s="18" t="s">
        <v>2600</v>
      </c>
      <c r="E1752" s="16">
        <v>75.0</v>
      </c>
    </row>
    <row r="1753">
      <c r="A1753" s="8" t="s">
        <v>305</v>
      </c>
      <c r="B1753" s="8" t="s">
        <v>137</v>
      </c>
      <c r="C1753" s="8" t="s">
        <v>24</v>
      </c>
      <c r="D1753" s="18" t="s">
        <v>2554</v>
      </c>
      <c r="E1753" s="16">
        <v>71.0</v>
      </c>
    </row>
    <row r="1754">
      <c r="A1754" s="8" t="s">
        <v>305</v>
      </c>
      <c r="B1754" s="8" t="s">
        <v>793</v>
      </c>
      <c r="C1754" s="8" t="s">
        <v>65</v>
      </c>
      <c r="D1754" s="18" t="s">
        <v>2556</v>
      </c>
      <c r="E1754" s="16">
        <v>73.0</v>
      </c>
    </row>
    <row r="1755">
      <c r="A1755" s="8" t="s">
        <v>306</v>
      </c>
      <c r="B1755" s="8" t="s">
        <v>307</v>
      </c>
      <c r="C1755" s="8" t="s">
        <v>186</v>
      </c>
      <c r="D1755" s="18" t="s">
        <v>2595</v>
      </c>
      <c r="E1755" s="16">
        <v>77.0</v>
      </c>
    </row>
    <row r="1756">
      <c r="A1756" s="8" t="s">
        <v>1299</v>
      </c>
      <c r="B1756" s="8" t="s">
        <v>1300</v>
      </c>
      <c r="C1756" s="8" t="s">
        <v>53</v>
      </c>
      <c r="D1756" s="18" t="s">
        <v>2605</v>
      </c>
      <c r="E1756" s="16">
        <v>60.0</v>
      </c>
    </row>
    <row r="1757">
      <c r="A1757" s="8" t="s">
        <v>1016</v>
      </c>
      <c r="B1757" s="8" t="s">
        <v>1017</v>
      </c>
      <c r="C1757" s="8" t="s">
        <v>93</v>
      </c>
      <c r="D1757" s="18" t="s">
        <v>2593</v>
      </c>
      <c r="E1757" s="16">
        <v>79.0</v>
      </c>
    </row>
    <row r="1758">
      <c r="A1758" s="8" t="s">
        <v>308</v>
      </c>
      <c r="B1758" s="8" t="s">
        <v>423</v>
      </c>
      <c r="C1758" s="8" t="s">
        <v>65</v>
      </c>
      <c r="D1758" s="18" t="s">
        <v>2585</v>
      </c>
      <c r="E1758" s="16">
        <v>72.0</v>
      </c>
    </row>
    <row r="1759">
      <c r="A1759" s="8" t="s">
        <v>308</v>
      </c>
      <c r="B1759" s="8" t="s">
        <v>460</v>
      </c>
      <c r="C1759" s="8" t="s">
        <v>65</v>
      </c>
      <c r="D1759" s="18" t="s">
        <v>2584</v>
      </c>
      <c r="E1759" s="16">
        <v>87.0</v>
      </c>
    </row>
    <row r="1760">
      <c r="A1760" s="8" t="s">
        <v>308</v>
      </c>
      <c r="B1760" s="18" t="s">
        <v>1957</v>
      </c>
      <c r="C1760" s="8" t="s">
        <v>122</v>
      </c>
      <c r="D1760" s="18" t="s">
        <v>2554</v>
      </c>
      <c r="E1760" s="16">
        <v>72.0</v>
      </c>
    </row>
    <row r="1761">
      <c r="A1761" s="8" t="s">
        <v>308</v>
      </c>
      <c r="B1761" s="8" t="s">
        <v>407</v>
      </c>
      <c r="C1761" s="8" t="s">
        <v>46</v>
      </c>
      <c r="D1761" s="18" t="s">
        <v>2584</v>
      </c>
      <c r="E1761" s="16">
        <v>76.0</v>
      </c>
    </row>
    <row r="1762">
      <c r="A1762" s="8" t="s">
        <v>308</v>
      </c>
      <c r="B1762" s="8" t="s">
        <v>304</v>
      </c>
      <c r="C1762" s="8" t="s">
        <v>46</v>
      </c>
      <c r="D1762" s="18" t="s">
        <v>2554</v>
      </c>
      <c r="E1762" s="16">
        <v>70.0</v>
      </c>
    </row>
    <row r="1763">
      <c r="A1763" s="8" t="s">
        <v>308</v>
      </c>
      <c r="B1763" s="8" t="s">
        <v>1735</v>
      </c>
      <c r="C1763" s="8" t="s">
        <v>65</v>
      </c>
      <c r="D1763" s="18" t="s">
        <v>2183</v>
      </c>
      <c r="E1763" s="16">
        <v>65.0</v>
      </c>
    </row>
    <row r="1764">
      <c r="A1764" s="8" t="s">
        <v>308</v>
      </c>
      <c r="B1764" s="8" t="s">
        <v>3022</v>
      </c>
      <c r="C1764" s="8" t="s">
        <v>53</v>
      </c>
      <c r="D1764" s="18" t="s">
        <v>2552</v>
      </c>
      <c r="E1764" s="16">
        <v>56.0</v>
      </c>
    </row>
    <row r="1765">
      <c r="A1765" s="8" t="s">
        <v>308</v>
      </c>
      <c r="B1765" s="8" t="s">
        <v>3418</v>
      </c>
      <c r="C1765" s="8" t="s">
        <v>93</v>
      </c>
      <c r="D1765" s="18" t="s">
        <v>2584</v>
      </c>
      <c r="E1765" s="16">
        <v>62.0</v>
      </c>
    </row>
    <row r="1766">
      <c r="A1766" s="8" t="s">
        <v>308</v>
      </c>
      <c r="B1766" s="8" t="s">
        <v>124</v>
      </c>
      <c r="C1766" s="8" t="s">
        <v>46</v>
      </c>
      <c r="D1766" s="18" t="s">
        <v>2554</v>
      </c>
      <c r="E1766" s="16">
        <v>71.0</v>
      </c>
    </row>
    <row r="1767">
      <c r="A1767" s="8" t="s">
        <v>308</v>
      </c>
      <c r="B1767" s="8" t="s">
        <v>301</v>
      </c>
      <c r="C1767" s="8" t="s">
        <v>93</v>
      </c>
      <c r="D1767" s="18" t="s">
        <v>2592</v>
      </c>
      <c r="E1767" s="16">
        <v>72.0</v>
      </c>
    </row>
    <row r="1768">
      <c r="A1768" s="8" t="s">
        <v>308</v>
      </c>
      <c r="B1768" s="8" t="s">
        <v>839</v>
      </c>
      <c r="C1768" s="8" t="s">
        <v>186</v>
      </c>
      <c r="D1768" s="18" t="s">
        <v>2566</v>
      </c>
      <c r="E1768" s="16">
        <v>72.0</v>
      </c>
    </row>
    <row r="1769">
      <c r="A1769" s="8" t="s">
        <v>308</v>
      </c>
      <c r="B1769" s="8" t="s">
        <v>194</v>
      </c>
      <c r="C1769" s="8" t="s">
        <v>93</v>
      </c>
      <c r="D1769" s="18" t="s">
        <v>2564</v>
      </c>
      <c r="E1769" s="16">
        <v>77.0</v>
      </c>
    </row>
    <row r="1770">
      <c r="A1770" s="8" t="s">
        <v>308</v>
      </c>
      <c r="B1770" s="8" t="s">
        <v>1786</v>
      </c>
      <c r="C1770" s="8" t="s">
        <v>93</v>
      </c>
      <c r="D1770" s="18" t="s">
        <v>2585</v>
      </c>
      <c r="E1770" s="16">
        <v>76.0</v>
      </c>
    </row>
    <row r="1771">
      <c r="A1771" s="8" t="s">
        <v>308</v>
      </c>
      <c r="B1771" s="8" t="s">
        <v>1028</v>
      </c>
      <c r="C1771" s="8" t="s">
        <v>141</v>
      </c>
      <c r="D1771" s="18" t="s">
        <v>2598</v>
      </c>
      <c r="E1771" s="16">
        <v>64.0</v>
      </c>
    </row>
    <row r="1772">
      <c r="A1772" s="8" t="s">
        <v>3023</v>
      </c>
      <c r="B1772" s="8" t="s">
        <v>157</v>
      </c>
      <c r="C1772" s="8" t="s">
        <v>138</v>
      </c>
      <c r="D1772" s="18" t="s">
        <v>2552</v>
      </c>
      <c r="E1772" s="16">
        <v>80.0</v>
      </c>
    </row>
    <row r="1773">
      <c r="A1773" s="8" t="s">
        <v>1018</v>
      </c>
      <c r="B1773" s="8" t="s">
        <v>436</v>
      </c>
      <c r="C1773" s="8" t="s">
        <v>93</v>
      </c>
      <c r="D1773" s="18" t="s">
        <v>2620</v>
      </c>
      <c r="E1773" s="16">
        <v>77.0</v>
      </c>
    </row>
    <row r="1774">
      <c r="A1774" s="8" t="s">
        <v>1958</v>
      </c>
      <c r="B1774" s="8" t="s">
        <v>1611</v>
      </c>
      <c r="C1774" s="8" t="s">
        <v>122</v>
      </c>
      <c r="D1774" s="18" t="s">
        <v>2572</v>
      </c>
      <c r="E1774" s="16">
        <v>68.0</v>
      </c>
    </row>
    <row r="1775">
      <c r="A1775" s="8" t="s">
        <v>97</v>
      </c>
      <c r="B1775" s="8" t="s">
        <v>98</v>
      </c>
      <c r="C1775" s="8" t="s">
        <v>16</v>
      </c>
      <c r="D1775" s="18" t="s">
        <v>2558</v>
      </c>
      <c r="E1775" s="16">
        <v>98.0</v>
      </c>
    </row>
    <row r="1776">
      <c r="A1776" s="8" t="s">
        <v>97</v>
      </c>
      <c r="B1776" s="8" t="s">
        <v>3024</v>
      </c>
      <c r="C1776" s="8" t="s">
        <v>70</v>
      </c>
      <c r="D1776" s="18" t="s">
        <v>2592</v>
      </c>
      <c r="E1776" s="16">
        <v>78.0</v>
      </c>
    </row>
    <row r="1777">
      <c r="A1777" s="8" t="s">
        <v>97</v>
      </c>
      <c r="B1777" s="8" t="s">
        <v>299</v>
      </c>
      <c r="C1777" s="8" t="s">
        <v>46</v>
      </c>
      <c r="D1777" s="18" t="s">
        <v>2577</v>
      </c>
      <c r="E1777" s="16">
        <v>65.0</v>
      </c>
    </row>
    <row r="1778">
      <c r="A1778" s="8" t="s">
        <v>97</v>
      </c>
      <c r="B1778" s="8" t="s">
        <v>315</v>
      </c>
      <c r="C1778" s="8" t="s">
        <v>24</v>
      </c>
      <c r="D1778" s="18" t="s">
        <v>2558</v>
      </c>
      <c r="E1778" s="16">
        <v>78.0</v>
      </c>
    </row>
    <row r="1779">
      <c r="A1779" s="8" t="s">
        <v>171</v>
      </c>
      <c r="B1779" s="8" t="s">
        <v>172</v>
      </c>
      <c r="C1779" s="8" t="s">
        <v>93</v>
      </c>
      <c r="D1779" s="18" t="s">
        <v>2566</v>
      </c>
      <c r="E1779" s="16">
        <v>89.0</v>
      </c>
    </row>
    <row r="1780">
      <c r="A1780" s="8" t="s">
        <v>49</v>
      </c>
      <c r="B1780" s="8" t="s">
        <v>50</v>
      </c>
      <c r="C1780" s="8" t="s">
        <v>16</v>
      </c>
      <c r="D1780" s="18" t="s">
        <v>2577</v>
      </c>
      <c r="E1780" s="16">
        <v>91.0</v>
      </c>
    </row>
    <row r="1781">
      <c r="A1781" s="8" t="s">
        <v>1301</v>
      </c>
      <c r="B1781" s="8" t="s">
        <v>1594</v>
      </c>
      <c r="C1781" s="8" t="s">
        <v>65</v>
      </c>
      <c r="D1781" s="18" t="s">
        <v>2567</v>
      </c>
      <c r="E1781" s="16">
        <v>67.0</v>
      </c>
    </row>
    <row r="1782">
      <c r="A1782" s="8" t="s">
        <v>1301</v>
      </c>
      <c r="B1782" s="8" t="s">
        <v>29</v>
      </c>
      <c r="C1782" s="8" t="s">
        <v>65</v>
      </c>
      <c r="D1782" s="18" t="s">
        <v>2577</v>
      </c>
      <c r="E1782" s="16">
        <v>76.0</v>
      </c>
    </row>
    <row r="1783">
      <c r="A1783" s="8" t="s">
        <v>1301</v>
      </c>
      <c r="B1783" s="8" t="s">
        <v>41</v>
      </c>
      <c r="C1783" s="8" t="s">
        <v>261</v>
      </c>
      <c r="D1783" s="18" t="s">
        <v>2593</v>
      </c>
      <c r="E1783" s="16">
        <v>68.0</v>
      </c>
    </row>
    <row r="1784">
      <c r="A1784" s="8" t="s">
        <v>3419</v>
      </c>
      <c r="B1784" s="8" t="s">
        <v>3420</v>
      </c>
      <c r="C1784" s="8" t="s">
        <v>93</v>
      </c>
      <c r="D1784" s="18" t="s">
        <v>2589</v>
      </c>
      <c r="E1784" s="16">
        <v>68.0</v>
      </c>
    </row>
    <row r="1785">
      <c r="A1785" s="8" t="s">
        <v>3025</v>
      </c>
      <c r="B1785" s="8" t="s">
        <v>3026</v>
      </c>
      <c r="C1785" s="8" t="s">
        <v>93</v>
      </c>
      <c r="D1785" s="18" t="s">
        <v>2558</v>
      </c>
      <c r="E1785" s="16">
        <v>73.0</v>
      </c>
    </row>
    <row r="1786">
      <c r="A1786" s="8" t="s">
        <v>1302</v>
      </c>
      <c r="B1786" s="8" t="s">
        <v>263</v>
      </c>
      <c r="C1786" s="8" t="s">
        <v>75</v>
      </c>
      <c r="D1786" s="18" t="s">
        <v>2603</v>
      </c>
      <c r="E1786" s="16">
        <v>64.0</v>
      </c>
    </row>
    <row r="1787">
      <c r="A1787" s="8" t="s">
        <v>1959</v>
      </c>
      <c r="B1787" s="8" t="s">
        <v>423</v>
      </c>
      <c r="C1787" s="8" t="s">
        <v>12</v>
      </c>
      <c r="D1787" s="18" t="s">
        <v>2566</v>
      </c>
      <c r="E1787" s="16">
        <v>71.0</v>
      </c>
    </row>
    <row r="1788">
      <c r="A1788" s="8" t="s">
        <v>597</v>
      </c>
      <c r="B1788" s="8" t="s">
        <v>822</v>
      </c>
      <c r="C1788" s="8" t="s">
        <v>65</v>
      </c>
      <c r="D1788" s="18" t="s">
        <v>2589</v>
      </c>
      <c r="E1788" s="16">
        <v>67.0</v>
      </c>
    </row>
    <row r="1789">
      <c r="A1789" s="8" t="s">
        <v>597</v>
      </c>
      <c r="B1789" s="8" t="s">
        <v>23</v>
      </c>
      <c r="C1789" s="8" t="s">
        <v>65</v>
      </c>
      <c r="D1789" s="18" t="s">
        <v>2610</v>
      </c>
      <c r="E1789" s="16">
        <v>77.0</v>
      </c>
    </row>
    <row r="1790">
      <c r="A1790" s="8" t="s">
        <v>597</v>
      </c>
      <c r="B1790" s="8" t="s">
        <v>598</v>
      </c>
      <c r="C1790" s="8" t="s">
        <v>65</v>
      </c>
      <c r="D1790" s="18" t="s">
        <v>2587</v>
      </c>
      <c r="E1790" s="16">
        <v>66.0</v>
      </c>
    </row>
    <row r="1791">
      <c r="A1791" s="8" t="s">
        <v>1305</v>
      </c>
      <c r="B1791" s="8" t="s">
        <v>198</v>
      </c>
      <c r="C1791" s="8" t="s">
        <v>141</v>
      </c>
      <c r="D1791" s="18" t="s">
        <v>2582</v>
      </c>
      <c r="E1791" s="16">
        <v>63.0</v>
      </c>
    </row>
    <row r="1792">
      <c r="A1792" s="8" t="s">
        <v>1303</v>
      </c>
      <c r="B1792" s="8" t="s">
        <v>129</v>
      </c>
      <c r="C1792" s="8" t="s">
        <v>93</v>
      </c>
      <c r="D1792" s="18" t="s">
        <v>2600</v>
      </c>
      <c r="E1792" s="16">
        <v>76.0</v>
      </c>
    </row>
    <row r="1793">
      <c r="A1793" s="8" t="s">
        <v>3421</v>
      </c>
      <c r="B1793" s="8" t="s">
        <v>3422</v>
      </c>
      <c r="C1793" s="8" t="s">
        <v>122</v>
      </c>
      <c r="D1793" s="18" t="s">
        <v>2603</v>
      </c>
      <c r="E1793" s="16">
        <v>74.0</v>
      </c>
    </row>
    <row r="1794">
      <c r="A1794" s="8" t="s">
        <v>3027</v>
      </c>
      <c r="B1794" s="8" t="s">
        <v>3028</v>
      </c>
      <c r="C1794" s="8" t="s">
        <v>215</v>
      </c>
      <c r="D1794" s="18" t="s">
        <v>2589</v>
      </c>
      <c r="E1794" s="16">
        <v>72.0</v>
      </c>
    </row>
    <row r="1795">
      <c r="A1795" s="8" t="s">
        <v>1304</v>
      </c>
      <c r="B1795" s="8" t="s">
        <v>299</v>
      </c>
      <c r="C1795" s="8" t="s">
        <v>16</v>
      </c>
      <c r="D1795" s="18" t="s">
        <v>2554</v>
      </c>
      <c r="E1795" s="16">
        <v>63.0</v>
      </c>
    </row>
    <row r="1796">
      <c r="A1796" s="8" t="s">
        <v>599</v>
      </c>
      <c r="B1796" s="8" t="s">
        <v>214</v>
      </c>
      <c r="C1796" s="8" t="s">
        <v>24</v>
      </c>
      <c r="D1796" s="18" t="s">
        <v>2552</v>
      </c>
      <c r="E1796" s="16">
        <v>85.0</v>
      </c>
    </row>
    <row r="1797">
      <c r="A1797" s="8" t="s">
        <v>599</v>
      </c>
      <c r="B1797" s="8" t="s">
        <v>472</v>
      </c>
      <c r="C1797" s="8" t="s">
        <v>65</v>
      </c>
      <c r="D1797" s="18" t="s">
        <v>2566</v>
      </c>
      <c r="E1797" s="16">
        <v>66.0</v>
      </c>
    </row>
    <row r="1798">
      <c r="A1798" s="8" t="s">
        <v>1595</v>
      </c>
      <c r="B1798" s="8" t="s">
        <v>247</v>
      </c>
      <c r="C1798" s="8" t="s">
        <v>59</v>
      </c>
      <c r="D1798" s="18" t="s">
        <v>2183</v>
      </c>
      <c r="E1798" s="16">
        <v>63.0</v>
      </c>
    </row>
    <row r="1799">
      <c r="A1799" s="8" t="s">
        <v>409</v>
      </c>
      <c r="B1799" s="8" t="s">
        <v>1306</v>
      </c>
      <c r="C1799" s="8" t="s">
        <v>65</v>
      </c>
      <c r="D1799" s="18" t="s">
        <v>2610</v>
      </c>
      <c r="E1799" s="16">
        <v>62.0</v>
      </c>
    </row>
    <row r="1800">
      <c r="A1800" s="8" t="s">
        <v>409</v>
      </c>
      <c r="B1800" s="8" t="s">
        <v>1596</v>
      </c>
      <c r="C1800" s="8" t="s">
        <v>93</v>
      </c>
      <c r="D1800" s="18" t="s">
        <v>2610</v>
      </c>
      <c r="E1800" s="16">
        <v>69.0</v>
      </c>
    </row>
    <row r="1801">
      <c r="A1801" s="8" t="s">
        <v>409</v>
      </c>
      <c r="B1801" s="8" t="s">
        <v>67</v>
      </c>
      <c r="C1801" s="8" t="s">
        <v>215</v>
      </c>
      <c r="D1801" s="18" t="s">
        <v>2592</v>
      </c>
      <c r="E1801" s="16">
        <v>65.0</v>
      </c>
    </row>
    <row r="1802">
      <c r="A1802" s="8" t="s">
        <v>67</v>
      </c>
      <c r="B1802" s="8" t="s">
        <v>299</v>
      </c>
      <c r="C1802" s="8" t="s">
        <v>186</v>
      </c>
      <c r="D1802" s="18" t="s">
        <v>2558</v>
      </c>
      <c r="E1802" s="16">
        <v>76.0</v>
      </c>
    </row>
    <row r="1803">
      <c r="A1803" s="8" t="s">
        <v>67</v>
      </c>
      <c r="B1803" s="8" t="s">
        <v>181</v>
      </c>
      <c r="C1803" s="8" t="s">
        <v>38</v>
      </c>
      <c r="D1803" s="18" t="s">
        <v>2603</v>
      </c>
      <c r="E1803" s="16">
        <v>77.0</v>
      </c>
    </row>
    <row r="1804">
      <c r="A1804" s="8" t="s">
        <v>67</v>
      </c>
      <c r="B1804" s="8" t="s">
        <v>222</v>
      </c>
      <c r="C1804" s="8" t="s">
        <v>93</v>
      </c>
      <c r="D1804" s="18" t="s">
        <v>2621</v>
      </c>
      <c r="E1804" s="16">
        <v>86.0</v>
      </c>
    </row>
    <row r="1805">
      <c r="A1805" s="8" t="s">
        <v>67</v>
      </c>
      <c r="B1805" s="8" t="s">
        <v>33</v>
      </c>
      <c r="C1805" s="8" t="s">
        <v>16</v>
      </c>
      <c r="D1805" s="18" t="s">
        <v>2598</v>
      </c>
      <c r="E1805" s="16">
        <v>96.0</v>
      </c>
    </row>
    <row r="1806">
      <c r="A1806" s="8" t="s">
        <v>3029</v>
      </c>
      <c r="B1806" s="8" t="s">
        <v>310</v>
      </c>
      <c r="C1806" s="8" t="s">
        <v>75</v>
      </c>
      <c r="D1806" s="18" t="s">
        <v>2593</v>
      </c>
      <c r="E1806" s="16">
        <v>79.0</v>
      </c>
    </row>
    <row r="1807">
      <c r="A1807" s="8" t="s">
        <v>1019</v>
      </c>
      <c r="B1807" s="8" t="s">
        <v>170</v>
      </c>
      <c r="C1807" s="8" t="s">
        <v>149</v>
      </c>
      <c r="D1807" s="18" t="s">
        <v>2620</v>
      </c>
      <c r="E1807" s="16">
        <v>70.0</v>
      </c>
    </row>
    <row r="1808">
      <c r="A1808" s="8" t="s">
        <v>2228</v>
      </c>
      <c r="B1808" s="8" t="s">
        <v>260</v>
      </c>
      <c r="C1808" s="8" t="s">
        <v>192</v>
      </c>
      <c r="D1808" s="18" t="s">
        <v>2584</v>
      </c>
      <c r="E1808" s="16">
        <v>67.0</v>
      </c>
    </row>
    <row r="1809">
      <c r="A1809" s="8" t="s">
        <v>2229</v>
      </c>
      <c r="B1809" s="8" t="s">
        <v>1015</v>
      </c>
      <c r="C1809" s="8" t="s">
        <v>65</v>
      </c>
      <c r="D1809" s="18" t="s">
        <v>2574</v>
      </c>
      <c r="E1809" s="16">
        <v>73.0</v>
      </c>
    </row>
    <row r="1810">
      <c r="A1810" s="8" t="s">
        <v>3423</v>
      </c>
      <c r="B1810" s="8" t="s">
        <v>3058</v>
      </c>
      <c r="C1810" s="8" t="s">
        <v>141</v>
      </c>
      <c r="D1810" s="18" t="s">
        <v>2592</v>
      </c>
      <c r="E1810" s="16">
        <v>54.0</v>
      </c>
    </row>
    <row r="1811">
      <c r="A1811" s="8" t="s">
        <v>1960</v>
      </c>
      <c r="B1811" s="8" t="s">
        <v>471</v>
      </c>
      <c r="C1811" s="8" t="s">
        <v>16</v>
      </c>
      <c r="D1811" s="18" t="s">
        <v>2605</v>
      </c>
      <c r="E1811" s="16">
        <v>67.0</v>
      </c>
    </row>
    <row r="1812">
      <c r="A1812" s="8" t="s">
        <v>1960</v>
      </c>
      <c r="B1812" s="8" t="s">
        <v>750</v>
      </c>
      <c r="C1812" s="8" t="s">
        <v>93</v>
      </c>
      <c r="D1812" s="18" t="s">
        <v>2574</v>
      </c>
      <c r="E1812" s="16">
        <v>67.0</v>
      </c>
    </row>
    <row r="1813">
      <c r="A1813" s="8" t="s">
        <v>225</v>
      </c>
      <c r="B1813" s="8" t="s">
        <v>226</v>
      </c>
      <c r="C1813" s="8" t="s">
        <v>65</v>
      </c>
      <c r="D1813" s="18" t="s">
        <v>2620</v>
      </c>
      <c r="E1813" s="16">
        <v>89.0</v>
      </c>
    </row>
    <row r="1814">
      <c r="A1814" s="8" t="s">
        <v>3030</v>
      </c>
      <c r="B1814" s="8" t="s">
        <v>479</v>
      </c>
      <c r="C1814" s="8" t="s">
        <v>24</v>
      </c>
      <c r="D1814" s="18" t="s">
        <v>2558</v>
      </c>
      <c r="E1814" s="16">
        <v>65.0</v>
      </c>
    </row>
    <row r="1815">
      <c r="A1815" s="8" t="s">
        <v>1962</v>
      </c>
      <c r="B1815" s="8" t="s">
        <v>3176</v>
      </c>
      <c r="C1815" s="8" t="s">
        <v>70</v>
      </c>
      <c r="D1815" s="18" t="s">
        <v>2552</v>
      </c>
      <c r="E1815" s="16">
        <v>72.0</v>
      </c>
    </row>
    <row r="1816">
      <c r="A1816" s="8" t="s">
        <v>1020</v>
      </c>
      <c r="B1816" s="8" t="s">
        <v>1021</v>
      </c>
      <c r="C1816" s="8" t="s">
        <v>12</v>
      </c>
      <c r="D1816" s="18" t="s">
        <v>2183</v>
      </c>
      <c r="E1816" s="16">
        <v>79.0</v>
      </c>
    </row>
    <row r="1817">
      <c r="A1817" s="8" t="s">
        <v>3031</v>
      </c>
      <c r="B1817" s="8" t="s">
        <v>425</v>
      </c>
      <c r="C1817" s="8" t="s">
        <v>65</v>
      </c>
      <c r="D1817" s="18" t="s">
        <v>2598</v>
      </c>
      <c r="E1817" s="16">
        <v>82.0</v>
      </c>
    </row>
    <row r="1818">
      <c r="A1818" s="8" t="s">
        <v>1599</v>
      </c>
      <c r="B1818" s="8" t="s">
        <v>129</v>
      </c>
      <c r="C1818" s="8" t="s">
        <v>24</v>
      </c>
      <c r="D1818" s="18" t="s">
        <v>2598</v>
      </c>
      <c r="E1818" s="16">
        <v>70.0</v>
      </c>
    </row>
    <row r="1819">
      <c r="A1819" s="8" t="s">
        <v>600</v>
      </c>
      <c r="B1819" s="8" t="s">
        <v>15</v>
      </c>
      <c r="C1819" s="8" t="s">
        <v>16</v>
      </c>
      <c r="D1819" s="18" t="s">
        <v>2562</v>
      </c>
      <c r="E1819" s="16">
        <v>72.0</v>
      </c>
    </row>
    <row r="1820">
      <c r="A1820" s="8" t="s">
        <v>3424</v>
      </c>
      <c r="B1820" s="8" t="s">
        <v>542</v>
      </c>
      <c r="C1820" s="8" t="s">
        <v>24</v>
      </c>
      <c r="D1820" s="18" t="s">
        <v>2587</v>
      </c>
      <c r="E1820" s="16">
        <v>62.0</v>
      </c>
    </row>
    <row r="1821">
      <c r="A1821" s="8" t="s">
        <v>2234</v>
      </c>
      <c r="B1821" s="8" t="s">
        <v>494</v>
      </c>
      <c r="C1821" s="8" t="s">
        <v>122</v>
      </c>
      <c r="D1821" s="18" t="s">
        <v>2593</v>
      </c>
      <c r="E1821" s="16">
        <v>64.0</v>
      </c>
    </row>
    <row r="1822">
      <c r="A1822" s="8" t="s">
        <v>311</v>
      </c>
      <c r="B1822" s="8" t="s">
        <v>194</v>
      </c>
      <c r="C1822" s="8" t="s">
        <v>24</v>
      </c>
      <c r="D1822" s="18" t="s">
        <v>2605</v>
      </c>
      <c r="E1822" s="16">
        <v>41.0</v>
      </c>
    </row>
    <row r="1823">
      <c r="A1823" s="8" t="s">
        <v>3032</v>
      </c>
      <c r="B1823" s="8" t="s">
        <v>2062</v>
      </c>
      <c r="C1823" s="8" t="s">
        <v>93</v>
      </c>
      <c r="D1823" s="18" t="s">
        <v>2614</v>
      </c>
      <c r="E1823" s="16">
        <v>83.0</v>
      </c>
    </row>
    <row r="1824">
      <c r="A1824" s="8" t="s">
        <v>1307</v>
      </c>
      <c r="B1824" s="8" t="s">
        <v>1308</v>
      </c>
      <c r="C1824" s="8" t="s">
        <v>53</v>
      </c>
      <c r="D1824" s="18" t="s">
        <v>2562</v>
      </c>
      <c r="E1824" s="16">
        <v>66.0</v>
      </c>
    </row>
    <row r="1825">
      <c r="A1825" s="8" t="s">
        <v>32</v>
      </c>
      <c r="B1825" s="8" t="s">
        <v>33</v>
      </c>
      <c r="C1825" s="8" t="s">
        <v>16</v>
      </c>
      <c r="D1825" s="18" t="s">
        <v>2598</v>
      </c>
      <c r="E1825" s="16">
        <v>69.0</v>
      </c>
    </row>
    <row r="1826">
      <c r="A1826" s="8" t="s">
        <v>1022</v>
      </c>
      <c r="B1826" s="8" t="s">
        <v>121</v>
      </c>
      <c r="C1826" s="8" t="s">
        <v>132</v>
      </c>
      <c r="D1826" s="18" t="s">
        <v>2582</v>
      </c>
      <c r="E1826" s="16">
        <v>86.0</v>
      </c>
    </row>
    <row r="1827">
      <c r="A1827" s="8" t="s">
        <v>3033</v>
      </c>
      <c r="B1827" s="8" t="s">
        <v>3034</v>
      </c>
      <c r="C1827" s="8" t="s">
        <v>38</v>
      </c>
      <c r="D1827" s="18" t="s">
        <v>2587</v>
      </c>
      <c r="E1827" s="16">
        <v>73.0</v>
      </c>
    </row>
    <row r="1828">
      <c r="A1828" s="8" t="s">
        <v>1600</v>
      </c>
      <c r="B1828" s="8" t="s">
        <v>102</v>
      </c>
      <c r="C1828" s="8" t="s">
        <v>59</v>
      </c>
      <c r="D1828" s="18" t="s">
        <v>2615</v>
      </c>
      <c r="E1828" s="16">
        <v>69.0</v>
      </c>
    </row>
    <row r="1829">
      <c r="A1829" s="8" t="s">
        <v>794</v>
      </c>
      <c r="B1829" s="8" t="s">
        <v>137</v>
      </c>
      <c r="C1829" s="8" t="s">
        <v>132</v>
      </c>
      <c r="D1829" s="18" t="s">
        <v>2620</v>
      </c>
      <c r="E1829" s="16">
        <v>72.0</v>
      </c>
    </row>
    <row r="1830">
      <c r="A1830" s="8" t="s">
        <v>3035</v>
      </c>
      <c r="B1830" s="8" t="s">
        <v>67</v>
      </c>
      <c r="C1830" s="8" t="s">
        <v>149</v>
      </c>
      <c r="D1830" s="18" t="s">
        <v>2598</v>
      </c>
      <c r="E1830" s="16">
        <v>87.0</v>
      </c>
    </row>
    <row r="1831">
      <c r="A1831" s="8" t="s">
        <v>1601</v>
      </c>
      <c r="B1831" s="8" t="s">
        <v>111</v>
      </c>
      <c r="C1831" s="8" t="s">
        <v>24</v>
      </c>
      <c r="D1831" s="18" t="s">
        <v>2610</v>
      </c>
      <c r="E1831" s="16">
        <v>68.0</v>
      </c>
    </row>
    <row r="1832">
      <c r="A1832" s="8" t="s">
        <v>426</v>
      </c>
      <c r="B1832" s="8" t="s">
        <v>427</v>
      </c>
      <c r="C1832" s="8" t="s">
        <v>149</v>
      </c>
      <c r="D1832" s="18" t="s">
        <v>2183</v>
      </c>
      <c r="E1832" s="16">
        <v>81.0</v>
      </c>
    </row>
    <row r="1833">
      <c r="A1833" s="8" t="s">
        <v>1602</v>
      </c>
      <c r="B1833" s="8" t="s">
        <v>542</v>
      </c>
      <c r="C1833" s="8" t="s">
        <v>132</v>
      </c>
      <c r="D1833" s="18" t="s">
        <v>2598</v>
      </c>
      <c r="E1833" s="16">
        <v>64.0</v>
      </c>
    </row>
    <row r="1834">
      <c r="A1834" s="8" t="s">
        <v>3425</v>
      </c>
      <c r="B1834" s="8" t="s">
        <v>157</v>
      </c>
      <c r="C1834" s="8" t="s">
        <v>132</v>
      </c>
      <c r="D1834" s="18" t="s">
        <v>2567</v>
      </c>
      <c r="E1834" s="16">
        <v>74.0</v>
      </c>
    </row>
    <row r="1835">
      <c r="A1835" s="8" t="s">
        <v>1031</v>
      </c>
      <c r="B1835" s="8" t="s">
        <v>1964</v>
      </c>
      <c r="C1835" s="8" t="s">
        <v>65</v>
      </c>
      <c r="D1835" s="18" t="s">
        <v>2572</v>
      </c>
      <c r="E1835" s="16">
        <v>64.0</v>
      </c>
    </row>
    <row r="1836">
      <c r="A1836" s="8" t="s">
        <v>1031</v>
      </c>
      <c r="B1836" s="8" t="s">
        <v>275</v>
      </c>
      <c r="C1836" s="8" t="s">
        <v>132</v>
      </c>
      <c r="D1836" s="18" t="s">
        <v>2574</v>
      </c>
      <c r="E1836" s="16">
        <v>70.0</v>
      </c>
    </row>
    <row r="1837">
      <c r="A1837" s="8" t="s">
        <v>1031</v>
      </c>
      <c r="B1837" s="8" t="s">
        <v>3036</v>
      </c>
      <c r="C1837" s="8" t="s">
        <v>65</v>
      </c>
      <c r="D1837" s="18" t="s">
        <v>2581</v>
      </c>
      <c r="E1837" s="16">
        <v>63.0</v>
      </c>
    </row>
    <row r="1838">
      <c r="A1838" s="8" t="s">
        <v>1967</v>
      </c>
      <c r="B1838" s="8" t="s">
        <v>1563</v>
      </c>
      <c r="C1838" s="8" t="s">
        <v>24</v>
      </c>
      <c r="D1838" s="18" t="s">
        <v>2589</v>
      </c>
      <c r="E1838" s="16">
        <v>64.0</v>
      </c>
    </row>
    <row r="1839">
      <c r="A1839" s="8" t="s">
        <v>3037</v>
      </c>
      <c r="B1839" s="8" t="s">
        <v>1334</v>
      </c>
      <c r="C1839" s="8" t="s">
        <v>93</v>
      </c>
      <c r="D1839" s="18" t="s">
        <v>2614</v>
      </c>
      <c r="E1839" s="16">
        <v>64.0</v>
      </c>
    </row>
    <row r="1840">
      <c r="A1840" s="8" t="s">
        <v>3038</v>
      </c>
      <c r="B1840" s="18" t="s">
        <v>3039</v>
      </c>
      <c r="C1840" s="8" t="s">
        <v>192</v>
      </c>
      <c r="D1840" s="18" t="s">
        <v>2621</v>
      </c>
      <c r="E1840" s="16">
        <v>76.0</v>
      </c>
    </row>
    <row r="1841">
      <c r="A1841" s="8" t="s">
        <v>1603</v>
      </c>
      <c r="B1841" s="8" t="s">
        <v>1604</v>
      </c>
      <c r="C1841" s="8" t="s">
        <v>149</v>
      </c>
      <c r="D1841" s="18" t="s">
        <v>2621</v>
      </c>
      <c r="E1841" s="16">
        <v>65.0</v>
      </c>
    </row>
    <row r="1842">
      <c r="A1842" s="8" t="s">
        <v>3426</v>
      </c>
      <c r="B1842" s="8" t="s">
        <v>1312</v>
      </c>
      <c r="C1842" s="8" t="s">
        <v>59</v>
      </c>
      <c r="D1842" s="18" t="s">
        <v>2587</v>
      </c>
      <c r="E1842" s="16">
        <v>61.0</v>
      </c>
    </row>
    <row r="1843">
      <c r="A1843" s="8" t="s">
        <v>3040</v>
      </c>
      <c r="B1843" s="8" t="s">
        <v>464</v>
      </c>
      <c r="C1843" s="8" t="s">
        <v>24</v>
      </c>
      <c r="D1843" s="18" t="s">
        <v>2560</v>
      </c>
      <c r="E1843" s="16">
        <v>74.0</v>
      </c>
    </row>
    <row r="1844">
      <c r="A1844" s="8" t="s">
        <v>312</v>
      </c>
      <c r="B1844" s="8" t="s">
        <v>55</v>
      </c>
      <c r="C1844" s="8" t="s">
        <v>192</v>
      </c>
      <c r="D1844" s="18" t="s">
        <v>2552</v>
      </c>
      <c r="E1844" s="16">
        <v>78.0</v>
      </c>
    </row>
    <row r="1845">
      <c r="A1845" s="8" t="s">
        <v>1607</v>
      </c>
      <c r="B1845" s="8" t="s">
        <v>381</v>
      </c>
      <c r="C1845" s="8" t="s">
        <v>46</v>
      </c>
      <c r="D1845" s="18" t="s">
        <v>2603</v>
      </c>
      <c r="E1845" s="16">
        <v>64.0</v>
      </c>
    </row>
    <row r="1846">
      <c r="A1846" s="8" t="s">
        <v>3041</v>
      </c>
      <c r="B1846" s="8" t="s">
        <v>3042</v>
      </c>
      <c r="C1846" s="8" t="s">
        <v>93</v>
      </c>
      <c r="D1846" s="18" t="s">
        <v>2577</v>
      </c>
      <c r="E1846" s="16">
        <v>71.0</v>
      </c>
    </row>
    <row r="1847">
      <c r="A1847" s="8" t="s">
        <v>1610</v>
      </c>
      <c r="B1847" s="8" t="s">
        <v>1611</v>
      </c>
      <c r="C1847" s="8" t="s">
        <v>75</v>
      </c>
      <c r="D1847" s="18" t="s">
        <v>2564</v>
      </c>
      <c r="E1847" s="16">
        <v>69.0</v>
      </c>
    </row>
    <row r="1848">
      <c r="A1848" s="8" t="s">
        <v>1608</v>
      </c>
      <c r="B1848" s="8" t="s">
        <v>1609</v>
      </c>
      <c r="C1848" s="8" t="s">
        <v>93</v>
      </c>
      <c r="D1848" s="18" t="s">
        <v>2587</v>
      </c>
      <c r="E1848" s="16">
        <v>66.0</v>
      </c>
    </row>
    <row r="1849">
      <c r="A1849" s="8" t="s">
        <v>3427</v>
      </c>
      <c r="B1849" s="8" t="s">
        <v>3428</v>
      </c>
      <c r="C1849" s="8" t="s">
        <v>93</v>
      </c>
      <c r="D1849" s="18" t="s">
        <v>2575</v>
      </c>
      <c r="E1849" s="16">
        <v>61.0</v>
      </c>
    </row>
    <row r="1850">
      <c r="A1850" s="8" t="s">
        <v>1968</v>
      </c>
      <c r="B1850" s="8" t="s">
        <v>11</v>
      </c>
      <c r="C1850" s="8" t="s">
        <v>24</v>
      </c>
      <c r="D1850" s="18" t="s">
        <v>2605</v>
      </c>
      <c r="E1850" s="16">
        <v>75.0</v>
      </c>
    </row>
    <row r="1851">
      <c r="A1851" s="8" t="s">
        <v>1969</v>
      </c>
      <c r="B1851" s="8" t="s">
        <v>506</v>
      </c>
      <c r="C1851" s="8" t="s">
        <v>46</v>
      </c>
      <c r="D1851" s="18" t="s">
        <v>2556</v>
      </c>
      <c r="E1851" s="16">
        <v>69.0</v>
      </c>
    </row>
    <row r="1852">
      <c r="A1852" s="8" t="s">
        <v>1969</v>
      </c>
      <c r="B1852" s="8" t="s">
        <v>1970</v>
      </c>
      <c r="C1852" s="8" t="s">
        <v>65</v>
      </c>
      <c r="D1852" s="18" t="s">
        <v>2621</v>
      </c>
      <c r="E1852" s="16">
        <v>76.0</v>
      </c>
    </row>
    <row r="1853">
      <c r="A1853" s="8" t="s">
        <v>795</v>
      </c>
      <c r="B1853" s="8" t="s">
        <v>676</v>
      </c>
      <c r="C1853" s="8" t="s">
        <v>75</v>
      </c>
      <c r="D1853" s="18" t="s">
        <v>2584</v>
      </c>
      <c r="E1853" s="16">
        <v>68.0</v>
      </c>
    </row>
    <row r="1854">
      <c r="A1854" s="8" t="s">
        <v>1023</v>
      </c>
      <c r="B1854" s="8" t="s">
        <v>1131</v>
      </c>
      <c r="C1854" s="8" t="s">
        <v>16</v>
      </c>
      <c r="D1854" s="18" t="s">
        <v>2605</v>
      </c>
      <c r="E1854" s="16">
        <v>57.0</v>
      </c>
    </row>
    <row r="1855">
      <c r="A1855" s="8" t="s">
        <v>1023</v>
      </c>
      <c r="B1855" s="8" t="s">
        <v>301</v>
      </c>
      <c r="C1855" s="8" t="s">
        <v>93</v>
      </c>
      <c r="D1855" s="18" t="s">
        <v>2610</v>
      </c>
      <c r="E1855" s="16">
        <v>72.0</v>
      </c>
    </row>
    <row r="1856">
      <c r="A1856" s="8" t="s">
        <v>1309</v>
      </c>
      <c r="B1856" s="8" t="s">
        <v>67</v>
      </c>
      <c r="C1856" s="8" t="s">
        <v>186</v>
      </c>
      <c r="D1856" s="18" t="s">
        <v>2577</v>
      </c>
      <c r="E1856" s="16">
        <v>81.0</v>
      </c>
    </row>
    <row r="1857">
      <c r="A1857" s="8" t="s">
        <v>3044</v>
      </c>
      <c r="B1857" s="8" t="s">
        <v>1339</v>
      </c>
      <c r="C1857" s="8" t="s">
        <v>93</v>
      </c>
      <c r="D1857" s="18" t="s">
        <v>2603</v>
      </c>
      <c r="E1857" s="16">
        <v>79.0</v>
      </c>
    </row>
    <row r="1858">
      <c r="A1858" s="8" t="s">
        <v>428</v>
      </c>
      <c r="B1858" s="8" t="s">
        <v>429</v>
      </c>
      <c r="C1858" s="8" t="s">
        <v>53</v>
      </c>
      <c r="D1858" s="18" t="s">
        <v>2567</v>
      </c>
      <c r="E1858" s="16">
        <v>79.0</v>
      </c>
    </row>
    <row r="1859">
      <c r="A1859" s="8" t="s">
        <v>709</v>
      </c>
      <c r="B1859" s="8" t="s">
        <v>1473</v>
      </c>
      <c r="C1859" s="8" t="s">
        <v>122</v>
      </c>
      <c r="D1859" s="18" t="s">
        <v>2598</v>
      </c>
      <c r="E1859" s="16">
        <v>75.0</v>
      </c>
    </row>
    <row r="1860">
      <c r="A1860" s="8" t="s">
        <v>1024</v>
      </c>
      <c r="B1860" s="8" t="s">
        <v>121</v>
      </c>
      <c r="C1860" s="8" t="s">
        <v>149</v>
      </c>
      <c r="D1860" s="18" t="s">
        <v>2560</v>
      </c>
      <c r="E1860" s="16">
        <v>69.0</v>
      </c>
    </row>
    <row r="1861">
      <c r="A1861" s="8" t="s">
        <v>1310</v>
      </c>
      <c r="B1861" s="8" t="s">
        <v>134</v>
      </c>
      <c r="C1861" s="8" t="s">
        <v>122</v>
      </c>
      <c r="D1861" s="18" t="s">
        <v>2615</v>
      </c>
      <c r="E1861" s="16">
        <v>82.0</v>
      </c>
    </row>
    <row r="1862">
      <c r="A1862" s="8" t="s">
        <v>1310</v>
      </c>
      <c r="B1862" s="18" t="s">
        <v>1941</v>
      </c>
      <c r="C1862" s="8" t="s">
        <v>65</v>
      </c>
      <c r="D1862" s="18" t="s">
        <v>2552</v>
      </c>
      <c r="E1862" s="16">
        <v>61.0</v>
      </c>
    </row>
    <row r="1863">
      <c r="A1863" s="8" t="s">
        <v>796</v>
      </c>
      <c r="B1863" s="8" t="s">
        <v>409</v>
      </c>
      <c r="C1863" s="8" t="s">
        <v>65</v>
      </c>
      <c r="D1863" s="18" t="s">
        <v>2574</v>
      </c>
      <c r="E1863" s="16">
        <v>71.0</v>
      </c>
    </row>
    <row r="1864">
      <c r="A1864" s="8" t="s">
        <v>796</v>
      </c>
      <c r="B1864" s="8" t="s">
        <v>1035</v>
      </c>
      <c r="C1864" s="8" t="s">
        <v>65</v>
      </c>
      <c r="D1864" s="18" t="s">
        <v>2566</v>
      </c>
      <c r="E1864" s="16">
        <v>80.0</v>
      </c>
    </row>
    <row r="1865">
      <c r="A1865" s="8" t="s">
        <v>1614</v>
      </c>
      <c r="B1865" s="8" t="s">
        <v>464</v>
      </c>
      <c r="C1865" s="8" t="s">
        <v>75</v>
      </c>
      <c r="D1865" s="18" t="s">
        <v>2552</v>
      </c>
      <c r="E1865" s="16">
        <v>63.0</v>
      </c>
    </row>
    <row r="1866">
      <c r="A1866" s="8" t="s">
        <v>313</v>
      </c>
      <c r="B1866" s="8" t="s">
        <v>247</v>
      </c>
      <c r="C1866" s="8" t="s">
        <v>93</v>
      </c>
      <c r="D1866" s="18" t="s">
        <v>2552</v>
      </c>
      <c r="E1866" s="16">
        <v>70.0</v>
      </c>
    </row>
    <row r="1867">
      <c r="A1867" s="8" t="s">
        <v>314</v>
      </c>
      <c r="B1867" s="8" t="s">
        <v>212</v>
      </c>
      <c r="C1867" s="8" t="s">
        <v>261</v>
      </c>
      <c r="D1867" s="18" t="s">
        <v>2183</v>
      </c>
      <c r="E1867" s="16">
        <v>70.0</v>
      </c>
    </row>
    <row r="1868">
      <c r="A1868" s="8" t="s">
        <v>314</v>
      </c>
      <c r="B1868" s="8" t="s">
        <v>315</v>
      </c>
      <c r="C1868" s="8" t="s">
        <v>93</v>
      </c>
      <c r="D1868" s="18" t="s">
        <v>2603</v>
      </c>
      <c r="E1868" s="16">
        <v>90.0</v>
      </c>
    </row>
    <row r="1869">
      <c r="A1869" s="8" t="s">
        <v>173</v>
      </c>
      <c r="B1869" s="18" t="s">
        <v>174</v>
      </c>
      <c r="C1869" s="8" t="s">
        <v>141</v>
      </c>
      <c r="D1869" s="18" t="s">
        <v>2589</v>
      </c>
      <c r="E1869" s="16">
        <v>80.0</v>
      </c>
    </row>
    <row r="1870">
      <c r="A1870" s="8" t="s">
        <v>430</v>
      </c>
      <c r="B1870" s="8" t="s">
        <v>431</v>
      </c>
      <c r="C1870" s="8" t="s">
        <v>122</v>
      </c>
      <c r="D1870" s="18" t="s">
        <v>2574</v>
      </c>
      <c r="E1870" s="16">
        <v>88.0</v>
      </c>
    </row>
    <row r="1871">
      <c r="A1871" s="8" t="s">
        <v>3429</v>
      </c>
      <c r="B1871" s="8" t="s">
        <v>3430</v>
      </c>
      <c r="C1871" s="8" t="s">
        <v>65</v>
      </c>
      <c r="D1871" s="18" t="s">
        <v>2587</v>
      </c>
      <c r="E1871" s="16">
        <v>63.0</v>
      </c>
    </row>
    <row r="1872">
      <c r="A1872" s="8" t="s">
        <v>1025</v>
      </c>
      <c r="B1872" s="8" t="s">
        <v>1026</v>
      </c>
      <c r="C1872" s="8" t="s">
        <v>192</v>
      </c>
      <c r="D1872" s="18" t="s">
        <v>2614</v>
      </c>
      <c r="E1872" s="16">
        <v>55.0</v>
      </c>
    </row>
    <row r="1873">
      <c r="A1873" s="8" t="s">
        <v>1027</v>
      </c>
      <c r="B1873" s="8" t="s">
        <v>1028</v>
      </c>
      <c r="C1873" s="8" t="s">
        <v>16</v>
      </c>
      <c r="D1873" s="18" t="s">
        <v>2620</v>
      </c>
      <c r="E1873" s="16">
        <v>76.0</v>
      </c>
    </row>
    <row r="1874">
      <c r="A1874" s="8" t="s">
        <v>3049</v>
      </c>
      <c r="B1874" s="8" t="s">
        <v>3050</v>
      </c>
      <c r="C1874" s="8" t="s">
        <v>75</v>
      </c>
      <c r="D1874" s="18" t="s">
        <v>2574</v>
      </c>
      <c r="E1874" s="16">
        <v>72.0</v>
      </c>
    </row>
    <row r="1875">
      <c r="A1875" s="8" t="s">
        <v>1311</v>
      </c>
      <c r="B1875" s="8" t="s">
        <v>1312</v>
      </c>
      <c r="C1875" s="8" t="s">
        <v>149</v>
      </c>
      <c r="D1875" s="18" t="s">
        <v>2556</v>
      </c>
      <c r="E1875" s="16">
        <v>67.0</v>
      </c>
    </row>
    <row r="1876">
      <c r="A1876" s="8" t="s">
        <v>3431</v>
      </c>
      <c r="B1876" s="8" t="s">
        <v>3432</v>
      </c>
      <c r="C1876" s="8" t="s">
        <v>122</v>
      </c>
      <c r="D1876" s="18" t="s">
        <v>2592</v>
      </c>
      <c r="E1876" s="16">
        <v>70.0</v>
      </c>
    </row>
    <row r="1877">
      <c r="A1877" s="8" t="s">
        <v>1615</v>
      </c>
      <c r="B1877" s="8" t="s">
        <v>381</v>
      </c>
      <c r="C1877" s="8" t="s">
        <v>80</v>
      </c>
      <c r="D1877" s="18" t="s">
        <v>2620</v>
      </c>
      <c r="E1877" s="16">
        <v>72.0</v>
      </c>
    </row>
    <row r="1878">
      <c r="A1878" s="8" t="s">
        <v>3433</v>
      </c>
      <c r="B1878" s="8" t="s">
        <v>33</v>
      </c>
      <c r="C1878" s="8" t="s">
        <v>16</v>
      </c>
      <c r="D1878" s="18" t="s">
        <v>2598</v>
      </c>
      <c r="E1878" s="16">
        <v>58.0</v>
      </c>
    </row>
    <row r="1879">
      <c r="A1879" s="8" t="s">
        <v>601</v>
      </c>
      <c r="B1879" s="8" t="s">
        <v>569</v>
      </c>
      <c r="C1879" s="8" t="s">
        <v>122</v>
      </c>
      <c r="D1879" s="18" t="s">
        <v>2560</v>
      </c>
      <c r="E1879" s="16">
        <v>65.0</v>
      </c>
    </row>
    <row r="1880">
      <c r="A1880" s="8" t="s">
        <v>601</v>
      </c>
      <c r="B1880" s="8" t="s">
        <v>23</v>
      </c>
      <c r="C1880" s="8" t="s">
        <v>59</v>
      </c>
      <c r="D1880" s="18" t="s">
        <v>2567</v>
      </c>
      <c r="E1880" s="16">
        <v>79.0</v>
      </c>
    </row>
    <row r="1881">
      <c r="A1881" s="8" t="s">
        <v>1619</v>
      </c>
      <c r="B1881" s="8" t="s">
        <v>647</v>
      </c>
      <c r="C1881" s="8" t="s">
        <v>70</v>
      </c>
      <c r="D1881" s="18" t="s">
        <v>2592</v>
      </c>
      <c r="E1881" s="16">
        <v>54.0</v>
      </c>
    </row>
    <row r="1882">
      <c r="A1882" s="8" t="s">
        <v>1619</v>
      </c>
      <c r="B1882" s="8" t="s">
        <v>744</v>
      </c>
      <c r="C1882" s="8" t="s">
        <v>24</v>
      </c>
      <c r="D1882" s="18" t="s">
        <v>2605</v>
      </c>
      <c r="E1882" s="16">
        <v>78.0</v>
      </c>
    </row>
    <row r="1883">
      <c r="A1883" s="8" t="s">
        <v>1619</v>
      </c>
      <c r="B1883" s="8" t="s">
        <v>1620</v>
      </c>
      <c r="C1883" s="8" t="s">
        <v>93</v>
      </c>
      <c r="D1883" s="18" t="s">
        <v>2621</v>
      </c>
      <c r="E1883" s="16">
        <v>68.0</v>
      </c>
    </row>
    <row r="1884">
      <c r="A1884" s="8" t="s">
        <v>1619</v>
      </c>
      <c r="B1884" s="8" t="s">
        <v>771</v>
      </c>
      <c r="C1884" s="8" t="s">
        <v>122</v>
      </c>
      <c r="D1884" s="18" t="s">
        <v>2610</v>
      </c>
      <c r="E1884" s="16">
        <v>72.0</v>
      </c>
    </row>
    <row r="1885">
      <c r="A1885" s="8" t="s">
        <v>3051</v>
      </c>
      <c r="B1885" s="8" t="s">
        <v>357</v>
      </c>
      <c r="C1885" s="8" t="s">
        <v>70</v>
      </c>
      <c r="D1885" s="18" t="s">
        <v>2592</v>
      </c>
      <c r="E1885" s="16">
        <v>82.0</v>
      </c>
    </row>
    <row r="1886">
      <c r="A1886" s="8" t="s">
        <v>3052</v>
      </c>
      <c r="B1886" s="8" t="s">
        <v>1784</v>
      </c>
      <c r="C1886" s="8" t="s">
        <v>75</v>
      </c>
      <c r="D1886" s="18" t="s">
        <v>2575</v>
      </c>
      <c r="E1886" s="16">
        <v>71.0</v>
      </c>
    </row>
    <row r="1887">
      <c r="A1887" s="8" t="s">
        <v>797</v>
      </c>
      <c r="B1887" s="8" t="s">
        <v>798</v>
      </c>
      <c r="C1887" s="8" t="s">
        <v>149</v>
      </c>
      <c r="D1887" s="18" t="s">
        <v>2552</v>
      </c>
      <c r="E1887" s="16">
        <v>68.0</v>
      </c>
    </row>
    <row r="1888">
      <c r="A1888" s="8" t="s">
        <v>3053</v>
      </c>
      <c r="B1888" s="8" t="s">
        <v>301</v>
      </c>
      <c r="C1888" s="8" t="s">
        <v>75</v>
      </c>
      <c r="D1888" s="18" t="s">
        <v>2605</v>
      </c>
      <c r="E1888" s="16">
        <v>89.0</v>
      </c>
    </row>
    <row r="1889">
      <c r="A1889" s="8" t="s">
        <v>3434</v>
      </c>
      <c r="B1889" s="8" t="s">
        <v>3435</v>
      </c>
      <c r="C1889" s="8" t="s">
        <v>59</v>
      </c>
      <c r="D1889" s="18" t="s">
        <v>2566</v>
      </c>
      <c r="E1889" s="16">
        <v>62.0</v>
      </c>
    </row>
    <row r="1890">
      <c r="A1890" s="8" t="s">
        <v>1974</v>
      </c>
      <c r="B1890" s="8" t="s">
        <v>241</v>
      </c>
      <c r="C1890" s="8" t="s">
        <v>149</v>
      </c>
      <c r="D1890" s="18" t="s">
        <v>2614</v>
      </c>
      <c r="E1890" s="16">
        <v>62.0</v>
      </c>
    </row>
    <row r="1891">
      <c r="A1891" s="8" t="s">
        <v>432</v>
      </c>
      <c r="B1891" s="8" t="s">
        <v>433</v>
      </c>
      <c r="C1891" s="8" t="s">
        <v>93</v>
      </c>
      <c r="D1891" s="18" t="s">
        <v>2560</v>
      </c>
      <c r="E1891" s="16">
        <v>76.0</v>
      </c>
    </row>
    <row r="1892">
      <c r="A1892" s="8" t="s">
        <v>3436</v>
      </c>
      <c r="B1892" s="8" t="s">
        <v>241</v>
      </c>
      <c r="C1892" s="8" t="s">
        <v>53</v>
      </c>
      <c r="D1892" s="18" t="s">
        <v>2605</v>
      </c>
      <c r="E1892" s="16">
        <v>74.0</v>
      </c>
    </row>
    <row r="1893">
      <c r="A1893" s="8" t="s">
        <v>1032</v>
      </c>
      <c r="B1893" s="8" t="s">
        <v>117</v>
      </c>
      <c r="C1893" s="8" t="s">
        <v>75</v>
      </c>
      <c r="D1893" s="18" t="s">
        <v>2562</v>
      </c>
      <c r="E1893" s="16">
        <v>64.0</v>
      </c>
    </row>
    <row r="1894">
      <c r="A1894" s="8" t="s">
        <v>175</v>
      </c>
      <c r="B1894" s="8" t="s">
        <v>176</v>
      </c>
      <c r="C1894" s="8" t="s">
        <v>65</v>
      </c>
      <c r="D1894" s="18" t="s">
        <v>2600</v>
      </c>
      <c r="E1894" s="16">
        <v>69.0</v>
      </c>
    </row>
    <row r="1895">
      <c r="A1895" s="8" t="s">
        <v>3054</v>
      </c>
      <c r="B1895" s="8" t="s">
        <v>33</v>
      </c>
      <c r="C1895" s="8" t="s">
        <v>141</v>
      </c>
      <c r="D1895" s="18" t="s">
        <v>2572</v>
      </c>
      <c r="E1895" s="16">
        <v>80.0</v>
      </c>
    </row>
    <row r="1896">
      <c r="A1896" s="8" t="s">
        <v>3055</v>
      </c>
      <c r="B1896" s="8" t="s">
        <v>800</v>
      </c>
      <c r="C1896" s="8" t="s">
        <v>93</v>
      </c>
      <c r="D1896" s="18" t="s">
        <v>2554</v>
      </c>
      <c r="E1896" s="16">
        <v>89.0</v>
      </c>
    </row>
    <row r="1897">
      <c r="A1897" s="8" t="s">
        <v>1617</v>
      </c>
      <c r="B1897" s="8" t="s">
        <v>1618</v>
      </c>
      <c r="C1897" s="8" t="s">
        <v>70</v>
      </c>
      <c r="D1897" s="18" t="s">
        <v>2564</v>
      </c>
      <c r="E1897" s="16">
        <v>70.0</v>
      </c>
    </row>
    <row r="1898">
      <c r="A1898" s="8" t="s">
        <v>1972</v>
      </c>
      <c r="B1898" s="8" t="s">
        <v>1973</v>
      </c>
      <c r="C1898" s="8" t="s">
        <v>122</v>
      </c>
      <c r="D1898" s="18" t="s">
        <v>2593</v>
      </c>
      <c r="E1898" s="16">
        <v>63.0</v>
      </c>
    </row>
    <row r="1899">
      <c r="A1899" s="8" t="s">
        <v>3056</v>
      </c>
      <c r="B1899" s="8" t="s">
        <v>943</v>
      </c>
      <c r="C1899" s="8" t="s">
        <v>65</v>
      </c>
      <c r="D1899" s="18" t="s">
        <v>2585</v>
      </c>
      <c r="E1899" s="16">
        <v>65.0</v>
      </c>
    </row>
    <row r="1900">
      <c r="A1900" s="8" t="s">
        <v>99</v>
      </c>
      <c r="B1900" s="8" t="s">
        <v>3437</v>
      </c>
      <c r="C1900" s="8" t="s">
        <v>59</v>
      </c>
      <c r="D1900" s="18" t="s">
        <v>2556</v>
      </c>
      <c r="E1900" s="16">
        <v>85.0</v>
      </c>
    </row>
    <row r="1901">
      <c r="A1901" s="8" t="s">
        <v>99</v>
      </c>
      <c r="B1901" s="8" t="s">
        <v>100</v>
      </c>
      <c r="C1901" s="8" t="s">
        <v>16</v>
      </c>
      <c r="D1901" s="18" t="s">
        <v>2183</v>
      </c>
      <c r="E1901" s="16">
        <v>81.0</v>
      </c>
    </row>
    <row r="1902">
      <c r="A1902" s="8" t="s">
        <v>99</v>
      </c>
      <c r="B1902" s="8" t="s">
        <v>277</v>
      </c>
      <c r="C1902" s="8" t="s">
        <v>46</v>
      </c>
      <c r="D1902" s="18" t="s">
        <v>2610</v>
      </c>
      <c r="E1902" s="16">
        <v>74.0</v>
      </c>
    </row>
    <row r="1903">
      <c r="A1903" s="8" t="s">
        <v>99</v>
      </c>
      <c r="B1903" s="8" t="s">
        <v>275</v>
      </c>
      <c r="C1903" s="8" t="s">
        <v>138</v>
      </c>
      <c r="D1903" s="18" t="s">
        <v>2610</v>
      </c>
      <c r="E1903" s="16">
        <v>67.0</v>
      </c>
    </row>
    <row r="1904">
      <c r="A1904" s="8" t="s">
        <v>99</v>
      </c>
      <c r="B1904" s="8" t="s">
        <v>1029</v>
      </c>
      <c r="C1904" s="8" t="s">
        <v>80</v>
      </c>
      <c r="D1904" s="18" t="s">
        <v>2610</v>
      </c>
      <c r="E1904" s="16">
        <v>65.0</v>
      </c>
    </row>
    <row r="1905">
      <c r="A1905" s="8" t="s">
        <v>99</v>
      </c>
      <c r="B1905" s="18" t="s">
        <v>3057</v>
      </c>
      <c r="C1905" s="8" t="s">
        <v>70</v>
      </c>
      <c r="D1905" s="18" t="s">
        <v>2581</v>
      </c>
      <c r="E1905" s="16">
        <v>65.0</v>
      </c>
    </row>
    <row r="1906">
      <c r="A1906" s="8" t="s">
        <v>99</v>
      </c>
      <c r="B1906" s="8" t="s">
        <v>217</v>
      </c>
      <c r="C1906" s="8" t="s">
        <v>65</v>
      </c>
      <c r="D1906" s="18" t="s">
        <v>2560</v>
      </c>
      <c r="E1906" s="16">
        <v>70.0</v>
      </c>
    </row>
    <row r="1907">
      <c r="A1907" s="8" t="s">
        <v>99</v>
      </c>
      <c r="B1907" s="18" t="s">
        <v>3438</v>
      </c>
      <c r="C1907" s="8" t="s">
        <v>93</v>
      </c>
      <c r="D1907" s="18" t="s">
        <v>2621</v>
      </c>
      <c r="E1907" s="16">
        <v>67.0</v>
      </c>
    </row>
    <row r="1908">
      <c r="A1908" s="8" t="s">
        <v>99</v>
      </c>
      <c r="B1908" s="8" t="s">
        <v>1314</v>
      </c>
      <c r="C1908" s="8" t="s">
        <v>46</v>
      </c>
      <c r="D1908" s="18" t="s">
        <v>2592</v>
      </c>
      <c r="E1908" s="16">
        <v>72.0</v>
      </c>
    </row>
    <row r="1909">
      <c r="A1909" s="8" t="s">
        <v>99</v>
      </c>
      <c r="B1909" s="8" t="s">
        <v>177</v>
      </c>
      <c r="C1909" s="8" t="s">
        <v>75</v>
      </c>
      <c r="D1909" s="18" t="s">
        <v>2592</v>
      </c>
      <c r="E1909" s="16">
        <v>73.0</v>
      </c>
    </row>
    <row r="1910">
      <c r="A1910" s="8" t="s">
        <v>99</v>
      </c>
      <c r="B1910" s="8" t="s">
        <v>3058</v>
      </c>
      <c r="C1910" s="8" t="s">
        <v>138</v>
      </c>
      <c r="D1910" s="18" t="s">
        <v>2603</v>
      </c>
      <c r="E1910" s="16">
        <v>61.0</v>
      </c>
    </row>
    <row r="1911">
      <c r="A1911" s="8" t="s">
        <v>99</v>
      </c>
      <c r="B1911" s="8" t="s">
        <v>239</v>
      </c>
      <c r="C1911" s="8" t="s">
        <v>16</v>
      </c>
      <c r="D1911" s="18" t="s">
        <v>2566</v>
      </c>
      <c r="E1911" s="16">
        <v>72.0</v>
      </c>
    </row>
    <row r="1912">
      <c r="A1912" s="8" t="s">
        <v>99</v>
      </c>
      <c r="B1912" s="8" t="s">
        <v>377</v>
      </c>
      <c r="C1912" s="8" t="s">
        <v>80</v>
      </c>
      <c r="D1912" s="18" t="s">
        <v>2552</v>
      </c>
      <c r="E1912" s="16">
        <v>93.0</v>
      </c>
    </row>
    <row r="1913">
      <c r="A1913" s="8" t="s">
        <v>99</v>
      </c>
      <c r="B1913" s="8" t="s">
        <v>3439</v>
      </c>
      <c r="C1913" s="8" t="s">
        <v>138</v>
      </c>
      <c r="D1913" s="18" t="s">
        <v>2592</v>
      </c>
      <c r="E1913" s="16">
        <v>72.0</v>
      </c>
    </row>
    <row r="1914">
      <c r="A1914" s="8" t="s">
        <v>99</v>
      </c>
      <c r="B1914" s="8" t="s">
        <v>1971</v>
      </c>
      <c r="C1914" s="8" t="s">
        <v>186</v>
      </c>
      <c r="D1914" s="18" t="s">
        <v>2614</v>
      </c>
      <c r="E1914" s="16">
        <v>75.0</v>
      </c>
    </row>
    <row r="1915">
      <c r="A1915" s="8" t="s">
        <v>99</v>
      </c>
      <c r="B1915" s="8" t="s">
        <v>204</v>
      </c>
      <c r="C1915" s="8" t="s">
        <v>93</v>
      </c>
      <c r="D1915" s="18" t="s">
        <v>2575</v>
      </c>
      <c r="E1915" s="16">
        <v>86.0</v>
      </c>
    </row>
    <row r="1916">
      <c r="A1916" s="8" t="s">
        <v>99</v>
      </c>
      <c r="B1916" s="8" t="s">
        <v>1975</v>
      </c>
      <c r="C1916" s="8" t="s">
        <v>24</v>
      </c>
      <c r="D1916" s="18" t="s">
        <v>2621</v>
      </c>
      <c r="E1916" s="16">
        <v>74.0</v>
      </c>
    </row>
    <row r="1917">
      <c r="A1917" s="8" t="s">
        <v>99</v>
      </c>
      <c r="B1917" s="8" t="s">
        <v>782</v>
      </c>
      <c r="C1917" s="8" t="s">
        <v>261</v>
      </c>
      <c r="D1917" s="18" t="s">
        <v>2614</v>
      </c>
      <c r="E1917" s="16">
        <v>77.0</v>
      </c>
    </row>
    <row r="1918">
      <c r="A1918" s="8" t="s">
        <v>99</v>
      </c>
      <c r="B1918" s="8" t="s">
        <v>42</v>
      </c>
      <c r="C1918" s="8" t="s">
        <v>24</v>
      </c>
      <c r="D1918" s="18" t="s">
        <v>2556</v>
      </c>
      <c r="E1918" s="16">
        <v>74.0</v>
      </c>
    </row>
    <row r="1919">
      <c r="A1919" s="8" t="s">
        <v>99</v>
      </c>
      <c r="B1919" s="8" t="s">
        <v>283</v>
      </c>
      <c r="C1919" s="8" t="s">
        <v>59</v>
      </c>
      <c r="D1919" s="18" t="s">
        <v>2585</v>
      </c>
      <c r="E1919" s="16">
        <v>75.0</v>
      </c>
    </row>
    <row r="1920">
      <c r="A1920" s="8" t="s">
        <v>99</v>
      </c>
      <c r="B1920" s="8" t="s">
        <v>549</v>
      </c>
      <c r="C1920" s="8" t="s">
        <v>192</v>
      </c>
      <c r="D1920" s="18" t="s">
        <v>2562</v>
      </c>
      <c r="E1920" s="16">
        <v>59.0</v>
      </c>
    </row>
    <row r="1921">
      <c r="A1921" s="8" t="s">
        <v>99</v>
      </c>
      <c r="B1921" s="8" t="s">
        <v>1107</v>
      </c>
      <c r="C1921" s="8" t="s">
        <v>59</v>
      </c>
      <c r="D1921" s="18" t="s">
        <v>2582</v>
      </c>
      <c r="E1921" s="16">
        <v>76.0</v>
      </c>
    </row>
    <row r="1922">
      <c r="A1922" s="8" t="s">
        <v>99</v>
      </c>
      <c r="B1922" s="8" t="s">
        <v>1033</v>
      </c>
      <c r="C1922" s="8" t="s">
        <v>70</v>
      </c>
      <c r="D1922" s="18" t="s">
        <v>2614</v>
      </c>
      <c r="E1922" s="16">
        <v>63.0</v>
      </c>
    </row>
    <row r="1923">
      <c r="A1923" s="8" t="s">
        <v>99</v>
      </c>
      <c r="B1923" s="8" t="s">
        <v>67</v>
      </c>
      <c r="C1923" s="8" t="s">
        <v>80</v>
      </c>
      <c r="D1923" s="18" t="s">
        <v>2592</v>
      </c>
      <c r="E1923" s="16">
        <v>62.0</v>
      </c>
    </row>
    <row r="1924">
      <c r="A1924" s="8" t="s">
        <v>99</v>
      </c>
      <c r="B1924" s="8" t="s">
        <v>162</v>
      </c>
      <c r="C1924" s="8" t="s">
        <v>93</v>
      </c>
      <c r="D1924" s="18" t="s">
        <v>2556</v>
      </c>
      <c r="E1924" s="16">
        <v>86.0</v>
      </c>
    </row>
    <row r="1925">
      <c r="A1925" s="8" t="s">
        <v>99</v>
      </c>
      <c r="B1925" s="8" t="s">
        <v>801</v>
      </c>
      <c r="C1925" s="8" t="s">
        <v>59</v>
      </c>
      <c r="D1925" s="18" t="s">
        <v>2584</v>
      </c>
      <c r="E1925" s="16">
        <v>82.0</v>
      </c>
    </row>
    <row r="1926">
      <c r="A1926" s="8" t="s">
        <v>99</v>
      </c>
      <c r="B1926" s="8" t="s">
        <v>983</v>
      </c>
      <c r="C1926" s="8" t="s">
        <v>186</v>
      </c>
      <c r="D1926" s="18" t="s">
        <v>2183</v>
      </c>
      <c r="E1926" s="16">
        <v>60.0</v>
      </c>
    </row>
    <row r="1927">
      <c r="A1927" s="8" t="s">
        <v>99</v>
      </c>
      <c r="B1927" s="8" t="s">
        <v>3440</v>
      </c>
      <c r="C1927" s="8" t="s">
        <v>65</v>
      </c>
      <c r="D1927" s="18" t="s">
        <v>2567</v>
      </c>
      <c r="E1927" s="16">
        <v>63.0</v>
      </c>
    </row>
    <row r="1928">
      <c r="A1928" s="8" t="s">
        <v>99</v>
      </c>
      <c r="B1928" s="8" t="s">
        <v>434</v>
      </c>
      <c r="C1928" s="8" t="s">
        <v>65</v>
      </c>
      <c r="D1928" s="18" t="s">
        <v>2564</v>
      </c>
      <c r="E1928" s="16">
        <v>78.0</v>
      </c>
    </row>
    <row r="1929">
      <c r="A1929" s="8" t="s">
        <v>99</v>
      </c>
      <c r="B1929" s="8" t="s">
        <v>802</v>
      </c>
      <c r="C1929" s="8" t="s">
        <v>46</v>
      </c>
      <c r="D1929" s="18" t="s">
        <v>2614</v>
      </c>
      <c r="E1929" s="16">
        <v>94.0</v>
      </c>
    </row>
    <row r="1930">
      <c r="A1930" s="8" t="s">
        <v>99</v>
      </c>
      <c r="B1930" s="18" t="s">
        <v>1315</v>
      </c>
      <c r="C1930" s="8" t="s">
        <v>59</v>
      </c>
      <c r="D1930" s="18" t="s">
        <v>2575</v>
      </c>
      <c r="E1930" s="16">
        <v>71.0</v>
      </c>
    </row>
    <row r="1931">
      <c r="A1931" s="8" t="s">
        <v>3060</v>
      </c>
      <c r="B1931" s="8" t="s">
        <v>247</v>
      </c>
      <c r="C1931" s="8" t="s">
        <v>215</v>
      </c>
      <c r="D1931" s="18" t="s">
        <v>2564</v>
      </c>
      <c r="E1931" s="16">
        <v>72.0</v>
      </c>
    </row>
    <row r="1932">
      <c r="A1932" s="8" t="s">
        <v>3061</v>
      </c>
      <c r="B1932" s="18" t="s">
        <v>521</v>
      </c>
      <c r="C1932" s="8" t="s">
        <v>93</v>
      </c>
      <c r="D1932" s="18" t="s">
        <v>2564</v>
      </c>
      <c r="E1932" s="16">
        <v>61.0</v>
      </c>
    </row>
    <row r="1933">
      <c r="A1933" s="8" t="s">
        <v>2420</v>
      </c>
      <c r="B1933" s="8" t="s">
        <v>2421</v>
      </c>
      <c r="C1933" s="8" t="s">
        <v>65</v>
      </c>
      <c r="D1933" s="18" t="s">
        <v>2577</v>
      </c>
      <c r="E1933" s="16">
        <v>73.0</v>
      </c>
    </row>
    <row r="1934">
      <c r="A1934" s="8" t="s">
        <v>1976</v>
      </c>
      <c r="B1934" s="8" t="s">
        <v>1977</v>
      </c>
      <c r="C1934" s="8" t="s">
        <v>215</v>
      </c>
      <c r="D1934" s="18" t="s">
        <v>2584</v>
      </c>
      <c r="E1934" s="16">
        <v>71.0</v>
      </c>
    </row>
    <row r="1935">
      <c r="A1935" s="8" t="s">
        <v>3064</v>
      </c>
      <c r="B1935" s="8" t="s">
        <v>1317</v>
      </c>
      <c r="C1935" s="8" t="s">
        <v>65</v>
      </c>
      <c r="D1935" s="18" t="s">
        <v>2595</v>
      </c>
      <c r="E1935" s="16">
        <v>81.0</v>
      </c>
    </row>
    <row r="1936">
      <c r="A1936" s="8" t="s">
        <v>316</v>
      </c>
      <c r="B1936" s="8" t="s">
        <v>317</v>
      </c>
      <c r="C1936" s="8" t="s">
        <v>46</v>
      </c>
      <c r="D1936" s="18" t="s">
        <v>2600</v>
      </c>
      <c r="E1936" s="16">
        <v>87.0</v>
      </c>
    </row>
    <row r="1937">
      <c r="A1937" s="8" t="s">
        <v>602</v>
      </c>
      <c r="B1937" s="8" t="s">
        <v>197</v>
      </c>
      <c r="C1937" s="8" t="s">
        <v>192</v>
      </c>
      <c r="D1937" s="18" t="s">
        <v>2183</v>
      </c>
      <c r="E1937" s="16">
        <v>75.0</v>
      </c>
    </row>
    <row r="1938">
      <c r="A1938" s="8" t="s">
        <v>3067</v>
      </c>
      <c r="B1938" s="8" t="s">
        <v>3068</v>
      </c>
      <c r="C1938" s="8" t="s">
        <v>192</v>
      </c>
      <c r="D1938" s="18" t="s">
        <v>2574</v>
      </c>
      <c r="E1938" s="16">
        <v>65.0</v>
      </c>
    </row>
    <row r="1939">
      <c r="A1939" s="8" t="s">
        <v>435</v>
      </c>
      <c r="B1939" s="8" t="s">
        <v>436</v>
      </c>
      <c r="C1939" s="8" t="s">
        <v>46</v>
      </c>
      <c r="D1939" s="18" t="s">
        <v>2605</v>
      </c>
      <c r="E1939" s="16">
        <v>67.0</v>
      </c>
    </row>
    <row r="1940">
      <c r="A1940" s="8" t="s">
        <v>3441</v>
      </c>
      <c r="B1940" s="8" t="s">
        <v>67</v>
      </c>
      <c r="C1940" s="8" t="s">
        <v>65</v>
      </c>
      <c r="D1940" s="18" t="s">
        <v>2554</v>
      </c>
      <c r="E1940" s="16">
        <v>61.0</v>
      </c>
    </row>
    <row r="1941">
      <c r="A1941" s="8" t="s">
        <v>3069</v>
      </c>
      <c r="B1941" s="8" t="s">
        <v>3070</v>
      </c>
      <c r="C1941" s="8" t="s">
        <v>186</v>
      </c>
      <c r="D1941" s="18" t="s">
        <v>2582</v>
      </c>
      <c r="E1941" s="16">
        <v>62.0</v>
      </c>
    </row>
    <row r="1942">
      <c r="A1942" s="8" t="s">
        <v>803</v>
      </c>
      <c r="B1942" s="8" t="s">
        <v>804</v>
      </c>
      <c r="C1942" s="8" t="s">
        <v>75</v>
      </c>
      <c r="D1942" s="18" t="s">
        <v>2621</v>
      </c>
      <c r="E1942" s="16">
        <v>81.0</v>
      </c>
    </row>
    <row r="1943">
      <c r="A1943" s="8" t="s">
        <v>1034</v>
      </c>
      <c r="B1943" s="8" t="s">
        <v>957</v>
      </c>
      <c r="C1943" s="8" t="s">
        <v>122</v>
      </c>
      <c r="D1943" s="18" t="s">
        <v>2554</v>
      </c>
      <c r="E1943" s="16">
        <v>73.0</v>
      </c>
    </row>
    <row r="1944">
      <c r="A1944" s="8" t="s">
        <v>1034</v>
      </c>
      <c r="B1944" s="8" t="s">
        <v>1621</v>
      </c>
      <c r="C1944" s="8" t="s">
        <v>215</v>
      </c>
      <c r="D1944" s="18" t="s">
        <v>2592</v>
      </c>
      <c r="E1944" s="16">
        <v>75.0</v>
      </c>
    </row>
    <row r="1945">
      <c r="A1945" s="8" t="s">
        <v>1034</v>
      </c>
      <c r="B1945" s="8" t="s">
        <v>162</v>
      </c>
      <c r="C1945" s="8" t="s">
        <v>186</v>
      </c>
      <c r="D1945" s="18" t="s">
        <v>2567</v>
      </c>
      <c r="E1945" s="16">
        <v>73.0</v>
      </c>
    </row>
    <row r="1946">
      <c r="A1946" s="8" t="s">
        <v>3442</v>
      </c>
      <c r="B1946" s="18" t="s">
        <v>521</v>
      </c>
      <c r="C1946" s="8" t="s">
        <v>70</v>
      </c>
      <c r="D1946" s="18" t="s">
        <v>2183</v>
      </c>
      <c r="E1946" s="16">
        <v>76.0</v>
      </c>
    </row>
    <row r="1947">
      <c r="A1947" s="8" t="s">
        <v>1622</v>
      </c>
      <c r="B1947" s="8" t="s">
        <v>45</v>
      </c>
      <c r="C1947" s="8" t="s">
        <v>46</v>
      </c>
      <c r="D1947" s="18" t="s">
        <v>2558</v>
      </c>
      <c r="E1947" s="16">
        <v>69.0</v>
      </c>
    </row>
    <row r="1948">
      <c r="A1948" s="8" t="s">
        <v>1623</v>
      </c>
      <c r="B1948" s="8" t="s">
        <v>822</v>
      </c>
      <c r="C1948" s="8" t="s">
        <v>24</v>
      </c>
      <c r="D1948" s="18" t="s">
        <v>2582</v>
      </c>
      <c r="E1948" s="16">
        <v>71.0</v>
      </c>
    </row>
    <row r="1949">
      <c r="A1949" s="8" t="s">
        <v>3071</v>
      </c>
      <c r="B1949" s="8" t="s">
        <v>153</v>
      </c>
      <c r="C1949" s="8" t="s">
        <v>70</v>
      </c>
      <c r="D1949" s="18" t="s">
        <v>2564</v>
      </c>
      <c r="E1949" s="16">
        <v>83.0</v>
      </c>
    </row>
    <row r="1950">
      <c r="A1950" s="8" t="s">
        <v>3443</v>
      </c>
      <c r="B1950" s="8" t="s">
        <v>220</v>
      </c>
      <c r="C1950" s="8" t="s">
        <v>65</v>
      </c>
      <c r="D1950" s="18" t="s">
        <v>2593</v>
      </c>
      <c r="E1950" s="16">
        <v>64.0</v>
      </c>
    </row>
    <row r="1951">
      <c r="A1951" s="8" t="s">
        <v>437</v>
      </c>
      <c r="B1951" s="8" t="s">
        <v>438</v>
      </c>
      <c r="C1951" s="8" t="s">
        <v>122</v>
      </c>
      <c r="D1951" s="18" t="s">
        <v>2572</v>
      </c>
      <c r="E1951" s="16">
        <v>69.0</v>
      </c>
    </row>
    <row r="1952">
      <c r="A1952" s="8" t="s">
        <v>318</v>
      </c>
      <c r="B1952" s="8" t="s">
        <v>3444</v>
      </c>
      <c r="C1952" s="8" t="s">
        <v>192</v>
      </c>
      <c r="D1952" s="18" t="s">
        <v>2577</v>
      </c>
      <c r="E1952" s="16">
        <v>70.0</v>
      </c>
    </row>
    <row r="1953">
      <c r="A1953" s="8" t="s">
        <v>318</v>
      </c>
      <c r="B1953" s="8" t="s">
        <v>176</v>
      </c>
      <c r="C1953" s="8" t="s">
        <v>16</v>
      </c>
      <c r="D1953" s="18" t="s">
        <v>2554</v>
      </c>
      <c r="E1953" s="16">
        <v>87.0</v>
      </c>
    </row>
    <row r="1954">
      <c r="A1954" s="8" t="s">
        <v>101</v>
      </c>
      <c r="B1954" s="8" t="s">
        <v>102</v>
      </c>
      <c r="C1954" s="8" t="s">
        <v>46</v>
      </c>
      <c r="D1954" s="18" t="s">
        <v>2585</v>
      </c>
      <c r="E1954" s="16">
        <v>81.0</v>
      </c>
    </row>
    <row r="1955">
      <c r="A1955" s="8" t="s">
        <v>805</v>
      </c>
      <c r="B1955" s="8" t="s">
        <v>151</v>
      </c>
      <c r="C1955" s="8" t="s">
        <v>186</v>
      </c>
      <c r="D1955" s="18" t="s">
        <v>2560</v>
      </c>
      <c r="E1955" s="16">
        <v>63.0</v>
      </c>
    </row>
    <row r="1956">
      <c r="A1956" s="8" t="s">
        <v>548</v>
      </c>
      <c r="B1956" s="8" t="s">
        <v>1624</v>
      </c>
      <c r="C1956" s="8" t="s">
        <v>46</v>
      </c>
      <c r="D1956" s="18" t="s">
        <v>2575</v>
      </c>
      <c r="E1956" s="16">
        <v>80.0</v>
      </c>
    </row>
    <row r="1957">
      <c r="A1957" s="8" t="s">
        <v>103</v>
      </c>
      <c r="B1957" s="8" t="s">
        <v>20</v>
      </c>
      <c r="C1957" s="8" t="s">
        <v>16</v>
      </c>
      <c r="D1957" s="18" t="s">
        <v>2589</v>
      </c>
      <c r="E1957" s="16">
        <v>66.0</v>
      </c>
    </row>
    <row r="1958">
      <c r="A1958" s="8" t="s">
        <v>3445</v>
      </c>
      <c r="B1958" s="8" t="s">
        <v>381</v>
      </c>
      <c r="C1958" s="8" t="s">
        <v>53</v>
      </c>
      <c r="D1958" s="18" t="s">
        <v>2621</v>
      </c>
      <c r="E1958" s="16">
        <v>58.0</v>
      </c>
    </row>
    <row r="1959">
      <c r="A1959" s="8" t="s">
        <v>3446</v>
      </c>
      <c r="B1959" s="8" t="s">
        <v>204</v>
      </c>
      <c r="C1959" s="8" t="s">
        <v>215</v>
      </c>
      <c r="D1959" s="18" t="s">
        <v>2621</v>
      </c>
      <c r="E1959" s="16">
        <v>58.0</v>
      </c>
    </row>
    <row r="1960">
      <c r="A1960" s="8" t="s">
        <v>3447</v>
      </c>
      <c r="B1960" s="8" t="s">
        <v>850</v>
      </c>
      <c r="C1960" s="8" t="s">
        <v>16</v>
      </c>
      <c r="D1960" s="18" t="s">
        <v>2183</v>
      </c>
      <c r="E1960" s="16">
        <v>62.0</v>
      </c>
    </row>
    <row r="1961">
      <c r="A1961" s="8" t="s">
        <v>3448</v>
      </c>
      <c r="B1961" s="8" t="s">
        <v>212</v>
      </c>
      <c r="C1961" s="8" t="s">
        <v>75</v>
      </c>
      <c r="D1961" s="18" t="s">
        <v>2581</v>
      </c>
      <c r="E1961" s="16">
        <v>67.0</v>
      </c>
    </row>
    <row r="1962">
      <c r="A1962" s="8" t="s">
        <v>88</v>
      </c>
      <c r="B1962" s="8" t="s">
        <v>806</v>
      </c>
      <c r="C1962" s="8" t="s">
        <v>122</v>
      </c>
      <c r="D1962" s="18" t="s">
        <v>2552</v>
      </c>
      <c r="E1962" s="16">
        <v>65.0</v>
      </c>
    </row>
    <row r="1963">
      <c r="A1963" s="8" t="s">
        <v>3073</v>
      </c>
      <c r="B1963" s="8" t="s">
        <v>669</v>
      </c>
      <c r="C1963" s="8" t="s">
        <v>46</v>
      </c>
      <c r="D1963" s="18" t="s">
        <v>2620</v>
      </c>
      <c r="E1963" s="16">
        <v>67.0</v>
      </c>
    </row>
    <row r="1964">
      <c r="A1964" s="8" t="s">
        <v>1035</v>
      </c>
      <c r="B1964" s="8" t="s">
        <v>1036</v>
      </c>
      <c r="C1964" s="8" t="s">
        <v>24</v>
      </c>
      <c r="D1964" s="18" t="s">
        <v>2584</v>
      </c>
      <c r="E1964" s="16">
        <v>66.0</v>
      </c>
    </row>
    <row r="1965">
      <c r="A1965" s="8" t="s">
        <v>1037</v>
      </c>
      <c r="B1965" s="8" t="s">
        <v>480</v>
      </c>
      <c r="C1965" s="8" t="s">
        <v>46</v>
      </c>
      <c r="D1965" s="18" t="s">
        <v>2615</v>
      </c>
      <c r="E1965" s="16">
        <v>66.0</v>
      </c>
    </row>
    <row r="1966">
      <c r="A1966" s="8" t="s">
        <v>3074</v>
      </c>
      <c r="B1966" s="8" t="s">
        <v>2922</v>
      </c>
      <c r="C1966" s="8" t="s">
        <v>261</v>
      </c>
      <c r="D1966" s="18" t="s">
        <v>2605</v>
      </c>
      <c r="E1966" s="16">
        <v>73.0</v>
      </c>
    </row>
    <row r="1967">
      <c r="A1967" s="8" t="s">
        <v>1625</v>
      </c>
      <c r="B1967" s="8" t="s">
        <v>3075</v>
      </c>
      <c r="C1967" s="8" t="s">
        <v>65</v>
      </c>
      <c r="D1967" s="18" t="s">
        <v>2560</v>
      </c>
      <c r="E1967" s="16">
        <v>74.0</v>
      </c>
    </row>
    <row r="1968">
      <c r="A1968" s="8" t="s">
        <v>1625</v>
      </c>
      <c r="B1968" s="8" t="s">
        <v>1643</v>
      </c>
      <c r="C1968" s="8" t="s">
        <v>80</v>
      </c>
      <c r="D1968" s="18" t="s">
        <v>2620</v>
      </c>
      <c r="E1968" s="16">
        <v>83.0</v>
      </c>
    </row>
    <row r="1969">
      <c r="A1969" s="8" t="s">
        <v>1625</v>
      </c>
      <c r="B1969" s="8" t="s">
        <v>1626</v>
      </c>
      <c r="C1969" s="8" t="s">
        <v>215</v>
      </c>
      <c r="D1969" s="18" t="s">
        <v>2567</v>
      </c>
      <c r="E1969" s="16">
        <v>61.0</v>
      </c>
    </row>
    <row r="1970">
      <c r="A1970" s="8" t="s">
        <v>1625</v>
      </c>
      <c r="B1970" s="8" t="s">
        <v>842</v>
      </c>
      <c r="C1970" s="8" t="s">
        <v>70</v>
      </c>
      <c r="D1970" s="18" t="s">
        <v>2574</v>
      </c>
      <c r="E1970" s="16">
        <v>84.0</v>
      </c>
    </row>
    <row r="1971">
      <c r="A1971" s="8" t="s">
        <v>1625</v>
      </c>
      <c r="B1971" s="8" t="s">
        <v>1627</v>
      </c>
      <c r="C1971" s="8" t="s">
        <v>192</v>
      </c>
      <c r="D1971" s="18" t="s">
        <v>2620</v>
      </c>
      <c r="E1971" s="16">
        <v>63.0</v>
      </c>
    </row>
    <row r="1972">
      <c r="A1972" s="8" t="s">
        <v>1038</v>
      </c>
      <c r="B1972" s="8" t="s">
        <v>333</v>
      </c>
      <c r="C1972" s="8" t="s">
        <v>65</v>
      </c>
      <c r="D1972" s="18" t="s">
        <v>2581</v>
      </c>
      <c r="E1972" s="16">
        <v>80.0</v>
      </c>
    </row>
    <row r="1973">
      <c r="A1973" s="8" t="s">
        <v>3449</v>
      </c>
      <c r="B1973" s="8" t="s">
        <v>201</v>
      </c>
      <c r="C1973" s="8" t="s">
        <v>138</v>
      </c>
      <c r="D1973" s="18" t="s">
        <v>2589</v>
      </c>
      <c r="E1973" s="16">
        <v>62.0</v>
      </c>
    </row>
    <row r="1974">
      <c r="A1974" s="8" t="s">
        <v>319</v>
      </c>
      <c r="B1974" s="8" t="s">
        <v>320</v>
      </c>
      <c r="C1974" s="8" t="s">
        <v>24</v>
      </c>
      <c r="D1974" s="18" t="s">
        <v>2592</v>
      </c>
      <c r="E1974" s="16">
        <v>68.0</v>
      </c>
    </row>
    <row r="1975">
      <c r="A1975" s="8" t="s">
        <v>3450</v>
      </c>
      <c r="B1975" s="8" t="s">
        <v>260</v>
      </c>
      <c r="C1975" s="8" t="s">
        <v>141</v>
      </c>
      <c r="D1975" s="18" t="s">
        <v>2592</v>
      </c>
      <c r="E1975" s="16">
        <v>71.0</v>
      </c>
    </row>
    <row r="1976">
      <c r="A1976" s="8" t="s">
        <v>3077</v>
      </c>
      <c r="B1976" s="8" t="s">
        <v>1033</v>
      </c>
      <c r="C1976" s="8" t="s">
        <v>65</v>
      </c>
      <c r="D1976" s="18" t="s">
        <v>2587</v>
      </c>
      <c r="E1976" s="16">
        <v>71.0</v>
      </c>
    </row>
    <row r="1977">
      <c r="A1977" s="8" t="s">
        <v>2255</v>
      </c>
      <c r="B1977" s="8" t="s">
        <v>217</v>
      </c>
      <c r="C1977" s="8" t="s">
        <v>65</v>
      </c>
      <c r="D1977" s="18" t="s">
        <v>2560</v>
      </c>
      <c r="E1977" s="16">
        <v>64.0</v>
      </c>
    </row>
    <row r="1978">
      <c r="A1978" s="8" t="s">
        <v>3078</v>
      </c>
      <c r="B1978" s="8" t="s">
        <v>3079</v>
      </c>
      <c r="C1978" s="8" t="s">
        <v>93</v>
      </c>
      <c r="D1978" s="18" t="s">
        <v>2615</v>
      </c>
      <c r="E1978" s="16">
        <v>62.0</v>
      </c>
    </row>
    <row r="1979">
      <c r="A1979" s="8" t="s">
        <v>3451</v>
      </c>
      <c r="B1979" s="8" t="s">
        <v>480</v>
      </c>
      <c r="C1979" s="8" t="s">
        <v>149</v>
      </c>
      <c r="D1979" s="18" t="s">
        <v>2595</v>
      </c>
      <c r="E1979" s="16">
        <v>85.0</v>
      </c>
    </row>
    <row r="1980">
      <c r="A1980" s="8" t="s">
        <v>3452</v>
      </c>
      <c r="B1980" s="18" t="s">
        <v>3453</v>
      </c>
      <c r="C1980" s="8" t="s">
        <v>65</v>
      </c>
      <c r="D1980" s="18" t="s">
        <v>2581</v>
      </c>
      <c r="E1980" s="16">
        <v>64.0</v>
      </c>
    </row>
    <row r="1981">
      <c r="A1981" s="8" t="s">
        <v>1629</v>
      </c>
      <c r="B1981" s="8" t="s">
        <v>1630</v>
      </c>
      <c r="C1981" s="8" t="s">
        <v>65</v>
      </c>
      <c r="D1981" s="18" t="s">
        <v>2562</v>
      </c>
      <c r="E1981" s="16">
        <v>73.0</v>
      </c>
    </row>
    <row r="1982">
      <c r="A1982" s="8" t="s">
        <v>3454</v>
      </c>
      <c r="B1982" s="8" t="s">
        <v>1338</v>
      </c>
      <c r="C1982" s="8" t="s">
        <v>80</v>
      </c>
      <c r="D1982" s="18" t="s">
        <v>2572</v>
      </c>
      <c r="E1982" s="16">
        <v>71.0</v>
      </c>
    </row>
    <row r="1983">
      <c r="A1983" s="8" t="s">
        <v>321</v>
      </c>
      <c r="B1983" s="8" t="s">
        <v>322</v>
      </c>
      <c r="C1983" s="8" t="s">
        <v>53</v>
      </c>
      <c r="D1983" s="18" t="s">
        <v>2595</v>
      </c>
      <c r="E1983" s="16">
        <v>72.0</v>
      </c>
    </row>
    <row r="1984">
      <c r="A1984" s="8" t="s">
        <v>3080</v>
      </c>
      <c r="B1984" s="8" t="s">
        <v>1376</v>
      </c>
      <c r="C1984" s="8" t="s">
        <v>12</v>
      </c>
      <c r="D1984" s="18" t="s">
        <v>2564</v>
      </c>
      <c r="E1984" s="16">
        <v>80.0</v>
      </c>
    </row>
    <row r="1985">
      <c r="A1985" s="18" t="s">
        <v>807</v>
      </c>
      <c r="B1985" s="8" t="s">
        <v>596</v>
      </c>
      <c r="C1985" s="8" t="s">
        <v>75</v>
      </c>
      <c r="D1985" s="18" t="s">
        <v>2562</v>
      </c>
      <c r="E1985" s="16">
        <v>71.0</v>
      </c>
    </row>
    <row r="1986">
      <c r="A1986" s="8" t="s">
        <v>227</v>
      </c>
      <c r="B1986" s="8" t="s">
        <v>67</v>
      </c>
      <c r="C1986" s="8" t="s">
        <v>12</v>
      </c>
      <c r="D1986" s="18" t="s">
        <v>2621</v>
      </c>
      <c r="E1986" s="16">
        <v>82.0</v>
      </c>
    </row>
    <row r="1987">
      <c r="A1987" s="8" t="s">
        <v>1631</v>
      </c>
      <c r="B1987" s="8" t="s">
        <v>317</v>
      </c>
      <c r="C1987" s="8" t="s">
        <v>16</v>
      </c>
      <c r="D1987" s="18" t="s">
        <v>2582</v>
      </c>
      <c r="E1987" s="16">
        <v>64.0</v>
      </c>
    </row>
    <row r="1988">
      <c r="A1988" s="8" t="s">
        <v>76</v>
      </c>
      <c r="B1988" s="8" t="s">
        <v>77</v>
      </c>
      <c r="C1988" s="8" t="s">
        <v>59</v>
      </c>
      <c r="D1988" s="18" t="s">
        <v>2575</v>
      </c>
      <c r="E1988" s="16">
        <v>86.0</v>
      </c>
    </row>
    <row r="1989">
      <c r="A1989" s="8" t="s">
        <v>228</v>
      </c>
      <c r="B1989" s="8" t="s">
        <v>229</v>
      </c>
      <c r="C1989" s="8" t="s">
        <v>122</v>
      </c>
      <c r="D1989" s="18" t="s">
        <v>2581</v>
      </c>
      <c r="E1989" s="16">
        <v>93.0</v>
      </c>
    </row>
    <row r="1990">
      <c r="A1990" s="8" t="s">
        <v>1632</v>
      </c>
      <c r="B1990" s="8" t="s">
        <v>23</v>
      </c>
      <c r="C1990" s="8" t="s">
        <v>141</v>
      </c>
      <c r="D1990" s="18" t="s">
        <v>2593</v>
      </c>
      <c r="E1990" s="16">
        <v>76.0</v>
      </c>
    </row>
    <row r="1991">
      <c r="A1991" s="8" t="s">
        <v>230</v>
      </c>
      <c r="B1991" s="8" t="s">
        <v>231</v>
      </c>
      <c r="C1991" s="8" t="s">
        <v>141</v>
      </c>
      <c r="D1991" s="18" t="s">
        <v>2582</v>
      </c>
      <c r="E1991" s="16">
        <v>55.0</v>
      </c>
    </row>
    <row r="1992">
      <c r="A1992" s="8" t="s">
        <v>3455</v>
      </c>
      <c r="B1992" s="8" t="s">
        <v>3456</v>
      </c>
      <c r="C1992" s="8" t="s">
        <v>80</v>
      </c>
      <c r="D1992" s="18" t="s">
        <v>2585</v>
      </c>
      <c r="E1992" s="16">
        <v>64.0</v>
      </c>
    </row>
    <row r="1993">
      <c r="A1993" s="8" t="s">
        <v>3081</v>
      </c>
      <c r="B1993" s="8" t="s">
        <v>690</v>
      </c>
      <c r="C1993" s="8" t="s">
        <v>24</v>
      </c>
      <c r="D1993" s="18" t="s">
        <v>2621</v>
      </c>
      <c r="E1993" s="16">
        <v>71.0</v>
      </c>
    </row>
    <row r="1994">
      <c r="A1994" s="8" t="s">
        <v>1984</v>
      </c>
      <c r="B1994" s="8" t="s">
        <v>52</v>
      </c>
      <c r="C1994" s="8" t="s">
        <v>93</v>
      </c>
      <c r="D1994" s="18" t="s">
        <v>2577</v>
      </c>
      <c r="E1994" s="16">
        <v>69.0</v>
      </c>
    </row>
    <row r="1995">
      <c r="A1995" s="8" t="s">
        <v>1984</v>
      </c>
      <c r="B1995" s="8" t="s">
        <v>1046</v>
      </c>
      <c r="C1995" s="8" t="s">
        <v>122</v>
      </c>
      <c r="D1995" s="18" t="s">
        <v>2552</v>
      </c>
      <c r="E1995" s="16">
        <v>70.0</v>
      </c>
    </row>
    <row r="1996">
      <c r="A1996" s="8" t="s">
        <v>1634</v>
      </c>
      <c r="B1996" s="8" t="s">
        <v>1635</v>
      </c>
      <c r="C1996" s="8" t="s">
        <v>24</v>
      </c>
      <c r="D1996" s="18" t="s">
        <v>2614</v>
      </c>
      <c r="E1996" s="16">
        <v>74.0</v>
      </c>
    </row>
    <row r="1997">
      <c r="A1997" s="8" t="s">
        <v>3457</v>
      </c>
      <c r="B1997" s="8" t="s">
        <v>3458</v>
      </c>
      <c r="C1997" s="8" t="s">
        <v>93</v>
      </c>
      <c r="D1997" s="18" t="s">
        <v>2595</v>
      </c>
      <c r="E1997" s="16">
        <v>68.0</v>
      </c>
    </row>
    <row r="1998">
      <c r="A1998" s="8" t="s">
        <v>3459</v>
      </c>
      <c r="B1998" s="8" t="s">
        <v>472</v>
      </c>
      <c r="C1998" s="8" t="s">
        <v>141</v>
      </c>
      <c r="D1998" s="18" t="s">
        <v>2554</v>
      </c>
      <c r="E1998" s="16">
        <v>81.0</v>
      </c>
    </row>
    <row r="1999">
      <c r="A1999" s="8" t="s">
        <v>808</v>
      </c>
      <c r="B1999" s="18" t="s">
        <v>529</v>
      </c>
      <c r="C1999" s="8" t="s">
        <v>80</v>
      </c>
      <c r="D1999" s="18" t="s">
        <v>2582</v>
      </c>
      <c r="E1999" s="16">
        <v>84.0</v>
      </c>
    </row>
    <row r="2000">
      <c r="A2000" s="8" t="s">
        <v>439</v>
      </c>
      <c r="B2000" s="18" t="s">
        <v>440</v>
      </c>
      <c r="C2000" s="8" t="s">
        <v>75</v>
      </c>
      <c r="D2000" s="18" t="s">
        <v>2592</v>
      </c>
      <c r="E2000" s="16">
        <v>77.0</v>
      </c>
    </row>
    <row r="2001">
      <c r="A2001" s="8" t="s">
        <v>1987</v>
      </c>
      <c r="B2001" s="8" t="s">
        <v>67</v>
      </c>
      <c r="C2001" s="8" t="s">
        <v>65</v>
      </c>
      <c r="D2001" s="18" t="s">
        <v>2614</v>
      </c>
      <c r="E2001" s="16">
        <v>74.0</v>
      </c>
    </row>
    <row r="2002">
      <c r="A2002" s="8" t="s">
        <v>3082</v>
      </c>
      <c r="B2002" s="8" t="s">
        <v>527</v>
      </c>
      <c r="C2002" s="8" t="s">
        <v>24</v>
      </c>
      <c r="D2002" s="18" t="s">
        <v>2567</v>
      </c>
      <c r="E2002" s="16">
        <v>66.0</v>
      </c>
    </row>
    <row r="2003">
      <c r="A2003" s="8" t="s">
        <v>2432</v>
      </c>
      <c r="B2003" s="8" t="s">
        <v>2433</v>
      </c>
      <c r="C2003" s="8" t="s">
        <v>93</v>
      </c>
      <c r="D2003" s="18" t="s">
        <v>2554</v>
      </c>
      <c r="E2003" s="16">
        <v>73.0</v>
      </c>
    </row>
    <row r="2004">
      <c r="A2004" s="8" t="s">
        <v>3460</v>
      </c>
      <c r="B2004" s="8" t="s">
        <v>58</v>
      </c>
      <c r="C2004" s="8" t="s">
        <v>70</v>
      </c>
      <c r="D2004" s="18" t="s">
        <v>2575</v>
      </c>
      <c r="E2004" s="16">
        <v>70.0</v>
      </c>
    </row>
    <row r="2005">
      <c r="A2005" s="8" t="s">
        <v>178</v>
      </c>
      <c r="B2005" s="8" t="s">
        <v>179</v>
      </c>
      <c r="C2005" s="8" t="s">
        <v>93</v>
      </c>
      <c r="D2005" s="18" t="s">
        <v>2620</v>
      </c>
      <c r="E2005" s="16">
        <v>94.0</v>
      </c>
    </row>
    <row r="2006">
      <c r="A2006" s="8" t="s">
        <v>3083</v>
      </c>
      <c r="B2006" s="8" t="s">
        <v>782</v>
      </c>
      <c r="C2006" s="8" t="s">
        <v>192</v>
      </c>
      <c r="D2006" s="18" t="s">
        <v>2592</v>
      </c>
      <c r="E2006" s="16">
        <v>76.0</v>
      </c>
    </row>
    <row r="2007">
      <c r="A2007" s="8" t="s">
        <v>1636</v>
      </c>
      <c r="B2007" s="8" t="s">
        <v>1637</v>
      </c>
      <c r="C2007" s="8" t="s">
        <v>93</v>
      </c>
      <c r="D2007" s="18" t="s">
        <v>2581</v>
      </c>
      <c r="E2007" s="16">
        <v>72.0</v>
      </c>
    </row>
    <row r="2008">
      <c r="A2008" s="8" t="s">
        <v>326</v>
      </c>
      <c r="B2008" s="8" t="s">
        <v>67</v>
      </c>
      <c r="C2008" s="8" t="s">
        <v>16</v>
      </c>
      <c r="D2008" s="18" t="s">
        <v>2581</v>
      </c>
      <c r="E2008" s="16">
        <v>83.0</v>
      </c>
    </row>
    <row r="2009">
      <c r="A2009" s="8" t="s">
        <v>323</v>
      </c>
      <c r="B2009" s="8" t="s">
        <v>100</v>
      </c>
      <c r="C2009" s="8" t="s">
        <v>16</v>
      </c>
      <c r="D2009" s="18" t="s">
        <v>2621</v>
      </c>
      <c r="E2009" s="16">
        <v>61.0</v>
      </c>
    </row>
    <row r="2010">
      <c r="A2010" s="8" t="s">
        <v>3461</v>
      </c>
      <c r="B2010" s="8" t="s">
        <v>792</v>
      </c>
      <c r="C2010" s="8" t="s">
        <v>215</v>
      </c>
      <c r="D2010" s="18" t="s">
        <v>2595</v>
      </c>
      <c r="E2010" s="16">
        <v>72.0</v>
      </c>
    </row>
    <row r="2011">
      <c r="A2011" s="8" t="s">
        <v>3084</v>
      </c>
      <c r="B2011" s="8" t="s">
        <v>357</v>
      </c>
      <c r="C2011" s="8" t="s">
        <v>138</v>
      </c>
      <c r="D2011" s="18" t="s">
        <v>2614</v>
      </c>
      <c r="E2011" s="16">
        <v>69.0</v>
      </c>
    </row>
    <row r="2012">
      <c r="A2012" s="8" t="s">
        <v>1039</v>
      </c>
      <c r="B2012" s="8" t="s">
        <v>1040</v>
      </c>
      <c r="C2012" s="8" t="s">
        <v>192</v>
      </c>
      <c r="D2012" s="18" t="s">
        <v>2585</v>
      </c>
      <c r="E2012" s="16">
        <v>72.0</v>
      </c>
    </row>
    <row r="2013">
      <c r="A2013" s="8" t="s">
        <v>324</v>
      </c>
      <c r="B2013" s="8" t="s">
        <v>121</v>
      </c>
      <c r="C2013" s="8" t="s">
        <v>65</v>
      </c>
      <c r="D2013" s="18" t="s">
        <v>2587</v>
      </c>
      <c r="E2013" s="16">
        <v>69.0</v>
      </c>
    </row>
    <row r="2014">
      <c r="A2014" s="8" t="s">
        <v>3085</v>
      </c>
      <c r="B2014" s="8" t="s">
        <v>325</v>
      </c>
      <c r="C2014" s="8" t="s">
        <v>65</v>
      </c>
      <c r="D2014" s="18" t="s">
        <v>2554</v>
      </c>
      <c r="E2014" s="16">
        <v>87.0</v>
      </c>
    </row>
    <row r="2015">
      <c r="A2015" s="8" t="s">
        <v>1638</v>
      </c>
      <c r="B2015" s="8" t="s">
        <v>1639</v>
      </c>
      <c r="C2015" s="8" t="s">
        <v>59</v>
      </c>
      <c r="D2015" s="18" t="s">
        <v>2585</v>
      </c>
      <c r="E2015" s="16">
        <v>63.0</v>
      </c>
    </row>
    <row r="2016">
      <c r="A2016" s="8" t="s">
        <v>3462</v>
      </c>
      <c r="B2016" s="8" t="s">
        <v>3463</v>
      </c>
      <c r="C2016" s="8" t="s">
        <v>53</v>
      </c>
      <c r="D2016" s="18" t="s">
        <v>2595</v>
      </c>
      <c r="E2016" s="16">
        <v>62.0</v>
      </c>
    </row>
    <row r="2017">
      <c r="A2017" s="8" t="s">
        <v>603</v>
      </c>
      <c r="B2017" s="8" t="s">
        <v>604</v>
      </c>
      <c r="C2017" s="8" t="s">
        <v>12</v>
      </c>
      <c r="D2017" s="18" t="s">
        <v>2556</v>
      </c>
      <c r="E2017" s="16">
        <v>66.0</v>
      </c>
    </row>
    <row r="2018">
      <c r="A2018" s="8" t="s">
        <v>441</v>
      </c>
      <c r="B2018" s="8" t="s">
        <v>217</v>
      </c>
      <c r="C2018" s="8" t="s">
        <v>215</v>
      </c>
      <c r="D2018" s="18" t="s">
        <v>2566</v>
      </c>
      <c r="E2018" s="16">
        <v>71.0</v>
      </c>
    </row>
    <row r="2019">
      <c r="A2019" s="8" t="s">
        <v>441</v>
      </c>
      <c r="B2019" s="8" t="s">
        <v>810</v>
      </c>
      <c r="C2019" s="8" t="s">
        <v>93</v>
      </c>
      <c r="D2019" s="18" t="s">
        <v>2615</v>
      </c>
      <c r="E2019" s="16">
        <v>81.0</v>
      </c>
    </row>
    <row r="2020">
      <c r="A2020" s="8" t="s">
        <v>441</v>
      </c>
      <c r="B2020" s="8" t="s">
        <v>263</v>
      </c>
      <c r="C2020" s="8" t="s">
        <v>65</v>
      </c>
      <c r="D2020" s="18" t="s">
        <v>2620</v>
      </c>
      <c r="E2020" s="16">
        <v>65.0</v>
      </c>
    </row>
    <row r="2021">
      <c r="A2021" s="8" t="s">
        <v>441</v>
      </c>
      <c r="B2021" s="8" t="s">
        <v>552</v>
      </c>
      <c r="C2021" s="8" t="s">
        <v>75</v>
      </c>
      <c r="D2021" s="18" t="s">
        <v>2558</v>
      </c>
      <c r="E2021" s="16">
        <v>75.0</v>
      </c>
    </row>
    <row r="2022">
      <c r="A2022" s="8" t="s">
        <v>441</v>
      </c>
      <c r="B2022" s="8" t="s">
        <v>1994</v>
      </c>
      <c r="C2022" s="8" t="s">
        <v>65</v>
      </c>
      <c r="D2022" s="18" t="s">
        <v>2621</v>
      </c>
      <c r="E2022" s="16">
        <v>77.0</v>
      </c>
    </row>
    <row r="2023">
      <c r="A2023" s="8" t="s">
        <v>441</v>
      </c>
      <c r="B2023" s="8" t="s">
        <v>334</v>
      </c>
      <c r="C2023" s="8" t="s">
        <v>65</v>
      </c>
      <c r="D2023" s="18" t="s">
        <v>2585</v>
      </c>
      <c r="E2023" s="16">
        <v>70.0</v>
      </c>
    </row>
    <row r="2024">
      <c r="A2024" s="8" t="s">
        <v>441</v>
      </c>
      <c r="B2024" s="8" t="s">
        <v>442</v>
      </c>
      <c r="C2024" s="8" t="s">
        <v>16</v>
      </c>
      <c r="D2024" s="18" t="s">
        <v>2587</v>
      </c>
      <c r="E2024" s="16">
        <v>82.0</v>
      </c>
    </row>
    <row r="2025">
      <c r="A2025" s="8" t="s">
        <v>441</v>
      </c>
      <c r="B2025" s="8" t="s">
        <v>1640</v>
      </c>
      <c r="C2025" s="8" t="s">
        <v>122</v>
      </c>
      <c r="D2025" s="18" t="s">
        <v>2581</v>
      </c>
      <c r="E2025" s="16">
        <v>65.0</v>
      </c>
    </row>
    <row r="2026">
      <c r="A2026" s="8" t="s">
        <v>3086</v>
      </c>
      <c r="B2026" s="8" t="s">
        <v>2124</v>
      </c>
      <c r="C2026" s="8" t="s">
        <v>122</v>
      </c>
      <c r="D2026" s="18" t="s">
        <v>2582</v>
      </c>
      <c r="E2026" s="16">
        <v>71.0</v>
      </c>
    </row>
    <row r="2027">
      <c r="A2027" s="8" t="s">
        <v>3464</v>
      </c>
      <c r="B2027" s="8" t="s">
        <v>497</v>
      </c>
      <c r="C2027" s="8" t="s">
        <v>24</v>
      </c>
      <c r="D2027" s="18" t="s">
        <v>2615</v>
      </c>
      <c r="E2027" s="16">
        <v>65.0</v>
      </c>
    </row>
    <row r="2028">
      <c r="A2028" s="18" t="s">
        <v>3087</v>
      </c>
      <c r="B2028" s="8" t="s">
        <v>3088</v>
      </c>
      <c r="C2028" s="8" t="s">
        <v>186</v>
      </c>
      <c r="D2028" s="18" t="s">
        <v>2595</v>
      </c>
      <c r="E2028" s="16">
        <v>75.0</v>
      </c>
    </row>
    <row r="2029">
      <c r="A2029" s="8" t="s">
        <v>77</v>
      </c>
      <c r="B2029" s="8" t="s">
        <v>759</v>
      </c>
      <c r="C2029" s="8" t="s">
        <v>80</v>
      </c>
      <c r="D2029" s="18" t="s">
        <v>2183</v>
      </c>
      <c r="E2029" s="16">
        <v>70.0</v>
      </c>
    </row>
    <row r="2030">
      <c r="A2030" s="8" t="s">
        <v>1992</v>
      </c>
      <c r="B2030" s="8" t="s">
        <v>41</v>
      </c>
      <c r="C2030" s="8" t="s">
        <v>149</v>
      </c>
      <c r="D2030" s="18" t="s">
        <v>2572</v>
      </c>
      <c r="E2030" s="16">
        <v>66.0</v>
      </c>
    </row>
    <row r="2031">
      <c r="A2031" s="8" t="s">
        <v>3465</v>
      </c>
      <c r="B2031" s="8" t="s">
        <v>3466</v>
      </c>
      <c r="C2031" s="8" t="s">
        <v>80</v>
      </c>
      <c r="D2031" s="18" t="s">
        <v>2595</v>
      </c>
      <c r="E2031" s="16">
        <v>67.0</v>
      </c>
    </row>
    <row r="2032">
      <c r="A2032" s="8" t="s">
        <v>3467</v>
      </c>
      <c r="B2032" s="8" t="s">
        <v>23</v>
      </c>
      <c r="C2032" s="8" t="s">
        <v>149</v>
      </c>
      <c r="D2032" s="18" t="s">
        <v>2585</v>
      </c>
      <c r="E2032" s="16">
        <v>64.0</v>
      </c>
    </row>
    <row r="2033">
      <c r="A2033" s="8" t="s">
        <v>605</v>
      </c>
      <c r="B2033" s="8" t="s">
        <v>11</v>
      </c>
      <c r="C2033" s="8" t="s">
        <v>65</v>
      </c>
      <c r="D2033" s="18" t="s">
        <v>2552</v>
      </c>
      <c r="E2033" s="16">
        <v>81.0</v>
      </c>
    </row>
    <row r="2034">
      <c r="A2034" s="8" t="s">
        <v>62</v>
      </c>
      <c r="B2034" s="8" t="s">
        <v>121</v>
      </c>
      <c r="C2034" s="8" t="s">
        <v>75</v>
      </c>
      <c r="D2034" s="18" t="s">
        <v>2554</v>
      </c>
      <c r="E2034" s="16">
        <v>67.0</v>
      </c>
    </row>
    <row r="2035">
      <c r="A2035" s="8" t="s">
        <v>62</v>
      </c>
      <c r="B2035" s="8" t="s">
        <v>407</v>
      </c>
      <c r="C2035" s="8" t="s">
        <v>122</v>
      </c>
      <c r="D2035" s="18" t="s">
        <v>2183</v>
      </c>
      <c r="E2035" s="16">
        <v>73.0</v>
      </c>
    </row>
    <row r="2036">
      <c r="A2036" s="8" t="s">
        <v>62</v>
      </c>
      <c r="B2036" s="8" t="s">
        <v>1811</v>
      </c>
      <c r="C2036" s="8" t="s">
        <v>132</v>
      </c>
      <c r="D2036" s="18" t="s">
        <v>2564</v>
      </c>
      <c r="E2036" s="16">
        <v>64.0</v>
      </c>
    </row>
    <row r="2037">
      <c r="A2037" s="8" t="s">
        <v>62</v>
      </c>
      <c r="B2037" s="18" t="s">
        <v>3089</v>
      </c>
      <c r="C2037" s="8" t="s">
        <v>65</v>
      </c>
      <c r="D2037" s="18" t="s">
        <v>2183</v>
      </c>
      <c r="E2037" s="16">
        <v>69.0</v>
      </c>
    </row>
    <row r="2038">
      <c r="A2038" s="8" t="s">
        <v>62</v>
      </c>
      <c r="B2038" s="8" t="s">
        <v>327</v>
      </c>
      <c r="C2038" s="8" t="s">
        <v>65</v>
      </c>
      <c r="D2038" s="18" t="s">
        <v>2620</v>
      </c>
      <c r="E2038" s="16">
        <v>87.0</v>
      </c>
    </row>
    <row r="2039">
      <c r="A2039" s="8" t="s">
        <v>62</v>
      </c>
      <c r="B2039" s="8" t="s">
        <v>273</v>
      </c>
      <c r="C2039" s="8" t="s">
        <v>93</v>
      </c>
      <c r="D2039" s="18" t="s">
        <v>2600</v>
      </c>
      <c r="E2039" s="16">
        <v>61.0</v>
      </c>
    </row>
    <row r="2040">
      <c r="A2040" s="8" t="s">
        <v>62</v>
      </c>
      <c r="B2040" s="8" t="s">
        <v>102</v>
      </c>
      <c r="C2040" s="8" t="s">
        <v>186</v>
      </c>
      <c r="D2040" s="18" t="s">
        <v>2558</v>
      </c>
      <c r="E2040" s="16">
        <v>71.0</v>
      </c>
    </row>
    <row r="2041">
      <c r="A2041" s="8" t="s">
        <v>62</v>
      </c>
      <c r="B2041" s="8" t="s">
        <v>102</v>
      </c>
      <c r="C2041" s="8" t="s">
        <v>46</v>
      </c>
      <c r="D2041" s="18" t="s">
        <v>2615</v>
      </c>
      <c r="E2041" s="16">
        <v>92.0</v>
      </c>
    </row>
    <row r="2042">
      <c r="A2042" s="8" t="s">
        <v>62</v>
      </c>
      <c r="B2042" s="8" t="s">
        <v>2991</v>
      </c>
      <c r="C2042" s="8" t="s">
        <v>24</v>
      </c>
      <c r="D2042" s="18" t="s">
        <v>2581</v>
      </c>
      <c r="E2042" s="16">
        <v>81.0</v>
      </c>
    </row>
    <row r="2043">
      <c r="A2043" s="8" t="s">
        <v>62</v>
      </c>
      <c r="B2043" s="8" t="s">
        <v>524</v>
      </c>
      <c r="C2043" s="8" t="s">
        <v>138</v>
      </c>
      <c r="D2043" s="18" t="s">
        <v>2560</v>
      </c>
      <c r="E2043" s="16">
        <v>62.0</v>
      </c>
    </row>
    <row r="2044">
      <c r="A2044" s="8" t="s">
        <v>62</v>
      </c>
      <c r="B2044" s="8" t="s">
        <v>222</v>
      </c>
      <c r="C2044" s="8" t="s">
        <v>24</v>
      </c>
      <c r="D2044" s="18" t="s">
        <v>2587</v>
      </c>
      <c r="E2044" s="16">
        <v>60.0</v>
      </c>
    </row>
    <row r="2045">
      <c r="A2045" s="8" t="s">
        <v>62</v>
      </c>
      <c r="B2045" s="8" t="s">
        <v>137</v>
      </c>
      <c r="C2045" s="8" t="s">
        <v>65</v>
      </c>
      <c r="D2045" s="18" t="s">
        <v>2595</v>
      </c>
      <c r="E2045" s="16">
        <v>84.0</v>
      </c>
    </row>
    <row r="2046">
      <c r="A2046" s="8" t="s">
        <v>62</v>
      </c>
      <c r="B2046" s="8" t="s">
        <v>137</v>
      </c>
      <c r="C2046" s="8" t="s">
        <v>80</v>
      </c>
      <c r="D2046" s="18" t="s">
        <v>2581</v>
      </c>
      <c r="E2046" s="16">
        <v>68.0</v>
      </c>
    </row>
    <row r="2047">
      <c r="A2047" s="8" t="s">
        <v>62</v>
      </c>
      <c r="B2047" s="8" t="s">
        <v>183</v>
      </c>
      <c r="C2047" s="8" t="s">
        <v>65</v>
      </c>
      <c r="D2047" s="18" t="s">
        <v>2593</v>
      </c>
      <c r="E2047" s="16">
        <v>63.0</v>
      </c>
    </row>
    <row r="2048">
      <c r="A2048" s="8" t="s">
        <v>62</v>
      </c>
      <c r="B2048" s="8" t="s">
        <v>337</v>
      </c>
      <c r="C2048" s="8" t="s">
        <v>122</v>
      </c>
      <c r="D2048" s="18" t="s">
        <v>2566</v>
      </c>
      <c r="E2048" s="16">
        <v>63.0</v>
      </c>
    </row>
    <row r="2049">
      <c r="A2049" s="8" t="s">
        <v>62</v>
      </c>
      <c r="B2049" s="8" t="s">
        <v>811</v>
      </c>
      <c r="C2049" s="8" t="s">
        <v>80</v>
      </c>
      <c r="D2049" s="18" t="s">
        <v>2560</v>
      </c>
      <c r="E2049" s="16">
        <v>69.0</v>
      </c>
    </row>
    <row r="2050">
      <c r="A2050" s="8" t="s">
        <v>62</v>
      </c>
      <c r="B2050" s="8" t="s">
        <v>1995</v>
      </c>
      <c r="C2050" s="8" t="s">
        <v>122</v>
      </c>
      <c r="D2050" s="18" t="s">
        <v>2585</v>
      </c>
      <c r="E2050" s="16">
        <v>79.0</v>
      </c>
    </row>
    <row r="2051">
      <c r="A2051" s="8" t="s">
        <v>3090</v>
      </c>
      <c r="B2051" s="8" t="s">
        <v>443</v>
      </c>
      <c r="C2051" s="8" t="s">
        <v>80</v>
      </c>
      <c r="D2051" s="18" t="s">
        <v>2603</v>
      </c>
      <c r="E2051" s="16">
        <v>94.0</v>
      </c>
    </row>
    <row r="2052">
      <c r="A2052" s="8" t="s">
        <v>3090</v>
      </c>
      <c r="B2052" s="18" t="s">
        <v>1490</v>
      </c>
      <c r="C2052" s="8" t="s">
        <v>59</v>
      </c>
      <c r="D2052" s="18" t="s">
        <v>2566</v>
      </c>
      <c r="E2052" s="16">
        <v>73.0</v>
      </c>
    </row>
    <row r="2053">
      <c r="A2053" s="8" t="s">
        <v>444</v>
      </c>
      <c r="B2053" s="8" t="s">
        <v>121</v>
      </c>
      <c r="C2053" s="8" t="s">
        <v>122</v>
      </c>
      <c r="D2053" s="18" t="s">
        <v>2610</v>
      </c>
      <c r="E2053" s="16">
        <v>67.0</v>
      </c>
    </row>
    <row r="2054">
      <c r="A2054" s="8" t="s">
        <v>444</v>
      </c>
      <c r="B2054" s="8" t="s">
        <v>366</v>
      </c>
      <c r="C2054" s="8" t="s">
        <v>53</v>
      </c>
      <c r="D2054" s="18" t="s">
        <v>2593</v>
      </c>
      <c r="E2054" s="16">
        <v>62.0</v>
      </c>
    </row>
    <row r="2055">
      <c r="A2055" s="8" t="s">
        <v>444</v>
      </c>
      <c r="B2055" s="8" t="s">
        <v>275</v>
      </c>
      <c r="C2055" s="8" t="s">
        <v>70</v>
      </c>
      <c r="D2055" s="18" t="s">
        <v>2582</v>
      </c>
      <c r="E2055" s="16">
        <v>77.0</v>
      </c>
    </row>
    <row r="2056">
      <c r="A2056" s="8" t="s">
        <v>444</v>
      </c>
      <c r="B2056" s="8" t="s">
        <v>1643</v>
      </c>
      <c r="C2056" s="8" t="s">
        <v>80</v>
      </c>
      <c r="D2056" s="18" t="s">
        <v>2566</v>
      </c>
      <c r="E2056" s="16">
        <v>69.0</v>
      </c>
    </row>
    <row r="2057">
      <c r="A2057" s="8" t="s">
        <v>444</v>
      </c>
      <c r="B2057" s="8" t="s">
        <v>445</v>
      </c>
      <c r="C2057" s="8" t="s">
        <v>65</v>
      </c>
      <c r="D2057" s="18" t="s">
        <v>2605</v>
      </c>
      <c r="E2057" s="16">
        <v>69.0</v>
      </c>
    </row>
    <row r="2058">
      <c r="A2058" s="8" t="s">
        <v>444</v>
      </c>
      <c r="B2058" s="8" t="s">
        <v>3468</v>
      </c>
      <c r="C2058" s="8" t="s">
        <v>70</v>
      </c>
      <c r="D2058" s="18" t="s">
        <v>2620</v>
      </c>
      <c r="E2058" s="16">
        <v>69.0</v>
      </c>
    </row>
    <row r="2059">
      <c r="A2059" s="8" t="s">
        <v>444</v>
      </c>
      <c r="B2059" s="8" t="s">
        <v>3469</v>
      </c>
      <c r="C2059" s="8" t="s">
        <v>80</v>
      </c>
      <c r="D2059" s="18" t="s">
        <v>2566</v>
      </c>
      <c r="E2059" s="16">
        <v>64.0</v>
      </c>
    </row>
    <row r="2060">
      <c r="A2060" s="8" t="s">
        <v>444</v>
      </c>
      <c r="B2060" s="8" t="s">
        <v>1368</v>
      </c>
      <c r="C2060" s="8" t="s">
        <v>80</v>
      </c>
      <c r="D2060" s="18" t="s">
        <v>2584</v>
      </c>
      <c r="E2060" s="16">
        <v>62.0</v>
      </c>
    </row>
    <row r="2061">
      <c r="A2061" s="8" t="s">
        <v>444</v>
      </c>
      <c r="B2061" s="8" t="s">
        <v>1241</v>
      </c>
      <c r="C2061" s="8" t="s">
        <v>53</v>
      </c>
      <c r="D2061" s="18" t="s">
        <v>2574</v>
      </c>
      <c r="E2061" s="16">
        <v>83.0</v>
      </c>
    </row>
    <row r="2062">
      <c r="A2062" s="8" t="s">
        <v>444</v>
      </c>
      <c r="B2062" s="8" t="s">
        <v>1996</v>
      </c>
      <c r="C2062" s="8" t="s">
        <v>80</v>
      </c>
      <c r="D2062" s="18" t="s">
        <v>2603</v>
      </c>
      <c r="E2062" s="16">
        <v>72.0</v>
      </c>
    </row>
    <row r="2063">
      <c r="A2063" s="8" t="s">
        <v>444</v>
      </c>
      <c r="B2063" s="8" t="s">
        <v>3470</v>
      </c>
      <c r="C2063" s="8" t="s">
        <v>46</v>
      </c>
      <c r="D2063" s="18" t="s">
        <v>2574</v>
      </c>
      <c r="E2063" s="16">
        <v>66.0</v>
      </c>
    </row>
    <row r="2064">
      <c r="A2064" s="8" t="s">
        <v>328</v>
      </c>
      <c r="B2064" s="8" t="s">
        <v>329</v>
      </c>
      <c r="C2064" s="8" t="s">
        <v>122</v>
      </c>
      <c r="D2064" s="18" t="s">
        <v>2614</v>
      </c>
      <c r="E2064" s="16">
        <v>74.0</v>
      </c>
    </row>
    <row r="2065">
      <c r="A2065" s="8" t="s">
        <v>328</v>
      </c>
      <c r="B2065" s="8" t="s">
        <v>3471</v>
      </c>
      <c r="C2065" s="8" t="s">
        <v>122</v>
      </c>
      <c r="D2065" s="18" t="s">
        <v>2554</v>
      </c>
      <c r="E2065" s="16">
        <v>65.0</v>
      </c>
    </row>
    <row r="2066">
      <c r="A2066" s="8" t="s">
        <v>606</v>
      </c>
      <c r="B2066" s="8" t="s">
        <v>607</v>
      </c>
      <c r="C2066" s="8" t="s">
        <v>93</v>
      </c>
      <c r="D2066" s="18" t="s">
        <v>2603</v>
      </c>
      <c r="E2066" s="16">
        <v>64.0</v>
      </c>
    </row>
    <row r="2067">
      <c r="A2067" s="8" t="s">
        <v>1318</v>
      </c>
      <c r="B2067" s="8" t="s">
        <v>102</v>
      </c>
      <c r="C2067" s="8" t="s">
        <v>75</v>
      </c>
      <c r="D2067" s="18" t="s">
        <v>2600</v>
      </c>
      <c r="E2067" s="16">
        <v>76.0</v>
      </c>
    </row>
    <row r="2068">
      <c r="A2068" s="8" t="s">
        <v>3472</v>
      </c>
      <c r="B2068" s="18" t="s">
        <v>529</v>
      </c>
      <c r="C2068" s="8" t="s">
        <v>24</v>
      </c>
      <c r="D2068" s="18" t="s">
        <v>2598</v>
      </c>
      <c r="E2068" s="16">
        <v>66.0</v>
      </c>
    </row>
    <row r="2069">
      <c r="A2069" s="8" t="s">
        <v>3473</v>
      </c>
      <c r="B2069" s="8" t="s">
        <v>55</v>
      </c>
      <c r="C2069" s="8" t="s">
        <v>132</v>
      </c>
      <c r="D2069" s="18" t="s">
        <v>2183</v>
      </c>
      <c r="E2069" s="16">
        <v>75.0</v>
      </c>
    </row>
    <row r="2070">
      <c r="A2070" s="8" t="s">
        <v>3091</v>
      </c>
      <c r="B2070" s="8" t="s">
        <v>524</v>
      </c>
      <c r="C2070" s="8" t="s">
        <v>186</v>
      </c>
      <c r="D2070" s="18" t="s">
        <v>2581</v>
      </c>
      <c r="E2070" s="16">
        <v>80.0</v>
      </c>
    </row>
    <row r="2071">
      <c r="A2071" s="8" t="s">
        <v>3092</v>
      </c>
      <c r="B2071" s="8" t="s">
        <v>23</v>
      </c>
      <c r="C2071" s="8" t="s">
        <v>186</v>
      </c>
      <c r="D2071" s="18" t="s">
        <v>2605</v>
      </c>
      <c r="E2071" s="16">
        <v>65.0</v>
      </c>
    </row>
    <row r="2072">
      <c r="A2072" s="8" t="s">
        <v>3474</v>
      </c>
      <c r="B2072" s="8" t="s">
        <v>1118</v>
      </c>
      <c r="C2072" s="8" t="s">
        <v>24</v>
      </c>
      <c r="D2072" s="18" t="s">
        <v>2584</v>
      </c>
      <c r="E2072" s="16">
        <v>46.0</v>
      </c>
    </row>
    <row r="2073">
      <c r="A2073" s="8" t="s">
        <v>3093</v>
      </c>
      <c r="B2073" s="8" t="s">
        <v>33</v>
      </c>
      <c r="C2073" s="8" t="s">
        <v>132</v>
      </c>
      <c r="D2073" s="18" t="s">
        <v>2564</v>
      </c>
      <c r="E2073" s="16">
        <v>73.0</v>
      </c>
    </row>
    <row r="2074">
      <c r="A2074" s="8" t="s">
        <v>3094</v>
      </c>
      <c r="B2074" s="8" t="s">
        <v>360</v>
      </c>
      <c r="C2074" s="8" t="s">
        <v>192</v>
      </c>
      <c r="D2074" s="18" t="s">
        <v>2552</v>
      </c>
      <c r="E2074" s="16">
        <v>63.0</v>
      </c>
    </row>
    <row r="2075">
      <c r="A2075" s="8" t="s">
        <v>3475</v>
      </c>
      <c r="B2075" s="8" t="s">
        <v>263</v>
      </c>
      <c r="C2075" s="8" t="s">
        <v>70</v>
      </c>
      <c r="D2075" s="18" t="s">
        <v>2560</v>
      </c>
      <c r="E2075" s="16">
        <v>68.0</v>
      </c>
    </row>
    <row r="2076">
      <c r="A2076" s="8" t="s">
        <v>812</v>
      </c>
      <c r="B2076" s="8" t="s">
        <v>211</v>
      </c>
      <c r="C2076" s="8" t="s">
        <v>24</v>
      </c>
      <c r="D2076" s="18" t="s">
        <v>2598</v>
      </c>
      <c r="E2076" s="16">
        <v>70.0</v>
      </c>
    </row>
    <row r="2077">
      <c r="A2077" s="8" t="s">
        <v>3476</v>
      </c>
      <c r="B2077" s="8" t="s">
        <v>183</v>
      </c>
      <c r="C2077" s="8" t="s">
        <v>261</v>
      </c>
      <c r="D2077" s="18" t="s">
        <v>2587</v>
      </c>
      <c r="E2077" s="16">
        <v>77.0</v>
      </c>
    </row>
    <row r="2078">
      <c r="A2078" s="8" t="s">
        <v>3477</v>
      </c>
      <c r="B2078" s="8" t="s">
        <v>1031</v>
      </c>
      <c r="C2078" s="8" t="s">
        <v>16</v>
      </c>
      <c r="D2078" s="18" t="s">
        <v>2567</v>
      </c>
      <c r="E2078" s="16">
        <v>66.0</v>
      </c>
    </row>
    <row r="2079">
      <c r="A2079" s="8" t="s">
        <v>15</v>
      </c>
      <c r="B2079" s="8" t="s">
        <v>52</v>
      </c>
      <c r="C2079" s="8" t="s">
        <v>141</v>
      </c>
      <c r="D2079" s="18" t="s">
        <v>2595</v>
      </c>
      <c r="E2079" s="16">
        <v>61.0</v>
      </c>
    </row>
    <row r="2080">
      <c r="A2080" s="8" t="s">
        <v>1041</v>
      </c>
      <c r="B2080" s="8" t="s">
        <v>1644</v>
      </c>
      <c r="C2080" s="8" t="s">
        <v>122</v>
      </c>
      <c r="D2080" s="18" t="s">
        <v>2566</v>
      </c>
      <c r="E2080" s="16">
        <v>71.0</v>
      </c>
    </row>
    <row r="2081">
      <c r="A2081" s="8" t="s">
        <v>1041</v>
      </c>
      <c r="B2081" s="8" t="s">
        <v>129</v>
      </c>
      <c r="C2081" s="8" t="s">
        <v>24</v>
      </c>
      <c r="D2081" s="18" t="s">
        <v>2560</v>
      </c>
      <c r="E2081" s="16">
        <v>63.0</v>
      </c>
    </row>
    <row r="2082">
      <c r="A2082" s="8" t="s">
        <v>1041</v>
      </c>
      <c r="B2082" s="8" t="s">
        <v>1042</v>
      </c>
      <c r="C2082" s="8" t="s">
        <v>75</v>
      </c>
      <c r="D2082" s="18" t="s">
        <v>2554</v>
      </c>
      <c r="E2082" s="16">
        <v>71.0</v>
      </c>
    </row>
    <row r="2083">
      <c r="A2083" s="8" t="s">
        <v>1645</v>
      </c>
      <c r="B2083" s="8" t="s">
        <v>349</v>
      </c>
      <c r="C2083" s="8" t="s">
        <v>132</v>
      </c>
      <c r="D2083" s="18" t="s">
        <v>2589</v>
      </c>
      <c r="E2083" s="16">
        <v>65.0</v>
      </c>
    </row>
    <row r="2084">
      <c r="A2084" s="8" t="s">
        <v>3095</v>
      </c>
      <c r="B2084" s="8" t="s">
        <v>1756</v>
      </c>
      <c r="C2084" s="8" t="s">
        <v>186</v>
      </c>
      <c r="D2084" s="18" t="s">
        <v>2572</v>
      </c>
      <c r="E2084" s="16">
        <v>75.0</v>
      </c>
    </row>
    <row r="2085">
      <c r="A2085" s="8" t="s">
        <v>3478</v>
      </c>
      <c r="B2085" s="8" t="s">
        <v>3479</v>
      </c>
      <c r="C2085" s="8" t="s">
        <v>16</v>
      </c>
      <c r="D2085" s="18" t="s">
        <v>2598</v>
      </c>
      <c r="E2085" s="16">
        <v>58.0</v>
      </c>
    </row>
    <row r="2086">
      <c r="A2086" s="8" t="s">
        <v>3096</v>
      </c>
      <c r="B2086" s="8" t="s">
        <v>63</v>
      </c>
      <c r="C2086" s="8" t="s">
        <v>70</v>
      </c>
      <c r="D2086" s="18" t="s">
        <v>2577</v>
      </c>
      <c r="E2086" s="16">
        <v>66.0</v>
      </c>
    </row>
    <row r="2087">
      <c r="A2087" s="8" t="s">
        <v>1998</v>
      </c>
      <c r="B2087" s="8" t="s">
        <v>782</v>
      </c>
      <c r="C2087" s="8" t="s">
        <v>24</v>
      </c>
      <c r="D2087" s="18" t="s">
        <v>2587</v>
      </c>
      <c r="E2087" s="16">
        <v>68.0</v>
      </c>
    </row>
    <row r="2088">
      <c r="A2088" s="8" t="s">
        <v>3480</v>
      </c>
      <c r="B2088" s="8" t="s">
        <v>3481</v>
      </c>
      <c r="C2088" s="8" t="s">
        <v>59</v>
      </c>
      <c r="D2088" s="18" t="s">
        <v>2582</v>
      </c>
      <c r="E2088" s="16">
        <v>58.0</v>
      </c>
    </row>
    <row r="2089">
      <c r="A2089" s="8" t="s">
        <v>472</v>
      </c>
      <c r="B2089" s="8" t="s">
        <v>3482</v>
      </c>
      <c r="C2089" s="8" t="s">
        <v>192</v>
      </c>
      <c r="D2089" s="18" t="s">
        <v>2600</v>
      </c>
      <c r="E2089" s="16">
        <v>59.0</v>
      </c>
    </row>
    <row r="2090">
      <c r="A2090" s="8" t="s">
        <v>472</v>
      </c>
      <c r="B2090" s="8" t="s">
        <v>597</v>
      </c>
      <c r="C2090" s="8" t="s">
        <v>24</v>
      </c>
      <c r="D2090" s="18" t="s">
        <v>2183</v>
      </c>
      <c r="E2090" s="16">
        <v>58.0</v>
      </c>
    </row>
    <row r="2091">
      <c r="A2091" s="8" t="s">
        <v>3097</v>
      </c>
      <c r="B2091" s="8" t="s">
        <v>3098</v>
      </c>
      <c r="C2091" s="8" t="s">
        <v>192</v>
      </c>
      <c r="D2091" s="18" t="s">
        <v>2621</v>
      </c>
      <c r="E2091" s="16">
        <v>68.0</v>
      </c>
    </row>
    <row r="2092">
      <c r="A2092" s="8" t="s">
        <v>3099</v>
      </c>
      <c r="B2092" s="8" t="s">
        <v>464</v>
      </c>
      <c r="C2092" s="8" t="s">
        <v>24</v>
      </c>
      <c r="D2092" s="18" t="s">
        <v>2620</v>
      </c>
      <c r="E2092" s="16">
        <v>63.0</v>
      </c>
    </row>
    <row r="2093">
      <c r="A2093" s="8" t="s">
        <v>2001</v>
      </c>
      <c r="B2093" s="8" t="s">
        <v>2002</v>
      </c>
      <c r="C2093" s="8" t="s">
        <v>65</v>
      </c>
      <c r="D2093" s="18" t="s">
        <v>2552</v>
      </c>
      <c r="E2093" s="16">
        <v>73.0</v>
      </c>
    </row>
    <row r="2094">
      <c r="A2094" s="8" t="s">
        <v>3100</v>
      </c>
      <c r="B2094" s="8" t="s">
        <v>871</v>
      </c>
      <c r="C2094" s="8" t="s">
        <v>65</v>
      </c>
      <c r="D2094" s="18" t="s">
        <v>2564</v>
      </c>
      <c r="E2094" s="16">
        <v>61.0</v>
      </c>
    </row>
    <row r="2095">
      <c r="A2095" s="8" t="s">
        <v>3483</v>
      </c>
      <c r="B2095" s="8" t="s">
        <v>1858</v>
      </c>
      <c r="C2095" s="8" t="s">
        <v>75</v>
      </c>
      <c r="D2095" s="18" t="s">
        <v>2621</v>
      </c>
      <c r="E2095" s="16">
        <v>64.0</v>
      </c>
    </row>
    <row r="2096">
      <c r="A2096" s="8" t="s">
        <v>813</v>
      </c>
      <c r="B2096" s="18" t="s">
        <v>814</v>
      </c>
      <c r="C2096" s="8" t="s">
        <v>141</v>
      </c>
      <c r="D2096" s="18" t="s">
        <v>2615</v>
      </c>
      <c r="E2096" s="16">
        <v>84.0</v>
      </c>
    </row>
    <row r="2097">
      <c r="A2097" s="8" t="s">
        <v>608</v>
      </c>
      <c r="B2097" s="8" t="s">
        <v>134</v>
      </c>
      <c r="C2097" s="8" t="s">
        <v>186</v>
      </c>
      <c r="D2097" s="18" t="s">
        <v>2605</v>
      </c>
      <c r="E2097" s="16">
        <v>84.0</v>
      </c>
    </row>
    <row r="2098">
      <c r="A2098" s="8" t="s">
        <v>3484</v>
      </c>
      <c r="B2098" s="8" t="s">
        <v>1516</v>
      </c>
      <c r="C2098" s="8" t="s">
        <v>122</v>
      </c>
      <c r="D2098" s="18" t="s">
        <v>2593</v>
      </c>
      <c r="E2098" s="16">
        <v>58.0</v>
      </c>
    </row>
    <row r="2099">
      <c r="A2099" s="8" t="s">
        <v>3485</v>
      </c>
      <c r="B2099" s="8" t="s">
        <v>263</v>
      </c>
      <c r="C2099" s="8" t="s">
        <v>186</v>
      </c>
      <c r="D2099" s="18" t="s">
        <v>2558</v>
      </c>
      <c r="E2099" s="16">
        <v>62.0</v>
      </c>
    </row>
    <row r="2100">
      <c r="A2100" s="8" t="s">
        <v>1648</v>
      </c>
      <c r="B2100" s="8" t="s">
        <v>427</v>
      </c>
      <c r="C2100" s="8" t="s">
        <v>16</v>
      </c>
      <c r="D2100" s="18" t="s">
        <v>2605</v>
      </c>
      <c r="E2100" s="16">
        <v>77.0</v>
      </c>
    </row>
    <row r="2101">
      <c r="A2101" s="8" t="s">
        <v>815</v>
      </c>
      <c r="B2101" s="8" t="s">
        <v>816</v>
      </c>
      <c r="C2101" s="8" t="s">
        <v>93</v>
      </c>
      <c r="D2101" s="18" t="s">
        <v>2598</v>
      </c>
      <c r="E2101" s="16">
        <v>89.0</v>
      </c>
    </row>
    <row r="2102">
      <c r="A2102" s="8" t="s">
        <v>609</v>
      </c>
      <c r="B2102" s="8" t="s">
        <v>381</v>
      </c>
      <c r="C2102" s="8" t="s">
        <v>12</v>
      </c>
      <c r="D2102" s="18" t="s">
        <v>2575</v>
      </c>
      <c r="E2102" s="16">
        <v>87.0</v>
      </c>
    </row>
    <row r="2103">
      <c r="A2103" s="8" t="s">
        <v>609</v>
      </c>
      <c r="B2103" s="8" t="s">
        <v>247</v>
      </c>
      <c r="C2103" s="8" t="s">
        <v>65</v>
      </c>
      <c r="D2103" s="18" t="s">
        <v>2577</v>
      </c>
      <c r="E2103" s="16">
        <v>61.0</v>
      </c>
    </row>
    <row r="2104">
      <c r="A2104" s="8" t="s">
        <v>3486</v>
      </c>
      <c r="B2104" s="8" t="s">
        <v>922</v>
      </c>
      <c r="C2104" s="8" t="s">
        <v>141</v>
      </c>
      <c r="D2104" s="18" t="s">
        <v>2572</v>
      </c>
      <c r="E2104" s="16">
        <v>67.0</v>
      </c>
    </row>
    <row r="2105">
      <c r="A2105" s="18" t="s">
        <v>3101</v>
      </c>
      <c r="B2105" s="8" t="s">
        <v>3102</v>
      </c>
      <c r="C2105" s="8" t="s">
        <v>122</v>
      </c>
      <c r="D2105" s="18" t="s">
        <v>2592</v>
      </c>
      <c r="E2105" s="16">
        <v>67.0</v>
      </c>
    </row>
    <row r="2106">
      <c r="A2106" s="8" t="s">
        <v>1319</v>
      </c>
      <c r="B2106" s="8" t="s">
        <v>694</v>
      </c>
      <c r="C2106" s="8" t="s">
        <v>215</v>
      </c>
      <c r="D2106" s="18" t="s">
        <v>2577</v>
      </c>
      <c r="E2106" s="16">
        <v>83.0</v>
      </c>
    </row>
    <row r="2107">
      <c r="A2107" s="8" t="s">
        <v>1649</v>
      </c>
      <c r="B2107" s="8" t="s">
        <v>1650</v>
      </c>
      <c r="C2107" s="8" t="s">
        <v>46</v>
      </c>
      <c r="D2107" s="18" t="s">
        <v>2581</v>
      </c>
      <c r="E2107" s="16">
        <v>78.0</v>
      </c>
    </row>
    <row r="2108">
      <c r="A2108" s="8" t="s">
        <v>3103</v>
      </c>
      <c r="B2108" s="8" t="s">
        <v>337</v>
      </c>
      <c r="C2108" s="8" t="s">
        <v>70</v>
      </c>
      <c r="D2108" s="18" t="s">
        <v>2567</v>
      </c>
      <c r="E2108" s="16">
        <v>76.0</v>
      </c>
    </row>
    <row r="2109">
      <c r="A2109" s="8" t="s">
        <v>1043</v>
      </c>
      <c r="B2109" s="8" t="s">
        <v>1044</v>
      </c>
      <c r="C2109" s="8" t="s">
        <v>132</v>
      </c>
      <c r="D2109" s="18" t="s">
        <v>2620</v>
      </c>
      <c r="E2109" s="16">
        <v>68.0</v>
      </c>
    </row>
    <row r="2110">
      <c r="A2110" s="8" t="s">
        <v>1043</v>
      </c>
      <c r="B2110" s="8" t="s">
        <v>1409</v>
      </c>
      <c r="C2110" s="8" t="s">
        <v>132</v>
      </c>
      <c r="D2110" s="18" t="s">
        <v>2595</v>
      </c>
      <c r="E2110" s="16">
        <v>60.0</v>
      </c>
    </row>
    <row r="2111">
      <c r="A2111" s="8" t="s">
        <v>1043</v>
      </c>
      <c r="B2111" s="8" t="s">
        <v>628</v>
      </c>
      <c r="C2111" s="8" t="s">
        <v>65</v>
      </c>
      <c r="D2111" s="18" t="s">
        <v>2564</v>
      </c>
      <c r="E2111" s="16">
        <v>66.0</v>
      </c>
    </row>
    <row r="2112">
      <c r="A2112" s="8" t="s">
        <v>1043</v>
      </c>
      <c r="B2112" s="8" t="s">
        <v>1320</v>
      </c>
      <c r="C2112" s="8" t="s">
        <v>132</v>
      </c>
      <c r="D2112" s="18" t="s">
        <v>2574</v>
      </c>
      <c r="E2112" s="16">
        <v>77.0</v>
      </c>
    </row>
    <row r="2113">
      <c r="A2113" s="8" t="s">
        <v>1045</v>
      </c>
      <c r="B2113" s="8" t="s">
        <v>1046</v>
      </c>
      <c r="C2113" s="8" t="s">
        <v>24</v>
      </c>
      <c r="D2113" s="18" t="s">
        <v>2566</v>
      </c>
      <c r="E2113" s="16">
        <v>75.0</v>
      </c>
    </row>
    <row r="2114">
      <c r="A2114" s="8" t="s">
        <v>188</v>
      </c>
      <c r="B2114" s="8" t="s">
        <v>137</v>
      </c>
      <c r="C2114" s="8" t="s">
        <v>192</v>
      </c>
      <c r="D2114" s="18" t="s">
        <v>2603</v>
      </c>
      <c r="E2114" s="16">
        <v>65.0</v>
      </c>
    </row>
    <row r="2115">
      <c r="A2115" s="8" t="s">
        <v>3487</v>
      </c>
      <c r="B2115" s="8" t="s">
        <v>279</v>
      </c>
      <c r="C2115" s="8" t="s">
        <v>149</v>
      </c>
      <c r="D2115" s="18" t="s">
        <v>2567</v>
      </c>
      <c r="E2115" s="16">
        <v>62.0</v>
      </c>
    </row>
    <row r="2116">
      <c r="A2116" s="8" t="s">
        <v>3104</v>
      </c>
      <c r="B2116" s="8" t="s">
        <v>922</v>
      </c>
      <c r="C2116" s="8" t="s">
        <v>141</v>
      </c>
      <c r="D2116" s="18" t="s">
        <v>2595</v>
      </c>
      <c r="E2116" s="16">
        <v>84.0</v>
      </c>
    </row>
    <row r="2117">
      <c r="A2117" s="8" t="s">
        <v>3105</v>
      </c>
      <c r="B2117" s="8" t="s">
        <v>985</v>
      </c>
      <c r="C2117" s="8" t="s">
        <v>215</v>
      </c>
      <c r="D2117" s="18" t="s">
        <v>2605</v>
      </c>
      <c r="E2117" s="16">
        <v>71.0</v>
      </c>
    </row>
    <row r="2118">
      <c r="A2118" s="8" t="s">
        <v>3488</v>
      </c>
      <c r="B2118" s="8" t="s">
        <v>3489</v>
      </c>
      <c r="C2118" s="8" t="s">
        <v>122</v>
      </c>
      <c r="D2118" s="18" t="s">
        <v>2598</v>
      </c>
      <c r="E2118" s="16">
        <v>73.0</v>
      </c>
    </row>
    <row r="2119">
      <c r="A2119" s="8" t="s">
        <v>817</v>
      </c>
      <c r="B2119" s="8" t="s">
        <v>780</v>
      </c>
      <c r="C2119" s="8" t="s">
        <v>215</v>
      </c>
      <c r="D2119" s="18" t="s">
        <v>2575</v>
      </c>
      <c r="E2119" s="16">
        <v>69.0</v>
      </c>
    </row>
    <row r="2120">
      <c r="A2120" s="8" t="s">
        <v>3490</v>
      </c>
      <c r="B2120" s="8" t="s">
        <v>3491</v>
      </c>
      <c r="C2120" s="8" t="s">
        <v>132</v>
      </c>
      <c r="D2120" s="18" t="s">
        <v>2581</v>
      </c>
      <c r="E2120" s="16">
        <v>69.0</v>
      </c>
    </row>
    <row r="2121">
      <c r="A2121" s="8" t="s">
        <v>3492</v>
      </c>
      <c r="B2121" s="8" t="s">
        <v>23</v>
      </c>
      <c r="C2121" s="8" t="s">
        <v>141</v>
      </c>
      <c r="D2121" s="18" t="s">
        <v>2575</v>
      </c>
      <c r="E2121" s="16">
        <v>72.0</v>
      </c>
    </row>
    <row r="2122">
      <c r="A2122" s="8" t="s">
        <v>1321</v>
      </c>
      <c r="B2122" s="18" t="s">
        <v>521</v>
      </c>
      <c r="C2122" s="8" t="s">
        <v>24</v>
      </c>
      <c r="D2122" s="18" t="s">
        <v>2610</v>
      </c>
      <c r="E2122" s="16">
        <v>69.0</v>
      </c>
    </row>
    <row r="2123">
      <c r="A2123" s="8" t="s">
        <v>818</v>
      </c>
      <c r="B2123" s="8" t="s">
        <v>333</v>
      </c>
      <c r="C2123" s="8" t="s">
        <v>192</v>
      </c>
      <c r="D2123" s="18" t="s">
        <v>2595</v>
      </c>
      <c r="E2123" s="16">
        <v>82.0</v>
      </c>
    </row>
    <row r="2124">
      <c r="A2124" s="8" t="s">
        <v>1653</v>
      </c>
      <c r="B2124" s="8" t="s">
        <v>1654</v>
      </c>
      <c r="C2124" s="8" t="s">
        <v>122</v>
      </c>
      <c r="D2124" s="18" t="s">
        <v>2564</v>
      </c>
      <c r="E2124" s="16">
        <v>64.0</v>
      </c>
    </row>
    <row r="2125">
      <c r="A2125" s="8" t="s">
        <v>1322</v>
      </c>
      <c r="B2125" s="8" t="s">
        <v>2828</v>
      </c>
      <c r="C2125" s="8" t="s">
        <v>149</v>
      </c>
      <c r="D2125" s="18" t="s">
        <v>2564</v>
      </c>
      <c r="E2125" s="16">
        <v>70.0</v>
      </c>
    </row>
    <row r="2126">
      <c r="A2126" s="8" t="s">
        <v>1655</v>
      </c>
      <c r="B2126" s="8" t="s">
        <v>1640</v>
      </c>
      <c r="C2126" s="8" t="s">
        <v>122</v>
      </c>
      <c r="D2126" s="18" t="s">
        <v>2600</v>
      </c>
      <c r="E2126" s="16">
        <v>70.0</v>
      </c>
    </row>
    <row r="2127">
      <c r="A2127" s="8" t="s">
        <v>2008</v>
      </c>
      <c r="B2127" s="8" t="s">
        <v>1803</v>
      </c>
      <c r="C2127" s="8" t="s">
        <v>53</v>
      </c>
      <c r="D2127" s="18" t="s">
        <v>2587</v>
      </c>
      <c r="E2127" s="16">
        <v>63.0</v>
      </c>
    </row>
    <row r="2128">
      <c r="A2128" s="8" t="s">
        <v>3106</v>
      </c>
      <c r="B2128" s="8" t="s">
        <v>2066</v>
      </c>
      <c r="C2128" s="8" t="s">
        <v>24</v>
      </c>
      <c r="D2128" s="18" t="s">
        <v>2589</v>
      </c>
      <c r="E2128" s="16">
        <v>63.0</v>
      </c>
    </row>
    <row r="2129">
      <c r="A2129" s="8" t="s">
        <v>3106</v>
      </c>
      <c r="B2129" s="8" t="s">
        <v>922</v>
      </c>
      <c r="C2129" s="8" t="s">
        <v>138</v>
      </c>
      <c r="D2129" s="18" t="s">
        <v>2587</v>
      </c>
      <c r="E2129" s="16">
        <v>63.0</v>
      </c>
    </row>
    <row r="2130">
      <c r="A2130" s="8" t="s">
        <v>3108</v>
      </c>
      <c r="B2130" s="8" t="s">
        <v>214</v>
      </c>
      <c r="C2130" s="8" t="s">
        <v>186</v>
      </c>
      <c r="D2130" s="18" t="s">
        <v>2600</v>
      </c>
      <c r="E2130" s="16">
        <v>71.0</v>
      </c>
    </row>
    <row r="2131">
      <c r="A2131" s="8" t="s">
        <v>2009</v>
      </c>
      <c r="B2131" s="8" t="s">
        <v>1347</v>
      </c>
      <c r="C2131" s="8" t="s">
        <v>138</v>
      </c>
      <c r="D2131" s="18" t="s">
        <v>2556</v>
      </c>
      <c r="E2131" s="16">
        <v>69.0</v>
      </c>
    </row>
    <row r="2132">
      <c r="A2132" s="8" t="s">
        <v>1325</v>
      </c>
      <c r="B2132" s="8" t="s">
        <v>231</v>
      </c>
      <c r="C2132" s="8" t="s">
        <v>24</v>
      </c>
      <c r="D2132" s="18" t="s">
        <v>2603</v>
      </c>
      <c r="E2132" s="16">
        <v>70.0</v>
      </c>
    </row>
    <row r="2133">
      <c r="A2133" s="8" t="s">
        <v>3493</v>
      </c>
      <c r="B2133" s="8" t="s">
        <v>37</v>
      </c>
      <c r="C2133" s="8" t="s">
        <v>16</v>
      </c>
      <c r="D2133" s="18" t="s">
        <v>2575</v>
      </c>
      <c r="E2133" s="16">
        <v>60.0</v>
      </c>
    </row>
    <row r="2134">
      <c r="A2134" s="8" t="s">
        <v>3111</v>
      </c>
      <c r="B2134" s="8" t="s">
        <v>196</v>
      </c>
      <c r="C2134" s="8" t="s">
        <v>149</v>
      </c>
      <c r="D2134" s="18" t="s">
        <v>2589</v>
      </c>
      <c r="E2134" s="16">
        <v>84.0</v>
      </c>
    </row>
    <row r="2135">
      <c r="A2135" s="8" t="s">
        <v>3494</v>
      </c>
      <c r="B2135" s="8" t="s">
        <v>102</v>
      </c>
      <c r="C2135" s="8" t="s">
        <v>122</v>
      </c>
      <c r="D2135" s="18" t="s">
        <v>2598</v>
      </c>
      <c r="E2135" s="16">
        <v>68.0</v>
      </c>
    </row>
    <row r="2136">
      <c r="A2136" s="8" t="s">
        <v>3495</v>
      </c>
      <c r="B2136" s="8" t="s">
        <v>1295</v>
      </c>
      <c r="C2136" s="8" t="s">
        <v>70</v>
      </c>
      <c r="D2136" s="18" t="s">
        <v>2566</v>
      </c>
      <c r="E2136" s="16">
        <v>82.0</v>
      </c>
    </row>
    <row r="2137">
      <c r="A2137" s="8" t="s">
        <v>84</v>
      </c>
      <c r="B2137" s="8" t="s">
        <v>819</v>
      </c>
      <c r="C2137" s="8" t="s">
        <v>215</v>
      </c>
      <c r="D2137" s="18" t="s">
        <v>2566</v>
      </c>
      <c r="E2137" s="16">
        <v>88.0</v>
      </c>
    </row>
    <row r="2138">
      <c r="A2138" s="8" t="s">
        <v>820</v>
      </c>
      <c r="B2138" s="8" t="s">
        <v>45</v>
      </c>
      <c r="C2138" s="8" t="s">
        <v>93</v>
      </c>
      <c r="D2138" s="18" t="s">
        <v>2572</v>
      </c>
      <c r="E2138" s="16">
        <v>86.0</v>
      </c>
    </row>
    <row r="2139">
      <c r="A2139" s="8" t="s">
        <v>1327</v>
      </c>
      <c r="B2139" s="8" t="s">
        <v>231</v>
      </c>
      <c r="C2139" s="8" t="s">
        <v>59</v>
      </c>
      <c r="D2139" s="18" t="s">
        <v>2610</v>
      </c>
      <c r="E2139" s="16">
        <v>67.0</v>
      </c>
    </row>
    <row r="2140">
      <c r="A2140" s="8" t="s">
        <v>1327</v>
      </c>
      <c r="B2140" s="8" t="s">
        <v>480</v>
      </c>
      <c r="C2140" s="8" t="s">
        <v>53</v>
      </c>
      <c r="D2140" s="18" t="s">
        <v>2582</v>
      </c>
      <c r="E2140" s="16">
        <v>62.0</v>
      </c>
    </row>
    <row r="2141">
      <c r="A2141" s="8" t="s">
        <v>446</v>
      </c>
      <c r="B2141" s="8" t="s">
        <v>447</v>
      </c>
      <c r="C2141" s="8" t="s">
        <v>46</v>
      </c>
      <c r="D2141" s="18" t="s">
        <v>2577</v>
      </c>
      <c r="E2141" s="16">
        <v>81.0</v>
      </c>
    </row>
    <row r="2142">
      <c r="A2142" s="8" t="s">
        <v>10</v>
      </c>
      <c r="B2142" s="8" t="s">
        <v>11</v>
      </c>
      <c r="C2142" s="8" t="s">
        <v>12</v>
      </c>
      <c r="D2142" s="18" t="s">
        <v>2567</v>
      </c>
      <c r="E2142" s="16">
        <v>84.0</v>
      </c>
    </row>
    <row r="2143">
      <c r="A2143" s="8" t="s">
        <v>3115</v>
      </c>
      <c r="B2143" s="8" t="s">
        <v>684</v>
      </c>
      <c r="C2143" s="8" t="s">
        <v>93</v>
      </c>
      <c r="D2143" s="18" t="s">
        <v>2562</v>
      </c>
      <c r="E2143" s="16">
        <v>62.0</v>
      </c>
    </row>
    <row r="2144">
      <c r="A2144" s="8" t="s">
        <v>1658</v>
      </c>
      <c r="B2144" s="8" t="s">
        <v>134</v>
      </c>
      <c r="C2144" s="8" t="s">
        <v>261</v>
      </c>
      <c r="D2144" s="18" t="s">
        <v>2615</v>
      </c>
      <c r="E2144" s="16">
        <v>70.0</v>
      </c>
    </row>
    <row r="2145">
      <c r="A2145" s="8" t="s">
        <v>3116</v>
      </c>
      <c r="B2145" s="8" t="s">
        <v>381</v>
      </c>
      <c r="C2145" s="8" t="s">
        <v>38</v>
      </c>
      <c r="D2145" s="18" t="s">
        <v>2558</v>
      </c>
      <c r="E2145" s="16">
        <v>75.0</v>
      </c>
    </row>
    <row r="2146">
      <c r="A2146" s="8" t="s">
        <v>821</v>
      </c>
      <c r="B2146" s="8" t="s">
        <v>822</v>
      </c>
      <c r="C2146" s="8" t="s">
        <v>149</v>
      </c>
      <c r="D2146" s="18" t="s">
        <v>2567</v>
      </c>
      <c r="E2146" s="16">
        <v>64.0</v>
      </c>
    </row>
    <row r="2147">
      <c r="A2147" s="8" t="s">
        <v>823</v>
      </c>
      <c r="B2147" s="8" t="s">
        <v>824</v>
      </c>
      <c r="C2147" s="8" t="s">
        <v>46</v>
      </c>
      <c r="D2147" s="18" t="s">
        <v>2600</v>
      </c>
      <c r="E2147" s="16">
        <v>68.0</v>
      </c>
    </row>
    <row r="2148">
      <c r="A2148" s="8" t="s">
        <v>611</v>
      </c>
      <c r="B2148" s="8" t="s">
        <v>399</v>
      </c>
      <c r="C2148" s="8" t="s">
        <v>186</v>
      </c>
      <c r="D2148" s="18" t="s">
        <v>2603</v>
      </c>
      <c r="E2148" s="16">
        <v>93.0</v>
      </c>
    </row>
    <row r="2149">
      <c r="A2149" s="8" t="s">
        <v>611</v>
      </c>
      <c r="B2149" s="8" t="s">
        <v>612</v>
      </c>
      <c r="C2149" s="8" t="s">
        <v>149</v>
      </c>
      <c r="D2149" s="18" t="s">
        <v>2554</v>
      </c>
      <c r="E2149" s="16">
        <v>83.0</v>
      </c>
    </row>
    <row r="2150">
      <c r="A2150" s="8" t="s">
        <v>51</v>
      </c>
      <c r="B2150" s="8" t="s">
        <v>52</v>
      </c>
      <c r="C2150" s="8" t="s">
        <v>138</v>
      </c>
      <c r="D2150" s="18" t="s">
        <v>2581</v>
      </c>
      <c r="E2150" s="16">
        <v>89.0</v>
      </c>
    </row>
    <row r="2151">
      <c r="A2151" s="8" t="s">
        <v>1047</v>
      </c>
      <c r="B2151" s="8" t="s">
        <v>1048</v>
      </c>
      <c r="C2151" s="8" t="s">
        <v>24</v>
      </c>
      <c r="D2151" s="18" t="s">
        <v>2556</v>
      </c>
      <c r="E2151" s="16">
        <v>75.0</v>
      </c>
    </row>
    <row r="2152">
      <c r="A2152" s="8" t="s">
        <v>104</v>
      </c>
      <c r="B2152" s="8" t="s">
        <v>105</v>
      </c>
      <c r="C2152" s="8" t="s">
        <v>24</v>
      </c>
      <c r="D2152" s="18" t="s">
        <v>2621</v>
      </c>
      <c r="E2152" s="16">
        <v>93.0</v>
      </c>
    </row>
    <row r="2153">
      <c r="A2153" s="8" t="s">
        <v>104</v>
      </c>
      <c r="B2153" s="8" t="s">
        <v>964</v>
      </c>
      <c r="C2153" s="8" t="s">
        <v>138</v>
      </c>
      <c r="D2153" s="18" t="s">
        <v>2620</v>
      </c>
      <c r="E2153" s="16">
        <v>70.0</v>
      </c>
    </row>
    <row r="2154">
      <c r="A2154" s="8" t="s">
        <v>104</v>
      </c>
      <c r="B2154" s="8" t="s">
        <v>102</v>
      </c>
      <c r="C2154" s="8" t="s">
        <v>186</v>
      </c>
      <c r="D2154" s="18" t="s">
        <v>2564</v>
      </c>
      <c r="E2154" s="16">
        <v>60.0</v>
      </c>
    </row>
    <row r="2155">
      <c r="A2155" s="8" t="s">
        <v>104</v>
      </c>
      <c r="B2155" s="8" t="s">
        <v>301</v>
      </c>
      <c r="C2155" s="8" t="s">
        <v>132</v>
      </c>
      <c r="D2155" s="18" t="s">
        <v>2562</v>
      </c>
      <c r="E2155" s="16">
        <v>62.0</v>
      </c>
    </row>
    <row r="2156">
      <c r="A2156" s="8" t="s">
        <v>3117</v>
      </c>
      <c r="B2156" s="8" t="s">
        <v>212</v>
      </c>
      <c r="C2156" s="8" t="s">
        <v>186</v>
      </c>
      <c r="D2156" s="18" t="s">
        <v>2567</v>
      </c>
      <c r="E2156" s="16">
        <v>66.0</v>
      </c>
    </row>
    <row r="2157">
      <c r="A2157" s="8" t="s">
        <v>1328</v>
      </c>
      <c r="B2157" s="8" t="s">
        <v>98</v>
      </c>
      <c r="C2157" s="8" t="s">
        <v>53</v>
      </c>
      <c r="D2157" s="18" t="s">
        <v>2621</v>
      </c>
      <c r="E2157" s="16">
        <v>64.0</v>
      </c>
    </row>
    <row r="2158">
      <c r="A2158" s="8" t="s">
        <v>1328</v>
      </c>
      <c r="B2158" s="8" t="s">
        <v>183</v>
      </c>
      <c r="C2158" s="8" t="s">
        <v>65</v>
      </c>
      <c r="D2158" s="18" t="s">
        <v>2575</v>
      </c>
      <c r="E2158" s="16">
        <v>82.0</v>
      </c>
    </row>
    <row r="2159">
      <c r="A2159" s="8" t="s">
        <v>1329</v>
      </c>
      <c r="B2159" s="8" t="s">
        <v>153</v>
      </c>
      <c r="C2159" s="8" t="s">
        <v>24</v>
      </c>
      <c r="D2159" s="18" t="s">
        <v>2575</v>
      </c>
      <c r="E2159" s="16">
        <v>68.0</v>
      </c>
    </row>
    <row r="2160">
      <c r="A2160" s="8" t="s">
        <v>3496</v>
      </c>
      <c r="B2160" s="8" t="s">
        <v>1090</v>
      </c>
      <c r="C2160" s="8" t="s">
        <v>12</v>
      </c>
      <c r="D2160" s="18" t="s">
        <v>2603</v>
      </c>
      <c r="E2160" s="16">
        <v>72.0</v>
      </c>
    </row>
    <row r="2161">
      <c r="A2161" s="8" t="s">
        <v>2443</v>
      </c>
      <c r="B2161" s="18" t="s">
        <v>46</v>
      </c>
      <c r="C2161" s="8" t="s">
        <v>215</v>
      </c>
      <c r="D2161" s="18" t="s">
        <v>2577</v>
      </c>
      <c r="E2161" s="16">
        <v>61.0</v>
      </c>
    </row>
    <row r="2162">
      <c r="A2162" s="8" t="s">
        <v>825</v>
      </c>
      <c r="B2162" s="8" t="s">
        <v>3079</v>
      </c>
      <c r="C2162" s="8" t="s">
        <v>138</v>
      </c>
      <c r="D2162" s="18" t="s">
        <v>2592</v>
      </c>
      <c r="E2162" s="16">
        <v>60.0</v>
      </c>
    </row>
    <row r="2163">
      <c r="A2163" s="8" t="s">
        <v>825</v>
      </c>
      <c r="B2163" s="8" t="s">
        <v>1659</v>
      </c>
      <c r="C2163" s="8" t="s">
        <v>138</v>
      </c>
      <c r="D2163" s="18" t="s">
        <v>2556</v>
      </c>
      <c r="E2163" s="16">
        <v>72.0</v>
      </c>
    </row>
    <row r="2164">
      <c r="A2164" s="8" t="s">
        <v>825</v>
      </c>
      <c r="B2164" s="8" t="s">
        <v>826</v>
      </c>
      <c r="C2164" s="8" t="s">
        <v>80</v>
      </c>
      <c r="D2164" s="18" t="s">
        <v>2585</v>
      </c>
      <c r="E2164" s="16">
        <v>80.0</v>
      </c>
    </row>
    <row r="2165">
      <c r="A2165" s="8" t="s">
        <v>825</v>
      </c>
      <c r="B2165" s="8" t="s">
        <v>640</v>
      </c>
      <c r="C2165" s="8" t="s">
        <v>70</v>
      </c>
      <c r="D2165" s="18" t="s">
        <v>2598</v>
      </c>
      <c r="E2165" s="16">
        <v>68.0</v>
      </c>
    </row>
    <row r="2166">
      <c r="A2166" s="8" t="s">
        <v>825</v>
      </c>
      <c r="B2166" s="18" t="s">
        <v>491</v>
      </c>
      <c r="C2166" s="8" t="s">
        <v>192</v>
      </c>
      <c r="D2166" s="18" t="s">
        <v>2620</v>
      </c>
      <c r="E2166" s="16">
        <v>81.0</v>
      </c>
    </row>
    <row r="2167">
      <c r="A2167" s="8" t="s">
        <v>1049</v>
      </c>
      <c r="B2167" s="8" t="s">
        <v>3119</v>
      </c>
      <c r="C2167" s="8" t="s">
        <v>149</v>
      </c>
      <c r="D2167" s="18" t="s">
        <v>2556</v>
      </c>
      <c r="E2167" s="16">
        <v>66.0</v>
      </c>
    </row>
    <row r="2168">
      <c r="A2168" s="8" t="s">
        <v>1049</v>
      </c>
      <c r="B2168" s="8" t="s">
        <v>746</v>
      </c>
      <c r="C2168" s="8" t="s">
        <v>70</v>
      </c>
      <c r="D2168" s="18" t="s">
        <v>2183</v>
      </c>
      <c r="E2168" s="16">
        <v>82.0</v>
      </c>
    </row>
    <row r="2169">
      <c r="A2169" s="8" t="s">
        <v>827</v>
      </c>
      <c r="B2169" s="8" t="s">
        <v>64</v>
      </c>
      <c r="C2169" s="8" t="s">
        <v>132</v>
      </c>
      <c r="D2169" s="18" t="s">
        <v>2595</v>
      </c>
      <c r="E2169" s="16">
        <v>81.0</v>
      </c>
    </row>
    <row r="2170">
      <c r="A2170" s="8" t="s">
        <v>3120</v>
      </c>
      <c r="B2170" s="8" t="s">
        <v>3121</v>
      </c>
      <c r="C2170" s="8" t="s">
        <v>75</v>
      </c>
      <c r="D2170" s="18" t="s">
        <v>2564</v>
      </c>
      <c r="E2170" s="16">
        <v>76.0</v>
      </c>
    </row>
    <row r="2171">
      <c r="A2171" s="8" t="s">
        <v>3122</v>
      </c>
      <c r="B2171" s="8" t="s">
        <v>2991</v>
      </c>
      <c r="C2171" s="8" t="s">
        <v>122</v>
      </c>
      <c r="D2171" s="18" t="s">
        <v>2581</v>
      </c>
      <c r="E2171" s="16">
        <v>65.0</v>
      </c>
    </row>
    <row r="2172">
      <c r="A2172" s="8" t="s">
        <v>1330</v>
      </c>
      <c r="B2172" s="8" t="s">
        <v>1331</v>
      </c>
      <c r="C2172" s="8" t="s">
        <v>122</v>
      </c>
      <c r="D2172" s="18" t="s">
        <v>2587</v>
      </c>
      <c r="E2172" s="16">
        <v>71.0</v>
      </c>
    </row>
    <row r="2173">
      <c r="A2173" s="8" t="s">
        <v>1330</v>
      </c>
      <c r="B2173" s="8" t="s">
        <v>748</v>
      </c>
      <c r="C2173" s="8" t="s">
        <v>138</v>
      </c>
      <c r="D2173" s="18" t="s">
        <v>2554</v>
      </c>
      <c r="E2173" s="16">
        <v>64.0</v>
      </c>
    </row>
    <row r="2174">
      <c r="A2174" s="8" t="s">
        <v>1330</v>
      </c>
      <c r="B2174" s="8" t="s">
        <v>943</v>
      </c>
      <c r="C2174" s="8" t="s">
        <v>70</v>
      </c>
      <c r="D2174" s="18" t="s">
        <v>2556</v>
      </c>
      <c r="E2174" s="16">
        <v>74.0</v>
      </c>
    </row>
    <row r="2175">
      <c r="A2175" s="8" t="s">
        <v>1330</v>
      </c>
      <c r="B2175" s="8" t="s">
        <v>273</v>
      </c>
      <c r="C2175" s="8" t="s">
        <v>70</v>
      </c>
      <c r="D2175" s="18" t="s">
        <v>2554</v>
      </c>
      <c r="E2175" s="16">
        <v>68.0</v>
      </c>
    </row>
    <row r="2176">
      <c r="A2176" s="8" t="s">
        <v>1332</v>
      </c>
      <c r="B2176" s="8" t="s">
        <v>1333</v>
      </c>
      <c r="C2176" s="8" t="s">
        <v>93</v>
      </c>
      <c r="D2176" s="18" t="s">
        <v>2558</v>
      </c>
      <c r="E2176" s="16">
        <v>62.0</v>
      </c>
    </row>
    <row r="2177">
      <c r="A2177" s="8" t="s">
        <v>613</v>
      </c>
      <c r="B2177" s="8" t="s">
        <v>443</v>
      </c>
      <c r="C2177" s="8" t="s">
        <v>75</v>
      </c>
      <c r="D2177" s="18" t="s">
        <v>2584</v>
      </c>
      <c r="E2177" s="16">
        <v>70.0</v>
      </c>
    </row>
    <row r="2178">
      <c r="A2178" s="8" t="s">
        <v>1050</v>
      </c>
      <c r="B2178" s="8" t="s">
        <v>366</v>
      </c>
      <c r="C2178" s="8" t="s">
        <v>122</v>
      </c>
      <c r="D2178" s="18" t="s">
        <v>2562</v>
      </c>
      <c r="E2178" s="16">
        <v>68.0</v>
      </c>
    </row>
    <row r="2179">
      <c r="A2179" s="8" t="s">
        <v>1050</v>
      </c>
      <c r="B2179" s="8" t="s">
        <v>1051</v>
      </c>
      <c r="C2179" s="8" t="s">
        <v>192</v>
      </c>
      <c r="D2179" s="18" t="s">
        <v>2564</v>
      </c>
      <c r="E2179" s="16">
        <v>72.0</v>
      </c>
    </row>
    <row r="2180">
      <c r="A2180" s="8" t="s">
        <v>1050</v>
      </c>
      <c r="B2180" s="8" t="s">
        <v>1334</v>
      </c>
      <c r="C2180" s="8" t="s">
        <v>65</v>
      </c>
      <c r="D2180" s="18" t="s">
        <v>2587</v>
      </c>
      <c r="E2180" s="16">
        <v>86.0</v>
      </c>
    </row>
    <row r="2181">
      <c r="A2181" s="8" t="s">
        <v>34</v>
      </c>
      <c r="B2181" s="8" t="s">
        <v>35</v>
      </c>
      <c r="C2181" s="8" t="s">
        <v>24</v>
      </c>
      <c r="D2181" s="18" t="s">
        <v>2575</v>
      </c>
      <c r="E2181" s="16">
        <v>80.0</v>
      </c>
    </row>
    <row r="2182">
      <c r="A2182" s="8" t="s">
        <v>34</v>
      </c>
      <c r="B2182" s="8" t="s">
        <v>330</v>
      </c>
      <c r="C2182" s="8" t="s">
        <v>59</v>
      </c>
      <c r="D2182" s="18" t="s">
        <v>2585</v>
      </c>
      <c r="E2182" s="16">
        <v>68.0</v>
      </c>
    </row>
    <row r="2183">
      <c r="A2183" s="8" t="s">
        <v>34</v>
      </c>
      <c r="B2183" s="8" t="s">
        <v>2276</v>
      </c>
      <c r="C2183" s="8" t="s">
        <v>16</v>
      </c>
      <c r="D2183" s="18" t="s">
        <v>2562</v>
      </c>
      <c r="E2183" s="16">
        <v>76.0</v>
      </c>
    </row>
    <row r="2184">
      <c r="A2184" s="8" t="s">
        <v>34</v>
      </c>
      <c r="B2184" s="8" t="s">
        <v>3123</v>
      </c>
      <c r="C2184" s="8" t="s">
        <v>149</v>
      </c>
      <c r="D2184" s="18" t="s">
        <v>2620</v>
      </c>
      <c r="E2184" s="16">
        <v>73.0</v>
      </c>
    </row>
    <row r="2185">
      <c r="A2185" s="8" t="s">
        <v>448</v>
      </c>
      <c r="B2185" s="8" t="s">
        <v>493</v>
      </c>
      <c r="C2185" s="8" t="s">
        <v>261</v>
      </c>
      <c r="D2185" s="18" t="s">
        <v>2572</v>
      </c>
      <c r="E2185" s="16">
        <v>61.0</v>
      </c>
    </row>
    <row r="2186">
      <c r="A2186" s="8" t="s">
        <v>448</v>
      </c>
      <c r="B2186" s="18" t="s">
        <v>159</v>
      </c>
      <c r="C2186" s="8" t="s">
        <v>215</v>
      </c>
      <c r="D2186" s="18" t="s">
        <v>2562</v>
      </c>
      <c r="E2186" s="16">
        <v>98.0</v>
      </c>
    </row>
    <row r="2187">
      <c r="A2187" s="8" t="s">
        <v>448</v>
      </c>
      <c r="B2187" s="18" t="s">
        <v>491</v>
      </c>
      <c r="C2187" s="8" t="s">
        <v>59</v>
      </c>
      <c r="D2187" s="18" t="s">
        <v>2577</v>
      </c>
      <c r="E2187" s="16">
        <v>74.0</v>
      </c>
    </row>
    <row r="2188">
      <c r="A2188" s="8" t="s">
        <v>2277</v>
      </c>
      <c r="B2188" s="8" t="s">
        <v>121</v>
      </c>
      <c r="C2188" s="8" t="s">
        <v>53</v>
      </c>
      <c r="D2188" s="18" t="s">
        <v>2581</v>
      </c>
      <c r="E2188" s="16">
        <v>62.0</v>
      </c>
    </row>
    <row r="2189">
      <c r="A2189" s="8" t="s">
        <v>2277</v>
      </c>
      <c r="B2189" s="8" t="s">
        <v>307</v>
      </c>
      <c r="C2189" s="8" t="s">
        <v>132</v>
      </c>
      <c r="D2189" s="18" t="s">
        <v>2560</v>
      </c>
      <c r="E2189" s="16">
        <v>63.0</v>
      </c>
    </row>
    <row r="2190">
      <c r="A2190" s="8" t="s">
        <v>614</v>
      </c>
      <c r="B2190" s="8" t="s">
        <v>615</v>
      </c>
      <c r="C2190" s="8" t="s">
        <v>38</v>
      </c>
      <c r="D2190" s="18" t="s">
        <v>2582</v>
      </c>
      <c r="E2190" s="16">
        <v>79.0</v>
      </c>
    </row>
    <row r="2191">
      <c r="A2191" s="8" t="s">
        <v>1052</v>
      </c>
      <c r="B2191" s="8" t="s">
        <v>1053</v>
      </c>
      <c r="C2191" s="8" t="s">
        <v>93</v>
      </c>
      <c r="D2191" s="18" t="s">
        <v>2552</v>
      </c>
      <c r="E2191" s="16">
        <v>75.0</v>
      </c>
    </row>
    <row r="2192">
      <c r="A2192" s="8" t="s">
        <v>1660</v>
      </c>
      <c r="B2192" s="8" t="s">
        <v>88</v>
      </c>
      <c r="C2192" s="8" t="s">
        <v>215</v>
      </c>
      <c r="D2192" s="18" t="s">
        <v>2552</v>
      </c>
      <c r="E2192" s="16">
        <v>64.0</v>
      </c>
    </row>
    <row r="2193">
      <c r="A2193" s="8" t="s">
        <v>232</v>
      </c>
      <c r="B2193" s="18" t="s">
        <v>616</v>
      </c>
      <c r="C2193" s="8" t="s">
        <v>93</v>
      </c>
      <c r="D2193" s="18" t="s">
        <v>2605</v>
      </c>
      <c r="E2193" s="16">
        <v>71.0</v>
      </c>
    </row>
    <row r="2194">
      <c r="A2194" s="8" t="s">
        <v>232</v>
      </c>
      <c r="B2194" s="8" t="s">
        <v>61</v>
      </c>
      <c r="C2194" s="8" t="s">
        <v>16</v>
      </c>
      <c r="D2194" s="18" t="s">
        <v>2566</v>
      </c>
      <c r="E2194" s="16">
        <v>73.0</v>
      </c>
    </row>
    <row r="2195">
      <c r="A2195" s="8" t="s">
        <v>232</v>
      </c>
      <c r="B2195" s="8" t="s">
        <v>102</v>
      </c>
      <c r="C2195" s="8" t="s">
        <v>16</v>
      </c>
      <c r="D2195" s="18" t="s">
        <v>2574</v>
      </c>
      <c r="E2195" s="16">
        <v>64.0</v>
      </c>
    </row>
    <row r="2196">
      <c r="A2196" s="8" t="s">
        <v>232</v>
      </c>
      <c r="B2196" s="8" t="s">
        <v>3497</v>
      </c>
      <c r="C2196" s="8" t="s">
        <v>80</v>
      </c>
      <c r="D2196" s="18" t="s">
        <v>2575</v>
      </c>
      <c r="E2196" s="16">
        <v>82.0</v>
      </c>
    </row>
    <row r="2197">
      <c r="A2197" s="8" t="s">
        <v>2280</v>
      </c>
      <c r="B2197" s="8" t="s">
        <v>3125</v>
      </c>
      <c r="C2197" s="8" t="s">
        <v>93</v>
      </c>
      <c r="D2197" s="18" t="s">
        <v>2593</v>
      </c>
      <c r="E2197" s="16">
        <v>73.0</v>
      </c>
    </row>
    <row r="2198">
      <c r="A2198" s="8" t="s">
        <v>3498</v>
      </c>
      <c r="B2198" s="8" t="s">
        <v>64</v>
      </c>
      <c r="C2198" s="8" t="s">
        <v>138</v>
      </c>
      <c r="D2198" s="18" t="s">
        <v>2574</v>
      </c>
      <c r="E2198" s="16">
        <v>65.0</v>
      </c>
    </row>
    <row r="2199">
      <c r="A2199" s="8" t="s">
        <v>128</v>
      </c>
      <c r="B2199" s="8" t="s">
        <v>129</v>
      </c>
      <c r="C2199" s="8" t="s">
        <v>80</v>
      </c>
      <c r="D2199" s="18" t="s">
        <v>2575</v>
      </c>
      <c r="E2199" s="16">
        <v>93.0</v>
      </c>
    </row>
    <row r="2200">
      <c r="A2200" s="8" t="s">
        <v>3126</v>
      </c>
      <c r="B2200" s="8" t="s">
        <v>121</v>
      </c>
      <c r="C2200" s="8" t="s">
        <v>16</v>
      </c>
      <c r="D2200" s="18" t="s">
        <v>2562</v>
      </c>
      <c r="E2200" s="16">
        <v>68.0</v>
      </c>
    </row>
    <row r="2201">
      <c r="A2201" s="8" t="s">
        <v>180</v>
      </c>
      <c r="B2201" s="8" t="s">
        <v>181</v>
      </c>
      <c r="C2201" s="8" t="s">
        <v>24</v>
      </c>
      <c r="D2201" s="18" t="s">
        <v>2562</v>
      </c>
      <c r="E2201" s="16">
        <v>42.0</v>
      </c>
    </row>
    <row r="2202">
      <c r="A2202" s="8" t="s">
        <v>3499</v>
      </c>
      <c r="B2202" s="8" t="s">
        <v>129</v>
      </c>
      <c r="C2202" s="8" t="s">
        <v>65</v>
      </c>
      <c r="D2202" s="18" t="s">
        <v>2621</v>
      </c>
      <c r="E2202" s="16">
        <v>69.0</v>
      </c>
    </row>
    <row r="2203">
      <c r="A2203" s="8" t="s">
        <v>828</v>
      </c>
      <c r="B2203" s="8" t="s">
        <v>301</v>
      </c>
      <c r="C2203" s="8" t="s">
        <v>149</v>
      </c>
      <c r="D2203" s="18" t="s">
        <v>2584</v>
      </c>
      <c r="E2203" s="16">
        <v>70.0</v>
      </c>
    </row>
    <row r="2204">
      <c r="A2204" s="8" t="s">
        <v>1335</v>
      </c>
      <c r="B2204" s="8" t="s">
        <v>1118</v>
      </c>
      <c r="C2204" s="8" t="s">
        <v>16</v>
      </c>
      <c r="D2204" s="18" t="s">
        <v>2564</v>
      </c>
      <c r="E2204" s="16">
        <v>79.0</v>
      </c>
    </row>
    <row r="2205">
      <c r="A2205" s="8" t="s">
        <v>185</v>
      </c>
      <c r="B2205" s="18" t="s">
        <v>1054</v>
      </c>
      <c r="C2205" s="8" t="s">
        <v>149</v>
      </c>
      <c r="D2205" s="18" t="s">
        <v>2575</v>
      </c>
      <c r="E2205" s="16">
        <v>67.0</v>
      </c>
    </row>
    <row r="2206">
      <c r="A2206" s="8" t="s">
        <v>3127</v>
      </c>
      <c r="B2206" s="8" t="s">
        <v>3128</v>
      </c>
      <c r="C2206" s="8" t="s">
        <v>70</v>
      </c>
      <c r="D2206" s="18" t="s">
        <v>2183</v>
      </c>
      <c r="E2206" s="16">
        <v>76.0</v>
      </c>
    </row>
    <row r="2207">
      <c r="A2207" s="8" t="s">
        <v>3127</v>
      </c>
      <c r="B2207" s="8" t="s">
        <v>983</v>
      </c>
      <c r="C2207" s="8" t="s">
        <v>70</v>
      </c>
      <c r="D2207" s="18" t="s">
        <v>2575</v>
      </c>
      <c r="E2207" s="16">
        <v>81.0</v>
      </c>
    </row>
    <row r="2208">
      <c r="A2208" s="8" t="s">
        <v>1661</v>
      </c>
      <c r="B2208" s="8" t="s">
        <v>1662</v>
      </c>
      <c r="C2208" s="8" t="s">
        <v>65</v>
      </c>
      <c r="D2208" s="18" t="s">
        <v>2584</v>
      </c>
      <c r="E2208" s="16">
        <v>75.0</v>
      </c>
    </row>
    <row r="2209">
      <c r="A2209" s="8" t="s">
        <v>3129</v>
      </c>
      <c r="B2209" s="8" t="s">
        <v>1940</v>
      </c>
      <c r="C2209" s="8" t="s">
        <v>138</v>
      </c>
      <c r="D2209" s="18" t="s">
        <v>2593</v>
      </c>
      <c r="E2209" s="16">
        <v>72.0</v>
      </c>
    </row>
    <row r="2210">
      <c r="A2210" s="8" t="s">
        <v>1336</v>
      </c>
      <c r="B2210" s="8" t="s">
        <v>1172</v>
      </c>
      <c r="C2210" s="8" t="s">
        <v>46</v>
      </c>
      <c r="D2210" s="18" t="s">
        <v>2592</v>
      </c>
      <c r="E2210" s="16">
        <v>63.0</v>
      </c>
    </row>
    <row r="2211">
      <c r="A2211" s="8" t="s">
        <v>1337</v>
      </c>
      <c r="B2211" s="8" t="s">
        <v>726</v>
      </c>
      <c r="C2211" s="8" t="s">
        <v>132</v>
      </c>
      <c r="D2211" s="18" t="s">
        <v>2610</v>
      </c>
      <c r="E2211" s="16">
        <v>66.0</v>
      </c>
    </row>
    <row r="2212">
      <c r="A2212" s="8" t="s">
        <v>829</v>
      </c>
      <c r="B2212" s="8" t="s">
        <v>23</v>
      </c>
      <c r="C2212" s="8" t="s">
        <v>149</v>
      </c>
      <c r="D2212" s="18" t="s">
        <v>2589</v>
      </c>
      <c r="E2212" s="16">
        <v>68.0</v>
      </c>
    </row>
    <row r="2213">
      <c r="A2213" s="8" t="s">
        <v>3130</v>
      </c>
      <c r="B2213" s="8" t="s">
        <v>695</v>
      </c>
      <c r="C2213" s="8" t="s">
        <v>65</v>
      </c>
      <c r="D2213" s="18" t="s">
        <v>2605</v>
      </c>
      <c r="E2213" s="16">
        <v>75.0</v>
      </c>
    </row>
    <row r="2214">
      <c r="A2214" s="8" t="s">
        <v>1055</v>
      </c>
      <c r="B2214" s="8" t="s">
        <v>304</v>
      </c>
      <c r="C2214" s="8" t="s">
        <v>93</v>
      </c>
      <c r="D2214" s="18" t="s">
        <v>2560</v>
      </c>
      <c r="E2214" s="16">
        <v>71.0</v>
      </c>
    </row>
    <row r="2215">
      <c r="A2215" s="8" t="s">
        <v>1055</v>
      </c>
      <c r="B2215" s="18" t="s">
        <v>529</v>
      </c>
      <c r="C2215" s="8" t="s">
        <v>93</v>
      </c>
      <c r="D2215" s="18" t="s">
        <v>2183</v>
      </c>
      <c r="E2215" s="16">
        <v>63.0</v>
      </c>
    </row>
    <row r="2216">
      <c r="A2216" s="8" t="s">
        <v>1055</v>
      </c>
      <c r="B2216" s="8" t="s">
        <v>260</v>
      </c>
      <c r="C2216" s="8" t="s">
        <v>70</v>
      </c>
      <c r="D2216" s="18" t="s">
        <v>2600</v>
      </c>
      <c r="E2216" s="16">
        <v>81.0</v>
      </c>
    </row>
    <row r="2217">
      <c r="A2217" s="8" t="s">
        <v>1055</v>
      </c>
      <c r="B2217" s="8" t="s">
        <v>119</v>
      </c>
      <c r="C2217" s="8" t="s">
        <v>65</v>
      </c>
      <c r="D2217" s="18" t="s">
        <v>2605</v>
      </c>
      <c r="E2217" s="16">
        <v>72.0</v>
      </c>
    </row>
    <row r="2218">
      <c r="A2218" s="8" t="s">
        <v>1055</v>
      </c>
      <c r="B2218" s="8" t="s">
        <v>2007</v>
      </c>
      <c r="C2218" s="8" t="s">
        <v>93</v>
      </c>
      <c r="D2218" s="18" t="s">
        <v>2614</v>
      </c>
      <c r="E2218" s="16">
        <v>65.0</v>
      </c>
    </row>
    <row r="2219">
      <c r="A2219" s="8" t="s">
        <v>1055</v>
      </c>
      <c r="B2219" s="8" t="s">
        <v>2113</v>
      </c>
      <c r="C2219" s="8" t="s">
        <v>65</v>
      </c>
      <c r="D2219" s="18" t="s">
        <v>2560</v>
      </c>
      <c r="E2219" s="16">
        <v>63.0</v>
      </c>
    </row>
    <row r="2220">
      <c r="A2220" s="8" t="s">
        <v>1055</v>
      </c>
      <c r="B2220" s="8" t="s">
        <v>1209</v>
      </c>
      <c r="C2220" s="8" t="s">
        <v>65</v>
      </c>
      <c r="D2220" s="18" t="s">
        <v>2575</v>
      </c>
      <c r="E2220" s="16">
        <v>57.0</v>
      </c>
    </row>
    <row r="2221">
      <c r="A2221" s="8" t="s">
        <v>1055</v>
      </c>
      <c r="B2221" s="18" t="s">
        <v>2019</v>
      </c>
      <c r="C2221" s="8" t="s">
        <v>93</v>
      </c>
      <c r="D2221" s="18" t="s">
        <v>2587</v>
      </c>
      <c r="E2221" s="16">
        <v>78.0</v>
      </c>
    </row>
    <row r="2222">
      <c r="A2222" s="8" t="s">
        <v>1058</v>
      </c>
      <c r="B2222" s="8" t="s">
        <v>362</v>
      </c>
      <c r="C2222" s="8" t="s">
        <v>141</v>
      </c>
      <c r="D2222" s="18" t="s">
        <v>2605</v>
      </c>
      <c r="E2222" s="16">
        <v>86.0</v>
      </c>
    </row>
    <row r="2223">
      <c r="A2223" s="8" t="s">
        <v>617</v>
      </c>
      <c r="B2223" s="8" t="s">
        <v>558</v>
      </c>
      <c r="C2223" s="8" t="s">
        <v>80</v>
      </c>
      <c r="D2223" s="18" t="s">
        <v>2558</v>
      </c>
      <c r="E2223" s="16">
        <v>59.0</v>
      </c>
    </row>
    <row r="2224">
      <c r="A2224" s="8" t="s">
        <v>617</v>
      </c>
      <c r="B2224" s="8" t="s">
        <v>3131</v>
      </c>
      <c r="C2224" s="8" t="s">
        <v>65</v>
      </c>
      <c r="D2224" s="18" t="s">
        <v>2614</v>
      </c>
      <c r="E2224" s="16">
        <v>70.0</v>
      </c>
    </row>
    <row r="2225">
      <c r="A2225" s="8" t="s">
        <v>617</v>
      </c>
      <c r="B2225" s="8" t="s">
        <v>618</v>
      </c>
      <c r="C2225" s="8" t="s">
        <v>59</v>
      </c>
      <c r="D2225" s="18" t="s">
        <v>2554</v>
      </c>
      <c r="E2225" s="16">
        <v>74.0</v>
      </c>
    </row>
    <row r="2226">
      <c r="A2226" s="8" t="s">
        <v>3132</v>
      </c>
      <c r="B2226" s="8" t="s">
        <v>3133</v>
      </c>
      <c r="C2226" s="8" t="s">
        <v>70</v>
      </c>
      <c r="D2226" s="18" t="s">
        <v>2574</v>
      </c>
      <c r="E2226" s="16">
        <v>69.0</v>
      </c>
    </row>
    <row r="2227">
      <c r="A2227" s="8" t="s">
        <v>54</v>
      </c>
      <c r="B2227" s="8" t="s">
        <v>55</v>
      </c>
      <c r="C2227" s="8" t="s">
        <v>46</v>
      </c>
      <c r="D2227" s="18" t="s">
        <v>2593</v>
      </c>
      <c r="E2227" s="16">
        <v>89.0</v>
      </c>
    </row>
    <row r="2228">
      <c r="A2228" s="8" t="s">
        <v>1059</v>
      </c>
      <c r="B2228" s="8" t="s">
        <v>362</v>
      </c>
      <c r="C2228" s="8" t="s">
        <v>132</v>
      </c>
      <c r="D2228" s="18" t="s">
        <v>2593</v>
      </c>
      <c r="E2228" s="16">
        <v>69.0</v>
      </c>
    </row>
    <row r="2229">
      <c r="A2229" s="8" t="s">
        <v>1665</v>
      </c>
      <c r="B2229" s="8" t="s">
        <v>349</v>
      </c>
      <c r="C2229" s="8" t="s">
        <v>24</v>
      </c>
      <c r="D2229" s="18" t="s">
        <v>2554</v>
      </c>
      <c r="E2229" s="16">
        <v>67.0</v>
      </c>
    </row>
    <row r="2230">
      <c r="A2230" s="8" t="s">
        <v>332</v>
      </c>
      <c r="B2230" s="8" t="s">
        <v>333</v>
      </c>
      <c r="C2230" s="8" t="s">
        <v>75</v>
      </c>
      <c r="D2230" s="18" t="s">
        <v>2572</v>
      </c>
      <c r="E2230" s="16">
        <v>66.0</v>
      </c>
    </row>
    <row r="2231">
      <c r="A2231" s="8" t="s">
        <v>449</v>
      </c>
      <c r="B2231" s="8" t="s">
        <v>214</v>
      </c>
      <c r="C2231" s="8" t="s">
        <v>53</v>
      </c>
      <c r="D2231" s="18" t="s">
        <v>2614</v>
      </c>
      <c r="E2231" s="16">
        <v>73.0</v>
      </c>
    </row>
    <row r="2232">
      <c r="A2232" s="8" t="s">
        <v>830</v>
      </c>
      <c r="B2232" s="18" t="s">
        <v>159</v>
      </c>
      <c r="C2232" s="8" t="s">
        <v>192</v>
      </c>
      <c r="D2232" s="18" t="s">
        <v>2592</v>
      </c>
      <c r="E2232" s="16">
        <v>81.0</v>
      </c>
    </row>
    <row r="2233">
      <c r="A2233" s="8" t="s">
        <v>3134</v>
      </c>
      <c r="B2233" s="8" t="s">
        <v>121</v>
      </c>
      <c r="C2233" s="8" t="s">
        <v>70</v>
      </c>
      <c r="D2233" s="18" t="s">
        <v>2560</v>
      </c>
      <c r="E2233" s="16">
        <v>65.0</v>
      </c>
    </row>
    <row r="2234">
      <c r="A2234" s="8" t="s">
        <v>1061</v>
      </c>
      <c r="B2234" s="8" t="s">
        <v>33</v>
      </c>
      <c r="C2234" s="8" t="s">
        <v>38</v>
      </c>
      <c r="D2234" s="18" t="s">
        <v>2589</v>
      </c>
      <c r="E2234" s="16">
        <v>70.0</v>
      </c>
    </row>
    <row r="2235">
      <c r="A2235" s="8" t="s">
        <v>3135</v>
      </c>
      <c r="B2235" s="8" t="s">
        <v>137</v>
      </c>
      <c r="C2235" s="8" t="s">
        <v>186</v>
      </c>
      <c r="D2235" s="18" t="s">
        <v>2603</v>
      </c>
      <c r="E2235" s="16">
        <v>70.0</v>
      </c>
    </row>
    <row r="2236">
      <c r="A2236" s="8" t="s">
        <v>3136</v>
      </c>
      <c r="B2236" s="8" t="s">
        <v>1908</v>
      </c>
      <c r="C2236" s="8" t="s">
        <v>215</v>
      </c>
      <c r="D2236" s="18" t="s">
        <v>2560</v>
      </c>
      <c r="E2236" s="16">
        <v>79.0</v>
      </c>
    </row>
    <row r="2237">
      <c r="A2237" s="8" t="s">
        <v>78</v>
      </c>
      <c r="B2237" s="8" t="s">
        <v>277</v>
      </c>
      <c r="C2237" s="8" t="s">
        <v>70</v>
      </c>
      <c r="D2237" s="18" t="s">
        <v>2572</v>
      </c>
      <c r="E2237" s="16">
        <v>69.0</v>
      </c>
    </row>
    <row r="2238">
      <c r="A2238" s="8" t="s">
        <v>78</v>
      </c>
      <c r="B2238" s="8" t="s">
        <v>3137</v>
      </c>
      <c r="C2238" s="8" t="s">
        <v>53</v>
      </c>
      <c r="D2238" s="18" t="s">
        <v>2554</v>
      </c>
      <c r="E2238" s="16">
        <v>65.0</v>
      </c>
    </row>
    <row r="2239">
      <c r="A2239" s="8" t="s">
        <v>78</v>
      </c>
      <c r="B2239" s="8" t="s">
        <v>121</v>
      </c>
      <c r="C2239" s="8" t="s">
        <v>24</v>
      </c>
      <c r="D2239" s="18" t="s">
        <v>2567</v>
      </c>
      <c r="E2239" s="16">
        <v>71.0</v>
      </c>
    </row>
    <row r="2240">
      <c r="A2240" s="8" t="s">
        <v>78</v>
      </c>
      <c r="B2240" s="8" t="s">
        <v>121</v>
      </c>
      <c r="C2240" s="8" t="s">
        <v>122</v>
      </c>
      <c r="D2240" s="18" t="s">
        <v>2575</v>
      </c>
      <c r="E2240" s="16">
        <v>82.0</v>
      </c>
    </row>
    <row r="2241">
      <c r="A2241" s="8" t="s">
        <v>78</v>
      </c>
      <c r="B2241" s="8" t="s">
        <v>121</v>
      </c>
      <c r="C2241" s="8" t="s">
        <v>93</v>
      </c>
      <c r="D2241" s="18" t="s">
        <v>2589</v>
      </c>
      <c r="E2241" s="16">
        <v>69.0</v>
      </c>
    </row>
    <row r="2242">
      <c r="A2242" s="8" t="s">
        <v>78</v>
      </c>
      <c r="B2242" s="8" t="s">
        <v>117</v>
      </c>
      <c r="C2242" s="8" t="s">
        <v>65</v>
      </c>
      <c r="D2242" s="18" t="s">
        <v>2589</v>
      </c>
      <c r="E2242" s="16">
        <v>72.0</v>
      </c>
    </row>
    <row r="2243">
      <c r="A2243" s="8" t="s">
        <v>78</v>
      </c>
      <c r="B2243" s="8" t="s">
        <v>1060</v>
      </c>
      <c r="C2243" s="8" t="s">
        <v>70</v>
      </c>
      <c r="D2243" s="18" t="s">
        <v>2581</v>
      </c>
      <c r="E2243" s="16">
        <v>76.0</v>
      </c>
    </row>
    <row r="2244">
      <c r="A2244" s="8" t="s">
        <v>78</v>
      </c>
      <c r="B2244" s="8" t="s">
        <v>1338</v>
      </c>
      <c r="C2244" s="8" t="s">
        <v>149</v>
      </c>
      <c r="D2244" s="18" t="s">
        <v>2593</v>
      </c>
      <c r="E2244" s="16">
        <v>66.0</v>
      </c>
    </row>
    <row r="2245">
      <c r="A2245" s="8" t="s">
        <v>78</v>
      </c>
      <c r="B2245" s="8" t="s">
        <v>1057</v>
      </c>
      <c r="C2245" s="8" t="s">
        <v>149</v>
      </c>
      <c r="D2245" s="18" t="s">
        <v>2574</v>
      </c>
      <c r="E2245" s="16">
        <v>70.0</v>
      </c>
    </row>
    <row r="2246">
      <c r="A2246" s="8" t="s">
        <v>78</v>
      </c>
      <c r="B2246" s="8" t="s">
        <v>1339</v>
      </c>
      <c r="C2246" s="8" t="s">
        <v>122</v>
      </c>
      <c r="D2246" s="18" t="s">
        <v>2610</v>
      </c>
      <c r="E2246" s="16">
        <v>61.0</v>
      </c>
    </row>
    <row r="2247">
      <c r="A2247" s="8" t="s">
        <v>78</v>
      </c>
      <c r="B2247" s="8" t="s">
        <v>2021</v>
      </c>
      <c r="C2247" s="8" t="s">
        <v>70</v>
      </c>
      <c r="D2247" s="18" t="s">
        <v>2558</v>
      </c>
      <c r="E2247" s="16">
        <v>72.0</v>
      </c>
    </row>
    <row r="2248">
      <c r="A2248" s="8" t="s">
        <v>78</v>
      </c>
      <c r="B2248" s="8" t="s">
        <v>102</v>
      </c>
      <c r="C2248" s="8" t="s">
        <v>70</v>
      </c>
      <c r="D2248" s="18" t="s">
        <v>2585</v>
      </c>
      <c r="E2248" s="16">
        <v>72.0</v>
      </c>
    </row>
    <row r="2249">
      <c r="A2249" s="8" t="s">
        <v>78</v>
      </c>
      <c r="B2249" s="8" t="s">
        <v>842</v>
      </c>
      <c r="C2249" s="8" t="s">
        <v>70</v>
      </c>
      <c r="D2249" s="18" t="s">
        <v>2587</v>
      </c>
      <c r="E2249" s="16">
        <v>64.0</v>
      </c>
    </row>
    <row r="2250">
      <c r="A2250" s="8" t="s">
        <v>78</v>
      </c>
      <c r="B2250" s="8" t="s">
        <v>263</v>
      </c>
      <c r="C2250" s="8" t="s">
        <v>122</v>
      </c>
      <c r="D2250" s="18" t="s">
        <v>2566</v>
      </c>
      <c r="E2250" s="16">
        <v>60.0</v>
      </c>
    </row>
    <row r="2251">
      <c r="A2251" s="8" t="s">
        <v>78</v>
      </c>
      <c r="B2251" s="8" t="s">
        <v>3500</v>
      </c>
      <c r="C2251" s="8" t="s">
        <v>65</v>
      </c>
      <c r="D2251" s="18" t="s">
        <v>2603</v>
      </c>
      <c r="E2251" s="16">
        <v>63.0</v>
      </c>
    </row>
    <row r="2252">
      <c r="A2252" s="8" t="s">
        <v>78</v>
      </c>
      <c r="B2252" s="8" t="s">
        <v>3139</v>
      </c>
      <c r="C2252" s="8" t="s">
        <v>70</v>
      </c>
      <c r="D2252" s="18" t="s">
        <v>2589</v>
      </c>
      <c r="E2252" s="16">
        <v>73.0</v>
      </c>
    </row>
    <row r="2253">
      <c r="A2253" s="8" t="s">
        <v>78</v>
      </c>
      <c r="B2253" s="18" t="s">
        <v>831</v>
      </c>
      <c r="C2253" s="8" t="s">
        <v>93</v>
      </c>
      <c r="D2253" s="18" t="s">
        <v>2585</v>
      </c>
      <c r="E2253" s="16">
        <v>74.0</v>
      </c>
    </row>
    <row r="2254">
      <c r="A2254" s="8" t="s">
        <v>78</v>
      </c>
      <c r="B2254" s="8" t="s">
        <v>214</v>
      </c>
      <c r="C2254" s="8" t="s">
        <v>122</v>
      </c>
      <c r="D2254" s="18" t="s">
        <v>2587</v>
      </c>
      <c r="E2254" s="16">
        <v>87.0</v>
      </c>
    </row>
    <row r="2255">
      <c r="A2255" s="8" t="s">
        <v>78</v>
      </c>
      <c r="B2255" s="8" t="s">
        <v>1172</v>
      </c>
      <c r="C2255" s="8" t="s">
        <v>138</v>
      </c>
      <c r="D2255" s="18" t="s">
        <v>2560</v>
      </c>
      <c r="E2255" s="16">
        <v>85.0</v>
      </c>
    </row>
    <row r="2256">
      <c r="A2256" s="8" t="s">
        <v>78</v>
      </c>
      <c r="B2256" s="8" t="s">
        <v>247</v>
      </c>
      <c r="C2256" s="8" t="s">
        <v>80</v>
      </c>
      <c r="D2256" s="18" t="s">
        <v>2595</v>
      </c>
      <c r="E2256" s="16">
        <v>75.0</v>
      </c>
    </row>
    <row r="2257">
      <c r="A2257" s="8" t="s">
        <v>78</v>
      </c>
      <c r="B2257" s="8" t="s">
        <v>247</v>
      </c>
      <c r="C2257" s="8" t="s">
        <v>93</v>
      </c>
      <c r="D2257" s="18" t="s">
        <v>2560</v>
      </c>
      <c r="E2257" s="16">
        <v>74.0</v>
      </c>
    </row>
    <row r="2258">
      <c r="A2258" s="8" t="s">
        <v>78</v>
      </c>
      <c r="B2258" s="8" t="s">
        <v>2007</v>
      </c>
      <c r="C2258" s="8" t="s">
        <v>261</v>
      </c>
      <c r="D2258" s="18" t="s">
        <v>2584</v>
      </c>
      <c r="E2258" s="16">
        <v>68.0</v>
      </c>
    </row>
    <row r="2259">
      <c r="A2259" s="8" t="s">
        <v>78</v>
      </c>
      <c r="B2259" s="8" t="s">
        <v>1666</v>
      </c>
      <c r="C2259" s="8" t="s">
        <v>24</v>
      </c>
      <c r="D2259" s="18" t="s">
        <v>2575</v>
      </c>
      <c r="E2259" s="16">
        <v>76.0</v>
      </c>
    </row>
    <row r="2260">
      <c r="A2260" s="8" t="s">
        <v>78</v>
      </c>
      <c r="B2260" s="8" t="s">
        <v>183</v>
      </c>
      <c r="C2260" s="8" t="s">
        <v>65</v>
      </c>
      <c r="D2260" s="18" t="s">
        <v>2572</v>
      </c>
      <c r="E2260" s="16">
        <v>79.0</v>
      </c>
    </row>
    <row r="2261">
      <c r="A2261" s="8" t="s">
        <v>78</v>
      </c>
      <c r="B2261" s="8" t="s">
        <v>231</v>
      </c>
      <c r="C2261" s="8" t="s">
        <v>65</v>
      </c>
      <c r="D2261" s="18" t="s">
        <v>2598</v>
      </c>
      <c r="E2261" s="16">
        <v>70.0</v>
      </c>
    </row>
    <row r="2262">
      <c r="A2262" s="8" t="s">
        <v>78</v>
      </c>
      <c r="B2262" s="8" t="s">
        <v>231</v>
      </c>
      <c r="C2262" s="8" t="s">
        <v>138</v>
      </c>
      <c r="D2262" s="18" t="s">
        <v>2581</v>
      </c>
      <c r="E2262" s="16">
        <v>68.0</v>
      </c>
    </row>
    <row r="2263">
      <c r="A2263" s="8" t="s">
        <v>78</v>
      </c>
      <c r="B2263" s="18" t="s">
        <v>1341</v>
      </c>
      <c r="C2263" s="8" t="s">
        <v>93</v>
      </c>
      <c r="D2263" s="18" t="s">
        <v>2595</v>
      </c>
      <c r="E2263" s="16">
        <v>74.0</v>
      </c>
    </row>
    <row r="2264">
      <c r="A2264" s="8" t="s">
        <v>78</v>
      </c>
      <c r="B2264" s="8" t="s">
        <v>832</v>
      </c>
      <c r="C2264" s="8" t="s">
        <v>192</v>
      </c>
      <c r="D2264" s="18" t="s">
        <v>2610</v>
      </c>
      <c r="E2264" s="16">
        <v>80.0</v>
      </c>
    </row>
    <row r="2265">
      <c r="A2265" s="8" t="s">
        <v>78</v>
      </c>
      <c r="B2265" s="8" t="s">
        <v>450</v>
      </c>
      <c r="C2265" s="8" t="s">
        <v>122</v>
      </c>
      <c r="D2265" s="18" t="s">
        <v>2621</v>
      </c>
      <c r="E2265" s="16">
        <v>72.0</v>
      </c>
    </row>
    <row r="2266">
      <c r="A2266" s="8" t="s">
        <v>78</v>
      </c>
      <c r="B2266" s="8" t="s">
        <v>1101</v>
      </c>
      <c r="C2266" s="8" t="s">
        <v>93</v>
      </c>
      <c r="D2266" s="18" t="s">
        <v>2574</v>
      </c>
      <c r="E2266" s="16">
        <v>62.0</v>
      </c>
    </row>
    <row r="2267">
      <c r="A2267" s="8" t="s">
        <v>78</v>
      </c>
      <c r="B2267" s="8" t="s">
        <v>983</v>
      </c>
      <c r="C2267" s="8" t="s">
        <v>65</v>
      </c>
      <c r="D2267" s="18" t="s">
        <v>2614</v>
      </c>
      <c r="E2267" s="16">
        <v>80.0</v>
      </c>
    </row>
    <row r="2268">
      <c r="A2268" s="8" t="s">
        <v>78</v>
      </c>
      <c r="B2268" s="8" t="s">
        <v>1209</v>
      </c>
      <c r="C2268" s="8" t="s">
        <v>59</v>
      </c>
      <c r="D2268" s="18" t="s">
        <v>2575</v>
      </c>
      <c r="E2268" s="16">
        <v>71.0</v>
      </c>
    </row>
    <row r="2269">
      <c r="A2269" s="8" t="s">
        <v>78</v>
      </c>
      <c r="B2269" s="8" t="s">
        <v>334</v>
      </c>
      <c r="C2269" s="8" t="s">
        <v>46</v>
      </c>
      <c r="D2269" s="18" t="s">
        <v>2582</v>
      </c>
      <c r="E2269" s="16">
        <v>95.0</v>
      </c>
    </row>
    <row r="2270">
      <c r="A2270" s="8" t="s">
        <v>78</v>
      </c>
      <c r="B2270" s="8" t="s">
        <v>1028</v>
      </c>
      <c r="C2270" s="8" t="s">
        <v>93</v>
      </c>
      <c r="D2270" s="18" t="s">
        <v>2572</v>
      </c>
      <c r="E2270" s="16">
        <v>66.0</v>
      </c>
    </row>
    <row r="2271">
      <c r="A2271" s="8" t="s">
        <v>78</v>
      </c>
      <c r="B2271" s="8" t="s">
        <v>836</v>
      </c>
      <c r="C2271" s="8" t="s">
        <v>65</v>
      </c>
      <c r="D2271" s="18" t="s">
        <v>2572</v>
      </c>
      <c r="E2271" s="16">
        <v>80.0</v>
      </c>
    </row>
    <row r="2272">
      <c r="A2272" s="8" t="s">
        <v>78</v>
      </c>
      <c r="B2272" s="8" t="s">
        <v>619</v>
      </c>
      <c r="C2272" s="8" t="s">
        <v>186</v>
      </c>
      <c r="D2272" s="18" t="s">
        <v>2577</v>
      </c>
      <c r="E2272" s="16">
        <v>74.0</v>
      </c>
    </row>
    <row r="2273">
      <c r="A2273" s="8" t="s">
        <v>78</v>
      </c>
      <c r="B2273" s="8" t="s">
        <v>3501</v>
      </c>
      <c r="C2273" s="8" t="s">
        <v>65</v>
      </c>
      <c r="D2273" s="18" t="s">
        <v>2562</v>
      </c>
      <c r="E2273" s="16">
        <v>62.0</v>
      </c>
    </row>
    <row r="2274">
      <c r="A2274" s="8" t="s">
        <v>78</v>
      </c>
      <c r="B2274" s="8" t="s">
        <v>596</v>
      </c>
      <c r="C2274" s="8" t="s">
        <v>122</v>
      </c>
      <c r="D2274" s="18" t="s">
        <v>2589</v>
      </c>
      <c r="E2274" s="16">
        <v>60.0</v>
      </c>
    </row>
    <row r="2275">
      <c r="A2275" s="8" t="s">
        <v>1062</v>
      </c>
      <c r="B2275" s="8" t="s">
        <v>1063</v>
      </c>
      <c r="C2275" s="8" t="s">
        <v>186</v>
      </c>
      <c r="D2275" s="18" t="s">
        <v>2621</v>
      </c>
      <c r="E2275" s="16">
        <v>79.0</v>
      </c>
    </row>
    <row r="2276">
      <c r="A2276" s="8" t="s">
        <v>2024</v>
      </c>
      <c r="B2276" s="8" t="s">
        <v>263</v>
      </c>
      <c r="C2276" s="8" t="s">
        <v>215</v>
      </c>
      <c r="D2276" s="18" t="s">
        <v>2610</v>
      </c>
      <c r="E2276" s="16">
        <v>76.0</v>
      </c>
    </row>
    <row r="2277">
      <c r="A2277" s="8" t="s">
        <v>620</v>
      </c>
      <c r="B2277" s="8" t="s">
        <v>320</v>
      </c>
      <c r="C2277" s="8" t="s">
        <v>24</v>
      </c>
      <c r="D2277" s="18" t="s">
        <v>2603</v>
      </c>
      <c r="E2277" s="16">
        <v>76.0</v>
      </c>
    </row>
    <row r="2278">
      <c r="A2278" s="8" t="s">
        <v>451</v>
      </c>
      <c r="B2278" s="8" t="s">
        <v>1064</v>
      </c>
      <c r="C2278" s="8" t="s">
        <v>65</v>
      </c>
      <c r="D2278" s="18" t="s">
        <v>2183</v>
      </c>
      <c r="E2278" s="16">
        <v>74.0</v>
      </c>
    </row>
    <row r="2279">
      <c r="A2279" s="8" t="s">
        <v>451</v>
      </c>
      <c r="B2279" s="8" t="s">
        <v>121</v>
      </c>
      <c r="C2279" s="8" t="s">
        <v>70</v>
      </c>
      <c r="D2279" s="18" t="s">
        <v>2610</v>
      </c>
      <c r="E2279" s="16">
        <v>64.0</v>
      </c>
    </row>
    <row r="2280">
      <c r="A2280" s="8" t="s">
        <v>451</v>
      </c>
      <c r="B2280" s="18" t="s">
        <v>521</v>
      </c>
      <c r="C2280" s="8" t="s">
        <v>122</v>
      </c>
      <c r="D2280" s="18" t="s">
        <v>2605</v>
      </c>
      <c r="E2280" s="16">
        <v>71.0</v>
      </c>
    </row>
    <row r="2281">
      <c r="A2281" s="8" t="s">
        <v>451</v>
      </c>
      <c r="B2281" s="8" t="s">
        <v>1060</v>
      </c>
      <c r="C2281" s="8" t="s">
        <v>53</v>
      </c>
      <c r="D2281" s="18" t="s">
        <v>2614</v>
      </c>
      <c r="E2281" s="16">
        <v>73.0</v>
      </c>
    </row>
    <row r="2282">
      <c r="A2282" s="8" t="s">
        <v>451</v>
      </c>
      <c r="B2282" s="8" t="s">
        <v>129</v>
      </c>
      <c r="C2282" s="8" t="s">
        <v>53</v>
      </c>
      <c r="D2282" s="18" t="s">
        <v>2552</v>
      </c>
      <c r="E2282" s="16">
        <v>61.0</v>
      </c>
    </row>
    <row r="2283">
      <c r="A2283" s="8" t="s">
        <v>451</v>
      </c>
      <c r="B2283" s="8" t="s">
        <v>1200</v>
      </c>
      <c r="C2283" s="8" t="s">
        <v>93</v>
      </c>
      <c r="D2283" s="18" t="s">
        <v>2615</v>
      </c>
      <c r="E2283" s="16">
        <v>69.0</v>
      </c>
    </row>
    <row r="2284">
      <c r="A2284" s="8" t="s">
        <v>451</v>
      </c>
      <c r="B2284" s="8" t="s">
        <v>1668</v>
      </c>
      <c r="C2284" s="8" t="s">
        <v>192</v>
      </c>
      <c r="D2284" s="18" t="s">
        <v>2584</v>
      </c>
      <c r="E2284" s="16">
        <v>62.0</v>
      </c>
    </row>
    <row r="2285">
      <c r="A2285" s="8" t="s">
        <v>451</v>
      </c>
      <c r="B2285" s="8" t="s">
        <v>900</v>
      </c>
      <c r="C2285" s="8" t="s">
        <v>93</v>
      </c>
      <c r="D2285" s="18" t="s">
        <v>2567</v>
      </c>
      <c r="E2285" s="16">
        <v>74.0</v>
      </c>
    </row>
    <row r="2286">
      <c r="A2286" s="8" t="s">
        <v>451</v>
      </c>
      <c r="B2286" s="8" t="s">
        <v>1065</v>
      </c>
      <c r="C2286" s="8" t="s">
        <v>186</v>
      </c>
      <c r="D2286" s="18" t="s">
        <v>2183</v>
      </c>
      <c r="E2286" s="16">
        <v>79.0</v>
      </c>
    </row>
    <row r="2287">
      <c r="A2287" s="8" t="s">
        <v>451</v>
      </c>
      <c r="B2287" s="8" t="s">
        <v>409</v>
      </c>
      <c r="C2287" s="8" t="s">
        <v>16</v>
      </c>
      <c r="D2287" s="18" t="s">
        <v>2603</v>
      </c>
      <c r="E2287" s="16">
        <v>90.0</v>
      </c>
    </row>
    <row r="2288">
      <c r="A2288" s="8" t="s">
        <v>3141</v>
      </c>
      <c r="B2288" s="8" t="s">
        <v>2025</v>
      </c>
      <c r="C2288" s="8" t="s">
        <v>65</v>
      </c>
      <c r="D2288" s="18" t="s">
        <v>2592</v>
      </c>
      <c r="E2288" s="16">
        <v>62.0</v>
      </c>
    </row>
    <row r="2289">
      <c r="A2289" s="8" t="s">
        <v>3142</v>
      </c>
      <c r="B2289" s="8" t="s">
        <v>465</v>
      </c>
      <c r="C2289" s="8" t="s">
        <v>192</v>
      </c>
      <c r="D2289" s="18" t="s">
        <v>2554</v>
      </c>
      <c r="E2289" s="16">
        <v>82.0</v>
      </c>
    </row>
    <row r="2290">
      <c r="A2290" s="8" t="s">
        <v>452</v>
      </c>
      <c r="B2290" s="8" t="s">
        <v>260</v>
      </c>
      <c r="C2290" s="8" t="s">
        <v>24</v>
      </c>
      <c r="D2290" s="18" t="s">
        <v>2183</v>
      </c>
      <c r="E2290" s="16">
        <v>43.0</v>
      </c>
    </row>
    <row r="2291">
      <c r="A2291" s="8" t="s">
        <v>182</v>
      </c>
      <c r="B2291" s="8" t="s">
        <v>183</v>
      </c>
      <c r="C2291" s="8" t="s">
        <v>24</v>
      </c>
      <c r="D2291" s="18" t="s">
        <v>2572</v>
      </c>
      <c r="E2291" s="16">
        <v>47.0</v>
      </c>
    </row>
    <row r="2292">
      <c r="A2292" s="8" t="s">
        <v>3143</v>
      </c>
      <c r="B2292" s="8" t="s">
        <v>1604</v>
      </c>
      <c r="C2292" s="8" t="s">
        <v>38</v>
      </c>
      <c r="D2292" s="18" t="s">
        <v>2566</v>
      </c>
      <c r="E2292" s="16">
        <v>77.0</v>
      </c>
    </row>
    <row r="2293">
      <c r="A2293" s="8" t="s">
        <v>3502</v>
      </c>
      <c r="B2293" s="8" t="s">
        <v>1044</v>
      </c>
      <c r="C2293" s="8" t="s">
        <v>138</v>
      </c>
      <c r="D2293" s="18" t="s">
        <v>2620</v>
      </c>
      <c r="E2293" s="16">
        <v>68.0</v>
      </c>
    </row>
    <row r="2294">
      <c r="A2294" s="8" t="s">
        <v>1669</v>
      </c>
      <c r="B2294" s="8" t="s">
        <v>129</v>
      </c>
      <c r="C2294" s="8" t="s">
        <v>149</v>
      </c>
      <c r="D2294" s="18" t="s">
        <v>2610</v>
      </c>
      <c r="E2294" s="16">
        <v>72.0</v>
      </c>
    </row>
    <row r="2295">
      <c r="A2295" s="8" t="s">
        <v>1669</v>
      </c>
      <c r="B2295" s="8" t="s">
        <v>1670</v>
      </c>
      <c r="C2295" s="8" t="s">
        <v>16</v>
      </c>
      <c r="D2295" s="18" t="s">
        <v>2592</v>
      </c>
      <c r="E2295" s="16">
        <v>81.0</v>
      </c>
    </row>
    <row r="2296">
      <c r="A2296" s="8" t="s">
        <v>833</v>
      </c>
      <c r="B2296" s="8" t="s">
        <v>157</v>
      </c>
      <c r="C2296" s="8" t="s">
        <v>132</v>
      </c>
      <c r="D2296" s="18" t="s">
        <v>2560</v>
      </c>
      <c r="E2296" s="16">
        <v>78.0</v>
      </c>
    </row>
    <row r="2297">
      <c r="A2297" s="8" t="s">
        <v>3144</v>
      </c>
      <c r="B2297" s="8" t="s">
        <v>1672</v>
      </c>
      <c r="C2297" s="8" t="s">
        <v>215</v>
      </c>
      <c r="D2297" s="18" t="s">
        <v>2600</v>
      </c>
      <c r="E2297" s="16">
        <v>69.0</v>
      </c>
    </row>
    <row r="2298">
      <c r="A2298" s="8" t="s">
        <v>453</v>
      </c>
      <c r="B2298" s="8" t="s">
        <v>454</v>
      </c>
      <c r="C2298" s="8" t="s">
        <v>141</v>
      </c>
      <c r="D2298" s="18" t="s">
        <v>2564</v>
      </c>
      <c r="E2298" s="16">
        <v>73.0</v>
      </c>
    </row>
    <row r="2299">
      <c r="A2299" s="8" t="s">
        <v>2027</v>
      </c>
      <c r="B2299" s="8" t="s">
        <v>2028</v>
      </c>
      <c r="C2299" s="8" t="s">
        <v>93</v>
      </c>
      <c r="D2299" s="18" t="s">
        <v>2585</v>
      </c>
      <c r="E2299" s="16">
        <v>71.0</v>
      </c>
    </row>
    <row r="2300">
      <c r="A2300" s="8" t="s">
        <v>56</v>
      </c>
      <c r="B2300" s="8" t="s">
        <v>45</v>
      </c>
      <c r="C2300" s="8" t="s">
        <v>24</v>
      </c>
      <c r="D2300" s="18" t="s">
        <v>2614</v>
      </c>
      <c r="E2300" s="16">
        <v>90.0</v>
      </c>
    </row>
    <row r="2301">
      <c r="A2301" s="8" t="s">
        <v>621</v>
      </c>
      <c r="B2301" s="8" t="s">
        <v>354</v>
      </c>
      <c r="C2301" s="8" t="s">
        <v>46</v>
      </c>
      <c r="D2301" s="18" t="s">
        <v>2183</v>
      </c>
      <c r="E2301" s="16">
        <v>66.0</v>
      </c>
    </row>
    <row r="2302">
      <c r="A2302" s="8" t="s">
        <v>622</v>
      </c>
      <c r="B2302" s="8" t="s">
        <v>493</v>
      </c>
      <c r="C2302" s="8" t="s">
        <v>138</v>
      </c>
      <c r="D2302" s="18" t="s">
        <v>2620</v>
      </c>
      <c r="E2302" s="16">
        <v>81.0</v>
      </c>
    </row>
    <row r="2303">
      <c r="A2303" s="8" t="s">
        <v>3503</v>
      </c>
      <c r="B2303" s="8" t="s">
        <v>443</v>
      </c>
      <c r="C2303" s="8" t="s">
        <v>192</v>
      </c>
      <c r="D2303" s="18" t="s">
        <v>2582</v>
      </c>
      <c r="E2303" s="16">
        <v>66.0</v>
      </c>
    </row>
    <row r="2304">
      <c r="A2304" s="8" t="s">
        <v>1343</v>
      </c>
      <c r="B2304" s="8" t="s">
        <v>129</v>
      </c>
      <c r="C2304" s="8" t="s">
        <v>141</v>
      </c>
      <c r="D2304" s="18" t="s">
        <v>2587</v>
      </c>
      <c r="E2304" s="16">
        <v>73.0</v>
      </c>
    </row>
    <row r="2305">
      <c r="A2305" s="8" t="s">
        <v>1673</v>
      </c>
      <c r="B2305" s="8" t="s">
        <v>842</v>
      </c>
      <c r="C2305" s="8" t="s">
        <v>215</v>
      </c>
      <c r="D2305" s="18" t="s">
        <v>2584</v>
      </c>
      <c r="E2305" s="16">
        <v>63.0</v>
      </c>
    </row>
    <row r="2306">
      <c r="A2306" s="8" t="s">
        <v>3504</v>
      </c>
      <c r="B2306" s="8" t="s">
        <v>134</v>
      </c>
      <c r="C2306" s="8" t="s">
        <v>70</v>
      </c>
      <c r="D2306" s="18" t="s">
        <v>2575</v>
      </c>
      <c r="E2306" s="16">
        <v>82.0</v>
      </c>
    </row>
    <row r="2307">
      <c r="A2307" s="8" t="s">
        <v>233</v>
      </c>
      <c r="B2307" s="8" t="s">
        <v>234</v>
      </c>
      <c r="C2307" s="8" t="s">
        <v>122</v>
      </c>
      <c r="D2307" s="18" t="s">
        <v>2567</v>
      </c>
      <c r="E2307" s="16">
        <v>74.0</v>
      </c>
    </row>
    <row r="2308">
      <c r="A2308" s="8" t="s">
        <v>233</v>
      </c>
      <c r="B2308" s="8" t="s">
        <v>337</v>
      </c>
      <c r="C2308" s="8" t="s">
        <v>65</v>
      </c>
      <c r="D2308" s="18" t="s">
        <v>2593</v>
      </c>
      <c r="E2308" s="16">
        <v>78.0</v>
      </c>
    </row>
    <row r="2309">
      <c r="A2309" s="8" t="s">
        <v>233</v>
      </c>
      <c r="B2309" s="8" t="s">
        <v>596</v>
      </c>
      <c r="C2309" s="8" t="s">
        <v>192</v>
      </c>
      <c r="D2309" s="18" t="s">
        <v>2614</v>
      </c>
      <c r="E2309" s="16">
        <v>69.0</v>
      </c>
    </row>
    <row r="2310">
      <c r="A2310" s="8" t="s">
        <v>184</v>
      </c>
      <c r="B2310" s="8" t="s">
        <v>185</v>
      </c>
      <c r="C2310" s="8" t="s">
        <v>186</v>
      </c>
      <c r="D2310" s="18" t="s">
        <v>2621</v>
      </c>
      <c r="E2310" s="16">
        <v>82.0</v>
      </c>
    </row>
    <row r="2311">
      <c r="A2311" s="8" t="s">
        <v>2031</v>
      </c>
      <c r="B2311" s="8" t="s">
        <v>1057</v>
      </c>
      <c r="C2311" s="8" t="s">
        <v>93</v>
      </c>
      <c r="D2311" s="18" t="s">
        <v>2574</v>
      </c>
      <c r="E2311" s="16">
        <v>74.0</v>
      </c>
    </row>
    <row r="2312">
      <c r="A2312" s="8" t="s">
        <v>1674</v>
      </c>
      <c r="B2312" s="8" t="s">
        <v>275</v>
      </c>
      <c r="C2312" s="8" t="s">
        <v>138</v>
      </c>
      <c r="D2312" s="18" t="s">
        <v>2575</v>
      </c>
      <c r="E2312" s="16">
        <v>72.0</v>
      </c>
    </row>
    <row r="2313">
      <c r="A2313" s="8" t="s">
        <v>627</v>
      </c>
      <c r="B2313" s="8" t="s">
        <v>628</v>
      </c>
      <c r="C2313" s="8" t="s">
        <v>53</v>
      </c>
      <c r="D2313" s="18" t="s">
        <v>2554</v>
      </c>
      <c r="E2313" s="16">
        <v>75.0</v>
      </c>
    </row>
    <row r="2314">
      <c r="A2314" s="8" t="s">
        <v>3505</v>
      </c>
      <c r="B2314" s="8" t="s">
        <v>3506</v>
      </c>
      <c r="C2314" s="8" t="s">
        <v>122</v>
      </c>
      <c r="D2314" s="18" t="s">
        <v>2587</v>
      </c>
      <c r="E2314" s="16">
        <v>70.0</v>
      </c>
    </row>
    <row r="2315">
      <c r="A2315" s="8" t="s">
        <v>623</v>
      </c>
      <c r="B2315" s="8" t="s">
        <v>624</v>
      </c>
      <c r="C2315" s="8" t="s">
        <v>93</v>
      </c>
      <c r="D2315" s="18" t="s">
        <v>2598</v>
      </c>
      <c r="E2315" s="16">
        <v>71.0</v>
      </c>
    </row>
    <row r="2316">
      <c r="A2316" s="8" t="s">
        <v>455</v>
      </c>
      <c r="B2316" s="8" t="s">
        <v>724</v>
      </c>
      <c r="C2316" s="8" t="s">
        <v>122</v>
      </c>
      <c r="D2316" s="18" t="s">
        <v>2564</v>
      </c>
      <c r="E2316" s="16">
        <v>70.0</v>
      </c>
    </row>
    <row r="2317">
      <c r="A2317" s="8" t="s">
        <v>455</v>
      </c>
      <c r="B2317" s="8" t="s">
        <v>260</v>
      </c>
      <c r="C2317" s="8" t="s">
        <v>65</v>
      </c>
      <c r="D2317" s="18" t="s">
        <v>2615</v>
      </c>
      <c r="E2317" s="16">
        <v>64.0</v>
      </c>
    </row>
    <row r="2318">
      <c r="A2318" s="8" t="s">
        <v>455</v>
      </c>
      <c r="B2318" s="8" t="s">
        <v>625</v>
      </c>
      <c r="C2318" s="8" t="s">
        <v>65</v>
      </c>
      <c r="D2318" s="18" t="s">
        <v>2552</v>
      </c>
      <c r="E2318" s="16">
        <v>73.0</v>
      </c>
    </row>
    <row r="2319">
      <c r="A2319" s="8" t="s">
        <v>455</v>
      </c>
      <c r="B2319" s="8" t="s">
        <v>961</v>
      </c>
      <c r="C2319" s="8" t="s">
        <v>65</v>
      </c>
      <c r="D2319" s="18" t="s">
        <v>2605</v>
      </c>
      <c r="E2319" s="16">
        <v>77.0</v>
      </c>
    </row>
    <row r="2320">
      <c r="A2320" s="8" t="s">
        <v>455</v>
      </c>
      <c r="B2320" s="18" t="s">
        <v>456</v>
      </c>
      <c r="C2320" s="8" t="s">
        <v>59</v>
      </c>
      <c r="D2320" s="18" t="s">
        <v>2603</v>
      </c>
      <c r="E2320" s="16">
        <v>87.0</v>
      </c>
    </row>
    <row r="2321">
      <c r="A2321" s="8" t="s">
        <v>455</v>
      </c>
      <c r="B2321" s="8" t="s">
        <v>3145</v>
      </c>
      <c r="C2321" s="8" t="s">
        <v>93</v>
      </c>
      <c r="D2321" s="18" t="s">
        <v>2587</v>
      </c>
      <c r="E2321" s="16">
        <v>75.0</v>
      </c>
    </row>
    <row r="2322">
      <c r="A2322" s="8" t="s">
        <v>3147</v>
      </c>
      <c r="B2322" s="8" t="s">
        <v>3148</v>
      </c>
      <c r="C2322" s="8" t="s">
        <v>186</v>
      </c>
      <c r="D2322" s="18" t="s">
        <v>2589</v>
      </c>
      <c r="E2322" s="16">
        <v>69.0</v>
      </c>
    </row>
    <row r="2323">
      <c r="A2323" s="8" t="s">
        <v>834</v>
      </c>
      <c r="B2323" s="8" t="s">
        <v>721</v>
      </c>
      <c r="C2323" s="8" t="s">
        <v>138</v>
      </c>
      <c r="D2323" s="18" t="s">
        <v>2566</v>
      </c>
      <c r="E2323" s="16">
        <v>65.0</v>
      </c>
    </row>
    <row r="2324">
      <c r="A2324" s="8" t="s">
        <v>834</v>
      </c>
      <c r="B2324" s="8" t="s">
        <v>1295</v>
      </c>
      <c r="C2324" s="8" t="s">
        <v>65</v>
      </c>
      <c r="D2324" s="18" t="s">
        <v>2584</v>
      </c>
      <c r="E2324" s="16">
        <v>57.0</v>
      </c>
    </row>
    <row r="2325">
      <c r="A2325" s="8" t="s">
        <v>3149</v>
      </c>
      <c r="B2325" s="8" t="s">
        <v>1192</v>
      </c>
      <c r="C2325" s="8" t="s">
        <v>65</v>
      </c>
      <c r="D2325" s="18" t="s">
        <v>2558</v>
      </c>
      <c r="E2325" s="16">
        <v>66.0</v>
      </c>
    </row>
    <row r="2326">
      <c r="A2326" s="8" t="s">
        <v>130</v>
      </c>
      <c r="B2326" s="8" t="s">
        <v>131</v>
      </c>
      <c r="C2326" s="8" t="s">
        <v>132</v>
      </c>
      <c r="D2326" s="18" t="s">
        <v>2575</v>
      </c>
      <c r="E2326" s="16">
        <v>96.0</v>
      </c>
    </row>
    <row r="2327">
      <c r="A2327" s="8" t="s">
        <v>3507</v>
      </c>
      <c r="B2327" s="8" t="s">
        <v>506</v>
      </c>
      <c r="C2327" s="8" t="s">
        <v>75</v>
      </c>
      <c r="D2327" s="18" t="s">
        <v>2574</v>
      </c>
      <c r="E2327" s="16">
        <v>69.0</v>
      </c>
    </row>
    <row r="2328">
      <c r="A2328" s="8" t="s">
        <v>1346</v>
      </c>
      <c r="B2328" s="8" t="s">
        <v>1347</v>
      </c>
      <c r="C2328" s="8" t="s">
        <v>138</v>
      </c>
      <c r="D2328" s="18" t="s">
        <v>2587</v>
      </c>
      <c r="E2328" s="16">
        <v>63.0</v>
      </c>
    </row>
    <row r="2329">
      <c r="A2329" s="8" t="s">
        <v>3508</v>
      </c>
      <c r="B2329" s="18" t="s">
        <v>491</v>
      </c>
      <c r="C2329" s="8" t="s">
        <v>16</v>
      </c>
      <c r="D2329" s="18" t="s">
        <v>2587</v>
      </c>
      <c r="E2329" s="16">
        <v>67.0</v>
      </c>
    </row>
    <row r="2330">
      <c r="A2330" s="8" t="s">
        <v>1676</v>
      </c>
      <c r="B2330" s="18" t="s">
        <v>491</v>
      </c>
      <c r="C2330" s="8" t="s">
        <v>70</v>
      </c>
      <c r="D2330" s="18" t="s">
        <v>2584</v>
      </c>
      <c r="E2330" s="16">
        <v>79.0</v>
      </c>
    </row>
    <row r="2331">
      <c r="A2331" s="8" t="s">
        <v>1675</v>
      </c>
      <c r="B2331" s="8" t="s">
        <v>1063</v>
      </c>
      <c r="C2331" s="8" t="s">
        <v>46</v>
      </c>
      <c r="D2331" s="18" t="s">
        <v>2581</v>
      </c>
      <c r="E2331" s="16">
        <v>59.0</v>
      </c>
    </row>
    <row r="2332">
      <c r="A2332" s="8" t="s">
        <v>1675</v>
      </c>
      <c r="B2332" s="8" t="s">
        <v>2022</v>
      </c>
      <c r="C2332" s="8" t="s">
        <v>261</v>
      </c>
      <c r="D2332" s="18" t="s">
        <v>2574</v>
      </c>
      <c r="E2332" s="16">
        <v>74.0</v>
      </c>
    </row>
    <row r="2333">
      <c r="A2333" s="8" t="s">
        <v>1675</v>
      </c>
      <c r="B2333" s="8" t="s">
        <v>3150</v>
      </c>
      <c r="C2333" s="8" t="s">
        <v>93</v>
      </c>
      <c r="D2333" s="18" t="s">
        <v>2582</v>
      </c>
      <c r="E2333" s="16">
        <v>62.0</v>
      </c>
    </row>
    <row r="2334">
      <c r="A2334" s="8" t="s">
        <v>1675</v>
      </c>
      <c r="B2334" s="8" t="s">
        <v>41</v>
      </c>
      <c r="C2334" s="8" t="s">
        <v>149</v>
      </c>
      <c r="D2334" s="18" t="s">
        <v>2581</v>
      </c>
      <c r="E2334" s="16">
        <v>70.0</v>
      </c>
    </row>
    <row r="2335">
      <c r="A2335" s="8" t="s">
        <v>1675</v>
      </c>
      <c r="B2335" s="8" t="s">
        <v>465</v>
      </c>
      <c r="C2335" s="8" t="s">
        <v>93</v>
      </c>
      <c r="D2335" s="18" t="s">
        <v>2575</v>
      </c>
      <c r="E2335" s="16">
        <v>80.0</v>
      </c>
    </row>
    <row r="2336">
      <c r="A2336" s="8" t="s">
        <v>1675</v>
      </c>
      <c r="B2336" s="8" t="s">
        <v>1317</v>
      </c>
      <c r="C2336" s="8" t="s">
        <v>59</v>
      </c>
      <c r="D2336" s="18" t="s">
        <v>2605</v>
      </c>
      <c r="E2336" s="16">
        <v>79.0</v>
      </c>
    </row>
    <row r="2337">
      <c r="A2337" s="8" t="s">
        <v>3509</v>
      </c>
      <c r="B2337" s="8" t="s">
        <v>722</v>
      </c>
      <c r="C2337" s="8" t="s">
        <v>65</v>
      </c>
      <c r="D2337" s="18" t="s">
        <v>2556</v>
      </c>
      <c r="E2337" s="16">
        <v>60.0</v>
      </c>
    </row>
    <row r="2338">
      <c r="A2338" s="8" t="s">
        <v>626</v>
      </c>
      <c r="B2338" s="8" t="s">
        <v>119</v>
      </c>
      <c r="C2338" s="8" t="s">
        <v>132</v>
      </c>
      <c r="D2338" s="18" t="s">
        <v>2615</v>
      </c>
      <c r="E2338" s="16">
        <v>88.0</v>
      </c>
    </row>
    <row r="2339">
      <c r="A2339" s="8" t="s">
        <v>1348</v>
      </c>
      <c r="B2339" s="8" t="s">
        <v>480</v>
      </c>
      <c r="C2339" s="8" t="s">
        <v>70</v>
      </c>
      <c r="D2339" s="18" t="s">
        <v>2554</v>
      </c>
      <c r="E2339" s="16">
        <v>74.0</v>
      </c>
    </row>
    <row r="2340">
      <c r="A2340" s="8" t="s">
        <v>1067</v>
      </c>
      <c r="B2340" s="8" t="s">
        <v>212</v>
      </c>
      <c r="C2340" s="8" t="s">
        <v>215</v>
      </c>
      <c r="D2340" s="18" t="s">
        <v>2554</v>
      </c>
      <c r="E2340" s="16">
        <v>69.0</v>
      </c>
    </row>
    <row r="2341">
      <c r="A2341" s="8" t="s">
        <v>3151</v>
      </c>
      <c r="B2341" s="8" t="s">
        <v>69</v>
      </c>
      <c r="C2341" s="8" t="s">
        <v>53</v>
      </c>
      <c r="D2341" s="18" t="s">
        <v>2183</v>
      </c>
      <c r="E2341" s="16">
        <v>69.0</v>
      </c>
    </row>
    <row r="2342">
      <c r="A2342" s="8" t="s">
        <v>335</v>
      </c>
      <c r="B2342" s="8" t="s">
        <v>124</v>
      </c>
      <c r="C2342" s="8" t="s">
        <v>12</v>
      </c>
      <c r="D2342" s="18" t="s">
        <v>2593</v>
      </c>
      <c r="E2342" s="16">
        <v>79.0</v>
      </c>
    </row>
    <row r="2343">
      <c r="A2343" s="8" t="s">
        <v>3510</v>
      </c>
      <c r="B2343" s="8" t="s">
        <v>822</v>
      </c>
      <c r="C2343" s="8" t="s">
        <v>141</v>
      </c>
      <c r="D2343" s="18" t="s">
        <v>2585</v>
      </c>
      <c r="E2343" s="16">
        <v>82.0</v>
      </c>
    </row>
    <row r="2344">
      <c r="A2344" s="8"/>
      <c r="B2344" s="8"/>
      <c r="C2344" s="8"/>
      <c r="D2344" s="8"/>
      <c r="E2344" s="16"/>
    </row>
    <row r="2345">
      <c r="E2345" s="23"/>
    </row>
    <row r="2346">
      <c r="E2346" s="23"/>
    </row>
    <row r="2347">
      <c r="E2347" s="23"/>
    </row>
    <row r="2348">
      <c r="E2348" s="23"/>
    </row>
    <row r="2349">
      <c r="E2349" s="23"/>
    </row>
    <row r="2350">
      <c r="E2350" s="23"/>
    </row>
    <row r="2351">
      <c r="E2351" s="23"/>
    </row>
    <row r="2352">
      <c r="E2352" s="23"/>
    </row>
    <row r="2353">
      <c r="E2353" s="23"/>
    </row>
    <row r="2354">
      <c r="E2354" s="23"/>
    </row>
    <row r="2355">
      <c r="E2355" s="23"/>
    </row>
    <row r="2356">
      <c r="E2356" s="23"/>
    </row>
    <row r="2357">
      <c r="E2357" s="23"/>
    </row>
    <row r="2358">
      <c r="E2358" s="23"/>
    </row>
    <row r="2359">
      <c r="E2359" s="23"/>
    </row>
    <row r="2360">
      <c r="E2360" s="23"/>
    </row>
    <row r="2361">
      <c r="E2361" s="23"/>
    </row>
    <row r="2362">
      <c r="E2362" s="23"/>
    </row>
    <row r="2363">
      <c r="E2363" s="23"/>
    </row>
    <row r="2364">
      <c r="E2364" s="23"/>
    </row>
    <row r="2365">
      <c r="E2365" s="23"/>
    </row>
    <row r="2366">
      <c r="E2366" s="23"/>
    </row>
    <row r="2367">
      <c r="E2367" s="23"/>
    </row>
    <row r="2368">
      <c r="E2368" s="23"/>
    </row>
    <row r="2369">
      <c r="E2369" s="23"/>
    </row>
    <row r="2370">
      <c r="E2370" s="23"/>
    </row>
    <row r="2371">
      <c r="E2371" s="23"/>
    </row>
    <row r="2372">
      <c r="E2372" s="23"/>
    </row>
    <row r="2373">
      <c r="E2373" s="23"/>
    </row>
    <row r="2374">
      <c r="E2374" s="23"/>
    </row>
    <row r="2375">
      <c r="E2375" s="23"/>
    </row>
    <row r="2376">
      <c r="E2376" s="23"/>
    </row>
    <row r="2377">
      <c r="E2377" s="23"/>
    </row>
    <row r="2378">
      <c r="E2378" s="23"/>
    </row>
    <row r="2379">
      <c r="E2379" s="23"/>
    </row>
    <row r="2380">
      <c r="E2380" s="23"/>
    </row>
    <row r="2381">
      <c r="E2381" s="23"/>
    </row>
    <row r="2382">
      <c r="E2382" s="23"/>
    </row>
    <row r="2383">
      <c r="E2383" s="23"/>
    </row>
    <row r="2384">
      <c r="E2384" s="23"/>
    </row>
    <row r="2385">
      <c r="E2385" s="23"/>
    </row>
    <row r="2386">
      <c r="E2386" s="23"/>
    </row>
    <row r="2387">
      <c r="E2387" s="23"/>
    </row>
    <row r="2388">
      <c r="E2388" s="23"/>
    </row>
    <row r="2389">
      <c r="E2389" s="23"/>
    </row>
    <row r="2390">
      <c r="E2390" s="23"/>
    </row>
    <row r="2391">
      <c r="E2391" s="23"/>
    </row>
    <row r="2392">
      <c r="E2392" s="23"/>
    </row>
    <row r="2393">
      <c r="E2393" s="23"/>
    </row>
    <row r="2394">
      <c r="E2394" s="23"/>
    </row>
    <row r="2395">
      <c r="E2395" s="23"/>
    </row>
    <row r="2396">
      <c r="E2396" s="23"/>
    </row>
    <row r="2397">
      <c r="E2397" s="23"/>
    </row>
    <row r="2398">
      <c r="E2398" s="23"/>
    </row>
    <row r="2399">
      <c r="E2399" s="23"/>
    </row>
    <row r="2400">
      <c r="E2400" s="23"/>
    </row>
    <row r="2401">
      <c r="E2401" s="23"/>
    </row>
    <row r="2402">
      <c r="E2402" s="23"/>
    </row>
    <row r="2403">
      <c r="E2403" s="23"/>
    </row>
    <row r="2404">
      <c r="E2404" s="23"/>
    </row>
    <row r="2405">
      <c r="E2405" s="23"/>
    </row>
    <row r="2406">
      <c r="E2406" s="23"/>
    </row>
    <row r="2407">
      <c r="E2407" s="23"/>
    </row>
    <row r="2408">
      <c r="E2408" s="23"/>
    </row>
    <row r="2409">
      <c r="E2409" s="23"/>
    </row>
    <row r="2410">
      <c r="E2410" s="23"/>
    </row>
    <row r="2411">
      <c r="E2411" s="23"/>
    </row>
    <row r="2412">
      <c r="E2412" s="23"/>
    </row>
    <row r="2413">
      <c r="E2413" s="23"/>
    </row>
    <row r="2414">
      <c r="E2414" s="23"/>
    </row>
    <row r="2415">
      <c r="E2415" s="23"/>
    </row>
    <row r="2416">
      <c r="E2416" s="23"/>
    </row>
    <row r="2417">
      <c r="E2417" s="23"/>
    </row>
    <row r="2418">
      <c r="E2418" s="23"/>
    </row>
    <row r="2419">
      <c r="E2419" s="23"/>
    </row>
    <row r="2420">
      <c r="E2420" s="23"/>
    </row>
    <row r="2421">
      <c r="E2421" s="23"/>
    </row>
    <row r="2422">
      <c r="E2422" s="23"/>
    </row>
    <row r="2423">
      <c r="E2423" s="23"/>
    </row>
    <row r="2424">
      <c r="E2424" s="23"/>
    </row>
    <row r="2425">
      <c r="E2425" s="23"/>
    </row>
    <row r="2426">
      <c r="E2426" s="23"/>
    </row>
    <row r="2427">
      <c r="E2427" s="23"/>
    </row>
    <row r="2428">
      <c r="E2428" s="23"/>
    </row>
    <row r="2429">
      <c r="E2429" s="23"/>
    </row>
    <row r="2430">
      <c r="E2430" s="23"/>
    </row>
    <row r="2431">
      <c r="E2431" s="23"/>
    </row>
    <row r="2432">
      <c r="E2432" s="23"/>
    </row>
    <row r="2433">
      <c r="E2433" s="23"/>
    </row>
    <row r="2434">
      <c r="E2434" s="23"/>
    </row>
    <row r="2435">
      <c r="E2435" s="23"/>
    </row>
    <row r="2436">
      <c r="E2436" s="23"/>
    </row>
    <row r="2437">
      <c r="E2437" s="23"/>
    </row>
    <row r="2438">
      <c r="E2438" s="23"/>
    </row>
    <row r="2439">
      <c r="E2439" s="23"/>
    </row>
    <row r="2440">
      <c r="E2440" s="23"/>
    </row>
    <row r="2441">
      <c r="E2441" s="23"/>
    </row>
    <row r="2442">
      <c r="E2442" s="23"/>
    </row>
    <row r="2443">
      <c r="E2443" s="23"/>
    </row>
    <row r="2444">
      <c r="E2444" s="23"/>
    </row>
    <row r="2445">
      <c r="E2445" s="23"/>
    </row>
    <row r="2446">
      <c r="E2446" s="23"/>
    </row>
    <row r="2447">
      <c r="E2447" s="23"/>
    </row>
    <row r="2448">
      <c r="E2448" s="23"/>
    </row>
    <row r="2449">
      <c r="E2449" s="23"/>
    </row>
    <row r="2450">
      <c r="E2450" s="23"/>
    </row>
    <row r="2451">
      <c r="E2451" s="23"/>
    </row>
    <row r="2452">
      <c r="E2452" s="23"/>
    </row>
    <row r="2453">
      <c r="E2453" s="23"/>
    </row>
    <row r="2454">
      <c r="E2454" s="23"/>
    </row>
    <row r="2455">
      <c r="E2455" s="23"/>
    </row>
    <row r="2456">
      <c r="E2456" s="23"/>
    </row>
    <row r="2457">
      <c r="E2457" s="23"/>
    </row>
    <row r="2458">
      <c r="E2458" s="23"/>
    </row>
    <row r="2459">
      <c r="E2459" s="23"/>
    </row>
    <row r="2460">
      <c r="E2460" s="23"/>
    </row>
    <row r="2461">
      <c r="E2461" s="23"/>
    </row>
    <row r="2462">
      <c r="E2462" s="23"/>
    </row>
    <row r="2463">
      <c r="E2463" s="23"/>
    </row>
    <row r="2464">
      <c r="E2464" s="23"/>
    </row>
    <row r="2465">
      <c r="E2465" s="23"/>
    </row>
    <row r="2466">
      <c r="E2466" s="23"/>
    </row>
    <row r="2467">
      <c r="E2467" s="23"/>
    </row>
    <row r="2468">
      <c r="E2468" s="23"/>
    </row>
    <row r="2469">
      <c r="E2469" s="23"/>
    </row>
    <row r="2470">
      <c r="E2470" s="23"/>
    </row>
    <row r="2471">
      <c r="E2471" s="23"/>
    </row>
    <row r="2472">
      <c r="E2472" s="23"/>
    </row>
    <row r="2473">
      <c r="E2473" s="23"/>
    </row>
    <row r="2474">
      <c r="E2474" s="23"/>
    </row>
    <row r="2475">
      <c r="E2475" s="23"/>
    </row>
    <row r="2476">
      <c r="E2476" s="23"/>
    </row>
    <row r="2477">
      <c r="E2477" s="23"/>
    </row>
    <row r="2478">
      <c r="E2478" s="23"/>
    </row>
    <row r="2479">
      <c r="E2479" s="23"/>
    </row>
    <row r="2480">
      <c r="E2480" s="23"/>
    </row>
    <row r="2481">
      <c r="E2481" s="23"/>
    </row>
    <row r="2482">
      <c r="E2482" s="23"/>
    </row>
    <row r="2483">
      <c r="E2483" s="23"/>
    </row>
    <row r="2484">
      <c r="E2484" s="23"/>
    </row>
    <row r="2485">
      <c r="E2485" s="23"/>
    </row>
    <row r="2486">
      <c r="E2486" s="23"/>
    </row>
    <row r="2487">
      <c r="E2487" s="23"/>
    </row>
    <row r="2488">
      <c r="E2488" s="23"/>
    </row>
    <row r="2489">
      <c r="E2489" s="23"/>
    </row>
    <row r="2490">
      <c r="E2490" s="23"/>
    </row>
    <row r="2491">
      <c r="E2491" s="23"/>
    </row>
    <row r="2492">
      <c r="E2492" s="23"/>
    </row>
    <row r="2493">
      <c r="E2493" s="23"/>
    </row>
    <row r="2494">
      <c r="E2494" s="23"/>
    </row>
    <row r="2495">
      <c r="E2495" s="23"/>
    </row>
    <row r="2496">
      <c r="E2496" s="23"/>
    </row>
    <row r="2497">
      <c r="E2497" s="23"/>
    </row>
    <row r="2498">
      <c r="E2498" s="23"/>
    </row>
    <row r="2499">
      <c r="E2499" s="23"/>
    </row>
    <row r="2500">
      <c r="E2500" s="23"/>
    </row>
    <row r="2501">
      <c r="E2501" s="23"/>
    </row>
    <row r="2502">
      <c r="E2502" s="23"/>
    </row>
    <row r="2503">
      <c r="E2503" s="23"/>
    </row>
    <row r="2504">
      <c r="E2504" s="23"/>
    </row>
    <row r="2505">
      <c r="E2505" s="23"/>
    </row>
    <row r="2506">
      <c r="E2506" s="23"/>
    </row>
    <row r="2507">
      <c r="E2507" s="23"/>
    </row>
    <row r="2508">
      <c r="E2508" s="23"/>
    </row>
    <row r="2509">
      <c r="E2509" s="23"/>
    </row>
    <row r="2510">
      <c r="E2510" s="23"/>
    </row>
    <row r="2511">
      <c r="E2511" s="23"/>
    </row>
    <row r="2512">
      <c r="E2512" s="23"/>
    </row>
    <row r="2513">
      <c r="E2513" s="23"/>
    </row>
    <row r="2514">
      <c r="E2514" s="23"/>
    </row>
    <row r="2515">
      <c r="E2515" s="23"/>
    </row>
    <row r="2516">
      <c r="E2516" s="23"/>
    </row>
    <row r="2517">
      <c r="E2517" s="23"/>
    </row>
    <row r="2518">
      <c r="E2518" s="23"/>
    </row>
    <row r="2519">
      <c r="E2519" s="23"/>
    </row>
    <row r="2520">
      <c r="E2520" s="23"/>
    </row>
    <row r="2521">
      <c r="E2521" s="23"/>
    </row>
    <row r="2522">
      <c r="E2522" s="23"/>
    </row>
    <row r="2523">
      <c r="E2523" s="23"/>
    </row>
    <row r="2524">
      <c r="E2524" s="23"/>
    </row>
    <row r="2525">
      <c r="E2525" s="23"/>
    </row>
    <row r="2526">
      <c r="E2526" s="23"/>
    </row>
    <row r="2527">
      <c r="E2527" s="23"/>
    </row>
    <row r="2528">
      <c r="E2528" s="23"/>
    </row>
    <row r="2529">
      <c r="E2529" s="23"/>
    </row>
    <row r="2530">
      <c r="E2530" s="23"/>
    </row>
    <row r="2531">
      <c r="E2531" s="23"/>
    </row>
    <row r="2532">
      <c r="E2532" s="23"/>
    </row>
    <row r="2533">
      <c r="E2533" s="23"/>
    </row>
    <row r="2534">
      <c r="E2534" s="23"/>
    </row>
    <row r="2535">
      <c r="E2535" s="23"/>
    </row>
    <row r="2536">
      <c r="E2536" s="23"/>
    </row>
    <row r="2537">
      <c r="E2537" s="23"/>
    </row>
    <row r="2538">
      <c r="E2538" s="23"/>
    </row>
    <row r="2539">
      <c r="E2539" s="23"/>
    </row>
    <row r="2540">
      <c r="E2540" s="23"/>
    </row>
    <row r="2541">
      <c r="E2541" s="23"/>
    </row>
    <row r="2542">
      <c r="E2542" s="23"/>
    </row>
    <row r="2543">
      <c r="E2543" s="23"/>
    </row>
    <row r="2544">
      <c r="E2544" s="23"/>
    </row>
    <row r="2545">
      <c r="E2545" s="23"/>
    </row>
    <row r="2546">
      <c r="E2546" s="23"/>
    </row>
    <row r="2547">
      <c r="E2547" s="23"/>
    </row>
    <row r="2548">
      <c r="E2548" s="23"/>
    </row>
    <row r="2549">
      <c r="E2549" s="23"/>
    </row>
    <row r="2550">
      <c r="E2550" s="23"/>
    </row>
    <row r="2551">
      <c r="E2551" s="23"/>
    </row>
    <row r="2552">
      <c r="E2552" s="23"/>
    </row>
    <row r="2553">
      <c r="E2553" s="23"/>
    </row>
    <row r="2554">
      <c r="E2554" s="23"/>
    </row>
    <row r="2555">
      <c r="E2555" s="23"/>
    </row>
    <row r="2556">
      <c r="E2556" s="23"/>
    </row>
    <row r="2557">
      <c r="E2557" s="23"/>
    </row>
    <row r="2558">
      <c r="E2558" s="23"/>
    </row>
    <row r="2559">
      <c r="E2559" s="23"/>
    </row>
    <row r="2560">
      <c r="E2560" s="23"/>
    </row>
    <row r="2561">
      <c r="E2561" s="23"/>
    </row>
    <row r="2562">
      <c r="E2562" s="23"/>
    </row>
    <row r="2563">
      <c r="E2563" s="23"/>
    </row>
    <row r="2564">
      <c r="E2564" s="23"/>
    </row>
    <row r="2565">
      <c r="E2565" s="23"/>
    </row>
    <row r="2566">
      <c r="E2566" s="23"/>
    </row>
    <row r="2567">
      <c r="E2567" s="23"/>
    </row>
    <row r="2568">
      <c r="E2568" s="23"/>
    </row>
    <row r="2569">
      <c r="E2569" s="23"/>
    </row>
    <row r="2570">
      <c r="E2570" s="23"/>
    </row>
    <row r="2571">
      <c r="E2571" s="23"/>
    </row>
    <row r="2572">
      <c r="E2572" s="23"/>
    </row>
    <row r="2573">
      <c r="E2573" s="23"/>
    </row>
    <row r="2574">
      <c r="E2574" s="23"/>
    </row>
    <row r="2575">
      <c r="E2575" s="23"/>
    </row>
    <row r="2576">
      <c r="E2576" s="23"/>
    </row>
    <row r="2577">
      <c r="E2577" s="23"/>
    </row>
    <row r="2578">
      <c r="E2578" s="23"/>
    </row>
    <row r="2579">
      <c r="E2579" s="23"/>
    </row>
    <row r="2580">
      <c r="E2580" s="23"/>
    </row>
    <row r="2581">
      <c r="E2581" s="23"/>
    </row>
    <row r="2582">
      <c r="E2582" s="23"/>
    </row>
    <row r="2583">
      <c r="E2583" s="23"/>
    </row>
    <row r="2584">
      <c r="E2584" s="23"/>
    </row>
    <row r="2585">
      <c r="E2585" s="23"/>
    </row>
    <row r="2586">
      <c r="E2586" s="23"/>
    </row>
    <row r="2587">
      <c r="E2587" s="23"/>
    </row>
    <row r="2588">
      <c r="E2588" s="23"/>
    </row>
    <row r="2589">
      <c r="E2589" s="23"/>
    </row>
    <row r="2590">
      <c r="E2590" s="23"/>
    </row>
    <row r="2591">
      <c r="E2591" s="23"/>
    </row>
    <row r="2592">
      <c r="E2592" s="23"/>
    </row>
    <row r="2593">
      <c r="E2593" s="23"/>
    </row>
    <row r="2594">
      <c r="E2594" s="23"/>
    </row>
    <row r="2595">
      <c r="E2595" s="23"/>
    </row>
    <row r="2596">
      <c r="E2596" s="23"/>
    </row>
    <row r="2597">
      <c r="E2597" s="23"/>
    </row>
    <row r="2598">
      <c r="E2598" s="23"/>
    </row>
    <row r="2599">
      <c r="E2599" s="23"/>
    </row>
    <row r="2600">
      <c r="E2600" s="23"/>
    </row>
    <row r="2601">
      <c r="E2601" s="23"/>
    </row>
    <row r="2602">
      <c r="E2602" s="23"/>
    </row>
    <row r="2603">
      <c r="E2603" s="23"/>
    </row>
    <row r="2604">
      <c r="E2604" s="23"/>
    </row>
    <row r="2605">
      <c r="E2605" s="23"/>
    </row>
    <row r="2606">
      <c r="E2606" s="23"/>
    </row>
    <row r="2607">
      <c r="E2607" s="23"/>
    </row>
    <row r="2608">
      <c r="E2608" s="23"/>
    </row>
    <row r="2609">
      <c r="E2609" s="23"/>
    </row>
    <row r="2610">
      <c r="E2610" s="23"/>
    </row>
    <row r="2611">
      <c r="E2611" s="23"/>
    </row>
    <row r="2612">
      <c r="E2612" s="23"/>
    </row>
    <row r="2613">
      <c r="E2613" s="23"/>
    </row>
    <row r="2614">
      <c r="E2614" s="23"/>
    </row>
    <row r="2615">
      <c r="E2615" s="23"/>
    </row>
    <row r="2616">
      <c r="E2616" s="23"/>
    </row>
    <row r="2617">
      <c r="E2617" s="23"/>
    </row>
    <row r="2618">
      <c r="E2618" s="23"/>
    </row>
    <row r="2619">
      <c r="E2619" s="23"/>
    </row>
    <row r="2620">
      <c r="E2620" s="23"/>
    </row>
    <row r="2621">
      <c r="E2621" s="23"/>
    </row>
    <row r="2622">
      <c r="E2622" s="23"/>
    </row>
    <row r="2623">
      <c r="E2623" s="23"/>
    </row>
    <row r="2624">
      <c r="E2624" s="23"/>
    </row>
    <row r="2625">
      <c r="E2625" s="23"/>
    </row>
    <row r="2626">
      <c r="E2626" s="23"/>
    </row>
    <row r="2627">
      <c r="E2627" s="23"/>
    </row>
    <row r="2628">
      <c r="E2628" s="23"/>
    </row>
    <row r="2629">
      <c r="E2629" s="23"/>
    </row>
    <row r="2630">
      <c r="E2630" s="23"/>
    </row>
    <row r="2631">
      <c r="E2631" s="23"/>
    </row>
    <row r="2632">
      <c r="E2632" s="23"/>
    </row>
    <row r="2633">
      <c r="E2633" s="23"/>
    </row>
    <row r="2634">
      <c r="E2634" s="23"/>
    </row>
    <row r="2635">
      <c r="E2635" s="23"/>
    </row>
    <row r="2636">
      <c r="E2636" s="23"/>
    </row>
    <row r="2637">
      <c r="E2637" s="23"/>
    </row>
    <row r="2638">
      <c r="E2638" s="23"/>
    </row>
    <row r="2639">
      <c r="E2639" s="23"/>
    </row>
    <row r="2640">
      <c r="E2640" s="23"/>
    </row>
    <row r="2641">
      <c r="E2641" s="23"/>
    </row>
    <row r="2642">
      <c r="E2642" s="23"/>
    </row>
    <row r="2643">
      <c r="E2643" s="23"/>
    </row>
    <row r="2644">
      <c r="E2644" s="23"/>
    </row>
    <row r="2645">
      <c r="E2645" s="23"/>
    </row>
    <row r="2646">
      <c r="E2646" s="23"/>
    </row>
    <row r="2647">
      <c r="E2647" s="23"/>
    </row>
    <row r="2648">
      <c r="E2648" s="23"/>
    </row>
    <row r="2649">
      <c r="E2649" s="23"/>
    </row>
    <row r="2650">
      <c r="E2650" s="23"/>
    </row>
    <row r="2651">
      <c r="E2651" s="23"/>
    </row>
    <row r="2652">
      <c r="E2652" s="23"/>
    </row>
    <row r="2653">
      <c r="E2653" s="23"/>
    </row>
    <row r="2654">
      <c r="E2654" s="23"/>
    </row>
    <row r="2655">
      <c r="E2655" s="23"/>
    </row>
    <row r="2656">
      <c r="E2656" s="23"/>
    </row>
    <row r="2657">
      <c r="E2657" s="23"/>
    </row>
    <row r="2658">
      <c r="E2658" s="23"/>
    </row>
    <row r="2659">
      <c r="E2659" s="23"/>
    </row>
    <row r="2660">
      <c r="E2660" s="23"/>
    </row>
    <row r="2661">
      <c r="E2661" s="23"/>
    </row>
    <row r="2662">
      <c r="E2662" s="23"/>
    </row>
    <row r="2663">
      <c r="E2663" s="23"/>
    </row>
    <row r="2664">
      <c r="E2664" s="23"/>
    </row>
    <row r="2665">
      <c r="E2665" s="23"/>
    </row>
    <row r="2666">
      <c r="E2666" s="23"/>
    </row>
    <row r="2667">
      <c r="E2667" s="23"/>
    </row>
    <row r="2668">
      <c r="E2668" s="23"/>
    </row>
    <row r="2669">
      <c r="E2669" s="23"/>
    </row>
    <row r="2670">
      <c r="E2670" s="23"/>
    </row>
    <row r="2671">
      <c r="E2671" s="23"/>
    </row>
    <row r="2672">
      <c r="E2672" s="23"/>
    </row>
    <row r="2673">
      <c r="E2673" s="23"/>
    </row>
    <row r="2674">
      <c r="E2674" s="23"/>
    </row>
    <row r="2675">
      <c r="E2675" s="23"/>
    </row>
    <row r="2676">
      <c r="E2676" s="23"/>
    </row>
    <row r="2677">
      <c r="E2677" s="23"/>
    </row>
    <row r="2678">
      <c r="E2678" s="23"/>
    </row>
    <row r="2679">
      <c r="E2679" s="23"/>
    </row>
    <row r="2680">
      <c r="E2680" s="23"/>
    </row>
    <row r="2681">
      <c r="E2681" s="23"/>
    </row>
    <row r="2682">
      <c r="E2682" s="23"/>
    </row>
    <row r="2683">
      <c r="E2683" s="23"/>
    </row>
    <row r="2684">
      <c r="E2684" s="23"/>
    </row>
    <row r="2685">
      <c r="E2685" s="23"/>
    </row>
    <row r="2686">
      <c r="E2686" s="23"/>
    </row>
    <row r="2687">
      <c r="E2687" s="23"/>
    </row>
    <row r="2688">
      <c r="E2688" s="23"/>
    </row>
    <row r="2689">
      <c r="E2689" s="23"/>
    </row>
    <row r="2690">
      <c r="E2690" s="23"/>
    </row>
    <row r="2691">
      <c r="E2691" s="23"/>
    </row>
    <row r="2692">
      <c r="E2692" s="23"/>
    </row>
    <row r="2693">
      <c r="E2693" s="23"/>
    </row>
    <row r="2694">
      <c r="E2694" s="23"/>
    </row>
    <row r="2695">
      <c r="E2695" s="23"/>
    </row>
    <row r="2696">
      <c r="E2696" s="23"/>
    </row>
    <row r="2697">
      <c r="E2697" s="23"/>
    </row>
    <row r="2698">
      <c r="E2698" s="23"/>
    </row>
    <row r="2699">
      <c r="E2699" s="23"/>
    </row>
    <row r="2700">
      <c r="E2700" s="23"/>
    </row>
    <row r="2701">
      <c r="E2701" s="23"/>
    </row>
    <row r="2702">
      <c r="E2702" s="23"/>
    </row>
    <row r="2703">
      <c r="E2703" s="23"/>
    </row>
    <row r="2704">
      <c r="E2704" s="23"/>
    </row>
    <row r="2705">
      <c r="E2705" s="23"/>
    </row>
    <row r="2706">
      <c r="E2706" s="23"/>
    </row>
    <row r="2707">
      <c r="E2707" s="23"/>
    </row>
    <row r="2708">
      <c r="E2708" s="23"/>
    </row>
    <row r="2709">
      <c r="E2709" s="23"/>
    </row>
    <row r="2710">
      <c r="E2710" s="23"/>
    </row>
    <row r="2711">
      <c r="E2711" s="23"/>
    </row>
    <row r="2712">
      <c r="E2712" s="23"/>
    </row>
    <row r="2713">
      <c r="E2713" s="23"/>
    </row>
    <row r="2714">
      <c r="E2714" s="23"/>
    </row>
    <row r="2715">
      <c r="E2715" s="23"/>
    </row>
    <row r="2716">
      <c r="E2716" s="23"/>
    </row>
    <row r="2717">
      <c r="E2717" s="23"/>
    </row>
    <row r="2718">
      <c r="E2718" s="23"/>
    </row>
    <row r="2719">
      <c r="E2719" s="23"/>
    </row>
    <row r="2720">
      <c r="E2720" s="23"/>
    </row>
    <row r="2721">
      <c r="E2721" s="23"/>
    </row>
    <row r="2722">
      <c r="E2722" s="23"/>
    </row>
    <row r="2723">
      <c r="E2723" s="23"/>
    </row>
    <row r="2724">
      <c r="E2724" s="23"/>
    </row>
    <row r="2725">
      <c r="E2725" s="23"/>
    </row>
    <row r="2726">
      <c r="E2726" s="23"/>
    </row>
    <row r="2727">
      <c r="E2727" s="23"/>
    </row>
    <row r="2728">
      <c r="E2728" s="23"/>
    </row>
    <row r="2729">
      <c r="E2729" s="23"/>
    </row>
    <row r="2730">
      <c r="E2730" s="23"/>
    </row>
    <row r="2731">
      <c r="E2731" s="23"/>
    </row>
    <row r="2732">
      <c r="E2732" s="23"/>
    </row>
    <row r="2733">
      <c r="E2733" s="23"/>
    </row>
    <row r="2734">
      <c r="E2734" s="23"/>
    </row>
    <row r="2735">
      <c r="E2735" s="23"/>
    </row>
    <row r="2736">
      <c r="E2736" s="23"/>
    </row>
    <row r="2737">
      <c r="E2737" s="23"/>
    </row>
    <row r="2738">
      <c r="E2738" s="23"/>
    </row>
    <row r="2739">
      <c r="E2739" s="23"/>
    </row>
    <row r="2740">
      <c r="E2740" s="23"/>
    </row>
    <row r="2741">
      <c r="E2741" s="23"/>
    </row>
    <row r="2742">
      <c r="E2742" s="23"/>
    </row>
    <row r="2743">
      <c r="E2743" s="23"/>
    </row>
    <row r="2744">
      <c r="E2744" s="23"/>
    </row>
    <row r="2745">
      <c r="E2745" s="23"/>
    </row>
    <row r="2746">
      <c r="E2746" s="23"/>
    </row>
    <row r="2747">
      <c r="E2747" s="23"/>
    </row>
    <row r="2748">
      <c r="E2748" s="23"/>
    </row>
    <row r="2749">
      <c r="E2749" s="23"/>
    </row>
    <row r="2750">
      <c r="E2750" s="23"/>
    </row>
    <row r="2751">
      <c r="E2751" s="23"/>
    </row>
    <row r="2752">
      <c r="E2752" s="23"/>
    </row>
    <row r="2753">
      <c r="E2753" s="23"/>
    </row>
    <row r="2754">
      <c r="E2754" s="23"/>
    </row>
    <row r="2755">
      <c r="E2755" s="23"/>
    </row>
    <row r="2756">
      <c r="E2756" s="23"/>
    </row>
    <row r="2757">
      <c r="E2757" s="23"/>
    </row>
    <row r="2758">
      <c r="E2758" s="23"/>
    </row>
    <row r="2759">
      <c r="E2759" s="23"/>
    </row>
    <row r="2760">
      <c r="E2760" s="23"/>
    </row>
    <row r="2761">
      <c r="E2761" s="23"/>
    </row>
    <row r="2762">
      <c r="E2762" s="23"/>
    </row>
    <row r="2763">
      <c r="E2763" s="23"/>
    </row>
    <row r="2764">
      <c r="E2764" s="23"/>
    </row>
    <row r="2765">
      <c r="E2765" s="23"/>
    </row>
    <row r="2766">
      <c r="E2766" s="23"/>
    </row>
    <row r="2767">
      <c r="E2767" s="23"/>
    </row>
    <row r="2768">
      <c r="E2768" s="23"/>
    </row>
    <row r="2769">
      <c r="E2769" s="23"/>
    </row>
    <row r="2770">
      <c r="E2770" s="23"/>
    </row>
    <row r="2771">
      <c r="E2771" s="23"/>
    </row>
    <row r="2772">
      <c r="E2772" s="23"/>
    </row>
    <row r="2773">
      <c r="E2773" s="23"/>
    </row>
    <row r="2774">
      <c r="E2774" s="23"/>
    </row>
    <row r="2775">
      <c r="E2775" s="23"/>
    </row>
    <row r="2776">
      <c r="E2776" s="23"/>
    </row>
    <row r="2777">
      <c r="E2777" s="23"/>
    </row>
    <row r="2778">
      <c r="E2778" s="23"/>
    </row>
    <row r="2779">
      <c r="E2779" s="23"/>
    </row>
    <row r="2780">
      <c r="E2780" s="23"/>
    </row>
    <row r="2781">
      <c r="E2781" s="23"/>
    </row>
    <row r="2782">
      <c r="E2782" s="23"/>
    </row>
    <row r="2783">
      <c r="E2783" s="23"/>
    </row>
    <row r="2784">
      <c r="E2784" s="23"/>
    </row>
    <row r="2785">
      <c r="E2785" s="23"/>
    </row>
    <row r="2786">
      <c r="E2786" s="23"/>
    </row>
    <row r="2787">
      <c r="E2787" s="23"/>
    </row>
    <row r="2788">
      <c r="E2788" s="23"/>
    </row>
    <row r="2789">
      <c r="E2789" s="23"/>
    </row>
    <row r="2790">
      <c r="E2790" s="23"/>
    </row>
    <row r="2791">
      <c r="E2791" s="23"/>
    </row>
    <row r="2792">
      <c r="E2792" s="23"/>
    </row>
    <row r="2793">
      <c r="E2793" s="23"/>
    </row>
    <row r="2794">
      <c r="E2794" s="23"/>
    </row>
    <row r="2795">
      <c r="E2795" s="23"/>
    </row>
    <row r="2796">
      <c r="E2796" s="23"/>
    </row>
    <row r="2797">
      <c r="E2797" s="23"/>
    </row>
    <row r="2798">
      <c r="E2798" s="23"/>
    </row>
    <row r="2799">
      <c r="E2799" s="23"/>
    </row>
    <row r="2800">
      <c r="E2800" s="23"/>
    </row>
    <row r="2801">
      <c r="E2801" s="23"/>
    </row>
    <row r="2802">
      <c r="E2802" s="23"/>
    </row>
    <row r="2803">
      <c r="E2803" s="23"/>
    </row>
    <row r="2804">
      <c r="E2804" s="23"/>
    </row>
    <row r="2805">
      <c r="E2805" s="23"/>
    </row>
    <row r="2806">
      <c r="E2806" s="23"/>
    </row>
    <row r="2807">
      <c r="E2807" s="23"/>
    </row>
    <row r="2808">
      <c r="E2808" s="23"/>
    </row>
    <row r="2809">
      <c r="E2809" s="23"/>
    </row>
    <row r="2810">
      <c r="E2810" s="23"/>
    </row>
    <row r="2811">
      <c r="E2811" s="23"/>
    </row>
    <row r="2812">
      <c r="E2812" s="23"/>
    </row>
    <row r="2813">
      <c r="E2813" s="23"/>
    </row>
    <row r="2814">
      <c r="E2814" s="23"/>
    </row>
    <row r="2815">
      <c r="E2815" s="23"/>
    </row>
    <row r="2816">
      <c r="E2816" s="23"/>
    </row>
    <row r="2817">
      <c r="E2817" s="23"/>
    </row>
    <row r="2818">
      <c r="E2818" s="23"/>
    </row>
    <row r="2819">
      <c r="E2819" s="23"/>
    </row>
    <row r="2820">
      <c r="E2820" s="23"/>
    </row>
    <row r="2821">
      <c r="E2821" s="23"/>
    </row>
    <row r="2822">
      <c r="E2822" s="23"/>
    </row>
    <row r="2823">
      <c r="E2823" s="23"/>
    </row>
    <row r="2824">
      <c r="E2824" s="23"/>
    </row>
    <row r="2825">
      <c r="E2825" s="23"/>
    </row>
    <row r="2826">
      <c r="E2826" s="23"/>
    </row>
    <row r="2827">
      <c r="E2827" s="23"/>
    </row>
    <row r="2828">
      <c r="E2828" s="23"/>
    </row>
    <row r="2829">
      <c r="E2829" s="23"/>
    </row>
    <row r="2830">
      <c r="E2830" s="23"/>
    </row>
    <row r="2831">
      <c r="E2831" s="23"/>
    </row>
    <row r="2832">
      <c r="E2832" s="23"/>
    </row>
    <row r="2833">
      <c r="E2833" s="23"/>
    </row>
    <row r="2834">
      <c r="E2834" s="23"/>
    </row>
    <row r="2835">
      <c r="E2835" s="23"/>
    </row>
    <row r="2836">
      <c r="E2836" s="23"/>
    </row>
    <row r="2837">
      <c r="E2837" s="23"/>
    </row>
    <row r="2838">
      <c r="E2838" s="23"/>
    </row>
    <row r="2839">
      <c r="E2839" s="23"/>
    </row>
    <row r="2840">
      <c r="E2840" s="23"/>
    </row>
    <row r="2841">
      <c r="E2841" s="23"/>
    </row>
    <row r="2842">
      <c r="E2842" s="23"/>
    </row>
    <row r="2843">
      <c r="E2843" s="23"/>
    </row>
    <row r="2844">
      <c r="E2844" s="23"/>
    </row>
    <row r="2845">
      <c r="E2845" s="23"/>
    </row>
    <row r="2846">
      <c r="E2846" s="23"/>
    </row>
    <row r="2847">
      <c r="E2847" s="23"/>
    </row>
    <row r="2848">
      <c r="E2848" s="23"/>
    </row>
    <row r="2849">
      <c r="E2849" s="23"/>
    </row>
    <row r="2850">
      <c r="E2850" s="23"/>
    </row>
    <row r="2851">
      <c r="E2851" s="23"/>
    </row>
    <row r="2852">
      <c r="E2852" s="23"/>
    </row>
    <row r="2853">
      <c r="E2853" s="23"/>
    </row>
    <row r="2854">
      <c r="E2854" s="23"/>
    </row>
    <row r="2855">
      <c r="E2855" s="23"/>
    </row>
    <row r="2856">
      <c r="E2856" s="23"/>
    </row>
    <row r="2857">
      <c r="E2857" s="23"/>
    </row>
    <row r="2858">
      <c r="E2858" s="23"/>
    </row>
    <row r="2859">
      <c r="E2859" s="23"/>
    </row>
    <row r="2860">
      <c r="E2860" s="23"/>
    </row>
    <row r="2861">
      <c r="E2861" s="23"/>
    </row>
    <row r="2862">
      <c r="E2862" s="23"/>
    </row>
    <row r="2863">
      <c r="E2863" s="23"/>
    </row>
    <row r="2864">
      <c r="E2864" s="23"/>
    </row>
    <row r="2865">
      <c r="E2865" s="23"/>
    </row>
    <row r="2866">
      <c r="E2866" s="23"/>
    </row>
    <row r="2867">
      <c r="E2867" s="23"/>
    </row>
    <row r="2868">
      <c r="E2868" s="23"/>
    </row>
    <row r="2869">
      <c r="E2869" s="23"/>
    </row>
    <row r="2870">
      <c r="E2870" s="23"/>
    </row>
    <row r="2871">
      <c r="E2871" s="23"/>
    </row>
    <row r="2872">
      <c r="E2872" s="23"/>
    </row>
    <row r="2873">
      <c r="E2873" s="23"/>
    </row>
    <row r="2874">
      <c r="E2874" s="23"/>
    </row>
    <row r="2875">
      <c r="E2875" s="23"/>
    </row>
    <row r="2876">
      <c r="E2876" s="23"/>
    </row>
    <row r="2877">
      <c r="E2877" s="23"/>
    </row>
    <row r="2878">
      <c r="E2878" s="23"/>
    </row>
    <row r="2879">
      <c r="E2879" s="23"/>
    </row>
    <row r="2880">
      <c r="E2880" s="23"/>
    </row>
    <row r="2881">
      <c r="E2881" s="23"/>
    </row>
    <row r="2882">
      <c r="E2882" s="23"/>
    </row>
    <row r="2883">
      <c r="E2883" s="23"/>
    </row>
    <row r="2884">
      <c r="E2884" s="23"/>
    </row>
    <row r="2885">
      <c r="E2885" s="23"/>
    </row>
    <row r="2886">
      <c r="E2886" s="23"/>
    </row>
    <row r="2887">
      <c r="E2887" s="23"/>
    </row>
    <row r="2888">
      <c r="E2888" s="23"/>
    </row>
    <row r="2889">
      <c r="E2889" s="23"/>
    </row>
    <row r="2890">
      <c r="E2890" s="23"/>
    </row>
    <row r="2891">
      <c r="E2891" s="23"/>
    </row>
    <row r="2892">
      <c r="E2892" s="23"/>
    </row>
    <row r="2893">
      <c r="E2893" s="23"/>
    </row>
    <row r="2894">
      <c r="E2894" s="23"/>
    </row>
    <row r="2895">
      <c r="E2895" s="23"/>
    </row>
    <row r="2896">
      <c r="E2896" s="23"/>
    </row>
    <row r="2897">
      <c r="E2897" s="23"/>
    </row>
    <row r="2898">
      <c r="E2898" s="23"/>
    </row>
    <row r="2899">
      <c r="E2899" s="23"/>
    </row>
    <row r="2900">
      <c r="E2900" s="23"/>
    </row>
    <row r="2901">
      <c r="E2901" s="23"/>
    </row>
    <row r="2902">
      <c r="E2902" s="23"/>
    </row>
    <row r="2903">
      <c r="E2903" s="23"/>
    </row>
    <row r="2904">
      <c r="E2904" s="23"/>
    </row>
    <row r="2905">
      <c r="E2905" s="23"/>
    </row>
    <row r="2906">
      <c r="E2906" s="23"/>
    </row>
    <row r="2907">
      <c r="E2907" s="23"/>
    </row>
    <row r="2908">
      <c r="E2908" s="23"/>
    </row>
    <row r="2909">
      <c r="E2909" s="23"/>
    </row>
    <row r="2910">
      <c r="E2910" s="23"/>
    </row>
    <row r="2911">
      <c r="E2911" s="23"/>
    </row>
    <row r="2912">
      <c r="E2912" s="23"/>
    </row>
    <row r="2913">
      <c r="E2913" s="23"/>
    </row>
    <row r="2914">
      <c r="E2914" s="23"/>
    </row>
    <row r="2915">
      <c r="E2915" s="23"/>
    </row>
    <row r="2916">
      <c r="E2916" s="23"/>
    </row>
    <row r="2917">
      <c r="E2917" s="23"/>
    </row>
    <row r="2918">
      <c r="E2918" s="23"/>
    </row>
    <row r="2919">
      <c r="E2919" s="23"/>
    </row>
    <row r="2920">
      <c r="E2920" s="23"/>
    </row>
    <row r="2921">
      <c r="E2921" s="23"/>
    </row>
    <row r="2922">
      <c r="E2922" s="23"/>
    </row>
    <row r="2923">
      <c r="E2923" s="23"/>
    </row>
    <row r="2924">
      <c r="E2924" s="23"/>
    </row>
    <row r="2925">
      <c r="E2925" s="23"/>
    </row>
    <row r="2926">
      <c r="E2926" s="23"/>
    </row>
    <row r="2927">
      <c r="E2927" s="23"/>
    </row>
    <row r="2928">
      <c r="E2928" s="23"/>
    </row>
    <row r="2929">
      <c r="E2929" s="23"/>
    </row>
    <row r="2930">
      <c r="E2930" s="23"/>
    </row>
    <row r="2931">
      <c r="E2931" s="23"/>
    </row>
    <row r="2932">
      <c r="E2932" s="23"/>
    </row>
    <row r="2933">
      <c r="E2933" s="23"/>
    </row>
    <row r="2934">
      <c r="E2934" s="23"/>
    </row>
    <row r="2935">
      <c r="E2935" s="23"/>
    </row>
    <row r="2936">
      <c r="E2936" s="23"/>
    </row>
    <row r="2937">
      <c r="E2937" s="23"/>
    </row>
    <row r="2938">
      <c r="E2938" s="23"/>
    </row>
    <row r="2939">
      <c r="E2939" s="23"/>
    </row>
    <row r="2940">
      <c r="E2940" s="23"/>
    </row>
    <row r="2941">
      <c r="E2941" s="23"/>
    </row>
    <row r="2942">
      <c r="E2942" s="23"/>
    </row>
    <row r="2943">
      <c r="E2943" s="23"/>
    </row>
    <row r="2944">
      <c r="E2944" s="23"/>
    </row>
    <row r="2945">
      <c r="E2945" s="23"/>
    </row>
    <row r="2946">
      <c r="E2946" s="23"/>
    </row>
    <row r="2947">
      <c r="E2947" s="23"/>
    </row>
    <row r="2948">
      <c r="E2948" s="23"/>
    </row>
    <row r="2949">
      <c r="E2949" s="23"/>
    </row>
    <row r="2950">
      <c r="E2950" s="23"/>
    </row>
    <row r="2951">
      <c r="E2951" s="23"/>
    </row>
    <row r="2952">
      <c r="E2952" s="23"/>
    </row>
    <row r="2953">
      <c r="E2953" s="23"/>
    </row>
    <row r="2954">
      <c r="E2954" s="23"/>
    </row>
    <row r="2955">
      <c r="E2955" s="23"/>
    </row>
    <row r="2956">
      <c r="E2956" s="23"/>
    </row>
    <row r="2957">
      <c r="E2957" s="23"/>
    </row>
    <row r="2958">
      <c r="E2958" s="23"/>
    </row>
    <row r="2959">
      <c r="E2959" s="23"/>
    </row>
    <row r="2960">
      <c r="E2960" s="23"/>
    </row>
    <row r="2961">
      <c r="E2961" s="23"/>
    </row>
    <row r="2962">
      <c r="E2962" s="23"/>
    </row>
    <row r="2963">
      <c r="E2963" s="23"/>
    </row>
    <row r="2964">
      <c r="E2964" s="23"/>
    </row>
    <row r="2965">
      <c r="E2965" s="23"/>
    </row>
    <row r="2966">
      <c r="E2966" s="23"/>
    </row>
    <row r="2967">
      <c r="E2967" s="23"/>
    </row>
    <row r="2968">
      <c r="E2968" s="23"/>
    </row>
    <row r="2969">
      <c r="E2969" s="23"/>
    </row>
    <row r="2970">
      <c r="E2970" s="23"/>
    </row>
    <row r="2971">
      <c r="E2971" s="23"/>
    </row>
    <row r="2972">
      <c r="E2972" s="23"/>
    </row>
    <row r="2973">
      <c r="E2973" s="23"/>
    </row>
    <row r="2974">
      <c r="E2974" s="23"/>
    </row>
    <row r="2975">
      <c r="E2975" s="23"/>
    </row>
    <row r="2976">
      <c r="E2976" s="23"/>
    </row>
    <row r="2977">
      <c r="E2977" s="23"/>
    </row>
    <row r="2978">
      <c r="E2978" s="23"/>
    </row>
    <row r="2979">
      <c r="E2979" s="23"/>
    </row>
    <row r="2980">
      <c r="E2980" s="23"/>
    </row>
    <row r="2981">
      <c r="E2981" s="23"/>
    </row>
    <row r="2982">
      <c r="E2982" s="23"/>
    </row>
    <row r="2983">
      <c r="E2983" s="23"/>
    </row>
    <row r="2984">
      <c r="E2984" s="23"/>
    </row>
    <row r="2985">
      <c r="E2985" s="23"/>
    </row>
    <row r="2986">
      <c r="E2986" s="23"/>
    </row>
    <row r="2987">
      <c r="E2987" s="23"/>
    </row>
    <row r="2988">
      <c r="E2988" s="23"/>
    </row>
    <row r="2989">
      <c r="E2989" s="23"/>
    </row>
    <row r="2990">
      <c r="E2990" s="23"/>
    </row>
    <row r="2991">
      <c r="E2991" s="23"/>
    </row>
    <row r="2992">
      <c r="E2992" s="23"/>
    </row>
    <row r="2993">
      <c r="E2993" s="23"/>
    </row>
    <row r="2994">
      <c r="E2994" s="23"/>
    </row>
    <row r="2995">
      <c r="E2995" s="23"/>
    </row>
    <row r="2996">
      <c r="E2996" s="23"/>
    </row>
    <row r="2997">
      <c r="E2997" s="23"/>
    </row>
    <row r="2998">
      <c r="E2998" s="23"/>
    </row>
    <row r="2999">
      <c r="E2999" s="23"/>
    </row>
    <row r="3000">
      <c r="E3000" s="23"/>
    </row>
    <row r="3001">
      <c r="E3001" s="23"/>
    </row>
    <row r="3002">
      <c r="E3002" s="23"/>
    </row>
    <row r="3003">
      <c r="E3003" s="23"/>
    </row>
    <row r="3004">
      <c r="E3004" s="23"/>
    </row>
    <row r="3005">
      <c r="E3005" s="23"/>
    </row>
    <row r="3006">
      <c r="E3006" s="23"/>
    </row>
    <row r="3007">
      <c r="E3007" s="23"/>
    </row>
    <row r="3008">
      <c r="E3008" s="23"/>
    </row>
    <row r="3009">
      <c r="E3009" s="23"/>
    </row>
    <row r="3010">
      <c r="E3010" s="23"/>
    </row>
    <row r="3011">
      <c r="E3011" s="23"/>
    </row>
    <row r="3012">
      <c r="E3012" s="23"/>
    </row>
    <row r="3013">
      <c r="E3013" s="23"/>
    </row>
    <row r="3014">
      <c r="E3014" s="23"/>
    </row>
    <row r="3015">
      <c r="E3015" s="23"/>
    </row>
    <row r="3016">
      <c r="E3016" s="23"/>
    </row>
    <row r="3017">
      <c r="E3017" s="23"/>
    </row>
    <row r="3018">
      <c r="E3018" s="23"/>
    </row>
    <row r="3019">
      <c r="E3019" s="23"/>
    </row>
    <row r="3020">
      <c r="E3020" s="23"/>
    </row>
    <row r="3021">
      <c r="E3021" s="23"/>
    </row>
    <row r="3022">
      <c r="E3022" s="23"/>
    </row>
    <row r="3023">
      <c r="E3023" s="23"/>
    </row>
    <row r="3024">
      <c r="E3024" s="23"/>
    </row>
    <row r="3025">
      <c r="E3025" s="23"/>
    </row>
    <row r="3026">
      <c r="E3026" s="23"/>
    </row>
    <row r="3027">
      <c r="E3027" s="23"/>
    </row>
    <row r="3028">
      <c r="E3028" s="23"/>
    </row>
    <row r="3029">
      <c r="E3029" s="23"/>
    </row>
    <row r="3030">
      <c r="E3030" s="23"/>
    </row>
    <row r="3031">
      <c r="E3031" s="23"/>
    </row>
    <row r="3032">
      <c r="E3032" s="23"/>
    </row>
    <row r="3033">
      <c r="E3033" s="23"/>
    </row>
    <row r="3034">
      <c r="E3034" s="23"/>
    </row>
    <row r="3035">
      <c r="E3035" s="23"/>
    </row>
    <row r="3036">
      <c r="E3036" s="23"/>
    </row>
    <row r="3037">
      <c r="E3037" s="23"/>
    </row>
    <row r="3038">
      <c r="E3038" s="23"/>
    </row>
    <row r="3039">
      <c r="E3039" s="23"/>
    </row>
    <row r="3040">
      <c r="E3040" s="23"/>
    </row>
    <row r="3041">
      <c r="E3041" s="23"/>
    </row>
    <row r="3042">
      <c r="E3042" s="23"/>
    </row>
    <row r="3043">
      <c r="E3043" s="23"/>
    </row>
    <row r="3044">
      <c r="E3044" s="23"/>
    </row>
    <row r="3045">
      <c r="E3045" s="23"/>
    </row>
    <row r="3046">
      <c r="E3046" s="23"/>
    </row>
    <row r="3047">
      <c r="E3047" s="23"/>
    </row>
    <row r="3048">
      <c r="E3048" s="23"/>
    </row>
    <row r="3049">
      <c r="E3049" s="23"/>
    </row>
    <row r="3050">
      <c r="E3050" s="23"/>
    </row>
    <row r="3051">
      <c r="E3051" s="23"/>
    </row>
    <row r="3052">
      <c r="E3052" s="23"/>
    </row>
    <row r="3053">
      <c r="E3053" s="23"/>
    </row>
    <row r="3054">
      <c r="E3054" s="23"/>
    </row>
    <row r="3055">
      <c r="E3055" s="23"/>
    </row>
    <row r="3056">
      <c r="E3056" s="23"/>
    </row>
    <row r="3057">
      <c r="E3057" s="23"/>
    </row>
    <row r="3058">
      <c r="E3058" s="23"/>
    </row>
    <row r="3059">
      <c r="E3059" s="23"/>
    </row>
    <row r="3060">
      <c r="E3060" s="23"/>
    </row>
    <row r="3061">
      <c r="E3061" s="23"/>
    </row>
    <row r="3062">
      <c r="E3062" s="23"/>
    </row>
    <row r="3063">
      <c r="E3063" s="23"/>
    </row>
    <row r="3064">
      <c r="E3064" s="23"/>
    </row>
    <row r="3065">
      <c r="E3065" s="23"/>
    </row>
    <row r="3066">
      <c r="E3066" s="23"/>
    </row>
    <row r="3067">
      <c r="E3067" s="23"/>
    </row>
    <row r="3068">
      <c r="E3068" s="23"/>
    </row>
    <row r="3069">
      <c r="E3069" s="23"/>
    </row>
    <row r="3070">
      <c r="E3070" s="23"/>
    </row>
    <row r="3071">
      <c r="E3071" s="23"/>
    </row>
    <row r="3072">
      <c r="E3072" s="23"/>
    </row>
    <row r="3073">
      <c r="E3073" s="23"/>
    </row>
    <row r="3074">
      <c r="E3074" s="23"/>
    </row>
    <row r="3075">
      <c r="E3075" s="23"/>
    </row>
    <row r="3076">
      <c r="E3076" s="23"/>
    </row>
    <row r="3077">
      <c r="E3077" s="23"/>
    </row>
    <row r="3078">
      <c r="E3078" s="23"/>
    </row>
    <row r="3079">
      <c r="E3079" s="23"/>
    </row>
    <row r="3080">
      <c r="E3080" s="23"/>
    </row>
    <row r="3081">
      <c r="E3081" s="23"/>
    </row>
    <row r="3082">
      <c r="E3082" s="23"/>
    </row>
    <row r="3083">
      <c r="E3083" s="23"/>
    </row>
    <row r="3084">
      <c r="E3084" s="23"/>
    </row>
    <row r="3085">
      <c r="E3085" s="23"/>
    </row>
    <row r="3086">
      <c r="E3086" s="23"/>
    </row>
    <row r="3087">
      <c r="E3087" s="23"/>
    </row>
    <row r="3088">
      <c r="E3088" s="23"/>
    </row>
    <row r="3089">
      <c r="E3089" s="23"/>
    </row>
    <row r="3090">
      <c r="E3090" s="23"/>
    </row>
    <row r="3091">
      <c r="E3091" s="23"/>
    </row>
    <row r="3092">
      <c r="E3092" s="23"/>
    </row>
    <row r="3093">
      <c r="E3093" s="23"/>
    </row>
    <row r="3094">
      <c r="E3094" s="23"/>
    </row>
    <row r="3095">
      <c r="E3095" s="23"/>
    </row>
    <row r="3096">
      <c r="E3096" s="23"/>
    </row>
    <row r="3097">
      <c r="E3097" s="23"/>
    </row>
    <row r="3098">
      <c r="E3098" s="23"/>
    </row>
    <row r="3099">
      <c r="E3099" s="23"/>
    </row>
    <row r="3100">
      <c r="E3100" s="23"/>
    </row>
    <row r="3101">
      <c r="E3101" s="23"/>
    </row>
    <row r="3102">
      <c r="E3102" s="23"/>
    </row>
    <row r="3103">
      <c r="E3103" s="23"/>
    </row>
    <row r="3104">
      <c r="E3104" s="23"/>
    </row>
    <row r="3105">
      <c r="E3105" s="23"/>
    </row>
    <row r="3106">
      <c r="E3106" s="23"/>
    </row>
    <row r="3107">
      <c r="E3107" s="23"/>
    </row>
    <row r="3108">
      <c r="E3108" s="23"/>
    </row>
    <row r="3109">
      <c r="E3109" s="23"/>
    </row>
    <row r="3110">
      <c r="E3110" s="23"/>
    </row>
    <row r="3111">
      <c r="E3111" s="23"/>
    </row>
    <row r="3112">
      <c r="E3112" s="23"/>
    </row>
    <row r="3113">
      <c r="E3113" s="23"/>
    </row>
    <row r="3114">
      <c r="E3114" s="23"/>
    </row>
    <row r="3115">
      <c r="E3115" s="23"/>
    </row>
    <row r="3116">
      <c r="E3116" s="23"/>
    </row>
    <row r="3117">
      <c r="E3117" s="23"/>
    </row>
    <row r="3118">
      <c r="E3118" s="23"/>
    </row>
    <row r="3119">
      <c r="E3119" s="23"/>
    </row>
    <row r="3120">
      <c r="E3120" s="23"/>
    </row>
    <row r="3121">
      <c r="E3121" s="23"/>
    </row>
    <row r="3122">
      <c r="E3122" s="23"/>
    </row>
    <row r="3123">
      <c r="E3123" s="23"/>
    </row>
    <row r="3124">
      <c r="E3124" s="23"/>
    </row>
    <row r="3125">
      <c r="E3125" s="23"/>
    </row>
    <row r="3126">
      <c r="E3126" s="23"/>
    </row>
    <row r="3127">
      <c r="E3127" s="23"/>
    </row>
    <row r="3128">
      <c r="E3128" s="23"/>
    </row>
    <row r="3129">
      <c r="E3129" s="23"/>
    </row>
    <row r="3130">
      <c r="E3130" s="23"/>
    </row>
    <row r="3131">
      <c r="E3131" s="23"/>
    </row>
    <row r="3132">
      <c r="E3132" s="23"/>
    </row>
    <row r="3133">
      <c r="E3133" s="23"/>
    </row>
    <row r="3134">
      <c r="E3134" s="23"/>
    </row>
    <row r="3135">
      <c r="E3135" s="23"/>
    </row>
    <row r="3136">
      <c r="E3136" s="23"/>
    </row>
    <row r="3137">
      <c r="E3137" s="23"/>
    </row>
    <row r="3138">
      <c r="E3138" s="23"/>
    </row>
    <row r="3139">
      <c r="E3139" s="23"/>
    </row>
    <row r="3140">
      <c r="E3140" s="23"/>
    </row>
    <row r="3141">
      <c r="E3141" s="23"/>
    </row>
    <row r="3142">
      <c r="E3142" s="23"/>
    </row>
    <row r="3143">
      <c r="E3143" s="23"/>
    </row>
    <row r="3144">
      <c r="E3144" s="23"/>
    </row>
    <row r="3145">
      <c r="E3145" s="23"/>
    </row>
    <row r="3146">
      <c r="E3146" s="23"/>
    </row>
    <row r="3147">
      <c r="E3147" s="23"/>
    </row>
    <row r="3148">
      <c r="E3148" s="23"/>
    </row>
    <row r="3149">
      <c r="E3149" s="23"/>
    </row>
    <row r="3150">
      <c r="E3150" s="23"/>
    </row>
    <row r="3151">
      <c r="E3151" s="23"/>
    </row>
    <row r="3152">
      <c r="E3152" s="23"/>
    </row>
    <row r="3153">
      <c r="E3153" s="23"/>
    </row>
    <row r="3154">
      <c r="E3154" s="23"/>
    </row>
    <row r="3155">
      <c r="E3155" s="23"/>
    </row>
    <row r="3156">
      <c r="E3156" s="23"/>
    </row>
    <row r="3157">
      <c r="E3157" s="23"/>
    </row>
    <row r="3158">
      <c r="E3158" s="23"/>
    </row>
    <row r="3159">
      <c r="E3159" s="23"/>
    </row>
    <row r="3160">
      <c r="E3160" s="23"/>
    </row>
    <row r="3161">
      <c r="E3161" s="23"/>
    </row>
    <row r="3162">
      <c r="E3162" s="23"/>
    </row>
    <row r="3163">
      <c r="E3163" s="23"/>
    </row>
    <row r="3164">
      <c r="E3164" s="23"/>
    </row>
    <row r="3165">
      <c r="E3165" s="23"/>
    </row>
    <row r="3166">
      <c r="E3166" s="23"/>
    </row>
    <row r="3167">
      <c r="E3167" s="23"/>
    </row>
    <row r="3168">
      <c r="E3168" s="23"/>
    </row>
    <row r="3169">
      <c r="E3169" s="23"/>
    </row>
    <row r="3170">
      <c r="E3170" s="23"/>
    </row>
    <row r="3171">
      <c r="E3171" s="23"/>
    </row>
    <row r="3172">
      <c r="E3172" s="23"/>
    </row>
    <row r="3173">
      <c r="E3173" s="23"/>
    </row>
    <row r="3174">
      <c r="E3174" s="23"/>
    </row>
    <row r="3175">
      <c r="E3175" s="23"/>
    </row>
    <row r="3176">
      <c r="E3176" s="23"/>
    </row>
    <row r="3177">
      <c r="E3177" s="23"/>
    </row>
    <row r="3178">
      <c r="E3178" s="23"/>
    </row>
    <row r="3179">
      <c r="E3179" s="23"/>
    </row>
    <row r="3180">
      <c r="E3180" s="23"/>
    </row>
    <row r="3181">
      <c r="E3181" s="23"/>
    </row>
    <row r="3182">
      <c r="E3182" s="23"/>
    </row>
    <row r="3183">
      <c r="E3183" s="23"/>
    </row>
    <row r="3184">
      <c r="E3184" s="23"/>
    </row>
    <row r="3185">
      <c r="E3185" s="23"/>
    </row>
    <row r="3186">
      <c r="E3186" s="23"/>
    </row>
    <row r="3187">
      <c r="E3187" s="23"/>
    </row>
    <row r="3188">
      <c r="E3188" s="23"/>
    </row>
    <row r="3189">
      <c r="E3189" s="23"/>
    </row>
    <row r="3190">
      <c r="E3190" s="23"/>
    </row>
    <row r="3191">
      <c r="E3191" s="23"/>
    </row>
    <row r="3192">
      <c r="E3192" s="23"/>
    </row>
    <row r="3193">
      <c r="E3193" s="23"/>
    </row>
    <row r="3194">
      <c r="E3194" s="23"/>
    </row>
    <row r="3195">
      <c r="E3195" s="23"/>
    </row>
    <row r="3196">
      <c r="E3196" s="23"/>
    </row>
    <row r="3197">
      <c r="E3197" s="23"/>
    </row>
    <row r="3198">
      <c r="E3198" s="23"/>
    </row>
    <row r="3199">
      <c r="E3199" s="23"/>
    </row>
    <row r="3200">
      <c r="E3200" s="23"/>
    </row>
    <row r="3201">
      <c r="E3201" s="23"/>
    </row>
    <row r="3202">
      <c r="E3202" s="23"/>
    </row>
    <row r="3203">
      <c r="E3203" s="23"/>
    </row>
    <row r="3204">
      <c r="E3204" s="23"/>
    </row>
    <row r="3205">
      <c r="E3205" s="23"/>
    </row>
    <row r="3206">
      <c r="E3206" s="23"/>
    </row>
    <row r="3207">
      <c r="E3207" s="23"/>
    </row>
    <row r="3208">
      <c r="E3208" s="23"/>
    </row>
    <row r="3209">
      <c r="E3209" s="23"/>
    </row>
    <row r="3210">
      <c r="E3210" s="23"/>
    </row>
    <row r="3211">
      <c r="E3211" s="23"/>
    </row>
    <row r="3212">
      <c r="E3212" s="23"/>
    </row>
    <row r="3213">
      <c r="E3213" s="23"/>
    </row>
    <row r="3214">
      <c r="E3214" s="23"/>
    </row>
    <row r="3215">
      <c r="E3215" s="23"/>
    </row>
    <row r="3216">
      <c r="E3216" s="23"/>
    </row>
    <row r="3217">
      <c r="E3217" s="23"/>
    </row>
    <row r="3218">
      <c r="E3218" s="23"/>
    </row>
    <row r="3219">
      <c r="E3219" s="23"/>
    </row>
    <row r="3220">
      <c r="E3220" s="23"/>
    </row>
    <row r="3221">
      <c r="E3221" s="23"/>
    </row>
    <row r="3222">
      <c r="E3222" s="23"/>
    </row>
    <row r="3223">
      <c r="E3223" s="23"/>
    </row>
    <row r="3224">
      <c r="E3224" s="23"/>
    </row>
    <row r="3225">
      <c r="E3225" s="23"/>
    </row>
    <row r="3226">
      <c r="E3226" s="23"/>
    </row>
    <row r="3227">
      <c r="E3227" s="23"/>
    </row>
    <row r="3228">
      <c r="E3228" s="23"/>
    </row>
    <row r="3229">
      <c r="E3229" s="23"/>
    </row>
    <row r="3230">
      <c r="E3230" s="23"/>
    </row>
    <row r="3231">
      <c r="E3231" s="23"/>
    </row>
    <row r="3232">
      <c r="E3232" s="23"/>
    </row>
    <row r="3233">
      <c r="E3233" s="23"/>
    </row>
    <row r="3234">
      <c r="E3234" s="23"/>
    </row>
    <row r="3235">
      <c r="E3235" s="23"/>
    </row>
    <row r="3236">
      <c r="E3236" s="23"/>
    </row>
    <row r="3237">
      <c r="E3237" s="23"/>
    </row>
    <row r="3238">
      <c r="E3238" s="23"/>
    </row>
    <row r="3239">
      <c r="E3239" s="23"/>
    </row>
    <row r="3240">
      <c r="E3240" s="23"/>
    </row>
    <row r="3241">
      <c r="E3241" s="23"/>
    </row>
    <row r="3242">
      <c r="E3242" s="23"/>
    </row>
    <row r="3243">
      <c r="E3243" s="23"/>
    </row>
    <row r="3244">
      <c r="E3244" s="23"/>
    </row>
    <row r="3245">
      <c r="E3245" s="23"/>
    </row>
    <row r="3246">
      <c r="E3246" s="23"/>
    </row>
    <row r="3247">
      <c r="E3247" s="23"/>
    </row>
    <row r="3248">
      <c r="E3248" s="23"/>
    </row>
    <row r="3249">
      <c r="E3249" s="23"/>
    </row>
    <row r="3250">
      <c r="E3250" s="23"/>
    </row>
    <row r="3251">
      <c r="E3251" s="23"/>
    </row>
    <row r="3252">
      <c r="E3252" s="23"/>
    </row>
    <row r="3253">
      <c r="E3253" s="23"/>
    </row>
    <row r="3254">
      <c r="E3254" s="23"/>
    </row>
    <row r="3255">
      <c r="E3255" s="23"/>
    </row>
    <row r="3256">
      <c r="E3256" s="23"/>
    </row>
    <row r="3257">
      <c r="E3257" s="23"/>
    </row>
    <row r="3258">
      <c r="E3258" s="23"/>
    </row>
    <row r="3259">
      <c r="E3259" s="23"/>
    </row>
    <row r="3260">
      <c r="E3260" s="23"/>
    </row>
    <row r="3261">
      <c r="E3261" s="23"/>
    </row>
    <row r="3262">
      <c r="E3262" s="23"/>
    </row>
    <row r="3263">
      <c r="E3263" s="23"/>
    </row>
    <row r="3264">
      <c r="E3264" s="23"/>
    </row>
    <row r="3265">
      <c r="E3265" s="23"/>
    </row>
    <row r="3266">
      <c r="E3266" s="23"/>
    </row>
    <row r="3267">
      <c r="E3267" s="23"/>
    </row>
    <row r="3268">
      <c r="E3268" s="23"/>
    </row>
    <row r="3269">
      <c r="E3269" s="23"/>
    </row>
    <row r="3270">
      <c r="E3270" s="23"/>
    </row>
    <row r="3271">
      <c r="E3271" s="23"/>
    </row>
    <row r="3272">
      <c r="E3272" s="23"/>
    </row>
    <row r="3273">
      <c r="E3273" s="23"/>
    </row>
    <row r="3274">
      <c r="E3274" s="23"/>
    </row>
    <row r="3275">
      <c r="E3275" s="23"/>
    </row>
    <row r="3276">
      <c r="E3276" s="23"/>
    </row>
    <row r="3277">
      <c r="E3277" s="23"/>
    </row>
    <row r="3278">
      <c r="E3278" s="23"/>
    </row>
    <row r="3279">
      <c r="E3279" s="23"/>
    </row>
    <row r="3280">
      <c r="E3280" s="23"/>
    </row>
    <row r="3281">
      <c r="E3281" s="23"/>
    </row>
    <row r="3282">
      <c r="E3282" s="23"/>
    </row>
    <row r="3283">
      <c r="E3283" s="23"/>
    </row>
    <row r="3284">
      <c r="E3284" s="23"/>
    </row>
    <row r="3285">
      <c r="E3285" s="23"/>
    </row>
    <row r="3286">
      <c r="E3286" s="23"/>
    </row>
    <row r="3287">
      <c r="E3287" s="23"/>
    </row>
    <row r="3288">
      <c r="E3288" s="23"/>
    </row>
    <row r="3289">
      <c r="E3289" s="23"/>
    </row>
    <row r="3290">
      <c r="E3290" s="23"/>
    </row>
    <row r="3291">
      <c r="E3291" s="23"/>
    </row>
    <row r="3292">
      <c r="E3292" s="23"/>
    </row>
    <row r="3293">
      <c r="E3293" s="23"/>
    </row>
    <row r="3294">
      <c r="E3294" s="23"/>
    </row>
    <row r="3295">
      <c r="E3295" s="23"/>
    </row>
    <row r="3296">
      <c r="E3296" s="23"/>
    </row>
    <row r="3297">
      <c r="E3297" s="23"/>
    </row>
    <row r="3298">
      <c r="E3298" s="23"/>
    </row>
    <row r="3299">
      <c r="E3299" s="23"/>
    </row>
    <row r="3300">
      <c r="E3300" s="23"/>
    </row>
    <row r="3301">
      <c r="E3301" s="23"/>
    </row>
    <row r="3302">
      <c r="E3302" s="23"/>
    </row>
    <row r="3303">
      <c r="E3303" s="23"/>
    </row>
    <row r="3304">
      <c r="E3304" s="23"/>
    </row>
    <row r="3305">
      <c r="E3305" s="23"/>
    </row>
    <row r="3306">
      <c r="E3306" s="23"/>
    </row>
    <row r="3307">
      <c r="E3307" s="23"/>
    </row>
    <row r="3308">
      <c r="E3308" s="23"/>
    </row>
    <row r="3309">
      <c r="E3309" s="23"/>
    </row>
    <row r="3310">
      <c r="E3310" s="23"/>
    </row>
    <row r="3311">
      <c r="E3311" s="23"/>
    </row>
    <row r="3312">
      <c r="E3312" s="23"/>
    </row>
    <row r="3313">
      <c r="E3313" s="23"/>
    </row>
    <row r="3314">
      <c r="E3314" s="23"/>
    </row>
    <row r="3315">
      <c r="E3315" s="23"/>
    </row>
    <row r="3316">
      <c r="E3316" s="23"/>
    </row>
    <row r="3317">
      <c r="E3317" s="23"/>
    </row>
    <row r="3318">
      <c r="E3318" s="23"/>
    </row>
    <row r="3319">
      <c r="E3319" s="23"/>
    </row>
    <row r="3320">
      <c r="E3320" s="23"/>
    </row>
    <row r="3321">
      <c r="E3321" s="23"/>
    </row>
    <row r="3322">
      <c r="E3322" s="23"/>
    </row>
    <row r="3323">
      <c r="E3323" s="23"/>
    </row>
    <row r="3324">
      <c r="E3324" s="23"/>
    </row>
    <row r="3325">
      <c r="E3325" s="23"/>
    </row>
    <row r="3326">
      <c r="E3326" s="23"/>
    </row>
    <row r="3327">
      <c r="E3327" s="23"/>
    </row>
    <row r="3328">
      <c r="E3328" s="23"/>
    </row>
    <row r="3329">
      <c r="E3329" s="23"/>
    </row>
    <row r="3330">
      <c r="E3330" s="23"/>
    </row>
    <row r="3331">
      <c r="E3331" s="23"/>
    </row>
    <row r="3332">
      <c r="E3332" s="23"/>
    </row>
    <row r="3333">
      <c r="E3333" s="23"/>
    </row>
    <row r="3334">
      <c r="E3334" s="23"/>
    </row>
    <row r="3335">
      <c r="E3335" s="23"/>
    </row>
    <row r="3336">
      <c r="E3336" s="23"/>
    </row>
    <row r="3337">
      <c r="E3337" s="23"/>
    </row>
    <row r="3338">
      <c r="E3338" s="23"/>
    </row>
    <row r="3339">
      <c r="E3339" s="23"/>
    </row>
    <row r="3340">
      <c r="E3340" s="23"/>
    </row>
    <row r="3341">
      <c r="E3341" s="23"/>
    </row>
    <row r="3342">
      <c r="E3342" s="23"/>
    </row>
    <row r="3343">
      <c r="E3343" s="23"/>
    </row>
    <row r="3344">
      <c r="E3344" s="23"/>
    </row>
    <row r="3345">
      <c r="E3345" s="23"/>
    </row>
    <row r="3346">
      <c r="E3346" s="23"/>
    </row>
    <row r="3347">
      <c r="E3347" s="23"/>
    </row>
    <row r="3348">
      <c r="E3348" s="23"/>
    </row>
    <row r="3349">
      <c r="E3349" s="23"/>
    </row>
    <row r="3350">
      <c r="E3350" s="23"/>
    </row>
    <row r="3351">
      <c r="E3351" s="23"/>
    </row>
    <row r="3352">
      <c r="E3352" s="23"/>
    </row>
    <row r="3353">
      <c r="E3353" s="23"/>
    </row>
    <row r="3354">
      <c r="E3354" s="23"/>
    </row>
    <row r="3355">
      <c r="E3355" s="23"/>
    </row>
    <row r="3356">
      <c r="E3356" s="23"/>
    </row>
    <row r="3357">
      <c r="E3357" s="23"/>
    </row>
    <row r="3358">
      <c r="E3358" s="23"/>
    </row>
    <row r="3359">
      <c r="E3359" s="23"/>
    </row>
    <row r="3360">
      <c r="E3360" s="23"/>
    </row>
    <row r="3361">
      <c r="E3361" s="23"/>
    </row>
    <row r="3362">
      <c r="E3362" s="23"/>
    </row>
    <row r="3363">
      <c r="E3363" s="23"/>
    </row>
    <row r="3364">
      <c r="E3364" s="2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8.29"/>
    <col customWidth="1" min="2" max="2" width="14.57"/>
    <col customWidth="1" min="3" max="3" width="7.14"/>
    <col customWidth="1" min="4" max="4" width="9.0"/>
    <col customWidth="1" min="5" max="5" width="7.14"/>
  </cols>
  <sheetData>
    <row r="1">
      <c r="A1" s="2" t="s">
        <v>1</v>
      </c>
      <c r="B1" s="2" t="s">
        <v>3</v>
      </c>
      <c r="C1" s="2" t="s">
        <v>4</v>
      </c>
      <c r="D1" s="2" t="s">
        <v>6</v>
      </c>
      <c r="E1" s="26" t="s">
        <v>7</v>
      </c>
    </row>
    <row r="2">
      <c r="A2" s="8" t="s">
        <v>3152</v>
      </c>
      <c r="B2" s="8" t="s">
        <v>196</v>
      </c>
      <c r="C2" s="8" t="s">
        <v>65</v>
      </c>
      <c r="D2" s="18" t="s">
        <v>2558</v>
      </c>
      <c r="E2" s="16">
        <v>68.0</v>
      </c>
    </row>
    <row r="3">
      <c r="A3" s="8" t="s">
        <v>3153</v>
      </c>
      <c r="B3" s="8" t="s">
        <v>3154</v>
      </c>
      <c r="C3" s="8" t="s">
        <v>138</v>
      </c>
      <c r="D3" s="18" t="s">
        <v>2621</v>
      </c>
      <c r="E3" s="16">
        <v>60.0</v>
      </c>
    </row>
    <row r="4">
      <c r="A4" s="8" t="s">
        <v>3511</v>
      </c>
      <c r="B4" s="8" t="s">
        <v>3512</v>
      </c>
      <c r="C4" s="8" t="s">
        <v>80</v>
      </c>
      <c r="D4" s="18" t="s">
        <v>2581</v>
      </c>
      <c r="E4" s="16">
        <v>76.0</v>
      </c>
    </row>
    <row r="5">
      <c r="A5" s="8" t="s">
        <v>1068</v>
      </c>
      <c r="B5" s="8" t="s">
        <v>1069</v>
      </c>
      <c r="C5" s="8" t="s">
        <v>70</v>
      </c>
      <c r="D5" s="18" t="s">
        <v>2554</v>
      </c>
      <c r="E5" s="16">
        <v>78.0</v>
      </c>
    </row>
    <row r="6">
      <c r="A6" s="8" t="s">
        <v>629</v>
      </c>
      <c r="B6" s="8" t="s">
        <v>630</v>
      </c>
      <c r="C6" s="8" t="s">
        <v>132</v>
      </c>
      <c r="D6" s="18" t="s">
        <v>2562</v>
      </c>
      <c r="E6" s="16">
        <v>68.0</v>
      </c>
    </row>
    <row r="7">
      <c r="A7" s="8" t="s">
        <v>2643</v>
      </c>
      <c r="B7" s="8" t="s">
        <v>41</v>
      </c>
      <c r="C7" s="8" t="s">
        <v>59</v>
      </c>
      <c r="D7" s="18" t="s">
        <v>2605</v>
      </c>
      <c r="E7" s="16">
        <v>75.0</v>
      </c>
    </row>
    <row r="8">
      <c r="A8" s="8" t="s">
        <v>2644</v>
      </c>
      <c r="B8" s="8" t="s">
        <v>892</v>
      </c>
      <c r="C8" s="8" t="s">
        <v>93</v>
      </c>
      <c r="D8" s="18" t="s">
        <v>2585</v>
      </c>
      <c r="E8" s="16">
        <v>75.0</v>
      </c>
    </row>
    <row r="9">
      <c r="A9" s="8" t="s">
        <v>835</v>
      </c>
      <c r="B9" s="8" t="s">
        <v>1071</v>
      </c>
      <c r="C9" s="8" t="s">
        <v>65</v>
      </c>
      <c r="D9" s="18" t="s">
        <v>2558</v>
      </c>
      <c r="E9" s="16">
        <v>75.0</v>
      </c>
    </row>
    <row r="10">
      <c r="A10" s="8" t="s">
        <v>835</v>
      </c>
      <c r="B10" s="8" t="s">
        <v>712</v>
      </c>
      <c r="C10" s="8" t="s">
        <v>149</v>
      </c>
      <c r="D10" s="18" t="s">
        <v>2562</v>
      </c>
      <c r="E10" s="16">
        <v>73.0</v>
      </c>
    </row>
    <row r="11">
      <c r="A11" s="8" t="s">
        <v>835</v>
      </c>
      <c r="B11" s="8" t="s">
        <v>1072</v>
      </c>
      <c r="C11" s="8" t="s">
        <v>24</v>
      </c>
      <c r="D11" s="18" t="s">
        <v>2566</v>
      </c>
      <c r="E11" s="16">
        <v>66.0</v>
      </c>
    </row>
    <row r="12">
      <c r="A12" s="8" t="s">
        <v>835</v>
      </c>
      <c r="B12" s="8" t="s">
        <v>183</v>
      </c>
      <c r="C12" s="8" t="s">
        <v>192</v>
      </c>
      <c r="D12" s="18" t="s">
        <v>2567</v>
      </c>
      <c r="E12" s="16">
        <v>78.0</v>
      </c>
    </row>
    <row r="13">
      <c r="A13" s="8" t="s">
        <v>457</v>
      </c>
      <c r="B13" s="8" t="s">
        <v>458</v>
      </c>
      <c r="C13" s="8" t="s">
        <v>192</v>
      </c>
      <c r="D13" s="18" t="s">
        <v>2572</v>
      </c>
      <c r="E13" s="16">
        <v>74.0</v>
      </c>
    </row>
    <row r="14">
      <c r="A14" s="8" t="s">
        <v>235</v>
      </c>
      <c r="B14" s="8" t="s">
        <v>3513</v>
      </c>
      <c r="C14" s="8" t="s">
        <v>65</v>
      </c>
      <c r="D14" s="18" t="s">
        <v>2620</v>
      </c>
      <c r="E14" s="16">
        <v>60.0</v>
      </c>
    </row>
    <row r="15">
      <c r="A15" s="8" t="s">
        <v>235</v>
      </c>
      <c r="B15" s="8" t="s">
        <v>236</v>
      </c>
      <c r="C15" s="8" t="s">
        <v>138</v>
      </c>
      <c r="D15" s="18" t="s">
        <v>2574</v>
      </c>
      <c r="E15" s="16">
        <v>76.0</v>
      </c>
    </row>
    <row r="16">
      <c r="A16" s="8" t="s">
        <v>3514</v>
      </c>
      <c r="B16" s="8" t="s">
        <v>3515</v>
      </c>
      <c r="C16" s="8" t="s">
        <v>122</v>
      </c>
      <c r="D16" s="18" t="s">
        <v>2605</v>
      </c>
      <c r="E16" s="16">
        <v>60.0</v>
      </c>
    </row>
    <row r="17">
      <c r="A17" s="8" t="s">
        <v>3155</v>
      </c>
      <c r="B17" s="8" t="s">
        <v>3156</v>
      </c>
      <c r="C17" s="8" t="s">
        <v>93</v>
      </c>
      <c r="D17" s="18" t="s">
        <v>2592</v>
      </c>
      <c r="E17" s="16">
        <v>69.0</v>
      </c>
    </row>
    <row r="18">
      <c r="A18" s="8" t="s">
        <v>1073</v>
      </c>
      <c r="B18" s="8" t="s">
        <v>220</v>
      </c>
      <c r="C18" s="8" t="s">
        <v>65</v>
      </c>
      <c r="D18" s="18" t="s">
        <v>2564</v>
      </c>
      <c r="E18" s="16">
        <v>72.0</v>
      </c>
    </row>
    <row r="19">
      <c r="A19" s="8" t="s">
        <v>2646</v>
      </c>
      <c r="B19" s="8" t="s">
        <v>2647</v>
      </c>
      <c r="C19" s="8" t="s">
        <v>12</v>
      </c>
      <c r="D19" s="18" t="s">
        <v>2592</v>
      </c>
      <c r="E19" s="16">
        <v>79.0</v>
      </c>
    </row>
    <row r="20">
      <c r="A20" s="8" t="s">
        <v>3516</v>
      </c>
      <c r="B20" s="8" t="s">
        <v>3517</v>
      </c>
      <c r="C20" s="8" t="s">
        <v>132</v>
      </c>
      <c r="D20" s="18" t="s">
        <v>2598</v>
      </c>
      <c r="E20" s="16">
        <v>61.0</v>
      </c>
    </row>
    <row r="21">
      <c r="A21" s="8" t="s">
        <v>2648</v>
      </c>
      <c r="B21" s="8" t="s">
        <v>2649</v>
      </c>
      <c r="C21" s="8" t="s">
        <v>65</v>
      </c>
      <c r="D21" s="18" t="s">
        <v>2575</v>
      </c>
      <c r="E21" s="16">
        <v>78.0</v>
      </c>
    </row>
    <row r="22">
      <c r="A22" s="8" t="s">
        <v>632</v>
      </c>
      <c r="B22" s="8" t="s">
        <v>633</v>
      </c>
      <c r="C22" s="8" t="s">
        <v>80</v>
      </c>
      <c r="D22" s="18" t="s">
        <v>2581</v>
      </c>
      <c r="E22" s="16">
        <v>71.0</v>
      </c>
    </row>
    <row r="23">
      <c r="A23" s="8" t="s">
        <v>2650</v>
      </c>
      <c r="B23" s="8" t="s">
        <v>2651</v>
      </c>
      <c r="C23" s="8" t="s">
        <v>70</v>
      </c>
      <c r="D23" s="18" t="s">
        <v>2581</v>
      </c>
      <c r="E23" s="16">
        <v>75.0</v>
      </c>
    </row>
    <row r="24">
      <c r="A24" s="8" t="s">
        <v>1064</v>
      </c>
      <c r="B24" s="8" t="s">
        <v>1204</v>
      </c>
      <c r="C24" s="8" t="s">
        <v>46</v>
      </c>
      <c r="D24" s="18" t="s">
        <v>2581</v>
      </c>
      <c r="E24" s="16">
        <v>80.0</v>
      </c>
    </row>
    <row r="25">
      <c r="A25" s="8" t="s">
        <v>3518</v>
      </c>
      <c r="B25" s="8" t="s">
        <v>3519</v>
      </c>
      <c r="C25" s="8" t="s">
        <v>122</v>
      </c>
      <c r="D25" s="18" t="s">
        <v>2574</v>
      </c>
      <c r="E25" s="16">
        <v>60.0</v>
      </c>
    </row>
    <row r="26">
      <c r="A26" s="8" t="s">
        <v>57</v>
      </c>
      <c r="B26" s="18" t="s">
        <v>529</v>
      </c>
      <c r="C26" s="8" t="s">
        <v>186</v>
      </c>
      <c r="D26" s="18" t="s">
        <v>2183</v>
      </c>
      <c r="E26" s="16">
        <v>56.0</v>
      </c>
    </row>
    <row r="27">
      <c r="A27" s="8" t="s">
        <v>57</v>
      </c>
      <c r="B27" s="8" t="s">
        <v>172</v>
      </c>
      <c r="C27" s="8" t="s">
        <v>186</v>
      </c>
      <c r="D27" s="18" t="s">
        <v>2615</v>
      </c>
      <c r="E27" s="16">
        <v>58.0</v>
      </c>
    </row>
    <row r="28">
      <c r="A28" s="8" t="s">
        <v>57</v>
      </c>
      <c r="B28" s="8" t="s">
        <v>1354</v>
      </c>
      <c r="C28" s="8" t="s">
        <v>186</v>
      </c>
      <c r="D28" s="18" t="s">
        <v>2592</v>
      </c>
      <c r="E28" s="16">
        <v>76.0</v>
      </c>
    </row>
    <row r="29">
      <c r="A29" s="8" t="s">
        <v>57</v>
      </c>
      <c r="B29" s="8" t="s">
        <v>58</v>
      </c>
      <c r="C29" s="8" t="s">
        <v>53</v>
      </c>
      <c r="D29" s="18" t="s">
        <v>2587</v>
      </c>
      <c r="E29" s="16">
        <v>72.0</v>
      </c>
    </row>
    <row r="30">
      <c r="A30" s="8" t="s">
        <v>57</v>
      </c>
      <c r="B30" s="8" t="s">
        <v>1353</v>
      </c>
      <c r="C30" s="8" t="s">
        <v>93</v>
      </c>
      <c r="D30" s="18" t="s">
        <v>2552</v>
      </c>
      <c r="E30" s="16">
        <v>75.0</v>
      </c>
    </row>
    <row r="31">
      <c r="A31" s="8" t="s">
        <v>57</v>
      </c>
      <c r="B31" s="8" t="s">
        <v>634</v>
      </c>
      <c r="C31" s="8" t="s">
        <v>192</v>
      </c>
      <c r="D31" s="18" t="s">
        <v>2593</v>
      </c>
      <c r="E31" s="16">
        <v>69.0</v>
      </c>
    </row>
    <row r="32">
      <c r="A32" s="8" t="s">
        <v>57</v>
      </c>
      <c r="B32" s="8" t="s">
        <v>2654</v>
      </c>
      <c r="C32" s="8" t="s">
        <v>132</v>
      </c>
      <c r="D32" s="18" t="s">
        <v>2556</v>
      </c>
      <c r="E32" s="16">
        <v>66.0</v>
      </c>
    </row>
    <row r="33">
      <c r="A33" s="8" t="s">
        <v>336</v>
      </c>
      <c r="B33" s="8" t="s">
        <v>236</v>
      </c>
      <c r="C33" s="8" t="s">
        <v>65</v>
      </c>
      <c r="D33" s="18" t="s">
        <v>2610</v>
      </c>
      <c r="E33" s="16">
        <v>59.0</v>
      </c>
    </row>
    <row r="34">
      <c r="A34" s="8" t="s">
        <v>336</v>
      </c>
      <c r="B34" s="8" t="s">
        <v>337</v>
      </c>
      <c r="C34" s="8" t="s">
        <v>93</v>
      </c>
      <c r="D34" s="18" t="s">
        <v>2598</v>
      </c>
      <c r="E34" s="16">
        <v>77.0</v>
      </c>
    </row>
    <row r="35">
      <c r="A35" s="8" t="s">
        <v>460</v>
      </c>
      <c r="B35" s="8" t="s">
        <v>245</v>
      </c>
      <c r="C35" s="8" t="s">
        <v>80</v>
      </c>
      <c r="D35" s="18" t="s">
        <v>2562</v>
      </c>
      <c r="E35" s="16">
        <v>79.0</v>
      </c>
    </row>
    <row r="36">
      <c r="A36" s="8" t="s">
        <v>460</v>
      </c>
      <c r="B36" s="8" t="s">
        <v>479</v>
      </c>
      <c r="C36" s="8" t="s">
        <v>122</v>
      </c>
      <c r="D36" s="18" t="s">
        <v>2564</v>
      </c>
      <c r="E36" s="16">
        <v>65.0</v>
      </c>
    </row>
    <row r="37">
      <c r="A37" s="8" t="s">
        <v>460</v>
      </c>
      <c r="B37" s="8" t="s">
        <v>121</v>
      </c>
      <c r="C37" s="8" t="s">
        <v>16</v>
      </c>
      <c r="D37" s="18" t="s">
        <v>2584</v>
      </c>
      <c r="E37" s="16">
        <v>65.0</v>
      </c>
    </row>
    <row r="38">
      <c r="A38" s="8" t="s">
        <v>460</v>
      </c>
      <c r="B38" s="8" t="s">
        <v>273</v>
      </c>
      <c r="C38" s="8" t="s">
        <v>24</v>
      </c>
      <c r="D38" s="18" t="s">
        <v>2567</v>
      </c>
      <c r="E38" s="16">
        <v>80.0</v>
      </c>
    </row>
    <row r="39">
      <c r="A39" s="8" t="s">
        <v>460</v>
      </c>
      <c r="B39" s="8" t="s">
        <v>360</v>
      </c>
      <c r="C39" s="8" t="s">
        <v>141</v>
      </c>
      <c r="D39" s="18" t="s">
        <v>2595</v>
      </c>
      <c r="E39" s="16">
        <v>59.0</v>
      </c>
    </row>
    <row r="40">
      <c r="A40" s="8" t="s">
        <v>460</v>
      </c>
      <c r="B40" s="8" t="s">
        <v>635</v>
      </c>
      <c r="C40" s="8" t="s">
        <v>70</v>
      </c>
      <c r="D40" s="18" t="s">
        <v>2575</v>
      </c>
      <c r="E40" s="16">
        <v>74.0</v>
      </c>
    </row>
    <row r="41">
      <c r="A41" s="8" t="s">
        <v>460</v>
      </c>
      <c r="B41" s="8" t="s">
        <v>712</v>
      </c>
      <c r="C41" s="8" t="s">
        <v>132</v>
      </c>
      <c r="D41" s="18" t="s">
        <v>2562</v>
      </c>
      <c r="E41" s="16">
        <v>78.0</v>
      </c>
    </row>
    <row r="42">
      <c r="A42" s="8" t="s">
        <v>460</v>
      </c>
      <c r="B42" s="8" t="s">
        <v>301</v>
      </c>
      <c r="C42" s="8" t="s">
        <v>141</v>
      </c>
      <c r="D42" s="18" t="s">
        <v>2592</v>
      </c>
      <c r="E42" s="16">
        <v>62.0</v>
      </c>
    </row>
    <row r="43">
      <c r="A43" s="8" t="s">
        <v>460</v>
      </c>
      <c r="B43" s="8" t="s">
        <v>839</v>
      </c>
      <c r="C43" s="8" t="s">
        <v>65</v>
      </c>
      <c r="D43" s="18" t="s">
        <v>2572</v>
      </c>
      <c r="E43" s="16">
        <v>88.0</v>
      </c>
    </row>
    <row r="44">
      <c r="A44" s="8" t="s">
        <v>460</v>
      </c>
      <c r="B44" s="8" t="s">
        <v>317</v>
      </c>
      <c r="C44" s="8" t="s">
        <v>192</v>
      </c>
      <c r="D44" s="18" t="s">
        <v>2556</v>
      </c>
      <c r="E44" s="16">
        <v>77.0</v>
      </c>
    </row>
    <row r="45">
      <c r="A45" s="8" t="s">
        <v>460</v>
      </c>
      <c r="B45" s="8" t="s">
        <v>3520</v>
      </c>
      <c r="C45" s="8" t="s">
        <v>24</v>
      </c>
      <c r="D45" s="18" t="s">
        <v>2595</v>
      </c>
      <c r="E45" s="16">
        <v>62.0</v>
      </c>
    </row>
    <row r="46">
      <c r="A46" s="8" t="s">
        <v>460</v>
      </c>
      <c r="B46" s="8" t="s">
        <v>840</v>
      </c>
      <c r="C46" s="8" t="s">
        <v>80</v>
      </c>
      <c r="D46" s="18" t="s">
        <v>2598</v>
      </c>
      <c r="E46" s="16">
        <v>75.0</v>
      </c>
    </row>
    <row r="47">
      <c r="A47" s="8" t="s">
        <v>460</v>
      </c>
      <c r="B47" s="8" t="s">
        <v>67</v>
      </c>
      <c r="C47" s="8" t="s">
        <v>38</v>
      </c>
      <c r="D47" s="18" t="s">
        <v>2600</v>
      </c>
      <c r="E47" s="16">
        <v>78.0</v>
      </c>
    </row>
    <row r="48">
      <c r="A48" s="8" t="s">
        <v>460</v>
      </c>
      <c r="B48" s="8" t="s">
        <v>3521</v>
      </c>
      <c r="C48" s="8" t="s">
        <v>65</v>
      </c>
      <c r="D48" s="18" t="s">
        <v>2572</v>
      </c>
      <c r="E48" s="16">
        <v>63.0</v>
      </c>
    </row>
    <row r="49">
      <c r="A49" s="8" t="s">
        <v>1357</v>
      </c>
      <c r="B49" s="8" t="s">
        <v>1358</v>
      </c>
      <c r="C49" s="8" t="s">
        <v>65</v>
      </c>
      <c r="D49" s="18" t="s">
        <v>2558</v>
      </c>
      <c r="E49" s="16">
        <v>61.0</v>
      </c>
    </row>
    <row r="50">
      <c r="A50" s="8" t="s">
        <v>461</v>
      </c>
      <c r="B50" s="8" t="s">
        <v>462</v>
      </c>
      <c r="C50" s="8" t="s">
        <v>186</v>
      </c>
      <c r="D50" s="18" t="s">
        <v>2581</v>
      </c>
      <c r="E50" s="16">
        <v>76.0</v>
      </c>
    </row>
    <row r="51">
      <c r="A51" s="8" t="s">
        <v>187</v>
      </c>
      <c r="B51" s="8" t="s">
        <v>188</v>
      </c>
      <c r="C51" s="8" t="s">
        <v>122</v>
      </c>
      <c r="D51" s="18" t="s">
        <v>2584</v>
      </c>
      <c r="E51" s="16">
        <v>76.0</v>
      </c>
    </row>
    <row r="52">
      <c r="A52" s="8" t="s">
        <v>2656</v>
      </c>
      <c r="B52" s="8" t="s">
        <v>2425</v>
      </c>
      <c r="C52" s="8" t="s">
        <v>24</v>
      </c>
      <c r="D52" s="18" t="s">
        <v>2560</v>
      </c>
      <c r="E52" s="16">
        <v>74.0</v>
      </c>
    </row>
    <row r="53">
      <c r="A53" s="8" t="s">
        <v>133</v>
      </c>
      <c r="B53" s="8" t="s">
        <v>134</v>
      </c>
      <c r="C53" s="8" t="s">
        <v>65</v>
      </c>
      <c r="D53" s="18" t="s">
        <v>2600</v>
      </c>
      <c r="E53" s="16">
        <v>83.0</v>
      </c>
    </row>
    <row r="54">
      <c r="A54" s="8" t="s">
        <v>841</v>
      </c>
      <c r="B54" s="8" t="s">
        <v>506</v>
      </c>
      <c r="C54" s="8" t="s">
        <v>93</v>
      </c>
      <c r="D54" s="18" t="s">
        <v>2556</v>
      </c>
      <c r="E54" s="16">
        <v>84.0</v>
      </c>
    </row>
    <row r="55">
      <c r="A55" s="8" t="s">
        <v>1074</v>
      </c>
      <c r="B55" s="8" t="s">
        <v>127</v>
      </c>
      <c r="C55" s="8" t="s">
        <v>80</v>
      </c>
      <c r="D55" s="18" t="s">
        <v>2605</v>
      </c>
      <c r="E55" s="16">
        <v>77.0</v>
      </c>
    </row>
    <row r="56">
      <c r="A56" s="8" t="s">
        <v>339</v>
      </c>
      <c r="B56" s="8" t="s">
        <v>340</v>
      </c>
      <c r="C56" s="8" t="s">
        <v>93</v>
      </c>
      <c r="D56" s="18" t="s">
        <v>2584</v>
      </c>
      <c r="E56" s="16">
        <v>83.0</v>
      </c>
    </row>
    <row r="57">
      <c r="A57" s="8" t="s">
        <v>636</v>
      </c>
      <c r="B57" s="8" t="s">
        <v>3522</v>
      </c>
      <c r="C57" s="8" t="s">
        <v>24</v>
      </c>
      <c r="D57" s="18" t="s">
        <v>2585</v>
      </c>
      <c r="E57" s="16">
        <v>64.0</v>
      </c>
    </row>
    <row r="58">
      <c r="A58" s="8" t="s">
        <v>636</v>
      </c>
      <c r="B58" s="18" t="s">
        <v>521</v>
      </c>
      <c r="C58" s="8" t="s">
        <v>70</v>
      </c>
      <c r="D58" s="18" t="s">
        <v>2620</v>
      </c>
      <c r="E58" s="16">
        <v>84.0</v>
      </c>
    </row>
    <row r="59">
      <c r="A59" s="8" t="s">
        <v>636</v>
      </c>
      <c r="B59" s="8" t="s">
        <v>219</v>
      </c>
      <c r="C59" s="8" t="s">
        <v>192</v>
      </c>
      <c r="D59" s="18" t="s">
        <v>2587</v>
      </c>
      <c r="E59" s="16">
        <v>71.0</v>
      </c>
    </row>
    <row r="60">
      <c r="A60" s="8" t="s">
        <v>636</v>
      </c>
      <c r="B60" s="8" t="s">
        <v>3523</v>
      </c>
      <c r="C60" s="8" t="s">
        <v>215</v>
      </c>
      <c r="D60" s="18" t="s">
        <v>2558</v>
      </c>
      <c r="E60" s="16">
        <v>57.0</v>
      </c>
    </row>
    <row r="61">
      <c r="A61" s="8" t="s">
        <v>636</v>
      </c>
      <c r="B61" s="8" t="s">
        <v>493</v>
      </c>
      <c r="C61" s="8" t="s">
        <v>16</v>
      </c>
      <c r="D61" s="18" t="s">
        <v>2574</v>
      </c>
      <c r="E61" s="16">
        <v>70.0</v>
      </c>
    </row>
    <row r="62">
      <c r="A62" s="8" t="s">
        <v>636</v>
      </c>
      <c r="B62" s="8" t="s">
        <v>2657</v>
      </c>
      <c r="C62" s="8" t="s">
        <v>65</v>
      </c>
      <c r="D62" s="18" t="s">
        <v>2585</v>
      </c>
      <c r="E62" s="16">
        <v>62.0</v>
      </c>
    </row>
    <row r="63">
      <c r="A63" s="8" t="s">
        <v>636</v>
      </c>
      <c r="B63" s="8" t="s">
        <v>637</v>
      </c>
      <c r="C63" s="8" t="s">
        <v>138</v>
      </c>
      <c r="D63" s="18" t="s">
        <v>2567</v>
      </c>
      <c r="E63" s="16">
        <v>76.0</v>
      </c>
    </row>
    <row r="64">
      <c r="A64" s="8" t="s">
        <v>636</v>
      </c>
      <c r="B64" s="8" t="s">
        <v>842</v>
      </c>
      <c r="C64" s="8" t="s">
        <v>186</v>
      </c>
      <c r="D64" s="18" t="s">
        <v>2605</v>
      </c>
      <c r="E64" s="16">
        <v>66.0</v>
      </c>
    </row>
    <row r="65">
      <c r="A65" s="8" t="s">
        <v>636</v>
      </c>
      <c r="B65" s="8" t="s">
        <v>1075</v>
      </c>
      <c r="C65" s="8" t="s">
        <v>65</v>
      </c>
      <c r="D65" s="18" t="s">
        <v>2560</v>
      </c>
      <c r="E65" s="16">
        <v>63.0</v>
      </c>
    </row>
    <row r="66">
      <c r="A66" s="8" t="s">
        <v>636</v>
      </c>
      <c r="B66" s="8" t="s">
        <v>88</v>
      </c>
      <c r="C66" s="8" t="s">
        <v>24</v>
      </c>
      <c r="D66" s="18" t="s">
        <v>2562</v>
      </c>
      <c r="E66" s="16">
        <v>63.0</v>
      </c>
    </row>
    <row r="67">
      <c r="A67" s="8" t="s">
        <v>638</v>
      </c>
      <c r="B67" s="8" t="s">
        <v>245</v>
      </c>
      <c r="C67" s="8" t="s">
        <v>70</v>
      </c>
      <c r="D67" s="18" t="s">
        <v>2621</v>
      </c>
      <c r="E67" s="16">
        <v>76.0</v>
      </c>
    </row>
    <row r="68">
      <c r="A68" s="8" t="s">
        <v>638</v>
      </c>
      <c r="B68" s="8" t="s">
        <v>506</v>
      </c>
      <c r="C68" s="8" t="s">
        <v>141</v>
      </c>
      <c r="D68" s="18" t="s">
        <v>2600</v>
      </c>
      <c r="E68" s="16">
        <v>71.0</v>
      </c>
    </row>
    <row r="69">
      <c r="A69" s="8" t="s">
        <v>638</v>
      </c>
      <c r="B69" s="8" t="s">
        <v>301</v>
      </c>
      <c r="C69" s="8" t="s">
        <v>141</v>
      </c>
      <c r="D69" s="18" t="s">
        <v>2564</v>
      </c>
      <c r="E69" s="16">
        <v>60.0</v>
      </c>
    </row>
    <row r="70">
      <c r="A70" s="8" t="s">
        <v>2658</v>
      </c>
      <c r="B70" s="8" t="s">
        <v>354</v>
      </c>
      <c r="C70" s="8" t="s">
        <v>38</v>
      </c>
      <c r="D70" s="18" t="s">
        <v>2592</v>
      </c>
      <c r="E70" s="16">
        <v>82.0</v>
      </c>
    </row>
    <row r="71">
      <c r="A71" s="8" t="s">
        <v>3524</v>
      </c>
      <c r="B71" s="8" t="s">
        <v>647</v>
      </c>
      <c r="C71" s="8" t="s">
        <v>24</v>
      </c>
      <c r="D71" s="18" t="s">
        <v>2587</v>
      </c>
      <c r="E71" s="16">
        <v>63.0</v>
      </c>
    </row>
    <row r="72">
      <c r="A72" s="8" t="s">
        <v>341</v>
      </c>
      <c r="B72" s="8" t="s">
        <v>342</v>
      </c>
      <c r="C72" s="8" t="s">
        <v>215</v>
      </c>
      <c r="D72" s="18" t="s">
        <v>2554</v>
      </c>
      <c r="E72" s="16">
        <v>90.0</v>
      </c>
    </row>
    <row r="73">
      <c r="A73" s="8" t="s">
        <v>212</v>
      </c>
      <c r="B73" s="8" t="s">
        <v>2659</v>
      </c>
      <c r="C73" s="8" t="s">
        <v>53</v>
      </c>
      <c r="D73" s="18" t="s">
        <v>2595</v>
      </c>
      <c r="E73" s="16">
        <v>74.0</v>
      </c>
    </row>
    <row r="74">
      <c r="A74" s="8" t="s">
        <v>3525</v>
      </c>
      <c r="B74" s="8" t="s">
        <v>197</v>
      </c>
      <c r="C74" s="8" t="s">
        <v>65</v>
      </c>
      <c r="D74" s="18" t="s">
        <v>2567</v>
      </c>
      <c r="E74" s="16">
        <v>60.0</v>
      </c>
    </row>
    <row r="75">
      <c r="A75" s="8" t="s">
        <v>3526</v>
      </c>
      <c r="B75" s="8" t="s">
        <v>333</v>
      </c>
      <c r="C75" s="8" t="s">
        <v>59</v>
      </c>
      <c r="D75" s="18" t="s">
        <v>2620</v>
      </c>
      <c r="E75" s="16">
        <v>57.0</v>
      </c>
    </row>
    <row r="76">
      <c r="A76" s="8" t="s">
        <v>1684</v>
      </c>
      <c r="B76" s="8" t="s">
        <v>29</v>
      </c>
      <c r="C76" s="8" t="s">
        <v>93</v>
      </c>
      <c r="D76" s="18" t="s">
        <v>2566</v>
      </c>
      <c r="E76" s="16">
        <v>76.0</v>
      </c>
    </row>
    <row r="77">
      <c r="A77" s="8" t="s">
        <v>3527</v>
      </c>
      <c r="B77" s="8" t="s">
        <v>3528</v>
      </c>
      <c r="C77" s="8" t="s">
        <v>93</v>
      </c>
      <c r="D77" s="18" t="s">
        <v>2587</v>
      </c>
      <c r="E77" s="16">
        <v>73.0</v>
      </c>
    </row>
    <row r="78">
      <c r="A78" s="8" t="s">
        <v>3529</v>
      </c>
      <c r="B78" s="8" t="s">
        <v>506</v>
      </c>
      <c r="C78" s="8" t="s">
        <v>75</v>
      </c>
      <c r="D78" s="18" t="s">
        <v>2593</v>
      </c>
      <c r="E78" s="16">
        <v>63.0</v>
      </c>
    </row>
    <row r="79">
      <c r="A79" s="8" t="s">
        <v>2660</v>
      </c>
      <c r="B79" s="8" t="s">
        <v>2661</v>
      </c>
      <c r="C79" s="8" t="s">
        <v>186</v>
      </c>
      <c r="D79" s="18" t="s">
        <v>2584</v>
      </c>
      <c r="E79" s="16">
        <v>57.0</v>
      </c>
    </row>
    <row r="80">
      <c r="A80" s="8" t="s">
        <v>639</v>
      </c>
      <c r="B80" s="8" t="s">
        <v>1363</v>
      </c>
      <c r="C80" s="8" t="s">
        <v>138</v>
      </c>
      <c r="D80" s="18" t="s">
        <v>2585</v>
      </c>
      <c r="E80" s="16">
        <v>77.0</v>
      </c>
    </row>
    <row r="81">
      <c r="A81" s="8" t="s">
        <v>639</v>
      </c>
      <c r="B81" s="8" t="s">
        <v>640</v>
      </c>
      <c r="C81" s="8" t="s">
        <v>46</v>
      </c>
      <c r="D81" s="18" t="s">
        <v>2595</v>
      </c>
      <c r="E81" s="16">
        <v>92.0</v>
      </c>
    </row>
    <row r="82">
      <c r="A82" s="8" t="s">
        <v>641</v>
      </c>
      <c r="B82" s="8" t="s">
        <v>642</v>
      </c>
      <c r="C82" s="8" t="s">
        <v>59</v>
      </c>
      <c r="D82" s="18" t="s">
        <v>2585</v>
      </c>
      <c r="E82" s="16">
        <v>71.0</v>
      </c>
    </row>
    <row r="83">
      <c r="A83" s="8" t="s">
        <v>3530</v>
      </c>
      <c r="B83" s="8" t="s">
        <v>214</v>
      </c>
      <c r="C83" s="8" t="s">
        <v>93</v>
      </c>
      <c r="D83" s="18" t="s">
        <v>2575</v>
      </c>
      <c r="E83" s="16">
        <v>74.0</v>
      </c>
    </row>
    <row r="84">
      <c r="A84" s="8" t="s">
        <v>463</v>
      </c>
      <c r="B84" s="8" t="s">
        <v>52</v>
      </c>
      <c r="C84" s="8" t="s">
        <v>70</v>
      </c>
      <c r="D84" s="18" t="s">
        <v>2574</v>
      </c>
      <c r="E84" s="16">
        <v>70.0</v>
      </c>
    </row>
    <row r="85">
      <c r="A85" s="8" t="s">
        <v>2664</v>
      </c>
      <c r="B85" s="8" t="s">
        <v>33</v>
      </c>
      <c r="C85" s="8" t="s">
        <v>70</v>
      </c>
      <c r="D85" s="18" t="s">
        <v>2552</v>
      </c>
      <c r="E85" s="16">
        <v>73.0</v>
      </c>
    </row>
    <row r="86">
      <c r="A86" s="8" t="s">
        <v>238</v>
      </c>
      <c r="B86" s="8" t="s">
        <v>239</v>
      </c>
      <c r="C86" s="8" t="s">
        <v>122</v>
      </c>
      <c r="D86" s="18" t="s">
        <v>2610</v>
      </c>
      <c r="E86" s="16">
        <v>94.0</v>
      </c>
    </row>
    <row r="87">
      <c r="A87" s="8" t="s">
        <v>3157</v>
      </c>
      <c r="B87" s="8" t="s">
        <v>546</v>
      </c>
      <c r="C87" s="8" t="s">
        <v>70</v>
      </c>
      <c r="D87" s="18" t="s">
        <v>2556</v>
      </c>
      <c r="E87" s="16">
        <v>64.0</v>
      </c>
    </row>
    <row r="88">
      <c r="A88" s="8" t="s">
        <v>1076</v>
      </c>
      <c r="B88" s="8" t="s">
        <v>798</v>
      </c>
      <c r="C88" s="8" t="s">
        <v>53</v>
      </c>
      <c r="D88" s="18" t="s">
        <v>2572</v>
      </c>
      <c r="E88" s="16">
        <v>81.0</v>
      </c>
    </row>
    <row r="89">
      <c r="A89" s="8" t="s">
        <v>3531</v>
      </c>
      <c r="B89" s="8" t="s">
        <v>301</v>
      </c>
      <c r="C89" s="8" t="s">
        <v>192</v>
      </c>
      <c r="D89" s="18" t="s">
        <v>2621</v>
      </c>
      <c r="E89" s="16">
        <v>67.0</v>
      </c>
    </row>
    <row r="90">
      <c r="A90" s="8" t="s">
        <v>464</v>
      </c>
      <c r="B90" s="8" t="s">
        <v>465</v>
      </c>
      <c r="C90" s="8" t="s">
        <v>65</v>
      </c>
      <c r="D90" s="18" t="s">
        <v>2593</v>
      </c>
      <c r="E90" s="16">
        <v>80.0</v>
      </c>
    </row>
    <row r="91">
      <c r="A91" s="8" t="s">
        <v>466</v>
      </c>
      <c r="B91" s="8" t="s">
        <v>467</v>
      </c>
      <c r="C91" s="8" t="s">
        <v>215</v>
      </c>
      <c r="D91" s="18" t="s">
        <v>2556</v>
      </c>
      <c r="E91" s="16">
        <v>63.0</v>
      </c>
    </row>
    <row r="92">
      <c r="A92" s="8" t="s">
        <v>2665</v>
      </c>
      <c r="B92" s="8" t="s">
        <v>2666</v>
      </c>
      <c r="C92" s="8" t="s">
        <v>215</v>
      </c>
      <c r="D92" s="18" t="s">
        <v>2603</v>
      </c>
      <c r="E92" s="16">
        <v>90.0</v>
      </c>
    </row>
    <row r="93">
      <c r="A93" s="8" t="s">
        <v>3532</v>
      </c>
      <c r="B93" s="8" t="s">
        <v>719</v>
      </c>
      <c r="C93" s="8" t="s">
        <v>186</v>
      </c>
      <c r="D93" s="18" t="s">
        <v>2592</v>
      </c>
      <c r="E93" s="16">
        <v>59.0</v>
      </c>
    </row>
    <row r="94">
      <c r="A94" s="8" t="s">
        <v>2667</v>
      </c>
      <c r="B94" s="8" t="s">
        <v>957</v>
      </c>
      <c r="C94" s="8" t="s">
        <v>59</v>
      </c>
      <c r="D94" s="18" t="s">
        <v>2593</v>
      </c>
      <c r="E94" s="16">
        <v>77.0</v>
      </c>
    </row>
    <row r="95">
      <c r="A95" s="8" t="s">
        <v>2667</v>
      </c>
      <c r="B95" s="8" t="s">
        <v>1735</v>
      </c>
      <c r="C95" s="8" t="s">
        <v>65</v>
      </c>
      <c r="D95" s="18" t="s">
        <v>2577</v>
      </c>
      <c r="E95" s="16">
        <v>62.0</v>
      </c>
    </row>
    <row r="96">
      <c r="A96" s="8" t="s">
        <v>3533</v>
      </c>
      <c r="B96" s="8" t="s">
        <v>337</v>
      </c>
      <c r="C96" s="8" t="s">
        <v>138</v>
      </c>
      <c r="D96" s="18" t="s">
        <v>2592</v>
      </c>
      <c r="E96" s="16">
        <v>84.0</v>
      </c>
    </row>
    <row r="97">
      <c r="A97" s="8" t="s">
        <v>3534</v>
      </c>
      <c r="B97" s="8" t="s">
        <v>842</v>
      </c>
      <c r="C97" s="8" t="s">
        <v>122</v>
      </c>
      <c r="D97" s="18" t="s">
        <v>2598</v>
      </c>
      <c r="E97" s="16">
        <v>81.0</v>
      </c>
    </row>
    <row r="98">
      <c r="A98" s="8" t="s">
        <v>3535</v>
      </c>
      <c r="B98" s="8" t="s">
        <v>734</v>
      </c>
      <c r="C98" s="8" t="s">
        <v>24</v>
      </c>
      <c r="D98" s="18" t="s">
        <v>2558</v>
      </c>
      <c r="E98" s="16">
        <v>65.0</v>
      </c>
    </row>
    <row r="99">
      <c r="A99" s="8" t="s">
        <v>468</v>
      </c>
      <c r="B99" s="8" t="s">
        <v>389</v>
      </c>
      <c r="C99" s="8" t="s">
        <v>80</v>
      </c>
      <c r="D99" s="18" t="s">
        <v>2554</v>
      </c>
      <c r="E99" s="16">
        <v>74.0</v>
      </c>
    </row>
    <row r="100">
      <c r="A100" s="8" t="s">
        <v>240</v>
      </c>
      <c r="B100" s="8" t="s">
        <v>460</v>
      </c>
      <c r="C100" s="8" t="s">
        <v>215</v>
      </c>
      <c r="D100" s="18" t="s">
        <v>2183</v>
      </c>
      <c r="E100" s="16">
        <v>79.0</v>
      </c>
    </row>
    <row r="101">
      <c r="A101" s="8" t="s">
        <v>240</v>
      </c>
      <c r="B101" s="8" t="s">
        <v>1853</v>
      </c>
      <c r="C101" s="8" t="s">
        <v>132</v>
      </c>
      <c r="D101" s="18" t="s">
        <v>2615</v>
      </c>
      <c r="E101" s="16">
        <v>71.0</v>
      </c>
    </row>
    <row r="102">
      <c r="A102" s="8" t="s">
        <v>240</v>
      </c>
      <c r="B102" s="8" t="s">
        <v>241</v>
      </c>
      <c r="C102" s="8" t="s">
        <v>12</v>
      </c>
      <c r="D102" s="18" t="s">
        <v>2614</v>
      </c>
      <c r="E102" s="16">
        <v>85.0</v>
      </c>
    </row>
    <row r="103">
      <c r="A103" s="8" t="s">
        <v>240</v>
      </c>
      <c r="B103" s="8" t="s">
        <v>744</v>
      </c>
      <c r="C103" s="8" t="s">
        <v>192</v>
      </c>
      <c r="D103" s="18" t="s">
        <v>2560</v>
      </c>
      <c r="E103" s="16">
        <v>73.0</v>
      </c>
    </row>
    <row r="104">
      <c r="A104" s="8" t="s">
        <v>240</v>
      </c>
      <c r="B104" s="8" t="s">
        <v>1035</v>
      </c>
      <c r="C104" s="8" t="s">
        <v>215</v>
      </c>
      <c r="D104" s="18" t="s">
        <v>2567</v>
      </c>
      <c r="E104" s="16">
        <v>59.0</v>
      </c>
    </row>
    <row r="105">
      <c r="A105" s="8" t="s">
        <v>1891</v>
      </c>
      <c r="B105" s="8" t="s">
        <v>275</v>
      </c>
      <c r="C105" s="8" t="s">
        <v>138</v>
      </c>
      <c r="D105" s="18" t="s">
        <v>2582</v>
      </c>
      <c r="E105" s="16">
        <v>81.0</v>
      </c>
    </row>
    <row r="106">
      <c r="A106" s="8" t="s">
        <v>1891</v>
      </c>
      <c r="B106" s="8" t="s">
        <v>162</v>
      </c>
      <c r="C106" s="8" t="s">
        <v>80</v>
      </c>
      <c r="D106" s="18" t="s">
        <v>2615</v>
      </c>
      <c r="E106" s="16">
        <v>67.0</v>
      </c>
    </row>
    <row r="107">
      <c r="A107" s="8" t="s">
        <v>843</v>
      </c>
      <c r="B107" s="8" t="s">
        <v>506</v>
      </c>
      <c r="C107" s="8" t="s">
        <v>46</v>
      </c>
      <c r="D107" s="18" t="s">
        <v>2558</v>
      </c>
      <c r="E107" s="16">
        <v>79.0</v>
      </c>
    </row>
    <row r="108">
      <c r="A108" s="8" t="s">
        <v>2671</v>
      </c>
      <c r="B108" s="8" t="s">
        <v>397</v>
      </c>
      <c r="C108" s="8" t="s">
        <v>65</v>
      </c>
      <c r="D108" s="18" t="s">
        <v>2603</v>
      </c>
      <c r="E108" s="16">
        <v>89.0</v>
      </c>
    </row>
    <row r="109">
      <c r="A109" s="8" t="s">
        <v>3536</v>
      </c>
      <c r="B109" s="8" t="s">
        <v>247</v>
      </c>
      <c r="C109" s="8" t="s">
        <v>80</v>
      </c>
      <c r="D109" s="18" t="s">
        <v>2574</v>
      </c>
      <c r="E109" s="16">
        <v>65.0</v>
      </c>
    </row>
    <row r="110">
      <c r="A110" s="8" t="s">
        <v>3536</v>
      </c>
      <c r="B110" s="8" t="s">
        <v>3537</v>
      </c>
      <c r="C110" s="8" t="s">
        <v>53</v>
      </c>
      <c r="D110" s="18" t="s">
        <v>2556</v>
      </c>
      <c r="E110" s="16">
        <v>65.0</v>
      </c>
    </row>
    <row r="111">
      <c r="A111" s="8" t="s">
        <v>2040</v>
      </c>
      <c r="B111" s="8" t="s">
        <v>2155</v>
      </c>
      <c r="C111" s="8" t="s">
        <v>80</v>
      </c>
      <c r="D111" s="18" t="s">
        <v>2562</v>
      </c>
      <c r="E111" s="16">
        <v>68.0</v>
      </c>
    </row>
    <row r="112">
      <c r="A112" s="8" t="s">
        <v>469</v>
      </c>
      <c r="B112" s="8" t="s">
        <v>275</v>
      </c>
      <c r="C112" s="8" t="s">
        <v>192</v>
      </c>
      <c r="D112" s="18" t="s">
        <v>2558</v>
      </c>
      <c r="E112" s="16">
        <v>72.0</v>
      </c>
    </row>
    <row r="113">
      <c r="A113" s="8" t="s">
        <v>3159</v>
      </c>
      <c r="B113" s="8" t="s">
        <v>3160</v>
      </c>
      <c r="C113" s="8" t="s">
        <v>93</v>
      </c>
      <c r="D113" s="18" t="s">
        <v>2592</v>
      </c>
      <c r="E113" s="16">
        <v>71.0</v>
      </c>
    </row>
    <row r="114">
      <c r="A114" s="8" t="s">
        <v>1367</v>
      </c>
      <c r="B114" s="8" t="s">
        <v>1368</v>
      </c>
      <c r="C114" s="8" t="s">
        <v>70</v>
      </c>
      <c r="D114" s="18" t="s">
        <v>2592</v>
      </c>
      <c r="E114" s="16">
        <v>62.0</v>
      </c>
    </row>
    <row r="115">
      <c r="A115" s="8" t="s">
        <v>3162</v>
      </c>
      <c r="B115" s="8" t="s">
        <v>460</v>
      </c>
      <c r="C115" s="8" t="s">
        <v>75</v>
      </c>
      <c r="D115" s="18" t="s">
        <v>2564</v>
      </c>
      <c r="E115" s="16">
        <v>71.0</v>
      </c>
    </row>
    <row r="116">
      <c r="A116" s="8" t="s">
        <v>343</v>
      </c>
      <c r="B116" s="8" t="s">
        <v>31</v>
      </c>
      <c r="C116" s="8" t="s">
        <v>46</v>
      </c>
      <c r="D116" s="18" t="s">
        <v>2558</v>
      </c>
      <c r="E116" s="16">
        <v>65.0</v>
      </c>
    </row>
    <row r="117">
      <c r="A117" s="8" t="s">
        <v>3538</v>
      </c>
      <c r="B117" s="8" t="s">
        <v>275</v>
      </c>
      <c r="C117" s="8" t="s">
        <v>75</v>
      </c>
      <c r="D117" s="18" t="s">
        <v>2600</v>
      </c>
      <c r="E117" s="16">
        <v>65.0</v>
      </c>
    </row>
    <row r="118">
      <c r="A118" s="8" t="s">
        <v>643</v>
      </c>
      <c r="B118" s="8" t="s">
        <v>33</v>
      </c>
      <c r="C118" s="8" t="s">
        <v>16</v>
      </c>
      <c r="D118" s="18" t="s">
        <v>2589</v>
      </c>
      <c r="E118" s="16">
        <v>64.0</v>
      </c>
    </row>
    <row r="119">
      <c r="A119" s="8" t="s">
        <v>2672</v>
      </c>
      <c r="B119" s="8" t="s">
        <v>102</v>
      </c>
      <c r="C119" s="8" t="s">
        <v>149</v>
      </c>
      <c r="D119" s="18" t="s">
        <v>2572</v>
      </c>
      <c r="E119" s="16">
        <v>80.0</v>
      </c>
    </row>
    <row r="120">
      <c r="A120" s="8" t="s">
        <v>344</v>
      </c>
      <c r="B120" s="8" t="s">
        <v>345</v>
      </c>
      <c r="C120" s="8" t="s">
        <v>70</v>
      </c>
      <c r="D120" s="18" t="s">
        <v>2564</v>
      </c>
      <c r="E120" s="16">
        <v>69.0</v>
      </c>
    </row>
    <row r="121">
      <c r="A121" s="8" t="s">
        <v>2310</v>
      </c>
      <c r="B121" s="8" t="s">
        <v>2673</v>
      </c>
      <c r="C121" s="8" t="s">
        <v>59</v>
      </c>
      <c r="D121" s="18" t="s">
        <v>2603</v>
      </c>
      <c r="E121" s="16">
        <v>62.0</v>
      </c>
    </row>
    <row r="122">
      <c r="A122" s="8" t="s">
        <v>2310</v>
      </c>
      <c r="B122" s="8" t="s">
        <v>1209</v>
      </c>
      <c r="C122" s="8" t="s">
        <v>141</v>
      </c>
      <c r="D122" s="18" t="s">
        <v>2593</v>
      </c>
      <c r="E122" s="16">
        <v>69.0</v>
      </c>
    </row>
    <row r="123">
      <c r="A123" s="8" t="s">
        <v>2310</v>
      </c>
      <c r="B123" s="18" t="s">
        <v>491</v>
      </c>
      <c r="C123" s="8" t="s">
        <v>122</v>
      </c>
      <c r="D123" s="18" t="s">
        <v>2587</v>
      </c>
      <c r="E123" s="16">
        <v>67.0</v>
      </c>
    </row>
    <row r="124">
      <c r="A124" s="8" t="s">
        <v>3539</v>
      </c>
      <c r="B124" s="8" t="s">
        <v>3540</v>
      </c>
      <c r="C124" s="8" t="s">
        <v>122</v>
      </c>
      <c r="D124" s="18" t="s">
        <v>2560</v>
      </c>
      <c r="E124" s="16">
        <v>62.0</v>
      </c>
    </row>
    <row r="125">
      <c r="A125" s="8" t="s">
        <v>3541</v>
      </c>
      <c r="B125" s="8" t="s">
        <v>2157</v>
      </c>
      <c r="C125" s="8" t="s">
        <v>24</v>
      </c>
      <c r="D125" s="18" t="s">
        <v>2615</v>
      </c>
      <c r="E125" s="16">
        <v>84.0</v>
      </c>
    </row>
    <row r="126">
      <c r="A126" s="8" t="s">
        <v>844</v>
      </c>
      <c r="B126" s="8" t="s">
        <v>212</v>
      </c>
      <c r="C126" s="8" t="s">
        <v>53</v>
      </c>
      <c r="D126" s="18" t="s">
        <v>2552</v>
      </c>
      <c r="E126" s="16">
        <v>88.0</v>
      </c>
    </row>
    <row r="127">
      <c r="A127" s="8" t="s">
        <v>1079</v>
      </c>
      <c r="B127" s="8" t="s">
        <v>1080</v>
      </c>
      <c r="C127" s="8" t="s">
        <v>53</v>
      </c>
      <c r="D127" s="18" t="s">
        <v>2620</v>
      </c>
      <c r="E127" s="16">
        <v>80.0</v>
      </c>
    </row>
    <row r="128">
      <c r="A128" s="8" t="s">
        <v>3542</v>
      </c>
      <c r="B128" s="8" t="s">
        <v>41</v>
      </c>
      <c r="C128" s="8" t="s">
        <v>186</v>
      </c>
      <c r="D128" s="18" t="s">
        <v>2558</v>
      </c>
      <c r="E128" s="16">
        <v>73.0</v>
      </c>
    </row>
    <row r="129">
      <c r="A129" s="8" t="s">
        <v>470</v>
      </c>
      <c r="B129" s="8" t="s">
        <v>471</v>
      </c>
      <c r="C129" s="8" t="s">
        <v>53</v>
      </c>
      <c r="D129" s="18" t="s">
        <v>2593</v>
      </c>
      <c r="E129" s="16">
        <v>75.0</v>
      </c>
    </row>
    <row r="130">
      <c r="A130" s="8" t="s">
        <v>3164</v>
      </c>
      <c r="B130" s="8" t="s">
        <v>3165</v>
      </c>
      <c r="C130" s="8" t="s">
        <v>186</v>
      </c>
      <c r="D130" s="18" t="s">
        <v>2605</v>
      </c>
      <c r="E130" s="16">
        <v>64.0</v>
      </c>
    </row>
    <row r="131">
      <c r="A131" s="8" t="s">
        <v>3166</v>
      </c>
      <c r="B131" s="8" t="s">
        <v>1131</v>
      </c>
      <c r="C131" s="8" t="s">
        <v>12</v>
      </c>
      <c r="D131" s="18" t="s">
        <v>2595</v>
      </c>
      <c r="E131" s="16">
        <v>79.0</v>
      </c>
    </row>
    <row r="132">
      <c r="A132" s="8" t="s">
        <v>1693</v>
      </c>
      <c r="B132" s="8" t="s">
        <v>3543</v>
      </c>
      <c r="C132" s="8" t="s">
        <v>132</v>
      </c>
      <c r="D132" s="18" t="s">
        <v>2562</v>
      </c>
      <c r="E132" s="16">
        <v>60.0</v>
      </c>
    </row>
    <row r="133">
      <c r="A133" s="8" t="s">
        <v>3544</v>
      </c>
      <c r="B133" s="8" t="s">
        <v>3545</v>
      </c>
      <c r="C133" s="8" t="s">
        <v>186</v>
      </c>
      <c r="D133" s="18" t="s">
        <v>2584</v>
      </c>
      <c r="E133" s="16">
        <v>73.0</v>
      </c>
    </row>
    <row r="134">
      <c r="A134" s="8" t="s">
        <v>2674</v>
      </c>
      <c r="B134" s="8" t="s">
        <v>1131</v>
      </c>
      <c r="C134" s="8" t="s">
        <v>138</v>
      </c>
      <c r="D134" s="18" t="s">
        <v>2564</v>
      </c>
      <c r="E134" s="16">
        <v>84.0</v>
      </c>
    </row>
    <row r="135">
      <c r="A135" s="8" t="s">
        <v>2675</v>
      </c>
      <c r="B135" s="8" t="s">
        <v>506</v>
      </c>
      <c r="C135" s="8" t="s">
        <v>59</v>
      </c>
      <c r="D135" s="18" t="s">
        <v>2621</v>
      </c>
      <c r="E135" s="16">
        <v>66.0</v>
      </c>
    </row>
    <row r="136">
      <c r="A136" s="8" t="s">
        <v>644</v>
      </c>
      <c r="B136" s="8" t="s">
        <v>645</v>
      </c>
      <c r="C136" s="8" t="s">
        <v>186</v>
      </c>
      <c r="D136" s="18" t="s">
        <v>2556</v>
      </c>
      <c r="E136" s="16">
        <v>61.0</v>
      </c>
    </row>
    <row r="137">
      <c r="A137" s="8" t="s">
        <v>644</v>
      </c>
      <c r="B137" s="8" t="s">
        <v>380</v>
      </c>
      <c r="C137" s="8" t="s">
        <v>59</v>
      </c>
      <c r="D137" s="18" t="s">
        <v>2582</v>
      </c>
      <c r="E137" s="16">
        <v>60.0</v>
      </c>
    </row>
    <row r="138">
      <c r="A138" s="8" t="s">
        <v>644</v>
      </c>
      <c r="B138" s="8" t="s">
        <v>1028</v>
      </c>
      <c r="C138" s="8" t="s">
        <v>53</v>
      </c>
      <c r="D138" s="18" t="s">
        <v>2567</v>
      </c>
      <c r="E138" s="16">
        <v>61.0</v>
      </c>
    </row>
    <row r="139">
      <c r="A139" s="8" t="s">
        <v>2677</v>
      </c>
      <c r="B139" s="8" t="s">
        <v>948</v>
      </c>
      <c r="C139" s="8" t="s">
        <v>149</v>
      </c>
      <c r="D139" s="18" t="s">
        <v>2593</v>
      </c>
      <c r="E139" s="16">
        <v>68.0</v>
      </c>
    </row>
    <row r="140">
      <c r="A140" s="8" t="s">
        <v>346</v>
      </c>
      <c r="B140" s="8" t="s">
        <v>347</v>
      </c>
      <c r="C140" s="8" t="s">
        <v>46</v>
      </c>
      <c r="D140" s="18" t="s">
        <v>2584</v>
      </c>
      <c r="E140" s="16">
        <v>82.0</v>
      </c>
    </row>
    <row r="141">
      <c r="A141" s="8" t="s">
        <v>3167</v>
      </c>
      <c r="B141" s="8" t="s">
        <v>1814</v>
      </c>
      <c r="C141" s="8" t="s">
        <v>75</v>
      </c>
      <c r="D141" s="18" t="s">
        <v>2585</v>
      </c>
      <c r="E141" s="16">
        <v>73.0</v>
      </c>
    </row>
    <row r="142">
      <c r="A142" s="8" t="s">
        <v>348</v>
      </c>
      <c r="B142" s="8" t="s">
        <v>349</v>
      </c>
      <c r="C142" s="8" t="s">
        <v>65</v>
      </c>
      <c r="D142" s="18" t="s">
        <v>2614</v>
      </c>
      <c r="E142" s="16">
        <v>77.0</v>
      </c>
    </row>
    <row r="143">
      <c r="A143" s="8" t="s">
        <v>3546</v>
      </c>
      <c r="B143" s="8" t="s">
        <v>845</v>
      </c>
      <c r="C143" s="8" t="s">
        <v>59</v>
      </c>
      <c r="D143" s="18" t="s">
        <v>2598</v>
      </c>
      <c r="E143" s="16">
        <v>79.0</v>
      </c>
    </row>
    <row r="144">
      <c r="A144" s="8" t="s">
        <v>1373</v>
      </c>
      <c r="B144" s="8" t="s">
        <v>1317</v>
      </c>
      <c r="C144" s="8" t="s">
        <v>75</v>
      </c>
      <c r="D144" s="18" t="s">
        <v>2552</v>
      </c>
      <c r="E144" s="16">
        <v>69.0</v>
      </c>
    </row>
    <row r="145">
      <c r="A145" s="8" t="s">
        <v>3547</v>
      </c>
      <c r="B145" s="8" t="s">
        <v>1084</v>
      </c>
      <c r="C145" s="8" t="s">
        <v>65</v>
      </c>
      <c r="D145" s="18" t="s">
        <v>2566</v>
      </c>
      <c r="E145" s="16">
        <v>93.0</v>
      </c>
    </row>
    <row r="146">
      <c r="A146" s="8" t="s">
        <v>3548</v>
      </c>
      <c r="B146" s="8" t="s">
        <v>231</v>
      </c>
      <c r="C146" s="8" t="s">
        <v>149</v>
      </c>
      <c r="D146" s="18" t="s">
        <v>2605</v>
      </c>
      <c r="E146" s="16">
        <v>65.0</v>
      </c>
    </row>
    <row r="147">
      <c r="A147" s="8" t="s">
        <v>646</v>
      </c>
      <c r="B147" s="8" t="s">
        <v>647</v>
      </c>
      <c r="C147" s="8" t="s">
        <v>24</v>
      </c>
      <c r="D147" s="18" t="s">
        <v>2585</v>
      </c>
      <c r="E147" s="16">
        <v>65.0</v>
      </c>
    </row>
    <row r="148">
      <c r="A148" s="8" t="s">
        <v>646</v>
      </c>
      <c r="B148" s="8" t="s">
        <v>1210</v>
      </c>
      <c r="C148" s="8" t="s">
        <v>75</v>
      </c>
      <c r="D148" s="18" t="s">
        <v>2621</v>
      </c>
      <c r="E148" s="16">
        <v>70.0</v>
      </c>
    </row>
    <row r="149">
      <c r="A149" s="8" t="s">
        <v>646</v>
      </c>
      <c r="B149" s="8" t="s">
        <v>3549</v>
      </c>
      <c r="C149" s="8" t="s">
        <v>192</v>
      </c>
      <c r="D149" s="18" t="s">
        <v>2585</v>
      </c>
      <c r="E149" s="16">
        <v>60.0</v>
      </c>
    </row>
    <row r="150">
      <c r="A150" s="8" t="s">
        <v>646</v>
      </c>
      <c r="B150" s="8" t="s">
        <v>333</v>
      </c>
      <c r="C150" s="8" t="s">
        <v>65</v>
      </c>
      <c r="D150" s="18" t="s">
        <v>2592</v>
      </c>
      <c r="E150" s="16">
        <v>63.0</v>
      </c>
    </row>
    <row r="151">
      <c r="A151" s="8" t="s">
        <v>646</v>
      </c>
      <c r="B151" s="18" t="s">
        <v>846</v>
      </c>
      <c r="C151" s="8" t="s">
        <v>70</v>
      </c>
      <c r="D151" s="18" t="s">
        <v>2577</v>
      </c>
      <c r="E151" s="16">
        <v>94.0</v>
      </c>
    </row>
    <row r="152">
      <c r="A152" s="8" t="s">
        <v>646</v>
      </c>
      <c r="B152" s="8" t="s">
        <v>1694</v>
      </c>
      <c r="C152" s="8" t="s">
        <v>80</v>
      </c>
      <c r="D152" s="18" t="s">
        <v>2595</v>
      </c>
      <c r="E152" s="16">
        <v>71.0</v>
      </c>
    </row>
    <row r="153">
      <c r="A153" s="8" t="s">
        <v>350</v>
      </c>
      <c r="B153" s="8" t="s">
        <v>1283</v>
      </c>
      <c r="C153" s="8" t="s">
        <v>65</v>
      </c>
      <c r="D153" s="18" t="s">
        <v>2605</v>
      </c>
      <c r="E153" s="16">
        <v>68.0</v>
      </c>
    </row>
    <row r="154">
      <c r="A154" s="8" t="s">
        <v>2681</v>
      </c>
      <c r="B154" s="8" t="s">
        <v>231</v>
      </c>
      <c r="C154" s="8" t="s">
        <v>186</v>
      </c>
      <c r="D154" s="18" t="s">
        <v>2585</v>
      </c>
      <c r="E154" s="16">
        <v>66.0</v>
      </c>
    </row>
    <row r="155">
      <c r="A155" s="8" t="s">
        <v>1375</v>
      </c>
      <c r="B155" s="8" t="s">
        <v>1376</v>
      </c>
      <c r="C155" s="8" t="s">
        <v>132</v>
      </c>
      <c r="D155" s="18" t="s">
        <v>2592</v>
      </c>
      <c r="E155" s="16">
        <v>66.0</v>
      </c>
    </row>
    <row r="156">
      <c r="A156" s="8" t="s">
        <v>35</v>
      </c>
      <c r="B156" s="8" t="s">
        <v>347</v>
      </c>
      <c r="C156" s="8" t="s">
        <v>65</v>
      </c>
      <c r="D156" s="18" t="s">
        <v>2574</v>
      </c>
      <c r="E156" s="16">
        <v>83.0</v>
      </c>
    </row>
    <row r="157">
      <c r="A157" s="8" t="s">
        <v>35</v>
      </c>
      <c r="B157" s="8" t="s">
        <v>472</v>
      </c>
      <c r="C157" s="8" t="s">
        <v>65</v>
      </c>
      <c r="D157" s="18" t="s">
        <v>2572</v>
      </c>
      <c r="E157" s="16">
        <v>78.0</v>
      </c>
    </row>
    <row r="158">
      <c r="A158" s="8" t="s">
        <v>136</v>
      </c>
      <c r="B158" s="8" t="s">
        <v>3170</v>
      </c>
      <c r="C158" s="8" t="s">
        <v>24</v>
      </c>
      <c r="D158" s="18" t="s">
        <v>2600</v>
      </c>
      <c r="E158" s="16">
        <v>85.0</v>
      </c>
    </row>
    <row r="159">
      <c r="A159" s="8" t="s">
        <v>136</v>
      </c>
      <c r="B159" s="8" t="s">
        <v>137</v>
      </c>
      <c r="C159" s="8" t="s">
        <v>138</v>
      </c>
      <c r="D159" s="18" t="s">
        <v>2603</v>
      </c>
      <c r="E159" s="16">
        <v>91.0</v>
      </c>
    </row>
    <row r="160">
      <c r="A160" s="8" t="s">
        <v>136</v>
      </c>
      <c r="B160" s="8" t="s">
        <v>137</v>
      </c>
      <c r="C160" s="8" t="s">
        <v>122</v>
      </c>
      <c r="D160" s="18" t="s">
        <v>2584</v>
      </c>
      <c r="E160" s="16">
        <v>66.0</v>
      </c>
    </row>
    <row r="161">
      <c r="A161" s="8" t="s">
        <v>2682</v>
      </c>
      <c r="B161" s="8" t="s">
        <v>2683</v>
      </c>
      <c r="C161" s="8" t="s">
        <v>93</v>
      </c>
      <c r="D161" s="18" t="s">
        <v>2574</v>
      </c>
      <c r="E161" s="16">
        <v>80.0</v>
      </c>
    </row>
    <row r="162">
      <c r="A162" s="8" t="s">
        <v>3171</v>
      </c>
      <c r="B162" s="8" t="s">
        <v>183</v>
      </c>
      <c r="C162" s="8" t="s">
        <v>16</v>
      </c>
      <c r="D162" s="18" t="s">
        <v>2572</v>
      </c>
      <c r="E162" s="16">
        <v>63.0</v>
      </c>
    </row>
    <row r="163">
      <c r="A163" s="8" t="s">
        <v>3172</v>
      </c>
      <c r="B163" s="8" t="s">
        <v>102</v>
      </c>
      <c r="C163" s="8" t="s">
        <v>141</v>
      </c>
      <c r="D163" s="18" t="s">
        <v>2552</v>
      </c>
      <c r="E163" s="16">
        <v>83.0</v>
      </c>
    </row>
    <row r="164">
      <c r="A164" s="8" t="s">
        <v>139</v>
      </c>
      <c r="B164" s="8" t="s">
        <v>140</v>
      </c>
      <c r="C164" s="8" t="s">
        <v>141</v>
      </c>
      <c r="D164" s="18" t="s">
        <v>2562</v>
      </c>
      <c r="E164" s="16">
        <v>69.0</v>
      </c>
    </row>
    <row r="165">
      <c r="A165" s="8" t="s">
        <v>2684</v>
      </c>
      <c r="B165" s="8" t="s">
        <v>2685</v>
      </c>
      <c r="C165" s="8" t="s">
        <v>192</v>
      </c>
      <c r="D165" s="18" t="s">
        <v>2566</v>
      </c>
      <c r="E165" s="16">
        <v>66.0</v>
      </c>
    </row>
    <row r="166">
      <c r="A166" s="8" t="s">
        <v>3550</v>
      </c>
      <c r="B166" s="8" t="s">
        <v>3551</v>
      </c>
      <c r="C166" s="8" t="s">
        <v>75</v>
      </c>
      <c r="D166" s="18" t="s">
        <v>2584</v>
      </c>
      <c r="E166" s="16">
        <v>74.0</v>
      </c>
    </row>
    <row r="167">
      <c r="A167" s="8" t="s">
        <v>847</v>
      </c>
      <c r="B167" s="8" t="s">
        <v>848</v>
      </c>
      <c r="C167" s="8" t="s">
        <v>70</v>
      </c>
      <c r="D167" s="18" t="s">
        <v>2610</v>
      </c>
      <c r="E167" s="16">
        <v>85.0</v>
      </c>
    </row>
    <row r="168">
      <c r="A168" s="8" t="s">
        <v>648</v>
      </c>
      <c r="B168" s="8" t="s">
        <v>129</v>
      </c>
      <c r="C168" s="8" t="s">
        <v>80</v>
      </c>
      <c r="D168" s="18" t="s">
        <v>2183</v>
      </c>
      <c r="E168" s="16">
        <v>93.0</v>
      </c>
    </row>
    <row r="169">
      <c r="A169" s="8" t="s">
        <v>648</v>
      </c>
      <c r="B169" s="8" t="s">
        <v>263</v>
      </c>
      <c r="C169" s="8" t="s">
        <v>38</v>
      </c>
      <c r="D169" s="18" t="s">
        <v>2577</v>
      </c>
      <c r="E169" s="16">
        <v>79.0</v>
      </c>
    </row>
    <row r="170">
      <c r="A170" s="8" t="s">
        <v>3173</v>
      </c>
      <c r="B170" s="8" t="s">
        <v>3174</v>
      </c>
      <c r="C170" s="8" t="s">
        <v>65</v>
      </c>
      <c r="D170" s="18" t="s">
        <v>2574</v>
      </c>
      <c r="E170" s="16">
        <v>69.0</v>
      </c>
    </row>
    <row r="171">
      <c r="A171" s="8" t="s">
        <v>3552</v>
      </c>
      <c r="B171" s="8" t="s">
        <v>441</v>
      </c>
      <c r="C171" s="8" t="s">
        <v>12</v>
      </c>
      <c r="D171" s="18" t="s">
        <v>2593</v>
      </c>
      <c r="E171" s="16">
        <v>65.0</v>
      </c>
    </row>
    <row r="172">
      <c r="A172" s="8" t="s">
        <v>81</v>
      </c>
      <c r="B172" s="8" t="s">
        <v>82</v>
      </c>
      <c r="C172" s="8" t="s">
        <v>192</v>
      </c>
      <c r="D172" s="18" t="s">
        <v>2585</v>
      </c>
      <c r="E172" s="16">
        <v>77.0</v>
      </c>
    </row>
    <row r="173">
      <c r="A173" s="8" t="s">
        <v>473</v>
      </c>
      <c r="B173" s="8" t="s">
        <v>381</v>
      </c>
      <c r="C173" s="8" t="s">
        <v>93</v>
      </c>
      <c r="D173" s="18" t="s">
        <v>2589</v>
      </c>
      <c r="E173" s="16">
        <v>74.0</v>
      </c>
    </row>
    <row r="174">
      <c r="A174" s="8" t="s">
        <v>3553</v>
      </c>
      <c r="B174" s="8" t="s">
        <v>584</v>
      </c>
      <c r="C174" s="8" t="s">
        <v>16</v>
      </c>
      <c r="D174" s="18" t="s">
        <v>2564</v>
      </c>
      <c r="E174" s="16">
        <v>63.0</v>
      </c>
    </row>
    <row r="175">
      <c r="A175" s="8" t="s">
        <v>1085</v>
      </c>
      <c r="B175" s="18" t="s">
        <v>920</v>
      </c>
      <c r="C175" s="8" t="s">
        <v>24</v>
      </c>
      <c r="D175" s="18" t="s">
        <v>2615</v>
      </c>
      <c r="E175" s="16">
        <v>65.0</v>
      </c>
    </row>
    <row r="176">
      <c r="A176" s="8" t="s">
        <v>1085</v>
      </c>
      <c r="B176" s="8" t="s">
        <v>1086</v>
      </c>
      <c r="C176" s="8" t="s">
        <v>70</v>
      </c>
      <c r="D176" s="18" t="s">
        <v>2620</v>
      </c>
      <c r="E176" s="16">
        <v>64.0</v>
      </c>
    </row>
    <row r="177">
      <c r="A177" s="8" t="s">
        <v>3554</v>
      </c>
      <c r="B177" s="18" t="s">
        <v>920</v>
      </c>
      <c r="C177" s="8" t="s">
        <v>93</v>
      </c>
      <c r="D177" s="18" t="s">
        <v>2600</v>
      </c>
      <c r="E177" s="16">
        <v>70.0</v>
      </c>
    </row>
    <row r="178">
      <c r="A178" s="8" t="s">
        <v>1702</v>
      </c>
      <c r="B178" s="8" t="s">
        <v>55</v>
      </c>
      <c r="C178" s="8" t="s">
        <v>122</v>
      </c>
      <c r="D178" s="18" t="s">
        <v>2610</v>
      </c>
      <c r="E178" s="16">
        <v>67.0</v>
      </c>
    </row>
    <row r="179">
      <c r="A179" s="8" t="s">
        <v>849</v>
      </c>
      <c r="B179" s="8" t="s">
        <v>850</v>
      </c>
      <c r="C179" s="8" t="s">
        <v>75</v>
      </c>
      <c r="D179" s="18" t="s">
        <v>2615</v>
      </c>
      <c r="E179" s="16">
        <v>83.0</v>
      </c>
    </row>
    <row r="180">
      <c r="A180" s="8" t="s">
        <v>3177</v>
      </c>
      <c r="B180" s="8" t="s">
        <v>381</v>
      </c>
      <c r="C180" s="8" t="s">
        <v>65</v>
      </c>
      <c r="D180" s="18" t="s">
        <v>2584</v>
      </c>
      <c r="E180" s="16">
        <v>68.0</v>
      </c>
    </row>
    <row r="181">
      <c r="A181" s="8" t="s">
        <v>3177</v>
      </c>
      <c r="B181" s="8" t="s">
        <v>1046</v>
      </c>
      <c r="C181" s="8" t="s">
        <v>93</v>
      </c>
      <c r="D181" s="18" t="s">
        <v>2582</v>
      </c>
      <c r="E181" s="16">
        <v>72.0</v>
      </c>
    </row>
    <row r="182">
      <c r="A182" s="8" t="s">
        <v>1088</v>
      </c>
      <c r="B182" s="8" t="s">
        <v>1089</v>
      </c>
      <c r="C182" s="8" t="s">
        <v>215</v>
      </c>
      <c r="D182" s="18" t="s">
        <v>2621</v>
      </c>
      <c r="E182" s="16">
        <v>61.0</v>
      </c>
    </row>
    <row r="183">
      <c r="A183" s="8" t="s">
        <v>2688</v>
      </c>
      <c r="B183" s="8" t="s">
        <v>1091</v>
      </c>
      <c r="C183" s="8" t="s">
        <v>215</v>
      </c>
      <c r="D183" s="18" t="s">
        <v>2585</v>
      </c>
      <c r="E183" s="16">
        <v>62.0</v>
      </c>
    </row>
    <row r="184">
      <c r="A184" s="8" t="s">
        <v>647</v>
      </c>
      <c r="B184" s="8" t="s">
        <v>3555</v>
      </c>
      <c r="C184" s="8" t="s">
        <v>80</v>
      </c>
      <c r="D184" s="18" t="s">
        <v>2621</v>
      </c>
      <c r="E184" s="16">
        <v>75.0</v>
      </c>
    </row>
    <row r="185">
      <c r="A185" s="8" t="s">
        <v>2055</v>
      </c>
      <c r="B185" s="8" t="s">
        <v>337</v>
      </c>
      <c r="C185" s="8" t="s">
        <v>192</v>
      </c>
      <c r="D185" s="18" t="s">
        <v>2587</v>
      </c>
      <c r="E185" s="16">
        <v>76.0</v>
      </c>
    </row>
    <row r="186">
      <c r="A186" s="8" t="s">
        <v>2689</v>
      </c>
      <c r="B186" s="8" t="s">
        <v>2690</v>
      </c>
      <c r="C186" s="8" t="s">
        <v>70</v>
      </c>
      <c r="D186" s="18" t="s">
        <v>2600</v>
      </c>
      <c r="E186" s="16">
        <v>81.0</v>
      </c>
    </row>
    <row r="187">
      <c r="A187" s="8" t="s">
        <v>649</v>
      </c>
      <c r="B187" s="8" t="s">
        <v>650</v>
      </c>
      <c r="C187" s="8" t="s">
        <v>70</v>
      </c>
      <c r="D187" s="18" t="s">
        <v>2562</v>
      </c>
      <c r="E187" s="16">
        <v>76.0</v>
      </c>
    </row>
    <row r="188">
      <c r="A188" s="8" t="s">
        <v>851</v>
      </c>
      <c r="B188" s="8" t="s">
        <v>464</v>
      </c>
      <c r="C188" s="8" t="s">
        <v>141</v>
      </c>
      <c r="D188" s="18" t="s">
        <v>2567</v>
      </c>
      <c r="E188" s="16">
        <v>63.0</v>
      </c>
    </row>
    <row r="189">
      <c r="A189" s="8" t="s">
        <v>852</v>
      </c>
      <c r="B189" s="8" t="s">
        <v>409</v>
      </c>
      <c r="C189" s="8" t="s">
        <v>141</v>
      </c>
      <c r="D189" s="18" t="s">
        <v>2610</v>
      </c>
      <c r="E189" s="16">
        <v>69.0</v>
      </c>
    </row>
    <row r="190">
      <c r="A190" s="8" t="s">
        <v>1094</v>
      </c>
      <c r="B190" s="8" t="s">
        <v>177</v>
      </c>
      <c r="C190" s="8" t="s">
        <v>141</v>
      </c>
      <c r="D190" s="18" t="s">
        <v>2589</v>
      </c>
      <c r="E190" s="16">
        <v>67.0</v>
      </c>
    </row>
    <row r="191">
      <c r="A191" s="8" t="s">
        <v>1377</v>
      </c>
      <c r="B191" s="8" t="s">
        <v>1378</v>
      </c>
      <c r="C191" s="8" t="s">
        <v>65</v>
      </c>
      <c r="D191" s="18" t="s">
        <v>2552</v>
      </c>
      <c r="E191" s="16">
        <v>62.0</v>
      </c>
    </row>
    <row r="192">
      <c r="A192" s="8" t="s">
        <v>3556</v>
      </c>
      <c r="B192" s="8" t="s">
        <v>441</v>
      </c>
      <c r="C192" s="8" t="s">
        <v>141</v>
      </c>
      <c r="D192" s="18" t="s">
        <v>2589</v>
      </c>
      <c r="E192" s="16">
        <v>67.0</v>
      </c>
    </row>
    <row r="193">
      <c r="A193" s="8" t="s">
        <v>2691</v>
      </c>
      <c r="B193" s="8" t="s">
        <v>1986</v>
      </c>
      <c r="C193" s="8" t="s">
        <v>261</v>
      </c>
      <c r="D193" s="18" t="s">
        <v>2560</v>
      </c>
      <c r="E193" s="16">
        <v>68.0</v>
      </c>
    </row>
    <row r="194">
      <c r="A194" s="8" t="s">
        <v>474</v>
      </c>
      <c r="B194" s="8" t="s">
        <v>121</v>
      </c>
      <c r="C194" s="8" t="s">
        <v>70</v>
      </c>
      <c r="D194" s="18" t="s">
        <v>2600</v>
      </c>
      <c r="E194" s="16">
        <v>72.0</v>
      </c>
    </row>
    <row r="195">
      <c r="A195" s="8" t="s">
        <v>3557</v>
      </c>
      <c r="B195" s="8" t="s">
        <v>3558</v>
      </c>
      <c r="C195" s="8" t="s">
        <v>65</v>
      </c>
      <c r="D195" s="18" t="s">
        <v>2554</v>
      </c>
      <c r="E195" s="16">
        <v>79.0</v>
      </c>
    </row>
    <row r="196">
      <c r="A196" s="8" t="s">
        <v>351</v>
      </c>
      <c r="B196" s="8" t="s">
        <v>352</v>
      </c>
      <c r="C196" s="8" t="s">
        <v>75</v>
      </c>
      <c r="D196" s="18" t="s">
        <v>2610</v>
      </c>
      <c r="E196" s="16">
        <v>81.0</v>
      </c>
    </row>
    <row r="197">
      <c r="A197" s="8" t="s">
        <v>1095</v>
      </c>
      <c r="B197" s="8" t="s">
        <v>1096</v>
      </c>
      <c r="C197" s="8" t="s">
        <v>59</v>
      </c>
      <c r="D197" s="18" t="s">
        <v>2592</v>
      </c>
      <c r="E197" s="16">
        <v>62.0</v>
      </c>
    </row>
    <row r="198">
      <c r="A198" s="8" t="s">
        <v>855</v>
      </c>
      <c r="B198" s="8" t="s">
        <v>856</v>
      </c>
      <c r="C198" s="8" t="s">
        <v>70</v>
      </c>
      <c r="D198" s="18" t="s">
        <v>2620</v>
      </c>
      <c r="E198" s="16">
        <v>72.0</v>
      </c>
    </row>
    <row r="199">
      <c r="A199" s="8" t="s">
        <v>1705</v>
      </c>
      <c r="B199" s="8" t="s">
        <v>100</v>
      </c>
      <c r="C199" s="8" t="s">
        <v>132</v>
      </c>
      <c r="D199" s="18" t="s">
        <v>2552</v>
      </c>
      <c r="E199" s="16">
        <v>81.0</v>
      </c>
    </row>
    <row r="200">
      <c r="A200" s="8" t="s">
        <v>3559</v>
      </c>
      <c r="B200" s="8" t="s">
        <v>362</v>
      </c>
      <c r="C200" s="8" t="s">
        <v>46</v>
      </c>
      <c r="D200" s="18" t="s">
        <v>2582</v>
      </c>
      <c r="E200" s="16">
        <v>65.0</v>
      </c>
    </row>
    <row r="201">
      <c r="A201" s="8" t="s">
        <v>857</v>
      </c>
      <c r="B201" s="8" t="s">
        <v>647</v>
      </c>
      <c r="C201" s="8" t="s">
        <v>16</v>
      </c>
      <c r="D201" s="18" t="s">
        <v>2584</v>
      </c>
      <c r="E201" s="16">
        <v>82.0</v>
      </c>
    </row>
    <row r="202">
      <c r="A202" s="8" t="s">
        <v>1709</v>
      </c>
      <c r="B202" s="8" t="s">
        <v>1249</v>
      </c>
      <c r="C202" s="8" t="s">
        <v>138</v>
      </c>
      <c r="D202" s="18" t="s">
        <v>2572</v>
      </c>
      <c r="E202" s="16">
        <v>79.0</v>
      </c>
    </row>
    <row r="203">
      <c r="A203" s="8" t="s">
        <v>242</v>
      </c>
      <c r="B203" s="8" t="s">
        <v>33</v>
      </c>
      <c r="C203" s="8" t="s">
        <v>38</v>
      </c>
      <c r="D203" s="18" t="s">
        <v>2598</v>
      </c>
      <c r="E203" s="16">
        <v>81.0</v>
      </c>
    </row>
    <row r="204">
      <c r="A204" s="8" t="s">
        <v>651</v>
      </c>
      <c r="B204" s="8" t="s">
        <v>181</v>
      </c>
      <c r="C204" s="8" t="s">
        <v>186</v>
      </c>
      <c r="D204" s="18" t="s">
        <v>2554</v>
      </c>
      <c r="E204" s="16">
        <v>68.0</v>
      </c>
    </row>
    <row r="205">
      <c r="A205" s="8" t="s">
        <v>3560</v>
      </c>
      <c r="B205" s="8" t="s">
        <v>121</v>
      </c>
      <c r="C205" s="8" t="s">
        <v>24</v>
      </c>
      <c r="D205" s="18" t="s">
        <v>2560</v>
      </c>
      <c r="E205" s="16">
        <v>69.0</v>
      </c>
    </row>
    <row r="206">
      <c r="A206" s="8" t="s">
        <v>1965</v>
      </c>
      <c r="B206" s="8" t="s">
        <v>1633</v>
      </c>
      <c r="C206" s="8" t="s">
        <v>192</v>
      </c>
      <c r="D206" s="18" t="s">
        <v>2574</v>
      </c>
      <c r="E206" s="16">
        <v>78.0</v>
      </c>
    </row>
    <row r="207">
      <c r="A207" s="8" t="s">
        <v>652</v>
      </c>
      <c r="B207" s="8" t="s">
        <v>275</v>
      </c>
      <c r="C207" s="8" t="s">
        <v>12</v>
      </c>
      <c r="D207" s="18" t="s">
        <v>2577</v>
      </c>
      <c r="E207" s="16">
        <v>77.0</v>
      </c>
    </row>
    <row r="208">
      <c r="A208" s="8" t="s">
        <v>653</v>
      </c>
      <c r="B208" s="18" t="s">
        <v>269</v>
      </c>
      <c r="C208" s="8" t="s">
        <v>93</v>
      </c>
      <c r="D208" s="18" t="s">
        <v>2562</v>
      </c>
      <c r="E208" s="16">
        <v>73.0</v>
      </c>
    </row>
    <row r="209">
      <c r="A209" s="8" t="s">
        <v>2694</v>
      </c>
      <c r="B209" s="8" t="s">
        <v>320</v>
      </c>
      <c r="C209" s="8" t="s">
        <v>141</v>
      </c>
      <c r="D209" s="18" t="s">
        <v>2584</v>
      </c>
      <c r="E209" s="16">
        <v>76.0</v>
      </c>
    </row>
    <row r="210">
      <c r="A210" s="8" t="s">
        <v>3180</v>
      </c>
      <c r="B210" s="8" t="s">
        <v>137</v>
      </c>
      <c r="C210" s="8" t="s">
        <v>149</v>
      </c>
      <c r="D210" s="18" t="s">
        <v>2615</v>
      </c>
      <c r="E210" s="16">
        <v>72.0</v>
      </c>
    </row>
    <row r="211">
      <c r="A211" s="8" t="s">
        <v>2695</v>
      </c>
      <c r="B211" s="8" t="s">
        <v>2696</v>
      </c>
      <c r="C211" s="8" t="s">
        <v>186</v>
      </c>
      <c r="D211" s="18" t="s">
        <v>2585</v>
      </c>
      <c r="E211" s="16">
        <v>88.0</v>
      </c>
    </row>
    <row r="212">
      <c r="A212" s="8" t="s">
        <v>3181</v>
      </c>
      <c r="B212" s="8" t="s">
        <v>301</v>
      </c>
      <c r="C212" s="8" t="s">
        <v>65</v>
      </c>
      <c r="D212" s="18" t="s">
        <v>2567</v>
      </c>
      <c r="E212" s="16">
        <v>64.0</v>
      </c>
    </row>
    <row r="213">
      <c r="A213" s="8" t="s">
        <v>1716</v>
      </c>
      <c r="B213" s="8" t="s">
        <v>676</v>
      </c>
      <c r="C213" s="8" t="s">
        <v>65</v>
      </c>
      <c r="D213" s="18" t="s">
        <v>2610</v>
      </c>
      <c r="E213" s="16">
        <v>70.0</v>
      </c>
    </row>
    <row r="214">
      <c r="A214" s="8" t="s">
        <v>2315</v>
      </c>
      <c r="B214" s="8" t="s">
        <v>121</v>
      </c>
      <c r="C214" s="8" t="s">
        <v>93</v>
      </c>
      <c r="D214" s="18" t="s">
        <v>2605</v>
      </c>
      <c r="E214" s="16">
        <v>71.0</v>
      </c>
    </row>
    <row r="215">
      <c r="A215" s="8" t="s">
        <v>2315</v>
      </c>
      <c r="B215" s="8" t="s">
        <v>1205</v>
      </c>
      <c r="C215" s="8" t="s">
        <v>65</v>
      </c>
      <c r="D215" s="18" t="s">
        <v>2587</v>
      </c>
      <c r="E215" s="16">
        <v>67.0</v>
      </c>
    </row>
    <row r="216">
      <c r="A216" s="8" t="s">
        <v>2315</v>
      </c>
      <c r="B216" s="8" t="s">
        <v>3182</v>
      </c>
      <c r="C216" s="8" t="s">
        <v>16</v>
      </c>
      <c r="D216" s="18" t="s">
        <v>2603</v>
      </c>
      <c r="E216" s="16">
        <v>63.0</v>
      </c>
    </row>
    <row r="217">
      <c r="A217" s="8" t="s">
        <v>1097</v>
      </c>
      <c r="B217" s="8" t="s">
        <v>231</v>
      </c>
      <c r="C217" s="8" t="s">
        <v>24</v>
      </c>
      <c r="D217" s="18" t="s">
        <v>2575</v>
      </c>
      <c r="E217" s="16">
        <v>76.0</v>
      </c>
    </row>
    <row r="218">
      <c r="A218" s="8" t="s">
        <v>1098</v>
      </c>
      <c r="B218" s="8" t="s">
        <v>260</v>
      </c>
      <c r="C218" s="8" t="s">
        <v>93</v>
      </c>
      <c r="D218" s="18" t="s">
        <v>2574</v>
      </c>
      <c r="E218" s="16">
        <v>70.0</v>
      </c>
    </row>
    <row r="219">
      <c r="A219" s="8" t="s">
        <v>3561</v>
      </c>
      <c r="B219" s="8" t="s">
        <v>52</v>
      </c>
      <c r="C219" s="8" t="s">
        <v>149</v>
      </c>
      <c r="D219" s="18" t="s">
        <v>2614</v>
      </c>
      <c r="E219" s="16">
        <v>72.0</v>
      </c>
    </row>
    <row r="220">
      <c r="A220" s="8" t="s">
        <v>2698</v>
      </c>
      <c r="B220" s="8" t="s">
        <v>881</v>
      </c>
      <c r="C220" s="8" t="s">
        <v>186</v>
      </c>
      <c r="D220" s="18" t="s">
        <v>2558</v>
      </c>
      <c r="E220" s="16">
        <v>68.0</v>
      </c>
    </row>
    <row r="221">
      <c r="A221" s="8" t="s">
        <v>2698</v>
      </c>
      <c r="B221" s="8" t="s">
        <v>41</v>
      </c>
      <c r="C221" s="8" t="s">
        <v>16</v>
      </c>
      <c r="D221" s="18" t="s">
        <v>2564</v>
      </c>
      <c r="E221" s="16">
        <v>78.0</v>
      </c>
    </row>
    <row r="222">
      <c r="A222" s="8" t="s">
        <v>475</v>
      </c>
      <c r="B222" s="8" t="s">
        <v>476</v>
      </c>
      <c r="C222" s="8" t="s">
        <v>59</v>
      </c>
      <c r="D222" s="18" t="s">
        <v>2564</v>
      </c>
      <c r="E222" s="16">
        <v>76.0</v>
      </c>
    </row>
    <row r="223">
      <c r="A223" s="8" t="s">
        <v>14</v>
      </c>
      <c r="B223" s="8" t="s">
        <v>15</v>
      </c>
      <c r="C223" s="8" t="s">
        <v>16</v>
      </c>
      <c r="D223" s="18" t="s">
        <v>2600</v>
      </c>
      <c r="E223" s="16">
        <v>94.0</v>
      </c>
    </row>
    <row r="224">
      <c r="A224" s="8" t="s">
        <v>3562</v>
      </c>
      <c r="B224" s="8" t="s">
        <v>354</v>
      </c>
      <c r="C224" s="8" t="s">
        <v>215</v>
      </c>
      <c r="D224" s="18" t="s">
        <v>2564</v>
      </c>
      <c r="E224" s="16">
        <v>71.0</v>
      </c>
    </row>
    <row r="225">
      <c r="A225" s="8" t="s">
        <v>1381</v>
      </c>
      <c r="B225" s="8" t="s">
        <v>2748</v>
      </c>
      <c r="C225" s="8" t="s">
        <v>122</v>
      </c>
      <c r="D225" s="18" t="s">
        <v>2600</v>
      </c>
      <c r="E225" s="16">
        <v>77.0</v>
      </c>
    </row>
    <row r="226">
      <c r="A226" s="8" t="s">
        <v>1381</v>
      </c>
      <c r="B226" s="8" t="s">
        <v>277</v>
      </c>
      <c r="C226" s="8" t="s">
        <v>138</v>
      </c>
      <c r="D226" s="18" t="s">
        <v>2581</v>
      </c>
      <c r="E226" s="16">
        <v>70.0</v>
      </c>
    </row>
    <row r="227">
      <c r="A227" s="8" t="s">
        <v>1381</v>
      </c>
      <c r="B227" s="8" t="s">
        <v>3183</v>
      </c>
      <c r="C227" s="8" t="s">
        <v>192</v>
      </c>
      <c r="D227" s="18" t="s">
        <v>2589</v>
      </c>
      <c r="E227" s="16">
        <v>81.0</v>
      </c>
    </row>
    <row r="228">
      <c r="A228" s="8" t="s">
        <v>654</v>
      </c>
      <c r="B228" s="8" t="s">
        <v>52</v>
      </c>
      <c r="C228" s="8" t="s">
        <v>24</v>
      </c>
      <c r="D228" s="18" t="s">
        <v>2592</v>
      </c>
      <c r="E228" s="16">
        <v>75.0</v>
      </c>
    </row>
    <row r="229">
      <c r="A229" s="8" t="s">
        <v>3184</v>
      </c>
      <c r="B229" s="8" t="s">
        <v>197</v>
      </c>
      <c r="C229" s="8" t="s">
        <v>65</v>
      </c>
      <c r="D229" s="18" t="s">
        <v>2605</v>
      </c>
      <c r="E229" s="16">
        <v>65.0</v>
      </c>
    </row>
    <row r="230">
      <c r="A230" s="8" t="s">
        <v>858</v>
      </c>
      <c r="B230" s="8" t="s">
        <v>2700</v>
      </c>
      <c r="C230" s="8" t="s">
        <v>65</v>
      </c>
      <c r="D230" s="18" t="s">
        <v>2567</v>
      </c>
      <c r="E230" s="16">
        <v>64.0</v>
      </c>
    </row>
    <row r="231">
      <c r="A231" s="8" t="s">
        <v>858</v>
      </c>
      <c r="B231" s="8" t="s">
        <v>676</v>
      </c>
      <c r="C231" s="8" t="s">
        <v>16</v>
      </c>
      <c r="D231" s="18" t="s">
        <v>2183</v>
      </c>
      <c r="E231" s="16">
        <v>62.0</v>
      </c>
    </row>
    <row r="232">
      <c r="A232" s="8" t="s">
        <v>2701</v>
      </c>
      <c r="B232" s="8" t="s">
        <v>2702</v>
      </c>
      <c r="C232" s="8" t="s">
        <v>93</v>
      </c>
      <c r="D232" s="18" t="s">
        <v>2595</v>
      </c>
      <c r="E232" s="16">
        <v>82.0</v>
      </c>
    </row>
    <row r="233">
      <c r="A233" s="8" t="s">
        <v>859</v>
      </c>
      <c r="B233" s="8" t="s">
        <v>860</v>
      </c>
      <c r="C233" s="8" t="s">
        <v>93</v>
      </c>
      <c r="D233" s="18" t="s">
        <v>2582</v>
      </c>
      <c r="E233" s="16">
        <v>81.0</v>
      </c>
    </row>
    <row r="234">
      <c r="A234" s="8" t="s">
        <v>19</v>
      </c>
      <c r="B234" s="8" t="s">
        <v>20</v>
      </c>
      <c r="C234" s="8" t="s">
        <v>16</v>
      </c>
      <c r="D234" s="18" t="s">
        <v>2595</v>
      </c>
      <c r="E234" s="16">
        <v>90.0</v>
      </c>
    </row>
    <row r="235">
      <c r="A235" s="8" t="s">
        <v>1099</v>
      </c>
      <c r="B235" s="8" t="s">
        <v>299</v>
      </c>
      <c r="C235" s="8" t="s">
        <v>141</v>
      </c>
      <c r="D235" s="18" t="s">
        <v>2614</v>
      </c>
      <c r="E235" s="16">
        <v>60.0</v>
      </c>
    </row>
    <row r="236">
      <c r="A236" s="8" t="s">
        <v>3563</v>
      </c>
      <c r="B236" s="8" t="s">
        <v>41</v>
      </c>
      <c r="C236" s="8" t="s">
        <v>141</v>
      </c>
      <c r="D236" s="18" t="s">
        <v>2620</v>
      </c>
      <c r="E236" s="16">
        <v>68.0</v>
      </c>
    </row>
    <row r="237">
      <c r="A237" s="8" t="s">
        <v>780</v>
      </c>
      <c r="B237" s="18" t="s">
        <v>456</v>
      </c>
      <c r="C237" s="8" t="s">
        <v>65</v>
      </c>
      <c r="D237" s="18" t="s">
        <v>2556</v>
      </c>
      <c r="E237" s="16">
        <v>62.0</v>
      </c>
    </row>
    <row r="238">
      <c r="A238" s="8" t="s">
        <v>477</v>
      </c>
      <c r="B238" s="8" t="s">
        <v>98</v>
      </c>
      <c r="C238" s="8" t="s">
        <v>24</v>
      </c>
      <c r="D238" s="18" t="s">
        <v>2605</v>
      </c>
      <c r="E238" s="16">
        <v>45.0</v>
      </c>
    </row>
    <row r="239">
      <c r="A239" s="8" t="s">
        <v>487</v>
      </c>
      <c r="B239" s="8" t="s">
        <v>1105</v>
      </c>
      <c r="C239" s="8" t="s">
        <v>192</v>
      </c>
      <c r="D239" s="18" t="s">
        <v>2558</v>
      </c>
      <c r="E239" s="16">
        <v>63.0</v>
      </c>
    </row>
    <row r="240">
      <c r="A240" s="8" t="s">
        <v>1100</v>
      </c>
      <c r="B240" s="8" t="s">
        <v>1101</v>
      </c>
      <c r="C240" s="8" t="s">
        <v>16</v>
      </c>
      <c r="D240" s="18" t="s">
        <v>2552</v>
      </c>
      <c r="E240" s="16">
        <v>81.0</v>
      </c>
    </row>
    <row r="241">
      <c r="A241" s="8" t="s">
        <v>478</v>
      </c>
      <c r="B241" s="8" t="s">
        <v>479</v>
      </c>
      <c r="C241" s="8" t="s">
        <v>24</v>
      </c>
      <c r="D241" s="18" t="s">
        <v>2621</v>
      </c>
      <c r="E241" s="16">
        <v>46.0</v>
      </c>
    </row>
    <row r="242">
      <c r="A242" s="8" t="s">
        <v>478</v>
      </c>
      <c r="B242" s="8" t="s">
        <v>3564</v>
      </c>
      <c r="C242" s="8" t="s">
        <v>186</v>
      </c>
      <c r="D242" s="18" t="s">
        <v>2566</v>
      </c>
      <c r="E242" s="16">
        <v>72.0</v>
      </c>
    </row>
    <row r="243">
      <c r="A243" s="8" t="s">
        <v>1102</v>
      </c>
      <c r="B243" s="8" t="s">
        <v>1103</v>
      </c>
      <c r="C243" s="8" t="s">
        <v>16</v>
      </c>
      <c r="D243" s="18" t="s">
        <v>2600</v>
      </c>
      <c r="E243" s="16">
        <v>70.0</v>
      </c>
    </row>
    <row r="244">
      <c r="A244" s="8" t="s">
        <v>655</v>
      </c>
      <c r="B244" s="8" t="s">
        <v>381</v>
      </c>
      <c r="C244" s="8" t="s">
        <v>141</v>
      </c>
      <c r="D244" s="18" t="s">
        <v>2603</v>
      </c>
      <c r="E244" s="16">
        <v>71.0</v>
      </c>
    </row>
    <row r="245">
      <c r="A245" s="8" t="s">
        <v>655</v>
      </c>
      <c r="B245" s="8" t="s">
        <v>333</v>
      </c>
      <c r="C245" s="8" t="s">
        <v>65</v>
      </c>
      <c r="D245" s="18" t="s">
        <v>2593</v>
      </c>
      <c r="E245" s="16">
        <v>80.0</v>
      </c>
    </row>
    <row r="246">
      <c r="A246" s="8" t="s">
        <v>3565</v>
      </c>
      <c r="B246" s="8" t="s">
        <v>472</v>
      </c>
      <c r="C246" s="8" t="s">
        <v>122</v>
      </c>
      <c r="D246" s="18" t="s">
        <v>2592</v>
      </c>
      <c r="E246" s="16">
        <v>57.0</v>
      </c>
    </row>
    <row r="247">
      <c r="A247" s="8" t="s">
        <v>243</v>
      </c>
      <c r="B247" s="8" t="s">
        <v>244</v>
      </c>
      <c r="C247" s="8" t="s">
        <v>93</v>
      </c>
      <c r="D247" s="18" t="s">
        <v>2585</v>
      </c>
      <c r="E247" s="16">
        <v>81.0</v>
      </c>
    </row>
    <row r="248">
      <c r="A248" s="8" t="s">
        <v>656</v>
      </c>
      <c r="B248" s="8" t="s">
        <v>137</v>
      </c>
      <c r="C248" s="8" t="s">
        <v>122</v>
      </c>
      <c r="D248" s="18" t="s">
        <v>2593</v>
      </c>
      <c r="E248" s="16">
        <v>79.0</v>
      </c>
    </row>
    <row r="249">
      <c r="A249" s="8" t="s">
        <v>2704</v>
      </c>
      <c r="B249" s="8" t="s">
        <v>2651</v>
      </c>
      <c r="C249" s="8" t="s">
        <v>122</v>
      </c>
      <c r="D249" s="18" t="s">
        <v>2566</v>
      </c>
      <c r="E249" s="16">
        <v>67.0</v>
      </c>
    </row>
    <row r="250">
      <c r="A250" s="8" t="s">
        <v>224</v>
      </c>
      <c r="B250" s="8" t="s">
        <v>1991</v>
      </c>
      <c r="C250" s="8" t="s">
        <v>53</v>
      </c>
      <c r="D250" s="18" t="s">
        <v>2585</v>
      </c>
      <c r="E250" s="16">
        <v>74.0</v>
      </c>
    </row>
    <row r="251">
      <c r="A251" s="8" t="s">
        <v>224</v>
      </c>
      <c r="B251" s="8" t="s">
        <v>121</v>
      </c>
      <c r="C251" s="8" t="s">
        <v>132</v>
      </c>
      <c r="D251" s="18" t="s">
        <v>2564</v>
      </c>
      <c r="E251" s="16">
        <v>80.0</v>
      </c>
    </row>
    <row r="252">
      <c r="A252" s="8" t="s">
        <v>224</v>
      </c>
      <c r="B252" s="8" t="s">
        <v>3566</v>
      </c>
      <c r="C252" s="8" t="s">
        <v>93</v>
      </c>
      <c r="D252" s="18" t="s">
        <v>2589</v>
      </c>
      <c r="E252" s="16">
        <v>59.0</v>
      </c>
    </row>
    <row r="253">
      <c r="A253" s="8" t="s">
        <v>224</v>
      </c>
      <c r="B253" s="8" t="s">
        <v>394</v>
      </c>
      <c r="C253" s="8" t="s">
        <v>93</v>
      </c>
      <c r="D253" s="18" t="s">
        <v>2564</v>
      </c>
      <c r="E253" s="16">
        <v>68.0</v>
      </c>
    </row>
    <row r="254">
      <c r="A254" s="8" t="s">
        <v>224</v>
      </c>
      <c r="B254" s="8" t="s">
        <v>861</v>
      </c>
      <c r="C254" s="8" t="s">
        <v>80</v>
      </c>
      <c r="D254" s="18" t="s">
        <v>2575</v>
      </c>
      <c r="E254" s="16">
        <v>72.0</v>
      </c>
    </row>
    <row r="255">
      <c r="A255" s="8" t="s">
        <v>224</v>
      </c>
      <c r="B255" s="8" t="s">
        <v>737</v>
      </c>
      <c r="C255" s="8" t="s">
        <v>70</v>
      </c>
      <c r="D255" s="18" t="s">
        <v>2603</v>
      </c>
      <c r="E255" s="16">
        <v>70.0</v>
      </c>
    </row>
    <row r="256">
      <c r="A256" s="8" t="s">
        <v>1104</v>
      </c>
      <c r="B256" s="8" t="s">
        <v>1105</v>
      </c>
      <c r="C256" s="8" t="s">
        <v>186</v>
      </c>
      <c r="D256" s="18" t="s">
        <v>2552</v>
      </c>
      <c r="E256" s="16">
        <v>66.0</v>
      </c>
    </row>
    <row r="257">
      <c r="A257" s="8" t="s">
        <v>106</v>
      </c>
      <c r="B257" s="8" t="s">
        <v>212</v>
      </c>
      <c r="C257" s="8" t="s">
        <v>93</v>
      </c>
      <c r="D257" s="18" t="s">
        <v>2614</v>
      </c>
      <c r="E257" s="16">
        <v>68.0</v>
      </c>
    </row>
    <row r="258">
      <c r="A258" s="8" t="s">
        <v>106</v>
      </c>
      <c r="B258" s="8" t="s">
        <v>245</v>
      </c>
      <c r="C258" s="8" t="s">
        <v>65</v>
      </c>
      <c r="D258" s="18" t="s">
        <v>2577</v>
      </c>
      <c r="E258" s="16">
        <v>97.0</v>
      </c>
    </row>
    <row r="259">
      <c r="A259" s="8" t="s">
        <v>106</v>
      </c>
      <c r="B259" s="8" t="s">
        <v>1245</v>
      </c>
      <c r="C259" s="8" t="s">
        <v>186</v>
      </c>
      <c r="D259" s="18" t="s">
        <v>2575</v>
      </c>
      <c r="E259" s="16">
        <v>72.0</v>
      </c>
    </row>
    <row r="260">
      <c r="A260" s="8" t="s">
        <v>106</v>
      </c>
      <c r="B260" s="8" t="s">
        <v>3567</v>
      </c>
      <c r="C260" s="8" t="s">
        <v>53</v>
      </c>
      <c r="D260" s="18" t="s">
        <v>2558</v>
      </c>
      <c r="E260" s="16">
        <v>59.0</v>
      </c>
    </row>
    <row r="261">
      <c r="A261" s="8" t="s">
        <v>106</v>
      </c>
      <c r="B261" s="8" t="s">
        <v>275</v>
      </c>
      <c r="C261" s="8" t="s">
        <v>65</v>
      </c>
      <c r="D261" s="18" t="s">
        <v>2614</v>
      </c>
      <c r="E261" s="16">
        <v>62.0</v>
      </c>
    </row>
    <row r="262">
      <c r="A262" s="8" t="s">
        <v>106</v>
      </c>
      <c r="B262" s="8" t="s">
        <v>3568</v>
      </c>
      <c r="C262" s="8" t="s">
        <v>93</v>
      </c>
      <c r="D262" s="18" t="s">
        <v>2610</v>
      </c>
      <c r="E262" s="16">
        <v>70.0</v>
      </c>
    </row>
    <row r="263">
      <c r="A263" s="8" t="s">
        <v>106</v>
      </c>
      <c r="B263" s="8" t="s">
        <v>197</v>
      </c>
      <c r="C263" s="8" t="s">
        <v>65</v>
      </c>
      <c r="D263" s="18" t="s">
        <v>2575</v>
      </c>
      <c r="E263" s="16">
        <v>61.0</v>
      </c>
    </row>
    <row r="264">
      <c r="A264" s="8" t="s">
        <v>106</v>
      </c>
      <c r="B264" s="8" t="s">
        <v>669</v>
      </c>
      <c r="C264" s="8" t="s">
        <v>70</v>
      </c>
      <c r="D264" s="18" t="s">
        <v>2600</v>
      </c>
      <c r="E264" s="16">
        <v>76.0</v>
      </c>
    </row>
    <row r="265">
      <c r="A265" s="8" t="s">
        <v>106</v>
      </c>
      <c r="B265" s="8" t="s">
        <v>107</v>
      </c>
      <c r="C265" s="8" t="s">
        <v>46</v>
      </c>
      <c r="D265" s="18" t="s">
        <v>2562</v>
      </c>
      <c r="E265" s="16">
        <v>86.0</v>
      </c>
    </row>
    <row r="266">
      <c r="A266" s="8" t="s">
        <v>106</v>
      </c>
      <c r="B266" s="8" t="s">
        <v>3569</v>
      </c>
      <c r="C266" s="8" t="s">
        <v>93</v>
      </c>
      <c r="D266" s="18" t="s">
        <v>2567</v>
      </c>
      <c r="E266" s="16">
        <v>67.0</v>
      </c>
    </row>
    <row r="267">
      <c r="A267" s="8" t="s">
        <v>106</v>
      </c>
      <c r="B267" s="8" t="s">
        <v>1106</v>
      </c>
      <c r="C267" s="8" t="s">
        <v>132</v>
      </c>
      <c r="D267" s="18" t="s">
        <v>2593</v>
      </c>
      <c r="E267" s="16">
        <v>68.0</v>
      </c>
    </row>
    <row r="268">
      <c r="A268" s="8" t="s">
        <v>106</v>
      </c>
      <c r="B268" s="8" t="s">
        <v>481</v>
      </c>
      <c r="C268" s="8" t="s">
        <v>65</v>
      </c>
      <c r="D268" s="18" t="s">
        <v>2589</v>
      </c>
      <c r="E268" s="16">
        <v>72.0</v>
      </c>
    </row>
    <row r="269">
      <c r="A269" s="8" t="s">
        <v>106</v>
      </c>
      <c r="B269" s="8" t="s">
        <v>1385</v>
      </c>
      <c r="C269" s="8" t="s">
        <v>53</v>
      </c>
      <c r="D269" s="18" t="s">
        <v>2572</v>
      </c>
      <c r="E269" s="16">
        <v>65.0</v>
      </c>
    </row>
    <row r="270">
      <c r="A270" s="8" t="s">
        <v>106</v>
      </c>
      <c r="B270" s="8" t="s">
        <v>23</v>
      </c>
      <c r="C270" s="8" t="s">
        <v>65</v>
      </c>
      <c r="D270" s="18" t="s">
        <v>2589</v>
      </c>
      <c r="E270" s="16">
        <v>86.0</v>
      </c>
    </row>
    <row r="271">
      <c r="A271" s="8" t="s">
        <v>106</v>
      </c>
      <c r="B271" s="8" t="s">
        <v>301</v>
      </c>
      <c r="C271" s="8" t="s">
        <v>12</v>
      </c>
      <c r="D271" s="18" t="s">
        <v>2566</v>
      </c>
      <c r="E271" s="16">
        <v>83.0</v>
      </c>
    </row>
    <row r="272">
      <c r="A272" s="8" t="s">
        <v>106</v>
      </c>
      <c r="B272" s="8" t="s">
        <v>3570</v>
      </c>
      <c r="C272" s="8" t="s">
        <v>138</v>
      </c>
      <c r="D272" s="18" t="s">
        <v>2592</v>
      </c>
      <c r="E272" s="16">
        <v>61.0</v>
      </c>
    </row>
    <row r="273">
      <c r="A273" s="8" t="s">
        <v>106</v>
      </c>
      <c r="B273" s="8" t="s">
        <v>283</v>
      </c>
      <c r="C273" s="8" t="s">
        <v>70</v>
      </c>
      <c r="D273" s="18" t="s">
        <v>2593</v>
      </c>
      <c r="E273" s="16">
        <v>66.0</v>
      </c>
    </row>
    <row r="274">
      <c r="A274" s="8" t="s">
        <v>106</v>
      </c>
      <c r="B274" s="8" t="s">
        <v>1386</v>
      </c>
      <c r="C274" s="8" t="s">
        <v>122</v>
      </c>
      <c r="D274" s="18" t="s">
        <v>2600</v>
      </c>
      <c r="E274" s="16">
        <v>71.0</v>
      </c>
    </row>
    <row r="275">
      <c r="A275" s="8" t="s">
        <v>106</v>
      </c>
      <c r="B275" s="8" t="s">
        <v>2143</v>
      </c>
      <c r="C275" s="8" t="s">
        <v>65</v>
      </c>
      <c r="D275" s="18" t="s">
        <v>2620</v>
      </c>
      <c r="E275" s="16">
        <v>73.0</v>
      </c>
    </row>
    <row r="276">
      <c r="A276" s="8" t="s">
        <v>106</v>
      </c>
      <c r="B276" s="8" t="s">
        <v>3186</v>
      </c>
      <c r="C276" s="8" t="s">
        <v>65</v>
      </c>
      <c r="D276" s="18" t="s">
        <v>2574</v>
      </c>
      <c r="E276" s="16">
        <v>76.0</v>
      </c>
    </row>
    <row r="277">
      <c r="A277" s="8" t="s">
        <v>106</v>
      </c>
      <c r="B277" s="8" t="s">
        <v>1107</v>
      </c>
      <c r="C277" s="8" t="s">
        <v>186</v>
      </c>
      <c r="D277" s="18" t="s">
        <v>2587</v>
      </c>
      <c r="E277" s="16">
        <v>73.0</v>
      </c>
    </row>
    <row r="278">
      <c r="A278" s="8" t="s">
        <v>106</v>
      </c>
      <c r="B278" s="8" t="s">
        <v>67</v>
      </c>
      <c r="C278" s="8" t="s">
        <v>138</v>
      </c>
      <c r="D278" s="18" t="s">
        <v>2610</v>
      </c>
      <c r="E278" s="16">
        <v>59.0</v>
      </c>
    </row>
    <row r="279">
      <c r="A279" s="8" t="s">
        <v>106</v>
      </c>
      <c r="B279" s="8" t="s">
        <v>3102</v>
      </c>
      <c r="C279" s="8" t="s">
        <v>192</v>
      </c>
      <c r="D279" s="18" t="s">
        <v>2183</v>
      </c>
      <c r="E279" s="16">
        <v>77.0</v>
      </c>
    </row>
    <row r="280">
      <c r="A280" s="8" t="s">
        <v>106</v>
      </c>
      <c r="B280" s="8" t="s">
        <v>334</v>
      </c>
      <c r="C280" s="8" t="s">
        <v>149</v>
      </c>
      <c r="D280" s="18" t="s">
        <v>2585</v>
      </c>
      <c r="E280" s="16">
        <v>65.0</v>
      </c>
    </row>
    <row r="281">
      <c r="A281" s="8" t="s">
        <v>106</v>
      </c>
      <c r="B281" s="8" t="s">
        <v>480</v>
      </c>
      <c r="C281" s="8" t="s">
        <v>59</v>
      </c>
      <c r="D281" s="18" t="s">
        <v>2587</v>
      </c>
      <c r="E281" s="16">
        <v>82.0</v>
      </c>
    </row>
    <row r="282">
      <c r="A282" s="8" t="s">
        <v>3571</v>
      </c>
      <c r="B282" s="8" t="s">
        <v>121</v>
      </c>
      <c r="C282" s="8" t="s">
        <v>93</v>
      </c>
      <c r="D282" s="18" t="s">
        <v>2603</v>
      </c>
      <c r="E282" s="16">
        <v>73.0</v>
      </c>
    </row>
    <row r="283">
      <c r="A283" s="8" t="s">
        <v>3572</v>
      </c>
      <c r="B283" s="8" t="s">
        <v>506</v>
      </c>
      <c r="C283" s="8" t="s">
        <v>192</v>
      </c>
      <c r="D283" s="18" t="s">
        <v>2582</v>
      </c>
      <c r="E283" s="16">
        <v>77.0</v>
      </c>
    </row>
    <row r="284">
      <c r="A284" s="8" t="s">
        <v>3573</v>
      </c>
      <c r="B284" s="8" t="s">
        <v>728</v>
      </c>
      <c r="C284" s="8" t="s">
        <v>192</v>
      </c>
      <c r="D284" s="18" t="s">
        <v>2621</v>
      </c>
      <c r="E284" s="16">
        <v>61.0</v>
      </c>
    </row>
    <row r="285">
      <c r="A285" s="8" t="s">
        <v>2064</v>
      </c>
      <c r="B285" s="8" t="s">
        <v>3187</v>
      </c>
      <c r="C285" s="8" t="s">
        <v>138</v>
      </c>
      <c r="D285" s="18" t="s">
        <v>2615</v>
      </c>
      <c r="E285" s="16">
        <v>70.0</v>
      </c>
    </row>
    <row r="286">
      <c r="A286" s="8" t="s">
        <v>2064</v>
      </c>
      <c r="B286" s="8" t="s">
        <v>726</v>
      </c>
      <c r="C286" s="8" t="s">
        <v>192</v>
      </c>
      <c r="D286" s="18" t="s">
        <v>2593</v>
      </c>
      <c r="E286" s="16">
        <v>64.0</v>
      </c>
    </row>
    <row r="287">
      <c r="A287" s="8" t="s">
        <v>2064</v>
      </c>
      <c r="B287" s="8" t="s">
        <v>3188</v>
      </c>
      <c r="C287" s="8" t="s">
        <v>122</v>
      </c>
      <c r="D287" s="18" t="s">
        <v>2587</v>
      </c>
      <c r="E287" s="16">
        <v>71.0</v>
      </c>
    </row>
    <row r="288">
      <c r="A288" s="8" t="s">
        <v>2064</v>
      </c>
      <c r="B288" s="8" t="s">
        <v>816</v>
      </c>
      <c r="C288" s="8" t="s">
        <v>138</v>
      </c>
      <c r="D288" s="18" t="s">
        <v>2615</v>
      </c>
      <c r="E288" s="16">
        <v>77.0</v>
      </c>
    </row>
    <row r="289">
      <c r="A289" s="8" t="s">
        <v>2064</v>
      </c>
      <c r="B289" s="8" t="s">
        <v>2706</v>
      </c>
      <c r="C289" s="8" t="s">
        <v>65</v>
      </c>
      <c r="D289" s="18" t="s">
        <v>2614</v>
      </c>
      <c r="E289" s="16">
        <v>90.0</v>
      </c>
    </row>
    <row r="290">
      <c r="A290" s="8" t="s">
        <v>2064</v>
      </c>
      <c r="B290" s="8" t="s">
        <v>2707</v>
      </c>
      <c r="C290" s="8" t="s">
        <v>65</v>
      </c>
      <c r="D290" s="18" t="s">
        <v>2577</v>
      </c>
      <c r="E290" s="16">
        <v>82.0</v>
      </c>
    </row>
    <row r="291">
      <c r="A291" s="8" t="s">
        <v>2064</v>
      </c>
      <c r="B291" s="8" t="s">
        <v>33</v>
      </c>
      <c r="C291" s="8" t="s">
        <v>12</v>
      </c>
      <c r="D291" s="18" t="s">
        <v>2598</v>
      </c>
      <c r="E291" s="16">
        <v>81.0</v>
      </c>
    </row>
    <row r="292">
      <c r="A292" s="8" t="s">
        <v>2064</v>
      </c>
      <c r="B292" s="8" t="s">
        <v>3574</v>
      </c>
      <c r="C292" s="8" t="s">
        <v>138</v>
      </c>
      <c r="D292" s="18" t="s">
        <v>2589</v>
      </c>
      <c r="E292" s="16">
        <v>73.0</v>
      </c>
    </row>
    <row r="293">
      <c r="A293" s="8" t="s">
        <v>862</v>
      </c>
      <c r="B293" s="8" t="s">
        <v>863</v>
      </c>
      <c r="C293" s="8" t="s">
        <v>186</v>
      </c>
      <c r="D293" s="18" t="s">
        <v>2589</v>
      </c>
      <c r="E293" s="16">
        <v>78.0</v>
      </c>
    </row>
    <row r="294">
      <c r="A294" s="8" t="s">
        <v>1388</v>
      </c>
      <c r="B294" s="8" t="s">
        <v>1389</v>
      </c>
      <c r="C294" s="8" t="s">
        <v>215</v>
      </c>
      <c r="D294" s="18" t="s">
        <v>2585</v>
      </c>
      <c r="E294" s="16">
        <v>78.0</v>
      </c>
    </row>
    <row r="295">
      <c r="A295" s="8" t="s">
        <v>353</v>
      </c>
      <c r="B295" s="8" t="s">
        <v>354</v>
      </c>
      <c r="C295" s="8" t="s">
        <v>149</v>
      </c>
      <c r="D295" s="18" t="s">
        <v>2558</v>
      </c>
      <c r="E295" s="16">
        <v>79.0</v>
      </c>
    </row>
    <row r="296">
      <c r="A296" s="8" t="s">
        <v>1390</v>
      </c>
      <c r="B296" s="8" t="s">
        <v>842</v>
      </c>
      <c r="C296" s="8" t="s">
        <v>215</v>
      </c>
      <c r="D296" s="18" t="s">
        <v>2605</v>
      </c>
      <c r="E296" s="16">
        <v>68.0</v>
      </c>
    </row>
    <row r="297">
      <c r="A297" s="8" t="s">
        <v>1391</v>
      </c>
      <c r="B297" s="8" t="s">
        <v>922</v>
      </c>
      <c r="C297" s="8" t="s">
        <v>186</v>
      </c>
      <c r="D297" s="18" t="s">
        <v>2562</v>
      </c>
      <c r="E297" s="16">
        <v>68.0</v>
      </c>
    </row>
    <row r="298">
      <c r="A298" s="8" t="s">
        <v>1392</v>
      </c>
      <c r="B298" s="8" t="s">
        <v>98</v>
      </c>
      <c r="C298" s="8" t="s">
        <v>65</v>
      </c>
      <c r="D298" s="18" t="s">
        <v>2585</v>
      </c>
      <c r="E298" s="16">
        <v>63.0</v>
      </c>
    </row>
    <row r="299">
      <c r="A299" s="8" t="s">
        <v>657</v>
      </c>
      <c r="B299" s="8" t="s">
        <v>658</v>
      </c>
      <c r="C299" s="8" t="s">
        <v>59</v>
      </c>
      <c r="D299" s="18" t="s">
        <v>2610</v>
      </c>
      <c r="E299" s="16">
        <v>88.0</v>
      </c>
    </row>
    <row r="300">
      <c r="A300" s="8" t="s">
        <v>484</v>
      </c>
      <c r="B300" s="8" t="s">
        <v>485</v>
      </c>
      <c r="C300" s="8" t="s">
        <v>70</v>
      </c>
      <c r="D300" s="18" t="s">
        <v>2610</v>
      </c>
      <c r="E300" s="16">
        <v>71.0</v>
      </c>
    </row>
    <row r="301">
      <c r="A301" s="8" t="s">
        <v>1723</v>
      </c>
      <c r="B301" s="8" t="s">
        <v>121</v>
      </c>
      <c r="C301" s="8" t="s">
        <v>70</v>
      </c>
      <c r="D301" s="18" t="s">
        <v>2558</v>
      </c>
      <c r="E301" s="16">
        <v>61.0</v>
      </c>
    </row>
    <row r="302">
      <c r="A302" s="8" t="s">
        <v>3190</v>
      </c>
      <c r="B302" s="8" t="s">
        <v>247</v>
      </c>
      <c r="C302" s="8" t="s">
        <v>93</v>
      </c>
      <c r="D302" s="18" t="s">
        <v>2603</v>
      </c>
      <c r="E302" s="16">
        <v>71.0</v>
      </c>
    </row>
    <row r="303">
      <c r="A303" s="8" t="s">
        <v>355</v>
      </c>
      <c r="B303" s="8" t="s">
        <v>146</v>
      </c>
      <c r="C303" s="8" t="s">
        <v>192</v>
      </c>
      <c r="D303" s="18" t="s">
        <v>2558</v>
      </c>
      <c r="E303" s="16">
        <v>85.0</v>
      </c>
    </row>
    <row r="304">
      <c r="A304" s="8" t="s">
        <v>1725</v>
      </c>
      <c r="B304" s="8" t="s">
        <v>1726</v>
      </c>
      <c r="C304" s="8" t="s">
        <v>93</v>
      </c>
      <c r="D304" s="18" t="s">
        <v>2577</v>
      </c>
      <c r="E304" s="16">
        <v>72.0</v>
      </c>
    </row>
    <row r="305">
      <c r="A305" s="8" t="s">
        <v>1109</v>
      </c>
      <c r="B305" s="8" t="s">
        <v>1110</v>
      </c>
      <c r="C305" s="8" t="s">
        <v>93</v>
      </c>
      <c r="D305" s="18" t="s">
        <v>2560</v>
      </c>
      <c r="E305" s="16">
        <v>68.0</v>
      </c>
    </row>
    <row r="306">
      <c r="A306" s="8" t="s">
        <v>3191</v>
      </c>
      <c r="B306" s="8" t="s">
        <v>948</v>
      </c>
      <c r="C306" s="8" t="s">
        <v>65</v>
      </c>
      <c r="D306" s="18" t="s">
        <v>2572</v>
      </c>
      <c r="E306" s="16">
        <v>61.0</v>
      </c>
    </row>
    <row r="307">
      <c r="A307" s="8" t="s">
        <v>864</v>
      </c>
      <c r="B307" s="8" t="s">
        <v>137</v>
      </c>
      <c r="C307" s="8" t="s">
        <v>261</v>
      </c>
      <c r="D307" s="18" t="s">
        <v>2554</v>
      </c>
      <c r="E307" s="16">
        <v>83.0</v>
      </c>
    </row>
    <row r="308">
      <c r="A308" s="8" t="s">
        <v>864</v>
      </c>
      <c r="B308" s="8" t="s">
        <v>865</v>
      </c>
      <c r="C308" s="8" t="s">
        <v>24</v>
      </c>
      <c r="D308" s="18" t="s">
        <v>2564</v>
      </c>
      <c r="E308" s="16">
        <v>69.0</v>
      </c>
    </row>
    <row r="309">
      <c r="A309" s="8" t="s">
        <v>866</v>
      </c>
      <c r="B309" s="8" t="s">
        <v>867</v>
      </c>
      <c r="C309" s="8" t="s">
        <v>149</v>
      </c>
      <c r="D309" s="18" t="s">
        <v>2572</v>
      </c>
      <c r="E309" s="16">
        <v>63.0</v>
      </c>
    </row>
    <row r="310">
      <c r="A310" s="8" t="s">
        <v>190</v>
      </c>
      <c r="B310" s="8" t="s">
        <v>569</v>
      </c>
      <c r="C310" s="8" t="s">
        <v>192</v>
      </c>
      <c r="D310" s="18" t="s">
        <v>2605</v>
      </c>
      <c r="E310" s="16">
        <v>68.0</v>
      </c>
    </row>
    <row r="311">
      <c r="A311" s="8" t="s">
        <v>190</v>
      </c>
      <c r="B311" s="8" t="s">
        <v>191</v>
      </c>
      <c r="C311" s="8" t="s">
        <v>80</v>
      </c>
      <c r="D311" s="18" t="s">
        <v>2554</v>
      </c>
      <c r="E311" s="16">
        <v>77.0</v>
      </c>
    </row>
    <row r="312">
      <c r="A312" s="8" t="s">
        <v>190</v>
      </c>
      <c r="B312" s="8" t="s">
        <v>1173</v>
      </c>
      <c r="C312" s="8" t="s">
        <v>70</v>
      </c>
      <c r="D312" s="18" t="s">
        <v>2587</v>
      </c>
      <c r="E312" s="16">
        <v>74.0</v>
      </c>
    </row>
    <row r="313">
      <c r="A313" s="8" t="s">
        <v>2709</v>
      </c>
      <c r="B313" s="8" t="s">
        <v>2710</v>
      </c>
      <c r="C313" s="8" t="s">
        <v>75</v>
      </c>
      <c r="D313" s="18" t="s">
        <v>2581</v>
      </c>
      <c r="E313" s="16">
        <v>81.0</v>
      </c>
    </row>
    <row r="314">
      <c r="A314" s="8" t="s">
        <v>486</v>
      </c>
      <c r="B314" s="8" t="s">
        <v>487</v>
      </c>
      <c r="C314" s="8" t="s">
        <v>65</v>
      </c>
      <c r="D314" s="18" t="s">
        <v>2614</v>
      </c>
      <c r="E314" s="16">
        <v>71.0</v>
      </c>
    </row>
    <row r="315">
      <c r="A315" s="8" t="s">
        <v>486</v>
      </c>
      <c r="B315" s="8" t="s">
        <v>3575</v>
      </c>
      <c r="C315" s="8" t="s">
        <v>93</v>
      </c>
      <c r="D315" s="18" t="s">
        <v>2554</v>
      </c>
      <c r="E315" s="16">
        <v>68.0</v>
      </c>
    </row>
    <row r="316">
      <c r="A316" s="8" t="s">
        <v>486</v>
      </c>
      <c r="B316" s="8" t="s">
        <v>800</v>
      </c>
      <c r="C316" s="8" t="s">
        <v>93</v>
      </c>
      <c r="D316" s="18" t="s">
        <v>2567</v>
      </c>
      <c r="E316" s="16">
        <v>72.0</v>
      </c>
    </row>
    <row r="317">
      <c r="A317" s="8" t="s">
        <v>486</v>
      </c>
      <c r="B317" s="8" t="s">
        <v>669</v>
      </c>
      <c r="C317" s="8" t="s">
        <v>186</v>
      </c>
      <c r="D317" s="18" t="s">
        <v>2589</v>
      </c>
      <c r="E317" s="16">
        <v>73.0</v>
      </c>
    </row>
    <row r="318">
      <c r="A318" s="8" t="s">
        <v>486</v>
      </c>
      <c r="B318" s="8" t="s">
        <v>20</v>
      </c>
      <c r="C318" s="8" t="s">
        <v>38</v>
      </c>
      <c r="D318" s="18" t="s">
        <v>2589</v>
      </c>
      <c r="E318" s="16">
        <v>76.0</v>
      </c>
    </row>
    <row r="319">
      <c r="A319" s="8" t="s">
        <v>486</v>
      </c>
      <c r="B319" s="8" t="s">
        <v>283</v>
      </c>
      <c r="C319" s="8" t="s">
        <v>93</v>
      </c>
      <c r="D319" s="18" t="s">
        <v>2600</v>
      </c>
      <c r="E319" s="16">
        <v>85.0</v>
      </c>
    </row>
    <row r="320">
      <c r="A320" s="8" t="s">
        <v>486</v>
      </c>
      <c r="B320" s="8" t="s">
        <v>84</v>
      </c>
      <c r="C320" s="8" t="s">
        <v>122</v>
      </c>
      <c r="D320" s="18" t="s">
        <v>2574</v>
      </c>
      <c r="E320" s="16">
        <v>74.0</v>
      </c>
    </row>
    <row r="321">
      <c r="A321" s="8" t="s">
        <v>1111</v>
      </c>
      <c r="B321" s="8" t="s">
        <v>119</v>
      </c>
      <c r="C321" s="8" t="s">
        <v>192</v>
      </c>
      <c r="D321" s="18" t="s">
        <v>2621</v>
      </c>
      <c r="E321" s="16">
        <v>71.0</v>
      </c>
    </row>
    <row r="322">
      <c r="A322" s="8" t="s">
        <v>2712</v>
      </c>
      <c r="B322" s="8" t="s">
        <v>301</v>
      </c>
      <c r="C322" s="8" t="s">
        <v>59</v>
      </c>
      <c r="D322" s="18" t="s">
        <v>2554</v>
      </c>
      <c r="E322" s="16">
        <v>79.0</v>
      </c>
    </row>
    <row r="323">
      <c r="A323" s="8" t="s">
        <v>1112</v>
      </c>
      <c r="B323" s="8" t="s">
        <v>3576</v>
      </c>
      <c r="C323" s="8" t="s">
        <v>80</v>
      </c>
      <c r="D323" s="18" t="s">
        <v>2595</v>
      </c>
      <c r="E323" s="16">
        <v>83.0</v>
      </c>
    </row>
    <row r="324">
      <c r="A324" s="8" t="s">
        <v>2713</v>
      </c>
      <c r="B324" s="8" t="s">
        <v>2714</v>
      </c>
      <c r="C324" s="8" t="s">
        <v>70</v>
      </c>
      <c r="D324" s="18" t="s">
        <v>2595</v>
      </c>
      <c r="E324" s="16">
        <v>71.0</v>
      </c>
    </row>
    <row r="325">
      <c r="A325" s="8" t="s">
        <v>2316</v>
      </c>
      <c r="B325" s="8" t="s">
        <v>735</v>
      </c>
      <c r="C325" s="8" t="s">
        <v>65</v>
      </c>
      <c r="D325" s="18" t="s">
        <v>2585</v>
      </c>
      <c r="E325" s="16">
        <v>63.0</v>
      </c>
    </row>
    <row r="326">
      <c r="A326" s="8" t="s">
        <v>3192</v>
      </c>
      <c r="B326" s="8" t="s">
        <v>277</v>
      </c>
      <c r="C326" s="8" t="s">
        <v>65</v>
      </c>
      <c r="D326" s="18" t="s">
        <v>2554</v>
      </c>
      <c r="E326" s="16">
        <v>70.0</v>
      </c>
    </row>
    <row r="327">
      <c r="A327" s="8" t="s">
        <v>3192</v>
      </c>
      <c r="B327" s="8" t="s">
        <v>865</v>
      </c>
      <c r="C327" s="8" t="s">
        <v>93</v>
      </c>
      <c r="D327" s="18" t="s">
        <v>2615</v>
      </c>
      <c r="E327" s="16">
        <v>62.0</v>
      </c>
    </row>
    <row r="328">
      <c r="A328" s="8" t="s">
        <v>868</v>
      </c>
      <c r="B328" s="8" t="s">
        <v>869</v>
      </c>
      <c r="C328" s="8" t="s">
        <v>59</v>
      </c>
      <c r="D328" s="18" t="s">
        <v>2556</v>
      </c>
      <c r="E328" s="16">
        <v>69.0</v>
      </c>
    </row>
    <row r="329">
      <c r="A329" s="8" t="s">
        <v>868</v>
      </c>
      <c r="B329" s="8" t="s">
        <v>1114</v>
      </c>
      <c r="C329" s="8" t="s">
        <v>93</v>
      </c>
      <c r="D329" s="18" t="s">
        <v>2605</v>
      </c>
      <c r="E329" s="16">
        <v>62.0</v>
      </c>
    </row>
    <row r="330">
      <c r="A330" s="8" t="s">
        <v>870</v>
      </c>
      <c r="B330" s="8" t="s">
        <v>871</v>
      </c>
      <c r="C330" s="8" t="s">
        <v>93</v>
      </c>
      <c r="D330" s="18" t="s">
        <v>2605</v>
      </c>
      <c r="E330" s="16">
        <v>69.0</v>
      </c>
    </row>
    <row r="331">
      <c r="A331" s="8" t="s">
        <v>870</v>
      </c>
      <c r="B331" s="8" t="s">
        <v>102</v>
      </c>
      <c r="C331" s="8" t="s">
        <v>16</v>
      </c>
      <c r="D331" s="18" t="s">
        <v>2558</v>
      </c>
      <c r="E331" s="16">
        <v>62.0</v>
      </c>
    </row>
    <row r="332">
      <c r="A332" s="8" t="s">
        <v>52</v>
      </c>
      <c r="B332" s="8" t="s">
        <v>263</v>
      </c>
      <c r="C332" s="8" t="s">
        <v>24</v>
      </c>
      <c r="D332" s="18" t="s">
        <v>2581</v>
      </c>
      <c r="E332" s="16">
        <v>81.0</v>
      </c>
    </row>
    <row r="333">
      <c r="A333" s="8" t="s">
        <v>2715</v>
      </c>
      <c r="B333" s="8" t="s">
        <v>137</v>
      </c>
      <c r="C333" s="8" t="s">
        <v>65</v>
      </c>
      <c r="D333" s="18" t="s">
        <v>2575</v>
      </c>
      <c r="E333" s="16">
        <v>68.0</v>
      </c>
    </row>
    <row r="334">
      <c r="A334" s="8" t="s">
        <v>142</v>
      </c>
      <c r="B334" s="8" t="s">
        <v>143</v>
      </c>
      <c r="C334" s="8" t="s">
        <v>138</v>
      </c>
      <c r="D334" s="18" t="s">
        <v>2589</v>
      </c>
      <c r="E334" s="16">
        <v>88.0</v>
      </c>
    </row>
    <row r="335">
      <c r="A335" s="8" t="s">
        <v>142</v>
      </c>
      <c r="B335" s="18" t="s">
        <v>1115</v>
      </c>
      <c r="C335" s="8" t="s">
        <v>186</v>
      </c>
      <c r="D335" s="18" t="s">
        <v>2598</v>
      </c>
      <c r="E335" s="16">
        <v>64.0</v>
      </c>
    </row>
    <row r="336">
      <c r="A336" s="8" t="s">
        <v>142</v>
      </c>
      <c r="B336" s="8" t="s">
        <v>2716</v>
      </c>
      <c r="C336" s="8" t="s">
        <v>192</v>
      </c>
      <c r="D336" s="18" t="s">
        <v>2615</v>
      </c>
      <c r="E336" s="16">
        <v>70.0</v>
      </c>
    </row>
    <row r="337">
      <c r="A337" s="8" t="s">
        <v>1116</v>
      </c>
      <c r="B337" s="8" t="s">
        <v>1117</v>
      </c>
      <c r="C337" s="8" t="s">
        <v>24</v>
      </c>
      <c r="D337" s="18" t="s">
        <v>2589</v>
      </c>
      <c r="E337" s="16">
        <v>42.0</v>
      </c>
    </row>
    <row r="338">
      <c r="A338" s="8" t="s">
        <v>1396</v>
      </c>
      <c r="B338" s="8" t="s">
        <v>634</v>
      </c>
      <c r="C338" s="8" t="s">
        <v>192</v>
      </c>
      <c r="D338" s="18" t="s">
        <v>2575</v>
      </c>
      <c r="E338" s="16">
        <v>65.0</v>
      </c>
    </row>
    <row r="339">
      <c r="A339" s="8" t="s">
        <v>872</v>
      </c>
      <c r="B339" s="18" t="s">
        <v>269</v>
      </c>
      <c r="C339" s="8" t="s">
        <v>132</v>
      </c>
      <c r="D339" s="18" t="s">
        <v>2584</v>
      </c>
      <c r="E339" s="16">
        <v>69.0</v>
      </c>
    </row>
    <row r="340">
      <c r="A340" s="8" t="s">
        <v>246</v>
      </c>
      <c r="B340" s="8" t="s">
        <v>247</v>
      </c>
      <c r="C340" s="8" t="s">
        <v>46</v>
      </c>
      <c r="D340" s="18" t="s">
        <v>2600</v>
      </c>
      <c r="E340" s="16">
        <v>74.0</v>
      </c>
    </row>
    <row r="341">
      <c r="A341" s="8" t="s">
        <v>2718</v>
      </c>
      <c r="B341" s="8" t="s">
        <v>489</v>
      </c>
      <c r="C341" s="8" t="s">
        <v>186</v>
      </c>
      <c r="D341" s="18" t="s">
        <v>2615</v>
      </c>
      <c r="E341" s="16">
        <v>65.0</v>
      </c>
    </row>
    <row r="342">
      <c r="A342" s="8" t="s">
        <v>873</v>
      </c>
      <c r="B342" s="8" t="s">
        <v>102</v>
      </c>
      <c r="C342" s="8" t="s">
        <v>24</v>
      </c>
      <c r="D342" s="18" t="s">
        <v>2600</v>
      </c>
      <c r="E342" s="16">
        <v>40.0</v>
      </c>
    </row>
    <row r="343">
      <c r="A343" s="8" t="s">
        <v>2719</v>
      </c>
      <c r="B343" s="8" t="s">
        <v>31</v>
      </c>
      <c r="C343" s="8" t="s">
        <v>192</v>
      </c>
      <c r="D343" s="18" t="s">
        <v>2554</v>
      </c>
      <c r="E343" s="16">
        <v>70.0</v>
      </c>
    </row>
    <row r="344">
      <c r="A344" s="8" t="s">
        <v>2719</v>
      </c>
      <c r="B344" s="18" t="s">
        <v>3193</v>
      </c>
      <c r="C344" s="8" t="s">
        <v>70</v>
      </c>
      <c r="D344" s="18" t="s">
        <v>2605</v>
      </c>
      <c r="E344" s="16">
        <v>73.0</v>
      </c>
    </row>
    <row r="345">
      <c r="A345" s="8" t="s">
        <v>3577</v>
      </c>
      <c r="B345" s="8" t="s">
        <v>3578</v>
      </c>
      <c r="C345" s="8" t="s">
        <v>65</v>
      </c>
      <c r="D345" s="18" t="s">
        <v>2589</v>
      </c>
      <c r="E345" s="16">
        <v>61.0</v>
      </c>
    </row>
    <row r="346">
      <c r="A346" s="8" t="s">
        <v>356</v>
      </c>
      <c r="B346" s="8" t="s">
        <v>241</v>
      </c>
      <c r="C346" s="8" t="s">
        <v>12</v>
      </c>
      <c r="D346" s="18" t="s">
        <v>2587</v>
      </c>
      <c r="E346" s="16">
        <v>79.0</v>
      </c>
    </row>
    <row r="347">
      <c r="A347" s="8" t="s">
        <v>356</v>
      </c>
      <c r="B347" s="8" t="s">
        <v>260</v>
      </c>
      <c r="C347" s="8" t="s">
        <v>75</v>
      </c>
      <c r="D347" s="18" t="s">
        <v>2560</v>
      </c>
      <c r="E347" s="16">
        <v>79.0</v>
      </c>
    </row>
    <row r="348">
      <c r="A348" s="8" t="s">
        <v>144</v>
      </c>
      <c r="B348" s="8" t="s">
        <v>121</v>
      </c>
      <c r="C348" s="8" t="s">
        <v>93</v>
      </c>
      <c r="D348" s="18" t="s">
        <v>2614</v>
      </c>
      <c r="E348" s="16">
        <v>76.0</v>
      </c>
    </row>
    <row r="349">
      <c r="A349" s="8" t="s">
        <v>144</v>
      </c>
      <c r="B349" s="8" t="s">
        <v>493</v>
      </c>
      <c r="C349" s="8" t="s">
        <v>16</v>
      </c>
      <c r="D349" s="18" t="s">
        <v>2556</v>
      </c>
      <c r="E349" s="16">
        <v>83.0</v>
      </c>
    </row>
    <row r="350">
      <c r="A350" s="8" t="s">
        <v>144</v>
      </c>
      <c r="B350" s="8" t="s">
        <v>3579</v>
      </c>
      <c r="C350" s="8" t="s">
        <v>93</v>
      </c>
      <c r="D350" s="18" t="s">
        <v>2183</v>
      </c>
      <c r="E350" s="16">
        <v>59.0</v>
      </c>
    </row>
    <row r="351">
      <c r="A351" s="8" t="s">
        <v>488</v>
      </c>
      <c r="B351" s="8" t="s">
        <v>489</v>
      </c>
      <c r="C351" s="8" t="s">
        <v>53</v>
      </c>
      <c r="D351" s="18" t="s">
        <v>2585</v>
      </c>
      <c r="E351" s="16">
        <v>71.0</v>
      </c>
    </row>
    <row r="352">
      <c r="A352" s="8" t="s">
        <v>3195</v>
      </c>
      <c r="B352" s="8" t="s">
        <v>67</v>
      </c>
      <c r="C352" s="8" t="s">
        <v>122</v>
      </c>
      <c r="D352" s="18" t="s">
        <v>2572</v>
      </c>
      <c r="E352" s="16">
        <v>68.0</v>
      </c>
    </row>
    <row r="353">
      <c r="A353" s="8" t="s">
        <v>490</v>
      </c>
      <c r="B353" s="18" t="s">
        <v>491</v>
      </c>
      <c r="C353" s="8" t="s">
        <v>93</v>
      </c>
      <c r="D353" s="18" t="s">
        <v>2556</v>
      </c>
      <c r="E353" s="16">
        <v>73.0</v>
      </c>
    </row>
    <row r="354">
      <c r="A354" s="8" t="s">
        <v>492</v>
      </c>
      <c r="B354" s="8" t="s">
        <v>493</v>
      </c>
      <c r="C354" s="8" t="s">
        <v>24</v>
      </c>
      <c r="D354" s="18" t="s">
        <v>2582</v>
      </c>
      <c r="E354" s="16">
        <v>73.0</v>
      </c>
    </row>
    <row r="355">
      <c r="A355" s="8" t="s">
        <v>3196</v>
      </c>
      <c r="B355" s="8" t="s">
        <v>3197</v>
      </c>
      <c r="C355" s="8" t="s">
        <v>93</v>
      </c>
      <c r="D355" s="18" t="s">
        <v>2564</v>
      </c>
      <c r="E355" s="16">
        <v>76.0</v>
      </c>
    </row>
    <row r="356">
      <c r="A356" s="8" t="s">
        <v>2720</v>
      </c>
      <c r="B356" s="8" t="s">
        <v>2721</v>
      </c>
      <c r="C356" s="8" t="s">
        <v>65</v>
      </c>
      <c r="D356" s="18" t="s">
        <v>2581</v>
      </c>
      <c r="E356" s="16">
        <v>70.0</v>
      </c>
    </row>
    <row r="357">
      <c r="A357" s="8" t="s">
        <v>1118</v>
      </c>
      <c r="B357" s="8" t="s">
        <v>1119</v>
      </c>
      <c r="C357" s="8" t="s">
        <v>70</v>
      </c>
      <c r="D357" s="18" t="s">
        <v>2610</v>
      </c>
      <c r="E357" s="16">
        <v>62.0</v>
      </c>
    </row>
    <row r="358">
      <c r="A358" s="8" t="s">
        <v>248</v>
      </c>
      <c r="B358" s="8" t="s">
        <v>100</v>
      </c>
      <c r="C358" s="8" t="s">
        <v>93</v>
      </c>
      <c r="D358" s="18" t="s">
        <v>2554</v>
      </c>
      <c r="E358" s="16">
        <v>67.0</v>
      </c>
    </row>
    <row r="359">
      <c r="A359" s="8" t="s">
        <v>248</v>
      </c>
      <c r="B359" s="8" t="s">
        <v>249</v>
      </c>
      <c r="C359" s="8" t="s">
        <v>186</v>
      </c>
      <c r="D359" s="18" t="s">
        <v>2560</v>
      </c>
      <c r="E359" s="16">
        <v>73.0</v>
      </c>
    </row>
    <row r="360">
      <c r="A360" s="8" t="s">
        <v>248</v>
      </c>
      <c r="B360" s="8" t="s">
        <v>275</v>
      </c>
      <c r="C360" s="8" t="s">
        <v>53</v>
      </c>
      <c r="D360" s="18" t="s">
        <v>2575</v>
      </c>
      <c r="E360" s="16">
        <v>67.0</v>
      </c>
    </row>
    <row r="361">
      <c r="A361" s="8" t="s">
        <v>248</v>
      </c>
      <c r="B361" s="8" t="s">
        <v>214</v>
      </c>
      <c r="C361" s="8" t="s">
        <v>24</v>
      </c>
      <c r="D361" s="18" t="s">
        <v>2552</v>
      </c>
      <c r="E361" s="16">
        <v>58.0</v>
      </c>
    </row>
    <row r="362">
      <c r="A362" s="8" t="s">
        <v>248</v>
      </c>
      <c r="B362" s="8" t="s">
        <v>140</v>
      </c>
      <c r="C362" s="8" t="s">
        <v>93</v>
      </c>
      <c r="D362" s="18" t="s">
        <v>2595</v>
      </c>
      <c r="E362" s="16">
        <v>69.0</v>
      </c>
    </row>
    <row r="363">
      <c r="A363" s="8" t="s">
        <v>3580</v>
      </c>
      <c r="B363" s="8" t="s">
        <v>3581</v>
      </c>
      <c r="C363" s="8" t="s">
        <v>24</v>
      </c>
      <c r="D363" s="18" t="s">
        <v>2592</v>
      </c>
      <c r="E363" s="16">
        <v>63.0</v>
      </c>
    </row>
    <row r="364">
      <c r="A364" s="8" t="s">
        <v>494</v>
      </c>
      <c r="B364" s="8" t="s">
        <v>495</v>
      </c>
      <c r="C364" s="8" t="s">
        <v>215</v>
      </c>
      <c r="D364" s="18" t="s">
        <v>2621</v>
      </c>
      <c r="E364" s="16">
        <v>93.0</v>
      </c>
    </row>
    <row r="365">
      <c r="A365" s="8" t="s">
        <v>3198</v>
      </c>
      <c r="B365" s="8" t="s">
        <v>822</v>
      </c>
      <c r="C365" s="8" t="s">
        <v>186</v>
      </c>
      <c r="D365" s="18" t="s">
        <v>2574</v>
      </c>
      <c r="E365" s="16">
        <v>62.0</v>
      </c>
    </row>
    <row r="366">
      <c r="A366" s="8" t="s">
        <v>3200</v>
      </c>
      <c r="B366" s="8" t="s">
        <v>842</v>
      </c>
      <c r="C366" s="8" t="s">
        <v>59</v>
      </c>
      <c r="D366" s="18" t="s">
        <v>2566</v>
      </c>
      <c r="E366" s="16">
        <v>71.0</v>
      </c>
    </row>
    <row r="367">
      <c r="A367" s="8" t="s">
        <v>2723</v>
      </c>
      <c r="B367" s="8" t="s">
        <v>33</v>
      </c>
      <c r="C367" s="8" t="s">
        <v>16</v>
      </c>
      <c r="D367" s="18" t="s">
        <v>2621</v>
      </c>
      <c r="E367" s="16">
        <v>70.0</v>
      </c>
    </row>
    <row r="368">
      <c r="A368" s="8" t="s">
        <v>250</v>
      </c>
      <c r="B368" s="8" t="s">
        <v>212</v>
      </c>
      <c r="C368" s="8" t="s">
        <v>46</v>
      </c>
      <c r="D368" s="18" t="s">
        <v>2567</v>
      </c>
      <c r="E368" s="16">
        <v>81.0</v>
      </c>
    </row>
    <row r="369">
      <c r="A369" s="8" t="s">
        <v>659</v>
      </c>
      <c r="B369" s="8" t="s">
        <v>554</v>
      </c>
      <c r="C369" s="8" t="s">
        <v>12</v>
      </c>
      <c r="D369" s="18" t="s">
        <v>2589</v>
      </c>
      <c r="E369" s="16">
        <v>80.0</v>
      </c>
    </row>
    <row r="370">
      <c r="A370" s="8" t="s">
        <v>3582</v>
      </c>
      <c r="B370" s="8" t="s">
        <v>183</v>
      </c>
      <c r="C370" s="8" t="s">
        <v>138</v>
      </c>
      <c r="D370" s="18" t="s">
        <v>2560</v>
      </c>
      <c r="E370" s="16">
        <v>65.0</v>
      </c>
    </row>
    <row r="371">
      <c r="A371" s="8" t="s">
        <v>251</v>
      </c>
      <c r="B371" s="8" t="s">
        <v>780</v>
      </c>
      <c r="C371" s="8" t="s">
        <v>24</v>
      </c>
      <c r="D371" s="18" t="s">
        <v>2564</v>
      </c>
      <c r="E371" s="16">
        <v>79.0</v>
      </c>
    </row>
    <row r="372">
      <c r="A372" s="8" t="s">
        <v>251</v>
      </c>
      <c r="B372" s="8" t="s">
        <v>252</v>
      </c>
      <c r="C372" s="8" t="s">
        <v>24</v>
      </c>
      <c r="D372" s="18" t="s">
        <v>2585</v>
      </c>
      <c r="E372" s="16">
        <v>75.0</v>
      </c>
    </row>
    <row r="373">
      <c r="A373" s="8" t="s">
        <v>2724</v>
      </c>
      <c r="B373" s="8" t="s">
        <v>2725</v>
      </c>
      <c r="C373" s="8" t="s">
        <v>192</v>
      </c>
      <c r="D373" s="18" t="s">
        <v>2603</v>
      </c>
      <c r="E373" s="16">
        <v>91.0</v>
      </c>
    </row>
    <row r="374">
      <c r="A374" s="8" t="s">
        <v>357</v>
      </c>
      <c r="B374" s="8" t="s">
        <v>2021</v>
      </c>
      <c r="C374" s="8" t="s">
        <v>70</v>
      </c>
      <c r="D374" s="18" t="s">
        <v>2183</v>
      </c>
      <c r="E374" s="16">
        <v>89.0</v>
      </c>
    </row>
    <row r="375">
      <c r="A375" s="8" t="s">
        <v>357</v>
      </c>
      <c r="B375" s="8" t="s">
        <v>2726</v>
      </c>
      <c r="C375" s="8" t="s">
        <v>122</v>
      </c>
      <c r="D375" s="18" t="s">
        <v>2554</v>
      </c>
      <c r="E375" s="16">
        <v>68.0</v>
      </c>
    </row>
    <row r="376">
      <c r="A376" s="8" t="s">
        <v>3583</v>
      </c>
      <c r="B376" s="8" t="s">
        <v>3584</v>
      </c>
      <c r="C376" s="8" t="s">
        <v>93</v>
      </c>
      <c r="D376" s="18" t="s">
        <v>2581</v>
      </c>
      <c r="E376" s="16">
        <v>68.0</v>
      </c>
    </row>
    <row r="377">
      <c r="A377" s="8" t="s">
        <v>3585</v>
      </c>
      <c r="B377" s="8" t="s">
        <v>3586</v>
      </c>
      <c r="C377" s="8" t="s">
        <v>149</v>
      </c>
      <c r="D377" s="18" t="s">
        <v>2592</v>
      </c>
      <c r="E377" s="16">
        <v>70.0</v>
      </c>
    </row>
    <row r="378">
      <c r="A378" s="8" t="s">
        <v>1594</v>
      </c>
      <c r="B378" s="8" t="s">
        <v>275</v>
      </c>
      <c r="C378" s="8" t="s">
        <v>132</v>
      </c>
      <c r="D378" s="18" t="s">
        <v>2598</v>
      </c>
      <c r="E378" s="16">
        <v>78.0</v>
      </c>
    </row>
    <row r="379">
      <c r="A379" s="8" t="s">
        <v>3587</v>
      </c>
      <c r="B379" s="8" t="s">
        <v>77</v>
      </c>
      <c r="C379" s="8" t="s">
        <v>93</v>
      </c>
      <c r="D379" s="18" t="s">
        <v>2572</v>
      </c>
      <c r="E379" s="16">
        <v>60.0</v>
      </c>
    </row>
    <row r="380">
      <c r="A380" s="8" t="s">
        <v>1121</v>
      </c>
      <c r="B380" s="8" t="s">
        <v>212</v>
      </c>
      <c r="C380" s="8" t="s">
        <v>59</v>
      </c>
      <c r="D380" s="18" t="s">
        <v>2577</v>
      </c>
      <c r="E380" s="16">
        <v>62.0</v>
      </c>
    </row>
    <row r="381">
      <c r="A381" s="8" t="s">
        <v>726</v>
      </c>
      <c r="B381" s="8" t="s">
        <v>294</v>
      </c>
      <c r="C381" s="8" t="s">
        <v>24</v>
      </c>
      <c r="D381" s="18" t="s">
        <v>2589</v>
      </c>
      <c r="E381" s="16">
        <v>63.0</v>
      </c>
    </row>
    <row r="382">
      <c r="A382" s="8" t="s">
        <v>726</v>
      </c>
      <c r="B382" s="8" t="s">
        <v>1733</v>
      </c>
      <c r="C382" s="8" t="s">
        <v>192</v>
      </c>
      <c r="D382" s="18" t="s">
        <v>2589</v>
      </c>
      <c r="E382" s="16">
        <v>64.0</v>
      </c>
    </row>
    <row r="383">
      <c r="A383" s="8" t="s">
        <v>1405</v>
      </c>
      <c r="B383" s="8" t="s">
        <v>121</v>
      </c>
      <c r="C383" s="8" t="s">
        <v>186</v>
      </c>
      <c r="D383" s="18" t="s">
        <v>2593</v>
      </c>
      <c r="E383" s="16">
        <v>60.0</v>
      </c>
    </row>
    <row r="384">
      <c r="A384" s="8" t="s">
        <v>193</v>
      </c>
      <c r="B384" s="8" t="s">
        <v>194</v>
      </c>
      <c r="C384" s="8" t="s">
        <v>192</v>
      </c>
      <c r="D384" s="18" t="s">
        <v>2600</v>
      </c>
      <c r="E384" s="16">
        <v>86.0</v>
      </c>
    </row>
    <row r="385">
      <c r="A385" s="8" t="s">
        <v>2728</v>
      </c>
      <c r="B385" s="8" t="s">
        <v>2729</v>
      </c>
      <c r="C385" s="8" t="s">
        <v>192</v>
      </c>
      <c r="D385" s="18" t="s">
        <v>2614</v>
      </c>
      <c r="E385" s="16">
        <v>82.0</v>
      </c>
    </row>
    <row r="386">
      <c r="A386" s="8" t="s">
        <v>3588</v>
      </c>
      <c r="B386" s="8" t="s">
        <v>67</v>
      </c>
      <c r="C386" s="8" t="s">
        <v>46</v>
      </c>
      <c r="D386" s="18" t="s">
        <v>2560</v>
      </c>
      <c r="E386" s="16">
        <v>84.0</v>
      </c>
    </row>
    <row r="387">
      <c r="A387" s="8" t="s">
        <v>2730</v>
      </c>
      <c r="B387" s="8" t="s">
        <v>1905</v>
      </c>
      <c r="C387" s="8" t="s">
        <v>93</v>
      </c>
      <c r="D387" s="18" t="s">
        <v>2614</v>
      </c>
      <c r="E387" s="16">
        <v>70.0</v>
      </c>
    </row>
    <row r="388">
      <c r="A388" s="8" t="s">
        <v>90</v>
      </c>
      <c r="B388" s="8" t="s">
        <v>275</v>
      </c>
      <c r="C388" s="8" t="s">
        <v>46</v>
      </c>
      <c r="D388" s="18" t="s">
        <v>2562</v>
      </c>
      <c r="E388" s="16">
        <v>75.0</v>
      </c>
    </row>
    <row r="389">
      <c r="A389" s="8" t="s">
        <v>90</v>
      </c>
      <c r="B389" s="8" t="s">
        <v>2731</v>
      </c>
      <c r="C389" s="8" t="s">
        <v>132</v>
      </c>
      <c r="D389" s="18" t="s">
        <v>2572</v>
      </c>
      <c r="E389" s="16">
        <v>61.0</v>
      </c>
    </row>
    <row r="390">
      <c r="A390" s="8" t="s">
        <v>90</v>
      </c>
      <c r="B390" s="8" t="s">
        <v>69</v>
      </c>
      <c r="C390" s="8" t="s">
        <v>138</v>
      </c>
      <c r="D390" s="18" t="s">
        <v>2603</v>
      </c>
      <c r="E390" s="16">
        <v>65.0</v>
      </c>
    </row>
    <row r="391">
      <c r="A391" s="8" t="s">
        <v>90</v>
      </c>
      <c r="B391" s="8" t="s">
        <v>333</v>
      </c>
      <c r="C391" s="8" t="s">
        <v>122</v>
      </c>
      <c r="D391" s="18" t="s">
        <v>2558</v>
      </c>
      <c r="E391" s="16">
        <v>73.0</v>
      </c>
    </row>
    <row r="392">
      <c r="A392" s="8" t="s">
        <v>90</v>
      </c>
      <c r="B392" s="18" t="s">
        <v>1122</v>
      </c>
      <c r="C392" s="8" t="s">
        <v>46</v>
      </c>
      <c r="D392" s="18" t="s">
        <v>2567</v>
      </c>
      <c r="E392" s="16">
        <v>69.0</v>
      </c>
    </row>
    <row r="393">
      <c r="A393" s="8" t="s">
        <v>3203</v>
      </c>
      <c r="B393" s="8" t="s">
        <v>1046</v>
      </c>
      <c r="C393" s="8" t="s">
        <v>215</v>
      </c>
      <c r="D393" s="18" t="s">
        <v>2610</v>
      </c>
      <c r="E393" s="16">
        <v>67.0</v>
      </c>
    </row>
    <row r="394">
      <c r="A394" s="8" t="s">
        <v>165</v>
      </c>
      <c r="B394" s="8" t="s">
        <v>357</v>
      </c>
      <c r="C394" s="8" t="s">
        <v>24</v>
      </c>
      <c r="D394" s="18" t="s">
        <v>2587</v>
      </c>
      <c r="E394" s="16">
        <v>84.0</v>
      </c>
    </row>
    <row r="395">
      <c r="A395" s="8" t="s">
        <v>165</v>
      </c>
      <c r="B395" s="8" t="s">
        <v>2734</v>
      </c>
      <c r="C395" s="8" t="s">
        <v>65</v>
      </c>
      <c r="D395" s="18" t="s">
        <v>2575</v>
      </c>
      <c r="E395" s="16">
        <v>58.0</v>
      </c>
    </row>
    <row r="396">
      <c r="A396" s="8" t="s">
        <v>253</v>
      </c>
      <c r="B396" s="8" t="s">
        <v>127</v>
      </c>
      <c r="C396" s="8" t="s">
        <v>138</v>
      </c>
      <c r="D396" s="18" t="s">
        <v>2598</v>
      </c>
      <c r="E396" s="16">
        <v>77.0</v>
      </c>
    </row>
    <row r="397">
      <c r="A397" s="8" t="s">
        <v>3204</v>
      </c>
      <c r="B397" s="8" t="s">
        <v>3205</v>
      </c>
      <c r="C397" s="8" t="s">
        <v>149</v>
      </c>
      <c r="D397" s="18" t="s">
        <v>2566</v>
      </c>
      <c r="E397" s="16">
        <v>66.0</v>
      </c>
    </row>
    <row r="398">
      <c r="A398" s="8" t="s">
        <v>3206</v>
      </c>
      <c r="B398" s="8" t="s">
        <v>3207</v>
      </c>
      <c r="C398" s="8" t="s">
        <v>16</v>
      </c>
      <c r="D398" s="18" t="s">
        <v>2572</v>
      </c>
      <c r="E398" s="16">
        <v>68.0</v>
      </c>
    </row>
    <row r="399">
      <c r="A399" s="8" t="s">
        <v>874</v>
      </c>
      <c r="B399" s="18" t="s">
        <v>491</v>
      </c>
      <c r="C399" s="8" t="s">
        <v>149</v>
      </c>
      <c r="D399" s="18" t="s">
        <v>2552</v>
      </c>
      <c r="E399" s="16">
        <v>69.0</v>
      </c>
    </row>
    <row r="400">
      <c r="A400" s="8" t="s">
        <v>3589</v>
      </c>
      <c r="B400" s="8" t="s">
        <v>275</v>
      </c>
      <c r="C400" s="8" t="s">
        <v>80</v>
      </c>
      <c r="D400" s="18" t="s">
        <v>2589</v>
      </c>
      <c r="E400" s="16">
        <v>76.0</v>
      </c>
    </row>
    <row r="401">
      <c r="A401" s="8" t="s">
        <v>3208</v>
      </c>
      <c r="B401" s="8" t="s">
        <v>3209</v>
      </c>
      <c r="C401" s="8" t="s">
        <v>24</v>
      </c>
      <c r="D401" s="18" t="s">
        <v>2572</v>
      </c>
      <c r="E401" s="16">
        <v>68.0</v>
      </c>
    </row>
    <row r="402">
      <c r="A402" s="8" t="s">
        <v>875</v>
      </c>
      <c r="B402" s="8" t="s">
        <v>876</v>
      </c>
      <c r="C402" s="8" t="s">
        <v>186</v>
      </c>
      <c r="D402" s="18" t="s">
        <v>2562</v>
      </c>
      <c r="E402" s="16">
        <v>54.0</v>
      </c>
    </row>
    <row r="403">
      <c r="A403" s="8" t="s">
        <v>2735</v>
      </c>
      <c r="B403" s="8" t="s">
        <v>2736</v>
      </c>
      <c r="C403" s="8" t="s">
        <v>80</v>
      </c>
      <c r="D403" s="18" t="s">
        <v>2558</v>
      </c>
      <c r="E403" s="16">
        <v>83.0</v>
      </c>
    </row>
    <row r="404">
      <c r="A404" s="8" t="s">
        <v>1123</v>
      </c>
      <c r="B404" s="8" t="s">
        <v>1124</v>
      </c>
      <c r="C404" s="8" t="s">
        <v>59</v>
      </c>
      <c r="D404" s="18" t="s">
        <v>2562</v>
      </c>
      <c r="E404" s="16">
        <v>83.0</v>
      </c>
    </row>
    <row r="405">
      <c r="A405" s="8" t="s">
        <v>2737</v>
      </c>
      <c r="B405" s="8" t="s">
        <v>2738</v>
      </c>
      <c r="C405" s="8" t="s">
        <v>65</v>
      </c>
      <c r="D405" s="18" t="s">
        <v>2577</v>
      </c>
      <c r="E405" s="16">
        <v>70.0</v>
      </c>
    </row>
    <row r="406">
      <c r="A406" s="8" t="s">
        <v>496</v>
      </c>
      <c r="B406" s="8" t="s">
        <v>506</v>
      </c>
      <c r="C406" s="8" t="s">
        <v>70</v>
      </c>
      <c r="D406" s="18" t="s">
        <v>2621</v>
      </c>
      <c r="E406" s="16">
        <v>70.0</v>
      </c>
    </row>
    <row r="407">
      <c r="A407" s="8" t="s">
        <v>496</v>
      </c>
      <c r="B407" s="8" t="s">
        <v>497</v>
      </c>
      <c r="C407" s="8" t="s">
        <v>65</v>
      </c>
      <c r="D407" s="18" t="s">
        <v>2558</v>
      </c>
      <c r="E407" s="16">
        <v>86.0</v>
      </c>
    </row>
    <row r="408">
      <c r="A408" s="8" t="s">
        <v>661</v>
      </c>
      <c r="B408" s="8" t="s">
        <v>597</v>
      </c>
      <c r="C408" s="8" t="s">
        <v>93</v>
      </c>
      <c r="D408" s="18" t="s">
        <v>2577</v>
      </c>
      <c r="E408" s="16">
        <v>73.0</v>
      </c>
    </row>
    <row r="409">
      <c r="A409" s="8" t="s">
        <v>3590</v>
      </c>
      <c r="B409" s="8" t="s">
        <v>198</v>
      </c>
      <c r="C409" s="8" t="s">
        <v>24</v>
      </c>
      <c r="D409" s="18" t="s">
        <v>2567</v>
      </c>
      <c r="E409" s="16">
        <v>68.0</v>
      </c>
    </row>
    <row r="410">
      <c r="A410" s="8" t="s">
        <v>3591</v>
      </c>
      <c r="B410" s="8" t="s">
        <v>3592</v>
      </c>
      <c r="C410" s="8" t="s">
        <v>132</v>
      </c>
      <c r="D410" s="18" t="s">
        <v>2582</v>
      </c>
      <c r="E410" s="16">
        <v>65.0</v>
      </c>
    </row>
    <row r="411">
      <c r="A411" s="8" t="s">
        <v>3593</v>
      </c>
      <c r="B411" s="8" t="s">
        <v>299</v>
      </c>
      <c r="C411" s="8" t="s">
        <v>16</v>
      </c>
      <c r="D411" s="18" t="s">
        <v>2589</v>
      </c>
      <c r="E411" s="16">
        <v>62.0</v>
      </c>
    </row>
    <row r="412">
      <c r="A412" s="8" t="s">
        <v>349</v>
      </c>
      <c r="B412" s="8" t="s">
        <v>3210</v>
      </c>
      <c r="C412" s="8" t="s">
        <v>186</v>
      </c>
      <c r="D412" s="18" t="s">
        <v>2552</v>
      </c>
      <c r="E412" s="16">
        <v>67.0</v>
      </c>
    </row>
    <row r="413">
      <c r="A413" s="8" t="s">
        <v>349</v>
      </c>
      <c r="B413" s="8" t="s">
        <v>334</v>
      </c>
      <c r="C413" s="8" t="s">
        <v>59</v>
      </c>
      <c r="D413" s="18" t="s">
        <v>2567</v>
      </c>
      <c r="E413" s="16">
        <v>82.0</v>
      </c>
    </row>
    <row r="414">
      <c r="A414" s="8" t="s">
        <v>877</v>
      </c>
      <c r="B414" s="8" t="s">
        <v>121</v>
      </c>
      <c r="C414" s="8" t="s">
        <v>65</v>
      </c>
      <c r="D414" s="18" t="s">
        <v>2595</v>
      </c>
      <c r="E414" s="16">
        <v>69.0</v>
      </c>
    </row>
    <row r="415">
      <c r="A415" s="8" t="s">
        <v>877</v>
      </c>
      <c r="B415" s="8" t="s">
        <v>304</v>
      </c>
      <c r="C415" s="8" t="s">
        <v>65</v>
      </c>
      <c r="D415" s="18" t="s">
        <v>2615</v>
      </c>
      <c r="E415" s="16">
        <v>78.0</v>
      </c>
    </row>
    <row r="416">
      <c r="A416" s="8" t="s">
        <v>877</v>
      </c>
      <c r="B416" s="8" t="s">
        <v>3211</v>
      </c>
      <c r="C416" s="8" t="s">
        <v>122</v>
      </c>
      <c r="D416" s="18" t="s">
        <v>2581</v>
      </c>
      <c r="E416" s="16">
        <v>62.0</v>
      </c>
    </row>
    <row r="417">
      <c r="A417" s="8" t="s">
        <v>877</v>
      </c>
      <c r="B417" s="8" t="s">
        <v>381</v>
      </c>
      <c r="C417" s="8" t="s">
        <v>93</v>
      </c>
      <c r="D417" s="18" t="s">
        <v>2600</v>
      </c>
      <c r="E417" s="16">
        <v>67.0</v>
      </c>
    </row>
    <row r="418">
      <c r="A418" s="8" t="s">
        <v>877</v>
      </c>
      <c r="B418" s="8" t="s">
        <v>1699</v>
      </c>
      <c r="C418" s="8" t="s">
        <v>80</v>
      </c>
      <c r="D418" s="18" t="s">
        <v>2574</v>
      </c>
      <c r="E418" s="16">
        <v>87.0</v>
      </c>
    </row>
    <row r="419">
      <c r="A419" s="8" t="s">
        <v>877</v>
      </c>
      <c r="B419" s="8" t="s">
        <v>878</v>
      </c>
      <c r="C419" s="8" t="s">
        <v>149</v>
      </c>
      <c r="D419" s="18" t="s">
        <v>2615</v>
      </c>
      <c r="E419" s="16">
        <v>67.0</v>
      </c>
    </row>
    <row r="420">
      <c r="A420" s="8" t="s">
        <v>877</v>
      </c>
      <c r="B420" s="8" t="s">
        <v>1126</v>
      </c>
      <c r="C420" s="8" t="s">
        <v>70</v>
      </c>
      <c r="D420" s="18" t="s">
        <v>2598</v>
      </c>
      <c r="E420" s="16">
        <v>75.0</v>
      </c>
    </row>
    <row r="421">
      <c r="A421" s="8" t="s">
        <v>498</v>
      </c>
      <c r="B421" s="8" t="s">
        <v>100</v>
      </c>
      <c r="C421" s="8" t="s">
        <v>70</v>
      </c>
      <c r="D421" s="18" t="s">
        <v>2603</v>
      </c>
      <c r="E421" s="16">
        <v>69.0</v>
      </c>
    </row>
    <row r="422">
      <c r="A422" s="8" t="s">
        <v>498</v>
      </c>
      <c r="B422" s="8" t="s">
        <v>1128</v>
      </c>
      <c r="C422" s="8" t="s">
        <v>93</v>
      </c>
      <c r="D422" s="18" t="s">
        <v>2598</v>
      </c>
      <c r="E422" s="16">
        <v>71.0</v>
      </c>
    </row>
    <row r="423">
      <c r="A423" s="8" t="s">
        <v>498</v>
      </c>
      <c r="B423" s="8" t="s">
        <v>499</v>
      </c>
      <c r="C423" s="8" t="s">
        <v>186</v>
      </c>
      <c r="D423" s="18" t="s">
        <v>2600</v>
      </c>
      <c r="E423" s="16">
        <v>88.0</v>
      </c>
    </row>
    <row r="424">
      <c r="A424" s="8" t="s">
        <v>498</v>
      </c>
      <c r="B424" s="18" t="s">
        <v>1127</v>
      </c>
      <c r="C424" s="8" t="s">
        <v>75</v>
      </c>
      <c r="D424" s="18" t="s">
        <v>2614</v>
      </c>
      <c r="E424" s="16">
        <v>78.0</v>
      </c>
    </row>
    <row r="425">
      <c r="A425" s="8" t="s">
        <v>498</v>
      </c>
      <c r="B425" s="8" t="s">
        <v>1409</v>
      </c>
      <c r="C425" s="8" t="s">
        <v>80</v>
      </c>
      <c r="D425" s="18" t="s">
        <v>2566</v>
      </c>
      <c r="E425" s="16">
        <v>75.0</v>
      </c>
    </row>
    <row r="426">
      <c r="A426" s="8" t="s">
        <v>498</v>
      </c>
      <c r="B426" s="8" t="s">
        <v>1742</v>
      </c>
      <c r="C426" s="8" t="s">
        <v>122</v>
      </c>
      <c r="D426" s="18" t="s">
        <v>2614</v>
      </c>
      <c r="E426" s="16">
        <v>69.0</v>
      </c>
    </row>
    <row r="427">
      <c r="A427" s="8" t="s">
        <v>36</v>
      </c>
      <c r="B427" s="8" t="s">
        <v>109</v>
      </c>
      <c r="C427" s="8" t="s">
        <v>38</v>
      </c>
      <c r="D427" s="18" t="s">
        <v>2620</v>
      </c>
      <c r="E427" s="16">
        <v>80.0</v>
      </c>
    </row>
    <row r="428">
      <c r="A428" s="8" t="s">
        <v>36</v>
      </c>
      <c r="B428" s="8" t="s">
        <v>37</v>
      </c>
      <c r="C428" s="8" t="s">
        <v>38</v>
      </c>
      <c r="D428" s="18" t="s">
        <v>2183</v>
      </c>
      <c r="E428" s="16">
        <v>82.0</v>
      </c>
    </row>
    <row r="429">
      <c r="A429" s="8" t="s">
        <v>879</v>
      </c>
      <c r="B429" s="8" t="s">
        <v>98</v>
      </c>
      <c r="C429" s="8" t="s">
        <v>93</v>
      </c>
      <c r="D429" s="18" t="s">
        <v>2584</v>
      </c>
      <c r="E429" s="16">
        <v>78.0</v>
      </c>
    </row>
    <row r="430">
      <c r="A430" s="8" t="s">
        <v>358</v>
      </c>
      <c r="B430" s="8" t="s">
        <v>15</v>
      </c>
      <c r="C430" s="8" t="s">
        <v>46</v>
      </c>
      <c r="D430" s="18" t="s">
        <v>2598</v>
      </c>
      <c r="E430" s="16">
        <v>73.0</v>
      </c>
    </row>
    <row r="431">
      <c r="A431" s="8" t="s">
        <v>358</v>
      </c>
      <c r="B431" s="8" t="s">
        <v>1046</v>
      </c>
      <c r="C431" s="8" t="s">
        <v>186</v>
      </c>
      <c r="D431" s="18" t="s">
        <v>2582</v>
      </c>
      <c r="E431" s="16">
        <v>70.0</v>
      </c>
    </row>
    <row r="432">
      <c r="A432" s="8" t="s">
        <v>3212</v>
      </c>
      <c r="B432" s="8" t="s">
        <v>181</v>
      </c>
      <c r="C432" s="8" t="s">
        <v>24</v>
      </c>
      <c r="D432" s="18" t="s">
        <v>2556</v>
      </c>
      <c r="E432" s="16">
        <v>42.0</v>
      </c>
    </row>
    <row r="433">
      <c r="A433" s="8" t="s">
        <v>1410</v>
      </c>
      <c r="B433" s="8" t="s">
        <v>360</v>
      </c>
      <c r="C433" s="8" t="s">
        <v>149</v>
      </c>
      <c r="D433" s="18" t="s">
        <v>2621</v>
      </c>
      <c r="E433" s="16">
        <v>79.0</v>
      </c>
    </row>
    <row r="434">
      <c r="A434" s="8" t="s">
        <v>1130</v>
      </c>
      <c r="B434" s="8" t="s">
        <v>275</v>
      </c>
      <c r="C434" s="8" t="s">
        <v>65</v>
      </c>
      <c r="D434" s="18" t="s">
        <v>2183</v>
      </c>
      <c r="E434" s="16">
        <v>70.0</v>
      </c>
    </row>
    <row r="435">
      <c r="A435" s="8" t="s">
        <v>1744</v>
      </c>
      <c r="B435" s="8" t="s">
        <v>3594</v>
      </c>
      <c r="C435" s="8" t="s">
        <v>186</v>
      </c>
      <c r="D435" s="18" t="s">
        <v>2575</v>
      </c>
      <c r="E435" s="16">
        <v>73.0</v>
      </c>
    </row>
    <row r="436">
      <c r="A436" s="8" t="s">
        <v>2741</v>
      </c>
      <c r="B436" s="8" t="s">
        <v>275</v>
      </c>
      <c r="C436" s="8" t="s">
        <v>192</v>
      </c>
      <c r="D436" s="18" t="s">
        <v>2592</v>
      </c>
      <c r="E436" s="16">
        <v>76.0</v>
      </c>
    </row>
    <row r="437">
      <c r="A437" s="8" t="s">
        <v>195</v>
      </c>
      <c r="B437" s="8" t="s">
        <v>1131</v>
      </c>
      <c r="C437" s="8" t="s">
        <v>16</v>
      </c>
      <c r="D437" s="18" t="s">
        <v>2556</v>
      </c>
      <c r="E437" s="16">
        <v>72.0</v>
      </c>
    </row>
    <row r="438">
      <c r="A438" s="8" t="s">
        <v>195</v>
      </c>
      <c r="B438" s="8" t="s">
        <v>196</v>
      </c>
      <c r="C438" s="8" t="s">
        <v>24</v>
      </c>
      <c r="D438" s="18" t="s">
        <v>2558</v>
      </c>
      <c r="E438" s="16">
        <v>80.0</v>
      </c>
    </row>
    <row r="439">
      <c r="A439" s="8" t="s">
        <v>1412</v>
      </c>
      <c r="B439" s="8" t="s">
        <v>1413</v>
      </c>
      <c r="C439" s="8" t="s">
        <v>65</v>
      </c>
      <c r="D439" s="18" t="s">
        <v>2595</v>
      </c>
      <c r="E439" s="16">
        <v>83.0</v>
      </c>
    </row>
    <row r="440">
      <c r="A440" s="8" t="s">
        <v>3595</v>
      </c>
      <c r="B440" s="8" t="s">
        <v>472</v>
      </c>
      <c r="C440" s="8" t="s">
        <v>12</v>
      </c>
      <c r="D440" s="18" t="s">
        <v>2615</v>
      </c>
      <c r="E440" s="16">
        <v>76.0</v>
      </c>
    </row>
    <row r="441">
      <c r="A441" s="8" t="s">
        <v>500</v>
      </c>
      <c r="B441" s="8" t="s">
        <v>100</v>
      </c>
      <c r="C441" s="8" t="s">
        <v>75</v>
      </c>
      <c r="D441" s="18" t="s">
        <v>2610</v>
      </c>
      <c r="E441" s="16">
        <v>59.0</v>
      </c>
    </row>
    <row r="442">
      <c r="A442" s="8" t="s">
        <v>500</v>
      </c>
      <c r="B442" s="8" t="s">
        <v>1411</v>
      </c>
      <c r="C442" s="8" t="s">
        <v>65</v>
      </c>
      <c r="D442" s="18" t="s">
        <v>2556</v>
      </c>
      <c r="E442" s="16">
        <v>83.0</v>
      </c>
    </row>
    <row r="443">
      <c r="A443" s="8" t="s">
        <v>500</v>
      </c>
      <c r="B443" s="8" t="s">
        <v>3214</v>
      </c>
      <c r="C443" s="8" t="s">
        <v>149</v>
      </c>
      <c r="D443" s="18" t="s">
        <v>2585</v>
      </c>
      <c r="E443" s="16">
        <v>66.0</v>
      </c>
    </row>
    <row r="444">
      <c r="A444" s="8" t="s">
        <v>500</v>
      </c>
      <c r="B444" s="8" t="s">
        <v>842</v>
      </c>
      <c r="C444" s="8" t="s">
        <v>132</v>
      </c>
      <c r="D444" s="18" t="s">
        <v>2600</v>
      </c>
      <c r="E444" s="16">
        <v>76.0</v>
      </c>
    </row>
    <row r="445">
      <c r="A445" s="8" t="s">
        <v>500</v>
      </c>
      <c r="B445" s="8" t="s">
        <v>247</v>
      </c>
      <c r="C445" s="8" t="s">
        <v>93</v>
      </c>
      <c r="D445" s="18" t="s">
        <v>2183</v>
      </c>
      <c r="E445" s="16">
        <v>71.0</v>
      </c>
    </row>
    <row r="446">
      <c r="A446" s="8" t="s">
        <v>500</v>
      </c>
      <c r="B446" s="8" t="s">
        <v>1746</v>
      </c>
      <c r="C446" s="8" t="s">
        <v>65</v>
      </c>
      <c r="D446" s="18" t="s">
        <v>2593</v>
      </c>
      <c r="E446" s="16">
        <v>63.0</v>
      </c>
    </row>
    <row r="447">
      <c r="A447" s="8" t="s">
        <v>500</v>
      </c>
      <c r="B447" s="8" t="s">
        <v>596</v>
      </c>
      <c r="C447" s="8" t="s">
        <v>215</v>
      </c>
      <c r="D447" s="18" t="s">
        <v>2615</v>
      </c>
      <c r="E447" s="16">
        <v>62.0</v>
      </c>
    </row>
    <row r="448">
      <c r="A448" s="8" t="s">
        <v>662</v>
      </c>
      <c r="B448" s="8" t="s">
        <v>121</v>
      </c>
      <c r="C448" s="8" t="s">
        <v>53</v>
      </c>
      <c r="D448" s="18" t="s">
        <v>2554</v>
      </c>
      <c r="E448" s="16">
        <v>64.0</v>
      </c>
    </row>
    <row r="449">
      <c r="A449" s="8" t="s">
        <v>3596</v>
      </c>
      <c r="B449" s="8" t="s">
        <v>804</v>
      </c>
      <c r="C449" s="8" t="s">
        <v>138</v>
      </c>
      <c r="D449" s="18" t="s">
        <v>2593</v>
      </c>
      <c r="E449" s="16">
        <v>76.0</v>
      </c>
    </row>
    <row r="450">
      <c r="A450" s="8" t="s">
        <v>3597</v>
      </c>
      <c r="B450" s="8" t="s">
        <v>3598</v>
      </c>
      <c r="C450" s="8" t="s">
        <v>70</v>
      </c>
      <c r="D450" s="18" t="s">
        <v>2566</v>
      </c>
      <c r="E450" s="16">
        <v>63.0</v>
      </c>
    </row>
    <row r="451">
      <c r="A451" s="8" t="s">
        <v>1414</v>
      </c>
      <c r="B451" s="8" t="s">
        <v>362</v>
      </c>
      <c r="C451" s="8" t="s">
        <v>65</v>
      </c>
      <c r="D451" s="18" t="s">
        <v>2610</v>
      </c>
      <c r="E451" s="16">
        <v>65.0</v>
      </c>
    </row>
    <row r="452">
      <c r="A452" s="8" t="s">
        <v>1415</v>
      </c>
      <c r="B452" s="8" t="s">
        <v>1416</v>
      </c>
      <c r="C452" s="8" t="s">
        <v>53</v>
      </c>
      <c r="D452" s="18" t="s">
        <v>2575</v>
      </c>
      <c r="E452" s="16">
        <v>72.0</v>
      </c>
    </row>
    <row r="453">
      <c r="A453" s="8" t="s">
        <v>1132</v>
      </c>
      <c r="B453" s="8" t="s">
        <v>647</v>
      </c>
      <c r="C453" s="8" t="s">
        <v>192</v>
      </c>
      <c r="D453" s="18" t="s">
        <v>2564</v>
      </c>
      <c r="E453" s="16">
        <v>67.0</v>
      </c>
    </row>
    <row r="454">
      <c r="A454" s="8" t="s">
        <v>254</v>
      </c>
      <c r="B454" s="8" t="s">
        <v>255</v>
      </c>
      <c r="C454" s="8" t="s">
        <v>16</v>
      </c>
      <c r="D454" s="18" t="s">
        <v>2582</v>
      </c>
      <c r="E454" s="16">
        <v>83.0</v>
      </c>
    </row>
    <row r="455">
      <c r="A455" s="8" t="s">
        <v>1417</v>
      </c>
      <c r="B455" s="8" t="s">
        <v>726</v>
      </c>
      <c r="C455" s="8" t="s">
        <v>122</v>
      </c>
      <c r="D455" s="18" t="s">
        <v>2562</v>
      </c>
      <c r="E455" s="16">
        <v>66.0</v>
      </c>
    </row>
    <row r="456">
      <c r="A456" s="8" t="s">
        <v>663</v>
      </c>
      <c r="B456" s="8" t="s">
        <v>260</v>
      </c>
      <c r="C456" s="8" t="s">
        <v>138</v>
      </c>
      <c r="D456" s="18" t="s">
        <v>2556</v>
      </c>
      <c r="E456" s="16">
        <v>61.0</v>
      </c>
    </row>
    <row r="457">
      <c r="A457" s="8" t="s">
        <v>145</v>
      </c>
      <c r="B457" s="8" t="s">
        <v>664</v>
      </c>
      <c r="C457" s="8" t="s">
        <v>122</v>
      </c>
      <c r="D457" s="18" t="s">
        <v>2564</v>
      </c>
      <c r="E457" s="16">
        <v>93.0</v>
      </c>
    </row>
    <row r="458">
      <c r="A458" s="8" t="s">
        <v>145</v>
      </c>
      <c r="B458" s="8" t="s">
        <v>146</v>
      </c>
      <c r="C458" s="8" t="s">
        <v>24</v>
      </c>
      <c r="D458" s="18" t="s">
        <v>2575</v>
      </c>
      <c r="E458" s="16">
        <v>40.0</v>
      </c>
    </row>
    <row r="459">
      <c r="A459" s="8" t="s">
        <v>145</v>
      </c>
      <c r="B459" s="8" t="s">
        <v>3599</v>
      </c>
      <c r="C459" s="8" t="s">
        <v>93</v>
      </c>
      <c r="D459" s="18" t="s">
        <v>2621</v>
      </c>
      <c r="E459" s="16">
        <v>78.0</v>
      </c>
    </row>
    <row r="460">
      <c r="A460" s="8" t="s">
        <v>2743</v>
      </c>
      <c r="B460" s="8" t="s">
        <v>243</v>
      </c>
      <c r="C460" s="8" t="s">
        <v>186</v>
      </c>
      <c r="D460" s="18" t="s">
        <v>2603</v>
      </c>
      <c r="E460" s="16">
        <v>66.0</v>
      </c>
    </row>
    <row r="461">
      <c r="A461" s="8" t="s">
        <v>2744</v>
      </c>
      <c r="B461" s="8" t="s">
        <v>137</v>
      </c>
      <c r="C461" s="8" t="s">
        <v>65</v>
      </c>
      <c r="D461" s="18" t="s">
        <v>2556</v>
      </c>
      <c r="E461" s="16">
        <v>83.0</v>
      </c>
    </row>
    <row r="462">
      <c r="A462" s="8" t="s">
        <v>1752</v>
      </c>
      <c r="B462" s="18" t="s">
        <v>1753</v>
      </c>
      <c r="C462" s="8" t="s">
        <v>192</v>
      </c>
      <c r="D462" s="18" t="s">
        <v>2582</v>
      </c>
      <c r="E462" s="16">
        <v>74.0</v>
      </c>
    </row>
    <row r="463">
      <c r="A463" s="8" t="s">
        <v>359</v>
      </c>
      <c r="B463" s="8" t="s">
        <v>360</v>
      </c>
      <c r="C463" s="8" t="s">
        <v>122</v>
      </c>
      <c r="D463" s="18" t="s">
        <v>2614</v>
      </c>
      <c r="E463" s="16">
        <v>64.0</v>
      </c>
    </row>
    <row r="464">
      <c r="A464" s="8" t="s">
        <v>359</v>
      </c>
      <c r="B464" s="8" t="s">
        <v>501</v>
      </c>
      <c r="C464" s="8" t="s">
        <v>122</v>
      </c>
      <c r="D464" s="18" t="s">
        <v>2614</v>
      </c>
      <c r="E464" s="16">
        <v>80.0</v>
      </c>
    </row>
    <row r="465">
      <c r="A465" s="8" t="s">
        <v>3600</v>
      </c>
      <c r="B465" s="8" t="s">
        <v>1031</v>
      </c>
      <c r="C465" s="8" t="s">
        <v>122</v>
      </c>
      <c r="D465" s="18" t="s">
        <v>2552</v>
      </c>
      <c r="E465" s="16">
        <v>71.0</v>
      </c>
    </row>
    <row r="466">
      <c r="A466" s="8" t="s">
        <v>3216</v>
      </c>
      <c r="B466" s="8" t="s">
        <v>196</v>
      </c>
      <c r="C466" s="8" t="s">
        <v>215</v>
      </c>
      <c r="D466" s="18" t="s">
        <v>2620</v>
      </c>
      <c r="E466" s="16">
        <v>70.0</v>
      </c>
    </row>
    <row r="467">
      <c r="A467" s="8" t="s">
        <v>2745</v>
      </c>
      <c r="B467" s="8" t="s">
        <v>23</v>
      </c>
      <c r="C467" s="8" t="s">
        <v>70</v>
      </c>
      <c r="D467" s="18" t="s">
        <v>2558</v>
      </c>
      <c r="E467" s="16">
        <v>67.0</v>
      </c>
    </row>
    <row r="468">
      <c r="A468" s="8" t="s">
        <v>3217</v>
      </c>
      <c r="B468" s="8" t="s">
        <v>247</v>
      </c>
      <c r="C468" s="8" t="s">
        <v>93</v>
      </c>
      <c r="D468" s="18" t="s">
        <v>2585</v>
      </c>
      <c r="E468" s="16">
        <v>65.0</v>
      </c>
    </row>
    <row r="469">
      <c r="A469" s="8" t="s">
        <v>110</v>
      </c>
      <c r="B469" s="8" t="s">
        <v>111</v>
      </c>
      <c r="C469" s="8" t="s">
        <v>12</v>
      </c>
      <c r="D469" s="18" t="s">
        <v>2558</v>
      </c>
      <c r="E469" s="16">
        <v>81.0</v>
      </c>
    </row>
    <row r="470">
      <c r="A470" s="8" t="s">
        <v>2747</v>
      </c>
      <c r="B470" s="8" t="s">
        <v>2748</v>
      </c>
      <c r="C470" s="8" t="s">
        <v>24</v>
      </c>
      <c r="D470" s="18" t="s">
        <v>2592</v>
      </c>
      <c r="E470" s="16">
        <v>62.0</v>
      </c>
    </row>
    <row r="471">
      <c r="A471" s="8" t="s">
        <v>1135</v>
      </c>
      <c r="B471" s="8" t="s">
        <v>1136</v>
      </c>
      <c r="C471" s="8" t="s">
        <v>65</v>
      </c>
      <c r="D471" s="18" t="s">
        <v>2582</v>
      </c>
      <c r="E471" s="16">
        <v>74.0</v>
      </c>
    </row>
    <row r="472">
      <c r="A472" s="8" t="s">
        <v>1137</v>
      </c>
      <c r="B472" s="8" t="s">
        <v>948</v>
      </c>
      <c r="C472" s="8" t="s">
        <v>70</v>
      </c>
      <c r="D472" s="18" t="s">
        <v>2615</v>
      </c>
      <c r="E472" s="16">
        <v>76.0</v>
      </c>
    </row>
    <row r="473">
      <c r="A473" s="8" t="s">
        <v>3218</v>
      </c>
      <c r="B473" s="8" t="s">
        <v>1598</v>
      </c>
      <c r="C473" s="8" t="s">
        <v>65</v>
      </c>
      <c r="D473" s="18" t="s">
        <v>2566</v>
      </c>
      <c r="E473" s="16">
        <v>81.0</v>
      </c>
    </row>
    <row r="474">
      <c r="A474" s="8" t="s">
        <v>3219</v>
      </c>
      <c r="B474" s="8" t="s">
        <v>712</v>
      </c>
      <c r="C474" s="8" t="s">
        <v>24</v>
      </c>
      <c r="D474" s="18" t="s">
        <v>2572</v>
      </c>
      <c r="E474" s="16">
        <v>72.0</v>
      </c>
    </row>
    <row r="475">
      <c r="A475" s="8" t="s">
        <v>502</v>
      </c>
      <c r="B475" s="8" t="s">
        <v>503</v>
      </c>
      <c r="C475" s="8" t="s">
        <v>70</v>
      </c>
      <c r="D475" s="18" t="s">
        <v>2593</v>
      </c>
      <c r="E475" s="16">
        <v>74.0</v>
      </c>
    </row>
    <row r="476">
      <c r="A476" s="8" t="s">
        <v>502</v>
      </c>
      <c r="B476" s="8" t="s">
        <v>665</v>
      </c>
      <c r="C476" s="8" t="s">
        <v>24</v>
      </c>
      <c r="D476" s="18" t="s">
        <v>2621</v>
      </c>
      <c r="E476" s="16">
        <v>66.0</v>
      </c>
    </row>
    <row r="477">
      <c r="A477" s="8" t="s">
        <v>502</v>
      </c>
      <c r="B477" s="8" t="s">
        <v>1883</v>
      </c>
      <c r="C477" s="8" t="s">
        <v>24</v>
      </c>
      <c r="D477" s="18" t="s">
        <v>2593</v>
      </c>
      <c r="E477" s="16">
        <v>68.0</v>
      </c>
    </row>
    <row r="478">
      <c r="A478" s="8" t="s">
        <v>256</v>
      </c>
      <c r="B478" s="8" t="s">
        <v>257</v>
      </c>
      <c r="C478" s="8" t="s">
        <v>138</v>
      </c>
      <c r="D478" s="18" t="s">
        <v>2564</v>
      </c>
      <c r="E478" s="16">
        <v>79.0</v>
      </c>
    </row>
    <row r="479">
      <c r="A479" s="8" t="s">
        <v>3221</v>
      </c>
      <c r="B479" s="8" t="s">
        <v>157</v>
      </c>
      <c r="C479" s="8" t="s">
        <v>186</v>
      </c>
      <c r="D479" s="18" t="s">
        <v>2562</v>
      </c>
      <c r="E479" s="16">
        <v>81.0</v>
      </c>
    </row>
    <row r="480">
      <c r="A480" s="8" t="s">
        <v>3601</v>
      </c>
      <c r="B480" s="8" t="s">
        <v>2651</v>
      </c>
      <c r="C480" s="8" t="s">
        <v>16</v>
      </c>
      <c r="D480" s="18" t="s">
        <v>2605</v>
      </c>
      <c r="E480" s="16">
        <v>80.0</v>
      </c>
    </row>
    <row r="481">
      <c r="A481" s="8" t="s">
        <v>2751</v>
      </c>
      <c r="B481" s="8" t="s">
        <v>92</v>
      </c>
      <c r="C481" s="8" t="s">
        <v>192</v>
      </c>
      <c r="D481" s="18" t="s">
        <v>2584</v>
      </c>
      <c r="E481" s="16">
        <v>76.0</v>
      </c>
    </row>
    <row r="482">
      <c r="A482" s="8" t="s">
        <v>1139</v>
      </c>
      <c r="B482" s="8" t="s">
        <v>102</v>
      </c>
      <c r="C482" s="8" t="s">
        <v>75</v>
      </c>
      <c r="D482" s="18" t="s">
        <v>2554</v>
      </c>
      <c r="E482" s="16">
        <v>65.0</v>
      </c>
    </row>
    <row r="483">
      <c r="A483" s="8" t="s">
        <v>258</v>
      </c>
      <c r="B483" s="8" t="s">
        <v>43</v>
      </c>
      <c r="C483" s="8" t="s">
        <v>16</v>
      </c>
      <c r="D483" s="18" t="s">
        <v>2610</v>
      </c>
      <c r="E483" s="16">
        <v>87.0</v>
      </c>
    </row>
    <row r="484">
      <c r="A484" s="8" t="s">
        <v>666</v>
      </c>
      <c r="B484" s="8" t="s">
        <v>196</v>
      </c>
      <c r="C484" s="8" t="s">
        <v>65</v>
      </c>
      <c r="D484" s="18" t="s">
        <v>2595</v>
      </c>
      <c r="E484" s="16">
        <v>62.0</v>
      </c>
    </row>
    <row r="485">
      <c r="A485" s="8" t="s">
        <v>197</v>
      </c>
      <c r="B485" s="8" t="s">
        <v>198</v>
      </c>
      <c r="C485" s="8" t="s">
        <v>16</v>
      </c>
      <c r="D485" s="18" t="s">
        <v>2564</v>
      </c>
      <c r="E485" s="16">
        <v>71.0</v>
      </c>
    </row>
    <row r="486">
      <c r="A486" s="8" t="s">
        <v>361</v>
      </c>
      <c r="B486" s="18" t="s">
        <v>912</v>
      </c>
      <c r="C486" s="8" t="s">
        <v>16</v>
      </c>
      <c r="D486" s="18" t="s">
        <v>2566</v>
      </c>
      <c r="E486" s="16">
        <v>57.0</v>
      </c>
    </row>
    <row r="487">
      <c r="A487" s="8" t="s">
        <v>361</v>
      </c>
      <c r="B487" s="8" t="s">
        <v>183</v>
      </c>
      <c r="C487" s="8" t="s">
        <v>215</v>
      </c>
      <c r="D487" s="18" t="s">
        <v>2558</v>
      </c>
      <c r="E487" s="16">
        <v>92.0</v>
      </c>
    </row>
    <row r="488">
      <c r="A488" s="8" t="s">
        <v>361</v>
      </c>
      <c r="B488" s="8" t="s">
        <v>759</v>
      </c>
      <c r="C488" s="8" t="s">
        <v>186</v>
      </c>
      <c r="D488" s="18" t="s">
        <v>2582</v>
      </c>
      <c r="E488" s="16">
        <v>61.0</v>
      </c>
    </row>
    <row r="489">
      <c r="A489" s="8" t="s">
        <v>2753</v>
      </c>
      <c r="B489" s="8" t="s">
        <v>2754</v>
      </c>
      <c r="C489" s="8" t="s">
        <v>53</v>
      </c>
      <c r="D489" s="18" t="s">
        <v>2610</v>
      </c>
      <c r="E489" s="16">
        <v>83.0</v>
      </c>
    </row>
    <row r="490">
      <c r="A490" s="8" t="s">
        <v>1421</v>
      </c>
      <c r="B490" s="8" t="s">
        <v>1091</v>
      </c>
      <c r="C490" s="8" t="s">
        <v>93</v>
      </c>
      <c r="D490" s="18" t="s">
        <v>2587</v>
      </c>
      <c r="E490" s="16">
        <v>83.0</v>
      </c>
    </row>
    <row r="491">
      <c r="A491" s="8" t="s">
        <v>504</v>
      </c>
      <c r="B491" s="8" t="s">
        <v>505</v>
      </c>
      <c r="C491" s="8" t="s">
        <v>122</v>
      </c>
      <c r="D491" s="18" t="s">
        <v>2587</v>
      </c>
      <c r="E491" s="16">
        <v>88.0</v>
      </c>
    </row>
    <row r="492">
      <c r="A492" s="8" t="s">
        <v>2757</v>
      </c>
      <c r="B492" s="8" t="s">
        <v>2758</v>
      </c>
      <c r="C492" s="8" t="s">
        <v>70</v>
      </c>
      <c r="D492" s="18" t="s">
        <v>2566</v>
      </c>
      <c r="E492" s="16">
        <v>73.0</v>
      </c>
    </row>
    <row r="493">
      <c r="A493" s="8" t="s">
        <v>880</v>
      </c>
      <c r="B493" s="8" t="s">
        <v>33</v>
      </c>
      <c r="C493" s="8" t="s">
        <v>38</v>
      </c>
      <c r="D493" s="18" t="s">
        <v>2581</v>
      </c>
      <c r="E493" s="16">
        <v>76.0</v>
      </c>
    </row>
    <row r="494">
      <c r="A494" s="8" t="s">
        <v>506</v>
      </c>
      <c r="B494" s="8" t="s">
        <v>507</v>
      </c>
      <c r="C494" s="8" t="s">
        <v>59</v>
      </c>
      <c r="D494" s="18" t="s">
        <v>2592</v>
      </c>
      <c r="E494" s="16">
        <v>86.0</v>
      </c>
    </row>
    <row r="495">
      <c r="A495" s="8" t="s">
        <v>61</v>
      </c>
      <c r="B495" s="8" t="s">
        <v>212</v>
      </c>
      <c r="C495" s="8" t="s">
        <v>149</v>
      </c>
      <c r="D495" s="18" t="s">
        <v>2585</v>
      </c>
      <c r="E495" s="16">
        <v>78.0</v>
      </c>
    </row>
    <row r="496">
      <c r="A496" s="8" t="s">
        <v>61</v>
      </c>
      <c r="B496" s="8" t="s">
        <v>464</v>
      </c>
      <c r="C496" s="8" t="s">
        <v>16</v>
      </c>
      <c r="D496" s="18" t="s">
        <v>2615</v>
      </c>
      <c r="E496" s="16">
        <v>69.0</v>
      </c>
    </row>
    <row r="497">
      <c r="A497" s="8" t="s">
        <v>61</v>
      </c>
      <c r="B497" s="8" t="s">
        <v>881</v>
      </c>
      <c r="C497" s="8" t="s">
        <v>122</v>
      </c>
      <c r="D497" s="18" t="s">
        <v>2575</v>
      </c>
      <c r="E497" s="16">
        <v>66.0</v>
      </c>
    </row>
    <row r="498">
      <c r="A498" s="8" t="s">
        <v>61</v>
      </c>
      <c r="B498" s="8" t="s">
        <v>362</v>
      </c>
      <c r="C498" s="8" t="s">
        <v>80</v>
      </c>
      <c r="D498" s="18" t="s">
        <v>2593</v>
      </c>
      <c r="E498" s="16">
        <v>68.0</v>
      </c>
    </row>
    <row r="499">
      <c r="A499" s="8" t="s">
        <v>61</v>
      </c>
      <c r="B499" s="8" t="s">
        <v>363</v>
      </c>
      <c r="C499" s="8" t="s">
        <v>186</v>
      </c>
      <c r="D499" s="18" t="s">
        <v>2615</v>
      </c>
      <c r="E499" s="16">
        <v>76.0</v>
      </c>
    </row>
    <row r="500">
      <c r="A500" s="8" t="s">
        <v>61</v>
      </c>
      <c r="B500" s="8" t="s">
        <v>882</v>
      </c>
      <c r="C500" s="8" t="s">
        <v>65</v>
      </c>
      <c r="D500" s="18" t="s">
        <v>2566</v>
      </c>
      <c r="E500" s="16">
        <v>64.0</v>
      </c>
    </row>
    <row r="501">
      <c r="A501" s="8" t="s">
        <v>61</v>
      </c>
      <c r="B501" s="8" t="s">
        <v>3207</v>
      </c>
      <c r="C501" s="8" t="s">
        <v>24</v>
      </c>
      <c r="D501" s="18" t="s">
        <v>2560</v>
      </c>
      <c r="E501" s="16">
        <v>69.0</v>
      </c>
    </row>
    <row r="502">
      <c r="A502" s="8" t="s">
        <v>61</v>
      </c>
      <c r="B502" s="8" t="s">
        <v>3222</v>
      </c>
      <c r="C502" s="8" t="s">
        <v>70</v>
      </c>
      <c r="D502" s="18" t="s">
        <v>2183</v>
      </c>
      <c r="E502" s="16">
        <v>73.0</v>
      </c>
    </row>
    <row r="503">
      <c r="A503" s="8" t="s">
        <v>61</v>
      </c>
      <c r="B503" s="8" t="s">
        <v>183</v>
      </c>
      <c r="C503" s="8" t="s">
        <v>70</v>
      </c>
      <c r="D503" s="18" t="s">
        <v>2585</v>
      </c>
      <c r="E503" s="16">
        <v>71.0</v>
      </c>
    </row>
    <row r="504">
      <c r="A504" s="8" t="s">
        <v>61</v>
      </c>
      <c r="B504" s="8" t="s">
        <v>67</v>
      </c>
      <c r="C504" s="8" t="s">
        <v>138</v>
      </c>
      <c r="D504" s="18" t="s">
        <v>2584</v>
      </c>
      <c r="E504" s="16">
        <v>72.0</v>
      </c>
    </row>
    <row r="505">
      <c r="A505" s="8" t="s">
        <v>61</v>
      </c>
      <c r="B505" s="8" t="s">
        <v>162</v>
      </c>
      <c r="C505" s="8" t="s">
        <v>192</v>
      </c>
      <c r="D505" s="18" t="s">
        <v>2577</v>
      </c>
      <c r="E505" s="16">
        <v>71.0</v>
      </c>
    </row>
    <row r="506">
      <c r="A506" s="8" t="s">
        <v>61</v>
      </c>
      <c r="B506" s="8" t="s">
        <v>3602</v>
      </c>
      <c r="C506" s="8" t="s">
        <v>65</v>
      </c>
      <c r="D506" s="18" t="s">
        <v>2560</v>
      </c>
      <c r="E506" s="16">
        <v>65.0</v>
      </c>
    </row>
    <row r="507">
      <c r="A507" s="8" t="s">
        <v>61</v>
      </c>
      <c r="B507" s="8" t="s">
        <v>883</v>
      </c>
      <c r="C507" s="8" t="s">
        <v>186</v>
      </c>
      <c r="D507" s="18" t="s">
        <v>2620</v>
      </c>
      <c r="E507" s="16">
        <v>64.0</v>
      </c>
    </row>
    <row r="508">
      <c r="A508" s="8" t="s">
        <v>61</v>
      </c>
      <c r="B508" s="8" t="s">
        <v>1028</v>
      </c>
      <c r="C508" s="8" t="s">
        <v>65</v>
      </c>
      <c r="D508" s="18" t="s">
        <v>2558</v>
      </c>
      <c r="E508" s="16">
        <v>64.0</v>
      </c>
    </row>
    <row r="509">
      <c r="A509" s="8" t="s">
        <v>61</v>
      </c>
      <c r="B509" s="8" t="s">
        <v>84</v>
      </c>
      <c r="C509" s="8" t="s">
        <v>24</v>
      </c>
      <c r="D509" s="18" t="s">
        <v>2582</v>
      </c>
      <c r="E509" s="16">
        <v>80.0</v>
      </c>
    </row>
    <row r="510">
      <c r="A510" s="8" t="s">
        <v>61</v>
      </c>
      <c r="B510" s="8" t="s">
        <v>2759</v>
      </c>
      <c r="C510" s="8" t="s">
        <v>93</v>
      </c>
      <c r="D510" s="18" t="s">
        <v>2567</v>
      </c>
      <c r="E510" s="16">
        <v>91.0</v>
      </c>
    </row>
    <row r="511">
      <c r="A511" s="8" t="s">
        <v>61</v>
      </c>
      <c r="B511" s="8" t="s">
        <v>1046</v>
      </c>
      <c r="C511" s="8" t="s">
        <v>93</v>
      </c>
      <c r="D511" s="18" t="s">
        <v>2575</v>
      </c>
      <c r="E511" s="16">
        <v>73.0</v>
      </c>
    </row>
    <row r="512">
      <c r="A512" s="8" t="s">
        <v>3603</v>
      </c>
      <c r="B512" s="8" t="s">
        <v>62</v>
      </c>
      <c r="C512" s="8" t="s">
        <v>59</v>
      </c>
      <c r="D512" s="18" t="s">
        <v>2574</v>
      </c>
      <c r="E512" s="16">
        <v>88.0</v>
      </c>
    </row>
    <row r="513">
      <c r="A513" s="8" t="s">
        <v>1140</v>
      </c>
      <c r="B513" s="8" t="s">
        <v>1141</v>
      </c>
      <c r="C513" s="8" t="s">
        <v>122</v>
      </c>
      <c r="D513" s="18" t="s">
        <v>2595</v>
      </c>
      <c r="E513" s="16">
        <v>68.0</v>
      </c>
    </row>
    <row r="514">
      <c r="A514" s="8" t="s">
        <v>2081</v>
      </c>
      <c r="B514" s="8" t="s">
        <v>2124</v>
      </c>
      <c r="C514" s="8" t="s">
        <v>12</v>
      </c>
      <c r="D514" s="18" t="s">
        <v>2585</v>
      </c>
      <c r="E514" s="16">
        <v>80.0</v>
      </c>
    </row>
    <row r="515">
      <c r="A515" s="8" t="s">
        <v>2081</v>
      </c>
      <c r="B515" s="18" t="s">
        <v>1341</v>
      </c>
      <c r="C515" s="8" t="s">
        <v>59</v>
      </c>
      <c r="D515" s="18" t="s">
        <v>2610</v>
      </c>
      <c r="E515" s="16">
        <v>71.0</v>
      </c>
    </row>
    <row r="516">
      <c r="A516" s="8" t="s">
        <v>1424</v>
      </c>
      <c r="B516" s="8" t="s">
        <v>787</v>
      </c>
      <c r="C516" s="8" t="s">
        <v>122</v>
      </c>
      <c r="D516" s="18" t="s">
        <v>2584</v>
      </c>
      <c r="E516" s="16">
        <v>68.0</v>
      </c>
    </row>
    <row r="517">
      <c r="A517" s="8" t="s">
        <v>974</v>
      </c>
      <c r="B517" s="8" t="s">
        <v>506</v>
      </c>
      <c r="C517" s="8" t="s">
        <v>122</v>
      </c>
      <c r="D517" s="18" t="s">
        <v>2610</v>
      </c>
      <c r="E517" s="16">
        <v>60.0</v>
      </c>
    </row>
    <row r="518">
      <c r="A518" s="8" t="s">
        <v>3223</v>
      </c>
      <c r="B518" s="8" t="s">
        <v>165</v>
      </c>
      <c r="C518" s="8" t="s">
        <v>46</v>
      </c>
      <c r="D518" s="18" t="s">
        <v>2589</v>
      </c>
      <c r="E518" s="16">
        <v>60.0</v>
      </c>
    </row>
    <row r="519">
      <c r="A519" s="8" t="s">
        <v>3604</v>
      </c>
      <c r="B519" s="8" t="s">
        <v>277</v>
      </c>
      <c r="C519" s="8" t="s">
        <v>65</v>
      </c>
      <c r="D519" s="18" t="s">
        <v>2567</v>
      </c>
      <c r="E519" s="16">
        <v>52.0</v>
      </c>
    </row>
    <row r="520">
      <c r="A520" s="8" t="s">
        <v>508</v>
      </c>
      <c r="B520" s="8" t="s">
        <v>506</v>
      </c>
      <c r="C520" s="8" t="s">
        <v>132</v>
      </c>
      <c r="D520" s="18" t="s">
        <v>2577</v>
      </c>
      <c r="E520" s="16">
        <v>84.0</v>
      </c>
    </row>
    <row r="521">
      <c r="A521" s="8" t="s">
        <v>1428</v>
      </c>
      <c r="B521" s="8" t="s">
        <v>129</v>
      </c>
      <c r="C521" s="8" t="s">
        <v>65</v>
      </c>
      <c r="D521" s="18" t="s">
        <v>2560</v>
      </c>
      <c r="E521" s="8">
        <v>87.0</v>
      </c>
    </row>
    <row r="522">
      <c r="A522" s="8" t="s">
        <v>1428</v>
      </c>
      <c r="B522" s="8" t="s">
        <v>441</v>
      </c>
      <c r="C522" s="8" t="s">
        <v>46</v>
      </c>
      <c r="D522" s="18" t="s">
        <v>2554</v>
      </c>
      <c r="E522" s="8">
        <v>76.0</v>
      </c>
    </row>
    <row r="523">
      <c r="A523" s="8" t="s">
        <v>3224</v>
      </c>
      <c r="B523" s="8" t="s">
        <v>67</v>
      </c>
      <c r="C523" s="8" t="s">
        <v>215</v>
      </c>
      <c r="D523" s="18" t="s">
        <v>2574</v>
      </c>
      <c r="E523" s="8">
        <v>65.0</v>
      </c>
    </row>
    <row r="524">
      <c r="A524" s="8" t="s">
        <v>3225</v>
      </c>
      <c r="B524" s="8" t="s">
        <v>3226</v>
      </c>
      <c r="C524" s="8" t="s">
        <v>192</v>
      </c>
      <c r="D524" s="18" t="s">
        <v>2562</v>
      </c>
      <c r="E524" s="16">
        <v>75.0</v>
      </c>
    </row>
    <row r="525">
      <c r="A525" s="8" t="s">
        <v>885</v>
      </c>
      <c r="B525" s="8" t="s">
        <v>886</v>
      </c>
      <c r="C525" s="8" t="s">
        <v>93</v>
      </c>
      <c r="D525" s="18" t="s">
        <v>2610</v>
      </c>
      <c r="E525" s="16">
        <v>75.0</v>
      </c>
    </row>
    <row r="526">
      <c r="A526" s="8" t="s">
        <v>22</v>
      </c>
      <c r="B526" s="8" t="s">
        <v>23</v>
      </c>
      <c r="C526" s="8" t="s">
        <v>24</v>
      </c>
      <c r="D526" s="18" t="s">
        <v>2581</v>
      </c>
      <c r="E526" s="16">
        <v>48.0</v>
      </c>
    </row>
    <row r="527">
      <c r="A527" s="8" t="s">
        <v>3605</v>
      </c>
      <c r="B527" s="8" t="s">
        <v>957</v>
      </c>
      <c r="C527" s="8" t="s">
        <v>186</v>
      </c>
      <c r="D527" s="18" t="s">
        <v>2562</v>
      </c>
      <c r="E527" s="16">
        <v>74.0</v>
      </c>
    </row>
    <row r="528">
      <c r="A528" s="8" t="s">
        <v>85</v>
      </c>
      <c r="B528" s="8" t="s">
        <v>86</v>
      </c>
      <c r="C528" s="8" t="s">
        <v>24</v>
      </c>
      <c r="D528" s="18" t="s">
        <v>2566</v>
      </c>
      <c r="E528" s="16">
        <v>55.0</v>
      </c>
    </row>
    <row r="529">
      <c r="A529" s="8" t="s">
        <v>3606</v>
      </c>
      <c r="B529" s="8" t="s">
        <v>23</v>
      </c>
      <c r="C529" s="8" t="s">
        <v>24</v>
      </c>
      <c r="D529" s="18" t="s">
        <v>2564</v>
      </c>
      <c r="E529" s="16">
        <v>43.0</v>
      </c>
    </row>
    <row r="530">
      <c r="A530" s="8" t="s">
        <v>199</v>
      </c>
      <c r="B530" s="8" t="s">
        <v>55</v>
      </c>
      <c r="C530" s="8" t="s">
        <v>24</v>
      </c>
      <c r="D530" s="18" t="s">
        <v>2592</v>
      </c>
      <c r="E530" s="16">
        <v>62.0</v>
      </c>
    </row>
    <row r="531">
      <c r="A531" s="8" t="s">
        <v>667</v>
      </c>
      <c r="B531" s="8" t="s">
        <v>668</v>
      </c>
      <c r="C531" s="8" t="s">
        <v>93</v>
      </c>
      <c r="D531" s="18" t="s">
        <v>2615</v>
      </c>
      <c r="E531" s="16">
        <v>69.0</v>
      </c>
    </row>
    <row r="532">
      <c r="A532" s="8" t="s">
        <v>1144</v>
      </c>
      <c r="B532" s="8" t="s">
        <v>793</v>
      </c>
      <c r="C532" s="8" t="s">
        <v>24</v>
      </c>
      <c r="D532" s="18" t="s">
        <v>2615</v>
      </c>
      <c r="E532" s="16">
        <v>64.0</v>
      </c>
    </row>
    <row r="533">
      <c r="A533" s="8" t="s">
        <v>259</v>
      </c>
      <c r="B533" s="8" t="s">
        <v>260</v>
      </c>
      <c r="C533" s="8" t="s">
        <v>261</v>
      </c>
      <c r="D533" s="18" t="s">
        <v>2600</v>
      </c>
      <c r="E533" s="16">
        <v>83.0</v>
      </c>
    </row>
    <row r="534">
      <c r="A534" s="8" t="s">
        <v>262</v>
      </c>
      <c r="B534" s="8" t="s">
        <v>263</v>
      </c>
      <c r="C534" s="8" t="s">
        <v>132</v>
      </c>
      <c r="D534" s="18" t="s">
        <v>2183</v>
      </c>
      <c r="E534" s="16">
        <v>65.0</v>
      </c>
    </row>
    <row r="535">
      <c r="A535" s="8" t="s">
        <v>3227</v>
      </c>
      <c r="B535" s="8" t="s">
        <v>804</v>
      </c>
      <c r="C535" s="8" t="s">
        <v>215</v>
      </c>
      <c r="D535" s="18" t="s">
        <v>2585</v>
      </c>
      <c r="E535" s="16">
        <v>70.0</v>
      </c>
    </row>
    <row r="536">
      <c r="A536" s="8" t="s">
        <v>200</v>
      </c>
      <c r="B536" s="8" t="s">
        <v>201</v>
      </c>
      <c r="C536" s="8" t="s">
        <v>24</v>
      </c>
      <c r="D536" s="18" t="s">
        <v>2574</v>
      </c>
      <c r="E536" s="16">
        <v>72.0</v>
      </c>
    </row>
    <row r="537">
      <c r="A537" s="8" t="s">
        <v>1147</v>
      </c>
      <c r="B537" s="8" t="s">
        <v>1148</v>
      </c>
      <c r="C537" s="8" t="s">
        <v>93</v>
      </c>
      <c r="D537" s="18" t="s">
        <v>2554</v>
      </c>
      <c r="E537" s="16">
        <v>74.0</v>
      </c>
    </row>
    <row r="538">
      <c r="A538" s="8" t="s">
        <v>1147</v>
      </c>
      <c r="B538" s="8" t="s">
        <v>1173</v>
      </c>
      <c r="C538" s="8" t="s">
        <v>65</v>
      </c>
      <c r="D538" s="18" t="s">
        <v>2582</v>
      </c>
      <c r="E538" s="16">
        <v>60.0</v>
      </c>
    </row>
    <row r="539">
      <c r="A539" s="8" t="s">
        <v>1147</v>
      </c>
      <c r="B539" s="8" t="s">
        <v>1429</v>
      </c>
      <c r="C539" s="8" t="s">
        <v>65</v>
      </c>
      <c r="D539" s="18" t="s">
        <v>2552</v>
      </c>
      <c r="E539" s="16">
        <v>79.0</v>
      </c>
    </row>
    <row r="540">
      <c r="A540" s="8" t="s">
        <v>1457</v>
      </c>
      <c r="B540" s="18" t="s">
        <v>456</v>
      </c>
      <c r="C540" s="8" t="s">
        <v>192</v>
      </c>
      <c r="D540" s="18" t="s">
        <v>2562</v>
      </c>
      <c r="E540" s="16">
        <v>67.0</v>
      </c>
    </row>
    <row r="541">
      <c r="A541" s="8" t="s">
        <v>3607</v>
      </c>
      <c r="B541" s="8" t="s">
        <v>3608</v>
      </c>
      <c r="C541" s="8" t="s">
        <v>53</v>
      </c>
      <c r="D541" s="18" t="s">
        <v>2610</v>
      </c>
      <c r="E541" s="16">
        <v>67.0</v>
      </c>
    </row>
    <row r="542">
      <c r="A542" s="8" t="s">
        <v>364</v>
      </c>
      <c r="B542" s="8" t="s">
        <v>194</v>
      </c>
      <c r="C542" s="8" t="s">
        <v>261</v>
      </c>
      <c r="D542" s="18" t="s">
        <v>2598</v>
      </c>
      <c r="E542" s="16">
        <v>91.0</v>
      </c>
    </row>
    <row r="543">
      <c r="A543" s="8" t="s">
        <v>3609</v>
      </c>
      <c r="B543" s="8" t="s">
        <v>3610</v>
      </c>
      <c r="C543" s="8" t="s">
        <v>132</v>
      </c>
      <c r="D543" s="18" t="s">
        <v>2574</v>
      </c>
      <c r="E543" s="16">
        <v>67.0</v>
      </c>
    </row>
    <row r="544">
      <c r="A544" s="8" t="s">
        <v>1149</v>
      </c>
      <c r="B544" s="8" t="s">
        <v>121</v>
      </c>
      <c r="C544" s="8" t="s">
        <v>93</v>
      </c>
      <c r="D544" s="18" t="s">
        <v>2595</v>
      </c>
      <c r="E544" s="16">
        <v>65.0</v>
      </c>
    </row>
    <row r="545">
      <c r="A545" s="8" t="s">
        <v>1149</v>
      </c>
      <c r="B545" s="8" t="s">
        <v>157</v>
      </c>
      <c r="C545" s="8" t="s">
        <v>93</v>
      </c>
      <c r="D545" s="18" t="s">
        <v>2595</v>
      </c>
      <c r="E545" s="16">
        <v>66.0</v>
      </c>
    </row>
    <row r="546">
      <c r="A546" s="8" t="s">
        <v>1149</v>
      </c>
      <c r="B546" s="8" t="s">
        <v>892</v>
      </c>
      <c r="C546" s="8" t="s">
        <v>70</v>
      </c>
      <c r="D546" s="18" t="s">
        <v>2575</v>
      </c>
      <c r="E546" s="16">
        <v>72.0</v>
      </c>
    </row>
    <row r="547">
      <c r="A547" s="8" t="s">
        <v>1149</v>
      </c>
      <c r="B547" s="8" t="s">
        <v>421</v>
      </c>
      <c r="C547" s="8" t="s">
        <v>38</v>
      </c>
      <c r="D547" s="18" t="s">
        <v>2620</v>
      </c>
      <c r="E547" s="16">
        <v>72.0</v>
      </c>
    </row>
    <row r="548">
      <c r="A548" s="8" t="s">
        <v>3228</v>
      </c>
      <c r="B548" s="8" t="s">
        <v>98</v>
      </c>
      <c r="C548" s="8" t="s">
        <v>65</v>
      </c>
      <c r="D548" s="18" t="s">
        <v>2600</v>
      </c>
      <c r="E548" s="16">
        <v>71.0</v>
      </c>
    </row>
    <row r="549">
      <c r="A549" s="8" t="s">
        <v>1150</v>
      </c>
      <c r="B549" s="8" t="s">
        <v>301</v>
      </c>
      <c r="C549" s="8" t="s">
        <v>65</v>
      </c>
      <c r="D549" s="18" t="s">
        <v>2582</v>
      </c>
      <c r="E549" s="16">
        <v>77.0</v>
      </c>
    </row>
    <row r="550">
      <c r="A550" s="8" t="s">
        <v>2764</v>
      </c>
      <c r="B550" s="8" t="s">
        <v>119</v>
      </c>
      <c r="C550" s="8" t="s">
        <v>59</v>
      </c>
      <c r="D550" s="18" t="s">
        <v>2621</v>
      </c>
      <c r="E550" s="16">
        <v>73.0</v>
      </c>
    </row>
    <row r="551">
      <c r="A551" s="8" t="s">
        <v>669</v>
      </c>
      <c r="B551" s="8" t="s">
        <v>98</v>
      </c>
      <c r="C551" s="8" t="s">
        <v>122</v>
      </c>
      <c r="D551" s="18" t="s">
        <v>2593</v>
      </c>
      <c r="E551" s="16">
        <v>98.0</v>
      </c>
    </row>
    <row r="552">
      <c r="A552" s="8" t="s">
        <v>887</v>
      </c>
      <c r="B552" s="8" t="s">
        <v>55</v>
      </c>
      <c r="C552" s="8" t="s">
        <v>132</v>
      </c>
      <c r="D552" s="18" t="s">
        <v>2593</v>
      </c>
      <c r="E552" s="16">
        <v>64.0</v>
      </c>
    </row>
    <row r="553">
      <c r="A553" s="8" t="s">
        <v>2118</v>
      </c>
      <c r="B553" s="8" t="s">
        <v>64</v>
      </c>
      <c r="C553" s="8" t="s">
        <v>24</v>
      </c>
      <c r="D553" s="18" t="s">
        <v>2566</v>
      </c>
      <c r="E553" s="16">
        <v>76.0</v>
      </c>
    </row>
    <row r="554">
      <c r="A554" s="8" t="s">
        <v>1151</v>
      </c>
      <c r="B554" s="8" t="s">
        <v>1152</v>
      </c>
      <c r="C554" s="8" t="s">
        <v>53</v>
      </c>
      <c r="D554" s="18" t="s">
        <v>2620</v>
      </c>
      <c r="E554" s="16">
        <v>57.0</v>
      </c>
    </row>
    <row r="555">
      <c r="A555" s="8" t="s">
        <v>3229</v>
      </c>
      <c r="B555" s="8" t="s">
        <v>181</v>
      </c>
      <c r="C555" s="8" t="s">
        <v>24</v>
      </c>
      <c r="D555" s="18" t="s">
        <v>2564</v>
      </c>
      <c r="E555" s="16">
        <v>44.0</v>
      </c>
    </row>
    <row r="556">
      <c r="A556" s="8" t="s">
        <v>1153</v>
      </c>
      <c r="B556" s="8" t="s">
        <v>1154</v>
      </c>
      <c r="C556" s="8" t="s">
        <v>93</v>
      </c>
      <c r="D556" s="18" t="s">
        <v>2558</v>
      </c>
      <c r="E556" s="16">
        <v>61.0</v>
      </c>
    </row>
    <row r="557">
      <c r="A557" s="8" t="s">
        <v>1155</v>
      </c>
      <c r="B557" s="8" t="s">
        <v>690</v>
      </c>
      <c r="C557" s="8" t="s">
        <v>65</v>
      </c>
      <c r="D557" s="18" t="s">
        <v>2567</v>
      </c>
      <c r="E557" s="16">
        <v>72.0</v>
      </c>
    </row>
    <row r="558">
      <c r="A558" s="8" t="s">
        <v>3611</v>
      </c>
      <c r="B558" s="8" t="s">
        <v>517</v>
      </c>
      <c r="C558" s="8" t="s">
        <v>138</v>
      </c>
      <c r="D558" s="18" t="s">
        <v>2585</v>
      </c>
      <c r="E558" s="16">
        <v>70.0</v>
      </c>
    </row>
    <row r="559">
      <c r="A559" s="8" t="s">
        <v>1430</v>
      </c>
      <c r="B559" s="8" t="s">
        <v>58</v>
      </c>
      <c r="C559" s="8" t="s">
        <v>93</v>
      </c>
      <c r="D559" s="18" t="s">
        <v>2620</v>
      </c>
      <c r="E559" s="16">
        <v>67.0</v>
      </c>
    </row>
    <row r="560">
      <c r="A560" s="8" t="s">
        <v>147</v>
      </c>
      <c r="B560" s="8" t="s">
        <v>148</v>
      </c>
      <c r="C560" s="8" t="s">
        <v>149</v>
      </c>
      <c r="D560" s="18" t="s">
        <v>2592</v>
      </c>
      <c r="E560" s="16">
        <v>78.0</v>
      </c>
    </row>
    <row r="561">
      <c r="A561" s="8" t="s">
        <v>3230</v>
      </c>
      <c r="B561" s="8" t="s">
        <v>121</v>
      </c>
      <c r="C561" s="8" t="s">
        <v>16</v>
      </c>
      <c r="D561" s="18" t="s">
        <v>2581</v>
      </c>
      <c r="E561" s="16">
        <v>63.0</v>
      </c>
    </row>
    <row r="562">
      <c r="A562" s="8" t="s">
        <v>888</v>
      </c>
      <c r="B562" s="8" t="s">
        <v>2473</v>
      </c>
      <c r="C562" s="8" t="s">
        <v>65</v>
      </c>
      <c r="D562" s="18" t="s">
        <v>2621</v>
      </c>
      <c r="E562" s="16">
        <v>73.0</v>
      </c>
    </row>
    <row r="563">
      <c r="A563" s="8" t="s">
        <v>3612</v>
      </c>
      <c r="B563" s="8" t="s">
        <v>3613</v>
      </c>
      <c r="C563" s="8" t="s">
        <v>215</v>
      </c>
      <c r="D563" s="18" t="s">
        <v>2587</v>
      </c>
      <c r="E563" s="16">
        <v>68.0</v>
      </c>
    </row>
    <row r="564">
      <c r="A564" s="8" t="s">
        <v>3614</v>
      </c>
      <c r="B564" s="8" t="s">
        <v>842</v>
      </c>
      <c r="C564" s="8" t="s">
        <v>80</v>
      </c>
      <c r="D564" s="18" t="s">
        <v>2587</v>
      </c>
      <c r="E564" s="16">
        <v>66.0</v>
      </c>
    </row>
    <row r="565">
      <c r="A565" s="8" t="s">
        <v>509</v>
      </c>
      <c r="B565" s="8" t="s">
        <v>360</v>
      </c>
      <c r="C565" s="8" t="s">
        <v>24</v>
      </c>
      <c r="D565" s="18" t="s">
        <v>2567</v>
      </c>
      <c r="E565" s="16">
        <v>72.0</v>
      </c>
    </row>
    <row r="566">
      <c r="A566" s="8" t="s">
        <v>670</v>
      </c>
      <c r="B566" s="8" t="s">
        <v>671</v>
      </c>
      <c r="C566" s="8" t="s">
        <v>132</v>
      </c>
      <c r="D566" s="18" t="s">
        <v>2560</v>
      </c>
      <c r="E566" s="16">
        <v>67.0</v>
      </c>
    </row>
    <row r="567">
      <c r="A567" s="8" t="s">
        <v>1431</v>
      </c>
      <c r="B567" s="8" t="s">
        <v>1432</v>
      </c>
      <c r="C567" s="8" t="s">
        <v>70</v>
      </c>
      <c r="D567" s="18" t="s">
        <v>2581</v>
      </c>
      <c r="E567" s="16">
        <v>70.0</v>
      </c>
    </row>
    <row r="568">
      <c r="A568" s="8" t="s">
        <v>1156</v>
      </c>
      <c r="B568" s="8" t="s">
        <v>746</v>
      </c>
      <c r="C568" s="8" t="s">
        <v>132</v>
      </c>
      <c r="D568" s="18" t="s">
        <v>2615</v>
      </c>
      <c r="E568" s="16">
        <v>64.0</v>
      </c>
    </row>
    <row r="569">
      <c r="A569" s="8" t="s">
        <v>3231</v>
      </c>
      <c r="B569" s="8" t="s">
        <v>2087</v>
      </c>
      <c r="C569" s="8" t="s">
        <v>70</v>
      </c>
      <c r="D569" s="18" t="s">
        <v>2585</v>
      </c>
      <c r="E569" s="16">
        <v>73.0</v>
      </c>
    </row>
    <row r="570">
      <c r="A570" s="8" t="s">
        <v>3615</v>
      </c>
      <c r="B570" s="8" t="s">
        <v>3616</v>
      </c>
      <c r="C570" s="8" t="s">
        <v>24</v>
      </c>
      <c r="D570" s="18" t="s">
        <v>2587</v>
      </c>
      <c r="E570" s="16">
        <v>70.0</v>
      </c>
    </row>
    <row r="571">
      <c r="A571" s="8" t="s">
        <v>3617</v>
      </c>
      <c r="B571" s="8" t="s">
        <v>381</v>
      </c>
      <c r="C571" s="8" t="s">
        <v>24</v>
      </c>
      <c r="D571" s="18" t="s">
        <v>2595</v>
      </c>
      <c r="E571" s="16">
        <v>42.0</v>
      </c>
    </row>
    <row r="572">
      <c r="A572" s="8" t="s">
        <v>1157</v>
      </c>
      <c r="B572" s="8" t="s">
        <v>712</v>
      </c>
      <c r="C572" s="8" t="s">
        <v>16</v>
      </c>
      <c r="D572" s="18" t="s">
        <v>2585</v>
      </c>
      <c r="E572" s="16">
        <v>66.0</v>
      </c>
    </row>
    <row r="573">
      <c r="A573" s="8" t="s">
        <v>2766</v>
      </c>
      <c r="B573" s="8" t="s">
        <v>2767</v>
      </c>
      <c r="C573" s="8" t="s">
        <v>192</v>
      </c>
      <c r="D573" s="18" t="s">
        <v>2562</v>
      </c>
      <c r="E573" s="16">
        <v>67.0</v>
      </c>
    </row>
    <row r="574">
      <c r="A574" s="8" t="s">
        <v>2768</v>
      </c>
      <c r="B574" s="8" t="s">
        <v>62</v>
      </c>
      <c r="C574" s="8" t="s">
        <v>24</v>
      </c>
      <c r="D574" s="18" t="s">
        <v>2581</v>
      </c>
      <c r="E574" s="16">
        <v>63.0</v>
      </c>
    </row>
    <row r="575">
      <c r="A575" s="8" t="s">
        <v>3618</v>
      </c>
      <c r="B575" s="18" t="s">
        <v>912</v>
      </c>
      <c r="C575" s="8" t="s">
        <v>122</v>
      </c>
      <c r="D575" s="18" t="s">
        <v>2552</v>
      </c>
      <c r="E575" s="16">
        <v>63.0</v>
      </c>
    </row>
    <row r="576">
      <c r="A576" s="8" t="s">
        <v>264</v>
      </c>
      <c r="B576" s="8" t="s">
        <v>265</v>
      </c>
      <c r="C576" s="8" t="s">
        <v>132</v>
      </c>
      <c r="D576" s="18" t="s">
        <v>2575</v>
      </c>
      <c r="E576" s="16">
        <v>74.0</v>
      </c>
    </row>
    <row r="577">
      <c r="A577" s="8" t="s">
        <v>3232</v>
      </c>
      <c r="B577" s="8" t="s">
        <v>3233</v>
      </c>
      <c r="C577" s="8" t="s">
        <v>53</v>
      </c>
      <c r="D577" s="18" t="s">
        <v>2575</v>
      </c>
      <c r="E577" s="16">
        <v>87.0</v>
      </c>
    </row>
    <row r="578">
      <c r="A578" s="8" t="s">
        <v>890</v>
      </c>
      <c r="B578" s="8" t="s">
        <v>1879</v>
      </c>
      <c r="C578" s="8" t="s">
        <v>70</v>
      </c>
      <c r="D578" s="18" t="s">
        <v>2614</v>
      </c>
      <c r="E578" s="16">
        <v>76.0</v>
      </c>
    </row>
    <row r="579">
      <c r="A579" s="8" t="s">
        <v>890</v>
      </c>
      <c r="B579" s="8" t="s">
        <v>804</v>
      </c>
      <c r="C579" s="8" t="s">
        <v>93</v>
      </c>
      <c r="D579" s="18" t="s">
        <v>2582</v>
      </c>
      <c r="E579" s="16">
        <v>72.0</v>
      </c>
    </row>
    <row r="580">
      <c r="A580" s="8" t="s">
        <v>365</v>
      </c>
      <c r="B580" s="8" t="s">
        <v>366</v>
      </c>
      <c r="C580" s="8" t="s">
        <v>138</v>
      </c>
      <c r="D580" s="18" t="s">
        <v>2610</v>
      </c>
      <c r="E580" s="16">
        <v>87.0</v>
      </c>
    </row>
    <row r="581">
      <c r="A581" s="8" t="s">
        <v>365</v>
      </c>
      <c r="B581" s="8" t="s">
        <v>956</v>
      </c>
      <c r="C581" s="8" t="s">
        <v>46</v>
      </c>
      <c r="D581" s="18" t="s">
        <v>2572</v>
      </c>
      <c r="E581" s="16">
        <v>82.0</v>
      </c>
    </row>
    <row r="582">
      <c r="A582" s="8" t="s">
        <v>1158</v>
      </c>
      <c r="B582" s="8" t="s">
        <v>121</v>
      </c>
      <c r="C582" s="8" t="s">
        <v>138</v>
      </c>
      <c r="D582" s="18" t="s">
        <v>2562</v>
      </c>
      <c r="E582" s="16">
        <v>68.0</v>
      </c>
    </row>
    <row r="583">
      <c r="A583" s="8" t="s">
        <v>1159</v>
      </c>
      <c r="B583" s="8" t="s">
        <v>1160</v>
      </c>
      <c r="C583" s="8" t="s">
        <v>53</v>
      </c>
      <c r="D583" s="18" t="s">
        <v>2577</v>
      </c>
      <c r="E583" s="16">
        <v>70.0</v>
      </c>
    </row>
    <row r="584">
      <c r="A584" s="8" t="s">
        <v>3619</v>
      </c>
      <c r="B584" s="8" t="s">
        <v>381</v>
      </c>
      <c r="C584" s="8" t="s">
        <v>53</v>
      </c>
      <c r="D584" s="18" t="s">
        <v>2614</v>
      </c>
      <c r="E584" s="16">
        <v>77.0</v>
      </c>
    </row>
    <row r="585">
      <c r="A585" s="8" t="s">
        <v>891</v>
      </c>
      <c r="B585" s="8" t="s">
        <v>892</v>
      </c>
      <c r="C585" s="8" t="s">
        <v>93</v>
      </c>
      <c r="D585" s="18" t="s">
        <v>2556</v>
      </c>
      <c r="E585" s="16">
        <v>61.0</v>
      </c>
    </row>
    <row r="586">
      <c r="A586" s="8" t="s">
        <v>672</v>
      </c>
      <c r="B586" s="8" t="s">
        <v>673</v>
      </c>
      <c r="C586" s="8" t="s">
        <v>132</v>
      </c>
      <c r="D586" s="18" t="s">
        <v>2183</v>
      </c>
      <c r="E586" s="16">
        <v>73.0</v>
      </c>
    </row>
    <row r="587">
      <c r="A587" s="8" t="s">
        <v>3620</v>
      </c>
      <c r="B587" s="8" t="s">
        <v>3237</v>
      </c>
      <c r="C587" s="8" t="s">
        <v>65</v>
      </c>
      <c r="D587" s="18" t="s">
        <v>2592</v>
      </c>
      <c r="E587" s="16">
        <v>64.0</v>
      </c>
    </row>
    <row r="588">
      <c r="A588" s="8" t="s">
        <v>3238</v>
      </c>
      <c r="B588" s="8" t="s">
        <v>737</v>
      </c>
      <c r="C588" s="8" t="s">
        <v>16</v>
      </c>
      <c r="D588" s="18" t="s">
        <v>2581</v>
      </c>
      <c r="E588" s="16">
        <v>61.0</v>
      </c>
    </row>
    <row r="589">
      <c r="A589" s="8" t="s">
        <v>674</v>
      </c>
      <c r="B589" s="8" t="s">
        <v>231</v>
      </c>
      <c r="C589" s="8" t="s">
        <v>186</v>
      </c>
      <c r="D589" s="18" t="s">
        <v>2572</v>
      </c>
      <c r="E589" s="16">
        <v>62.0</v>
      </c>
    </row>
    <row r="590">
      <c r="A590" s="8" t="s">
        <v>2771</v>
      </c>
      <c r="B590" s="8" t="s">
        <v>2772</v>
      </c>
      <c r="C590" s="8" t="s">
        <v>215</v>
      </c>
      <c r="D590" s="18" t="s">
        <v>2574</v>
      </c>
      <c r="E590" s="16">
        <v>79.0</v>
      </c>
    </row>
    <row r="591">
      <c r="A591" s="8" t="s">
        <v>2773</v>
      </c>
      <c r="B591" s="8" t="s">
        <v>172</v>
      </c>
      <c r="C591" s="8" t="s">
        <v>122</v>
      </c>
      <c r="D591" s="18" t="s">
        <v>2593</v>
      </c>
      <c r="E591" s="16">
        <v>74.0</v>
      </c>
    </row>
    <row r="592">
      <c r="A592" s="8" t="s">
        <v>2773</v>
      </c>
      <c r="B592" s="8" t="s">
        <v>247</v>
      </c>
      <c r="C592" s="8" t="s">
        <v>65</v>
      </c>
      <c r="D592" s="18" t="s">
        <v>2587</v>
      </c>
      <c r="E592" s="16">
        <v>67.0</v>
      </c>
    </row>
    <row r="593">
      <c r="A593" s="8" t="s">
        <v>894</v>
      </c>
      <c r="B593" s="8" t="s">
        <v>231</v>
      </c>
      <c r="C593" s="8" t="s">
        <v>141</v>
      </c>
      <c r="D593" s="18" t="s">
        <v>2552</v>
      </c>
      <c r="E593" s="16">
        <v>60.0</v>
      </c>
    </row>
    <row r="594">
      <c r="A594" s="8" t="s">
        <v>367</v>
      </c>
      <c r="B594" s="8" t="s">
        <v>317</v>
      </c>
      <c r="C594" s="8" t="s">
        <v>192</v>
      </c>
      <c r="D594" s="18" t="s">
        <v>2600</v>
      </c>
      <c r="E594" s="16">
        <v>65.0</v>
      </c>
    </row>
    <row r="595">
      <c r="A595" s="8" t="s">
        <v>1161</v>
      </c>
      <c r="B595" s="8" t="s">
        <v>129</v>
      </c>
      <c r="C595" s="8" t="s">
        <v>24</v>
      </c>
      <c r="D595" s="18" t="s">
        <v>2554</v>
      </c>
      <c r="E595" s="16">
        <v>76.0</v>
      </c>
    </row>
    <row r="596">
      <c r="A596" s="8" t="s">
        <v>3239</v>
      </c>
      <c r="B596" s="8" t="s">
        <v>3240</v>
      </c>
      <c r="C596" s="8" t="s">
        <v>53</v>
      </c>
      <c r="D596" s="18" t="s">
        <v>2595</v>
      </c>
      <c r="E596" s="16">
        <v>67.0</v>
      </c>
    </row>
    <row r="597">
      <c r="A597" s="8" t="s">
        <v>150</v>
      </c>
      <c r="B597" s="8" t="s">
        <v>151</v>
      </c>
      <c r="C597" s="8" t="s">
        <v>65</v>
      </c>
      <c r="D597" s="18" t="s">
        <v>2600</v>
      </c>
      <c r="E597" s="16">
        <v>89.0</v>
      </c>
    </row>
    <row r="598">
      <c r="A598" s="8" t="s">
        <v>895</v>
      </c>
      <c r="B598" s="8" t="s">
        <v>275</v>
      </c>
      <c r="C598" s="8" t="s">
        <v>192</v>
      </c>
      <c r="D598" s="18" t="s">
        <v>2556</v>
      </c>
      <c r="E598" s="16">
        <v>61.0</v>
      </c>
    </row>
    <row r="599">
      <c r="A599" s="8" t="s">
        <v>895</v>
      </c>
      <c r="B599" s="8" t="s">
        <v>2775</v>
      </c>
      <c r="C599" s="8" t="s">
        <v>75</v>
      </c>
      <c r="D599" s="18" t="s">
        <v>2584</v>
      </c>
      <c r="E599" s="16">
        <v>64.0</v>
      </c>
    </row>
    <row r="600">
      <c r="A600" s="8" t="s">
        <v>895</v>
      </c>
      <c r="B600" s="8" t="s">
        <v>3241</v>
      </c>
      <c r="C600" s="8" t="s">
        <v>38</v>
      </c>
      <c r="D600" s="18" t="s">
        <v>2560</v>
      </c>
      <c r="E600" s="16">
        <v>72.0</v>
      </c>
    </row>
    <row r="601">
      <c r="A601" s="8" t="s">
        <v>895</v>
      </c>
      <c r="B601" s="8" t="s">
        <v>3242</v>
      </c>
      <c r="C601" s="8" t="s">
        <v>138</v>
      </c>
      <c r="D601" s="18" t="s">
        <v>2587</v>
      </c>
      <c r="E601" s="16">
        <v>66.0</v>
      </c>
    </row>
    <row r="602">
      <c r="A602" s="8" t="s">
        <v>3621</v>
      </c>
      <c r="B602" s="8" t="s">
        <v>236</v>
      </c>
      <c r="C602" s="8" t="s">
        <v>215</v>
      </c>
      <c r="D602" s="18" t="s">
        <v>2556</v>
      </c>
      <c r="E602" s="16">
        <v>78.0</v>
      </c>
    </row>
    <row r="603">
      <c r="A603" s="8" t="s">
        <v>2777</v>
      </c>
      <c r="B603" s="8" t="s">
        <v>1276</v>
      </c>
      <c r="C603" s="8" t="s">
        <v>75</v>
      </c>
      <c r="D603" s="18" t="s">
        <v>2183</v>
      </c>
      <c r="E603" s="16">
        <v>66.0</v>
      </c>
    </row>
    <row r="604">
      <c r="A604" s="8" t="s">
        <v>675</v>
      </c>
      <c r="B604" s="8" t="s">
        <v>676</v>
      </c>
      <c r="C604" s="8" t="s">
        <v>24</v>
      </c>
      <c r="D604" s="18" t="s">
        <v>2610</v>
      </c>
      <c r="E604" s="16">
        <v>90.0</v>
      </c>
    </row>
    <row r="605">
      <c r="A605" s="8" t="s">
        <v>3622</v>
      </c>
      <c r="B605" s="8" t="s">
        <v>3623</v>
      </c>
      <c r="C605" s="8" t="s">
        <v>93</v>
      </c>
      <c r="D605" s="18" t="s">
        <v>2581</v>
      </c>
      <c r="E605" s="16">
        <v>67.0</v>
      </c>
    </row>
    <row r="606">
      <c r="A606" s="8" t="s">
        <v>3624</v>
      </c>
      <c r="B606" s="8" t="s">
        <v>33</v>
      </c>
      <c r="C606" s="8" t="s">
        <v>192</v>
      </c>
      <c r="D606" s="18" t="s">
        <v>2575</v>
      </c>
      <c r="E606" s="16">
        <v>69.0</v>
      </c>
    </row>
    <row r="607">
      <c r="A607" s="8" t="s">
        <v>3243</v>
      </c>
      <c r="B607" s="8" t="s">
        <v>3244</v>
      </c>
      <c r="C607" s="8" t="s">
        <v>59</v>
      </c>
      <c r="D607" s="18" t="s">
        <v>2595</v>
      </c>
      <c r="E607" s="16">
        <v>77.0</v>
      </c>
    </row>
    <row r="608">
      <c r="A608" s="8" t="s">
        <v>368</v>
      </c>
      <c r="B608" s="8" t="s">
        <v>277</v>
      </c>
      <c r="C608" s="8" t="s">
        <v>70</v>
      </c>
      <c r="D608" s="18" t="s">
        <v>2589</v>
      </c>
      <c r="E608" s="16">
        <v>78.0</v>
      </c>
    </row>
    <row r="609">
      <c r="A609" s="8" t="s">
        <v>368</v>
      </c>
      <c r="B609" s="8" t="s">
        <v>249</v>
      </c>
      <c r="C609" s="8" t="s">
        <v>65</v>
      </c>
      <c r="D609" s="18" t="s">
        <v>2585</v>
      </c>
      <c r="E609" s="16">
        <v>69.0</v>
      </c>
    </row>
    <row r="610">
      <c r="A610" s="8" t="s">
        <v>897</v>
      </c>
      <c r="B610" s="8" t="s">
        <v>943</v>
      </c>
      <c r="C610" s="8" t="s">
        <v>93</v>
      </c>
      <c r="D610" s="18" t="s">
        <v>2603</v>
      </c>
      <c r="E610" s="16">
        <v>61.0</v>
      </c>
    </row>
    <row r="611">
      <c r="A611" s="8" t="s">
        <v>897</v>
      </c>
      <c r="B611" s="8" t="s">
        <v>342</v>
      </c>
      <c r="C611" s="8" t="s">
        <v>70</v>
      </c>
      <c r="D611" s="18" t="s">
        <v>2614</v>
      </c>
      <c r="E611" s="16">
        <v>80.0</v>
      </c>
    </row>
    <row r="612">
      <c r="A612" s="8" t="s">
        <v>897</v>
      </c>
      <c r="B612" s="8" t="s">
        <v>898</v>
      </c>
      <c r="C612" s="8" t="s">
        <v>53</v>
      </c>
      <c r="D612" s="18" t="s">
        <v>2558</v>
      </c>
      <c r="E612" s="16">
        <v>68.0</v>
      </c>
    </row>
    <row r="613">
      <c r="A613" s="8" t="s">
        <v>677</v>
      </c>
      <c r="B613" s="8" t="s">
        <v>381</v>
      </c>
      <c r="C613" s="8" t="s">
        <v>122</v>
      </c>
      <c r="D613" s="18" t="s">
        <v>2556</v>
      </c>
      <c r="E613" s="16">
        <v>71.0</v>
      </c>
    </row>
    <row r="614">
      <c r="A614" s="8" t="s">
        <v>677</v>
      </c>
      <c r="B614" s="8" t="s">
        <v>3625</v>
      </c>
      <c r="C614" s="8" t="s">
        <v>122</v>
      </c>
      <c r="D614" s="18" t="s">
        <v>2552</v>
      </c>
      <c r="E614" s="16">
        <v>71.0</v>
      </c>
    </row>
    <row r="615">
      <c r="A615" s="8" t="s">
        <v>369</v>
      </c>
      <c r="B615" s="8" t="s">
        <v>370</v>
      </c>
      <c r="C615" s="8" t="s">
        <v>24</v>
      </c>
      <c r="D615" s="18" t="s">
        <v>2552</v>
      </c>
      <c r="E615" s="16">
        <v>72.0</v>
      </c>
    </row>
    <row r="616">
      <c r="A616" s="8" t="s">
        <v>2781</v>
      </c>
      <c r="B616" s="8" t="s">
        <v>1053</v>
      </c>
      <c r="C616" s="8" t="s">
        <v>192</v>
      </c>
      <c r="D616" s="18" t="s">
        <v>2595</v>
      </c>
      <c r="E616" s="16">
        <v>59.0</v>
      </c>
    </row>
    <row r="617">
      <c r="A617" s="8" t="s">
        <v>2351</v>
      </c>
      <c r="B617" s="8" t="s">
        <v>214</v>
      </c>
      <c r="C617" s="8" t="s">
        <v>59</v>
      </c>
      <c r="D617" s="18" t="s">
        <v>2572</v>
      </c>
      <c r="E617" s="16">
        <v>69.0</v>
      </c>
    </row>
    <row r="618">
      <c r="A618" s="8" t="s">
        <v>3626</v>
      </c>
      <c r="B618" s="8" t="s">
        <v>3627</v>
      </c>
      <c r="C618" s="8" t="s">
        <v>138</v>
      </c>
      <c r="D618" s="18" t="s">
        <v>2587</v>
      </c>
      <c r="E618" s="16">
        <v>66.0</v>
      </c>
    </row>
    <row r="619">
      <c r="A619" s="8" t="s">
        <v>899</v>
      </c>
      <c r="B619" s="8" t="s">
        <v>900</v>
      </c>
      <c r="C619" s="8" t="s">
        <v>65</v>
      </c>
      <c r="D619" s="18" t="s">
        <v>2560</v>
      </c>
      <c r="E619" s="16">
        <v>63.0</v>
      </c>
    </row>
    <row r="620">
      <c r="A620" s="8" t="s">
        <v>2093</v>
      </c>
      <c r="B620" s="8" t="s">
        <v>98</v>
      </c>
      <c r="C620" s="8" t="s">
        <v>149</v>
      </c>
      <c r="D620" s="18" t="s">
        <v>2610</v>
      </c>
      <c r="E620" s="16">
        <v>62.0</v>
      </c>
    </row>
    <row r="621">
      <c r="A621" s="8" t="s">
        <v>678</v>
      </c>
      <c r="B621" s="8" t="s">
        <v>480</v>
      </c>
      <c r="C621" s="8" t="s">
        <v>24</v>
      </c>
      <c r="D621" s="18" t="s">
        <v>2564</v>
      </c>
      <c r="E621" s="16">
        <v>87.0</v>
      </c>
    </row>
    <row r="622">
      <c r="A622" s="8" t="s">
        <v>1438</v>
      </c>
      <c r="B622" s="8" t="s">
        <v>676</v>
      </c>
      <c r="C622" s="8" t="s">
        <v>70</v>
      </c>
      <c r="D622" s="18" t="s">
        <v>2562</v>
      </c>
      <c r="E622" s="16">
        <v>67.0</v>
      </c>
    </row>
    <row r="623">
      <c r="A623" s="8" t="s">
        <v>901</v>
      </c>
      <c r="B623" s="8" t="s">
        <v>52</v>
      </c>
      <c r="C623" s="8" t="s">
        <v>141</v>
      </c>
      <c r="D623" s="18" t="s">
        <v>2615</v>
      </c>
      <c r="E623" s="16">
        <v>68.0</v>
      </c>
    </row>
    <row r="624">
      <c r="A624" s="8" t="s">
        <v>2782</v>
      </c>
      <c r="B624" s="8" t="s">
        <v>2783</v>
      </c>
      <c r="C624" s="8" t="s">
        <v>24</v>
      </c>
      <c r="D624" s="18" t="s">
        <v>2614</v>
      </c>
      <c r="E624" s="16">
        <v>74.0</v>
      </c>
    </row>
    <row r="625">
      <c r="A625" s="8" t="s">
        <v>3245</v>
      </c>
      <c r="B625" s="8" t="s">
        <v>1893</v>
      </c>
      <c r="C625" s="8" t="s">
        <v>75</v>
      </c>
      <c r="D625" s="18" t="s">
        <v>2595</v>
      </c>
      <c r="E625" s="16">
        <v>62.0</v>
      </c>
    </row>
    <row r="626">
      <c r="A626" s="8" t="s">
        <v>1164</v>
      </c>
      <c r="B626" s="8" t="s">
        <v>301</v>
      </c>
      <c r="C626" s="8" t="s">
        <v>192</v>
      </c>
      <c r="D626" s="18" t="s">
        <v>2584</v>
      </c>
      <c r="E626" s="16">
        <v>71.0</v>
      </c>
    </row>
    <row r="627">
      <c r="A627" s="8" t="s">
        <v>1164</v>
      </c>
      <c r="B627" s="8" t="s">
        <v>1165</v>
      </c>
      <c r="C627" s="8" t="s">
        <v>80</v>
      </c>
      <c r="D627" s="18" t="s">
        <v>2558</v>
      </c>
      <c r="E627" s="16">
        <v>63.0</v>
      </c>
    </row>
    <row r="628">
      <c r="A628" s="8" t="s">
        <v>1164</v>
      </c>
      <c r="B628" s="8" t="s">
        <v>183</v>
      </c>
      <c r="C628" s="8" t="s">
        <v>65</v>
      </c>
      <c r="D628" s="18" t="s">
        <v>2592</v>
      </c>
      <c r="E628" s="16">
        <v>86.0</v>
      </c>
    </row>
    <row r="629">
      <c r="A629" s="8" t="s">
        <v>1164</v>
      </c>
      <c r="B629" s="8" t="s">
        <v>497</v>
      </c>
      <c r="C629" s="8" t="s">
        <v>93</v>
      </c>
      <c r="D629" s="18" t="s">
        <v>2564</v>
      </c>
      <c r="E629" s="16">
        <v>68.0</v>
      </c>
    </row>
    <row r="630">
      <c r="A630" s="8" t="s">
        <v>1164</v>
      </c>
      <c r="B630" s="8" t="s">
        <v>1241</v>
      </c>
      <c r="C630" s="8" t="s">
        <v>65</v>
      </c>
      <c r="D630" s="18" t="s">
        <v>2584</v>
      </c>
      <c r="E630" s="16">
        <v>63.0</v>
      </c>
    </row>
    <row r="631">
      <c r="A631" s="8" t="s">
        <v>902</v>
      </c>
      <c r="B631" s="8" t="s">
        <v>903</v>
      </c>
      <c r="C631" s="8" t="s">
        <v>80</v>
      </c>
      <c r="D631" s="18" t="s">
        <v>2582</v>
      </c>
      <c r="E631" s="16">
        <v>66.0</v>
      </c>
    </row>
    <row r="632">
      <c r="A632" s="8" t="s">
        <v>3628</v>
      </c>
      <c r="B632" s="8" t="s">
        <v>680</v>
      </c>
      <c r="C632" s="8" t="s">
        <v>80</v>
      </c>
      <c r="D632" s="18" t="s">
        <v>2552</v>
      </c>
      <c r="E632" s="16">
        <v>72.0</v>
      </c>
    </row>
    <row r="633">
      <c r="A633" s="8" t="s">
        <v>904</v>
      </c>
      <c r="B633" s="8" t="s">
        <v>905</v>
      </c>
      <c r="C633" s="8" t="s">
        <v>53</v>
      </c>
      <c r="D633" s="18" t="s">
        <v>2558</v>
      </c>
      <c r="E633" s="16">
        <v>68.0</v>
      </c>
    </row>
    <row r="634">
      <c r="A634" s="8" t="s">
        <v>1440</v>
      </c>
      <c r="B634" s="18" t="s">
        <v>1441</v>
      </c>
      <c r="C634" s="8" t="s">
        <v>12</v>
      </c>
      <c r="D634" s="18" t="s">
        <v>2562</v>
      </c>
      <c r="E634" s="16">
        <v>71.0</v>
      </c>
    </row>
    <row r="635">
      <c r="A635" s="8" t="s">
        <v>3247</v>
      </c>
      <c r="B635" s="8" t="s">
        <v>231</v>
      </c>
      <c r="C635" s="8" t="s">
        <v>122</v>
      </c>
      <c r="D635" s="18" t="s">
        <v>2595</v>
      </c>
      <c r="E635" s="16">
        <v>79.0</v>
      </c>
    </row>
    <row r="636">
      <c r="A636" s="8" t="s">
        <v>2787</v>
      </c>
      <c r="B636" s="8" t="s">
        <v>506</v>
      </c>
      <c r="C636" s="8" t="s">
        <v>16</v>
      </c>
      <c r="D636" s="18" t="s">
        <v>2605</v>
      </c>
      <c r="E636" s="16">
        <v>63.0</v>
      </c>
    </row>
    <row r="637">
      <c r="A637" s="8" t="s">
        <v>3629</v>
      </c>
      <c r="B637" s="8" t="s">
        <v>441</v>
      </c>
      <c r="C637" s="8" t="s">
        <v>149</v>
      </c>
      <c r="D637" s="18" t="s">
        <v>2592</v>
      </c>
      <c r="E637" s="16">
        <v>58.0</v>
      </c>
    </row>
    <row r="638">
      <c r="A638" s="8" t="s">
        <v>3630</v>
      </c>
      <c r="B638" s="8" t="s">
        <v>45</v>
      </c>
      <c r="C638" s="8" t="s">
        <v>59</v>
      </c>
      <c r="D638" s="18" t="s">
        <v>2585</v>
      </c>
      <c r="E638" s="16">
        <v>60.0</v>
      </c>
    </row>
    <row r="639">
      <c r="A639" s="8" t="s">
        <v>3631</v>
      </c>
      <c r="B639" s="8" t="s">
        <v>546</v>
      </c>
      <c r="C639" s="8" t="s">
        <v>93</v>
      </c>
      <c r="D639" s="18" t="s">
        <v>2603</v>
      </c>
      <c r="E639" s="16">
        <v>59.0</v>
      </c>
    </row>
    <row r="640">
      <c r="A640" s="8" t="s">
        <v>3632</v>
      </c>
      <c r="B640" s="8" t="s">
        <v>1457</v>
      </c>
      <c r="C640" s="8" t="s">
        <v>75</v>
      </c>
      <c r="D640" s="18" t="s">
        <v>2566</v>
      </c>
      <c r="E640" s="16">
        <v>65.0</v>
      </c>
    </row>
    <row r="641">
      <c r="A641" s="8" t="s">
        <v>3248</v>
      </c>
      <c r="B641" s="8" t="s">
        <v>198</v>
      </c>
      <c r="C641" s="8" t="s">
        <v>132</v>
      </c>
      <c r="D641" s="18" t="s">
        <v>2554</v>
      </c>
      <c r="E641" s="16">
        <v>59.0</v>
      </c>
    </row>
    <row r="642">
      <c r="A642" s="8" t="s">
        <v>1167</v>
      </c>
      <c r="B642" s="8" t="s">
        <v>892</v>
      </c>
      <c r="C642" s="8" t="s">
        <v>70</v>
      </c>
      <c r="D642" s="18" t="s">
        <v>2572</v>
      </c>
      <c r="E642" s="16">
        <v>61.0</v>
      </c>
    </row>
    <row r="643">
      <c r="A643" s="8" t="s">
        <v>3249</v>
      </c>
      <c r="B643" s="8" t="s">
        <v>212</v>
      </c>
      <c r="C643" s="8" t="s">
        <v>24</v>
      </c>
      <c r="D643" s="18" t="s">
        <v>2621</v>
      </c>
      <c r="E643" s="16">
        <v>80.0</v>
      </c>
    </row>
    <row r="644">
      <c r="A644" s="8" t="s">
        <v>2788</v>
      </c>
      <c r="B644" s="8" t="s">
        <v>861</v>
      </c>
      <c r="C644" s="8" t="s">
        <v>138</v>
      </c>
      <c r="D644" s="18" t="s">
        <v>2581</v>
      </c>
      <c r="E644" s="16">
        <v>66.0</v>
      </c>
    </row>
    <row r="645">
      <c r="A645" s="8" t="s">
        <v>1442</v>
      </c>
      <c r="B645" s="8" t="s">
        <v>472</v>
      </c>
      <c r="C645" s="8" t="s">
        <v>53</v>
      </c>
      <c r="D645" s="18" t="s">
        <v>2577</v>
      </c>
      <c r="E645" s="16">
        <v>62.0</v>
      </c>
    </row>
    <row r="646">
      <c r="A646" s="8" t="s">
        <v>1168</v>
      </c>
      <c r="B646" s="8" t="s">
        <v>925</v>
      </c>
      <c r="C646" s="8" t="s">
        <v>192</v>
      </c>
      <c r="D646" s="18" t="s">
        <v>2610</v>
      </c>
      <c r="E646" s="16">
        <v>65.0</v>
      </c>
    </row>
    <row r="647">
      <c r="A647" s="8" t="s">
        <v>910</v>
      </c>
      <c r="B647" s="8" t="s">
        <v>181</v>
      </c>
      <c r="C647" s="8" t="s">
        <v>75</v>
      </c>
      <c r="D647" s="18" t="s">
        <v>2556</v>
      </c>
      <c r="E647" s="16">
        <v>64.0</v>
      </c>
    </row>
    <row r="648">
      <c r="A648" s="8" t="s">
        <v>152</v>
      </c>
      <c r="B648" s="8" t="s">
        <v>153</v>
      </c>
      <c r="C648" s="8" t="s">
        <v>24</v>
      </c>
      <c r="D648" s="18" t="s">
        <v>2589</v>
      </c>
      <c r="E648" s="16">
        <v>73.0</v>
      </c>
    </row>
    <row r="649">
      <c r="A649" s="8" t="s">
        <v>3633</v>
      </c>
      <c r="B649" s="8" t="s">
        <v>665</v>
      </c>
      <c r="C649" s="8" t="s">
        <v>261</v>
      </c>
      <c r="D649" s="18" t="s">
        <v>2587</v>
      </c>
      <c r="E649" s="16">
        <v>73.0</v>
      </c>
    </row>
    <row r="650">
      <c r="A650" s="8" t="s">
        <v>371</v>
      </c>
      <c r="B650" s="8" t="s">
        <v>260</v>
      </c>
      <c r="C650" s="8" t="s">
        <v>141</v>
      </c>
      <c r="D650" s="18" t="s">
        <v>2620</v>
      </c>
      <c r="E650" s="16">
        <v>64.0</v>
      </c>
    </row>
    <row r="651">
      <c r="A651" s="8" t="s">
        <v>1170</v>
      </c>
      <c r="B651" s="8" t="s">
        <v>3250</v>
      </c>
      <c r="C651" s="8" t="s">
        <v>215</v>
      </c>
      <c r="D651" s="18" t="s">
        <v>2605</v>
      </c>
      <c r="E651" s="16">
        <v>67.0</v>
      </c>
    </row>
    <row r="652">
      <c r="A652" s="8" t="s">
        <v>1170</v>
      </c>
      <c r="B652" s="8" t="s">
        <v>301</v>
      </c>
      <c r="C652" s="8" t="s">
        <v>70</v>
      </c>
      <c r="D652" s="18" t="s">
        <v>2567</v>
      </c>
      <c r="E652" s="16">
        <v>63.0</v>
      </c>
    </row>
    <row r="653">
      <c r="A653" s="8" t="s">
        <v>3634</v>
      </c>
      <c r="B653" s="8" t="s">
        <v>20</v>
      </c>
      <c r="C653" s="8" t="s">
        <v>24</v>
      </c>
      <c r="D653" s="18" t="s">
        <v>2603</v>
      </c>
      <c r="E653" s="16">
        <v>40.0</v>
      </c>
    </row>
    <row r="654">
      <c r="A654" s="8" t="s">
        <v>3251</v>
      </c>
      <c r="B654" s="18" t="s">
        <v>521</v>
      </c>
      <c r="C654" s="8" t="s">
        <v>24</v>
      </c>
      <c r="D654" s="18" t="s">
        <v>2562</v>
      </c>
      <c r="E654" s="16">
        <v>77.0</v>
      </c>
    </row>
    <row r="655">
      <c r="A655" s="8" t="s">
        <v>2340</v>
      </c>
      <c r="B655" s="8" t="s">
        <v>366</v>
      </c>
      <c r="C655" s="8" t="s">
        <v>186</v>
      </c>
      <c r="D655" s="18" t="s">
        <v>2582</v>
      </c>
      <c r="E655" s="16">
        <v>61.0</v>
      </c>
    </row>
    <row r="656">
      <c r="A656" s="8" t="s">
        <v>911</v>
      </c>
      <c r="B656" s="18" t="s">
        <v>912</v>
      </c>
      <c r="C656" s="8" t="s">
        <v>141</v>
      </c>
      <c r="D656" s="18" t="s">
        <v>2577</v>
      </c>
      <c r="E656" s="16">
        <v>65.0</v>
      </c>
    </row>
    <row r="657">
      <c r="A657" s="8" t="s">
        <v>681</v>
      </c>
      <c r="B657" s="8" t="s">
        <v>129</v>
      </c>
      <c r="C657" s="8" t="s">
        <v>46</v>
      </c>
      <c r="D657" s="18" t="s">
        <v>2183</v>
      </c>
      <c r="E657" s="16">
        <v>78.0</v>
      </c>
    </row>
    <row r="658">
      <c r="A658" s="8" t="s">
        <v>681</v>
      </c>
      <c r="B658" s="8" t="s">
        <v>299</v>
      </c>
      <c r="C658" s="8" t="s">
        <v>149</v>
      </c>
      <c r="D658" s="18" t="s">
        <v>2610</v>
      </c>
      <c r="E658" s="16">
        <v>77.0</v>
      </c>
    </row>
    <row r="659">
      <c r="A659" s="8" t="s">
        <v>63</v>
      </c>
      <c r="B659" s="8" t="s">
        <v>64</v>
      </c>
      <c r="C659" s="8" t="s">
        <v>65</v>
      </c>
      <c r="D659" s="18" t="s">
        <v>2589</v>
      </c>
      <c r="E659" s="16">
        <v>91.0</v>
      </c>
    </row>
    <row r="660">
      <c r="A660" s="8" t="s">
        <v>66</v>
      </c>
      <c r="B660" s="8" t="s">
        <v>67</v>
      </c>
      <c r="C660" s="8" t="s">
        <v>16</v>
      </c>
      <c r="D660" s="18" t="s">
        <v>2560</v>
      </c>
      <c r="E660" s="16">
        <v>79.0</v>
      </c>
    </row>
    <row r="661">
      <c r="A661" s="8" t="s">
        <v>112</v>
      </c>
      <c r="B661" s="8" t="s">
        <v>102</v>
      </c>
      <c r="C661" s="8" t="s">
        <v>16</v>
      </c>
      <c r="D661" s="18" t="s">
        <v>2575</v>
      </c>
      <c r="E661" s="16">
        <v>81.0</v>
      </c>
    </row>
    <row r="662">
      <c r="A662" s="8" t="s">
        <v>3252</v>
      </c>
      <c r="B662" s="8" t="s">
        <v>3253</v>
      </c>
      <c r="C662" s="8" t="s">
        <v>24</v>
      </c>
      <c r="D662" s="18" t="s">
        <v>2595</v>
      </c>
      <c r="E662" s="16">
        <v>84.0</v>
      </c>
    </row>
    <row r="663">
      <c r="A663" s="8" t="s">
        <v>1171</v>
      </c>
      <c r="B663" s="8" t="s">
        <v>52</v>
      </c>
      <c r="C663" s="8" t="s">
        <v>46</v>
      </c>
      <c r="D663" s="18" t="s">
        <v>2600</v>
      </c>
      <c r="E663" s="16">
        <v>69.0</v>
      </c>
    </row>
    <row r="664">
      <c r="A664" s="8" t="s">
        <v>1171</v>
      </c>
      <c r="B664" s="8" t="s">
        <v>3635</v>
      </c>
      <c r="C664" s="8" t="s">
        <v>192</v>
      </c>
      <c r="D664" s="18" t="s">
        <v>2183</v>
      </c>
      <c r="E664" s="16">
        <v>66.0</v>
      </c>
    </row>
    <row r="665">
      <c r="A665" s="8" t="s">
        <v>3636</v>
      </c>
      <c r="B665" s="8" t="s">
        <v>1479</v>
      </c>
      <c r="C665" s="8" t="s">
        <v>141</v>
      </c>
      <c r="D665" s="18" t="s">
        <v>2558</v>
      </c>
      <c r="E665" s="16">
        <v>58.0</v>
      </c>
    </row>
    <row r="666">
      <c r="A666" s="8" t="s">
        <v>913</v>
      </c>
      <c r="B666" s="8" t="s">
        <v>121</v>
      </c>
      <c r="C666" s="8" t="s">
        <v>93</v>
      </c>
      <c r="D666" s="18" t="s">
        <v>2572</v>
      </c>
      <c r="E666" s="16">
        <v>78.0</v>
      </c>
    </row>
    <row r="667">
      <c r="A667" s="8" t="s">
        <v>913</v>
      </c>
      <c r="B667" s="8" t="s">
        <v>1443</v>
      </c>
      <c r="C667" s="8" t="s">
        <v>46</v>
      </c>
      <c r="D667" s="18" t="s">
        <v>2566</v>
      </c>
      <c r="E667" s="16">
        <v>76.0</v>
      </c>
    </row>
    <row r="668">
      <c r="A668" s="8" t="s">
        <v>913</v>
      </c>
      <c r="B668" s="8" t="s">
        <v>914</v>
      </c>
      <c r="C668" s="8" t="s">
        <v>59</v>
      </c>
      <c r="D668" s="18" t="s">
        <v>2610</v>
      </c>
      <c r="E668" s="16">
        <v>63.0</v>
      </c>
    </row>
    <row r="669">
      <c r="A669" s="8" t="s">
        <v>913</v>
      </c>
      <c r="B669" s="8" t="s">
        <v>865</v>
      </c>
      <c r="C669" s="8" t="s">
        <v>215</v>
      </c>
      <c r="D669" s="18" t="s">
        <v>2600</v>
      </c>
      <c r="E669" s="16">
        <v>68.0</v>
      </c>
    </row>
    <row r="670">
      <c r="A670" s="8" t="s">
        <v>510</v>
      </c>
      <c r="B670" s="8" t="s">
        <v>1172</v>
      </c>
      <c r="C670" s="8" t="s">
        <v>59</v>
      </c>
      <c r="D670" s="18" t="s">
        <v>2605</v>
      </c>
      <c r="E670" s="16">
        <v>76.0</v>
      </c>
    </row>
    <row r="671">
      <c r="A671" s="8" t="s">
        <v>510</v>
      </c>
      <c r="B671" s="8" t="s">
        <v>137</v>
      </c>
      <c r="C671" s="8" t="s">
        <v>65</v>
      </c>
      <c r="D671" s="18" t="s">
        <v>2589</v>
      </c>
      <c r="E671" s="16">
        <v>85.0</v>
      </c>
    </row>
    <row r="672">
      <c r="A672" s="8" t="s">
        <v>510</v>
      </c>
      <c r="B672" s="8" t="s">
        <v>3254</v>
      </c>
      <c r="C672" s="8" t="s">
        <v>122</v>
      </c>
      <c r="D672" s="18" t="s">
        <v>2552</v>
      </c>
      <c r="E672" s="16">
        <v>83.0</v>
      </c>
    </row>
    <row r="673">
      <c r="A673" s="8" t="s">
        <v>915</v>
      </c>
      <c r="B673" s="8" t="s">
        <v>506</v>
      </c>
      <c r="C673" s="8" t="s">
        <v>70</v>
      </c>
      <c r="D673" s="18" t="s">
        <v>2621</v>
      </c>
      <c r="E673" s="16">
        <v>64.0</v>
      </c>
    </row>
    <row r="674">
      <c r="A674" s="8" t="s">
        <v>682</v>
      </c>
      <c r="B674" s="18" t="s">
        <v>529</v>
      </c>
      <c r="C674" s="8" t="s">
        <v>132</v>
      </c>
      <c r="D674" s="18" t="s">
        <v>2572</v>
      </c>
      <c r="E674" s="16">
        <v>74.0</v>
      </c>
    </row>
    <row r="675">
      <c r="A675" s="8" t="s">
        <v>3255</v>
      </c>
      <c r="B675" s="8" t="s">
        <v>231</v>
      </c>
      <c r="C675" s="8" t="s">
        <v>12</v>
      </c>
      <c r="D675" s="18" t="s">
        <v>2560</v>
      </c>
      <c r="E675" s="16">
        <v>79.0</v>
      </c>
    </row>
    <row r="676">
      <c r="A676" s="8" t="s">
        <v>3637</v>
      </c>
      <c r="B676" s="8" t="s">
        <v>157</v>
      </c>
      <c r="C676" s="8" t="s">
        <v>141</v>
      </c>
      <c r="D676" s="18" t="s">
        <v>2593</v>
      </c>
      <c r="E676" s="16">
        <v>67.0</v>
      </c>
    </row>
    <row r="677">
      <c r="A677" s="8" t="s">
        <v>2789</v>
      </c>
      <c r="B677" s="8" t="s">
        <v>1917</v>
      </c>
      <c r="C677" s="8" t="s">
        <v>12</v>
      </c>
      <c r="D677" s="18" t="s">
        <v>2595</v>
      </c>
      <c r="E677" s="16">
        <v>75.0</v>
      </c>
    </row>
    <row r="678">
      <c r="A678" s="8" t="s">
        <v>683</v>
      </c>
      <c r="B678" s="8" t="s">
        <v>684</v>
      </c>
      <c r="C678" s="8" t="s">
        <v>59</v>
      </c>
      <c r="D678" s="18" t="s">
        <v>2183</v>
      </c>
      <c r="E678" s="16">
        <v>73.0</v>
      </c>
    </row>
    <row r="679">
      <c r="A679" s="8" t="s">
        <v>1505</v>
      </c>
      <c r="B679" s="8" t="s">
        <v>301</v>
      </c>
      <c r="C679" s="8" t="s">
        <v>53</v>
      </c>
      <c r="D679" s="18" t="s">
        <v>2593</v>
      </c>
      <c r="E679" s="16">
        <v>63.0</v>
      </c>
    </row>
    <row r="680">
      <c r="A680" s="8" t="s">
        <v>3638</v>
      </c>
      <c r="B680" s="8" t="s">
        <v>381</v>
      </c>
      <c r="C680" s="8" t="s">
        <v>70</v>
      </c>
      <c r="D680" s="18" t="s">
        <v>2575</v>
      </c>
      <c r="E680" s="16">
        <v>82.0</v>
      </c>
    </row>
    <row r="681">
      <c r="A681" s="8" t="s">
        <v>511</v>
      </c>
      <c r="B681" s="18" t="s">
        <v>512</v>
      </c>
      <c r="C681" s="8" t="s">
        <v>53</v>
      </c>
      <c r="D681" s="18" t="s">
        <v>2577</v>
      </c>
      <c r="E681" s="16">
        <v>68.0</v>
      </c>
    </row>
    <row r="682">
      <c r="A682" s="8" t="s">
        <v>3256</v>
      </c>
      <c r="B682" s="8" t="s">
        <v>33</v>
      </c>
      <c r="C682" s="8" t="s">
        <v>70</v>
      </c>
      <c r="D682" s="18" t="s">
        <v>2560</v>
      </c>
      <c r="E682" s="16">
        <v>86.0</v>
      </c>
    </row>
    <row r="683">
      <c r="A683" s="8" t="s">
        <v>154</v>
      </c>
      <c r="B683" s="8" t="s">
        <v>3639</v>
      </c>
      <c r="C683" s="8" t="s">
        <v>70</v>
      </c>
      <c r="D683" s="18" t="s">
        <v>2581</v>
      </c>
      <c r="E683" s="16">
        <v>81.0</v>
      </c>
    </row>
    <row r="684">
      <c r="A684" s="8" t="s">
        <v>154</v>
      </c>
      <c r="B684" s="18" t="s">
        <v>529</v>
      </c>
      <c r="C684" s="8" t="s">
        <v>70</v>
      </c>
      <c r="D684" s="18" t="s">
        <v>2600</v>
      </c>
      <c r="E684" s="16">
        <v>65.0</v>
      </c>
    </row>
    <row r="685">
      <c r="A685" s="8" t="s">
        <v>154</v>
      </c>
      <c r="B685" s="8" t="s">
        <v>111</v>
      </c>
      <c r="C685" s="8" t="s">
        <v>186</v>
      </c>
      <c r="D685" s="18" t="s">
        <v>2582</v>
      </c>
      <c r="E685" s="16">
        <v>72.0</v>
      </c>
    </row>
    <row r="686">
      <c r="A686" s="8" t="s">
        <v>154</v>
      </c>
      <c r="B686" s="8" t="s">
        <v>155</v>
      </c>
      <c r="C686" s="8" t="s">
        <v>75</v>
      </c>
      <c r="D686" s="18" t="s">
        <v>2577</v>
      </c>
      <c r="E686" s="16">
        <v>82.0</v>
      </c>
    </row>
    <row r="687">
      <c r="A687" s="8" t="s">
        <v>3640</v>
      </c>
      <c r="B687" s="8" t="s">
        <v>506</v>
      </c>
      <c r="C687" s="8" t="s">
        <v>46</v>
      </c>
      <c r="D687" s="18" t="s">
        <v>2574</v>
      </c>
      <c r="E687" s="16">
        <v>64.0</v>
      </c>
    </row>
    <row r="688">
      <c r="A688" s="8" t="s">
        <v>685</v>
      </c>
      <c r="B688" s="8" t="s">
        <v>686</v>
      </c>
      <c r="C688" s="8" t="s">
        <v>65</v>
      </c>
      <c r="D688" s="18" t="s">
        <v>2620</v>
      </c>
      <c r="E688" s="16">
        <v>71.0</v>
      </c>
    </row>
    <row r="689">
      <c r="A689" s="8" t="s">
        <v>685</v>
      </c>
      <c r="B689" s="8" t="s">
        <v>2790</v>
      </c>
      <c r="C689" s="8" t="s">
        <v>261</v>
      </c>
      <c r="D689" s="18" t="s">
        <v>2621</v>
      </c>
      <c r="E689" s="16">
        <v>88.0</v>
      </c>
    </row>
    <row r="690">
      <c r="A690" s="8" t="s">
        <v>3641</v>
      </c>
      <c r="B690" s="8" t="s">
        <v>1445</v>
      </c>
      <c r="C690" s="8" t="s">
        <v>215</v>
      </c>
      <c r="D690" s="18" t="s">
        <v>2584</v>
      </c>
      <c r="E690" s="16">
        <v>77.0</v>
      </c>
    </row>
    <row r="691">
      <c r="A691" s="8" t="s">
        <v>3642</v>
      </c>
      <c r="B691" s="8" t="s">
        <v>1012</v>
      </c>
      <c r="C691" s="8" t="s">
        <v>149</v>
      </c>
      <c r="D691" s="18" t="s">
        <v>2183</v>
      </c>
      <c r="E691" s="16">
        <v>69.0</v>
      </c>
    </row>
    <row r="692">
      <c r="A692" s="8" t="s">
        <v>1796</v>
      </c>
      <c r="B692" s="8" t="s">
        <v>279</v>
      </c>
      <c r="C692" s="8" t="s">
        <v>186</v>
      </c>
      <c r="D692" s="18" t="s">
        <v>2554</v>
      </c>
      <c r="E692" s="16">
        <v>63.0</v>
      </c>
    </row>
    <row r="693">
      <c r="A693" s="8" t="s">
        <v>1796</v>
      </c>
      <c r="B693" s="8" t="s">
        <v>2062</v>
      </c>
      <c r="C693" s="8" t="s">
        <v>75</v>
      </c>
      <c r="D693" s="18" t="s">
        <v>2572</v>
      </c>
      <c r="E693" s="16">
        <v>72.0</v>
      </c>
    </row>
    <row r="694">
      <c r="A694" s="8" t="s">
        <v>2103</v>
      </c>
      <c r="B694" s="8" t="s">
        <v>55</v>
      </c>
      <c r="C694" s="8" t="s">
        <v>12</v>
      </c>
      <c r="D694" s="18" t="s">
        <v>2581</v>
      </c>
      <c r="E694" s="16">
        <v>76.0</v>
      </c>
    </row>
    <row r="695">
      <c r="A695" s="8" t="s">
        <v>1446</v>
      </c>
      <c r="B695" s="8" t="s">
        <v>1447</v>
      </c>
      <c r="C695" s="8" t="s">
        <v>192</v>
      </c>
      <c r="D695" s="18" t="s">
        <v>2614</v>
      </c>
      <c r="E695" s="16">
        <v>66.0</v>
      </c>
    </row>
    <row r="696">
      <c r="A696" s="8" t="s">
        <v>1446</v>
      </c>
      <c r="B696" s="8" t="s">
        <v>2794</v>
      </c>
      <c r="C696" s="8" t="s">
        <v>65</v>
      </c>
      <c r="D696" s="18" t="s">
        <v>2620</v>
      </c>
      <c r="E696" s="16">
        <v>63.0</v>
      </c>
    </row>
    <row r="697">
      <c r="A697" s="8" t="s">
        <v>687</v>
      </c>
      <c r="B697" s="8" t="s">
        <v>472</v>
      </c>
      <c r="C697" s="8" t="s">
        <v>141</v>
      </c>
      <c r="D697" s="18" t="s">
        <v>2614</v>
      </c>
      <c r="E697" s="16">
        <v>91.0</v>
      </c>
    </row>
    <row r="698">
      <c r="A698" s="8" t="s">
        <v>3643</v>
      </c>
      <c r="B698" s="8" t="s">
        <v>397</v>
      </c>
      <c r="C698" s="8" t="s">
        <v>149</v>
      </c>
      <c r="D698" s="18" t="s">
        <v>2614</v>
      </c>
      <c r="E698" s="16">
        <v>80.0</v>
      </c>
    </row>
    <row r="699">
      <c r="A699" s="8" t="s">
        <v>916</v>
      </c>
      <c r="B699" s="8" t="s">
        <v>258</v>
      </c>
      <c r="C699" s="8" t="s">
        <v>141</v>
      </c>
      <c r="D699" s="18" t="s">
        <v>2562</v>
      </c>
      <c r="E699" s="16">
        <v>69.0</v>
      </c>
    </row>
    <row r="700">
      <c r="A700" s="8" t="s">
        <v>916</v>
      </c>
      <c r="B700" s="8" t="s">
        <v>917</v>
      </c>
      <c r="C700" s="8" t="s">
        <v>70</v>
      </c>
      <c r="D700" s="18" t="s">
        <v>2598</v>
      </c>
      <c r="E700" s="16">
        <v>86.0</v>
      </c>
    </row>
    <row r="701">
      <c r="A701" s="8" t="s">
        <v>916</v>
      </c>
      <c r="B701" s="8" t="s">
        <v>3258</v>
      </c>
      <c r="C701" s="8" t="s">
        <v>186</v>
      </c>
      <c r="D701" s="18" t="s">
        <v>2605</v>
      </c>
      <c r="E701" s="16">
        <v>86.0</v>
      </c>
    </row>
    <row r="702">
      <c r="A702" s="8" t="s">
        <v>2795</v>
      </c>
      <c r="B702" s="8" t="s">
        <v>842</v>
      </c>
      <c r="C702" s="8" t="s">
        <v>186</v>
      </c>
      <c r="D702" s="18" t="s">
        <v>2600</v>
      </c>
      <c r="E702" s="16">
        <v>69.0</v>
      </c>
    </row>
    <row r="703">
      <c r="A703" s="8" t="s">
        <v>3644</v>
      </c>
      <c r="B703" s="8" t="s">
        <v>948</v>
      </c>
      <c r="C703" s="8" t="s">
        <v>93</v>
      </c>
      <c r="D703" s="18" t="s">
        <v>2614</v>
      </c>
      <c r="E703" s="16">
        <v>70.0</v>
      </c>
    </row>
    <row r="704">
      <c r="A704" s="8" t="s">
        <v>3260</v>
      </c>
      <c r="B704" s="8" t="s">
        <v>214</v>
      </c>
      <c r="C704" s="8" t="s">
        <v>141</v>
      </c>
      <c r="D704" s="18" t="s">
        <v>2560</v>
      </c>
      <c r="E704" s="16">
        <v>62.0</v>
      </c>
    </row>
    <row r="705">
      <c r="A705" s="8" t="s">
        <v>3261</v>
      </c>
      <c r="B705" s="8" t="s">
        <v>3262</v>
      </c>
      <c r="C705" s="8" t="s">
        <v>186</v>
      </c>
      <c r="D705" s="18" t="s">
        <v>2589</v>
      </c>
      <c r="E705" s="16">
        <v>61.0</v>
      </c>
    </row>
    <row r="706">
      <c r="A706" s="8" t="s">
        <v>3645</v>
      </c>
      <c r="B706" s="8" t="s">
        <v>11</v>
      </c>
      <c r="C706" s="8" t="s">
        <v>24</v>
      </c>
      <c r="D706" s="18" t="s">
        <v>2554</v>
      </c>
      <c r="E706" s="16">
        <v>64.0</v>
      </c>
    </row>
    <row r="707">
      <c r="A707" s="8" t="s">
        <v>918</v>
      </c>
      <c r="B707" s="8" t="s">
        <v>304</v>
      </c>
      <c r="C707" s="8" t="s">
        <v>65</v>
      </c>
      <c r="D707" s="18" t="s">
        <v>2554</v>
      </c>
      <c r="E707" s="16">
        <v>70.0</v>
      </c>
    </row>
    <row r="708">
      <c r="A708" s="8" t="s">
        <v>918</v>
      </c>
      <c r="B708" s="8" t="s">
        <v>217</v>
      </c>
      <c r="C708" s="8" t="s">
        <v>65</v>
      </c>
      <c r="D708" s="18" t="s">
        <v>2598</v>
      </c>
      <c r="E708" s="16">
        <v>62.0</v>
      </c>
    </row>
    <row r="709">
      <c r="A709" s="8" t="s">
        <v>918</v>
      </c>
      <c r="B709" s="8" t="s">
        <v>712</v>
      </c>
      <c r="C709" s="8" t="s">
        <v>65</v>
      </c>
      <c r="D709" s="18" t="s">
        <v>2603</v>
      </c>
      <c r="E709" s="16">
        <v>62.0</v>
      </c>
    </row>
    <row r="710">
      <c r="A710" s="8" t="s">
        <v>918</v>
      </c>
      <c r="B710" s="8" t="s">
        <v>961</v>
      </c>
      <c r="C710" s="8" t="s">
        <v>93</v>
      </c>
      <c r="D710" s="18" t="s">
        <v>2582</v>
      </c>
      <c r="E710" s="16">
        <v>70.0</v>
      </c>
    </row>
    <row r="711">
      <c r="A711" s="8" t="s">
        <v>918</v>
      </c>
      <c r="B711" s="8" t="s">
        <v>214</v>
      </c>
      <c r="C711" s="8" t="s">
        <v>93</v>
      </c>
      <c r="D711" s="18" t="s">
        <v>2605</v>
      </c>
      <c r="E711" s="16">
        <v>80.0</v>
      </c>
    </row>
    <row r="712">
      <c r="A712" s="8" t="s">
        <v>2796</v>
      </c>
      <c r="B712" s="8" t="s">
        <v>1046</v>
      </c>
      <c r="C712" s="8" t="s">
        <v>65</v>
      </c>
      <c r="D712" s="18" t="s">
        <v>2562</v>
      </c>
      <c r="E712" s="16">
        <v>74.0</v>
      </c>
    </row>
    <row r="713">
      <c r="A713" s="8" t="s">
        <v>919</v>
      </c>
      <c r="B713" s="8" t="s">
        <v>480</v>
      </c>
      <c r="C713" s="8" t="s">
        <v>141</v>
      </c>
      <c r="D713" s="18" t="s">
        <v>2183</v>
      </c>
      <c r="E713" s="16">
        <v>68.0</v>
      </c>
    </row>
    <row r="714">
      <c r="A714" s="8" t="s">
        <v>1448</v>
      </c>
      <c r="B714" s="8" t="s">
        <v>217</v>
      </c>
      <c r="C714" s="8" t="s">
        <v>65</v>
      </c>
      <c r="D714" s="18" t="s">
        <v>2574</v>
      </c>
      <c r="E714" s="16">
        <v>74.0</v>
      </c>
    </row>
    <row r="715">
      <c r="A715" s="8" t="s">
        <v>2798</v>
      </c>
      <c r="B715" s="8" t="s">
        <v>121</v>
      </c>
      <c r="C715" s="8" t="s">
        <v>75</v>
      </c>
      <c r="D715" s="18" t="s">
        <v>2552</v>
      </c>
      <c r="E715" s="16">
        <v>72.0</v>
      </c>
    </row>
    <row r="716">
      <c r="A716" s="8" t="s">
        <v>513</v>
      </c>
      <c r="B716" s="8" t="s">
        <v>514</v>
      </c>
      <c r="C716" s="8" t="s">
        <v>16</v>
      </c>
      <c r="D716" s="18" t="s">
        <v>2585</v>
      </c>
      <c r="E716" s="16">
        <v>74.0</v>
      </c>
    </row>
    <row r="717">
      <c r="A717" s="8" t="s">
        <v>688</v>
      </c>
      <c r="B717" s="8" t="s">
        <v>441</v>
      </c>
      <c r="C717" s="8" t="s">
        <v>65</v>
      </c>
      <c r="D717" s="18" t="s">
        <v>2615</v>
      </c>
      <c r="E717" s="16">
        <v>72.0</v>
      </c>
    </row>
    <row r="718">
      <c r="A718" s="8" t="s">
        <v>3646</v>
      </c>
      <c r="B718" s="8" t="s">
        <v>55</v>
      </c>
      <c r="C718" s="8" t="s">
        <v>186</v>
      </c>
      <c r="D718" s="18" t="s">
        <v>2614</v>
      </c>
      <c r="E718" s="16">
        <v>71.0</v>
      </c>
    </row>
    <row r="719">
      <c r="A719" s="8" t="s">
        <v>689</v>
      </c>
      <c r="B719" s="8" t="s">
        <v>357</v>
      </c>
      <c r="C719" s="8" t="s">
        <v>93</v>
      </c>
      <c r="D719" s="18" t="s">
        <v>2615</v>
      </c>
      <c r="E719" s="16">
        <v>67.0</v>
      </c>
    </row>
    <row r="720">
      <c r="A720" s="8" t="s">
        <v>689</v>
      </c>
      <c r="B720" s="18" t="s">
        <v>920</v>
      </c>
      <c r="C720" s="8" t="s">
        <v>93</v>
      </c>
      <c r="D720" s="18" t="s">
        <v>2593</v>
      </c>
      <c r="E720" s="16">
        <v>79.0</v>
      </c>
    </row>
    <row r="721">
      <c r="A721" s="8" t="s">
        <v>689</v>
      </c>
      <c r="B721" s="8" t="s">
        <v>690</v>
      </c>
      <c r="C721" s="8" t="s">
        <v>93</v>
      </c>
      <c r="D721" s="18" t="s">
        <v>2183</v>
      </c>
      <c r="E721" s="16">
        <v>75.0</v>
      </c>
    </row>
    <row r="722">
      <c r="A722" s="8" t="s">
        <v>3263</v>
      </c>
      <c r="B722" s="8" t="s">
        <v>3264</v>
      </c>
      <c r="C722" s="8" t="s">
        <v>53</v>
      </c>
      <c r="D722" s="18" t="s">
        <v>2582</v>
      </c>
      <c r="E722" s="16">
        <v>80.0</v>
      </c>
    </row>
    <row r="723">
      <c r="A723" s="8" t="s">
        <v>3647</v>
      </c>
      <c r="B723" s="8" t="s">
        <v>43</v>
      </c>
      <c r="C723" s="8" t="s">
        <v>141</v>
      </c>
      <c r="D723" s="18" t="s">
        <v>2621</v>
      </c>
      <c r="E723" s="16">
        <v>64.0</v>
      </c>
    </row>
    <row r="724">
      <c r="A724" s="8" t="s">
        <v>202</v>
      </c>
      <c r="B724" s="8" t="s">
        <v>203</v>
      </c>
      <c r="C724" s="8" t="s">
        <v>12</v>
      </c>
      <c r="D724" s="18" t="s">
        <v>2574</v>
      </c>
      <c r="E724" s="16">
        <v>85.0</v>
      </c>
    </row>
    <row r="725">
      <c r="A725" s="8" t="s">
        <v>921</v>
      </c>
      <c r="B725" s="8" t="s">
        <v>922</v>
      </c>
      <c r="C725" s="8" t="s">
        <v>75</v>
      </c>
      <c r="D725" s="18" t="s">
        <v>2620</v>
      </c>
      <c r="E725" s="16">
        <v>70.0</v>
      </c>
    </row>
    <row r="726">
      <c r="A726" s="8" t="s">
        <v>2802</v>
      </c>
      <c r="B726" s="8" t="s">
        <v>668</v>
      </c>
      <c r="C726" s="8" t="s">
        <v>65</v>
      </c>
      <c r="D726" s="18" t="s">
        <v>2582</v>
      </c>
      <c r="E726" s="16">
        <v>81.0</v>
      </c>
    </row>
    <row r="727">
      <c r="A727" s="8" t="s">
        <v>2195</v>
      </c>
      <c r="B727" s="8" t="s">
        <v>55</v>
      </c>
      <c r="C727" s="8" t="s">
        <v>46</v>
      </c>
      <c r="D727" s="18" t="s">
        <v>2564</v>
      </c>
      <c r="E727" s="16">
        <v>75.0</v>
      </c>
    </row>
    <row r="728">
      <c r="A728" s="8" t="s">
        <v>266</v>
      </c>
      <c r="B728" s="8" t="s">
        <v>50</v>
      </c>
      <c r="C728" s="8" t="s">
        <v>75</v>
      </c>
      <c r="D728" s="18" t="s">
        <v>2598</v>
      </c>
      <c r="E728" s="16">
        <v>66.0</v>
      </c>
    </row>
    <row r="729">
      <c r="A729" s="8" t="s">
        <v>1450</v>
      </c>
      <c r="B729" s="8" t="s">
        <v>1283</v>
      </c>
      <c r="C729" s="8" t="s">
        <v>132</v>
      </c>
      <c r="D729" s="18" t="s">
        <v>2585</v>
      </c>
      <c r="E729" s="16">
        <v>74.0</v>
      </c>
    </row>
    <row r="730">
      <c r="A730" s="8" t="s">
        <v>923</v>
      </c>
      <c r="B730" s="8" t="s">
        <v>204</v>
      </c>
      <c r="C730" s="8" t="s">
        <v>16</v>
      </c>
      <c r="D730" s="18" t="s">
        <v>2600</v>
      </c>
      <c r="E730" s="16">
        <v>72.0</v>
      </c>
    </row>
    <row r="731">
      <c r="A731" s="8" t="s">
        <v>2803</v>
      </c>
      <c r="B731" s="8" t="s">
        <v>2804</v>
      </c>
      <c r="C731" s="8" t="s">
        <v>53</v>
      </c>
      <c r="D731" s="18" t="s">
        <v>2582</v>
      </c>
      <c r="E731" s="16">
        <v>67.0</v>
      </c>
    </row>
    <row r="732">
      <c r="A732" s="8" t="s">
        <v>2157</v>
      </c>
      <c r="B732" s="8" t="s">
        <v>3266</v>
      </c>
      <c r="C732" s="8" t="s">
        <v>192</v>
      </c>
      <c r="D732" s="18" t="s">
        <v>2581</v>
      </c>
      <c r="E732" s="16">
        <v>64.0</v>
      </c>
    </row>
    <row r="733">
      <c r="A733" s="8" t="s">
        <v>2114</v>
      </c>
      <c r="B733" s="8" t="s">
        <v>245</v>
      </c>
      <c r="C733" s="8" t="s">
        <v>24</v>
      </c>
      <c r="D733" s="18" t="s">
        <v>2572</v>
      </c>
      <c r="E733" s="16">
        <v>85.0</v>
      </c>
    </row>
    <row r="734">
      <c r="A734" s="8" t="s">
        <v>1451</v>
      </c>
      <c r="B734" s="8" t="s">
        <v>1452</v>
      </c>
      <c r="C734" s="8" t="s">
        <v>24</v>
      </c>
      <c r="D734" s="18" t="s">
        <v>2614</v>
      </c>
      <c r="E734" s="16">
        <v>60.0</v>
      </c>
    </row>
    <row r="735">
      <c r="A735" s="8" t="s">
        <v>3268</v>
      </c>
      <c r="B735" s="8" t="s">
        <v>1576</v>
      </c>
      <c r="C735" s="8" t="s">
        <v>59</v>
      </c>
      <c r="D735" s="18" t="s">
        <v>2564</v>
      </c>
      <c r="E735" s="16">
        <v>57.0</v>
      </c>
    </row>
    <row r="736">
      <c r="A736" s="8" t="s">
        <v>1453</v>
      </c>
      <c r="B736" s="8" t="s">
        <v>263</v>
      </c>
      <c r="C736" s="8" t="s">
        <v>12</v>
      </c>
      <c r="D736" s="18" t="s">
        <v>2587</v>
      </c>
      <c r="E736" s="16">
        <v>71.0</v>
      </c>
    </row>
    <row r="737">
      <c r="A737" s="8" t="s">
        <v>1453</v>
      </c>
      <c r="B737" s="8" t="s">
        <v>692</v>
      </c>
      <c r="C737" s="8" t="s">
        <v>93</v>
      </c>
      <c r="D737" s="18" t="s">
        <v>2577</v>
      </c>
      <c r="E737" s="16">
        <v>82.0</v>
      </c>
    </row>
    <row r="738">
      <c r="A738" s="8" t="s">
        <v>924</v>
      </c>
      <c r="B738" s="8" t="s">
        <v>925</v>
      </c>
      <c r="C738" s="8" t="s">
        <v>80</v>
      </c>
      <c r="D738" s="18" t="s">
        <v>2567</v>
      </c>
      <c r="E738" s="16">
        <v>70.0</v>
      </c>
    </row>
    <row r="739">
      <c r="A739" s="8" t="s">
        <v>546</v>
      </c>
      <c r="B739" s="8" t="s">
        <v>798</v>
      </c>
      <c r="C739" s="8" t="s">
        <v>59</v>
      </c>
      <c r="D739" s="18" t="s">
        <v>2592</v>
      </c>
      <c r="E739" s="16">
        <v>68.0</v>
      </c>
    </row>
    <row r="740">
      <c r="A740" s="8" t="s">
        <v>3648</v>
      </c>
      <c r="B740" s="8" t="s">
        <v>3649</v>
      </c>
      <c r="C740" s="8" t="s">
        <v>141</v>
      </c>
      <c r="D740" s="18" t="s">
        <v>2615</v>
      </c>
      <c r="E740" s="16">
        <v>66.0</v>
      </c>
    </row>
    <row r="741">
      <c r="A741" s="8" t="s">
        <v>373</v>
      </c>
      <c r="B741" s="8" t="s">
        <v>11</v>
      </c>
      <c r="C741" s="8" t="s">
        <v>132</v>
      </c>
      <c r="D741" s="18" t="s">
        <v>2566</v>
      </c>
      <c r="E741" s="16">
        <v>66.0</v>
      </c>
    </row>
    <row r="742">
      <c r="A742" s="8" t="s">
        <v>691</v>
      </c>
      <c r="B742" s="8" t="s">
        <v>692</v>
      </c>
      <c r="C742" s="8" t="s">
        <v>215</v>
      </c>
      <c r="D742" s="18" t="s">
        <v>2592</v>
      </c>
      <c r="E742" s="16">
        <v>78.0</v>
      </c>
    </row>
    <row r="743">
      <c r="A743" s="8" t="s">
        <v>2805</v>
      </c>
      <c r="B743" s="8" t="s">
        <v>2806</v>
      </c>
      <c r="C743" s="8" t="s">
        <v>149</v>
      </c>
      <c r="D743" s="18" t="s">
        <v>2560</v>
      </c>
      <c r="E743" s="16">
        <v>69.0</v>
      </c>
    </row>
    <row r="744">
      <c r="A744" s="8" t="s">
        <v>1454</v>
      </c>
      <c r="B744" s="8" t="s">
        <v>3270</v>
      </c>
      <c r="C744" s="8" t="s">
        <v>46</v>
      </c>
      <c r="D744" s="18" t="s">
        <v>2598</v>
      </c>
      <c r="E744" s="16">
        <v>64.0</v>
      </c>
    </row>
    <row r="745">
      <c r="A745" s="8" t="s">
        <v>3271</v>
      </c>
      <c r="B745" s="8" t="s">
        <v>1328</v>
      </c>
      <c r="C745" s="8" t="s">
        <v>138</v>
      </c>
      <c r="D745" s="18" t="s">
        <v>2554</v>
      </c>
      <c r="E745" s="16">
        <v>74.0</v>
      </c>
    </row>
    <row r="746">
      <c r="A746" s="8" t="s">
        <v>267</v>
      </c>
      <c r="B746" s="8" t="s">
        <v>381</v>
      </c>
      <c r="C746" s="8" t="s">
        <v>93</v>
      </c>
      <c r="D746" s="18" t="s">
        <v>2615</v>
      </c>
      <c r="E746" s="16">
        <v>74.0</v>
      </c>
    </row>
    <row r="747">
      <c r="A747" s="8" t="s">
        <v>267</v>
      </c>
      <c r="B747" s="8" t="s">
        <v>247</v>
      </c>
      <c r="C747" s="8" t="s">
        <v>149</v>
      </c>
      <c r="D747" s="18" t="s">
        <v>2577</v>
      </c>
      <c r="E747" s="16">
        <v>83.0</v>
      </c>
    </row>
    <row r="748">
      <c r="A748" s="8" t="s">
        <v>267</v>
      </c>
      <c r="B748" s="8" t="s">
        <v>1173</v>
      </c>
      <c r="C748" s="8" t="s">
        <v>59</v>
      </c>
      <c r="D748" s="18" t="s">
        <v>2558</v>
      </c>
      <c r="E748" s="16">
        <v>57.0</v>
      </c>
    </row>
    <row r="749">
      <c r="A749" s="8" t="s">
        <v>2807</v>
      </c>
      <c r="B749" s="8" t="s">
        <v>247</v>
      </c>
      <c r="C749" s="8" t="s">
        <v>80</v>
      </c>
      <c r="D749" s="18" t="s">
        <v>2560</v>
      </c>
      <c r="E749" s="16">
        <v>82.0</v>
      </c>
    </row>
    <row r="750">
      <c r="A750" s="8" t="s">
        <v>2808</v>
      </c>
      <c r="B750" s="8" t="s">
        <v>2809</v>
      </c>
      <c r="C750" s="8" t="s">
        <v>46</v>
      </c>
      <c r="D750" s="18" t="s">
        <v>2603</v>
      </c>
      <c r="E750" s="16">
        <v>72.0</v>
      </c>
    </row>
    <row r="751">
      <c r="A751" s="8" t="s">
        <v>2810</v>
      </c>
      <c r="B751" s="8" t="s">
        <v>183</v>
      </c>
      <c r="C751" s="8" t="s">
        <v>70</v>
      </c>
      <c r="D751" s="18" t="s">
        <v>2587</v>
      </c>
      <c r="E751" s="16">
        <v>70.0</v>
      </c>
    </row>
    <row r="752">
      <c r="A752" s="8" t="s">
        <v>3272</v>
      </c>
      <c r="B752" s="8" t="s">
        <v>2745</v>
      </c>
      <c r="C752" s="8" t="s">
        <v>24</v>
      </c>
      <c r="D752" s="18" t="s">
        <v>2575</v>
      </c>
      <c r="E752" s="16">
        <v>78.0</v>
      </c>
    </row>
    <row r="753">
      <c r="A753" s="8" t="s">
        <v>693</v>
      </c>
      <c r="B753" s="8" t="s">
        <v>694</v>
      </c>
      <c r="C753" s="8" t="s">
        <v>93</v>
      </c>
      <c r="D753" s="18" t="s">
        <v>2587</v>
      </c>
      <c r="E753" s="16">
        <v>85.0</v>
      </c>
    </row>
    <row r="754">
      <c r="A754" s="8" t="s">
        <v>3650</v>
      </c>
      <c r="B754" s="8" t="s">
        <v>114</v>
      </c>
      <c r="C754" s="8" t="s">
        <v>65</v>
      </c>
      <c r="D754" s="18" t="s">
        <v>2574</v>
      </c>
      <c r="E754" s="16">
        <v>77.0</v>
      </c>
    </row>
    <row r="755">
      <c r="A755" s="8" t="s">
        <v>515</v>
      </c>
      <c r="B755" s="8" t="s">
        <v>516</v>
      </c>
      <c r="C755" s="8" t="s">
        <v>80</v>
      </c>
      <c r="D755" s="18" t="s">
        <v>2584</v>
      </c>
      <c r="E755" s="16">
        <v>77.0</v>
      </c>
    </row>
    <row r="756">
      <c r="A756" s="8" t="s">
        <v>3003</v>
      </c>
      <c r="B756" s="8" t="s">
        <v>275</v>
      </c>
      <c r="C756" s="8" t="s">
        <v>65</v>
      </c>
      <c r="D756" s="18" t="s">
        <v>2564</v>
      </c>
      <c r="E756" s="16">
        <v>68.0</v>
      </c>
    </row>
    <row r="757">
      <c r="A757" s="8" t="s">
        <v>2812</v>
      </c>
      <c r="B757" s="8" t="s">
        <v>809</v>
      </c>
      <c r="C757" s="8" t="s">
        <v>186</v>
      </c>
      <c r="D757" s="18" t="s">
        <v>2592</v>
      </c>
      <c r="E757" s="16">
        <v>61.0</v>
      </c>
    </row>
    <row r="758">
      <c r="A758" s="8" t="s">
        <v>926</v>
      </c>
      <c r="B758" s="8" t="s">
        <v>203</v>
      </c>
      <c r="C758" s="8" t="s">
        <v>141</v>
      </c>
      <c r="D758" s="18" t="s">
        <v>2554</v>
      </c>
      <c r="E758" s="16">
        <v>69.0</v>
      </c>
    </row>
    <row r="759">
      <c r="A759" s="8" t="s">
        <v>517</v>
      </c>
      <c r="B759" s="8" t="s">
        <v>518</v>
      </c>
      <c r="C759" s="8" t="s">
        <v>46</v>
      </c>
      <c r="D759" s="18" t="s">
        <v>2587</v>
      </c>
      <c r="E759" s="16">
        <v>89.0</v>
      </c>
    </row>
    <row r="760">
      <c r="A760" s="8" t="s">
        <v>517</v>
      </c>
      <c r="B760" s="8" t="s">
        <v>1103</v>
      </c>
      <c r="C760" s="8" t="s">
        <v>93</v>
      </c>
      <c r="D760" s="18" t="s">
        <v>2605</v>
      </c>
      <c r="E760" s="16">
        <v>62.0</v>
      </c>
    </row>
    <row r="761">
      <c r="A761" s="8" t="s">
        <v>519</v>
      </c>
      <c r="B761" s="8" t="s">
        <v>183</v>
      </c>
      <c r="C761" s="8" t="s">
        <v>16</v>
      </c>
      <c r="D761" s="18" t="s">
        <v>2592</v>
      </c>
      <c r="E761" s="16">
        <v>71.0</v>
      </c>
    </row>
    <row r="762">
      <c r="A762" s="8" t="s">
        <v>3009</v>
      </c>
      <c r="B762" s="8" t="s">
        <v>245</v>
      </c>
      <c r="C762" s="8" t="s">
        <v>192</v>
      </c>
      <c r="D762" s="18" t="s">
        <v>2620</v>
      </c>
      <c r="E762" s="16">
        <v>63.0</v>
      </c>
    </row>
    <row r="763">
      <c r="A763" s="8" t="s">
        <v>3651</v>
      </c>
      <c r="B763" s="8" t="s">
        <v>3652</v>
      </c>
      <c r="C763" s="8" t="s">
        <v>93</v>
      </c>
      <c r="D763" s="18" t="s">
        <v>2567</v>
      </c>
      <c r="E763" s="16">
        <v>67.0</v>
      </c>
    </row>
    <row r="764">
      <c r="A764" s="8" t="s">
        <v>927</v>
      </c>
      <c r="B764" s="8" t="s">
        <v>471</v>
      </c>
      <c r="C764" s="8" t="s">
        <v>75</v>
      </c>
      <c r="D764" s="18" t="s">
        <v>2603</v>
      </c>
      <c r="E764" s="16">
        <v>69.0</v>
      </c>
    </row>
    <row r="765">
      <c r="A765" s="8" t="s">
        <v>3653</v>
      </c>
      <c r="B765" s="8" t="s">
        <v>357</v>
      </c>
      <c r="C765" s="8" t="s">
        <v>192</v>
      </c>
      <c r="D765" s="18" t="s">
        <v>2598</v>
      </c>
      <c r="E765" s="16">
        <v>72.0</v>
      </c>
    </row>
    <row r="766">
      <c r="A766" s="8" t="s">
        <v>1809</v>
      </c>
      <c r="B766" s="8" t="s">
        <v>196</v>
      </c>
      <c r="C766" s="8" t="s">
        <v>16</v>
      </c>
      <c r="D766" s="18" t="s">
        <v>2593</v>
      </c>
      <c r="E766" s="16">
        <v>77.0</v>
      </c>
    </row>
    <row r="767">
      <c r="A767" s="8" t="s">
        <v>325</v>
      </c>
      <c r="B767" s="8" t="s">
        <v>3273</v>
      </c>
      <c r="C767" s="8" t="s">
        <v>65</v>
      </c>
      <c r="D767" s="18" t="s">
        <v>2589</v>
      </c>
      <c r="E767" s="16">
        <v>62.0</v>
      </c>
    </row>
    <row r="768">
      <c r="A768" s="8" t="s">
        <v>325</v>
      </c>
      <c r="B768" s="8" t="s">
        <v>695</v>
      </c>
      <c r="C768" s="8" t="s">
        <v>53</v>
      </c>
      <c r="D768" s="18" t="s">
        <v>2589</v>
      </c>
      <c r="E768" s="16">
        <v>69.0</v>
      </c>
    </row>
    <row r="769">
      <c r="A769" s="8" t="s">
        <v>325</v>
      </c>
      <c r="B769" s="8" t="s">
        <v>337</v>
      </c>
      <c r="C769" s="8" t="s">
        <v>80</v>
      </c>
      <c r="D769" s="18" t="s">
        <v>2577</v>
      </c>
      <c r="E769" s="16">
        <v>74.0</v>
      </c>
    </row>
    <row r="770">
      <c r="A770" s="8" t="s">
        <v>1455</v>
      </c>
      <c r="B770" s="8" t="s">
        <v>1347</v>
      </c>
      <c r="C770" s="8" t="s">
        <v>122</v>
      </c>
      <c r="D770" s="18" t="s">
        <v>2605</v>
      </c>
      <c r="E770" s="16">
        <v>76.0</v>
      </c>
    </row>
    <row r="771">
      <c r="A771" s="8" t="s">
        <v>3274</v>
      </c>
      <c r="B771" s="8" t="s">
        <v>3275</v>
      </c>
      <c r="C771" s="8" t="s">
        <v>93</v>
      </c>
      <c r="D771" s="18" t="s">
        <v>2577</v>
      </c>
      <c r="E771" s="16">
        <v>71.0</v>
      </c>
    </row>
    <row r="772">
      <c r="A772" s="8" t="s">
        <v>3654</v>
      </c>
      <c r="B772" s="8" t="s">
        <v>3655</v>
      </c>
      <c r="C772" s="8" t="s">
        <v>122</v>
      </c>
      <c r="D772" s="18" t="s">
        <v>2582</v>
      </c>
      <c r="E772" s="16">
        <v>71.0</v>
      </c>
    </row>
    <row r="773">
      <c r="A773" s="8" t="s">
        <v>696</v>
      </c>
      <c r="B773" s="8" t="s">
        <v>697</v>
      </c>
      <c r="C773" s="8" t="s">
        <v>149</v>
      </c>
      <c r="D773" s="18" t="s">
        <v>2567</v>
      </c>
      <c r="E773" s="16">
        <v>69.0</v>
      </c>
    </row>
    <row r="774">
      <c r="A774" s="8" t="s">
        <v>374</v>
      </c>
      <c r="B774" s="8" t="s">
        <v>375</v>
      </c>
      <c r="C774" s="8" t="s">
        <v>186</v>
      </c>
      <c r="D774" s="18" t="s">
        <v>2564</v>
      </c>
      <c r="E774" s="16">
        <v>64.0</v>
      </c>
    </row>
    <row r="775">
      <c r="A775" s="8" t="s">
        <v>3276</v>
      </c>
      <c r="B775" s="8" t="s">
        <v>3277</v>
      </c>
      <c r="C775" s="8" t="s">
        <v>186</v>
      </c>
      <c r="D775" s="18" t="s">
        <v>2554</v>
      </c>
      <c r="E775" s="16">
        <v>67.0</v>
      </c>
    </row>
    <row r="776">
      <c r="A776" s="8" t="s">
        <v>3656</v>
      </c>
      <c r="B776" s="8" t="s">
        <v>3657</v>
      </c>
      <c r="C776" s="8" t="s">
        <v>65</v>
      </c>
      <c r="D776" s="18" t="s">
        <v>2603</v>
      </c>
      <c r="E776" s="16">
        <v>65.0</v>
      </c>
    </row>
    <row r="777">
      <c r="A777" s="8" t="s">
        <v>3278</v>
      </c>
      <c r="B777" s="8" t="s">
        <v>3279</v>
      </c>
      <c r="C777" s="8" t="s">
        <v>138</v>
      </c>
      <c r="D777" s="18" t="s">
        <v>2598</v>
      </c>
      <c r="E777" s="16">
        <v>68.0</v>
      </c>
    </row>
    <row r="778">
      <c r="A778" s="8" t="s">
        <v>1174</v>
      </c>
      <c r="B778" s="18" t="s">
        <v>912</v>
      </c>
      <c r="C778" s="8" t="s">
        <v>186</v>
      </c>
      <c r="D778" s="18" t="s">
        <v>2566</v>
      </c>
      <c r="E778" s="16">
        <v>66.0</v>
      </c>
    </row>
    <row r="779">
      <c r="A779" s="8" t="s">
        <v>1174</v>
      </c>
      <c r="B779" s="8" t="s">
        <v>2813</v>
      </c>
      <c r="C779" s="8" t="s">
        <v>93</v>
      </c>
      <c r="D779" s="18" t="s">
        <v>2558</v>
      </c>
      <c r="E779" s="16">
        <v>68.0</v>
      </c>
    </row>
    <row r="780">
      <c r="A780" s="8" t="s">
        <v>520</v>
      </c>
      <c r="B780" s="18" t="s">
        <v>521</v>
      </c>
      <c r="C780" s="8" t="s">
        <v>93</v>
      </c>
      <c r="D780" s="18" t="s">
        <v>2598</v>
      </c>
      <c r="E780" s="16">
        <v>61.0</v>
      </c>
    </row>
    <row r="781">
      <c r="A781" s="8" t="s">
        <v>520</v>
      </c>
      <c r="B781" s="8" t="s">
        <v>699</v>
      </c>
      <c r="C781" s="8" t="s">
        <v>65</v>
      </c>
      <c r="D781" s="18" t="s">
        <v>2587</v>
      </c>
      <c r="E781" s="16">
        <v>68.0</v>
      </c>
    </row>
    <row r="782">
      <c r="A782" s="8" t="s">
        <v>698</v>
      </c>
      <c r="B782" s="8" t="s">
        <v>301</v>
      </c>
      <c r="C782" s="8" t="s">
        <v>65</v>
      </c>
      <c r="D782" s="18" t="s">
        <v>2615</v>
      </c>
      <c r="E782" s="16">
        <v>76.0</v>
      </c>
    </row>
    <row r="783">
      <c r="A783" s="8" t="s">
        <v>698</v>
      </c>
      <c r="B783" s="8" t="s">
        <v>385</v>
      </c>
      <c r="C783" s="8" t="s">
        <v>70</v>
      </c>
      <c r="D783" s="18" t="s">
        <v>2572</v>
      </c>
      <c r="E783" s="16">
        <v>76.0</v>
      </c>
    </row>
    <row r="784">
      <c r="A784" s="8" t="s">
        <v>68</v>
      </c>
      <c r="B784" s="8" t="s">
        <v>69</v>
      </c>
      <c r="C784" s="8" t="s">
        <v>70</v>
      </c>
      <c r="D784" s="18" t="s">
        <v>2567</v>
      </c>
      <c r="E784" s="16">
        <v>79.0</v>
      </c>
    </row>
    <row r="785">
      <c r="A785" s="8" t="s">
        <v>87</v>
      </c>
      <c r="B785" s="8" t="s">
        <v>88</v>
      </c>
      <c r="C785" s="8" t="s">
        <v>12</v>
      </c>
      <c r="D785" s="18" t="s">
        <v>2600</v>
      </c>
      <c r="E785" s="16">
        <v>85.0</v>
      </c>
    </row>
    <row r="786">
      <c r="A786" s="8" t="s">
        <v>1175</v>
      </c>
      <c r="B786" s="8" t="s">
        <v>11</v>
      </c>
      <c r="C786" s="8" t="s">
        <v>215</v>
      </c>
      <c r="D786" s="18" t="s">
        <v>2620</v>
      </c>
      <c r="E786" s="16">
        <v>68.0</v>
      </c>
    </row>
    <row r="787">
      <c r="A787" s="8" t="s">
        <v>71</v>
      </c>
      <c r="B787" s="8" t="s">
        <v>72</v>
      </c>
      <c r="C787" s="8" t="s">
        <v>12</v>
      </c>
      <c r="D787" s="18" t="s">
        <v>2605</v>
      </c>
      <c r="E787" s="16">
        <v>79.0</v>
      </c>
    </row>
    <row r="788">
      <c r="A788" s="8" t="s">
        <v>3280</v>
      </c>
      <c r="B788" s="8" t="s">
        <v>249</v>
      </c>
      <c r="C788" s="8" t="s">
        <v>16</v>
      </c>
      <c r="D788" s="18" t="s">
        <v>2577</v>
      </c>
      <c r="E788" s="16">
        <v>69.0</v>
      </c>
    </row>
    <row r="789">
      <c r="A789" s="8" t="s">
        <v>3280</v>
      </c>
      <c r="B789" s="8" t="s">
        <v>3281</v>
      </c>
      <c r="C789" s="8" t="s">
        <v>141</v>
      </c>
      <c r="D789" s="18" t="s">
        <v>2574</v>
      </c>
      <c r="E789" s="16">
        <v>70.0</v>
      </c>
    </row>
    <row r="790">
      <c r="A790" s="8" t="s">
        <v>3282</v>
      </c>
      <c r="B790" s="8" t="s">
        <v>119</v>
      </c>
      <c r="C790" s="8" t="s">
        <v>46</v>
      </c>
      <c r="D790" s="18" t="s">
        <v>2567</v>
      </c>
      <c r="E790" s="16">
        <v>64.0</v>
      </c>
    </row>
    <row r="791">
      <c r="A791" s="8" t="s">
        <v>3658</v>
      </c>
      <c r="B791" s="8" t="s">
        <v>275</v>
      </c>
      <c r="C791" s="8" t="s">
        <v>24</v>
      </c>
      <c r="D791" s="18" t="s">
        <v>2587</v>
      </c>
      <c r="E791" s="16">
        <v>72.0</v>
      </c>
    </row>
    <row r="792">
      <c r="A792" s="8" t="s">
        <v>203</v>
      </c>
      <c r="B792" s="8" t="s">
        <v>121</v>
      </c>
      <c r="C792" s="8" t="s">
        <v>215</v>
      </c>
      <c r="D792" s="18" t="s">
        <v>2564</v>
      </c>
      <c r="E792" s="16">
        <v>92.0</v>
      </c>
    </row>
    <row r="793">
      <c r="A793" s="8" t="s">
        <v>203</v>
      </c>
      <c r="B793" s="8" t="s">
        <v>304</v>
      </c>
      <c r="C793" s="8" t="s">
        <v>80</v>
      </c>
      <c r="D793" s="18" t="s">
        <v>2587</v>
      </c>
      <c r="E793" s="16">
        <v>82.0</v>
      </c>
    </row>
    <row r="794">
      <c r="A794" s="8" t="s">
        <v>203</v>
      </c>
      <c r="B794" s="8" t="s">
        <v>252</v>
      </c>
      <c r="C794" s="8" t="s">
        <v>24</v>
      </c>
      <c r="D794" s="18" t="s">
        <v>2620</v>
      </c>
      <c r="E794" s="16">
        <v>70.0</v>
      </c>
    </row>
    <row r="795">
      <c r="A795" s="8" t="s">
        <v>203</v>
      </c>
      <c r="B795" s="8" t="s">
        <v>204</v>
      </c>
      <c r="C795" s="8" t="s">
        <v>24</v>
      </c>
      <c r="D795" s="18" t="s">
        <v>2603</v>
      </c>
      <c r="E795" s="16">
        <v>89.0</v>
      </c>
    </row>
    <row r="796">
      <c r="A796" s="8" t="s">
        <v>203</v>
      </c>
      <c r="B796" s="18" t="s">
        <v>491</v>
      </c>
      <c r="C796" s="8" t="s">
        <v>65</v>
      </c>
      <c r="D796" s="18" t="s">
        <v>2564</v>
      </c>
      <c r="E796" s="16">
        <v>66.0</v>
      </c>
    </row>
    <row r="797">
      <c r="A797" s="8" t="s">
        <v>700</v>
      </c>
      <c r="B797" s="8" t="s">
        <v>3659</v>
      </c>
      <c r="C797" s="8" t="s">
        <v>65</v>
      </c>
      <c r="D797" s="18" t="s">
        <v>2610</v>
      </c>
      <c r="E797" s="16">
        <v>59.0</v>
      </c>
    </row>
    <row r="798">
      <c r="A798" s="8" t="s">
        <v>700</v>
      </c>
      <c r="B798" s="8" t="s">
        <v>304</v>
      </c>
      <c r="C798" s="8" t="s">
        <v>70</v>
      </c>
      <c r="D798" s="18" t="s">
        <v>2584</v>
      </c>
      <c r="E798" s="16">
        <v>59.0</v>
      </c>
    </row>
    <row r="799">
      <c r="A799" s="8" t="s">
        <v>700</v>
      </c>
      <c r="B799" s="8" t="s">
        <v>3283</v>
      </c>
      <c r="C799" s="8" t="s">
        <v>93</v>
      </c>
      <c r="D799" s="18" t="s">
        <v>2577</v>
      </c>
      <c r="E799" s="16">
        <v>66.0</v>
      </c>
    </row>
    <row r="800">
      <c r="A800" s="8" t="s">
        <v>700</v>
      </c>
      <c r="B800" s="8" t="s">
        <v>1176</v>
      </c>
      <c r="C800" s="8" t="s">
        <v>65</v>
      </c>
      <c r="D800" s="18" t="s">
        <v>2581</v>
      </c>
      <c r="E800" s="16">
        <v>66.0</v>
      </c>
    </row>
    <row r="801">
      <c r="A801" s="8" t="s">
        <v>700</v>
      </c>
      <c r="B801" s="8" t="s">
        <v>67</v>
      </c>
      <c r="C801" s="8" t="s">
        <v>65</v>
      </c>
      <c r="D801" s="18" t="s">
        <v>2582</v>
      </c>
      <c r="E801" s="16">
        <v>69.0</v>
      </c>
    </row>
    <row r="802">
      <c r="A802" s="8" t="s">
        <v>701</v>
      </c>
      <c r="B802" s="8" t="s">
        <v>702</v>
      </c>
      <c r="C802" s="8" t="s">
        <v>141</v>
      </c>
      <c r="D802" s="18" t="s">
        <v>2605</v>
      </c>
      <c r="E802" s="16">
        <v>68.0</v>
      </c>
    </row>
    <row r="803">
      <c r="A803" s="8" t="s">
        <v>3284</v>
      </c>
      <c r="B803" s="8" t="s">
        <v>273</v>
      </c>
      <c r="C803" s="8" t="s">
        <v>93</v>
      </c>
      <c r="D803" s="18" t="s">
        <v>2584</v>
      </c>
      <c r="E803" s="16">
        <v>74.0</v>
      </c>
    </row>
    <row r="804">
      <c r="A804" s="8" t="s">
        <v>703</v>
      </c>
      <c r="B804" s="8" t="s">
        <v>2814</v>
      </c>
      <c r="C804" s="8" t="s">
        <v>24</v>
      </c>
      <c r="D804" s="18" t="s">
        <v>2581</v>
      </c>
      <c r="E804" s="16">
        <v>69.0</v>
      </c>
    </row>
    <row r="805">
      <c r="A805" s="8" t="s">
        <v>2815</v>
      </c>
      <c r="B805" s="8" t="s">
        <v>252</v>
      </c>
      <c r="C805" s="8" t="s">
        <v>16</v>
      </c>
      <c r="D805" s="18" t="s">
        <v>2595</v>
      </c>
      <c r="E805" s="16">
        <v>64.0</v>
      </c>
    </row>
    <row r="806">
      <c r="A806" s="8" t="s">
        <v>2816</v>
      </c>
      <c r="B806" s="8" t="s">
        <v>23</v>
      </c>
      <c r="C806" s="8" t="s">
        <v>132</v>
      </c>
      <c r="D806" s="18" t="s">
        <v>2615</v>
      </c>
      <c r="E806" s="16">
        <v>77.0</v>
      </c>
    </row>
    <row r="807">
      <c r="A807" s="8" t="s">
        <v>268</v>
      </c>
      <c r="B807" s="18" t="s">
        <v>269</v>
      </c>
      <c r="C807" s="8" t="s">
        <v>65</v>
      </c>
      <c r="D807" s="18" t="s">
        <v>2610</v>
      </c>
      <c r="E807" s="16">
        <v>93.0</v>
      </c>
    </row>
    <row r="808">
      <c r="A808" s="8" t="s">
        <v>268</v>
      </c>
      <c r="B808" s="8" t="s">
        <v>928</v>
      </c>
      <c r="C808" s="8" t="s">
        <v>149</v>
      </c>
      <c r="D808" s="18" t="s">
        <v>2614</v>
      </c>
      <c r="E808" s="16">
        <v>68.0</v>
      </c>
    </row>
    <row r="809">
      <c r="A809" s="8" t="s">
        <v>268</v>
      </c>
      <c r="B809" s="8" t="s">
        <v>3660</v>
      </c>
      <c r="C809" s="8" t="s">
        <v>24</v>
      </c>
      <c r="D809" s="18" t="s">
        <v>2577</v>
      </c>
      <c r="E809" s="16">
        <v>81.0</v>
      </c>
    </row>
    <row r="810">
      <c r="A810" s="8" t="s">
        <v>268</v>
      </c>
      <c r="B810" s="18" t="s">
        <v>491</v>
      </c>
      <c r="C810" s="8" t="s">
        <v>80</v>
      </c>
      <c r="D810" s="18" t="s">
        <v>2567</v>
      </c>
      <c r="E810" s="16">
        <v>71.0</v>
      </c>
    </row>
    <row r="811">
      <c r="A811" s="8" t="s">
        <v>268</v>
      </c>
      <c r="B811" s="8" t="s">
        <v>434</v>
      </c>
      <c r="C811" s="8" t="s">
        <v>186</v>
      </c>
      <c r="D811" s="18" t="s">
        <v>2598</v>
      </c>
      <c r="E811" s="16">
        <v>57.0</v>
      </c>
    </row>
    <row r="812">
      <c r="A812" s="8" t="s">
        <v>268</v>
      </c>
      <c r="B812" s="8" t="s">
        <v>270</v>
      </c>
      <c r="C812" s="8" t="s">
        <v>24</v>
      </c>
      <c r="D812" s="18" t="s">
        <v>2620</v>
      </c>
      <c r="E812" s="16">
        <v>79.0</v>
      </c>
    </row>
    <row r="813">
      <c r="A813" s="8" t="s">
        <v>3661</v>
      </c>
      <c r="B813" s="8" t="s">
        <v>3662</v>
      </c>
      <c r="C813" s="8" t="s">
        <v>65</v>
      </c>
      <c r="D813" s="18" t="s">
        <v>2621</v>
      </c>
      <c r="E813" s="16">
        <v>76.0</v>
      </c>
    </row>
    <row r="814">
      <c r="A814" s="8" t="s">
        <v>1818</v>
      </c>
      <c r="B814" s="8" t="s">
        <v>1338</v>
      </c>
      <c r="C814" s="8" t="s">
        <v>75</v>
      </c>
      <c r="D814" s="18" t="s">
        <v>2564</v>
      </c>
      <c r="E814" s="16">
        <v>59.0</v>
      </c>
    </row>
    <row r="815">
      <c r="A815" s="8" t="s">
        <v>1818</v>
      </c>
      <c r="B815" s="8" t="s">
        <v>3663</v>
      </c>
      <c r="C815" s="8" t="s">
        <v>59</v>
      </c>
      <c r="D815" s="18" t="s">
        <v>2554</v>
      </c>
      <c r="E815" s="16">
        <v>71.0</v>
      </c>
    </row>
    <row r="816">
      <c r="A816" s="8" t="s">
        <v>1818</v>
      </c>
      <c r="B816" s="8" t="s">
        <v>598</v>
      </c>
      <c r="C816" s="8" t="s">
        <v>65</v>
      </c>
      <c r="D816" s="18" t="s">
        <v>2584</v>
      </c>
      <c r="E816" s="16">
        <v>70.0</v>
      </c>
    </row>
    <row r="817">
      <c r="A817" s="8" t="s">
        <v>3664</v>
      </c>
      <c r="B817" s="8" t="s">
        <v>117</v>
      </c>
      <c r="C817" s="8" t="s">
        <v>59</v>
      </c>
      <c r="D817" s="18" t="s">
        <v>2552</v>
      </c>
      <c r="E817" s="16">
        <v>78.0</v>
      </c>
    </row>
    <row r="818">
      <c r="A818" s="8" t="s">
        <v>1177</v>
      </c>
      <c r="B818" s="8" t="s">
        <v>483</v>
      </c>
      <c r="C818" s="8" t="s">
        <v>215</v>
      </c>
      <c r="D818" s="18" t="s">
        <v>2614</v>
      </c>
      <c r="E818" s="16">
        <v>75.0</v>
      </c>
    </row>
    <row r="819">
      <c r="A819" s="8" t="s">
        <v>2819</v>
      </c>
      <c r="B819" s="8" t="s">
        <v>558</v>
      </c>
      <c r="C819" s="8" t="s">
        <v>24</v>
      </c>
      <c r="D819" s="18" t="s">
        <v>2589</v>
      </c>
      <c r="E819" s="16">
        <v>84.0</v>
      </c>
    </row>
    <row r="820">
      <c r="A820" s="8" t="s">
        <v>271</v>
      </c>
      <c r="B820" s="8" t="s">
        <v>272</v>
      </c>
      <c r="C820" s="8" t="s">
        <v>215</v>
      </c>
      <c r="D820" s="18" t="s">
        <v>2552</v>
      </c>
      <c r="E820" s="16">
        <v>88.0</v>
      </c>
    </row>
    <row r="821">
      <c r="A821" s="8" t="s">
        <v>522</v>
      </c>
      <c r="B821" s="8" t="s">
        <v>137</v>
      </c>
      <c r="C821" s="8" t="s">
        <v>80</v>
      </c>
      <c r="D821" s="18" t="s">
        <v>2552</v>
      </c>
      <c r="E821" s="16">
        <v>78.0</v>
      </c>
    </row>
    <row r="822">
      <c r="A822" s="8" t="s">
        <v>522</v>
      </c>
      <c r="B822" s="8" t="s">
        <v>67</v>
      </c>
      <c r="C822" s="8" t="s">
        <v>24</v>
      </c>
      <c r="D822" s="18" t="s">
        <v>2562</v>
      </c>
      <c r="E822" s="16">
        <v>72.0</v>
      </c>
    </row>
    <row r="823">
      <c r="A823" s="8" t="s">
        <v>522</v>
      </c>
      <c r="B823" s="8" t="s">
        <v>67</v>
      </c>
      <c r="C823" s="8" t="s">
        <v>16</v>
      </c>
      <c r="D823" s="18" t="s">
        <v>2592</v>
      </c>
      <c r="E823" s="16">
        <v>62.0</v>
      </c>
    </row>
    <row r="824">
      <c r="A824" s="8" t="s">
        <v>2820</v>
      </c>
      <c r="B824" s="8" t="s">
        <v>337</v>
      </c>
      <c r="C824" s="8" t="s">
        <v>16</v>
      </c>
      <c r="D824" s="18" t="s">
        <v>2615</v>
      </c>
      <c r="E824" s="16">
        <v>73.0</v>
      </c>
    </row>
    <row r="825">
      <c r="A825" s="8" t="s">
        <v>1178</v>
      </c>
      <c r="B825" s="8" t="s">
        <v>596</v>
      </c>
      <c r="C825" s="8" t="s">
        <v>24</v>
      </c>
      <c r="D825" s="18" t="s">
        <v>2577</v>
      </c>
      <c r="E825" s="16">
        <v>62.0</v>
      </c>
    </row>
    <row r="826">
      <c r="A826" s="8" t="s">
        <v>2822</v>
      </c>
      <c r="B826" s="8" t="s">
        <v>780</v>
      </c>
      <c r="C826" s="8" t="s">
        <v>93</v>
      </c>
      <c r="D826" s="18" t="s">
        <v>2592</v>
      </c>
      <c r="E826" s="16">
        <v>85.0</v>
      </c>
    </row>
    <row r="827">
      <c r="A827" s="8" t="s">
        <v>2822</v>
      </c>
      <c r="B827" s="8" t="s">
        <v>842</v>
      </c>
      <c r="C827" s="8" t="s">
        <v>70</v>
      </c>
      <c r="D827" s="18" t="s">
        <v>2562</v>
      </c>
      <c r="E827" s="16">
        <v>73.0</v>
      </c>
    </row>
    <row r="828">
      <c r="A828" s="8" t="s">
        <v>929</v>
      </c>
      <c r="B828" s="8" t="s">
        <v>930</v>
      </c>
      <c r="C828" s="8" t="s">
        <v>215</v>
      </c>
      <c r="D828" s="18" t="s">
        <v>2600</v>
      </c>
      <c r="E828" s="16">
        <v>63.0</v>
      </c>
    </row>
    <row r="829">
      <c r="A829" s="8" t="s">
        <v>3286</v>
      </c>
      <c r="B829" s="8" t="s">
        <v>936</v>
      </c>
      <c r="C829" s="8" t="s">
        <v>24</v>
      </c>
      <c r="D829" s="18" t="s">
        <v>2600</v>
      </c>
      <c r="E829" s="16">
        <v>99.0</v>
      </c>
    </row>
    <row r="830">
      <c r="A830" s="8" t="s">
        <v>704</v>
      </c>
      <c r="B830" s="8" t="s">
        <v>67</v>
      </c>
      <c r="C830" s="8" t="s">
        <v>132</v>
      </c>
      <c r="D830" s="18" t="s">
        <v>2587</v>
      </c>
      <c r="E830" s="16">
        <v>64.0</v>
      </c>
    </row>
    <row r="831">
      <c r="A831" s="8" t="s">
        <v>1460</v>
      </c>
      <c r="B831" s="8" t="s">
        <v>1461</v>
      </c>
      <c r="C831" s="8" t="s">
        <v>192</v>
      </c>
      <c r="D831" s="18" t="s">
        <v>2600</v>
      </c>
      <c r="E831" s="16">
        <v>61.0</v>
      </c>
    </row>
    <row r="832">
      <c r="A832" s="8" t="s">
        <v>3288</v>
      </c>
      <c r="B832" s="8" t="s">
        <v>3289</v>
      </c>
      <c r="C832" s="8" t="s">
        <v>122</v>
      </c>
      <c r="D832" s="18" t="s">
        <v>2558</v>
      </c>
      <c r="E832" s="16">
        <v>73.0</v>
      </c>
    </row>
    <row r="833">
      <c r="A833" s="8" t="s">
        <v>931</v>
      </c>
      <c r="B833" s="8" t="s">
        <v>2823</v>
      </c>
      <c r="C833" s="8" t="s">
        <v>93</v>
      </c>
      <c r="D833" s="18" t="s">
        <v>2558</v>
      </c>
      <c r="E833" s="16">
        <v>64.0</v>
      </c>
    </row>
    <row r="834">
      <c r="A834" s="8" t="s">
        <v>931</v>
      </c>
      <c r="B834" s="8" t="s">
        <v>383</v>
      </c>
      <c r="C834" s="8" t="s">
        <v>122</v>
      </c>
      <c r="D834" s="18" t="s">
        <v>2589</v>
      </c>
      <c r="E834" s="16">
        <v>66.0</v>
      </c>
    </row>
    <row r="835">
      <c r="A835" s="8" t="s">
        <v>2824</v>
      </c>
      <c r="B835" s="8" t="s">
        <v>883</v>
      </c>
      <c r="C835" s="8" t="s">
        <v>70</v>
      </c>
      <c r="D835" s="18" t="s">
        <v>2593</v>
      </c>
      <c r="E835" s="16">
        <v>85.0</v>
      </c>
    </row>
    <row r="836">
      <c r="A836" s="8" t="s">
        <v>523</v>
      </c>
      <c r="B836" s="8" t="s">
        <v>524</v>
      </c>
      <c r="C836" s="8" t="s">
        <v>215</v>
      </c>
      <c r="D836" s="18" t="s">
        <v>2575</v>
      </c>
      <c r="E836" s="16">
        <v>71.0</v>
      </c>
    </row>
    <row r="837">
      <c r="A837" s="8" t="s">
        <v>3665</v>
      </c>
      <c r="B837" s="8" t="s">
        <v>1669</v>
      </c>
      <c r="C837" s="8" t="s">
        <v>80</v>
      </c>
      <c r="D837" s="18" t="s">
        <v>2567</v>
      </c>
      <c r="E837" s="16">
        <v>69.0</v>
      </c>
    </row>
    <row r="838">
      <c r="A838" s="8" t="s">
        <v>2825</v>
      </c>
      <c r="B838" s="8" t="s">
        <v>2826</v>
      </c>
      <c r="C838" s="8" t="s">
        <v>138</v>
      </c>
      <c r="D838" s="18" t="s">
        <v>2595</v>
      </c>
      <c r="E838" s="16">
        <v>57.0</v>
      </c>
    </row>
    <row r="839">
      <c r="A839" s="8" t="s">
        <v>2827</v>
      </c>
      <c r="B839" s="8" t="s">
        <v>726</v>
      </c>
      <c r="C839" s="8" t="s">
        <v>16</v>
      </c>
      <c r="D839" s="18" t="s">
        <v>2560</v>
      </c>
      <c r="E839" s="16">
        <v>67.0</v>
      </c>
    </row>
    <row r="840">
      <c r="A840" s="8" t="s">
        <v>3666</v>
      </c>
      <c r="B840" s="8" t="s">
        <v>275</v>
      </c>
      <c r="C840" s="8" t="s">
        <v>80</v>
      </c>
      <c r="D840" s="18" t="s">
        <v>2556</v>
      </c>
      <c r="E840" s="16">
        <v>63.0</v>
      </c>
    </row>
    <row r="841">
      <c r="A841" s="8" t="s">
        <v>376</v>
      </c>
      <c r="B841" s="8" t="s">
        <v>102</v>
      </c>
      <c r="C841" s="8" t="s">
        <v>93</v>
      </c>
      <c r="D841" s="18" t="s">
        <v>2615</v>
      </c>
      <c r="E841" s="16">
        <v>86.0</v>
      </c>
    </row>
    <row r="842">
      <c r="A842" s="8" t="s">
        <v>1180</v>
      </c>
      <c r="B842" s="8" t="s">
        <v>102</v>
      </c>
      <c r="C842" s="8" t="s">
        <v>149</v>
      </c>
      <c r="D842" s="18" t="s">
        <v>2567</v>
      </c>
      <c r="E842" s="16">
        <v>69.0</v>
      </c>
    </row>
    <row r="843">
      <c r="A843" s="8" t="s">
        <v>525</v>
      </c>
      <c r="B843" s="18" t="s">
        <v>526</v>
      </c>
      <c r="C843" s="8" t="s">
        <v>215</v>
      </c>
      <c r="D843" s="18" t="s">
        <v>2598</v>
      </c>
      <c r="E843" s="16">
        <v>74.0</v>
      </c>
    </row>
    <row r="844">
      <c r="A844" s="8" t="s">
        <v>932</v>
      </c>
      <c r="B844" s="8" t="s">
        <v>871</v>
      </c>
      <c r="C844" s="8" t="s">
        <v>186</v>
      </c>
      <c r="D844" s="18" t="s">
        <v>2593</v>
      </c>
      <c r="E844" s="16">
        <v>60.0</v>
      </c>
    </row>
    <row r="845">
      <c r="A845" s="8" t="s">
        <v>1464</v>
      </c>
      <c r="B845" s="8" t="s">
        <v>275</v>
      </c>
      <c r="C845" s="8" t="s">
        <v>46</v>
      </c>
      <c r="D845" s="18" t="s">
        <v>2572</v>
      </c>
      <c r="E845" s="16">
        <v>69.0</v>
      </c>
    </row>
    <row r="846">
      <c r="A846" s="8" t="s">
        <v>2828</v>
      </c>
      <c r="B846" s="8" t="s">
        <v>277</v>
      </c>
      <c r="C846" s="8" t="s">
        <v>80</v>
      </c>
      <c r="D846" s="18" t="s">
        <v>2562</v>
      </c>
      <c r="E846" s="16">
        <v>77.0</v>
      </c>
    </row>
    <row r="847">
      <c r="A847" s="8" t="s">
        <v>3290</v>
      </c>
      <c r="B847" s="8" t="s">
        <v>3291</v>
      </c>
      <c r="C847" s="8" t="s">
        <v>59</v>
      </c>
      <c r="D847" s="18" t="s">
        <v>2183</v>
      </c>
      <c r="E847" s="16">
        <v>90.0</v>
      </c>
    </row>
    <row r="848">
      <c r="A848" s="8" t="s">
        <v>1183</v>
      </c>
      <c r="B848" s="8" t="s">
        <v>1192</v>
      </c>
      <c r="C848" s="8" t="s">
        <v>80</v>
      </c>
      <c r="D848" s="18" t="s">
        <v>2582</v>
      </c>
      <c r="E848" s="16">
        <v>82.0</v>
      </c>
    </row>
    <row r="849">
      <c r="A849" s="8" t="s">
        <v>1183</v>
      </c>
      <c r="B849" s="18" t="s">
        <v>1465</v>
      </c>
      <c r="C849" s="8" t="s">
        <v>93</v>
      </c>
      <c r="D849" s="18" t="s">
        <v>2605</v>
      </c>
      <c r="E849" s="16">
        <v>64.0</v>
      </c>
    </row>
    <row r="850">
      <c r="A850" s="8" t="s">
        <v>1183</v>
      </c>
      <c r="B850" s="8" t="s">
        <v>3292</v>
      </c>
      <c r="C850" s="8" t="s">
        <v>65</v>
      </c>
      <c r="D850" s="18" t="s">
        <v>2615</v>
      </c>
      <c r="E850" s="16">
        <v>62.0</v>
      </c>
    </row>
    <row r="851">
      <c r="A851" s="8" t="s">
        <v>1181</v>
      </c>
      <c r="B851" s="8" t="s">
        <v>3293</v>
      </c>
      <c r="C851" s="8" t="s">
        <v>65</v>
      </c>
      <c r="D851" s="18" t="s">
        <v>2574</v>
      </c>
      <c r="E851" s="16">
        <v>65.0</v>
      </c>
    </row>
    <row r="852">
      <c r="A852" s="8" t="s">
        <v>1181</v>
      </c>
      <c r="B852" s="8" t="s">
        <v>381</v>
      </c>
      <c r="C852" s="8" t="s">
        <v>122</v>
      </c>
      <c r="D852" s="18" t="s">
        <v>2603</v>
      </c>
      <c r="E852" s="16">
        <v>63.0</v>
      </c>
    </row>
    <row r="853">
      <c r="A853" s="8" t="s">
        <v>3667</v>
      </c>
      <c r="B853" s="18" t="s">
        <v>3668</v>
      </c>
      <c r="C853" s="8" t="s">
        <v>24</v>
      </c>
      <c r="D853" s="18" t="s">
        <v>2585</v>
      </c>
      <c r="E853" s="16">
        <v>65.0</v>
      </c>
    </row>
    <row r="854">
      <c r="A854" s="8" t="s">
        <v>3295</v>
      </c>
      <c r="B854" s="8" t="s">
        <v>2376</v>
      </c>
      <c r="C854" s="8" t="s">
        <v>65</v>
      </c>
      <c r="D854" s="18" t="s">
        <v>2183</v>
      </c>
      <c r="E854" s="16">
        <v>63.0</v>
      </c>
    </row>
    <row r="855">
      <c r="A855" s="8" t="s">
        <v>3669</v>
      </c>
      <c r="B855" s="8" t="s">
        <v>1172</v>
      </c>
      <c r="C855" s="8" t="s">
        <v>65</v>
      </c>
      <c r="D855" s="18" t="s">
        <v>2587</v>
      </c>
      <c r="E855" s="16">
        <v>70.0</v>
      </c>
    </row>
    <row r="856">
      <c r="A856" s="8" t="s">
        <v>933</v>
      </c>
      <c r="B856" s="8" t="s">
        <v>92</v>
      </c>
      <c r="C856" s="8" t="s">
        <v>122</v>
      </c>
      <c r="D856" s="18" t="s">
        <v>2566</v>
      </c>
      <c r="E856" s="16">
        <v>81.0</v>
      </c>
    </row>
    <row r="857">
      <c r="A857" s="8" t="s">
        <v>3296</v>
      </c>
      <c r="B857" s="8" t="s">
        <v>260</v>
      </c>
      <c r="C857" s="8" t="s">
        <v>24</v>
      </c>
      <c r="D857" s="18" t="s">
        <v>2614</v>
      </c>
      <c r="E857" s="16">
        <v>74.0</v>
      </c>
    </row>
    <row r="858">
      <c r="A858" s="8" t="s">
        <v>3670</v>
      </c>
      <c r="B858" s="8" t="s">
        <v>3671</v>
      </c>
      <c r="C858" s="8" t="s">
        <v>46</v>
      </c>
      <c r="D858" s="18" t="s">
        <v>2620</v>
      </c>
      <c r="E858" s="16">
        <v>62.0</v>
      </c>
    </row>
    <row r="859">
      <c r="A859" s="8" t="s">
        <v>3672</v>
      </c>
      <c r="B859" s="8" t="s">
        <v>165</v>
      </c>
      <c r="C859" s="8" t="s">
        <v>24</v>
      </c>
      <c r="D859" s="18" t="s">
        <v>2600</v>
      </c>
      <c r="E859" s="16">
        <v>70.0</v>
      </c>
    </row>
    <row r="860">
      <c r="A860" s="8" t="s">
        <v>2833</v>
      </c>
      <c r="B860" s="8" t="s">
        <v>247</v>
      </c>
      <c r="C860" s="8" t="s">
        <v>122</v>
      </c>
      <c r="D860" s="18" t="s">
        <v>2610</v>
      </c>
      <c r="E860" s="16">
        <v>60.0</v>
      </c>
    </row>
    <row r="861">
      <c r="A861" s="8" t="s">
        <v>934</v>
      </c>
      <c r="B861" s="8" t="s">
        <v>381</v>
      </c>
      <c r="C861" s="8" t="s">
        <v>65</v>
      </c>
      <c r="D861" s="18" t="s">
        <v>2598</v>
      </c>
      <c r="E861" s="16">
        <v>69.0</v>
      </c>
    </row>
    <row r="862">
      <c r="A862" s="8" t="s">
        <v>1185</v>
      </c>
      <c r="B862" s="8" t="s">
        <v>1186</v>
      </c>
      <c r="C862" s="8" t="s">
        <v>122</v>
      </c>
      <c r="D862" s="18" t="s">
        <v>2577</v>
      </c>
      <c r="E862" s="16">
        <v>68.0</v>
      </c>
    </row>
    <row r="863">
      <c r="A863" s="8" t="s">
        <v>2834</v>
      </c>
      <c r="B863" s="8" t="s">
        <v>84</v>
      </c>
      <c r="C863" s="8" t="s">
        <v>93</v>
      </c>
      <c r="D863" s="18" t="s">
        <v>2592</v>
      </c>
      <c r="E863" s="16">
        <v>77.0</v>
      </c>
    </row>
    <row r="864">
      <c r="A864" s="8" t="s">
        <v>3297</v>
      </c>
      <c r="B864" s="8" t="s">
        <v>1515</v>
      </c>
      <c r="C864" s="8" t="s">
        <v>261</v>
      </c>
      <c r="D864" s="18" t="s">
        <v>2593</v>
      </c>
      <c r="E864" s="16">
        <v>80.0</v>
      </c>
    </row>
    <row r="865">
      <c r="A865" s="8" t="s">
        <v>706</v>
      </c>
      <c r="B865" s="8" t="s">
        <v>707</v>
      </c>
      <c r="C865" s="8" t="s">
        <v>192</v>
      </c>
      <c r="D865" s="18" t="s">
        <v>2600</v>
      </c>
      <c r="E865" s="16">
        <v>75.0</v>
      </c>
    </row>
    <row r="866">
      <c r="A866" s="8" t="s">
        <v>1467</v>
      </c>
      <c r="B866" s="8" t="s">
        <v>29</v>
      </c>
      <c r="C866" s="8" t="s">
        <v>59</v>
      </c>
      <c r="D866" s="18" t="s">
        <v>2585</v>
      </c>
      <c r="E866" s="16">
        <v>70.0</v>
      </c>
    </row>
    <row r="867">
      <c r="A867" s="8" t="s">
        <v>3673</v>
      </c>
      <c r="B867" s="8" t="s">
        <v>3674</v>
      </c>
      <c r="C867" s="8" t="s">
        <v>192</v>
      </c>
      <c r="D867" s="18" t="s">
        <v>2595</v>
      </c>
      <c r="E867" s="16">
        <v>74.0</v>
      </c>
    </row>
    <row r="868">
      <c r="A868" s="8" t="s">
        <v>89</v>
      </c>
      <c r="B868" s="8" t="s">
        <v>212</v>
      </c>
      <c r="C868" s="8" t="s">
        <v>80</v>
      </c>
      <c r="D868" s="18" t="s">
        <v>2552</v>
      </c>
      <c r="E868" s="16">
        <v>68.0</v>
      </c>
    </row>
    <row r="869">
      <c r="A869" s="8" t="s">
        <v>89</v>
      </c>
      <c r="B869" s="8" t="s">
        <v>121</v>
      </c>
      <c r="C869" s="8" t="s">
        <v>93</v>
      </c>
      <c r="D869" s="18" t="s">
        <v>2581</v>
      </c>
      <c r="E869" s="16">
        <v>71.0</v>
      </c>
    </row>
    <row r="870">
      <c r="A870" s="8" t="s">
        <v>89</v>
      </c>
      <c r="B870" s="8" t="s">
        <v>871</v>
      </c>
      <c r="C870" s="8" t="s">
        <v>149</v>
      </c>
      <c r="D870" s="18" t="s">
        <v>2598</v>
      </c>
      <c r="E870" s="16">
        <v>73.0</v>
      </c>
    </row>
    <row r="871">
      <c r="A871" s="8" t="s">
        <v>89</v>
      </c>
      <c r="B871" s="8" t="s">
        <v>90</v>
      </c>
      <c r="C871" s="8" t="s">
        <v>24</v>
      </c>
      <c r="D871" s="18" t="s">
        <v>2610</v>
      </c>
      <c r="E871" s="16">
        <v>56.0</v>
      </c>
    </row>
    <row r="872">
      <c r="A872" s="8" t="s">
        <v>89</v>
      </c>
      <c r="B872" s="8" t="s">
        <v>3675</v>
      </c>
      <c r="C872" s="8" t="s">
        <v>59</v>
      </c>
      <c r="D872" s="18" t="s">
        <v>2610</v>
      </c>
      <c r="E872" s="16">
        <v>62.0</v>
      </c>
    </row>
    <row r="873">
      <c r="A873" s="8" t="s">
        <v>89</v>
      </c>
      <c r="B873" s="8" t="s">
        <v>506</v>
      </c>
      <c r="C873" s="8" t="s">
        <v>186</v>
      </c>
      <c r="D873" s="18" t="s">
        <v>2560</v>
      </c>
      <c r="E873" s="16">
        <v>81.0</v>
      </c>
    </row>
    <row r="874">
      <c r="A874" s="8" t="s">
        <v>89</v>
      </c>
      <c r="B874" s="8" t="s">
        <v>708</v>
      </c>
      <c r="C874" s="8" t="s">
        <v>24</v>
      </c>
      <c r="D874" s="18" t="s">
        <v>2183</v>
      </c>
      <c r="E874" s="16">
        <v>66.0</v>
      </c>
    </row>
    <row r="875">
      <c r="A875" s="8" t="s">
        <v>89</v>
      </c>
      <c r="B875" s="18" t="s">
        <v>1082</v>
      </c>
      <c r="C875" s="8" t="s">
        <v>93</v>
      </c>
      <c r="D875" s="18" t="s">
        <v>2595</v>
      </c>
      <c r="E875" s="16">
        <v>60.0</v>
      </c>
    </row>
    <row r="876">
      <c r="A876" s="8" t="s">
        <v>89</v>
      </c>
      <c r="B876" s="8" t="s">
        <v>3676</v>
      </c>
      <c r="C876" s="8" t="s">
        <v>70</v>
      </c>
      <c r="D876" s="18" t="s">
        <v>2585</v>
      </c>
      <c r="E876" s="16">
        <v>70.0</v>
      </c>
    </row>
    <row r="877">
      <c r="A877" s="8" t="s">
        <v>89</v>
      </c>
      <c r="B877" s="8" t="s">
        <v>273</v>
      </c>
      <c r="C877" s="8" t="s">
        <v>65</v>
      </c>
      <c r="D877" s="18" t="s">
        <v>2566</v>
      </c>
      <c r="E877" s="16">
        <v>73.0</v>
      </c>
    </row>
    <row r="878">
      <c r="A878" s="8" t="s">
        <v>89</v>
      </c>
      <c r="B878" s="8" t="s">
        <v>822</v>
      </c>
      <c r="C878" s="8" t="s">
        <v>93</v>
      </c>
      <c r="D878" s="18" t="s">
        <v>2582</v>
      </c>
      <c r="E878" s="16">
        <v>67.0</v>
      </c>
    </row>
    <row r="879">
      <c r="A879" s="8" t="s">
        <v>89</v>
      </c>
      <c r="B879" s="8" t="s">
        <v>301</v>
      </c>
      <c r="C879" s="8" t="s">
        <v>24</v>
      </c>
      <c r="D879" s="18" t="s">
        <v>2598</v>
      </c>
      <c r="E879" s="16">
        <v>54.0</v>
      </c>
    </row>
    <row r="880">
      <c r="A880" s="8" t="s">
        <v>89</v>
      </c>
      <c r="B880" s="8" t="s">
        <v>183</v>
      </c>
      <c r="C880" s="8" t="s">
        <v>132</v>
      </c>
      <c r="D880" s="18" t="s">
        <v>2552</v>
      </c>
      <c r="E880" s="16">
        <v>74.0</v>
      </c>
    </row>
    <row r="881">
      <c r="A881" s="8" t="s">
        <v>89</v>
      </c>
      <c r="B881" s="8" t="s">
        <v>67</v>
      </c>
      <c r="C881" s="8" t="s">
        <v>46</v>
      </c>
      <c r="D881" s="18" t="s">
        <v>2577</v>
      </c>
      <c r="E881" s="16">
        <v>76.0</v>
      </c>
    </row>
    <row r="882">
      <c r="A882" s="8" t="s">
        <v>89</v>
      </c>
      <c r="B882" s="8" t="s">
        <v>709</v>
      </c>
      <c r="C882" s="8" t="s">
        <v>215</v>
      </c>
      <c r="D882" s="18" t="s">
        <v>2560</v>
      </c>
      <c r="E882" s="16">
        <v>66.0</v>
      </c>
    </row>
    <row r="883">
      <c r="A883" s="8" t="s">
        <v>3677</v>
      </c>
      <c r="B883" s="8" t="s">
        <v>275</v>
      </c>
      <c r="C883" s="8" t="s">
        <v>93</v>
      </c>
      <c r="D883" s="18" t="s">
        <v>2620</v>
      </c>
      <c r="E883" s="16">
        <v>93.0</v>
      </c>
    </row>
    <row r="884">
      <c r="A884" s="8" t="s">
        <v>377</v>
      </c>
      <c r="B884" s="8" t="s">
        <v>378</v>
      </c>
      <c r="C884" s="8" t="s">
        <v>122</v>
      </c>
      <c r="D884" s="18" t="s">
        <v>2566</v>
      </c>
      <c r="E884" s="16">
        <v>84.0</v>
      </c>
    </row>
    <row r="885">
      <c r="A885" s="8" t="s">
        <v>377</v>
      </c>
      <c r="B885" s="8" t="s">
        <v>260</v>
      </c>
      <c r="C885" s="8" t="s">
        <v>59</v>
      </c>
      <c r="D885" s="18" t="s">
        <v>2577</v>
      </c>
      <c r="E885" s="16">
        <v>85.0</v>
      </c>
    </row>
    <row r="886">
      <c r="A886" s="8" t="s">
        <v>377</v>
      </c>
      <c r="B886" s="8" t="s">
        <v>1227</v>
      </c>
      <c r="C886" s="8" t="s">
        <v>132</v>
      </c>
      <c r="D886" s="18" t="s">
        <v>2560</v>
      </c>
      <c r="E886" s="16">
        <v>67.0</v>
      </c>
    </row>
    <row r="887">
      <c r="A887" s="8" t="s">
        <v>377</v>
      </c>
      <c r="B887" s="8" t="s">
        <v>710</v>
      </c>
      <c r="C887" s="8" t="s">
        <v>132</v>
      </c>
      <c r="D887" s="18" t="s">
        <v>2567</v>
      </c>
      <c r="E887" s="16">
        <v>73.0</v>
      </c>
    </row>
    <row r="888">
      <c r="A888" s="8" t="s">
        <v>1468</v>
      </c>
      <c r="B888" s="8" t="s">
        <v>399</v>
      </c>
      <c r="C888" s="8" t="s">
        <v>149</v>
      </c>
      <c r="D888" s="18" t="s">
        <v>2566</v>
      </c>
      <c r="E888" s="16">
        <v>67.0</v>
      </c>
    </row>
    <row r="889">
      <c r="A889" s="8" t="s">
        <v>1468</v>
      </c>
      <c r="B889" s="8" t="s">
        <v>441</v>
      </c>
      <c r="C889" s="8" t="s">
        <v>122</v>
      </c>
      <c r="D889" s="18" t="s">
        <v>2564</v>
      </c>
      <c r="E889" s="16">
        <v>65.0</v>
      </c>
    </row>
    <row r="890">
      <c r="A890" s="8" t="s">
        <v>115</v>
      </c>
      <c r="B890" s="8" t="s">
        <v>759</v>
      </c>
      <c r="C890" s="8" t="s">
        <v>12</v>
      </c>
      <c r="D890" s="18" t="s">
        <v>2603</v>
      </c>
      <c r="E890" s="16">
        <v>84.0</v>
      </c>
    </row>
    <row r="891">
      <c r="A891" s="8" t="s">
        <v>935</v>
      </c>
      <c r="B891" s="8" t="s">
        <v>936</v>
      </c>
      <c r="C891" s="8" t="s">
        <v>149</v>
      </c>
      <c r="D891" s="18" t="s">
        <v>2593</v>
      </c>
      <c r="E891" s="16">
        <v>72.0</v>
      </c>
    </row>
    <row r="892">
      <c r="A892" s="8" t="s">
        <v>1187</v>
      </c>
      <c r="B892" s="8" t="s">
        <v>55</v>
      </c>
      <c r="C892" s="8" t="s">
        <v>65</v>
      </c>
      <c r="D892" s="18" t="s">
        <v>2615</v>
      </c>
      <c r="E892" s="16">
        <v>73.0</v>
      </c>
    </row>
    <row r="893">
      <c r="A893" s="8" t="s">
        <v>1187</v>
      </c>
      <c r="B893" s="8" t="s">
        <v>669</v>
      </c>
      <c r="C893" s="8" t="s">
        <v>46</v>
      </c>
      <c r="D893" s="18" t="s">
        <v>2574</v>
      </c>
      <c r="E893" s="16">
        <v>62.0</v>
      </c>
    </row>
    <row r="894">
      <c r="A894" s="8" t="s">
        <v>1187</v>
      </c>
      <c r="B894" s="8" t="s">
        <v>1470</v>
      </c>
      <c r="C894" s="8" t="s">
        <v>46</v>
      </c>
      <c r="D894" s="18" t="s">
        <v>2577</v>
      </c>
      <c r="E894" s="16">
        <v>67.0</v>
      </c>
    </row>
    <row r="895">
      <c r="A895" s="8" t="s">
        <v>1187</v>
      </c>
      <c r="B895" s="8" t="s">
        <v>301</v>
      </c>
      <c r="C895" s="8" t="s">
        <v>93</v>
      </c>
      <c r="D895" s="18" t="s">
        <v>2558</v>
      </c>
      <c r="E895" s="16">
        <v>62.0</v>
      </c>
    </row>
    <row r="896">
      <c r="A896" s="8" t="s">
        <v>3298</v>
      </c>
      <c r="B896" s="8" t="s">
        <v>102</v>
      </c>
      <c r="C896" s="8" t="s">
        <v>141</v>
      </c>
      <c r="D896" s="18" t="s">
        <v>2592</v>
      </c>
      <c r="E896" s="16">
        <v>67.0</v>
      </c>
    </row>
    <row r="897">
      <c r="A897" s="8" t="s">
        <v>528</v>
      </c>
      <c r="B897" s="18" t="s">
        <v>529</v>
      </c>
      <c r="C897" s="8" t="s">
        <v>93</v>
      </c>
      <c r="D897" s="18" t="s">
        <v>2556</v>
      </c>
      <c r="E897" s="16">
        <v>70.0</v>
      </c>
    </row>
    <row r="898">
      <c r="A898" s="8" t="s">
        <v>528</v>
      </c>
      <c r="B898" s="8" t="s">
        <v>231</v>
      </c>
      <c r="C898" s="8" t="s">
        <v>138</v>
      </c>
      <c r="D898" s="18" t="s">
        <v>2615</v>
      </c>
      <c r="E898" s="16">
        <v>62.0</v>
      </c>
    </row>
    <row r="899">
      <c r="A899" s="8" t="s">
        <v>2839</v>
      </c>
      <c r="B899" s="8" t="s">
        <v>692</v>
      </c>
      <c r="C899" s="8" t="s">
        <v>138</v>
      </c>
      <c r="D899" s="18" t="s">
        <v>2593</v>
      </c>
      <c r="E899" s="16">
        <v>85.0</v>
      </c>
    </row>
    <row r="900">
      <c r="A900" s="8" t="s">
        <v>530</v>
      </c>
      <c r="B900" s="8" t="s">
        <v>11</v>
      </c>
      <c r="C900" s="8" t="s">
        <v>186</v>
      </c>
      <c r="D900" s="18" t="s">
        <v>2582</v>
      </c>
      <c r="E900" s="16">
        <v>70.0</v>
      </c>
    </row>
    <row r="901">
      <c r="A901" s="8" t="s">
        <v>530</v>
      </c>
      <c r="B901" s="8" t="s">
        <v>494</v>
      </c>
      <c r="C901" s="8" t="s">
        <v>93</v>
      </c>
      <c r="D901" s="18" t="s">
        <v>2572</v>
      </c>
      <c r="E901" s="16">
        <v>84.0</v>
      </c>
    </row>
    <row r="902">
      <c r="A902" s="8" t="s">
        <v>3299</v>
      </c>
      <c r="B902" s="8" t="s">
        <v>33</v>
      </c>
      <c r="C902" s="8" t="s">
        <v>65</v>
      </c>
      <c r="D902" s="18" t="s">
        <v>2581</v>
      </c>
      <c r="E902" s="16">
        <v>64.0</v>
      </c>
    </row>
    <row r="903">
      <c r="A903" s="8" t="s">
        <v>3678</v>
      </c>
      <c r="B903" s="8" t="s">
        <v>299</v>
      </c>
      <c r="C903" s="8" t="s">
        <v>16</v>
      </c>
      <c r="D903" s="18" t="s">
        <v>2603</v>
      </c>
      <c r="E903" s="16">
        <v>62.0</v>
      </c>
    </row>
    <row r="904">
      <c r="A904" s="8" t="s">
        <v>711</v>
      </c>
      <c r="B904" s="8" t="s">
        <v>712</v>
      </c>
      <c r="C904" s="8" t="s">
        <v>80</v>
      </c>
      <c r="D904" s="18" t="s">
        <v>2614</v>
      </c>
      <c r="E904" s="16">
        <v>73.0</v>
      </c>
    </row>
    <row r="905">
      <c r="A905" s="8" t="s">
        <v>711</v>
      </c>
      <c r="B905" s="8" t="s">
        <v>850</v>
      </c>
      <c r="C905" s="8" t="s">
        <v>138</v>
      </c>
      <c r="D905" s="18" t="s">
        <v>2562</v>
      </c>
      <c r="E905" s="16">
        <v>57.0</v>
      </c>
    </row>
    <row r="906">
      <c r="A906" s="8" t="s">
        <v>2840</v>
      </c>
      <c r="B906" s="8" t="s">
        <v>50</v>
      </c>
      <c r="C906" s="8" t="s">
        <v>186</v>
      </c>
      <c r="D906" s="18" t="s">
        <v>2556</v>
      </c>
      <c r="E906" s="16">
        <v>70.0</v>
      </c>
    </row>
    <row r="907">
      <c r="A907" s="8" t="s">
        <v>1188</v>
      </c>
      <c r="B907" s="8" t="s">
        <v>441</v>
      </c>
      <c r="C907" s="8" t="s">
        <v>16</v>
      </c>
      <c r="D907" s="18" t="s">
        <v>2552</v>
      </c>
      <c r="E907" s="16">
        <v>60.0</v>
      </c>
    </row>
    <row r="908">
      <c r="A908" s="8" t="s">
        <v>531</v>
      </c>
      <c r="B908" s="8" t="s">
        <v>532</v>
      </c>
      <c r="C908" s="8" t="s">
        <v>38</v>
      </c>
      <c r="D908" s="18" t="s">
        <v>2593</v>
      </c>
      <c r="E908" s="16">
        <v>82.0</v>
      </c>
    </row>
    <row r="909">
      <c r="A909" s="8" t="s">
        <v>3300</v>
      </c>
      <c r="B909" s="8" t="s">
        <v>500</v>
      </c>
      <c r="C909" s="8" t="s">
        <v>24</v>
      </c>
      <c r="D909" s="18" t="s">
        <v>2603</v>
      </c>
      <c r="E909" s="16">
        <v>71.0</v>
      </c>
    </row>
    <row r="910">
      <c r="A910" s="8" t="s">
        <v>1189</v>
      </c>
      <c r="B910" s="8" t="s">
        <v>1190</v>
      </c>
      <c r="C910" s="8" t="s">
        <v>24</v>
      </c>
      <c r="D910" s="18" t="s">
        <v>2593</v>
      </c>
      <c r="E910" s="16">
        <v>63.0</v>
      </c>
    </row>
    <row r="911">
      <c r="A911" s="8" t="s">
        <v>937</v>
      </c>
      <c r="B911" s="8" t="s">
        <v>3679</v>
      </c>
      <c r="C911" s="8" t="s">
        <v>186</v>
      </c>
      <c r="D911" s="18" t="s">
        <v>2560</v>
      </c>
      <c r="E911" s="16">
        <v>75.0</v>
      </c>
    </row>
    <row r="912">
      <c r="A912" s="8" t="s">
        <v>937</v>
      </c>
      <c r="B912" s="8" t="s">
        <v>938</v>
      </c>
      <c r="C912" s="8" t="s">
        <v>46</v>
      </c>
      <c r="D912" s="18" t="s">
        <v>2587</v>
      </c>
      <c r="E912" s="16">
        <v>68.0</v>
      </c>
    </row>
    <row r="913">
      <c r="A913" s="8" t="s">
        <v>116</v>
      </c>
      <c r="B913" s="8" t="s">
        <v>117</v>
      </c>
      <c r="C913" s="8" t="s">
        <v>16</v>
      </c>
      <c r="D913" s="18" t="s">
        <v>2584</v>
      </c>
      <c r="E913" s="16">
        <v>69.0</v>
      </c>
    </row>
    <row r="914">
      <c r="A914" s="8" t="s">
        <v>637</v>
      </c>
      <c r="B914" s="8" t="s">
        <v>1473</v>
      </c>
      <c r="C914" s="8" t="s">
        <v>70</v>
      </c>
      <c r="D914" s="18" t="s">
        <v>2621</v>
      </c>
      <c r="E914" s="16">
        <v>74.0</v>
      </c>
    </row>
    <row r="915">
      <c r="A915" s="8" t="s">
        <v>637</v>
      </c>
      <c r="B915" s="8" t="s">
        <v>1380</v>
      </c>
      <c r="C915" s="8" t="s">
        <v>24</v>
      </c>
      <c r="D915" s="18" t="s">
        <v>2572</v>
      </c>
      <c r="E915" s="16">
        <v>78.0</v>
      </c>
    </row>
    <row r="916">
      <c r="A916" s="8" t="s">
        <v>637</v>
      </c>
      <c r="B916" s="8" t="s">
        <v>247</v>
      </c>
      <c r="C916" s="8" t="s">
        <v>141</v>
      </c>
      <c r="D916" s="18" t="s">
        <v>2595</v>
      </c>
      <c r="E916" s="16">
        <v>60.0</v>
      </c>
    </row>
    <row r="917">
      <c r="A917" s="8" t="s">
        <v>637</v>
      </c>
      <c r="B917" s="8" t="s">
        <v>427</v>
      </c>
      <c r="C917" s="8" t="s">
        <v>24</v>
      </c>
      <c r="D917" s="18" t="s">
        <v>2558</v>
      </c>
      <c r="E917" s="16">
        <v>69.0</v>
      </c>
    </row>
    <row r="918">
      <c r="A918" s="8" t="s">
        <v>637</v>
      </c>
      <c r="B918" s="8" t="s">
        <v>1317</v>
      </c>
      <c r="C918" s="8" t="s">
        <v>122</v>
      </c>
      <c r="D918" s="18" t="s">
        <v>2575</v>
      </c>
      <c r="E918" s="16">
        <v>68.0</v>
      </c>
    </row>
    <row r="919">
      <c r="A919" s="8" t="s">
        <v>3680</v>
      </c>
      <c r="B919" s="8" t="s">
        <v>121</v>
      </c>
      <c r="C919" s="8" t="s">
        <v>186</v>
      </c>
      <c r="D919" s="18" t="s">
        <v>2614</v>
      </c>
      <c r="E919" s="16">
        <v>68.0</v>
      </c>
    </row>
    <row r="920">
      <c r="A920" s="8" t="s">
        <v>2127</v>
      </c>
      <c r="B920" s="8" t="s">
        <v>3681</v>
      </c>
      <c r="C920" s="8" t="s">
        <v>65</v>
      </c>
      <c r="D920" s="18" t="s">
        <v>2572</v>
      </c>
      <c r="E920" s="16">
        <v>67.0</v>
      </c>
    </row>
    <row r="921">
      <c r="A921" s="8" t="s">
        <v>3682</v>
      </c>
      <c r="B921" s="8" t="s">
        <v>3683</v>
      </c>
      <c r="C921" s="8" t="s">
        <v>186</v>
      </c>
      <c r="D921" s="18" t="s">
        <v>2567</v>
      </c>
      <c r="E921" s="16">
        <v>59.0</v>
      </c>
    </row>
    <row r="922">
      <c r="A922" s="8" t="s">
        <v>2843</v>
      </c>
      <c r="B922" s="8" t="s">
        <v>471</v>
      </c>
      <c r="C922" s="8" t="s">
        <v>53</v>
      </c>
      <c r="D922" s="18" t="s">
        <v>2566</v>
      </c>
      <c r="E922" s="16">
        <v>68.0</v>
      </c>
    </row>
    <row r="923">
      <c r="A923" s="8" t="s">
        <v>1195</v>
      </c>
      <c r="B923" s="8" t="s">
        <v>712</v>
      </c>
      <c r="C923" s="8" t="s">
        <v>24</v>
      </c>
      <c r="D923" s="18" t="s">
        <v>2620</v>
      </c>
      <c r="E923" s="16">
        <v>71.0</v>
      </c>
    </row>
    <row r="924">
      <c r="A924" s="8" t="s">
        <v>3684</v>
      </c>
      <c r="B924" s="8" t="s">
        <v>1915</v>
      </c>
      <c r="C924" s="8" t="s">
        <v>138</v>
      </c>
      <c r="D924" s="18" t="s">
        <v>2620</v>
      </c>
      <c r="E924" s="16">
        <v>59.0</v>
      </c>
    </row>
    <row r="925">
      <c r="A925" s="8" t="s">
        <v>1196</v>
      </c>
      <c r="B925" s="8" t="s">
        <v>1197</v>
      </c>
      <c r="C925" s="8" t="s">
        <v>59</v>
      </c>
      <c r="D925" s="18" t="s">
        <v>2581</v>
      </c>
      <c r="E925" s="16">
        <v>66.0</v>
      </c>
    </row>
    <row r="926">
      <c r="A926" s="8" t="s">
        <v>1196</v>
      </c>
      <c r="B926" s="8" t="s">
        <v>67</v>
      </c>
      <c r="C926" s="8" t="s">
        <v>261</v>
      </c>
      <c r="D926" s="18" t="s">
        <v>2610</v>
      </c>
      <c r="E926" s="16">
        <v>74.0</v>
      </c>
    </row>
    <row r="927">
      <c r="A927" s="8" t="s">
        <v>379</v>
      </c>
      <c r="B927" s="8" t="s">
        <v>52</v>
      </c>
      <c r="C927" s="8" t="s">
        <v>138</v>
      </c>
      <c r="D927" s="18" t="s">
        <v>2577</v>
      </c>
      <c r="E927" s="16">
        <v>88.0</v>
      </c>
    </row>
    <row r="928">
      <c r="A928" s="8" t="s">
        <v>2844</v>
      </c>
      <c r="B928" s="8" t="s">
        <v>2845</v>
      </c>
      <c r="C928" s="8" t="s">
        <v>65</v>
      </c>
      <c r="D928" s="18" t="s">
        <v>2577</v>
      </c>
      <c r="E928" s="16">
        <v>71.0</v>
      </c>
    </row>
    <row r="929">
      <c r="A929" s="8" t="s">
        <v>533</v>
      </c>
      <c r="B929" s="8" t="s">
        <v>534</v>
      </c>
      <c r="C929" s="8" t="s">
        <v>138</v>
      </c>
      <c r="D929" s="18" t="s">
        <v>2605</v>
      </c>
      <c r="E929" s="16">
        <v>78.0</v>
      </c>
    </row>
    <row r="930">
      <c r="A930" s="8" t="s">
        <v>533</v>
      </c>
      <c r="B930" s="8" t="s">
        <v>263</v>
      </c>
      <c r="C930" s="8" t="s">
        <v>186</v>
      </c>
      <c r="D930" s="18" t="s">
        <v>2564</v>
      </c>
      <c r="E930" s="16">
        <v>74.0</v>
      </c>
    </row>
    <row r="931">
      <c r="A931" s="8" t="s">
        <v>1198</v>
      </c>
      <c r="B931" s="8" t="s">
        <v>676</v>
      </c>
      <c r="C931" s="8" t="s">
        <v>24</v>
      </c>
      <c r="D931" s="18" t="s">
        <v>2593</v>
      </c>
      <c r="E931" s="16">
        <v>70.0</v>
      </c>
    </row>
    <row r="932">
      <c r="A932" s="8" t="s">
        <v>1835</v>
      </c>
      <c r="B932" s="8" t="s">
        <v>1786</v>
      </c>
      <c r="C932" s="8" t="s">
        <v>65</v>
      </c>
      <c r="D932" s="18" t="s">
        <v>2615</v>
      </c>
      <c r="E932" s="16">
        <v>63.0</v>
      </c>
    </row>
    <row r="933">
      <c r="A933" s="8" t="s">
        <v>535</v>
      </c>
      <c r="B933" s="18" t="s">
        <v>536</v>
      </c>
      <c r="C933" s="8" t="s">
        <v>59</v>
      </c>
      <c r="D933" s="18" t="s">
        <v>2600</v>
      </c>
      <c r="E933" s="16">
        <v>90.0</v>
      </c>
    </row>
    <row r="934">
      <c r="A934" s="8" t="s">
        <v>535</v>
      </c>
      <c r="B934" s="8" t="s">
        <v>1209</v>
      </c>
      <c r="C934" s="8" t="s">
        <v>70</v>
      </c>
      <c r="D934" s="18" t="s">
        <v>2595</v>
      </c>
      <c r="E934" s="16">
        <v>73.0</v>
      </c>
    </row>
    <row r="935">
      <c r="A935" s="8" t="s">
        <v>537</v>
      </c>
      <c r="B935" s="8" t="s">
        <v>822</v>
      </c>
      <c r="C935" s="8" t="s">
        <v>70</v>
      </c>
      <c r="D935" s="18" t="s">
        <v>2610</v>
      </c>
      <c r="E935" s="16">
        <v>81.0</v>
      </c>
    </row>
    <row r="936">
      <c r="A936" s="8" t="s">
        <v>537</v>
      </c>
      <c r="B936" s="8" t="s">
        <v>263</v>
      </c>
      <c r="C936" s="8" t="s">
        <v>122</v>
      </c>
      <c r="D936" s="18" t="s">
        <v>2603</v>
      </c>
      <c r="E936" s="16">
        <v>72.0</v>
      </c>
    </row>
    <row r="937">
      <c r="A937" s="8" t="s">
        <v>537</v>
      </c>
      <c r="B937" s="8" t="s">
        <v>301</v>
      </c>
      <c r="C937" s="8" t="s">
        <v>24</v>
      </c>
      <c r="D937" s="18" t="s">
        <v>2595</v>
      </c>
      <c r="E937" s="16">
        <v>78.0</v>
      </c>
    </row>
    <row r="938">
      <c r="A938" s="8" t="s">
        <v>537</v>
      </c>
      <c r="B938" s="8" t="s">
        <v>2087</v>
      </c>
      <c r="C938" s="8" t="s">
        <v>16</v>
      </c>
      <c r="D938" s="18" t="s">
        <v>2552</v>
      </c>
      <c r="E938" s="16">
        <v>68.0</v>
      </c>
    </row>
    <row r="939">
      <c r="A939" s="8" t="s">
        <v>537</v>
      </c>
      <c r="B939" s="8" t="s">
        <v>88</v>
      </c>
      <c r="C939" s="8" t="s">
        <v>65</v>
      </c>
      <c r="D939" s="18" t="s">
        <v>2574</v>
      </c>
      <c r="E939" s="16">
        <v>62.0</v>
      </c>
    </row>
    <row r="940">
      <c r="A940" s="8" t="s">
        <v>537</v>
      </c>
      <c r="B940" s="8" t="s">
        <v>713</v>
      </c>
      <c r="C940" s="8" t="s">
        <v>93</v>
      </c>
      <c r="D940" s="18" t="s">
        <v>2593</v>
      </c>
      <c r="E940" s="16">
        <v>60.0</v>
      </c>
    </row>
    <row r="941">
      <c r="A941" s="8" t="s">
        <v>537</v>
      </c>
      <c r="B941" s="8" t="s">
        <v>867</v>
      </c>
      <c r="C941" s="8" t="s">
        <v>65</v>
      </c>
      <c r="D941" s="18" t="s">
        <v>2183</v>
      </c>
      <c r="E941" s="16">
        <v>65.0</v>
      </c>
    </row>
    <row r="942">
      <c r="A942" s="8" t="s">
        <v>3301</v>
      </c>
      <c r="B942" s="8" t="s">
        <v>800</v>
      </c>
      <c r="C942" s="8" t="s">
        <v>93</v>
      </c>
      <c r="D942" s="18" t="s">
        <v>2610</v>
      </c>
      <c r="E942" s="16">
        <v>60.0</v>
      </c>
    </row>
    <row r="943">
      <c r="A943" s="8" t="s">
        <v>1837</v>
      </c>
      <c r="B943" s="8" t="s">
        <v>333</v>
      </c>
      <c r="C943" s="8" t="s">
        <v>70</v>
      </c>
      <c r="D943" s="18" t="s">
        <v>2562</v>
      </c>
      <c r="E943" s="16">
        <v>62.0</v>
      </c>
    </row>
    <row r="944">
      <c r="A944" s="8" t="s">
        <v>3685</v>
      </c>
      <c r="B944" s="8" t="s">
        <v>1624</v>
      </c>
      <c r="C944" s="8" t="s">
        <v>70</v>
      </c>
      <c r="D944" s="18" t="s">
        <v>2620</v>
      </c>
      <c r="E944" s="16">
        <v>76.0</v>
      </c>
    </row>
    <row r="945">
      <c r="A945" s="8" t="s">
        <v>539</v>
      </c>
      <c r="B945" s="18" t="s">
        <v>540</v>
      </c>
      <c r="C945" s="8" t="s">
        <v>65</v>
      </c>
      <c r="D945" s="18" t="s">
        <v>2567</v>
      </c>
      <c r="E945" s="16">
        <v>89.0</v>
      </c>
    </row>
    <row r="946">
      <c r="A946" s="8" t="s">
        <v>940</v>
      </c>
      <c r="B946" s="8" t="s">
        <v>212</v>
      </c>
      <c r="C946" s="8" t="s">
        <v>53</v>
      </c>
      <c r="D946" s="18" t="s">
        <v>2614</v>
      </c>
      <c r="E946" s="16">
        <v>74.0</v>
      </c>
    </row>
    <row r="947">
      <c r="A947" s="8" t="s">
        <v>3686</v>
      </c>
      <c r="B947" s="8" t="s">
        <v>480</v>
      </c>
      <c r="C947" s="8" t="s">
        <v>12</v>
      </c>
      <c r="D947" s="18" t="s">
        <v>2610</v>
      </c>
      <c r="E947" s="16">
        <v>69.0</v>
      </c>
    </row>
    <row r="948">
      <c r="A948" s="8" t="s">
        <v>3687</v>
      </c>
      <c r="B948" s="8" t="s">
        <v>294</v>
      </c>
      <c r="C948" s="8" t="s">
        <v>186</v>
      </c>
      <c r="D948" s="18" t="s">
        <v>2585</v>
      </c>
      <c r="E948" s="16">
        <v>69.0</v>
      </c>
    </row>
    <row r="949">
      <c r="A949" s="8" t="s">
        <v>274</v>
      </c>
      <c r="B949" s="8" t="s">
        <v>275</v>
      </c>
      <c r="C949" s="8" t="s">
        <v>65</v>
      </c>
      <c r="D949" s="18" t="s">
        <v>2600</v>
      </c>
      <c r="E949" s="16">
        <v>75.0</v>
      </c>
    </row>
    <row r="950">
      <c r="A950" s="8" t="s">
        <v>274</v>
      </c>
      <c r="B950" s="8" t="s">
        <v>119</v>
      </c>
      <c r="C950" s="8" t="s">
        <v>16</v>
      </c>
      <c r="D950" s="18" t="s">
        <v>2183</v>
      </c>
      <c r="E950" s="16">
        <v>67.0</v>
      </c>
    </row>
    <row r="951">
      <c r="A951" s="8" t="s">
        <v>276</v>
      </c>
      <c r="B951" s="8" t="s">
        <v>277</v>
      </c>
      <c r="C951" s="8" t="s">
        <v>65</v>
      </c>
      <c r="D951" s="18" t="s">
        <v>2556</v>
      </c>
      <c r="E951" s="16">
        <v>73.0</v>
      </c>
    </row>
    <row r="952">
      <c r="A952" s="8" t="s">
        <v>276</v>
      </c>
      <c r="B952" s="8" t="s">
        <v>724</v>
      </c>
      <c r="C952" s="8" t="s">
        <v>24</v>
      </c>
      <c r="D952" s="18" t="s">
        <v>2556</v>
      </c>
      <c r="E952" s="16">
        <v>60.0</v>
      </c>
    </row>
    <row r="953">
      <c r="A953" s="8" t="s">
        <v>276</v>
      </c>
      <c r="B953" s="8" t="s">
        <v>501</v>
      </c>
      <c r="C953" s="8" t="s">
        <v>53</v>
      </c>
      <c r="D953" s="18" t="s">
        <v>2584</v>
      </c>
      <c r="E953" s="16">
        <v>66.0</v>
      </c>
    </row>
    <row r="954">
      <c r="A954" s="8" t="s">
        <v>714</v>
      </c>
      <c r="B954" s="8" t="s">
        <v>532</v>
      </c>
      <c r="C954" s="8" t="s">
        <v>65</v>
      </c>
      <c r="D954" s="18" t="s">
        <v>2556</v>
      </c>
      <c r="E954" s="16">
        <v>63.0</v>
      </c>
    </row>
    <row r="955">
      <c r="A955" s="8" t="s">
        <v>2135</v>
      </c>
      <c r="B955" s="8" t="s">
        <v>2848</v>
      </c>
      <c r="C955" s="8" t="s">
        <v>122</v>
      </c>
      <c r="D955" s="18" t="s">
        <v>2582</v>
      </c>
      <c r="E955" s="16">
        <v>70.0</v>
      </c>
    </row>
    <row r="956">
      <c r="A956" s="8" t="s">
        <v>941</v>
      </c>
      <c r="B956" s="8" t="s">
        <v>942</v>
      </c>
      <c r="C956" s="8" t="s">
        <v>122</v>
      </c>
      <c r="D956" s="18" t="s">
        <v>2577</v>
      </c>
      <c r="E956" s="16">
        <v>60.0</v>
      </c>
    </row>
    <row r="957">
      <c r="A957" s="8" t="s">
        <v>2849</v>
      </c>
      <c r="B957" s="8" t="s">
        <v>137</v>
      </c>
      <c r="C957" s="8" t="s">
        <v>24</v>
      </c>
      <c r="D957" s="18" t="s">
        <v>2595</v>
      </c>
      <c r="E957" s="16">
        <v>74.0</v>
      </c>
    </row>
    <row r="958">
      <c r="A958" s="8" t="s">
        <v>1843</v>
      </c>
      <c r="B958" s="8" t="s">
        <v>464</v>
      </c>
      <c r="C958" s="8" t="s">
        <v>24</v>
      </c>
      <c r="D958" s="18" t="s">
        <v>2598</v>
      </c>
      <c r="E958" s="16">
        <v>70.0</v>
      </c>
    </row>
    <row r="959">
      <c r="A959" s="8" t="s">
        <v>715</v>
      </c>
      <c r="B959" s="8" t="s">
        <v>943</v>
      </c>
      <c r="C959" s="8" t="s">
        <v>65</v>
      </c>
      <c r="D959" s="18" t="s">
        <v>2562</v>
      </c>
      <c r="E959" s="8">
        <v>93.0</v>
      </c>
    </row>
    <row r="960">
      <c r="A960" s="8" t="s">
        <v>715</v>
      </c>
      <c r="B960" s="8" t="s">
        <v>37</v>
      </c>
      <c r="C960" s="8" t="s">
        <v>12</v>
      </c>
      <c r="D960" s="18" t="s">
        <v>2582</v>
      </c>
      <c r="E960" s="8">
        <v>77.0</v>
      </c>
    </row>
    <row r="961">
      <c r="A961" s="8" t="s">
        <v>715</v>
      </c>
      <c r="B961" s="8" t="s">
        <v>865</v>
      </c>
      <c r="C961" s="8" t="s">
        <v>132</v>
      </c>
      <c r="D961" s="18" t="s">
        <v>2610</v>
      </c>
      <c r="E961" s="16">
        <v>65.0</v>
      </c>
    </row>
    <row r="962">
      <c r="A962" s="8" t="s">
        <v>541</v>
      </c>
      <c r="B962" s="8" t="s">
        <v>542</v>
      </c>
      <c r="C962" s="8" t="s">
        <v>215</v>
      </c>
      <c r="D962" s="18" t="s">
        <v>2574</v>
      </c>
      <c r="E962" s="16">
        <v>70.0</v>
      </c>
    </row>
    <row r="963">
      <c r="A963" s="8" t="s">
        <v>3688</v>
      </c>
      <c r="B963" s="8" t="s">
        <v>2261</v>
      </c>
      <c r="C963" s="8" t="s">
        <v>261</v>
      </c>
      <c r="D963" s="18" t="s">
        <v>2595</v>
      </c>
      <c r="E963" s="16">
        <v>63.0</v>
      </c>
    </row>
    <row r="964">
      <c r="A964" s="8" t="s">
        <v>2850</v>
      </c>
      <c r="B964" s="8" t="s">
        <v>1808</v>
      </c>
      <c r="C964" s="8" t="s">
        <v>93</v>
      </c>
      <c r="D964" s="18" t="s">
        <v>2584</v>
      </c>
      <c r="E964" s="16">
        <v>76.0</v>
      </c>
    </row>
    <row r="965">
      <c r="A965" s="8" t="s">
        <v>3689</v>
      </c>
      <c r="B965" s="8" t="s">
        <v>936</v>
      </c>
      <c r="C965" s="8" t="s">
        <v>24</v>
      </c>
      <c r="D965" s="18" t="s">
        <v>2605</v>
      </c>
      <c r="E965" s="16">
        <v>68.0</v>
      </c>
    </row>
    <row r="966">
      <c r="A966" s="8" t="s">
        <v>380</v>
      </c>
      <c r="B966" s="8" t="s">
        <v>381</v>
      </c>
      <c r="C966" s="8" t="s">
        <v>53</v>
      </c>
      <c r="D966" s="18" t="s">
        <v>2183</v>
      </c>
      <c r="E966" s="16">
        <v>97.0</v>
      </c>
    </row>
    <row r="967">
      <c r="A967" s="8" t="s">
        <v>380</v>
      </c>
      <c r="B967" s="8" t="s">
        <v>3305</v>
      </c>
      <c r="C967" s="8" t="s">
        <v>59</v>
      </c>
      <c r="D967" s="18" t="s">
        <v>2605</v>
      </c>
      <c r="E967" s="16">
        <v>81.0</v>
      </c>
    </row>
    <row r="968">
      <c r="A968" s="8" t="s">
        <v>1199</v>
      </c>
      <c r="B968" s="8" t="s">
        <v>943</v>
      </c>
      <c r="C968" s="8" t="s">
        <v>80</v>
      </c>
      <c r="D968" s="18" t="s">
        <v>2605</v>
      </c>
      <c r="E968" s="16">
        <v>68.0</v>
      </c>
    </row>
    <row r="969">
      <c r="A969" s="8" t="s">
        <v>1200</v>
      </c>
      <c r="B969" s="8" t="s">
        <v>464</v>
      </c>
      <c r="C969" s="8" t="s">
        <v>149</v>
      </c>
      <c r="D969" s="18" t="s">
        <v>2556</v>
      </c>
      <c r="E969" s="16">
        <v>80.0</v>
      </c>
    </row>
    <row r="970">
      <c r="A970" s="8" t="s">
        <v>1200</v>
      </c>
      <c r="B970" s="8" t="s">
        <v>3306</v>
      </c>
      <c r="C970" s="8" t="s">
        <v>138</v>
      </c>
      <c r="D970" s="18" t="s">
        <v>2183</v>
      </c>
      <c r="E970" s="16">
        <v>83.0</v>
      </c>
    </row>
    <row r="971">
      <c r="A971" s="8" t="s">
        <v>1200</v>
      </c>
      <c r="B971" s="8" t="s">
        <v>263</v>
      </c>
      <c r="C971" s="8" t="s">
        <v>70</v>
      </c>
      <c r="D971" s="18" t="s">
        <v>2605</v>
      </c>
      <c r="E971" s="16">
        <v>66.0</v>
      </c>
    </row>
    <row r="972">
      <c r="A972" s="8" t="s">
        <v>1200</v>
      </c>
      <c r="B972" s="8" t="s">
        <v>1201</v>
      </c>
      <c r="C972" s="8" t="s">
        <v>93</v>
      </c>
      <c r="D972" s="18" t="s">
        <v>2581</v>
      </c>
      <c r="E972" s="16">
        <v>72.0</v>
      </c>
    </row>
    <row r="973">
      <c r="A973" s="8" t="s">
        <v>156</v>
      </c>
      <c r="B973" s="8" t="s">
        <v>157</v>
      </c>
      <c r="C973" s="8" t="s">
        <v>16</v>
      </c>
      <c r="D973" s="18" t="s">
        <v>2605</v>
      </c>
      <c r="E973" s="16">
        <v>73.0</v>
      </c>
    </row>
    <row r="974">
      <c r="A974" s="8" t="s">
        <v>716</v>
      </c>
      <c r="B974" s="8" t="s">
        <v>275</v>
      </c>
      <c r="C974" s="8" t="s">
        <v>75</v>
      </c>
      <c r="D974" s="18" t="s">
        <v>2577</v>
      </c>
      <c r="E974" s="16">
        <v>67.0</v>
      </c>
    </row>
    <row r="975">
      <c r="A975" s="8" t="s">
        <v>118</v>
      </c>
      <c r="B975" s="8" t="s">
        <v>119</v>
      </c>
      <c r="C975" s="8" t="s">
        <v>38</v>
      </c>
      <c r="D975" s="18" t="s">
        <v>2610</v>
      </c>
      <c r="E975" s="16">
        <v>77.0</v>
      </c>
    </row>
    <row r="976">
      <c r="A976" s="8" t="s">
        <v>382</v>
      </c>
      <c r="B976" s="8" t="s">
        <v>383</v>
      </c>
      <c r="C976" s="8" t="s">
        <v>141</v>
      </c>
      <c r="D976" s="18" t="s">
        <v>2556</v>
      </c>
      <c r="E976" s="16">
        <v>85.0</v>
      </c>
    </row>
    <row r="977">
      <c r="A977" s="8" t="s">
        <v>2851</v>
      </c>
      <c r="B977" s="8" t="s">
        <v>301</v>
      </c>
      <c r="C977" s="8" t="s">
        <v>65</v>
      </c>
      <c r="D977" s="18" t="s">
        <v>2564</v>
      </c>
      <c r="E977" s="16">
        <v>70.0</v>
      </c>
    </row>
    <row r="978">
      <c r="A978" s="8" t="s">
        <v>2851</v>
      </c>
      <c r="B978" s="8" t="s">
        <v>2852</v>
      </c>
      <c r="C978" s="8" t="s">
        <v>80</v>
      </c>
      <c r="D978" s="18" t="s">
        <v>2621</v>
      </c>
      <c r="E978" s="16">
        <v>72.0</v>
      </c>
    </row>
    <row r="979">
      <c r="A979" s="8" t="s">
        <v>278</v>
      </c>
      <c r="B979" s="8" t="s">
        <v>279</v>
      </c>
      <c r="C979" s="8" t="s">
        <v>215</v>
      </c>
      <c r="D979" s="18" t="s">
        <v>2587</v>
      </c>
      <c r="E979" s="16">
        <v>88.0</v>
      </c>
    </row>
    <row r="980">
      <c r="A980" s="8" t="s">
        <v>278</v>
      </c>
      <c r="B980" s="8" t="s">
        <v>3309</v>
      </c>
      <c r="C980" s="8" t="s">
        <v>122</v>
      </c>
      <c r="D980" s="18" t="s">
        <v>2566</v>
      </c>
      <c r="E980" s="16">
        <v>65.0</v>
      </c>
    </row>
    <row r="981">
      <c r="A981" s="8" t="s">
        <v>3690</v>
      </c>
      <c r="B981" s="8" t="s">
        <v>23</v>
      </c>
      <c r="C981" s="8" t="s">
        <v>215</v>
      </c>
      <c r="D981" s="18" t="s">
        <v>2615</v>
      </c>
      <c r="E981" s="16">
        <v>70.0</v>
      </c>
    </row>
    <row r="982">
      <c r="A982" s="8" t="s">
        <v>543</v>
      </c>
      <c r="B982" s="8" t="s">
        <v>544</v>
      </c>
      <c r="C982" s="8" t="s">
        <v>24</v>
      </c>
      <c r="D982" s="18" t="s">
        <v>2615</v>
      </c>
      <c r="E982" s="16">
        <v>51.0</v>
      </c>
    </row>
    <row r="983">
      <c r="A983" s="8" t="s">
        <v>717</v>
      </c>
      <c r="B983" s="8" t="s">
        <v>183</v>
      </c>
      <c r="C983" s="8" t="s">
        <v>186</v>
      </c>
      <c r="D983" s="18" t="s">
        <v>2581</v>
      </c>
      <c r="E983" s="16">
        <v>61.0</v>
      </c>
    </row>
    <row r="984">
      <c r="A984" s="8" t="s">
        <v>2853</v>
      </c>
      <c r="B984" s="8" t="s">
        <v>155</v>
      </c>
      <c r="C984" s="8" t="s">
        <v>186</v>
      </c>
      <c r="D984" s="18" t="s">
        <v>2600</v>
      </c>
      <c r="E984" s="16">
        <v>68.0</v>
      </c>
    </row>
    <row r="985">
      <c r="A985" s="8" t="s">
        <v>1202</v>
      </c>
      <c r="B985" s="8" t="s">
        <v>11</v>
      </c>
      <c r="C985" s="8" t="s">
        <v>65</v>
      </c>
      <c r="D985" s="18" t="s">
        <v>2592</v>
      </c>
      <c r="E985" s="16">
        <v>67.0</v>
      </c>
    </row>
    <row r="986">
      <c r="A986" s="8" t="s">
        <v>1202</v>
      </c>
      <c r="B986" s="18" t="s">
        <v>529</v>
      </c>
      <c r="C986" s="8" t="s">
        <v>149</v>
      </c>
      <c r="D986" s="18" t="s">
        <v>2589</v>
      </c>
      <c r="E986" s="16">
        <v>73.0</v>
      </c>
    </row>
    <row r="987">
      <c r="A987" s="8" t="s">
        <v>1203</v>
      </c>
      <c r="B987" s="8" t="s">
        <v>161</v>
      </c>
      <c r="C987" s="8" t="s">
        <v>16</v>
      </c>
      <c r="D987" s="18" t="s">
        <v>2558</v>
      </c>
      <c r="E987" s="16">
        <v>70.0</v>
      </c>
    </row>
    <row r="988">
      <c r="A988" s="8" t="s">
        <v>205</v>
      </c>
      <c r="B988" s="8" t="s">
        <v>957</v>
      </c>
      <c r="C988" s="8" t="s">
        <v>70</v>
      </c>
      <c r="D988" s="18" t="s">
        <v>2562</v>
      </c>
      <c r="E988" s="16">
        <v>64.0</v>
      </c>
    </row>
    <row r="989">
      <c r="A989" s="8" t="s">
        <v>205</v>
      </c>
      <c r="B989" s="8" t="s">
        <v>1249</v>
      </c>
      <c r="C989" s="8" t="s">
        <v>141</v>
      </c>
      <c r="D989" s="18" t="s">
        <v>2603</v>
      </c>
      <c r="E989" s="16">
        <v>67.0</v>
      </c>
    </row>
    <row r="990">
      <c r="A990" s="8" t="s">
        <v>205</v>
      </c>
      <c r="B990" s="8" t="s">
        <v>206</v>
      </c>
      <c r="C990" s="8" t="s">
        <v>138</v>
      </c>
      <c r="D990" s="18" t="s">
        <v>2610</v>
      </c>
      <c r="E990" s="16">
        <v>65.0</v>
      </c>
    </row>
    <row r="991">
      <c r="A991" s="8" t="s">
        <v>1380</v>
      </c>
      <c r="B991" s="8" t="s">
        <v>1846</v>
      </c>
      <c r="C991" s="8" t="s">
        <v>215</v>
      </c>
      <c r="D991" s="18" t="s">
        <v>2552</v>
      </c>
      <c r="E991" s="16">
        <v>72.0</v>
      </c>
    </row>
    <row r="992">
      <c r="A992" s="8" t="s">
        <v>1380</v>
      </c>
      <c r="B992" s="8" t="s">
        <v>381</v>
      </c>
      <c r="C992" s="8" t="s">
        <v>65</v>
      </c>
      <c r="D992" s="18" t="s">
        <v>2621</v>
      </c>
      <c r="E992" s="16">
        <v>71.0</v>
      </c>
    </row>
    <row r="993">
      <c r="A993" s="8" t="s">
        <v>945</v>
      </c>
      <c r="B993" s="8" t="s">
        <v>460</v>
      </c>
      <c r="C993" s="8" t="s">
        <v>65</v>
      </c>
      <c r="D993" s="18" t="s">
        <v>2584</v>
      </c>
      <c r="E993" s="16">
        <v>85.0</v>
      </c>
    </row>
    <row r="994">
      <c r="A994" s="8" t="s">
        <v>944</v>
      </c>
      <c r="B994" s="8" t="s">
        <v>2854</v>
      </c>
      <c r="C994" s="8" t="s">
        <v>192</v>
      </c>
      <c r="D994" s="18" t="s">
        <v>2605</v>
      </c>
      <c r="E994" s="16">
        <v>63.0</v>
      </c>
    </row>
    <row r="995">
      <c r="A995" s="8" t="s">
        <v>944</v>
      </c>
      <c r="B995" s="8" t="s">
        <v>260</v>
      </c>
      <c r="C995" s="8" t="s">
        <v>75</v>
      </c>
      <c r="D995" s="18" t="s">
        <v>2575</v>
      </c>
      <c r="E995" s="16">
        <v>66.0</v>
      </c>
    </row>
    <row r="996">
      <c r="A996" s="8" t="s">
        <v>718</v>
      </c>
      <c r="B996" s="8" t="s">
        <v>366</v>
      </c>
      <c r="C996" s="8" t="s">
        <v>70</v>
      </c>
      <c r="D996" s="18" t="s">
        <v>2585</v>
      </c>
      <c r="E996" s="16">
        <v>81.0</v>
      </c>
    </row>
    <row r="997">
      <c r="A997" s="8" t="s">
        <v>718</v>
      </c>
      <c r="B997" s="8" t="s">
        <v>719</v>
      </c>
      <c r="C997" s="8" t="s">
        <v>80</v>
      </c>
      <c r="D997" s="18" t="s">
        <v>2558</v>
      </c>
      <c r="E997" s="16">
        <v>80.0</v>
      </c>
    </row>
    <row r="998">
      <c r="A998" s="8" t="s">
        <v>1480</v>
      </c>
      <c r="B998" s="8" t="s">
        <v>1481</v>
      </c>
      <c r="C998" s="8" t="s">
        <v>132</v>
      </c>
      <c r="D998" s="18" t="s">
        <v>2603</v>
      </c>
      <c r="E998" s="16">
        <v>75.0</v>
      </c>
    </row>
    <row r="999">
      <c r="A999" s="8" t="s">
        <v>3310</v>
      </c>
      <c r="B999" s="8" t="s">
        <v>1486</v>
      </c>
      <c r="C999" s="8" t="s">
        <v>192</v>
      </c>
      <c r="D999" s="18" t="s">
        <v>2582</v>
      </c>
      <c r="E999" s="16">
        <v>77.0</v>
      </c>
    </row>
    <row r="1000">
      <c r="A1000" s="8" t="s">
        <v>2857</v>
      </c>
      <c r="B1000" s="8" t="s">
        <v>50</v>
      </c>
      <c r="C1000" s="8" t="s">
        <v>46</v>
      </c>
      <c r="D1000" s="18" t="s">
        <v>2560</v>
      </c>
      <c r="E1000" s="16">
        <v>69.0</v>
      </c>
    </row>
    <row r="1001">
      <c r="A1001" s="8" t="s">
        <v>3311</v>
      </c>
      <c r="B1001" s="8" t="s">
        <v>724</v>
      </c>
      <c r="C1001" s="8" t="s">
        <v>141</v>
      </c>
      <c r="D1001" s="18" t="s">
        <v>2554</v>
      </c>
      <c r="E1001" s="16">
        <v>65.0</v>
      </c>
    </row>
    <row r="1002">
      <c r="A1002" s="8" t="s">
        <v>545</v>
      </c>
      <c r="B1002" s="8" t="s">
        <v>546</v>
      </c>
      <c r="C1002" s="8" t="s">
        <v>80</v>
      </c>
      <c r="D1002" s="18" t="s">
        <v>2610</v>
      </c>
      <c r="E1002" s="16">
        <v>84.0</v>
      </c>
    </row>
    <row r="1003">
      <c r="A1003" s="8" t="s">
        <v>73</v>
      </c>
      <c r="B1003" s="8" t="s">
        <v>74</v>
      </c>
      <c r="C1003" s="8" t="s">
        <v>75</v>
      </c>
      <c r="D1003" s="18" t="s">
        <v>2587</v>
      </c>
      <c r="E1003" s="16">
        <v>90.0</v>
      </c>
    </row>
    <row r="1004">
      <c r="A1004" s="8" t="s">
        <v>384</v>
      </c>
      <c r="B1004" s="8" t="s">
        <v>471</v>
      </c>
      <c r="C1004" s="8" t="s">
        <v>70</v>
      </c>
      <c r="D1004" s="18" t="s">
        <v>2595</v>
      </c>
      <c r="E1004" s="16">
        <v>83.0</v>
      </c>
    </row>
    <row r="1005">
      <c r="A1005" s="8" t="s">
        <v>384</v>
      </c>
      <c r="B1005" s="8" t="s">
        <v>385</v>
      </c>
      <c r="C1005" s="8" t="s">
        <v>59</v>
      </c>
      <c r="D1005" s="18" t="s">
        <v>2572</v>
      </c>
      <c r="E1005" s="16">
        <v>86.0</v>
      </c>
    </row>
    <row r="1006">
      <c r="A1006" s="8" t="s">
        <v>386</v>
      </c>
      <c r="B1006" s="8" t="s">
        <v>387</v>
      </c>
      <c r="C1006" s="8" t="s">
        <v>65</v>
      </c>
      <c r="D1006" s="18" t="s">
        <v>2572</v>
      </c>
      <c r="E1006" s="16">
        <v>72.0</v>
      </c>
    </row>
    <row r="1007">
      <c r="A1007" s="8" t="s">
        <v>1482</v>
      </c>
      <c r="B1007" s="8" t="s">
        <v>176</v>
      </c>
      <c r="C1007" s="8" t="s">
        <v>138</v>
      </c>
      <c r="D1007" s="18" t="s">
        <v>2582</v>
      </c>
      <c r="E1007" s="16">
        <v>66.0</v>
      </c>
    </row>
    <row r="1008">
      <c r="A1008" s="8" t="s">
        <v>280</v>
      </c>
      <c r="B1008" s="8" t="s">
        <v>249</v>
      </c>
      <c r="C1008" s="8" t="s">
        <v>53</v>
      </c>
      <c r="D1008" s="18" t="s">
        <v>2556</v>
      </c>
      <c r="E1008" s="16">
        <v>81.0</v>
      </c>
    </row>
    <row r="1009">
      <c r="A1009" s="8" t="s">
        <v>1483</v>
      </c>
      <c r="B1009" s="8" t="s">
        <v>506</v>
      </c>
      <c r="C1009" s="8" t="s">
        <v>138</v>
      </c>
      <c r="D1009" s="18" t="s">
        <v>2614</v>
      </c>
      <c r="E1009" s="16">
        <v>67.0</v>
      </c>
    </row>
    <row r="1010">
      <c r="A1010" s="8" t="s">
        <v>1483</v>
      </c>
      <c r="B1010" s="8" t="s">
        <v>317</v>
      </c>
      <c r="C1010" s="8" t="s">
        <v>186</v>
      </c>
      <c r="D1010" s="18" t="s">
        <v>2567</v>
      </c>
      <c r="E1010" s="16">
        <v>76.0</v>
      </c>
    </row>
    <row r="1011">
      <c r="A1011" s="8" t="s">
        <v>722</v>
      </c>
      <c r="B1011" s="8" t="s">
        <v>723</v>
      </c>
      <c r="C1011" s="8" t="s">
        <v>192</v>
      </c>
      <c r="D1011" s="18" t="s">
        <v>2598</v>
      </c>
      <c r="E1011" s="16">
        <v>76.0</v>
      </c>
    </row>
    <row r="1012">
      <c r="A1012" s="8" t="s">
        <v>207</v>
      </c>
      <c r="B1012" s="8" t="s">
        <v>183</v>
      </c>
      <c r="C1012" s="8" t="s">
        <v>75</v>
      </c>
      <c r="D1012" s="18" t="s">
        <v>2589</v>
      </c>
      <c r="E1012" s="16">
        <v>86.0</v>
      </c>
    </row>
    <row r="1013">
      <c r="A1013" s="8" t="s">
        <v>2859</v>
      </c>
      <c r="B1013" s="8" t="s">
        <v>275</v>
      </c>
      <c r="C1013" s="8" t="s">
        <v>70</v>
      </c>
      <c r="D1013" s="18" t="s">
        <v>2584</v>
      </c>
      <c r="E1013" s="16">
        <v>82.0</v>
      </c>
    </row>
    <row r="1014">
      <c r="A1014" s="8" t="s">
        <v>3313</v>
      </c>
      <c r="B1014" s="8" t="s">
        <v>340</v>
      </c>
      <c r="C1014" s="8" t="s">
        <v>93</v>
      </c>
      <c r="D1014" s="18" t="s">
        <v>2585</v>
      </c>
      <c r="E1014" s="16">
        <v>63.0</v>
      </c>
    </row>
    <row r="1015">
      <c r="A1015" s="8" t="s">
        <v>360</v>
      </c>
      <c r="B1015" s="8" t="s">
        <v>2113</v>
      </c>
      <c r="C1015" s="8" t="s">
        <v>59</v>
      </c>
      <c r="D1015" s="18" t="s">
        <v>2584</v>
      </c>
      <c r="E1015" s="16">
        <v>76.0</v>
      </c>
    </row>
    <row r="1016">
      <c r="A1016" s="8" t="s">
        <v>208</v>
      </c>
      <c r="B1016" s="8" t="s">
        <v>3691</v>
      </c>
      <c r="C1016" s="8" t="s">
        <v>93</v>
      </c>
      <c r="D1016" s="18" t="s">
        <v>2589</v>
      </c>
      <c r="E1016" s="16">
        <v>69.0</v>
      </c>
    </row>
    <row r="1017">
      <c r="A1017" s="8" t="s">
        <v>208</v>
      </c>
      <c r="B1017" s="8" t="s">
        <v>136</v>
      </c>
      <c r="C1017" s="8" t="s">
        <v>80</v>
      </c>
      <c r="D1017" s="18" t="s">
        <v>2566</v>
      </c>
      <c r="E1017" s="16">
        <v>68.0</v>
      </c>
    </row>
    <row r="1018">
      <c r="A1018" s="8" t="s">
        <v>208</v>
      </c>
      <c r="B1018" s="8" t="s">
        <v>800</v>
      </c>
      <c r="C1018" s="8" t="s">
        <v>70</v>
      </c>
      <c r="D1018" s="18" t="s">
        <v>2614</v>
      </c>
      <c r="E1018" s="16">
        <v>67.0</v>
      </c>
    </row>
    <row r="1019">
      <c r="A1019" s="8" t="s">
        <v>208</v>
      </c>
      <c r="B1019" s="8" t="s">
        <v>209</v>
      </c>
      <c r="C1019" s="8" t="s">
        <v>65</v>
      </c>
      <c r="D1019" s="18" t="s">
        <v>2582</v>
      </c>
      <c r="E1019" s="16">
        <v>84.0</v>
      </c>
    </row>
    <row r="1020">
      <c r="A1020" s="8" t="s">
        <v>208</v>
      </c>
      <c r="B1020" s="8" t="s">
        <v>31</v>
      </c>
      <c r="C1020" s="8" t="s">
        <v>70</v>
      </c>
      <c r="D1020" s="18" t="s">
        <v>2558</v>
      </c>
      <c r="E1020" s="16">
        <v>60.0</v>
      </c>
    </row>
    <row r="1021">
      <c r="A1021" s="8" t="s">
        <v>208</v>
      </c>
      <c r="B1021" s="18" t="s">
        <v>3692</v>
      </c>
      <c r="C1021" s="8" t="s">
        <v>186</v>
      </c>
      <c r="D1021" s="18" t="s">
        <v>2567</v>
      </c>
      <c r="E1021" s="16">
        <v>79.0</v>
      </c>
    </row>
    <row r="1022">
      <c r="A1022" s="8" t="s">
        <v>208</v>
      </c>
      <c r="B1022" s="8" t="s">
        <v>724</v>
      </c>
      <c r="C1022" s="8" t="s">
        <v>75</v>
      </c>
      <c r="D1022" s="18" t="s">
        <v>2556</v>
      </c>
      <c r="E1022" s="16">
        <v>83.0</v>
      </c>
    </row>
    <row r="1023">
      <c r="A1023" s="8" t="s">
        <v>208</v>
      </c>
      <c r="B1023" s="8" t="s">
        <v>281</v>
      </c>
      <c r="C1023" s="8" t="s">
        <v>93</v>
      </c>
      <c r="D1023" s="18" t="s">
        <v>2562</v>
      </c>
      <c r="E1023" s="16">
        <v>78.0</v>
      </c>
    </row>
    <row r="1024">
      <c r="A1024" s="8" t="s">
        <v>208</v>
      </c>
      <c r="B1024" s="8" t="s">
        <v>549</v>
      </c>
      <c r="C1024" s="8" t="s">
        <v>138</v>
      </c>
      <c r="D1024" s="18" t="s">
        <v>2584</v>
      </c>
      <c r="E1024" s="16">
        <v>86.0</v>
      </c>
    </row>
    <row r="1025">
      <c r="A1025" s="8" t="s">
        <v>208</v>
      </c>
      <c r="B1025" s="8" t="s">
        <v>1633</v>
      </c>
      <c r="C1025" s="8" t="s">
        <v>132</v>
      </c>
      <c r="D1025" s="18" t="s">
        <v>2600</v>
      </c>
      <c r="E1025" s="16">
        <v>71.0</v>
      </c>
    </row>
    <row r="1026">
      <c r="A1026" s="8" t="s">
        <v>208</v>
      </c>
      <c r="B1026" s="8" t="s">
        <v>188</v>
      </c>
      <c r="C1026" s="8" t="s">
        <v>122</v>
      </c>
      <c r="D1026" s="18" t="s">
        <v>2598</v>
      </c>
      <c r="E1026" s="16">
        <v>77.0</v>
      </c>
    </row>
    <row r="1027">
      <c r="A1027" s="8" t="s">
        <v>208</v>
      </c>
      <c r="B1027" s="8" t="s">
        <v>1640</v>
      </c>
      <c r="C1027" s="8" t="s">
        <v>65</v>
      </c>
      <c r="D1027" s="18" t="s">
        <v>2592</v>
      </c>
      <c r="E1027" s="16">
        <v>82.0</v>
      </c>
    </row>
    <row r="1028">
      <c r="A1028" s="8" t="s">
        <v>3315</v>
      </c>
      <c r="B1028" s="8" t="s">
        <v>692</v>
      </c>
      <c r="C1028" s="8" t="s">
        <v>93</v>
      </c>
      <c r="D1028" s="18" t="s">
        <v>2610</v>
      </c>
      <c r="E1028" s="16">
        <v>73.0</v>
      </c>
    </row>
    <row r="1029">
      <c r="A1029" s="8" t="s">
        <v>2150</v>
      </c>
      <c r="B1029" s="8" t="s">
        <v>50</v>
      </c>
      <c r="C1029" s="8" t="s">
        <v>59</v>
      </c>
      <c r="D1029" s="18" t="s">
        <v>2574</v>
      </c>
      <c r="E1029" s="16">
        <v>67.0</v>
      </c>
    </row>
    <row r="1030">
      <c r="A1030" s="8" t="s">
        <v>2150</v>
      </c>
      <c r="B1030" s="8" t="s">
        <v>3285</v>
      </c>
      <c r="C1030" s="8" t="s">
        <v>24</v>
      </c>
      <c r="D1030" s="18" t="s">
        <v>2584</v>
      </c>
      <c r="E1030" s="16">
        <v>71.0</v>
      </c>
    </row>
    <row r="1031">
      <c r="A1031" s="8" t="s">
        <v>2150</v>
      </c>
      <c r="B1031" s="8" t="s">
        <v>3693</v>
      </c>
      <c r="C1031" s="8" t="s">
        <v>93</v>
      </c>
      <c r="D1031" s="18" t="s">
        <v>2566</v>
      </c>
      <c r="E1031" s="16">
        <v>62.0</v>
      </c>
    </row>
    <row r="1032">
      <c r="A1032" s="8" t="s">
        <v>260</v>
      </c>
      <c r="B1032" s="8" t="s">
        <v>1515</v>
      </c>
      <c r="C1032" s="8" t="s">
        <v>186</v>
      </c>
      <c r="D1032" s="18" t="s">
        <v>2556</v>
      </c>
      <c r="E1032" s="16">
        <v>61.0</v>
      </c>
    </row>
    <row r="1033">
      <c r="A1033" s="8" t="s">
        <v>260</v>
      </c>
      <c r="B1033" s="18" t="s">
        <v>947</v>
      </c>
      <c r="C1033" s="8" t="s">
        <v>149</v>
      </c>
      <c r="D1033" s="18" t="s">
        <v>2581</v>
      </c>
      <c r="E1033" s="16">
        <v>75.0</v>
      </c>
    </row>
    <row r="1034">
      <c r="A1034" s="8" t="s">
        <v>260</v>
      </c>
      <c r="B1034" s="8" t="s">
        <v>884</v>
      </c>
      <c r="C1034" s="8" t="s">
        <v>24</v>
      </c>
      <c r="D1034" s="18" t="s">
        <v>2577</v>
      </c>
      <c r="E1034" s="16">
        <v>67.0</v>
      </c>
    </row>
    <row r="1035">
      <c r="A1035" s="8" t="s">
        <v>260</v>
      </c>
      <c r="B1035" s="8" t="s">
        <v>301</v>
      </c>
      <c r="C1035" s="8" t="s">
        <v>46</v>
      </c>
      <c r="D1035" s="18" t="s">
        <v>2558</v>
      </c>
      <c r="E1035" s="16">
        <v>59.0</v>
      </c>
    </row>
    <row r="1036">
      <c r="A1036" s="8" t="s">
        <v>260</v>
      </c>
      <c r="B1036" s="8" t="s">
        <v>961</v>
      </c>
      <c r="C1036" s="8" t="s">
        <v>93</v>
      </c>
      <c r="D1036" s="18" t="s">
        <v>2560</v>
      </c>
      <c r="E1036" s="16">
        <v>67.0</v>
      </c>
    </row>
    <row r="1037">
      <c r="A1037" s="8" t="s">
        <v>260</v>
      </c>
      <c r="B1037" s="8" t="s">
        <v>183</v>
      </c>
      <c r="C1037" s="8" t="s">
        <v>70</v>
      </c>
      <c r="D1037" s="18" t="s">
        <v>2592</v>
      </c>
      <c r="E1037" s="16">
        <v>71.0</v>
      </c>
    </row>
    <row r="1038">
      <c r="A1038" s="8" t="s">
        <v>3316</v>
      </c>
      <c r="B1038" s="8" t="s">
        <v>357</v>
      </c>
      <c r="C1038" s="8" t="s">
        <v>93</v>
      </c>
      <c r="D1038" s="18" t="s">
        <v>2562</v>
      </c>
      <c r="E1038" s="16">
        <v>72.0</v>
      </c>
    </row>
    <row r="1039">
      <c r="A1039" s="8" t="s">
        <v>2860</v>
      </c>
      <c r="B1039" s="8" t="s">
        <v>1858</v>
      </c>
      <c r="C1039" s="8" t="s">
        <v>12</v>
      </c>
      <c r="D1039" s="18" t="s">
        <v>2556</v>
      </c>
      <c r="E1039" s="16">
        <v>79.0</v>
      </c>
    </row>
    <row r="1040">
      <c r="A1040" s="8" t="s">
        <v>2861</v>
      </c>
      <c r="B1040" s="8" t="s">
        <v>712</v>
      </c>
      <c r="C1040" s="8" t="s">
        <v>65</v>
      </c>
      <c r="D1040" s="18" t="s">
        <v>2558</v>
      </c>
      <c r="E1040" s="16">
        <v>71.0</v>
      </c>
    </row>
    <row r="1041">
      <c r="A1041" s="8" t="s">
        <v>1207</v>
      </c>
      <c r="B1041" s="8" t="s">
        <v>43</v>
      </c>
      <c r="C1041" s="8" t="s">
        <v>261</v>
      </c>
      <c r="D1041" s="18" t="s">
        <v>2620</v>
      </c>
      <c r="E1041" s="16">
        <v>67.0</v>
      </c>
    </row>
    <row r="1042">
      <c r="A1042" s="8" t="s">
        <v>158</v>
      </c>
      <c r="B1042" s="18" t="s">
        <v>159</v>
      </c>
      <c r="C1042" s="8" t="s">
        <v>24</v>
      </c>
      <c r="D1042" s="18" t="s">
        <v>2574</v>
      </c>
      <c r="E1042" s="16">
        <v>44.0</v>
      </c>
    </row>
    <row r="1043">
      <c r="A1043" s="8" t="s">
        <v>1205</v>
      </c>
      <c r="B1043" s="8" t="s">
        <v>1206</v>
      </c>
      <c r="C1043" s="8" t="s">
        <v>122</v>
      </c>
      <c r="D1043" s="18" t="s">
        <v>2598</v>
      </c>
      <c r="E1043" s="16">
        <v>72.0</v>
      </c>
    </row>
    <row r="1044">
      <c r="A1044" s="8" t="s">
        <v>1205</v>
      </c>
      <c r="B1044" s="8" t="s">
        <v>3694</v>
      </c>
      <c r="C1044" s="8" t="s">
        <v>80</v>
      </c>
      <c r="D1044" s="18" t="s">
        <v>2582</v>
      </c>
      <c r="E1044" s="16">
        <v>74.0</v>
      </c>
    </row>
    <row r="1045">
      <c r="A1045" s="8" t="s">
        <v>3317</v>
      </c>
      <c r="B1045" s="8" t="s">
        <v>1563</v>
      </c>
      <c r="C1045" s="8" t="s">
        <v>215</v>
      </c>
      <c r="D1045" s="18" t="s">
        <v>2582</v>
      </c>
      <c r="E1045" s="16">
        <v>74.0</v>
      </c>
    </row>
    <row r="1046">
      <c r="A1046" s="8" t="s">
        <v>547</v>
      </c>
      <c r="B1046" s="8" t="s">
        <v>548</v>
      </c>
      <c r="C1046" s="8" t="s">
        <v>93</v>
      </c>
      <c r="D1046" s="18" t="s">
        <v>2603</v>
      </c>
      <c r="E1046" s="16">
        <v>66.0</v>
      </c>
    </row>
    <row r="1047">
      <c r="A1047" s="8" t="s">
        <v>946</v>
      </c>
      <c r="B1047" s="8" t="s">
        <v>804</v>
      </c>
      <c r="C1047" s="8" t="s">
        <v>122</v>
      </c>
      <c r="D1047" s="18" t="s">
        <v>2603</v>
      </c>
      <c r="E1047" s="16">
        <v>65.0</v>
      </c>
    </row>
    <row r="1048">
      <c r="A1048" s="8" t="s">
        <v>946</v>
      </c>
      <c r="B1048" s="8" t="s">
        <v>140</v>
      </c>
      <c r="C1048" s="8" t="s">
        <v>80</v>
      </c>
      <c r="D1048" s="18" t="s">
        <v>2589</v>
      </c>
      <c r="E1048" s="16">
        <v>81.0</v>
      </c>
    </row>
    <row r="1049">
      <c r="A1049" s="8" t="s">
        <v>550</v>
      </c>
      <c r="B1049" s="8" t="s">
        <v>551</v>
      </c>
      <c r="C1049" s="8" t="s">
        <v>65</v>
      </c>
      <c r="D1049" s="18" t="s">
        <v>2605</v>
      </c>
      <c r="E1049" s="16">
        <v>91.0</v>
      </c>
    </row>
    <row r="1050">
      <c r="A1050" s="8" t="s">
        <v>282</v>
      </c>
      <c r="B1050" s="8" t="s">
        <v>388</v>
      </c>
      <c r="C1050" s="8" t="s">
        <v>93</v>
      </c>
      <c r="D1050" s="18" t="s">
        <v>2566</v>
      </c>
      <c r="E1050" s="16">
        <v>85.0</v>
      </c>
    </row>
    <row r="1051">
      <c r="A1051" s="8" t="s">
        <v>282</v>
      </c>
      <c r="B1051" s="8" t="s">
        <v>1227</v>
      </c>
      <c r="C1051" s="8" t="s">
        <v>138</v>
      </c>
      <c r="D1051" s="18" t="s">
        <v>2560</v>
      </c>
      <c r="E1051" s="16">
        <v>66.0</v>
      </c>
    </row>
    <row r="1052">
      <c r="A1052" s="8" t="s">
        <v>282</v>
      </c>
      <c r="B1052" s="8" t="s">
        <v>3318</v>
      </c>
      <c r="C1052" s="8" t="s">
        <v>59</v>
      </c>
      <c r="D1052" s="18" t="s">
        <v>2581</v>
      </c>
      <c r="E1052" s="16">
        <v>78.0</v>
      </c>
    </row>
    <row r="1053">
      <c r="A1053" s="8" t="s">
        <v>282</v>
      </c>
      <c r="B1053" s="8" t="s">
        <v>23</v>
      </c>
      <c r="C1053" s="8" t="s">
        <v>122</v>
      </c>
      <c r="D1053" s="18" t="s">
        <v>2595</v>
      </c>
      <c r="E1053" s="16">
        <v>78.0</v>
      </c>
    </row>
    <row r="1054">
      <c r="A1054" s="8" t="s">
        <v>282</v>
      </c>
      <c r="B1054" s="8" t="s">
        <v>263</v>
      </c>
      <c r="C1054" s="8" t="s">
        <v>53</v>
      </c>
      <c r="D1054" s="18" t="s">
        <v>2560</v>
      </c>
      <c r="E1054" s="16">
        <v>69.0</v>
      </c>
    </row>
    <row r="1055">
      <c r="A1055" s="8" t="s">
        <v>282</v>
      </c>
      <c r="B1055" s="8" t="s">
        <v>283</v>
      </c>
      <c r="C1055" s="8" t="s">
        <v>80</v>
      </c>
      <c r="D1055" s="18" t="s">
        <v>2564</v>
      </c>
      <c r="E1055" s="16">
        <v>93.0</v>
      </c>
    </row>
    <row r="1056">
      <c r="A1056" s="8" t="s">
        <v>282</v>
      </c>
      <c r="B1056" s="8" t="s">
        <v>183</v>
      </c>
      <c r="C1056" s="8" t="s">
        <v>93</v>
      </c>
      <c r="D1056" s="18" t="s">
        <v>2589</v>
      </c>
      <c r="E1056" s="16">
        <v>72.0</v>
      </c>
    </row>
    <row r="1057">
      <c r="A1057" s="8" t="s">
        <v>282</v>
      </c>
      <c r="B1057" s="8" t="s">
        <v>3319</v>
      </c>
      <c r="C1057" s="8" t="s">
        <v>215</v>
      </c>
      <c r="D1057" s="18" t="s">
        <v>2620</v>
      </c>
      <c r="E1057" s="16">
        <v>61.0</v>
      </c>
    </row>
    <row r="1058">
      <c r="A1058" s="8" t="s">
        <v>950</v>
      </c>
      <c r="B1058" s="8" t="s">
        <v>800</v>
      </c>
      <c r="C1058" s="8" t="s">
        <v>65</v>
      </c>
      <c r="D1058" s="18" t="s">
        <v>2615</v>
      </c>
      <c r="E1058" s="16">
        <v>61.0</v>
      </c>
    </row>
    <row r="1059">
      <c r="A1059" s="8" t="s">
        <v>950</v>
      </c>
      <c r="B1059" s="8" t="s">
        <v>598</v>
      </c>
      <c r="C1059" s="8" t="s">
        <v>70</v>
      </c>
      <c r="D1059" s="18" t="s">
        <v>2566</v>
      </c>
      <c r="E1059" s="16">
        <v>80.0</v>
      </c>
    </row>
    <row r="1060">
      <c r="A1060" s="8" t="s">
        <v>725</v>
      </c>
      <c r="B1060" s="8" t="s">
        <v>3695</v>
      </c>
      <c r="C1060" s="8" t="s">
        <v>24</v>
      </c>
      <c r="D1060" s="18" t="s">
        <v>2582</v>
      </c>
      <c r="E1060" s="16">
        <v>66.0</v>
      </c>
    </row>
    <row r="1061">
      <c r="A1061" s="8" t="s">
        <v>725</v>
      </c>
      <c r="B1061" s="8" t="s">
        <v>67</v>
      </c>
      <c r="C1061" s="8" t="s">
        <v>141</v>
      </c>
      <c r="D1061" s="18" t="s">
        <v>2575</v>
      </c>
      <c r="E1061" s="16">
        <v>69.0</v>
      </c>
    </row>
    <row r="1062">
      <c r="A1062" s="8" t="s">
        <v>1208</v>
      </c>
      <c r="B1062" s="8" t="s">
        <v>3696</v>
      </c>
      <c r="C1062" s="8" t="s">
        <v>138</v>
      </c>
      <c r="D1062" s="18" t="s">
        <v>2575</v>
      </c>
      <c r="E1062" s="16">
        <v>76.0</v>
      </c>
    </row>
    <row r="1063">
      <c r="A1063" s="8" t="s">
        <v>3697</v>
      </c>
      <c r="B1063" s="8" t="s">
        <v>140</v>
      </c>
      <c r="C1063" s="8" t="s">
        <v>138</v>
      </c>
      <c r="D1063" s="18" t="s">
        <v>2585</v>
      </c>
      <c r="E1063" s="16">
        <v>68.0</v>
      </c>
    </row>
    <row r="1064">
      <c r="A1064" s="8" t="s">
        <v>279</v>
      </c>
      <c r="B1064" s="8" t="s">
        <v>23</v>
      </c>
      <c r="C1064" s="8" t="s">
        <v>132</v>
      </c>
      <c r="D1064" s="18" t="s">
        <v>2566</v>
      </c>
      <c r="E1064" s="16">
        <v>73.0</v>
      </c>
    </row>
    <row r="1065">
      <c r="A1065" s="8" t="s">
        <v>2862</v>
      </c>
      <c r="B1065" s="8" t="s">
        <v>320</v>
      </c>
      <c r="C1065" s="8" t="s">
        <v>46</v>
      </c>
      <c r="D1065" s="18" t="s">
        <v>2584</v>
      </c>
      <c r="E1065" s="16">
        <v>79.0</v>
      </c>
    </row>
    <row r="1066">
      <c r="A1066" s="8" t="s">
        <v>23</v>
      </c>
      <c r="B1066" s="8" t="s">
        <v>949</v>
      </c>
      <c r="C1066" s="8" t="s">
        <v>149</v>
      </c>
      <c r="D1066" s="18" t="s">
        <v>2581</v>
      </c>
      <c r="E1066" s="16">
        <v>71.0</v>
      </c>
    </row>
    <row r="1067">
      <c r="A1067" s="8" t="s">
        <v>389</v>
      </c>
      <c r="B1067" s="8" t="s">
        <v>277</v>
      </c>
      <c r="C1067" s="8" t="s">
        <v>65</v>
      </c>
      <c r="D1067" s="18" t="s">
        <v>2621</v>
      </c>
      <c r="E1067" s="16">
        <v>76.0</v>
      </c>
    </row>
    <row r="1068">
      <c r="A1068" s="8" t="s">
        <v>389</v>
      </c>
      <c r="B1068" s="8" t="s">
        <v>464</v>
      </c>
      <c r="C1068" s="8" t="s">
        <v>261</v>
      </c>
      <c r="D1068" s="18" t="s">
        <v>2595</v>
      </c>
      <c r="E1068" s="16">
        <v>70.0</v>
      </c>
    </row>
    <row r="1069">
      <c r="A1069" s="8" t="s">
        <v>389</v>
      </c>
      <c r="B1069" s="8" t="s">
        <v>464</v>
      </c>
      <c r="C1069" s="8" t="s">
        <v>122</v>
      </c>
      <c r="D1069" s="18" t="s">
        <v>2621</v>
      </c>
      <c r="E1069" s="16">
        <v>70.0</v>
      </c>
    </row>
    <row r="1070">
      <c r="A1070" s="8" t="s">
        <v>389</v>
      </c>
      <c r="B1070" s="8" t="s">
        <v>407</v>
      </c>
      <c r="C1070" s="8" t="s">
        <v>53</v>
      </c>
      <c r="D1070" s="18" t="s">
        <v>2615</v>
      </c>
      <c r="E1070" s="16">
        <v>64.0</v>
      </c>
    </row>
    <row r="1071">
      <c r="A1071" s="8" t="s">
        <v>389</v>
      </c>
      <c r="B1071" s="8" t="s">
        <v>357</v>
      </c>
      <c r="C1071" s="8" t="s">
        <v>138</v>
      </c>
      <c r="D1071" s="18" t="s">
        <v>2574</v>
      </c>
      <c r="E1071" s="16">
        <v>82.0</v>
      </c>
    </row>
    <row r="1072">
      <c r="A1072" s="8" t="s">
        <v>389</v>
      </c>
      <c r="B1072" s="8" t="s">
        <v>357</v>
      </c>
      <c r="C1072" s="8" t="s">
        <v>65</v>
      </c>
      <c r="D1072" s="18" t="s">
        <v>2552</v>
      </c>
      <c r="E1072" s="16">
        <v>74.0</v>
      </c>
    </row>
    <row r="1073">
      <c r="A1073" s="8" t="s">
        <v>389</v>
      </c>
      <c r="B1073" s="8" t="s">
        <v>275</v>
      </c>
      <c r="C1073" s="8" t="s">
        <v>70</v>
      </c>
      <c r="D1073" s="18" t="s">
        <v>2589</v>
      </c>
      <c r="E1073" s="16">
        <v>75.0</v>
      </c>
    </row>
    <row r="1074">
      <c r="A1074" s="8" t="s">
        <v>389</v>
      </c>
      <c r="B1074" s="8" t="s">
        <v>1515</v>
      </c>
      <c r="C1074" s="8" t="s">
        <v>122</v>
      </c>
      <c r="D1074" s="18" t="s">
        <v>2598</v>
      </c>
      <c r="E1074" s="16">
        <v>58.0</v>
      </c>
    </row>
    <row r="1075">
      <c r="A1075" s="8" t="s">
        <v>389</v>
      </c>
      <c r="B1075" s="8" t="s">
        <v>506</v>
      </c>
      <c r="C1075" s="8" t="s">
        <v>70</v>
      </c>
      <c r="D1075" s="18" t="s">
        <v>2589</v>
      </c>
      <c r="E1075" s="16">
        <v>83.0</v>
      </c>
    </row>
    <row r="1076">
      <c r="A1076" s="8" t="s">
        <v>389</v>
      </c>
      <c r="B1076" s="8" t="s">
        <v>506</v>
      </c>
      <c r="C1076" s="8" t="s">
        <v>261</v>
      </c>
      <c r="D1076" s="18" t="s">
        <v>2577</v>
      </c>
      <c r="E1076" s="16">
        <v>74.0</v>
      </c>
    </row>
    <row r="1077">
      <c r="A1077" s="8" t="s">
        <v>389</v>
      </c>
      <c r="B1077" s="8" t="s">
        <v>1473</v>
      </c>
      <c r="C1077" s="8" t="s">
        <v>186</v>
      </c>
      <c r="D1077" s="18" t="s">
        <v>2183</v>
      </c>
      <c r="E1077" s="16">
        <v>90.0</v>
      </c>
    </row>
    <row r="1078">
      <c r="A1078" s="8" t="s">
        <v>389</v>
      </c>
      <c r="B1078" s="8" t="s">
        <v>735</v>
      </c>
      <c r="C1078" s="8" t="s">
        <v>261</v>
      </c>
      <c r="D1078" s="18" t="s">
        <v>2574</v>
      </c>
      <c r="E1078" s="8">
        <v>62.0</v>
      </c>
    </row>
    <row r="1079">
      <c r="A1079" s="8" t="s">
        <v>389</v>
      </c>
      <c r="B1079" s="8" t="s">
        <v>3698</v>
      </c>
      <c r="C1079" s="8" t="s">
        <v>93</v>
      </c>
      <c r="D1079" s="18" t="s">
        <v>2598</v>
      </c>
      <c r="E1079" s="16">
        <v>61.0</v>
      </c>
    </row>
    <row r="1080">
      <c r="A1080" s="8" t="s">
        <v>389</v>
      </c>
      <c r="B1080" s="8" t="s">
        <v>2863</v>
      </c>
      <c r="C1080" s="8" t="s">
        <v>93</v>
      </c>
      <c r="D1080" s="18" t="s">
        <v>2585</v>
      </c>
      <c r="E1080" s="16">
        <v>75.0</v>
      </c>
    </row>
    <row r="1081">
      <c r="A1081" s="8" t="s">
        <v>389</v>
      </c>
      <c r="B1081" s="8" t="s">
        <v>546</v>
      </c>
      <c r="C1081" s="8" t="s">
        <v>215</v>
      </c>
      <c r="D1081" s="18" t="s">
        <v>2592</v>
      </c>
      <c r="E1081" s="16">
        <v>70.0</v>
      </c>
    </row>
    <row r="1082">
      <c r="A1082" s="8" t="s">
        <v>389</v>
      </c>
      <c r="B1082" s="8" t="s">
        <v>1773</v>
      </c>
      <c r="C1082" s="8" t="s">
        <v>70</v>
      </c>
      <c r="D1082" s="18" t="s">
        <v>2598</v>
      </c>
      <c r="E1082" s="16">
        <v>63.0</v>
      </c>
    </row>
    <row r="1083">
      <c r="A1083" s="8" t="s">
        <v>389</v>
      </c>
      <c r="B1083" s="8" t="s">
        <v>948</v>
      </c>
      <c r="C1083" s="8" t="s">
        <v>192</v>
      </c>
      <c r="D1083" s="18" t="s">
        <v>2554</v>
      </c>
      <c r="E1083" s="16">
        <v>61.0</v>
      </c>
    </row>
    <row r="1084">
      <c r="A1084" s="8" t="s">
        <v>389</v>
      </c>
      <c r="B1084" s="8" t="s">
        <v>3699</v>
      </c>
      <c r="C1084" s="8" t="s">
        <v>59</v>
      </c>
      <c r="D1084" s="18" t="s">
        <v>2581</v>
      </c>
      <c r="E1084" s="16">
        <v>72.0</v>
      </c>
    </row>
    <row r="1085">
      <c r="A1085" s="8" t="s">
        <v>389</v>
      </c>
      <c r="B1085" s="8" t="s">
        <v>301</v>
      </c>
      <c r="C1085" s="8" t="s">
        <v>16</v>
      </c>
      <c r="D1085" s="18" t="s">
        <v>2575</v>
      </c>
      <c r="E1085" s="16">
        <v>65.0</v>
      </c>
    </row>
    <row r="1086">
      <c r="A1086" s="8" t="s">
        <v>389</v>
      </c>
      <c r="B1086" s="8" t="s">
        <v>1893</v>
      </c>
      <c r="C1086" s="8" t="s">
        <v>75</v>
      </c>
      <c r="D1086" s="18" t="s">
        <v>2615</v>
      </c>
      <c r="E1086" s="16">
        <v>67.0</v>
      </c>
    </row>
    <row r="1087">
      <c r="A1087" s="8" t="s">
        <v>389</v>
      </c>
      <c r="B1087" s="8" t="s">
        <v>119</v>
      </c>
      <c r="C1087" s="8" t="s">
        <v>93</v>
      </c>
      <c r="D1087" s="18" t="s">
        <v>2562</v>
      </c>
      <c r="E1087" s="16">
        <v>74.0</v>
      </c>
    </row>
    <row r="1088">
      <c r="A1088" s="8" t="s">
        <v>389</v>
      </c>
      <c r="B1088" s="8" t="s">
        <v>552</v>
      </c>
      <c r="C1088" s="8" t="s">
        <v>149</v>
      </c>
      <c r="D1088" s="18" t="s">
        <v>2564</v>
      </c>
      <c r="E1088" s="16">
        <v>86.0</v>
      </c>
    </row>
    <row r="1089">
      <c r="A1089" s="8" t="s">
        <v>389</v>
      </c>
      <c r="B1089" s="8" t="s">
        <v>1172</v>
      </c>
      <c r="C1089" s="8" t="s">
        <v>93</v>
      </c>
      <c r="D1089" s="18" t="s">
        <v>2574</v>
      </c>
      <c r="E1089" s="16">
        <v>71.0</v>
      </c>
    </row>
    <row r="1090">
      <c r="A1090" s="8" t="s">
        <v>389</v>
      </c>
      <c r="B1090" s="8" t="s">
        <v>283</v>
      </c>
      <c r="C1090" s="8" t="s">
        <v>261</v>
      </c>
      <c r="D1090" s="18" t="s">
        <v>2615</v>
      </c>
      <c r="E1090" s="16">
        <v>61.0</v>
      </c>
    </row>
    <row r="1091">
      <c r="A1091" s="8" t="s">
        <v>389</v>
      </c>
      <c r="B1091" s="8" t="s">
        <v>137</v>
      </c>
      <c r="C1091" s="8" t="s">
        <v>215</v>
      </c>
      <c r="D1091" s="18" t="s">
        <v>2610</v>
      </c>
      <c r="E1091" s="16">
        <v>79.0</v>
      </c>
    </row>
    <row r="1092">
      <c r="A1092" s="8" t="s">
        <v>389</v>
      </c>
      <c r="B1092" s="8" t="s">
        <v>3700</v>
      </c>
      <c r="C1092" s="8" t="s">
        <v>53</v>
      </c>
      <c r="D1092" s="18" t="s">
        <v>2587</v>
      </c>
      <c r="E1092" s="16">
        <v>67.0</v>
      </c>
    </row>
    <row r="1093">
      <c r="A1093" s="8" t="s">
        <v>389</v>
      </c>
      <c r="B1093" s="8" t="s">
        <v>598</v>
      </c>
      <c r="C1093" s="8" t="s">
        <v>80</v>
      </c>
      <c r="D1093" s="18" t="s">
        <v>2621</v>
      </c>
      <c r="E1093" s="16">
        <v>82.0</v>
      </c>
    </row>
    <row r="1094">
      <c r="A1094" s="8" t="s">
        <v>389</v>
      </c>
      <c r="B1094" s="8" t="s">
        <v>3701</v>
      </c>
      <c r="C1094" s="8" t="s">
        <v>59</v>
      </c>
      <c r="D1094" s="18" t="s">
        <v>2600</v>
      </c>
      <c r="E1094" s="16">
        <v>65.0</v>
      </c>
    </row>
    <row r="1095">
      <c r="A1095" s="8" t="s">
        <v>389</v>
      </c>
      <c r="B1095" s="8" t="s">
        <v>759</v>
      </c>
      <c r="C1095" s="8" t="s">
        <v>186</v>
      </c>
      <c r="D1095" s="18" t="s">
        <v>2577</v>
      </c>
      <c r="E1095" s="16">
        <v>68.0</v>
      </c>
    </row>
    <row r="1096">
      <c r="A1096" s="8" t="s">
        <v>389</v>
      </c>
      <c r="B1096" s="8" t="s">
        <v>3102</v>
      </c>
      <c r="C1096" s="8" t="s">
        <v>65</v>
      </c>
      <c r="D1096" s="18" t="s">
        <v>2572</v>
      </c>
      <c r="E1096" s="16">
        <v>77.0</v>
      </c>
    </row>
    <row r="1097">
      <c r="A1097" s="8" t="s">
        <v>389</v>
      </c>
      <c r="B1097" s="8" t="s">
        <v>1552</v>
      </c>
      <c r="C1097" s="8" t="s">
        <v>70</v>
      </c>
      <c r="D1097" s="18" t="s">
        <v>2592</v>
      </c>
      <c r="E1097" s="16">
        <v>69.0</v>
      </c>
    </row>
    <row r="1098">
      <c r="A1098" s="8" t="s">
        <v>389</v>
      </c>
      <c r="B1098" s="18" t="s">
        <v>491</v>
      </c>
      <c r="C1098" s="8" t="s">
        <v>141</v>
      </c>
      <c r="D1098" s="18" t="s">
        <v>2610</v>
      </c>
      <c r="E1098" s="16">
        <v>67.0</v>
      </c>
    </row>
    <row r="1099">
      <c r="A1099" s="8" t="s">
        <v>389</v>
      </c>
      <c r="B1099" s="8" t="s">
        <v>15</v>
      </c>
      <c r="C1099" s="8" t="s">
        <v>122</v>
      </c>
      <c r="D1099" s="18" t="s">
        <v>2552</v>
      </c>
      <c r="E1099" s="16">
        <v>72.0</v>
      </c>
    </row>
    <row r="1100">
      <c r="A1100" s="8" t="s">
        <v>389</v>
      </c>
      <c r="B1100" s="8" t="s">
        <v>553</v>
      </c>
      <c r="C1100" s="8" t="s">
        <v>93</v>
      </c>
      <c r="D1100" s="18" t="s">
        <v>2593</v>
      </c>
      <c r="E1100" s="16">
        <v>80.0</v>
      </c>
    </row>
    <row r="1101">
      <c r="A1101" s="8" t="s">
        <v>389</v>
      </c>
      <c r="B1101" s="8" t="s">
        <v>185</v>
      </c>
      <c r="C1101" s="8" t="s">
        <v>141</v>
      </c>
      <c r="D1101" s="18" t="s">
        <v>2560</v>
      </c>
      <c r="E1101" s="16">
        <v>70.0</v>
      </c>
    </row>
    <row r="1102">
      <c r="A1102" s="8" t="s">
        <v>389</v>
      </c>
      <c r="B1102" s="8" t="s">
        <v>1046</v>
      </c>
      <c r="C1102" s="8" t="s">
        <v>261</v>
      </c>
      <c r="D1102" s="18" t="s">
        <v>2566</v>
      </c>
      <c r="E1102" s="16">
        <v>82.0</v>
      </c>
    </row>
    <row r="1103">
      <c r="A1103" s="8" t="s">
        <v>3702</v>
      </c>
      <c r="B1103" s="8" t="s">
        <v>1486</v>
      </c>
      <c r="C1103" s="8" t="s">
        <v>70</v>
      </c>
      <c r="D1103" s="18" t="s">
        <v>2615</v>
      </c>
      <c r="E1103" s="16">
        <v>78.0</v>
      </c>
    </row>
    <row r="1104">
      <c r="A1104" s="8" t="s">
        <v>3703</v>
      </c>
      <c r="B1104" s="8" t="s">
        <v>676</v>
      </c>
      <c r="C1104" s="8" t="s">
        <v>149</v>
      </c>
      <c r="D1104" s="18" t="s">
        <v>2572</v>
      </c>
      <c r="E1104" s="16">
        <v>62.0</v>
      </c>
    </row>
    <row r="1105">
      <c r="A1105" s="8" t="s">
        <v>284</v>
      </c>
      <c r="B1105" s="8" t="s">
        <v>952</v>
      </c>
      <c r="C1105" s="8" t="s">
        <v>122</v>
      </c>
      <c r="D1105" s="18" t="s">
        <v>2584</v>
      </c>
      <c r="E1105" s="16">
        <v>68.0</v>
      </c>
    </row>
    <row r="1106">
      <c r="A1106" s="8" t="s">
        <v>284</v>
      </c>
      <c r="B1106" s="8" t="s">
        <v>11</v>
      </c>
      <c r="C1106" s="8" t="s">
        <v>93</v>
      </c>
      <c r="D1106" s="18" t="s">
        <v>2610</v>
      </c>
      <c r="E1106" s="16">
        <v>88.0</v>
      </c>
    </row>
    <row r="1107">
      <c r="A1107" s="8" t="s">
        <v>284</v>
      </c>
      <c r="B1107" s="8" t="s">
        <v>43</v>
      </c>
      <c r="C1107" s="8" t="s">
        <v>65</v>
      </c>
      <c r="D1107" s="18" t="s">
        <v>2614</v>
      </c>
      <c r="E1107" s="16">
        <v>60.0</v>
      </c>
    </row>
    <row r="1108">
      <c r="A1108" s="8" t="s">
        <v>284</v>
      </c>
      <c r="B1108" s="8" t="s">
        <v>1245</v>
      </c>
      <c r="C1108" s="8" t="s">
        <v>215</v>
      </c>
      <c r="D1108" s="18" t="s">
        <v>2567</v>
      </c>
      <c r="E1108" s="16">
        <v>71.0</v>
      </c>
    </row>
    <row r="1109">
      <c r="A1109" s="8" t="s">
        <v>284</v>
      </c>
      <c r="B1109" s="8" t="s">
        <v>1079</v>
      </c>
      <c r="C1109" s="8" t="s">
        <v>75</v>
      </c>
      <c r="D1109" s="18" t="s">
        <v>2564</v>
      </c>
      <c r="E1109" s="16">
        <v>72.0</v>
      </c>
    </row>
    <row r="1110">
      <c r="A1110" s="8" t="s">
        <v>284</v>
      </c>
      <c r="B1110" s="8" t="s">
        <v>50</v>
      </c>
      <c r="C1110" s="8" t="s">
        <v>141</v>
      </c>
      <c r="D1110" s="18" t="s">
        <v>2621</v>
      </c>
      <c r="E1110" s="16">
        <v>74.0</v>
      </c>
    </row>
    <row r="1111">
      <c r="A1111" s="8" t="s">
        <v>284</v>
      </c>
      <c r="B1111" s="8" t="s">
        <v>1210</v>
      </c>
      <c r="C1111" s="8" t="s">
        <v>80</v>
      </c>
      <c r="D1111" s="18" t="s">
        <v>2614</v>
      </c>
      <c r="E1111" s="16">
        <v>81.0</v>
      </c>
    </row>
    <row r="1112">
      <c r="A1112" s="8" t="s">
        <v>284</v>
      </c>
      <c r="B1112" s="8" t="s">
        <v>1211</v>
      </c>
      <c r="C1112" s="8" t="s">
        <v>16</v>
      </c>
      <c r="D1112" s="18" t="s">
        <v>2587</v>
      </c>
      <c r="E1112" s="16">
        <v>66.0</v>
      </c>
    </row>
    <row r="1113">
      <c r="A1113" s="8" t="s">
        <v>284</v>
      </c>
      <c r="B1113" s="8" t="s">
        <v>554</v>
      </c>
      <c r="C1113" s="8" t="s">
        <v>59</v>
      </c>
      <c r="D1113" s="18" t="s">
        <v>2589</v>
      </c>
      <c r="E1113" s="16">
        <v>82.0</v>
      </c>
    </row>
    <row r="1114">
      <c r="A1114" s="8" t="s">
        <v>284</v>
      </c>
      <c r="B1114" s="8" t="s">
        <v>275</v>
      </c>
      <c r="C1114" s="8" t="s">
        <v>38</v>
      </c>
      <c r="D1114" s="18" t="s">
        <v>2614</v>
      </c>
      <c r="E1114" s="16">
        <v>82.0</v>
      </c>
    </row>
    <row r="1115">
      <c r="A1115" s="8" t="s">
        <v>284</v>
      </c>
      <c r="B1115" s="8" t="s">
        <v>275</v>
      </c>
      <c r="C1115" s="8" t="s">
        <v>138</v>
      </c>
      <c r="D1115" s="18" t="s">
        <v>2183</v>
      </c>
      <c r="E1115" s="16">
        <v>72.0</v>
      </c>
    </row>
    <row r="1116">
      <c r="A1116" s="8" t="s">
        <v>284</v>
      </c>
      <c r="B1116" s="8" t="s">
        <v>275</v>
      </c>
      <c r="C1116" s="8" t="s">
        <v>122</v>
      </c>
      <c r="D1116" s="18" t="s">
        <v>2581</v>
      </c>
      <c r="E1116" s="16">
        <v>65.0</v>
      </c>
    </row>
    <row r="1117">
      <c r="A1117" s="8" t="s">
        <v>284</v>
      </c>
      <c r="B1117" s="8" t="s">
        <v>726</v>
      </c>
      <c r="C1117" s="8" t="s">
        <v>186</v>
      </c>
      <c r="D1117" s="18" t="s">
        <v>2605</v>
      </c>
      <c r="E1117" s="16">
        <v>72.0</v>
      </c>
    </row>
    <row r="1118">
      <c r="A1118" s="8" t="s">
        <v>284</v>
      </c>
      <c r="B1118" s="8" t="s">
        <v>285</v>
      </c>
      <c r="C1118" s="8" t="s">
        <v>80</v>
      </c>
      <c r="D1118" s="18" t="s">
        <v>2574</v>
      </c>
      <c r="E1118" s="16">
        <v>69.0</v>
      </c>
    </row>
    <row r="1119">
      <c r="A1119" s="8" t="s">
        <v>284</v>
      </c>
      <c r="B1119" s="8" t="s">
        <v>1489</v>
      </c>
      <c r="C1119" s="8" t="s">
        <v>93</v>
      </c>
      <c r="D1119" s="18" t="s">
        <v>2600</v>
      </c>
      <c r="E1119" s="16">
        <v>71.0</v>
      </c>
    </row>
    <row r="1120">
      <c r="A1120" s="8" t="s">
        <v>284</v>
      </c>
      <c r="B1120" s="8" t="s">
        <v>953</v>
      </c>
      <c r="C1120" s="8" t="s">
        <v>138</v>
      </c>
      <c r="D1120" s="18" t="s">
        <v>2621</v>
      </c>
      <c r="E1120" s="16">
        <v>68.0</v>
      </c>
    </row>
    <row r="1121">
      <c r="A1121" s="8" t="s">
        <v>284</v>
      </c>
      <c r="B1121" s="8" t="s">
        <v>555</v>
      </c>
      <c r="C1121" s="8" t="s">
        <v>138</v>
      </c>
      <c r="D1121" s="18" t="s">
        <v>2558</v>
      </c>
      <c r="E1121" s="16">
        <v>76.0</v>
      </c>
    </row>
    <row r="1122">
      <c r="A1122" s="8" t="s">
        <v>284</v>
      </c>
      <c r="B1122" s="8" t="s">
        <v>1854</v>
      </c>
      <c r="C1122" s="8" t="s">
        <v>186</v>
      </c>
      <c r="D1122" s="18" t="s">
        <v>2598</v>
      </c>
      <c r="E1122" s="16">
        <v>71.0</v>
      </c>
    </row>
    <row r="1123">
      <c r="A1123" s="8" t="s">
        <v>284</v>
      </c>
      <c r="B1123" s="8" t="s">
        <v>31</v>
      </c>
      <c r="C1123" s="8" t="s">
        <v>80</v>
      </c>
      <c r="D1123" s="18" t="s">
        <v>2615</v>
      </c>
      <c r="E1123" s="16">
        <v>70.0</v>
      </c>
    </row>
    <row r="1124">
      <c r="A1124" s="8" t="s">
        <v>284</v>
      </c>
      <c r="B1124" s="8" t="s">
        <v>2173</v>
      </c>
      <c r="C1124" s="8" t="s">
        <v>38</v>
      </c>
      <c r="D1124" s="18" t="s">
        <v>2564</v>
      </c>
      <c r="E1124" s="16">
        <v>79.0</v>
      </c>
    </row>
    <row r="1125">
      <c r="A1125" s="8" t="s">
        <v>284</v>
      </c>
      <c r="B1125" s="8" t="s">
        <v>1200</v>
      </c>
      <c r="C1125" s="8" t="s">
        <v>138</v>
      </c>
      <c r="D1125" s="18" t="s">
        <v>2592</v>
      </c>
      <c r="E1125" s="16">
        <v>70.0</v>
      </c>
    </row>
    <row r="1126">
      <c r="A1126" s="8" t="s">
        <v>284</v>
      </c>
      <c r="B1126" s="8" t="s">
        <v>2021</v>
      </c>
      <c r="C1126" s="8" t="s">
        <v>65</v>
      </c>
      <c r="D1126" s="18" t="s">
        <v>2572</v>
      </c>
      <c r="E1126" s="16">
        <v>61.0</v>
      </c>
    </row>
    <row r="1127">
      <c r="A1127" s="8" t="s">
        <v>284</v>
      </c>
      <c r="B1127" s="8" t="s">
        <v>1227</v>
      </c>
      <c r="C1127" s="8" t="s">
        <v>59</v>
      </c>
      <c r="D1127" s="18" t="s">
        <v>2577</v>
      </c>
      <c r="E1127" s="16">
        <v>73.0</v>
      </c>
    </row>
    <row r="1128">
      <c r="A1128" s="8" t="s">
        <v>284</v>
      </c>
      <c r="B1128" s="8" t="s">
        <v>45</v>
      </c>
      <c r="C1128" s="8" t="s">
        <v>215</v>
      </c>
      <c r="D1128" s="18" t="s">
        <v>2581</v>
      </c>
      <c r="E1128" s="16">
        <v>77.0</v>
      </c>
    </row>
    <row r="1129">
      <c r="A1129" s="8" t="s">
        <v>284</v>
      </c>
      <c r="B1129" s="8" t="s">
        <v>842</v>
      </c>
      <c r="C1129" s="8" t="s">
        <v>93</v>
      </c>
      <c r="D1129" s="18" t="s">
        <v>2600</v>
      </c>
      <c r="E1129" s="16">
        <v>62.0</v>
      </c>
    </row>
    <row r="1130">
      <c r="A1130" s="8" t="s">
        <v>284</v>
      </c>
      <c r="B1130" s="8" t="s">
        <v>390</v>
      </c>
      <c r="C1130" s="8" t="s">
        <v>65</v>
      </c>
      <c r="D1130" s="18" t="s">
        <v>2598</v>
      </c>
      <c r="E1130" s="16">
        <v>96.0</v>
      </c>
    </row>
    <row r="1131">
      <c r="A1131" s="8" t="s">
        <v>284</v>
      </c>
      <c r="B1131" s="8" t="s">
        <v>1226</v>
      </c>
      <c r="C1131" s="8" t="s">
        <v>16</v>
      </c>
      <c r="D1131" s="18" t="s">
        <v>2577</v>
      </c>
      <c r="E1131" s="16">
        <v>66.0</v>
      </c>
    </row>
    <row r="1132">
      <c r="A1132" s="8" t="s">
        <v>284</v>
      </c>
      <c r="B1132" s="8" t="s">
        <v>556</v>
      </c>
      <c r="C1132" s="8" t="s">
        <v>65</v>
      </c>
      <c r="D1132" s="18" t="s">
        <v>2554</v>
      </c>
      <c r="E1132" s="16">
        <v>82.0</v>
      </c>
    </row>
    <row r="1133">
      <c r="A1133" s="8" t="s">
        <v>284</v>
      </c>
      <c r="B1133" s="8" t="s">
        <v>33</v>
      </c>
      <c r="C1133" s="8" t="s">
        <v>70</v>
      </c>
      <c r="D1133" s="18" t="s">
        <v>2582</v>
      </c>
      <c r="E1133" s="16">
        <v>77.0</v>
      </c>
    </row>
    <row r="1134">
      <c r="A1134" s="8" t="s">
        <v>284</v>
      </c>
      <c r="B1134" s="8" t="s">
        <v>286</v>
      </c>
      <c r="C1134" s="8" t="s">
        <v>192</v>
      </c>
      <c r="D1134" s="18" t="s">
        <v>2581</v>
      </c>
      <c r="E1134" s="16">
        <v>93.0</v>
      </c>
    </row>
    <row r="1135">
      <c r="A1135" s="8" t="s">
        <v>284</v>
      </c>
      <c r="B1135" s="8" t="s">
        <v>3322</v>
      </c>
      <c r="C1135" s="8" t="s">
        <v>65</v>
      </c>
      <c r="D1135" s="18" t="s">
        <v>2183</v>
      </c>
      <c r="E1135" s="16">
        <v>60.0</v>
      </c>
    </row>
    <row r="1136">
      <c r="A1136" s="8" t="s">
        <v>284</v>
      </c>
      <c r="B1136" s="8" t="s">
        <v>287</v>
      </c>
      <c r="C1136" s="8" t="s">
        <v>70</v>
      </c>
      <c r="D1136" s="18" t="s">
        <v>2556</v>
      </c>
      <c r="E1136" s="16">
        <v>73.0</v>
      </c>
    </row>
    <row r="1137">
      <c r="A1137" s="8" t="s">
        <v>284</v>
      </c>
      <c r="B1137" s="8" t="s">
        <v>287</v>
      </c>
      <c r="C1137" s="8" t="s">
        <v>186</v>
      </c>
      <c r="D1137" s="18" t="s">
        <v>2560</v>
      </c>
      <c r="E1137" s="16">
        <v>64.0</v>
      </c>
    </row>
    <row r="1138">
      <c r="A1138" s="8" t="s">
        <v>284</v>
      </c>
      <c r="B1138" s="18" t="s">
        <v>491</v>
      </c>
      <c r="C1138" s="8" t="s">
        <v>65</v>
      </c>
      <c r="D1138" s="18" t="s">
        <v>2554</v>
      </c>
      <c r="E1138" s="16">
        <v>66.0</v>
      </c>
    </row>
    <row r="1139">
      <c r="A1139" s="8" t="s">
        <v>1491</v>
      </c>
      <c r="B1139" s="8" t="s">
        <v>1467</v>
      </c>
      <c r="C1139" s="8" t="s">
        <v>80</v>
      </c>
      <c r="D1139" s="18" t="s">
        <v>2605</v>
      </c>
      <c r="E1139" s="16">
        <v>71.0</v>
      </c>
    </row>
    <row r="1140">
      <c r="A1140" s="8" t="s">
        <v>263</v>
      </c>
      <c r="B1140" s="8" t="s">
        <v>52</v>
      </c>
      <c r="C1140" s="8" t="s">
        <v>138</v>
      </c>
      <c r="D1140" s="18" t="s">
        <v>2595</v>
      </c>
      <c r="E1140" s="16">
        <v>90.0</v>
      </c>
    </row>
    <row r="1141">
      <c r="A1141" s="8" t="s">
        <v>263</v>
      </c>
      <c r="B1141" s="8" t="s">
        <v>744</v>
      </c>
      <c r="C1141" s="8" t="s">
        <v>215</v>
      </c>
      <c r="D1141" s="18" t="s">
        <v>2581</v>
      </c>
      <c r="E1141" s="16">
        <v>68.0</v>
      </c>
    </row>
    <row r="1142">
      <c r="A1142" s="8" t="s">
        <v>263</v>
      </c>
      <c r="B1142" s="8" t="s">
        <v>183</v>
      </c>
      <c r="C1142" s="8" t="s">
        <v>93</v>
      </c>
      <c r="D1142" s="18" t="s">
        <v>2593</v>
      </c>
      <c r="E1142" s="16">
        <v>59.0</v>
      </c>
    </row>
    <row r="1143">
      <c r="A1143" s="8" t="s">
        <v>91</v>
      </c>
      <c r="B1143" s="8" t="s">
        <v>92</v>
      </c>
      <c r="C1143" s="8" t="s">
        <v>93</v>
      </c>
      <c r="D1143" s="18" t="s">
        <v>2562</v>
      </c>
      <c r="E1143" s="16">
        <v>91.0</v>
      </c>
    </row>
    <row r="1144">
      <c r="A1144" s="8" t="s">
        <v>91</v>
      </c>
      <c r="B1144" s="8" t="s">
        <v>1493</v>
      </c>
      <c r="C1144" s="8" t="s">
        <v>192</v>
      </c>
      <c r="D1144" s="18" t="s">
        <v>2556</v>
      </c>
      <c r="E1144" s="16">
        <v>76.0</v>
      </c>
    </row>
    <row r="1145">
      <c r="A1145" s="8" t="s">
        <v>91</v>
      </c>
      <c r="B1145" s="8" t="s">
        <v>391</v>
      </c>
      <c r="C1145" s="8" t="s">
        <v>122</v>
      </c>
      <c r="D1145" s="18" t="s">
        <v>2552</v>
      </c>
      <c r="E1145" s="16">
        <v>89.0</v>
      </c>
    </row>
    <row r="1146">
      <c r="A1146" s="8" t="s">
        <v>727</v>
      </c>
      <c r="B1146" s="8" t="s">
        <v>728</v>
      </c>
      <c r="C1146" s="8" t="s">
        <v>93</v>
      </c>
      <c r="D1146" s="18" t="s">
        <v>2593</v>
      </c>
      <c r="E1146" s="16">
        <v>75.0</v>
      </c>
    </row>
    <row r="1147">
      <c r="A1147" s="8" t="s">
        <v>954</v>
      </c>
      <c r="B1147" s="8" t="s">
        <v>33</v>
      </c>
      <c r="C1147" s="8" t="s">
        <v>59</v>
      </c>
      <c r="D1147" s="18" t="s">
        <v>2575</v>
      </c>
      <c r="E1147" s="16">
        <v>67.0</v>
      </c>
    </row>
    <row r="1148">
      <c r="A1148" s="8" t="s">
        <v>729</v>
      </c>
      <c r="B1148" s="8" t="s">
        <v>214</v>
      </c>
      <c r="C1148" s="8" t="s">
        <v>261</v>
      </c>
      <c r="D1148" s="18" t="s">
        <v>2575</v>
      </c>
      <c r="E1148" s="16">
        <v>83.0</v>
      </c>
    </row>
    <row r="1149">
      <c r="A1149" s="8" t="s">
        <v>3704</v>
      </c>
      <c r="B1149" s="8" t="s">
        <v>285</v>
      </c>
      <c r="C1149" s="8" t="s">
        <v>16</v>
      </c>
      <c r="D1149" s="18" t="s">
        <v>2585</v>
      </c>
      <c r="E1149" s="16">
        <v>74.0</v>
      </c>
    </row>
    <row r="1150">
      <c r="A1150" s="8" t="s">
        <v>392</v>
      </c>
      <c r="B1150" s="8" t="s">
        <v>33</v>
      </c>
      <c r="C1150" s="8" t="s">
        <v>46</v>
      </c>
      <c r="D1150" s="18" t="s">
        <v>2552</v>
      </c>
      <c r="E1150" s="16">
        <v>80.0</v>
      </c>
    </row>
    <row r="1151">
      <c r="A1151" s="8" t="s">
        <v>392</v>
      </c>
      <c r="B1151" s="8" t="s">
        <v>67</v>
      </c>
      <c r="C1151" s="8" t="s">
        <v>141</v>
      </c>
      <c r="D1151" s="18" t="s">
        <v>2574</v>
      </c>
      <c r="E1151" s="16">
        <v>89.0</v>
      </c>
    </row>
    <row r="1152">
      <c r="A1152" s="8" t="s">
        <v>1212</v>
      </c>
      <c r="B1152" s="8" t="s">
        <v>1213</v>
      </c>
      <c r="C1152" s="8" t="s">
        <v>138</v>
      </c>
      <c r="D1152" s="18" t="s">
        <v>2562</v>
      </c>
      <c r="E1152" s="16">
        <v>59.0</v>
      </c>
    </row>
    <row r="1153">
      <c r="A1153" s="8" t="s">
        <v>1214</v>
      </c>
      <c r="B1153" s="8" t="s">
        <v>114</v>
      </c>
      <c r="C1153" s="8" t="s">
        <v>132</v>
      </c>
      <c r="D1153" s="18" t="s">
        <v>2600</v>
      </c>
      <c r="E1153" s="16">
        <v>66.0</v>
      </c>
    </row>
    <row r="1154">
      <c r="A1154" s="8" t="s">
        <v>2872</v>
      </c>
      <c r="B1154" s="8" t="s">
        <v>20</v>
      </c>
      <c r="C1154" s="8" t="s">
        <v>38</v>
      </c>
      <c r="D1154" s="18" t="s">
        <v>2572</v>
      </c>
      <c r="E1154" s="16">
        <v>76.0</v>
      </c>
    </row>
    <row r="1155">
      <c r="A1155" s="8" t="s">
        <v>3705</v>
      </c>
      <c r="B1155" s="8" t="s">
        <v>3706</v>
      </c>
      <c r="C1155" s="8" t="s">
        <v>132</v>
      </c>
      <c r="D1155" s="18" t="s">
        <v>2582</v>
      </c>
      <c r="E1155" s="16">
        <v>61.0</v>
      </c>
    </row>
    <row r="1156">
      <c r="A1156" s="8" t="s">
        <v>730</v>
      </c>
      <c r="B1156" s="8" t="s">
        <v>731</v>
      </c>
      <c r="C1156" s="8" t="s">
        <v>215</v>
      </c>
      <c r="D1156" s="18" t="s">
        <v>2575</v>
      </c>
      <c r="E1156" s="16">
        <v>69.0</v>
      </c>
    </row>
    <row r="1157">
      <c r="A1157" s="8" t="s">
        <v>557</v>
      </c>
      <c r="B1157" s="8" t="s">
        <v>69</v>
      </c>
      <c r="C1157" s="8" t="s">
        <v>138</v>
      </c>
      <c r="D1157" s="18" t="s">
        <v>2600</v>
      </c>
      <c r="E1157" s="16">
        <v>63.0</v>
      </c>
    </row>
    <row r="1158">
      <c r="A1158" s="8" t="s">
        <v>557</v>
      </c>
      <c r="B1158" s="8" t="s">
        <v>1495</v>
      </c>
      <c r="C1158" s="8" t="s">
        <v>192</v>
      </c>
      <c r="D1158" s="18" t="s">
        <v>2552</v>
      </c>
      <c r="E1158" s="16">
        <v>64.0</v>
      </c>
    </row>
    <row r="1159">
      <c r="A1159" s="8" t="s">
        <v>557</v>
      </c>
      <c r="B1159" s="8" t="s">
        <v>558</v>
      </c>
      <c r="C1159" s="8" t="s">
        <v>65</v>
      </c>
      <c r="D1159" s="18" t="s">
        <v>2603</v>
      </c>
      <c r="E1159" s="16">
        <v>80.0</v>
      </c>
    </row>
    <row r="1160">
      <c r="A1160" s="8" t="s">
        <v>288</v>
      </c>
      <c r="B1160" s="8" t="s">
        <v>289</v>
      </c>
      <c r="C1160" s="8" t="s">
        <v>16</v>
      </c>
      <c r="D1160" s="18" t="s">
        <v>2593</v>
      </c>
      <c r="E1160" s="16">
        <v>75.0</v>
      </c>
    </row>
    <row r="1161">
      <c r="A1161" s="8" t="s">
        <v>290</v>
      </c>
      <c r="B1161" s="8" t="s">
        <v>45</v>
      </c>
      <c r="C1161" s="8" t="s">
        <v>141</v>
      </c>
      <c r="D1161" s="18" t="s">
        <v>2564</v>
      </c>
      <c r="E1161" s="16">
        <v>85.0</v>
      </c>
    </row>
    <row r="1162">
      <c r="A1162" s="8" t="s">
        <v>290</v>
      </c>
      <c r="B1162" s="8" t="s">
        <v>472</v>
      </c>
      <c r="C1162" s="8" t="s">
        <v>24</v>
      </c>
      <c r="D1162" s="18" t="s">
        <v>2183</v>
      </c>
      <c r="E1162" s="16">
        <v>88.0</v>
      </c>
    </row>
    <row r="1163">
      <c r="A1163" s="8" t="s">
        <v>559</v>
      </c>
      <c r="B1163" s="8" t="s">
        <v>560</v>
      </c>
      <c r="C1163" s="8" t="s">
        <v>132</v>
      </c>
      <c r="D1163" s="18" t="s">
        <v>2595</v>
      </c>
      <c r="E1163" s="16">
        <v>71.0</v>
      </c>
    </row>
    <row r="1164">
      <c r="A1164" s="8" t="s">
        <v>561</v>
      </c>
      <c r="B1164" s="8" t="s">
        <v>562</v>
      </c>
      <c r="C1164" s="8" t="s">
        <v>149</v>
      </c>
      <c r="D1164" s="18" t="s">
        <v>2564</v>
      </c>
      <c r="E1164" s="16">
        <v>72.0</v>
      </c>
    </row>
    <row r="1165">
      <c r="A1165" s="8" t="s">
        <v>561</v>
      </c>
      <c r="B1165" s="8" t="s">
        <v>67</v>
      </c>
      <c r="C1165" s="8" t="s">
        <v>141</v>
      </c>
      <c r="D1165" s="18" t="s">
        <v>2567</v>
      </c>
      <c r="E1165" s="16">
        <v>76.0</v>
      </c>
    </row>
    <row r="1166">
      <c r="A1166" s="8" t="s">
        <v>732</v>
      </c>
      <c r="B1166" s="8" t="s">
        <v>129</v>
      </c>
      <c r="C1166" s="8" t="s">
        <v>186</v>
      </c>
      <c r="D1166" s="18" t="s">
        <v>2552</v>
      </c>
      <c r="E1166" s="16">
        <v>76.0</v>
      </c>
    </row>
    <row r="1167">
      <c r="A1167" s="8" t="s">
        <v>732</v>
      </c>
      <c r="B1167" s="8" t="s">
        <v>1879</v>
      </c>
      <c r="C1167" s="8" t="s">
        <v>24</v>
      </c>
      <c r="D1167" s="18" t="s">
        <v>2593</v>
      </c>
      <c r="E1167" s="16">
        <v>75.0</v>
      </c>
    </row>
    <row r="1168">
      <c r="A1168" s="8" t="s">
        <v>732</v>
      </c>
      <c r="B1168" s="8" t="s">
        <v>733</v>
      </c>
      <c r="C1168" s="8" t="s">
        <v>53</v>
      </c>
      <c r="D1168" s="18" t="s">
        <v>2564</v>
      </c>
      <c r="E1168" s="16">
        <v>85.0</v>
      </c>
    </row>
    <row r="1169">
      <c r="A1169" s="8" t="s">
        <v>734</v>
      </c>
      <c r="B1169" s="8" t="s">
        <v>735</v>
      </c>
      <c r="C1169" s="8" t="s">
        <v>53</v>
      </c>
      <c r="D1169" s="18" t="s">
        <v>2566</v>
      </c>
      <c r="E1169" s="16">
        <v>78.0</v>
      </c>
    </row>
    <row r="1170">
      <c r="A1170" s="8" t="s">
        <v>3707</v>
      </c>
      <c r="B1170" s="8" t="s">
        <v>3708</v>
      </c>
      <c r="C1170" s="8" t="s">
        <v>192</v>
      </c>
      <c r="D1170" s="18" t="s">
        <v>2620</v>
      </c>
      <c r="E1170" s="16">
        <v>71.0</v>
      </c>
    </row>
    <row r="1171">
      <c r="A1171" s="8" t="s">
        <v>736</v>
      </c>
      <c r="B1171" s="8" t="s">
        <v>737</v>
      </c>
      <c r="C1171" s="8" t="s">
        <v>75</v>
      </c>
      <c r="D1171" s="18" t="s">
        <v>2552</v>
      </c>
      <c r="E1171" s="16">
        <v>62.0</v>
      </c>
    </row>
    <row r="1172">
      <c r="A1172" s="8" t="s">
        <v>2876</v>
      </c>
      <c r="B1172" s="8" t="s">
        <v>822</v>
      </c>
      <c r="C1172" s="8" t="s">
        <v>65</v>
      </c>
      <c r="D1172" s="18" t="s">
        <v>2554</v>
      </c>
      <c r="E1172" s="16">
        <v>72.0</v>
      </c>
    </row>
    <row r="1173">
      <c r="A1173" s="8" t="s">
        <v>160</v>
      </c>
      <c r="B1173" s="8" t="s">
        <v>161</v>
      </c>
      <c r="C1173" s="8" t="s">
        <v>38</v>
      </c>
      <c r="D1173" s="18" t="s">
        <v>2621</v>
      </c>
      <c r="E1173" s="16">
        <v>85.0</v>
      </c>
    </row>
    <row r="1174">
      <c r="A1174" s="8" t="s">
        <v>563</v>
      </c>
      <c r="B1174" s="8" t="s">
        <v>480</v>
      </c>
      <c r="C1174" s="8" t="s">
        <v>122</v>
      </c>
      <c r="D1174" s="18" t="s">
        <v>2567</v>
      </c>
      <c r="E1174" s="16">
        <v>73.0</v>
      </c>
    </row>
    <row r="1175">
      <c r="A1175" s="8" t="s">
        <v>291</v>
      </c>
      <c r="B1175" s="8" t="s">
        <v>67</v>
      </c>
      <c r="C1175" s="8" t="s">
        <v>53</v>
      </c>
      <c r="D1175" s="18" t="s">
        <v>2582</v>
      </c>
      <c r="E1175" s="16">
        <v>88.0</v>
      </c>
    </row>
    <row r="1176">
      <c r="A1176" s="8" t="s">
        <v>1217</v>
      </c>
      <c r="B1176" s="8" t="s">
        <v>362</v>
      </c>
      <c r="C1176" s="8" t="s">
        <v>16</v>
      </c>
      <c r="D1176" s="18" t="s">
        <v>2615</v>
      </c>
      <c r="E1176" s="16">
        <v>70.0</v>
      </c>
    </row>
    <row r="1177">
      <c r="A1177" s="8" t="s">
        <v>2878</v>
      </c>
      <c r="B1177" s="8" t="s">
        <v>301</v>
      </c>
      <c r="C1177" s="8" t="s">
        <v>53</v>
      </c>
      <c r="D1177" s="18" t="s">
        <v>2592</v>
      </c>
      <c r="E1177" s="16">
        <v>59.0</v>
      </c>
    </row>
    <row r="1178">
      <c r="A1178" s="8" t="s">
        <v>2879</v>
      </c>
      <c r="B1178" s="18" t="s">
        <v>2880</v>
      </c>
      <c r="C1178" s="8" t="s">
        <v>215</v>
      </c>
      <c r="D1178" s="18" t="s">
        <v>2595</v>
      </c>
      <c r="E1178" s="16">
        <v>75.0</v>
      </c>
    </row>
    <row r="1179">
      <c r="A1179" s="8" t="s">
        <v>955</v>
      </c>
      <c r="B1179" s="8" t="s">
        <v>800</v>
      </c>
      <c r="C1179" s="8" t="s">
        <v>122</v>
      </c>
      <c r="D1179" s="18" t="s">
        <v>2620</v>
      </c>
      <c r="E1179" s="16">
        <v>61.0</v>
      </c>
    </row>
    <row r="1180">
      <c r="A1180" s="8" t="s">
        <v>292</v>
      </c>
      <c r="B1180" s="8" t="s">
        <v>197</v>
      </c>
      <c r="C1180" s="8" t="s">
        <v>141</v>
      </c>
      <c r="D1180" s="18" t="s">
        <v>2585</v>
      </c>
      <c r="E1180" s="16">
        <v>71.0</v>
      </c>
    </row>
    <row r="1181">
      <c r="A1181" s="8" t="s">
        <v>1218</v>
      </c>
      <c r="B1181" s="8" t="s">
        <v>1219</v>
      </c>
      <c r="C1181" s="8" t="s">
        <v>192</v>
      </c>
      <c r="D1181" s="18" t="s">
        <v>2554</v>
      </c>
      <c r="E1181" s="16">
        <v>68.0</v>
      </c>
    </row>
    <row r="1182">
      <c r="A1182" s="8" t="s">
        <v>1496</v>
      </c>
      <c r="B1182" s="8" t="s">
        <v>1473</v>
      </c>
      <c r="C1182" s="8" t="s">
        <v>192</v>
      </c>
      <c r="D1182" s="18" t="s">
        <v>2615</v>
      </c>
      <c r="E1182" s="16">
        <v>65.0</v>
      </c>
    </row>
    <row r="1183">
      <c r="A1183" s="8" t="s">
        <v>956</v>
      </c>
      <c r="B1183" s="8" t="s">
        <v>957</v>
      </c>
      <c r="C1183" s="8" t="s">
        <v>93</v>
      </c>
      <c r="D1183" s="18" t="s">
        <v>2598</v>
      </c>
      <c r="E1183" s="16">
        <v>61.0</v>
      </c>
    </row>
    <row r="1184">
      <c r="A1184" s="8" t="s">
        <v>956</v>
      </c>
      <c r="B1184" s="8" t="s">
        <v>506</v>
      </c>
      <c r="C1184" s="8" t="s">
        <v>122</v>
      </c>
      <c r="D1184" s="18" t="s">
        <v>2183</v>
      </c>
      <c r="E1184" s="16">
        <v>67.0</v>
      </c>
    </row>
    <row r="1185">
      <c r="A1185" s="8" t="s">
        <v>956</v>
      </c>
      <c r="B1185" s="8" t="s">
        <v>2881</v>
      </c>
      <c r="C1185" s="8" t="s">
        <v>38</v>
      </c>
      <c r="D1185" s="18" t="s">
        <v>2556</v>
      </c>
      <c r="E1185" s="16">
        <v>82.0</v>
      </c>
    </row>
    <row r="1186">
      <c r="A1186" s="8" t="s">
        <v>956</v>
      </c>
      <c r="B1186" s="8" t="s">
        <v>2882</v>
      </c>
      <c r="C1186" s="8" t="s">
        <v>65</v>
      </c>
      <c r="D1186" s="18" t="s">
        <v>2566</v>
      </c>
      <c r="E1186" s="16">
        <v>61.0</v>
      </c>
    </row>
    <row r="1187">
      <c r="A1187" s="8" t="s">
        <v>1497</v>
      </c>
      <c r="B1187" s="8" t="s">
        <v>1498</v>
      </c>
      <c r="C1187" s="8" t="s">
        <v>75</v>
      </c>
      <c r="D1187" s="18" t="s">
        <v>2556</v>
      </c>
      <c r="E1187" s="16">
        <v>57.0</v>
      </c>
    </row>
    <row r="1188">
      <c r="A1188" s="8" t="s">
        <v>564</v>
      </c>
      <c r="B1188" s="8" t="s">
        <v>565</v>
      </c>
      <c r="C1188" s="8" t="s">
        <v>93</v>
      </c>
      <c r="D1188" s="18" t="s">
        <v>2610</v>
      </c>
      <c r="E1188" s="16">
        <v>76.0</v>
      </c>
    </row>
    <row r="1189">
      <c r="A1189" s="8" t="s">
        <v>958</v>
      </c>
      <c r="B1189" s="8" t="s">
        <v>726</v>
      </c>
      <c r="C1189" s="8" t="s">
        <v>186</v>
      </c>
      <c r="D1189" s="18" t="s">
        <v>2615</v>
      </c>
      <c r="E1189" s="16">
        <v>74.0</v>
      </c>
    </row>
    <row r="1190">
      <c r="A1190" s="8" t="s">
        <v>738</v>
      </c>
      <c r="B1190" s="18" t="s">
        <v>269</v>
      </c>
      <c r="C1190" s="8" t="s">
        <v>53</v>
      </c>
      <c r="D1190" s="18" t="s">
        <v>2574</v>
      </c>
      <c r="E1190" s="16">
        <v>74.0</v>
      </c>
    </row>
    <row r="1191">
      <c r="A1191" s="8" t="s">
        <v>566</v>
      </c>
      <c r="B1191" s="8" t="s">
        <v>301</v>
      </c>
      <c r="C1191" s="8" t="s">
        <v>141</v>
      </c>
      <c r="D1191" s="18" t="s">
        <v>2600</v>
      </c>
      <c r="E1191" s="16">
        <v>72.0</v>
      </c>
    </row>
    <row r="1192">
      <c r="A1192" s="8" t="s">
        <v>3325</v>
      </c>
      <c r="B1192" s="8" t="s">
        <v>1493</v>
      </c>
      <c r="C1192" s="8" t="s">
        <v>215</v>
      </c>
      <c r="D1192" s="18" t="s">
        <v>2621</v>
      </c>
      <c r="E1192" s="16">
        <v>73.0</v>
      </c>
    </row>
    <row r="1193">
      <c r="A1193" s="8" t="s">
        <v>3709</v>
      </c>
      <c r="B1193" s="8" t="s">
        <v>983</v>
      </c>
      <c r="C1193" s="8" t="s">
        <v>122</v>
      </c>
      <c r="D1193" s="18" t="s">
        <v>2600</v>
      </c>
      <c r="E1193" s="16">
        <v>83.0</v>
      </c>
    </row>
    <row r="1194">
      <c r="A1194" s="8" t="s">
        <v>40</v>
      </c>
      <c r="B1194" s="8" t="s">
        <v>41</v>
      </c>
      <c r="C1194" s="8" t="s">
        <v>38</v>
      </c>
      <c r="D1194" s="18" t="s">
        <v>2575</v>
      </c>
      <c r="E1194" s="16">
        <v>84.0</v>
      </c>
    </row>
    <row r="1195">
      <c r="A1195" s="8" t="s">
        <v>2883</v>
      </c>
      <c r="B1195" s="8" t="s">
        <v>2884</v>
      </c>
      <c r="C1195" s="8" t="s">
        <v>75</v>
      </c>
      <c r="D1195" s="18" t="s">
        <v>2582</v>
      </c>
      <c r="E1195" s="16">
        <v>62.0</v>
      </c>
    </row>
    <row r="1196">
      <c r="A1196" s="8" t="s">
        <v>2883</v>
      </c>
      <c r="B1196" s="8" t="s">
        <v>1489</v>
      </c>
      <c r="C1196" s="8" t="s">
        <v>149</v>
      </c>
      <c r="D1196" s="18" t="s">
        <v>2587</v>
      </c>
      <c r="E1196" s="16">
        <v>72.0</v>
      </c>
    </row>
    <row r="1197">
      <c r="A1197" s="8" t="s">
        <v>1220</v>
      </c>
      <c r="B1197" s="8" t="s">
        <v>50</v>
      </c>
      <c r="C1197" s="8" t="s">
        <v>24</v>
      </c>
      <c r="D1197" s="18" t="s">
        <v>2584</v>
      </c>
      <c r="E1197" s="16">
        <v>64.0</v>
      </c>
    </row>
    <row r="1198">
      <c r="A1198" s="8" t="s">
        <v>567</v>
      </c>
      <c r="B1198" s="8" t="s">
        <v>494</v>
      </c>
      <c r="C1198" s="8" t="s">
        <v>24</v>
      </c>
      <c r="D1198" s="18" t="s">
        <v>2620</v>
      </c>
      <c r="E1198" s="16">
        <v>40.0</v>
      </c>
    </row>
    <row r="1199">
      <c r="A1199" s="8" t="s">
        <v>2885</v>
      </c>
      <c r="B1199" s="8" t="s">
        <v>637</v>
      </c>
      <c r="C1199" s="8" t="s">
        <v>24</v>
      </c>
      <c r="D1199" s="18" t="s">
        <v>2620</v>
      </c>
      <c r="E1199" s="16">
        <v>61.0</v>
      </c>
    </row>
    <row r="1200">
      <c r="A1200" s="8" t="s">
        <v>1221</v>
      </c>
      <c r="B1200" s="8" t="s">
        <v>676</v>
      </c>
      <c r="C1200" s="8" t="s">
        <v>24</v>
      </c>
      <c r="D1200" s="18" t="s">
        <v>2610</v>
      </c>
      <c r="E1200" s="16">
        <v>71.0</v>
      </c>
    </row>
    <row r="1201">
      <c r="A1201" s="8" t="s">
        <v>3710</v>
      </c>
      <c r="B1201" s="8" t="s">
        <v>628</v>
      </c>
      <c r="C1201" s="8" t="s">
        <v>59</v>
      </c>
      <c r="D1201" s="18" t="s">
        <v>2615</v>
      </c>
      <c r="E1201" s="16">
        <v>85.0</v>
      </c>
    </row>
    <row r="1202">
      <c r="A1202" s="8" t="s">
        <v>3711</v>
      </c>
      <c r="B1202" s="8" t="s">
        <v>676</v>
      </c>
      <c r="C1202" s="8" t="s">
        <v>138</v>
      </c>
      <c r="D1202" s="18" t="s">
        <v>2558</v>
      </c>
      <c r="E1202" s="16">
        <v>58.0</v>
      </c>
    </row>
    <row r="1203">
      <c r="A1203" s="8" t="s">
        <v>739</v>
      </c>
      <c r="B1203" s="8" t="s">
        <v>320</v>
      </c>
      <c r="C1203" s="8" t="s">
        <v>186</v>
      </c>
      <c r="D1203" s="18" t="s">
        <v>2574</v>
      </c>
      <c r="E1203" s="16">
        <v>99.0</v>
      </c>
    </row>
    <row r="1204">
      <c r="A1204" s="8" t="s">
        <v>2886</v>
      </c>
      <c r="B1204" s="8" t="s">
        <v>695</v>
      </c>
      <c r="C1204" s="8" t="s">
        <v>122</v>
      </c>
      <c r="D1204" s="18" t="s">
        <v>2600</v>
      </c>
      <c r="E1204" s="16">
        <v>67.0</v>
      </c>
    </row>
    <row r="1205">
      <c r="A1205" s="8" t="s">
        <v>570</v>
      </c>
      <c r="B1205" s="8" t="s">
        <v>129</v>
      </c>
      <c r="C1205" s="8" t="s">
        <v>141</v>
      </c>
      <c r="D1205" s="18" t="s">
        <v>2593</v>
      </c>
      <c r="E1205" s="16">
        <v>66.0</v>
      </c>
    </row>
    <row r="1206">
      <c r="A1206" s="8" t="s">
        <v>1223</v>
      </c>
      <c r="B1206" s="8" t="s">
        <v>231</v>
      </c>
      <c r="C1206" s="8" t="s">
        <v>186</v>
      </c>
      <c r="D1206" s="18" t="s">
        <v>2605</v>
      </c>
      <c r="E1206" s="16">
        <v>64.0</v>
      </c>
    </row>
    <row r="1207">
      <c r="A1207" s="8" t="s">
        <v>1224</v>
      </c>
      <c r="B1207" s="8" t="s">
        <v>33</v>
      </c>
      <c r="C1207" s="8" t="s">
        <v>24</v>
      </c>
      <c r="D1207" s="18" t="s">
        <v>2566</v>
      </c>
      <c r="E1207" s="16">
        <v>65.0</v>
      </c>
    </row>
    <row r="1208">
      <c r="A1208" s="8" t="s">
        <v>3327</v>
      </c>
      <c r="B1208" s="8" t="s">
        <v>1347</v>
      </c>
      <c r="C1208" s="8" t="s">
        <v>70</v>
      </c>
      <c r="D1208" s="18" t="s">
        <v>2558</v>
      </c>
      <c r="E1208" s="16">
        <v>83.0</v>
      </c>
    </row>
    <row r="1209">
      <c r="A1209" s="8" t="s">
        <v>25</v>
      </c>
      <c r="B1209" s="18" t="s">
        <v>26</v>
      </c>
      <c r="C1209" s="8" t="s">
        <v>24</v>
      </c>
      <c r="D1209" s="18" t="s">
        <v>2614</v>
      </c>
      <c r="E1209" s="16">
        <v>48.0</v>
      </c>
    </row>
    <row r="1210">
      <c r="A1210" s="8" t="s">
        <v>2887</v>
      </c>
      <c r="B1210" s="8" t="s">
        <v>121</v>
      </c>
      <c r="C1210" s="8" t="s">
        <v>65</v>
      </c>
      <c r="D1210" s="18" t="s">
        <v>2610</v>
      </c>
      <c r="E1210" s="16">
        <v>77.0</v>
      </c>
    </row>
    <row r="1211">
      <c r="A1211" s="8" t="s">
        <v>740</v>
      </c>
      <c r="B1211" s="8" t="s">
        <v>301</v>
      </c>
      <c r="C1211" s="8" t="s">
        <v>12</v>
      </c>
      <c r="D1211" s="18" t="s">
        <v>2572</v>
      </c>
      <c r="E1211" s="16">
        <v>76.0</v>
      </c>
    </row>
    <row r="1212">
      <c r="A1212" s="8" t="s">
        <v>960</v>
      </c>
      <c r="B1212" s="8" t="s">
        <v>961</v>
      </c>
      <c r="C1212" s="8" t="s">
        <v>149</v>
      </c>
      <c r="D1212" s="18" t="s">
        <v>2562</v>
      </c>
      <c r="E1212" s="16">
        <v>66.0</v>
      </c>
    </row>
    <row r="1213">
      <c r="A1213" s="8" t="s">
        <v>2890</v>
      </c>
      <c r="B1213" s="8" t="s">
        <v>299</v>
      </c>
      <c r="C1213" s="8" t="s">
        <v>65</v>
      </c>
      <c r="D1213" s="18" t="s">
        <v>2595</v>
      </c>
      <c r="E1213" s="16">
        <v>61.0</v>
      </c>
    </row>
    <row r="1214">
      <c r="A1214" s="8" t="s">
        <v>2891</v>
      </c>
      <c r="B1214" s="8" t="s">
        <v>226</v>
      </c>
      <c r="C1214" s="8" t="s">
        <v>59</v>
      </c>
      <c r="D1214" s="18" t="s">
        <v>2552</v>
      </c>
      <c r="E1214" s="16">
        <v>72.0</v>
      </c>
    </row>
    <row r="1215">
      <c r="A1215" s="8" t="s">
        <v>3712</v>
      </c>
      <c r="B1215" s="8" t="s">
        <v>204</v>
      </c>
      <c r="C1215" s="8" t="s">
        <v>24</v>
      </c>
      <c r="D1215" s="18" t="s">
        <v>2554</v>
      </c>
      <c r="E1215" s="16">
        <v>46.0</v>
      </c>
    </row>
    <row r="1216">
      <c r="A1216" s="8" t="s">
        <v>1225</v>
      </c>
      <c r="B1216" s="8" t="s">
        <v>275</v>
      </c>
      <c r="C1216" s="8" t="s">
        <v>59</v>
      </c>
      <c r="D1216" s="18" t="s">
        <v>2572</v>
      </c>
      <c r="E1216" s="16">
        <v>57.0</v>
      </c>
    </row>
    <row r="1217">
      <c r="A1217" s="8" t="s">
        <v>1226</v>
      </c>
      <c r="B1217" s="8" t="s">
        <v>1227</v>
      </c>
      <c r="C1217" s="8" t="s">
        <v>65</v>
      </c>
      <c r="D1217" s="18" t="s">
        <v>2581</v>
      </c>
      <c r="E1217" s="16">
        <v>87.0</v>
      </c>
    </row>
    <row r="1218">
      <c r="A1218" s="8" t="s">
        <v>552</v>
      </c>
      <c r="B1218" s="8" t="s">
        <v>822</v>
      </c>
      <c r="C1218" s="8" t="s">
        <v>93</v>
      </c>
      <c r="D1218" s="18" t="s">
        <v>2603</v>
      </c>
      <c r="E1218" s="16">
        <v>77.0</v>
      </c>
    </row>
    <row r="1219">
      <c r="A1219" s="8" t="s">
        <v>2892</v>
      </c>
      <c r="B1219" s="18" t="s">
        <v>491</v>
      </c>
      <c r="C1219" s="8" t="s">
        <v>132</v>
      </c>
      <c r="D1219" s="18" t="s">
        <v>2558</v>
      </c>
      <c r="E1219" s="16">
        <v>91.0</v>
      </c>
    </row>
    <row r="1220">
      <c r="A1220" s="8" t="s">
        <v>963</v>
      </c>
      <c r="B1220" s="8" t="s">
        <v>822</v>
      </c>
      <c r="C1220" s="8" t="s">
        <v>70</v>
      </c>
      <c r="D1220" s="18" t="s">
        <v>2605</v>
      </c>
      <c r="E1220" s="16">
        <v>76.0</v>
      </c>
    </row>
    <row r="1221">
      <c r="A1221" s="8" t="s">
        <v>963</v>
      </c>
      <c r="B1221" s="8" t="s">
        <v>961</v>
      </c>
      <c r="C1221" s="8" t="s">
        <v>138</v>
      </c>
      <c r="D1221" s="18" t="s">
        <v>2567</v>
      </c>
      <c r="E1221" s="16">
        <v>80.0</v>
      </c>
    </row>
    <row r="1222">
      <c r="A1222" s="18" t="s">
        <v>1873</v>
      </c>
      <c r="B1222" s="8" t="s">
        <v>1128</v>
      </c>
      <c r="C1222" s="8" t="s">
        <v>93</v>
      </c>
      <c r="D1222" s="18" t="s">
        <v>2584</v>
      </c>
      <c r="E1222" s="16">
        <v>82.0</v>
      </c>
    </row>
    <row r="1223">
      <c r="A1223" s="8" t="s">
        <v>210</v>
      </c>
      <c r="B1223" s="8" t="s">
        <v>114</v>
      </c>
      <c r="C1223" s="8" t="s">
        <v>75</v>
      </c>
      <c r="D1223" s="18" t="s">
        <v>2605</v>
      </c>
      <c r="E1223" s="16">
        <v>67.0</v>
      </c>
    </row>
    <row r="1224">
      <c r="A1224" s="8" t="s">
        <v>210</v>
      </c>
      <c r="B1224" s="8" t="s">
        <v>676</v>
      </c>
      <c r="C1224" s="8" t="s">
        <v>75</v>
      </c>
      <c r="D1224" s="18" t="s">
        <v>2574</v>
      </c>
      <c r="E1224" s="16">
        <v>67.0</v>
      </c>
    </row>
    <row r="1225">
      <c r="A1225" s="8" t="s">
        <v>2894</v>
      </c>
      <c r="B1225" s="8" t="s">
        <v>197</v>
      </c>
      <c r="C1225" s="8" t="s">
        <v>70</v>
      </c>
      <c r="D1225" s="18" t="s">
        <v>2595</v>
      </c>
      <c r="E1225" s="16">
        <v>68.0</v>
      </c>
    </row>
    <row r="1226">
      <c r="A1226" s="8" t="s">
        <v>3713</v>
      </c>
      <c r="B1226" s="8" t="s">
        <v>628</v>
      </c>
      <c r="C1226" s="8" t="s">
        <v>261</v>
      </c>
      <c r="D1226" s="18" t="s">
        <v>2605</v>
      </c>
      <c r="E1226" s="16">
        <v>66.0</v>
      </c>
    </row>
    <row r="1227">
      <c r="A1227" s="8" t="s">
        <v>2895</v>
      </c>
      <c r="B1227" s="8" t="s">
        <v>800</v>
      </c>
      <c r="C1227" s="8" t="s">
        <v>122</v>
      </c>
      <c r="D1227" s="18" t="s">
        <v>2556</v>
      </c>
      <c r="E1227" s="16">
        <v>58.0</v>
      </c>
    </row>
    <row r="1228">
      <c r="A1228" s="8" t="s">
        <v>1231</v>
      </c>
      <c r="B1228" s="8" t="s">
        <v>362</v>
      </c>
      <c r="C1228" s="8" t="s">
        <v>65</v>
      </c>
      <c r="D1228" s="18" t="s">
        <v>2620</v>
      </c>
      <c r="E1228" s="16">
        <v>68.0</v>
      </c>
    </row>
    <row r="1229">
      <c r="A1229" s="8" t="s">
        <v>2169</v>
      </c>
      <c r="B1229" s="8" t="s">
        <v>3714</v>
      </c>
      <c r="C1229" s="8" t="s">
        <v>186</v>
      </c>
      <c r="D1229" s="18" t="s">
        <v>2587</v>
      </c>
      <c r="E1229" s="16">
        <v>70.0</v>
      </c>
    </row>
    <row r="1230">
      <c r="A1230" s="8" t="s">
        <v>3715</v>
      </c>
      <c r="B1230" s="8" t="s">
        <v>260</v>
      </c>
      <c r="C1230" s="8" t="s">
        <v>186</v>
      </c>
      <c r="D1230" s="18" t="s">
        <v>2595</v>
      </c>
      <c r="E1230" s="16">
        <v>73.0</v>
      </c>
    </row>
    <row r="1231">
      <c r="A1231" s="8" t="s">
        <v>3328</v>
      </c>
      <c r="B1231" s="8" t="s">
        <v>832</v>
      </c>
      <c r="C1231" s="8" t="s">
        <v>75</v>
      </c>
      <c r="D1231" s="18" t="s">
        <v>2582</v>
      </c>
      <c r="E1231" s="16">
        <v>74.0</v>
      </c>
    </row>
    <row r="1232">
      <c r="A1232" s="8" t="s">
        <v>1874</v>
      </c>
      <c r="B1232" s="8" t="s">
        <v>333</v>
      </c>
      <c r="C1232" s="8" t="s">
        <v>65</v>
      </c>
      <c r="D1232" s="18" t="s">
        <v>2603</v>
      </c>
      <c r="E1232" s="16">
        <v>64.0</v>
      </c>
    </row>
    <row r="1233">
      <c r="A1233" s="8" t="s">
        <v>524</v>
      </c>
      <c r="B1233" s="8" t="s">
        <v>964</v>
      </c>
      <c r="C1233" s="8" t="s">
        <v>138</v>
      </c>
      <c r="D1233" s="18" t="s">
        <v>2614</v>
      </c>
      <c r="E1233" s="16">
        <v>81.0</v>
      </c>
    </row>
    <row r="1234">
      <c r="A1234" s="8" t="s">
        <v>524</v>
      </c>
      <c r="B1234" s="8" t="s">
        <v>598</v>
      </c>
      <c r="C1234" s="8" t="s">
        <v>65</v>
      </c>
      <c r="D1234" s="18" t="s">
        <v>2584</v>
      </c>
      <c r="E1234" s="16">
        <v>59.0</v>
      </c>
    </row>
    <row r="1235">
      <c r="A1235" s="8" t="s">
        <v>741</v>
      </c>
      <c r="B1235" s="8" t="s">
        <v>3716</v>
      </c>
      <c r="C1235" s="8" t="s">
        <v>53</v>
      </c>
      <c r="D1235" s="18" t="s">
        <v>2587</v>
      </c>
      <c r="E1235" s="16">
        <v>71.0</v>
      </c>
    </row>
    <row r="1236">
      <c r="A1236" s="8" t="s">
        <v>741</v>
      </c>
      <c r="B1236" s="8" t="s">
        <v>742</v>
      </c>
      <c r="C1236" s="8" t="s">
        <v>93</v>
      </c>
      <c r="D1236" s="18" t="s">
        <v>2554</v>
      </c>
      <c r="E1236" s="16">
        <v>70.0</v>
      </c>
    </row>
    <row r="1237">
      <c r="A1237" s="8" t="s">
        <v>741</v>
      </c>
      <c r="B1237" s="8" t="s">
        <v>1241</v>
      </c>
      <c r="C1237" s="8" t="s">
        <v>138</v>
      </c>
      <c r="D1237" s="18" t="s">
        <v>2587</v>
      </c>
      <c r="E1237" s="16">
        <v>75.0</v>
      </c>
    </row>
    <row r="1238">
      <c r="A1238" s="8" t="s">
        <v>393</v>
      </c>
      <c r="B1238" s="8" t="s">
        <v>1091</v>
      </c>
      <c r="C1238" s="8" t="s">
        <v>75</v>
      </c>
      <c r="D1238" s="18" t="s">
        <v>2614</v>
      </c>
      <c r="E1238" s="16">
        <v>75.0</v>
      </c>
    </row>
    <row r="1239">
      <c r="A1239" s="8" t="s">
        <v>2896</v>
      </c>
      <c r="B1239" s="8" t="s">
        <v>1295</v>
      </c>
      <c r="C1239" s="8" t="s">
        <v>38</v>
      </c>
      <c r="D1239" s="18" t="s">
        <v>2562</v>
      </c>
      <c r="E1239" s="16">
        <v>77.0</v>
      </c>
    </row>
    <row r="1240">
      <c r="A1240" s="8" t="s">
        <v>42</v>
      </c>
      <c r="B1240" s="8" t="s">
        <v>43</v>
      </c>
      <c r="C1240" s="8" t="s">
        <v>38</v>
      </c>
      <c r="D1240" s="18" t="s">
        <v>2615</v>
      </c>
      <c r="E1240" s="16">
        <v>80.0</v>
      </c>
    </row>
    <row r="1241">
      <c r="A1241" s="8" t="s">
        <v>42</v>
      </c>
      <c r="B1241" s="8" t="s">
        <v>1876</v>
      </c>
      <c r="C1241" s="8" t="s">
        <v>186</v>
      </c>
      <c r="D1241" s="18" t="s">
        <v>2560</v>
      </c>
      <c r="E1241" s="16">
        <v>73.0</v>
      </c>
    </row>
    <row r="1242">
      <c r="A1242" s="8" t="s">
        <v>42</v>
      </c>
      <c r="B1242" s="8" t="s">
        <v>1457</v>
      </c>
      <c r="C1242" s="8" t="s">
        <v>53</v>
      </c>
      <c r="D1242" s="18" t="s">
        <v>2595</v>
      </c>
      <c r="E1242" s="16">
        <v>57.0</v>
      </c>
    </row>
    <row r="1243">
      <c r="A1243" s="8" t="s">
        <v>42</v>
      </c>
      <c r="B1243" s="8" t="s">
        <v>2651</v>
      </c>
      <c r="C1243" s="8" t="s">
        <v>65</v>
      </c>
      <c r="D1243" s="18" t="s">
        <v>2554</v>
      </c>
      <c r="E1243" s="16">
        <v>60.0</v>
      </c>
    </row>
    <row r="1244">
      <c r="A1244" s="8" t="s">
        <v>42</v>
      </c>
      <c r="B1244" s="8" t="s">
        <v>2286</v>
      </c>
      <c r="C1244" s="8" t="s">
        <v>24</v>
      </c>
      <c r="D1244" s="18" t="s">
        <v>2605</v>
      </c>
      <c r="E1244" s="16">
        <v>67.0</v>
      </c>
    </row>
    <row r="1245">
      <c r="A1245" s="8" t="s">
        <v>42</v>
      </c>
      <c r="B1245" s="8" t="s">
        <v>965</v>
      </c>
      <c r="C1245" s="8" t="s">
        <v>65</v>
      </c>
      <c r="D1245" s="18" t="s">
        <v>2584</v>
      </c>
      <c r="E1245" s="16">
        <v>71.0</v>
      </c>
    </row>
    <row r="1246">
      <c r="A1246" s="8" t="s">
        <v>42</v>
      </c>
      <c r="B1246" s="8" t="s">
        <v>162</v>
      </c>
      <c r="C1246" s="8" t="s">
        <v>59</v>
      </c>
      <c r="D1246" s="18" t="s">
        <v>2614</v>
      </c>
      <c r="E1246" s="16">
        <v>89.0</v>
      </c>
    </row>
    <row r="1247">
      <c r="A1247" s="8" t="s">
        <v>3717</v>
      </c>
      <c r="B1247" s="8" t="s">
        <v>241</v>
      </c>
      <c r="C1247" s="8" t="s">
        <v>16</v>
      </c>
      <c r="D1247" s="18" t="s">
        <v>2592</v>
      </c>
      <c r="E1247" s="16">
        <v>60.0</v>
      </c>
    </row>
    <row r="1248">
      <c r="A1248" s="8" t="s">
        <v>3332</v>
      </c>
      <c r="B1248" s="8" t="s">
        <v>1209</v>
      </c>
      <c r="C1248" s="8" t="s">
        <v>75</v>
      </c>
      <c r="D1248" s="18" t="s">
        <v>2595</v>
      </c>
      <c r="E1248" s="16">
        <v>77.0</v>
      </c>
    </row>
    <row r="1249">
      <c r="A1249" s="8" t="s">
        <v>3333</v>
      </c>
      <c r="B1249" s="8" t="s">
        <v>304</v>
      </c>
      <c r="C1249" s="8" t="s">
        <v>53</v>
      </c>
      <c r="D1249" s="18" t="s">
        <v>2585</v>
      </c>
      <c r="E1249" s="16">
        <v>66.0</v>
      </c>
    </row>
    <row r="1250">
      <c r="A1250" s="8" t="s">
        <v>3718</v>
      </c>
      <c r="B1250" s="8" t="s">
        <v>357</v>
      </c>
      <c r="C1250" s="8" t="s">
        <v>46</v>
      </c>
      <c r="D1250" s="18" t="s">
        <v>2605</v>
      </c>
      <c r="E1250" s="16">
        <v>68.0</v>
      </c>
    </row>
    <row r="1251">
      <c r="A1251" s="8" t="s">
        <v>3719</v>
      </c>
      <c r="B1251" s="8" t="s">
        <v>301</v>
      </c>
      <c r="C1251" s="8" t="s">
        <v>65</v>
      </c>
      <c r="D1251" s="18" t="s">
        <v>2562</v>
      </c>
      <c r="E1251" s="16">
        <v>58.0</v>
      </c>
    </row>
    <row r="1252">
      <c r="A1252" s="8" t="s">
        <v>3720</v>
      </c>
      <c r="B1252" s="8" t="s">
        <v>157</v>
      </c>
      <c r="C1252" s="8" t="s">
        <v>24</v>
      </c>
      <c r="D1252" s="18" t="s">
        <v>2552</v>
      </c>
      <c r="E1252" s="16">
        <v>66.0</v>
      </c>
    </row>
    <row r="1253">
      <c r="A1253" s="8" t="s">
        <v>3334</v>
      </c>
      <c r="B1253" s="8" t="s">
        <v>301</v>
      </c>
      <c r="C1253" s="8" t="s">
        <v>141</v>
      </c>
      <c r="D1253" s="18" t="s">
        <v>2582</v>
      </c>
      <c r="E1253" s="16">
        <v>67.0</v>
      </c>
    </row>
    <row r="1254">
      <c r="A1254" s="8" t="s">
        <v>3721</v>
      </c>
      <c r="B1254" s="8" t="s">
        <v>212</v>
      </c>
      <c r="C1254" s="8" t="s">
        <v>80</v>
      </c>
      <c r="D1254" s="18" t="s">
        <v>2575</v>
      </c>
      <c r="E1254" s="16">
        <v>71.0</v>
      </c>
    </row>
    <row r="1255">
      <c r="A1255" s="8" t="s">
        <v>2901</v>
      </c>
      <c r="B1255" s="8" t="s">
        <v>43</v>
      </c>
      <c r="C1255" s="8" t="s">
        <v>75</v>
      </c>
      <c r="D1255" s="18" t="s">
        <v>2598</v>
      </c>
      <c r="E1255" s="16">
        <v>80.0</v>
      </c>
    </row>
    <row r="1256">
      <c r="A1256" s="8" t="s">
        <v>3722</v>
      </c>
      <c r="B1256" s="8" t="s">
        <v>943</v>
      </c>
      <c r="C1256" s="8" t="s">
        <v>59</v>
      </c>
      <c r="D1256" s="18" t="s">
        <v>2554</v>
      </c>
      <c r="E1256" s="16">
        <v>87.0</v>
      </c>
    </row>
    <row r="1257">
      <c r="A1257" s="8" t="s">
        <v>743</v>
      </c>
      <c r="B1257" s="8" t="s">
        <v>441</v>
      </c>
      <c r="C1257" s="8" t="s">
        <v>46</v>
      </c>
      <c r="D1257" s="18" t="s">
        <v>2621</v>
      </c>
      <c r="E1257" s="16">
        <v>83.0</v>
      </c>
    </row>
    <row r="1258">
      <c r="A1258" s="8" t="s">
        <v>94</v>
      </c>
      <c r="B1258" s="8" t="s">
        <v>100</v>
      </c>
      <c r="C1258" s="8" t="s">
        <v>149</v>
      </c>
      <c r="D1258" s="18" t="s">
        <v>2575</v>
      </c>
      <c r="E1258" s="16">
        <v>69.0</v>
      </c>
    </row>
    <row r="1259">
      <c r="A1259" s="8" t="s">
        <v>94</v>
      </c>
      <c r="B1259" s="8" t="s">
        <v>744</v>
      </c>
      <c r="C1259" s="8" t="s">
        <v>70</v>
      </c>
      <c r="D1259" s="18" t="s">
        <v>2600</v>
      </c>
      <c r="E1259" s="16">
        <v>80.0</v>
      </c>
    </row>
    <row r="1260">
      <c r="A1260" s="8" t="s">
        <v>94</v>
      </c>
      <c r="B1260" s="8" t="s">
        <v>839</v>
      </c>
      <c r="C1260" s="8" t="s">
        <v>93</v>
      </c>
      <c r="D1260" s="18" t="s">
        <v>2595</v>
      </c>
      <c r="E1260" s="16">
        <v>75.0</v>
      </c>
    </row>
    <row r="1261">
      <c r="A1261" s="8" t="s">
        <v>94</v>
      </c>
      <c r="B1261" s="8" t="s">
        <v>1711</v>
      </c>
      <c r="C1261" s="8" t="s">
        <v>80</v>
      </c>
      <c r="D1261" s="18" t="s">
        <v>2575</v>
      </c>
      <c r="E1261" s="16">
        <v>79.0</v>
      </c>
    </row>
    <row r="1262">
      <c r="A1262" s="8" t="s">
        <v>94</v>
      </c>
      <c r="B1262" s="8" t="s">
        <v>95</v>
      </c>
      <c r="C1262" s="8" t="s">
        <v>24</v>
      </c>
      <c r="D1262" s="18" t="s">
        <v>2584</v>
      </c>
      <c r="E1262" s="16">
        <v>76.0</v>
      </c>
    </row>
    <row r="1263">
      <c r="A1263" s="8" t="s">
        <v>94</v>
      </c>
      <c r="B1263" s="8" t="s">
        <v>194</v>
      </c>
      <c r="C1263" s="8" t="s">
        <v>141</v>
      </c>
      <c r="D1263" s="18" t="s">
        <v>2603</v>
      </c>
      <c r="E1263" s="16">
        <v>70.0</v>
      </c>
    </row>
    <row r="1264">
      <c r="A1264" s="8" t="s">
        <v>94</v>
      </c>
      <c r="B1264" s="8" t="s">
        <v>2903</v>
      </c>
      <c r="C1264" s="8" t="s">
        <v>65</v>
      </c>
      <c r="D1264" s="18" t="s">
        <v>2566</v>
      </c>
      <c r="E1264" s="16">
        <v>62.0</v>
      </c>
    </row>
    <row r="1265">
      <c r="A1265" s="8" t="s">
        <v>94</v>
      </c>
      <c r="B1265" s="8" t="s">
        <v>3723</v>
      </c>
      <c r="C1265" s="8" t="s">
        <v>16</v>
      </c>
      <c r="D1265" s="18" t="s">
        <v>2585</v>
      </c>
      <c r="E1265" s="16">
        <v>65.0</v>
      </c>
    </row>
    <row r="1266">
      <c r="A1266" s="8" t="s">
        <v>3337</v>
      </c>
      <c r="B1266" s="8" t="s">
        <v>275</v>
      </c>
      <c r="C1266" s="8" t="s">
        <v>93</v>
      </c>
      <c r="D1266" s="18" t="s">
        <v>2610</v>
      </c>
      <c r="E1266" s="16">
        <v>67.0</v>
      </c>
    </row>
    <row r="1267">
      <c r="A1267" s="8" t="s">
        <v>571</v>
      </c>
      <c r="B1267" s="8" t="s">
        <v>572</v>
      </c>
      <c r="C1267" s="8" t="s">
        <v>138</v>
      </c>
      <c r="D1267" s="18" t="s">
        <v>2575</v>
      </c>
      <c r="E1267" s="16">
        <v>60.0</v>
      </c>
    </row>
    <row r="1268">
      <c r="A1268" s="8" t="s">
        <v>3724</v>
      </c>
      <c r="B1268" s="8" t="s">
        <v>102</v>
      </c>
      <c r="C1268" s="8" t="s">
        <v>16</v>
      </c>
      <c r="D1268" s="18" t="s">
        <v>2610</v>
      </c>
      <c r="E1268" s="16">
        <v>61.0</v>
      </c>
    </row>
    <row r="1269">
      <c r="A1269" s="8" t="s">
        <v>3725</v>
      </c>
      <c r="B1269" s="8" t="s">
        <v>3726</v>
      </c>
      <c r="C1269" s="8" t="s">
        <v>141</v>
      </c>
      <c r="D1269" s="18" t="s">
        <v>2582</v>
      </c>
      <c r="E1269" s="16">
        <v>71.0</v>
      </c>
    </row>
    <row r="1270">
      <c r="A1270" s="8" t="s">
        <v>968</v>
      </c>
      <c r="B1270" s="8" t="s">
        <v>121</v>
      </c>
      <c r="C1270" s="8" t="s">
        <v>132</v>
      </c>
      <c r="D1270" s="18" t="s">
        <v>2584</v>
      </c>
      <c r="E1270" s="16">
        <v>77.0</v>
      </c>
    </row>
    <row r="1271">
      <c r="A1271" s="8" t="s">
        <v>573</v>
      </c>
      <c r="B1271" s="8" t="s">
        <v>480</v>
      </c>
      <c r="C1271" s="8" t="s">
        <v>261</v>
      </c>
      <c r="D1271" s="18" t="s">
        <v>2552</v>
      </c>
      <c r="E1271" s="16">
        <v>72.0</v>
      </c>
    </row>
    <row r="1272">
      <c r="A1272" s="8" t="s">
        <v>3727</v>
      </c>
      <c r="B1272" s="8" t="s">
        <v>712</v>
      </c>
      <c r="C1272" s="8" t="s">
        <v>75</v>
      </c>
      <c r="D1272" s="18" t="s">
        <v>2584</v>
      </c>
      <c r="E1272" s="16">
        <v>72.0</v>
      </c>
    </row>
    <row r="1273">
      <c r="A1273" s="8" t="s">
        <v>745</v>
      </c>
      <c r="B1273" s="8" t="s">
        <v>304</v>
      </c>
      <c r="C1273" s="8" t="s">
        <v>141</v>
      </c>
      <c r="D1273" s="18" t="s">
        <v>2558</v>
      </c>
      <c r="E1273" s="16">
        <v>80.0</v>
      </c>
    </row>
    <row r="1274">
      <c r="A1274" s="8" t="s">
        <v>969</v>
      </c>
      <c r="B1274" s="8" t="s">
        <v>140</v>
      </c>
      <c r="C1274" s="8" t="s">
        <v>93</v>
      </c>
      <c r="D1274" s="18" t="s">
        <v>2581</v>
      </c>
      <c r="E1274" s="16">
        <v>65.0</v>
      </c>
    </row>
    <row r="1275">
      <c r="A1275" s="8" t="s">
        <v>3728</v>
      </c>
      <c r="B1275" s="8" t="s">
        <v>162</v>
      </c>
      <c r="C1275" s="8" t="s">
        <v>122</v>
      </c>
      <c r="D1275" s="18" t="s">
        <v>2572</v>
      </c>
      <c r="E1275" s="16">
        <v>72.0</v>
      </c>
    </row>
    <row r="1276">
      <c r="A1276" s="8" t="s">
        <v>2904</v>
      </c>
      <c r="B1276" s="8" t="s">
        <v>2905</v>
      </c>
      <c r="C1276" s="8" t="s">
        <v>65</v>
      </c>
      <c r="D1276" s="18" t="s">
        <v>2587</v>
      </c>
      <c r="E1276" s="16">
        <v>66.0</v>
      </c>
    </row>
    <row r="1277">
      <c r="A1277" s="8" t="s">
        <v>2481</v>
      </c>
      <c r="B1277" s="8" t="s">
        <v>124</v>
      </c>
      <c r="C1277" s="8" t="s">
        <v>65</v>
      </c>
      <c r="D1277" s="18" t="s">
        <v>2587</v>
      </c>
      <c r="E1277" s="16">
        <v>68.0</v>
      </c>
    </row>
    <row r="1278">
      <c r="A1278" s="8" t="s">
        <v>2906</v>
      </c>
      <c r="B1278" s="8" t="s">
        <v>304</v>
      </c>
      <c r="C1278" s="8" t="s">
        <v>215</v>
      </c>
      <c r="D1278" s="18" t="s">
        <v>2572</v>
      </c>
      <c r="E1278" s="16">
        <v>80.0</v>
      </c>
    </row>
    <row r="1279">
      <c r="A1279" s="8" t="s">
        <v>2907</v>
      </c>
      <c r="B1279" s="8" t="s">
        <v>712</v>
      </c>
      <c r="C1279" s="8" t="s">
        <v>38</v>
      </c>
      <c r="D1279" s="18" t="s">
        <v>2552</v>
      </c>
      <c r="E1279" s="16">
        <v>74.0</v>
      </c>
    </row>
    <row r="1280">
      <c r="A1280" s="8" t="s">
        <v>1234</v>
      </c>
      <c r="B1280" s="8" t="s">
        <v>676</v>
      </c>
      <c r="C1280" s="8" t="s">
        <v>65</v>
      </c>
      <c r="D1280" s="18" t="s">
        <v>2603</v>
      </c>
      <c r="E1280" s="16">
        <v>80.0</v>
      </c>
    </row>
    <row r="1281">
      <c r="A1281" s="8" t="s">
        <v>222</v>
      </c>
      <c r="B1281" s="8" t="s">
        <v>686</v>
      </c>
      <c r="C1281" s="8" t="s">
        <v>122</v>
      </c>
      <c r="D1281" s="18" t="s">
        <v>2564</v>
      </c>
      <c r="E1281" s="16">
        <v>78.0</v>
      </c>
    </row>
    <row r="1282">
      <c r="A1282" s="8" t="s">
        <v>3729</v>
      </c>
      <c r="B1282" s="8" t="s">
        <v>263</v>
      </c>
      <c r="C1282" s="8" t="s">
        <v>80</v>
      </c>
      <c r="D1282" s="18" t="s">
        <v>2593</v>
      </c>
      <c r="E1282" s="16">
        <v>60.0</v>
      </c>
    </row>
    <row r="1283">
      <c r="A1283" s="8" t="s">
        <v>395</v>
      </c>
      <c r="B1283" s="8" t="s">
        <v>275</v>
      </c>
      <c r="C1283" s="8" t="s">
        <v>138</v>
      </c>
      <c r="D1283" s="18" t="s">
        <v>2600</v>
      </c>
      <c r="E1283" s="16">
        <v>77.0</v>
      </c>
    </row>
    <row r="1284">
      <c r="A1284" s="8" t="s">
        <v>395</v>
      </c>
      <c r="B1284" s="8" t="s">
        <v>569</v>
      </c>
      <c r="C1284" s="8" t="s">
        <v>65</v>
      </c>
      <c r="D1284" s="18" t="s">
        <v>2593</v>
      </c>
      <c r="E1284" s="16">
        <v>64.0</v>
      </c>
    </row>
    <row r="1285">
      <c r="A1285" s="8" t="s">
        <v>395</v>
      </c>
      <c r="B1285" s="8" t="s">
        <v>214</v>
      </c>
      <c r="C1285" s="8" t="s">
        <v>132</v>
      </c>
      <c r="D1285" s="18" t="s">
        <v>2605</v>
      </c>
      <c r="E1285" s="16">
        <v>79.0</v>
      </c>
    </row>
    <row r="1286">
      <c r="A1286" s="8" t="s">
        <v>395</v>
      </c>
      <c r="B1286" s="8" t="s">
        <v>746</v>
      </c>
      <c r="C1286" s="8" t="s">
        <v>75</v>
      </c>
      <c r="D1286" s="18" t="s">
        <v>2582</v>
      </c>
      <c r="E1286" s="16">
        <v>72.0</v>
      </c>
    </row>
    <row r="1287">
      <c r="A1287" s="8" t="s">
        <v>1884</v>
      </c>
      <c r="B1287" s="8" t="s">
        <v>167</v>
      </c>
      <c r="C1287" s="8" t="s">
        <v>186</v>
      </c>
      <c r="D1287" s="18" t="s">
        <v>2603</v>
      </c>
      <c r="E1287" s="16">
        <v>58.0</v>
      </c>
    </row>
    <row r="1288">
      <c r="A1288" s="8" t="s">
        <v>2908</v>
      </c>
      <c r="B1288" s="8" t="s">
        <v>33</v>
      </c>
      <c r="C1288" s="8" t="s">
        <v>215</v>
      </c>
      <c r="D1288" s="18" t="s">
        <v>2593</v>
      </c>
      <c r="E1288" s="16">
        <v>63.0</v>
      </c>
    </row>
    <row r="1289">
      <c r="A1289" s="8" t="s">
        <v>574</v>
      </c>
      <c r="B1289" s="8" t="s">
        <v>102</v>
      </c>
      <c r="C1289" s="8" t="s">
        <v>141</v>
      </c>
      <c r="D1289" s="18" t="s">
        <v>2614</v>
      </c>
      <c r="E1289" s="16">
        <v>64.0</v>
      </c>
    </row>
    <row r="1290">
      <c r="A1290" s="8" t="s">
        <v>575</v>
      </c>
      <c r="B1290" s="8" t="s">
        <v>23</v>
      </c>
      <c r="C1290" s="8" t="s">
        <v>59</v>
      </c>
      <c r="D1290" s="18" t="s">
        <v>2556</v>
      </c>
      <c r="E1290" s="16">
        <v>65.0</v>
      </c>
    </row>
    <row r="1291">
      <c r="A1291" s="8" t="s">
        <v>575</v>
      </c>
      <c r="B1291" s="8" t="s">
        <v>576</v>
      </c>
      <c r="C1291" s="8" t="s">
        <v>122</v>
      </c>
      <c r="D1291" s="18" t="s">
        <v>2574</v>
      </c>
      <c r="E1291" s="16">
        <v>79.0</v>
      </c>
    </row>
    <row r="1292">
      <c r="A1292" s="8" t="s">
        <v>1516</v>
      </c>
      <c r="B1292" s="8" t="s">
        <v>761</v>
      </c>
      <c r="C1292" s="8" t="s">
        <v>186</v>
      </c>
      <c r="D1292" s="18" t="s">
        <v>2589</v>
      </c>
      <c r="E1292" s="16">
        <v>50.0</v>
      </c>
    </row>
    <row r="1293">
      <c r="A1293" s="8" t="s">
        <v>1516</v>
      </c>
      <c r="B1293" s="8" t="s">
        <v>840</v>
      </c>
      <c r="C1293" s="8" t="s">
        <v>65</v>
      </c>
      <c r="D1293" s="18" t="s">
        <v>2615</v>
      </c>
      <c r="E1293" s="16">
        <v>64.0</v>
      </c>
    </row>
    <row r="1294">
      <c r="A1294" s="8" t="s">
        <v>1236</v>
      </c>
      <c r="B1294" s="8" t="s">
        <v>612</v>
      </c>
      <c r="C1294" s="8" t="s">
        <v>24</v>
      </c>
      <c r="D1294" s="18" t="s">
        <v>2558</v>
      </c>
      <c r="E1294" s="16">
        <v>42.0</v>
      </c>
    </row>
    <row r="1295">
      <c r="A1295" s="8" t="s">
        <v>213</v>
      </c>
      <c r="B1295" s="8" t="s">
        <v>214</v>
      </c>
      <c r="C1295" s="8" t="s">
        <v>122</v>
      </c>
      <c r="D1295" s="18" t="s">
        <v>2574</v>
      </c>
      <c r="E1295" s="16">
        <v>72.0</v>
      </c>
    </row>
    <row r="1296">
      <c r="A1296" s="8" t="s">
        <v>3338</v>
      </c>
      <c r="B1296" s="8" t="s">
        <v>3339</v>
      </c>
      <c r="C1296" s="8" t="s">
        <v>80</v>
      </c>
      <c r="D1296" s="18" t="s">
        <v>2572</v>
      </c>
      <c r="E1296" s="16">
        <v>79.0</v>
      </c>
    </row>
    <row r="1297">
      <c r="A1297" s="8" t="s">
        <v>1517</v>
      </c>
      <c r="B1297" s="8" t="s">
        <v>974</v>
      </c>
      <c r="C1297" s="8" t="s">
        <v>138</v>
      </c>
      <c r="D1297" s="18" t="s">
        <v>2558</v>
      </c>
      <c r="E1297" s="16">
        <v>65.0</v>
      </c>
    </row>
    <row r="1298">
      <c r="A1298" s="8" t="s">
        <v>747</v>
      </c>
      <c r="B1298" s="8" t="s">
        <v>748</v>
      </c>
      <c r="C1298" s="8" t="s">
        <v>149</v>
      </c>
      <c r="D1298" s="18" t="s">
        <v>2554</v>
      </c>
      <c r="E1298" s="16">
        <v>70.0</v>
      </c>
    </row>
    <row r="1299">
      <c r="A1299" s="8" t="s">
        <v>747</v>
      </c>
      <c r="B1299" s="8" t="s">
        <v>263</v>
      </c>
      <c r="C1299" s="8" t="s">
        <v>93</v>
      </c>
      <c r="D1299" s="18" t="s">
        <v>2581</v>
      </c>
      <c r="E1299" s="16">
        <v>64.0</v>
      </c>
    </row>
    <row r="1300">
      <c r="A1300" s="8" t="s">
        <v>3340</v>
      </c>
      <c r="B1300" s="8" t="s">
        <v>217</v>
      </c>
      <c r="C1300" s="8" t="s">
        <v>65</v>
      </c>
      <c r="D1300" s="18" t="s">
        <v>2600</v>
      </c>
      <c r="E1300" s="16">
        <v>63.0</v>
      </c>
    </row>
    <row r="1301">
      <c r="A1301" s="8" t="s">
        <v>577</v>
      </c>
      <c r="B1301" s="8" t="s">
        <v>55</v>
      </c>
      <c r="C1301" s="8" t="s">
        <v>16</v>
      </c>
      <c r="D1301" s="18" t="s">
        <v>2567</v>
      </c>
      <c r="E1301" s="16">
        <v>88.0</v>
      </c>
    </row>
    <row r="1302">
      <c r="A1302" s="8" t="s">
        <v>3730</v>
      </c>
      <c r="B1302" s="8" t="s">
        <v>1563</v>
      </c>
      <c r="C1302" s="8" t="s">
        <v>122</v>
      </c>
      <c r="D1302" s="18" t="s">
        <v>2567</v>
      </c>
      <c r="E1302" s="16">
        <v>66.0</v>
      </c>
    </row>
    <row r="1303">
      <c r="A1303" s="8" t="s">
        <v>1237</v>
      </c>
      <c r="B1303" s="8" t="s">
        <v>98</v>
      </c>
      <c r="C1303" s="8" t="s">
        <v>59</v>
      </c>
      <c r="D1303" s="18" t="s">
        <v>2585</v>
      </c>
      <c r="E1303" s="16">
        <v>83.0</v>
      </c>
    </row>
    <row r="1304">
      <c r="A1304" s="8" t="s">
        <v>1237</v>
      </c>
      <c r="B1304" s="8" t="s">
        <v>1245</v>
      </c>
      <c r="C1304" s="8" t="s">
        <v>24</v>
      </c>
      <c r="D1304" s="18" t="s">
        <v>2598</v>
      </c>
      <c r="E1304" s="16">
        <v>67.0</v>
      </c>
    </row>
    <row r="1305">
      <c r="A1305" s="8" t="s">
        <v>1237</v>
      </c>
      <c r="B1305" s="8" t="s">
        <v>52</v>
      </c>
      <c r="C1305" s="8" t="s">
        <v>53</v>
      </c>
      <c r="D1305" s="18" t="s">
        <v>2593</v>
      </c>
      <c r="E1305" s="16">
        <v>60.0</v>
      </c>
    </row>
    <row r="1306">
      <c r="A1306" s="8" t="s">
        <v>1237</v>
      </c>
      <c r="B1306" s="8" t="s">
        <v>1522</v>
      </c>
      <c r="C1306" s="8" t="s">
        <v>16</v>
      </c>
      <c r="D1306" s="18" t="s">
        <v>2620</v>
      </c>
      <c r="E1306" s="16">
        <v>74.0</v>
      </c>
    </row>
    <row r="1307">
      <c r="A1307" s="8" t="s">
        <v>3731</v>
      </c>
      <c r="B1307" s="8" t="s">
        <v>3732</v>
      </c>
      <c r="C1307" s="8" t="s">
        <v>138</v>
      </c>
      <c r="D1307" s="18" t="s">
        <v>2577</v>
      </c>
      <c r="E1307" s="16">
        <v>59.0</v>
      </c>
    </row>
    <row r="1308">
      <c r="A1308" s="8" t="s">
        <v>163</v>
      </c>
      <c r="B1308" s="8" t="s">
        <v>100</v>
      </c>
      <c r="C1308" s="8" t="s">
        <v>141</v>
      </c>
      <c r="D1308" s="18" t="s">
        <v>2598</v>
      </c>
      <c r="E1308" s="16">
        <v>84.0</v>
      </c>
    </row>
    <row r="1309">
      <c r="A1309" s="8" t="s">
        <v>163</v>
      </c>
      <c r="B1309" s="8" t="s">
        <v>749</v>
      </c>
      <c r="C1309" s="8" t="s">
        <v>53</v>
      </c>
      <c r="D1309" s="18" t="s">
        <v>2556</v>
      </c>
      <c r="E1309" s="16">
        <v>94.0</v>
      </c>
    </row>
    <row r="1310">
      <c r="A1310" s="8" t="s">
        <v>2911</v>
      </c>
      <c r="B1310" s="8" t="s">
        <v>822</v>
      </c>
      <c r="C1310" s="8" t="s">
        <v>65</v>
      </c>
      <c r="D1310" s="18" t="s">
        <v>2183</v>
      </c>
      <c r="E1310" s="16">
        <v>86.0</v>
      </c>
    </row>
    <row r="1311">
      <c r="A1311" s="8" t="s">
        <v>2912</v>
      </c>
      <c r="B1311" s="8" t="s">
        <v>1633</v>
      </c>
      <c r="C1311" s="8" t="s">
        <v>70</v>
      </c>
      <c r="D1311" s="18" t="s">
        <v>2603</v>
      </c>
      <c r="E1311" s="16">
        <v>63.0</v>
      </c>
    </row>
    <row r="1312">
      <c r="A1312" s="8" t="s">
        <v>2913</v>
      </c>
      <c r="B1312" s="8" t="s">
        <v>861</v>
      </c>
      <c r="C1312" s="8" t="s">
        <v>70</v>
      </c>
      <c r="D1312" s="18" t="s">
        <v>2593</v>
      </c>
      <c r="E1312" s="16">
        <v>69.0</v>
      </c>
    </row>
    <row r="1313">
      <c r="A1313" s="8" t="s">
        <v>2914</v>
      </c>
      <c r="B1313" s="8" t="s">
        <v>307</v>
      </c>
      <c r="C1313" s="8" t="s">
        <v>93</v>
      </c>
      <c r="D1313" s="18" t="s">
        <v>2572</v>
      </c>
      <c r="E1313" s="16">
        <v>69.0</v>
      </c>
    </row>
    <row r="1314">
      <c r="A1314" s="8" t="s">
        <v>3733</v>
      </c>
      <c r="B1314" s="8" t="s">
        <v>3734</v>
      </c>
      <c r="C1314" s="8" t="s">
        <v>186</v>
      </c>
      <c r="D1314" s="18" t="s">
        <v>2567</v>
      </c>
      <c r="E1314" s="16">
        <v>57.0</v>
      </c>
    </row>
    <row r="1315">
      <c r="A1315" s="8" t="s">
        <v>3735</v>
      </c>
      <c r="B1315" s="8" t="s">
        <v>3736</v>
      </c>
      <c r="C1315" s="8" t="s">
        <v>149</v>
      </c>
      <c r="D1315" s="18" t="s">
        <v>2603</v>
      </c>
      <c r="E1315" s="16">
        <v>63.0</v>
      </c>
    </row>
    <row r="1316">
      <c r="A1316" s="8" t="s">
        <v>3342</v>
      </c>
      <c r="B1316" s="8" t="s">
        <v>67</v>
      </c>
      <c r="C1316" s="8" t="s">
        <v>24</v>
      </c>
      <c r="D1316" s="18" t="s">
        <v>2566</v>
      </c>
      <c r="E1316" s="16">
        <v>63.0</v>
      </c>
    </row>
    <row r="1317">
      <c r="A1317" s="8" t="s">
        <v>3343</v>
      </c>
      <c r="B1317" s="8" t="s">
        <v>67</v>
      </c>
      <c r="C1317" s="8" t="s">
        <v>16</v>
      </c>
      <c r="D1317" s="18" t="s">
        <v>2575</v>
      </c>
      <c r="E1317" s="16">
        <v>67.0</v>
      </c>
    </row>
    <row r="1318">
      <c r="A1318" s="8" t="s">
        <v>970</v>
      </c>
      <c r="B1318" s="8" t="s">
        <v>124</v>
      </c>
      <c r="C1318" s="8" t="s">
        <v>141</v>
      </c>
      <c r="D1318" s="18" t="s">
        <v>2562</v>
      </c>
      <c r="E1318" s="16">
        <v>63.0</v>
      </c>
    </row>
    <row r="1319">
      <c r="A1319" s="8" t="s">
        <v>3737</v>
      </c>
      <c r="B1319" s="8" t="s">
        <v>231</v>
      </c>
      <c r="C1319" s="8" t="s">
        <v>141</v>
      </c>
      <c r="D1319" s="18" t="s">
        <v>2560</v>
      </c>
      <c r="E1319" s="16">
        <v>83.0</v>
      </c>
    </row>
    <row r="1320">
      <c r="A1320" s="8" t="s">
        <v>28</v>
      </c>
      <c r="B1320" s="8" t="s">
        <v>29</v>
      </c>
      <c r="C1320" s="8" t="s">
        <v>16</v>
      </c>
      <c r="D1320" s="18" t="s">
        <v>2566</v>
      </c>
      <c r="E1320" s="16">
        <v>81.0</v>
      </c>
    </row>
    <row r="1321">
      <c r="A1321" s="8" t="s">
        <v>972</v>
      </c>
      <c r="B1321" s="8" t="s">
        <v>162</v>
      </c>
      <c r="C1321" s="8" t="s">
        <v>16</v>
      </c>
      <c r="D1321" s="18" t="s">
        <v>2593</v>
      </c>
      <c r="E1321" s="16">
        <v>63.0</v>
      </c>
    </row>
    <row r="1322">
      <c r="A1322" s="8" t="s">
        <v>2916</v>
      </c>
      <c r="B1322" s="18" t="s">
        <v>920</v>
      </c>
      <c r="C1322" s="8" t="s">
        <v>16</v>
      </c>
      <c r="D1322" s="18" t="s">
        <v>2587</v>
      </c>
      <c r="E1322" s="16">
        <v>71.0</v>
      </c>
    </row>
    <row r="1323">
      <c r="A1323" s="8" t="s">
        <v>3738</v>
      </c>
      <c r="B1323" s="8" t="s">
        <v>2918</v>
      </c>
      <c r="C1323" s="8" t="s">
        <v>138</v>
      </c>
      <c r="D1323" s="18" t="s">
        <v>2566</v>
      </c>
      <c r="E1323" s="16">
        <v>65.0</v>
      </c>
    </row>
    <row r="1324">
      <c r="A1324" s="8" t="s">
        <v>2919</v>
      </c>
      <c r="B1324" s="8" t="s">
        <v>275</v>
      </c>
      <c r="C1324" s="8" t="s">
        <v>192</v>
      </c>
      <c r="D1324" s="18" t="s">
        <v>2564</v>
      </c>
      <c r="E1324" s="16">
        <v>73.0</v>
      </c>
    </row>
    <row r="1325">
      <c r="A1325" s="8" t="s">
        <v>3739</v>
      </c>
      <c r="B1325" s="8" t="s">
        <v>676</v>
      </c>
      <c r="C1325" s="8" t="s">
        <v>53</v>
      </c>
      <c r="D1325" s="18" t="s">
        <v>2572</v>
      </c>
      <c r="E1325" s="16">
        <v>62.0</v>
      </c>
    </row>
    <row r="1326">
      <c r="A1326" s="8" t="s">
        <v>3740</v>
      </c>
      <c r="B1326" s="8" t="s">
        <v>3741</v>
      </c>
      <c r="C1326" s="8" t="s">
        <v>65</v>
      </c>
      <c r="D1326" s="18" t="s">
        <v>2605</v>
      </c>
      <c r="E1326" s="16">
        <v>69.0</v>
      </c>
    </row>
    <row r="1327">
      <c r="A1327" s="8" t="s">
        <v>1525</v>
      </c>
      <c r="B1327" s="8" t="s">
        <v>247</v>
      </c>
      <c r="C1327" s="8" t="s">
        <v>16</v>
      </c>
      <c r="D1327" s="18" t="s">
        <v>2621</v>
      </c>
      <c r="E1327" s="16">
        <v>79.0</v>
      </c>
    </row>
    <row r="1328">
      <c r="A1328" s="8" t="s">
        <v>3742</v>
      </c>
      <c r="B1328" s="18" t="s">
        <v>3743</v>
      </c>
      <c r="C1328" s="8" t="s">
        <v>122</v>
      </c>
      <c r="D1328" s="18" t="s">
        <v>2584</v>
      </c>
      <c r="E1328" s="16">
        <v>79.0</v>
      </c>
    </row>
    <row r="1329">
      <c r="A1329" s="8" t="s">
        <v>973</v>
      </c>
      <c r="B1329" s="8" t="s">
        <v>974</v>
      </c>
      <c r="C1329" s="8" t="s">
        <v>192</v>
      </c>
      <c r="D1329" s="18" t="s">
        <v>2574</v>
      </c>
      <c r="E1329" s="16">
        <v>67.0</v>
      </c>
    </row>
    <row r="1330">
      <c r="A1330" s="8" t="s">
        <v>1239</v>
      </c>
      <c r="B1330" s="8" t="s">
        <v>1240</v>
      </c>
      <c r="C1330" s="8" t="s">
        <v>132</v>
      </c>
      <c r="D1330" s="18" t="s">
        <v>2592</v>
      </c>
      <c r="E1330" s="16">
        <v>77.0</v>
      </c>
    </row>
    <row r="1331">
      <c r="A1331" s="8" t="s">
        <v>2007</v>
      </c>
      <c r="B1331" s="8" t="s">
        <v>436</v>
      </c>
      <c r="C1331" s="8" t="s">
        <v>65</v>
      </c>
      <c r="D1331" s="18" t="s">
        <v>2593</v>
      </c>
      <c r="E1331" s="16">
        <v>63.0</v>
      </c>
    </row>
    <row r="1332">
      <c r="A1332" s="8" t="s">
        <v>975</v>
      </c>
      <c r="B1332" s="8" t="s">
        <v>976</v>
      </c>
      <c r="C1332" s="8" t="s">
        <v>215</v>
      </c>
      <c r="D1332" s="18" t="s">
        <v>2603</v>
      </c>
      <c r="E1332" s="16">
        <v>67.0</v>
      </c>
    </row>
    <row r="1333">
      <c r="A1333" s="8" t="s">
        <v>405</v>
      </c>
      <c r="B1333" s="8" t="s">
        <v>121</v>
      </c>
      <c r="C1333" s="8" t="s">
        <v>186</v>
      </c>
      <c r="D1333" s="18" t="s">
        <v>2620</v>
      </c>
      <c r="E1333" s="16">
        <v>90.0</v>
      </c>
    </row>
    <row r="1334">
      <c r="A1334" s="8" t="s">
        <v>405</v>
      </c>
      <c r="B1334" s="8" t="s">
        <v>121</v>
      </c>
      <c r="C1334" s="8" t="s">
        <v>65</v>
      </c>
      <c r="D1334" s="18" t="s">
        <v>2560</v>
      </c>
      <c r="E1334" s="16">
        <v>89.0</v>
      </c>
    </row>
    <row r="1335">
      <c r="A1335" s="8" t="s">
        <v>405</v>
      </c>
      <c r="B1335" s="8" t="s">
        <v>1210</v>
      </c>
      <c r="C1335" s="8" t="s">
        <v>70</v>
      </c>
      <c r="D1335" s="18" t="s">
        <v>2564</v>
      </c>
      <c r="E1335" s="16">
        <v>62.0</v>
      </c>
    </row>
    <row r="1336">
      <c r="A1336" s="8" t="s">
        <v>405</v>
      </c>
      <c r="B1336" s="8" t="s">
        <v>782</v>
      </c>
      <c r="C1336" s="8" t="s">
        <v>70</v>
      </c>
      <c r="D1336" s="18" t="s">
        <v>2582</v>
      </c>
      <c r="E1336" s="16">
        <v>69.0</v>
      </c>
    </row>
    <row r="1337">
      <c r="A1337" s="8" t="s">
        <v>405</v>
      </c>
      <c r="B1337" s="8" t="s">
        <v>231</v>
      </c>
      <c r="C1337" s="8" t="s">
        <v>93</v>
      </c>
      <c r="D1337" s="18" t="s">
        <v>2584</v>
      </c>
      <c r="E1337" s="16">
        <v>62.0</v>
      </c>
    </row>
    <row r="1338">
      <c r="A1338" s="8" t="s">
        <v>396</v>
      </c>
      <c r="B1338" s="8" t="s">
        <v>397</v>
      </c>
      <c r="C1338" s="8" t="s">
        <v>70</v>
      </c>
      <c r="D1338" s="18" t="s">
        <v>2592</v>
      </c>
      <c r="E1338" s="16">
        <v>90.0</v>
      </c>
    </row>
    <row r="1339">
      <c r="A1339" s="8" t="s">
        <v>396</v>
      </c>
      <c r="B1339" s="8" t="s">
        <v>724</v>
      </c>
      <c r="C1339" s="8" t="s">
        <v>59</v>
      </c>
      <c r="D1339" s="18" t="s">
        <v>2589</v>
      </c>
      <c r="E1339" s="16">
        <v>64.0</v>
      </c>
    </row>
    <row r="1340">
      <c r="A1340" s="8" t="s">
        <v>396</v>
      </c>
      <c r="B1340" s="8" t="s">
        <v>301</v>
      </c>
      <c r="C1340" s="8" t="s">
        <v>59</v>
      </c>
      <c r="D1340" s="18" t="s">
        <v>2560</v>
      </c>
      <c r="E1340" s="16">
        <v>67.0</v>
      </c>
    </row>
    <row r="1341">
      <c r="A1341" s="8" t="s">
        <v>396</v>
      </c>
      <c r="B1341" s="8" t="s">
        <v>281</v>
      </c>
      <c r="C1341" s="8" t="s">
        <v>59</v>
      </c>
      <c r="D1341" s="18" t="s">
        <v>2589</v>
      </c>
      <c r="E1341" s="16">
        <v>63.0</v>
      </c>
    </row>
    <row r="1342">
      <c r="A1342" s="8" t="s">
        <v>396</v>
      </c>
      <c r="B1342" s="8" t="s">
        <v>3344</v>
      </c>
      <c r="C1342" s="8" t="s">
        <v>65</v>
      </c>
      <c r="D1342" s="18" t="s">
        <v>2600</v>
      </c>
      <c r="E1342" s="16">
        <v>68.0</v>
      </c>
    </row>
    <row r="1343">
      <c r="A1343" s="8" t="s">
        <v>396</v>
      </c>
      <c r="B1343" s="8" t="s">
        <v>247</v>
      </c>
      <c r="C1343" s="8" t="s">
        <v>141</v>
      </c>
      <c r="D1343" s="18" t="s">
        <v>2585</v>
      </c>
      <c r="E1343" s="16">
        <v>65.0</v>
      </c>
    </row>
    <row r="1344">
      <c r="A1344" s="8" t="s">
        <v>396</v>
      </c>
      <c r="B1344" s="8" t="s">
        <v>183</v>
      </c>
      <c r="C1344" s="8" t="s">
        <v>122</v>
      </c>
      <c r="D1344" s="18" t="s">
        <v>2564</v>
      </c>
      <c r="E1344" s="16">
        <v>70.0</v>
      </c>
    </row>
    <row r="1345">
      <c r="A1345" s="8" t="s">
        <v>396</v>
      </c>
      <c r="B1345" s="8" t="s">
        <v>231</v>
      </c>
      <c r="C1345" s="8" t="s">
        <v>141</v>
      </c>
      <c r="D1345" s="18" t="s">
        <v>2562</v>
      </c>
      <c r="E1345" s="16">
        <v>73.0</v>
      </c>
    </row>
    <row r="1346">
      <c r="A1346" s="8" t="s">
        <v>396</v>
      </c>
      <c r="B1346" s="8" t="s">
        <v>1091</v>
      </c>
      <c r="C1346" s="8" t="s">
        <v>80</v>
      </c>
      <c r="D1346" s="18" t="s">
        <v>2560</v>
      </c>
      <c r="E1346" s="16">
        <v>64.0</v>
      </c>
    </row>
    <row r="1347">
      <c r="A1347" s="8" t="s">
        <v>396</v>
      </c>
      <c r="B1347" s="8" t="s">
        <v>41</v>
      </c>
      <c r="C1347" s="8" t="s">
        <v>38</v>
      </c>
      <c r="D1347" s="18" t="s">
        <v>2554</v>
      </c>
      <c r="E1347" s="16">
        <v>80.0</v>
      </c>
    </row>
    <row r="1348">
      <c r="A1348" s="8" t="s">
        <v>396</v>
      </c>
      <c r="B1348" s="8" t="s">
        <v>750</v>
      </c>
      <c r="C1348" s="8" t="s">
        <v>132</v>
      </c>
      <c r="D1348" s="18" t="s">
        <v>2614</v>
      </c>
      <c r="E1348" s="16">
        <v>92.0</v>
      </c>
    </row>
    <row r="1349">
      <c r="A1349" s="8" t="s">
        <v>1526</v>
      </c>
      <c r="B1349" s="8" t="s">
        <v>647</v>
      </c>
      <c r="C1349" s="8" t="s">
        <v>186</v>
      </c>
      <c r="D1349" s="18" t="s">
        <v>2558</v>
      </c>
      <c r="E1349" s="16">
        <v>67.0</v>
      </c>
    </row>
    <row r="1350">
      <c r="A1350" s="8" t="s">
        <v>2921</v>
      </c>
      <c r="B1350" s="8" t="s">
        <v>2922</v>
      </c>
      <c r="C1350" s="8" t="s">
        <v>65</v>
      </c>
      <c r="D1350" s="18" t="s">
        <v>2592</v>
      </c>
      <c r="E1350" s="16">
        <v>58.0</v>
      </c>
    </row>
    <row r="1351">
      <c r="A1351" s="8" t="s">
        <v>3744</v>
      </c>
      <c r="B1351" s="8" t="s">
        <v>33</v>
      </c>
      <c r="C1351" s="8" t="s">
        <v>141</v>
      </c>
      <c r="D1351" s="18" t="s">
        <v>2574</v>
      </c>
      <c r="E1351" s="16">
        <v>63.0</v>
      </c>
    </row>
    <row r="1352">
      <c r="A1352" s="8" t="s">
        <v>111</v>
      </c>
      <c r="B1352" s="8" t="s">
        <v>1241</v>
      </c>
      <c r="C1352" s="8" t="s">
        <v>75</v>
      </c>
      <c r="D1352" s="18" t="s">
        <v>2600</v>
      </c>
      <c r="E1352" s="16">
        <v>74.0</v>
      </c>
    </row>
    <row r="1353">
      <c r="A1353" s="8" t="s">
        <v>111</v>
      </c>
      <c r="B1353" s="8" t="s">
        <v>1633</v>
      </c>
      <c r="C1353" s="8" t="s">
        <v>70</v>
      </c>
      <c r="D1353" s="18" t="s">
        <v>2593</v>
      </c>
      <c r="E1353" s="16">
        <v>78.0</v>
      </c>
    </row>
    <row r="1354">
      <c r="A1354" s="8" t="s">
        <v>3745</v>
      </c>
      <c r="B1354" s="8" t="s">
        <v>842</v>
      </c>
      <c r="C1354" s="8" t="s">
        <v>59</v>
      </c>
      <c r="D1354" s="18" t="s">
        <v>2183</v>
      </c>
      <c r="E1354" s="16">
        <v>72.0</v>
      </c>
    </row>
    <row r="1355">
      <c r="A1355" s="8" t="s">
        <v>398</v>
      </c>
      <c r="B1355" s="8" t="s">
        <v>399</v>
      </c>
      <c r="C1355" s="8" t="s">
        <v>149</v>
      </c>
      <c r="D1355" s="18" t="s">
        <v>2605</v>
      </c>
      <c r="E1355" s="16">
        <v>75.0</v>
      </c>
    </row>
    <row r="1356">
      <c r="A1356" s="8" t="s">
        <v>3746</v>
      </c>
      <c r="B1356" s="8" t="s">
        <v>1209</v>
      </c>
      <c r="C1356" s="8" t="s">
        <v>38</v>
      </c>
      <c r="D1356" s="18" t="s">
        <v>2558</v>
      </c>
      <c r="E1356" s="16">
        <v>74.0</v>
      </c>
    </row>
    <row r="1357">
      <c r="A1357" s="8" t="s">
        <v>1243</v>
      </c>
      <c r="B1357" s="8" t="s">
        <v>676</v>
      </c>
      <c r="C1357" s="8" t="s">
        <v>186</v>
      </c>
      <c r="D1357" s="18" t="s">
        <v>2577</v>
      </c>
      <c r="E1357" s="16">
        <v>65.0</v>
      </c>
    </row>
    <row r="1358">
      <c r="A1358" s="8" t="s">
        <v>3345</v>
      </c>
      <c r="B1358" s="8" t="s">
        <v>985</v>
      </c>
      <c r="C1358" s="8" t="s">
        <v>65</v>
      </c>
      <c r="D1358" s="18" t="s">
        <v>2183</v>
      </c>
      <c r="E1358" s="16">
        <v>60.0</v>
      </c>
    </row>
    <row r="1359">
      <c r="A1359" s="8" t="s">
        <v>3345</v>
      </c>
      <c r="B1359" s="8" t="s">
        <v>840</v>
      </c>
      <c r="C1359" s="8" t="s">
        <v>122</v>
      </c>
      <c r="D1359" s="18" t="s">
        <v>2577</v>
      </c>
      <c r="E1359" s="16">
        <v>69.0</v>
      </c>
    </row>
    <row r="1360">
      <c r="A1360" s="8" t="s">
        <v>3345</v>
      </c>
      <c r="B1360" s="8" t="s">
        <v>67</v>
      </c>
      <c r="C1360" s="8" t="s">
        <v>70</v>
      </c>
      <c r="D1360" s="18" t="s">
        <v>2564</v>
      </c>
      <c r="E1360" s="16">
        <v>82.0</v>
      </c>
    </row>
    <row r="1361">
      <c r="A1361" s="8" t="s">
        <v>977</v>
      </c>
      <c r="B1361" s="8" t="s">
        <v>978</v>
      </c>
      <c r="C1361" s="8" t="s">
        <v>80</v>
      </c>
      <c r="D1361" s="18" t="s">
        <v>2589</v>
      </c>
      <c r="E1361" s="16">
        <v>96.0</v>
      </c>
    </row>
    <row r="1362">
      <c r="A1362" s="8" t="s">
        <v>3747</v>
      </c>
      <c r="B1362" s="8" t="s">
        <v>177</v>
      </c>
      <c r="C1362" s="8" t="s">
        <v>132</v>
      </c>
      <c r="D1362" s="18" t="s">
        <v>2589</v>
      </c>
      <c r="E1362" s="16">
        <v>88.0</v>
      </c>
    </row>
    <row r="1363">
      <c r="A1363" s="8" t="s">
        <v>3747</v>
      </c>
      <c r="B1363" s="8" t="s">
        <v>337</v>
      </c>
      <c r="C1363" s="8" t="s">
        <v>59</v>
      </c>
      <c r="D1363" s="18" t="s">
        <v>2567</v>
      </c>
      <c r="E1363" s="16">
        <v>83.0</v>
      </c>
    </row>
    <row r="1364">
      <c r="A1364" s="8" t="s">
        <v>3346</v>
      </c>
      <c r="B1364" s="8" t="s">
        <v>3347</v>
      </c>
      <c r="C1364" s="8" t="s">
        <v>132</v>
      </c>
      <c r="D1364" s="18" t="s">
        <v>2621</v>
      </c>
      <c r="E1364" s="16">
        <v>63.0</v>
      </c>
    </row>
    <row r="1365">
      <c r="A1365" s="8" t="s">
        <v>164</v>
      </c>
      <c r="B1365" s="8" t="s">
        <v>275</v>
      </c>
      <c r="C1365" s="8" t="s">
        <v>65</v>
      </c>
      <c r="D1365" s="18" t="s">
        <v>2575</v>
      </c>
      <c r="E1365" s="16">
        <v>68.0</v>
      </c>
    </row>
    <row r="1366">
      <c r="A1366" s="8" t="s">
        <v>164</v>
      </c>
      <c r="B1366" s="8" t="s">
        <v>165</v>
      </c>
      <c r="C1366" s="8" t="s">
        <v>53</v>
      </c>
      <c r="D1366" s="18" t="s">
        <v>2558</v>
      </c>
      <c r="E1366" s="16">
        <v>89.0</v>
      </c>
    </row>
    <row r="1367">
      <c r="A1367" s="8" t="s">
        <v>164</v>
      </c>
      <c r="B1367" s="8" t="s">
        <v>2666</v>
      </c>
      <c r="C1367" s="8" t="s">
        <v>215</v>
      </c>
      <c r="D1367" s="18" t="s">
        <v>2592</v>
      </c>
      <c r="E1367" s="16">
        <v>66.0</v>
      </c>
    </row>
    <row r="1368">
      <c r="A1368" s="8" t="s">
        <v>164</v>
      </c>
      <c r="B1368" s="8" t="s">
        <v>299</v>
      </c>
      <c r="C1368" s="8" t="s">
        <v>46</v>
      </c>
      <c r="D1368" s="18" t="s">
        <v>2598</v>
      </c>
      <c r="E1368" s="16">
        <v>80.0</v>
      </c>
    </row>
    <row r="1369">
      <c r="A1369" s="8" t="s">
        <v>164</v>
      </c>
      <c r="B1369" s="8" t="s">
        <v>263</v>
      </c>
      <c r="C1369" s="8" t="s">
        <v>65</v>
      </c>
      <c r="D1369" s="18" t="s">
        <v>2564</v>
      </c>
      <c r="E1369" s="16">
        <v>78.0</v>
      </c>
    </row>
    <row r="1370">
      <c r="A1370" s="8" t="s">
        <v>164</v>
      </c>
      <c r="B1370" s="8" t="s">
        <v>2923</v>
      </c>
      <c r="C1370" s="8" t="s">
        <v>65</v>
      </c>
      <c r="D1370" s="18" t="s">
        <v>2621</v>
      </c>
      <c r="E1370" s="16">
        <v>79.0</v>
      </c>
    </row>
    <row r="1371">
      <c r="A1371" s="8" t="s">
        <v>3748</v>
      </c>
      <c r="B1371" s="8" t="s">
        <v>3749</v>
      </c>
      <c r="C1371" s="8" t="s">
        <v>215</v>
      </c>
      <c r="D1371" s="18" t="s">
        <v>2560</v>
      </c>
      <c r="E1371" s="16">
        <v>58.0</v>
      </c>
    </row>
    <row r="1372">
      <c r="A1372" s="8" t="s">
        <v>3750</v>
      </c>
      <c r="B1372" s="8" t="s">
        <v>3013</v>
      </c>
      <c r="C1372" s="8" t="s">
        <v>186</v>
      </c>
      <c r="D1372" s="18" t="s">
        <v>2610</v>
      </c>
      <c r="E1372" s="16">
        <v>84.0</v>
      </c>
    </row>
    <row r="1373">
      <c r="A1373" s="8" t="s">
        <v>3348</v>
      </c>
      <c r="B1373" s="8" t="s">
        <v>301</v>
      </c>
      <c r="C1373" s="8" t="s">
        <v>186</v>
      </c>
      <c r="D1373" s="18" t="s">
        <v>2183</v>
      </c>
      <c r="E1373" s="16">
        <v>77.0</v>
      </c>
    </row>
    <row r="1374">
      <c r="A1374" s="8" t="s">
        <v>2925</v>
      </c>
      <c r="B1374" s="8" t="s">
        <v>58</v>
      </c>
      <c r="C1374" s="8" t="s">
        <v>59</v>
      </c>
      <c r="D1374" s="18" t="s">
        <v>2560</v>
      </c>
      <c r="E1374" s="16">
        <v>70.0</v>
      </c>
    </row>
    <row r="1375">
      <c r="A1375" s="8" t="s">
        <v>751</v>
      </c>
      <c r="B1375" s="8" t="s">
        <v>301</v>
      </c>
      <c r="C1375" s="8" t="s">
        <v>215</v>
      </c>
      <c r="D1375" s="18" t="s">
        <v>2589</v>
      </c>
      <c r="E1375" s="16">
        <v>61.0</v>
      </c>
    </row>
    <row r="1376">
      <c r="A1376" s="8" t="s">
        <v>3751</v>
      </c>
      <c r="B1376" s="8" t="s">
        <v>137</v>
      </c>
      <c r="C1376" s="8" t="s">
        <v>186</v>
      </c>
      <c r="D1376" s="18" t="s">
        <v>2595</v>
      </c>
      <c r="E1376" s="16">
        <v>68.0</v>
      </c>
    </row>
    <row r="1377">
      <c r="A1377" s="8" t="s">
        <v>3349</v>
      </c>
      <c r="B1377" s="8" t="s">
        <v>532</v>
      </c>
      <c r="C1377" s="8" t="s">
        <v>215</v>
      </c>
      <c r="D1377" s="18" t="s">
        <v>2577</v>
      </c>
      <c r="E1377" s="16">
        <v>57.0</v>
      </c>
    </row>
    <row r="1378">
      <c r="A1378" s="8" t="s">
        <v>2926</v>
      </c>
      <c r="B1378" s="8" t="s">
        <v>1210</v>
      </c>
      <c r="C1378" s="8" t="s">
        <v>93</v>
      </c>
      <c r="D1378" s="18" t="s">
        <v>2581</v>
      </c>
      <c r="E1378" s="16">
        <v>76.0</v>
      </c>
    </row>
    <row r="1379">
      <c r="A1379" s="8" t="s">
        <v>1246</v>
      </c>
      <c r="B1379" s="18" t="s">
        <v>456</v>
      </c>
      <c r="C1379" s="8" t="s">
        <v>65</v>
      </c>
      <c r="D1379" s="18" t="s">
        <v>2566</v>
      </c>
      <c r="E1379" s="16">
        <v>61.0</v>
      </c>
    </row>
    <row r="1380">
      <c r="A1380" s="8" t="s">
        <v>3752</v>
      </c>
      <c r="B1380" s="8" t="s">
        <v>275</v>
      </c>
      <c r="C1380" s="8" t="s">
        <v>122</v>
      </c>
      <c r="D1380" s="18" t="s">
        <v>2598</v>
      </c>
      <c r="E1380" s="16">
        <v>61.0</v>
      </c>
    </row>
    <row r="1381">
      <c r="A1381" s="8" t="s">
        <v>752</v>
      </c>
      <c r="B1381" s="8" t="s">
        <v>619</v>
      </c>
      <c r="C1381" s="8" t="s">
        <v>65</v>
      </c>
      <c r="D1381" s="18" t="s">
        <v>2614</v>
      </c>
      <c r="E1381" s="16">
        <v>66.0</v>
      </c>
    </row>
    <row r="1382">
      <c r="A1382" s="8" t="s">
        <v>1247</v>
      </c>
      <c r="B1382" s="8" t="s">
        <v>506</v>
      </c>
      <c r="C1382" s="8" t="s">
        <v>186</v>
      </c>
      <c r="D1382" s="18" t="s">
        <v>2574</v>
      </c>
      <c r="E1382" s="16">
        <v>64.0</v>
      </c>
    </row>
    <row r="1383">
      <c r="A1383" s="8" t="s">
        <v>753</v>
      </c>
      <c r="B1383" s="8" t="s">
        <v>754</v>
      </c>
      <c r="C1383" s="8" t="s">
        <v>138</v>
      </c>
      <c r="D1383" s="18" t="s">
        <v>2614</v>
      </c>
      <c r="E1383" s="16">
        <v>68.0</v>
      </c>
    </row>
    <row r="1384">
      <c r="A1384" s="8" t="s">
        <v>1248</v>
      </c>
      <c r="B1384" s="8" t="s">
        <v>1249</v>
      </c>
      <c r="C1384" s="8" t="s">
        <v>122</v>
      </c>
      <c r="D1384" s="18" t="s">
        <v>2598</v>
      </c>
      <c r="E1384" s="16">
        <v>59.0</v>
      </c>
    </row>
    <row r="1385">
      <c r="A1385" s="8" t="s">
        <v>3753</v>
      </c>
      <c r="B1385" s="8" t="s">
        <v>771</v>
      </c>
      <c r="C1385" s="8" t="s">
        <v>38</v>
      </c>
      <c r="D1385" s="18" t="s">
        <v>2567</v>
      </c>
      <c r="E1385" s="16">
        <v>86.0</v>
      </c>
    </row>
    <row r="1386">
      <c r="A1386" s="8" t="s">
        <v>3350</v>
      </c>
      <c r="B1386" s="8" t="s">
        <v>1633</v>
      </c>
      <c r="C1386" s="8" t="s">
        <v>65</v>
      </c>
      <c r="D1386" s="18" t="s">
        <v>2621</v>
      </c>
      <c r="E1386" s="16">
        <v>65.0</v>
      </c>
    </row>
    <row r="1387">
      <c r="A1387" s="8" t="s">
        <v>2182</v>
      </c>
      <c r="B1387" s="8" t="s">
        <v>922</v>
      </c>
      <c r="C1387" s="8" t="s">
        <v>65</v>
      </c>
      <c r="D1387" s="18" t="s">
        <v>2556</v>
      </c>
      <c r="E1387" s="16">
        <v>63.0</v>
      </c>
    </row>
    <row r="1388">
      <c r="A1388" s="8" t="s">
        <v>1250</v>
      </c>
      <c r="B1388" s="8" t="s">
        <v>399</v>
      </c>
      <c r="C1388" s="8" t="s">
        <v>93</v>
      </c>
      <c r="D1388" s="18" t="s">
        <v>2581</v>
      </c>
      <c r="E1388" s="16">
        <v>71.0</v>
      </c>
    </row>
    <row r="1389">
      <c r="A1389" s="8" t="s">
        <v>1250</v>
      </c>
      <c r="B1389" s="8" t="s">
        <v>487</v>
      </c>
      <c r="C1389" s="8" t="s">
        <v>93</v>
      </c>
      <c r="D1389" s="18" t="s">
        <v>2621</v>
      </c>
      <c r="E1389" s="16">
        <v>78.0</v>
      </c>
    </row>
    <row r="1390">
      <c r="A1390" s="8" t="s">
        <v>1250</v>
      </c>
      <c r="B1390" s="8" t="s">
        <v>275</v>
      </c>
      <c r="C1390" s="8" t="s">
        <v>215</v>
      </c>
      <c r="D1390" s="18" t="s">
        <v>2581</v>
      </c>
      <c r="E1390" s="16">
        <v>64.0</v>
      </c>
    </row>
    <row r="1391">
      <c r="A1391" s="8" t="s">
        <v>3351</v>
      </c>
      <c r="B1391" s="8" t="s">
        <v>100</v>
      </c>
      <c r="C1391" s="8" t="s">
        <v>215</v>
      </c>
      <c r="D1391" s="18" t="s">
        <v>2564</v>
      </c>
      <c r="E1391" s="16">
        <v>60.0</v>
      </c>
    </row>
    <row r="1392">
      <c r="A1392" s="8" t="s">
        <v>3352</v>
      </c>
      <c r="B1392" s="8" t="s">
        <v>176</v>
      </c>
      <c r="C1392" s="8" t="s">
        <v>46</v>
      </c>
      <c r="D1392" s="18" t="s">
        <v>2556</v>
      </c>
      <c r="E1392" s="16">
        <v>71.0</v>
      </c>
    </row>
    <row r="1393">
      <c r="A1393" s="8" t="s">
        <v>755</v>
      </c>
      <c r="B1393" s="18" t="s">
        <v>269</v>
      </c>
      <c r="C1393" s="8" t="s">
        <v>16</v>
      </c>
      <c r="D1393" s="18" t="s">
        <v>2610</v>
      </c>
      <c r="E1393" s="16">
        <v>73.0</v>
      </c>
    </row>
    <row r="1394">
      <c r="A1394" s="8" t="s">
        <v>293</v>
      </c>
      <c r="B1394" s="8" t="s">
        <v>82</v>
      </c>
      <c r="C1394" s="8" t="s">
        <v>132</v>
      </c>
      <c r="D1394" s="18" t="s">
        <v>2589</v>
      </c>
      <c r="E1394" s="16">
        <v>64.0</v>
      </c>
    </row>
    <row r="1395">
      <c r="A1395" s="8" t="s">
        <v>293</v>
      </c>
      <c r="B1395" s="8" t="s">
        <v>337</v>
      </c>
      <c r="C1395" s="8" t="s">
        <v>93</v>
      </c>
      <c r="D1395" s="18" t="s">
        <v>2574</v>
      </c>
      <c r="E1395" s="16">
        <v>71.0</v>
      </c>
    </row>
    <row r="1396">
      <c r="A1396" s="8" t="s">
        <v>293</v>
      </c>
      <c r="B1396" s="8" t="s">
        <v>3754</v>
      </c>
      <c r="C1396" s="8" t="s">
        <v>186</v>
      </c>
      <c r="D1396" s="18" t="s">
        <v>2614</v>
      </c>
      <c r="E1396" s="16">
        <v>81.0</v>
      </c>
    </row>
    <row r="1397">
      <c r="A1397" s="8" t="s">
        <v>293</v>
      </c>
      <c r="B1397" s="8" t="s">
        <v>77</v>
      </c>
      <c r="C1397" s="8" t="s">
        <v>122</v>
      </c>
      <c r="D1397" s="18" t="s">
        <v>2614</v>
      </c>
      <c r="E1397" s="16">
        <v>73.0</v>
      </c>
    </row>
    <row r="1398">
      <c r="A1398" s="8" t="s">
        <v>2928</v>
      </c>
      <c r="B1398" s="8" t="s">
        <v>1064</v>
      </c>
      <c r="C1398" s="8" t="s">
        <v>186</v>
      </c>
      <c r="D1398" s="18" t="s">
        <v>2575</v>
      </c>
      <c r="E1398" s="16">
        <v>70.0</v>
      </c>
    </row>
    <row r="1399">
      <c r="A1399" s="8" t="s">
        <v>3354</v>
      </c>
      <c r="B1399" s="8" t="s">
        <v>3355</v>
      </c>
      <c r="C1399" s="8" t="s">
        <v>59</v>
      </c>
      <c r="D1399" s="18" t="s">
        <v>2600</v>
      </c>
      <c r="E1399" s="16">
        <v>77.0</v>
      </c>
    </row>
    <row r="1400">
      <c r="A1400" s="8" t="s">
        <v>3755</v>
      </c>
      <c r="B1400" s="8" t="s">
        <v>3756</v>
      </c>
      <c r="C1400" s="8" t="s">
        <v>141</v>
      </c>
      <c r="D1400" s="18" t="s">
        <v>2581</v>
      </c>
      <c r="E1400" s="16">
        <v>70.0</v>
      </c>
    </row>
    <row r="1401">
      <c r="A1401" s="8" t="s">
        <v>2929</v>
      </c>
      <c r="B1401" s="8" t="s">
        <v>2726</v>
      </c>
      <c r="C1401" s="8" t="s">
        <v>192</v>
      </c>
      <c r="D1401" s="18" t="s">
        <v>2567</v>
      </c>
      <c r="E1401" s="16">
        <v>60.0</v>
      </c>
    </row>
    <row r="1402">
      <c r="A1402" s="8" t="s">
        <v>3757</v>
      </c>
      <c r="B1402" s="8" t="s">
        <v>2450</v>
      </c>
      <c r="C1402" s="8" t="s">
        <v>70</v>
      </c>
      <c r="D1402" s="18" t="s">
        <v>2621</v>
      </c>
      <c r="E1402" s="16">
        <v>73.0</v>
      </c>
    </row>
    <row r="1403">
      <c r="A1403" s="8" t="s">
        <v>216</v>
      </c>
      <c r="B1403" s="8" t="s">
        <v>217</v>
      </c>
      <c r="C1403" s="8" t="s">
        <v>80</v>
      </c>
      <c r="D1403" s="18" t="s">
        <v>2600</v>
      </c>
      <c r="E1403" s="16">
        <v>91.0</v>
      </c>
    </row>
    <row r="1404">
      <c r="A1404" s="8" t="s">
        <v>216</v>
      </c>
      <c r="B1404" s="8" t="s">
        <v>45</v>
      </c>
      <c r="C1404" s="8" t="s">
        <v>93</v>
      </c>
      <c r="D1404" s="18" t="s">
        <v>2621</v>
      </c>
      <c r="E1404" s="16">
        <v>80.0</v>
      </c>
    </row>
    <row r="1405">
      <c r="A1405" s="8" t="s">
        <v>2930</v>
      </c>
      <c r="B1405" s="8" t="s">
        <v>301</v>
      </c>
      <c r="C1405" s="8" t="s">
        <v>16</v>
      </c>
      <c r="D1405" s="18" t="s">
        <v>2615</v>
      </c>
      <c r="E1405" s="16">
        <v>71.0</v>
      </c>
    </row>
    <row r="1406">
      <c r="A1406" s="8" t="s">
        <v>2930</v>
      </c>
      <c r="B1406" s="8" t="s">
        <v>320</v>
      </c>
      <c r="C1406" s="8" t="s">
        <v>16</v>
      </c>
      <c r="D1406" s="18" t="s">
        <v>2595</v>
      </c>
      <c r="E1406" s="16">
        <v>71.0</v>
      </c>
    </row>
    <row r="1407">
      <c r="A1407" s="8" t="s">
        <v>218</v>
      </c>
      <c r="B1407" s="8" t="s">
        <v>219</v>
      </c>
      <c r="C1407" s="8" t="s">
        <v>16</v>
      </c>
      <c r="D1407" s="18" t="s">
        <v>2582</v>
      </c>
      <c r="E1407" s="16">
        <v>68.0</v>
      </c>
    </row>
    <row r="1408">
      <c r="A1408" s="8" t="s">
        <v>218</v>
      </c>
      <c r="B1408" s="8" t="s">
        <v>294</v>
      </c>
      <c r="C1408" s="8" t="s">
        <v>122</v>
      </c>
      <c r="D1408" s="18" t="s">
        <v>2592</v>
      </c>
      <c r="E1408" s="16">
        <v>92.0</v>
      </c>
    </row>
    <row r="1409">
      <c r="A1409" s="8" t="s">
        <v>218</v>
      </c>
      <c r="B1409" s="8" t="s">
        <v>295</v>
      </c>
      <c r="C1409" s="8" t="s">
        <v>70</v>
      </c>
      <c r="D1409" s="18" t="s">
        <v>2587</v>
      </c>
      <c r="E1409" s="16">
        <v>86.0</v>
      </c>
    </row>
    <row r="1410">
      <c r="A1410" s="8" t="s">
        <v>579</v>
      </c>
      <c r="B1410" s="8" t="s">
        <v>708</v>
      </c>
      <c r="C1410" s="8" t="s">
        <v>93</v>
      </c>
      <c r="D1410" s="18" t="s">
        <v>2584</v>
      </c>
      <c r="E1410" s="16">
        <v>73.0</v>
      </c>
    </row>
    <row r="1411">
      <c r="A1411" s="8" t="s">
        <v>579</v>
      </c>
      <c r="B1411" s="8" t="s">
        <v>2931</v>
      </c>
      <c r="C1411" s="8" t="s">
        <v>192</v>
      </c>
      <c r="D1411" s="18" t="s">
        <v>2603</v>
      </c>
      <c r="E1411" s="16">
        <v>66.0</v>
      </c>
    </row>
    <row r="1412">
      <c r="A1412" s="8" t="s">
        <v>579</v>
      </c>
      <c r="B1412" s="8" t="s">
        <v>580</v>
      </c>
      <c r="C1412" s="8" t="s">
        <v>59</v>
      </c>
      <c r="D1412" s="18" t="s">
        <v>2558</v>
      </c>
      <c r="E1412" s="16">
        <v>71.0</v>
      </c>
    </row>
    <row r="1413">
      <c r="A1413" s="8" t="s">
        <v>2932</v>
      </c>
      <c r="B1413" s="18" t="s">
        <v>512</v>
      </c>
      <c r="C1413" s="8" t="s">
        <v>80</v>
      </c>
      <c r="D1413" s="18" t="s">
        <v>2585</v>
      </c>
      <c r="E1413" s="16">
        <v>65.0</v>
      </c>
    </row>
    <row r="1414">
      <c r="A1414" s="8" t="s">
        <v>979</v>
      </c>
      <c r="B1414" s="8" t="s">
        <v>197</v>
      </c>
      <c r="C1414" s="8" t="s">
        <v>122</v>
      </c>
      <c r="D1414" s="18" t="s">
        <v>2577</v>
      </c>
      <c r="E1414" s="16">
        <v>66.0</v>
      </c>
    </row>
    <row r="1415">
      <c r="A1415" s="8" t="s">
        <v>581</v>
      </c>
      <c r="B1415" s="8" t="s">
        <v>119</v>
      </c>
      <c r="C1415" s="8" t="s">
        <v>24</v>
      </c>
      <c r="D1415" s="18" t="s">
        <v>2552</v>
      </c>
      <c r="E1415" s="16">
        <v>50.0</v>
      </c>
    </row>
    <row r="1416">
      <c r="A1416" s="8" t="s">
        <v>581</v>
      </c>
      <c r="B1416" s="8" t="s">
        <v>1295</v>
      </c>
      <c r="C1416" s="8" t="s">
        <v>141</v>
      </c>
      <c r="D1416" s="18" t="s">
        <v>2566</v>
      </c>
      <c r="E1416" s="16">
        <v>62.0</v>
      </c>
    </row>
    <row r="1417">
      <c r="A1417" s="8" t="s">
        <v>582</v>
      </c>
      <c r="B1417" s="8" t="s">
        <v>55</v>
      </c>
      <c r="C1417" s="8" t="s">
        <v>46</v>
      </c>
      <c r="D1417" s="18" t="s">
        <v>2562</v>
      </c>
      <c r="E1417" s="16">
        <v>70.0</v>
      </c>
    </row>
    <row r="1418">
      <c r="A1418" s="8" t="s">
        <v>582</v>
      </c>
      <c r="B1418" s="8" t="s">
        <v>2933</v>
      </c>
      <c r="C1418" s="8" t="s">
        <v>122</v>
      </c>
      <c r="D1418" s="18" t="s">
        <v>2592</v>
      </c>
      <c r="E1418" s="16">
        <v>77.0</v>
      </c>
    </row>
    <row r="1419">
      <c r="A1419" s="8" t="s">
        <v>582</v>
      </c>
      <c r="B1419" s="8" t="s">
        <v>3358</v>
      </c>
      <c r="C1419" s="8" t="s">
        <v>192</v>
      </c>
      <c r="D1419" s="18" t="s">
        <v>2556</v>
      </c>
      <c r="E1419" s="16">
        <v>65.0</v>
      </c>
    </row>
    <row r="1420">
      <c r="A1420" s="8" t="s">
        <v>582</v>
      </c>
      <c r="B1420" s="8" t="s">
        <v>2450</v>
      </c>
      <c r="C1420" s="8" t="s">
        <v>93</v>
      </c>
      <c r="D1420" s="18" t="s">
        <v>2556</v>
      </c>
      <c r="E1420" s="16">
        <v>61.0</v>
      </c>
    </row>
    <row r="1421">
      <c r="A1421" s="8" t="s">
        <v>582</v>
      </c>
      <c r="B1421" s="8" t="s">
        <v>583</v>
      </c>
      <c r="C1421" s="8" t="s">
        <v>24</v>
      </c>
      <c r="D1421" s="18" t="s">
        <v>2585</v>
      </c>
      <c r="E1421" s="16">
        <v>78.0</v>
      </c>
    </row>
    <row r="1422">
      <c r="A1422" s="8" t="s">
        <v>3758</v>
      </c>
      <c r="B1422" s="18" t="s">
        <v>491</v>
      </c>
      <c r="C1422" s="8" t="s">
        <v>192</v>
      </c>
      <c r="D1422" s="18" t="s">
        <v>2593</v>
      </c>
      <c r="E1422" s="16">
        <v>83.0</v>
      </c>
    </row>
    <row r="1423">
      <c r="A1423" s="8" t="s">
        <v>756</v>
      </c>
      <c r="B1423" s="8" t="s">
        <v>436</v>
      </c>
      <c r="C1423" s="8" t="s">
        <v>80</v>
      </c>
      <c r="D1423" s="18" t="s">
        <v>2592</v>
      </c>
      <c r="E1423" s="16">
        <v>77.0</v>
      </c>
    </row>
    <row r="1424">
      <c r="A1424" s="8" t="s">
        <v>3359</v>
      </c>
      <c r="B1424" s="8" t="s">
        <v>2450</v>
      </c>
      <c r="C1424" s="8" t="s">
        <v>93</v>
      </c>
      <c r="D1424" s="18" t="s">
        <v>2560</v>
      </c>
      <c r="E1424" s="16">
        <v>68.0</v>
      </c>
    </row>
    <row r="1425">
      <c r="A1425" s="8" t="s">
        <v>2937</v>
      </c>
      <c r="B1425" s="8" t="s">
        <v>153</v>
      </c>
      <c r="C1425" s="8" t="s">
        <v>70</v>
      </c>
      <c r="D1425" s="18" t="s">
        <v>2614</v>
      </c>
      <c r="E1425" s="16">
        <v>79.0</v>
      </c>
    </row>
    <row r="1426">
      <c r="A1426" s="8" t="s">
        <v>2937</v>
      </c>
      <c r="B1426" s="8" t="s">
        <v>3759</v>
      </c>
      <c r="C1426" s="8" t="s">
        <v>192</v>
      </c>
      <c r="D1426" s="18" t="s">
        <v>2592</v>
      </c>
      <c r="E1426" s="16">
        <v>63.0</v>
      </c>
    </row>
    <row r="1427">
      <c r="A1427" s="8" t="s">
        <v>2937</v>
      </c>
      <c r="B1427" s="8" t="s">
        <v>2151</v>
      </c>
      <c r="C1427" s="8" t="s">
        <v>93</v>
      </c>
      <c r="D1427" s="18" t="s">
        <v>2566</v>
      </c>
      <c r="E1427" s="16">
        <v>71.0</v>
      </c>
    </row>
    <row r="1428">
      <c r="A1428" s="8" t="s">
        <v>2938</v>
      </c>
      <c r="B1428" s="8" t="s">
        <v>2739</v>
      </c>
      <c r="C1428" s="8" t="s">
        <v>138</v>
      </c>
      <c r="D1428" s="18" t="s">
        <v>2556</v>
      </c>
      <c r="E1428" s="16">
        <v>63.0</v>
      </c>
    </row>
    <row r="1429">
      <c r="A1429" s="8" t="s">
        <v>1252</v>
      </c>
      <c r="B1429" s="8" t="s">
        <v>782</v>
      </c>
      <c r="C1429" s="8" t="s">
        <v>93</v>
      </c>
      <c r="D1429" s="18" t="s">
        <v>2556</v>
      </c>
      <c r="E1429" s="16">
        <v>66.0</v>
      </c>
    </row>
    <row r="1430">
      <c r="A1430" s="8" t="s">
        <v>1252</v>
      </c>
      <c r="B1430" s="18" t="s">
        <v>540</v>
      </c>
      <c r="C1430" s="8" t="s">
        <v>215</v>
      </c>
      <c r="D1430" s="18" t="s">
        <v>2567</v>
      </c>
      <c r="E1430" s="16">
        <v>61.0</v>
      </c>
    </row>
    <row r="1431">
      <c r="A1431" s="8" t="s">
        <v>3361</v>
      </c>
      <c r="B1431" s="8" t="s">
        <v>33</v>
      </c>
      <c r="C1431" s="8" t="s">
        <v>16</v>
      </c>
      <c r="D1431" s="18" t="s">
        <v>2556</v>
      </c>
      <c r="E1431" s="16">
        <v>64.0</v>
      </c>
    </row>
    <row r="1432">
      <c r="A1432" s="8" t="s">
        <v>1253</v>
      </c>
      <c r="B1432" s="8" t="s">
        <v>1131</v>
      </c>
      <c r="C1432" s="8" t="s">
        <v>132</v>
      </c>
      <c r="D1432" s="18" t="s">
        <v>2620</v>
      </c>
      <c r="E1432" s="16">
        <v>66.0</v>
      </c>
    </row>
    <row r="1433">
      <c r="A1433" s="8" t="s">
        <v>2939</v>
      </c>
      <c r="B1433" s="8" t="s">
        <v>162</v>
      </c>
      <c r="C1433" s="8" t="s">
        <v>24</v>
      </c>
      <c r="D1433" s="18" t="s">
        <v>2572</v>
      </c>
      <c r="E1433" s="16">
        <v>70.0</v>
      </c>
    </row>
    <row r="1434">
      <c r="A1434" s="8" t="s">
        <v>2940</v>
      </c>
      <c r="B1434" s="8" t="s">
        <v>2941</v>
      </c>
      <c r="C1434" s="8" t="s">
        <v>65</v>
      </c>
      <c r="D1434" s="18" t="s">
        <v>2567</v>
      </c>
      <c r="E1434" s="16">
        <v>63.0</v>
      </c>
    </row>
    <row r="1435">
      <c r="A1435" s="8" t="s">
        <v>3760</v>
      </c>
      <c r="B1435" s="8" t="s">
        <v>3761</v>
      </c>
      <c r="C1435" s="8" t="s">
        <v>93</v>
      </c>
      <c r="D1435" s="18" t="s">
        <v>2564</v>
      </c>
      <c r="E1435" s="16">
        <v>73.0</v>
      </c>
    </row>
    <row r="1436">
      <c r="A1436" s="8" t="s">
        <v>1254</v>
      </c>
      <c r="B1436" s="8" t="s">
        <v>1255</v>
      </c>
      <c r="C1436" s="8" t="s">
        <v>186</v>
      </c>
      <c r="D1436" s="18" t="s">
        <v>2562</v>
      </c>
      <c r="E1436" s="16">
        <v>77.0</v>
      </c>
    </row>
    <row r="1437">
      <c r="A1437" s="8" t="s">
        <v>980</v>
      </c>
      <c r="B1437" s="8" t="s">
        <v>981</v>
      </c>
      <c r="C1437" s="8" t="s">
        <v>70</v>
      </c>
      <c r="D1437" s="18" t="s">
        <v>2552</v>
      </c>
      <c r="E1437" s="16">
        <v>76.0</v>
      </c>
    </row>
    <row r="1438">
      <c r="A1438" s="8" t="s">
        <v>1256</v>
      </c>
      <c r="B1438" s="8" t="s">
        <v>1257</v>
      </c>
      <c r="C1438" s="8" t="s">
        <v>186</v>
      </c>
      <c r="D1438" s="18" t="s">
        <v>2592</v>
      </c>
      <c r="E1438" s="16">
        <v>57.0</v>
      </c>
    </row>
    <row r="1439">
      <c r="A1439" s="8" t="s">
        <v>1258</v>
      </c>
      <c r="B1439" s="18" t="s">
        <v>1259</v>
      </c>
      <c r="C1439" s="8" t="s">
        <v>65</v>
      </c>
      <c r="D1439" s="18" t="s">
        <v>2598</v>
      </c>
      <c r="E1439" s="16">
        <v>62.0</v>
      </c>
    </row>
    <row r="1440">
      <c r="A1440" s="8" t="s">
        <v>166</v>
      </c>
      <c r="B1440" s="8" t="s">
        <v>167</v>
      </c>
      <c r="C1440" s="8" t="s">
        <v>122</v>
      </c>
      <c r="D1440" s="18" t="s">
        <v>2560</v>
      </c>
      <c r="E1440" s="16">
        <v>78.0</v>
      </c>
    </row>
    <row r="1441">
      <c r="A1441" s="8" t="s">
        <v>3762</v>
      </c>
      <c r="B1441" s="8" t="s">
        <v>3763</v>
      </c>
      <c r="C1441" s="8" t="s">
        <v>59</v>
      </c>
      <c r="D1441" s="18" t="s">
        <v>2598</v>
      </c>
      <c r="E1441" s="16">
        <v>61.0</v>
      </c>
    </row>
    <row r="1442">
      <c r="A1442" s="8" t="s">
        <v>3764</v>
      </c>
      <c r="B1442" s="8" t="s">
        <v>383</v>
      </c>
      <c r="C1442" s="8" t="s">
        <v>192</v>
      </c>
      <c r="D1442" s="18" t="s">
        <v>2564</v>
      </c>
      <c r="E1442" s="16">
        <v>81.0</v>
      </c>
    </row>
    <row r="1443">
      <c r="A1443" s="8" t="s">
        <v>296</v>
      </c>
      <c r="B1443" s="8" t="s">
        <v>297</v>
      </c>
      <c r="C1443" s="8" t="s">
        <v>93</v>
      </c>
      <c r="D1443" s="18" t="s">
        <v>2605</v>
      </c>
      <c r="E1443" s="16">
        <v>69.0</v>
      </c>
    </row>
    <row r="1444">
      <c r="A1444" s="8" t="s">
        <v>757</v>
      </c>
      <c r="B1444" s="8" t="s">
        <v>121</v>
      </c>
      <c r="C1444" s="8" t="s">
        <v>12</v>
      </c>
      <c r="D1444" s="18" t="s">
        <v>2620</v>
      </c>
      <c r="E1444" s="16">
        <v>82.0</v>
      </c>
    </row>
    <row r="1445">
      <c r="A1445" s="8" t="s">
        <v>3362</v>
      </c>
      <c r="B1445" s="8" t="s">
        <v>301</v>
      </c>
      <c r="C1445" s="8" t="s">
        <v>59</v>
      </c>
      <c r="D1445" s="18" t="s">
        <v>2567</v>
      </c>
      <c r="E1445" s="16">
        <v>71.0</v>
      </c>
    </row>
    <row r="1446">
      <c r="A1446" s="8" t="s">
        <v>400</v>
      </c>
      <c r="B1446" s="8" t="s">
        <v>401</v>
      </c>
      <c r="C1446" s="8" t="s">
        <v>53</v>
      </c>
      <c r="D1446" s="18" t="s">
        <v>2605</v>
      </c>
      <c r="E1446" s="16">
        <v>92.0</v>
      </c>
    </row>
    <row r="1447">
      <c r="A1447" s="8" t="s">
        <v>298</v>
      </c>
      <c r="B1447" s="8" t="s">
        <v>299</v>
      </c>
      <c r="C1447" s="8" t="s">
        <v>24</v>
      </c>
      <c r="D1447" s="18" t="s">
        <v>2593</v>
      </c>
      <c r="E1447" s="16">
        <v>44.0</v>
      </c>
    </row>
    <row r="1448">
      <c r="A1448" s="8" t="s">
        <v>3363</v>
      </c>
      <c r="B1448" s="8" t="s">
        <v>628</v>
      </c>
      <c r="C1448" s="8" t="s">
        <v>65</v>
      </c>
      <c r="D1448" s="18" t="s">
        <v>2593</v>
      </c>
      <c r="E1448" s="16">
        <v>62.0</v>
      </c>
    </row>
    <row r="1449">
      <c r="A1449" s="8" t="s">
        <v>758</v>
      </c>
      <c r="B1449" s="8" t="s">
        <v>759</v>
      </c>
      <c r="C1449" s="8" t="s">
        <v>215</v>
      </c>
      <c r="D1449" s="18" t="s">
        <v>2564</v>
      </c>
      <c r="E1449" s="16">
        <v>65.0</v>
      </c>
    </row>
    <row r="1450">
      <c r="A1450" s="8" t="s">
        <v>120</v>
      </c>
      <c r="B1450" s="8" t="s">
        <v>121</v>
      </c>
      <c r="C1450" s="8" t="s">
        <v>122</v>
      </c>
      <c r="D1450" s="18" t="s">
        <v>2572</v>
      </c>
      <c r="E1450" s="16">
        <v>80.0</v>
      </c>
    </row>
    <row r="1451">
      <c r="A1451" s="8" t="s">
        <v>760</v>
      </c>
      <c r="B1451" s="8" t="s">
        <v>499</v>
      </c>
      <c r="C1451" s="8" t="s">
        <v>122</v>
      </c>
      <c r="D1451" s="18" t="s">
        <v>2615</v>
      </c>
      <c r="E1451" s="16">
        <v>69.0</v>
      </c>
    </row>
    <row r="1452">
      <c r="A1452" s="8" t="s">
        <v>2383</v>
      </c>
      <c r="B1452" s="8" t="s">
        <v>842</v>
      </c>
      <c r="C1452" s="8" t="s">
        <v>192</v>
      </c>
      <c r="D1452" s="18" t="s">
        <v>2587</v>
      </c>
      <c r="E1452" s="16">
        <v>64.0</v>
      </c>
    </row>
    <row r="1453">
      <c r="A1453" s="8" t="s">
        <v>385</v>
      </c>
      <c r="B1453" s="8" t="s">
        <v>585</v>
      </c>
      <c r="C1453" s="8" t="s">
        <v>93</v>
      </c>
      <c r="D1453" s="18" t="s">
        <v>2581</v>
      </c>
      <c r="E1453" s="16">
        <v>69.0</v>
      </c>
    </row>
    <row r="1454">
      <c r="A1454" s="8" t="s">
        <v>586</v>
      </c>
      <c r="B1454" s="8" t="s">
        <v>587</v>
      </c>
      <c r="C1454" s="8" t="s">
        <v>53</v>
      </c>
      <c r="D1454" s="18" t="s">
        <v>2562</v>
      </c>
      <c r="E1454" s="16">
        <v>88.0</v>
      </c>
    </row>
    <row r="1455">
      <c r="A1455" s="8" t="s">
        <v>1261</v>
      </c>
      <c r="B1455" s="8" t="s">
        <v>52</v>
      </c>
      <c r="C1455" s="8" t="s">
        <v>65</v>
      </c>
      <c r="D1455" s="18" t="s">
        <v>2605</v>
      </c>
      <c r="E1455" s="16">
        <v>64.0</v>
      </c>
    </row>
    <row r="1456">
      <c r="A1456" s="8" t="s">
        <v>3765</v>
      </c>
      <c r="B1456" s="8" t="s">
        <v>480</v>
      </c>
      <c r="C1456" s="8" t="s">
        <v>16</v>
      </c>
      <c r="D1456" s="18" t="s">
        <v>2572</v>
      </c>
      <c r="E1456" s="16">
        <v>66.0</v>
      </c>
    </row>
    <row r="1457">
      <c r="A1457" s="8" t="s">
        <v>2944</v>
      </c>
      <c r="B1457" s="8" t="s">
        <v>360</v>
      </c>
      <c r="C1457" s="8" t="s">
        <v>75</v>
      </c>
      <c r="D1457" s="18" t="s">
        <v>2567</v>
      </c>
      <c r="E1457" s="16">
        <v>85.0</v>
      </c>
    </row>
    <row r="1458">
      <c r="A1458" s="8" t="s">
        <v>137</v>
      </c>
      <c r="B1458" s="8" t="s">
        <v>2945</v>
      </c>
      <c r="C1458" s="8" t="s">
        <v>70</v>
      </c>
      <c r="D1458" s="18" t="s">
        <v>2603</v>
      </c>
      <c r="E1458" s="16">
        <v>71.0</v>
      </c>
    </row>
    <row r="1459">
      <c r="A1459" s="8" t="s">
        <v>982</v>
      </c>
      <c r="B1459" s="8" t="s">
        <v>157</v>
      </c>
      <c r="C1459" s="8" t="s">
        <v>149</v>
      </c>
      <c r="D1459" s="18" t="s">
        <v>2577</v>
      </c>
      <c r="E1459" s="16">
        <v>65.0</v>
      </c>
    </row>
    <row r="1460">
      <c r="A1460" s="8" t="s">
        <v>1219</v>
      </c>
      <c r="B1460" s="8" t="s">
        <v>2948</v>
      </c>
      <c r="C1460" s="8" t="s">
        <v>80</v>
      </c>
      <c r="D1460" s="18" t="s">
        <v>2560</v>
      </c>
      <c r="E1460" s="16">
        <v>73.0</v>
      </c>
    </row>
    <row r="1461">
      <c r="A1461" s="8" t="s">
        <v>3766</v>
      </c>
      <c r="B1461" s="8" t="s">
        <v>124</v>
      </c>
      <c r="C1461" s="8" t="s">
        <v>122</v>
      </c>
      <c r="D1461" s="18" t="s">
        <v>2566</v>
      </c>
      <c r="E1461" s="16">
        <v>62.0</v>
      </c>
    </row>
    <row r="1462">
      <c r="A1462" s="8" t="s">
        <v>3767</v>
      </c>
      <c r="B1462" s="8" t="s">
        <v>865</v>
      </c>
      <c r="C1462" s="8" t="s">
        <v>261</v>
      </c>
      <c r="D1462" s="18" t="s">
        <v>2183</v>
      </c>
      <c r="E1462" s="16">
        <v>64.0</v>
      </c>
    </row>
    <row r="1463">
      <c r="A1463" s="8" t="s">
        <v>402</v>
      </c>
      <c r="B1463" s="8" t="s">
        <v>1262</v>
      </c>
      <c r="C1463" s="8" t="s">
        <v>65</v>
      </c>
      <c r="D1463" s="18" t="s">
        <v>2562</v>
      </c>
      <c r="E1463" s="16">
        <v>71.0</v>
      </c>
    </row>
    <row r="1464">
      <c r="A1464" s="8" t="s">
        <v>402</v>
      </c>
      <c r="B1464" s="8" t="s">
        <v>249</v>
      </c>
      <c r="C1464" s="8" t="s">
        <v>261</v>
      </c>
      <c r="D1464" s="18" t="s">
        <v>2585</v>
      </c>
      <c r="E1464" s="16">
        <v>77.0</v>
      </c>
    </row>
    <row r="1465">
      <c r="A1465" s="8" t="s">
        <v>402</v>
      </c>
      <c r="B1465" s="8" t="s">
        <v>2949</v>
      </c>
      <c r="C1465" s="8" t="s">
        <v>93</v>
      </c>
      <c r="D1465" s="18" t="s">
        <v>2589</v>
      </c>
      <c r="E1465" s="16">
        <v>62.0</v>
      </c>
    </row>
    <row r="1466">
      <c r="A1466" s="8" t="s">
        <v>402</v>
      </c>
      <c r="B1466" s="8" t="s">
        <v>23</v>
      </c>
      <c r="C1466" s="8" t="s">
        <v>132</v>
      </c>
      <c r="D1466" s="18" t="s">
        <v>2587</v>
      </c>
      <c r="E1466" s="16">
        <v>69.0</v>
      </c>
    </row>
    <row r="1467">
      <c r="A1467" s="8" t="s">
        <v>402</v>
      </c>
      <c r="B1467" s="8" t="s">
        <v>761</v>
      </c>
      <c r="C1467" s="8" t="s">
        <v>70</v>
      </c>
      <c r="D1467" s="18" t="s">
        <v>2562</v>
      </c>
      <c r="E1467" s="16">
        <v>88.0</v>
      </c>
    </row>
    <row r="1468">
      <c r="A1468" s="8" t="s">
        <v>402</v>
      </c>
      <c r="B1468" s="8" t="s">
        <v>403</v>
      </c>
      <c r="C1468" s="8" t="s">
        <v>53</v>
      </c>
      <c r="D1468" s="18" t="s">
        <v>2620</v>
      </c>
      <c r="E1468" s="16">
        <v>99.0</v>
      </c>
    </row>
    <row r="1469">
      <c r="A1469" s="8" t="s">
        <v>402</v>
      </c>
      <c r="B1469" s="8" t="s">
        <v>480</v>
      </c>
      <c r="C1469" s="8" t="s">
        <v>24</v>
      </c>
      <c r="D1469" s="18" t="s">
        <v>2605</v>
      </c>
      <c r="E1469" s="16">
        <v>78.0</v>
      </c>
    </row>
    <row r="1470">
      <c r="A1470" s="8" t="s">
        <v>3768</v>
      </c>
      <c r="B1470" s="8" t="s">
        <v>1300</v>
      </c>
      <c r="C1470" s="8" t="s">
        <v>122</v>
      </c>
      <c r="D1470" s="18" t="s">
        <v>2584</v>
      </c>
      <c r="E1470" s="16">
        <v>78.0</v>
      </c>
    </row>
    <row r="1471">
      <c r="A1471" s="8" t="s">
        <v>3769</v>
      </c>
      <c r="B1471" s="8" t="s">
        <v>684</v>
      </c>
      <c r="C1471" s="8" t="s">
        <v>93</v>
      </c>
      <c r="D1471" s="18" t="s">
        <v>2560</v>
      </c>
      <c r="E1471" s="16">
        <v>71.0</v>
      </c>
    </row>
    <row r="1472">
      <c r="A1472" s="8" t="s">
        <v>762</v>
      </c>
      <c r="B1472" s="8" t="s">
        <v>1128</v>
      </c>
      <c r="C1472" s="8" t="s">
        <v>93</v>
      </c>
      <c r="D1472" s="18" t="s">
        <v>2564</v>
      </c>
      <c r="E1472" s="16">
        <v>63.0</v>
      </c>
    </row>
    <row r="1473">
      <c r="A1473" s="8" t="s">
        <v>762</v>
      </c>
      <c r="B1473" s="8" t="s">
        <v>263</v>
      </c>
      <c r="C1473" s="8" t="s">
        <v>149</v>
      </c>
      <c r="D1473" s="18" t="s">
        <v>2587</v>
      </c>
      <c r="E1473" s="16">
        <v>73.0</v>
      </c>
    </row>
    <row r="1474">
      <c r="A1474" s="8" t="s">
        <v>1263</v>
      </c>
      <c r="B1474" s="8" t="s">
        <v>3364</v>
      </c>
      <c r="C1474" s="8" t="s">
        <v>149</v>
      </c>
      <c r="D1474" s="18" t="s">
        <v>2600</v>
      </c>
      <c r="E1474" s="16">
        <v>64.0</v>
      </c>
    </row>
    <row r="1475">
      <c r="A1475" s="8" t="s">
        <v>3770</v>
      </c>
      <c r="B1475" s="8" t="s">
        <v>506</v>
      </c>
      <c r="C1475" s="8" t="s">
        <v>93</v>
      </c>
      <c r="D1475" s="18" t="s">
        <v>2598</v>
      </c>
      <c r="E1475" s="16">
        <v>61.0</v>
      </c>
    </row>
    <row r="1476">
      <c r="A1476" s="8" t="s">
        <v>763</v>
      </c>
      <c r="B1476" s="8" t="s">
        <v>764</v>
      </c>
      <c r="C1476" s="8" t="s">
        <v>53</v>
      </c>
      <c r="D1476" s="18" t="s">
        <v>2615</v>
      </c>
      <c r="E1476" s="16">
        <v>76.0</v>
      </c>
    </row>
    <row r="1477">
      <c r="A1477" s="8" t="s">
        <v>2950</v>
      </c>
      <c r="B1477" s="8" t="s">
        <v>119</v>
      </c>
      <c r="C1477" s="8" t="s">
        <v>186</v>
      </c>
      <c r="D1477" s="18" t="s">
        <v>2589</v>
      </c>
      <c r="E1477" s="16">
        <v>74.0</v>
      </c>
    </row>
    <row r="1478">
      <c r="A1478" s="8" t="s">
        <v>3365</v>
      </c>
      <c r="B1478" s="8" t="s">
        <v>3366</v>
      </c>
      <c r="C1478" s="8" t="s">
        <v>53</v>
      </c>
      <c r="D1478" s="18" t="s">
        <v>2581</v>
      </c>
      <c r="E1478" s="16">
        <v>85.0</v>
      </c>
    </row>
    <row r="1479">
      <c r="A1479" s="8" t="s">
        <v>3367</v>
      </c>
      <c r="B1479" s="8" t="s">
        <v>1126</v>
      </c>
      <c r="C1479" s="8" t="s">
        <v>93</v>
      </c>
      <c r="D1479" s="18" t="s">
        <v>2567</v>
      </c>
      <c r="E1479" s="16">
        <v>64.0</v>
      </c>
    </row>
    <row r="1480">
      <c r="A1480" s="8" t="s">
        <v>427</v>
      </c>
      <c r="B1480" s="8" t="s">
        <v>443</v>
      </c>
      <c r="C1480" s="8" t="s">
        <v>122</v>
      </c>
      <c r="D1480" s="18" t="s">
        <v>2581</v>
      </c>
      <c r="E1480" s="16">
        <v>74.0</v>
      </c>
    </row>
    <row r="1481">
      <c r="A1481" s="8" t="s">
        <v>427</v>
      </c>
      <c r="B1481" s="8" t="s">
        <v>283</v>
      </c>
      <c r="C1481" s="8" t="s">
        <v>65</v>
      </c>
      <c r="D1481" s="18" t="s">
        <v>2600</v>
      </c>
      <c r="E1481" s="16">
        <v>67.0</v>
      </c>
    </row>
    <row r="1482">
      <c r="A1482" s="8" t="s">
        <v>427</v>
      </c>
      <c r="B1482" s="8" t="s">
        <v>183</v>
      </c>
      <c r="C1482" s="8" t="s">
        <v>80</v>
      </c>
      <c r="D1482" s="18" t="s">
        <v>2577</v>
      </c>
      <c r="E1482" s="16">
        <v>84.0</v>
      </c>
    </row>
    <row r="1483">
      <c r="A1483" s="8" t="s">
        <v>3771</v>
      </c>
      <c r="B1483" s="8" t="s">
        <v>506</v>
      </c>
      <c r="C1483" s="8" t="s">
        <v>122</v>
      </c>
      <c r="D1483" s="18" t="s">
        <v>2620</v>
      </c>
      <c r="E1483" s="16">
        <v>58.0</v>
      </c>
    </row>
    <row r="1484">
      <c r="A1484" s="8" t="s">
        <v>3368</v>
      </c>
      <c r="B1484" s="8" t="s">
        <v>1245</v>
      </c>
      <c r="C1484" s="8" t="s">
        <v>53</v>
      </c>
      <c r="D1484" s="18" t="s">
        <v>2577</v>
      </c>
      <c r="E1484" s="16">
        <v>78.0</v>
      </c>
    </row>
    <row r="1485">
      <c r="A1485" s="8" t="s">
        <v>3772</v>
      </c>
      <c r="B1485" s="8" t="s">
        <v>140</v>
      </c>
      <c r="C1485" s="8" t="s">
        <v>24</v>
      </c>
      <c r="D1485" s="18" t="s">
        <v>2605</v>
      </c>
      <c r="E1485" s="16">
        <v>71.0</v>
      </c>
    </row>
    <row r="1486">
      <c r="A1486" s="8" t="s">
        <v>3369</v>
      </c>
      <c r="B1486" s="8" t="s">
        <v>3370</v>
      </c>
      <c r="C1486" s="8" t="s">
        <v>24</v>
      </c>
      <c r="D1486" s="18" t="s">
        <v>2589</v>
      </c>
      <c r="E1486" s="16">
        <v>66.0</v>
      </c>
    </row>
    <row r="1487">
      <c r="A1487" s="8" t="s">
        <v>1266</v>
      </c>
      <c r="B1487" s="8" t="s">
        <v>1267</v>
      </c>
      <c r="C1487" s="8" t="s">
        <v>65</v>
      </c>
      <c r="D1487" s="18" t="s">
        <v>2567</v>
      </c>
      <c r="E1487" s="16">
        <v>78.0</v>
      </c>
    </row>
    <row r="1488">
      <c r="A1488" s="8" t="s">
        <v>3773</v>
      </c>
      <c r="B1488" s="8" t="s">
        <v>1046</v>
      </c>
      <c r="C1488" s="8" t="s">
        <v>38</v>
      </c>
      <c r="D1488" s="18" t="s">
        <v>2577</v>
      </c>
      <c r="E1488" s="16">
        <v>68.0</v>
      </c>
    </row>
    <row r="1489">
      <c r="A1489" s="8" t="s">
        <v>1265</v>
      </c>
      <c r="B1489" s="8" t="s">
        <v>170</v>
      </c>
      <c r="C1489" s="8" t="s">
        <v>65</v>
      </c>
      <c r="D1489" s="18" t="s">
        <v>2558</v>
      </c>
      <c r="E1489" s="16">
        <v>71.0</v>
      </c>
    </row>
    <row r="1490">
      <c r="A1490" s="8" t="s">
        <v>1264</v>
      </c>
      <c r="B1490" s="8" t="s">
        <v>275</v>
      </c>
      <c r="C1490" s="8" t="s">
        <v>65</v>
      </c>
      <c r="D1490" s="18" t="s">
        <v>2575</v>
      </c>
      <c r="E1490" s="16">
        <v>65.0</v>
      </c>
    </row>
    <row r="1491">
      <c r="A1491" s="8" t="s">
        <v>1264</v>
      </c>
      <c r="B1491" s="8" t="s">
        <v>304</v>
      </c>
      <c r="C1491" s="8" t="s">
        <v>192</v>
      </c>
      <c r="D1491" s="18" t="s">
        <v>2562</v>
      </c>
      <c r="E1491" s="16">
        <v>62.0</v>
      </c>
    </row>
    <row r="1492">
      <c r="A1492" s="8" t="s">
        <v>1264</v>
      </c>
      <c r="B1492" s="8" t="s">
        <v>3371</v>
      </c>
      <c r="C1492" s="8" t="s">
        <v>215</v>
      </c>
      <c r="D1492" s="18" t="s">
        <v>2556</v>
      </c>
      <c r="E1492" s="16">
        <v>69.0</v>
      </c>
    </row>
    <row r="1493">
      <c r="A1493" s="8" t="s">
        <v>1264</v>
      </c>
      <c r="B1493" s="8" t="s">
        <v>3207</v>
      </c>
      <c r="C1493" s="8" t="s">
        <v>16</v>
      </c>
      <c r="D1493" s="18" t="s">
        <v>2614</v>
      </c>
      <c r="E1493" s="16">
        <v>69.0</v>
      </c>
    </row>
    <row r="1494">
      <c r="A1494" s="8" t="s">
        <v>1264</v>
      </c>
      <c r="B1494" s="8" t="s">
        <v>2143</v>
      </c>
      <c r="C1494" s="8" t="s">
        <v>65</v>
      </c>
      <c r="D1494" s="18" t="s">
        <v>2615</v>
      </c>
      <c r="E1494" s="16">
        <v>65.0</v>
      </c>
    </row>
    <row r="1495">
      <c r="A1495" s="8" t="s">
        <v>1264</v>
      </c>
      <c r="B1495" s="8" t="s">
        <v>33</v>
      </c>
      <c r="C1495" s="8" t="s">
        <v>16</v>
      </c>
      <c r="D1495" s="18" t="s">
        <v>2581</v>
      </c>
      <c r="E1495" s="16">
        <v>69.0</v>
      </c>
    </row>
    <row r="1496">
      <c r="A1496" s="8" t="s">
        <v>1264</v>
      </c>
      <c r="B1496" s="8" t="s">
        <v>3372</v>
      </c>
      <c r="C1496" s="8" t="s">
        <v>186</v>
      </c>
      <c r="D1496" s="18" t="s">
        <v>2567</v>
      </c>
      <c r="E1496" s="16">
        <v>72.0</v>
      </c>
    </row>
    <row r="1497">
      <c r="A1497" s="8" t="s">
        <v>1264</v>
      </c>
      <c r="B1497" s="8" t="s">
        <v>1035</v>
      </c>
      <c r="C1497" s="8" t="s">
        <v>93</v>
      </c>
      <c r="D1497" s="18" t="s">
        <v>2587</v>
      </c>
      <c r="E1497" s="16">
        <v>76.0</v>
      </c>
    </row>
    <row r="1498">
      <c r="A1498" s="8" t="s">
        <v>1264</v>
      </c>
      <c r="B1498" s="8" t="s">
        <v>480</v>
      </c>
      <c r="C1498" s="8" t="s">
        <v>138</v>
      </c>
      <c r="D1498" s="18" t="s">
        <v>2552</v>
      </c>
      <c r="E1498" s="16">
        <v>64.0</v>
      </c>
    </row>
    <row r="1499">
      <c r="A1499" s="8" t="s">
        <v>3774</v>
      </c>
      <c r="B1499" s="8" t="s">
        <v>3775</v>
      </c>
      <c r="C1499" s="8" t="s">
        <v>80</v>
      </c>
      <c r="D1499" s="18" t="s">
        <v>2615</v>
      </c>
      <c r="E1499" s="16">
        <v>79.0</v>
      </c>
    </row>
    <row r="1500">
      <c r="A1500" s="8" t="s">
        <v>146</v>
      </c>
      <c r="B1500" s="8" t="s">
        <v>506</v>
      </c>
      <c r="C1500" s="8" t="s">
        <v>24</v>
      </c>
      <c r="D1500" s="18" t="s">
        <v>2552</v>
      </c>
      <c r="E1500" s="16">
        <v>67.0</v>
      </c>
    </row>
    <row r="1501">
      <c r="A1501" s="8" t="s">
        <v>146</v>
      </c>
      <c r="B1501" s="8" t="s">
        <v>1473</v>
      </c>
      <c r="C1501" s="8" t="s">
        <v>53</v>
      </c>
      <c r="D1501" s="18" t="s">
        <v>2621</v>
      </c>
      <c r="E1501" s="16">
        <v>81.0</v>
      </c>
    </row>
    <row r="1502">
      <c r="A1502" s="8" t="s">
        <v>146</v>
      </c>
      <c r="B1502" s="8" t="s">
        <v>183</v>
      </c>
      <c r="C1502" s="8" t="s">
        <v>53</v>
      </c>
      <c r="D1502" s="18" t="s">
        <v>2603</v>
      </c>
      <c r="E1502" s="16">
        <v>71.0</v>
      </c>
    </row>
    <row r="1503">
      <c r="A1503" s="8" t="s">
        <v>1905</v>
      </c>
      <c r="B1503" s="8" t="s">
        <v>650</v>
      </c>
      <c r="C1503" s="8" t="s">
        <v>70</v>
      </c>
      <c r="D1503" s="18" t="s">
        <v>2614</v>
      </c>
      <c r="E1503" s="16">
        <v>79.0</v>
      </c>
    </row>
    <row r="1504">
      <c r="A1504" s="8" t="s">
        <v>1905</v>
      </c>
      <c r="B1504" s="8" t="s">
        <v>792</v>
      </c>
      <c r="C1504" s="8" t="s">
        <v>93</v>
      </c>
      <c r="D1504" s="18" t="s">
        <v>2560</v>
      </c>
      <c r="E1504" s="16">
        <v>71.0</v>
      </c>
    </row>
    <row r="1505">
      <c r="A1505" s="8" t="s">
        <v>1905</v>
      </c>
      <c r="B1505" s="8" t="s">
        <v>88</v>
      </c>
      <c r="C1505" s="8" t="s">
        <v>16</v>
      </c>
      <c r="D1505" s="18" t="s">
        <v>2567</v>
      </c>
      <c r="E1505" s="16">
        <v>62.0</v>
      </c>
    </row>
    <row r="1506">
      <c r="A1506" s="8" t="s">
        <v>2953</v>
      </c>
      <c r="B1506" s="8" t="s">
        <v>245</v>
      </c>
      <c r="C1506" s="8" t="s">
        <v>186</v>
      </c>
      <c r="D1506" s="18" t="s">
        <v>2567</v>
      </c>
      <c r="E1506" s="16">
        <v>65.0</v>
      </c>
    </row>
    <row r="1507">
      <c r="A1507" s="8" t="s">
        <v>984</v>
      </c>
      <c r="B1507" s="8" t="s">
        <v>985</v>
      </c>
      <c r="C1507" s="8" t="s">
        <v>141</v>
      </c>
      <c r="D1507" s="18" t="s">
        <v>2183</v>
      </c>
      <c r="E1507" s="16">
        <v>73.0</v>
      </c>
    </row>
    <row r="1508">
      <c r="A1508" s="8" t="s">
        <v>168</v>
      </c>
      <c r="B1508" s="8" t="s">
        <v>62</v>
      </c>
      <c r="C1508" s="8" t="s">
        <v>38</v>
      </c>
      <c r="D1508" s="18" t="s">
        <v>2595</v>
      </c>
      <c r="E1508" s="16">
        <v>83.0</v>
      </c>
    </row>
    <row r="1509">
      <c r="A1509" s="8" t="s">
        <v>765</v>
      </c>
      <c r="B1509" s="8" t="s">
        <v>3776</v>
      </c>
      <c r="C1509" s="8" t="s">
        <v>53</v>
      </c>
      <c r="D1509" s="18" t="s">
        <v>2183</v>
      </c>
      <c r="E1509" s="16">
        <v>65.0</v>
      </c>
    </row>
    <row r="1510">
      <c r="A1510" s="8" t="s">
        <v>765</v>
      </c>
      <c r="B1510" s="8" t="s">
        <v>146</v>
      </c>
      <c r="C1510" s="8" t="s">
        <v>149</v>
      </c>
      <c r="D1510" s="18" t="s">
        <v>2582</v>
      </c>
      <c r="E1510" s="16">
        <v>78.0</v>
      </c>
    </row>
    <row r="1511">
      <c r="A1511" s="8" t="s">
        <v>986</v>
      </c>
      <c r="B1511" s="18" t="s">
        <v>521</v>
      </c>
      <c r="C1511" s="8" t="s">
        <v>186</v>
      </c>
      <c r="D1511" s="18" t="s">
        <v>2575</v>
      </c>
      <c r="E1511" s="16">
        <v>83.0</v>
      </c>
    </row>
    <row r="1512">
      <c r="A1512" s="8" t="s">
        <v>987</v>
      </c>
      <c r="B1512" s="8" t="s">
        <v>988</v>
      </c>
      <c r="C1512" s="8" t="s">
        <v>70</v>
      </c>
      <c r="D1512" s="18" t="s">
        <v>2615</v>
      </c>
      <c r="E1512" s="16">
        <v>67.0</v>
      </c>
    </row>
    <row r="1513">
      <c r="A1513" s="8" t="s">
        <v>2954</v>
      </c>
      <c r="B1513" s="8" t="s">
        <v>2955</v>
      </c>
      <c r="C1513" s="8" t="s">
        <v>53</v>
      </c>
      <c r="D1513" s="18" t="s">
        <v>2621</v>
      </c>
      <c r="E1513" s="16">
        <v>63.0</v>
      </c>
    </row>
    <row r="1514">
      <c r="A1514" s="8" t="s">
        <v>30</v>
      </c>
      <c r="B1514" s="8" t="s">
        <v>31</v>
      </c>
      <c r="C1514" s="8" t="s">
        <v>24</v>
      </c>
      <c r="D1514" s="18" t="s">
        <v>2554</v>
      </c>
      <c r="E1514" s="16">
        <v>50.0</v>
      </c>
    </row>
    <row r="1515">
      <c r="A1515" s="8" t="s">
        <v>3777</v>
      </c>
      <c r="B1515" s="8" t="s">
        <v>43</v>
      </c>
      <c r="C1515" s="8" t="s">
        <v>59</v>
      </c>
      <c r="D1515" s="18" t="s">
        <v>2183</v>
      </c>
      <c r="E1515" s="16">
        <v>67.0</v>
      </c>
    </row>
    <row r="1516">
      <c r="A1516" s="8" t="s">
        <v>3778</v>
      </c>
      <c r="B1516" s="8" t="s">
        <v>782</v>
      </c>
      <c r="C1516" s="8" t="s">
        <v>65</v>
      </c>
      <c r="D1516" s="18" t="s">
        <v>2562</v>
      </c>
      <c r="E1516" s="16">
        <v>63.0</v>
      </c>
    </row>
    <row r="1517">
      <c r="A1517" s="8" t="s">
        <v>2956</v>
      </c>
      <c r="B1517" s="8" t="s">
        <v>2957</v>
      </c>
      <c r="C1517" s="8" t="s">
        <v>93</v>
      </c>
      <c r="D1517" s="18" t="s">
        <v>2552</v>
      </c>
      <c r="E1517" s="16">
        <v>75.0</v>
      </c>
    </row>
    <row r="1518">
      <c r="A1518" s="8" t="s">
        <v>2958</v>
      </c>
      <c r="B1518" s="8" t="s">
        <v>197</v>
      </c>
      <c r="C1518" s="8" t="s">
        <v>141</v>
      </c>
      <c r="D1518" s="18" t="s">
        <v>2183</v>
      </c>
      <c r="E1518" s="16">
        <v>63.0</v>
      </c>
    </row>
    <row r="1519">
      <c r="A1519" s="8" t="s">
        <v>766</v>
      </c>
      <c r="B1519" s="8" t="s">
        <v>214</v>
      </c>
      <c r="C1519" s="8" t="s">
        <v>149</v>
      </c>
      <c r="D1519" s="18" t="s">
        <v>2558</v>
      </c>
      <c r="E1519" s="16">
        <v>66.0</v>
      </c>
    </row>
    <row r="1520">
      <c r="A1520" s="8" t="s">
        <v>766</v>
      </c>
      <c r="B1520" s="8" t="s">
        <v>1516</v>
      </c>
      <c r="C1520" s="8" t="s">
        <v>65</v>
      </c>
      <c r="D1520" s="18" t="s">
        <v>2592</v>
      </c>
      <c r="E1520" s="16">
        <v>71.0</v>
      </c>
    </row>
    <row r="1521">
      <c r="A1521" s="8" t="s">
        <v>766</v>
      </c>
      <c r="B1521" s="8" t="s">
        <v>247</v>
      </c>
      <c r="C1521" s="8" t="s">
        <v>70</v>
      </c>
      <c r="D1521" s="18" t="s">
        <v>2595</v>
      </c>
      <c r="E1521" s="16">
        <v>67.0</v>
      </c>
    </row>
    <row r="1522">
      <c r="A1522" s="8" t="s">
        <v>766</v>
      </c>
      <c r="B1522" s="8" t="s">
        <v>334</v>
      </c>
      <c r="C1522" s="8" t="s">
        <v>215</v>
      </c>
      <c r="D1522" s="18" t="s">
        <v>2582</v>
      </c>
      <c r="E1522" s="16">
        <v>81.0</v>
      </c>
    </row>
    <row r="1523">
      <c r="A1523" s="8" t="s">
        <v>766</v>
      </c>
      <c r="B1523" s="8" t="s">
        <v>676</v>
      </c>
      <c r="C1523" s="8" t="s">
        <v>65</v>
      </c>
      <c r="D1523" s="18" t="s">
        <v>2581</v>
      </c>
      <c r="E1523" s="16">
        <v>59.0</v>
      </c>
    </row>
    <row r="1524">
      <c r="A1524" s="8" t="s">
        <v>767</v>
      </c>
      <c r="B1524" s="8" t="s">
        <v>98</v>
      </c>
      <c r="C1524" s="8" t="s">
        <v>16</v>
      </c>
      <c r="D1524" s="18" t="s">
        <v>2183</v>
      </c>
      <c r="E1524" s="16">
        <v>63.0</v>
      </c>
    </row>
    <row r="1525">
      <c r="A1525" s="8" t="s">
        <v>767</v>
      </c>
      <c r="B1525" s="8" t="s">
        <v>2959</v>
      </c>
      <c r="C1525" s="8" t="s">
        <v>70</v>
      </c>
      <c r="D1525" s="18" t="s">
        <v>2621</v>
      </c>
      <c r="E1525" s="16">
        <v>83.0</v>
      </c>
    </row>
    <row r="1526">
      <c r="A1526" s="8" t="s">
        <v>767</v>
      </c>
      <c r="B1526" s="8" t="s">
        <v>129</v>
      </c>
      <c r="C1526" s="8" t="s">
        <v>93</v>
      </c>
      <c r="D1526" s="18" t="s">
        <v>2183</v>
      </c>
      <c r="E1526" s="16">
        <v>68.0</v>
      </c>
    </row>
    <row r="1527">
      <c r="A1527" s="8" t="s">
        <v>767</v>
      </c>
      <c r="B1527" s="8" t="s">
        <v>381</v>
      </c>
      <c r="C1527" s="8" t="s">
        <v>75</v>
      </c>
      <c r="D1527" s="18" t="s">
        <v>2620</v>
      </c>
      <c r="E1527" s="16">
        <v>60.0</v>
      </c>
    </row>
    <row r="1528">
      <c r="A1528" s="8" t="s">
        <v>767</v>
      </c>
      <c r="B1528" s="8" t="s">
        <v>768</v>
      </c>
      <c r="C1528" s="8" t="s">
        <v>70</v>
      </c>
      <c r="D1528" s="18" t="s">
        <v>2556</v>
      </c>
      <c r="E1528" s="16">
        <v>81.0</v>
      </c>
    </row>
    <row r="1529">
      <c r="A1529" s="8" t="s">
        <v>767</v>
      </c>
      <c r="B1529" s="8" t="s">
        <v>194</v>
      </c>
      <c r="C1529" s="8" t="s">
        <v>12</v>
      </c>
      <c r="D1529" s="18" t="s">
        <v>2615</v>
      </c>
      <c r="E1529" s="16">
        <v>72.0</v>
      </c>
    </row>
    <row r="1530">
      <c r="A1530" s="8" t="s">
        <v>769</v>
      </c>
      <c r="B1530" s="8" t="s">
        <v>121</v>
      </c>
      <c r="C1530" s="8" t="s">
        <v>24</v>
      </c>
      <c r="D1530" s="18" t="s">
        <v>2592</v>
      </c>
      <c r="E1530" s="16">
        <v>72.0</v>
      </c>
    </row>
    <row r="1531">
      <c r="A1531" s="8" t="s">
        <v>769</v>
      </c>
      <c r="B1531" s="8" t="s">
        <v>45</v>
      </c>
      <c r="C1531" s="8" t="s">
        <v>12</v>
      </c>
      <c r="D1531" s="18" t="s">
        <v>2584</v>
      </c>
      <c r="E1531" s="16">
        <v>77.0</v>
      </c>
    </row>
    <row r="1532">
      <c r="A1532" s="8" t="s">
        <v>3779</v>
      </c>
      <c r="B1532" s="8" t="s">
        <v>337</v>
      </c>
      <c r="C1532" s="8" t="s">
        <v>132</v>
      </c>
      <c r="D1532" s="18" t="s">
        <v>2620</v>
      </c>
      <c r="E1532" s="16">
        <v>59.0</v>
      </c>
    </row>
    <row r="1533">
      <c r="A1533" s="8" t="s">
        <v>1268</v>
      </c>
      <c r="B1533" s="8" t="s">
        <v>881</v>
      </c>
      <c r="C1533" s="8" t="s">
        <v>215</v>
      </c>
      <c r="D1533" s="18" t="s">
        <v>2615</v>
      </c>
      <c r="E1533" s="16">
        <v>69.0</v>
      </c>
    </row>
    <row r="1534">
      <c r="A1534" s="8" t="s">
        <v>1268</v>
      </c>
      <c r="B1534" s="8" t="s">
        <v>67</v>
      </c>
      <c r="C1534" s="8" t="s">
        <v>16</v>
      </c>
      <c r="D1534" s="18" t="s">
        <v>2566</v>
      </c>
      <c r="E1534" s="16">
        <v>62.0</v>
      </c>
    </row>
    <row r="1535">
      <c r="A1535" s="8" t="s">
        <v>1036</v>
      </c>
      <c r="B1535" s="8" t="s">
        <v>1918</v>
      </c>
      <c r="C1535" s="8" t="s">
        <v>192</v>
      </c>
      <c r="D1535" s="18" t="s">
        <v>2598</v>
      </c>
      <c r="E1535" s="16">
        <v>77.0</v>
      </c>
    </row>
    <row r="1536">
      <c r="A1536" s="8" t="s">
        <v>989</v>
      </c>
      <c r="B1536" s="8" t="s">
        <v>990</v>
      </c>
      <c r="C1536" s="8" t="s">
        <v>192</v>
      </c>
      <c r="D1536" s="18" t="s">
        <v>2598</v>
      </c>
      <c r="E1536" s="16">
        <v>62.0</v>
      </c>
    </row>
    <row r="1537">
      <c r="A1537" s="8" t="s">
        <v>220</v>
      </c>
      <c r="B1537" s="8" t="s">
        <v>304</v>
      </c>
      <c r="C1537" s="8" t="s">
        <v>186</v>
      </c>
      <c r="D1537" s="18" t="s">
        <v>2620</v>
      </c>
      <c r="E1537" s="16">
        <v>61.0</v>
      </c>
    </row>
    <row r="1538">
      <c r="A1538" s="8" t="s">
        <v>220</v>
      </c>
      <c r="B1538" s="18" t="s">
        <v>159</v>
      </c>
      <c r="C1538" s="8" t="s">
        <v>65</v>
      </c>
      <c r="D1538" s="18" t="s">
        <v>2589</v>
      </c>
      <c r="E1538" s="16">
        <v>67.0</v>
      </c>
    </row>
    <row r="1539">
      <c r="A1539" s="8" t="s">
        <v>220</v>
      </c>
      <c r="B1539" s="8" t="s">
        <v>2961</v>
      </c>
      <c r="C1539" s="8" t="s">
        <v>65</v>
      </c>
      <c r="D1539" s="18" t="s">
        <v>2558</v>
      </c>
      <c r="E1539" s="16">
        <v>89.0</v>
      </c>
    </row>
    <row r="1540">
      <c r="A1540" s="8" t="s">
        <v>220</v>
      </c>
      <c r="B1540" s="8" t="s">
        <v>214</v>
      </c>
      <c r="C1540" s="8" t="s">
        <v>24</v>
      </c>
      <c r="D1540" s="18" t="s">
        <v>2585</v>
      </c>
      <c r="E1540" s="16">
        <v>44.0</v>
      </c>
    </row>
    <row r="1541">
      <c r="A1541" s="8" t="s">
        <v>220</v>
      </c>
      <c r="B1541" s="8" t="s">
        <v>1173</v>
      </c>
      <c r="C1541" s="8" t="s">
        <v>80</v>
      </c>
      <c r="D1541" s="18" t="s">
        <v>2556</v>
      </c>
      <c r="E1541" s="16">
        <v>87.0</v>
      </c>
    </row>
    <row r="1542">
      <c r="A1542" s="8" t="s">
        <v>220</v>
      </c>
      <c r="B1542" s="8" t="s">
        <v>337</v>
      </c>
      <c r="C1542" s="8" t="s">
        <v>93</v>
      </c>
      <c r="D1542" s="18" t="s">
        <v>2562</v>
      </c>
      <c r="E1542" s="16">
        <v>67.0</v>
      </c>
    </row>
    <row r="1543">
      <c r="A1543" s="8" t="s">
        <v>220</v>
      </c>
      <c r="B1543" s="8" t="s">
        <v>759</v>
      </c>
      <c r="C1543" s="8" t="s">
        <v>93</v>
      </c>
      <c r="D1543" s="18" t="s">
        <v>2183</v>
      </c>
      <c r="E1543" s="16">
        <v>70.0</v>
      </c>
    </row>
    <row r="1544">
      <c r="A1544" s="8" t="s">
        <v>3374</v>
      </c>
      <c r="B1544" s="8" t="s">
        <v>3375</v>
      </c>
      <c r="C1544" s="8" t="s">
        <v>46</v>
      </c>
      <c r="D1544" s="18" t="s">
        <v>2575</v>
      </c>
      <c r="E1544" s="16">
        <v>59.0</v>
      </c>
    </row>
    <row r="1545">
      <c r="A1545" s="8" t="s">
        <v>3780</v>
      </c>
      <c r="B1545" s="8" t="s">
        <v>604</v>
      </c>
      <c r="C1545" s="8" t="s">
        <v>215</v>
      </c>
      <c r="D1545" s="18" t="s">
        <v>2577</v>
      </c>
      <c r="E1545" s="16">
        <v>62.0</v>
      </c>
    </row>
    <row r="1546">
      <c r="A1546" s="8" t="s">
        <v>404</v>
      </c>
      <c r="B1546" s="8" t="s">
        <v>405</v>
      </c>
      <c r="C1546" s="8" t="s">
        <v>149</v>
      </c>
      <c r="D1546" s="18" t="s">
        <v>2566</v>
      </c>
      <c r="E1546" s="16">
        <v>70.0</v>
      </c>
    </row>
    <row r="1547">
      <c r="A1547" s="8" t="s">
        <v>2963</v>
      </c>
      <c r="B1547" s="8" t="s">
        <v>2804</v>
      </c>
      <c r="C1547" s="8" t="s">
        <v>93</v>
      </c>
      <c r="D1547" s="18" t="s">
        <v>2552</v>
      </c>
      <c r="E1547" s="16">
        <v>80.0</v>
      </c>
    </row>
    <row r="1548">
      <c r="A1548" s="8" t="s">
        <v>406</v>
      </c>
      <c r="B1548" s="8" t="s">
        <v>407</v>
      </c>
      <c r="C1548" s="8" t="s">
        <v>16</v>
      </c>
      <c r="D1548" s="18" t="s">
        <v>2574</v>
      </c>
      <c r="E1548" s="16">
        <v>94.0</v>
      </c>
    </row>
    <row r="1549">
      <c r="A1549" s="8" t="s">
        <v>406</v>
      </c>
      <c r="B1549" s="8" t="s">
        <v>493</v>
      </c>
      <c r="C1549" s="8" t="s">
        <v>149</v>
      </c>
      <c r="D1549" s="18" t="s">
        <v>2562</v>
      </c>
      <c r="E1549" s="16">
        <v>82.0</v>
      </c>
    </row>
    <row r="1550">
      <c r="A1550" s="8" t="s">
        <v>1919</v>
      </c>
      <c r="B1550" s="8" t="s">
        <v>1920</v>
      </c>
      <c r="C1550" s="8" t="s">
        <v>215</v>
      </c>
      <c r="D1550" s="18" t="s">
        <v>2584</v>
      </c>
      <c r="E1550" s="16">
        <v>69.0</v>
      </c>
    </row>
    <row r="1551">
      <c r="A1551" s="8" t="s">
        <v>2964</v>
      </c>
      <c r="B1551" s="8" t="s">
        <v>2965</v>
      </c>
      <c r="C1551" s="8" t="s">
        <v>122</v>
      </c>
      <c r="D1551" s="18" t="s">
        <v>2554</v>
      </c>
      <c r="E1551" s="16">
        <v>82.0</v>
      </c>
    </row>
    <row r="1552">
      <c r="A1552" s="8" t="s">
        <v>3781</v>
      </c>
      <c r="B1552" s="8" t="s">
        <v>2066</v>
      </c>
      <c r="C1552" s="8" t="s">
        <v>65</v>
      </c>
      <c r="D1552" s="18" t="s">
        <v>2595</v>
      </c>
      <c r="E1552" s="16">
        <v>73.0</v>
      </c>
    </row>
    <row r="1553">
      <c r="A1553" s="8" t="s">
        <v>2966</v>
      </c>
      <c r="B1553" s="8" t="s">
        <v>2967</v>
      </c>
      <c r="C1553" s="8" t="s">
        <v>53</v>
      </c>
      <c r="D1553" s="18" t="s">
        <v>2183</v>
      </c>
      <c r="E1553" s="16">
        <v>63.0</v>
      </c>
    </row>
    <row r="1554">
      <c r="A1554" s="8" t="s">
        <v>2968</v>
      </c>
      <c r="B1554" s="8" t="s">
        <v>713</v>
      </c>
      <c r="C1554" s="8" t="s">
        <v>24</v>
      </c>
      <c r="D1554" s="18" t="s">
        <v>2589</v>
      </c>
      <c r="E1554" s="16">
        <v>74.0</v>
      </c>
    </row>
    <row r="1555">
      <c r="A1555" s="8" t="s">
        <v>3376</v>
      </c>
      <c r="B1555" s="8" t="s">
        <v>936</v>
      </c>
      <c r="C1555" s="8" t="s">
        <v>53</v>
      </c>
      <c r="D1555" s="18" t="s">
        <v>2600</v>
      </c>
      <c r="E1555" s="16">
        <v>82.0</v>
      </c>
    </row>
    <row r="1556">
      <c r="A1556" s="8" t="s">
        <v>991</v>
      </c>
      <c r="B1556" s="8" t="s">
        <v>992</v>
      </c>
      <c r="C1556" s="8" t="s">
        <v>261</v>
      </c>
      <c r="D1556" s="18" t="s">
        <v>2577</v>
      </c>
      <c r="E1556" s="16">
        <v>80.0</v>
      </c>
    </row>
    <row r="1557">
      <c r="A1557" s="8" t="s">
        <v>3782</v>
      </c>
      <c r="B1557" s="8" t="s">
        <v>1516</v>
      </c>
      <c r="C1557" s="8" t="s">
        <v>122</v>
      </c>
      <c r="D1557" s="18" t="s">
        <v>2566</v>
      </c>
      <c r="E1557" s="16">
        <v>64.0</v>
      </c>
    </row>
    <row r="1558">
      <c r="A1558" s="8" t="s">
        <v>2969</v>
      </c>
      <c r="B1558" s="8" t="s">
        <v>2970</v>
      </c>
      <c r="C1558" s="8" t="s">
        <v>93</v>
      </c>
      <c r="D1558" s="18" t="s">
        <v>2620</v>
      </c>
      <c r="E1558" s="16">
        <v>61.0</v>
      </c>
    </row>
    <row r="1559">
      <c r="A1559" s="8" t="s">
        <v>1922</v>
      </c>
      <c r="B1559" s="8" t="s">
        <v>337</v>
      </c>
      <c r="C1559" s="8" t="s">
        <v>138</v>
      </c>
      <c r="D1559" s="18" t="s">
        <v>2589</v>
      </c>
      <c r="E1559" s="16">
        <v>75.0</v>
      </c>
    </row>
    <row r="1560">
      <c r="A1560" s="8" t="s">
        <v>300</v>
      </c>
      <c r="B1560" s="8" t="s">
        <v>301</v>
      </c>
      <c r="C1560" s="8" t="s">
        <v>93</v>
      </c>
      <c r="D1560" s="18" t="s">
        <v>2582</v>
      </c>
      <c r="E1560" s="16">
        <v>94.0</v>
      </c>
    </row>
    <row r="1561">
      <c r="A1561" s="8" t="s">
        <v>1270</v>
      </c>
      <c r="B1561" s="8" t="s">
        <v>196</v>
      </c>
      <c r="C1561" s="8" t="s">
        <v>186</v>
      </c>
      <c r="D1561" s="18" t="s">
        <v>2574</v>
      </c>
      <c r="E1561" s="16">
        <v>57.0</v>
      </c>
    </row>
    <row r="1562">
      <c r="A1562" s="8" t="s">
        <v>3783</v>
      </c>
      <c r="B1562" s="8" t="s">
        <v>2007</v>
      </c>
      <c r="C1562" s="8" t="s">
        <v>65</v>
      </c>
      <c r="D1562" s="18" t="s">
        <v>2593</v>
      </c>
      <c r="E1562" s="16">
        <v>63.0</v>
      </c>
    </row>
    <row r="1563">
      <c r="A1563" s="8" t="s">
        <v>3377</v>
      </c>
      <c r="B1563" s="8" t="s">
        <v>1604</v>
      </c>
      <c r="C1563" s="8" t="s">
        <v>38</v>
      </c>
      <c r="D1563" s="18" t="s">
        <v>2584</v>
      </c>
      <c r="E1563" s="16">
        <v>81.0</v>
      </c>
    </row>
    <row r="1564">
      <c r="A1564" s="8" t="s">
        <v>993</v>
      </c>
      <c r="B1564" s="8" t="s">
        <v>55</v>
      </c>
      <c r="C1564" s="8" t="s">
        <v>75</v>
      </c>
      <c r="D1564" s="18" t="s">
        <v>2574</v>
      </c>
      <c r="E1564" s="16">
        <v>83.0</v>
      </c>
    </row>
    <row r="1565">
      <c r="A1565" s="8" t="s">
        <v>3378</v>
      </c>
      <c r="B1565" s="8" t="s">
        <v>263</v>
      </c>
      <c r="C1565" s="8" t="s">
        <v>65</v>
      </c>
      <c r="D1565" s="18" t="s">
        <v>2620</v>
      </c>
      <c r="E1565" s="16">
        <v>70.0</v>
      </c>
    </row>
    <row r="1566">
      <c r="A1566" s="8" t="s">
        <v>3378</v>
      </c>
      <c r="B1566" s="8" t="s">
        <v>119</v>
      </c>
      <c r="C1566" s="8" t="s">
        <v>65</v>
      </c>
      <c r="D1566" s="18" t="s">
        <v>2574</v>
      </c>
      <c r="E1566" s="16">
        <v>68.0</v>
      </c>
    </row>
    <row r="1567">
      <c r="A1567" s="8" t="s">
        <v>3379</v>
      </c>
      <c r="B1567" s="8" t="s">
        <v>231</v>
      </c>
      <c r="C1567" s="8" t="s">
        <v>12</v>
      </c>
      <c r="D1567" s="18" t="s">
        <v>2562</v>
      </c>
      <c r="E1567" s="16">
        <v>81.0</v>
      </c>
    </row>
    <row r="1568">
      <c r="A1568" s="8" t="s">
        <v>3784</v>
      </c>
      <c r="B1568" s="8" t="s">
        <v>20</v>
      </c>
      <c r="C1568" s="8" t="s">
        <v>141</v>
      </c>
      <c r="D1568" s="18" t="s">
        <v>2183</v>
      </c>
      <c r="E1568" s="16">
        <v>66.0</v>
      </c>
    </row>
    <row r="1569">
      <c r="A1569" s="8" t="s">
        <v>169</v>
      </c>
      <c r="B1569" s="8" t="s">
        <v>170</v>
      </c>
      <c r="C1569" s="8" t="s">
        <v>149</v>
      </c>
      <c r="D1569" s="18" t="s">
        <v>2582</v>
      </c>
      <c r="E1569" s="16">
        <v>69.0</v>
      </c>
    </row>
    <row r="1570">
      <c r="A1570" s="8" t="s">
        <v>3785</v>
      </c>
      <c r="B1570" s="8" t="s">
        <v>183</v>
      </c>
      <c r="C1570" s="8" t="s">
        <v>12</v>
      </c>
      <c r="D1570" s="18" t="s">
        <v>2610</v>
      </c>
      <c r="E1570" s="16">
        <v>80.0</v>
      </c>
    </row>
    <row r="1571">
      <c r="A1571" s="8" t="s">
        <v>1271</v>
      </c>
      <c r="B1571" s="8" t="s">
        <v>1272</v>
      </c>
      <c r="C1571" s="8" t="s">
        <v>138</v>
      </c>
      <c r="D1571" s="18" t="s">
        <v>2183</v>
      </c>
      <c r="E1571" s="16">
        <v>60.0</v>
      </c>
    </row>
    <row r="1572">
      <c r="A1572" s="8" t="s">
        <v>588</v>
      </c>
      <c r="B1572" s="8" t="s">
        <v>471</v>
      </c>
      <c r="C1572" s="8" t="s">
        <v>59</v>
      </c>
      <c r="D1572" s="18" t="s">
        <v>2614</v>
      </c>
      <c r="E1572" s="16">
        <v>61.0</v>
      </c>
    </row>
    <row r="1573">
      <c r="A1573" s="8" t="s">
        <v>3381</v>
      </c>
      <c r="B1573" s="8" t="s">
        <v>1598</v>
      </c>
      <c r="C1573" s="8" t="s">
        <v>59</v>
      </c>
      <c r="D1573" s="18" t="s">
        <v>2575</v>
      </c>
      <c r="E1573" s="16">
        <v>61.0</v>
      </c>
    </row>
    <row r="1574">
      <c r="A1574" s="8" t="s">
        <v>1273</v>
      </c>
      <c r="B1574" s="8" t="s">
        <v>1274</v>
      </c>
      <c r="C1574" s="8" t="s">
        <v>132</v>
      </c>
      <c r="D1574" s="18" t="s">
        <v>2603</v>
      </c>
      <c r="E1574" s="16">
        <v>68.0</v>
      </c>
    </row>
    <row r="1575">
      <c r="A1575" s="8" t="s">
        <v>2973</v>
      </c>
      <c r="B1575" s="8" t="s">
        <v>2974</v>
      </c>
      <c r="C1575" s="8" t="s">
        <v>215</v>
      </c>
      <c r="D1575" s="18" t="s">
        <v>2566</v>
      </c>
      <c r="E1575" s="16">
        <v>65.0</v>
      </c>
    </row>
    <row r="1576">
      <c r="A1576" s="18" t="s">
        <v>770</v>
      </c>
      <c r="B1576" s="8" t="s">
        <v>771</v>
      </c>
      <c r="C1576" s="8" t="s">
        <v>38</v>
      </c>
      <c r="D1576" s="18" t="s">
        <v>2605</v>
      </c>
      <c r="E1576" s="16">
        <v>80.0</v>
      </c>
    </row>
    <row r="1577">
      <c r="A1577" s="8" t="s">
        <v>3786</v>
      </c>
      <c r="B1577" s="8" t="s">
        <v>196</v>
      </c>
      <c r="C1577" s="8" t="s">
        <v>215</v>
      </c>
      <c r="D1577" s="18" t="s">
        <v>2584</v>
      </c>
      <c r="E1577" s="16">
        <v>78.0</v>
      </c>
    </row>
    <row r="1578">
      <c r="A1578" s="8" t="s">
        <v>1557</v>
      </c>
      <c r="B1578" s="8" t="s">
        <v>226</v>
      </c>
      <c r="C1578" s="8" t="s">
        <v>53</v>
      </c>
      <c r="D1578" s="18" t="s">
        <v>2615</v>
      </c>
      <c r="E1578" s="16">
        <v>72.0</v>
      </c>
    </row>
    <row r="1579">
      <c r="A1579" s="8" t="s">
        <v>996</v>
      </c>
      <c r="B1579" s="8" t="s">
        <v>329</v>
      </c>
      <c r="C1579" s="8" t="s">
        <v>46</v>
      </c>
      <c r="D1579" s="18" t="s">
        <v>2610</v>
      </c>
      <c r="E1579" s="16">
        <v>74.0</v>
      </c>
    </row>
    <row r="1580">
      <c r="A1580" s="8" t="s">
        <v>997</v>
      </c>
      <c r="B1580" s="8" t="s">
        <v>998</v>
      </c>
      <c r="C1580" s="8" t="s">
        <v>186</v>
      </c>
      <c r="D1580" s="18" t="s">
        <v>2593</v>
      </c>
      <c r="E1580" s="16">
        <v>79.0</v>
      </c>
    </row>
    <row r="1581">
      <c r="A1581" s="8" t="s">
        <v>3382</v>
      </c>
      <c r="B1581" s="8" t="s">
        <v>137</v>
      </c>
      <c r="C1581" s="8" t="s">
        <v>46</v>
      </c>
      <c r="D1581" s="18" t="s">
        <v>2574</v>
      </c>
      <c r="E1581" s="16">
        <v>78.0</v>
      </c>
    </row>
    <row r="1582">
      <c r="A1582" s="8" t="s">
        <v>772</v>
      </c>
      <c r="B1582" s="8" t="s">
        <v>100</v>
      </c>
      <c r="C1582" s="8" t="s">
        <v>53</v>
      </c>
      <c r="D1582" s="18" t="s">
        <v>2589</v>
      </c>
      <c r="E1582" s="16">
        <v>71.0</v>
      </c>
    </row>
    <row r="1583">
      <c r="A1583" s="8" t="s">
        <v>3383</v>
      </c>
      <c r="B1583" s="8" t="s">
        <v>443</v>
      </c>
      <c r="C1583" s="8" t="s">
        <v>138</v>
      </c>
      <c r="D1583" s="18" t="s">
        <v>2567</v>
      </c>
      <c r="E1583" s="16">
        <v>56.0</v>
      </c>
    </row>
    <row r="1584">
      <c r="A1584" s="8" t="s">
        <v>3384</v>
      </c>
      <c r="B1584" s="8" t="s">
        <v>524</v>
      </c>
      <c r="C1584" s="8" t="s">
        <v>215</v>
      </c>
      <c r="D1584" s="18" t="s">
        <v>2614</v>
      </c>
      <c r="E1584" s="16">
        <v>54.0</v>
      </c>
    </row>
    <row r="1585">
      <c r="A1585" s="8" t="s">
        <v>408</v>
      </c>
      <c r="B1585" s="8" t="s">
        <v>409</v>
      </c>
      <c r="C1585" s="8" t="s">
        <v>46</v>
      </c>
      <c r="D1585" s="18" t="s">
        <v>2620</v>
      </c>
      <c r="E1585" s="16">
        <v>82.0</v>
      </c>
    </row>
    <row r="1586">
      <c r="A1586" s="8" t="s">
        <v>1928</v>
      </c>
      <c r="B1586" s="8" t="s">
        <v>1929</v>
      </c>
      <c r="C1586" s="8" t="s">
        <v>53</v>
      </c>
      <c r="D1586" s="18" t="s">
        <v>2566</v>
      </c>
      <c r="E1586" s="16">
        <v>58.0</v>
      </c>
    </row>
    <row r="1587">
      <c r="A1587" s="8" t="s">
        <v>302</v>
      </c>
      <c r="B1587" s="8" t="s">
        <v>137</v>
      </c>
      <c r="C1587" s="8" t="s">
        <v>149</v>
      </c>
      <c r="D1587" s="18" t="s">
        <v>2554</v>
      </c>
      <c r="E1587" s="16">
        <v>74.0</v>
      </c>
    </row>
    <row r="1588">
      <c r="A1588" s="8" t="s">
        <v>3385</v>
      </c>
      <c r="B1588" s="8" t="s">
        <v>3386</v>
      </c>
      <c r="C1588" s="8" t="s">
        <v>93</v>
      </c>
      <c r="D1588" s="18" t="s">
        <v>2614</v>
      </c>
      <c r="E1588" s="16">
        <v>66.0</v>
      </c>
    </row>
    <row r="1589">
      <c r="A1589" s="8" t="s">
        <v>410</v>
      </c>
      <c r="B1589" s="8" t="s">
        <v>411</v>
      </c>
      <c r="C1589" s="8" t="s">
        <v>261</v>
      </c>
      <c r="D1589" s="18" t="s">
        <v>2556</v>
      </c>
      <c r="E1589" s="16">
        <v>79.0</v>
      </c>
    </row>
    <row r="1590">
      <c r="A1590" s="18" t="s">
        <v>999</v>
      </c>
      <c r="B1590" s="8" t="s">
        <v>231</v>
      </c>
      <c r="C1590" s="8" t="s">
        <v>24</v>
      </c>
      <c r="D1590" s="18" t="s">
        <v>2587</v>
      </c>
      <c r="E1590" s="16">
        <v>69.0</v>
      </c>
    </row>
    <row r="1591">
      <c r="A1591" s="8" t="s">
        <v>2393</v>
      </c>
      <c r="B1591" s="8" t="s">
        <v>1204</v>
      </c>
      <c r="C1591" s="8" t="s">
        <v>70</v>
      </c>
      <c r="D1591" s="18" t="s">
        <v>2572</v>
      </c>
      <c r="E1591" s="16">
        <v>79.0</v>
      </c>
    </row>
    <row r="1592">
      <c r="A1592" s="8" t="s">
        <v>123</v>
      </c>
      <c r="B1592" s="8" t="s">
        <v>124</v>
      </c>
      <c r="C1592" s="8" t="s">
        <v>24</v>
      </c>
      <c r="D1592" s="18" t="s">
        <v>2574</v>
      </c>
      <c r="E1592" s="16">
        <v>93.0</v>
      </c>
    </row>
    <row r="1593">
      <c r="A1593" s="8" t="s">
        <v>2976</v>
      </c>
      <c r="B1593" s="8" t="s">
        <v>194</v>
      </c>
      <c r="C1593" s="8" t="s">
        <v>132</v>
      </c>
      <c r="D1593" s="18" t="s">
        <v>2584</v>
      </c>
      <c r="E1593" s="16">
        <v>74.0</v>
      </c>
    </row>
    <row r="1594">
      <c r="A1594" s="8" t="s">
        <v>1275</v>
      </c>
      <c r="B1594" s="8" t="s">
        <v>506</v>
      </c>
      <c r="C1594" s="8" t="s">
        <v>215</v>
      </c>
      <c r="D1594" s="18" t="s">
        <v>2595</v>
      </c>
      <c r="E1594" s="16">
        <v>64.0</v>
      </c>
    </row>
    <row r="1595">
      <c r="A1595" s="8" t="s">
        <v>2977</v>
      </c>
      <c r="B1595" s="8" t="s">
        <v>157</v>
      </c>
      <c r="C1595" s="8" t="s">
        <v>59</v>
      </c>
      <c r="D1595" s="18" t="s">
        <v>2621</v>
      </c>
      <c r="E1595" s="16">
        <v>87.0</v>
      </c>
    </row>
    <row r="1596">
      <c r="A1596" s="8" t="s">
        <v>1561</v>
      </c>
      <c r="B1596" s="8" t="s">
        <v>317</v>
      </c>
      <c r="C1596" s="8" t="s">
        <v>53</v>
      </c>
      <c r="D1596" s="18" t="s">
        <v>2615</v>
      </c>
      <c r="E1596" s="16">
        <v>67.0</v>
      </c>
    </row>
    <row r="1597">
      <c r="A1597" s="8" t="s">
        <v>3787</v>
      </c>
      <c r="B1597" s="8" t="s">
        <v>241</v>
      </c>
      <c r="C1597" s="8" t="s">
        <v>16</v>
      </c>
      <c r="D1597" s="18" t="s">
        <v>2554</v>
      </c>
      <c r="E1597" s="16">
        <v>66.0</v>
      </c>
    </row>
    <row r="1598">
      <c r="A1598" s="8" t="s">
        <v>3788</v>
      </c>
      <c r="B1598" s="8" t="s">
        <v>2151</v>
      </c>
      <c r="C1598" s="8" t="s">
        <v>122</v>
      </c>
      <c r="D1598" s="18" t="s">
        <v>2556</v>
      </c>
      <c r="E1598" s="16">
        <v>60.0</v>
      </c>
    </row>
    <row r="1599">
      <c r="A1599" s="8" t="s">
        <v>3788</v>
      </c>
      <c r="B1599" s="8" t="s">
        <v>3789</v>
      </c>
      <c r="C1599" s="8" t="s">
        <v>186</v>
      </c>
      <c r="D1599" s="18" t="s">
        <v>2575</v>
      </c>
      <c r="E1599" s="16">
        <v>65.0</v>
      </c>
    </row>
    <row r="1600">
      <c r="A1600" s="8" t="s">
        <v>412</v>
      </c>
      <c r="B1600" s="8" t="s">
        <v>413</v>
      </c>
      <c r="C1600" s="8" t="s">
        <v>132</v>
      </c>
      <c r="D1600" s="18" t="s">
        <v>2556</v>
      </c>
      <c r="E1600" s="16">
        <v>89.0</v>
      </c>
    </row>
    <row r="1601">
      <c r="A1601" s="18" t="s">
        <v>1001</v>
      </c>
      <c r="B1601" s="8" t="s">
        <v>260</v>
      </c>
      <c r="C1601" s="8" t="s">
        <v>24</v>
      </c>
      <c r="D1601" s="18" t="s">
        <v>2183</v>
      </c>
      <c r="E1601" s="16">
        <v>68.0</v>
      </c>
    </row>
    <row r="1602">
      <c r="A1602" s="8" t="s">
        <v>2978</v>
      </c>
      <c r="B1602" s="8" t="s">
        <v>243</v>
      </c>
      <c r="C1602" s="8" t="s">
        <v>16</v>
      </c>
      <c r="D1602" s="18" t="s">
        <v>2562</v>
      </c>
      <c r="E1602" s="16">
        <v>77.0</v>
      </c>
    </row>
    <row r="1603">
      <c r="A1603" s="8" t="s">
        <v>125</v>
      </c>
      <c r="B1603" s="8" t="s">
        <v>33</v>
      </c>
      <c r="C1603" s="8" t="s">
        <v>24</v>
      </c>
      <c r="D1603" s="18" t="s">
        <v>2567</v>
      </c>
      <c r="E1603" s="16">
        <v>43.0</v>
      </c>
    </row>
    <row r="1604">
      <c r="A1604" s="8" t="s">
        <v>3388</v>
      </c>
      <c r="B1604" s="8" t="s">
        <v>88</v>
      </c>
      <c r="C1604" s="8" t="s">
        <v>138</v>
      </c>
      <c r="D1604" s="18" t="s">
        <v>2582</v>
      </c>
      <c r="E1604" s="16">
        <v>75.0</v>
      </c>
    </row>
    <row r="1605">
      <c r="A1605" s="8" t="s">
        <v>3790</v>
      </c>
      <c r="B1605" s="8" t="s">
        <v>3791</v>
      </c>
      <c r="C1605" s="8" t="s">
        <v>215</v>
      </c>
      <c r="D1605" s="18" t="s">
        <v>2562</v>
      </c>
      <c r="E1605" s="16">
        <v>63.0</v>
      </c>
    </row>
    <row r="1606">
      <c r="A1606" s="8" t="s">
        <v>2979</v>
      </c>
      <c r="B1606" s="8" t="s">
        <v>2980</v>
      </c>
      <c r="C1606" s="8" t="s">
        <v>46</v>
      </c>
      <c r="D1606" s="18" t="s">
        <v>2581</v>
      </c>
      <c r="E1606" s="16">
        <v>65.0</v>
      </c>
    </row>
    <row r="1607">
      <c r="A1607" s="8" t="s">
        <v>2981</v>
      </c>
      <c r="B1607" s="8" t="s">
        <v>2982</v>
      </c>
      <c r="C1607" s="8" t="s">
        <v>215</v>
      </c>
      <c r="D1607" s="18" t="s">
        <v>2572</v>
      </c>
      <c r="E1607" s="16">
        <v>65.0</v>
      </c>
    </row>
    <row r="1608">
      <c r="A1608" s="8" t="s">
        <v>2983</v>
      </c>
      <c r="B1608" s="8" t="s">
        <v>1118</v>
      </c>
      <c r="C1608" s="8" t="s">
        <v>16</v>
      </c>
      <c r="D1608" s="18" t="s">
        <v>2589</v>
      </c>
      <c r="E1608" s="16">
        <v>89.0</v>
      </c>
    </row>
    <row r="1609">
      <c r="A1609" s="8" t="s">
        <v>2983</v>
      </c>
      <c r="B1609" s="8" t="s">
        <v>317</v>
      </c>
      <c r="C1609" s="8" t="s">
        <v>186</v>
      </c>
      <c r="D1609" s="18" t="s">
        <v>2621</v>
      </c>
      <c r="E1609" s="16">
        <v>65.0</v>
      </c>
    </row>
    <row r="1610">
      <c r="A1610" s="8" t="s">
        <v>2983</v>
      </c>
      <c r="B1610" s="8" t="s">
        <v>322</v>
      </c>
      <c r="C1610" s="8" t="s">
        <v>65</v>
      </c>
      <c r="D1610" s="18" t="s">
        <v>2556</v>
      </c>
      <c r="E1610" s="16">
        <v>60.0</v>
      </c>
    </row>
    <row r="1611">
      <c r="A1611" s="8" t="s">
        <v>773</v>
      </c>
      <c r="B1611" s="8" t="s">
        <v>119</v>
      </c>
      <c r="C1611" s="8" t="s">
        <v>46</v>
      </c>
      <c r="D1611" s="18" t="s">
        <v>2592</v>
      </c>
      <c r="E1611" s="16">
        <v>71.0</v>
      </c>
    </row>
    <row r="1612">
      <c r="A1612" s="8" t="s">
        <v>3389</v>
      </c>
      <c r="B1612" s="8" t="s">
        <v>275</v>
      </c>
      <c r="C1612" s="8" t="s">
        <v>24</v>
      </c>
      <c r="D1612" s="18" t="s">
        <v>2564</v>
      </c>
      <c r="E1612" s="16">
        <v>63.0</v>
      </c>
    </row>
    <row r="1613">
      <c r="A1613" s="8" t="s">
        <v>589</v>
      </c>
      <c r="B1613" s="8" t="s">
        <v>33</v>
      </c>
      <c r="C1613" s="8" t="s">
        <v>141</v>
      </c>
      <c r="D1613" s="18" t="s">
        <v>2620</v>
      </c>
      <c r="E1613" s="16">
        <v>71.0</v>
      </c>
    </row>
    <row r="1614">
      <c r="A1614" s="8" t="s">
        <v>1276</v>
      </c>
      <c r="B1614" s="8" t="s">
        <v>157</v>
      </c>
      <c r="C1614" s="8" t="s">
        <v>24</v>
      </c>
      <c r="D1614" s="18" t="s">
        <v>2183</v>
      </c>
      <c r="E1614" s="16">
        <v>65.0</v>
      </c>
    </row>
    <row r="1615">
      <c r="A1615" s="8" t="s">
        <v>1276</v>
      </c>
      <c r="B1615" s="8" t="s">
        <v>1082</v>
      </c>
      <c r="C1615" s="8" t="s">
        <v>65</v>
      </c>
      <c r="D1615" s="18" t="s">
        <v>2581</v>
      </c>
      <c r="E1615" s="16">
        <v>77.0</v>
      </c>
    </row>
    <row r="1616">
      <c r="A1616" s="8" t="s">
        <v>1276</v>
      </c>
      <c r="B1616" s="8" t="s">
        <v>394</v>
      </c>
      <c r="C1616" s="8" t="s">
        <v>192</v>
      </c>
      <c r="D1616" s="18" t="s">
        <v>2183</v>
      </c>
      <c r="E1616" s="16">
        <v>81.0</v>
      </c>
    </row>
    <row r="1617">
      <c r="A1617" s="8" t="s">
        <v>2985</v>
      </c>
      <c r="B1617" s="8" t="s">
        <v>362</v>
      </c>
      <c r="C1617" s="8" t="s">
        <v>12</v>
      </c>
      <c r="D1617" s="18" t="s">
        <v>2564</v>
      </c>
      <c r="E1617" s="16">
        <v>75.0</v>
      </c>
    </row>
    <row r="1618">
      <c r="A1618" s="8" t="s">
        <v>1564</v>
      </c>
      <c r="B1618" s="8" t="s">
        <v>1046</v>
      </c>
      <c r="C1618" s="8" t="s">
        <v>192</v>
      </c>
      <c r="D1618" s="18" t="s">
        <v>2620</v>
      </c>
      <c r="E1618" s="16">
        <v>68.0</v>
      </c>
    </row>
    <row r="1619">
      <c r="A1619" s="8" t="s">
        <v>2986</v>
      </c>
      <c r="B1619" s="8" t="s">
        <v>2987</v>
      </c>
      <c r="C1619" s="8" t="s">
        <v>149</v>
      </c>
      <c r="D1619" s="18" t="s">
        <v>2584</v>
      </c>
      <c r="E1619" s="16">
        <v>77.0</v>
      </c>
    </row>
    <row r="1620">
      <c r="A1620" s="8" t="s">
        <v>1004</v>
      </c>
      <c r="B1620" s="8" t="s">
        <v>506</v>
      </c>
      <c r="C1620" s="8" t="s">
        <v>122</v>
      </c>
      <c r="D1620" s="18" t="s">
        <v>2567</v>
      </c>
      <c r="E1620" s="16">
        <v>68.0</v>
      </c>
    </row>
    <row r="1621">
      <c r="A1621" s="8" t="s">
        <v>774</v>
      </c>
      <c r="B1621" s="8" t="s">
        <v>464</v>
      </c>
      <c r="C1621" s="8" t="s">
        <v>149</v>
      </c>
      <c r="D1621" s="18" t="s">
        <v>2615</v>
      </c>
      <c r="E1621" s="16">
        <v>71.0</v>
      </c>
    </row>
    <row r="1622">
      <c r="A1622" s="8" t="s">
        <v>775</v>
      </c>
      <c r="B1622" s="8" t="s">
        <v>776</v>
      </c>
      <c r="C1622" s="8" t="s">
        <v>65</v>
      </c>
      <c r="D1622" s="18" t="s">
        <v>2552</v>
      </c>
      <c r="E1622" s="16">
        <v>70.0</v>
      </c>
    </row>
    <row r="1623">
      <c r="A1623" s="8" t="s">
        <v>775</v>
      </c>
      <c r="B1623" s="8" t="s">
        <v>129</v>
      </c>
      <c r="C1623" s="8" t="s">
        <v>93</v>
      </c>
      <c r="D1623" s="18" t="s">
        <v>2615</v>
      </c>
      <c r="E1623" s="16">
        <v>61.0</v>
      </c>
    </row>
    <row r="1624">
      <c r="A1624" s="8" t="s">
        <v>1565</v>
      </c>
      <c r="B1624" s="8" t="s">
        <v>804</v>
      </c>
      <c r="C1624" s="8" t="s">
        <v>65</v>
      </c>
      <c r="D1624" s="18" t="s">
        <v>2585</v>
      </c>
      <c r="E1624" s="16">
        <v>70.0</v>
      </c>
    </row>
    <row r="1625">
      <c r="A1625" s="8" t="s">
        <v>628</v>
      </c>
      <c r="B1625" s="8" t="s">
        <v>2239</v>
      </c>
      <c r="C1625" s="8" t="s">
        <v>24</v>
      </c>
      <c r="D1625" s="18" t="s">
        <v>2582</v>
      </c>
      <c r="E1625" s="16">
        <v>73.0</v>
      </c>
    </row>
    <row r="1626">
      <c r="A1626" s="8" t="s">
        <v>221</v>
      </c>
      <c r="B1626" s="8" t="s">
        <v>222</v>
      </c>
      <c r="C1626" s="8" t="s">
        <v>24</v>
      </c>
      <c r="D1626" s="18" t="s">
        <v>2582</v>
      </c>
      <c r="E1626" s="16">
        <v>70.0</v>
      </c>
    </row>
    <row r="1627">
      <c r="A1627" s="8" t="s">
        <v>3391</v>
      </c>
      <c r="B1627" s="8" t="s">
        <v>746</v>
      </c>
      <c r="C1627" s="8" t="s">
        <v>53</v>
      </c>
      <c r="D1627" s="18" t="s">
        <v>2581</v>
      </c>
      <c r="E1627" s="16">
        <v>70.0</v>
      </c>
    </row>
    <row r="1628">
      <c r="A1628" s="8" t="s">
        <v>3392</v>
      </c>
      <c r="B1628" s="8" t="s">
        <v>263</v>
      </c>
      <c r="C1628" s="8" t="s">
        <v>65</v>
      </c>
      <c r="D1628" s="18" t="s">
        <v>2615</v>
      </c>
      <c r="E1628" s="16">
        <v>64.0</v>
      </c>
    </row>
    <row r="1629">
      <c r="A1629" s="8" t="s">
        <v>3792</v>
      </c>
      <c r="B1629" s="8" t="s">
        <v>948</v>
      </c>
      <c r="C1629" s="8" t="s">
        <v>70</v>
      </c>
      <c r="D1629" s="18" t="s">
        <v>2581</v>
      </c>
      <c r="E1629" s="16">
        <v>67.0</v>
      </c>
    </row>
    <row r="1630">
      <c r="A1630" s="8" t="s">
        <v>1277</v>
      </c>
      <c r="B1630" s="8" t="s">
        <v>1278</v>
      </c>
      <c r="C1630" s="8" t="s">
        <v>65</v>
      </c>
      <c r="D1630" s="18" t="s">
        <v>2560</v>
      </c>
      <c r="E1630" s="16">
        <v>65.0</v>
      </c>
    </row>
    <row r="1631">
      <c r="A1631" s="8" t="s">
        <v>3793</v>
      </c>
      <c r="B1631" s="8" t="s">
        <v>527</v>
      </c>
      <c r="C1631" s="8" t="s">
        <v>149</v>
      </c>
      <c r="D1631" s="18" t="s">
        <v>2585</v>
      </c>
      <c r="E1631" s="16">
        <v>71.0</v>
      </c>
    </row>
    <row r="1632">
      <c r="A1632" s="8" t="s">
        <v>1566</v>
      </c>
      <c r="B1632" s="8" t="s">
        <v>1567</v>
      </c>
      <c r="C1632" s="8" t="s">
        <v>132</v>
      </c>
      <c r="D1632" s="18" t="s">
        <v>2595</v>
      </c>
      <c r="E1632" s="16">
        <v>70.0</v>
      </c>
    </row>
    <row r="1633">
      <c r="A1633" s="8" t="s">
        <v>3394</v>
      </c>
      <c r="B1633" s="8" t="s">
        <v>329</v>
      </c>
      <c r="C1633" s="8" t="s">
        <v>70</v>
      </c>
      <c r="D1633" s="18" t="s">
        <v>2610</v>
      </c>
      <c r="E1633" s="16">
        <v>71.0</v>
      </c>
    </row>
    <row r="1634">
      <c r="A1634" s="8" t="s">
        <v>1279</v>
      </c>
      <c r="B1634" s="8" t="s">
        <v>2989</v>
      </c>
      <c r="C1634" s="8" t="s">
        <v>122</v>
      </c>
      <c r="D1634" s="18" t="s">
        <v>2610</v>
      </c>
      <c r="E1634" s="16">
        <v>73.0</v>
      </c>
    </row>
    <row r="1635">
      <c r="A1635" s="8" t="s">
        <v>2990</v>
      </c>
      <c r="B1635" s="8" t="s">
        <v>669</v>
      </c>
      <c r="C1635" s="8" t="s">
        <v>46</v>
      </c>
      <c r="D1635" s="18" t="s">
        <v>2556</v>
      </c>
      <c r="E1635" s="16">
        <v>87.0</v>
      </c>
    </row>
    <row r="1636">
      <c r="A1636" s="8" t="s">
        <v>777</v>
      </c>
      <c r="B1636" s="8" t="s">
        <v>183</v>
      </c>
      <c r="C1636" s="8" t="s">
        <v>215</v>
      </c>
      <c r="D1636" s="18" t="s">
        <v>2558</v>
      </c>
      <c r="E1636" s="16">
        <v>66.0</v>
      </c>
    </row>
    <row r="1637">
      <c r="A1637" s="8" t="s">
        <v>2213</v>
      </c>
      <c r="B1637" s="8" t="s">
        <v>2991</v>
      </c>
      <c r="C1637" s="8" t="s">
        <v>59</v>
      </c>
      <c r="D1637" s="18" t="s">
        <v>2558</v>
      </c>
      <c r="E1637" s="16">
        <v>86.0</v>
      </c>
    </row>
    <row r="1638">
      <c r="A1638" s="8" t="s">
        <v>3794</v>
      </c>
      <c r="B1638" s="8" t="s">
        <v>381</v>
      </c>
      <c r="C1638" s="8" t="s">
        <v>24</v>
      </c>
      <c r="D1638" s="18" t="s">
        <v>2558</v>
      </c>
      <c r="E1638" s="16">
        <v>68.0</v>
      </c>
    </row>
    <row r="1639">
      <c r="A1639" s="8" t="s">
        <v>1282</v>
      </c>
      <c r="B1639" s="8" t="s">
        <v>628</v>
      </c>
      <c r="C1639" s="8" t="s">
        <v>70</v>
      </c>
      <c r="D1639" s="18" t="s">
        <v>2566</v>
      </c>
      <c r="E1639" s="16">
        <v>72.0</v>
      </c>
    </row>
    <row r="1640">
      <c r="A1640" s="8" t="s">
        <v>1569</v>
      </c>
      <c r="B1640" s="8" t="s">
        <v>1570</v>
      </c>
      <c r="C1640" s="8" t="s">
        <v>65</v>
      </c>
      <c r="D1640" s="18" t="s">
        <v>2575</v>
      </c>
      <c r="E1640" s="16">
        <v>70.0</v>
      </c>
    </row>
    <row r="1641">
      <c r="A1641" s="8" t="s">
        <v>2992</v>
      </c>
      <c r="B1641" s="8" t="s">
        <v>1283</v>
      </c>
      <c r="C1641" s="8" t="s">
        <v>186</v>
      </c>
      <c r="D1641" s="18" t="s">
        <v>2572</v>
      </c>
      <c r="E1641" s="16">
        <v>66.0</v>
      </c>
    </row>
    <row r="1642">
      <c r="A1642" s="8" t="s">
        <v>2992</v>
      </c>
      <c r="B1642" s="8" t="s">
        <v>231</v>
      </c>
      <c r="C1642" s="8" t="s">
        <v>59</v>
      </c>
      <c r="D1642" s="18" t="s">
        <v>2558</v>
      </c>
      <c r="E1642" s="16">
        <v>81.0</v>
      </c>
    </row>
    <row r="1643">
      <c r="A1643" s="8" t="s">
        <v>2992</v>
      </c>
      <c r="B1643" s="8" t="s">
        <v>2993</v>
      </c>
      <c r="C1643" s="8" t="s">
        <v>70</v>
      </c>
      <c r="D1643" s="18" t="s">
        <v>2605</v>
      </c>
      <c r="E1643" s="16">
        <v>64.0</v>
      </c>
    </row>
    <row r="1644">
      <c r="A1644" s="8" t="s">
        <v>1284</v>
      </c>
      <c r="B1644" s="8" t="s">
        <v>1285</v>
      </c>
      <c r="C1644" s="8" t="s">
        <v>186</v>
      </c>
      <c r="D1644" s="18" t="s">
        <v>2572</v>
      </c>
      <c r="E1644" s="16">
        <v>76.0</v>
      </c>
    </row>
    <row r="1645">
      <c r="A1645" s="8" t="s">
        <v>303</v>
      </c>
      <c r="B1645" s="8" t="s">
        <v>183</v>
      </c>
      <c r="C1645" s="8" t="s">
        <v>141</v>
      </c>
      <c r="D1645" s="18" t="s">
        <v>2598</v>
      </c>
      <c r="E1645" s="16">
        <v>70.0</v>
      </c>
    </row>
    <row r="1646">
      <c r="A1646" s="8" t="s">
        <v>44</v>
      </c>
      <c r="B1646" s="8" t="s">
        <v>157</v>
      </c>
      <c r="C1646" s="8" t="s">
        <v>186</v>
      </c>
      <c r="D1646" s="18" t="s">
        <v>2562</v>
      </c>
      <c r="E1646" s="16">
        <v>61.0</v>
      </c>
    </row>
    <row r="1647">
      <c r="A1647" s="8" t="s">
        <v>44</v>
      </c>
      <c r="B1647" s="8" t="s">
        <v>304</v>
      </c>
      <c r="C1647" s="8" t="s">
        <v>122</v>
      </c>
      <c r="D1647" s="18" t="s">
        <v>2589</v>
      </c>
      <c r="E1647" s="16">
        <v>75.0</v>
      </c>
    </row>
    <row r="1648">
      <c r="A1648" s="8" t="s">
        <v>44</v>
      </c>
      <c r="B1648" s="8" t="s">
        <v>45</v>
      </c>
      <c r="C1648" s="8" t="s">
        <v>46</v>
      </c>
      <c r="D1648" s="18" t="s">
        <v>2564</v>
      </c>
      <c r="E1648" s="16">
        <v>87.0</v>
      </c>
    </row>
    <row r="1649">
      <c r="A1649" s="8" t="s">
        <v>44</v>
      </c>
      <c r="B1649" s="8" t="s">
        <v>247</v>
      </c>
      <c r="C1649" s="8" t="s">
        <v>93</v>
      </c>
      <c r="D1649" s="18" t="s">
        <v>2183</v>
      </c>
      <c r="E1649" s="16">
        <v>82.0</v>
      </c>
    </row>
    <row r="1650">
      <c r="A1650" s="8" t="s">
        <v>126</v>
      </c>
      <c r="B1650" s="8" t="s">
        <v>127</v>
      </c>
      <c r="C1650" s="8" t="s">
        <v>70</v>
      </c>
      <c r="D1650" s="18" t="s">
        <v>2552</v>
      </c>
      <c r="E1650" s="16">
        <v>91.0</v>
      </c>
    </row>
    <row r="1651">
      <c r="A1651" s="8" t="s">
        <v>126</v>
      </c>
      <c r="B1651" s="8" t="s">
        <v>119</v>
      </c>
      <c r="C1651" s="8" t="s">
        <v>93</v>
      </c>
      <c r="D1651" s="18" t="s">
        <v>2605</v>
      </c>
      <c r="E1651" s="16">
        <v>61.0</v>
      </c>
    </row>
    <row r="1652">
      <c r="A1652" s="8" t="s">
        <v>126</v>
      </c>
      <c r="B1652" s="8" t="s">
        <v>194</v>
      </c>
      <c r="C1652" s="8" t="s">
        <v>93</v>
      </c>
      <c r="D1652" s="18" t="s">
        <v>2589</v>
      </c>
      <c r="E1652" s="16">
        <v>91.0</v>
      </c>
    </row>
    <row r="1653">
      <c r="A1653" s="8" t="s">
        <v>3795</v>
      </c>
      <c r="B1653" s="8" t="s">
        <v>1241</v>
      </c>
      <c r="C1653" s="8" t="s">
        <v>59</v>
      </c>
      <c r="D1653" s="18" t="s">
        <v>2572</v>
      </c>
      <c r="E1653" s="16">
        <v>63.0</v>
      </c>
    </row>
    <row r="1654">
      <c r="A1654" s="8" t="s">
        <v>3796</v>
      </c>
      <c r="B1654" s="8" t="s">
        <v>121</v>
      </c>
      <c r="C1654" s="8" t="s">
        <v>24</v>
      </c>
      <c r="D1654" s="18" t="s">
        <v>2554</v>
      </c>
      <c r="E1654" s="16">
        <v>74.0</v>
      </c>
    </row>
    <row r="1655">
      <c r="A1655" s="8" t="s">
        <v>3797</v>
      </c>
      <c r="B1655" s="18" t="s">
        <v>529</v>
      </c>
      <c r="C1655" s="8" t="s">
        <v>138</v>
      </c>
      <c r="D1655" s="18" t="s">
        <v>2595</v>
      </c>
      <c r="E1655" s="16">
        <v>60.0</v>
      </c>
    </row>
    <row r="1656">
      <c r="A1656" s="8" t="s">
        <v>2994</v>
      </c>
      <c r="B1656" s="8" t="s">
        <v>871</v>
      </c>
      <c r="C1656" s="8" t="s">
        <v>16</v>
      </c>
      <c r="D1656" s="18" t="s">
        <v>2560</v>
      </c>
      <c r="E1656" s="16">
        <v>65.0</v>
      </c>
    </row>
    <row r="1657">
      <c r="A1657" s="8" t="s">
        <v>1005</v>
      </c>
      <c r="B1657" s="8" t="s">
        <v>127</v>
      </c>
      <c r="C1657" s="8" t="s">
        <v>80</v>
      </c>
      <c r="D1657" s="18" t="s">
        <v>2572</v>
      </c>
      <c r="E1657" s="16">
        <v>67.0</v>
      </c>
    </row>
    <row r="1658">
      <c r="A1658" s="8" t="s">
        <v>1005</v>
      </c>
      <c r="B1658" s="8" t="s">
        <v>2995</v>
      </c>
      <c r="C1658" s="8" t="s">
        <v>93</v>
      </c>
      <c r="D1658" s="18" t="s">
        <v>2582</v>
      </c>
      <c r="E1658" s="16">
        <v>59.0</v>
      </c>
    </row>
    <row r="1659">
      <c r="A1659" s="8" t="s">
        <v>1005</v>
      </c>
      <c r="B1659" s="8" t="s">
        <v>263</v>
      </c>
      <c r="C1659" s="8" t="s">
        <v>122</v>
      </c>
      <c r="D1659" s="18" t="s">
        <v>2581</v>
      </c>
      <c r="E1659" s="16">
        <v>63.0</v>
      </c>
    </row>
    <row r="1660">
      <c r="A1660" s="8" t="s">
        <v>1571</v>
      </c>
      <c r="B1660" s="8" t="s">
        <v>800</v>
      </c>
      <c r="C1660" s="8" t="s">
        <v>138</v>
      </c>
      <c r="D1660" s="18" t="s">
        <v>2572</v>
      </c>
      <c r="E1660" s="16">
        <v>65.0</v>
      </c>
    </row>
    <row r="1661">
      <c r="A1661" s="8" t="s">
        <v>1287</v>
      </c>
      <c r="B1661" s="8" t="s">
        <v>847</v>
      </c>
      <c r="C1661" s="8" t="s">
        <v>70</v>
      </c>
      <c r="D1661" s="18" t="s">
        <v>2560</v>
      </c>
      <c r="E1661" s="16">
        <v>70.0</v>
      </c>
    </row>
    <row r="1662">
      <c r="A1662" s="8" t="s">
        <v>668</v>
      </c>
      <c r="B1662" s="8" t="s">
        <v>123</v>
      </c>
      <c r="C1662" s="8" t="s">
        <v>122</v>
      </c>
      <c r="D1662" s="18" t="s">
        <v>2589</v>
      </c>
      <c r="E1662" s="16">
        <v>59.0</v>
      </c>
    </row>
    <row r="1663">
      <c r="A1663" s="8" t="s">
        <v>1006</v>
      </c>
      <c r="B1663" s="8" t="s">
        <v>119</v>
      </c>
      <c r="C1663" s="8" t="s">
        <v>59</v>
      </c>
      <c r="D1663" s="18" t="s">
        <v>2603</v>
      </c>
      <c r="E1663" s="16">
        <v>70.0</v>
      </c>
    </row>
    <row r="1664">
      <c r="A1664" s="8" t="s">
        <v>414</v>
      </c>
      <c r="B1664" s="8" t="s">
        <v>45</v>
      </c>
      <c r="C1664" s="8" t="s">
        <v>138</v>
      </c>
      <c r="D1664" s="18" t="s">
        <v>2566</v>
      </c>
      <c r="E1664" s="16">
        <v>85.0</v>
      </c>
    </row>
    <row r="1665">
      <c r="A1665" s="8" t="s">
        <v>1572</v>
      </c>
      <c r="B1665" s="8" t="s">
        <v>436</v>
      </c>
      <c r="C1665" s="8" t="s">
        <v>38</v>
      </c>
      <c r="D1665" s="18" t="s">
        <v>2585</v>
      </c>
      <c r="E1665" s="16">
        <v>77.0</v>
      </c>
    </row>
    <row r="1666">
      <c r="A1666" s="8" t="s">
        <v>3397</v>
      </c>
      <c r="B1666" s="8" t="s">
        <v>129</v>
      </c>
      <c r="C1666" s="8" t="s">
        <v>59</v>
      </c>
      <c r="D1666" s="18" t="s">
        <v>2603</v>
      </c>
      <c r="E1666" s="16">
        <v>58.0</v>
      </c>
    </row>
    <row r="1667">
      <c r="A1667" s="8" t="s">
        <v>3798</v>
      </c>
      <c r="B1667" s="8" t="s">
        <v>3799</v>
      </c>
      <c r="C1667" s="8" t="s">
        <v>138</v>
      </c>
      <c r="D1667" s="18" t="s">
        <v>2621</v>
      </c>
      <c r="E1667" s="16">
        <v>67.0</v>
      </c>
    </row>
    <row r="1668">
      <c r="A1668" s="8" t="s">
        <v>3800</v>
      </c>
      <c r="B1668" s="8" t="s">
        <v>562</v>
      </c>
      <c r="C1668" s="8" t="s">
        <v>24</v>
      </c>
      <c r="D1668" s="18" t="s">
        <v>2575</v>
      </c>
      <c r="E1668" s="16">
        <v>81.0</v>
      </c>
    </row>
    <row r="1669">
      <c r="A1669" s="8" t="s">
        <v>2998</v>
      </c>
      <c r="B1669" s="8" t="s">
        <v>1347</v>
      </c>
      <c r="C1669" s="8" t="s">
        <v>192</v>
      </c>
      <c r="D1669" s="18" t="s">
        <v>2562</v>
      </c>
      <c r="E1669" s="16">
        <v>70.0</v>
      </c>
    </row>
    <row r="1670">
      <c r="A1670" s="8" t="s">
        <v>3801</v>
      </c>
      <c r="B1670" s="8" t="s">
        <v>983</v>
      </c>
      <c r="C1670" s="8" t="s">
        <v>186</v>
      </c>
      <c r="D1670" s="18" t="s">
        <v>2552</v>
      </c>
      <c r="E1670" s="16">
        <v>57.0</v>
      </c>
    </row>
    <row r="1671">
      <c r="A1671" s="8" t="s">
        <v>590</v>
      </c>
      <c r="B1671" s="8" t="s">
        <v>591</v>
      </c>
      <c r="C1671" s="8" t="s">
        <v>122</v>
      </c>
      <c r="D1671" s="18" t="s">
        <v>2183</v>
      </c>
      <c r="E1671" s="16">
        <v>85.0</v>
      </c>
    </row>
    <row r="1672">
      <c r="A1672" s="8" t="s">
        <v>1288</v>
      </c>
      <c r="B1672" s="8" t="s">
        <v>157</v>
      </c>
      <c r="C1672" s="8" t="s">
        <v>192</v>
      </c>
      <c r="D1672" s="18" t="s">
        <v>2598</v>
      </c>
      <c r="E1672" s="16">
        <v>60.0</v>
      </c>
    </row>
    <row r="1673">
      <c r="A1673" s="8" t="s">
        <v>1288</v>
      </c>
      <c r="B1673" s="8" t="s">
        <v>2313</v>
      </c>
      <c r="C1673" s="8" t="s">
        <v>46</v>
      </c>
      <c r="D1673" s="18" t="s">
        <v>2603</v>
      </c>
      <c r="E1673" s="16">
        <v>65.0</v>
      </c>
    </row>
    <row r="1674">
      <c r="A1674" s="8" t="s">
        <v>3802</v>
      </c>
      <c r="B1674" s="8" t="s">
        <v>162</v>
      </c>
      <c r="C1674" s="8" t="s">
        <v>59</v>
      </c>
      <c r="D1674" s="18" t="s">
        <v>2584</v>
      </c>
      <c r="E1674" s="16">
        <v>71.0</v>
      </c>
    </row>
    <row r="1675">
      <c r="A1675" s="8" t="s">
        <v>3802</v>
      </c>
      <c r="B1675" s="8" t="s">
        <v>2017</v>
      </c>
      <c r="C1675" s="8" t="s">
        <v>93</v>
      </c>
      <c r="D1675" s="18" t="s">
        <v>2605</v>
      </c>
      <c r="E1675" s="16">
        <v>72.0</v>
      </c>
    </row>
    <row r="1676">
      <c r="A1676" s="8" t="s">
        <v>3803</v>
      </c>
      <c r="B1676" s="8" t="s">
        <v>3804</v>
      </c>
      <c r="C1676" s="8" t="s">
        <v>65</v>
      </c>
      <c r="D1676" s="18" t="s">
        <v>2620</v>
      </c>
      <c r="E1676" s="16">
        <v>66.0</v>
      </c>
    </row>
    <row r="1677">
      <c r="A1677" s="8" t="s">
        <v>3398</v>
      </c>
      <c r="B1677" s="8" t="s">
        <v>628</v>
      </c>
      <c r="C1677" s="8" t="s">
        <v>186</v>
      </c>
      <c r="D1677" s="18" t="s">
        <v>2584</v>
      </c>
      <c r="E1677" s="16">
        <v>78.0</v>
      </c>
    </row>
    <row r="1678">
      <c r="A1678" s="8" t="s">
        <v>415</v>
      </c>
      <c r="B1678" s="8" t="s">
        <v>416</v>
      </c>
      <c r="C1678" s="8" t="s">
        <v>141</v>
      </c>
      <c r="D1678" s="18" t="s">
        <v>2577</v>
      </c>
      <c r="E1678" s="16">
        <v>88.0</v>
      </c>
    </row>
    <row r="1679">
      <c r="A1679" s="8" t="s">
        <v>415</v>
      </c>
      <c r="B1679" s="8" t="s">
        <v>183</v>
      </c>
      <c r="C1679" s="8" t="s">
        <v>141</v>
      </c>
      <c r="D1679" s="18" t="s">
        <v>2581</v>
      </c>
      <c r="E1679" s="16">
        <v>81.0</v>
      </c>
    </row>
    <row r="1680">
      <c r="A1680" s="8" t="s">
        <v>3000</v>
      </c>
      <c r="B1680" s="8" t="s">
        <v>798</v>
      </c>
      <c r="C1680" s="8" t="s">
        <v>75</v>
      </c>
      <c r="D1680" s="18" t="s">
        <v>2621</v>
      </c>
      <c r="E1680" s="16">
        <v>68.0</v>
      </c>
    </row>
    <row r="1681">
      <c r="A1681" s="8" t="s">
        <v>3805</v>
      </c>
      <c r="B1681" s="8" t="s">
        <v>3258</v>
      </c>
      <c r="C1681" s="8" t="s">
        <v>122</v>
      </c>
      <c r="D1681" s="18" t="s">
        <v>2582</v>
      </c>
      <c r="E1681" s="16">
        <v>67.0</v>
      </c>
    </row>
    <row r="1682">
      <c r="A1682" s="8" t="s">
        <v>2220</v>
      </c>
      <c r="B1682" s="8" t="s">
        <v>2388</v>
      </c>
      <c r="C1682" s="8" t="s">
        <v>70</v>
      </c>
      <c r="D1682" s="18" t="s">
        <v>2560</v>
      </c>
      <c r="E1682" s="16">
        <v>78.0</v>
      </c>
    </row>
    <row r="1683">
      <c r="A1683" s="8" t="s">
        <v>2220</v>
      </c>
      <c r="B1683" s="8" t="s">
        <v>3001</v>
      </c>
      <c r="C1683" s="8" t="s">
        <v>192</v>
      </c>
      <c r="D1683" s="18" t="s">
        <v>2603</v>
      </c>
      <c r="E1683" s="16">
        <v>61.0</v>
      </c>
    </row>
    <row r="1684">
      <c r="A1684" s="8" t="s">
        <v>2220</v>
      </c>
      <c r="B1684" s="8" t="s">
        <v>3399</v>
      </c>
      <c r="C1684" s="8" t="s">
        <v>65</v>
      </c>
      <c r="D1684" s="18" t="s">
        <v>2587</v>
      </c>
      <c r="E1684" s="16">
        <v>60.0</v>
      </c>
    </row>
    <row r="1685">
      <c r="A1685" s="8" t="s">
        <v>2402</v>
      </c>
      <c r="B1685" s="8" t="s">
        <v>3806</v>
      </c>
      <c r="C1685" s="8" t="s">
        <v>93</v>
      </c>
      <c r="D1685" s="18" t="s">
        <v>2575</v>
      </c>
      <c r="E1685" s="16">
        <v>76.0</v>
      </c>
    </row>
    <row r="1686">
      <c r="A1686" s="8" t="s">
        <v>778</v>
      </c>
      <c r="B1686" s="8" t="s">
        <v>263</v>
      </c>
      <c r="C1686" s="8" t="s">
        <v>80</v>
      </c>
      <c r="D1686" s="18" t="s">
        <v>2615</v>
      </c>
      <c r="E1686" s="16">
        <v>70.0</v>
      </c>
    </row>
    <row r="1687">
      <c r="A1687" s="8" t="s">
        <v>96</v>
      </c>
      <c r="B1687" s="8" t="s">
        <v>33</v>
      </c>
      <c r="C1687" s="8" t="s">
        <v>12</v>
      </c>
      <c r="D1687" s="18" t="s">
        <v>2554</v>
      </c>
      <c r="E1687" s="16">
        <v>81.0</v>
      </c>
    </row>
    <row r="1688">
      <c r="A1688" s="8" t="s">
        <v>96</v>
      </c>
      <c r="B1688" s="8" t="s">
        <v>2087</v>
      </c>
      <c r="C1688" s="8" t="s">
        <v>93</v>
      </c>
      <c r="D1688" s="18" t="s">
        <v>2589</v>
      </c>
      <c r="E1688" s="16">
        <v>70.0</v>
      </c>
    </row>
    <row r="1689">
      <c r="A1689" s="8" t="s">
        <v>1289</v>
      </c>
      <c r="B1689" s="8" t="s">
        <v>1290</v>
      </c>
      <c r="C1689" s="8" t="s">
        <v>16</v>
      </c>
      <c r="D1689" s="18" t="s">
        <v>2614</v>
      </c>
      <c r="E1689" s="16">
        <v>71.0</v>
      </c>
    </row>
    <row r="1690">
      <c r="A1690" s="8" t="s">
        <v>3807</v>
      </c>
      <c r="B1690" s="8" t="s">
        <v>3808</v>
      </c>
      <c r="C1690" s="8" t="s">
        <v>70</v>
      </c>
      <c r="D1690" s="18" t="s">
        <v>2552</v>
      </c>
      <c r="E1690" s="16">
        <v>65.0</v>
      </c>
    </row>
    <row r="1691">
      <c r="A1691" s="8" t="s">
        <v>1579</v>
      </c>
      <c r="B1691" s="8" t="s">
        <v>157</v>
      </c>
      <c r="C1691" s="8" t="s">
        <v>122</v>
      </c>
      <c r="D1691" s="18" t="s">
        <v>2558</v>
      </c>
      <c r="E1691" s="16">
        <v>59.0</v>
      </c>
    </row>
    <row r="1692">
      <c r="A1692" s="8" t="s">
        <v>1579</v>
      </c>
      <c r="B1692" s="8" t="s">
        <v>3003</v>
      </c>
      <c r="C1692" s="8" t="s">
        <v>149</v>
      </c>
      <c r="D1692" s="18" t="s">
        <v>2589</v>
      </c>
      <c r="E1692" s="16">
        <v>60.0</v>
      </c>
    </row>
    <row r="1693">
      <c r="A1693" s="8" t="s">
        <v>1579</v>
      </c>
      <c r="B1693" s="8" t="s">
        <v>3401</v>
      </c>
      <c r="C1693" s="8" t="s">
        <v>93</v>
      </c>
      <c r="D1693" s="18" t="s">
        <v>2552</v>
      </c>
      <c r="E1693" s="16">
        <v>65.0</v>
      </c>
    </row>
    <row r="1694">
      <c r="A1694" s="8" t="s">
        <v>3004</v>
      </c>
      <c r="B1694" s="8" t="s">
        <v>2651</v>
      </c>
      <c r="C1694" s="8" t="s">
        <v>261</v>
      </c>
      <c r="D1694" s="18" t="s">
        <v>2562</v>
      </c>
      <c r="E1694" s="16">
        <v>81.0</v>
      </c>
    </row>
    <row r="1695">
      <c r="A1695" s="8" t="s">
        <v>3402</v>
      </c>
      <c r="B1695" s="8" t="s">
        <v>275</v>
      </c>
      <c r="C1695" s="8" t="s">
        <v>192</v>
      </c>
      <c r="D1695" s="18" t="s">
        <v>2605</v>
      </c>
      <c r="E1695" s="16">
        <v>69.0</v>
      </c>
    </row>
    <row r="1696">
      <c r="A1696" s="8" t="s">
        <v>1581</v>
      </c>
      <c r="B1696" s="18" t="s">
        <v>521</v>
      </c>
      <c r="C1696" s="8" t="s">
        <v>70</v>
      </c>
      <c r="D1696" s="18" t="s">
        <v>2603</v>
      </c>
      <c r="E1696" s="16">
        <v>74.0</v>
      </c>
    </row>
    <row r="1697">
      <c r="A1697" s="8" t="s">
        <v>1007</v>
      </c>
      <c r="B1697" s="8" t="s">
        <v>1008</v>
      </c>
      <c r="C1697" s="8" t="s">
        <v>24</v>
      </c>
      <c r="D1697" s="18" t="s">
        <v>2552</v>
      </c>
      <c r="E1697" s="16">
        <v>74.0</v>
      </c>
    </row>
    <row r="1698">
      <c r="A1698" s="8" t="s">
        <v>417</v>
      </c>
      <c r="B1698" s="8" t="s">
        <v>418</v>
      </c>
      <c r="C1698" s="8" t="s">
        <v>65</v>
      </c>
      <c r="D1698" s="18" t="s">
        <v>2615</v>
      </c>
      <c r="E1698" s="16">
        <v>60.0</v>
      </c>
    </row>
    <row r="1699">
      <c r="A1699" s="8" t="s">
        <v>3403</v>
      </c>
      <c r="B1699" s="8" t="s">
        <v>1915</v>
      </c>
      <c r="C1699" s="8" t="s">
        <v>192</v>
      </c>
      <c r="D1699" s="18" t="s">
        <v>2560</v>
      </c>
      <c r="E1699" s="16">
        <v>83.0</v>
      </c>
    </row>
    <row r="1700">
      <c r="A1700" s="8" t="s">
        <v>592</v>
      </c>
      <c r="B1700" s="8" t="s">
        <v>381</v>
      </c>
      <c r="C1700" s="8" t="s">
        <v>75</v>
      </c>
      <c r="D1700" s="18" t="s">
        <v>2566</v>
      </c>
      <c r="E1700" s="16">
        <v>84.0</v>
      </c>
    </row>
    <row r="1701">
      <c r="A1701" s="8" t="s">
        <v>3404</v>
      </c>
      <c r="B1701" s="8" t="s">
        <v>1668</v>
      </c>
      <c r="C1701" s="8" t="s">
        <v>75</v>
      </c>
      <c r="D1701" s="18" t="s">
        <v>2183</v>
      </c>
      <c r="E1701" s="16">
        <v>64.0</v>
      </c>
    </row>
    <row r="1702">
      <c r="A1702" s="8" t="s">
        <v>3006</v>
      </c>
      <c r="B1702" s="8" t="s">
        <v>2839</v>
      </c>
      <c r="C1702" s="8" t="s">
        <v>59</v>
      </c>
      <c r="D1702" s="18" t="s">
        <v>2584</v>
      </c>
      <c r="E1702" s="16">
        <v>67.0</v>
      </c>
    </row>
    <row r="1703">
      <c r="A1703" s="8" t="s">
        <v>1293</v>
      </c>
      <c r="B1703" s="8" t="s">
        <v>746</v>
      </c>
      <c r="C1703" s="8" t="s">
        <v>141</v>
      </c>
      <c r="D1703" s="18" t="s">
        <v>2572</v>
      </c>
      <c r="E1703" s="16">
        <v>58.0</v>
      </c>
    </row>
    <row r="1704">
      <c r="A1704" s="8" t="s">
        <v>3405</v>
      </c>
      <c r="B1704" s="8" t="s">
        <v>183</v>
      </c>
      <c r="C1704" s="8" t="s">
        <v>122</v>
      </c>
      <c r="D1704" s="18" t="s">
        <v>2585</v>
      </c>
      <c r="E1704" s="16">
        <v>64.0</v>
      </c>
    </row>
    <row r="1705">
      <c r="A1705" s="8" t="s">
        <v>3406</v>
      </c>
      <c r="B1705" s="8" t="s">
        <v>1803</v>
      </c>
      <c r="C1705" s="8" t="s">
        <v>24</v>
      </c>
      <c r="D1705" s="18" t="s">
        <v>2560</v>
      </c>
      <c r="E1705" s="16">
        <v>46.0</v>
      </c>
    </row>
    <row r="1706">
      <c r="A1706" s="8" t="s">
        <v>3809</v>
      </c>
      <c r="B1706" s="8" t="s">
        <v>3810</v>
      </c>
      <c r="C1706" s="8" t="s">
        <v>215</v>
      </c>
      <c r="D1706" s="18" t="s">
        <v>2567</v>
      </c>
      <c r="E1706" s="16">
        <v>59.0</v>
      </c>
    </row>
    <row r="1707">
      <c r="A1707" s="8" t="s">
        <v>419</v>
      </c>
      <c r="B1707" s="8" t="s">
        <v>157</v>
      </c>
      <c r="C1707" s="8" t="s">
        <v>65</v>
      </c>
      <c r="D1707" s="18" t="s">
        <v>2593</v>
      </c>
      <c r="E1707" s="16">
        <v>74.0</v>
      </c>
    </row>
    <row r="1708">
      <c r="A1708" s="8" t="s">
        <v>3008</v>
      </c>
      <c r="B1708" s="8" t="s">
        <v>67</v>
      </c>
      <c r="C1708" s="8" t="s">
        <v>38</v>
      </c>
      <c r="D1708" s="18" t="s">
        <v>2584</v>
      </c>
      <c r="E1708" s="16">
        <v>80.0</v>
      </c>
    </row>
    <row r="1709">
      <c r="A1709" s="8" t="s">
        <v>2054</v>
      </c>
      <c r="B1709" s="8" t="s">
        <v>3009</v>
      </c>
      <c r="C1709" s="8" t="s">
        <v>80</v>
      </c>
      <c r="D1709" s="18" t="s">
        <v>2554</v>
      </c>
      <c r="E1709" s="16">
        <v>83.0</v>
      </c>
    </row>
    <row r="1710">
      <c r="A1710" s="8" t="s">
        <v>594</v>
      </c>
      <c r="B1710" s="8" t="s">
        <v>337</v>
      </c>
      <c r="C1710" s="8" t="s">
        <v>215</v>
      </c>
      <c r="D1710" s="18" t="s">
        <v>2593</v>
      </c>
      <c r="E1710" s="16">
        <v>89.0</v>
      </c>
    </row>
    <row r="1711">
      <c r="A1711" s="8" t="s">
        <v>779</v>
      </c>
      <c r="B1711" s="8" t="s">
        <v>780</v>
      </c>
      <c r="C1711" s="8" t="s">
        <v>149</v>
      </c>
      <c r="D1711" s="18" t="s">
        <v>2560</v>
      </c>
      <c r="E1711" s="16">
        <v>63.0</v>
      </c>
    </row>
    <row r="1712">
      <c r="A1712" s="8" t="s">
        <v>1582</v>
      </c>
      <c r="B1712" s="8" t="s">
        <v>1173</v>
      </c>
      <c r="C1712" s="8" t="s">
        <v>59</v>
      </c>
      <c r="D1712" s="18" t="s">
        <v>2587</v>
      </c>
      <c r="E1712" s="16">
        <v>74.0</v>
      </c>
    </row>
    <row r="1713">
      <c r="A1713" s="8" t="s">
        <v>3811</v>
      </c>
      <c r="B1713" s="8" t="s">
        <v>399</v>
      </c>
      <c r="C1713" s="8" t="s">
        <v>70</v>
      </c>
      <c r="D1713" s="18" t="s">
        <v>2566</v>
      </c>
      <c r="E1713" s="16">
        <v>73.0</v>
      </c>
    </row>
    <row r="1714">
      <c r="A1714" s="8" t="s">
        <v>497</v>
      </c>
      <c r="B1714" s="8" t="s">
        <v>1009</v>
      </c>
      <c r="C1714" s="8" t="s">
        <v>93</v>
      </c>
      <c r="D1714" s="18" t="s">
        <v>2558</v>
      </c>
      <c r="E1714" s="16">
        <v>76.0</v>
      </c>
    </row>
    <row r="1715">
      <c r="A1715" s="8" t="s">
        <v>3408</v>
      </c>
      <c r="B1715" s="8" t="s">
        <v>3409</v>
      </c>
      <c r="C1715" s="8" t="s">
        <v>65</v>
      </c>
      <c r="D1715" s="18" t="s">
        <v>2564</v>
      </c>
      <c r="E1715" s="16">
        <v>78.0</v>
      </c>
    </row>
    <row r="1716">
      <c r="A1716" s="8" t="s">
        <v>1584</v>
      </c>
      <c r="B1716" s="8" t="s">
        <v>787</v>
      </c>
      <c r="C1716" s="8" t="s">
        <v>122</v>
      </c>
      <c r="D1716" s="18" t="s">
        <v>2595</v>
      </c>
      <c r="E1716" s="16">
        <v>77.0</v>
      </c>
    </row>
    <row r="1717">
      <c r="A1717" s="8" t="s">
        <v>1296</v>
      </c>
      <c r="B1717" s="8" t="s">
        <v>62</v>
      </c>
      <c r="C1717" s="8" t="s">
        <v>70</v>
      </c>
      <c r="D1717" s="18" t="s">
        <v>2603</v>
      </c>
      <c r="E1717" s="16">
        <v>80.0</v>
      </c>
    </row>
    <row r="1718">
      <c r="A1718" s="8" t="s">
        <v>1294</v>
      </c>
      <c r="B1718" s="8" t="s">
        <v>1295</v>
      </c>
      <c r="C1718" s="8" t="s">
        <v>59</v>
      </c>
      <c r="D1718" s="18" t="s">
        <v>2620</v>
      </c>
      <c r="E1718" s="16">
        <v>73.0</v>
      </c>
    </row>
    <row r="1719">
      <c r="A1719" s="8" t="s">
        <v>1587</v>
      </c>
      <c r="B1719" s="18" t="s">
        <v>529</v>
      </c>
      <c r="C1719" s="8" t="s">
        <v>122</v>
      </c>
      <c r="D1719" s="18" t="s">
        <v>2562</v>
      </c>
      <c r="E1719" s="16">
        <v>65.0</v>
      </c>
    </row>
    <row r="1720">
      <c r="A1720" s="8" t="s">
        <v>781</v>
      </c>
      <c r="B1720" s="8" t="s">
        <v>782</v>
      </c>
      <c r="C1720" s="8" t="s">
        <v>93</v>
      </c>
      <c r="D1720" s="18" t="s">
        <v>2585</v>
      </c>
      <c r="E1720" s="16">
        <v>66.0</v>
      </c>
    </row>
    <row r="1721">
      <c r="A1721" s="8" t="s">
        <v>2225</v>
      </c>
      <c r="B1721" s="8" t="s">
        <v>3211</v>
      </c>
      <c r="C1721" s="8" t="s">
        <v>65</v>
      </c>
      <c r="D1721" s="18" t="s">
        <v>2572</v>
      </c>
      <c r="E1721" s="16">
        <v>62.0</v>
      </c>
    </row>
    <row r="1722">
      <c r="A1722" s="8" t="s">
        <v>3812</v>
      </c>
      <c r="B1722" s="8" t="s">
        <v>3813</v>
      </c>
      <c r="C1722" s="8" t="s">
        <v>70</v>
      </c>
      <c r="D1722" s="18" t="s">
        <v>2582</v>
      </c>
      <c r="E1722" s="16">
        <v>69.0</v>
      </c>
    </row>
    <row r="1723">
      <c r="A1723" s="8" t="s">
        <v>1950</v>
      </c>
      <c r="B1723" s="8" t="s">
        <v>119</v>
      </c>
      <c r="C1723" s="8" t="s">
        <v>186</v>
      </c>
      <c r="D1723" s="18" t="s">
        <v>2587</v>
      </c>
      <c r="E1723" s="16">
        <v>67.0</v>
      </c>
    </row>
    <row r="1724">
      <c r="A1724" s="8" t="s">
        <v>1297</v>
      </c>
      <c r="B1724" s="8" t="s">
        <v>100</v>
      </c>
      <c r="C1724" s="8" t="s">
        <v>141</v>
      </c>
      <c r="D1724" s="18" t="s">
        <v>2610</v>
      </c>
      <c r="E1724" s="16">
        <v>57.0</v>
      </c>
    </row>
    <row r="1725">
      <c r="A1725" s="8" t="s">
        <v>1297</v>
      </c>
      <c r="B1725" s="8" t="s">
        <v>1046</v>
      </c>
      <c r="C1725" s="8" t="s">
        <v>93</v>
      </c>
      <c r="D1725" s="18" t="s">
        <v>2585</v>
      </c>
      <c r="E1725" s="16">
        <v>68.0</v>
      </c>
    </row>
    <row r="1726">
      <c r="A1726" s="8" t="s">
        <v>2101</v>
      </c>
      <c r="B1726" s="8" t="s">
        <v>3695</v>
      </c>
      <c r="C1726" s="8" t="s">
        <v>261</v>
      </c>
      <c r="D1726" s="18" t="s">
        <v>2556</v>
      </c>
      <c r="E1726" s="16">
        <v>86.0</v>
      </c>
    </row>
    <row r="1727">
      <c r="A1727" s="8" t="s">
        <v>223</v>
      </c>
      <c r="B1727" s="8" t="s">
        <v>224</v>
      </c>
      <c r="C1727" s="8" t="s">
        <v>53</v>
      </c>
      <c r="D1727" s="18" t="s">
        <v>2598</v>
      </c>
      <c r="E1727" s="16">
        <v>76.0</v>
      </c>
    </row>
    <row r="1728">
      <c r="A1728" s="8" t="s">
        <v>223</v>
      </c>
      <c r="B1728" s="8" t="s">
        <v>1588</v>
      </c>
      <c r="C1728" s="8" t="s">
        <v>122</v>
      </c>
      <c r="D1728" s="18" t="s">
        <v>2603</v>
      </c>
      <c r="E1728" s="16">
        <v>73.0</v>
      </c>
    </row>
    <row r="1729">
      <c r="A1729" s="8" t="s">
        <v>223</v>
      </c>
      <c r="B1729" s="8" t="s">
        <v>263</v>
      </c>
      <c r="C1729" s="8" t="s">
        <v>24</v>
      </c>
      <c r="D1729" s="18" t="s">
        <v>2582</v>
      </c>
      <c r="E1729" s="16">
        <v>89.0</v>
      </c>
    </row>
    <row r="1730">
      <c r="A1730" s="8" t="s">
        <v>223</v>
      </c>
      <c r="B1730" s="8" t="s">
        <v>1589</v>
      </c>
      <c r="C1730" s="8" t="s">
        <v>93</v>
      </c>
      <c r="D1730" s="18" t="s">
        <v>2621</v>
      </c>
      <c r="E1730" s="16">
        <v>61.0</v>
      </c>
    </row>
    <row r="1731">
      <c r="A1731" s="8" t="s">
        <v>3410</v>
      </c>
      <c r="B1731" s="8" t="s">
        <v>847</v>
      </c>
      <c r="C1731" s="8" t="s">
        <v>65</v>
      </c>
      <c r="D1731" s="18" t="s">
        <v>2592</v>
      </c>
      <c r="E1731" s="16">
        <v>59.0</v>
      </c>
    </row>
    <row r="1732">
      <c r="A1732" s="8" t="s">
        <v>1012</v>
      </c>
      <c r="B1732" s="8" t="s">
        <v>3011</v>
      </c>
      <c r="C1732" s="8" t="s">
        <v>122</v>
      </c>
      <c r="D1732" s="18" t="s">
        <v>2554</v>
      </c>
      <c r="E1732" s="16">
        <v>67.0</v>
      </c>
    </row>
    <row r="1733">
      <c r="A1733" s="8" t="s">
        <v>1012</v>
      </c>
      <c r="B1733" s="8" t="s">
        <v>129</v>
      </c>
      <c r="C1733" s="8" t="s">
        <v>80</v>
      </c>
      <c r="D1733" s="18" t="s">
        <v>2585</v>
      </c>
      <c r="E1733" s="16">
        <v>77.0</v>
      </c>
    </row>
    <row r="1734">
      <c r="A1734" s="8" t="s">
        <v>1012</v>
      </c>
      <c r="B1734" s="8" t="s">
        <v>3411</v>
      </c>
      <c r="C1734" s="8" t="s">
        <v>149</v>
      </c>
      <c r="D1734" s="18" t="s">
        <v>2183</v>
      </c>
      <c r="E1734" s="16">
        <v>72.0</v>
      </c>
    </row>
    <row r="1735">
      <c r="A1735" s="8" t="s">
        <v>420</v>
      </c>
      <c r="B1735" s="8" t="s">
        <v>421</v>
      </c>
      <c r="C1735" s="8" t="s">
        <v>149</v>
      </c>
      <c r="D1735" s="18" t="s">
        <v>2554</v>
      </c>
      <c r="E1735" s="16">
        <v>83.0</v>
      </c>
    </row>
    <row r="1736">
      <c r="A1736" s="8" t="s">
        <v>3012</v>
      </c>
      <c r="B1736" s="8" t="s">
        <v>1028</v>
      </c>
      <c r="C1736" s="8" t="s">
        <v>53</v>
      </c>
      <c r="D1736" s="18" t="s">
        <v>2560</v>
      </c>
      <c r="E1736" s="16">
        <v>66.0</v>
      </c>
    </row>
    <row r="1737">
      <c r="A1737" s="8" t="s">
        <v>1013</v>
      </c>
      <c r="B1737" s="8" t="s">
        <v>464</v>
      </c>
      <c r="C1737" s="8" t="s">
        <v>141</v>
      </c>
      <c r="D1737" s="18" t="s">
        <v>2582</v>
      </c>
      <c r="E1737" s="16">
        <v>63.0</v>
      </c>
    </row>
    <row r="1738">
      <c r="A1738" s="8" t="s">
        <v>3814</v>
      </c>
      <c r="B1738" s="8" t="s">
        <v>102</v>
      </c>
      <c r="C1738" s="8" t="s">
        <v>149</v>
      </c>
      <c r="D1738" s="18" t="s">
        <v>2567</v>
      </c>
      <c r="E1738" s="16">
        <v>79.0</v>
      </c>
    </row>
    <row r="1739">
      <c r="A1739" s="8" t="s">
        <v>422</v>
      </c>
      <c r="B1739" s="8" t="s">
        <v>183</v>
      </c>
      <c r="C1739" s="8" t="s">
        <v>149</v>
      </c>
      <c r="D1739" s="18" t="s">
        <v>2574</v>
      </c>
      <c r="E1739" s="16">
        <v>76.0</v>
      </c>
    </row>
    <row r="1740">
      <c r="A1740" s="8" t="s">
        <v>3815</v>
      </c>
      <c r="B1740" s="8" t="s">
        <v>162</v>
      </c>
      <c r="C1740" s="8" t="s">
        <v>16</v>
      </c>
      <c r="D1740" s="18" t="s">
        <v>2598</v>
      </c>
      <c r="E1740" s="16">
        <v>64.0</v>
      </c>
    </row>
    <row r="1741">
      <c r="A1741" s="8" t="s">
        <v>3816</v>
      </c>
      <c r="B1741" s="8" t="s">
        <v>3817</v>
      </c>
      <c r="C1741" s="8" t="s">
        <v>93</v>
      </c>
      <c r="D1741" s="18" t="s">
        <v>2560</v>
      </c>
      <c r="E1741" s="16">
        <v>91.0</v>
      </c>
    </row>
    <row r="1742">
      <c r="A1742" s="8" t="s">
        <v>3013</v>
      </c>
      <c r="B1742" s="8" t="s">
        <v>1640</v>
      </c>
      <c r="C1742" s="8" t="s">
        <v>186</v>
      </c>
      <c r="D1742" s="18" t="s">
        <v>2610</v>
      </c>
      <c r="E1742" s="16">
        <v>75.0</v>
      </c>
    </row>
    <row r="1743">
      <c r="A1743" s="8" t="s">
        <v>3818</v>
      </c>
      <c r="B1743" s="8" t="s">
        <v>961</v>
      </c>
      <c r="C1743" s="8" t="s">
        <v>215</v>
      </c>
      <c r="D1743" s="18" t="s">
        <v>2582</v>
      </c>
      <c r="E1743" s="16">
        <v>69.0</v>
      </c>
    </row>
    <row r="1744">
      <c r="A1744" s="8" t="s">
        <v>783</v>
      </c>
      <c r="B1744" s="8" t="s">
        <v>198</v>
      </c>
      <c r="C1744" s="8" t="s">
        <v>70</v>
      </c>
      <c r="D1744" s="18" t="s">
        <v>2593</v>
      </c>
      <c r="E1744" s="16">
        <v>67.0</v>
      </c>
    </row>
    <row r="1745">
      <c r="A1745" s="8" t="s">
        <v>783</v>
      </c>
      <c r="B1745" s="8" t="s">
        <v>252</v>
      </c>
      <c r="C1745" s="8" t="s">
        <v>75</v>
      </c>
      <c r="D1745" s="18" t="s">
        <v>2593</v>
      </c>
      <c r="E1745" s="16">
        <v>78.0</v>
      </c>
    </row>
    <row r="1746">
      <c r="A1746" s="8" t="s">
        <v>783</v>
      </c>
      <c r="B1746" s="8" t="s">
        <v>839</v>
      </c>
      <c r="C1746" s="8" t="s">
        <v>70</v>
      </c>
      <c r="D1746" s="18" t="s">
        <v>2575</v>
      </c>
      <c r="E1746" s="16">
        <v>62.0</v>
      </c>
    </row>
    <row r="1747">
      <c r="A1747" s="8" t="s">
        <v>783</v>
      </c>
      <c r="B1747" s="8" t="s">
        <v>784</v>
      </c>
      <c r="C1747" s="8" t="s">
        <v>186</v>
      </c>
      <c r="D1747" s="18" t="s">
        <v>2598</v>
      </c>
      <c r="E1747" s="16">
        <v>67.0</v>
      </c>
    </row>
    <row r="1748">
      <c r="A1748" s="8" t="s">
        <v>3413</v>
      </c>
      <c r="B1748" s="8" t="s">
        <v>201</v>
      </c>
      <c r="C1748" s="8" t="s">
        <v>80</v>
      </c>
      <c r="D1748" s="18" t="s">
        <v>2564</v>
      </c>
      <c r="E1748" s="16">
        <v>70.0</v>
      </c>
    </row>
    <row r="1749">
      <c r="A1749" s="8" t="s">
        <v>3014</v>
      </c>
      <c r="B1749" s="8" t="s">
        <v>708</v>
      </c>
      <c r="C1749" s="8" t="s">
        <v>141</v>
      </c>
      <c r="D1749" s="18" t="s">
        <v>2593</v>
      </c>
      <c r="E1749" s="16">
        <v>62.0</v>
      </c>
    </row>
    <row r="1750">
      <c r="A1750" s="8" t="s">
        <v>595</v>
      </c>
      <c r="B1750" s="8" t="s">
        <v>596</v>
      </c>
      <c r="C1750" s="8" t="s">
        <v>93</v>
      </c>
      <c r="D1750" s="18" t="s">
        <v>2552</v>
      </c>
      <c r="E1750" s="16">
        <v>80.0</v>
      </c>
    </row>
    <row r="1751">
      <c r="A1751" s="8" t="s">
        <v>3015</v>
      </c>
      <c r="B1751" s="8" t="s">
        <v>1285</v>
      </c>
      <c r="C1751" s="8" t="s">
        <v>93</v>
      </c>
      <c r="D1751" s="18" t="s">
        <v>2564</v>
      </c>
      <c r="E1751" s="16">
        <v>63.0</v>
      </c>
    </row>
    <row r="1752">
      <c r="A1752" s="8" t="s">
        <v>785</v>
      </c>
      <c r="B1752" s="8" t="s">
        <v>263</v>
      </c>
      <c r="C1752" s="8" t="s">
        <v>80</v>
      </c>
      <c r="D1752" s="18" t="s">
        <v>2600</v>
      </c>
      <c r="E1752" s="16">
        <v>69.0</v>
      </c>
    </row>
    <row r="1753">
      <c r="A1753" s="8" t="s">
        <v>786</v>
      </c>
      <c r="B1753" s="8" t="s">
        <v>399</v>
      </c>
      <c r="C1753" s="8" t="s">
        <v>215</v>
      </c>
      <c r="D1753" s="18" t="s">
        <v>2595</v>
      </c>
      <c r="E1753" s="16">
        <v>66.0</v>
      </c>
    </row>
    <row r="1754">
      <c r="A1754" s="8" t="s">
        <v>786</v>
      </c>
      <c r="B1754" s="8" t="s">
        <v>3414</v>
      </c>
      <c r="C1754" s="8" t="s">
        <v>75</v>
      </c>
      <c r="D1754" s="18" t="s">
        <v>2587</v>
      </c>
      <c r="E1754" s="16">
        <v>63.0</v>
      </c>
    </row>
    <row r="1755">
      <c r="A1755" s="8" t="s">
        <v>786</v>
      </c>
      <c r="B1755" s="8" t="s">
        <v>1057</v>
      </c>
      <c r="C1755" s="8" t="s">
        <v>70</v>
      </c>
      <c r="D1755" s="18" t="s">
        <v>2577</v>
      </c>
      <c r="E1755" s="16">
        <v>67.0</v>
      </c>
    </row>
    <row r="1756">
      <c r="A1756" s="8" t="s">
        <v>786</v>
      </c>
      <c r="B1756" s="8" t="s">
        <v>628</v>
      </c>
      <c r="C1756" s="8" t="s">
        <v>65</v>
      </c>
      <c r="D1756" s="18" t="s">
        <v>2603</v>
      </c>
      <c r="E1756" s="16">
        <v>71.0</v>
      </c>
    </row>
    <row r="1757">
      <c r="A1757" s="8" t="s">
        <v>786</v>
      </c>
      <c r="B1757" s="8" t="s">
        <v>787</v>
      </c>
      <c r="C1757" s="8" t="s">
        <v>215</v>
      </c>
      <c r="D1757" s="18" t="s">
        <v>2560</v>
      </c>
      <c r="E1757" s="16">
        <v>86.0</v>
      </c>
    </row>
    <row r="1758">
      <c r="A1758" s="8" t="s">
        <v>786</v>
      </c>
      <c r="B1758" s="8" t="s">
        <v>334</v>
      </c>
      <c r="C1758" s="8" t="s">
        <v>70</v>
      </c>
      <c r="D1758" s="18" t="s">
        <v>2575</v>
      </c>
      <c r="E1758" s="16">
        <v>72.0</v>
      </c>
    </row>
    <row r="1759">
      <c r="A1759" s="8" t="s">
        <v>790</v>
      </c>
      <c r="B1759" s="8" t="s">
        <v>791</v>
      </c>
      <c r="C1759" s="8" t="s">
        <v>141</v>
      </c>
      <c r="D1759" s="18" t="s">
        <v>2566</v>
      </c>
      <c r="E1759" s="16">
        <v>88.0</v>
      </c>
    </row>
    <row r="1760">
      <c r="A1760" s="8" t="s">
        <v>788</v>
      </c>
      <c r="B1760" s="8" t="s">
        <v>1241</v>
      </c>
      <c r="C1760" s="8" t="s">
        <v>53</v>
      </c>
      <c r="D1760" s="18" t="s">
        <v>2589</v>
      </c>
      <c r="E1760" s="16">
        <v>59.0</v>
      </c>
    </row>
    <row r="1761">
      <c r="A1761" s="8" t="s">
        <v>788</v>
      </c>
      <c r="B1761" s="8" t="s">
        <v>789</v>
      </c>
      <c r="C1761" s="8" t="s">
        <v>70</v>
      </c>
      <c r="D1761" s="18" t="s">
        <v>2554</v>
      </c>
      <c r="E1761" s="16">
        <v>81.0</v>
      </c>
    </row>
    <row r="1762">
      <c r="A1762" s="8" t="s">
        <v>1953</v>
      </c>
      <c r="B1762" s="8" t="s">
        <v>1954</v>
      </c>
      <c r="C1762" s="8" t="s">
        <v>215</v>
      </c>
      <c r="D1762" s="18" t="s">
        <v>2567</v>
      </c>
      <c r="E1762" s="16">
        <v>68.0</v>
      </c>
    </row>
    <row r="1763">
      <c r="A1763" s="8" t="s">
        <v>1955</v>
      </c>
      <c r="B1763" s="8" t="s">
        <v>3017</v>
      </c>
      <c r="C1763" s="8" t="s">
        <v>70</v>
      </c>
      <c r="D1763" s="18" t="s">
        <v>2554</v>
      </c>
      <c r="E1763" s="16">
        <v>71.0</v>
      </c>
    </row>
    <row r="1764">
      <c r="A1764" s="8" t="s">
        <v>3415</v>
      </c>
      <c r="B1764" s="8" t="s">
        <v>362</v>
      </c>
      <c r="C1764" s="8" t="s">
        <v>93</v>
      </c>
      <c r="D1764" s="18" t="s">
        <v>2621</v>
      </c>
      <c r="E1764" s="16">
        <v>72.0</v>
      </c>
    </row>
    <row r="1765">
      <c r="A1765" s="8" t="s">
        <v>3819</v>
      </c>
      <c r="B1765" s="8" t="s">
        <v>2992</v>
      </c>
      <c r="C1765" s="8" t="s">
        <v>186</v>
      </c>
      <c r="D1765" s="18" t="s">
        <v>2582</v>
      </c>
      <c r="E1765" s="16">
        <v>74.0</v>
      </c>
    </row>
    <row r="1766">
      <c r="A1766" s="8" t="s">
        <v>1014</v>
      </c>
      <c r="B1766" s="8" t="s">
        <v>726</v>
      </c>
      <c r="C1766" s="8" t="s">
        <v>122</v>
      </c>
      <c r="D1766" s="18" t="s">
        <v>2558</v>
      </c>
      <c r="E1766" s="16">
        <v>60.0</v>
      </c>
    </row>
    <row r="1767">
      <c r="A1767" s="8" t="s">
        <v>3020</v>
      </c>
      <c r="B1767" s="8" t="s">
        <v>98</v>
      </c>
      <c r="C1767" s="8" t="s">
        <v>261</v>
      </c>
      <c r="D1767" s="18" t="s">
        <v>2558</v>
      </c>
      <c r="E1767" s="16">
        <v>71.0</v>
      </c>
    </row>
    <row r="1768">
      <c r="A1768" s="8" t="s">
        <v>3416</v>
      </c>
      <c r="B1768" s="8" t="s">
        <v>733</v>
      </c>
      <c r="C1768" s="8" t="s">
        <v>24</v>
      </c>
      <c r="D1768" s="18" t="s">
        <v>2556</v>
      </c>
      <c r="E1768" s="16">
        <v>73.0</v>
      </c>
    </row>
    <row r="1769">
      <c r="A1769" s="8" t="s">
        <v>47</v>
      </c>
      <c r="B1769" s="8" t="s">
        <v>294</v>
      </c>
      <c r="C1769" s="8" t="s">
        <v>59</v>
      </c>
      <c r="D1769" s="18" t="s">
        <v>2562</v>
      </c>
      <c r="E1769" s="16">
        <v>61.0</v>
      </c>
    </row>
    <row r="1770">
      <c r="A1770" s="8" t="s">
        <v>47</v>
      </c>
      <c r="B1770" s="8" t="s">
        <v>48</v>
      </c>
      <c r="C1770" s="8" t="s">
        <v>16</v>
      </c>
      <c r="D1770" s="18" t="s">
        <v>2572</v>
      </c>
      <c r="E1770" s="16">
        <v>84.0</v>
      </c>
    </row>
    <row r="1771">
      <c r="A1771" s="8" t="s">
        <v>3820</v>
      </c>
      <c r="B1771" s="8" t="s">
        <v>1028</v>
      </c>
      <c r="C1771" s="8" t="s">
        <v>53</v>
      </c>
      <c r="D1771" s="18" t="s">
        <v>2610</v>
      </c>
      <c r="E1771" s="16">
        <v>61.0</v>
      </c>
    </row>
    <row r="1772">
      <c r="A1772" s="8" t="s">
        <v>3417</v>
      </c>
      <c r="B1772" s="8" t="s">
        <v>247</v>
      </c>
      <c r="C1772" s="8" t="s">
        <v>93</v>
      </c>
      <c r="D1772" s="18" t="s">
        <v>2593</v>
      </c>
      <c r="E1772" s="16">
        <v>70.0</v>
      </c>
    </row>
    <row r="1773">
      <c r="A1773" s="8" t="s">
        <v>305</v>
      </c>
      <c r="B1773" s="8" t="s">
        <v>277</v>
      </c>
      <c r="C1773" s="8" t="s">
        <v>65</v>
      </c>
      <c r="D1773" s="18" t="s">
        <v>2554</v>
      </c>
      <c r="E1773" s="16">
        <v>71.0</v>
      </c>
    </row>
    <row r="1774">
      <c r="A1774" s="8" t="s">
        <v>305</v>
      </c>
      <c r="B1774" s="8" t="s">
        <v>792</v>
      </c>
      <c r="C1774" s="8" t="s">
        <v>93</v>
      </c>
      <c r="D1774" s="18" t="s">
        <v>2600</v>
      </c>
      <c r="E1774" s="16">
        <v>64.0</v>
      </c>
    </row>
    <row r="1775">
      <c r="A1775" s="8" t="s">
        <v>305</v>
      </c>
      <c r="B1775" s="8" t="s">
        <v>1592</v>
      </c>
      <c r="C1775" s="8" t="s">
        <v>186</v>
      </c>
      <c r="D1775" s="18" t="s">
        <v>2600</v>
      </c>
      <c r="E1775" s="16">
        <v>65.0</v>
      </c>
    </row>
    <row r="1776">
      <c r="A1776" s="8" t="s">
        <v>305</v>
      </c>
      <c r="B1776" s="8" t="s">
        <v>793</v>
      </c>
      <c r="C1776" s="8" t="s">
        <v>65</v>
      </c>
      <c r="D1776" s="18" t="s">
        <v>2556</v>
      </c>
      <c r="E1776" s="16">
        <v>72.0</v>
      </c>
    </row>
    <row r="1777">
      <c r="A1777" s="8" t="s">
        <v>306</v>
      </c>
      <c r="B1777" s="8" t="s">
        <v>307</v>
      </c>
      <c r="C1777" s="8" t="s">
        <v>59</v>
      </c>
      <c r="D1777" s="18" t="s">
        <v>2595</v>
      </c>
      <c r="E1777" s="16">
        <v>78.0</v>
      </c>
    </row>
    <row r="1778">
      <c r="A1778" s="8" t="s">
        <v>1299</v>
      </c>
      <c r="B1778" s="8" t="s">
        <v>1300</v>
      </c>
      <c r="C1778" s="8" t="s">
        <v>138</v>
      </c>
      <c r="D1778" s="18" t="s">
        <v>2605</v>
      </c>
      <c r="E1778" s="16">
        <v>61.0</v>
      </c>
    </row>
    <row r="1779">
      <c r="A1779" s="8" t="s">
        <v>1016</v>
      </c>
      <c r="B1779" s="8" t="s">
        <v>1017</v>
      </c>
      <c r="C1779" s="8" t="s">
        <v>93</v>
      </c>
      <c r="D1779" s="18" t="s">
        <v>2587</v>
      </c>
      <c r="E1779" s="16">
        <v>74.0</v>
      </c>
    </row>
    <row r="1780">
      <c r="A1780" s="8" t="s">
        <v>308</v>
      </c>
      <c r="B1780" s="8" t="s">
        <v>423</v>
      </c>
      <c r="C1780" s="8" t="s">
        <v>65</v>
      </c>
      <c r="D1780" s="18" t="s">
        <v>2598</v>
      </c>
      <c r="E1780" s="16">
        <v>67.0</v>
      </c>
    </row>
    <row r="1781">
      <c r="A1781" s="8" t="s">
        <v>308</v>
      </c>
      <c r="B1781" s="8" t="s">
        <v>460</v>
      </c>
      <c r="C1781" s="8" t="s">
        <v>65</v>
      </c>
      <c r="D1781" s="18" t="s">
        <v>2584</v>
      </c>
      <c r="E1781" s="16">
        <v>88.0</v>
      </c>
    </row>
    <row r="1782">
      <c r="A1782" s="8" t="s">
        <v>308</v>
      </c>
      <c r="B1782" s="18" t="s">
        <v>1957</v>
      </c>
      <c r="C1782" s="8" t="s">
        <v>122</v>
      </c>
      <c r="D1782" s="18" t="s">
        <v>2554</v>
      </c>
      <c r="E1782" s="16">
        <v>72.0</v>
      </c>
    </row>
    <row r="1783">
      <c r="A1783" s="8" t="s">
        <v>308</v>
      </c>
      <c r="B1783" s="8" t="s">
        <v>304</v>
      </c>
      <c r="C1783" s="8" t="s">
        <v>46</v>
      </c>
      <c r="D1783" s="18" t="s">
        <v>2554</v>
      </c>
      <c r="E1783" s="16">
        <v>69.0</v>
      </c>
    </row>
    <row r="1784">
      <c r="A1784" s="8" t="s">
        <v>308</v>
      </c>
      <c r="B1784" s="8" t="s">
        <v>1735</v>
      </c>
      <c r="C1784" s="8" t="s">
        <v>65</v>
      </c>
      <c r="D1784" s="18" t="s">
        <v>2183</v>
      </c>
      <c r="E1784" s="16">
        <v>65.0</v>
      </c>
    </row>
    <row r="1785">
      <c r="A1785" s="8" t="s">
        <v>308</v>
      </c>
      <c r="B1785" s="8" t="s">
        <v>3821</v>
      </c>
      <c r="C1785" s="8" t="s">
        <v>70</v>
      </c>
      <c r="D1785" s="18" t="s">
        <v>2584</v>
      </c>
      <c r="E1785" s="16">
        <v>73.0</v>
      </c>
    </row>
    <row r="1786">
      <c r="A1786" s="8" t="s">
        <v>308</v>
      </c>
      <c r="B1786" s="8" t="s">
        <v>3022</v>
      </c>
      <c r="C1786" s="8" t="s">
        <v>53</v>
      </c>
      <c r="D1786" s="18" t="s">
        <v>2552</v>
      </c>
      <c r="E1786" s="16">
        <v>56.0</v>
      </c>
    </row>
    <row r="1787">
      <c r="A1787" s="8" t="s">
        <v>308</v>
      </c>
      <c r="B1787" s="8" t="s">
        <v>124</v>
      </c>
      <c r="C1787" s="8" t="s">
        <v>46</v>
      </c>
      <c r="D1787" s="18" t="s">
        <v>2593</v>
      </c>
      <c r="E1787" s="16">
        <v>77.0</v>
      </c>
    </row>
    <row r="1788">
      <c r="A1788" s="8" t="s">
        <v>308</v>
      </c>
      <c r="B1788" s="8" t="s">
        <v>301</v>
      </c>
      <c r="C1788" s="8" t="s">
        <v>93</v>
      </c>
      <c r="D1788" s="18" t="s">
        <v>2592</v>
      </c>
      <c r="E1788" s="16">
        <v>75.0</v>
      </c>
    </row>
    <row r="1789">
      <c r="A1789" s="8" t="s">
        <v>308</v>
      </c>
      <c r="B1789" s="8" t="s">
        <v>839</v>
      </c>
      <c r="C1789" s="8" t="s">
        <v>186</v>
      </c>
      <c r="D1789" s="18" t="s">
        <v>2566</v>
      </c>
      <c r="E1789" s="16">
        <v>75.0</v>
      </c>
    </row>
    <row r="1790">
      <c r="A1790" s="8" t="s">
        <v>308</v>
      </c>
      <c r="B1790" s="8" t="s">
        <v>3822</v>
      </c>
      <c r="C1790" s="8" t="s">
        <v>70</v>
      </c>
      <c r="D1790" s="18" t="s">
        <v>2560</v>
      </c>
      <c r="E1790" s="16">
        <v>74.0</v>
      </c>
    </row>
    <row r="1791">
      <c r="A1791" s="8" t="s">
        <v>308</v>
      </c>
      <c r="B1791" s="8" t="s">
        <v>194</v>
      </c>
      <c r="C1791" s="8" t="s">
        <v>93</v>
      </c>
      <c r="D1791" s="18" t="s">
        <v>2567</v>
      </c>
      <c r="E1791" s="16">
        <v>78.0</v>
      </c>
    </row>
    <row r="1792">
      <c r="A1792" s="8" t="s">
        <v>308</v>
      </c>
      <c r="B1792" s="8" t="s">
        <v>1786</v>
      </c>
      <c r="C1792" s="8" t="s">
        <v>93</v>
      </c>
      <c r="D1792" s="18" t="s">
        <v>2585</v>
      </c>
      <c r="E1792" s="16">
        <v>64.0</v>
      </c>
    </row>
    <row r="1793">
      <c r="A1793" s="8" t="s">
        <v>308</v>
      </c>
      <c r="B1793" s="8" t="s">
        <v>67</v>
      </c>
      <c r="C1793" s="8" t="s">
        <v>138</v>
      </c>
      <c r="D1793" s="18" t="s">
        <v>2603</v>
      </c>
      <c r="E1793" s="16">
        <v>58.0</v>
      </c>
    </row>
    <row r="1794">
      <c r="A1794" s="8" t="s">
        <v>308</v>
      </c>
      <c r="B1794" s="8" t="s">
        <v>1397</v>
      </c>
      <c r="C1794" s="8" t="s">
        <v>192</v>
      </c>
      <c r="D1794" s="18" t="s">
        <v>2574</v>
      </c>
      <c r="E1794" s="16">
        <v>68.0</v>
      </c>
    </row>
    <row r="1795">
      <c r="A1795" s="8" t="s">
        <v>308</v>
      </c>
      <c r="B1795" s="8" t="s">
        <v>1028</v>
      </c>
      <c r="C1795" s="8" t="s">
        <v>141</v>
      </c>
      <c r="D1795" s="18" t="s">
        <v>2572</v>
      </c>
      <c r="E1795" s="16">
        <v>65.0</v>
      </c>
    </row>
    <row r="1796">
      <c r="A1796" s="8" t="s">
        <v>3023</v>
      </c>
      <c r="B1796" s="8" t="s">
        <v>157</v>
      </c>
      <c r="C1796" s="8" t="s">
        <v>138</v>
      </c>
      <c r="D1796" s="18" t="s">
        <v>2552</v>
      </c>
      <c r="E1796" s="16">
        <v>79.0</v>
      </c>
    </row>
    <row r="1797">
      <c r="A1797" s="8" t="s">
        <v>1018</v>
      </c>
      <c r="B1797" s="8" t="s">
        <v>436</v>
      </c>
      <c r="C1797" s="8" t="s">
        <v>93</v>
      </c>
      <c r="D1797" s="18" t="s">
        <v>2620</v>
      </c>
      <c r="E1797" s="16">
        <v>83.0</v>
      </c>
    </row>
    <row r="1798">
      <c r="A1798" s="8" t="s">
        <v>97</v>
      </c>
      <c r="B1798" s="8" t="s">
        <v>98</v>
      </c>
      <c r="C1798" s="8" t="s">
        <v>16</v>
      </c>
      <c r="D1798" s="18" t="s">
        <v>2558</v>
      </c>
      <c r="E1798" s="16">
        <v>96.0</v>
      </c>
    </row>
    <row r="1799">
      <c r="A1799" s="8" t="s">
        <v>97</v>
      </c>
      <c r="B1799" s="8" t="s">
        <v>3024</v>
      </c>
      <c r="C1799" s="8" t="s">
        <v>70</v>
      </c>
      <c r="D1799" s="18" t="s">
        <v>2605</v>
      </c>
      <c r="E1799" s="16">
        <v>75.0</v>
      </c>
    </row>
    <row r="1800">
      <c r="A1800" s="8" t="s">
        <v>97</v>
      </c>
      <c r="B1800" s="8" t="s">
        <v>299</v>
      </c>
      <c r="C1800" s="8" t="s">
        <v>46</v>
      </c>
      <c r="D1800" s="18" t="s">
        <v>2566</v>
      </c>
      <c r="E1800" s="16">
        <v>66.0</v>
      </c>
    </row>
    <row r="1801">
      <c r="A1801" s="8" t="s">
        <v>97</v>
      </c>
      <c r="B1801" s="8" t="s">
        <v>315</v>
      </c>
      <c r="C1801" s="8" t="s">
        <v>24</v>
      </c>
      <c r="D1801" s="18" t="s">
        <v>2558</v>
      </c>
      <c r="E1801" s="16">
        <v>79.0</v>
      </c>
    </row>
    <row r="1802">
      <c r="A1802" s="8" t="s">
        <v>171</v>
      </c>
      <c r="B1802" s="8" t="s">
        <v>172</v>
      </c>
      <c r="C1802" s="8" t="s">
        <v>93</v>
      </c>
      <c r="D1802" s="18" t="s">
        <v>2566</v>
      </c>
      <c r="E1802" s="16">
        <v>87.0</v>
      </c>
    </row>
    <row r="1803">
      <c r="A1803" s="8" t="s">
        <v>49</v>
      </c>
      <c r="B1803" s="8" t="s">
        <v>50</v>
      </c>
      <c r="C1803" s="8" t="s">
        <v>16</v>
      </c>
      <c r="D1803" s="18" t="s">
        <v>2577</v>
      </c>
      <c r="E1803" s="16">
        <v>93.0</v>
      </c>
    </row>
    <row r="1804">
      <c r="A1804" s="8" t="s">
        <v>3419</v>
      </c>
      <c r="B1804" s="8" t="s">
        <v>3420</v>
      </c>
      <c r="C1804" s="8" t="s">
        <v>93</v>
      </c>
      <c r="D1804" s="18" t="s">
        <v>2575</v>
      </c>
      <c r="E1804" s="16">
        <v>67.0</v>
      </c>
    </row>
    <row r="1805">
      <c r="A1805" s="8" t="s">
        <v>3025</v>
      </c>
      <c r="B1805" s="8" t="s">
        <v>3026</v>
      </c>
      <c r="C1805" s="8" t="s">
        <v>93</v>
      </c>
      <c r="D1805" s="18" t="s">
        <v>2558</v>
      </c>
      <c r="E1805" s="16">
        <v>72.0</v>
      </c>
    </row>
    <row r="1806">
      <c r="A1806" s="8" t="s">
        <v>3823</v>
      </c>
      <c r="B1806" s="8" t="s">
        <v>140</v>
      </c>
      <c r="C1806" s="8" t="s">
        <v>16</v>
      </c>
      <c r="D1806" s="18" t="s">
        <v>2614</v>
      </c>
      <c r="E1806" s="16">
        <v>86.0</v>
      </c>
    </row>
    <row r="1807">
      <c r="A1807" s="8" t="s">
        <v>597</v>
      </c>
      <c r="B1807" s="8" t="s">
        <v>3824</v>
      </c>
      <c r="C1807" s="8" t="s">
        <v>80</v>
      </c>
      <c r="D1807" s="18" t="s">
        <v>2620</v>
      </c>
      <c r="E1807" s="16">
        <v>72.0</v>
      </c>
    </row>
    <row r="1808">
      <c r="A1808" s="8" t="s">
        <v>597</v>
      </c>
      <c r="B1808" s="8" t="s">
        <v>822</v>
      </c>
      <c r="C1808" s="8" t="s">
        <v>65</v>
      </c>
      <c r="D1808" s="18" t="s">
        <v>2560</v>
      </c>
      <c r="E1808" s="16">
        <v>66.0</v>
      </c>
    </row>
    <row r="1809">
      <c r="A1809" s="8" t="s">
        <v>597</v>
      </c>
      <c r="B1809" s="8" t="s">
        <v>598</v>
      </c>
      <c r="C1809" s="8" t="s">
        <v>65</v>
      </c>
      <c r="D1809" s="18" t="s">
        <v>2582</v>
      </c>
      <c r="E1809" s="16">
        <v>63.0</v>
      </c>
    </row>
    <row r="1810">
      <c r="A1810" s="8" t="s">
        <v>1303</v>
      </c>
      <c r="B1810" s="8" t="s">
        <v>129</v>
      </c>
      <c r="C1810" s="8" t="s">
        <v>93</v>
      </c>
      <c r="D1810" s="18" t="s">
        <v>2564</v>
      </c>
      <c r="E1810" s="16">
        <v>74.0</v>
      </c>
    </row>
    <row r="1811">
      <c r="A1811" s="8" t="s">
        <v>3825</v>
      </c>
      <c r="B1811" s="8" t="s">
        <v>1347</v>
      </c>
      <c r="C1811" s="8" t="s">
        <v>65</v>
      </c>
      <c r="D1811" s="18" t="s">
        <v>2605</v>
      </c>
      <c r="E1811" s="16">
        <v>77.0</v>
      </c>
    </row>
    <row r="1812">
      <c r="A1812" s="8" t="s">
        <v>3421</v>
      </c>
      <c r="B1812" s="8" t="s">
        <v>3422</v>
      </c>
      <c r="C1812" s="8" t="s">
        <v>122</v>
      </c>
      <c r="D1812" s="18" t="s">
        <v>2603</v>
      </c>
      <c r="E1812" s="16">
        <v>74.0</v>
      </c>
    </row>
    <row r="1813">
      <c r="A1813" s="8" t="s">
        <v>3027</v>
      </c>
      <c r="B1813" s="8" t="s">
        <v>3028</v>
      </c>
      <c r="C1813" s="8" t="s">
        <v>215</v>
      </c>
      <c r="D1813" s="18" t="s">
        <v>2589</v>
      </c>
      <c r="E1813" s="16">
        <v>76.0</v>
      </c>
    </row>
    <row r="1814">
      <c r="A1814" s="8" t="s">
        <v>1304</v>
      </c>
      <c r="B1814" s="8" t="s">
        <v>299</v>
      </c>
      <c r="C1814" s="8" t="s">
        <v>16</v>
      </c>
      <c r="D1814" s="18" t="s">
        <v>2554</v>
      </c>
      <c r="E1814" s="16">
        <v>64.0</v>
      </c>
    </row>
    <row r="1815">
      <c r="A1815" s="8" t="s">
        <v>599</v>
      </c>
      <c r="B1815" s="8" t="s">
        <v>214</v>
      </c>
      <c r="C1815" s="8" t="s">
        <v>24</v>
      </c>
      <c r="D1815" s="18" t="s">
        <v>2552</v>
      </c>
      <c r="E1815" s="16">
        <v>81.0</v>
      </c>
    </row>
    <row r="1816">
      <c r="A1816" s="8" t="s">
        <v>409</v>
      </c>
      <c r="B1816" s="8" t="s">
        <v>1306</v>
      </c>
      <c r="C1816" s="8" t="s">
        <v>65</v>
      </c>
      <c r="D1816" s="18" t="s">
        <v>2610</v>
      </c>
      <c r="E1816" s="16">
        <v>62.0</v>
      </c>
    </row>
    <row r="1817">
      <c r="A1817" s="8" t="s">
        <v>409</v>
      </c>
      <c r="B1817" s="8" t="s">
        <v>1596</v>
      </c>
      <c r="C1817" s="8" t="s">
        <v>93</v>
      </c>
      <c r="D1817" s="18" t="s">
        <v>2183</v>
      </c>
      <c r="E1817" s="16">
        <v>70.0</v>
      </c>
    </row>
    <row r="1818">
      <c r="A1818" s="8" t="s">
        <v>409</v>
      </c>
      <c r="B1818" s="8" t="s">
        <v>67</v>
      </c>
      <c r="C1818" s="8" t="s">
        <v>215</v>
      </c>
      <c r="D1818" s="18" t="s">
        <v>2614</v>
      </c>
      <c r="E1818" s="16">
        <v>63.0</v>
      </c>
    </row>
    <row r="1819">
      <c r="A1819" s="8" t="s">
        <v>67</v>
      </c>
      <c r="B1819" s="8" t="s">
        <v>299</v>
      </c>
      <c r="C1819" s="8" t="s">
        <v>186</v>
      </c>
      <c r="D1819" s="18" t="s">
        <v>2558</v>
      </c>
      <c r="E1819" s="16">
        <v>70.0</v>
      </c>
    </row>
    <row r="1820">
      <c r="A1820" s="8" t="s">
        <v>67</v>
      </c>
      <c r="B1820" s="8" t="s">
        <v>181</v>
      </c>
      <c r="C1820" s="8" t="s">
        <v>38</v>
      </c>
      <c r="D1820" s="18" t="s">
        <v>2603</v>
      </c>
      <c r="E1820" s="16">
        <v>81.0</v>
      </c>
    </row>
    <row r="1821">
      <c r="A1821" s="8" t="s">
        <v>67</v>
      </c>
      <c r="B1821" s="8" t="s">
        <v>222</v>
      </c>
      <c r="C1821" s="8" t="s">
        <v>93</v>
      </c>
      <c r="D1821" s="18" t="s">
        <v>2600</v>
      </c>
      <c r="E1821" s="16">
        <v>84.0</v>
      </c>
    </row>
    <row r="1822">
      <c r="A1822" s="8" t="s">
        <v>67</v>
      </c>
      <c r="B1822" s="8" t="s">
        <v>33</v>
      </c>
      <c r="C1822" s="8" t="s">
        <v>16</v>
      </c>
      <c r="D1822" s="18" t="s">
        <v>2598</v>
      </c>
      <c r="E1822" s="16">
        <v>84.0</v>
      </c>
    </row>
    <row r="1823">
      <c r="A1823" s="8" t="s">
        <v>3029</v>
      </c>
      <c r="B1823" s="8" t="s">
        <v>310</v>
      </c>
      <c r="C1823" s="8" t="s">
        <v>75</v>
      </c>
      <c r="D1823" s="18" t="s">
        <v>2593</v>
      </c>
      <c r="E1823" s="16">
        <v>73.0</v>
      </c>
    </row>
    <row r="1824">
      <c r="A1824" s="8" t="s">
        <v>3826</v>
      </c>
      <c r="B1824" s="8" t="s">
        <v>124</v>
      </c>
      <c r="C1824" s="8" t="s">
        <v>65</v>
      </c>
      <c r="D1824" s="18" t="s">
        <v>2587</v>
      </c>
      <c r="E1824" s="16">
        <v>67.0</v>
      </c>
    </row>
    <row r="1825">
      <c r="A1825" s="8" t="s">
        <v>1019</v>
      </c>
      <c r="B1825" s="8" t="s">
        <v>170</v>
      </c>
      <c r="C1825" s="8" t="s">
        <v>46</v>
      </c>
      <c r="D1825" s="18" t="s">
        <v>2620</v>
      </c>
      <c r="E1825" s="16">
        <v>70.0</v>
      </c>
    </row>
    <row r="1826">
      <c r="A1826" s="8" t="s">
        <v>2228</v>
      </c>
      <c r="B1826" s="8" t="s">
        <v>260</v>
      </c>
      <c r="C1826" s="8" t="s">
        <v>192</v>
      </c>
      <c r="D1826" s="18" t="s">
        <v>2584</v>
      </c>
      <c r="E1826" s="16">
        <v>69.0</v>
      </c>
    </row>
    <row r="1827">
      <c r="A1827" s="8" t="s">
        <v>3423</v>
      </c>
      <c r="B1827" s="8" t="s">
        <v>3058</v>
      </c>
      <c r="C1827" s="8" t="s">
        <v>141</v>
      </c>
      <c r="D1827" s="18" t="s">
        <v>2587</v>
      </c>
      <c r="E1827" s="16">
        <v>54.0</v>
      </c>
    </row>
    <row r="1828">
      <c r="A1828" s="8" t="s">
        <v>1960</v>
      </c>
      <c r="B1828" s="8" t="s">
        <v>471</v>
      </c>
      <c r="C1828" s="8" t="s">
        <v>16</v>
      </c>
      <c r="D1828" s="18" t="s">
        <v>2620</v>
      </c>
      <c r="E1828" s="16">
        <v>72.0</v>
      </c>
    </row>
    <row r="1829">
      <c r="A1829" s="8" t="s">
        <v>1960</v>
      </c>
      <c r="B1829" s="8" t="s">
        <v>750</v>
      </c>
      <c r="C1829" s="8" t="s">
        <v>93</v>
      </c>
      <c r="D1829" s="18" t="s">
        <v>2574</v>
      </c>
      <c r="E1829" s="16">
        <v>64.0</v>
      </c>
    </row>
    <row r="1830">
      <c r="A1830" s="8" t="s">
        <v>225</v>
      </c>
      <c r="B1830" s="8" t="s">
        <v>226</v>
      </c>
      <c r="C1830" s="8" t="s">
        <v>65</v>
      </c>
      <c r="D1830" s="18" t="s">
        <v>2620</v>
      </c>
      <c r="E1830" s="16">
        <v>88.0</v>
      </c>
    </row>
    <row r="1831">
      <c r="A1831" s="8" t="s">
        <v>3030</v>
      </c>
      <c r="B1831" s="8" t="s">
        <v>479</v>
      </c>
      <c r="C1831" s="8" t="s">
        <v>24</v>
      </c>
      <c r="D1831" s="18" t="s">
        <v>2574</v>
      </c>
      <c r="E1831" s="16">
        <v>65.0</v>
      </c>
    </row>
    <row r="1832">
      <c r="A1832" s="8" t="s">
        <v>3827</v>
      </c>
      <c r="B1832" s="8" t="s">
        <v>3828</v>
      </c>
      <c r="C1832" s="8" t="s">
        <v>192</v>
      </c>
      <c r="D1832" s="18" t="s">
        <v>2595</v>
      </c>
      <c r="E1832" s="16">
        <v>73.0</v>
      </c>
    </row>
    <row r="1833">
      <c r="A1833" s="8" t="s">
        <v>1962</v>
      </c>
      <c r="B1833" s="8" t="s">
        <v>3176</v>
      </c>
      <c r="C1833" s="8" t="s">
        <v>70</v>
      </c>
      <c r="D1833" s="18" t="s">
        <v>2621</v>
      </c>
      <c r="E1833" s="16">
        <v>73.0</v>
      </c>
    </row>
    <row r="1834">
      <c r="A1834" s="8" t="s">
        <v>1020</v>
      </c>
      <c r="B1834" s="8" t="s">
        <v>1021</v>
      </c>
      <c r="C1834" s="8" t="s">
        <v>12</v>
      </c>
      <c r="D1834" s="18" t="s">
        <v>2183</v>
      </c>
      <c r="E1834" s="16">
        <v>76.0</v>
      </c>
    </row>
    <row r="1835">
      <c r="A1835" s="8" t="s">
        <v>3829</v>
      </c>
      <c r="B1835" s="8" t="s">
        <v>425</v>
      </c>
      <c r="C1835" s="8" t="s">
        <v>65</v>
      </c>
      <c r="D1835" s="18" t="s">
        <v>2598</v>
      </c>
      <c r="E1835" s="16">
        <v>77.0</v>
      </c>
    </row>
    <row r="1836">
      <c r="A1836" s="8" t="s">
        <v>600</v>
      </c>
      <c r="B1836" s="8" t="s">
        <v>15</v>
      </c>
      <c r="C1836" s="8" t="s">
        <v>16</v>
      </c>
      <c r="D1836" s="18" t="s">
        <v>2562</v>
      </c>
      <c r="E1836" s="16">
        <v>65.0</v>
      </c>
    </row>
    <row r="1837">
      <c r="A1837" s="8" t="s">
        <v>3424</v>
      </c>
      <c r="B1837" s="8" t="s">
        <v>542</v>
      </c>
      <c r="C1837" s="8" t="s">
        <v>24</v>
      </c>
      <c r="D1837" s="18" t="s">
        <v>2560</v>
      </c>
      <c r="E1837" s="16">
        <v>62.0</v>
      </c>
    </row>
    <row r="1838">
      <c r="A1838" s="8" t="s">
        <v>311</v>
      </c>
      <c r="B1838" s="8" t="s">
        <v>194</v>
      </c>
      <c r="C1838" s="8" t="s">
        <v>24</v>
      </c>
      <c r="D1838" s="18" t="s">
        <v>2605</v>
      </c>
      <c r="E1838" s="16">
        <v>40.0</v>
      </c>
    </row>
    <row r="1839">
      <c r="A1839" s="8" t="s">
        <v>3032</v>
      </c>
      <c r="B1839" s="8" t="s">
        <v>2062</v>
      </c>
      <c r="C1839" s="8" t="s">
        <v>93</v>
      </c>
      <c r="D1839" s="18" t="s">
        <v>2614</v>
      </c>
      <c r="E1839" s="16">
        <v>87.0</v>
      </c>
    </row>
    <row r="1840">
      <c r="A1840" s="8" t="s">
        <v>32</v>
      </c>
      <c r="B1840" s="8" t="s">
        <v>33</v>
      </c>
      <c r="C1840" s="8" t="s">
        <v>16</v>
      </c>
      <c r="D1840" s="18" t="s">
        <v>2598</v>
      </c>
      <c r="E1840" s="16">
        <v>70.0</v>
      </c>
    </row>
    <row r="1841">
      <c r="A1841" s="8" t="s">
        <v>1022</v>
      </c>
      <c r="B1841" s="8" t="s">
        <v>121</v>
      </c>
      <c r="C1841" s="8" t="s">
        <v>132</v>
      </c>
      <c r="D1841" s="18" t="s">
        <v>2582</v>
      </c>
      <c r="E1841" s="16">
        <v>78.0</v>
      </c>
    </row>
    <row r="1842">
      <c r="A1842" s="8" t="s">
        <v>3033</v>
      </c>
      <c r="B1842" s="8" t="s">
        <v>3034</v>
      </c>
      <c r="C1842" s="8" t="s">
        <v>38</v>
      </c>
      <c r="D1842" s="18" t="s">
        <v>2587</v>
      </c>
      <c r="E1842" s="16">
        <v>77.0</v>
      </c>
    </row>
    <row r="1843">
      <c r="A1843" s="8" t="s">
        <v>1600</v>
      </c>
      <c r="B1843" s="8" t="s">
        <v>102</v>
      </c>
      <c r="C1843" s="8" t="s">
        <v>59</v>
      </c>
      <c r="D1843" s="18" t="s">
        <v>2615</v>
      </c>
      <c r="E1843" s="16">
        <v>65.0</v>
      </c>
    </row>
    <row r="1844">
      <c r="A1844" s="8" t="s">
        <v>794</v>
      </c>
      <c r="B1844" s="8" t="s">
        <v>137</v>
      </c>
      <c r="C1844" s="8" t="s">
        <v>149</v>
      </c>
      <c r="D1844" s="18" t="s">
        <v>2620</v>
      </c>
      <c r="E1844" s="16">
        <v>68.0</v>
      </c>
    </row>
    <row r="1845">
      <c r="A1845" s="8" t="s">
        <v>3830</v>
      </c>
      <c r="B1845" s="8" t="s">
        <v>804</v>
      </c>
      <c r="C1845" s="8" t="s">
        <v>141</v>
      </c>
      <c r="D1845" s="18" t="s">
        <v>2577</v>
      </c>
      <c r="E1845" s="16">
        <v>59.0</v>
      </c>
    </row>
    <row r="1846">
      <c r="A1846" s="8" t="s">
        <v>3035</v>
      </c>
      <c r="B1846" s="8" t="s">
        <v>67</v>
      </c>
      <c r="C1846" s="8" t="s">
        <v>149</v>
      </c>
      <c r="D1846" s="18" t="s">
        <v>2598</v>
      </c>
      <c r="E1846" s="16">
        <v>85.0</v>
      </c>
    </row>
    <row r="1847">
      <c r="A1847" s="8" t="s">
        <v>3831</v>
      </c>
      <c r="B1847" s="8" t="s">
        <v>1479</v>
      </c>
      <c r="C1847" s="8" t="s">
        <v>38</v>
      </c>
      <c r="D1847" s="18" t="s">
        <v>2592</v>
      </c>
      <c r="E1847" s="16">
        <v>78.0</v>
      </c>
    </row>
    <row r="1848">
      <c r="A1848" s="8" t="s">
        <v>426</v>
      </c>
      <c r="B1848" s="8" t="s">
        <v>1635</v>
      </c>
      <c r="C1848" s="8" t="s">
        <v>132</v>
      </c>
      <c r="D1848" s="18" t="s">
        <v>2554</v>
      </c>
      <c r="E1848" s="16">
        <v>81.0</v>
      </c>
    </row>
    <row r="1849">
      <c r="A1849" s="8" t="s">
        <v>426</v>
      </c>
      <c r="B1849" s="8" t="s">
        <v>427</v>
      </c>
      <c r="C1849" s="8" t="s">
        <v>149</v>
      </c>
      <c r="D1849" s="18" t="s">
        <v>2183</v>
      </c>
      <c r="E1849" s="16">
        <v>86.0</v>
      </c>
    </row>
    <row r="1850">
      <c r="A1850" s="8" t="s">
        <v>1602</v>
      </c>
      <c r="B1850" s="8" t="s">
        <v>542</v>
      </c>
      <c r="C1850" s="8" t="s">
        <v>75</v>
      </c>
      <c r="D1850" s="18" t="s">
        <v>2598</v>
      </c>
      <c r="E1850" s="16">
        <v>64.0</v>
      </c>
    </row>
    <row r="1851">
      <c r="A1851" s="8" t="s">
        <v>3425</v>
      </c>
      <c r="B1851" s="8" t="s">
        <v>157</v>
      </c>
      <c r="C1851" s="8" t="s">
        <v>141</v>
      </c>
      <c r="D1851" s="18" t="s">
        <v>2621</v>
      </c>
      <c r="E1851" s="16">
        <v>71.0</v>
      </c>
    </row>
    <row r="1852">
      <c r="A1852" s="8" t="s">
        <v>3832</v>
      </c>
      <c r="B1852" s="8" t="s">
        <v>183</v>
      </c>
      <c r="C1852" s="8" t="s">
        <v>38</v>
      </c>
      <c r="D1852" s="18" t="s">
        <v>2574</v>
      </c>
      <c r="E1852" s="16">
        <v>77.0</v>
      </c>
    </row>
    <row r="1853">
      <c r="A1853" s="8" t="s">
        <v>1031</v>
      </c>
      <c r="B1853" s="8" t="s">
        <v>275</v>
      </c>
      <c r="C1853" s="8" t="s">
        <v>132</v>
      </c>
      <c r="D1853" s="18" t="s">
        <v>2574</v>
      </c>
      <c r="E1853" s="16">
        <v>70.0</v>
      </c>
    </row>
    <row r="1854">
      <c r="A1854" s="8" t="s">
        <v>1031</v>
      </c>
      <c r="B1854" s="8" t="s">
        <v>64</v>
      </c>
      <c r="C1854" s="8" t="s">
        <v>93</v>
      </c>
      <c r="D1854" s="18" t="s">
        <v>2572</v>
      </c>
      <c r="E1854" s="16">
        <v>59.0</v>
      </c>
    </row>
    <row r="1855">
      <c r="A1855" s="8" t="s">
        <v>3833</v>
      </c>
      <c r="B1855" s="8" t="s">
        <v>124</v>
      </c>
      <c r="C1855" s="8" t="s">
        <v>24</v>
      </c>
      <c r="D1855" s="18" t="s">
        <v>2605</v>
      </c>
      <c r="E1855" s="16">
        <v>60.0</v>
      </c>
    </row>
    <row r="1856">
      <c r="A1856" s="8" t="s">
        <v>3037</v>
      </c>
      <c r="B1856" s="8" t="s">
        <v>1334</v>
      </c>
      <c r="C1856" s="8" t="s">
        <v>93</v>
      </c>
      <c r="D1856" s="18" t="s">
        <v>2587</v>
      </c>
      <c r="E1856" s="16">
        <v>65.0</v>
      </c>
    </row>
    <row r="1857">
      <c r="A1857" s="8" t="s">
        <v>3038</v>
      </c>
      <c r="B1857" s="18" t="s">
        <v>3039</v>
      </c>
      <c r="C1857" s="8" t="s">
        <v>192</v>
      </c>
      <c r="D1857" s="18" t="s">
        <v>2621</v>
      </c>
      <c r="E1857" s="16">
        <v>85.0</v>
      </c>
    </row>
    <row r="1858">
      <c r="A1858" s="8" t="s">
        <v>3426</v>
      </c>
      <c r="B1858" s="8" t="s">
        <v>1312</v>
      </c>
      <c r="C1858" s="8" t="s">
        <v>59</v>
      </c>
      <c r="D1858" s="18" t="s">
        <v>2593</v>
      </c>
      <c r="E1858" s="16">
        <v>59.0</v>
      </c>
    </row>
    <row r="1859">
      <c r="A1859" s="8" t="s">
        <v>3040</v>
      </c>
      <c r="B1859" s="8" t="s">
        <v>464</v>
      </c>
      <c r="C1859" s="8" t="s">
        <v>24</v>
      </c>
      <c r="D1859" s="18" t="s">
        <v>2592</v>
      </c>
      <c r="E1859" s="16">
        <v>78.0</v>
      </c>
    </row>
    <row r="1860">
      <c r="A1860" s="8" t="s">
        <v>312</v>
      </c>
      <c r="B1860" s="8" t="s">
        <v>55</v>
      </c>
      <c r="C1860" s="8" t="s">
        <v>192</v>
      </c>
      <c r="D1860" s="18" t="s">
        <v>2552</v>
      </c>
      <c r="E1860" s="16">
        <v>78.0</v>
      </c>
    </row>
    <row r="1861">
      <c r="A1861" s="8" t="s">
        <v>3041</v>
      </c>
      <c r="B1861" s="8" t="s">
        <v>3042</v>
      </c>
      <c r="C1861" s="8" t="s">
        <v>93</v>
      </c>
      <c r="D1861" s="18" t="s">
        <v>2593</v>
      </c>
      <c r="E1861" s="16">
        <v>71.0</v>
      </c>
    </row>
    <row r="1862">
      <c r="A1862" s="8" t="s">
        <v>1610</v>
      </c>
      <c r="B1862" s="8" t="s">
        <v>1611</v>
      </c>
      <c r="C1862" s="8" t="s">
        <v>75</v>
      </c>
      <c r="D1862" s="18" t="s">
        <v>2564</v>
      </c>
      <c r="E1862" s="16">
        <v>69.0</v>
      </c>
    </row>
    <row r="1863">
      <c r="A1863" s="8" t="s">
        <v>3834</v>
      </c>
      <c r="B1863" s="8" t="s">
        <v>3835</v>
      </c>
      <c r="C1863" s="8" t="s">
        <v>65</v>
      </c>
      <c r="D1863" s="18" t="s">
        <v>2577</v>
      </c>
      <c r="E1863" s="16">
        <v>62.0</v>
      </c>
    </row>
    <row r="1864">
      <c r="A1864" s="8" t="s">
        <v>1608</v>
      </c>
      <c r="B1864" s="8" t="s">
        <v>1609</v>
      </c>
      <c r="C1864" s="8" t="s">
        <v>93</v>
      </c>
      <c r="D1864" s="18" t="s">
        <v>2587</v>
      </c>
      <c r="E1864" s="16">
        <v>63.0</v>
      </c>
    </row>
    <row r="1865">
      <c r="A1865" s="8" t="s">
        <v>1608</v>
      </c>
      <c r="B1865" s="8" t="s">
        <v>67</v>
      </c>
      <c r="C1865" s="8" t="s">
        <v>75</v>
      </c>
      <c r="D1865" s="18" t="s">
        <v>2566</v>
      </c>
      <c r="E1865" s="16">
        <v>68.0</v>
      </c>
    </row>
    <row r="1866">
      <c r="A1866" s="8" t="s">
        <v>3043</v>
      </c>
      <c r="B1866" s="8" t="s">
        <v>1380</v>
      </c>
      <c r="C1866" s="8" t="s">
        <v>65</v>
      </c>
      <c r="D1866" s="18" t="s">
        <v>2564</v>
      </c>
      <c r="E1866" s="16">
        <v>63.0</v>
      </c>
    </row>
    <row r="1867">
      <c r="A1867" s="8" t="s">
        <v>1969</v>
      </c>
      <c r="B1867" s="8" t="s">
        <v>1970</v>
      </c>
      <c r="C1867" s="8" t="s">
        <v>65</v>
      </c>
      <c r="D1867" s="18" t="s">
        <v>2621</v>
      </c>
      <c r="E1867" s="16">
        <v>69.0</v>
      </c>
    </row>
    <row r="1868">
      <c r="A1868" s="8" t="s">
        <v>795</v>
      </c>
      <c r="B1868" s="8" t="s">
        <v>676</v>
      </c>
      <c r="C1868" s="8" t="s">
        <v>141</v>
      </c>
      <c r="D1868" s="18" t="s">
        <v>2584</v>
      </c>
      <c r="E1868" s="16">
        <v>66.0</v>
      </c>
    </row>
    <row r="1869">
      <c r="A1869" s="8" t="s">
        <v>1023</v>
      </c>
      <c r="B1869" s="8" t="s">
        <v>1131</v>
      </c>
      <c r="C1869" s="8" t="s">
        <v>16</v>
      </c>
      <c r="D1869" s="18" t="s">
        <v>2605</v>
      </c>
      <c r="E1869" s="16">
        <v>59.0</v>
      </c>
    </row>
    <row r="1870">
      <c r="A1870" s="8" t="s">
        <v>1023</v>
      </c>
      <c r="B1870" s="8" t="s">
        <v>301</v>
      </c>
      <c r="C1870" s="8" t="s">
        <v>93</v>
      </c>
      <c r="D1870" s="18" t="s">
        <v>2610</v>
      </c>
      <c r="E1870" s="16">
        <v>70.0</v>
      </c>
    </row>
    <row r="1871">
      <c r="A1871" s="8" t="s">
        <v>1309</v>
      </c>
      <c r="B1871" s="8" t="s">
        <v>67</v>
      </c>
      <c r="C1871" s="8" t="s">
        <v>186</v>
      </c>
      <c r="D1871" s="18" t="s">
        <v>2577</v>
      </c>
      <c r="E1871" s="16">
        <v>79.0</v>
      </c>
    </row>
    <row r="1872">
      <c r="A1872" s="8" t="s">
        <v>3044</v>
      </c>
      <c r="B1872" s="8" t="s">
        <v>1339</v>
      </c>
      <c r="C1872" s="8" t="s">
        <v>93</v>
      </c>
      <c r="D1872" s="18" t="s">
        <v>2603</v>
      </c>
      <c r="E1872" s="16">
        <v>67.0</v>
      </c>
    </row>
    <row r="1873">
      <c r="A1873" s="8" t="s">
        <v>428</v>
      </c>
      <c r="B1873" s="8" t="s">
        <v>429</v>
      </c>
      <c r="C1873" s="8" t="s">
        <v>215</v>
      </c>
      <c r="D1873" s="18" t="s">
        <v>2600</v>
      </c>
      <c r="E1873" s="16">
        <v>88.0</v>
      </c>
    </row>
    <row r="1874">
      <c r="A1874" s="8" t="s">
        <v>709</v>
      </c>
      <c r="B1874" s="8" t="s">
        <v>1473</v>
      </c>
      <c r="C1874" s="8" t="s">
        <v>215</v>
      </c>
      <c r="D1874" s="18" t="s">
        <v>2598</v>
      </c>
      <c r="E1874" s="16">
        <v>72.0</v>
      </c>
    </row>
    <row r="1875">
      <c r="A1875" s="8" t="s">
        <v>1024</v>
      </c>
      <c r="B1875" s="8" t="s">
        <v>121</v>
      </c>
      <c r="C1875" s="8" t="s">
        <v>149</v>
      </c>
      <c r="D1875" s="18" t="s">
        <v>2560</v>
      </c>
      <c r="E1875" s="16">
        <v>66.0</v>
      </c>
    </row>
    <row r="1876">
      <c r="A1876" s="8" t="s">
        <v>1310</v>
      </c>
      <c r="B1876" s="8" t="s">
        <v>134</v>
      </c>
      <c r="C1876" s="8" t="s">
        <v>122</v>
      </c>
      <c r="D1876" s="18" t="s">
        <v>2615</v>
      </c>
      <c r="E1876" s="16">
        <v>72.0</v>
      </c>
    </row>
    <row r="1877">
      <c r="A1877" s="8" t="s">
        <v>796</v>
      </c>
      <c r="B1877" s="8" t="s">
        <v>409</v>
      </c>
      <c r="C1877" s="8" t="s">
        <v>65</v>
      </c>
      <c r="D1877" s="18" t="s">
        <v>2592</v>
      </c>
      <c r="E1877" s="16">
        <v>65.0</v>
      </c>
    </row>
    <row r="1878">
      <c r="A1878" s="8" t="s">
        <v>796</v>
      </c>
      <c r="B1878" s="8" t="s">
        <v>1035</v>
      </c>
      <c r="C1878" s="8" t="s">
        <v>65</v>
      </c>
      <c r="D1878" s="18" t="s">
        <v>2566</v>
      </c>
      <c r="E1878" s="16">
        <v>74.0</v>
      </c>
    </row>
    <row r="1879">
      <c r="A1879" s="8" t="s">
        <v>1614</v>
      </c>
      <c r="B1879" s="8" t="s">
        <v>464</v>
      </c>
      <c r="C1879" s="8" t="s">
        <v>46</v>
      </c>
      <c r="D1879" s="18" t="s">
        <v>2552</v>
      </c>
      <c r="E1879" s="16">
        <v>63.0</v>
      </c>
    </row>
    <row r="1880">
      <c r="A1880" s="8" t="s">
        <v>1614</v>
      </c>
      <c r="B1880" s="8" t="s">
        <v>3836</v>
      </c>
      <c r="C1880" s="8" t="s">
        <v>93</v>
      </c>
      <c r="D1880" s="18" t="s">
        <v>2564</v>
      </c>
      <c r="E1880" s="16">
        <v>64.0</v>
      </c>
    </row>
    <row r="1881">
      <c r="A1881" s="8" t="s">
        <v>3837</v>
      </c>
      <c r="B1881" s="8" t="s">
        <v>347</v>
      </c>
      <c r="C1881" s="8" t="s">
        <v>186</v>
      </c>
      <c r="D1881" s="18" t="s">
        <v>2566</v>
      </c>
      <c r="E1881" s="16">
        <v>68.0</v>
      </c>
    </row>
    <row r="1882">
      <c r="A1882" s="8" t="s">
        <v>313</v>
      </c>
      <c r="B1882" s="8" t="s">
        <v>247</v>
      </c>
      <c r="C1882" s="8" t="s">
        <v>93</v>
      </c>
      <c r="D1882" s="18" t="s">
        <v>2552</v>
      </c>
      <c r="E1882" s="16">
        <v>69.0</v>
      </c>
    </row>
    <row r="1883">
      <c r="A1883" s="8" t="s">
        <v>314</v>
      </c>
      <c r="B1883" s="8" t="s">
        <v>212</v>
      </c>
      <c r="C1883" s="8" t="s">
        <v>261</v>
      </c>
      <c r="D1883" s="18" t="s">
        <v>2183</v>
      </c>
      <c r="E1883" s="16">
        <v>81.0</v>
      </c>
    </row>
    <row r="1884">
      <c r="A1884" s="8" t="s">
        <v>314</v>
      </c>
      <c r="B1884" s="8" t="s">
        <v>315</v>
      </c>
      <c r="C1884" s="8" t="s">
        <v>93</v>
      </c>
      <c r="D1884" s="18" t="s">
        <v>2603</v>
      </c>
      <c r="E1884" s="16">
        <v>92.0</v>
      </c>
    </row>
    <row r="1885">
      <c r="A1885" s="8" t="s">
        <v>3045</v>
      </c>
      <c r="B1885" s="8" t="s">
        <v>41</v>
      </c>
      <c r="C1885" s="8" t="s">
        <v>93</v>
      </c>
      <c r="D1885" s="18" t="s">
        <v>2558</v>
      </c>
      <c r="E1885" s="16">
        <v>86.0</v>
      </c>
    </row>
    <row r="1886">
      <c r="A1886" s="8" t="s">
        <v>173</v>
      </c>
      <c r="B1886" s="18" t="s">
        <v>174</v>
      </c>
      <c r="C1886" s="8" t="s">
        <v>141</v>
      </c>
      <c r="D1886" s="18" t="s">
        <v>2589</v>
      </c>
      <c r="E1886" s="16">
        <v>71.0</v>
      </c>
    </row>
    <row r="1887">
      <c r="A1887" s="8" t="s">
        <v>3046</v>
      </c>
      <c r="B1887" s="8" t="s">
        <v>3047</v>
      </c>
      <c r="C1887" s="8" t="s">
        <v>122</v>
      </c>
      <c r="D1887" s="18" t="s">
        <v>2564</v>
      </c>
      <c r="E1887" s="16">
        <v>60.0</v>
      </c>
    </row>
    <row r="1888">
      <c r="A1888" s="8" t="s">
        <v>430</v>
      </c>
      <c r="B1888" s="8" t="s">
        <v>431</v>
      </c>
      <c r="C1888" s="8" t="s">
        <v>122</v>
      </c>
      <c r="D1888" s="18" t="s">
        <v>2574</v>
      </c>
      <c r="E1888" s="16">
        <v>92.0</v>
      </c>
    </row>
    <row r="1889">
      <c r="A1889" s="8" t="s">
        <v>3838</v>
      </c>
      <c r="B1889" s="8" t="s">
        <v>3839</v>
      </c>
      <c r="C1889" s="8" t="s">
        <v>65</v>
      </c>
      <c r="D1889" s="18" t="s">
        <v>2562</v>
      </c>
      <c r="E1889" s="16">
        <v>73.0</v>
      </c>
    </row>
    <row r="1890">
      <c r="A1890" s="8" t="s">
        <v>1025</v>
      </c>
      <c r="B1890" s="8" t="s">
        <v>1026</v>
      </c>
      <c r="C1890" s="8" t="s">
        <v>16</v>
      </c>
      <c r="D1890" s="18" t="s">
        <v>2614</v>
      </c>
      <c r="E1890" s="16">
        <v>56.0</v>
      </c>
    </row>
    <row r="1891">
      <c r="A1891" s="8" t="s">
        <v>1025</v>
      </c>
      <c r="B1891" s="8" t="s">
        <v>3840</v>
      </c>
      <c r="C1891" s="8" t="s">
        <v>65</v>
      </c>
      <c r="D1891" s="18" t="s">
        <v>2582</v>
      </c>
      <c r="E1891" s="16">
        <v>60.0</v>
      </c>
    </row>
    <row r="1892">
      <c r="A1892" s="8" t="s">
        <v>1027</v>
      </c>
      <c r="B1892" s="8" t="s">
        <v>1028</v>
      </c>
      <c r="C1892" s="8" t="s">
        <v>16</v>
      </c>
      <c r="D1892" s="18" t="s">
        <v>2620</v>
      </c>
      <c r="E1892" s="16">
        <v>60.0</v>
      </c>
    </row>
    <row r="1893">
      <c r="A1893" s="8" t="s">
        <v>3841</v>
      </c>
      <c r="B1893" s="8" t="s">
        <v>3842</v>
      </c>
      <c r="C1893" s="8" t="s">
        <v>122</v>
      </c>
      <c r="D1893" s="18" t="s">
        <v>2577</v>
      </c>
      <c r="E1893" s="16">
        <v>58.0</v>
      </c>
    </row>
    <row r="1894">
      <c r="A1894" s="8" t="s">
        <v>1311</v>
      </c>
      <c r="B1894" s="8" t="s">
        <v>1312</v>
      </c>
      <c r="C1894" s="8" t="s">
        <v>75</v>
      </c>
      <c r="D1894" s="18" t="s">
        <v>2585</v>
      </c>
      <c r="E1894" s="16">
        <v>67.0</v>
      </c>
    </row>
    <row r="1895">
      <c r="A1895" s="8" t="s">
        <v>3431</v>
      </c>
      <c r="B1895" s="8" t="s">
        <v>3432</v>
      </c>
      <c r="C1895" s="8" t="s">
        <v>122</v>
      </c>
      <c r="D1895" s="18" t="s">
        <v>2603</v>
      </c>
      <c r="E1895" s="16">
        <v>73.0</v>
      </c>
    </row>
    <row r="1896">
      <c r="A1896" s="8" t="s">
        <v>1615</v>
      </c>
      <c r="B1896" s="8" t="s">
        <v>381</v>
      </c>
      <c r="C1896" s="8" t="s">
        <v>80</v>
      </c>
      <c r="D1896" s="18" t="s">
        <v>2620</v>
      </c>
      <c r="E1896" s="16">
        <v>70.0</v>
      </c>
    </row>
    <row r="1897">
      <c r="A1897" s="8" t="s">
        <v>3433</v>
      </c>
      <c r="B1897" s="8" t="s">
        <v>33</v>
      </c>
      <c r="C1897" s="8" t="s">
        <v>16</v>
      </c>
      <c r="D1897" s="18" t="s">
        <v>2598</v>
      </c>
      <c r="E1897" s="16">
        <v>61.0</v>
      </c>
    </row>
    <row r="1898">
      <c r="A1898" s="8" t="s">
        <v>601</v>
      </c>
      <c r="B1898" s="8" t="s">
        <v>569</v>
      </c>
      <c r="C1898" s="8" t="s">
        <v>122</v>
      </c>
      <c r="D1898" s="18" t="s">
        <v>2560</v>
      </c>
      <c r="E1898" s="16">
        <v>58.0</v>
      </c>
    </row>
    <row r="1899">
      <c r="A1899" s="8" t="s">
        <v>601</v>
      </c>
      <c r="B1899" s="8" t="s">
        <v>23</v>
      </c>
      <c r="C1899" s="8" t="s">
        <v>59</v>
      </c>
      <c r="D1899" s="18" t="s">
        <v>2562</v>
      </c>
      <c r="E1899" s="16">
        <v>74.0</v>
      </c>
    </row>
    <row r="1900">
      <c r="A1900" s="8" t="s">
        <v>601</v>
      </c>
      <c r="B1900" s="8" t="s">
        <v>3843</v>
      </c>
      <c r="C1900" s="8" t="s">
        <v>93</v>
      </c>
      <c r="D1900" s="18" t="s">
        <v>2603</v>
      </c>
      <c r="E1900" s="16">
        <v>71.0</v>
      </c>
    </row>
    <row r="1901">
      <c r="A1901" s="8" t="s">
        <v>1030</v>
      </c>
      <c r="B1901" s="8" t="s">
        <v>1031</v>
      </c>
      <c r="C1901" s="8" t="s">
        <v>24</v>
      </c>
      <c r="D1901" s="18" t="s">
        <v>2574</v>
      </c>
      <c r="E1901" s="16">
        <v>64.0</v>
      </c>
    </row>
    <row r="1902">
      <c r="A1902" s="8" t="s">
        <v>3844</v>
      </c>
      <c r="B1902" s="8" t="s">
        <v>665</v>
      </c>
      <c r="C1902" s="8" t="s">
        <v>65</v>
      </c>
      <c r="D1902" s="18" t="s">
        <v>2585</v>
      </c>
      <c r="E1902" s="16">
        <v>68.0</v>
      </c>
    </row>
    <row r="1903">
      <c r="A1903" s="8" t="s">
        <v>1619</v>
      </c>
      <c r="B1903" s="8" t="s">
        <v>744</v>
      </c>
      <c r="C1903" s="8" t="s">
        <v>24</v>
      </c>
      <c r="D1903" s="18" t="s">
        <v>2581</v>
      </c>
      <c r="E1903" s="16">
        <v>75.0</v>
      </c>
    </row>
    <row r="1904">
      <c r="A1904" s="8" t="s">
        <v>1619</v>
      </c>
      <c r="B1904" s="8" t="s">
        <v>3845</v>
      </c>
      <c r="C1904" s="8" t="s">
        <v>215</v>
      </c>
      <c r="D1904" s="18" t="s">
        <v>2593</v>
      </c>
      <c r="E1904" s="16">
        <v>69.0</v>
      </c>
    </row>
    <row r="1905">
      <c r="A1905" s="8" t="s">
        <v>1619</v>
      </c>
      <c r="B1905" s="8" t="s">
        <v>1620</v>
      </c>
      <c r="C1905" s="8" t="s">
        <v>93</v>
      </c>
      <c r="D1905" s="18" t="s">
        <v>2621</v>
      </c>
      <c r="E1905" s="16">
        <v>64.0</v>
      </c>
    </row>
    <row r="1906">
      <c r="A1906" s="8" t="s">
        <v>1619</v>
      </c>
      <c r="B1906" s="8" t="s">
        <v>771</v>
      </c>
      <c r="C1906" s="8" t="s">
        <v>122</v>
      </c>
      <c r="D1906" s="18" t="s">
        <v>2610</v>
      </c>
      <c r="E1906" s="16">
        <v>72.0</v>
      </c>
    </row>
    <row r="1907">
      <c r="A1907" s="8" t="s">
        <v>3051</v>
      </c>
      <c r="B1907" s="8" t="s">
        <v>357</v>
      </c>
      <c r="C1907" s="8" t="s">
        <v>70</v>
      </c>
      <c r="D1907" s="18" t="s">
        <v>2592</v>
      </c>
      <c r="E1907" s="16">
        <v>82.0</v>
      </c>
    </row>
    <row r="1908">
      <c r="A1908" s="8" t="s">
        <v>797</v>
      </c>
      <c r="B1908" s="8" t="s">
        <v>798</v>
      </c>
      <c r="C1908" s="8" t="s">
        <v>149</v>
      </c>
      <c r="D1908" s="18" t="s">
        <v>2552</v>
      </c>
      <c r="E1908" s="16">
        <v>62.0</v>
      </c>
    </row>
    <row r="1909">
      <c r="A1909" s="8" t="s">
        <v>3053</v>
      </c>
      <c r="B1909" s="8" t="s">
        <v>301</v>
      </c>
      <c r="C1909" s="8" t="s">
        <v>75</v>
      </c>
      <c r="D1909" s="18" t="s">
        <v>2558</v>
      </c>
      <c r="E1909" s="16">
        <v>91.0</v>
      </c>
    </row>
    <row r="1910">
      <c r="A1910" s="8" t="s">
        <v>3434</v>
      </c>
      <c r="B1910" s="8" t="s">
        <v>3435</v>
      </c>
      <c r="C1910" s="8" t="s">
        <v>53</v>
      </c>
      <c r="D1910" s="18" t="s">
        <v>2564</v>
      </c>
      <c r="E1910" s="16">
        <v>61.0</v>
      </c>
    </row>
    <row r="1911">
      <c r="A1911" s="8" t="s">
        <v>3846</v>
      </c>
      <c r="B1911" s="8" t="s">
        <v>3847</v>
      </c>
      <c r="C1911" s="8" t="s">
        <v>186</v>
      </c>
      <c r="D1911" s="18" t="s">
        <v>2585</v>
      </c>
      <c r="E1911" s="16">
        <v>61.0</v>
      </c>
    </row>
    <row r="1912">
      <c r="A1912" s="8" t="s">
        <v>432</v>
      </c>
      <c r="B1912" s="8" t="s">
        <v>433</v>
      </c>
      <c r="C1912" s="8" t="s">
        <v>93</v>
      </c>
      <c r="D1912" s="18" t="s">
        <v>2560</v>
      </c>
      <c r="E1912" s="16">
        <v>75.0</v>
      </c>
    </row>
    <row r="1913">
      <c r="A1913" s="8" t="s">
        <v>3436</v>
      </c>
      <c r="B1913" s="8" t="s">
        <v>241</v>
      </c>
      <c r="C1913" s="8" t="s">
        <v>59</v>
      </c>
      <c r="D1913" s="18" t="s">
        <v>2584</v>
      </c>
      <c r="E1913" s="16">
        <v>79.0</v>
      </c>
    </row>
    <row r="1914">
      <c r="A1914" s="8" t="s">
        <v>1032</v>
      </c>
      <c r="B1914" s="8" t="s">
        <v>117</v>
      </c>
      <c r="C1914" s="8" t="s">
        <v>75</v>
      </c>
      <c r="D1914" s="18" t="s">
        <v>2562</v>
      </c>
      <c r="E1914" s="16">
        <v>63.0</v>
      </c>
    </row>
    <row r="1915">
      <c r="A1915" s="8" t="s">
        <v>175</v>
      </c>
      <c r="B1915" s="8" t="s">
        <v>176</v>
      </c>
      <c r="C1915" s="8" t="s">
        <v>65</v>
      </c>
      <c r="D1915" s="18" t="s">
        <v>2600</v>
      </c>
      <c r="E1915" s="16">
        <v>69.0</v>
      </c>
    </row>
    <row r="1916">
      <c r="A1916" s="8" t="s">
        <v>3054</v>
      </c>
      <c r="B1916" s="8" t="s">
        <v>33</v>
      </c>
      <c r="C1916" s="8" t="s">
        <v>141</v>
      </c>
      <c r="D1916" s="18" t="s">
        <v>2572</v>
      </c>
      <c r="E1916" s="16">
        <v>84.0</v>
      </c>
    </row>
    <row r="1917">
      <c r="A1917" s="8" t="s">
        <v>799</v>
      </c>
      <c r="B1917" s="8" t="s">
        <v>800</v>
      </c>
      <c r="C1917" s="8" t="s">
        <v>93</v>
      </c>
      <c r="D1917" s="18" t="s">
        <v>2554</v>
      </c>
      <c r="E1917" s="16">
        <v>90.0</v>
      </c>
    </row>
    <row r="1918">
      <c r="A1918" s="8" t="s">
        <v>1617</v>
      </c>
      <c r="B1918" s="8" t="s">
        <v>1618</v>
      </c>
      <c r="C1918" s="8" t="s">
        <v>70</v>
      </c>
      <c r="D1918" s="18" t="s">
        <v>2564</v>
      </c>
      <c r="E1918" s="16">
        <v>70.0</v>
      </c>
    </row>
    <row r="1919">
      <c r="A1919" s="8" t="s">
        <v>3056</v>
      </c>
      <c r="B1919" s="8" t="s">
        <v>943</v>
      </c>
      <c r="C1919" s="8" t="s">
        <v>65</v>
      </c>
      <c r="D1919" s="18" t="s">
        <v>2585</v>
      </c>
      <c r="E1919" s="16">
        <v>64.0</v>
      </c>
    </row>
    <row r="1920">
      <c r="A1920" s="8" t="s">
        <v>99</v>
      </c>
      <c r="B1920" s="8" t="s">
        <v>3437</v>
      </c>
      <c r="C1920" s="8" t="s">
        <v>59</v>
      </c>
      <c r="D1920" s="18" t="s">
        <v>2556</v>
      </c>
      <c r="E1920" s="16">
        <v>85.0</v>
      </c>
    </row>
    <row r="1921">
      <c r="A1921" s="8" t="s">
        <v>99</v>
      </c>
      <c r="B1921" s="8" t="s">
        <v>100</v>
      </c>
      <c r="C1921" s="8" t="s">
        <v>16</v>
      </c>
      <c r="D1921" s="18" t="s">
        <v>2183</v>
      </c>
      <c r="E1921" s="16">
        <v>82.0</v>
      </c>
    </row>
    <row r="1922">
      <c r="A1922" s="8" t="s">
        <v>99</v>
      </c>
      <c r="B1922" s="8" t="s">
        <v>277</v>
      </c>
      <c r="C1922" s="8" t="s">
        <v>149</v>
      </c>
      <c r="D1922" s="18" t="s">
        <v>2552</v>
      </c>
      <c r="E1922" s="16">
        <v>77.0</v>
      </c>
    </row>
    <row r="1923">
      <c r="A1923" s="8" t="s">
        <v>99</v>
      </c>
      <c r="B1923" s="8" t="s">
        <v>275</v>
      </c>
      <c r="C1923" s="8" t="s">
        <v>138</v>
      </c>
      <c r="D1923" s="18" t="s">
        <v>2584</v>
      </c>
      <c r="E1923" s="16">
        <v>67.0</v>
      </c>
    </row>
    <row r="1924">
      <c r="A1924" s="8" t="s">
        <v>99</v>
      </c>
      <c r="B1924" s="8" t="s">
        <v>1057</v>
      </c>
      <c r="C1924" s="8" t="s">
        <v>53</v>
      </c>
      <c r="D1924" s="18" t="s">
        <v>2592</v>
      </c>
      <c r="E1924" s="16">
        <v>82.0</v>
      </c>
    </row>
    <row r="1925">
      <c r="A1925" s="8" t="s">
        <v>99</v>
      </c>
      <c r="B1925" s="8" t="s">
        <v>1029</v>
      </c>
      <c r="C1925" s="8" t="s">
        <v>80</v>
      </c>
      <c r="D1925" s="18" t="s">
        <v>2610</v>
      </c>
      <c r="E1925" s="16">
        <v>67.0</v>
      </c>
    </row>
    <row r="1926">
      <c r="A1926" s="8" t="s">
        <v>99</v>
      </c>
      <c r="B1926" s="8" t="s">
        <v>217</v>
      </c>
      <c r="C1926" s="8" t="s">
        <v>65</v>
      </c>
      <c r="D1926" s="18" t="s">
        <v>2560</v>
      </c>
      <c r="E1926" s="16">
        <v>70.0</v>
      </c>
    </row>
    <row r="1927">
      <c r="A1927" s="8" t="s">
        <v>99</v>
      </c>
      <c r="B1927" s="18" t="s">
        <v>3438</v>
      </c>
      <c r="C1927" s="8" t="s">
        <v>93</v>
      </c>
      <c r="D1927" s="18" t="s">
        <v>2567</v>
      </c>
      <c r="E1927" s="16">
        <v>69.0</v>
      </c>
    </row>
    <row r="1928">
      <c r="A1928" s="8" t="s">
        <v>99</v>
      </c>
      <c r="B1928" s="8" t="s">
        <v>1314</v>
      </c>
      <c r="C1928" s="8" t="s">
        <v>46</v>
      </c>
      <c r="D1928" s="18" t="s">
        <v>2592</v>
      </c>
      <c r="E1928" s="16">
        <v>77.0</v>
      </c>
    </row>
    <row r="1929">
      <c r="A1929" s="8" t="s">
        <v>99</v>
      </c>
      <c r="B1929" s="8" t="s">
        <v>3848</v>
      </c>
      <c r="C1929" s="8" t="s">
        <v>70</v>
      </c>
      <c r="D1929" s="18" t="s">
        <v>2572</v>
      </c>
      <c r="E1929" s="16">
        <v>61.0</v>
      </c>
    </row>
    <row r="1930">
      <c r="A1930" s="8" t="s">
        <v>99</v>
      </c>
      <c r="B1930" s="8" t="s">
        <v>177</v>
      </c>
      <c r="C1930" s="8" t="s">
        <v>141</v>
      </c>
      <c r="D1930" s="18" t="s">
        <v>2592</v>
      </c>
      <c r="E1930" s="16">
        <v>75.0</v>
      </c>
    </row>
    <row r="1931">
      <c r="A1931" s="8" t="s">
        <v>99</v>
      </c>
      <c r="B1931" s="8" t="s">
        <v>239</v>
      </c>
      <c r="C1931" s="8" t="s">
        <v>16</v>
      </c>
      <c r="D1931" s="18" t="s">
        <v>2560</v>
      </c>
      <c r="E1931" s="16">
        <v>73.0</v>
      </c>
    </row>
    <row r="1932">
      <c r="A1932" s="8" t="s">
        <v>99</v>
      </c>
      <c r="B1932" s="8" t="s">
        <v>377</v>
      </c>
      <c r="C1932" s="8" t="s">
        <v>80</v>
      </c>
      <c r="D1932" s="18" t="s">
        <v>2552</v>
      </c>
      <c r="E1932" s="16">
        <v>94.0</v>
      </c>
    </row>
    <row r="1933">
      <c r="A1933" s="8" t="s">
        <v>99</v>
      </c>
      <c r="B1933" s="8" t="s">
        <v>3439</v>
      </c>
      <c r="C1933" s="8" t="s">
        <v>138</v>
      </c>
      <c r="D1933" s="18" t="s">
        <v>2592</v>
      </c>
      <c r="E1933" s="16">
        <v>74.0</v>
      </c>
    </row>
    <row r="1934">
      <c r="A1934" s="8" t="s">
        <v>99</v>
      </c>
      <c r="B1934" s="8" t="s">
        <v>1971</v>
      </c>
      <c r="C1934" s="8" t="s">
        <v>186</v>
      </c>
      <c r="D1934" s="18" t="s">
        <v>2614</v>
      </c>
      <c r="E1934" s="16">
        <v>76.0</v>
      </c>
    </row>
    <row r="1935">
      <c r="A1935" s="8" t="s">
        <v>99</v>
      </c>
      <c r="B1935" s="8" t="s">
        <v>204</v>
      </c>
      <c r="C1935" s="8" t="s">
        <v>93</v>
      </c>
      <c r="D1935" s="18" t="s">
        <v>2575</v>
      </c>
      <c r="E1935" s="16">
        <v>81.0</v>
      </c>
    </row>
    <row r="1936">
      <c r="A1936" s="8" t="s">
        <v>99</v>
      </c>
      <c r="B1936" s="8" t="s">
        <v>782</v>
      </c>
      <c r="C1936" s="8" t="s">
        <v>261</v>
      </c>
      <c r="D1936" s="18" t="s">
        <v>2614</v>
      </c>
      <c r="E1936" s="16">
        <v>54.0</v>
      </c>
    </row>
    <row r="1937">
      <c r="A1937" s="8" t="s">
        <v>99</v>
      </c>
      <c r="B1937" s="8" t="s">
        <v>119</v>
      </c>
      <c r="C1937" s="8" t="s">
        <v>65</v>
      </c>
      <c r="D1937" s="18" t="s">
        <v>2603</v>
      </c>
      <c r="E1937" s="16">
        <v>64.0</v>
      </c>
    </row>
    <row r="1938">
      <c r="A1938" s="8" t="s">
        <v>99</v>
      </c>
      <c r="B1938" s="8" t="s">
        <v>42</v>
      </c>
      <c r="C1938" s="8" t="s">
        <v>24</v>
      </c>
      <c r="D1938" s="18" t="s">
        <v>2556</v>
      </c>
      <c r="E1938" s="16">
        <v>75.0</v>
      </c>
    </row>
    <row r="1939">
      <c r="A1939" s="8" t="s">
        <v>99</v>
      </c>
      <c r="B1939" s="8" t="s">
        <v>283</v>
      </c>
      <c r="C1939" s="8" t="s">
        <v>186</v>
      </c>
      <c r="D1939" s="18" t="s">
        <v>2556</v>
      </c>
      <c r="E1939" s="16">
        <v>71.0</v>
      </c>
    </row>
    <row r="1940">
      <c r="A1940" s="8" t="s">
        <v>99</v>
      </c>
      <c r="B1940" s="8" t="s">
        <v>1107</v>
      </c>
      <c r="C1940" s="8" t="s">
        <v>59</v>
      </c>
      <c r="D1940" s="18" t="s">
        <v>2582</v>
      </c>
      <c r="E1940" s="16">
        <v>77.0</v>
      </c>
    </row>
    <row r="1941">
      <c r="A1941" s="8" t="s">
        <v>99</v>
      </c>
      <c r="B1941" s="8" t="s">
        <v>1033</v>
      </c>
      <c r="C1941" s="8" t="s">
        <v>70</v>
      </c>
      <c r="D1941" s="18" t="s">
        <v>2614</v>
      </c>
      <c r="E1941" s="16">
        <v>66.0</v>
      </c>
    </row>
    <row r="1942">
      <c r="A1942" s="8" t="s">
        <v>99</v>
      </c>
      <c r="B1942" s="8" t="s">
        <v>383</v>
      </c>
      <c r="C1942" s="8" t="s">
        <v>65</v>
      </c>
      <c r="D1942" s="18" t="s">
        <v>2614</v>
      </c>
      <c r="E1942" s="16">
        <v>59.0</v>
      </c>
    </row>
    <row r="1943">
      <c r="A1943" s="8" t="s">
        <v>99</v>
      </c>
      <c r="B1943" s="8" t="s">
        <v>67</v>
      </c>
      <c r="C1943" s="8" t="s">
        <v>93</v>
      </c>
      <c r="D1943" s="18" t="s">
        <v>2592</v>
      </c>
      <c r="E1943" s="16">
        <v>64.0</v>
      </c>
    </row>
    <row r="1944">
      <c r="A1944" s="8" t="s">
        <v>99</v>
      </c>
      <c r="B1944" s="8" t="s">
        <v>162</v>
      </c>
      <c r="C1944" s="8" t="s">
        <v>93</v>
      </c>
      <c r="D1944" s="18" t="s">
        <v>2556</v>
      </c>
      <c r="E1944" s="16">
        <v>88.0</v>
      </c>
    </row>
    <row r="1945">
      <c r="A1945" s="8" t="s">
        <v>99</v>
      </c>
      <c r="B1945" s="8" t="s">
        <v>801</v>
      </c>
      <c r="C1945" s="8" t="s">
        <v>53</v>
      </c>
      <c r="D1945" s="18" t="s">
        <v>2584</v>
      </c>
      <c r="E1945" s="16">
        <v>80.0</v>
      </c>
    </row>
    <row r="1946">
      <c r="A1946" s="8" t="s">
        <v>99</v>
      </c>
      <c r="B1946" s="8" t="s">
        <v>3440</v>
      </c>
      <c r="C1946" s="8" t="s">
        <v>65</v>
      </c>
      <c r="D1946" s="18" t="s">
        <v>2567</v>
      </c>
      <c r="E1946" s="16">
        <v>63.0</v>
      </c>
    </row>
    <row r="1947">
      <c r="A1947" s="8" t="s">
        <v>99</v>
      </c>
      <c r="B1947" s="8" t="s">
        <v>434</v>
      </c>
      <c r="C1947" s="8" t="s">
        <v>65</v>
      </c>
      <c r="D1947" s="18" t="s">
        <v>2585</v>
      </c>
      <c r="E1947" s="16">
        <v>78.0</v>
      </c>
    </row>
    <row r="1948">
      <c r="A1948" s="8" t="s">
        <v>99</v>
      </c>
      <c r="B1948" s="8" t="s">
        <v>1045</v>
      </c>
      <c r="C1948" s="8" t="s">
        <v>93</v>
      </c>
      <c r="D1948" s="18" t="s">
        <v>2603</v>
      </c>
      <c r="E1948" s="16">
        <v>62.0</v>
      </c>
    </row>
    <row r="1949">
      <c r="A1949" s="8" t="s">
        <v>99</v>
      </c>
      <c r="B1949" s="8" t="s">
        <v>802</v>
      </c>
      <c r="C1949" s="8" t="s">
        <v>46</v>
      </c>
      <c r="D1949" s="18" t="s">
        <v>2614</v>
      </c>
      <c r="E1949" s="16">
        <v>97.0</v>
      </c>
    </row>
    <row r="1950">
      <c r="A1950" s="8" t="s">
        <v>99</v>
      </c>
      <c r="B1950" s="18" t="s">
        <v>1315</v>
      </c>
      <c r="C1950" s="8" t="s">
        <v>59</v>
      </c>
      <c r="D1950" s="18" t="s">
        <v>2575</v>
      </c>
      <c r="E1950" s="16">
        <v>65.0</v>
      </c>
    </row>
    <row r="1951">
      <c r="A1951" s="8" t="s">
        <v>3060</v>
      </c>
      <c r="B1951" s="8" t="s">
        <v>247</v>
      </c>
      <c r="C1951" s="8" t="s">
        <v>138</v>
      </c>
      <c r="D1951" s="18" t="s">
        <v>2564</v>
      </c>
      <c r="E1951" s="16">
        <v>66.0</v>
      </c>
    </row>
    <row r="1952">
      <c r="A1952" s="8" t="s">
        <v>3849</v>
      </c>
      <c r="B1952" s="8" t="s">
        <v>167</v>
      </c>
      <c r="C1952" s="8" t="s">
        <v>65</v>
      </c>
      <c r="D1952" s="18" t="s">
        <v>2575</v>
      </c>
      <c r="E1952" s="16">
        <v>89.0</v>
      </c>
    </row>
    <row r="1953">
      <c r="A1953" s="8" t="s">
        <v>1316</v>
      </c>
      <c r="B1953" s="8" t="s">
        <v>1317</v>
      </c>
      <c r="C1953" s="8" t="s">
        <v>65</v>
      </c>
      <c r="D1953" s="18" t="s">
        <v>2595</v>
      </c>
      <c r="E1953" s="16">
        <v>77.0</v>
      </c>
    </row>
    <row r="1954">
      <c r="A1954" s="8" t="s">
        <v>3065</v>
      </c>
      <c r="B1954" s="8" t="s">
        <v>3066</v>
      </c>
      <c r="C1954" s="8" t="s">
        <v>75</v>
      </c>
      <c r="D1954" s="18" t="s">
        <v>2603</v>
      </c>
      <c r="E1954" s="16">
        <v>62.0</v>
      </c>
    </row>
    <row r="1955">
      <c r="A1955" s="8" t="s">
        <v>316</v>
      </c>
      <c r="B1955" s="8" t="s">
        <v>317</v>
      </c>
      <c r="C1955" s="8" t="s">
        <v>46</v>
      </c>
      <c r="D1955" s="18" t="s">
        <v>2600</v>
      </c>
      <c r="E1955" s="16">
        <v>84.0</v>
      </c>
    </row>
    <row r="1956">
      <c r="A1956" s="8" t="s">
        <v>3850</v>
      </c>
      <c r="B1956" s="8" t="s">
        <v>628</v>
      </c>
      <c r="C1956" s="8" t="s">
        <v>122</v>
      </c>
      <c r="D1956" s="18" t="s">
        <v>2574</v>
      </c>
      <c r="E1956" s="16">
        <v>80.0</v>
      </c>
    </row>
    <row r="1957">
      <c r="A1957" s="8" t="s">
        <v>3851</v>
      </c>
      <c r="B1957" s="8" t="s">
        <v>102</v>
      </c>
      <c r="C1957" s="8" t="s">
        <v>24</v>
      </c>
      <c r="D1957" s="18" t="s">
        <v>2605</v>
      </c>
      <c r="E1957" s="16">
        <v>63.0</v>
      </c>
    </row>
    <row r="1958">
      <c r="A1958" s="8" t="s">
        <v>602</v>
      </c>
      <c r="B1958" s="8" t="s">
        <v>197</v>
      </c>
      <c r="C1958" s="8" t="s">
        <v>80</v>
      </c>
      <c r="D1958" s="18" t="s">
        <v>2183</v>
      </c>
      <c r="E1958" s="16">
        <v>69.0</v>
      </c>
    </row>
    <row r="1959">
      <c r="A1959" s="8" t="s">
        <v>3067</v>
      </c>
      <c r="B1959" s="8" t="s">
        <v>3068</v>
      </c>
      <c r="C1959" s="8" t="s">
        <v>192</v>
      </c>
      <c r="D1959" s="18" t="s">
        <v>2567</v>
      </c>
      <c r="E1959" s="16">
        <v>66.0</v>
      </c>
    </row>
    <row r="1960">
      <c r="A1960" s="8" t="s">
        <v>435</v>
      </c>
      <c r="B1960" s="8" t="s">
        <v>436</v>
      </c>
      <c r="C1960" s="8" t="s">
        <v>149</v>
      </c>
      <c r="D1960" s="18" t="s">
        <v>2603</v>
      </c>
      <c r="E1960" s="16">
        <v>74.0</v>
      </c>
    </row>
    <row r="1961">
      <c r="A1961" s="8" t="s">
        <v>3069</v>
      </c>
      <c r="B1961" s="8" t="s">
        <v>3070</v>
      </c>
      <c r="C1961" s="8" t="s">
        <v>186</v>
      </c>
      <c r="D1961" s="18" t="s">
        <v>2582</v>
      </c>
      <c r="E1961" s="16">
        <v>60.0</v>
      </c>
    </row>
    <row r="1962">
      <c r="A1962" s="8" t="s">
        <v>803</v>
      </c>
      <c r="B1962" s="8" t="s">
        <v>804</v>
      </c>
      <c r="C1962" s="8" t="s">
        <v>75</v>
      </c>
      <c r="D1962" s="18" t="s">
        <v>2621</v>
      </c>
      <c r="E1962" s="16">
        <v>68.0</v>
      </c>
    </row>
    <row r="1963">
      <c r="A1963" s="8" t="s">
        <v>1034</v>
      </c>
      <c r="B1963" s="8" t="s">
        <v>957</v>
      </c>
      <c r="C1963" s="8" t="s">
        <v>122</v>
      </c>
      <c r="D1963" s="18" t="s">
        <v>2592</v>
      </c>
      <c r="E1963" s="16">
        <v>73.0</v>
      </c>
    </row>
    <row r="1964">
      <c r="A1964" s="8" t="s">
        <v>1034</v>
      </c>
      <c r="B1964" s="8" t="s">
        <v>1621</v>
      </c>
      <c r="C1964" s="8" t="s">
        <v>138</v>
      </c>
      <c r="D1964" s="18" t="s">
        <v>2592</v>
      </c>
      <c r="E1964" s="16">
        <v>71.0</v>
      </c>
    </row>
    <row r="1965">
      <c r="A1965" s="8" t="s">
        <v>1034</v>
      </c>
      <c r="B1965" s="8" t="s">
        <v>162</v>
      </c>
      <c r="C1965" s="8" t="s">
        <v>186</v>
      </c>
      <c r="D1965" s="18" t="s">
        <v>2621</v>
      </c>
      <c r="E1965" s="16">
        <v>72.0</v>
      </c>
    </row>
    <row r="1966">
      <c r="A1966" s="8" t="s">
        <v>746</v>
      </c>
      <c r="B1966" s="8" t="s">
        <v>177</v>
      </c>
      <c r="C1966" s="8" t="s">
        <v>65</v>
      </c>
      <c r="D1966" s="18" t="s">
        <v>2592</v>
      </c>
      <c r="E1966" s="16">
        <v>57.0</v>
      </c>
    </row>
    <row r="1967">
      <c r="A1967" s="8" t="s">
        <v>3442</v>
      </c>
      <c r="B1967" s="18" t="s">
        <v>521</v>
      </c>
      <c r="C1967" s="8" t="s">
        <v>70</v>
      </c>
      <c r="D1967" s="18" t="s">
        <v>2595</v>
      </c>
      <c r="E1967" s="16">
        <v>78.0</v>
      </c>
    </row>
    <row r="1968">
      <c r="A1968" s="8" t="s">
        <v>1622</v>
      </c>
      <c r="B1968" s="8" t="s">
        <v>45</v>
      </c>
      <c r="C1968" s="8" t="s">
        <v>46</v>
      </c>
      <c r="D1968" s="18" t="s">
        <v>2558</v>
      </c>
      <c r="E1968" s="16">
        <v>70.0</v>
      </c>
    </row>
    <row r="1969">
      <c r="A1969" s="8" t="s">
        <v>3071</v>
      </c>
      <c r="B1969" s="8" t="s">
        <v>153</v>
      </c>
      <c r="C1969" s="8" t="s">
        <v>70</v>
      </c>
      <c r="D1969" s="18" t="s">
        <v>2564</v>
      </c>
      <c r="E1969" s="16">
        <v>81.0</v>
      </c>
    </row>
    <row r="1970">
      <c r="A1970" s="8" t="s">
        <v>437</v>
      </c>
      <c r="B1970" s="8" t="s">
        <v>438</v>
      </c>
      <c r="C1970" s="8" t="s">
        <v>215</v>
      </c>
      <c r="D1970" s="18" t="s">
        <v>2572</v>
      </c>
      <c r="E1970" s="16">
        <v>62.0</v>
      </c>
    </row>
    <row r="1971">
      <c r="A1971" s="8" t="s">
        <v>318</v>
      </c>
      <c r="B1971" s="8" t="s">
        <v>3444</v>
      </c>
      <c r="C1971" s="8" t="s">
        <v>192</v>
      </c>
      <c r="D1971" s="18" t="s">
        <v>2621</v>
      </c>
      <c r="E1971" s="16">
        <v>69.0</v>
      </c>
    </row>
    <row r="1972">
      <c r="A1972" s="8" t="s">
        <v>318</v>
      </c>
      <c r="B1972" s="8" t="s">
        <v>176</v>
      </c>
      <c r="C1972" s="8" t="s">
        <v>16</v>
      </c>
      <c r="D1972" s="18" t="s">
        <v>2554</v>
      </c>
      <c r="E1972" s="16">
        <v>85.0</v>
      </c>
    </row>
    <row r="1973">
      <c r="A1973" s="8" t="s">
        <v>101</v>
      </c>
      <c r="B1973" s="8" t="s">
        <v>102</v>
      </c>
      <c r="C1973" s="8" t="s">
        <v>46</v>
      </c>
      <c r="D1973" s="18" t="s">
        <v>2585</v>
      </c>
      <c r="E1973" s="16">
        <v>89.0</v>
      </c>
    </row>
    <row r="1974">
      <c r="A1974" s="8" t="s">
        <v>805</v>
      </c>
      <c r="B1974" s="8" t="s">
        <v>151</v>
      </c>
      <c r="C1974" s="8" t="s">
        <v>59</v>
      </c>
      <c r="D1974" s="18" t="s">
        <v>2560</v>
      </c>
      <c r="E1974" s="16">
        <v>69.0</v>
      </c>
    </row>
    <row r="1975">
      <c r="A1975" s="8" t="s">
        <v>548</v>
      </c>
      <c r="B1975" s="8" t="s">
        <v>1624</v>
      </c>
      <c r="C1975" s="8" t="s">
        <v>46</v>
      </c>
      <c r="D1975" s="18" t="s">
        <v>2575</v>
      </c>
      <c r="E1975" s="16">
        <v>79.0</v>
      </c>
    </row>
    <row r="1976">
      <c r="A1976" s="8" t="s">
        <v>103</v>
      </c>
      <c r="B1976" s="8" t="s">
        <v>20</v>
      </c>
      <c r="C1976" s="8" t="s">
        <v>16</v>
      </c>
      <c r="D1976" s="18" t="s">
        <v>2589</v>
      </c>
      <c r="E1976" s="16">
        <v>68.0</v>
      </c>
    </row>
    <row r="1977">
      <c r="A1977" s="8" t="s">
        <v>3445</v>
      </c>
      <c r="B1977" s="8" t="s">
        <v>381</v>
      </c>
      <c r="C1977" s="8" t="s">
        <v>53</v>
      </c>
      <c r="D1977" s="18" t="s">
        <v>2621</v>
      </c>
      <c r="E1977" s="16">
        <v>58.0</v>
      </c>
    </row>
    <row r="1978">
      <c r="A1978" s="8" t="s">
        <v>3852</v>
      </c>
      <c r="B1978" s="8" t="s">
        <v>260</v>
      </c>
      <c r="C1978" s="8" t="s">
        <v>70</v>
      </c>
      <c r="D1978" s="18" t="s">
        <v>2558</v>
      </c>
      <c r="E1978" s="16">
        <v>79.0</v>
      </c>
    </row>
    <row r="1979">
      <c r="A1979" s="8" t="s">
        <v>3853</v>
      </c>
      <c r="B1979" s="8" t="s">
        <v>676</v>
      </c>
      <c r="C1979" s="8" t="s">
        <v>59</v>
      </c>
      <c r="D1979" s="18" t="s">
        <v>2598</v>
      </c>
      <c r="E1979" s="16">
        <v>64.0</v>
      </c>
    </row>
    <row r="1980">
      <c r="A1980" s="8" t="s">
        <v>3854</v>
      </c>
      <c r="B1980" s="8" t="s">
        <v>204</v>
      </c>
      <c r="C1980" s="8" t="s">
        <v>215</v>
      </c>
      <c r="D1980" s="18" t="s">
        <v>2183</v>
      </c>
      <c r="E1980" s="16">
        <v>56.0</v>
      </c>
    </row>
    <row r="1981">
      <c r="A1981" s="8" t="s">
        <v>3447</v>
      </c>
      <c r="B1981" s="8" t="s">
        <v>850</v>
      </c>
      <c r="C1981" s="8" t="s">
        <v>16</v>
      </c>
      <c r="D1981" s="18" t="s">
        <v>2552</v>
      </c>
      <c r="E1981" s="16">
        <v>63.0</v>
      </c>
    </row>
    <row r="1982">
      <c r="A1982" s="8" t="s">
        <v>3448</v>
      </c>
      <c r="B1982" s="8" t="s">
        <v>212</v>
      </c>
      <c r="C1982" s="8" t="s">
        <v>132</v>
      </c>
      <c r="D1982" s="18" t="s">
        <v>2581</v>
      </c>
      <c r="E1982" s="16">
        <v>62.0</v>
      </c>
    </row>
    <row r="1983">
      <c r="A1983" s="8" t="s">
        <v>88</v>
      </c>
      <c r="B1983" s="8" t="s">
        <v>806</v>
      </c>
      <c r="C1983" s="8" t="s">
        <v>122</v>
      </c>
      <c r="D1983" s="18" t="s">
        <v>2552</v>
      </c>
      <c r="E1983" s="16">
        <v>65.0</v>
      </c>
    </row>
    <row r="1984">
      <c r="A1984" s="8" t="s">
        <v>3073</v>
      </c>
      <c r="B1984" s="8" t="s">
        <v>669</v>
      </c>
      <c r="C1984" s="8" t="s">
        <v>149</v>
      </c>
      <c r="D1984" s="18" t="s">
        <v>2620</v>
      </c>
      <c r="E1984" s="16">
        <v>72.0</v>
      </c>
    </row>
    <row r="1985">
      <c r="A1985" s="8" t="s">
        <v>1035</v>
      </c>
      <c r="B1985" s="8" t="s">
        <v>1036</v>
      </c>
      <c r="C1985" s="8" t="s">
        <v>65</v>
      </c>
      <c r="D1985" s="18" t="s">
        <v>2584</v>
      </c>
      <c r="E1985" s="16">
        <v>57.0</v>
      </c>
    </row>
    <row r="1986">
      <c r="A1986" s="8" t="s">
        <v>3855</v>
      </c>
      <c r="B1986" s="8" t="s">
        <v>307</v>
      </c>
      <c r="C1986" s="8" t="s">
        <v>24</v>
      </c>
      <c r="D1986" s="18" t="s">
        <v>2621</v>
      </c>
      <c r="E1986" s="16">
        <v>80.0</v>
      </c>
    </row>
    <row r="1987">
      <c r="A1987" s="8" t="s">
        <v>3856</v>
      </c>
      <c r="B1987" s="8" t="s">
        <v>140</v>
      </c>
      <c r="C1987" s="8" t="s">
        <v>59</v>
      </c>
      <c r="D1987" s="18" t="s">
        <v>2595</v>
      </c>
      <c r="E1987" s="16">
        <v>65.0</v>
      </c>
    </row>
    <row r="1988">
      <c r="A1988" s="8" t="s">
        <v>1625</v>
      </c>
      <c r="B1988" s="8" t="s">
        <v>1643</v>
      </c>
      <c r="C1988" s="8" t="s">
        <v>80</v>
      </c>
      <c r="D1988" s="18" t="s">
        <v>2620</v>
      </c>
      <c r="E1988" s="16">
        <v>86.0</v>
      </c>
    </row>
    <row r="1989">
      <c r="A1989" s="8" t="s">
        <v>1625</v>
      </c>
      <c r="B1989" s="8" t="s">
        <v>842</v>
      </c>
      <c r="C1989" s="8" t="s">
        <v>70</v>
      </c>
      <c r="D1989" s="18" t="s">
        <v>2574</v>
      </c>
      <c r="E1989" s="16">
        <v>87.0</v>
      </c>
    </row>
    <row r="1990">
      <c r="A1990" s="8" t="s">
        <v>3857</v>
      </c>
      <c r="B1990" s="8" t="s">
        <v>735</v>
      </c>
      <c r="C1990" s="8" t="s">
        <v>122</v>
      </c>
      <c r="D1990" s="18" t="s">
        <v>2562</v>
      </c>
      <c r="E1990" s="16">
        <v>67.0</v>
      </c>
    </row>
    <row r="1991">
      <c r="A1991" s="8" t="s">
        <v>1038</v>
      </c>
      <c r="B1991" s="8" t="s">
        <v>333</v>
      </c>
      <c r="C1991" s="8" t="s">
        <v>65</v>
      </c>
      <c r="D1991" s="18" t="s">
        <v>2581</v>
      </c>
      <c r="E1991" s="16">
        <v>74.0</v>
      </c>
    </row>
    <row r="1992">
      <c r="A1992" s="8" t="s">
        <v>3858</v>
      </c>
      <c r="B1992" s="8" t="s">
        <v>1210</v>
      </c>
      <c r="C1992" s="8" t="s">
        <v>149</v>
      </c>
      <c r="D1992" s="18" t="s">
        <v>2566</v>
      </c>
      <c r="E1992" s="16">
        <v>69.0</v>
      </c>
    </row>
    <row r="1993">
      <c r="A1993" s="8" t="s">
        <v>3449</v>
      </c>
      <c r="B1993" s="8" t="s">
        <v>201</v>
      </c>
      <c r="C1993" s="8" t="s">
        <v>215</v>
      </c>
      <c r="D1993" s="18" t="s">
        <v>2589</v>
      </c>
      <c r="E1993" s="16">
        <v>62.0</v>
      </c>
    </row>
    <row r="1994">
      <c r="A1994" s="8" t="s">
        <v>319</v>
      </c>
      <c r="B1994" s="8" t="s">
        <v>320</v>
      </c>
      <c r="C1994" s="8" t="s">
        <v>24</v>
      </c>
      <c r="D1994" s="18" t="s">
        <v>2592</v>
      </c>
      <c r="E1994" s="16">
        <v>73.0</v>
      </c>
    </row>
    <row r="1995">
      <c r="A1995" s="8" t="s">
        <v>3859</v>
      </c>
      <c r="B1995" s="8" t="s">
        <v>354</v>
      </c>
      <c r="C1995" s="8" t="s">
        <v>141</v>
      </c>
      <c r="D1995" s="18" t="s">
        <v>2600</v>
      </c>
      <c r="E1995" s="16">
        <v>73.0</v>
      </c>
    </row>
    <row r="1996">
      <c r="A1996" s="8" t="s">
        <v>3077</v>
      </c>
      <c r="B1996" s="8" t="s">
        <v>1033</v>
      </c>
      <c r="C1996" s="8" t="s">
        <v>65</v>
      </c>
      <c r="D1996" s="18" t="s">
        <v>2183</v>
      </c>
      <c r="E1996" s="16">
        <v>72.0</v>
      </c>
    </row>
    <row r="1997">
      <c r="A1997" s="8" t="s">
        <v>2255</v>
      </c>
      <c r="B1997" s="8" t="s">
        <v>217</v>
      </c>
      <c r="C1997" s="8" t="s">
        <v>65</v>
      </c>
      <c r="D1997" s="18" t="s">
        <v>2614</v>
      </c>
      <c r="E1997" s="16">
        <v>68.0</v>
      </c>
    </row>
    <row r="1998">
      <c r="A1998" s="8" t="s">
        <v>3451</v>
      </c>
      <c r="B1998" s="8" t="s">
        <v>480</v>
      </c>
      <c r="C1998" s="8" t="s">
        <v>149</v>
      </c>
      <c r="D1998" s="18" t="s">
        <v>2595</v>
      </c>
      <c r="E1998" s="16">
        <v>82.0</v>
      </c>
    </row>
    <row r="1999">
      <c r="A1999" s="8" t="s">
        <v>1629</v>
      </c>
      <c r="B1999" s="8" t="s">
        <v>1630</v>
      </c>
      <c r="C1999" s="8" t="s">
        <v>65</v>
      </c>
      <c r="D1999" s="18" t="s">
        <v>2562</v>
      </c>
      <c r="E1999" s="16">
        <v>73.0</v>
      </c>
    </row>
    <row r="2000">
      <c r="A2000" s="8" t="s">
        <v>3454</v>
      </c>
      <c r="B2000" s="8" t="s">
        <v>1338</v>
      </c>
      <c r="C2000" s="8" t="s">
        <v>80</v>
      </c>
      <c r="D2000" s="18" t="s">
        <v>2572</v>
      </c>
      <c r="E2000" s="16">
        <v>72.0</v>
      </c>
    </row>
    <row r="2001">
      <c r="A2001" s="8" t="s">
        <v>321</v>
      </c>
      <c r="B2001" s="8" t="s">
        <v>322</v>
      </c>
      <c r="C2001" s="8" t="s">
        <v>186</v>
      </c>
      <c r="D2001" s="18" t="s">
        <v>2595</v>
      </c>
      <c r="E2001" s="16">
        <v>71.0</v>
      </c>
    </row>
    <row r="2002">
      <c r="A2002" s="8" t="s">
        <v>3080</v>
      </c>
      <c r="B2002" s="8" t="s">
        <v>1376</v>
      </c>
      <c r="C2002" s="8" t="s">
        <v>12</v>
      </c>
      <c r="D2002" s="18" t="s">
        <v>2564</v>
      </c>
      <c r="E2002" s="16">
        <v>76.0</v>
      </c>
    </row>
    <row r="2003">
      <c r="A2003" s="18" t="s">
        <v>807</v>
      </c>
      <c r="B2003" s="8" t="s">
        <v>596</v>
      </c>
      <c r="C2003" s="8" t="s">
        <v>75</v>
      </c>
      <c r="D2003" s="18" t="s">
        <v>2562</v>
      </c>
      <c r="E2003" s="16">
        <v>71.0</v>
      </c>
    </row>
    <row r="2004">
      <c r="A2004" s="8" t="s">
        <v>227</v>
      </c>
      <c r="B2004" s="8" t="s">
        <v>67</v>
      </c>
      <c r="C2004" s="8" t="s">
        <v>12</v>
      </c>
      <c r="D2004" s="18" t="s">
        <v>2621</v>
      </c>
      <c r="E2004" s="16">
        <v>81.0</v>
      </c>
    </row>
    <row r="2005">
      <c r="A2005" s="8" t="s">
        <v>1631</v>
      </c>
      <c r="B2005" s="8" t="s">
        <v>317</v>
      </c>
      <c r="C2005" s="8" t="s">
        <v>16</v>
      </c>
      <c r="D2005" s="18" t="s">
        <v>2582</v>
      </c>
      <c r="E2005" s="16">
        <v>65.0</v>
      </c>
    </row>
    <row r="2006">
      <c r="A2006" s="8" t="s">
        <v>1631</v>
      </c>
      <c r="B2006" s="8" t="s">
        <v>480</v>
      </c>
      <c r="C2006" s="8" t="s">
        <v>24</v>
      </c>
      <c r="D2006" s="18" t="s">
        <v>2560</v>
      </c>
      <c r="E2006" s="16">
        <v>70.0</v>
      </c>
    </row>
    <row r="2007">
      <c r="A2007" s="8" t="s">
        <v>76</v>
      </c>
      <c r="B2007" s="8" t="s">
        <v>77</v>
      </c>
      <c r="C2007" s="8" t="s">
        <v>59</v>
      </c>
      <c r="D2007" s="18" t="s">
        <v>2575</v>
      </c>
      <c r="E2007" s="16">
        <v>90.0</v>
      </c>
    </row>
    <row r="2008">
      <c r="A2008" s="8" t="s">
        <v>228</v>
      </c>
      <c r="B2008" s="8" t="s">
        <v>229</v>
      </c>
      <c r="C2008" s="8" t="s">
        <v>122</v>
      </c>
      <c r="D2008" s="18" t="s">
        <v>2581</v>
      </c>
      <c r="E2008" s="16">
        <v>93.0</v>
      </c>
    </row>
    <row r="2009">
      <c r="A2009" s="8" t="s">
        <v>3860</v>
      </c>
      <c r="B2009" s="8" t="s">
        <v>3861</v>
      </c>
      <c r="C2009" s="8" t="s">
        <v>59</v>
      </c>
      <c r="D2009" s="18" t="s">
        <v>2620</v>
      </c>
      <c r="E2009" s="16">
        <v>60.0</v>
      </c>
    </row>
    <row r="2010">
      <c r="A2010" s="8" t="s">
        <v>1632</v>
      </c>
      <c r="B2010" s="8" t="s">
        <v>23</v>
      </c>
      <c r="C2010" s="8" t="s">
        <v>141</v>
      </c>
      <c r="D2010" s="18" t="s">
        <v>2552</v>
      </c>
      <c r="E2010" s="16">
        <v>86.0</v>
      </c>
    </row>
    <row r="2011">
      <c r="A2011" s="8" t="s">
        <v>230</v>
      </c>
      <c r="B2011" s="8" t="s">
        <v>231</v>
      </c>
      <c r="C2011" s="8" t="s">
        <v>141</v>
      </c>
      <c r="D2011" s="18" t="s">
        <v>2582</v>
      </c>
      <c r="E2011" s="16">
        <v>54.0</v>
      </c>
    </row>
    <row r="2012">
      <c r="A2012" s="8" t="s">
        <v>3081</v>
      </c>
      <c r="B2012" s="8" t="s">
        <v>690</v>
      </c>
      <c r="C2012" s="8" t="s">
        <v>24</v>
      </c>
      <c r="D2012" s="18" t="s">
        <v>2621</v>
      </c>
      <c r="E2012" s="16">
        <v>72.0</v>
      </c>
    </row>
    <row r="2013">
      <c r="A2013" s="8" t="s">
        <v>1984</v>
      </c>
      <c r="B2013" s="8" t="s">
        <v>1046</v>
      </c>
      <c r="C2013" s="8" t="s">
        <v>138</v>
      </c>
      <c r="D2013" s="18" t="s">
        <v>2605</v>
      </c>
      <c r="E2013" s="16">
        <v>65.0</v>
      </c>
    </row>
    <row r="2014">
      <c r="A2014" s="8" t="s">
        <v>1634</v>
      </c>
      <c r="B2014" s="8" t="s">
        <v>1635</v>
      </c>
      <c r="C2014" s="8" t="s">
        <v>24</v>
      </c>
      <c r="D2014" s="18" t="s">
        <v>2614</v>
      </c>
      <c r="E2014" s="16">
        <v>64.0</v>
      </c>
    </row>
    <row r="2015">
      <c r="A2015" s="8" t="s">
        <v>3862</v>
      </c>
      <c r="B2015" s="8" t="s">
        <v>275</v>
      </c>
      <c r="C2015" s="8" t="s">
        <v>261</v>
      </c>
      <c r="D2015" s="18" t="s">
        <v>2572</v>
      </c>
      <c r="E2015" s="16">
        <v>60.0</v>
      </c>
    </row>
    <row r="2016">
      <c r="A2016" s="8" t="s">
        <v>3457</v>
      </c>
      <c r="B2016" s="8" t="s">
        <v>3458</v>
      </c>
      <c r="C2016" s="8" t="s">
        <v>93</v>
      </c>
      <c r="D2016" s="18" t="s">
        <v>2595</v>
      </c>
      <c r="E2016" s="16">
        <v>68.0</v>
      </c>
    </row>
    <row r="2017">
      <c r="A2017" s="8" t="s">
        <v>3459</v>
      </c>
      <c r="B2017" s="8" t="s">
        <v>252</v>
      </c>
      <c r="C2017" s="8" t="s">
        <v>38</v>
      </c>
      <c r="D2017" s="18" t="s">
        <v>2589</v>
      </c>
      <c r="E2017" s="16">
        <v>69.0</v>
      </c>
    </row>
    <row r="2018">
      <c r="A2018" s="8" t="s">
        <v>3459</v>
      </c>
      <c r="B2018" s="8" t="s">
        <v>472</v>
      </c>
      <c r="C2018" s="8" t="s">
        <v>141</v>
      </c>
      <c r="D2018" s="18" t="s">
        <v>2554</v>
      </c>
      <c r="E2018" s="16">
        <v>67.0</v>
      </c>
    </row>
    <row r="2019">
      <c r="A2019" s="8" t="s">
        <v>808</v>
      </c>
      <c r="B2019" s="18" t="s">
        <v>529</v>
      </c>
      <c r="C2019" s="8" t="s">
        <v>192</v>
      </c>
      <c r="D2019" s="18" t="s">
        <v>2589</v>
      </c>
      <c r="E2019" s="16">
        <v>72.0</v>
      </c>
    </row>
    <row r="2020">
      <c r="A2020" s="8" t="s">
        <v>439</v>
      </c>
      <c r="B2020" s="18" t="s">
        <v>440</v>
      </c>
      <c r="C2020" s="8" t="s">
        <v>75</v>
      </c>
      <c r="D2020" s="18" t="s">
        <v>2592</v>
      </c>
      <c r="E2020" s="16">
        <v>76.0</v>
      </c>
    </row>
    <row r="2021">
      <c r="A2021" s="8" t="s">
        <v>3082</v>
      </c>
      <c r="B2021" s="8" t="s">
        <v>527</v>
      </c>
      <c r="C2021" s="8" t="s">
        <v>24</v>
      </c>
      <c r="D2021" s="18" t="s">
        <v>2567</v>
      </c>
      <c r="E2021" s="16">
        <v>58.0</v>
      </c>
    </row>
    <row r="2022">
      <c r="A2022" s="18" t="s">
        <v>3863</v>
      </c>
      <c r="B2022" s="8" t="s">
        <v>3864</v>
      </c>
      <c r="C2022" s="8" t="s">
        <v>122</v>
      </c>
      <c r="D2022" s="18" t="s">
        <v>2183</v>
      </c>
      <c r="E2022" s="16">
        <v>71.0</v>
      </c>
    </row>
    <row r="2023">
      <c r="A2023" s="8" t="s">
        <v>3460</v>
      </c>
      <c r="B2023" s="8" t="s">
        <v>58</v>
      </c>
      <c r="C2023" s="8" t="s">
        <v>70</v>
      </c>
      <c r="D2023" s="18" t="s">
        <v>2575</v>
      </c>
      <c r="E2023" s="16">
        <v>73.0</v>
      </c>
    </row>
    <row r="2024">
      <c r="A2024" s="8" t="s">
        <v>178</v>
      </c>
      <c r="B2024" s="8" t="s">
        <v>179</v>
      </c>
      <c r="C2024" s="8" t="s">
        <v>93</v>
      </c>
      <c r="D2024" s="18" t="s">
        <v>2620</v>
      </c>
      <c r="E2024" s="16">
        <v>90.0</v>
      </c>
    </row>
    <row r="2025">
      <c r="A2025" s="8" t="s">
        <v>3865</v>
      </c>
      <c r="B2025" s="8" t="s">
        <v>1479</v>
      </c>
      <c r="C2025" s="8" t="s">
        <v>24</v>
      </c>
      <c r="D2025" s="18" t="s">
        <v>2598</v>
      </c>
      <c r="E2025" s="16">
        <v>79.0</v>
      </c>
    </row>
    <row r="2026">
      <c r="A2026" s="8" t="s">
        <v>3083</v>
      </c>
      <c r="B2026" s="8" t="s">
        <v>782</v>
      </c>
      <c r="C2026" s="8" t="s">
        <v>192</v>
      </c>
      <c r="D2026" s="18" t="s">
        <v>2592</v>
      </c>
      <c r="E2026" s="16">
        <v>71.0</v>
      </c>
    </row>
    <row r="2027">
      <c r="A2027" s="8" t="s">
        <v>326</v>
      </c>
      <c r="B2027" s="8" t="s">
        <v>67</v>
      </c>
      <c r="C2027" s="8" t="s">
        <v>16</v>
      </c>
      <c r="D2027" s="18" t="s">
        <v>2581</v>
      </c>
      <c r="E2027" s="16">
        <v>79.0</v>
      </c>
    </row>
    <row r="2028">
      <c r="A2028" s="8" t="s">
        <v>323</v>
      </c>
      <c r="B2028" s="8" t="s">
        <v>100</v>
      </c>
      <c r="C2028" s="8" t="s">
        <v>16</v>
      </c>
      <c r="D2028" s="18" t="s">
        <v>2621</v>
      </c>
      <c r="E2028" s="16">
        <v>63.0</v>
      </c>
    </row>
    <row r="2029">
      <c r="A2029" s="8" t="s">
        <v>3084</v>
      </c>
      <c r="B2029" s="8" t="s">
        <v>357</v>
      </c>
      <c r="C2029" s="8" t="s">
        <v>215</v>
      </c>
      <c r="D2029" s="18" t="s">
        <v>2614</v>
      </c>
      <c r="E2029" s="16">
        <v>68.0</v>
      </c>
    </row>
    <row r="2030">
      <c r="A2030" s="8" t="s">
        <v>1039</v>
      </c>
      <c r="B2030" s="8" t="s">
        <v>1040</v>
      </c>
      <c r="C2030" s="8" t="s">
        <v>192</v>
      </c>
      <c r="D2030" s="18" t="s">
        <v>2585</v>
      </c>
      <c r="E2030" s="16">
        <v>71.0</v>
      </c>
    </row>
    <row r="2031">
      <c r="A2031" s="8" t="s">
        <v>324</v>
      </c>
      <c r="B2031" s="8" t="s">
        <v>121</v>
      </c>
      <c r="C2031" s="8" t="s">
        <v>65</v>
      </c>
      <c r="D2031" s="18" t="s">
        <v>2610</v>
      </c>
      <c r="E2031" s="16">
        <v>71.0</v>
      </c>
    </row>
    <row r="2032">
      <c r="A2032" s="8" t="s">
        <v>3085</v>
      </c>
      <c r="B2032" s="8" t="s">
        <v>325</v>
      </c>
      <c r="C2032" s="8" t="s">
        <v>65</v>
      </c>
      <c r="D2032" s="18" t="s">
        <v>2554</v>
      </c>
      <c r="E2032" s="16">
        <v>89.0</v>
      </c>
    </row>
    <row r="2033">
      <c r="A2033" s="8" t="s">
        <v>2434</v>
      </c>
      <c r="B2033" s="18" t="s">
        <v>440</v>
      </c>
      <c r="C2033" s="8" t="s">
        <v>59</v>
      </c>
      <c r="D2033" s="18" t="s">
        <v>2621</v>
      </c>
      <c r="E2033" s="16">
        <v>59.0</v>
      </c>
    </row>
    <row r="2034">
      <c r="A2034" s="8" t="s">
        <v>603</v>
      </c>
      <c r="B2034" s="8" t="s">
        <v>604</v>
      </c>
      <c r="C2034" s="8" t="s">
        <v>12</v>
      </c>
      <c r="D2034" s="18" t="s">
        <v>2556</v>
      </c>
      <c r="E2034" s="16">
        <v>67.0</v>
      </c>
    </row>
    <row r="2035">
      <c r="A2035" s="8" t="s">
        <v>441</v>
      </c>
      <c r="B2035" s="8" t="s">
        <v>500</v>
      </c>
      <c r="C2035" s="8" t="s">
        <v>192</v>
      </c>
      <c r="D2035" s="18" t="s">
        <v>2566</v>
      </c>
      <c r="E2035" s="16">
        <v>69.0</v>
      </c>
    </row>
    <row r="2036">
      <c r="A2036" s="8" t="s">
        <v>441</v>
      </c>
      <c r="B2036" s="8" t="s">
        <v>217</v>
      </c>
      <c r="C2036" s="8" t="s">
        <v>138</v>
      </c>
      <c r="D2036" s="18" t="s">
        <v>2554</v>
      </c>
      <c r="E2036" s="16">
        <v>72.0</v>
      </c>
    </row>
    <row r="2037">
      <c r="A2037" s="8" t="s">
        <v>441</v>
      </c>
      <c r="B2037" s="8" t="s">
        <v>810</v>
      </c>
      <c r="C2037" s="8" t="s">
        <v>93</v>
      </c>
      <c r="D2037" s="18" t="s">
        <v>2615</v>
      </c>
      <c r="E2037" s="16">
        <v>70.0</v>
      </c>
    </row>
    <row r="2038">
      <c r="A2038" s="8" t="s">
        <v>441</v>
      </c>
      <c r="B2038" s="8" t="s">
        <v>347</v>
      </c>
      <c r="C2038" s="8" t="s">
        <v>70</v>
      </c>
      <c r="D2038" s="18" t="s">
        <v>2585</v>
      </c>
      <c r="E2038" s="16">
        <v>67.0</v>
      </c>
    </row>
    <row r="2039">
      <c r="A2039" s="8" t="s">
        <v>441</v>
      </c>
      <c r="B2039" s="8" t="s">
        <v>552</v>
      </c>
      <c r="C2039" s="8" t="s">
        <v>75</v>
      </c>
      <c r="D2039" s="18" t="s">
        <v>2558</v>
      </c>
      <c r="E2039" s="16">
        <v>67.0</v>
      </c>
    </row>
    <row r="2040">
      <c r="A2040" s="8" t="s">
        <v>441</v>
      </c>
      <c r="B2040" s="8" t="s">
        <v>3866</v>
      </c>
      <c r="C2040" s="8" t="s">
        <v>70</v>
      </c>
      <c r="D2040" s="18" t="s">
        <v>2589</v>
      </c>
      <c r="E2040" s="16">
        <v>73.0</v>
      </c>
    </row>
    <row r="2041">
      <c r="A2041" s="8" t="s">
        <v>441</v>
      </c>
      <c r="B2041" s="8" t="s">
        <v>442</v>
      </c>
      <c r="C2041" s="8" t="s">
        <v>16</v>
      </c>
      <c r="D2041" s="18" t="s">
        <v>2587</v>
      </c>
      <c r="E2041" s="16">
        <v>82.0</v>
      </c>
    </row>
    <row r="2042">
      <c r="A2042" s="8" t="s">
        <v>3464</v>
      </c>
      <c r="B2042" s="8" t="s">
        <v>497</v>
      </c>
      <c r="C2042" s="8" t="s">
        <v>24</v>
      </c>
      <c r="D2042" s="18" t="s">
        <v>2615</v>
      </c>
      <c r="E2042" s="16">
        <v>66.0</v>
      </c>
    </row>
    <row r="2043">
      <c r="A2043" s="18" t="s">
        <v>3087</v>
      </c>
      <c r="B2043" s="8" t="s">
        <v>3088</v>
      </c>
      <c r="C2043" s="8" t="s">
        <v>186</v>
      </c>
      <c r="D2043" s="18" t="s">
        <v>2572</v>
      </c>
      <c r="E2043" s="16">
        <v>75.0</v>
      </c>
    </row>
    <row r="2044">
      <c r="A2044" s="8" t="s">
        <v>77</v>
      </c>
      <c r="B2044" s="8" t="s">
        <v>759</v>
      </c>
      <c r="C2044" s="8" t="s">
        <v>80</v>
      </c>
      <c r="D2044" s="18" t="s">
        <v>2603</v>
      </c>
      <c r="E2044" s="16">
        <v>68.0</v>
      </c>
    </row>
    <row r="2045">
      <c r="A2045" s="8" t="s">
        <v>3465</v>
      </c>
      <c r="B2045" s="8" t="s">
        <v>3466</v>
      </c>
      <c r="C2045" s="8" t="s">
        <v>80</v>
      </c>
      <c r="D2045" s="18" t="s">
        <v>2598</v>
      </c>
      <c r="E2045" s="16">
        <v>68.0</v>
      </c>
    </row>
    <row r="2046">
      <c r="A2046" s="8" t="s">
        <v>3467</v>
      </c>
      <c r="B2046" s="8" t="s">
        <v>23</v>
      </c>
      <c r="C2046" s="8" t="s">
        <v>46</v>
      </c>
      <c r="D2046" s="18" t="s">
        <v>2585</v>
      </c>
      <c r="E2046" s="16">
        <v>63.0</v>
      </c>
    </row>
    <row r="2047">
      <c r="A2047" s="8" t="s">
        <v>605</v>
      </c>
      <c r="B2047" s="8" t="s">
        <v>11</v>
      </c>
      <c r="C2047" s="8" t="s">
        <v>65</v>
      </c>
      <c r="D2047" s="18" t="s">
        <v>2552</v>
      </c>
      <c r="E2047" s="16">
        <v>69.0</v>
      </c>
    </row>
    <row r="2048">
      <c r="A2048" s="8" t="s">
        <v>62</v>
      </c>
      <c r="B2048" s="8" t="s">
        <v>121</v>
      </c>
      <c r="C2048" s="8" t="s">
        <v>132</v>
      </c>
      <c r="D2048" s="18" t="s">
        <v>2585</v>
      </c>
      <c r="E2048" s="16">
        <v>67.0</v>
      </c>
    </row>
    <row r="2049">
      <c r="A2049" s="8" t="s">
        <v>62</v>
      </c>
      <c r="B2049" s="8" t="s">
        <v>407</v>
      </c>
      <c r="C2049" s="8" t="s">
        <v>138</v>
      </c>
      <c r="D2049" s="18" t="s">
        <v>2593</v>
      </c>
      <c r="E2049" s="16">
        <v>66.0</v>
      </c>
    </row>
    <row r="2050">
      <c r="A2050" s="8" t="s">
        <v>62</v>
      </c>
      <c r="B2050" s="8" t="s">
        <v>1811</v>
      </c>
      <c r="C2050" s="8" t="s">
        <v>75</v>
      </c>
      <c r="D2050" s="18" t="s">
        <v>2581</v>
      </c>
      <c r="E2050" s="16">
        <v>66.0</v>
      </c>
    </row>
    <row r="2051">
      <c r="A2051" s="8" t="s">
        <v>62</v>
      </c>
      <c r="B2051" s="8" t="s">
        <v>197</v>
      </c>
      <c r="C2051" s="8" t="s">
        <v>70</v>
      </c>
      <c r="D2051" s="18" t="s">
        <v>2581</v>
      </c>
      <c r="E2051" s="16">
        <v>72.0</v>
      </c>
    </row>
    <row r="2052">
      <c r="A2052" s="8" t="s">
        <v>62</v>
      </c>
      <c r="B2052" s="18" t="s">
        <v>3089</v>
      </c>
      <c r="C2052" s="8" t="s">
        <v>65</v>
      </c>
      <c r="D2052" s="18" t="s">
        <v>2183</v>
      </c>
      <c r="E2052" s="16">
        <v>71.0</v>
      </c>
    </row>
    <row r="2053">
      <c r="A2053" s="8" t="s">
        <v>62</v>
      </c>
      <c r="B2053" s="8" t="s">
        <v>327</v>
      </c>
      <c r="C2053" s="8" t="s">
        <v>65</v>
      </c>
      <c r="D2053" s="18" t="s">
        <v>2620</v>
      </c>
      <c r="E2053" s="16">
        <v>87.0</v>
      </c>
    </row>
    <row r="2054">
      <c r="A2054" s="8" t="s">
        <v>62</v>
      </c>
      <c r="B2054" s="8" t="s">
        <v>102</v>
      </c>
      <c r="C2054" s="8" t="s">
        <v>46</v>
      </c>
      <c r="D2054" s="18" t="s">
        <v>2615</v>
      </c>
      <c r="E2054" s="16">
        <v>97.0</v>
      </c>
    </row>
    <row r="2055">
      <c r="A2055" s="8" t="s">
        <v>62</v>
      </c>
      <c r="B2055" s="8" t="s">
        <v>102</v>
      </c>
      <c r="C2055" s="8" t="s">
        <v>186</v>
      </c>
      <c r="D2055" s="18" t="s">
        <v>2558</v>
      </c>
      <c r="E2055" s="16">
        <v>70.0</v>
      </c>
    </row>
    <row r="2056">
      <c r="A2056" s="8" t="s">
        <v>62</v>
      </c>
      <c r="B2056" s="8" t="s">
        <v>301</v>
      </c>
      <c r="C2056" s="8" t="s">
        <v>93</v>
      </c>
      <c r="D2056" s="18" t="s">
        <v>2614</v>
      </c>
      <c r="E2056" s="16">
        <v>66.0</v>
      </c>
    </row>
    <row r="2057">
      <c r="A2057" s="8" t="s">
        <v>62</v>
      </c>
      <c r="B2057" s="8" t="s">
        <v>2991</v>
      </c>
      <c r="C2057" s="8" t="s">
        <v>24</v>
      </c>
      <c r="D2057" s="18" t="s">
        <v>2584</v>
      </c>
      <c r="E2057" s="16">
        <v>83.0</v>
      </c>
    </row>
    <row r="2058">
      <c r="A2058" s="8" t="s">
        <v>62</v>
      </c>
      <c r="B2058" s="8" t="s">
        <v>137</v>
      </c>
      <c r="C2058" s="8" t="s">
        <v>80</v>
      </c>
      <c r="D2058" s="18" t="s">
        <v>2581</v>
      </c>
      <c r="E2058" s="16">
        <v>74.0</v>
      </c>
    </row>
    <row r="2059">
      <c r="A2059" s="8" t="s">
        <v>62</v>
      </c>
      <c r="B2059" s="8" t="s">
        <v>137</v>
      </c>
      <c r="C2059" s="8" t="s">
        <v>65</v>
      </c>
      <c r="D2059" s="18" t="s">
        <v>2595</v>
      </c>
      <c r="E2059" s="16">
        <v>70.0</v>
      </c>
    </row>
    <row r="2060">
      <c r="A2060" s="8" t="s">
        <v>62</v>
      </c>
      <c r="B2060" s="8" t="s">
        <v>183</v>
      </c>
      <c r="C2060" s="8" t="s">
        <v>65</v>
      </c>
      <c r="D2060" s="18" t="s">
        <v>2593</v>
      </c>
      <c r="E2060" s="16">
        <v>63.0</v>
      </c>
    </row>
    <row r="2061">
      <c r="A2061" s="8" t="s">
        <v>62</v>
      </c>
      <c r="B2061" s="8" t="s">
        <v>690</v>
      </c>
      <c r="C2061" s="8" t="s">
        <v>192</v>
      </c>
      <c r="D2061" s="18" t="s">
        <v>2587</v>
      </c>
      <c r="E2061" s="16">
        <v>68.0</v>
      </c>
    </row>
    <row r="2062">
      <c r="A2062" s="8" t="s">
        <v>62</v>
      </c>
      <c r="B2062" s="8" t="s">
        <v>337</v>
      </c>
      <c r="C2062" s="8" t="s">
        <v>215</v>
      </c>
      <c r="D2062" s="18" t="s">
        <v>2574</v>
      </c>
      <c r="E2062" s="16">
        <v>51.0</v>
      </c>
    </row>
    <row r="2063">
      <c r="A2063" s="8" t="s">
        <v>62</v>
      </c>
      <c r="B2063" s="8" t="s">
        <v>811</v>
      </c>
      <c r="C2063" s="8" t="s">
        <v>192</v>
      </c>
      <c r="D2063" s="18" t="s">
        <v>2577</v>
      </c>
      <c r="E2063" s="16">
        <v>72.0</v>
      </c>
    </row>
    <row r="2064">
      <c r="A2064" s="8" t="s">
        <v>3090</v>
      </c>
      <c r="B2064" s="8" t="s">
        <v>443</v>
      </c>
      <c r="C2064" s="8" t="s">
        <v>80</v>
      </c>
      <c r="D2064" s="18" t="s">
        <v>2603</v>
      </c>
      <c r="E2064" s="16">
        <v>93.0</v>
      </c>
    </row>
    <row r="2065">
      <c r="A2065" s="8" t="s">
        <v>3090</v>
      </c>
      <c r="B2065" s="18" t="s">
        <v>1490</v>
      </c>
      <c r="C2065" s="8" t="s">
        <v>59</v>
      </c>
      <c r="D2065" s="18" t="s">
        <v>2566</v>
      </c>
      <c r="E2065" s="16">
        <v>76.0</v>
      </c>
    </row>
    <row r="2066">
      <c r="A2066" s="8" t="s">
        <v>3867</v>
      </c>
      <c r="B2066" s="8" t="s">
        <v>3868</v>
      </c>
      <c r="C2066" s="8" t="s">
        <v>65</v>
      </c>
      <c r="D2066" s="18" t="s">
        <v>2560</v>
      </c>
      <c r="E2066" s="16">
        <v>67.0</v>
      </c>
    </row>
    <row r="2067">
      <c r="A2067" s="8" t="s">
        <v>444</v>
      </c>
      <c r="B2067" s="8" t="s">
        <v>121</v>
      </c>
      <c r="C2067" s="8" t="s">
        <v>122</v>
      </c>
      <c r="D2067" s="18" t="s">
        <v>2610</v>
      </c>
      <c r="E2067" s="16">
        <v>67.0</v>
      </c>
    </row>
    <row r="2068">
      <c r="A2068" s="8" t="s">
        <v>444</v>
      </c>
      <c r="B2068" s="8" t="s">
        <v>366</v>
      </c>
      <c r="C2068" s="8" t="s">
        <v>53</v>
      </c>
      <c r="D2068" s="18" t="s">
        <v>2562</v>
      </c>
      <c r="E2068" s="16">
        <v>62.0</v>
      </c>
    </row>
    <row r="2069">
      <c r="A2069" s="8" t="s">
        <v>444</v>
      </c>
      <c r="B2069" s="8" t="s">
        <v>275</v>
      </c>
      <c r="C2069" s="8" t="s">
        <v>70</v>
      </c>
      <c r="D2069" s="18" t="s">
        <v>2582</v>
      </c>
      <c r="E2069" s="16">
        <v>72.0</v>
      </c>
    </row>
    <row r="2070">
      <c r="A2070" s="8" t="s">
        <v>444</v>
      </c>
      <c r="B2070" s="8" t="s">
        <v>1643</v>
      </c>
      <c r="C2070" s="8" t="s">
        <v>80</v>
      </c>
      <c r="D2070" s="18" t="s">
        <v>2566</v>
      </c>
      <c r="E2070" s="16">
        <v>69.0</v>
      </c>
    </row>
    <row r="2071">
      <c r="A2071" s="8" t="s">
        <v>444</v>
      </c>
      <c r="B2071" s="8" t="s">
        <v>445</v>
      </c>
      <c r="C2071" s="8" t="s">
        <v>65</v>
      </c>
      <c r="D2071" s="18" t="s">
        <v>2605</v>
      </c>
      <c r="E2071" s="16">
        <v>64.0</v>
      </c>
    </row>
    <row r="2072">
      <c r="A2072" s="8" t="s">
        <v>444</v>
      </c>
      <c r="B2072" s="8" t="s">
        <v>1399</v>
      </c>
      <c r="C2072" s="8" t="s">
        <v>16</v>
      </c>
      <c r="D2072" s="18" t="s">
        <v>2593</v>
      </c>
      <c r="E2072" s="16">
        <v>61.0</v>
      </c>
    </row>
    <row r="2073">
      <c r="A2073" s="8" t="s">
        <v>444</v>
      </c>
      <c r="B2073" s="8" t="s">
        <v>3468</v>
      </c>
      <c r="C2073" s="8" t="s">
        <v>70</v>
      </c>
      <c r="D2073" s="18" t="s">
        <v>2620</v>
      </c>
      <c r="E2073" s="16">
        <v>71.0</v>
      </c>
    </row>
    <row r="2074">
      <c r="A2074" s="8" t="s">
        <v>444</v>
      </c>
      <c r="B2074" s="8" t="s">
        <v>3469</v>
      </c>
      <c r="C2074" s="8" t="s">
        <v>80</v>
      </c>
      <c r="D2074" s="18" t="s">
        <v>2566</v>
      </c>
      <c r="E2074" s="16">
        <v>66.0</v>
      </c>
    </row>
    <row r="2075">
      <c r="A2075" s="8" t="s">
        <v>444</v>
      </c>
      <c r="B2075" s="8" t="s">
        <v>1368</v>
      </c>
      <c r="C2075" s="8" t="s">
        <v>80</v>
      </c>
      <c r="D2075" s="18" t="s">
        <v>2584</v>
      </c>
      <c r="E2075" s="16">
        <v>62.0</v>
      </c>
    </row>
    <row r="2076">
      <c r="A2076" s="8" t="s">
        <v>444</v>
      </c>
      <c r="B2076" s="8" t="s">
        <v>394</v>
      </c>
      <c r="C2076" s="8" t="s">
        <v>53</v>
      </c>
      <c r="D2076" s="18" t="s">
        <v>2567</v>
      </c>
      <c r="E2076" s="16">
        <v>58.0</v>
      </c>
    </row>
    <row r="2077">
      <c r="A2077" s="8" t="s">
        <v>444</v>
      </c>
      <c r="B2077" s="8" t="s">
        <v>1241</v>
      </c>
      <c r="C2077" s="8" t="s">
        <v>53</v>
      </c>
      <c r="D2077" s="18" t="s">
        <v>2574</v>
      </c>
      <c r="E2077" s="16">
        <v>75.0</v>
      </c>
    </row>
    <row r="2078">
      <c r="A2078" s="8" t="s">
        <v>444</v>
      </c>
      <c r="B2078" s="8" t="s">
        <v>3470</v>
      </c>
      <c r="C2078" s="8" t="s">
        <v>46</v>
      </c>
      <c r="D2078" s="18" t="s">
        <v>2595</v>
      </c>
      <c r="E2078" s="16">
        <v>65.0</v>
      </c>
    </row>
    <row r="2079">
      <c r="A2079" s="8" t="s">
        <v>328</v>
      </c>
      <c r="B2079" s="8" t="s">
        <v>329</v>
      </c>
      <c r="C2079" s="8" t="s">
        <v>122</v>
      </c>
      <c r="D2079" s="18" t="s">
        <v>2614</v>
      </c>
      <c r="E2079" s="16">
        <v>78.0</v>
      </c>
    </row>
    <row r="2080">
      <c r="A2080" s="8" t="s">
        <v>328</v>
      </c>
      <c r="B2080" s="8" t="s">
        <v>3869</v>
      </c>
      <c r="C2080" s="8" t="s">
        <v>75</v>
      </c>
      <c r="D2080" s="18" t="s">
        <v>2567</v>
      </c>
      <c r="E2080" s="16">
        <v>72.0</v>
      </c>
    </row>
    <row r="2081">
      <c r="A2081" s="8" t="s">
        <v>606</v>
      </c>
      <c r="B2081" s="8" t="s">
        <v>607</v>
      </c>
      <c r="C2081" s="8" t="s">
        <v>93</v>
      </c>
      <c r="D2081" s="18" t="s">
        <v>2556</v>
      </c>
      <c r="E2081" s="16">
        <v>68.0</v>
      </c>
    </row>
    <row r="2082">
      <c r="A2082" s="8" t="s">
        <v>1318</v>
      </c>
      <c r="B2082" s="8" t="s">
        <v>102</v>
      </c>
      <c r="C2082" s="8" t="s">
        <v>75</v>
      </c>
      <c r="D2082" s="18" t="s">
        <v>2600</v>
      </c>
      <c r="E2082" s="16">
        <v>70.0</v>
      </c>
    </row>
    <row r="2083">
      <c r="A2083" s="8" t="s">
        <v>3473</v>
      </c>
      <c r="B2083" s="8" t="s">
        <v>55</v>
      </c>
      <c r="C2083" s="8" t="s">
        <v>132</v>
      </c>
      <c r="D2083" s="18" t="s">
        <v>2585</v>
      </c>
      <c r="E2083" s="16">
        <v>71.0</v>
      </c>
    </row>
    <row r="2084">
      <c r="A2084" s="8" t="s">
        <v>3091</v>
      </c>
      <c r="B2084" s="8" t="s">
        <v>524</v>
      </c>
      <c r="C2084" s="8" t="s">
        <v>186</v>
      </c>
      <c r="D2084" s="18" t="s">
        <v>2577</v>
      </c>
      <c r="E2084" s="16">
        <v>78.0</v>
      </c>
    </row>
    <row r="2085">
      <c r="A2085" s="8" t="s">
        <v>3092</v>
      </c>
      <c r="B2085" s="8" t="s">
        <v>23</v>
      </c>
      <c r="C2085" s="8" t="s">
        <v>186</v>
      </c>
      <c r="D2085" s="18" t="s">
        <v>2605</v>
      </c>
      <c r="E2085" s="16">
        <v>66.0</v>
      </c>
    </row>
    <row r="2086">
      <c r="A2086" s="8" t="s">
        <v>3474</v>
      </c>
      <c r="B2086" s="8" t="s">
        <v>1118</v>
      </c>
      <c r="C2086" s="8" t="s">
        <v>24</v>
      </c>
      <c r="D2086" s="18" t="s">
        <v>2584</v>
      </c>
      <c r="E2086" s="16">
        <v>45.0</v>
      </c>
    </row>
    <row r="2087">
      <c r="A2087" s="8" t="s">
        <v>3093</v>
      </c>
      <c r="B2087" s="8" t="s">
        <v>33</v>
      </c>
      <c r="C2087" s="8" t="s">
        <v>132</v>
      </c>
      <c r="D2087" s="18" t="s">
        <v>2564</v>
      </c>
      <c r="E2087" s="16">
        <v>71.0</v>
      </c>
    </row>
    <row r="2088">
      <c r="A2088" s="8" t="s">
        <v>3475</v>
      </c>
      <c r="B2088" s="8" t="s">
        <v>263</v>
      </c>
      <c r="C2088" s="8" t="s">
        <v>70</v>
      </c>
      <c r="D2088" s="18" t="s">
        <v>2567</v>
      </c>
      <c r="E2088" s="16">
        <v>70.0</v>
      </c>
    </row>
    <row r="2089">
      <c r="A2089" s="8" t="s">
        <v>812</v>
      </c>
      <c r="B2089" s="8" t="s">
        <v>211</v>
      </c>
      <c r="C2089" s="8" t="s">
        <v>24</v>
      </c>
      <c r="D2089" s="18" t="s">
        <v>2598</v>
      </c>
      <c r="E2089" s="16">
        <v>71.0</v>
      </c>
    </row>
    <row r="2090">
      <c r="A2090" s="8" t="s">
        <v>3476</v>
      </c>
      <c r="B2090" s="8" t="s">
        <v>183</v>
      </c>
      <c r="C2090" s="8" t="s">
        <v>261</v>
      </c>
      <c r="D2090" s="18" t="s">
        <v>2574</v>
      </c>
      <c r="E2090" s="16">
        <v>78.0</v>
      </c>
    </row>
    <row r="2091">
      <c r="A2091" s="8" t="s">
        <v>3870</v>
      </c>
      <c r="B2091" s="8" t="s">
        <v>124</v>
      </c>
      <c r="C2091" s="8" t="s">
        <v>93</v>
      </c>
      <c r="D2091" s="18" t="s">
        <v>2582</v>
      </c>
      <c r="E2091" s="16">
        <v>72.0</v>
      </c>
    </row>
    <row r="2092">
      <c r="A2092" s="8" t="s">
        <v>3477</v>
      </c>
      <c r="B2092" s="8" t="s">
        <v>1031</v>
      </c>
      <c r="C2092" s="8" t="s">
        <v>16</v>
      </c>
      <c r="D2092" s="18" t="s">
        <v>2567</v>
      </c>
      <c r="E2092" s="16">
        <v>67.0</v>
      </c>
    </row>
    <row r="2093">
      <c r="A2093" s="8" t="s">
        <v>1041</v>
      </c>
      <c r="B2093" s="8" t="s">
        <v>129</v>
      </c>
      <c r="C2093" s="8" t="s">
        <v>24</v>
      </c>
      <c r="D2093" s="18" t="s">
        <v>2562</v>
      </c>
      <c r="E2093" s="16">
        <v>64.0</v>
      </c>
    </row>
    <row r="2094">
      <c r="A2094" s="8" t="s">
        <v>1041</v>
      </c>
      <c r="B2094" s="8" t="s">
        <v>1042</v>
      </c>
      <c r="C2094" s="8" t="s">
        <v>75</v>
      </c>
      <c r="D2094" s="18" t="s">
        <v>2554</v>
      </c>
      <c r="E2094" s="16">
        <v>69.0</v>
      </c>
    </row>
    <row r="2095">
      <c r="A2095" s="8" t="s">
        <v>1645</v>
      </c>
      <c r="B2095" s="8" t="s">
        <v>349</v>
      </c>
      <c r="C2095" s="8" t="s">
        <v>132</v>
      </c>
      <c r="D2095" s="18" t="s">
        <v>2589</v>
      </c>
      <c r="E2095" s="16">
        <v>64.0</v>
      </c>
    </row>
    <row r="2096">
      <c r="A2096" s="8" t="s">
        <v>3095</v>
      </c>
      <c r="B2096" s="8" t="s">
        <v>1756</v>
      </c>
      <c r="C2096" s="8" t="s">
        <v>59</v>
      </c>
      <c r="D2096" s="18" t="s">
        <v>2556</v>
      </c>
      <c r="E2096" s="16">
        <v>63.0</v>
      </c>
    </row>
    <row r="2097">
      <c r="A2097" s="8" t="s">
        <v>3096</v>
      </c>
      <c r="B2097" s="8" t="s">
        <v>63</v>
      </c>
      <c r="C2097" s="8" t="s">
        <v>70</v>
      </c>
      <c r="D2097" s="18" t="s">
        <v>2577</v>
      </c>
      <c r="E2097" s="16">
        <v>67.0</v>
      </c>
    </row>
    <row r="2098">
      <c r="A2098" s="8" t="s">
        <v>3480</v>
      </c>
      <c r="B2098" s="8" t="s">
        <v>3481</v>
      </c>
      <c r="C2098" s="8" t="s">
        <v>53</v>
      </c>
      <c r="D2098" s="18" t="s">
        <v>2582</v>
      </c>
      <c r="E2098" s="16">
        <v>56.0</v>
      </c>
    </row>
    <row r="2099">
      <c r="A2099" s="8" t="s">
        <v>3871</v>
      </c>
      <c r="B2099" s="8" t="s">
        <v>381</v>
      </c>
      <c r="C2099" s="8" t="s">
        <v>138</v>
      </c>
      <c r="D2099" s="18" t="s">
        <v>2552</v>
      </c>
      <c r="E2099" s="16">
        <v>65.0</v>
      </c>
    </row>
    <row r="2100">
      <c r="A2100" s="8" t="s">
        <v>3097</v>
      </c>
      <c r="B2100" s="8" t="s">
        <v>3098</v>
      </c>
      <c r="C2100" s="8" t="s">
        <v>192</v>
      </c>
      <c r="D2100" s="18" t="s">
        <v>2556</v>
      </c>
      <c r="E2100" s="16">
        <v>63.0</v>
      </c>
    </row>
    <row r="2101">
      <c r="A2101" s="8" t="s">
        <v>2001</v>
      </c>
      <c r="B2101" s="8" t="s">
        <v>2002</v>
      </c>
      <c r="C2101" s="8" t="s">
        <v>65</v>
      </c>
      <c r="D2101" s="18" t="s">
        <v>2552</v>
      </c>
      <c r="E2101" s="16">
        <v>75.0</v>
      </c>
    </row>
    <row r="2102">
      <c r="A2102" s="8" t="s">
        <v>3483</v>
      </c>
      <c r="B2102" s="8" t="s">
        <v>1858</v>
      </c>
      <c r="C2102" s="8" t="s">
        <v>132</v>
      </c>
      <c r="D2102" s="18" t="s">
        <v>2621</v>
      </c>
      <c r="E2102" s="16">
        <v>64.0</v>
      </c>
    </row>
    <row r="2103">
      <c r="A2103" s="8" t="s">
        <v>813</v>
      </c>
      <c r="B2103" s="18" t="s">
        <v>814</v>
      </c>
      <c r="C2103" s="8" t="s">
        <v>141</v>
      </c>
      <c r="D2103" s="18" t="s">
        <v>2558</v>
      </c>
      <c r="E2103" s="16">
        <v>76.0</v>
      </c>
    </row>
    <row r="2104">
      <c r="A2104" s="8" t="s">
        <v>608</v>
      </c>
      <c r="B2104" s="8" t="s">
        <v>134</v>
      </c>
      <c r="C2104" s="8" t="s">
        <v>186</v>
      </c>
      <c r="D2104" s="18" t="s">
        <v>2605</v>
      </c>
      <c r="E2104" s="16">
        <v>85.0</v>
      </c>
    </row>
    <row r="2105">
      <c r="A2105" s="8" t="s">
        <v>3484</v>
      </c>
      <c r="B2105" s="8" t="s">
        <v>1516</v>
      </c>
      <c r="C2105" s="8" t="s">
        <v>122</v>
      </c>
      <c r="D2105" s="18" t="s">
        <v>2593</v>
      </c>
      <c r="E2105" s="16">
        <v>58.0</v>
      </c>
    </row>
    <row r="2106">
      <c r="A2106" s="8" t="s">
        <v>3485</v>
      </c>
      <c r="B2106" s="8" t="s">
        <v>263</v>
      </c>
      <c r="C2106" s="8" t="s">
        <v>53</v>
      </c>
      <c r="D2106" s="18" t="s">
        <v>2584</v>
      </c>
      <c r="E2106" s="16">
        <v>65.0</v>
      </c>
    </row>
    <row r="2107">
      <c r="A2107" s="8" t="s">
        <v>815</v>
      </c>
      <c r="B2107" s="8" t="s">
        <v>816</v>
      </c>
      <c r="C2107" s="8" t="s">
        <v>93</v>
      </c>
      <c r="D2107" s="18" t="s">
        <v>2598</v>
      </c>
      <c r="E2107" s="16">
        <v>90.0</v>
      </c>
    </row>
    <row r="2108">
      <c r="A2108" s="8" t="s">
        <v>3872</v>
      </c>
      <c r="B2108" s="8" t="s">
        <v>357</v>
      </c>
      <c r="C2108" s="8" t="s">
        <v>122</v>
      </c>
      <c r="D2108" s="18" t="s">
        <v>2581</v>
      </c>
      <c r="E2108" s="16">
        <v>56.0</v>
      </c>
    </row>
    <row r="2109">
      <c r="A2109" s="8" t="s">
        <v>609</v>
      </c>
      <c r="B2109" s="8" t="s">
        <v>381</v>
      </c>
      <c r="C2109" s="8" t="s">
        <v>12</v>
      </c>
      <c r="D2109" s="18" t="s">
        <v>2575</v>
      </c>
      <c r="E2109" s="16">
        <v>83.0</v>
      </c>
    </row>
    <row r="2110">
      <c r="A2110" s="8" t="s">
        <v>609</v>
      </c>
      <c r="B2110" s="8" t="s">
        <v>247</v>
      </c>
      <c r="C2110" s="8" t="s">
        <v>65</v>
      </c>
      <c r="D2110" s="18" t="s">
        <v>2577</v>
      </c>
      <c r="E2110" s="16">
        <v>61.0</v>
      </c>
    </row>
    <row r="2111">
      <c r="A2111" s="8" t="s">
        <v>3486</v>
      </c>
      <c r="B2111" s="8" t="s">
        <v>922</v>
      </c>
      <c r="C2111" s="8" t="s">
        <v>141</v>
      </c>
      <c r="D2111" s="18" t="s">
        <v>2572</v>
      </c>
      <c r="E2111" s="16">
        <v>68.0</v>
      </c>
    </row>
    <row r="2112">
      <c r="A2112" s="8" t="s">
        <v>3873</v>
      </c>
      <c r="B2112" s="8" t="s">
        <v>381</v>
      </c>
      <c r="C2112" s="8" t="s">
        <v>186</v>
      </c>
      <c r="D2112" s="18" t="s">
        <v>2615</v>
      </c>
      <c r="E2112" s="16">
        <v>70.0</v>
      </c>
    </row>
    <row r="2113">
      <c r="A2113" s="8" t="s">
        <v>1319</v>
      </c>
      <c r="B2113" s="8" t="s">
        <v>694</v>
      </c>
      <c r="C2113" s="8" t="s">
        <v>215</v>
      </c>
      <c r="D2113" s="18" t="s">
        <v>2577</v>
      </c>
      <c r="E2113" s="16">
        <v>78.0</v>
      </c>
    </row>
    <row r="2114">
      <c r="A2114" s="8" t="s">
        <v>3874</v>
      </c>
      <c r="B2114" s="8" t="s">
        <v>61</v>
      </c>
      <c r="C2114" s="8" t="s">
        <v>215</v>
      </c>
      <c r="D2114" s="18" t="s">
        <v>2595</v>
      </c>
      <c r="E2114" s="16">
        <v>60.0</v>
      </c>
    </row>
    <row r="2115">
      <c r="A2115" s="8" t="s">
        <v>1649</v>
      </c>
      <c r="B2115" s="8" t="s">
        <v>1650</v>
      </c>
      <c r="C2115" s="8" t="s">
        <v>75</v>
      </c>
      <c r="D2115" s="18" t="s">
        <v>2581</v>
      </c>
      <c r="E2115" s="16">
        <v>78.0</v>
      </c>
    </row>
    <row r="2116">
      <c r="A2116" s="8" t="s">
        <v>3103</v>
      </c>
      <c r="B2116" s="8" t="s">
        <v>337</v>
      </c>
      <c r="C2116" s="8" t="s">
        <v>70</v>
      </c>
      <c r="D2116" s="18" t="s">
        <v>2567</v>
      </c>
      <c r="E2116" s="16">
        <v>75.0</v>
      </c>
    </row>
    <row r="2117">
      <c r="A2117" s="8" t="s">
        <v>1043</v>
      </c>
      <c r="B2117" s="8" t="s">
        <v>1044</v>
      </c>
      <c r="C2117" s="8" t="s">
        <v>132</v>
      </c>
      <c r="D2117" s="18" t="s">
        <v>2581</v>
      </c>
      <c r="E2117" s="16">
        <v>68.0</v>
      </c>
    </row>
    <row r="2118">
      <c r="A2118" s="8" t="s">
        <v>1043</v>
      </c>
      <c r="B2118" s="8" t="s">
        <v>1409</v>
      </c>
      <c r="C2118" s="8" t="s">
        <v>132</v>
      </c>
      <c r="D2118" s="18" t="s">
        <v>2595</v>
      </c>
      <c r="E2118" s="16">
        <v>58.0</v>
      </c>
    </row>
    <row r="2119">
      <c r="A2119" s="8" t="s">
        <v>1043</v>
      </c>
      <c r="B2119" s="8" t="s">
        <v>1320</v>
      </c>
      <c r="C2119" s="8" t="s">
        <v>132</v>
      </c>
      <c r="D2119" s="18" t="s">
        <v>2574</v>
      </c>
      <c r="E2119" s="16">
        <v>87.0</v>
      </c>
    </row>
    <row r="2120">
      <c r="A2120" s="8" t="s">
        <v>1045</v>
      </c>
      <c r="B2120" s="8" t="s">
        <v>1046</v>
      </c>
      <c r="C2120" s="8" t="s">
        <v>24</v>
      </c>
      <c r="D2120" s="18" t="s">
        <v>2566</v>
      </c>
      <c r="E2120" s="16">
        <v>72.0</v>
      </c>
    </row>
    <row r="2121">
      <c r="A2121" s="8" t="s">
        <v>188</v>
      </c>
      <c r="B2121" s="8" t="s">
        <v>1192</v>
      </c>
      <c r="C2121" s="8" t="s">
        <v>215</v>
      </c>
      <c r="D2121" s="18" t="s">
        <v>2603</v>
      </c>
      <c r="E2121" s="16">
        <v>64.0</v>
      </c>
    </row>
    <row r="2122">
      <c r="A2122" s="8" t="s">
        <v>3875</v>
      </c>
      <c r="B2122" s="8" t="s">
        <v>3034</v>
      </c>
      <c r="C2122" s="8" t="s">
        <v>24</v>
      </c>
      <c r="D2122" s="18" t="s">
        <v>2556</v>
      </c>
      <c r="E2122" s="16">
        <v>60.0</v>
      </c>
    </row>
    <row r="2123">
      <c r="A2123" s="8" t="s">
        <v>3104</v>
      </c>
      <c r="B2123" s="8" t="s">
        <v>922</v>
      </c>
      <c r="C2123" s="8" t="s">
        <v>141</v>
      </c>
      <c r="D2123" s="18" t="s">
        <v>2595</v>
      </c>
      <c r="E2123" s="16">
        <v>82.0</v>
      </c>
    </row>
    <row r="2124">
      <c r="A2124" s="8" t="s">
        <v>3105</v>
      </c>
      <c r="B2124" s="8" t="s">
        <v>985</v>
      </c>
      <c r="C2124" s="8" t="s">
        <v>215</v>
      </c>
      <c r="D2124" s="18" t="s">
        <v>2605</v>
      </c>
      <c r="E2124" s="16">
        <v>68.0</v>
      </c>
    </row>
    <row r="2125">
      <c r="A2125" s="8" t="s">
        <v>3488</v>
      </c>
      <c r="B2125" s="8" t="s">
        <v>3489</v>
      </c>
      <c r="C2125" s="8" t="s">
        <v>53</v>
      </c>
      <c r="D2125" s="18" t="s">
        <v>2598</v>
      </c>
      <c r="E2125" s="16">
        <v>78.0</v>
      </c>
    </row>
    <row r="2126">
      <c r="A2126" s="8" t="s">
        <v>817</v>
      </c>
      <c r="B2126" s="8" t="s">
        <v>780</v>
      </c>
      <c r="C2126" s="8" t="s">
        <v>215</v>
      </c>
      <c r="D2126" s="18" t="s">
        <v>2575</v>
      </c>
      <c r="E2126" s="16">
        <v>64.0</v>
      </c>
    </row>
    <row r="2127">
      <c r="A2127" s="8" t="s">
        <v>3490</v>
      </c>
      <c r="B2127" s="8" t="s">
        <v>3491</v>
      </c>
      <c r="C2127" s="8" t="s">
        <v>132</v>
      </c>
      <c r="D2127" s="18" t="s">
        <v>2581</v>
      </c>
      <c r="E2127" s="16">
        <v>72.0</v>
      </c>
    </row>
    <row r="2128">
      <c r="A2128" s="8" t="s">
        <v>3492</v>
      </c>
      <c r="B2128" s="8" t="s">
        <v>23</v>
      </c>
      <c r="C2128" s="8" t="s">
        <v>75</v>
      </c>
      <c r="D2128" s="18" t="s">
        <v>2575</v>
      </c>
      <c r="E2128" s="16">
        <v>70.0</v>
      </c>
    </row>
    <row r="2129">
      <c r="A2129" s="8" t="s">
        <v>1321</v>
      </c>
      <c r="B2129" s="18" t="s">
        <v>521</v>
      </c>
      <c r="C2129" s="8" t="s">
        <v>24</v>
      </c>
      <c r="D2129" s="18" t="s">
        <v>2610</v>
      </c>
      <c r="E2129" s="16">
        <v>66.0</v>
      </c>
    </row>
    <row r="2130">
      <c r="A2130" s="8" t="s">
        <v>818</v>
      </c>
      <c r="B2130" s="8" t="s">
        <v>333</v>
      </c>
      <c r="C2130" s="8" t="s">
        <v>192</v>
      </c>
      <c r="D2130" s="18" t="s">
        <v>2595</v>
      </c>
      <c r="E2130" s="16">
        <v>80.0</v>
      </c>
    </row>
    <row r="2131">
      <c r="A2131" s="8" t="s">
        <v>1322</v>
      </c>
      <c r="B2131" s="8" t="s">
        <v>2828</v>
      </c>
      <c r="C2131" s="8" t="s">
        <v>46</v>
      </c>
      <c r="D2131" s="18" t="s">
        <v>2564</v>
      </c>
      <c r="E2131" s="16">
        <v>66.0</v>
      </c>
    </row>
    <row r="2132">
      <c r="A2132" s="8" t="s">
        <v>1655</v>
      </c>
      <c r="B2132" s="8" t="s">
        <v>1640</v>
      </c>
      <c r="C2132" s="8" t="s">
        <v>122</v>
      </c>
      <c r="D2132" s="18" t="s">
        <v>2600</v>
      </c>
      <c r="E2132" s="16">
        <v>67.0</v>
      </c>
    </row>
    <row r="2133">
      <c r="A2133" s="8" t="s">
        <v>3106</v>
      </c>
      <c r="B2133" s="8" t="s">
        <v>2066</v>
      </c>
      <c r="C2133" s="8" t="s">
        <v>24</v>
      </c>
      <c r="D2133" s="18" t="s">
        <v>2589</v>
      </c>
      <c r="E2133" s="16">
        <v>61.0</v>
      </c>
    </row>
    <row r="2134">
      <c r="A2134" s="8" t="s">
        <v>3106</v>
      </c>
      <c r="B2134" s="8" t="s">
        <v>922</v>
      </c>
      <c r="C2134" s="8" t="s">
        <v>215</v>
      </c>
      <c r="D2134" s="18" t="s">
        <v>2587</v>
      </c>
      <c r="E2134" s="16">
        <v>59.0</v>
      </c>
    </row>
    <row r="2135">
      <c r="A2135" s="8" t="s">
        <v>3876</v>
      </c>
      <c r="B2135" s="8" t="s">
        <v>427</v>
      </c>
      <c r="C2135" s="8" t="s">
        <v>149</v>
      </c>
      <c r="D2135" s="18" t="s">
        <v>2567</v>
      </c>
      <c r="E2135" s="16">
        <v>65.0</v>
      </c>
    </row>
    <row r="2136">
      <c r="A2136" s="8" t="s">
        <v>3877</v>
      </c>
      <c r="B2136" s="8" t="s">
        <v>964</v>
      </c>
      <c r="C2136" s="8" t="s">
        <v>93</v>
      </c>
      <c r="D2136" s="18" t="s">
        <v>2598</v>
      </c>
      <c r="E2136" s="16">
        <v>67.0</v>
      </c>
    </row>
    <row r="2137">
      <c r="A2137" s="8" t="s">
        <v>3108</v>
      </c>
      <c r="B2137" s="8" t="s">
        <v>214</v>
      </c>
      <c r="C2137" s="8" t="s">
        <v>53</v>
      </c>
      <c r="D2137" s="18" t="s">
        <v>2554</v>
      </c>
      <c r="E2137" s="16">
        <v>72.0</v>
      </c>
    </row>
    <row r="2138">
      <c r="A2138" s="8" t="s">
        <v>1325</v>
      </c>
      <c r="B2138" s="8" t="s">
        <v>231</v>
      </c>
      <c r="C2138" s="8" t="s">
        <v>24</v>
      </c>
      <c r="D2138" s="18" t="s">
        <v>2603</v>
      </c>
      <c r="E2138" s="16">
        <v>70.0</v>
      </c>
    </row>
    <row r="2139">
      <c r="A2139" s="8" t="s">
        <v>3493</v>
      </c>
      <c r="B2139" s="8" t="s">
        <v>37</v>
      </c>
      <c r="C2139" s="8" t="s">
        <v>16</v>
      </c>
      <c r="D2139" s="18" t="s">
        <v>2577</v>
      </c>
      <c r="E2139" s="16">
        <v>62.0</v>
      </c>
    </row>
    <row r="2140">
      <c r="A2140" s="8" t="s">
        <v>3878</v>
      </c>
      <c r="B2140" s="8" t="s">
        <v>3879</v>
      </c>
      <c r="C2140" s="8" t="s">
        <v>141</v>
      </c>
      <c r="D2140" s="18" t="s">
        <v>2587</v>
      </c>
      <c r="E2140" s="16">
        <v>72.0</v>
      </c>
    </row>
    <row r="2141">
      <c r="A2141" s="8" t="s">
        <v>3111</v>
      </c>
      <c r="B2141" s="8" t="s">
        <v>196</v>
      </c>
      <c r="C2141" s="8" t="s">
        <v>46</v>
      </c>
      <c r="D2141" s="18" t="s">
        <v>2589</v>
      </c>
      <c r="E2141" s="16">
        <v>85.0</v>
      </c>
    </row>
    <row r="2142">
      <c r="A2142" s="8" t="s">
        <v>3494</v>
      </c>
      <c r="B2142" s="8" t="s">
        <v>102</v>
      </c>
      <c r="C2142" s="8" t="s">
        <v>122</v>
      </c>
      <c r="D2142" s="18" t="s">
        <v>2600</v>
      </c>
      <c r="E2142" s="16">
        <v>70.0</v>
      </c>
    </row>
    <row r="2143">
      <c r="A2143" s="8" t="s">
        <v>3880</v>
      </c>
      <c r="B2143" s="8" t="s">
        <v>597</v>
      </c>
      <c r="C2143" s="8" t="s">
        <v>192</v>
      </c>
      <c r="D2143" s="18" t="s">
        <v>2577</v>
      </c>
      <c r="E2143" s="16">
        <v>64.0</v>
      </c>
    </row>
    <row r="2144">
      <c r="A2144" s="8" t="s">
        <v>3495</v>
      </c>
      <c r="B2144" s="8" t="s">
        <v>243</v>
      </c>
      <c r="C2144" s="8" t="s">
        <v>80</v>
      </c>
      <c r="D2144" s="18" t="s">
        <v>2600</v>
      </c>
      <c r="E2144" s="16">
        <v>70.0</v>
      </c>
    </row>
    <row r="2145">
      <c r="A2145" s="8" t="s">
        <v>3495</v>
      </c>
      <c r="B2145" s="8" t="s">
        <v>1295</v>
      </c>
      <c r="C2145" s="8" t="s">
        <v>70</v>
      </c>
      <c r="D2145" s="18" t="s">
        <v>2566</v>
      </c>
      <c r="E2145" s="16">
        <v>81.0</v>
      </c>
    </row>
    <row r="2146">
      <c r="A2146" s="8" t="s">
        <v>3112</v>
      </c>
      <c r="B2146" s="8" t="s">
        <v>3113</v>
      </c>
      <c r="C2146" s="8" t="s">
        <v>93</v>
      </c>
      <c r="D2146" s="18" t="s">
        <v>2592</v>
      </c>
      <c r="E2146" s="16">
        <v>75.0</v>
      </c>
    </row>
    <row r="2147">
      <c r="A2147" s="8" t="s">
        <v>84</v>
      </c>
      <c r="B2147" s="8" t="s">
        <v>819</v>
      </c>
      <c r="C2147" s="8" t="s">
        <v>215</v>
      </c>
      <c r="D2147" s="18" t="s">
        <v>2566</v>
      </c>
      <c r="E2147" s="16">
        <v>91.0</v>
      </c>
    </row>
    <row r="2148">
      <c r="A2148" s="8" t="s">
        <v>820</v>
      </c>
      <c r="B2148" s="8" t="s">
        <v>45</v>
      </c>
      <c r="C2148" s="8" t="s">
        <v>93</v>
      </c>
      <c r="D2148" s="18" t="s">
        <v>2572</v>
      </c>
      <c r="E2148" s="16">
        <v>88.0</v>
      </c>
    </row>
    <row r="2149">
      <c r="A2149" s="8" t="s">
        <v>1327</v>
      </c>
      <c r="B2149" s="8" t="s">
        <v>231</v>
      </c>
      <c r="C2149" s="8" t="s">
        <v>186</v>
      </c>
      <c r="D2149" s="18" t="s">
        <v>2610</v>
      </c>
      <c r="E2149" s="16">
        <v>65.0</v>
      </c>
    </row>
    <row r="2150">
      <c r="A2150" s="8" t="s">
        <v>1327</v>
      </c>
      <c r="B2150" s="8" t="s">
        <v>480</v>
      </c>
      <c r="C2150" s="8" t="s">
        <v>186</v>
      </c>
      <c r="D2150" s="18" t="s">
        <v>2581</v>
      </c>
      <c r="E2150" s="16">
        <v>59.0</v>
      </c>
    </row>
    <row r="2151">
      <c r="A2151" s="8" t="s">
        <v>446</v>
      </c>
      <c r="B2151" s="8" t="s">
        <v>447</v>
      </c>
      <c r="C2151" s="8" t="s">
        <v>46</v>
      </c>
      <c r="D2151" s="18" t="s">
        <v>2577</v>
      </c>
      <c r="E2151" s="16">
        <v>70.0</v>
      </c>
    </row>
    <row r="2152">
      <c r="A2152" s="8" t="s">
        <v>10</v>
      </c>
      <c r="B2152" s="8" t="s">
        <v>11</v>
      </c>
      <c r="C2152" s="8" t="s">
        <v>12</v>
      </c>
      <c r="D2152" s="18" t="s">
        <v>2567</v>
      </c>
      <c r="E2152" s="16">
        <v>84.0</v>
      </c>
    </row>
    <row r="2153">
      <c r="A2153" s="8" t="s">
        <v>1658</v>
      </c>
      <c r="B2153" s="8" t="s">
        <v>134</v>
      </c>
      <c r="C2153" s="8" t="s">
        <v>24</v>
      </c>
      <c r="D2153" s="18" t="s">
        <v>2592</v>
      </c>
      <c r="E2153" s="16">
        <v>69.0</v>
      </c>
    </row>
    <row r="2154">
      <c r="A2154" s="8" t="s">
        <v>3881</v>
      </c>
      <c r="B2154" s="8" t="s">
        <v>1858</v>
      </c>
      <c r="C2154" s="8" t="s">
        <v>149</v>
      </c>
      <c r="D2154" s="18" t="s">
        <v>2600</v>
      </c>
      <c r="E2154" s="16">
        <v>84.0</v>
      </c>
    </row>
    <row r="2155">
      <c r="A2155" s="8" t="s">
        <v>821</v>
      </c>
      <c r="B2155" s="8" t="s">
        <v>822</v>
      </c>
      <c r="C2155" s="8" t="s">
        <v>132</v>
      </c>
      <c r="D2155" s="18" t="s">
        <v>2567</v>
      </c>
      <c r="E2155" s="16">
        <v>63.0</v>
      </c>
    </row>
    <row r="2156">
      <c r="A2156" s="8" t="s">
        <v>823</v>
      </c>
      <c r="B2156" s="8" t="s">
        <v>824</v>
      </c>
      <c r="C2156" s="8" t="s">
        <v>149</v>
      </c>
      <c r="D2156" s="18" t="s">
        <v>2600</v>
      </c>
      <c r="E2156" s="16">
        <v>70.0</v>
      </c>
    </row>
    <row r="2157">
      <c r="A2157" s="8" t="s">
        <v>2013</v>
      </c>
      <c r="B2157" s="8" t="s">
        <v>3882</v>
      </c>
      <c r="C2157" s="8" t="s">
        <v>93</v>
      </c>
      <c r="D2157" s="18" t="s">
        <v>2566</v>
      </c>
      <c r="E2157" s="16">
        <v>72.0</v>
      </c>
    </row>
    <row r="2158">
      <c r="A2158" s="8" t="s">
        <v>611</v>
      </c>
      <c r="B2158" s="8" t="s">
        <v>399</v>
      </c>
      <c r="C2158" s="8" t="s">
        <v>186</v>
      </c>
      <c r="D2158" s="18" t="s">
        <v>2603</v>
      </c>
      <c r="E2158" s="16">
        <v>88.0</v>
      </c>
    </row>
    <row r="2159">
      <c r="A2159" s="8" t="s">
        <v>611</v>
      </c>
      <c r="B2159" s="8" t="s">
        <v>612</v>
      </c>
      <c r="C2159" s="8" t="s">
        <v>149</v>
      </c>
      <c r="D2159" s="18" t="s">
        <v>2575</v>
      </c>
      <c r="E2159" s="16">
        <v>76.0</v>
      </c>
    </row>
    <row r="2160">
      <c r="A2160" s="8" t="s">
        <v>51</v>
      </c>
      <c r="B2160" s="8" t="s">
        <v>52</v>
      </c>
      <c r="C2160" s="8" t="s">
        <v>138</v>
      </c>
      <c r="D2160" s="18" t="s">
        <v>2581</v>
      </c>
      <c r="E2160" s="16">
        <v>89.0</v>
      </c>
    </row>
    <row r="2161">
      <c r="A2161" s="8" t="s">
        <v>3883</v>
      </c>
      <c r="B2161" s="8" t="s">
        <v>183</v>
      </c>
      <c r="C2161" s="8" t="s">
        <v>53</v>
      </c>
      <c r="D2161" s="18" t="s">
        <v>2582</v>
      </c>
      <c r="E2161" s="16">
        <v>61.0</v>
      </c>
    </row>
    <row r="2162">
      <c r="A2162" s="8" t="s">
        <v>3884</v>
      </c>
      <c r="B2162" s="8" t="s">
        <v>527</v>
      </c>
      <c r="C2162" s="8" t="s">
        <v>53</v>
      </c>
      <c r="D2162" s="18" t="s">
        <v>2567</v>
      </c>
      <c r="E2162" s="16">
        <v>78.0</v>
      </c>
    </row>
    <row r="2163">
      <c r="A2163" s="8" t="s">
        <v>1047</v>
      </c>
      <c r="B2163" s="8" t="s">
        <v>1048</v>
      </c>
      <c r="C2163" s="8" t="s">
        <v>24</v>
      </c>
      <c r="D2163" s="18" t="s">
        <v>2556</v>
      </c>
      <c r="E2163" s="16">
        <v>77.0</v>
      </c>
    </row>
    <row r="2164">
      <c r="A2164" s="8" t="s">
        <v>104</v>
      </c>
      <c r="B2164" s="8" t="s">
        <v>105</v>
      </c>
      <c r="C2164" s="8" t="s">
        <v>24</v>
      </c>
      <c r="D2164" s="18" t="s">
        <v>2621</v>
      </c>
      <c r="E2164" s="16">
        <v>93.0</v>
      </c>
    </row>
    <row r="2165">
      <c r="A2165" s="8" t="s">
        <v>104</v>
      </c>
      <c r="B2165" s="8" t="s">
        <v>102</v>
      </c>
      <c r="C2165" s="8" t="s">
        <v>186</v>
      </c>
      <c r="D2165" s="18" t="s">
        <v>2564</v>
      </c>
      <c r="E2165" s="16">
        <v>60.0</v>
      </c>
    </row>
    <row r="2166">
      <c r="A2166" s="8" t="s">
        <v>104</v>
      </c>
      <c r="B2166" s="8" t="s">
        <v>301</v>
      </c>
      <c r="C2166" s="8" t="s">
        <v>132</v>
      </c>
      <c r="D2166" s="18" t="s">
        <v>2558</v>
      </c>
      <c r="E2166" s="16">
        <v>62.0</v>
      </c>
    </row>
    <row r="2167">
      <c r="A2167" s="8" t="s">
        <v>104</v>
      </c>
      <c r="B2167" s="8" t="s">
        <v>3885</v>
      </c>
      <c r="C2167" s="8" t="s">
        <v>122</v>
      </c>
      <c r="D2167" s="18" t="s">
        <v>2554</v>
      </c>
      <c r="E2167" s="16">
        <v>72.0</v>
      </c>
    </row>
    <row r="2168">
      <c r="A2168" s="8" t="s">
        <v>104</v>
      </c>
      <c r="B2168" s="8" t="s">
        <v>583</v>
      </c>
      <c r="C2168" s="8" t="s">
        <v>138</v>
      </c>
      <c r="D2168" s="18" t="s">
        <v>2620</v>
      </c>
      <c r="E2168" s="16">
        <v>74.0</v>
      </c>
    </row>
    <row r="2169">
      <c r="A2169" s="8" t="s">
        <v>1328</v>
      </c>
      <c r="B2169" s="8" t="s">
        <v>98</v>
      </c>
      <c r="C2169" s="8" t="s">
        <v>59</v>
      </c>
      <c r="D2169" s="18" t="s">
        <v>2621</v>
      </c>
      <c r="E2169" s="16">
        <v>65.0</v>
      </c>
    </row>
    <row r="2170">
      <c r="A2170" s="8" t="s">
        <v>1328</v>
      </c>
      <c r="B2170" s="8" t="s">
        <v>362</v>
      </c>
      <c r="C2170" s="8" t="s">
        <v>141</v>
      </c>
      <c r="D2170" s="18" t="s">
        <v>2577</v>
      </c>
      <c r="E2170" s="16">
        <v>65.0</v>
      </c>
    </row>
    <row r="2171">
      <c r="A2171" s="8" t="s">
        <v>1328</v>
      </c>
      <c r="B2171" s="8" t="s">
        <v>396</v>
      </c>
      <c r="C2171" s="8" t="s">
        <v>149</v>
      </c>
      <c r="D2171" s="18" t="s">
        <v>2605</v>
      </c>
      <c r="E2171" s="16">
        <v>67.0</v>
      </c>
    </row>
    <row r="2172">
      <c r="A2172" s="8" t="s">
        <v>1328</v>
      </c>
      <c r="B2172" s="8" t="s">
        <v>183</v>
      </c>
      <c r="C2172" s="8" t="s">
        <v>65</v>
      </c>
      <c r="D2172" s="18" t="s">
        <v>2575</v>
      </c>
      <c r="E2172" s="16">
        <v>77.0</v>
      </c>
    </row>
    <row r="2173">
      <c r="A2173" s="8" t="s">
        <v>1329</v>
      </c>
      <c r="B2173" s="8" t="s">
        <v>153</v>
      </c>
      <c r="C2173" s="8" t="s">
        <v>65</v>
      </c>
      <c r="D2173" s="18" t="s">
        <v>2575</v>
      </c>
      <c r="E2173" s="16">
        <v>65.0</v>
      </c>
    </row>
    <row r="2174">
      <c r="A2174" s="8" t="s">
        <v>3886</v>
      </c>
      <c r="B2174" s="8" t="s">
        <v>3887</v>
      </c>
      <c r="C2174" s="8" t="s">
        <v>93</v>
      </c>
      <c r="D2174" s="18" t="s">
        <v>2554</v>
      </c>
      <c r="E2174" s="16">
        <v>69.0</v>
      </c>
    </row>
    <row r="2175">
      <c r="A2175" s="8" t="s">
        <v>3496</v>
      </c>
      <c r="B2175" s="8" t="s">
        <v>1090</v>
      </c>
      <c r="C2175" s="8" t="s">
        <v>12</v>
      </c>
      <c r="D2175" s="18" t="s">
        <v>2552</v>
      </c>
      <c r="E2175" s="16">
        <v>81.0</v>
      </c>
    </row>
    <row r="2176">
      <c r="A2176" s="8" t="s">
        <v>3888</v>
      </c>
      <c r="B2176" s="8" t="s">
        <v>354</v>
      </c>
      <c r="C2176" s="8" t="s">
        <v>65</v>
      </c>
      <c r="D2176" s="18" t="s">
        <v>2584</v>
      </c>
      <c r="E2176" s="16">
        <v>70.0</v>
      </c>
    </row>
    <row r="2177">
      <c r="A2177" s="8" t="s">
        <v>2443</v>
      </c>
      <c r="B2177" s="18" t="s">
        <v>46</v>
      </c>
      <c r="C2177" s="8" t="s">
        <v>215</v>
      </c>
      <c r="D2177" s="18" t="s">
        <v>2577</v>
      </c>
      <c r="E2177" s="16">
        <v>59.0</v>
      </c>
    </row>
    <row r="2178">
      <c r="A2178" s="8" t="s">
        <v>825</v>
      </c>
      <c r="B2178" s="8" t="s">
        <v>1659</v>
      </c>
      <c r="C2178" s="8" t="s">
        <v>138</v>
      </c>
      <c r="D2178" s="18" t="s">
        <v>2556</v>
      </c>
      <c r="E2178" s="16">
        <v>71.0</v>
      </c>
    </row>
    <row r="2179">
      <c r="A2179" s="8" t="s">
        <v>825</v>
      </c>
      <c r="B2179" s="8" t="s">
        <v>826</v>
      </c>
      <c r="C2179" s="8" t="s">
        <v>93</v>
      </c>
      <c r="D2179" s="18" t="s">
        <v>2585</v>
      </c>
      <c r="E2179" s="16">
        <v>75.0</v>
      </c>
    </row>
    <row r="2180">
      <c r="A2180" s="8" t="s">
        <v>825</v>
      </c>
      <c r="B2180" s="8" t="s">
        <v>640</v>
      </c>
      <c r="C2180" s="8" t="s">
        <v>70</v>
      </c>
      <c r="D2180" s="18" t="s">
        <v>2598</v>
      </c>
      <c r="E2180" s="16">
        <v>69.0</v>
      </c>
    </row>
    <row r="2181">
      <c r="A2181" s="8" t="s">
        <v>825</v>
      </c>
      <c r="B2181" s="18" t="s">
        <v>491</v>
      </c>
      <c r="C2181" s="8" t="s">
        <v>192</v>
      </c>
      <c r="D2181" s="18" t="s">
        <v>2620</v>
      </c>
      <c r="E2181" s="16">
        <v>85.0</v>
      </c>
    </row>
    <row r="2182">
      <c r="A2182" s="8" t="s">
        <v>1049</v>
      </c>
      <c r="B2182" s="8" t="s">
        <v>964</v>
      </c>
      <c r="C2182" s="8" t="s">
        <v>59</v>
      </c>
      <c r="D2182" s="18" t="s">
        <v>2620</v>
      </c>
      <c r="E2182" s="16">
        <v>86.0</v>
      </c>
    </row>
    <row r="2183">
      <c r="A2183" s="8" t="s">
        <v>1049</v>
      </c>
      <c r="B2183" s="8" t="s">
        <v>746</v>
      </c>
      <c r="C2183" s="8" t="s">
        <v>70</v>
      </c>
      <c r="D2183" s="18" t="s">
        <v>2183</v>
      </c>
      <c r="E2183" s="16">
        <v>75.0</v>
      </c>
    </row>
    <row r="2184">
      <c r="A2184" s="8" t="s">
        <v>827</v>
      </c>
      <c r="B2184" s="8" t="s">
        <v>64</v>
      </c>
      <c r="C2184" s="8" t="s">
        <v>132</v>
      </c>
      <c r="D2184" s="18" t="s">
        <v>2554</v>
      </c>
      <c r="E2184" s="16">
        <v>74.0</v>
      </c>
    </row>
    <row r="2185">
      <c r="A2185" s="8" t="s">
        <v>3120</v>
      </c>
      <c r="B2185" s="8" t="s">
        <v>3121</v>
      </c>
      <c r="C2185" s="8" t="s">
        <v>132</v>
      </c>
      <c r="D2185" s="18" t="s">
        <v>2621</v>
      </c>
      <c r="E2185" s="16">
        <v>75.0</v>
      </c>
    </row>
    <row r="2186">
      <c r="A2186" s="8" t="s">
        <v>2275</v>
      </c>
      <c r="B2186" s="8" t="s">
        <v>124</v>
      </c>
      <c r="C2186" s="8" t="s">
        <v>141</v>
      </c>
      <c r="D2186" s="18" t="s">
        <v>2577</v>
      </c>
      <c r="E2186" s="16">
        <v>65.0</v>
      </c>
    </row>
    <row r="2187">
      <c r="A2187" s="8" t="s">
        <v>1330</v>
      </c>
      <c r="B2187" s="8" t="s">
        <v>1331</v>
      </c>
      <c r="C2187" s="8" t="s">
        <v>122</v>
      </c>
      <c r="D2187" s="18" t="s">
        <v>2587</v>
      </c>
      <c r="E2187" s="16">
        <v>70.0</v>
      </c>
    </row>
    <row r="2188">
      <c r="A2188" s="8" t="s">
        <v>1330</v>
      </c>
      <c r="B2188" s="8" t="s">
        <v>304</v>
      </c>
      <c r="C2188" s="8" t="s">
        <v>65</v>
      </c>
      <c r="D2188" s="18" t="s">
        <v>2598</v>
      </c>
      <c r="E2188" s="16">
        <v>62.0</v>
      </c>
    </row>
    <row r="2189">
      <c r="A2189" s="8" t="s">
        <v>1330</v>
      </c>
      <c r="B2189" s="8" t="s">
        <v>748</v>
      </c>
      <c r="C2189" s="8" t="s">
        <v>138</v>
      </c>
      <c r="D2189" s="18" t="s">
        <v>2605</v>
      </c>
      <c r="E2189" s="16">
        <v>64.0</v>
      </c>
    </row>
    <row r="2190">
      <c r="A2190" s="8" t="s">
        <v>1330</v>
      </c>
      <c r="B2190" s="8" t="s">
        <v>1057</v>
      </c>
      <c r="C2190" s="8" t="s">
        <v>186</v>
      </c>
      <c r="D2190" s="18" t="s">
        <v>2589</v>
      </c>
      <c r="E2190" s="16">
        <v>70.0</v>
      </c>
    </row>
    <row r="2191">
      <c r="A2191" s="8" t="s">
        <v>1330</v>
      </c>
      <c r="B2191" s="8" t="s">
        <v>943</v>
      </c>
      <c r="C2191" s="8" t="s">
        <v>70</v>
      </c>
      <c r="D2191" s="18" t="s">
        <v>2556</v>
      </c>
      <c r="E2191" s="16">
        <v>68.0</v>
      </c>
    </row>
    <row r="2192">
      <c r="A2192" s="8" t="s">
        <v>1330</v>
      </c>
      <c r="B2192" s="8" t="s">
        <v>669</v>
      </c>
      <c r="C2192" s="8" t="s">
        <v>93</v>
      </c>
      <c r="D2192" s="18" t="s">
        <v>2577</v>
      </c>
      <c r="E2192" s="16">
        <v>65.0</v>
      </c>
    </row>
    <row r="2193">
      <c r="A2193" s="8" t="s">
        <v>1330</v>
      </c>
      <c r="B2193" s="8" t="s">
        <v>273</v>
      </c>
      <c r="C2193" s="8" t="s">
        <v>70</v>
      </c>
      <c r="D2193" s="18" t="s">
        <v>2554</v>
      </c>
      <c r="E2193" s="16">
        <v>65.0</v>
      </c>
    </row>
    <row r="2194">
      <c r="A2194" s="8" t="s">
        <v>1330</v>
      </c>
      <c r="B2194" s="8" t="s">
        <v>317</v>
      </c>
      <c r="C2194" s="8" t="s">
        <v>65</v>
      </c>
      <c r="D2194" s="18" t="s">
        <v>2600</v>
      </c>
      <c r="E2194" s="16">
        <v>73.0</v>
      </c>
    </row>
    <row r="2195">
      <c r="A2195" s="8" t="s">
        <v>1332</v>
      </c>
      <c r="B2195" s="8" t="s">
        <v>3889</v>
      </c>
      <c r="C2195" s="8" t="s">
        <v>38</v>
      </c>
      <c r="D2195" s="18" t="s">
        <v>2574</v>
      </c>
      <c r="E2195" s="16">
        <v>69.0</v>
      </c>
    </row>
    <row r="2196">
      <c r="A2196" s="8" t="s">
        <v>613</v>
      </c>
      <c r="B2196" s="8" t="s">
        <v>443</v>
      </c>
      <c r="C2196" s="8" t="s">
        <v>132</v>
      </c>
      <c r="D2196" s="18" t="s">
        <v>2589</v>
      </c>
      <c r="E2196" s="16">
        <v>74.0</v>
      </c>
    </row>
    <row r="2197">
      <c r="A2197" s="8" t="s">
        <v>1050</v>
      </c>
      <c r="B2197" s="8" t="s">
        <v>1051</v>
      </c>
      <c r="C2197" s="8" t="s">
        <v>93</v>
      </c>
      <c r="D2197" s="18" t="s">
        <v>2564</v>
      </c>
      <c r="E2197" s="16">
        <v>68.0</v>
      </c>
    </row>
    <row r="2198">
      <c r="A2198" s="8" t="s">
        <v>1050</v>
      </c>
      <c r="B2198" s="8" t="s">
        <v>1334</v>
      </c>
      <c r="C2198" s="8" t="s">
        <v>65</v>
      </c>
      <c r="D2198" s="18" t="s">
        <v>2587</v>
      </c>
      <c r="E2198" s="16">
        <v>87.0</v>
      </c>
    </row>
    <row r="2199">
      <c r="A2199" s="8" t="s">
        <v>34</v>
      </c>
      <c r="B2199" s="8" t="s">
        <v>35</v>
      </c>
      <c r="C2199" s="8" t="s">
        <v>24</v>
      </c>
      <c r="D2199" s="18" t="s">
        <v>2575</v>
      </c>
      <c r="E2199" s="16">
        <v>81.0</v>
      </c>
    </row>
    <row r="2200">
      <c r="A2200" s="8" t="s">
        <v>34</v>
      </c>
      <c r="B2200" s="8" t="s">
        <v>330</v>
      </c>
      <c r="C2200" s="8" t="s">
        <v>186</v>
      </c>
      <c r="D2200" s="18" t="s">
        <v>2620</v>
      </c>
      <c r="E2200" s="16">
        <v>63.0</v>
      </c>
    </row>
    <row r="2201">
      <c r="A2201" s="8" t="s">
        <v>34</v>
      </c>
      <c r="B2201" s="8" t="s">
        <v>3123</v>
      </c>
      <c r="C2201" s="8" t="s">
        <v>149</v>
      </c>
      <c r="D2201" s="18" t="s">
        <v>2556</v>
      </c>
      <c r="E2201" s="16">
        <v>73.0</v>
      </c>
    </row>
    <row r="2202">
      <c r="A2202" s="8" t="s">
        <v>448</v>
      </c>
      <c r="B2202" s="8" t="s">
        <v>275</v>
      </c>
      <c r="C2202" s="8" t="s">
        <v>141</v>
      </c>
      <c r="D2202" s="18" t="s">
        <v>2572</v>
      </c>
      <c r="E2202" s="16">
        <v>69.0</v>
      </c>
    </row>
    <row r="2203">
      <c r="A2203" s="8" t="s">
        <v>448</v>
      </c>
      <c r="B2203" s="8" t="s">
        <v>493</v>
      </c>
      <c r="C2203" s="8" t="s">
        <v>261</v>
      </c>
      <c r="D2203" s="18" t="s">
        <v>2572</v>
      </c>
      <c r="E2203" s="16">
        <v>71.0</v>
      </c>
    </row>
    <row r="2204">
      <c r="A2204" s="8" t="s">
        <v>448</v>
      </c>
      <c r="B2204" s="18" t="s">
        <v>159</v>
      </c>
      <c r="C2204" s="8" t="s">
        <v>215</v>
      </c>
      <c r="D2204" s="18" t="s">
        <v>2562</v>
      </c>
      <c r="E2204" s="16">
        <v>99.0</v>
      </c>
    </row>
    <row r="2205">
      <c r="A2205" s="8" t="s">
        <v>2277</v>
      </c>
      <c r="B2205" s="8" t="s">
        <v>121</v>
      </c>
      <c r="C2205" s="8" t="s">
        <v>59</v>
      </c>
      <c r="D2205" s="18" t="s">
        <v>2552</v>
      </c>
      <c r="E2205" s="16">
        <v>64.0</v>
      </c>
    </row>
    <row r="2206">
      <c r="A2206" s="8" t="s">
        <v>2277</v>
      </c>
      <c r="B2206" s="8" t="s">
        <v>307</v>
      </c>
      <c r="C2206" s="8" t="s">
        <v>75</v>
      </c>
      <c r="D2206" s="18" t="s">
        <v>2560</v>
      </c>
      <c r="E2206" s="16">
        <v>63.0</v>
      </c>
    </row>
    <row r="2207">
      <c r="A2207" s="8" t="s">
        <v>614</v>
      </c>
      <c r="B2207" s="8" t="s">
        <v>615</v>
      </c>
      <c r="C2207" s="8" t="s">
        <v>38</v>
      </c>
      <c r="D2207" s="18" t="s">
        <v>2582</v>
      </c>
      <c r="E2207" s="16">
        <v>83.0</v>
      </c>
    </row>
    <row r="2208">
      <c r="A2208" s="8" t="s">
        <v>1052</v>
      </c>
      <c r="B2208" s="8" t="s">
        <v>1053</v>
      </c>
      <c r="C2208" s="8" t="s">
        <v>93</v>
      </c>
      <c r="D2208" s="18" t="s">
        <v>2552</v>
      </c>
      <c r="E2208" s="16">
        <v>73.0</v>
      </c>
    </row>
    <row r="2209">
      <c r="A2209" s="8" t="s">
        <v>1660</v>
      </c>
      <c r="B2209" s="8" t="s">
        <v>88</v>
      </c>
      <c r="C2209" s="8" t="s">
        <v>215</v>
      </c>
      <c r="D2209" s="18" t="s">
        <v>2552</v>
      </c>
      <c r="E2209" s="16">
        <v>63.0</v>
      </c>
    </row>
    <row r="2210">
      <c r="A2210" s="8" t="s">
        <v>3890</v>
      </c>
      <c r="B2210" s="8" t="s">
        <v>162</v>
      </c>
      <c r="C2210" s="8" t="s">
        <v>186</v>
      </c>
      <c r="D2210" s="18" t="s">
        <v>2598</v>
      </c>
      <c r="E2210" s="16">
        <v>73.0</v>
      </c>
    </row>
    <row r="2211">
      <c r="A2211" s="8" t="s">
        <v>3891</v>
      </c>
      <c r="B2211" s="8" t="s">
        <v>45</v>
      </c>
      <c r="C2211" s="8" t="s">
        <v>46</v>
      </c>
      <c r="D2211" s="18" t="s">
        <v>2605</v>
      </c>
      <c r="E2211" s="16">
        <v>65.0</v>
      </c>
    </row>
    <row r="2212">
      <c r="A2212" s="8" t="s">
        <v>232</v>
      </c>
      <c r="B2212" s="18" t="s">
        <v>616</v>
      </c>
      <c r="C2212" s="8" t="s">
        <v>93</v>
      </c>
      <c r="D2212" s="18" t="s">
        <v>2621</v>
      </c>
      <c r="E2212" s="16">
        <v>66.0</v>
      </c>
    </row>
    <row r="2213">
      <c r="A2213" s="8" t="s">
        <v>232</v>
      </c>
      <c r="B2213" s="18" t="s">
        <v>331</v>
      </c>
      <c r="C2213" s="8" t="s">
        <v>132</v>
      </c>
      <c r="D2213" s="18" t="s">
        <v>2603</v>
      </c>
      <c r="E2213" s="16">
        <v>67.0</v>
      </c>
    </row>
    <row r="2214">
      <c r="A2214" s="8" t="s">
        <v>232</v>
      </c>
      <c r="B2214" s="8" t="s">
        <v>102</v>
      </c>
      <c r="C2214" s="8" t="s">
        <v>16</v>
      </c>
      <c r="D2214" s="18" t="s">
        <v>2574</v>
      </c>
      <c r="E2214" s="16">
        <v>65.0</v>
      </c>
    </row>
    <row r="2215">
      <c r="A2215" s="8" t="s">
        <v>232</v>
      </c>
      <c r="B2215" s="8" t="s">
        <v>3497</v>
      </c>
      <c r="C2215" s="8" t="s">
        <v>93</v>
      </c>
      <c r="D2215" s="18" t="s">
        <v>2575</v>
      </c>
      <c r="E2215" s="16">
        <v>79.0</v>
      </c>
    </row>
    <row r="2216">
      <c r="A2216" s="8" t="s">
        <v>2280</v>
      </c>
      <c r="B2216" s="8" t="s">
        <v>3125</v>
      </c>
      <c r="C2216" s="8" t="s">
        <v>93</v>
      </c>
      <c r="D2216" s="18" t="s">
        <v>2620</v>
      </c>
      <c r="E2216" s="16">
        <v>71.0</v>
      </c>
    </row>
    <row r="2217">
      <c r="A2217" s="8" t="s">
        <v>3498</v>
      </c>
      <c r="B2217" s="8" t="s">
        <v>64</v>
      </c>
      <c r="C2217" s="8" t="s">
        <v>138</v>
      </c>
      <c r="D2217" s="18" t="s">
        <v>2574</v>
      </c>
      <c r="E2217" s="16">
        <v>63.0</v>
      </c>
    </row>
    <row r="2218">
      <c r="A2218" s="8" t="s">
        <v>128</v>
      </c>
      <c r="B2218" s="8" t="s">
        <v>129</v>
      </c>
      <c r="C2218" s="8" t="s">
        <v>80</v>
      </c>
      <c r="D2218" s="18" t="s">
        <v>2575</v>
      </c>
      <c r="E2218" s="16">
        <v>92.0</v>
      </c>
    </row>
    <row r="2219">
      <c r="A2219" s="8" t="s">
        <v>3126</v>
      </c>
      <c r="B2219" s="8" t="s">
        <v>121</v>
      </c>
      <c r="C2219" s="8" t="s">
        <v>16</v>
      </c>
      <c r="D2219" s="18" t="s">
        <v>2562</v>
      </c>
      <c r="E2219" s="16">
        <v>72.0</v>
      </c>
    </row>
    <row r="2220">
      <c r="A2220" s="8" t="s">
        <v>180</v>
      </c>
      <c r="B2220" s="8" t="s">
        <v>181</v>
      </c>
      <c r="C2220" s="8" t="s">
        <v>24</v>
      </c>
      <c r="D2220" s="18" t="s">
        <v>2562</v>
      </c>
      <c r="E2220" s="16">
        <v>42.0</v>
      </c>
    </row>
    <row r="2221">
      <c r="A2221" s="8" t="s">
        <v>3499</v>
      </c>
      <c r="B2221" s="8" t="s">
        <v>3892</v>
      </c>
      <c r="C2221" s="8" t="s">
        <v>149</v>
      </c>
      <c r="D2221" s="18" t="s">
        <v>2620</v>
      </c>
      <c r="E2221" s="16">
        <v>69.0</v>
      </c>
    </row>
    <row r="2222">
      <c r="A2222" s="8" t="s">
        <v>3499</v>
      </c>
      <c r="B2222" s="8" t="s">
        <v>129</v>
      </c>
      <c r="C2222" s="8" t="s">
        <v>65</v>
      </c>
      <c r="D2222" s="18" t="s">
        <v>2598</v>
      </c>
      <c r="E2222" s="16">
        <v>69.0</v>
      </c>
    </row>
    <row r="2223">
      <c r="A2223" s="8" t="s">
        <v>3893</v>
      </c>
      <c r="B2223" s="8" t="s">
        <v>121</v>
      </c>
      <c r="C2223" s="8" t="s">
        <v>70</v>
      </c>
      <c r="D2223" s="18" t="s">
        <v>2574</v>
      </c>
      <c r="E2223" s="16">
        <v>67.0</v>
      </c>
    </row>
    <row r="2224">
      <c r="A2224" s="8" t="s">
        <v>828</v>
      </c>
      <c r="B2224" s="8" t="s">
        <v>1312</v>
      </c>
      <c r="C2224" s="8" t="s">
        <v>93</v>
      </c>
      <c r="D2224" s="18" t="s">
        <v>2554</v>
      </c>
      <c r="E2224" s="16">
        <v>63.0</v>
      </c>
    </row>
    <row r="2225">
      <c r="A2225" s="8" t="s">
        <v>828</v>
      </c>
      <c r="B2225" s="8" t="s">
        <v>301</v>
      </c>
      <c r="C2225" s="8" t="s">
        <v>149</v>
      </c>
      <c r="D2225" s="18" t="s">
        <v>2584</v>
      </c>
      <c r="E2225" s="16">
        <v>71.0</v>
      </c>
    </row>
    <row r="2226">
      <c r="A2226" s="8" t="s">
        <v>3894</v>
      </c>
      <c r="B2226" s="8" t="s">
        <v>782</v>
      </c>
      <c r="C2226" s="8" t="s">
        <v>16</v>
      </c>
      <c r="D2226" s="18" t="s">
        <v>2610</v>
      </c>
      <c r="E2226" s="16">
        <v>63.0</v>
      </c>
    </row>
    <row r="2227">
      <c r="A2227" s="8" t="s">
        <v>1335</v>
      </c>
      <c r="B2227" s="8" t="s">
        <v>1118</v>
      </c>
      <c r="C2227" s="8" t="s">
        <v>16</v>
      </c>
      <c r="D2227" s="18" t="s">
        <v>2564</v>
      </c>
      <c r="E2227" s="16">
        <v>76.0</v>
      </c>
    </row>
    <row r="2228">
      <c r="A2228" s="8" t="s">
        <v>3895</v>
      </c>
      <c r="B2228" s="8" t="s">
        <v>3896</v>
      </c>
      <c r="C2228" s="8" t="s">
        <v>138</v>
      </c>
      <c r="D2228" s="18" t="s">
        <v>2584</v>
      </c>
      <c r="E2228" s="16">
        <v>74.0</v>
      </c>
    </row>
    <row r="2229">
      <c r="A2229" s="8" t="s">
        <v>185</v>
      </c>
      <c r="B2229" s="18" t="s">
        <v>1054</v>
      </c>
      <c r="C2229" s="8" t="s">
        <v>149</v>
      </c>
      <c r="D2229" s="18" t="s">
        <v>2575</v>
      </c>
      <c r="E2229" s="16">
        <v>66.0</v>
      </c>
    </row>
    <row r="2230">
      <c r="A2230" s="8" t="s">
        <v>3127</v>
      </c>
      <c r="B2230" s="8" t="s">
        <v>3128</v>
      </c>
      <c r="C2230" s="8" t="s">
        <v>70</v>
      </c>
      <c r="D2230" s="18" t="s">
        <v>2183</v>
      </c>
      <c r="E2230" s="16">
        <v>75.0</v>
      </c>
    </row>
    <row r="2231">
      <c r="A2231" s="8" t="s">
        <v>3127</v>
      </c>
      <c r="B2231" s="8" t="s">
        <v>983</v>
      </c>
      <c r="C2231" s="8" t="s">
        <v>70</v>
      </c>
      <c r="D2231" s="18" t="s">
        <v>2575</v>
      </c>
      <c r="E2231" s="16">
        <v>73.0</v>
      </c>
    </row>
    <row r="2232">
      <c r="A2232" s="8" t="s">
        <v>3129</v>
      </c>
      <c r="B2232" s="8" t="s">
        <v>1940</v>
      </c>
      <c r="C2232" s="8" t="s">
        <v>122</v>
      </c>
      <c r="D2232" s="18" t="s">
        <v>2593</v>
      </c>
      <c r="E2232" s="16">
        <v>66.0</v>
      </c>
    </row>
    <row r="2233">
      <c r="A2233" s="8" t="s">
        <v>1337</v>
      </c>
      <c r="B2233" s="8" t="s">
        <v>726</v>
      </c>
      <c r="C2233" s="8" t="s">
        <v>75</v>
      </c>
      <c r="D2233" s="18" t="s">
        <v>2610</v>
      </c>
      <c r="E2233" s="16">
        <v>65.0</v>
      </c>
    </row>
    <row r="2234">
      <c r="A2234" s="8" t="s">
        <v>3897</v>
      </c>
      <c r="B2234" s="8" t="s">
        <v>3898</v>
      </c>
      <c r="C2234" s="8" t="s">
        <v>65</v>
      </c>
      <c r="D2234" s="18" t="s">
        <v>2581</v>
      </c>
      <c r="E2234" s="16">
        <v>70.0</v>
      </c>
    </row>
    <row r="2235">
      <c r="A2235" s="8" t="s">
        <v>3130</v>
      </c>
      <c r="B2235" s="8" t="s">
        <v>695</v>
      </c>
      <c r="C2235" s="8" t="s">
        <v>65</v>
      </c>
      <c r="D2235" s="18" t="s">
        <v>2577</v>
      </c>
      <c r="E2235" s="16">
        <v>76.0</v>
      </c>
    </row>
    <row r="2236">
      <c r="A2236" s="8" t="s">
        <v>1663</v>
      </c>
      <c r="B2236" s="8" t="s">
        <v>48</v>
      </c>
      <c r="C2236" s="8" t="s">
        <v>59</v>
      </c>
      <c r="D2236" s="18" t="s">
        <v>2598</v>
      </c>
      <c r="E2236" s="16">
        <v>74.0</v>
      </c>
    </row>
    <row r="2237">
      <c r="A2237" s="8" t="s">
        <v>1055</v>
      </c>
      <c r="B2237" s="8" t="s">
        <v>304</v>
      </c>
      <c r="C2237" s="8" t="s">
        <v>93</v>
      </c>
      <c r="D2237" s="18" t="s">
        <v>2587</v>
      </c>
      <c r="E2237" s="16">
        <v>71.0</v>
      </c>
    </row>
    <row r="2238">
      <c r="A2238" s="8" t="s">
        <v>1055</v>
      </c>
      <c r="B2238" s="8" t="s">
        <v>800</v>
      </c>
      <c r="C2238" s="8" t="s">
        <v>93</v>
      </c>
      <c r="D2238" s="18" t="s">
        <v>2567</v>
      </c>
      <c r="E2238" s="16">
        <v>59.0</v>
      </c>
    </row>
    <row r="2239">
      <c r="A2239" s="8" t="s">
        <v>1055</v>
      </c>
      <c r="B2239" s="8" t="s">
        <v>1056</v>
      </c>
      <c r="C2239" s="8" t="s">
        <v>65</v>
      </c>
      <c r="D2239" s="18" t="s">
        <v>2585</v>
      </c>
      <c r="E2239" s="16">
        <v>65.0</v>
      </c>
    </row>
    <row r="2240">
      <c r="A2240" s="8" t="s">
        <v>1055</v>
      </c>
      <c r="B2240" s="18" t="s">
        <v>529</v>
      </c>
      <c r="C2240" s="8" t="s">
        <v>93</v>
      </c>
      <c r="D2240" s="18" t="s">
        <v>2183</v>
      </c>
      <c r="E2240" s="16">
        <v>63.0</v>
      </c>
    </row>
    <row r="2241">
      <c r="A2241" s="8" t="s">
        <v>1055</v>
      </c>
      <c r="B2241" s="8" t="s">
        <v>260</v>
      </c>
      <c r="C2241" s="8" t="s">
        <v>70</v>
      </c>
      <c r="D2241" s="18" t="s">
        <v>2600</v>
      </c>
      <c r="E2241" s="16">
        <v>75.0</v>
      </c>
    </row>
    <row r="2242">
      <c r="A2242" s="8" t="s">
        <v>1055</v>
      </c>
      <c r="B2242" s="8" t="s">
        <v>119</v>
      </c>
      <c r="C2242" s="8" t="s">
        <v>65</v>
      </c>
      <c r="D2242" s="18" t="s">
        <v>2605</v>
      </c>
      <c r="E2242" s="16">
        <v>74.0</v>
      </c>
    </row>
    <row r="2243">
      <c r="A2243" s="8" t="s">
        <v>1055</v>
      </c>
      <c r="B2243" s="8" t="s">
        <v>385</v>
      </c>
      <c r="C2243" s="8" t="s">
        <v>93</v>
      </c>
      <c r="D2243" s="18" t="s">
        <v>2552</v>
      </c>
      <c r="E2243" s="16">
        <v>65.0</v>
      </c>
    </row>
    <row r="2244">
      <c r="A2244" s="8" t="s">
        <v>1055</v>
      </c>
      <c r="B2244" s="8" t="s">
        <v>2113</v>
      </c>
      <c r="C2244" s="8" t="s">
        <v>65</v>
      </c>
      <c r="D2244" s="18" t="s">
        <v>2566</v>
      </c>
      <c r="E2244" s="16">
        <v>63.0</v>
      </c>
    </row>
    <row r="2245">
      <c r="A2245" s="8" t="s">
        <v>1058</v>
      </c>
      <c r="B2245" s="8" t="s">
        <v>362</v>
      </c>
      <c r="C2245" s="8" t="s">
        <v>75</v>
      </c>
      <c r="D2245" s="18" t="s">
        <v>2605</v>
      </c>
      <c r="E2245" s="16">
        <v>69.0</v>
      </c>
    </row>
    <row r="2246">
      <c r="A2246" s="8" t="s">
        <v>617</v>
      </c>
      <c r="B2246" s="8" t="s">
        <v>3131</v>
      </c>
      <c r="C2246" s="8" t="s">
        <v>65</v>
      </c>
      <c r="D2246" s="18" t="s">
        <v>2614</v>
      </c>
      <c r="E2246" s="16">
        <v>71.0</v>
      </c>
    </row>
    <row r="2247">
      <c r="A2247" s="8" t="s">
        <v>617</v>
      </c>
      <c r="B2247" s="8" t="s">
        <v>618</v>
      </c>
      <c r="C2247" s="8" t="s">
        <v>53</v>
      </c>
      <c r="D2247" s="18" t="s">
        <v>2554</v>
      </c>
      <c r="E2247" s="16">
        <v>83.0</v>
      </c>
    </row>
    <row r="2248">
      <c r="A2248" s="8" t="s">
        <v>3899</v>
      </c>
      <c r="B2248" s="8" t="s">
        <v>3900</v>
      </c>
      <c r="C2248" s="8" t="s">
        <v>261</v>
      </c>
      <c r="D2248" s="18" t="s">
        <v>2566</v>
      </c>
      <c r="E2248" s="16">
        <v>76.0</v>
      </c>
    </row>
    <row r="2249">
      <c r="A2249" s="8" t="s">
        <v>3132</v>
      </c>
      <c r="B2249" s="8" t="s">
        <v>3133</v>
      </c>
      <c r="C2249" s="8" t="s">
        <v>70</v>
      </c>
      <c r="D2249" s="18" t="s">
        <v>2574</v>
      </c>
      <c r="E2249" s="16">
        <v>69.0</v>
      </c>
    </row>
    <row r="2250">
      <c r="A2250" s="8" t="s">
        <v>54</v>
      </c>
      <c r="B2250" s="8" t="s">
        <v>55</v>
      </c>
      <c r="C2250" s="8" t="s">
        <v>46</v>
      </c>
      <c r="D2250" s="18" t="s">
        <v>2610</v>
      </c>
      <c r="E2250" s="16">
        <v>93.0</v>
      </c>
    </row>
    <row r="2251">
      <c r="A2251" s="8" t="s">
        <v>1059</v>
      </c>
      <c r="B2251" s="8" t="s">
        <v>362</v>
      </c>
      <c r="C2251" s="8" t="s">
        <v>132</v>
      </c>
      <c r="D2251" s="18" t="s">
        <v>2593</v>
      </c>
      <c r="E2251" s="16">
        <v>64.0</v>
      </c>
    </row>
    <row r="2252">
      <c r="A2252" s="8" t="s">
        <v>332</v>
      </c>
      <c r="B2252" s="8" t="s">
        <v>333</v>
      </c>
      <c r="C2252" s="8" t="s">
        <v>75</v>
      </c>
      <c r="D2252" s="18" t="s">
        <v>2572</v>
      </c>
      <c r="E2252" s="16">
        <v>66.0</v>
      </c>
    </row>
    <row r="2253">
      <c r="A2253" s="8" t="s">
        <v>449</v>
      </c>
      <c r="B2253" s="8" t="s">
        <v>214</v>
      </c>
      <c r="C2253" s="8" t="s">
        <v>53</v>
      </c>
      <c r="D2253" s="18" t="s">
        <v>2614</v>
      </c>
      <c r="E2253" s="16">
        <v>73.0</v>
      </c>
    </row>
    <row r="2254">
      <c r="A2254" s="8" t="s">
        <v>830</v>
      </c>
      <c r="B2254" s="18" t="s">
        <v>159</v>
      </c>
      <c r="C2254" s="8" t="s">
        <v>80</v>
      </c>
      <c r="D2254" s="18" t="s">
        <v>2614</v>
      </c>
      <c r="E2254" s="16">
        <v>79.0</v>
      </c>
    </row>
    <row r="2255">
      <c r="A2255" s="8" t="s">
        <v>3901</v>
      </c>
      <c r="B2255" s="8" t="s">
        <v>619</v>
      </c>
      <c r="C2255" s="8" t="s">
        <v>122</v>
      </c>
      <c r="D2255" s="18" t="s">
        <v>2562</v>
      </c>
      <c r="E2255" s="16">
        <v>84.0</v>
      </c>
    </row>
    <row r="2256">
      <c r="A2256" s="8" t="s">
        <v>3135</v>
      </c>
      <c r="B2256" s="8" t="s">
        <v>137</v>
      </c>
      <c r="C2256" s="8" t="s">
        <v>186</v>
      </c>
      <c r="D2256" s="18" t="s">
        <v>2585</v>
      </c>
      <c r="E2256" s="16">
        <v>70.0</v>
      </c>
    </row>
    <row r="2257">
      <c r="A2257" s="8" t="s">
        <v>3136</v>
      </c>
      <c r="B2257" s="8" t="s">
        <v>1908</v>
      </c>
      <c r="C2257" s="8" t="s">
        <v>138</v>
      </c>
      <c r="D2257" s="18" t="s">
        <v>2560</v>
      </c>
      <c r="E2257" s="16">
        <v>89.0</v>
      </c>
    </row>
    <row r="2258">
      <c r="A2258" s="8" t="s">
        <v>78</v>
      </c>
      <c r="B2258" s="8" t="s">
        <v>98</v>
      </c>
      <c r="C2258" s="8" t="s">
        <v>192</v>
      </c>
      <c r="D2258" s="18" t="s">
        <v>2587</v>
      </c>
      <c r="E2258" s="16">
        <v>77.0</v>
      </c>
    </row>
    <row r="2259">
      <c r="A2259" s="8" t="s">
        <v>78</v>
      </c>
      <c r="B2259" s="8" t="s">
        <v>277</v>
      </c>
      <c r="C2259" s="8" t="s">
        <v>70</v>
      </c>
      <c r="D2259" s="18" t="s">
        <v>2566</v>
      </c>
      <c r="E2259" s="16">
        <v>72.0</v>
      </c>
    </row>
    <row r="2260">
      <c r="A2260" s="8" t="s">
        <v>78</v>
      </c>
      <c r="B2260" s="8" t="s">
        <v>3137</v>
      </c>
      <c r="C2260" s="8" t="s">
        <v>186</v>
      </c>
      <c r="D2260" s="18" t="s">
        <v>2554</v>
      </c>
      <c r="E2260" s="16">
        <v>65.0</v>
      </c>
    </row>
    <row r="2261">
      <c r="A2261" s="8" t="s">
        <v>78</v>
      </c>
      <c r="B2261" s="8" t="s">
        <v>121</v>
      </c>
      <c r="C2261" s="8" t="s">
        <v>122</v>
      </c>
      <c r="D2261" s="18" t="s">
        <v>2575</v>
      </c>
      <c r="E2261" s="16">
        <v>84.0</v>
      </c>
    </row>
    <row r="2262">
      <c r="A2262" s="8" t="s">
        <v>78</v>
      </c>
      <c r="B2262" s="8" t="s">
        <v>121</v>
      </c>
      <c r="C2262" s="8" t="s">
        <v>24</v>
      </c>
      <c r="D2262" s="18" t="s">
        <v>2603</v>
      </c>
      <c r="E2262" s="16">
        <v>71.0</v>
      </c>
    </row>
    <row r="2263">
      <c r="A2263" s="8" t="s">
        <v>78</v>
      </c>
      <c r="B2263" s="8" t="s">
        <v>121</v>
      </c>
      <c r="C2263" s="8" t="s">
        <v>93</v>
      </c>
      <c r="D2263" s="18" t="s">
        <v>2589</v>
      </c>
      <c r="E2263" s="16">
        <v>66.0</v>
      </c>
    </row>
    <row r="2264">
      <c r="A2264" s="8" t="s">
        <v>78</v>
      </c>
      <c r="B2264" s="8" t="s">
        <v>1060</v>
      </c>
      <c r="C2264" s="8" t="s">
        <v>70</v>
      </c>
      <c r="D2264" s="18" t="s">
        <v>2581</v>
      </c>
      <c r="E2264" s="16">
        <v>72.0</v>
      </c>
    </row>
    <row r="2265">
      <c r="A2265" s="8" t="s">
        <v>78</v>
      </c>
      <c r="B2265" s="8" t="s">
        <v>241</v>
      </c>
      <c r="C2265" s="8" t="s">
        <v>122</v>
      </c>
      <c r="D2265" s="18" t="s">
        <v>2556</v>
      </c>
      <c r="E2265" s="16">
        <v>88.0</v>
      </c>
    </row>
    <row r="2266">
      <c r="A2266" s="8" t="s">
        <v>78</v>
      </c>
      <c r="B2266" s="8" t="s">
        <v>1338</v>
      </c>
      <c r="C2266" s="8" t="s">
        <v>46</v>
      </c>
      <c r="D2266" s="18" t="s">
        <v>2593</v>
      </c>
      <c r="E2266" s="16">
        <v>65.0</v>
      </c>
    </row>
    <row r="2267">
      <c r="A2267" s="8" t="s">
        <v>78</v>
      </c>
      <c r="B2267" s="8" t="s">
        <v>1057</v>
      </c>
      <c r="C2267" s="8" t="s">
        <v>149</v>
      </c>
      <c r="D2267" s="18" t="s">
        <v>2574</v>
      </c>
      <c r="E2267" s="16">
        <v>70.0</v>
      </c>
    </row>
    <row r="2268">
      <c r="A2268" s="8" t="s">
        <v>78</v>
      </c>
      <c r="B2268" s="8" t="s">
        <v>1192</v>
      </c>
      <c r="C2268" s="8" t="s">
        <v>70</v>
      </c>
      <c r="D2268" s="18" t="s">
        <v>2577</v>
      </c>
      <c r="E2268" s="16">
        <v>81.0</v>
      </c>
    </row>
    <row r="2269">
      <c r="A2269" s="8" t="s">
        <v>78</v>
      </c>
      <c r="B2269" s="8" t="s">
        <v>1486</v>
      </c>
      <c r="C2269" s="8" t="s">
        <v>80</v>
      </c>
      <c r="D2269" s="18" t="s">
        <v>2587</v>
      </c>
      <c r="E2269" s="16">
        <v>76.0</v>
      </c>
    </row>
    <row r="2270">
      <c r="A2270" s="8" t="s">
        <v>78</v>
      </c>
      <c r="B2270" s="8" t="s">
        <v>1312</v>
      </c>
      <c r="C2270" s="8" t="s">
        <v>122</v>
      </c>
      <c r="D2270" s="18" t="s">
        <v>2585</v>
      </c>
      <c r="E2270" s="16">
        <v>82.0</v>
      </c>
    </row>
    <row r="2271">
      <c r="A2271" s="8" t="s">
        <v>78</v>
      </c>
      <c r="B2271" s="8" t="s">
        <v>842</v>
      </c>
      <c r="C2271" s="8" t="s">
        <v>70</v>
      </c>
      <c r="D2271" s="18" t="s">
        <v>2587</v>
      </c>
      <c r="E2271" s="16">
        <v>67.0</v>
      </c>
    </row>
    <row r="2272">
      <c r="A2272" s="8" t="s">
        <v>78</v>
      </c>
      <c r="B2272" s="8" t="s">
        <v>263</v>
      </c>
      <c r="C2272" s="8" t="s">
        <v>122</v>
      </c>
      <c r="D2272" s="18" t="s">
        <v>2581</v>
      </c>
      <c r="E2272" s="16">
        <v>59.0</v>
      </c>
    </row>
    <row r="2273">
      <c r="A2273" s="8" t="s">
        <v>78</v>
      </c>
      <c r="B2273" s="8" t="s">
        <v>3500</v>
      </c>
      <c r="C2273" s="8" t="s">
        <v>65</v>
      </c>
      <c r="D2273" s="18" t="s">
        <v>2603</v>
      </c>
      <c r="E2273" s="16">
        <v>63.0</v>
      </c>
    </row>
    <row r="2274">
      <c r="A2274" s="8" t="s">
        <v>78</v>
      </c>
      <c r="B2274" s="8" t="s">
        <v>3139</v>
      </c>
      <c r="C2274" s="8" t="s">
        <v>70</v>
      </c>
      <c r="D2274" s="18" t="s">
        <v>2589</v>
      </c>
      <c r="E2274" s="16">
        <v>71.0</v>
      </c>
    </row>
    <row r="2275">
      <c r="A2275" s="8" t="s">
        <v>78</v>
      </c>
      <c r="B2275" s="18" t="s">
        <v>831</v>
      </c>
      <c r="C2275" s="8" t="s">
        <v>93</v>
      </c>
      <c r="D2275" s="18" t="s">
        <v>2615</v>
      </c>
      <c r="E2275" s="16">
        <v>77.0</v>
      </c>
    </row>
    <row r="2276">
      <c r="A2276" s="8" t="s">
        <v>78</v>
      </c>
      <c r="B2276" s="8" t="s">
        <v>214</v>
      </c>
      <c r="C2276" s="8" t="s">
        <v>122</v>
      </c>
      <c r="D2276" s="18" t="s">
        <v>2587</v>
      </c>
      <c r="E2276" s="16">
        <v>82.0</v>
      </c>
    </row>
    <row r="2277">
      <c r="A2277" s="8" t="s">
        <v>78</v>
      </c>
      <c r="B2277" s="8" t="s">
        <v>214</v>
      </c>
      <c r="C2277" s="8" t="s">
        <v>65</v>
      </c>
      <c r="D2277" s="18" t="s">
        <v>2560</v>
      </c>
      <c r="E2277" s="16">
        <v>65.0</v>
      </c>
    </row>
    <row r="2278">
      <c r="A2278" s="8" t="s">
        <v>78</v>
      </c>
      <c r="B2278" s="8" t="s">
        <v>1172</v>
      </c>
      <c r="C2278" s="8" t="s">
        <v>215</v>
      </c>
      <c r="D2278" s="18" t="s">
        <v>2560</v>
      </c>
      <c r="E2278" s="16">
        <v>81.0</v>
      </c>
    </row>
    <row r="2279">
      <c r="A2279" s="8" t="s">
        <v>78</v>
      </c>
      <c r="B2279" s="8" t="s">
        <v>247</v>
      </c>
      <c r="C2279" s="8" t="s">
        <v>93</v>
      </c>
      <c r="D2279" s="18" t="s">
        <v>2560</v>
      </c>
      <c r="E2279" s="16">
        <v>74.0</v>
      </c>
    </row>
    <row r="2280">
      <c r="A2280" s="8" t="s">
        <v>78</v>
      </c>
      <c r="B2280" s="8" t="s">
        <v>236</v>
      </c>
      <c r="C2280" s="8" t="s">
        <v>215</v>
      </c>
      <c r="D2280" s="18" t="s">
        <v>2581</v>
      </c>
      <c r="E2280" s="16">
        <v>81.0</v>
      </c>
    </row>
    <row r="2281">
      <c r="A2281" s="8" t="s">
        <v>78</v>
      </c>
      <c r="B2281" s="8" t="s">
        <v>1666</v>
      </c>
      <c r="C2281" s="8" t="s">
        <v>24</v>
      </c>
      <c r="D2281" s="18" t="s">
        <v>2575</v>
      </c>
      <c r="E2281" s="16">
        <v>78.0</v>
      </c>
    </row>
    <row r="2282">
      <c r="A2282" s="8" t="s">
        <v>78</v>
      </c>
      <c r="B2282" s="8" t="s">
        <v>137</v>
      </c>
      <c r="C2282" s="8" t="s">
        <v>24</v>
      </c>
      <c r="D2282" s="18" t="s">
        <v>2600</v>
      </c>
      <c r="E2282" s="16">
        <v>71.0</v>
      </c>
    </row>
    <row r="2283">
      <c r="A2283" s="8" t="s">
        <v>78</v>
      </c>
      <c r="B2283" s="8" t="s">
        <v>183</v>
      </c>
      <c r="C2283" s="8" t="s">
        <v>65</v>
      </c>
      <c r="D2283" s="18" t="s">
        <v>2183</v>
      </c>
      <c r="E2283" s="16">
        <v>71.0</v>
      </c>
    </row>
    <row r="2284">
      <c r="A2284" s="8" t="s">
        <v>78</v>
      </c>
      <c r="B2284" s="8" t="s">
        <v>231</v>
      </c>
      <c r="C2284" s="8" t="s">
        <v>65</v>
      </c>
      <c r="D2284" s="18" t="s">
        <v>2598</v>
      </c>
      <c r="E2284" s="16">
        <v>69.0</v>
      </c>
    </row>
    <row r="2285">
      <c r="A2285" s="8" t="s">
        <v>78</v>
      </c>
      <c r="B2285" s="8" t="s">
        <v>231</v>
      </c>
      <c r="C2285" s="8" t="s">
        <v>215</v>
      </c>
      <c r="D2285" s="18" t="s">
        <v>2183</v>
      </c>
      <c r="E2285" s="16">
        <v>68.0</v>
      </c>
    </row>
    <row r="2286">
      <c r="A2286" s="8" t="s">
        <v>78</v>
      </c>
      <c r="B2286" s="18" t="s">
        <v>1341</v>
      </c>
      <c r="C2286" s="8" t="s">
        <v>93</v>
      </c>
      <c r="D2286" s="18" t="s">
        <v>2595</v>
      </c>
      <c r="E2286" s="16">
        <v>70.0</v>
      </c>
    </row>
    <row r="2287">
      <c r="A2287" s="8" t="s">
        <v>78</v>
      </c>
      <c r="B2287" s="8" t="s">
        <v>832</v>
      </c>
      <c r="C2287" s="8" t="s">
        <v>192</v>
      </c>
      <c r="D2287" s="18" t="s">
        <v>2610</v>
      </c>
      <c r="E2287" s="16">
        <v>75.0</v>
      </c>
    </row>
    <row r="2288">
      <c r="A2288" s="8" t="s">
        <v>78</v>
      </c>
      <c r="B2288" s="8" t="s">
        <v>167</v>
      </c>
      <c r="C2288" s="8" t="s">
        <v>93</v>
      </c>
      <c r="D2288" s="18" t="s">
        <v>2572</v>
      </c>
      <c r="E2288" s="16">
        <v>71.0</v>
      </c>
    </row>
    <row r="2289">
      <c r="A2289" s="8" t="s">
        <v>78</v>
      </c>
      <c r="B2289" s="8" t="s">
        <v>450</v>
      </c>
      <c r="C2289" s="8" t="s">
        <v>122</v>
      </c>
      <c r="D2289" s="18" t="s">
        <v>2620</v>
      </c>
      <c r="E2289" s="16">
        <v>74.0</v>
      </c>
    </row>
    <row r="2290">
      <c r="A2290" s="8" t="s">
        <v>78</v>
      </c>
      <c r="B2290" s="8" t="s">
        <v>1101</v>
      </c>
      <c r="C2290" s="8" t="s">
        <v>93</v>
      </c>
      <c r="D2290" s="18" t="s">
        <v>2574</v>
      </c>
      <c r="E2290" s="16">
        <v>62.0</v>
      </c>
    </row>
    <row r="2291">
      <c r="A2291" s="8" t="s">
        <v>78</v>
      </c>
      <c r="B2291" s="8" t="s">
        <v>983</v>
      </c>
      <c r="C2291" s="8" t="s">
        <v>65</v>
      </c>
      <c r="D2291" s="18" t="s">
        <v>2614</v>
      </c>
      <c r="E2291" s="16">
        <v>80.0</v>
      </c>
    </row>
    <row r="2292">
      <c r="A2292" s="8" t="s">
        <v>78</v>
      </c>
      <c r="B2292" s="8" t="s">
        <v>3902</v>
      </c>
      <c r="C2292" s="8" t="s">
        <v>53</v>
      </c>
      <c r="D2292" s="18" t="s">
        <v>2572</v>
      </c>
      <c r="E2292" s="16">
        <v>64.0</v>
      </c>
    </row>
    <row r="2293">
      <c r="A2293" s="8" t="s">
        <v>78</v>
      </c>
      <c r="B2293" s="8" t="s">
        <v>79</v>
      </c>
      <c r="C2293" s="8" t="s">
        <v>93</v>
      </c>
      <c r="D2293" s="18" t="s">
        <v>2615</v>
      </c>
      <c r="E2293" s="16">
        <v>80.0</v>
      </c>
    </row>
    <row r="2294">
      <c r="A2294" s="8" t="s">
        <v>78</v>
      </c>
      <c r="B2294" s="8" t="s">
        <v>334</v>
      </c>
      <c r="C2294" s="8" t="s">
        <v>46</v>
      </c>
      <c r="D2294" s="18" t="s">
        <v>2582</v>
      </c>
      <c r="E2294" s="16">
        <v>92.0</v>
      </c>
    </row>
    <row r="2295">
      <c r="A2295" s="8" t="s">
        <v>78</v>
      </c>
      <c r="B2295" s="8" t="s">
        <v>865</v>
      </c>
      <c r="C2295" s="8" t="s">
        <v>70</v>
      </c>
      <c r="D2295" s="18" t="s">
        <v>2567</v>
      </c>
      <c r="E2295" s="16">
        <v>60.0</v>
      </c>
    </row>
    <row r="2296">
      <c r="A2296" s="8" t="s">
        <v>78</v>
      </c>
      <c r="B2296" s="8" t="s">
        <v>836</v>
      </c>
      <c r="C2296" s="8" t="s">
        <v>65</v>
      </c>
      <c r="D2296" s="18" t="s">
        <v>2572</v>
      </c>
      <c r="E2296" s="16">
        <v>62.0</v>
      </c>
    </row>
    <row r="2297">
      <c r="A2297" s="8" t="s">
        <v>78</v>
      </c>
      <c r="B2297" s="8" t="s">
        <v>619</v>
      </c>
      <c r="C2297" s="8" t="s">
        <v>186</v>
      </c>
      <c r="D2297" s="18" t="s">
        <v>2577</v>
      </c>
      <c r="E2297" s="16">
        <v>73.0</v>
      </c>
    </row>
    <row r="2298">
      <c r="A2298" s="8" t="s">
        <v>78</v>
      </c>
      <c r="B2298" s="8" t="s">
        <v>596</v>
      </c>
      <c r="C2298" s="8" t="s">
        <v>122</v>
      </c>
      <c r="D2298" s="18" t="s">
        <v>2589</v>
      </c>
      <c r="E2298" s="16">
        <v>60.0</v>
      </c>
    </row>
    <row r="2299">
      <c r="A2299" s="8" t="s">
        <v>3903</v>
      </c>
      <c r="B2299" s="8" t="s">
        <v>2754</v>
      </c>
      <c r="C2299" s="8" t="s">
        <v>70</v>
      </c>
      <c r="D2299" s="18" t="s">
        <v>2587</v>
      </c>
      <c r="E2299" s="16">
        <v>79.0</v>
      </c>
    </row>
    <row r="2300">
      <c r="A2300" s="8" t="s">
        <v>1062</v>
      </c>
      <c r="B2300" s="8" t="s">
        <v>1063</v>
      </c>
      <c r="C2300" s="8" t="s">
        <v>186</v>
      </c>
      <c r="D2300" s="18" t="s">
        <v>2621</v>
      </c>
      <c r="E2300" s="16">
        <v>78.0</v>
      </c>
    </row>
    <row r="2301">
      <c r="A2301" s="8" t="s">
        <v>620</v>
      </c>
      <c r="B2301" s="8" t="s">
        <v>320</v>
      </c>
      <c r="C2301" s="8" t="s">
        <v>24</v>
      </c>
      <c r="D2301" s="18" t="s">
        <v>2603</v>
      </c>
      <c r="E2301" s="16">
        <v>78.0</v>
      </c>
    </row>
    <row r="2302">
      <c r="A2302" s="8" t="s">
        <v>451</v>
      </c>
      <c r="B2302" s="8" t="s">
        <v>1064</v>
      </c>
      <c r="C2302" s="8" t="s">
        <v>65</v>
      </c>
      <c r="D2302" s="18" t="s">
        <v>2183</v>
      </c>
      <c r="E2302" s="16">
        <v>74.0</v>
      </c>
    </row>
    <row r="2303">
      <c r="A2303" s="8" t="s">
        <v>451</v>
      </c>
      <c r="B2303" s="18" t="s">
        <v>521</v>
      </c>
      <c r="C2303" s="8" t="s">
        <v>138</v>
      </c>
      <c r="D2303" s="18" t="s">
        <v>2595</v>
      </c>
      <c r="E2303" s="16">
        <v>69.0</v>
      </c>
    </row>
    <row r="2304">
      <c r="A2304" s="8" t="s">
        <v>451</v>
      </c>
      <c r="B2304" s="8" t="s">
        <v>1060</v>
      </c>
      <c r="C2304" s="8" t="s">
        <v>59</v>
      </c>
      <c r="D2304" s="18" t="s">
        <v>2614</v>
      </c>
      <c r="E2304" s="16">
        <v>68.0</v>
      </c>
    </row>
    <row r="2305">
      <c r="A2305" s="8" t="s">
        <v>451</v>
      </c>
      <c r="B2305" s="8" t="s">
        <v>204</v>
      </c>
      <c r="C2305" s="8" t="s">
        <v>80</v>
      </c>
      <c r="D2305" s="18" t="s">
        <v>2610</v>
      </c>
      <c r="E2305" s="16">
        <v>72.0</v>
      </c>
    </row>
    <row r="2306">
      <c r="A2306" s="8" t="s">
        <v>451</v>
      </c>
      <c r="B2306" s="8" t="s">
        <v>214</v>
      </c>
      <c r="C2306" s="8" t="s">
        <v>93</v>
      </c>
      <c r="D2306" s="18" t="s">
        <v>2595</v>
      </c>
      <c r="E2306" s="16">
        <v>74.0</v>
      </c>
    </row>
    <row r="2307">
      <c r="A2307" s="8" t="s">
        <v>451</v>
      </c>
      <c r="B2307" s="8" t="s">
        <v>3904</v>
      </c>
      <c r="C2307" s="8" t="s">
        <v>53</v>
      </c>
      <c r="D2307" s="18" t="s">
        <v>2556</v>
      </c>
      <c r="E2307" s="16">
        <v>60.0</v>
      </c>
    </row>
    <row r="2308">
      <c r="A2308" s="8" t="s">
        <v>451</v>
      </c>
      <c r="B2308" s="8" t="s">
        <v>3140</v>
      </c>
      <c r="C2308" s="8" t="s">
        <v>65</v>
      </c>
      <c r="D2308" s="18" t="s">
        <v>2605</v>
      </c>
      <c r="E2308" s="16">
        <v>73.0</v>
      </c>
    </row>
    <row r="2309">
      <c r="A2309" s="8" t="s">
        <v>451</v>
      </c>
      <c r="B2309" s="8" t="s">
        <v>1065</v>
      </c>
      <c r="C2309" s="8" t="s">
        <v>186</v>
      </c>
      <c r="D2309" s="18" t="s">
        <v>2183</v>
      </c>
      <c r="E2309" s="16">
        <v>65.0</v>
      </c>
    </row>
    <row r="2310">
      <c r="A2310" s="8" t="s">
        <v>451</v>
      </c>
      <c r="B2310" s="8" t="s">
        <v>409</v>
      </c>
      <c r="C2310" s="8" t="s">
        <v>16</v>
      </c>
      <c r="D2310" s="18" t="s">
        <v>2603</v>
      </c>
      <c r="E2310" s="16">
        <v>91.0</v>
      </c>
    </row>
    <row r="2311">
      <c r="A2311" s="8" t="s">
        <v>451</v>
      </c>
      <c r="B2311" s="8" t="s">
        <v>465</v>
      </c>
      <c r="C2311" s="8" t="s">
        <v>192</v>
      </c>
      <c r="D2311" s="18" t="s">
        <v>2554</v>
      </c>
      <c r="E2311" s="16">
        <v>73.0</v>
      </c>
    </row>
    <row r="2312">
      <c r="A2312" s="8" t="s">
        <v>452</v>
      </c>
      <c r="B2312" s="8" t="s">
        <v>260</v>
      </c>
      <c r="C2312" s="8" t="s">
        <v>24</v>
      </c>
      <c r="D2312" s="18" t="s">
        <v>2183</v>
      </c>
      <c r="E2312" s="16">
        <v>43.0</v>
      </c>
    </row>
    <row r="2313">
      <c r="A2313" s="8" t="s">
        <v>182</v>
      </c>
      <c r="B2313" s="8" t="s">
        <v>183</v>
      </c>
      <c r="C2313" s="8" t="s">
        <v>24</v>
      </c>
      <c r="D2313" s="18" t="s">
        <v>2572</v>
      </c>
      <c r="E2313" s="16">
        <v>46.0</v>
      </c>
    </row>
    <row r="2314">
      <c r="A2314" s="8" t="s">
        <v>3143</v>
      </c>
      <c r="B2314" s="8" t="s">
        <v>1604</v>
      </c>
      <c r="C2314" s="8" t="s">
        <v>38</v>
      </c>
      <c r="D2314" s="18" t="s">
        <v>2566</v>
      </c>
      <c r="E2314" s="16">
        <v>76.0</v>
      </c>
    </row>
    <row r="2315">
      <c r="A2315" s="8" t="s">
        <v>3502</v>
      </c>
      <c r="B2315" s="8" t="s">
        <v>1044</v>
      </c>
      <c r="C2315" s="8" t="s">
        <v>215</v>
      </c>
      <c r="D2315" s="18" t="s">
        <v>2620</v>
      </c>
      <c r="E2315" s="16">
        <v>67.0</v>
      </c>
    </row>
    <row r="2316">
      <c r="A2316" s="8" t="s">
        <v>3502</v>
      </c>
      <c r="B2316" s="8" t="s">
        <v>546</v>
      </c>
      <c r="C2316" s="8" t="s">
        <v>70</v>
      </c>
      <c r="D2316" s="18" t="s">
        <v>2554</v>
      </c>
      <c r="E2316" s="16">
        <v>68.0</v>
      </c>
    </row>
    <row r="2317">
      <c r="A2317" s="8" t="s">
        <v>1669</v>
      </c>
      <c r="B2317" s="8" t="s">
        <v>129</v>
      </c>
      <c r="C2317" s="8" t="s">
        <v>149</v>
      </c>
      <c r="D2317" s="18" t="s">
        <v>2610</v>
      </c>
      <c r="E2317" s="16">
        <v>76.0</v>
      </c>
    </row>
    <row r="2318">
      <c r="A2318" s="8" t="s">
        <v>1669</v>
      </c>
      <c r="B2318" s="8" t="s">
        <v>517</v>
      </c>
      <c r="C2318" s="8" t="s">
        <v>70</v>
      </c>
      <c r="D2318" s="18" t="s">
        <v>2615</v>
      </c>
      <c r="E2318" s="16">
        <v>64.0</v>
      </c>
    </row>
    <row r="2319">
      <c r="A2319" s="8" t="s">
        <v>1669</v>
      </c>
      <c r="B2319" s="8" t="s">
        <v>1670</v>
      </c>
      <c r="C2319" s="8" t="s">
        <v>16</v>
      </c>
      <c r="D2319" s="18" t="s">
        <v>2592</v>
      </c>
      <c r="E2319" s="16">
        <v>82.0</v>
      </c>
    </row>
    <row r="2320">
      <c r="A2320" s="8" t="s">
        <v>833</v>
      </c>
      <c r="B2320" s="8" t="s">
        <v>157</v>
      </c>
      <c r="C2320" s="8" t="s">
        <v>132</v>
      </c>
      <c r="D2320" s="18" t="s">
        <v>2560</v>
      </c>
      <c r="E2320" s="16">
        <v>70.0</v>
      </c>
    </row>
    <row r="2321">
      <c r="A2321" s="8" t="s">
        <v>453</v>
      </c>
      <c r="B2321" s="8" t="s">
        <v>454</v>
      </c>
      <c r="C2321" s="8" t="s">
        <v>141</v>
      </c>
      <c r="D2321" s="18" t="s">
        <v>2564</v>
      </c>
      <c r="E2321" s="16">
        <v>79.0</v>
      </c>
    </row>
    <row r="2322">
      <c r="A2322" s="8" t="s">
        <v>56</v>
      </c>
      <c r="B2322" s="8" t="s">
        <v>45</v>
      </c>
      <c r="C2322" s="8" t="s">
        <v>24</v>
      </c>
      <c r="D2322" s="18" t="s">
        <v>2614</v>
      </c>
      <c r="E2322" s="16">
        <v>87.0</v>
      </c>
    </row>
    <row r="2323">
      <c r="A2323" s="8" t="s">
        <v>621</v>
      </c>
      <c r="B2323" s="8" t="s">
        <v>354</v>
      </c>
      <c r="C2323" s="8" t="s">
        <v>46</v>
      </c>
      <c r="D2323" s="18" t="s">
        <v>2614</v>
      </c>
      <c r="E2323" s="16">
        <v>66.0</v>
      </c>
    </row>
    <row r="2324">
      <c r="A2324" s="8" t="s">
        <v>622</v>
      </c>
      <c r="B2324" s="8" t="s">
        <v>493</v>
      </c>
      <c r="C2324" s="8" t="s">
        <v>138</v>
      </c>
      <c r="D2324" s="18" t="s">
        <v>2620</v>
      </c>
      <c r="E2324" s="16">
        <v>86.0</v>
      </c>
    </row>
    <row r="2325">
      <c r="A2325" s="8" t="s">
        <v>3905</v>
      </c>
      <c r="B2325" s="8" t="s">
        <v>443</v>
      </c>
      <c r="C2325" s="8" t="s">
        <v>80</v>
      </c>
      <c r="D2325" s="18" t="s">
        <v>2584</v>
      </c>
      <c r="E2325" s="16">
        <v>68.0</v>
      </c>
    </row>
    <row r="2326">
      <c r="A2326" s="8" t="s">
        <v>1343</v>
      </c>
      <c r="B2326" s="8" t="s">
        <v>129</v>
      </c>
      <c r="C2326" s="8" t="s">
        <v>141</v>
      </c>
      <c r="D2326" s="18" t="s">
        <v>2587</v>
      </c>
      <c r="E2326" s="16">
        <v>81.0</v>
      </c>
    </row>
    <row r="2327">
      <c r="A2327" s="8" t="s">
        <v>1673</v>
      </c>
      <c r="B2327" s="8" t="s">
        <v>842</v>
      </c>
      <c r="C2327" s="8" t="s">
        <v>138</v>
      </c>
      <c r="D2327" s="18" t="s">
        <v>2584</v>
      </c>
      <c r="E2327" s="16">
        <v>63.0</v>
      </c>
    </row>
    <row r="2328">
      <c r="A2328" s="8" t="s">
        <v>3504</v>
      </c>
      <c r="B2328" s="8" t="s">
        <v>134</v>
      </c>
      <c r="C2328" s="8" t="s">
        <v>70</v>
      </c>
      <c r="D2328" s="18" t="s">
        <v>2572</v>
      </c>
      <c r="E2328" s="16">
        <v>82.0</v>
      </c>
    </row>
    <row r="2329">
      <c r="A2329" s="8" t="s">
        <v>233</v>
      </c>
      <c r="B2329" s="8" t="s">
        <v>234</v>
      </c>
      <c r="C2329" s="8" t="s">
        <v>122</v>
      </c>
      <c r="D2329" s="18" t="s">
        <v>2621</v>
      </c>
      <c r="E2329" s="16">
        <v>74.0</v>
      </c>
    </row>
    <row r="2330">
      <c r="A2330" s="8" t="s">
        <v>233</v>
      </c>
      <c r="B2330" s="8" t="s">
        <v>337</v>
      </c>
      <c r="C2330" s="8" t="s">
        <v>65</v>
      </c>
      <c r="D2330" s="18" t="s">
        <v>2587</v>
      </c>
      <c r="E2330" s="16">
        <v>73.0</v>
      </c>
    </row>
    <row r="2331">
      <c r="A2331" s="8" t="s">
        <v>184</v>
      </c>
      <c r="B2331" s="8" t="s">
        <v>185</v>
      </c>
      <c r="C2331" s="8" t="s">
        <v>186</v>
      </c>
      <c r="D2331" s="18" t="s">
        <v>2621</v>
      </c>
      <c r="E2331" s="16">
        <v>87.0</v>
      </c>
    </row>
    <row r="2332">
      <c r="A2332" s="8" t="s">
        <v>2031</v>
      </c>
      <c r="B2332" s="8" t="s">
        <v>1057</v>
      </c>
      <c r="C2332" s="8" t="s">
        <v>93</v>
      </c>
      <c r="D2332" s="18" t="s">
        <v>2574</v>
      </c>
      <c r="E2332" s="16">
        <v>68.0</v>
      </c>
    </row>
    <row r="2333">
      <c r="A2333" s="8" t="s">
        <v>627</v>
      </c>
      <c r="B2333" s="8" t="s">
        <v>628</v>
      </c>
      <c r="C2333" s="8" t="s">
        <v>186</v>
      </c>
      <c r="D2333" s="18" t="s">
        <v>2598</v>
      </c>
      <c r="E2333" s="16">
        <v>74.0</v>
      </c>
    </row>
    <row r="2334">
      <c r="A2334" s="8" t="s">
        <v>3505</v>
      </c>
      <c r="B2334" s="8" t="s">
        <v>554</v>
      </c>
      <c r="C2334" s="8" t="s">
        <v>65</v>
      </c>
      <c r="D2334" s="18" t="s">
        <v>2560</v>
      </c>
      <c r="E2334" s="16">
        <v>60.0</v>
      </c>
    </row>
    <row r="2335">
      <c r="A2335" s="8" t="s">
        <v>3505</v>
      </c>
      <c r="B2335" s="8" t="s">
        <v>3506</v>
      </c>
      <c r="C2335" s="8" t="s">
        <v>122</v>
      </c>
      <c r="D2335" s="18" t="s">
        <v>2587</v>
      </c>
      <c r="E2335" s="16">
        <v>67.0</v>
      </c>
    </row>
    <row r="2336">
      <c r="A2336" s="8" t="s">
        <v>623</v>
      </c>
      <c r="B2336" s="8" t="s">
        <v>624</v>
      </c>
      <c r="C2336" s="8" t="s">
        <v>93</v>
      </c>
      <c r="D2336" s="18" t="s">
        <v>2621</v>
      </c>
      <c r="E2336" s="16">
        <v>71.0</v>
      </c>
    </row>
    <row r="2337">
      <c r="A2337" s="8" t="s">
        <v>455</v>
      </c>
      <c r="B2337" s="8" t="s">
        <v>724</v>
      </c>
      <c r="C2337" s="8" t="s">
        <v>122</v>
      </c>
      <c r="D2337" s="18" t="s">
        <v>2554</v>
      </c>
      <c r="E2337" s="16">
        <v>69.0</v>
      </c>
    </row>
    <row r="2338">
      <c r="A2338" s="8" t="s">
        <v>455</v>
      </c>
      <c r="B2338" s="8" t="s">
        <v>260</v>
      </c>
      <c r="C2338" s="8" t="s">
        <v>65</v>
      </c>
      <c r="D2338" s="18" t="s">
        <v>2610</v>
      </c>
      <c r="E2338" s="16">
        <v>63.0</v>
      </c>
    </row>
    <row r="2339">
      <c r="A2339" s="8" t="s">
        <v>455</v>
      </c>
      <c r="B2339" s="8" t="s">
        <v>625</v>
      </c>
      <c r="C2339" s="8" t="s">
        <v>65</v>
      </c>
      <c r="D2339" s="18" t="s">
        <v>2552</v>
      </c>
      <c r="E2339" s="16">
        <v>75.0</v>
      </c>
    </row>
    <row r="2340">
      <c r="A2340" s="8" t="s">
        <v>455</v>
      </c>
      <c r="B2340" s="8" t="s">
        <v>961</v>
      </c>
      <c r="C2340" s="8" t="s">
        <v>65</v>
      </c>
      <c r="D2340" s="18" t="s">
        <v>2621</v>
      </c>
      <c r="E2340" s="16">
        <v>79.0</v>
      </c>
    </row>
    <row r="2341">
      <c r="A2341" s="8" t="s">
        <v>455</v>
      </c>
      <c r="B2341" s="18" t="s">
        <v>456</v>
      </c>
      <c r="C2341" s="8" t="s">
        <v>59</v>
      </c>
      <c r="D2341" s="18" t="s">
        <v>2603</v>
      </c>
      <c r="E2341" s="16">
        <v>88.0</v>
      </c>
    </row>
    <row r="2342">
      <c r="A2342" s="8" t="s">
        <v>455</v>
      </c>
      <c r="B2342" s="8" t="s">
        <v>3906</v>
      </c>
      <c r="C2342" s="8" t="s">
        <v>80</v>
      </c>
      <c r="D2342" s="18" t="s">
        <v>2592</v>
      </c>
      <c r="E2342" s="16">
        <v>74.0</v>
      </c>
    </row>
    <row r="2343">
      <c r="A2343" s="8" t="s">
        <v>455</v>
      </c>
      <c r="B2343" s="8" t="s">
        <v>3145</v>
      </c>
      <c r="C2343" s="8" t="s">
        <v>93</v>
      </c>
      <c r="D2343" s="18" t="s">
        <v>2575</v>
      </c>
      <c r="E2343" s="16">
        <v>72.0</v>
      </c>
    </row>
    <row r="2344">
      <c r="A2344" s="8" t="s">
        <v>455</v>
      </c>
      <c r="B2344" s="8" t="s">
        <v>3146</v>
      </c>
      <c r="C2344" s="8" t="s">
        <v>24</v>
      </c>
      <c r="D2344" s="18" t="s">
        <v>2554</v>
      </c>
      <c r="E2344" s="16">
        <v>71.0</v>
      </c>
    </row>
    <row r="2345">
      <c r="A2345" s="8" t="s">
        <v>3147</v>
      </c>
      <c r="B2345" s="8" t="s">
        <v>3148</v>
      </c>
      <c r="C2345" s="8" t="s">
        <v>186</v>
      </c>
      <c r="D2345" s="18" t="s">
        <v>2615</v>
      </c>
      <c r="E2345" s="16">
        <v>68.0</v>
      </c>
    </row>
    <row r="2346">
      <c r="A2346" s="8" t="s">
        <v>3907</v>
      </c>
      <c r="B2346" s="8" t="s">
        <v>1131</v>
      </c>
      <c r="C2346" s="8" t="s">
        <v>122</v>
      </c>
      <c r="D2346" s="18" t="s">
        <v>2564</v>
      </c>
      <c r="E2346" s="16">
        <v>60.0</v>
      </c>
    </row>
    <row r="2347">
      <c r="A2347" s="8" t="s">
        <v>834</v>
      </c>
      <c r="B2347" s="8" t="s">
        <v>721</v>
      </c>
      <c r="C2347" s="8" t="s">
        <v>138</v>
      </c>
      <c r="D2347" s="18" t="s">
        <v>2566</v>
      </c>
      <c r="E2347" s="16">
        <v>65.0</v>
      </c>
    </row>
    <row r="2348">
      <c r="A2348" s="8" t="s">
        <v>834</v>
      </c>
      <c r="B2348" s="8" t="s">
        <v>1295</v>
      </c>
      <c r="C2348" s="8" t="s">
        <v>65</v>
      </c>
      <c r="D2348" s="18" t="s">
        <v>2584</v>
      </c>
      <c r="E2348" s="16">
        <v>52.0</v>
      </c>
    </row>
    <row r="2349">
      <c r="A2349" s="8" t="s">
        <v>130</v>
      </c>
      <c r="B2349" s="8" t="s">
        <v>131</v>
      </c>
      <c r="C2349" s="8" t="s">
        <v>132</v>
      </c>
      <c r="D2349" s="18" t="s">
        <v>2575</v>
      </c>
      <c r="E2349" s="16">
        <v>97.0</v>
      </c>
    </row>
    <row r="2350">
      <c r="A2350" s="8" t="s">
        <v>3507</v>
      </c>
      <c r="B2350" s="8" t="s">
        <v>506</v>
      </c>
      <c r="C2350" s="8" t="s">
        <v>75</v>
      </c>
      <c r="D2350" s="18" t="s">
        <v>2574</v>
      </c>
      <c r="E2350" s="16">
        <v>69.0</v>
      </c>
    </row>
    <row r="2351">
      <c r="A2351" s="8" t="s">
        <v>1346</v>
      </c>
      <c r="B2351" s="8" t="s">
        <v>1347</v>
      </c>
      <c r="C2351" s="8" t="s">
        <v>215</v>
      </c>
      <c r="D2351" s="18" t="s">
        <v>2620</v>
      </c>
      <c r="E2351" s="16">
        <v>62.0</v>
      </c>
    </row>
    <row r="2352">
      <c r="A2352" s="8" t="s">
        <v>1676</v>
      </c>
      <c r="B2352" s="18" t="s">
        <v>491</v>
      </c>
      <c r="C2352" s="8" t="s">
        <v>70</v>
      </c>
      <c r="D2352" s="18" t="s">
        <v>2584</v>
      </c>
      <c r="E2352" s="16">
        <v>80.0</v>
      </c>
    </row>
    <row r="2353">
      <c r="A2353" s="8" t="s">
        <v>1675</v>
      </c>
      <c r="B2353" s="8" t="s">
        <v>1063</v>
      </c>
      <c r="C2353" s="8" t="s">
        <v>149</v>
      </c>
      <c r="D2353" s="18" t="s">
        <v>2595</v>
      </c>
      <c r="E2353" s="16">
        <v>60.0</v>
      </c>
    </row>
    <row r="2354">
      <c r="A2354" s="8" t="s">
        <v>1675</v>
      </c>
      <c r="B2354" s="8" t="s">
        <v>3150</v>
      </c>
      <c r="C2354" s="8" t="s">
        <v>93</v>
      </c>
      <c r="D2354" s="18" t="s">
        <v>2574</v>
      </c>
      <c r="E2354" s="16">
        <v>61.0</v>
      </c>
    </row>
    <row r="2355">
      <c r="A2355" s="8" t="s">
        <v>1675</v>
      </c>
      <c r="B2355" s="8" t="s">
        <v>41</v>
      </c>
      <c r="C2355" s="8" t="s">
        <v>149</v>
      </c>
      <c r="D2355" s="18" t="s">
        <v>2581</v>
      </c>
      <c r="E2355" s="16">
        <v>70.0</v>
      </c>
    </row>
    <row r="2356">
      <c r="A2356" s="8" t="s">
        <v>1675</v>
      </c>
      <c r="B2356" s="8" t="s">
        <v>465</v>
      </c>
      <c r="C2356" s="8" t="s">
        <v>93</v>
      </c>
      <c r="D2356" s="18" t="s">
        <v>2575</v>
      </c>
      <c r="E2356" s="16">
        <v>67.0</v>
      </c>
    </row>
    <row r="2357">
      <c r="A2357" s="8" t="s">
        <v>1675</v>
      </c>
      <c r="B2357" s="8" t="s">
        <v>1317</v>
      </c>
      <c r="C2357" s="8" t="s">
        <v>53</v>
      </c>
      <c r="D2357" s="18" t="s">
        <v>2605</v>
      </c>
      <c r="E2357" s="16">
        <v>82.0</v>
      </c>
    </row>
    <row r="2358">
      <c r="A2358" s="8" t="s">
        <v>626</v>
      </c>
      <c r="B2358" s="8" t="s">
        <v>119</v>
      </c>
      <c r="C2358" s="8" t="s">
        <v>132</v>
      </c>
      <c r="D2358" s="18" t="s">
        <v>2610</v>
      </c>
      <c r="E2358" s="16">
        <v>89.0</v>
      </c>
    </row>
    <row r="2359">
      <c r="A2359" s="8" t="s">
        <v>1348</v>
      </c>
      <c r="B2359" s="8" t="s">
        <v>480</v>
      </c>
      <c r="C2359" s="8" t="s">
        <v>70</v>
      </c>
      <c r="D2359" s="18" t="s">
        <v>2554</v>
      </c>
      <c r="E2359" s="16">
        <v>69.0</v>
      </c>
    </row>
    <row r="2360">
      <c r="A2360" s="8" t="s">
        <v>1067</v>
      </c>
      <c r="B2360" s="8" t="s">
        <v>212</v>
      </c>
      <c r="C2360" s="8" t="s">
        <v>215</v>
      </c>
      <c r="D2360" s="18" t="s">
        <v>2554</v>
      </c>
      <c r="E2360" s="16">
        <v>66.0</v>
      </c>
    </row>
    <row r="2361">
      <c r="A2361" s="8" t="s">
        <v>3151</v>
      </c>
      <c r="B2361" s="8" t="s">
        <v>69</v>
      </c>
      <c r="C2361" s="8" t="s">
        <v>53</v>
      </c>
      <c r="D2361" s="18" t="s">
        <v>2183</v>
      </c>
      <c r="E2361" s="16">
        <v>71.0</v>
      </c>
    </row>
    <row r="2362">
      <c r="A2362" s="8" t="s">
        <v>335</v>
      </c>
      <c r="B2362" s="8" t="s">
        <v>124</v>
      </c>
      <c r="C2362" s="8" t="s">
        <v>12</v>
      </c>
      <c r="D2362" s="18" t="s">
        <v>2593</v>
      </c>
      <c r="E2362" s="16">
        <v>78.0</v>
      </c>
    </row>
    <row r="2363">
      <c r="A2363" s="8" t="s">
        <v>3908</v>
      </c>
      <c r="B2363" s="8" t="s">
        <v>263</v>
      </c>
      <c r="C2363" s="8" t="s">
        <v>59</v>
      </c>
      <c r="D2363" s="18" t="s">
        <v>2577</v>
      </c>
      <c r="E2363" s="16">
        <v>65.0</v>
      </c>
    </row>
    <row r="2364">
      <c r="A2364" s="8" t="s">
        <v>3510</v>
      </c>
      <c r="B2364" s="8" t="s">
        <v>822</v>
      </c>
      <c r="C2364" s="8" t="s">
        <v>141</v>
      </c>
      <c r="D2364" s="18" t="s">
        <v>2575</v>
      </c>
      <c r="E2364" s="16">
        <v>81.0</v>
      </c>
    </row>
    <row r="2365">
      <c r="E2365" s="23"/>
    </row>
    <row r="2366">
      <c r="E2366" s="23"/>
    </row>
    <row r="2367">
      <c r="E2367" s="23"/>
    </row>
    <row r="2368">
      <c r="E2368" s="23"/>
    </row>
    <row r="2369">
      <c r="E2369" s="23"/>
    </row>
    <row r="2370">
      <c r="E2370" s="23"/>
    </row>
    <row r="2371">
      <c r="A2371" s="8"/>
      <c r="B2371" s="8"/>
      <c r="C2371" s="8"/>
      <c r="D2371" s="8"/>
      <c r="E2371" s="16"/>
    </row>
    <row r="2372">
      <c r="A2372" s="8"/>
      <c r="B2372" s="8"/>
      <c r="C2372" s="8"/>
      <c r="D2372" s="8"/>
      <c r="E2372" s="16"/>
    </row>
    <row r="2373">
      <c r="A2373" s="8"/>
      <c r="B2373" s="8"/>
      <c r="C2373" s="8"/>
      <c r="D2373" s="8"/>
      <c r="E2373" s="16"/>
    </row>
    <row r="2374">
      <c r="A2374" s="8"/>
      <c r="B2374" s="8"/>
      <c r="C2374" s="8"/>
      <c r="D2374" s="8"/>
      <c r="E2374" s="16"/>
    </row>
    <row r="2375">
      <c r="A2375" s="8"/>
      <c r="B2375" s="8"/>
      <c r="C2375" s="8"/>
      <c r="D2375" s="8"/>
      <c r="E2375" s="16"/>
    </row>
    <row r="2376">
      <c r="A2376" s="8"/>
      <c r="B2376" s="8"/>
      <c r="C2376" s="8"/>
      <c r="D2376" s="8"/>
      <c r="E2376" s="16"/>
    </row>
    <row r="2377">
      <c r="A2377" s="8"/>
      <c r="B2377" s="8"/>
      <c r="C2377" s="8"/>
      <c r="D2377" s="8"/>
      <c r="E2377" s="16"/>
    </row>
    <row r="2378">
      <c r="A2378" s="8"/>
      <c r="B2378" s="8"/>
      <c r="C2378" s="8"/>
      <c r="D2378" s="8"/>
      <c r="E2378" s="16"/>
    </row>
    <row r="2379">
      <c r="A2379" s="8"/>
      <c r="B2379" s="8"/>
      <c r="C2379" s="8"/>
      <c r="D2379" s="8"/>
      <c r="E2379" s="16"/>
    </row>
    <row r="2380">
      <c r="A2380" s="8"/>
      <c r="B2380" s="8"/>
      <c r="C2380" s="8"/>
      <c r="D2380" s="8"/>
      <c r="E2380" s="16"/>
    </row>
    <row r="2381">
      <c r="A2381" s="8"/>
      <c r="B2381" s="8"/>
      <c r="C2381" s="8"/>
      <c r="D2381" s="8"/>
      <c r="E2381" s="16"/>
    </row>
    <row r="2382">
      <c r="A2382" s="8"/>
      <c r="B2382" s="8"/>
      <c r="C2382" s="8"/>
      <c r="D2382" s="8"/>
      <c r="E2382" s="16"/>
    </row>
    <row r="2383">
      <c r="A2383" s="8"/>
      <c r="B2383" s="8"/>
      <c r="C2383" s="8"/>
      <c r="D2383" s="8"/>
      <c r="E2383" s="16"/>
    </row>
    <row r="2384">
      <c r="A2384" s="8"/>
      <c r="B2384" s="8"/>
      <c r="C2384" s="8"/>
      <c r="D2384" s="8"/>
      <c r="E2384" s="16"/>
    </row>
    <row r="2385">
      <c r="A2385" s="8"/>
      <c r="B2385" s="8"/>
      <c r="C2385" s="8"/>
      <c r="D2385" s="8"/>
      <c r="E2385" s="16"/>
    </row>
    <row r="2386">
      <c r="A2386" s="8"/>
      <c r="B2386" s="8"/>
      <c r="C2386" s="8"/>
      <c r="D2386" s="8"/>
      <c r="E2386" s="16"/>
    </row>
    <row r="2387">
      <c r="A2387" s="8"/>
      <c r="B2387" s="8"/>
      <c r="C2387" s="8"/>
      <c r="D2387" s="8"/>
      <c r="E2387" s="16"/>
    </row>
    <row r="2388">
      <c r="A2388" s="8"/>
      <c r="B2388" s="8"/>
      <c r="C2388" s="8"/>
      <c r="D2388" s="8"/>
      <c r="E2388" s="16"/>
    </row>
    <row r="2389">
      <c r="A2389" s="8"/>
      <c r="B2389" s="8"/>
      <c r="C2389" s="8"/>
      <c r="D2389" s="8"/>
      <c r="E2389" s="16"/>
    </row>
    <row r="2390">
      <c r="A2390" s="8"/>
      <c r="B2390" s="8"/>
      <c r="C2390" s="8"/>
      <c r="D2390" s="8"/>
      <c r="E2390" s="16"/>
    </row>
    <row r="2391">
      <c r="A2391" s="8"/>
      <c r="B2391" s="8"/>
      <c r="C2391" s="8"/>
      <c r="D2391" s="8"/>
      <c r="E2391" s="16"/>
    </row>
    <row r="2392">
      <c r="A2392" s="8"/>
      <c r="B2392" s="8"/>
      <c r="C2392" s="8"/>
      <c r="D2392" s="8"/>
      <c r="E2392" s="16"/>
    </row>
    <row r="2393">
      <c r="A2393" s="8"/>
      <c r="B2393" s="8"/>
      <c r="C2393" s="8"/>
      <c r="D2393" s="8"/>
      <c r="E2393" s="16"/>
    </row>
    <row r="2394">
      <c r="A2394" s="8"/>
      <c r="B2394" s="8"/>
      <c r="C2394" s="8"/>
      <c r="D2394" s="8"/>
      <c r="E2394" s="16"/>
    </row>
    <row r="2395">
      <c r="A2395" s="8"/>
      <c r="B2395" s="8"/>
      <c r="C2395" s="8"/>
      <c r="D2395" s="8"/>
      <c r="E2395" s="16"/>
    </row>
    <row r="2396">
      <c r="A2396" s="8"/>
      <c r="B2396" s="8"/>
      <c r="C2396" s="8"/>
      <c r="D2396" s="8"/>
      <c r="E2396" s="16"/>
    </row>
    <row r="2397">
      <c r="A2397" s="8"/>
      <c r="B2397" s="8"/>
      <c r="C2397" s="8"/>
      <c r="D2397" s="8"/>
      <c r="E2397" s="16"/>
    </row>
    <row r="2398">
      <c r="A2398" s="8"/>
      <c r="B2398" s="8"/>
      <c r="C2398" s="8"/>
      <c r="D2398" s="8"/>
      <c r="E2398" s="16"/>
    </row>
    <row r="2399">
      <c r="A2399" s="8"/>
      <c r="B2399" s="8"/>
      <c r="C2399" s="8"/>
      <c r="D2399" s="8"/>
      <c r="E2399" s="16"/>
    </row>
    <row r="2400">
      <c r="A2400" s="8"/>
      <c r="B2400" s="8"/>
      <c r="C2400" s="8"/>
      <c r="D2400" s="8"/>
      <c r="E2400" s="16"/>
    </row>
    <row r="2401">
      <c r="A2401" s="8"/>
      <c r="B2401" s="8"/>
      <c r="C2401" s="8"/>
      <c r="D2401" s="8"/>
      <c r="E2401" s="16"/>
    </row>
    <row r="2402">
      <c r="A2402" s="8"/>
      <c r="B2402" s="8"/>
      <c r="C2402" s="8"/>
      <c r="D2402" s="8"/>
      <c r="E2402" s="16"/>
    </row>
    <row r="2403">
      <c r="A2403" s="8"/>
      <c r="B2403" s="8"/>
      <c r="C2403" s="8"/>
      <c r="D2403" s="8"/>
      <c r="E2403" s="16"/>
    </row>
    <row r="2404">
      <c r="A2404" s="8"/>
      <c r="B2404" s="8"/>
      <c r="C2404" s="8"/>
      <c r="D2404" s="8"/>
      <c r="E2404" s="16"/>
    </row>
    <row r="2405">
      <c r="A2405" s="8"/>
      <c r="B2405" s="8"/>
      <c r="C2405" s="8"/>
      <c r="D2405" s="8"/>
      <c r="E2405" s="16"/>
    </row>
    <row r="2406">
      <c r="A2406" s="8"/>
      <c r="B2406" s="8"/>
      <c r="C2406" s="8"/>
      <c r="D2406" s="8"/>
      <c r="E2406" s="16"/>
    </row>
    <row r="2407">
      <c r="A2407" s="8"/>
      <c r="B2407" s="8"/>
      <c r="C2407" s="8"/>
      <c r="D2407" s="8"/>
      <c r="E2407" s="16"/>
    </row>
    <row r="2408">
      <c r="A2408" s="8"/>
      <c r="B2408" s="8"/>
      <c r="C2408" s="8"/>
      <c r="D2408" s="8"/>
      <c r="E2408" s="16"/>
    </row>
    <row r="2409">
      <c r="A2409" s="8"/>
      <c r="B2409" s="8"/>
      <c r="C2409" s="8"/>
      <c r="D2409" s="8"/>
      <c r="E2409" s="16"/>
    </row>
    <row r="2410">
      <c r="A2410" s="8"/>
      <c r="B2410" s="8"/>
      <c r="C2410" s="8"/>
      <c r="D2410" s="8"/>
      <c r="E2410" s="16"/>
    </row>
    <row r="2411">
      <c r="A2411" s="8"/>
      <c r="B2411" s="8"/>
      <c r="C2411" s="8"/>
      <c r="D2411" s="8"/>
      <c r="E2411" s="16"/>
    </row>
    <row r="2412">
      <c r="A2412" s="8"/>
      <c r="B2412" s="8"/>
      <c r="C2412" s="8"/>
      <c r="D2412" s="8"/>
      <c r="E2412" s="16"/>
    </row>
    <row r="2413">
      <c r="A2413" s="8"/>
      <c r="B2413" s="8"/>
      <c r="C2413" s="8"/>
      <c r="D2413" s="8"/>
      <c r="E2413" s="16"/>
    </row>
    <row r="2414">
      <c r="A2414" s="8"/>
      <c r="B2414" s="8"/>
      <c r="C2414" s="8"/>
      <c r="D2414" s="8"/>
      <c r="E2414" s="16"/>
    </row>
    <row r="2415">
      <c r="A2415" s="8"/>
      <c r="B2415" s="8"/>
      <c r="C2415" s="8"/>
      <c r="D2415" s="8"/>
      <c r="E2415" s="16"/>
    </row>
    <row r="2416">
      <c r="A2416" s="8"/>
      <c r="B2416" s="8"/>
      <c r="C2416" s="8"/>
      <c r="D2416" s="8"/>
      <c r="E2416" s="16"/>
    </row>
    <row r="2417">
      <c r="A2417" s="8"/>
      <c r="B2417" s="8"/>
      <c r="C2417" s="8"/>
      <c r="D2417" s="8"/>
      <c r="E2417" s="16"/>
    </row>
    <row r="2418">
      <c r="A2418" s="8"/>
      <c r="B2418" s="8"/>
      <c r="C2418" s="8"/>
      <c r="D2418" s="8"/>
      <c r="E2418" s="16"/>
    </row>
    <row r="2419">
      <c r="A2419" s="8"/>
      <c r="B2419" s="8"/>
      <c r="C2419" s="8"/>
      <c r="D2419" s="8"/>
      <c r="E2419" s="16"/>
    </row>
    <row r="2420">
      <c r="A2420" s="8"/>
      <c r="B2420" s="8"/>
      <c r="C2420" s="8"/>
      <c r="D2420" s="8"/>
      <c r="E2420" s="16"/>
    </row>
    <row r="2421">
      <c r="A2421" s="8"/>
      <c r="B2421" s="8"/>
      <c r="C2421" s="8"/>
      <c r="D2421" s="8"/>
      <c r="E2421" s="16"/>
    </row>
    <row r="2422">
      <c r="A2422" s="8"/>
      <c r="B2422" s="8"/>
      <c r="C2422" s="8"/>
      <c r="D2422" s="8"/>
      <c r="E2422" s="16"/>
    </row>
    <row r="2423">
      <c r="A2423" s="8"/>
      <c r="B2423" s="8"/>
      <c r="C2423" s="8"/>
      <c r="D2423" s="8"/>
      <c r="E2423" s="16"/>
    </row>
    <row r="2424">
      <c r="A2424" s="8"/>
      <c r="B2424" s="8"/>
      <c r="C2424" s="8"/>
      <c r="D2424" s="8"/>
      <c r="E2424" s="16"/>
    </row>
    <row r="2425">
      <c r="A2425" s="8"/>
      <c r="B2425" s="8"/>
      <c r="C2425" s="8"/>
      <c r="D2425" s="8"/>
      <c r="E2425" s="16"/>
    </row>
    <row r="2426">
      <c r="A2426" s="8"/>
      <c r="B2426" s="8"/>
      <c r="C2426" s="8"/>
      <c r="D2426" s="8"/>
      <c r="E2426" s="16"/>
    </row>
    <row r="2427">
      <c r="A2427" s="8"/>
      <c r="B2427" s="8"/>
      <c r="C2427" s="8"/>
      <c r="D2427" s="8"/>
      <c r="E2427" s="16"/>
    </row>
    <row r="2428">
      <c r="A2428" s="8"/>
      <c r="B2428" s="8"/>
      <c r="C2428" s="8"/>
      <c r="D2428" s="8"/>
      <c r="E2428" s="16"/>
    </row>
    <row r="2429">
      <c r="A2429" s="8"/>
      <c r="B2429" s="8"/>
      <c r="C2429" s="8"/>
      <c r="D2429" s="8"/>
      <c r="E2429" s="16"/>
    </row>
    <row r="2430">
      <c r="A2430" s="8"/>
      <c r="B2430" s="8"/>
      <c r="C2430" s="8"/>
      <c r="D2430" s="8"/>
      <c r="E2430" s="16"/>
    </row>
    <row r="2431">
      <c r="A2431" s="8"/>
      <c r="B2431" s="8"/>
      <c r="C2431" s="8"/>
      <c r="D2431" s="8"/>
      <c r="E2431" s="16"/>
    </row>
    <row r="2432">
      <c r="A2432" s="8"/>
      <c r="B2432" s="8"/>
      <c r="C2432" s="8"/>
      <c r="D2432" s="8"/>
      <c r="E2432" s="16"/>
    </row>
    <row r="2433">
      <c r="A2433" s="8"/>
      <c r="B2433" s="8"/>
      <c r="C2433" s="8"/>
      <c r="D2433" s="8"/>
      <c r="E2433" s="16"/>
    </row>
    <row r="2434">
      <c r="A2434" s="8"/>
      <c r="B2434" s="8"/>
      <c r="C2434" s="8"/>
      <c r="D2434" s="8"/>
      <c r="E2434" s="16"/>
    </row>
    <row r="2435">
      <c r="A2435" s="8"/>
      <c r="B2435" s="8"/>
      <c r="C2435" s="8"/>
      <c r="D2435" s="8"/>
      <c r="E2435" s="16"/>
    </row>
    <row r="2436">
      <c r="A2436" s="8"/>
      <c r="B2436" s="8"/>
      <c r="C2436" s="8"/>
      <c r="D2436" s="8"/>
      <c r="E2436" s="16"/>
    </row>
    <row r="2437">
      <c r="A2437" s="8"/>
      <c r="B2437" s="8"/>
      <c r="C2437" s="8"/>
      <c r="D2437" s="8"/>
      <c r="E2437" s="16"/>
    </row>
    <row r="2438">
      <c r="A2438" s="8"/>
      <c r="B2438" s="8"/>
      <c r="C2438" s="8"/>
      <c r="D2438" s="8"/>
      <c r="E2438" s="16"/>
    </row>
    <row r="2439">
      <c r="A2439" s="8"/>
      <c r="B2439" s="8"/>
      <c r="C2439" s="8"/>
      <c r="D2439" s="8"/>
      <c r="E2439" s="16"/>
    </row>
    <row r="2440">
      <c r="A2440" s="8"/>
      <c r="B2440" s="8"/>
      <c r="C2440" s="8"/>
      <c r="D2440" s="8"/>
      <c r="E2440" s="16"/>
    </row>
    <row r="2441">
      <c r="A2441" s="8"/>
      <c r="B2441" s="8"/>
      <c r="C2441" s="8"/>
      <c r="D2441" s="8"/>
      <c r="E2441" s="16"/>
    </row>
    <row r="2442">
      <c r="A2442" s="8"/>
      <c r="B2442" s="8"/>
      <c r="C2442" s="8"/>
      <c r="D2442" s="8"/>
      <c r="E2442" s="16"/>
    </row>
    <row r="2443">
      <c r="A2443" s="8"/>
      <c r="B2443" s="8"/>
      <c r="C2443" s="8"/>
      <c r="D2443" s="8"/>
      <c r="E2443" s="16"/>
    </row>
    <row r="2444">
      <c r="A2444" s="8"/>
      <c r="B2444" s="8"/>
      <c r="C2444" s="8"/>
      <c r="D2444" s="8"/>
      <c r="E2444" s="16"/>
    </row>
    <row r="2445">
      <c r="A2445" s="8"/>
      <c r="B2445" s="8"/>
      <c r="C2445" s="8"/>
      <c r="D2445" s="8"/>
      <c r="E2445" s="16"/>
    </row>
    <row r="2446">
      <c r="A2446" s="8"/>
      <c r="B2446" s="8"/>
      <c r="C2446" s="8"/>
      <c r="D2446" s="8"/>
      <c r="E2446" s="16"/>
    </row>
    <row r="2447">
      <c r="A2447" s="8"/>
      <c r="B2447" s="8"/>
      <c r="C2447" s="8"/>
      <c r="D2447" s="8"/>
      <c r="E2447" s="16"/>
    </row>
    <row r="2448">
      <c r="A2448" s="8"/>
      <c r="B2448" s="8"/>
      <c r="C2448" s="8"/>
      <c r="D2448" s="8"/>
      <c r="E2448" s="16"/>
    </row>
    <row r="2449">
      <c r="A2449" s="8"/>
      <c r="B2449" s="8"/>
      <c r="C2449" s="8"/>
      <c r="D2449" s="8"/>
      <c r="E2449" s="16"/>
    </row>
    <row r="2450">
      <c r="A2450" s="8"/>
      <c r="B2450" s="8"/>
      <c r="C2450" s="8"/>
      <c r="D2450" s="8"/>
      <c r="E2450" s="16"/>
    </row>
    <row r="2451">
      <c r="A2451" s="8"/>
      <c r="B2451" s="8"/>
      <c r="C2451" s="8"/>
      <c r="D2451" s="8"/>
      <c r="E2451" s="16"/>
    </row>
    <row r="2452">
      <c r="A2452" s="8"/>
      <c r="B2452" s="8"/>
      <c r="C2452" s="8"/>
      <c r="D2452" s="8"/>
      <c r="E2452" s="16"/>
    </row>
    <row r="2453">
      <c r="A2453" s="8"/>
      <c r="B2453" s="8"/>
      <c r="C2453" s="8"/>
      <c r="D2453" s="8"/>
      <c r="E2453" s="16"/>
    </row>
    <row r="2454">
      <c r="A2454" s="8"/>
      <c r="B2454" s="8"/>
      <c r="C2454" s="8"/>
      <c r="D2454" s="8"/>
      <c r="E2454" s="16"/>
    </row>
    <row r="2455">
      <c r="A2455" s="8"/>
      <c r="B2455" s="8"/>
      <c r="C2455" s="8"/>
      <c r="D2455" s="8"/>
      <c r="E2455" s="16"/>
    </row>
    <row r="2456">
      <c r="A2456" s="8"/>
      <c r="B2456" s="8"/>
      <c r="C2456" s="8"/>
      <c r="D2456" s="8"/>
      <c r="E2456" s="16"/>
    </row>
    <row r="2457">
      <c r="A2457" s="8"/>
      <c r="B2457" s="8"/>
      <c r="C2457" s="8"/>
      <c r="D2457" s="8"/>
      <c r="E2457" s="16"/>
    </row>
    <row r="2458">
      <c r="A2458" s="8"/>
      <c r="B2458" s="8"/>
      <c r="C2458" s="8"/>
      <c r="D2458" s="8"/>
      <c r="E2458" s="16"/>
    </row>
    <row r="2459">
      <c r="A2459" s="8"/>
      <c r="B2459" s="8"/>
      <c r="C2459" s="8"/>
      <c r="D2459" s="8"/>
      <c r="E2459" s="16"/>
    </row>
    <row r="2460">
      <c r="A2460" s="8"/>
      <c r="B2460" s="8"/>
      <c r="C2460" s="8"/>
      <c r="D2460" s="8"/>
      <c r="E2460" s="16"/>
    </row>
    <row r="2461">
      <c r="A2461" s="8"/>
      <c r="B2461" s="8"/>
      <c r="C2461" s="8"/>
      <c r="D2461" s="8"/>
      <c r="E2461" s="16"/>
    </row>
    <row r="2462">
      <c r="A2462" s="8"/>
      <c r="B2462" s="8"/>
      <c r="C2462" s="8"/>
      <c r="D2462" s="8"/>
      <c r="E2462" s="16"/>
    </row>
    <row r="2463">
      <c r="A2463" s="8"/>
      <c r="B2463" s="8"/>
      <c r="C2463" s="8"/>
      <c r="D2463" s="8"/>
      <c r="E2463" s="16"/>
    </row>
    <row r="2464">
      <c r="A2464" s="8"/>
      <c r="B2464" s="8"/>
      <c r="C2464" s="8"/>
      <c r="D2464" s="8"/>
      <c r="E2464" s="16"/>
    </row>
    <row r="2465">
      <c r="A2465" s="8"/>
      <c r="B2465" s="8"/>
      <c r="C2465" s="8"/>
      <c r="D2465" s="8"/>
      <c r="E2465" s="16"/>
    </row>
    <row r="2466">
      <c r="A2466" s="8"/>
      <c r="B2466" s="8"/>
      <c r="C2466" s="8"/>
      <c r="D2466" s="8"/>
      <c r="E2466" s="16"/>
    </row>
    <row r="2467">
      <c r="A2467" s="8"/>
      <c r="B2467" s="8"/>
      <c r="C2467" s="8"/>
      <c r="D2467" s="8"/>
      <c r="E2467" s="16"/>
    </row>
    <row r="2468">
      <c r="A2468" s="8"/>
      <c r="B2468" s="8"/>
      <c r="C2468" s="8"/>
      <c r="D2468" s="8"/>
      <c r="E2468" s="16"/>
    </row>
    <row r="2469">
      <c r="A2469" s="8"/>
      <c r="B2469" s="8"/>
      <c r="C2469" s="8"/>
      <c r="D2469" s="8"/>
      <c r="E2469" s="16"/>
    </row>
    <row r="2470">
      <c r="A2470" s="8"/>
      <c r="B2470" s="8"/>
      <c r="C2470" s="8"/>
      <c r="D2470" s="8"/>
      <c r="E2470" s="16"/>
    </row>
    <row r="2471">
      <c r="A2471" s="8"/>
      <c r="B2471" s="8"/>
      <c r="C2471" s="8"/>
      <c r="D2471" s="8"/>
      <c r="E2471" s="16"/>
    </row>
    <row r="2472">
      <c r="A2472" s="8"/>
      <c r="B2472" s="8"/>
      <c r="C2472" s="8"/>
      <c r="D2472" s="8"/>
      <c r="E2472" s="16"/>
    </row>
    <row r="2473">
      <c r="A2473" s="8"/>
      <c r="B2473" s="8"/>
      <c r="C2473" s="8"/>
      <c r="D2473" s="8"/>
      <c r="E2473" s="16"/>
    </row>
    <row r="2474">
      <c r="A2474" s="8"/>
      <c r="B2474" s="8"/>
      <c r="C2474" s="8"/>
      <c r="D2474" s="8"/>
      <c r="E2474" s="16"/>
    </row>
    <row r="2475">
      <c r="A2475" s="8"/>
      <c r="B2475" s="8"/>
      <c r="C2475" s="8"/>
      <c r="D2475" s="8"/>
      <c r="E2475" s="16"/>
    </row>
    <row r="2476">
      <c r="A2476" s="8"/>
      <c r="B2476" s="8"/>
      <c r="C2476" s="8"/>
      <c r="D2476" s="8"/>
      <c r="E2476" s="16"/>
    </row>
    <row r="2477">
      <c r="A2477" s="8"/>
      <c r="B2477" s="8"/>
      <c r="C2477" s="8"/>
      <c r="D2477" s="8"/>
      <c r="E2477" s="16"/>
    </row>
    <row r="2478">
      <c r="A2478" s="8"/>
      <c r="B2478" s="8"/>
      <c r="C2478" s="8"/>
      <c r="D2478" s="8"/>
      <c r="E2478" s="16"/>
    </row>
    <row r="2479">
      <c r="A2479" s="8"/>
      <c r="B2479" s="8"/>
      <c r="C2479" s="8"/>
      <c r="D2479" s="8"/>
      <c r="E2479" s="16"/>
    </row>
    <row r="2480">
      <c r="A2480" s="8"/>
      <c r="B2480" s="8"/>
      <c r="C2480" s="8"/>
      <c r="D2480" s="8"/>
      <c r="E2480" s="16"/>
    </row>
    <row r="2481">
      <c r="A2481" s="8"/>
      <c r="B2481" s="8"/>
      <c r="C2481" s="8"/>
      <c r="D2481" s="8"/>
      <c r="E2481" s="16"/>
    </row>
    <row r="2482">
      <c r="A2482" s="8"/>
      <c r="B2482" s="8"/>
      <c r="C2482" s="8"/>
      <c r="D2482" s="8"/>
      <c r="E2482" s="16"/>
    </row>
    <row r="2483">
      <c r="A2483" s="8"/>
      <c r="B2483" s="8"/>
      <c r="C2483" s="8"/>
      <c r="D2483" s="8"/>
      <c r="E2483" s="16"/>
    </row>
    <row r="2484">
      <c r="A2484" s="8"/>
      <c r="B2484" s="8"/>
      <c r="C2484" s="8"/>
      <c r="D2484" s="8"/>
      <c r="E2484" s="16"/>
    </row>
    <row r="2485">
      <c r="A2485" s="8"/>
      <c r="B2485" s="8"/>
      <c r="C2485" s="8"/>
      <c r="D2485" s="8"/>
      <c r="E2485" s="16"/>
    </row>
    <row r="2486">
      <c r="A2486" s="8"/>
      <c r="B2486" s="8"/>
      <c r="C2486" s="8"/>
      <c r="D2486" s="8"/>
      <c r="E2486" s="16"/>
    </row>
    <row r="2487">
      <c r="A2487" s="8"/>
      <c r="B2487" s="8"/>
      <c r="C2487" s="8"/>
      <c r="D2487" s="8"/>
      <c r="E2487" s="16"/>
    </row>
    <row r="2488">
      <c r="A2488" s="8"/>
      <c r="B2488" s="8"/>
      <c r="C2488" s="8"/>
      <c r="D2488" s="8"/>
      <c r="E2488" s="16"/>
    </row>
    <row r="2489">
      <c r="A2489" s="8"/>
      <c r="B2489" s="8"/>
      <c r="C2489" s="8"/>
      <c r="D2489" s="8"/>
      <c r="E2489" s="16"/>
    </row>
    <row r="2490">
      <c r="A2490" s="8"/>
      <c r="B2490" s="8"/>
      <c r="C2490" s="8"/>
      <c r="D2490" s="8"/>
      <c r="E2490" s="16"/>
    </row>
    <row r="2491">
      <c r="A2491" s="8"/>
      <c r="B2491" s="8"/>
      <c r="C2491" s="8"/>
      <c r="D2491" s="8"/>
      <c r="E2491" s="16"/>
    </row>
    <row r="2492">
      <c r="A2492" s="8"/>
      <c r="B2492" s="8"/>
      <c r="C2492" s="8"/>
      <c r="D2492" s="8"/>
      <c r="E2492" s="16"/>
    </row>
    <row r="2493">
      <c r="A2493" s="8"/>
      <c r="B2493" s="8"/>
      <c r="C2493" s="8"/>
      <c r="D2493" s="8"/>
      <c r="E2493" s="16"/>
    </row>
    <row r="2494">
      <c r="A2494" s="8"/>
      <c r="B2494" s="8"/>
      <c r="C2494" s="8"/>
      <c r="D2494" s="8"/>
      <c r="E2494" s="16"/>
    </row>
    <row r="2495">
      <c r="A2495" s="8"/>
      <c r="B2495" s="8"/>
      <c r="C2495" s="8"/>
      <c r="D2495" s="8"/>
      <c r="E2495" s="16"/>
    </row>
    <row r="2496">
      <c r="A2496" s="8"/>
      <c r="B2496" s="8"/>
      <c r="C2496" s="8"/>
      <c r="D2496" s="8"/>
      <c r="E2496" s="16"/>
    </row>
    <row r="2497">
      <c r="A2497" s="8"/>
      <c r="B2497" s="8"/>
      <c r="C2497" s="8"/>
      <c r="D2497" s="8"/>
      <c r="E2497" s="16"/>
    </row>
    <row r="2498">
      <c r="A2498" s="8"/>
      <c r="B2498" s="8"/>
      <c r="C2498" s="8"/>
      <c r="D2498" s="8"/>
      <c r="E2498" s="16"/>
    </row>
    <row r="2499">
      <c r="A2499" s="8"/>
      <c r="B2499" s="8"/>
      <c r="C2499" s="8"/>
      <c r="D2499" s="8"/>
      <c r="E2499" s="16"/>
    </row>
    <row r="2500">
      <c r="A2500" s="8"/>
      <c r="B2500" s="8"/>
      <c r="C2500" s="8"/>
      <c r="D2500" s="8"/>
      <c r="E2500" s="16"/>
    </row>
    <row r="2501">
      <c r="A2501" s="8"/>
      <c r="B2501" s="8"/>
      <c r="C2501" s="8"/>
      <c r="D2501" s="8"/>
      <c r="E2501" s="16"/>
    </row>
    <row r="2502">
      <c r="A2502" s="8"/>
      <c r="B2502" s="8"/>
      <c r="C2502" s="8"/>
      <c r="D2502" s="8"/>
      <c r="E2502" s="16"/>
    </row>
    <row r="2503">
      <c r="A2503" s="8"/>
      <c r="B2503" s="8"/>
      <c r="C2503" s="8"/>
      <c r="D2503" s="8"/>
      <c r="E2503" s="16"/>
    </row>
    <row r="2504">
      <c r="A2504" s="8"/>
      <c r="B2504" s="8"/>
      <c r="C2504" s="8"/>
      <c r="D2504" s="8"/>
      <c r="E2504" s="16"/>
    </row>
    <row r="2505">
      <c r="A2505" s="8"/>
      <c r="B2505" s="8"/>
      <c r="C2505" s="8"/>
      <c r="D2505" s="8"/>
      <c r="E2505" s="16"/>
    </row>
    <row r="2506">
      <c r="A2506" s="8"/>
      <c r="B2506" s="8"/>
      <c r="C2506" s="8"/>
      <c r="D2506" s="8"/>
      <c r="E2506" s="16"/>
    </row>
    <row r="2507">
      <c r="A2507" s="8"/>
      <c r="B2507" s="8"/>
      <c r="C2507" s="8"/>
      <c r="D2507" s="8"/>
      <c r="E2507" s="16"/>
    </row>
    <row r="2508">
      <c r="A2508" s="8"/>
      <c r="B2508" s="8"/>
      <c r="C2508" s="8"/>
      <c r="D2508" s="8"/>
      <c r="E2508" s="16"/>
    </row>
    <row r="2509">
      <c r="A2509" s="8"/>
      <c r="B2509" s="8"/>
      <c r="C2509" s="8"/>
      <c r="D2509" s="8"/>
      <c r="E2509" s="16"/>
    </row>
    <row r="2510">
      <c r="A2510" s="8"/>
      <c r="B2510" s="8"/>
      <c r="C2510" s="8"/>
      <c r="D2510" s="8"/>
      <c r="E2510" s="16"/>
    </row>
    <row r="2511">
      <c r="A2511" s="8"/>
      <c r="B2511" s="8"/>
      <c r="C2511" s="8"/>
      <c r="D2511" s="8"/>
      <c r="E2511" s="16"/>
    </row>
    <row r="2512">
      <c r="A2512" s="8"/>
      <c r="B2512" s="8"/>
      <c r="C2512" s="8"/>
      <c r="D2512" s="8"/>
      <c r="E2512" s="16"/>
    </row>
    <row r="2513">
      <c r="A2513" s="8"/>
      <c r="B2513" s="8"/>
      <c r="C2513" s="8"/>
      <c r="D2513" s="8"/>
      <c r="E2513" s="16"/>
    </row>
    <row r="2514">
      <c r="A2514" s="8"/>
      <c r="B2514" s="8"/>
      <c r="C2514" s="8"/>
      <c r="D2514" s="8"/>
      <c r="E2514" s="16"/>
    </row>
    <row r="2515">
      <c r="A2515" s="8"/>
      <c r="B2515" s="8"/>
      <c r="C2515" s="8"/>
      <c r="D2515" s="8"/>
      <c r="E2515" s="16"/>
    </row>
    <row r="2516">
      <c r="A2516" s="8"/>
      <c r="B2516" s="8"/>
      <c r="C2516" s="8"/>
      <c r="D2516" s="8"/>
      <c r="E2516" s="16"/>
    </row>
    <row r="2517">
      <c r="A2517" s="8"/>
      <c r="B2517" s="8"/>
      <c r="C2517" s="8"/>
      <c r="D2517" s="8"/>
      <c r="E2517" s="16"/>
    </row>
    <row r="2518">
      <c r="A2518" s="8"/>
      <c r="B2518" s="8"/>
      <c r="C2518" s="8"/>
      <c r="D2518" s="8"/>
      <c r="E2518" s="16"/>
    </row>
    <row r="2519">
      <c r="A2519" s="8"/>
      <c r="B2519" s="8"/>
      <c r="C2519" s="8"/>
      <c r="D2519" s="8"/>
      <c r="E2519" s="16"/>
    </row>
    <row r="2520">
      <c r="A2520" s="8"/>
      <c r="B2520" s="8"/>
      <c r="C2520" s="8"/>
      <c r="D2520" s="8"/>
      <c r="E2520" s="16"/>
    </row>
    <row r="2521">
      <c r="A2521" s="8"/>
      <c r="B2521" s="8"/>
      <c r="C2521" s="8"/>
      <c r="D2521" s="8"/>
      <c r="E2521" s="16"/>
    </row>
    <row r="2522">
      <c r="A2522" s="8"/>
      <c r="B2522" s="8"/>
      <c r="C2522" s="8"/>
      <c r="D2522" s="8"/>
      <c r="E2522" s="16"/>
    </row>
    <row r="2523">
      <c r="A2523" s="8"/>
      <c r="B2523" s="8"/>
      <c r="C2523" s="8"/>
      <c r="D2523" s="8"/>
      <c r="E2523" s="16"/>
    </row>
    <row r="2524">
      <c r="A2524" s="8"/>
      <c r="B2524" s="8"/>
      <c r="C2524" s="8"/>
      <c r="D2524" s="8"/>
      <c r="E2524" s="16"/>
    </row>
    <row r="2525">
      <c r="A2525" s="8"/>
      <c r="B2525" s="8"/>
      <c r="C2525" s="8"/>
      <c r="D2525" s="8"/>
      <c r="E2525" s="16"/>
    </row>
    <row r="2526">
      <c r="A2526" s="8"/>
      <c r="B2526" s="8"/>
      <c r="C2526" s="8"/>
      <c r="D2526" s="8"/>
      <c r="E2526" s="16"/>
    </row>
    <row r="2527">
      <c r="A2527" s="8"/>
      <c r="B2527" s="8"/>
      <c r="C2527" s="8"/>
      <c r="D2527" s="8"/>
      <c r="E2527" s="16"/>
    </row>
    <row r="2528">
      <c r="A2528" s="8"/>
      <c r="B2528" s="8"/>
      <c r="C2528" s="8"/>
      <c r="D2528" s="8"/>
      <c r="E2528" s="16"/>
    </row>
    <row r="2529">
      <c r="A2529" s="8"/>
      <c r="B2529" s="8"/>
      <c r="C2529" s="8"/>
      <c r="D2529" s="8"/>
      <c r="E2529" s="16"/>
    </row>
    <row r="2530">
      <c r="A2530" s="8"/>
      <c r="B2530" s="8"/>
      <c r="C2530" s="8"/>
      <c r="D2530" s="8"/>
      <c r="E2530" s="16"/>
    </row>
    <row r="2531">
      <c r="A2531" s="8"/>
      <c r="B2531" s="8"/>
      <c r="C2531" s="8"/>
      <c r="D2531" s="8"/>
      <c r="E2531" s="16"/>
    </row>
    <row r="2532">
      <c r="A2532" s="8"/>
      <c r="B2532" s="8"/>
      <c r="C2532" s="8"/>
      <c r="D2532" s="8"/>
      <c r="E2532" s="16"/>
    </row>
    <row r="2533">
      <c r="A2533" s="8"/>
      <c r="B2533" s="8"/>
      <c r="C2533" s="8"/>
      <c r="D2533" s="8"/>
      <c r="E2533" s="16"/>
    </row>
    <row r="2534">
      <c r="A2534" s="8"/>
      <c r="B2534" s="8"/>
      <c r="C2534" s="8"/>
      <c r="D2534" s="8"/>
      <c r="E2534" s="16"/>
    </row>
    <row r="2535">
      <c r="A2535" s="8"/>
      <c r="B2535" s="8"/>
      <c r="C2535" s="8"/>
      <c r="D2535" s="8"/>
      <c r="E2535" s="16"/>
    </row>
    <row r="2536">
      <c r="A2536" s="8"/>
      <c r="B2536" s="8"/>
      <c r="C2536" s="8"/>
      <c r="D2536" s="8"/>
      <c r="E2536" s="16"/>
    </row>
    <row r="2537">
      <c r="A2537" s="8"/>
      <c r="B2537" s="8"/>
      <c r="C2537" s="8"/>
      <c r="D2537" s="8"/>
      <c r="E2537" s="16"/>
    </row>
    <row r="2538">
      <c r="A2538" s="8"/>
      <c r="B2538" s="8"/>
      <c r="C2538" s="8"/>
      <c r="D2538" s="8"/>
      <c r="E2538" s="16"/>
    </row>
    <row r="2539">
      <c r="A2539" s="8"/>
      <c r="B2539" s="8"/>
      <c r="C2539" s="8"/>
      <c r="D2539" s="8"/>
      <c r="E2539" s="16"/>
    </row>
    <row r="2540">
      <c r="A2540" s="8"/>
      <c r="B2540" s="8"/>
      <c r="C2540" s="8"/>
      <c r="D2540" s="8"/>
      <c r="E2540" s="16"/>
    </row>
    <row r="2541">
      <c r="A2541" s="8"/>
      <c r="B2541" s="8"/>
      <c r="C2541" s="8"/>
      <c r="D2541" s="8"/>
      <c r="E2541" s="16"/>
    </row>
    <row r="2542">
      <c r="A2542" s="8"/>
      <c r="B2542" s="8"/>
      <c r="C2542" s="8"/>
      <c r="D2542" s="8"/>
      <c r="E2542" s="16"/>
    </row>
    <row r="2543">
      <c r="A2543" s="8"/>
      <c r="B2543" s="8"/>
      <c r="C2543" s="8"/>
      <c r="D2543" s="8"/>
      <c r="E2543" s="16"/>
    </row>
    <row r="2544">
      <c r="A2544" s="8"/>
      <c r="B2544" s="8"/>
      <c r="C2544" s="8"/>
      <c r="D2544" s="8"/>
      <c r="E2544" s="16"/>
    </row>
    <row r="2545">
      <c r="A2545" s="8"/>
      <c r="B2545" s="8"/>
      <c r="C2545" s="8"/>
      <c r="D2545" s="8"/>
      <c r="E2545" s="16"/>
    </row>
    <row r="2546">
      <c r="A2546" s="8"/>
      <c r="B2546" s="8"/>
      <c r="C2546" s="8"/>
      <c r="D2546" s="8"/>
      <c r="E2546" s="16"/>
    </row>
    <row r="2547">
      <c r="A2547" s="8"/>
      <c r="B2547" s="8"/>
      <c r="C2547" s="8"/>
      <c r="D2547" s="8"/>
      <c r="E2547" s="16"/>
    </row>
    <row r="2548">
      <c r="A2548" s="8"/>
      <c r="B2548" s="8"/>
      <c r="C2548" s="8"/>
      <c r="D2548" s="8"/>
      <c r="E2548" s="16"/>
    </row>
    <row r="2549">
      <c r="A2549" s="8"/>
      <c r="B2549" s="8"/>
      <c r="C2549" s="8"/>
      <c r="D2549" s="8"/>
      <c r="E2549" s="16"/>
    </row>
    <row r="2550">
      <c r="A2550" s="8"/>
      <c r="B2550" s="8"/>
      <c r="C2550" s="8"/>
      <c r="D2550" s="8"/>
      <c r="E2550" s="16"/>
    </row>
    <row r="2551">
      <c r="A2551" s="8"/>
      <c r="B2551" s="8"/>
      <c r="C2551" s="8"/>
      <c r="D2551" s="8"/>
      <c r="E2551" s="16"/>
    </row>
    <row r="2552">
      <c r="A2552" s="8"/>
      <c r="B2552" s="8"/>
      <c r="C2552" s="8"/>
      <c r="D2552" s="8"/>
      <c r="E2552" s="16"/>
    </row>
    <row r="2553">
      <c r="A2553" s="8"/>
      <c r="B2553" s="8"/>
      <c r="C2553" s="8"/>
      <c r="D2553" s="8"/>
      <c r="E2553" s="16"/>
    </row>
    <row r="2554">
      <c r="A2554" s="8"/>
      <c r="B2554" s="8"/>
      <c r="C2554" s="8"/>
      <c r="D2554" s="8"/>
      <c r="E2554" s="16"/>
    </row>
    <row r="2555">
      <c r="A2555" s="8"/>
      <c r="B2555" s="8"/>
      <c r="C2555" s="8"/>
      <c r="D2555" s="8"/>
      <c r="E2555" s="16"/>
    </row>
    <row r="2556">
      <c r="A2556" s="8"/>
      <c r="B2556" s="8"/>
      <c r="C2556" s="8"/>
      <c r="D2556" s="8"/>
      <c r="E2556" s="16"/>
    </row>
    <row r="2557">
      <c r="A2557" s="8"/>
      <c r="B2557" s="8"/>
      <c r="C2557" s="8"/>
      <c r="D2557" s="8"/>
      <c r="E2557" s="16"/>
    </row>
    <row r="2558">
      <c r="A2558" s="8"/>
      <c r="B2558" s="8"/>
      <c r="C2558" s="8"/>
      <c r="D2558" s="8"/>
      <c r="E2558" s="16"/>
    </row>
    <row r="2559">
      <c r="A2559" s="8"/>
      <c r="B2559" s="8"/>
      <c r="C2559" s="8"/>
      <c r="D2559" s="8"/>
      <c r="E2559" s="16"/>
    </row>
    <row r="2560">
      <c r="A2560" s="8"/>
      <c r="B2560" s="8"/>
      <c r="C2560" s="8"/>
      <c r="D2560" s="8"/>
      <c r="E2560" s="16"/>
    </row>
    <row r="2561">
      <c r="A2561" s="8"/>
      <c r="B2561" s="8"/>
      <c r="C2561" s="8"/>
      <c r="D2561" s="8"/>
      <c r="E2561" s="16"/>
    </row>
    <row r="2562">
      <c r="A2562" s="8"/>
      <c r="B2562" s="8"/>
      <c r="C2562" s="8"/>
      <c r="D2562" s="8"/>
      <c r="E2562" s="16"/>
    </row>
    <row r="2563">
      <c r="A2563" s="8"/>
      <c r="B2563" s="8"/>
      <c r="C2563" s="8"/>
      <c r="D2563" s="8"/>
      <c r="E2563" s="16"/>
    </row>
    <row r="2564">
      <c r="A2564" s="8"/>
      <c r="B2564" s="8"/>
      <c r="C2564" s="8"/>
      <c r="D2564" s="8"/>
      <c r="E2564" s="16"/>
    </row>
    <row r="2565">
      <c r="A2565" s="8"/>
      <c r="B2565" s="8"/>
      <c r="C2565" s="8"/>
      <c r="D2565" s="8"/>
      <c r="E2565" s="16"/>
    </row>
    <row r="2566">
      <c r="A2566" s="8"/>
      <c r="B2566" s="8"/>
      <c r="C2566" s="8"/>
      <c r="D2566" s="8"/>
      <c r="E2566" s="16"/>
    </row>
    <row r="2567">
      <c r="A2567" s="8"/>
      <c r="B2567" s="8"/>
      <c r="C2567" s="8"/>
      <c r="D2567" s="8"/>
      <c r="E2567" s="16"/>
    </row>
    <row r="2568">
      <c r="A2568" s="8"/>
      <c r="B2568" s="8"/>
      <c r="C2568" s="8"/>
      <c r="D2568" s="8"/>
      <c r="E2568" s="16"/>
    </row>
    <row r="2569">
      <c r="A2569" s="8"/>
      <c r="B2569" s="8"/>
      <c r="C2569" s="8"/>
      <c r="D2569" s="8"/>
      <c r="E2569" s="16"/>
    </row>
    <row r="2570">
      <c r="A2570" s="8"/>
      <c r="B2570" s="8"/>
      <c r="C2570" s="8"/>
      <c r="D2570" s="8"/>
      <c r="E2570" s="16"/>
    </row>
    <row r="2571">
      <c r="A2571" s="8"/>
      <c r="B2571" s="8"/>
      <c r="C2571" s="8"/>
      <c r="D2571" s="8"/>
      <c r="E2571" s="16"/>
    </row>
    <row r="2572">
      <c r="A2572" s="8"/>
      <c r="B2572" s="8"/>
      <c r="C2572" s="8"/>
      <c r="D2572" s="8"/>
      <c r="E2572" s="16"/>
    </row>
    <row r="2573">
      <c r="A2573" s="8"/>
      <c r="B2573" s="8"/>
      <c r="C2573" s="8"/>
      <c r="D2573" s="8"/>
      <c r="E2573" s="16"/>
    </row>
    <row r="2574">
      <c r="A2574" s="8"/>
      <c r="B2574" s="8"/>
      <c r="C2574" s="8"/>
      <c r="D2574" s="8"/>
      <c r="E2574" s="16"/>
    </row>
    <row r="2575">
      <c r="A2575" s="8"/>
      <c r="B2575" s="8"/>
      <c r="C2575" s="8"/>
      <c r="D2575" s="8"/>
      <c r="E2575" s="16"/>
    </row>
    <row r="2576">
      <c r="A2576" s="8"/>
      <c r="B2576" s="8"/>
      <c r="C2576" s="8"/>
      <c r="D2576" s="8"/>
      <c r="E2576" s="16"/>
    </row>
    <row r="2577">
      <c r="A2577" s="8"/>
      <c r="B2577" s="8"/>
      <c r="C2577" s="8"/>
      <c r="D2577" s="8"/>
      <c r="E2577" s="16"/>
    </row>
    <row r="2578">
      <c r="A2578" s="8"/>
      <c r="B2578" s="8"/>
      <c r="C2578" s="8"/>
      <c r="D2578" s="8"/>
      <c r="E2578" s="16"/>
    </row>
    <row r="2579">
      <c r="A2579" s="8"/>
      <c r="B2579" s="8"/>
      <c r="C2579" s="8"/>
      <c r="D2579" s="8"/>
      <c r="E2579" s="16"/>
    </row>
    <row r="2580">
      <c r="A2580" s="8"/>
      <c r="B2580" s="8"/>
      <c r="C2580" s="8"/>
      <c r="D2580" s="8"/>
      <c r="E2580" s="16"/>
    </row>
    <row r="2581">
      <c r="A2581" s="8"/>
      <c r="B2581" s="8"/>
      <c r="C2581" s="8"/>
      <c r="D2581" s="8"/>
      <c r="E2581" s="16"/>
    </row>
    <row r="2582">
      <c r="A2582" s="8"/>
      <c r="B2582" s="8"/>
      <c r="C2582" s="8"/>
      <c r="D2582" s="8"/>
      <c r="E2582" s="16"/>
    </row>
    <row r="2583">
      <c r="A2583" s="8"/>
      <c r="B2583" s="8"/>
      <c r="C2583" s="8"/>
      <c r="D2583" s="8"/>
      <c r="E2583" s="16"/>
    </row>
    <row r="2584">
      <c r="A2584" s="8"/>
      <c r="B2584" s="8"/>
      <c r="C2584" s="8"/>
      <c r="D2584" s="8"/>
      <c r="E2584" s="16"/>
    </row>
    <row r="2585">
      <c r="A2585" s="8"/>
      <c r="B2585" s="8"/>
      <c r="C2585" s="8"/>
      <c r="D2585" s="8"/>
      <c r="E2585" s="16"/>
    </row>
    <row r="2586">
      <c r="A2586" s="8"/>
      <c r="B2586" s="8"/>
      <c r="C2586" s="8"/>
      <c r="D2586" s="8"/>
      <c r="E2586" s="16"/>
    </row>
    <row r="2587">
      <c r="A2587" s="8"/>
      <c r="B2587" s="8"/>
      <c r="C2587" s="8"/>
      <c r="D2587" s="8"/>
      <c r="E2587" s="16"/>
    </row>
    <row r="2588">
      <c r="A2588" s="8"/>
      <c r="B2588" s="8"/>
      <c r="C2588" s="8"/>
      <c r="D2588" s="8"/>
      <c r="E2588" s="16"/>
    </row>
    <row r="2589">
      <c r="A2589" s="8"/>
      <c r="B2589" s="8"/>
      <c r="C2589" s="8"/>
      <c r="D2589" s="8"/>
      <c r="E2589" s="16"/>
    </row>
    <row r="2590">
      <c r="A2590" s="8"/>
      <c r="B2590" s="8"/>
      <c r="C2590" s="8"/>
      <c r="D2590" s="8"/>
      <c r="E2590" s="16"/>
    </row>
    <row r="2591">
      <c r="A2591" s="8"/>
      <c r="B2591" s="8"/>
      <c r="C2591" s="8"/>
      <c r="D2591" s="8"/>
      <c r="E2591" s="16"/>
    </row>
    <row r="2592">
      <c r="A2592" s="8"/>
      <c r="B2592" s="8"/>
      <c r="C2592" s="8"/>
      <c r="D2592" s="8"/>
      <c r="E2592" s="16"/>
    </row>
    <row r="2593">
      <c r="A2593" s="8"/>
      <c r="B2593" s="8"/>
      <c r="C2593" s="8"/>
      <c r="D2593" s="8"/>
      <c r="E2593" s="16"/>
    </row>
    <row r="2594">
      <c r="A2594" s="8"/>
      <c r="B2594" s="8"/>
      <c r="C2594" s="8"/>
      <c r="D2594" s="8"/>
      <c r="E2594" s="16"/>
    </row>
    <row r="2595">
      <c r="A2595" s="8"/>
      <c r="B2595" s="8"/>
      <c r="C2595" s="8"/>
      <c r="D2595" s="8"/>
      <c r="E2595" s="16"/>
    </row>
    <row r="2596">
      <c r="A2596" s="8"/>
      <c r="B2596" s="8"/>
      <c r="C2596" s="8"/>
      <c r="D2596" s="8"/>
      <c r="E2596" s="16"/>
    </row>
    <row r="2597">
      <c r="A2597" s="8"/>
      <c r="B2597" s="8"/>
      <c r="C2597" s="8"/>
      <c r="D2597" s="8"/>
      <c r="E2597" s="16"/>
    </row>
    <row r="2598">
      <c r="A2598" s="8"/>
      <c r="B2598" s="8"/>
      <c r="C2598" s="8"/>
      <c r="D2598" s="8"/>
      <c r="E2598" s="16"/>
    </row>
    <row r="2599">
      <c r="A2599" s="8"/>
      <c r="B2599" s="8"/>
      <c r="C2599" s="8"/>
      <c r="D2599" s="8"/>
      <c r="E2599" s="16"/>
    </row>
    <row r="2600">
      <c r="A2600" s="8"/>
      <c r="B2600" s="8"/>
      <c r="C2600" s="8"/>
      <c r="D2600" s="8"/>
      <c r="E2600" s="16"/>
    </row>
    <row r="2601">
      <c r="A2601" s="8"/>
      <c r="B2601" s="8"/>
      <c r="C2601" s="8"/>
      <c r="D2601" s="8"/>
      <c r="E2601" s="16"/>
    </row>
    <row r="2602">
      <c r="A2602" s="8"/>
      <c r="B2602" s="8"/>
      <c r="C2602" s="8"/>
      <c r="D2602" s="8"/>
      <c r="E2602" s="16"/>
    </row>
    <row r="2603">
      <c r="A2603" s="8"/>
      <c r="B2603" s="8"/>
      <c r="C2603" s="8"/>
      <c r="D2603" s="8"/>
      <c r="E2603" s="16"/>
    </row>
    <row r="2604">
      <c r="A2604" s="8"/>
      <c r="B2604" s="8"/>
      <c r="C2604" s="8"/>
      <c r="D2604" s="8"/>
      <c r="E2604" s="16"/>
    </row>
    <row r="2605">
      <c r="A2605" s="8"/>
      <c r="B2605" s="8"/>
      <c r="C2605" s="8"/>
      <c r="D2605" s="8"/>
      <c r="E2605" s="16"/>
    </row>
    <row r="2606">
      <c r="A2606" s="8"/>
      <c r="B2606" s="8"/>
      <c r="C2606" s="8"/>
      <c r="D2606" s="8"/>
      <c r="E2606" s="16"/>
    </row>
    <row r="2607">
      <c r="A2607" s="8"/>
      <c r="B2607" s="8"/>
      <c r="C2607" s="8"/>
      <c r="D2607" s="8"/>
      <c r="E2607" s="16"/>
    </row>
    <row r="2608">
      <c r="A2608" s="8"/>
      <c r="B2608" s="8"/>
      <c r="C2608" s="8"/>
      <c r="D2608" s="8"/>
      <c r="E2608" s="16"/>
    </row>
    <row r="2609">
      <c r="A2609" s="8"/>
      <c r="B2609" s="8"/>
      <c r="C2609" s="8"/>
      <c r="D2609" s="8"/>
      <c r="E2609" s="16"/>
    </row>
    <row r="2610">
      <c r="A2610" s="8"/>
      <c r="B2610" s="8"/>
      <c r="C2610" s="8"/>
      <c r="D2610" s="8"/>
      <c r="E2610" s="16"/>
    </row>
    <row r="2611">
      <c r="A2611" s="8"/>
      <c r="B2611" s="8"/>
      <c r="C2611" s="8"/>
      <c r="D2611" s="8"/>
      <c r="E2611" s="16"/>
    </row>
    <row r="2612">
      <c r="A2612" s="8"/>
      <c r="B2612" s="8"/>
      <c r="C2612" s="8"/>
      <c r="D2612" s="8"/>
      <c r="E2612" s="16"/>
    </row>
    <row r="2613">
      <c r="A2613" s="8"/>
      <c r="B2613" s="8"/>
      <c r="C2613" s="8"/>
      <c r="D2613" s="8"/>
      <c r="E2613" s="16"/>
    </row>
    <row r="2614">
      <c r="A2614" s="8"/>
      <c r="B2614" s="8"/>
      <c r="C2614" s="8"/>
      <c r="D2614" s="8"/>
      <c r="E2614" s="16"/>
    </row>
    <row r="2615">
      <c r="A2615" s="8"/>
      <c r="B2615" s="8"/>
      <c r="C2615" s="8"/>
      <c r="D2615" s="8"/>
      <c r="E2615" s="16"/>
    </row>
    <row r="2616">
      <c r="A2616" s="8"/>
      <c r="B2616" s="8"/>
      <c r="C2616" s="8"/>
      <c r="D2616" s="8"/>
      <c r="E2616" s="16"/>
    </row>
    <row r="2617">
      <c r="A2617" s="8"/>
      <c r="B2617" s="8"/>
      <c r="C2617" s="8"/>
      <c r="D2617" s="8"/>
      <c r="E2617" s="16"/>
    </row>
    <row r="2618">
      <c r="A2618" s="8"/>
      <c r="B2618" s="8"/>
      <c r="C2618" s="8"/>
      <c r="D2618" s="8"/>
      <c r="E2618" s="16"/>
    </row>
    <row r="2619">
      <c r="A2619" s="8"/>
      <c r="B2619" s="8"/>
      <c r="C2619" s="8"/>
      <c r="D2619" s="8"/>
      <c r="E2619" s="16"/>
    </row>
    <row r="2620">
      <c r="A2620" s="8"/>
      <c r="B2620" s="8"/>
      <c r="C2620" s="8"/>
      <c r="D2620" s="8"/>
      <c r="E2620" s="16"/>
    </row>
    <row r="2621">
      <c r="A2621" s="8"/>
      <c r="B2621" s="8"/>
      <c r="C2621" s="8"/>
      <c r="D2621" s="8"/>
      <c r="E2621" s="16"/>
    </row>
    <row r="2622">
      <c r="A2622" s="8"/>
      <c r="B2622" s="8"/>
      <c r="C2622" s="8"/>
      <c r="D2622" s="8"/>
      <c r="E2622" s="16"/>
    </row>
    <row r="2623">
      <c r="A2623" s="8"/>
      <c r="B2623" s="8"/>
      <c r="C2623" s="8"/>
      <c r="D2623" s="8"/>
      <c r="E2623" s="16"/>
    </row>
    <row r="2624">
      <c r="A2624" s="8"/>
      <c r="B2624" s="8"/>
      <c r="C2624" s="8"/>
      <c r="D2624" s="8"/>
      <c r="E2624" s="16"/>
    </row>
    <row r="2625">
      <c r="A2625" s="8"/>
      <c r="B2625" s="8"/>
      <c r="C2625" s="8"/>
      <c r="D2625" s="8"/>
      <c r="E2625" s="16"/>
    </row>
    <row r="2626">
      <c r="A2626" s="8"/>
      <c r="B2626" s="8"/>
      <c r="C2626" s="8"/>
      <c r="D2626" s="8"/>
      <c r="E2626" s="16"/>
    </row>
    <row r="2627">
      <c r="A2627" s="8"/>
      <c r="B2627" s="8"/>
      <c r="C2627" s="8"/>
      <c r="D2627" s="8"/>
      <c r="E2627" s="16"/>
    </row>
    <row r="2628">
      <c r="A2628" s="8"/>
      <c r="B2628" s="8"/>
      <c r="C2628" s="8"/>
      <c r="D2628" s="8"/>
      <c r="E2628" s="16"/>
    </row>
    <row r="2629">
      <c r="A2629" s="8"/>
      <c r="B2629" s="8"/>
      <c r="C2629" s="8"/>
      <c r="D2629" s="8"/>
      <c r="E2629" s="16"/>
    </row>
    <row r="2630">
      <c r="A2630" s="8"/>
      <c r="B2630" s="8"/>
      <c r="C2630" s="8"/>
      <c r="D2630" s="8"/>
      <c r="E2630" s="16"/>
    </row>
    <row r="2631">
      <c r="A2631" s="8"/>
      <c r="B2631" s="8"/>
      <c r="C2631" s="8"/>
      <c r="D2631" s="8"/>
      <c r="E2631" s="16"/>
    </row>
    <row r="2632">
      <c r="A2632" s="8"/>
      <c r="B2632" s="8"/>
      <c r="C2632" s="8"/>
      <c r="D2632" s="8"/>
      <c r="E2632" s="16"/>
    </row>
    <row r="2633">
      <c r="A2633" s="8"/>
      <c r="B2633" s="8"/>
      <c r="C2633" s="8"/>
      <c r="D2633" s="8"/>
      <c r="E2633" s="16"/>
    </row>
    <row r="2634">
      <c r="A2634" s="8"/>
      <c r="B2634" s="8"/>
      <c r="C2634" s="8"/>
      <c r="D2634" s="8"/>
      <c r="E2634" s="16"/>
    </row>
    <row r="2635">
      <c r="A2635" s="8"/>
      <c r="B2635" s="8"/>
      <c r="C2635" s="8"/>
      <c r="D2635" s="8"/>
      <c r="E2635" s="16"/>
    </row>
    <row r="2636">
      <c r="A2636" s="8"/>
      <c r="B2636" s="8"/>
      <c r="C2636" s="8"/>
      <c r="D2636" s="8"/>
      <c r="E2636" s="16"/>
    </row>
    <row r="2637">
      <c r="A2637" s="8"/>
      <c r="B2637" s="8"/>
      <c r="C2637" s="8"/>
      <c r="D2637" s="8"/>
      <c r="E2637" s="16"/>
    </row>
    <row r="2638">
      <c r="A2638" s="8"/>
      <c r="B2638" s="8"/>
      <c r="C2638" s="8"/>
      <c r="D2638" s="8"/>
      <c r="E2638" s="16"/>
    </row>
    <row r="2639">
      <c r="A2639" s="8"/>
      <c r="B2639" s="8"/>
      <c r="C2639" s="8"/>
      <c r="D2639" s="8"/>
      <c r="E2639" s="16"/>
    </row>
    <row r="2640">
      <c r="A2640" s="8"/>
      <c r="B2640" s="8"/>
      <c r="C2640" s="8"/>
      <c r="D2640" s="8"/>
      <c r="E2640" s="16"/>
    </row>
    <row r="2641">
      <c r="A2641" s="8"/>
      <c r="B2641" s="8"/>
      <c r="C2641" s="8"/>
      <c r="D2641" s="8"/>
      <c r="E2641" s="16"/>
    </row>
    <row r="2642">
      <c r="A2642" s="8"/>
      <c r="B2642" s="8"/>
      <c r="C2642" s="8"/>
      <c r="D2642" s="8"/>
      <c r="E2642" s="16"/>
    </row>
    <row r="2643">
      <c r="A2643" s="8"/>
      <c r="B2643" s="8"/>
      <c r="C2643" s="8"/>
      <c r="D2643" s="8"/>
      <c r="E2643" s="16"/>
    </row>
    <row r="2644">
      <c r="A2644" s="8"/>
      <c r="B2644" s="8"/>
      <c r="C2644" s="8"/>
      <c r="D2644" s="8"/>
      <c r="E2644" s="16"/>
    </row>
    <row r="2645">
      <c r="A2645" s="8"/>
      <c r="B2645" s="8"/>
      <c r="C2645" s="8"/>
      <c r="D2645" s="8"/>
      <c r="E2645" s="16"/>
    </row>
    <row r="2646">
      <c r="A2646" s="8"/>
      <c r="B2646" s="8"/>
      <c r="C2646" s="8"/>
      <c r="D2646" s="8"/>
      <c r="E2646" s="16"/>
    </row>
    <row r="2647">
      <c r="A2647" s="8"/>
      <c r="B2647" s="8"/>
      <c r="C2647" s="8"/>
      <c r="D2647" s="8"/>
      <c r="E2647" s="16"/>
    </row>
    <row r="2648">
      <c r="A2648" s="8"/>
      <c r="B2648" s="8"/>
      <c r="C2648" s="8"/>
      <c r="D2648" s="8"/>
      <c r="E2648" s="16"/>
    </row>
    <row r="2649">
      <c r="A2649" s="8"/>
      <c r="B2649" s="8"/>
      <c r="C2649" s="8"/>
      <c r="D2649" s="8"/>
      <c r="E2649" s="16"/>
    </row>
    <row r="2650">
      <c r="A2650" s="8"/>
      <c r="B2650" s="8"/>
      <c r="C2650" s="8"/>
      <c r="D2650" s="8"/>
      <c r="E2650" s="16"/>
    </row>
    <row r="2651">
      <c r="A2651" s="8"/>
      <c r="B2651" s="8"/>
      <c r="C2651" s="8"/>
      <c r="D2651" s="8"/>
      <c r="E2651" s="16"/>
    </row>
    <row r="2652">
      <c r="A2652" s="8"/>
      <c r="B2652" s="8"/>
      <c r="C2652" s="8"/>
      <c r="D2652" s="8"/>
      <c r="E2652" s="16"/>
    </row>
    <row r="2653">
      <c r="A2653" s="8"/>
      <c r="B2653" s="8"/>
      <c r="C2653" s="8"/>
      <c r="D2653" s="8"/>
      <c r="E2653" s="16"/>
    </row>
    <row r="2654">
      <c r="A2654" s="8"/>
      <c r="B2654" s="8"/>
      <c r="C2654" s="8"/>
      <c r="D2654" s="8"/>
      <c r="E2654" s="16"/>
    </row>
    <row r="2655">
      <c r="A2655" s="8"/>
      <c r="B2655" s="8"/>
      <c r="C2655" s="8"/>
      <c r="D2655" s="8"/>
      <c r="E2655" s="16"/>
    </row>
    <row r="2656">
      <c r="A2656" s="8"/>
      <c r="B2656" s="8"/>
      <c r="C2656" s="8"/>
      <c r="D2656" s="8"/>
      <c r="E2656" s="16"/>
    </row>
    <row r="2657">
      <c r="A2657" s="8"/>
      <c r="B2657" s="8"/>
      <c r="C2657" s="8"/>
      <c r="D2657" s="8"/>
      <c r="E2657" s="16"/>
    </row>
    <row r="2658">
      <c r="A2658" s="8"/>
      <c r="B2658" s="8"/>
      <c r="C2658" s="8"/>
      <c r="D2658" s="8"/>
      <c r="E2658" s="16"/>
    </row>
    <row r="2659">
      <c r="A2659" s="8"/>
      <c r="B2659" s="8"/>
      <c r="C2659" s="8"/>
      <c r="D2659" s="8"/>
      <c r="E2659" s="16"/>
    </row>
    <row r="2660">
      <c r="A2660" s="8"/>
      <c r="B2660" s="8"/>
      <c r="C2660" s="8"/>
      <c r="D2660" s="8"/>
      <c r="E2660" s="16"/>
    </row>
    <row r="2661">
      <c r="A2661" s="8"/>
      <c r="B2661" s="8"/>
      <c r="C2661" s="8"/>
      <c r="D2661" s="8"/>
      <c r="E2661" s="16"/>
    </row>
    <row r="2662">
      <c r="A2662" s="8"/>
      <c r="B2662" s="8"/>
      <c r="C2662" s="8"/>
      <c r="D2662" s="8"/>
      <c r="E2662" s="16"/>
    </row>
    <row r="2663">
      <c r="A2663" s="8"/>
      <c r="B2663" s="8"/>
      <c r="C2663" s="8"/>
      <c r="D2663" s="8"/>
      <c r="E2663" s="16"/>
    </row>
    <row r="2664">
      <c r="A2664" s="8"/>
      <c r="B2664" s="8"/>
      <c r="C2664" s="8"/>
      <c r="D2664" s="8"/>
      <c r="E2664" s="16"/>
    </row>
    <row r="2665">
      <c r="A2665" s="8"/>
      <c r="B2665" s="8"/>
      <c r="C2665" s="8"/>
      <c r="D2665" s="8"/>
      <c r="E2665" s="16"/>
    </row>
    <row r="2666">
      <c r="A2666" s="8"/>
      <c r="B2666" s="8"/>
      <c r="C2666" s="8"/>
      <c r="D2666" s="8"/>
      <c r="E2666" s="16"/>
    </row>
    <row r="2667">
      <c r="A2667" s="8"/>
      <c r="B2667" s="8"/>
      <c r="C2667" s="8"/>
      <c r="D2667" s="8"/>
      <c r="E2667" s="16"/>
    </row>
    <row r="2668">
      <c r="A2668" s="8"/>
      <c r="B2668" s="8"/>
      <c r="C2668" s="8"/>
      <c r="D2668" s="8"/>
      <c r="E2668" s="16"/>
    </row>
    <row r="2669">
      <c r="A2669" s="8"/>
      <c r="B2669" s="8"/>
      <c r="C2669" s="8"/>
      <c r="D2669" s="8"/>
      <c r="E2669" s="16"/>
    </row>
    <row r="2670">
      <c r="A2670" s="8"/>
      <c r="B2670" s="8"/>
      <c r="C2670" s="8"/>
      <c r="D2670" s="8"/>
      <c r="E2670" s="16"/>
    </row>
    <row r="2671">
      <c r="A2671" s="8"/>
      <c r="B2671" s="8"/>
      <c r="C2671" s="8"/>
      <c r="D2671" s="8"/>
      <c r="E2671" s="16"/>
    </row>
    <row r="2672">
      <c r="A2672" s="8"/>
      <c r="B2672" s="8"/>
      <c r="C2672" s="8"/>
      <c r="D2672" s="8"/>
      <c r="E2672" s="16"/>
    </row>
    <row r="2673">
      <c r="A2673" s="8"/>
      <c r="B2673" s="8"/>
      <c r="C2673" s="8"/>
      <c r="D2673" s="8"/>
      <c r="E2673" s="16"/>
    </row>
    <row r="2674">
      <c r="A2674" s="8"/>
      <c r="B2674" s="8"/>
      <c r="C2674" s="8"/>
      <c r="D2674" s="8"/>
      <c r="E2674" s="16"/>
    </row>
    <row r="2675">
      <c r="A2675" s="8"/>
      <c r="B2675" s="8"/>
      <c r="C2675" s="8"/>
      <c r="D2675" s="8"/>
      <c r="E2675" s="16"/>
    </row>
    <row r="2676">
      <c r="A2676" s="8"/>
      <c r="B2676" s="8"/>
      <c r="C2676" s="8"/>
      <c r="D2676" s="8"/>
      <c r="E2676" s="16"/>
    </row>
    <row r="2677">
      <c r="A2677" s="8"/>
      <c r="B2677" s="8"/>
      <c r="C2677" s="8"/>
      <c r="D2677" s="8"/>
      <c r="E2677" s="16"/>
    </row>
    <row r="2678">
      <c r="A2678" s="8"/>
      <c r="B2678" s="8"/>
      <c r="C2678" s="8"/>
      <c r="D2678" s="8"/>
      <c r="E2678" s="16"/>
    </row>
    <row r="2679">
      <c r="A2679" s="8"/>
      <c r="B2679" s="8"/>
      <c r="C2679" s="8"/>
      <c r="D2679" s="8"/>
      <c r="E2679" s="16"/>
    </row>
    <row r="2680">
      <c r="A2680" s="8"/>
      <c r="B2680" s="8"/>
      <c r="C2680" s="8"/>
      <c r="D2680" s="8"/>
      <c r="E2680" s="16"/>
    </row>
    <row r="2681">
      <c r="A2681" s="8"/>
      <c r="B2681" s="8"/>
      <c r="C2681" s="8"/>
      <c r="D2681" s="8"/>
      <c r="E2681" s="16"/>
    </row>
    <row r="2682">
      <c r="A2682" s="8"/>
      <c r="B2682" s="8"/>
      <c r="C2682" s="8"/>
      <c r="D2682" s="8"/>
      <c r="E2682" s="16"/>
    </row>
    <row r="2683">
      <c r="A2683" s="8"/>
      <c r="B2683" s="8"/>
      <c r="C2683" s="8"/>
      <c r="D2683" s="8"/>
      <c r="E2683" s="16"/>
    </row>
    <row r="2684">
      <c r="A2684" s="8"/>
      <c r="B2684" s="8"/>
      <c r="C2684" s="8"/>
      <c r="D2684" s="8"/>
      <c r="E2684" s="16"/>
    </row>
    <row r="2685">
      <c r="A2685" s="8"/>
      <c r="B2685" s="8"/>
      <c r="C2685" s="8"/>
      <c r="D2685" s="8"/>
      <c r="E2685" s="16"/>
    </row>
    <row r="2686">
      <c r="A2686" s="8"/>
      <c r="B2686" s="8"/>
      <c r="C2686" s="8"/>
      <c r="D2686" s="8"/>
      <c r="E2686" s="16"/>
    </row>
    <row r="2687">
      <c r="A2687" s="8"/>
      <c r="B2687" s="8"/>
      <c r="C2687" s="8"/>
      <c r="D2687" s="8"/>
      <c r="E2687" s="16"/>
    </row>
    <row r="2688">
      <c r="A2688" s="8"/>
      <c r="B2688" s="8"/>
      <c r="C2688" s="8"/>
      <c r="D2688" s="8"/>
      <c r="E2688" s="16"/>
    </row>
    <row r="2689">
      <c r="A2689" s="8"/>
      <c r="B2689" s="8"/>
      <c r="C2689" s="8"/>
      <c r="D2689" s="8"/>
      <c r="E2689" s="16"/>
    </row>
    <row r="2690">
      <c r="A2690" s="8"/>
      <c r="B2690" s="8"/>
      <c r="C2690" s="8"/>
      <c r="D2690" s="8"/>
      <c r="E2690" s="16"/>
    </row>
    <row r="2691">
      <c r="A2691" s="8"/>
      <c r="B2691" s="8"/>
      <c r="C2691" s="8"/>
      <c r="D2691" s="8"/>
      <c r="E2691" s="16"/>
    </row>
    <row r="2692">
      <c r="A2692" s="8"/>
      <c r="B2692" s="8"/>
      <c r="C2692" s="8"/>
      <c r="D2692" s="8"/>
      <c r="E2692" s="16"/>
    </row>
    <row r="2693">
      <c r="A2693" s="8"/>
      <c r="B2693" s="8"/>
      <c r="C2693" s="8"/>
      <c r="D2693" s="8"/>
      <c r="E2693" s="16"/>
    </row>
    <row r="2694">
      <c r="A2694" s="8"/>
      <c r="B2694" s="8"/>
      <c r="C2694" s="8"/>
      <c r="D2694" s="8"/>
      <c r="E2694" s="16"/>
    </row>
    <row r="2695">
      <c r="A2695" s="8"/>
      <c r="B2695" s="8"/>
      <c r="C2695" s="8"/>
      <c r="D2695" s="8"/>
      <c r="E2695" s="16"/>
    </row>
    <row r="2696">
      <c r="A2696" s="8"/>
      <c r="B2696" s="8"/>
      <c r="C2696" s="8"/>
      <c r="D2696" s="8"/>
      <c r="E2696" s="16"/>
    </row>
    <row r="2697">
      <c r="A2697" s="8"/>
      <c r="B2697" s="8"/>
      <c r="C2697" s="8"/>
      <c r="D2697" s="8"/>
      <c r="E2697" s="16"/>
    </row>
    <row r="2698">
      <c r="A2698" s="8"/>
      <c r="B2698" s="8"/>
      <c r="C2698" s="8"/>
      <c r="D2698" s="8"/>
      <c r="E2698" s="16"/>
    </row>
    <row r="2699">
      <c r="A2699" s="8"/>
      <c r="B2699" s="8"/>
      <c r="C2699" s="8"/>
      <c r="D2699" s="8"/>
      <c r="E2699" s="16"/>
    </row>
    <row r="2700">
      <c r="A2700" s="8"/>
      <c r="B2700" s="8"/>
      <c r="C2700" s="8"/>
      <c r="D2700" s="8"/>
      <c r="E2700" s="16"/>
    </row>
    <row r="2701">
      <c r="A2701" s="8"/>
      <c r="B2701" s="8"/>
      <c r="C2701" s="8"/>
      <c r="D2701" s="8"/>
      <c r="E2701" s="16"/>
    </row>
    <row r="2702">
      <c r="A2702" s="8"/>
      <c r="B2702" s="8"/>
      <c r="C2702" s="8"/>
      <c r="D2702" s="8"/>
      <c r="E2702" s="16"/>
    </row>
    <row r="2703">
      <c r="A2703" s="8"/>
      <c r="B2703" s="8"/>
      <c r="C2703" s="8"/>
      <c r="D2703" s="8"/>
      <c r="E2703" s="16"/>
    </row>
    <row r="2704">
      <c r="A2704" s="8"/>
      <c r="B2704" s="8"/>
      <c r="C2704" s="8"/>
      <c r="D2704" s="8"/>
      <c r="E2704" s="16"/>
    </row>
    <row r="2705">
      <c r="A2705" s="8"/>
      <c r="B2705" s="8"/>
      <c r="C2705" s="8"/>
      <c r="D2705" s="8"/>
      <c r="E2705" s="16"/>
    </row>
    <row r="2706">
      <c r="A2706" s="8"/>
      <c r="B2706" s="8"/>
      <c r="C2706" s="8"/>
      <c r="D2706" s="8"/>
      <c r="E2706" s="16"/>
    </row>
    <row r="2707">
      <c r="A2707" s="8"/>
      <c r="B2707" s="8"/>
      <c r="C2707" s="8"/>
      <c r="D2707" s="8"/>
      <c r="E2707" s="16"/>
    </row>
    <row r="2708">
      <c r="A2708" s="8"/>
      <c r="B2708" s="8"/>
      <c r="C2708" s="8"/>
      <c r="D2708" s="8"/>
      <c r="E2708" s="16"/>
    </row>
    <row r="2709">
      <c r="A2709" s="8"/>
      <c r="B2709" s="8"/>
      <c r="C2709" s="8"/>
      <c r="D2709" s="8"/>
      <c r="E2709" s="16"/>
    </row>
    <row r="2710">
      <c r="A2710" s="8"/>
      <c r="B2710" s="8"/>
      <c r="C2710" s="8"/>
      <c r="D2710" s="8"/>
      <c r="E2710" s="16"/>
    </row>
    <row r="2711">
      <c r="A2711" s="8"/>
      <c r="B2711" s="8"/>
      <c r="C2711" s="8"/>
      <c r="D2711" s="8"/>
      <c r="E2711" s="16"/>
    </row>
    <row r="2712">
      <c r="A2712" s="8"/>
      <c r="B2712" s="8"/>
      <c r="C2712" s="8"/>
      <c r="D2712" s="8"/>
      <c r="E2712" s="16"/>
    </row>
    <row r="2713">
      <c r="A2713" s="8"/>
      <c r="B2713" s="8"/>
      <c r="C2713" s="8"/>
      <c r="D2713" s="8"/>
      <c r="E2713" s="16"/>
    </row>
    <row r="2714">
      <c r="A2714" s="8"/>
      <c r="B2714" s="8"/>
      <c r="C2714" s="8"/>
      <c r="D2714" s="8"/>
      <c r="E2714" s="16"/>
    </row>
    <row r="2715">
      <c r="A2715" s="8"/>
      <c r="B2715" s="8"/>
      <c r="C2715" s="8"/>
      <c r="D2715" s="8"/>
      <c r="E2715" s="16"/>
    </row>
    <row r="2716">
      <c r="A2716" s="8"/>
      <c r="B2716" s="8"/>
      <c r="C2716" s="8"/>
      <c r="D2716" s="8"/>
      <c r="E2716" s="16"/>
    </row>
    <row r="2717">
      <c r="A2717" s="8"/>
      <c r="B2717" s="8"/>
      <c r="C2717" s="8"/>
      <c r="D2717" s="8"/>
      <c r="E2717" s="16"/>
    </row>
    <row r="2718">
      <c r="A2718" s="8"/>
      <c r="B2718" s="8"/>
      <c r="C2718" s="8"/>
      <c r="D2718" s="8"/>
      <c r="E2718" s="16"/>
    </row>
    <row r="2719">
      <c r="A2719" s="8"/>
      <c r="B2719" s="8"/>
      <c r="C2719" s="8"/>
      <c r="D2719" s="8"/>
      <c r="E2719" s="16"/>
    </row>
    <row r="2720">
      <c r="A2720" s="8"/>
      <c r="B2720" s="8"/>
      <c r="C2720" s="8"/>
      <c r="D2720" s="8"/>
      <c r="E2720" s="16"/>
    </row>
    <row r="2721">
      <c r="A2721" s="8"/>
      <c r="B2721" s="8"/>
      <c r="C2721" s="8"/>
      <c r="D2721" s="8"/>
      <c r="E2721" s="16"/>
    </row>
    <row r="2722">
      <c r="A2722" s="8"/>
      <c r="B2722" s="8"/>
      <c r="C2722" s="8"/>
      <c r="D2722" s="8"/>
      <c r="E2722" s="16"/>
    </row>
    <row r="2723">
      <c r="A2723" s="8"/>
      <c r="B2723" s="8"/>
      <c r="C2723" s="8"/>
      <c r="D2723" s="8"/>
      <c r="E2723" s="16"/>
    </row>
    <row r="2724">
      <c r="A2724" s="8"/>
      <c r="B2724" s="8"/>
      <c r="C2724" s="8"/>
      <c r="D2724" s="8"/>
      <c r="E2724" s="16"/>
    </row>
    <row r="2725">
      <c r="A2725" s="8"/>
      <c r="B2725" s="8"/>
      <c r="C2725" s="8"/>
      <c r="D2725" s="8"/>
      <c r="E2725" s="16"/>
    </row>
    <row r="2726">
      <c r="A2726" s="8"/>
      <c r="B2726" s="8"/>
      <c r="C2726" s="8"/>
      <c r="D2726" s="8"/>
      <c r="E2726" s="16"/>
    </row>
    <row r="2727">
      <c r="A2727" s="8"/>
      <c r="B2727" s="8"/>
      <c r="C2727" s="8"/>
      <c r="D2727" s="8"/>
      <c r="E2727" s="16"/>
    </row>
    <row r="2728">
      <c r="A2728" s="8"/>
      <c r="B2728" s="8"/>
      <c r="C2728" s="8"/>
      <c r="D2728" s="8"/>
      <c r="E2728" s="16"/>
    </row>
    <row r="2729">
      <c r="A2729" s="8"/>
      <c r="B2729" s="8"/>
      <c r="C2729" s="8"/>
      <c r="D2729" s="8"/>
      <c r="E2729" s="16"/>
    </row>
    <row r="2730">
      <c r="A2730" s="8"/>
      <c r="B2730" s="8"/>
      <c r="C2730" s="8"/>
      <c r="D2730" s="8"/>
      <c r="E2730" s="16"/>
    </row>
    <row r="2731">
      <c r="A2731" s="8"/>
      <c r="B2731" s="8"/>
      <c r="C2731" s="8"/>
      <c r="D2731" s="8"/>
      <c r="E2731" s="16"/>
    </row>
    <row r="2732">
      <c r="A2732" s="8"/>
      <c r="B2732" s="8"/>
      <c r="C2732" s="8"/>
      <c r="D2732" s="8"/>
      <c r="E2732" s="16"/>
    </row>
    <row r="2733">
      <c r="A2733" s="8"/>
      <c r="B2733" s="8"/>
      <c r="C2733" s="8"/>
      <c r="D2733" s="8"/>
      <c r="E2733" s="16"/>
    </row>
    <row r="2734">
      <c r="A2734" s="8"/>
      <c r="B2734" s="8"/>
      <c r="C2734" s="8"/>
      <c r="D2734" s="8"/>
      <c r="E2734" s="16"/>
    </row>
    <row r="2735">
      <c r="A2735" s="8"/>
      <c r="B2735" s="8"/>
      <c r="C2735" s="8"/>
      <c r="D2735" s="8"/>
      <c r="E2735" s="16"/>
    </row>
    <row r="2736">
      <c r="A2736" s="8"/>
      <c r="B2736" s="8"/>
      <c r="C2736" s="8"/>
      <c r="D2736" s="8"/>
      <c r="E2736" s="16"/>
    </row>
    <row r="2737">
      <c r="A2737" s="8"/>
      <c r="B2737" s="8"/>
      <c r="C2737" s="8"/>
      <c r="D2737" s="8"/>
      <c r="E2737" s="16"/>
    </row>
    <row r="2738">
      <c r="A2738" s="8"/>
      <c r="B2738" s="8"/>
      <c r="C2738" s="8"/>
      <c r="D2738" s="8"/>
      <c r="E2738" s="16"/>
    </row>
    <row r="2739">
      <c r="A2739" s="8"/>
      <c r="B2739" s="8"/>
      <c r="C2739" s="8"/>
      <c r="D2739" s="8"/>
      <c r="E2739" s="16"/>
    </row>
    <row r="2740">
      <c r="A2740" s="8"/>
      <c r="B2740" s="8"/>
      <c r="C2740" s="8"/>
      <c r="D2740" s="8"/>
      <c r="E2740" s="16"/>
    </row>
    <row r="2741">
      <c r="A2741" s="8"/>
      <c r="B2741" s="8"/>
      <c r="C2741" s="8"/>
      <c r="D2741" s="8"/>
      <c r="E2741" s="16"/>
    </row>
    <row r="2742">
      <c r="A2742" s="8"/>
      <c r="B2742" s="8"/>
      <c r="C2742" s="8"/>
      <c r="D2742" s="8"/>
      <c r="E2742" s="16"/>
    </row>
    <row r="2743">
      <c r="A2743" s="8"/>
      <c r="B2743" s="8"/>
      <c r="C2743" s="8"/>
      <c r="D2743" s="8"/>
      <c r="E2743" s="16"/>
    </row>
    <row r="2744">
      <c r="A2744" s="8"/>
      <c r="B2744" s="8"/>
      <c r="C2744" s="8"/>
      <c r="D2744" s="8"/>
      <c r="E2744" s="16"/>
    </row>
    <row r="2745">
      <c r="A2745" s="8"/>
      <c r="B2745" s="8"/>
      <c r="C2745" s="8"/>
      <c r="D2745" s="8"/>
      <c r="E2745" s="16"/>
    </row>
    <row r="2746">
      <c r="A2746" s="8"/>
      <c r="B2746" s="8"/>
      <c r="C2746" s="8"/>
      <c r="D2746" s="8"/>
      <c r="E2746" s="16"/>
    </row>
    <row r="2747">
      <c r="A2747" s="8"/>
      <c r="B2747" s="8"/>
      <c r="C2747" s="8"/>
      <c r="D2747" s="8"/>
      <c r="E2747" s="16"/>
    </row>
    <row r="2748">
      <c r="A2748" s="8"/>
      <c r="B2748" s="8"/>
      <c r="C2748" s="8"/>
      <c r="D2748" s="8"/>
      <c r="E2748" s="16"/>
    </row>
    <row r="2749">
      <c r="A2749" s="8"/>
      <c r="B2749" s="8"/>
      <c r="C2749" s="8"/>
      <c r="D2749" s="8"/>
      <c r="E2749" s="16"/>
    </row>
    <row r="2750">
      <c r="A2750" s="8"/>
      <c r="B2750" s="8"/>
      <c r="C2750" s="8"/>
      <c r="D2750" s="8"/>
      <c r="E2750" s="16"/>
    </row>
    <row r="2751">
      <c r="A2751" s="8"/>
      <c r="B2751" s="8"/>
      <c r="C2751" s="8"/>
      <c r="D2751" s="8"/>
      <c r="E2751" s="16"/>
    </row>
    <row r="2752">
      <c r="A2752" s="8"/>
      <c r="B2752" s="8"/>
      <c r="C2752" s="8"/>
      <c r="D2752" s="8"/>
      <c r="E2752" s="16"/>
    </row>
    <row r="2753">
      <c r="A2753" s="8"/>
      <c r="B2753" s="8"/>
      <c r="C2753" s="8"/>
      <c r="D2753" s="8"/>
      <c r="E2753" s="16"/>
    </row>
    <row r="2754">
      <c r="A2754" s="8"/>
      <c r="B2754" s="8"/>
      <c r="C2754" s="8"/>
      <c r="D2754" s="8"/>
      <c r="E2754" s="16"/>
    </row>
    <row r="2755">
      <c r="A2755" s="8"/>
      <c r="B2755" s="8"/>
      <c r="C2755" s="8"/>
      <c r="D2755" s="8"/>
      <c r="E2755" s="16"/>
    </row>
    <row r="2756">
      <c r="A2756" s="8"/>
      <c r="B2756" s="8"/>
      <c r="C2756" s="8"/>
      <c r="D2756" s="8"/>
      <c r="E2756" s="16"/>
    </row>
    <row r="2757">
      <c r="A2757" s="8"/>
      <c r="B2757" s="8"/>
      <c r="C2757" s="8"/>
      <c r="D2757" s="8"/>
      <c r="E2757" s="16"/>
    </row>
    <row r="2758">
      <c r="A2758" s="8"/>
      <c r="B2758" s="8"/>
      <c r="C2758" s="8"/>
      <c r="D2758" s="8"/>
      <c r="E2758" s="16"/>
    </row>
    <row r="2759">
      <c r="A2759" s="8"/>
      <c r="B2759" s="8"/>
      <c r="C2759" s="8"/>
      <c r="D2759" s="8"/>
      <c r="E2759" s="16"/>
    </row>
    <row r="2760">
      <c r="A2760" s="8"/>
      <c r="B2760" s="8"/>
      <c r="C2760" s="8"/>
      <c r="D2760" s="8"/>
      <c r="E2760" s="16"/>
    </row>
    <row r="2761">
      <c r="A2761" s="8"/>
      <c r="B2761" s="8"/>
      <c r="C2761" s="8"/>
      <c r="D2761" s="8"/>
      <c r="E2761" s="16"/>
    </row>
    <row r="2762">
      <c r="A2762" s="8"/>
      <c r="B2762" s="8"/>
      <c r="C2762" s="8"/>
      <c r="D2762" s="8"/>
      <c r="E2762" s="16"/>
    </row>
    <row r="2763">
      <c r="A2763" s="8"/>
      <c r="B2763" s="8"/>
      <c r="C2763" s="8"/>
      <c r="D2763" s="8"/>
      <c r="E2763" s="16"/>
    </row>
    <row r="2764">
      <c r="A2764" s="8"/>
      <c r="B2764" s="8"/>
      <c r="C2764" s="8"/>
      <c r="D2764" s="8"/>
      <c r="E2764" s="16"/>
    </row>
    <row r="2765">
      <c r="A2765" s="8"/>
      <c r="B2765" s="8"/>
      <c r="C2765" s="8"/>
      <c r="D2765" s="8"/>
      <c r="E2765" s="16"/>
    </row>
    <row r="2766">
      <c r="A2766" s="8"/>
      <c r="B2766" s="8"/>
      <c r="C2766" s="8"/>
      <c r="D2766" s="8"/>
      <c r="E2766" s="16"/>
    </row>
    <row r="2767">
      <c r="A2767" s="8"/>
      <c r="B2767" s="8"/>
      <c r="C2767" s="8"/>
      <c r="D2767" s="8"/>
      <c r="E2767" s="16"/>
    </row>
    <row r="2768">
      <c r="A2768" s="8"/>
      <c r="B2768" s="8"/>
      <c r="C2768" s="8"/>
      <c r="D2768" s="8"/>
      <c r="E2768" s="16"/>
    </row>
    <row r="2769">
      <c r="A2769" s="8"/>
      <c r="B2769" s="8"/>
      <c r="C2769" s="8"/>
      <c r="D2769" s="8"/>
      <c r="E2769" s="16"/>
    </row>
    <row r="2770">
      <c r="A2770" s="8"/>
      <c r="B2770" s="8"/>
      <c r="C2770" s="8"/>
      <c r="D2770" s="8"/>
      <c r="E2770" s="16"/>
    </row>
    <row r="2771">
      <c r="A2771" s="8"/>
      <c r="B2771" s="8"/>
      <c r="C2771" s="8"/>
      <c r="D2771" s="8"/>
      <c r="E2771" s="16"/>
    </row>
    <row r="2772">
      <c r="A2772" s="8"/>
      <c r="B2772" s="8"/>
      <c r="C2772" s="8"/>
      <c r="D2772" s="8"/>
      <c r="E2772" s="16"/>
    </row>
    <row r="2773">
      <c r="A2773" s="8"/>
      <c r="B2773" s="8"/>
      <c r="C2773" s="8"/>
      <c r="D2773" s="8"/>
      <c r="E2773" s="16"/>
    </row>
    <row r="2774">
      <c r="A2774" s="8"/>
      <c r="B2774" s="8"/>
      <c r="C2774" s="8"/>
      <c r="D2774" s="8"/>
      <c r="E2774" s="16"/>
    </row>
    <row r="2775">
      <c r="A2775" s="8"/>
      <c r="B2775" s="8"/>
      <c r="C2775" s="8"/>
      <c r="D2775" s="8"/>
      <c r="E2775" s="16"/>
    </row>
    <row r="2776">
      <c r="A2776" s="8"/>
      <c r="B2776" s="8"/>
      <c r="C2776" s="8"/>
      <c r="D2776" s="8"/>
      <c r="E2776" s="16"/>
    </row>
    <row r="2777">
      <c r="A2777" s="8"/>
      <c r="B2777" s="8"/>
      <c r="C2777" s="8"/>
      <c r="D2777" s="8"/>
      <c r="E2777" s="16"/>
    </row>
    <row r="2778">
      <c r="A2778" s="8"/>
      <c r="B2778" s="8"/>
      <c r="C2778" s="8"/>
      <c r="D2778" s="8"/>
      <c r="E2778" s="16"/>
    </row>
    <row r="2779">
      <c r="A2779" s="8"/>
      <c r="B2779" s="8"/>
      <c r="C2779" s="8"/>
      <c r="D2779" s="8"/>
      <c r="E2779" s="16"/>
    </row>
    <row r="2780">
      <c r="A2780" s="8"/>
      <c r="B2780" s="8"/>
      <c r="C2780" s="8"/>
      <c r="D2780" s="8"/>
      <c r="E2780" s="16"/>
    </row>
    <row r="2781">
      <c r="A2781" s="8"/>
      <c r="B2781" s="8"/>
      <c r="C2781" s="8"/>
      <c r="D2781" s="8"/>
      <c r="E2781" s="16"/>
    </row>
    <row r="2782">
      <c r="A2782" s="8"/>
      <c r="B2782" s="8"/>
      <c r="C2782" s="8"/>
      <c r="D2782" s="8"/>
      <c r="E2782" s="16"/>
    </row>
    <row r="2783">
      <c r="A2783" s="8"/>
      <c r="B2783" s="8"/>
      <c r="C2783" s="8"/>
      <c r="D2783" s="8"/>
      <c r="E2783" s="16"/>
    </row>
    <row r="2784">
      <c r="A2784" s="8"/>
      <c r="B2784" s="8"/>
      <c r="C2784" s="8"/>
      <c r="D2784" s="8"/>
      <c r="E2784" s="16"/>
    </row>
    <row r="2785">
      <c r="A2785" s="8"/>
      <c r="B2785" s="8"/>
      <c r="C2785" s="8"/>
      <c r="D2785" s="8"/>
      <c r="E2785" s="16"/>
    </row>
    <row r="2786">
      <c r="A2786" s="8"/>
      <c r="B2786" s="8"/>
      <c r="C2786" s="8"/>
      <c r="D2786" s="8"/>
      <c r="E2786" s="16"/>
    </row>
    <row r="2787">
      <c r="A2787" s="8"/>
      <c r="B2787" s="8"/>
      <c r="C2787" s="8"/>
      <c r="D2787" s="8"/>
      <c r="E2787" s="16"/>
    </row>
    <row r="2788">
      <c r="A2788" s="8"/>
      <c r="B2788" s="8"/>
      <c r="C2788" s="8"/>
      <c r="D2788" s="8"/>
      <c r="E2788" s="16"/>
    </row>
    <row r="2789">
      <c r="A2789" s="8"/>
      <c r="B2789" s="8"/>
      <c r="C2789" s="8"/>
      <c r="D2789" s="8"/>
      <c r="E2789" s="16"/>
    </row>
    <row r="2790">
      <c r="A2790" s="8"/>
      <c r="B2790" s="8"/>
      <c r="C2790" s="8"/>
      <c r="D2790" s="8"/>
      <c r="E2790" s="16"/>
    </row>
    <row r="2791">
      <c r="A2791" s="8"/>
      <c r="B2791" s="8"/>
      <c r="C2791" s="8"/>
      <c r="D2791" s="8"/>
      <c r="E2791" s="16"/>
    </row>
    <row r="2792">
      <c r="A2792" s="8"/>
      <c r="B2792" s="8"/>
      <c r="C2792" s="8"/>
      <c r="D2792" s="8"/>
      <c r="E2792" s="16"/>
    </row>
    <row r="2793">
      <c r="A2793" s="8"/>
      <c r="B2793" s="8"/>
      <c r="C2793" s="8"/>
      <c r="D2793" s="8"/>
      <c r="E2793" s="16"/>
    </row>
    <row r="2794">
      <c r="A2794" s="8"/>
      <c r="B2794" s="8"/>
      <c r="C2794" s="8"/>
      <c r="D2794" s="8"/>
      <c r="E2794" s="16"/>
    </row>
    <row r="2795">
      <c r="A2795" s="8"/>
      <c r="B2795" s="8"/>
      <c r="C2795" s="8"/>
      <c r="D2795" s="8"/>
      <c r="E2795" s="16"/>
    </row>
    <row r="2796">
      <c r="A2796" s="8"/>
      <c r="B2796" s="8"/>
      <c r="C2796" s="8"/>
      <c r="D2796" s="8"/>
      <c r="E2796" s="16"/>
    </row>
    <row r="2797">
      <c r="A2797" s="8"/>
      <c r="B2797" s="8"/>
      <c r="C2797" s="8"/>
      <c r="D2797" s="8"/>
      <c r="E2797" s="16"/>
    </row>
    <row r="2798">
      <c r="A2798" s="8"/>
      <c r="B2798" s="8"/>
      <c r="C2798" s="8"/>
      <c r="D2798" s="8"/>
      <c r="E2798" s="16"/>
    </row>
    <row r="2799">
      <c r="A2799" s="8"/>
      <c r="B2799" s="8"/>
      <c r="C2799" s="8"/>
      <c r="D2799" s="8"/>
      <c r="E2799" s="16"/>
    </row>
    <row r="2800">
      <c r="A2800" s="8"/>
      <c r="B2800" s="8"/>
      <c r="C2800" s="8"/>
      <c r="D2800" s="8"/>
      <c r="E2800" s="16"/>
    </row>
    <row r="2801">
      <c r="A2801" s="8"/>
      <c r="B2801" s="8"/>
      <c r="C2801" s="8"/>
      <c r="D2801" s="8"/>
      <c r="E2801" s="16"/>
    </row>
    <row r="2802">
      <c r="A2802" s="8"/>
      <c r="B2802" s="8"/>
      <c r="C2802" s="8"/>
      <c r="D2802" s="8"/>
      <c r="E2802" s="16"/>
    </row>
    <row r="2803">
      <c r="A2803" s="8"/>
      <c r="B2803" s="8"/>
      <c r="C2803" s="8"/>
      <c r="D2803" s="8"/>
      <c r="E2803" s="16"/>
    </row>
    <row r="2804">
      <c r="A2804" s="8"/>
      <c r="B2804" s="8"/>
      <c r="C2804" s="8"/>
      <c r="D2804" s="8"/>
      <c r="E2804" s="16"/>
    </row>
    <row r="2805">
      <c r="A2805" s="8"/>
      <c r="B2805" s="8"/>
      <c r="C2805" s="8"/>
      <c r="D2805" s="8"/>
      <c r="E2805" s="16"/>
    </row>
    <row r="2806">
      <c r="A2806" s="8"/>
      <c r="B2806" s="8"/>
      <c r="C2806" s="8"/>
      <c r="D2806" s="8"/>
      <c r="E2806" s="16"/>
    </row>
    <row r="2807">
      <c r="A2807" s="8"/>
      <c r="B2807" s="8"/>
      <c r="C2807" s="8"/>
      <c r="D2807" s="8"/>
      <c r="E2807" s="16"/>
    </row>
    <row r="2808">
      <c r="A2808" s="8"/>
      <c r="B2808" s="8"/>
      <c r="C2808" s="8"/>
      <c r="D2808" s="8"/>
      <c r="E2808" s="16"/>
    </row>
    <row r="2809">
      <c r="A2809" s="8"/>
      <c r="B2809" s="8"/>
      <c r="C2809" s="8"/>
      <c r="D2809" s="8"/>
      <c r="E2809" s="16"/>
    </row>
    <row r="2810">
      <c r="A2810" s="8"/>
      <c r="B2810" s="8"/>
      <c r="C2810" s="8"/>
      <c r="D2810" s="8"/>
      <c r="E2810" s="16"/>
    </row>
    <row r="2811">
      <c r="A2811" s="8"/>
      <c r="B2811" s="8"/>
      <c r="C2811" s="8"/>
      <c r="D2811" s="8"/>
      <c r="E2811" s="16"/>
    </row>
    <row r="2812">
      <c r="A2812" s="8"/>
      <c r="B2812" s="8"/>
      <c r="C2812" s="8"/>
      <c r="D2812" s="8"/>
      <c r="E2812" s="16"/>
    </row>
    <row r="2813">
      <c r="A2813" s="8"/>
      <c r="B2813" s="8"/>
      <c r="C2813" s="8"/>
      <c r="D2813" s="8"/>
      <c r="E2813" s="16"/>
    </row>
    <row r="2814">
      <c r="A2814" s="8"/>
      <c r="B2814" s="8"/>
      <c r="C2814" s="8"/>
      <c r="D2814" s="8"/>
      <c r="E2814" s="16"/>
    </row>
    <row r="2815">
      <c r="A2815" s="8"/>
      <c r="B2815" s="8"/>
      <c r="C2815" s="8"/>
      <c r="D2815" s="8"/>
      <c r="E2815" s="16"/>
    </row>
    <row r="2816">
      <c r="A2816" s="8"/>
      <c r="B2816" s="8"/>
      <c r="C2816" s="8"/>
      <c r="D2816" s="8"/>
      <c r="E2816" s="16"/>
    </row>
    <row r="2817">
      <c r="A2817" s="8"/>
      <c r="B2817" s="8"/>
      <c r="C2817" s="8"/>
      <c r="D2817" s="8"/>
      <c r="E2817" s="16"/>
    </row>
    <row r="2818">
      <c r="A2818" s="8"/>
      <c r="B2818" s="8"/>
      <c r="C2818" s="8"/>
      <c r="D2818" s="8"/>
      <c r="E2818" s="16"/>
    </row>
    <row r="2819">
      <c r="A2819" s="8"/>
      <c r="B2819" s="8"/>
      <c r="C2819" s="8"/>
      <c r="D2819" s="8"/>
      <c r="E2819" s="16"/>
    </row>
    <row r="2820">
      <c r="A2820" s="8"/>
      <c r="B2820" s="8"/>
      <c r="C2820" s="8"/>
      <c r="D2820" s="8"/>
      <c r="E2820" s="16"/>
    </row>
    <row r="2821">
      <c r="A2821" s="8"/>
      <c r="B2821" s="8"/>
      <c r="C2821" s="8"/>
      <c r="D2821" s="8"/>
      <c r="E2821" s="16"/>
    </row>
    <row r="2822">
      <c r="A2822" s="8"/>
      <c r="B2822" s="8"/>
      <c r="C2822" s="8"/>
      <c r="D2822" s="8"/>
      <c r="E2822" s="16"/>
    </row>
    <row r="2823">
      <c r="A2823" s="8"/>
      <c r="B2823" s="8"/>
      <c r="C2823" s="8"/>
      <c r="D2823" s="8"/>
      <c r="E2823" s="16"/>
    </row>
    <row r="2824">
      <c r="A2824" s="8"/>
      <c r="B2824" s="8"/>
      <c r="C2824" s="8"/>
      <c r="D2824" s="8"/>
      <c r="E2824" s="16"/>
    </row>
    <row r="2825">
      <c r="A2825" s="8"/>
      <c r="B2825" s="8"/>
      <c r="C2825" s="8"/>
      <c r="D2825" s="8"/>
      <c r="E2825" s="16"/>
    </row>
    <row r="2826">
      <c r="A2826" s="8"/>
      <c r="B2826" s="8"/>
      <c r="C2826" s="8"/>
      <c r="D2826" s="8"/>
      <c r="E2826" s="16"/>
    </row>
    <row r="2827">
      <c r="A2827" s="8"/>
      <c r="B2827" s="8"/>
      <c r="C2827" s="8"/>
      <c r="D2827" s="8"/>
      <c r="E2827" s="16"/>
    </row>
    <row r="2828">
      <c r="A2828" s="8"/>
      <c r="B2828" s="8"/>
      <c r="C2828" s="8"/>
      <c r="D2828" s="8"/>
      <c r="E2828" s="16"/>
    </row>
    <row r="2829">
      <c r="A2829" s="8"/>
      <c r="B2829" s="8"/>
      <c r="C2829" s="8"/>
      <c r="D2829" s="8"/>
      <c r="E2829" s="16"/>
    </row>
    <row r="2830">
      <c r="A2830" s="8"/>
      <c r="B2830" s="8"/>
      <c r="C2830" s="8"/>
      <c r="D2830" s="8"/>
      <c r="E2830" s="16"/>
    </row>
    <row r="2831">
      <c r="A2831" s="8"/>
      <c r="B2831" s="8"/>
      <c r="C2831" s="8"/>
      <c r="D2831" s="8"/>
      <c r="E2831" s="16"/>
    </row>
    <row r="2832">
      <c r="A2832" s="8"/>
      <c r="B2832" s="8"/>
      <c r="C2832" s="8"/>
      <c r="D2832" s="8"/>
      <c r="E2832" s="16"/>
    </row>
    <row r="2833">
      <c r="A2833" s="8"/>
      <c r="B2833" s="8"/>
      <c r="C2833" s="8"/>
      <c r="D2833" s="8"/>
      <c r="E2833" s="16"/>
    </row>
    <row r="2834">
      <c r="A2834" s="8"/>
      <c r="B2834" s="8"/>
      <c r="C2834" s="8"/>
      <c r="D2834" s="8"/>
      <c r="E2834" s="16"/>
    </row>
    <row r="2835">
      <c r="A2835" s="8"/>
      <c r="B2835" s="8"/>
      <c r="C2835" s="8"/>
      <c r="D2835" s="8"/>
      <c r="E2835" s="16"/>
    </row>
    <row r="2836">
      <c r="A2836" s="8"/>
      <c r="B2836" s="8"/>
      <c r="C2836" s="8"/>
      <c r="D2836" s="8"/>
      <c r="E2836" s="16"/>
    </row>
    <row r="2837">
      <c r="A2837" s="8"/>
      <c r="B2837" s="8"/>
      <c r="C2837" s="8"/>
      <c r="D2837" s="8"/>
      <c r="E2837" s="16"/>
    </row>
    <row r="2838">
      <c r="A2838" s="8"/>
      <c r="B2838" s="8"/>
      <c r="C2838" s="8"/>
      <c r="D2838" s="8"/>
      <c r="E2838" s="16"/>
    </row>
    <row r="2839">
      <c r="A2839" s="8"/>
      <c r="B2839" s="8"/>
      <c r="C2839" s="8"/>
      <c r="D2839" s="8"/>
      <c r="E2839" s="16"/>
    </row>
    <row r="2840">
      <c r="A2840" s="8"/>
      <c r="B2840" s="8"/>
      <c r="C2840" s="8"/>
      <c r="D2840" s="8"/>
      <c r="E2840" s="16"/>
    </row>
    <row r="2841">
      <c r="A2841" s="8"/>
      <c r="B2841" s="8"/>
      <c r="C2841" s="8"/>
      <c r="D2841" s="8"/>
      <c r="E2841" s="16"/>
    </row>
    <row r="2842">
      <c r="A2842" s="8"/>
      <c r="B2842" s="8"/>
      <c r="C2842" s="8"/>
      <c r="D2842" s="8"/>
      <c r="E2842" s="16"/>
    </row>
    <row r="2843">
      <c r="A2843" s="8"/>
      <c r="B2843" s="8"/>
      <c r="C2843" s="8"/>
      <c r="D2843" s="8"/>
      <c r="E2843" s="16"/>
    </row>
    <row r="2844">
      <c r="A2844" s="8"/>
      <c r="B2844" s="8"/>
      <c r="C2844" s="8"/>
      <c r="D2844" s="8"/>
      <c r="E2844" s="16"/>
    </row>
    <row r="2845">
      <c r="A2845" s="8"/>
      <c r="B2845" s="8"/>
      <c r="C2845" s="8"/>
      <c r="D2845" s="8"/>
      <c r="E2845" s="16"/>
    </row>
    <row r="2846">
      <c r="A2846" s="8"/>
      <c r="B2846" s="8"/>
      <c r="C2846" s="8"/>
      <c r="D2846" s="8"/>
      <c r="E2846" s="16"/>
    </row>
    <row r="2847">
      <c r="A2847" s="8"/>
      <c r="B2847" s="8"/>
      <c r="C2847" s="8"/>
      <c r="D2847" s="8"/>
      <c r="E2847" s="16"/>
    </row>
    <row r="2848">
      <c r="A2848" s="8"/>
      <c r="B2848" s="8"/>
      <c r="C2848" s="8"/>
      <c r="D2848" s="8"/>
      <c r="E2848" s="16"/>
    </row>
    <row r="2849">
      <c r="A2849" s="8"/>
      <c r="B2849" s="8"/>
      <c r="C2849" s="8"/>
      <c r="D2849" s="8"/>
      <c r="E2849" s="16"/>
    </row>
    <row r="2850">
      <c r="A2850" s="8"/>
      <c r="B2850" s="8"/>
      <c r="C2850" s="8"/>
      <c r="D2850" s="8"/>
      <c r="E2850" s="16"/>
    </row>
    <row r="2851">
      <c r="A2851" s="8"/>
      <c r="B2851" s="8"/>
      <c r="C2851" s="8"/>
      <c r="D2851" s="8"/>
      <c r="E2851" s="16"/>
    </row>
    <row r="2852">
      <c r="A2852" s="8"/>
      <c r="B2852" s="8"/>
      <c r="C2852" s="8"/>
      <c r="D2852" s="8"/>
      <c r="E2852" s="16"/>
    </row>
    <row r="2853">
      <c r="A2853" s="8"/>
      <c r="B2853" s="8"/>
      <c r="C2853" s="8"/>
      <c r="D2853" s="8"/>
      <c r="E2853" s="16"/>
    </row>
    <row r="2854">
      <c r="A2854" s="8"/>
      <c r="B2854" s="8"/>
      <c r="C2854" s="8"/>
      <c r="D2854" s="8"/>
      <c r="E2854" s="16"/>
    </row>
    <row r="2855">
      <c r="A2855" s="8"/>
      <c r="B2855" s="8"/>
      <c r="C2855" s="8"/>
      <c r="D2855" s="8"/>
      <c r="E2855" s="16"/>
    </row>
    <row r="2856">
      <c r="A2856" s="8"/>
      <c r="B2856" s="8"/>
      <c r="C2856" s="8"/>
      <c r="D2856" s="8"/>
      <c r="E2856" s="16"/>
    </row>
    <row r="2857">
      <c r="A2857" s="8"/>
      <c r="B2857" s="8"/>
      <c r="C2857" s="8"/>
      <c r="D2857" s="8"/>
      <c r="E2857" s="16"/>
    </row>
    <row r="2858">
      <c r="A2858" s="8"/>
      <c r="B2858" s="8"/>
      <c r="C2858" s="8"/>
      <c r="D2858" s="8"/>
      <c r="E2858" s="16"/>
    </row>
    <row r="2859">
      <c r="A2859" s="8"/>
      <c r="B2859" s="8"/>
      <c r="C2859" s="8"/>
      <c r="D2859" s="8"/>
      <c r="E2859" s="16"/>
    </row>
    <row r="2860">
      <c r="A2860" s="8"/>
      <c r="B2860" s="8"/>
      <c r="C2860" s="8"/>
      <c r="D2860" s="8"/>
      <c r="E2860" s="16"/>
    </row>
    <row r="2861">
      <c r="A2861" s="8"/>
      <c r="B2861" s="8"/>
      <c r="C2861" s="8"/>
      <c r="D2861" s="8"/>
      <c r="E2861" s="16"/>
    </row>
    <row r="2862">
      <c r="A2862" s="8"/>
      <c r="B2862" s="8"/>
      <c r="C2862" s="8"/>
      <c r="D2862" s="8"/>
      <c r="E2862" s="16"/>
    </row>
    <row r="2863">
      <c r="A2863" s="8"/>
      <c r="B2863" s="8"/>
      <c r="C2863" s="8"/>
      <c r="D2863" s="8"/>
      <c r="E2863" s="16"/>
    </row>
    <row r="2864">
      <c r="A2864" s="8"/>
      <c r="B2864" s="8"/>
      <c r="C2864" s="8"/>
      <c r="D2864" s="8"/>
      <c r="E2864" s="16"/>
    </row>
    <row r="2865">
      <c r="A2865" s="8"/>
      <c r="B2865" s="8"/>
      <c r="C2865" s="8"/>
      <c r="D2865" s="8"/>
      <c r="E2865" s="16"/>
    </row>
    <row r="2866">
      <c r="A2866" s="8"/>
      <c r="B2866" s="8"/>
      <c r="C2866" s="8"/>
      <c r="D2866" s="8"/>
      <c r="E2866" s="16"/>
    </row>
    <row r="2867">
      <c r="A2867" s="8"/>
      <c r="B2867" s="8"/>
      <c r="C2867" s="8"/>
      <c r="D2867" s="8"/>
      <c r="E2867" s="16"/>
    </row>
    <row r="2868">
      <c r="A2868" s="8"/>
      <c r="B2868" s="8"/>
      <c r="C2868" s="8"/>
      <c r="D2868" s="8"/>
      <c r="E2868" s="16"/>
    </row>
    <row r="2869">
      <c r="A2869" s="8"/>
      <c r="B2869" s="8"/>
      <c r="C2869" s="8"/>
      <c r="D2869" s="8"/>
      <c r="E2869" s="16"/>
    </row>
    <row r="2870">
      <c r="A2870" s="8"/>
      <c r="B2870" s="8"/>
      <c r="C2870" s="8"/>
      <c r="D2870" s="8"/>
      <c r="E2870" s="16"/>
    </row>
    <row r="2871">
      <c r="A2871" s="8"/>
      <c r="B2871" s="8"/>
      <c r="C2871" s="8"/>
      <c r="D2871" s="8"/>
      <c r="E2871" s="16"/>
    </row>
    <row r="2872">
      <c r="A2872" s="8"/>
      <c r="B2872" s="8"/>
      <c r="C2872" s="8"/>
      <c r="D2872" s="8"/>
      <c r="E2872" s="16"/>
    </row>
    <row r="2873">
      <c r="A2873" s="8"/>
      <c r="B2873" s="8"/>
      <c r="C2873" s="8"/>
      <c r="D2873" s="8"/>
      <c r="E2873" s="16"/>
    </row>
    <row r="2874">
      <c r="A2874" s="8"/>
      <c r="B2874" s="8"/>
      <c r="C2874" s="8"/>
      <c r="D2874" s="8"/>
      <c r="E2874" s="16"/>
    </row>
    <row r="2875">
      <c r="A2875" s="8"/>
      <c r="B2875" s="8"/>
      <c r="C2875" s="8"/>
      <c r="D2875" s="8"/>
      <c r="E2875" s="16"/>
    </row>
    <row r="2876">
      <c r="A2876" s="8"/>
      <c r="B2876" s="8"/>
      <c r="C2876" s="8"/>
      <c r="D2876" s="8"/>
      <c r="E2876" s="16"/>
    </row>
    <row r="2877">
      <c r="A2877" s="8"/>
      <c r="B2877" s="8"/>
      <c r="C2877" s="8"/>
      <c r="D2877" s="8"/>
      <c r="E2877" s="16"/>
    </row>
    <row r="2878">
      <c r="A2878" s="8"/>
      <c r="B2878" s="8"/>
      <c r="C2878" s="8"/>
      <c r="D2878" s="8"/>
      <c r="E2878" s="16"/>
    </row>
    <row r="2879">
      <c r="A2879" s="8"/>
      <c r="B2879" s="8"/>
      <c r="C2879" s="8"/>
      <c r="D2879" s="8"/>
      <c r="E2879" s="16"/>
    </row>
    <row r="2880">
      <c r="A2880" s="8"/>
      <c r="B2880" s="8"/>
      <c r="C2880" s="8"/>
      <c r="D2880" s="8"/>
      <c r="E2880" s="16"/>
    </row>
    <row r="2881">
      <c r="A2881" s="8"/>
      <c r="B2881" s="8"/>
      <c r="C2881" s="8"/>
      <c r="D2881" s="8"/>
      <c r="E2881" s="16"/>
    </row>
    <row r="2882">
      <c r="A2882" s="8"/>
      <c r="B2882" s="8"/>
      <c r="C2882" s="8"/>
      <c r="D2882" s="8"/>
      <c r="E2882" s="16"/>
    </row>
    <row r="2883">
      <c r="A2883" s="8"/>
      <c r="B2883" s="8"/>
      <c r="C2883" s="8"/>
      <c r="D2883" s="8"/>
      <c r="E2883" s="16"/>
    </row>
    <row r="2884">
      <c r="A2884" s="8"/>
      <c r="B2884" s="8"/>
      <c r="C2884" s="8"/>
      <c r="D2884" s="8"/>
      <c r="E2884" s="16"/>
    </row>
    <row r="2885">
      <c r="A2885" s="8"/>
      <c r="B2885" s="8"/>
      <c r="C2885" s="8"/>
      <c r="D2885" s="8"/>
      <c r="E2885" s="16"/>
    </row>
    <row r="2886">
      <c r="A2886" s="8"/>
      <c r="B2886" s="8"/>
      <c r="C2886" s="8"/>
      <c r="D2886" s="8"/>
      <c r="E2886" s="16"/>
    </row>
    <row r="2887">
      <c r="A2887" s="8"/>
      <c r="B2887" s="8"/>
      <c r="C2887" s="8"/>
      <c r="D2887" s="8"/>
      <c r="E2887" s="16"/>
    </row>
    <row r="2888">
      <c r="A2888" s="8"/>
      <c r="B2888" s="8"/>
      <c r="C2888" s="8"/>
      <c r="D2888" s="8"/>
      <c r="E2888" s="16"/>
    </row>
    <row r="2889">
      <c r="A2889" s="8"/>
      <c r="B2889" s="8"/>
      <c r="C2889" s="8"/>
      <c r="D2889" s="8"/>
      <c r="E2889" s="16"/>
    </row>
    <row r="2890">
      <c r="A2890" s="8"/>
      <c r="B2890" s="8"/>
      <c r="C2890" s="8"/>
      <c r="D2890" s="8"/>
      <c r="E2890" s="16"/>
    </row>
    <row r="2891">
      <c r="A2891" s="8"/>
      <c r="B2891" s="8"/>
      <c r="C2891" s="8"/>
      <c r="D2891" s="8"/>
      <c r="E2891" s="16"/>
    </row>
    <row r="2892">
      <c r="A2892" s="8"/>
      <c r="B2892" s="8"/>
      <c r="C2892" s="8"/>
      <c r="D2892" s="8"/>
      <c r="E2892" s="16"/>
    </row>
    <row r="2893">
      <c r="A2893" s="8"/>
      <c r="B2893" s="8"/>
      <c r="C2893" s="8"/>
      <c r="D2893" s="8"/>
      <c r="E2893" s="16"/>
    </row>
    <row r="2894">
      <c r="A2894" s="8"/>
      <c r="B2894" s="8"/>
      <c r="C2894" s="8"/>
      <c r="D2894" s="8"/>
      <c r="E2894" s="16"/>
    </row>
    <row r="2895">
      <c r="A2895" s="8"/>
      <c r="B2895" s="8"/>
      <c r="C2895" s="8"/>
      <c r="D2895" s="8"/>
      <c r="E2895" s="16"/>
    </row>
    <row r="2896">
      <c r="A2896" s="8"/>
      <c r="B2896" s="8"/>
      <c r="C2896" s="8"/>
      <c r="D2896" s="8"/>
      <c r="E2896" s="16"/>
    </row>
    <row r="2897">
      <c r="A2897" s="8"/>
      <c r="B2897" s="8"/>
      <c r="C2897" s="8"/>
      <c r="D2897" s="8"/>
      <c r="E2897" s="16"/>
    </row>
    <row r="2898">
      <c r="A2898" s="8"/>
      <c r="B2898" s="8"/>
      <c r="C2898" s="8"/>
      <c r="D2898" s="8"/>
      <c r="E2898" s="16"/>
    </row>
    <row r="2899">
      <c r="A2899" s="8"/>
      <c r="B2899" s="8"/>
      <c r="C2899" s="8"/>
      <c r="D2899" s="8"/>
      <c r="E2899" s="16"/>
    </row>
    <row r="2900">
      <c r="A2900" s="8"/>
      <c r="B2900" s="8"/>
      <c r="C2900" s="8"/>
      <c r="D2900" s="8"/>
      <c r="E2900" s="16"/>
    </row>
    <row r="2901">
      <c r="A2901" s="8"/>
      <c r="B2901" s="8"/>
      <c r="C2901" s="8"/>
      <c r="D2901" s="8"/>
      <c r="E2901" s="16"/>
    </row>
    <row r="2902">
      <c r="A2902" s="8"/>
      <c r="B2902" s="8"/>
      <c r="C2902" s="8"/>
      <c r="D2902" s="8"/>
      <c r="E2902" s="16"/>
    </row>
    <row r="2903">
      <c r="A2903" s="8"/>
      <c r="B2903" s="8"/>
      <c r="C2903" s="8"/>
      <c r="D2903" s="8"/>
      <c r="E2903" s="16"/>
    </row>
    <row r="2904">
      <c r="A2904" s="8"/>
      <c r="B2904" s="8"/>
      <c r="C2904" s="8"/>
      <c r="D2904" s="8"/>
      <c r="E2904" s="16"/>
    </row>
    <row r="2905">
      <c r="A2905" s="8"/>
      <c r="B2905" s="8"/>
      <c r="C2905" s="8"/>
      <c r="D2905" s="8"/>
      <c r="E2905" s="16"/>
    </row>
    <row r="2906">
      <c r="A2906" s="8"/>
      <c r="B2906" s="8"/>
      <c r="C2906" s="8"/>
      <c r="D2906" s="8"/>
      <c r="E2906" s="16"/>
    </row>
    <row r="2907">
      <c r="A2907" s="8"/>
      <c r="B2907" s="8"/>
      <c r="C2907" s="8"/>
      <c r="D2907" s="8"/>
      <c r="E2907" s="16"/>
    </row>
    <row r="2908">
      <c r="A2908" s="8"/>
      <c r="B2908" s="8"/>
      <c r="C2908" s="8"/>
      <c r="D2908" s="8"/>
      <c r="E2908" s="16"/>
    </row>
    <row r="2909">
      <c r="A2909" s="8"/>
      <c r="B2909" s="8"/>
      <c r="C2909" s="8"/>
      <c r="D2909" s="8"/>
      <c r="E2909" s="16"/>
    </row>
    <row r="2910">
      <c r="A2910" s="8"/>
      <c r="B2910" s="8"/>
      <c r="C2910" s="8"/>
      <c r="D2910" s="8"/>
      <c r="E2910" s="16"/>
    </row>
    <row r="2911">
      <c r="A2911" s="8"/>
      <c r="B2911" s="8"/>
      <c r="C2911" s="8"/>
      <c r="D2911" s="8"/>
      <c r="E2911" s="16"/>
    </row>
    <row r="2912">
      <c r="A2912" s="8"/>
      <c r="B2912" s="8"/>
      <c r="C2912" s="8"/>
      <c r="D2912" s="8"/>
      <c r="E2912" s="16"/>
    </row>
    <row r="2913">
      <c r="A2913" s="8"/>
      <c r="B2913" s="8"/>
      <c r="C2913" s="8"/>
      <c r="D2913" s="8"/>
      <c r="E2913" s="16"/>
    </row>
    <row r="2914">
      <c r="A2914" s="8"/>
      <c r="B2914" s="8"/>
      <c r="C2914" s="8"/>
      <c r="D2914" s="8"/>
      <c r="E2914" s="16"/>
    </row>
    <row r="2915">
      <c r="A2915" s="8"/>
      <c r="B2915" s="8"/>
      <c r="C2915" s="8"/>
      <c r="D2915" s="8"/>
      <c r="E2915" s="16"/>
    </row>
    <row r="2916">
      <c r="A2916" s="8"/>
      <c r="B2916" s="8"/>
      <c r="C2916" s="8"/>
      <c r="D2916" s="8"/>
      <c r="E2916" s="16"/>
    </row>
    <row r="2917">
      <c r="A2917" s="8"/>
      <c r="B2917" s="8"/>
      <c r="C2917" s="8"/>
      <c r="D2917" s="8"/>
      <c r="E2917" s="16"/>
    </row>
    <row r="2918">
      <c r="A2918" s="8"/>
      <c r="B2918" s="8"/>
      <c r="C2918" s="8"/>
      <c r="D2918" s="8"/>
      <c r="E2918" s="16"/>
    </row>
    <row r="2919">
      <c r="A2919" s="8"/>
      <c r="B2919" s="8"/>
      <c r="C2919" s="8"/>
      <c r="D2919" s="8"/>
      <c r="E2919" s="16"/>
    </row>
    <row r="2920">
      <c r="A2920" s="8"/>
      <c r="B2920" s="8"/>
      <c r="C2920" s="8"/>
      <c r="D2920" s="8"/>
      <c r="E2920" s="16"/>
    </row>
    <row r="2921">
      <c r="A2921" s="8"/>
      <c r="B2921" s="8"/>
      <c r="C2921" s="8"/>
      <c r="D2921" s="8"/>
      <c r="E2921" s="16"/>
    </row>
    <row r="2922">
      <c r="A2922" s="8"/>
      <c r="B2922" s="8"/>
      <c r="C2922" s="8"/>
      <c r="D2922" s="8"/>
      <c r="E2922" s="16"/>
    </row>
    <row r="2923">
      <c r="A2923" s="8"/>
      <c r="B2923" s="8"/>
      <c r="C2923" s="8"/>
      <c r="D2923" s="8"/>
      <c r="E2923" s="16"/>
    </row>
    <row r="2924">
      <c r="A2924" s="8"/>
      <c r="B2924" s="8"/>
      <c r="C2924" s="8"/>
      <c r="D2924" s="8"/>
      <c r="E2924" s="16"/>
    </row>
    <row r="2925">
      <c r="A2925" s="8"/>
      <c r="B2925" s="8"/>
      <c r="C2925" s="8"/>
      <c r="D2925" s="8"/>
      <c r="E2925" s="16"/>
    </row>
    <row r="2926">
      <c r="A2926" s="8"/>
      <c r="B2926" s="8"/>
      <c r="C2926" s="8"/>
      <c r="D2926" s="8"/>
      <c r="E2926" s="16"/>
    </row>
    <row r="2927">
      <c r="A2927" s="8"/>
      <c r="B2927" s="8"/>
      <c r="C2927" s="8"/>
      <c r="D2927" s="8"/>
      <c r="E2927" s="16"/>
    </row>
    <row r="2928">
      <c r="A2928" s="8"/>
      <c r="B2928" s="8"/>
      <c r="C2928" s="8"/>
      <c r="D2928" s="8"/>
      <c r="E2928" s="16"/>
    </row>
    <row r="2929">
      <c r="A2929" s="8"/>
      <c r="B2929" s="8"/>
      <c r="C2929" s="8"/>
      <c r="D2929" s="8"/>
      <c r="E2929" s="16"/>
    </row>
    <row r="2930">
      <c r="A2930" s="8"/>
      <c r="B2930" s="8"/>
      <c r="C2930" s="8"/>
      <c r="D2930" s="8"/>
      <c r="E2930" s="16"/>
    </row>
    <row r="2931">
      <c r="A2931" s="8"/>
      <c r="B2931" s="8"/>
      <c r="C2931" s="8"/>
      <c r="D2931" s="8"/>
      <c r="E2931" s="16"/>
    </row>
    <row r="2932">
      <c r="A2932" s="8"/>
      <c r="B2932" s="8"/>
      <c r="C2932" s="8"/>
      <c r="D2932" s="8"/>
      <c r="E2932" s="16"/>
    </row>
    <row r="2933">
      <c r="A2933" s="8"/>
      <c r="B2933" s="8"/>
      <c r="C2933" s="8"/>
      <c r="D2933" s="8"/>
      <c r="E2933" s="16"/>
    </row>
    <row r="2934">
      <c r="A2934" s="8"/>
      <c r="B2934" s="8"/>
      <c r="C2934" s="8"/>
      <c r="D2934" s="8"/>
      <c r="E2934" s="16"/>
    </row>
    <row r="2935">
      <c r="A2935" s="8"/>
      <c r="B2935" s="8"/>
      <c r="C2935" s="8"/>
      <c r="D2935" s="8"/>
      <c r="E2935" s="16"/>
    </row>
    <row r="2936">
      <c r="A2936" s="8"/>
      <c r="B2936" s="8"/>
      <c r="C2936" s="8"/>
      <c r="D2936" s="8"/>
      <c r="E2936" s="16"/>
    </row>
    <row r="2937">
      <c r="A2937" s="8"/>
      <c r="B2937" s="8"/>
      <c r="C2937" s="8"/>
      <c r="D2937" s="8"/>
      <c r="E2937" s="16"/>
    </row>
    <row r="2938">
      <c r="A2938" s="8"/>
      <c r="B2938" s="8"/>
      <c r="C2938" s="8"/>
      <c r="D2938" s="8"/>
      <c r="E2938" s="16"/>
    </row>
    <row r="2939">
      <c r="A2939" s="8"/>
      <c r="B2939" s="8"/>
      <c r="C2939" s="8"/>
      <c r="D2939" s="8"/>
      <c r="E2939" s="16"/>
    </row>
    <row r="2940">
      <c r="A2940" s="8"/>
      <c r="B2940" s="8"/>
      <c r="C2940" s="8"/>
      <c r="D2940" s="8"/>
      <c r="E2940" s="16"/>
    </row>
    <row r="2941">
      <c r="A2941" s="8"/>
      <c r="B2941" s="8"/>
      <c r="C2941" s="8"/>
      <c r="D2941" s="8"/>
      <c r="E2941" s="16"/>
    </row>
    <row r="2942">
      <c r="A2942" s="8"/>
      <c r="B2942" s="8"/>
      <c r="C2942" s="8"/>
      <c r="D2942" s="8"/>
      <c r="E2942" s="16"/>
    </row>
    <row r="2943">
      <c r="A2943" s="8"/>
      <c r="B2943" s="8"/>
      <c r="C2943" s="8"/>
      <c r="D2943" s="8"/>
      <c r="E2943" s="16"/>
    </row>
    <row r="2944">
      <c r="A2944" s="8"/>
      <c r="B2944" s="8"/>
      <c r="C2944" s="8"/>
      <c r="D2944" s="8"/>
      <c r="E2944" s="16"/>
    </row>
    <row r="2945">
      <c r="A2945" s="8"/>
      <c r="B2945" s="8"/>
      <c r="C2945" s="8"/>
      <c r="D2945" s="8"/>
      <c r="E2945" s="16"/>
    </row>
    <row r="2946">
      <c r="A2946" s="8"/>
      <c r="B2946" s="8"/>
      <c r="C2946" s="8"/>
      <c r="D2946" s="8"/>
      <c r="E2946" s="16"/>
    </row>
    <row r="2947">
      <c r="A2947" s="8"/>
      <c r="B2947" s="8"/>
      <c r="C2947" s="8"/>
      <c r="D2947" s="8"/>
      <c r="E2947" s="16"/>
    </row>
    <row r="2948">
      <c r="A2948" s="8"/>
      <c r="B2948" s="8"/>
      <c r="C2948" s="8"/>
      <c r="D2948" s="8"/>
      <c r="E2948" s="16"/>
    </row>
    <row r="2949">
      <c r="A2949" s="8"/>
      <c r="B2949" s="8"/>
      <c r="C2949" s="8"/>
      <c r="D2949" s="8"/>
      <c r="E2949" s="16"/>
    </row>
    <row r="2950">
      <c r="A2950" s="8"/>
      <c r="B2950" s="8"/>
      <c r="C2950" s="8"/>
      <c r="D2950" s="8"/>
      <c r="E2950" s="16"/>
    </row>
    <row r="2951">
      <c r="A2951" s="8"/>
      <c r="B2951" s="8"/>
      <c r="C2951" s="8"/>
      <c r="D2951" s="8"/>
      <c r="E2951" s="16"/>
    </row>
    <row r="2952">
      <c r="A2952" s="8"/>
      <c r="B2952" s="8"/>
      <c r="C2952" s="8"/>
      <c r="D2952" s="8"/>
      <c r="E2952" s="16"/>
    </row>
    <row r="2953">
      <c r="A2953" s="8"/>
      <c r="B2953" s="8"/>
      <c r="C2953" s="8"/>
      <c r="D2953" s="8"/>
      <c r="E2953" s="16"/>
    </row>
    <row r="2954">
      <c r="A2954" s="8"/>
      <c r="B2954" s="8"/>
      <c r="C2954" s="8"/>
      <c r="D2954" s="8"/>
      <c r="E2954" s="16"/>
    </row>
    <row r="2955">
      <c r="A2955" s="8"/>
      <c r="B2955" s="8"/>
      <c r="C2955" s="8"/>
      <c r="D2955" s="8"/>
      <c r="E2955" s="16"/>
    </row>
    <row r="2956">
      <c r="A2956" s="8"/>
      <c r="B2956" s="8"/>
      <c r="C2956" s="8"/>
      <c r="D2956" s="8"/>
      <c r="E2956" s="16"/>
    </row>
    <row r="2957">
      <c r="A2957" s="8"/>
      <c r="B2957" s="8"/>
      <c r="C2957" s="8"/>
      <c r="D2957" s="8"/>
      <c r="E2957" s="16"/>
    </row>
    <row r="2958">
      <c r="A2958" s="8"/>
      <c r="B2958" s="8"/>
      <c r="C2958" s="8"/>
      <c r="D2958" s="8"/>
      <c r="E2958" s="16"/>
    </row>
    <row r="2959">
      <c r="A2959" s="8"/>
      <c r="B2959" s="8"/>
      <c r="C2959" s="8"/>
      <c r="D2959" s="8"/>
      <c r="E2959" s="16"/>
    </row>
    <row r="2960">
      <c r="A2960" s="8"/>
      <c r="B2960" s="8"/>
      <c r="C2960" s="8"/>
      <c r="D2960" s="8"/>
      <c r="E2960" s="16"/>
    </row>
    <row r="2961">
      <c r="A2961" s="8"/>
      <c r="B2961" s="8"/>
      <c r="C2961" s="8"/>
      <c r="D2961" s="8"/>
      <c r="E2961" s="16"/>
    </row>
    <row r="2962">
      <c r="A2962" s="8"/>
      <c r="B2962" s="8"/>
      <c r="C2962" s="8"/>
      <c r="D2962" s="8"/>
      <c r="E2962" s="16"/>
    </row>
    <row r="2963">
      <c r="A2963" s="8"/>
      <c r="B2963" s="8"/>
      <c r="C2963" s="8"/>
      <c r="D2963" s="8"/>
      <c r="E2963" s="16"/>
    </row>
    <row r="2964">
      <c r="A2964" s="8"/>
      <c r="B2964" s="8"/>
      <c r="C2964" s="8"/>
      <c r="D2964" s="8"/>
      <c r="E2964" s="16"/>
    </row>
    <row r="2965">
      <c r="A2965" s="8"/>
      <c r="B2965" s="8"/>
      <c r="C2965" s="8"/>
      <c r="D2965" s="8"/>
      <c r="E2965" s="16"/>
    </row>
    <row r="2966">
      <c r="A2966" s="8"/>
      <c r="B2966" s="8"/>
      <c r="C2966" s="8"/>
      <c r="D2966" s="8"/>
      <c r="E2966" s="16"/>
    </row>
    <row r="2967">
      <c r="A2967" s="8"/>
      <c r="B2967" s="8"/>
      <c r="C2967" s="8"/>
      <c r="D2967" s="8"/>
      <c r="E2967" s="16"/>
    </row>
    <row r="2968">
      <c r="A2968" s="8"/>
      <c r="B2968" s="8"/>
      <c r="C2968" s="8"/>
      <c r="D2968" s="8"/>
      <c r="E2968" s="16"/>
    </row>
    <row r="2969">
      <c r="A2969" s="8"/>
      <c r="B2969" s="8"/>
      <c r="C2969" s="8"/>
      <c r="D2969" s="8"/>
      <c r="E2969" s="16"/>
    </row>
    <row r="2970">
      <c r="A2970" s="8"/>
      <c r="B2970" s="8"/>
      <c r="C2970" s="8"/>
      <c r="D2970" s="8"/>
      <c r="E2970" s="16"/>
    </row>
    <row r="2971">
      <c r="A2971" s="8"/>
      <c r="B2971" s="8"/>
      <c r="C2971" s="8"/>
      <c r="D2971" s="8"/>
      <c r="E2971" s="16"/>
    </row>
    <row r="2972">
      <c r="A2972" s="8"/>
      <c r="B2972" s="8"/>
      <c r="C2972" s="8"/>
      <c r="D2972" s="8"/>
      <c r="E2972" s="16"/>
    </row>
    <row r="2973">
      <c r="A2973" s="8"/>
      <c r="B2973" s="8"/>
      <c r="C2973" s="8"/>
      <c r="D2973" s="8"/>
      <c r="E2973" s="16"/>
    </row>
    <row r="2974">
      <c r="A2974" s="8"/>
      <c r="B2974" s="8"/>
      <c r="C2974" s="8"/>
      <c r="D2974" s="8"/>
      <c r="E2974" s="16"/>
    </row>
    <row r="2975">
      <c r="A2975" s="8"/>
      <c r="B2975" s="8"/>
      <c r="C2975" s="8"/>
      <c r="D2975" s="8"/>
      <c r="E2975" s="16"/>
    </row>
    <row r="2976">
      <c r="A2976" s="8"/>
      <c r="B2976" s="8"/>
      <c r="C2976" s="8"/>
      <c r="D2976" s="8"/>
      <c r="E2976" s="16"/>
    </row>
    <row r="2977">
      <c r="A2977" s="8"/>
      <c r="B2977" s="8"/>
      <c r="C2977" s="8"/>
      <c r="D2977" s="8"/>
      <c r="E2977" s="16"/>
    </row>
    <row r="2978">
      <c r="A2978" s="8"/>
      <c r="B2978" s="8"/>
      <c r="C2978" s="8"/>
      <c r="D2978" s="8"/>
      <c r="E2978" s="16"/>
    </row>
    <row r="2979">
      <c r="A2979" s="8"/>
      <c r="B2979" s="8"/>
      <c r="C2979" s="8"/>
      <c r="D2979" s="8"/>
      <c r="E2979" s="16"/>
    </row>
    <row r="2980">
      <c r="A2980" s="8"/>
      <c r="B2980" s="8"/>
      <c r="C2980" s="8"/>
      <c r="D2980" s="8"/>
      <c r="E2980" s="16"/>
    </row>
    <row r="2981">
      <c r="A2981" s="8"/>
      <c r="B2981" s="8"/>
      <c r="C2981" s="8"/>
      <c r="D2981" s="8"/>
      <c r="E2981" s="16"/>
    </row>
    <row r="2982">
      <c r="A2982" s="8"/>
      <c r="B2982" s="8"/>
      <c r="C2982" s="8"/>
      <c r="D2982" s="8"/>
      <c r="E2982" s="16"/>
    </row>
    <row r="2983">
      <c r="A2983" s="8"/>
      <c r="B2983" s="8"/>
      <c r="C2983" s="8"/>
      <c r="D2983" s="8"/>
      <c r="E2983" s="16"/>
    </row>
    <row r="2984">
      <c r="A2984" s="8"/>
      <c r="B2984" s="8"/>
      <c r="C2984" s="8"/>
      <c r="D2984" s="8"/>
      <c r="E2984" s="16"/>
    </row>
    <row r="2985">
      <c r="A2985" s="8"/>
      <c r="B2985" s="8"/>
      <c r="C2985" s="8"/>
      <c r="D2985" s="8"/>
      <c r="E2985" s="16"/>
    </row>
    <row r="2986">
      <c r="A2986" s="8"/>
      <c r="B2986" s="8"/>
      <c r="C2986" s="8"/>
      <c r="D2986" s="8"/>
      <c r="E2986" s="16"/>
    </row>
    <row r="2987">
      <c r="A2987" s="8"/>
      <c r="B2987" s="8"/>
      <c r="C2987" s="8"/>
      <c r="D2987" s="8"/>
      <c r="E2987" s="16"/>
    </row>
    <row r="2988">
      <c r="A2988" s="8"/>
      <c r="B2988" s="8"/>
      <c r="C2988" s="8"/>
      <c r="D2988" s="8"/>
      <c r="E2988" s="16"/>
    </row>
    <row r="2989">
      <c r="A2989" s="8"/>
      <c r="B2989" s="8"/>
      <c r="C2989" s="8"/>
      <c r="D2989" s="8"/>
      <c r="E2989" s="16"/>
    </row>
    <row r="2990">
      <c r="A2990" s="8"/>
      <c r="B2990" s="8"/>
      <c r="C2990" s="8"/>
      <c r="D2990" s="8"/>
      <c r="E2990" s="16"/>
    </row>
    <row r="2991">
      <c r="A2991" s="8"/>
      <c r="B2991" s="8"/>
      <c r="C2991" s="8"/>
      <c r="D2991" s="8"/>
      <c r="E2991" s="16"/>
    </row>
    <row r="2992">
      <c r="A2992" s="8"/>
      <c r="B2992" s="8"/>
      <c r="C2992" s="8"/>
      <c r="D2992" s="8"/>
      <c r="E2992" s="16"/>
    </row>
    <row r="2993">
      <c r="A2993" s="8"/>
      <c r="B2993" s="8"/>
      <c r="C2993" s="8"/>
      <c r="D2993" s="8"/>
      <c r="E2993" s="16"/>
    </row>
    <row r="2994">
      <c r="A2994" s="8"/>
      <c r="B2994" s="8"/>
      <c r="C2994" s="8"/>
      <c r="D2994" s="8"/>
      <c r="E2994" s="16"/>
    </row>
    <row r="2995">
      <c r="A2995" s="8"/>
      <c r="B2995" s="8"/>
      <c r="C2995" s="8"/>
      <c r="D2995" s="8"/>
      <c r="E2995" s="16"/>
    </row>
    <row r="2996">
      <c r="A2996" s="8"/>
      <c r="B2996" s="8"/>
      <c r="C2996" s="8"/>
      <c r="D2996" s="8"/>
      <c r="E2996" s="16"/>
    </row>
    <row r="2997">
      <c r="A2997" s="8"/>
      <c r="B2997" s="8"/>
      <c r="C2997" s="8"/>
      <c r="D2997" s="8"/>
      <c r="E2997" s="16"/>
    </row>
    <row r="2998">
      <c r="A2998" s="8"/>
      <c r="B2998" s="8"/>
      <c r="C2998" s="8"/>
      <c r="D2998" s="8"/>
      <c r="E2998" s="16"/>
    </row>
    <row r="2999">
      <c r="A2999" s="8"/>
      <c r="B2999" s="8"/>
      <c r="C2999" s="8"/>
      <c r="D2999" s="8"/>
      <c r="E2999" s="16"/>
    </row>
    <row r="3000">
      <c r="A3000" s="8"/>
      <c r="B3000" s="8"/>
      <c r="C3000" s="8"/>
      <c r="D3000" s="8"/>
      <c r="E3000" s="16"/>
    </row>
    <row r="3001">
      <c r="A3001" s="8"/>
      <c r="B3001" s="8"/>
      <c r="C3001" s="8"/>
      <c r="D3001" s="8"/>
      <c r="E3001" s="16"/>
    </row>
    <row r="3002">
      <c r="A3002" s="8"/>
      <c r="B3002" s="8"/>
      <c r="C3002" s="8"/>
      <c r="D3002" s="8"/>
      <c r="E3002" s="16"/>
    </row>
    <row r="3003">
      <c r="A3003" s="8"/>
      <c r="B3003" s="8"/>
      <c r="C3003" s="8"/>
      <c r="D3003" s="8"/>
      <c r="E3003" s="16"/>
    </row>
    <row r="3004">
      <c r="A3004" s="8"/>
      <c r="B3004" s="8"/>
      <c r="C3004" s="8"/>
      <c r="D3004" s="8"/>
      <c r="E3004" s="16"/>
    </row>
    <row r="3005">
      <c r="A3005" s="8"/>
      <c r="B3005" s="8"/>
      <c r="C3005" s="8"/>
      <c r="D3005" s="8"/>
      <c r="E3005" s="16"/>
    </row>
    <row r="3006">
      <c r="A3006" s="8"/>
      <c r="B3006" s="8"/>
      <c r="C3006" s="8"/>
      <c r="D3006" s="8"/>
      <c r="E3006" s="16"/>
    </row>
    <row r="3007">
      <c r="A3007" s="8"/>
      <c r="B3007" s="8"/>
      <c r="C3007" s="8"/>
      <c r="D3007" s="8"/>
      <c r="E3007" s="16"/>
    </row>
    <row r="3008">
      <c r="A3008" s="8"/>
      <c r="B3008" s="8"/>
      <c r="C3008" s="8"/>
      <c r="D3008" s="8"/>
      <c r="E3008" s="16"/>
    </row>
    <row r="3009">
      <c r="A3009" s="8"/>
      <c r="B3009" s="8"/>
      <c r="C3009" s="8"/>
      <c r="D3009" s="8"/>
      <c r="E3009" s="16"/>
    </row>
    <row r="3010">
      <c r="A3010" s="8"/>
      <c r="B3010" s="8"/>
      <c r="C3010" s="8"/>
      <c r="D3010" s="8"/>
      <c r="E3010" s="16"/>
    </row>
    <row r="3011">
      <c r="A3011" s="8"/>
      <c r="B3011" s="8"/>
      <c r="C3011" s="8"/>
      <c r="D3011" s="8"/>
      <c r="E3011" s="16"/>
    </row>
    <row r="3012">
      <c r="A3012" s="8"/>
      <c r="B3012" s="8"/>
      <c r="C3012" s="8"/>
      <c r="D3012" s="8"/>
      <c r="E3012" s="16"/>
    </row>
    <row r="3013">
      <c r="A3013" s="8"/>
      <c r="B3013" s="8"/>
      <c r="C3013" s="8"/>
      <c r="D3013" s="8"/>
      <c r="E3013" s="16"/>
    </row>
    <row r="3014">
      <c r="A3014" s="8"/>
      <c r="B3014" s="8"/>
      <c r="C3014" s="8"/>
      <c r="D3014" s="8"/>
      <c r="E3014" s="16"/>
    </row>
    <row r="3015">
      <c r="A3015" s="8"/>
      <c r="B3015" s="8"/>
      <c r="C3015" s="8"/>
      <c r="D3015" s="8"/>
      <c r="E3015" s="16"/>
    </row>
    <row r="3016">
      <c r="A3016" s="8"/>
      <c r="B3016" s="8"/>
      <c r="C3016" s="8"/>
      <c r="D3016" s="8"/>
      <c r="E3016" s="16"/>
    </row>
    <row r="3017">
      <c r="A3017" s="8"/>
      <c r="B3017" s="8"/>
      <c r="C3017" s="8"/>
      <c r="D3017" s="8"/>
      <c r="E3017" s="16"/>
    </row>
    <row r="3018">
      <c r="A3018" s="8"/>
      <c r="B3018" s="8"/>
      <c r="C3018" s="8"/>
      <c r="D3018" s="8"/>
      <c r="E3018" s="16"/>
    </row>
    <row r="3019">
      <c r="A3019" s="8"/>
      <c r="B3019" s="8"/>
      <c r="C3019" s="8"/>
      <c r="D3019" s="8"/>
      <c r="E3019" s="16"/>
    </row>
    <row r="3020">
      <c r="A3020" s="8"/>
      <c r="B3020" s="8"/>
      <c r="C3020" s="8"/>
      <c r="D3020" s="8"/>
      <c r="E3020" s="16"/>
    </row>
    <row r="3021">
      <c r="A3021" s="8"/>
      <c r="B3021" s="8"/>
      <c r="C3021" s="8"/>
      <c r="D3021" s="8"/>
      <c r="E3021" s="16"/>
    </row>
    <row r="3022">
      <c r="A3022" s="8"/>
      <c r="B3022" s="8"/>
      <c r="C3022" s="8"/>
      <c r="D3022" s="8"/>
      <c r="E3022" s="16"/>
    </row>
    <row r="3023">
      <c r="A3023" s="8"/>
      <c r="B3023" s="8"/>
      <c r="C3023" s="8"/>
      <c r="D3023" s="8"/>
      <c r="E3023" s="16"/>
    </row>
    <row r="3024">
      <c r="A3024" s="8"/>
      <c r="B3024" s="8"/>
      <c r="C3024" s="8"/>
      <c r="D3024" s="8"/>
      <c r="E3024" s="16"/>
    </row>
    <row r="3025">
      <c r="A3025" s="8"/>
      <c r="B3025" s="8"/>
      <c r="C3025" s="8"/>
      <c r="D3025" s="8"/>
      <c r="E3025" s="16"/>
    </row>
    <row r="3026">
      <c r="A3026" s="8"/>
      <c r="B3026" s="8"/>
      <c r="C3026" s="8"/>
      <c r="D3026" s="8"/>
      <c r="E3026" s="16"/>
    </row>
    <row r="3027">
      <c r="A3027" s="8"/>
      <c r="B3027" s="8"/>
      <c r="C3027" s="8"/>
      <c r="D3027" s="8"/>
      <c r="E3027" s="16"/>
    </row>
    <row r="3028">
      <c r="A3028" s="8"/>
      <c r="B3028" s="8"/>
      <c r="C3028" s="8"/>
      <c r="D3028" s="8"/>
      <c r="E3028" s="16"/>
    </row>
    <row r="3029">
      <c r="A3029" s="8"/>
      <c r="B3029" s="8"/>
      <c r="C3029" s="8"/>
      <c r="D3029" s="8"/>
      <c r="E3029" s="16"/>
    </row>
    <row r="3030">
      <c r="A3030" s="8"/>
      <c r="B3030" s="8"/>
      <c r="C3030" s="8"/>
      <c r="D3030" s="8"/>
      <c r="E3030" s="16"/>
    </row>
    <row r="3031">
      <c r="A3031" s="8"/>
      <c r="B3031" s="8"/>
      <c r="C3031" s="8"/>
      <c r="D3031" s="8"/>
      <c r="E3031" s="16"/>
    </row>
    <row r="3032">
      <c r="A3032" s="8"/>
      <c r="B3032" s="8"/>
      <c r="C3032" s="8"/>
      <c r="D3032" s="8"/>
      <c r="E3032" s="16"/>
    </row>
    <row r="3033">
      <c r="A3033" s="8"/>
      <c r="B3033" s="8"/>
      <c r="C3033" s="8"/>
      <c r="D3033" s="8"/>
      <c r="E3033" s="16"/>
    </row>
    <row r="3034">
      <c r="A3034" s="8"/>
      <c r="B3034" s="8"/>
      <c r="C3034" s="8"/>
      <c r="D3034" s="8"/>
      <c r="E3034" s="16"/>
    </row>
    <row r="3035">
      <c r="A3035" s="8"/>
      <c r="B3035" s="8"/>
      <c r="C3035" s="8"/>
      <c r="D3035" s="8"/>
      <c r="E3035" s="16"/>
    </row>
    <row r="3036">
      <c r="A3036" s="8"/>
      <c r="B3036" s="8"/>
      <c r="C3036" s="8"/>
      <c r="D3036" s="8"/>
      <c r="E3036" s="16"/>
    </row>
    <row r="3037">
      <c r="A3037" s="8"/>
      <c r="B3037" s="8"/>
      <c r="C3037" s="8"/>
      <c r="D3037" s="8"/>
      <c r="E3037" s="16"/>
    </row>
    <row r="3038">
      <c r="A3038" s="8"/>
      <c r="B3038" s="8"/>
      <c r="C3038" s="8"/>
      <c r="D3038" s="8"/>
      <c r="E3038" s="16"/>
    </row>
    <row r="3039">
      <c r="A3039" s="8"/>
      <c r="B3039" s="8"/>
      <c r="C3039" s="8"/>
      <c r="D3039" s="8"/>
      <c r="E3039" s="16"/>
    </row>
    <row r="3040">
      <c r="A3040" s="8"/>
      <c r="B3040" s="8"/>
      <c r="C3040" s="8"/>
      <c r="D3040" s="8"/>
      <c r="E3040" s="16"/>
    </row>
    <row r="3041">
      <c r="A3041" s="8"/>
      <c r="B3041" s="8"/>
      <c r="C3041" s="8"/>
      <c r="D3041" s="8"/>
      <c r="E3041" s="16"/>
    </row>
    <row r="3042">
      <c r="A3042" s="8"/>
      <c r="B3042" s="8"/>
      <c r="C3042" s="8"/>
      <c r="D3042" s="8"/>
      <c r="E3042" s="16"/>
    </row>
    <row r="3043">
      <c r="A3043" s="8"/>
      <c r="B3043" s="8"/>
      <c r="C3043" s="8"/>
      <c r="D3043" s="8"/>
      <c r="E3043" s="16"/>
    </row>
    <row r="3044">
      <c r="A3044" s="8"/>
      <c r="B3044" s="8"/>
      <c r="C3044" s="8"/>
      <c r="D3044" s="8"/>
      <c r="E3044" s="16"/>
    </row>
    <row r="3045">
      <c r="A3045" s="8"/>
      <c r="B3045" s="8"/>
      <c r="C3045" s="8"/>
      <c r="D3045" s="8"/>
      <c r="E3045" s="16"/>
    </row>
    <row r="3046">
      <c r="A3046" s="8"/>
      <c r="B3046" s="8"/>
      <c r="C3046" s="8"/>
      <c r="D3046" s="8"/>
      <c r="E3046" s="16"/>
    </row>
    <row r="3047">
      <c r="A3047" s="8"/>
      <c r="B3047" s="8"/>
      <c r="C3047" s="8"/>
      <c r="D3047" s="8"/>
      <c r="E3047" s="16"/>
    </row>
    <row r="3048">
      <c r="A3048" s="8"/>
      <c r="B3048" s="8"/>
      <c r="C3048" s="8"/>
      <c r="D3048" s="8"/>
      <c r="E3048" s="16"/>
    </row>
    <row r="3049">
      <c r="A3049" s="8"/>
      <c r="B3049" s="8"/>
      <c r="C3049" s="8"/>
      <c r="D3049" s="8"/>
      <c r="E3049" s="16"/>
    </row>
    <row r="3050">
      <c r="A3050" s="8"/>
      <c r="B3050" s="8"/>
      <c r="C3050" s="8"/>
      <c r="D3050" s="8"/>
      <c r="E3050" s="16"/>
    </row>
    <row r="3051">
      <c r="A3051" s="8"/>
      <c r="B3051" s="8"/>
      <c r="C3051" s="8"/>
      <c r="D3051" s="8"/>
      <c r="E3051" s="16"/>
    </row>
    <row r="3052">
      <c r="A3052" s="8"/>
      <c r="B3052" s="8"/>
      <c r="C3052" s="8"/>
      <c r="D3052" s="8"/>
      <c r="E3052" s="16"/>
    </row>
    <row r="3053">
      <c r="A3053" s="8"/>
      <c r="B3053" s="8"/>
      <c r="C3053" s="8"/>
      <c r="D3053" s="8"/>
      <c r="E3053" s="16"/>
    </row>
    <row r="3054">
      <c r="A3054" s="8"/>
      <c r="B3054" s="8"/>
      <c r="C3054" s="8"/>
      <c r="D3054" s="8"/>
      <c r="E3054" s="16"/>
    </row>
    <row r="3055">
      <c r="A3055" s="8"/>
      <c r="B3055" s="8"/>
      <c r="C3055" s="8"/>
      <c r="D3055" s="8"/>
      <c r="E3055" s="16"/>
    </row>
    <row r="3056">
      <c r="A3056" s="8"/>
      <c r="B3056" s="8"/>
      <c r="C3056" s="8"/>
      <c r="D3056" s="8"/>
      <c r="E3056" s="16"/>
    </row>
    <row r="3057">
      <c r="A3057" s="8"/>
      <c r="B3057" s="8"/>
      <c r="C3057" s="8"/>
      <c r="D3057" s="8"/>
      <c r="E3057" s="16"/>
    </row>
    <row r="3058">
      <c r="A3058" s="8"/>
      <c r="B3058" s="8"/>
      <c r="C3058" s="8"/>
      <c r="D3058" s="8"/>
      <c r="E3058" s="16"/>
    </row>
    <row r="3059">
      <c r="A3059" s="8"/>
      <c r="B3059" s="8"/>
      <c r="C3059" s="8"/>
      <c r="D3059" s="8"/>
      <c r="E3059" s="16"/>
    </row>
    <row r="3060">
      <c r="A3060" s="8"/>
      <c r="B3060" s="8"/>
      <c r="C3060" s="8"/>
      <c r="D3060" s="8"/>
      <c r="E3060" s="16"/>
    </row>
    <row r="3061">
      <c r="A3061" s="8"/>
      <c r="B3061" s="8"/>
      <c r="C3061" s="8"/>
      <c r="D3061" s="8"/>
      <c r="E3061" s="16"/>
    </row>
    <row r="3062">
      <c r="A3062" s="8"/>
      <c r="B3062" s="8"/>
      <c r="C3062" s="8"/>
      <c r="D3062" s="8"/>
      <c r="E3062" s="16"/>
    </row>
    <row r="3063">
      <c r="A3063" s="8"/>
      <c r="B3063" s="8"/>
      <c r="C3063" s="8"/>
      <c r="D3063" s="8"/>
      <c r="E3063" s="16"/>
    </row>
    <row r="3064">
      <c r="A3064" s="8"/>
      <c r="B3064" s="8"/>
      <c r="C3064" s="8"/>
      <c r="D3064" s="8"/>
      <c r="E3064" s="16"/>
    </row>
    <row r="3065">
      <c r="A3065" s="8"/>
      <c r="B3065" s="8"/>
      <c r="C3065" s="8"/>
      <c r="D3065" s="8"/>
      <c r="E3065" s="16"/>
    </row>
    <row r="3066">
      <c r="A3066" s="8"/>
      <c r="B3066" s="8"/>
      <c r="C3066" s="8"/>
      <c r="D3066" s="8"/>
      <c r="E3066" s="16"/>
    </row>
    <row r="3067">
      <c r="A3067" s="8"/>
      <c r="B3067" s="8"/>
      <c r="C3067" s="8"/>
      <c r="D3067" s="8"/>
      <c r="E3067" s="16"/>
    </row>
    <row r="3068">
      <c r="A3068" s="8"/>
      <c r="B3068" s="8"/>
      <c r="C3068" s="8"/>
      <c r="D3068" s="8"/>
      <c r="E3068" s="16"/>
    </row>
    <row r="3069">
      <c r="A3069" s="8"/>
      <c r="B3069" s="8"/>
      <c r="C3069" s="8"/>
      <c r="D3069" s="8"/>
      <c r="E3069" s="16"/>
    </row>
    <row r="3070">
      <c r="A3070" s="8"/>
      <c r="B3070" s="8"/>
      <c r="C3070" s="8"/>
      <c r="D3070" s="8"/>
      <c r="E3070" s="16"/>
    </row>
    <row r="3071">
      <c r="A3071" s="8"/>
      <c r="B3071" s="8"/>
      <c r="C3071" s="8"/>
      <c r="D3071" s="8"/>
      <c r="E3071" s="16"/>
    </row>
    <row r="3072">
      <c r="A3072" s="8"/>
      <c r="B3072" s="8"/>
      <c r="C3072" s="8"/>
      <c r="D3072" s="8"/>
      <c r="E3072" s="16"/>
    </row>
    <row r="3073">
      <c r="A3073" s="8"/>
      <c r="B3073" s="8"/>
      <c r="C3073" s="8"/>
      <c r="D3073" s="8"/>
      <c r="E3073" s="16"/>
    </row>
    <row r="3074">
      <c r="A3074" s="8"/>
      <c r="B3074" s="8"/>
      <c r="C3074" s="8"/>
      <c r="D3074" s="8"/>
      <c r="E3074" s="16"/>
    </row>
    <row r="3075">
      <c r="A3075" s="8"/>
      <c r="B3075" s="8"/>
      <c r="C3075" s="8"/>
      <c r="D3075" s="8"/>
      <c r="E3075" s="16"/>
    </row>
    <row r="3076">
      <c r="A3076" s="8"/>
      <c r="B3076" s="8"/>
      <c r="C3076" s="8"/>
      <c r="D3076" s="8"/>
      <c r="E3076" s="16"/>
    </row>
    <row r="3077">
      <c r="A3077" s="8"/>
      <c r="B3077" s="8"/>
      <c r="C3077" s="8"/>
      <c r="D3077" s="8"/>
      <c r="E3077" s="16"/>
    </row>
    <row r="3078">
      <c r="A3078" s="8"/>
      <c r="B3078" s="8"/>
      <c r="C3078" s="8"/>
      <c r="D3078" s="8"/>
      <c r="E3078" s="16"/>
    </row>
    <row r="3079">
      <c r="A3079" s="8"/>
      <c r="B3079" s="8"/>
      <c r="C3079" s="8"/>
      <c r="D3079" s="8"/>
      <c r="E3079" s="16"/>
    </row>
    <row r="3080">
      <c r="A3080" s="8"/>
      <c r="B3080" s="8"/>
      <c r="C3080" s="8"/>
      <c r="D3080" s="8"/>
      <c r="E3080" s="16"/>
    </row>
    <row r="3081">
      <c r="A3081" s="8"/>
      <c r="B3081" s="8"/>
      <c r="C3081" s="8"/>
      <c r="D3081" s="8"/>
      <c r="E3081" s="16"/>
    </row>
    <row r="3082">
      <c r="A3082" s="8"/>
      <c r="B3082" s="8"/>
      <c r="C3082" s="8"/>
      <c r="D3082" s="8"/>
      <c r="E3082" s="16"/>
    </row>
    <row r="3083">
      <c r="A3083" s="8"/>
      <c r="B3083" s="8"/>
      <c r="C3083" s="8"/>
      <c r="D3083" s="8"/>
      <c r="E3083" s="16"/>
    </row>
    <row r="3084">
      <c r="A3084" s="8"/>
      <c r="B3084" s="8"/>
      <c r="C3084" s="8"/>
      <c r="D3084" s="8"/>
      <c r="E3084" s="16"/>
    </row>
    <row r="3085">
      <c r="A3085" s="8"/>
      <c r="B3085" s="8"/>
      <c r="C3085" s="8"/>
      <c r="D3085" s="8"/>
      <c r="E3085" s="16"/>
    </row>
    <row r="3086">
      <c r="A3086" s="8"/>
      <c r="B3086" s="8"/>
      <c r="C3086" s="8"/>
      <c r="D3086" s="8"/>
      <c r="E3086" s="16"/>
    </row>
    <row r="3087">
      <c r="A3087" s="8"/>
      <c r="B3087" s="8"/>
      <c r="C3087" s="8"/>
      <c r="D3087" s="8"/>
      <c r="E3087" s="16"/>
    </row>
    <row r="3088">
      <c r="A3088" s="8"/>
      <c r="B3088" s="8"/>
      <c r="C3088" s="8"/>
      <c r="D3088" s="8"/>
      <c r="E3088" s="16"/>
    </row>
    <row r="3089">
      <c r="A3089" s="8"/>
      <c r="B3089" s="8"/>
      <c r="C3089" s="8"/>
      <c r="D3089" s="8"/>
      <c r="E3089" s="16"/>
    </row>
    <row r="3090">
      <c r="A3090" s="8"/>
      <c r="B3090" s="8"/>
      <c r="C3090" s="8"/>
      <c r="D3090" s="8"/>
      <c r="E3090" s="16"/>
    </row>
    <row r="3091">
      <c r="A3091" s="8"/>
      <c r="B3091" s="8"/>
      <c r="C3091" s="8"/>
      <c r="D3091" s="8"/>
      <c r="E3091" s="16"/>
    </row>
    <row r="3092">
      <c r="A3092" s="8"/>
      <c r="B3092" s="8"/>
      <c r="C3092" s="8"/>
      <c r="D3092" s="8"/>
      <c r="E3092" s="16"/>
    </row>
    <row r="3093">
      <c r="A3093" s="8"/>
      <c r="B3093" s="8"/>
      <c r="C3093" s="8"/>
      <c r="D3093" s="8"/>
      <c r="E3093" s="16"/>
    </row>
    <row r="3094">
      <c r="A3094" s="8"/>
      <c r="B3094" s="8"/>
      <c r="C3094" s="8"/>
      <c r="D3094" s="8"/>
      <c r="E3094" s="16"/>
    </row>
    <row r="3095">
      <c r="A3095" s="8"/>
      <c r="B3095" s="8"/>
      <c r="C3095" s="8"/>
      <c r="D3095" s="8"/>
      <c r="E3095" s="16"/>
    </row>
    <row r="3096">
      <c r="A3096" s="8"/>
      <c r="B3096" s="8"/>
      <c r="C3096" s="8"/>
      <c r="D3096" s="8"/>
      <c r="E3096" s="16"/>
    </row>
    <row r="3097">
      <c r="A3097" s="8"/>
      <c r="B3097" s="8"/>
      <c r="C3097" s="8"/>
      <c r="D3097" s="8"/>
      <c r="E3097" s="16"/>
    </row>
    <row r="3098">
      <c r="A3098" s="8"/>
      <c r="B3098" s="8"/>
      <c r="C3098" s="8"/>
      <c r="D3098" s="8"/>
      <c r="E3098" s="16"/>
    </row>
    <row r="3099">
      <c r="A3099" s="8"/>
      <c r="B3099" s="8"/>
      <c r="C3099" s="8"/>
      <c r="D3099" s="8"/>
      <c r="E3099" s="16"/>
    </row>
    <row r="3100">
      <c r="A3100" s="8"/>
      <c r="B3100" s="8"/>
      <c r="C3100" s="8"/>
      <c r="D3100" s="8"/>
      <c r="E3100" s="16"/>
    </row>
    <row r="3101">
      <c r="A3101" s="8"/>
      <c r="B3101" s="8"/>
      <c r="C3101" s="8"/>
      <c r="D3101" s="8"/>
      <c r="E3101" s="16"/>
    </row>
    <row r="3102">
      <c r="A3102" s="8"/>
      <c r="B3102" s="8"/>
      <c r="C3102" s="8"/>
      <c r="D3102" s="8"/>
      <c r="E3102" s="16"/>
    </row>
    <row r="3103">
      <c r="A3103" s="8"/>
      <c r="B3103" s="8"/>
      <c r="C3103" s="8"/>
      <c r="D3103" s="8"/>
      <c r="E3103" s="16"/>
    </row>
    <row r="3104">
      <c r="A3104" s="8"/>
      <c r="B3104" s="8"/>
      <c r="C3104" s="8"/>
      <c r="D3104" s="8"/>
      <c r="E3104" s="16"/>
    </row>
    <row r="3105">
      <c r="A3105" s="8"/>
      <c r="B3105" s="8"/>
      <c r="C3105" s="8"/>
      <c r="D3105" s="8"/>
      <c r="E3105" s="16"/>
    </row>
    <row r="3106">
      <c r="A3106" s="8"/>
      <c r="B3106" s="8"/>
      <c r="C3106" s="8"/>
      <c r="D3106" s="8"/>
      <c r="E3106" s="16"/>
    </row>
    <row r="3107">
      <c r="A3107" s="8"/>
      <c r="B3107" s="8"/>
      <c r="C3107" s="8"/>
      <c r="D3107" s="8"/>
      <c r="E3107" s="16"/>
    </row>
    <row r="3108">
      <c r="A3108" s="8"/>
      <c r="B3108" s="8"/>
      <c r="C3108" s="8"/>
      <c r="D3108" s="8"/>
      <c r="E3108" s="16"/>
    </row>
    <row r="3109">
      <c r="A3109" s="8"/>
      <c r="B3109" s="8"/>
      <c r="C3109" s="8"/>
      <c r="D3109" s="8"/>
      <c r="E3109" s="16"/>
    </row>
    <row r="3110">
      <c r="A3110" s="8"/>
      <c r="B3110" s="8"/>
      <c r="C3110" s="8"/>
      <c r="D3110" s="8"/>
      <c r="E3110" s="16"/>
    </row>
    <row r="3111">
      <c r="A3111" s="8"/>
      <c r="B3111" s="8"/>
      <c r="C3111" s="8"/>
      <c r="D3111" s="8"/>
      <c r="E3111" s="16"/>
    </row>
    <row r="3112">
      <c r="A3112" s="8"/>
      <c r="B3112" s="8"/>
      <c r="C3112" s="8"/>
      <c r="D3112" s="8"/>
      <c r="E3112" s="16"/>
    </row>
    <row r="3113">
      <c r="A3113" s="8"/>
      <c r="B3113" s="8"/>
      <c r="C3113" s="8"/>
      <c r="D3113" s="8"/>
      <c r="E3113" s="16"/>
    </row>
    <row r="3114">
      <c r="A3114" s="8"/>
      <c r="B3114" s="8"/>
      <c r="C3114" s="8"/>
      <c r="D3114" s="8"/>
      <c r="E3114" s="16"/>
    </row>
    <row r="3115">
      <c r="A3115" s="8"/>
      <c r="B3115" s="8"/>
      <c r="C3115" s="8"/>
      <c r="D3115" s="8"/>
      <c r="E3115" s="16"/>
    </row>
    <row r="3116">
      <c r="A3116" s="8"/>
      <c r="B3116" s="8"/>
      <c r="C3116" s="8"/>
      <c r="D3116" s="8"/>
      <c r="E3116" s="16"/>
    </row>
    <row r="3117">
      <c r="A3117" s="8"/>
      <c r="B3117" s="8"/>
      <c r="C3117" s="8"/>
      <c r="D3117" s="8"/>
      <c r="E3117" s="16"/>
    </row>
    <row r="3118">
      <c r="A3118" s="8"/>
      <c r="B3118" s="8"/>
      <c r="C3118" s="8"/>
      <c r="D3118" s="8"/>
      <c r="E3118" s="16"/>
    </row>
    <row r="3119">
      <c r="A3119" s="8"/>
      <c r="B3119" s="8"/>
      <c r="C3119" s="8"/>
      <c r="D3119" s="8"/>
      <c r="E3119" s="16"/>
    </row>
    <row r="3120">
      <c r="A3120" s="8"/>
      <c r="B3120" s="8"/>
      <c r="C3120" s="8"/>
      <c r="D3120" s="8"/>
      <c r="E3120" s="16"/>
    </row>
    <row r="3121">
      <c r="A3121" s="8"/>
      <c r="B3121" s="8"/>
      <c r="C3121" s="8"/>
      <c r="D3121" s="8"/>
      <c r="E3121" s="16"/>
    </row>
    <row r="3122">
      <c r="A3122" s="8"/>
      <c r="B3122" s="8"/>
      <c r="C3122" s="8"/>
      <c r="D3122" s="8"/>
      <c r="E3122" s="16"/>
    </row>
    <row r="3123">
      <c r="A3123" s="8"/>
      <c r="B3123" s="8"/>
      <c r="C3123" s="8"/>
      <c r="D3123" s="8"/>
      <c r="E3123" s="16"/>
    </row>
    <row r="3124">
      <c r="A3124" s="8"/>
      <c r="B3124" s="8"/>
      <c r="C3124" s="8"/>
      <c r="D3124" s="8"/>
      <c r="E3124" s="16"/>
    </row>
    <row r="3125">
      <c r="A3125" s="8"/>
      <c r="B3125" s="8"/>
      <c r="C3125" s="8"/>
      <c r="D3125" s="8"/>
      <c r="E3125" s="16"/>
    </row>
    <row r="3126">
      <c r="A3126" s="8"/>
      <c r="B3126" s="8"/>
      <c r="C3126" s="8"/>
      <c r="D3126" s="8"/>
      <c r="E3126" s="16"/>
    </row>
    <row r="3127">
      <c r="A3127" s="8"/>
      <c r="B3127" s="8"/>
      <c r="C3127" s="8"/>
      <c r="D3127" s="8"/>
      <c r="E3127" s="16"/>
    </row>
    <row r="3128">
      <c r="A3128" s="8"/>
      <c r="B3128" s="8"/>
      <c r="C3128" s="8"/>
      <c r="D3128" s="8"/>
      <c r="E3128" s="16"/>
    </row>
    <row r="3129">
      <c r="A3129" s="8"/>
      <c r="B3129" s="8"/>
      <c r="C3129" s="8"/>
      <c r="D3129" s="8"/>
      <c r="E3129" s="16"/>
    </row>
    <row r="3130">
      <c r="A3130" s="8"/>
      <c r="B3130" s="8"/>
      <c r="C3130" s="8"/>
      <c r="D3130" s="8"/>
      <c r="E3130" s="16"/>
    </row>
    <row r="3131">
      <c r="A3131" s="8"/>
      <c r="B3131" s="8"/>
      <c r="C3131" s="8"/>
      <c r="D3131" s="8"/>
      <c r="E3131" s="16"/>
    </row>
    <row r="3132">
      <c r="A3132" s="8"/>
      <c r="B3132" s="8"/>
      <c r="C3132" s="8"/>
      <c r="D3132" s="8"/>
      <c r="E3132" s="16"/>
    </row>
    <row r="3133">
      <c r="A3133" s="8"/>
      <c r="B3133" s="8"/>
      <c r="C3133" s="8"/>
      <c r="D3133" s="8"/>
      <c r="E3133" s="16"/>
    </row>
    <row r="3134">
      <c r="A3134" s="8"/>
      <c r="B3134" s="8"/>
      <c r="C3134" s="8"/>
      <c r="D3134" s="8"/>
      <c r="E3134" s="16"/>
    </row>
    <row r="3135">
      <c r="A3135" s="8"/>
      <c r="B3135" s="8"/>
      <c r="C3135" s="8"/>
      <c r="D3135" s="8"/>
      <c r="E3135" s="16"/>
    </row>
    <row r="3136">
      <c r="A3136" s="8"/>
      <c r="B3136" s="8"/>
      <c r="C3136" s="8"/>
      <c r="D3136" s="8"/>
      <c r="E3136" s="16"/>
    </row>
    <row r="3137">
      <c r="A3137" s="8"/>
      <c r="B3137" s="8"/>
      <c r="C3137" s="8"/>
      <c r="D3137" s="8"/>
      <c r="E3137" s="16"/>
    </row>
    <row r="3138">
      <c r="A3138" s="8"/>
      <c r="B3138" s="8"/>
      <c r="C3138" s="8"/>
      <c r="D3138" s="8"/>
      <c r="E3138" s="16"/>
    </row>
    <row r="3139">
      <c r="A3139" s="8"/>
      <c r="B3139" s="8"/>
      <c r="C3139" s="8"/>
      <c r="D3139" s="8"/>
      <c r="E3139" s="16"/>
    </row>
    <row r="3140">
      <c r="A3140" s="8"/>
      <c r="B3140" s="8"/>
      <c r="C3140" s="8"/>
      <c r="D3140" s="8"/>
      <c r="E3140" s="16"/>
    </row>
    <row r="3141">
      <c r="A3141" s="8"/>
      <c r="B3141" s="8"/>
      <c r="C3141" s="8"/>
      <c r="D3141" s="8"/>
      <c r="E3141" s="16"/>
    </row>
    <row r="3142">
      <c r="A3142" s="8"/>
      <c r="B3142" s="8"/>
      <c r="C3142" s="8"/>
      <c r="D3142" s="8"/>
      <c r="E3142" s="16"/>
    </row>
    <row r="3143">
      <c r="A3143" s="8"/>
      <c r="B3143" s="8"/>
      <c r="C3143" s="8"/>
      <c r="D3143" s="8"/>
      <c r="E3143" s="16"/>
    </row>
    <row r="3144">
      <c r="A3144" s="8"/>
      <c r="B3144" s="8"/>
      <c r="C3144" s="8"/>
      <c r="D3144" s="8"/>
      <c r="E3144" s="16"/>
    </row>
    <row r="3145">
      <c r="A3145" s="8"/>
      <c r="B3145" s="8"/>
      <c r="C3145" s="8"/>
      <c r="D3145" s="8"/>
      <c r="E3145" s="16"/>
    </row>
    <row r="3146">
      <c r="A3146" s="8"/>
      <c r="B3146" s="8"/>
      <c r="C3146" s="8"/>
      <c r="D3146" s="8"/>
      <c r="E3146" s="16"/>
    </row>
    <row r="3147">
      <c r="A3147" s="8"/>
      <c r="B3147" s="8"/>
      <c r="C3147" s="8"/>
      <c r="D3147" s="8"/>
      <c r="E3147" s="16"/>
    </row>
    <row r="3148">
      <c r="A3148" s="8"/>
      <c r="B3148" s="8"/>
      <c r="C3148" s="8"/>
      <c r="D3148" s="8"/>
      <c r="E3148" s="16"/>
    </row>
    <row r="3149">
      <c r="A3149" s="8"/>
      <c r="B3149" s="8"/>
      <c r="C3149" s="8"/>
      <c r="D3149" s="8"/>
      <c r="E3149" s="16"/>
    </row>
    <row r="3150">
      <c r="A3150" s="8"/>
      <c r="B3150" s="8"/>
      <c r="C3150" s="8"/>
      <c r="D3150" s="8"/>
      <c r="E3150" s="16"/>
    </row>
    <row r="3151">
      <c r="A3151" s="8"/>
      <c r="B3151" s="8"/>
      <c r="C3151" s="8"/>
      <c r="D3151" s="8"/>
      <c r="E3151" s="16"/>
    </row>
    <row r="3152">
      <c r="A3152" s="8"/>
      <c r="B3152" s="8"/>
      <c r="C3152" s="8"/>
      <c r="D3152" s="8"/>
      <c r="E3152" s="16"/>
    </row>
    <row r="3153">
      <c r="A3153" s="8"/>
      <c r="B3153" s="8"/>
      <c r="C3153" s="8"/>
      <c r="D3153" s="8"/>
      <c r="E3153" s="16"/>
    </row>
    <row r="3154">
      <c r="A3154" s="8"/>
      <c r="B3154" s="8"/>
      <c r="C3154" s="8"/>
      <c r="D3154" s="8"/>
      <c r="E3154" s="16"/>
    </row>
    <row r="3155">
      <c r="A3155" s="8"/>
      <c r="B3155" s="8"/>
      <c r="C3155" s="8"/>
      <c r="D3155" s="8"/>
      <c r="E3155" s="16"/>
    </row>
    <row r="3156">
      <c r="A3156" s="8"/>
      <c r="B3156" s="8"/>
      <c r="C3156" s="8"/>
      <c r="D3156" s="8"/>
      <c r="E3156" s="16"/>
    </row>
    <row r="3157">
      <c r="A3157" s="8"/>
      <c r="B3157" s="8"/>
      <c r="C3157" s="8"/>
      <c r="D3157" s="8"/>
      <c r="E3157" s="16"/>
    </row>
    <row r="3158">
      <c r="A3158" s="8"/>
      <c r="B3158" s="8"/>
      <c r="C3158" s="8"/>
      <c r="D3158" s="8"/>
      <c r="E3158" s="16"/>
    </row>
    <row r="3159">
      <c r="A3159" s="8"/>
      <c r="B3159" s="8"/>
      <c r="C3159" s="8"/>
      <c r="D3159" s="8"/>
      <c r="E3159" s="16"/>
    </row>
    <row r="3160">
      <c r="A3160" s="8"/>
      <c r="B3160" s="8"/>
      <c r="C3160" s="8"/>
      <c r="D3160" s="8"/>
      <c r="E3160" s="16"/>
    </row>
    <row r="3161">
      <c r="A3161" s="8"/>
      <c r="B3161" s="8"/>
      <c r="C3161" s="8"/>
      <c r="D3161" s="8"/>
      <c r="E3161" s="16"/>
    </row>
    <row r="3162">
      <c r="A3162" s="8"/>
      <c r="B3162" s="8"/>
      <c r="C3162" s="8"/>
      <c r="D3162" s="8"/>
      <c r="E3162" s="16"/>
    </row>
    <row r="3163">
      <c r="A3163" s="8"/>
      <c r="B3163" s="8"/>
      <c r="C3163" s="8"/>
      <c r="D3163" s="8"/>
      <c r="E3163" s="16"/>
    </row>
    <row r="3164">
      <c r="A3164" s="8"/>
      <c r="B3164" s="8"/>
      <c r="C3164" s="8"/>
      <c r="D3164" s="8"/>
      <c r="E3164" s="16"/>
    </row>
    <row r="3165">
      <c r="A3165" s="8"/>
      <c r="B3165" s="8"/>
      <c r="C3165" s="8"/>
      <c r="D3165" s="8"/>
      <c r="E3165" s="16"/>
    </row>
    <row r="3166">
      <c r="A3166" s="8"/>
      <c r="B3166" s="8"/>
      <c r="C3166" s="8"/>
      <c r="D3166" s="8"/>
      <c r="E3166" s="16"/>
    </row>
    <row r="3167">
      <c r="A3167" s="8"/>
      <c r="B3167" s="8"/>
      <c r="C3167" s="8"/>
      <c r="D3167" s="8"/>
      <c r="E3167" s="16"/>
    </row>
    <row r="3168">
      <c r="A3168" s="8"/>
      <c r="B3168" s="8"/>
      <c r="C3168" s="8"/>
      <c r="D3168" s="8"/>
      <c r="E3168" s="16"/>
    </row>
    <row r="3169">
      <c r="A3169" s="8"/>
      <c r="B3169" s="8"/>
      <c r="C3169" s="8"/>
      <c r="D3169" s="8"/>
      <c r="E3169" s="16"/>
    </row>
    <row r="3170">
      <c r="A3170" s="8"/>
      <c r="B3170" s="8"/>
      <c r="C3170" s="8"/>
      <c r="D3170" s="8"/>
      <c r="E3170" s="16"/>
    </row>
    <row r="3171">
      <c r="A3171" s="8"/>
      <c r="B3171" s="8"/>
      <c r="C3171" s="8"/>
      <c r="D3171" s="8"/>
      <c r="E3171" s="16"/>
    </row>
    <row r="3172">
      <c r="A3172" s="8"/>
      <c r="B3172" s="8"/>
      <c r="C3172" s="8"/>
      <c r="D3172" s="8"/>
      <c r="E3172" s="16"/>
    </row>
    <row r="3173">
      <c r="A3173" s="8"/>
      <c r="B3173" s="8"/>
      <c r="C3173" s="8"/>
      <c r="D3173" s="8"/>
      <c r="E3173" s="16"/>
    </row>
    <row r="3174">
      <c r="A3174" s="8"/>
      <c r="B3174" s="8"/>
      <c r="C3174" s="8"/>
      <c r="D3174" s="8"/>
      <c r="E3174" s="16"/>
    </row>
    <row r="3175">
      <c r="A3175" s="8"/>
      <c r="B3175" s="8"/>
      <c r="C3175" s="8"/>
      <c r="D3175" s="8"/>
      <c r="E3175" s="16"/>
    </row>
    <row r="3176">
      <c r="A3176" s="8"/>
      <c r="B3176" s="8"/>
      <c r="C3176" s="8"/>
      <c r="D3176" s="8"/>
      <c r="E3176" s="16"/>
    </row>
    <row r="3177">
      <c r="A3177" s="8"/>
      <c r="B3177" s="8"/>
      <c r="C3177" s="8"/>
      <c r="D3177" s="8"/>
      <c r="E3177" s="16"/>
    </row>
    <row r="3178">
      <c r="A3178" s="8"/>
      <c r="B3178" s="8"/>
      <c r="C3178" s="8"/>
      <c r="D3178" s="8"/>
      <c r="E3178" s="16"/>
    </row>
    <row r="3179">
      <c r="A3179" s="8"/>
      <c r="B3179" s="8"/>
      <c r="C3179" s="8"/>
      <c r="D3179" s="8"/>
      <c r="E3179" s="16"/>
    </row>
    <row r="3180">
      <c r="A3180" s="8"/>
      <c r="B3180" s="8"/>
      <c r="C3180" s="8"/>
      <c r="D3180" s="8"/>
      <c r="E3180" s="16"/>
    </row>
    <row r="3181">
      <c r="A3181" s="8"/>
      <c r="B3181" s="8"/>
      <c r="C3181" s="8"/>
      <c r="D3181" s="8"/>
      <c r="E3181" s="16"/>
    </row>
    <row r="3182">
      <c r="A3182" s="8"/>
      <c r="B3182" s="8"/>
      <c r="C3182" s="8"/>
      <c r="D3182" s="8"/>
      <c r="E3182" s="16"/>
    </row>
    <row r="3183">
      <c r="A3183" s="8"/>
      <c r="B3183" s="8"/>
      <c r="C3183" s="8"/>
      <c r="D3183" s="8"/>
      <c r="E3183" s="16"/>
    </row>
    <row r="3184">
      <c r="A3184" s="8"/>
      <c r="B3184" s="8"/>
      <c r="C3184" s="8"/>
      <c r="D3184" s="8"/>
      <c r="E3184" s="16"/>
    </row>
    <row r="3185">
      <c r="A3185" s="8"/>
      <c r="B3185" s="8"/>
      <c r="C3185" s="8"/>
      <c r="D3185" s="8"/>
      <c r="E3185" s="16"/>
    </row>
    <row r="3186">
      <c r="A3186" s="8"/>
      <c r="B3186" s="8"/>
      <c r="C3186" s="8"/>
      <c r="D3186" s="8"/>
      <c r="E3186" s="16"/>
    </row>
    <row r="3187">
      <c r="A3187" s="8"/>
      <c r="B3187" s="8"/>
      <c r="C3187" s="8"/>
      <c r="D3187" s="8"/>
      <c r="E3187" s="16"/>
    </row>
    <row r="3188">
      <c r="A3188" s="8"/>
      <c r="B3188" s="8"/>
      <c r="C3188" s="8"/>
      <c r="D3188" s="8"/>
      <c r="E3188" s="16"/>
    </row>
    <row r="3189">
      <c r="A3189" s="8"/>
      <c r="B3189" s="8"/>
      <c r="C3189" s="8"/>
      <c r="D3189" s="8"/>
      <c r="E3189" s="16"/>
    </row>
    <row r="3190">
      <c r="A3190" s="8"/>
      <c r="B3190" s="8"/>
      <c r="C3190" s="8"/>
      <c r="D3190" s="8"/>
      <c r="E3190" s="16"/>
    </row>
    <row r="3191">
      <c r="A3191" s="8"/>
      <c r="B3191" s="8"/>
      <c r="C3191" s="8"/>
      <c r="D3191" s="8"/>
      <c r="E3191" s="16"/>
    </row>
    <row r="3192">
      <c r="A3192" s="8"/>
      <c r="B3192" s="8"/>
      <c r="C3192" s="8"/>
      <c r="D3192" s="8"/>
      <c r="E3192" s="16"/>
    </row>
    <row r="3193">
      <c r="A3193" s="8"/>
      <c r="B3193" s="8"/>
      <c r="C3193" s="8"/>
      <c r="D3193" s="8"/>
      <c r="E3193" s="16"/>
    </row>
    <row r="3194">
      <c r="A3194" s="8"/>
      <c r="B3194" s="8"/>
      <c r="C3194" s="8"/>
      <c r="D3194" s="8"/>
      <c r="E3194" s="16"/>
    </row>
    <row r="3195">
      <c r="A3195" s="8"/>
      <c r="B3195" s="8"/>
      <c r="C3195" s="8"/>
      <c r="D3195" s="8"/>
      <c r="E3195" s="16"/>
    </row>
    <row r="3196">
      <c r="A3196" s="8"/>
      <c r="B3196" s="8"/>
      <c r="C3196" s="8"/>
      <c r="D3196" s="8"/>
      <c r="E3196" s="16"/>
    </row>
    <row r="3197">
      <c r="A3197" s="8"/>
      <c r="B3197" s="8"/>
      <c r="C3197" s="8"/>
      <c r="D3197" s="8"/>
      <c r="E3197" s="16"/>
    </row>
    <row r="3198">
      <c r="A3198" s="8"/>
      <c r="B3198" s="8"/>
      <c r="C3198" s="8"/>
      <c r="D3198" s="8"/>
      <c r="E3198" s="16"/>
    </row>
    <row r="3199">
      <c r="A3199" s="8"/>
      <c r="B3199" s="8"/>
      <c r="C3199" s="8"/>
      <c r="D3199" s="8"/>
      <c r="E3199" s="16"/>
    </row>
    <row r="3200">
      <c r="A3200" s="8"/>
      <c r="B3200" s="8"/>
      <c r="C3200" s="8"/>
      <c r="D3200" s="8"/>
      <c r="E3200" s="16"/>
    </row>
    <row r="3201">
      <c r="A3201" s="8"/>
      <c r="B3201" s="8"/>
      <c r="C3201" s="8"/>
      <c r="D3201" s="8"/>
      <c r="E3201" s="16"/>
    </row>
    <row r="3202">
      <c r="A3202" s="8"/>
      <c r="B3202" s="8"/>
      <c r="C3202" s="8"/>
      <c r="D3202" s="8"/>
      <c r="E3202" s="16"/>
    </row>
    <row r="3203">
      <c r="A3203" s="8"/>
      <c r="B3203" s="8"/>
      <c r="C3203" s="8"/>
      <c r="D3203" s="8"/>
      <c r="E3203" s="16"/>
    </row>
    <row r="3204">
      <c r="A3204" s="8"/>
      <c r="B3204" s="8"/>
      <c r="C3204" s="8"/>
      <c r="D3204" s="8"/>
      <c r="E3204" s="16"/>
    </row>
    <row r="3205">
      <c r="A3205" s="8"/>
      <c r="B3205" s="8"/>
      <c r="C3205" s="8"/>
      <c r="D3205" s="8"/>
      <c r="E3205" s="16"/>
    </row>
    <row r="3206">
      <c r="A3206" s="8"/>
      <c r="B3206" s="8"/>
      <c r="C3206" s="8"/>
      <c r="D3206" s="8"/>
      <c r="E3206" s="16"/>
    </row>
    <row r="3207">
      <c r="A3207" s="8"/>
      <c r="B3207" s="8"/>
      <c r="C3207" s="8"/>
      <c r="D3207" s="8"/>
      <c r="E3207" s="16"/>
    </row>
    <row r="3208">
      <c r="A3208" s="8"/>
      <c r="B3208" s="8"/>
      <c r="C3208" s="8"/>
      <c r="D3208" s="8"/>
      <c r="E3208" s="16"/>
    </row>
    <row r="3209">
      <c r="A3209" s="8"/>
      <c r="B3209" s="8"/>
      <c r="C3209" s="8"/>
      <c r="D3209" s="8"/>
      <c r="E3209" s="16"/>
    </row>
    <row r="3210">
      <c r="A3210" s="8"/>
      <c r="B3210" s="8"/>
      <c r="C3210" s="8"/>
      <c r="D3210" s="8"/>
      <c r="E3210" s="16"/>
    </row>
    <row r="3211">
      <c r="A3211" s="8"/>
      <c r="B3211" s="8"/>
      <c r="C3211" s="8"/>
      <c r="D3211" s="8"/>
      <c r="E3211" s="16"/>
    </row>
    <row r="3212">
      <c r="A3212" s="8"/>
      <c r="B3212" s="8"/>
      <c r="C3212" s="8"/>
      <c r="D3212" s="8"/>
      <c r="E3212" s="16"/>
    </row>
    <row r="3213">
      <c r="A3213" s="8"/>
      <c r="B3213" s="8"/>
      <c r="C3213" s="8"/>
      <c r="D3213" s="8"/>
      <c r="E3213" s="16"/>
    </row>
    <row r="3214">
      <c r="A3214" s="8"/>
      <c r="B3214" s="8"/>
      <c r="C3214" s="8"/>
      <c r="D3214" s="8"/>
      <c r="E3214" s="16"/>
    </row>
    <row r="3215">
      <c r="A3215" s="8"/>
      <c r="B3215" s="8"/>
      <c r="C3215" s="8"/>
      <c r="D3215" s="8"/>
      <c r="E3215" s="16"/>
    </row>
    <row r="3216">
      <c r="A3216" s="8"/>
      <c r="B3216" s="8"/>
      <c r="C3216" s="8"/>
      <c r="D3216" s="8"/>
      <c r="E3216" s="16"/>
    </row>
    <row r="3217">
      <c r="A3217" s="8"/>
      <c r="B3217" s="8"/>
      <c r="C3217" s="8"/>
      <c r="D3217" s="8"/>
      <c r="E3217" s="16"/>
    </row>
    <row r="3218">
      <c r="A3218" s="8"/>
      <c r="B3218" s="8"/>
      <c r="C3218" s="8"/>
      <c r="D3218" s="8"/>
      <c r="E3218" s="16"/>
    </row>
    <row r="3219">
      <c r="A3219" s="8"/>
      <c r="B3219" s="8"/>
      <c r="C3219" s="8"/>
      <c r="D3219" s="8"/>
      <c r="E3219" s="16"/>
    </row>
    <row r="3220">
      <c r="A3220" s="8"/>
      <c r="B3220" s="8"/>
      <c r="C3220" s="8"/>
      <c r="D3220" s="8"/>
      <c r="E3220" s="16"/>
    </row>
    <row r="3221">
      <c r="A3221" s="8"/>
      <c r="B3221" s="8"/>
      <c r="C3221" s="8"/>
      <c r="D3221" s="8"/>
      <c r="E3221" s="16"/>
    </row>
    <row r="3222">
      <c r="A3222" s="8"/>
      <c r="B3222" s="8"/>
      <c r="C3222" s="8"/>
      <c r="D3222" s="8"/>
      <c r="E3222" s="16"/>
    </row>
    <row r="3223">
      <c r="A3223" s="8"/>
      <c r="B3223" s="8"/>
      <c r="C3223" s="8"/>
      <c r="D3223" s="8"/>
      <c r="E3223" s="16"/>
    </row>
    <row r="3224">
      <c r="A3224" s="8"/>
      <c r="B3224" s="8"/>
      <c r="C3224" s="8"/>
      <c r="D3224" s="8"/>
      <c r="E3224" s="16"/>
    </row>
    <row r="3225">
      <c r="A3225" s="8"/>
      <c r="B3225" s="8"/>
      <c r="C3225" s="8"/>
      <c r="D3225" s="8"/>
      <c r="E3225" s="16"/>
    </row>
    <row r="3226">
      <c r="A3226" s="8"/>
      <c r="B3226" s="8"/>
      <c r="C3226" s="8"/>
      <c r="D3226" s="8"/>
      <c r="E3226" s="16"/>
    </row>
    <row r="3227">
      <c r="A3227" s="8"/>
      <c r="B3227" s="8"/>
      <c r="C3227" s="8"/>
      <c r="D3227" s="8"/>
      <c r="E3227" s="16"/>
    </row>
    <row r="3228">
      <c r="A3228" s="8"/>
      <c r="B3228" s="8"/>
      <c r="C3228" s="8"/>
      <c r="D3228" s="8"/>
      <c r="E3228" s="16"/>
    </row>
    <row r="3229">
      <c r="A3229" s="8"/>
      <c r="B3229" s="8"/>
      <c r="C3229" s="8"/>
      <c r="D3229" s="8"/>
      <c r="E3229" s="16"/>
    </row>
    <row r="3230">
      <c r="A3230" s="8"/>
      <c r="B3230" s="8"/>
      <c r="C3230" s="8"/>
      <c r="D3230" s="8"/>
      <c r="E3230" s="16"/>
    </row>
    <row r="3231">
      <c r="A3231" s="8"/>
      <c r="B3231" s="8"/>
      <c r="C3231" s="8"/>
      <c r="D3231" s="8"/>
      <c r="E3231" s="16"/>
    </row>
    <row r="3232">
      <c r="A3232" s="8"/>
      <c r="B3232" s="8"/>
      <c r="C3232" s="8"/>
      <c r="D3232" s="8"/>
      <c r="E3232" s="16"/>
    </row>
    <row r="3233">
      <c r="A3233" s="8"/>
      <c r="B3233" s="8"/>
      <c r="C3233" s="8"/>
      <c r="D3233" s="8"/>
      <c r="E3233" s="16"/>
    </row>
    <row r="3234">
      <c r="A3234" s="8"/>
      <c r="B3234" s="8"/>
      <c r="C3234" s="8"/>
      <c r="D3234" s="8"/>
      <c r="E3234" s="16"/>
    </row>
    <row r="3235">
      <c r="A3235" s="8"/>
      <c r="B3235" s="8"/>
      <c r="C3235" s="8"/>
      <c r="D3235" s="8"/>
      <c r="E3235" s="16"/>
    </row>
    <row r="3236">
      <c r="A3236" s="8"/>
      <c r="B3236" s="8"/>
      <c r="C3236" s="8"/>
      <c r="D3236" s="8"/>
      <c r="E3236" s="16"/>
    </row>
    <row r="3237">
      <c r="A3237" s="8"/>
      <c r="B3237" s="8"/>
      <c r="C3237" s="8"/>
      <c r="D3237" s="8"/>
      <c r="E3237" s="16"/>
    </row>
    <row r="3238">
      <c r="A3238" s="8"/>
      <c r="B3238" s="8"/>
      <c r="C3238" s="8"/>
      <c r="D3238" s="8"/>
      <c r="E3238" s="16"/>
    </row>
    <row r="3239">
      <c r="A3239" s="8"/>
      <c r="B3239" s="8"/>
      <c r="C3239" s="8"/>
      <c r="D3239" s="8"/>
      <c r="E3239" s="16"/>
    </row>
    <row r="3240">
      <c r="A3240" s="8"/>
      <c r="B3240" s="8"/>
      <c r="C3240" s="8"/>
      <c r="D3240" s="8"/>
      <c r="E3240" s="16"/>
    </row>
    <row r="3241">
      <c r="A3241" s="8"/>
      <c r="B3241" s="8"/>
      <c r="C3241" s="8"/>
      <c r="D3241" s="8"/>
      <c r="E3241" s="16"/>
    </row>
    <row r="3242">
      <c r="A3242" s="8"/>
      <c r="B3242" s="8"/>
      <c r="C3242" s="8"/>
      <c r="D3242" s="8"/>
      <c r="E3242" s="16"/>
    </row>
    <row r="3243">
      <c r="A3243" s="8"/>
      <c r="B3243" s="8"/>
      <c r="C3243" s="8"/>
      <c r="D3243" s="8"/>
      <c r="E3243" s="16"/>
    </row>
    <row r="3244">
      <c r="A3244" s="8"/>
      <c r="B3244" s="8"/>
      <c r="C3244" s="8"/>
      <c r="D3244" s="8"/>
      <c r="E3244" s="16"/>
    </row>
    <row r="3245">
      <c r="A3245" s="8"/>
      <c r="B3245" s="8"/>
      <c r="C3245" s="8"/>
      <c r="D3245" s="8"/>
      <c r="E3245" s="16"/>
    </row>
    <row r="3246">
      <c r="A3246" s="8"/>
      <c r="B3246" s="8"/>
      <c r="C3246" s="8"/>
      <c r="D3246" s="8"/>
      <c r="E3246" s="16"/>
    </row>
    <row r="3247">
      <c r="A3247" s="8"/>
      <c r="B3247" s="8"/>
      <c r="C3247" s="8"/>
      <c r="D3247" s="8"/>
      <c r="E3247" s="16"/>
    </row>
    <row r="3248">
      <c r="A3248" s="8"/>
      <c r="B3248" s="8"/>
      <c r="C3248" s="8"/>
      <c r="D3248" s="8"/>
      <c r="E3248" s="16"/>
    </row>
    <row r="3249">
      <c r="A3249" s="8"/>
      <c r="B3249" s="8"/>
      <c r="C3249" s="8"/>
      <c r="D3249" s="8"/>
      <c r="E3249" s="16"/>
    </row>
    <row r="3250">
      <c r="A3250" s="8"/>
      <c r="B3250" s="8"/>
      <c r="C3250" s="8"/>
      <c r="D3250" s="8"/>
      <c r="E3250" s="16"/>
    </row>
    <row r="3251">
      <c r="A3251" s="8"/>
      <c r="B3251" s="8"/>
      <c r="C3251" s="8"/>
      <c r="D3251" s="8"/>
      <c r="E3251" s="16"/>
    </row>
    <row r="3252">
      <c r="A3252" s="8"/>
      <c r="B3252" s="8"/>
      <c r="C3252" s="8"/>
      <c r="D3252" s="8"/>
      <c r="E3252" s="16"/>
    </row>
    <row r="3253">
      <c r="A3253" s="8"/>
      <c r="B3253" s="8"/>
      <c r="C3253" s="8"/>
      <c r="D3253" s="8"/>
      <c r="E3253" s="16"/>
    </row>
    <row r="3254">
      <c r="A3254" s="8"/>
      <c r="B3254" s="8"/>
      <c r="C3254" s="8"/>
      <c r="D3254" s="8"/>
      <c r="E3254" s="16"/>
    </row>
    <row r="3255">
      <c r="A3255" s="8"/>
      <c r="B3255" s="8"/>
      <c r="C3255" s="8"/>
      <c r="D3255" s="8"/>
      <c r="E3255" s="16"/>
    </row>
    <row r="3256">
      <c r="A3256" s="8"/>
      <c r="B3256" s="8"/>
      <c r="C3256" s="8"/>
      <c r="D3256" s="8"/>
      <c r="E3256" s="16"/>
    </row>
    <row r="3257">
      <c r="A3257" s="8"/>
      <c r="B3257" s="8"/>
      <c r="C3257" s="8"/>
      <c r="D3257" s="8"/>
      <c r="E3257" s="16"/>
    </row>
    <row r="3258">
      <c r="A3258" s="8"/>
      <c r="B3258" s="8"/>
      <c r="C3258" s="8"/>
      <c r="D3258" s="8"/>
      <c r="E3258" s="16"/>
    </row>
    <row r="3259">
      <c r="A3259" s="8"/>
      <c r="B3259" s="8"/>
      <c r="C3259" s="8"/>
      <c r="D3259" s="8"/>
      <c r="E3259" s="16"/>
    </row>
    <row r="3260">
      <c r="A3260" s="8"/>
      <c r="B3260" s="8"/>
      <c r="C3260" s="8"/>
      <c r="D3260" s="8"/>
      <c r="E3260" s="16"/>
    </row>
    <row r="3261">
      <c r="A3261" s="8"/>
      <c r="B3261" s="8"/>
      <c r="C3261" s="8"/>
      <c r="D3261" s="8"/>
      <c r="E3261" s="16"/>
    </row>
    <row r="3262">
      <c r="A3262" s="8"/>
      <c r="B3262" s="8"/>
      <c r="C3262" s="8"/>
      <c r="D3262" s="8"/>
      <c r="E3262" s="16"/>
    </row>
    <row r="3263">
      <c r="A3263" s="8"/>
      <c r="B3263" s="8"/>
      <c r="C3263" s="8"/>
      <c r="D3263" s="8"/>
      <c r="E3263" s="16"/>
    </row>
    <row r="3264">
      <c r="A3264" s="8"/>
      <c r="B3264" s="8"/>
      <c r="C3264" s="8"/>
      <c r="D3264" s="8"/>
      <c r="E3264" s="16"/>
    </row>
    <row r="3265">
      <c r="A3265" s="8"/>
      <c r="B3265" s="8"/>
      <c r="C3265" s="8"/>
      <c r="D3265" s="8"/>
      <c r="E3265" s="16"/>
    </row>
    <row r="3266">
      <c r="A3266" s="8"/>
      <c r="B3266" s="8"/>
      <c r="C3266" s="8"/>
      <c r="D3266" s="8"/>
      <c r="E3266" s="16"/>
    </row>
    <row r="3267">
      <c r="A3267" s="8"/>
      <c r="B3267" s="8"/>
      <c r="C3267" s="8"/>
      <c r="D3267" s="8"/>
      <c r="E3267" s="16"/>
    </row>
    <row r="3268">
      <c r="A3268" s="8"/>
      <c r="B3268" s="8"/>
      <c r="C3268" s="8"/>
      <c r="D3268" s="8"/>
      <c r="E3268" s="16"/>
    </row>
    <row r="3269">
      <c r="A3269" s="8"/>
      <c r="B3269" s="8"/>
      <c r="C3269" s="8"/>
      <c r="D3269" s="8"/>
      <c r="E3269" s="16"/>
    </row>
    <row r="3270">
      <c r="A3270" s="8"/>
      <c r="B3270" s="8"/>
      <c r="C3270" s="8"/>
      <c r="D3270" s="8"/>
      <c r="E3270" s="16"/>
    </row>
    <row r="3271">
      <c r="A3271" s="8"/>
      <c r="B3271" s="8"/>
      <c r="C3271" s="8"/>
      <c r="D3271" s="8"/>
      <c r="E3271" s="16"/>
    </row>
    <row r="3272">
      <c r="A3272" s="8"/>
      <c r="B3272" s="8"/>
      <c r="C3272" s="8"/>
      <c r="D3272" s="8"/>
      <c r="E3272" s="16"/>
    </row>
    <row r="3273">
      <c r="A3273" s="8"/>
      <c r="B3273" s="8"/>
      <c r="C3273" s="8"/>
      <c r="D3273" s="8"/>
      <c r="E3273" s="16"/>
    </row>
    <row r="3274">
      <c r="A3274" s="8"/>
      <c r="B3274" s="8"/>
      <c r="C3274" s="8"/>
      <c r="D3274" s="8"/>
      <c r="E3274" s="16"/>
    </row>
    <row r="3275">
      <c r="A3275" s="8"/>
      <c r="B3275" s="8"/>
      <c r="C3275" s="8"/>
      <c r="D3275" s="8"/>
      <c r="E3275" s="16"/>
    </row>
    <row r="3276">
      <c r="A3276" s="8"/>
      <c r="B3276" s="8"/>
      <c r="C3276" s="8"/>
      <c r="D3276" s="8"/>
      <c r="E3276" s="16"/>
    </row>
    <row r="3277">
      <c r="A3277" s="8"/>
      <c r="B3277" s="8"/>
      <c r="C3277" s="8"/>
      <c r="D3277" s="8"/>
      <c r="E3277" s="16"/>
    </row>
    <row r="3278">
      <c r="A3278" s="8"/>
      <c r="B3278" s="8"/>
      <c r="C3278" s="8"/>
      <c r="D3278" s="8"/>
      <c r="E3278" s="16"/>
    </row>
    <row r="3279">
      <c r="A3279" s="8"/>
      <c r="B3279" s="8"/>
      <c r="C3279" s="8"/>
      <c r="D3279" s="8"/>
      <c r="E3279" s="16"/>
    </row>
    <row r="3280">
      <c r="A3280" s="8"/>
      <c r="B3280" s="8"/>
      <c r="C3280" s="8"/>
      <c r="D3280" s="8"/>
      <c r="E3280" s="16"/>
    </row>
    <row r="3281">
      <c r="A3281" s="8"/>
      <c r="B3281" s="8"/>
      <c r="C3281" s="8"/>
      <c r="D3281" s="8"/>
      <c r="E3281" s="16"/>
    </row>
    <row r="3282">
      <c r="A3282" s="8"/>
      <c r="B3282" s="8"/>
      <c r="C3282" s="8"/>
      <c r="D3282" s="8"/>
      <c r="E3282" s="16"/>
    </row>
    <row r="3283">
      <c r="A3283" s="8"/>
      <c r="B3283" s="8"/>
      <c r="C3283" s="8"/>
      <c r="D3283" s="8"/>
      <c r="E3283" s="16"/>
    </row>
    <row r="3284">
      <c r="A3284" s="8"/>
      <c r="B3284" s="8"/>
      <c r="C3284" s="8"/>
      <c r="D3284" s="8"/>
      <c r="E3284" s="16"/>
    </row>
    <row r="3285">
      <c r="A3285" s="8"/>
      <c r="B3285" s="8"/>
      <c r="C3285" s="8"/>
      <c r="D3285" s="8"/>
      <c r="E3285" s="16"/>
    </row>
    <row r="3286">
      <c r="A3286" s="8"/>
      <c r="B3286" s="8"/>
      <c r="C3286" s="8"/>
      <c r="D3286" s="8"/>
      <c r="E3286" s="16"/>
    </row>
    <row r="3287">
      <c r="A3287" s="8"/>
      <c r="B3287" s="8"/>
      <c r="C3287" s="8"/>
      <c r="D3287" s="8"/>
      <c r="E3287" s="16"/>
    </row>
    <row r="3288">
      <c r="A3288" s="8"/>
      <c r="B3288" s="8"/>
      <c r="C3288" s="8"/>
      <c r="D3288" s="8"/>
      <c r="E3288" s="16"/>
    </row>
    <row r="3289">
      <c r="A3289" s="8"/>
      <c r="B3289" s="8"/>
      <c r="C3289" s="8"/>
      <c r="D3289" s="8"/>
      <c r="E3289" s="16"/>
    </row>
    <row r="3290">
      <c r="A3290" s="8"/>
      <c r="B3290" s="8"/>
      <c r="C3290" s="8"/>
      <c r="D3290" s="8"/>
      <c r="E3290" s="16"/>
    </row>
    <row r="3291">
      <c r="A3291" s="8"/>
      <c r="B3291" s="8"/>
      <c r="C3291" s="8"/>
      <c r="D3291" s="8"/>
      <c r="E3291" s="16"/>
    </row>
    <row r="3292">
      <c r="A3292" s="8"/>
      <c r="B3292" s="8"/>
      <c r="C3292" s="8"/>
      <c r="D3292" s="8"/>
      <c r="E3292" s="16"/>
    </row>
    <row r="3293">
      <c r="A3293" s="8"/>
      <c r="B3293" s="8"/>
      <c r="C3293" s="8"/>
      <c r="D3293" s="8"/>
      <c r="E3293" s="16"/>
    </row>
    <row r="3294">
      <c r="A3294" s="8"/>
      <c r="B3294" s="8"/>
      <c r="C3294" s="8"/>
      <c r="D3294" s="8"/>
      <c r="E3294" s="16"/>
    </row>
    <row r="3295">
      <c r="A3295" s="8"/>
      <c r="B3295" s="8"/>
      <c r="C3295" s="8"/>
      <c r="D3295" s="8"/>
      <c r="E3295" s="16"/>
    </row>
    <row r="3296">
      <c r="A3296" s="8"/>
      <c r="B3296" s="8"/>
      <c r="C3296" s="8"/>
      <c r="D3296" s="8"/>
      <c r="E3296" s="16"/>
    </row>
    <row r="3297">
      <c r="A3297" s="8"/>
      <c r="B3297" s="8"/>
      <c r="C3297" s="8"/>
      <c r="D3297" s="8"/>
      <c r="E3297" s="16"/>
    </row>
    <row r="3298">
      <c r="A3298" s="8"/>
      <c r="B3298" s="8"/>
      <c r="C3298" s="8"/>
      <c r="D3298" s="8"/>
      <c r="E3298" s="16"/>
    </row>
    <row r="3299">
      <c r="A3299" s="8"/>
      <c r="B3299" s="8"/>
      <c r="C3299" s="8"/>
      <c r="D3299" s="8"/>
      <c r="E3299" s="16"/>
    </row>
    <row r="3300">
      <c r="A3300" s="8"/>
      <c r="B3300" s="8"/>
      <c r="C3300" s="8"/>
      <c r="D3300" s="8"/>
      <c r="E3300" s="16"/>
    </row>
    <row r="3301">
      <c r="A3301" s="8"/>
      <c r="B3301" s="8"/>
      <c r="C3301" s="8"/>
      <c r="D3301" s="8"/>
      <c r="E3301" s="16"/>
    </row>
    <row r="3302">
      <c r="A3302" s="8"/>
      <c r="B3302" s="8"/>
      <c r="C3302" s="8"/>
      <c r="D3302" s="8"/>
      <c r="E3302" s="16"/>
    </row>
    <row r="3303">
      <c r="A3303" s="8"/>
      <c r="B3303" s="8"/>
      <c r="C3303" s="8"/>
      <c r="D3303" s="8"/>
      <c r="E3303" s="16"/>
    </row>
    <row r="3304">
      <c r="A3304" s="8"/>
      <c r="B3304" s="8"/>
      <c r="C3304" s="8"/>
      <c r="D3304" s="8"/>
      <c r="E3304" s="16"/>
    </row>
    <row r="3305">
      <c r="A3305" s="8"/>
      <c r="B3305" s="8"/>
      <c r="C3305" s="8"/>
      <c r="D3305" s="8"/>
      <c r="E3305" s="16"/>
    </row>
    <row r="3306">
      <c r="A3306" s="8"/>
      <c r="B3306" s="8"/>
      <c r="C3306" s="8"/>
      <c r="D3306" s="8"/>
      <c r="E3306" s="16"/>
    </row>
    <row r="3307">
      <c r="A3307" s="8"/>
      <c r="B3307" s="8"/>
      <c r="C3307" s="8"/>
      <c r="D3307" s="8"/>
      <c r="E3307" s="16"/>
    </row>
    <row r="3308">
      <c r="A3308" s="8"/>
      <c r="B3308" s="8"/>
      <c r="C3308" s="8"/>
      <c r="D3308" s="8"/>
      <c r="E3308" s="16"/>
    </row>
    <row r="3309">
      <c r="A3309" s="8"/>
      <c r="B3309" s="8"/>
      <c r="C3309" s="8"/>
      <c r="D3309" s="8"/>
      <c r="E3309" s="16"/>
    </row>
    <row r="3310">
      <c r="A3310" s="8"/>
      <c r="B3310" s="8"/>
      <c r="C3310" s="8"/>
      <c r="D3310" s="8"/>
      <c r="E3310" s="16"/>
    </row>
    <row r="3311">
      <c r="A3311" s="8"/>
      <c r="B3311" s="8"/>
      <c r="C3311" s="8"/>
      <c r="D3311" s="8"/>
      <c r="E3311" s="16"/>
    </row>
    <row r="3312">
      <c r="A3312" s="8"/>
      <c r="B3312" s="8"/>
      <c r="C3312" s="8"/>
      <c r="D3312" s="8"/>
      <c r="E3312" s="16"/>
    </row>
    <row r="3313">
      <c r="A3313" s="8"/>
      <c r="B3313" s="8"/>
      <c r="C3313" s="8"/>
      <c r="D3313" s="8"/>
      <c r="E3313" s="16"/>
    </row>
    <row r="3314">
      <c r="A3314" s="8"/>
      <c r="B3314" s="8"/>
      <c r="C3314" s="8"/>
      <c r="D3314" s="8"/>
      <c r="E3314" s="16"/>
    </row>
    <row r="3315">
      <c r="A3315" s="8"/>
      <c r="B3315" s="8"/>
      <c r="C3315" s="8"/>
      <c r="D3315" s="8"/>
      <c r="E3315" s="16"/>
    </row>
    <row r="3316">
      <c r="A3316" s="8"/>
      <c r="B3316" s="8"/>
      <c r="C3316" s="8"/>
      <c r="D3316" s="8"/>
      <c r="E3316" s="16"/>
    </row>
    <row r="3317">
      <c r="A3317" s="8"/>
      <c r="B3317" s="8"/>
      <c r="C3317" s="8"/>
      <c r="D3317" s="8"/>
      <c r="E3317" s="16"/>
    </row>
    <row r="3318">
      <c r="A3318" s="8"/>
      <c r="B3318" s="8"/>
      <c r="C3318" s="8"/>
      <c r="D3318" s="8"/>
      <c r="E3318" s="16"/>
    </row>
    <row r="3319">
      <c r="A3319" s="8"/>
      <c r="B3319" s="8"/>
      <c r="C3319" s="8"/>
      <c r="D3319" s="8"/>
      <c r="E3319" s="16"/>
    </row>
    <row r="3320">
      <c r="A3320" s="8"/>
      <c r="B3320" s="8"/>
      <c r="C3320" s="8"/>
      <c r="D3320" s="8"/>
      <c r="E3320" s="16"/>
    </row>
    <row r="3321">
      <c r="A3321" s="8"/>
      <c r="B3321" s="8"/>
      <c r="C3321" s="8"/>
      <c r="D3321" s="8"/>
      <c r="E3321" s="16"/>
    </row>
    <row r="3322">
      <c r="A3322" s="8"/>
      <c r="B3322" s="8"/>
      <c r="C3322" s="8"/>
      <c r="D3322" s="8"/>
      <c r="E3322" s="16"/>
    </row>
    <row r="3323">
      <c r="A3323" s="8"/>
      <c r="B3323" s="8"/>
      <c r="C3323" s="8"/>
      <c r="D3323" s="8"/>
      <c r="E3323" s="16"/>
    </row>
    <row r="3324">
      <c r="A3324" s="8"/>
      <c r="B3324" s="8"/>
      <c r="C3324" s="8"/>
      <c r="D3324" s="8"/>
      <c r="E3324" s="16"/>
    </row>
    <row r="3325">
      <c r="A3325" s="8"/>
      <c r="B3325" s="8"/>
      <c r="C3325" s="8"/>
      <c r="D3325" s="8"/>
      <c r="E3325" s="16"/>
    </row>
    <row r="3326">
      <c r="A3326" s="8"/>
      <c r="B3326" s="8"/>
      <c r="C3326" s="8"/>
      <c r="D3326" s="8"/>
      <c r="E3326" s="16"/>
    </row>
    <row r="3327">
      <c r="A3327" s="8"/>
      <c r="B3327" s="8"/>
      <c r="C3327" s="8"/>
      <c r="D3327" s="8"/>
      <c r="E3327" s="16"/>
    </row>
    <row r="3328">
      <c r="A3328" s="8"/>
      <c r="B3328" s="8"/>
      <c r="C3328" s="8"/>
      <c r="D3328" s="8"/>
      <c r="E3328" s="16"/>
    </row>
    <row r="3329">
      <c r="A3329" s="8"/>
      <c r="B3329" s="8"/>
      <c r="C3329" s="8"/>
      <c r="D3329" s="8"/>
      <c r="E3329" s="16"/>
    </row>
    <row r="3330">
      <c r="A3330" s="8"/>
      <c r="B3330" s="8"/>
      <c r="C3330" s="8"/>
      <c r="D3330" s="8"/>
      <c r="E3330" s="16"/>
    </row>
    <row r="3331">
      <c r="A3331" s="8"/>
      <c r="B3331" s="8"/>
      <c r="C3331" s="8"/>
      <c r="D3331" s="8"/>
      <c r="E3331" s="16"/>
    </row>
    <row r="3332">
      <c r="A3332" s="8"/>
      <c r="B3332" s="8"/>
      <c r="C3332" s="8"/>
      <c r="D3332" s="8"/>
      <c r="E3332" s="16"/>
    </row>
    <row r="3333">
      <c r="A3333" s="8"/>
      <c r="B3333" s="8"/>
      <c r="C3333" s="8"/>
      <c r="D3333" s="8"/>
      <c r="E3333" s="16"/>
    </row>
    <row r="3334">
      <c r="A3334" s="8"/>
      <c r="B3334" s="8"/>
      <c r="C3334" s="8"/>
      <c r="D3334" s="8"/>
      <c r="E3334" s="16"/>
    </row>
    <row r="3335">
      <c r="A3335" s="8"/>
      <c r="B3335" s="8"/>
      <c r="C3335" s="8"/>
      <c r="D3335" s="8"/>
      <c r="E3335" s="16"/>
    </row>
    <row r="3336">
      <c r="A3336" s="8"/>
      <c r="B3336" s="8"/>
      <c r="C3336" s="8"/>
      <c r="D3336" s="8"/>
      <c r="E3336" s="16"/>
    </row>
    <row r="3337">
      <c r="A3337" s="8"/>
      <c r="B3337" s="8"/>
      <c r="C3337" s="8"/>
      <c r="D3337" s="8"/>
      <c r="E3337" s="16"/>
    </row>
    <row r="3338">
      <c r="A3338" s="8"/>
      <c r="B3338" s="8"/>
      <c r="C3338" s="8"/>
      <c r="D3338" s="8"/>
      <c r="E3338" s="16"/>
    </row>
    <row r="3339">
      <c r="A3339" s="8"/>
      <c r="B3339" s="8"/>
      <c r="C3339" s="8"/>
      <c r="D3339" s="8"/>
      <c r="E3339" s="16"/>
    </row>
    <row r="3340">
      <c r="A3340" s="8"/>
      <c r="B3340" s="8"/>
      <c r="C3340" s="8"/>
      <c r="D3340" s="8"/>
      <c r="E3340" s="16"/>
    </row>
    <row r="3341">
      <c r="A3341" s="8"/>
      <c r="B3341" s="8"/>
      <c r="C3341" s="8"/>
      <c r="D3341" s="8"/>
      <c r="E3341" s="16"/>
    </row>
    <row r="3342">
      <c r="A3342" s="8"/>
      <c r="B3342" s="8"/>
      <c r="C3342" s="8"/>
      <c r="D3342" s="8"/>
      <c r="E3342" s="16"/>
    </row>
    <row r="3343">
      <c r="A3343" s="8"/>
      <c r="B3343" s="8"/>
      <c r="C3343" s="8"/>
      <c r="D3343" s="8"/>
      <c r="E3343" s="16"/>
    </row>
    <row r="3344">
      <c r="A3344" s="8"/>
      <c r="B3344" s="8"/>
      <c r="C3344" s="8"/>
      <c r="D3344" s="8"/>
      <c r="E3344" s="16"/>
    </row>
    <row r="3345">
      <c r="A3345" s="8"/>
      <c r="B3345" s="8"/>
      <c r="C3345" s="8"/>
      <c r="D3345" s="8"/>
      <c r="E3345" s="16"/>
    </row>
    <row r="3346">
      <c r="A3346" s="8"/>
      <c r="B3346" s="8"/>
      <c r="C3346" s="8"/>
      <c r="D3346" s="8"/>
      <c r="E3346" s="16"/>
    </row>
    <row r="3347">
      <c r="A3347" s="8"/>
      <c r="B3347" s="8"/>
      <c r="C3347" s="8"/>
      <c r="D3347" s="8"/>
      <c r="E3347" s="16"/>
    </row>
    <row r="3348">
      <c r="A3348" s="8"/>
      <c r="B3348" s="8"/>
      <c r="C3348" s="8"/>
      <c r="D3348" s="8"/>
      <c r="E3348" s="16"/>
    </row>
    <row r="3349">
      <c r="A3349" s="8"/>
      <c r="B3349" s="8"/>
      <c r="C3349" s="8"/>
      <c r="D3349" s="8"/>
      <c r="E3349" s="16"/>
    </row>
    <row r="3350">
      <c r="A3350" s="8"/>
      <c r="B3350" s="8"/>
      <c r="C3350" s="8"/>
      <c r="D3350" s="8"/>
      <c r="E3350" s="16"/>
    </row>
    <row r="3351">
      <c r="A3351" s="8"/>
      <c r="B3351" s="8"/>
      <c r="C3351" s="8"/>
      <c r="D3351" s="8"/>
      <c r="E3351" s="16"/>
    </row>
    <row r="3352">
      <c r="A3352" s="8"/>
      <c r="B3352" s="8"/>
      <c r="C3352" s="8"/>
      <c r="D3352" s="8"/>
      <c r="E3352" s="16"/>
    </row>
    <row r="3353">
      <c r="A3353" s="8"/>
      <c r="B3353" s="8"/>
      <c r="C3353" s="8"/>
      <c r="D3353" s="8"/>
      <c r="E3353" s="16"/>
    </row>
    <row r="3354">
      <c r="A3354" s="8"/>
      <c r="B3354" s="8"/>
      <c r="C3354" s="8"/>
      <c r="D3354" s="8"/>
      <c r="E3354" s="16"/>
    </row>
    <row r="3355">
      <c r="A3355" s="8"/>
      <c r="B3355" s="8"/>
      <c r="C3355" s="8"/>
      <c r="D3355" s="8"/>
      <c r="E3355" s="16"/>
    </row>
    <row r="3356">
      <c r="A3356" s="8"/>
      <c r="B3356" s="8"/>
      <c r="C3356" s="8"/>
      <c r="D3356" s="8"/>
      <c r="E3356" s="16"/>
    </row>
    <row r="3357">
      <c r="A3357" s="8"/>
      <c r="B3357" s="8"/>
      <c r="C3357" s="8"/>
      <c r="D3357" s="8"/>
      <c r="E3357" s="16"/>
    </row>
    <row r="3358">
      <c r="A3358" s="8"/>
      <c r="B3358" s="8"/>
      <c r="C3358" s="8"/>
      <c r="D3358" s="8"/>
      <c r="E3358" s="16"/>
    </row>
    <row r="3359">
      <c r="A3359" s="8"/>
      <c r="B3359" s="8"/>
      <c r="C3359" s="8"/>
      <c r="D3359" s="8"/>
      <c r="E3359" s="16"/>
    </row>
    <row r="3360">
      <c r="A3360" s="8"/>
      <c r="B3360" s="8"/>
      <c r="C3360" s="8"/>
      <c r="D3360" s="8"/>
      <c r="E3360" s="16"/>
    </row>
    <row r="3361">
      <c r="A3361" s="8"/>
      <c r="B3361" s="8"/>
      <c r="C3361" s="8"/>
      <c r="D3361" s="8"/>
      <c r="E3361" s="16"/>
    </row>
    <row r="3362">
      <c r="A3362" s="8"/>
      <c r="B3362" s="8"/>
      <c r="C3362" s="8"/>
      <c r="D3362" s="8"/>
      <c r="E3362" s="16"/>
    </row>
    <row r="3363">
      <c r="A3363" s="8"/>
      <c r="B3363" s="8"/>
      <c r="C3363" s="8"/>
      <c r="D3363" s="8"/>
      <c r="E3363" s="16"/>
    </row>
    <row r="3364">
      <c r="A3364" s="8"/>
      <c r="B3364" s="8"/>
      <c r="C3364" s="8"/>
      <c r="D3364" s="8"/>
      <c r="E3364" s="16"/>
    </row>
    <row r="3365">
      <c r="A3365" s="8"/>
      <c r="B3365" s="8"/>
      <c r="C3365" s="8"/>
      <c r="D3365" s="8"/>
      <c r="E3365" s="16"/>
    </row>
    <row r="3366">
      <c r="A3366" s="8"/>
      <c r="B3366" s="8"/>
      <c r="C3366" s="8"/>
      <c r="D3366" s="8"/>
      <c r="E3366" s="16"/>
    </row>
    <row r="3367">
      <c r="A3367" s="8"/>
      <c r="B3367" s="8"/>
      <c r="C3367" s="8"/>
      <c r="D3367" s="8"/>
      <c r="E3367" s="16"/>
    </row>
    <row r="3368">
      <c r="A3368" s="8"/>
      <c r="B3368" s="8"/>
      <c r="C3368" s="8"/>
      <c r="D3368" s="8"/>
      <c r="E3368" s="16"/>
    </row>
    <row r="3369">
      <c r="A3369" s="8"/>
      <c r="B3369" s="8"/>
      <c r="C3369" s="8"/>
      <c r="D3369" s="8"/>
      <c r="E3369" s="16"/>
    </row>
    <row r="3370">
      <c r="A3370" s="8"/>
      <c r="B3370" s="8"/>
      <c r="C3370" s="8"/>
      <c r="D3370" s="8"/>
      <c r="E3370" s="1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8.29"/>
    <col customWidth="1" min="3" max="3" width="7.14"/>
    <col customWidth="1" min="4" max="4" width="9.0"/>
    <col customWidth="1" min="5" max="5" width="7.14"/>
    <col customWidth="1" min="6" max="6" width="13.14"/>
    <col customWidth="1" min="7" max="7" width="18.29"/>
    <col customWidth="1" min="8" max="8" width="7.14"/>
    <col customWidth="1" min="9" max="9" width="9.0"/>
    <col customWidth="1" min="10" max="10" width="7.14"/>
    <col customWidth="1" min="11" max="11" width="13.29"/>
    <col customWidth="1" min="12" max="12" width="18.29"/>
    <col customWidth="1" min="13" max="13" width="9.0"/>
    <col customWidth="1" min="14" max="14" width="7.14"/>
    <col customWidth="1" min="15" max="15" width="29.0"/>
    <col customWidth="1" min="16" max="16" width="7.14"/>
    <col customWidth="1" min="17" max="17" width="6.0"/>
    <col customWidth="1" min="18" max="18" width="9.0"/>
    <col customWidth="1" min="19" max="19" width="7.14"/>
  </cols>
  <sheetData>
    <row r="1">
      <c r="A1" s="2" t="s">
        <v>3</v>
      </c>
      <c r="B1" s="2" t="s">
        <v>1</v>
      </c>
      <c r="C1" s="2" t="s">
        <v>4</v>
      </c>
      <c r="D1" s="2" t="s">
        <v>6</v>
      </c>
      <c r="E1" s="26" t="s">
        <v>7</v>
      </c>
      <c r="F1" s="2" t="s">
        <v>3</v>
      </c>
      <c r="G1" s="2" t="s">
        <v>1</v>
      </c>
      <c r="H1" s="2" t="s">
        <v>4</v>
      </c>
      <c r="I1" s="2" t="s">
        <v>8</v>
      </c>
      <c r="J1" s="26" t="s">
        <v>9</v>
      </c>
      <c r="K1" s="2" t="s">
        <v>3</v>
      </c>
      <c r="L1" s="2" t="s">
        <v>1</v>
      </c>
      <c r="M1" s="2" t="s">
        <v>2641</v>
      </c>
      <c r="N1" s="26" t="s">
        <v>2642</v>
      </c>
      <c r="O1" s="2" t="s">
        <v>3909</v>
      </c>
      <c r="P1" s="2" t="s">
        <v>4</v>
      </c>
      <c r="Q1" s="2" t="s">
        <v>5</v>
      </c>
      <c r="R1" s="2" t="s">
        <v>2550</v>
      </c>
      <c r="S1" s="2" t="s">
        <v>2551</v>
      </c>
      <c r="T1" s="28"/>
      <c r="U1" s="28"/>
      <c r="V1" s="28"/>
      <c r="W1" s="28"/>
      <c r="X1" s="28"/>
      <c r="Y1" s="28"/>
      <c r="Z1" s="28"/>
    </row>
    <row r="2">
      <c r="A2" s="18" t="s">
        <v>269</v>
      </c>
      <c r="B2" s="8" t="s">
        <v>653</v>
      </c>
      <c r="C2" s="8" t="s">
        <v>93</v>
      </c>
      <c r="D2" s="18" t="s">
        <v>2562</v>
      </c>
      <c r="E2" s="16">
        <v>73.0</v>
      </c>
      <c r="F2" s="18" t="s">
        <v>269</v>
      </c>
      <c r="G2" s="8" t="s">
        <v>2762</v>
      </c>
      <c r="H2" s="8" t="s">
        <v>24</v>
      </c>
      <c r="I2" s="18" t="s">
        <v>2620</v>
      </c>
      <c r="J2" s="16">
        <v>73.0</v>
      </c>
      <c r="K2" s="18" t="s">
        <v>269</v>
      </c>
      <c r="L2" s="8" t="s">
        <v>1191</v>
      </c>
      <c r="M2" s="18" t="s">
        <v>2572</v>
      </c>
      <c r="N2" s="16">
        <v>63.0</v>
      </c>
      <c r="O2" s="18" t="s">
        <v>3910</v>
      </c>
      <c r="P2" s="8" t="s">
        <v>93</v>
      </c>
      <c r="Q2" s="14" t="s">
        <v>631</v>
      </c>
      <c r="R2" s="8" t="s">
        <v>2584</v>
      </c>
      <c r="S2" s="14" t="s">
        <v>2613</v>
      </c>
    </row>
    <row r="3">
      <c r="A3" s="18" t="s">
        <v>269</v>
      </c>
      <c r="B3" s="8" t="s">
        <v>872</v>
      </c>
      <c r="C3" s="8" t="s">
        <v>132</v>
      </c>
      <c r="D3" s="18" t="s">
        <v>2584</v>
      </c>
      <c r="E3" s="16">
        <v>69.0</v>
      </c>
      <c r="F3" s="18" t="s">
        <v>269</v>
      </c>
      <c r="G3" s="8" t="s">
        <v>653</v>
      </c>
      <c r="H3" s="8" t="s">
        <v>93</v>
      </c>
      <c r="I3" s="18" t="s">
        <v>2584</v>
      </c>
      <c r="J3" s="16">
        <v>88.0</v>
      </c>
      <c r="K3" s="18" t="s">
        <v>269</v>
      </c>
      <c r="L3" s="8" t="s">
        <v>755</v>
      </c>
      <c r="M3" s="18" t="s">
        <v>2587</v>
      </c>
      <c r="N3" s="16">
        <v>75.0</v>
      </c>
      <c r="O3" s="18" t="s">
        <v>3911</v>
      </c>
      <c r="P3" s="8" t="s">
        <v>65</v>
      </c>
      <c r="Q3" s="14" t="s">
        <v>2296</v>
      </c>
      <c r="R3" s="8" t="s">
        <v>2621</v>
      </c>
      <c r="S3" s="14" t="s">
        <v>2565</v>
      </c>
    </row>
    <row r="4">
      <c r="A4" s="18" t="s">
        <v>269</v>
      </c>
      <c r="B4" s="8" t="s">
        <v>268</v>
      </c>
      <c r="C4" s="8" t="s">
        <v>65</v>
      </c>
      <c r="D4" s="18" t="s">
        <v>2610</v>
      </c>
      <c r="E4" s="16">
        <v>93.0</v>
      </c>
      <c r="F4" s="18" t="s">
        <v>269</v>
      </c>
      <c r="G4" s="8" t="s">
        <v>946</v>
      </c>
      <c r="H4" s="8" t="s">
        <v>138</v>
      </c>
      <c r="I4" s="18" t="s">
        <v>2593</v>
      </c>
      <c r="J4" s="16">
        <v>63.0</v>
      </c>
      <c r="K4" s="18" t="s">
        <v>269</v>
      </c>
      <c r="L4" s="8" t="s">
        <v>872</v>
      </c>
      <c r="M4" s="18" t="s">
        <v>2584</v>
      </c>
      <c r="N4" s="16">
        <v>75.0</v>
      </c>
      <c r="O4" s="18" t="s">
        <v>3912</v>
      </c>
      <c r="P4" s="8" t="s">
        <v>132</v>
      </c>
      <c r="Q4" s="14" t="s">
        <v>837</v>
      </c>
      <c r="R4" s="8" t="s">
        <v>2584</v>
      </c>
      <c r="S4" s="14" t="s">
        <v>2573</v>
      </c>
    </row>
    <row r="5">
      <c r="A5" s="18" t="s">
        <v>269</v>
      </c>
      <c r="B5" s="8" t="s">
        <v>738</v>
      </c>
      <c r="C5" s="8" t="s">
        <v>53</v>
      </c>
      <c r="D5" s="18" t="s">
        <v>2574</v>
      </c>
      <c r="E5" s="16">
        <v>74.0</v>
      </c>
      <c r="F5" s="18" t="s">
        <v>269</v>
      </c>
      <c r="G5" s="8" t="s">
        <v>1191</v>
      </c>
      <c r="H5" s="8" t="s">
        <v>192</v>
      </c>
      <c r="I5" s="18" t="s">
        <v>2581</v>
      </c>
      <c r="J5" s="16">
        <v>60.0</v>
      </c>
      <c r="K5" s="18" t="s">
        <v>269</v>
      </c>
      <c r="L5" s="8" t="s">
        <v>2762</v>
      </c>
      <c r="M5" s="18" t="s">
        <v>2581</v>
      </c>
      <c r="N5" s="16">
        <v>76.0</v>
      </c>
      <c r="O5" s="18" t="s">
        <v>3913</v>
      </c>
      <c r="P5" s="8" t="s">
        <v>65</v>
      </c>
      <c r="Q5" s="14" t="s">
        <v>237</v>
      </c>
      <c r="R5" s="8" t="s">
        <v>2610</v>
      </c>
      <c r="S5" s="14" t="s">
        <v>2561</v>
      </c>
    </row>
    <row r="6">
      <c r="A6" s="18" t="s">
        <v>269</v>
      </c>
      <c r="B6" s="8" t="s">
        <v>755</v>
      </c>
      <c r="C6" s="8" t="s">
        <v>16</v>
      </c>
      <c r="D6" s="18" t="s">
        <v>2610</v>
      </c>
      <c r="E6" s="16">
        <v>73.0</v>
      </c>
      <c r="F6" s="18" t="s">
        <v>269</v>
      </c>
      <c r="G6" s="8" t="s">
        <v>2793</v>
      </c>
      <c r="H6" s="8" t="s">
        <v>215</v>
      </c>
      <c r="I6" s="18" t="s">
        <v>2582</v>
      </c>
      <c r="J6" s="16">
        <v>55.0</v>
      </c>
      <c r="K6" s="18" t="s">
        <v>269</v>
      </c>
      <c r="L6" s="8" t="s">
        <v>2793</v>
      </c>
      <c r="M6" s="18" t="s">
        <v>2566</v>
      </c>
      <c r="N6" s="16">
        <v>63.0</v>
      </c>
      <c r="O6" s="18" t="s">
        <v>3914</v>
      </c>
      <c r="P6" s="8" t="s">
        <v>192</v>
      </c>
      <c r="Q6" s="14" t="s">
        <v>1070</v>
      </c>
      <c r="R6" s="8" t="s">
        <v>2562</v>
      </c>
      <c r="S6" s="14" t="s">
        <v>2594</v>
      </c>
    </row>
    <row r="7">
      <c r="A7" s="18" t="s">
        <v>174</v>
      </c>
      <c r="B7" s="8" t="s">
        <v>173</v>
      </c>
      <c r="C7" s="8" t="s">
        <v>141</v>
      </c>
      <c r="D7" s="18" t="s">
        <v>2589</v>
      </c>
      <c r="E7" s="16">
        <v>71.0</v>
      </c>
      <c r="F7" s="18" t="s">
        <v>269</v>
      </c>
      <c r="G7" s="8" t="s">
        <v>268</v>
      </c>
      <c r="H7" s="8" t="s">
        <v>65</v>
      </c>
      <c r="I7" s="18" t="s">
        <v>2610</v>
      </c>
      <c r="J7" s="16">
        <v>94.0</v>
      </c>
      <c r="K7" s="18" t="s">
        <v>269</v>
      </c>
      <c r="L7" s="8" t="s">
        <v>738</v>
      </c>
      <c r="M7" s="18" t="s">
        <v>2595</v>
      </c>
      <c r="N7" s="16">
        <v>72.0</v>
      </c>
      <c r="O7" s="18" t="s">
        <v>3915</v>
      </c>
      <c r="P7" s="8" t="s">
        <v>80</v>
      </c>
      <c r="Q7" s="14" t="s">
        <v>2033</v>
      </c>
      <c r="R7" s="8" t="s">
        <v>2600</v>
      </c>
      <c r="S7" s="14" t="s">
        <v>2606</v>
      </c>
    </row>
    <row r="8">
      <c r="A8" s="8" t="s">
        <v>3916</v>
      </c>
      <c r="B8" s="8" t="s">
        <v>308</v>
      </c>
      <c r="C8" s="8" t="s">
        <v>122</v>
      </c>
      <c r="D8" s="18" t="s">
        <v>2554</v>
      </c>
      <c r="E8" s="16">
        <v>72.0</v>
      </c>
      <c r="F8" s="18" t="s">
        <v>269</v>
      </c>
      <c r="G8" s="8" t="s">
        <v>738</v>
      </c>
      <c r="H8" s="8" t="s">
        <v>186</v>
      </c>
      <c r="I8" s="18" t="s">
        <v>2595</v>
      </c>
      <c r="J8" s="16">
        <v>72.0</v>
      </c>
      <c r="K8" s="18" t="s">
        <v>269</v>
      </c>
      <c r="L8" s="8" t="s">
        <v>653</v>
      </c>
      <c r="M8" s="18" t="s">
        <v>2584</v>
      </c>
      <c r="N8" s="16">
        <v>87.0</v>
      </c>
      <c r="O8" s="18" t="s">
        <v>3917</v>
      </c>
      <c r="P8" s="8" t="s">
        <v>186</v>
      </c>
      <c r="Q8" s="14" t="s">
        <v>837</v>
      </c>
      <c r="R8" s="8" t="s">
        <v>2620</v>
      </c>
      <c r="S8" s="14" t="s">
        <v>2576</v>
      </c>
    </row>
    <row r="9">
      <c r="A9" s="8" t="s">
        <v>98</v>
      </c>
      <c r="B9" s="8" t="s">
        <v>477</v>
      </c>
      <c r="C9" s="8" t="s">
        <v>24</v>
      </c>
      <c r="D9" s="18" t="s">
        <v>2605</v>
      </c>
      <c r="E9" s="16">
        <v>45.0</v>
      </c>
      <c r="F9" s="18" t="s">
        <v>269</v>
      </c>
      <c r="G9" s="8" t="s">
        <v>872</v>
      </c>
      <c r="H9" s="8" t="s">
        <v>132</v>
      </c>
      <c r="I9" s="18" t="s">
        <v>2584</v>
      </c>
      <c r="J9" s="16">
        <v>72.0</v>
      </c>
      <c r="K9" s="18" t="s">
        <v>269</v>
      </c>
      <c r="L9" s="8" t="s">
        <v>268</v>
      </c>
      <c r="M9" s="18" t="s">
        <v>2610</v>
      </c>
      <c r="N9" s="16">
        <v>87.0</v>
      </c>
      <c r="O9" s="18" t="s">
        <v>3918</v>
      </c>
      <c r="P9" s="8" t="s">
        <v>53</v>
      </c>
      <c r="Q9" s="14" t="s">
        <v>631</v>
      </c>
      <c r="R9" s="8" t="s">
        <v>2595</v>
      </c>
      <c r="S9" s="14" t="s">
        <v>2565</v>
      </c>
    </row>
    <row r="10">
      <c r="A10" s="8" t="s">
        <v>98</v>
      </c>
      <c r="B10" s="8" t="s">
        <v>1392</v>
      </c>
      <c r="C10" s="8" t="s">
        <v>65</v>
      </c>
      <c r="D10" s="18" t="s">
        <v>2585</v>
      </c>
      <c r="E10" s="16">
        <v>63.0</v>
      </c>
      <c r="F10" s="18" t="s">
        <v>269</v>
      </c>
      <c r="G10" s="8" t="s">
        <v>755</v>
      </c>
      <c r="H10" s="8" t="s">
        <v>16</v>
      </c>
      <c r="I10" s="18" t="s">
        <v>2610</v>
      </c>
      <c r="J10" s="16">
        <v>73.0</v>
      </c>
      <c r="K10" s="18" t="s">
        <v>174</v>
      </c>
      <c r="L10" s="8" t="s">
        <v>173</v>
      </c>
      <c r="M10" s="18" t="s">
        <v>2589</v>
      </c>
      <c r="N10" s="16">
        <v>75.0</v>
      </c>
      <c r="O10" s="18" t="s">
        <v>3919</v>
      </c>
      <c r="P10" s="8" t="s">
        <v>16</v>
      </c>
      <c r="Q10" s="14" t="s">
        <v>631</v>
      </c>
      <c r="R10" s="8" t="s">
        <v>2562</v>
      </c>
      <c r="S10" s="14" t="s">
        <v>2576</v>
      </c>
    </row>
    <row r="11">
      <c r="A11" s="8" t="s">
        <v>98</v>
      </c>
      <c r="B11" s="8" t="s">
        <v>879</v>
      </c>
      <c r="C11" s="8" t="s">
        <v>93</v>
      </c>
      <c r="D11" s="18" t="s">
        <v>2584</v>
      </c>
      <c r="E11" s="16">
        <v>78.0</v>
      </c>
      <c r="F11" s="18" t="s">
        <v>174</v>
      </c>
      <c r="G11" s="8" t="s">
        <v>173</v>
      </c>
      <c r="H11" s="8" t="s">
        <v>141</v>
      </c>
      <c r="I11" s="18" t="s">
        <v>2589</v>
      </c>
      <c r="J11" s="16">
        <v>80.0</v>
      </c>
      <c r="K11" s="8" t="s">
        <v>3916</v>
      </c>
      <c r="L11" s="8" t="s">
        <v>308</v>
      </c>
      <c r="M11" s="18" t="s">
        <v>2554</v>
      </c>
      <c r="N11" s="16">
        <v>77.0</v>
      </c>
      <c r="O11" s="18" t="s">
        <v>3920</v>
      </c>
      <c r="P11" s="8" t="s">
        <v>80</v>
      </c>
      <c r="Q11" s="14" t="s">
        <v>2033</v>
      </c>
      <c r="R11" s="8" t="s">
        <v>2562</v>
      </c>
      <c r="S11" s="14" t="s">
        <v>2583</v>
      </c>
    </row>
    <row r="12">
      <c r="A12" s="8" t="s">
        <v>98</v>
      </c>
      <c r="B12" s="8" t="s">
        <v>3228</v>
      </c>
      <c r="C12" s="8" t="s">
        <v>65</v>
      </c>
      <c r="D12" s="18" t="s">
        <v>2600</v>
      </c>
      <c r="E12" s="16">
        <v>71.0</v>
      </c>
      <c r="F12" s="8" t="s">
        <v>3916</v>
      </c>
      <c r="G12" s="8" t="s">
        <v>308</v>
      </c>
      <c r="H12" s="8" t="s">
        <v>122</v>
      </c>
      <c r="I12" s="18" t="s">
        <v>2554</v>
      </c>
      <c r="J12" s="16">
        <v>72.0</v>
      </c>
      <c r="K12" s="8" t="s">
        <v>98</v>
      </c>
      <c r="L12" s="8" t="s">
        <v>1328</v>
      </c>
      <c r="M12" s="18" t="s">
        <v>2621</v>
      </c>
      <c r="N12" s="16">
        <v>67.0</v>
      </c>
      <c r="O12" s="18" t="s">
        <v>3921</v>
      </c>
      <c r="P12" s="8" t="s">
        <v>141</v>
      </c>
      <c r="Q12" s="14" t="s">
        <v>135</v>
      </c>
      <c r="R12" s="18" t="s">
        <v>2589</v>
      </c>
      <c r="S12" s="14" t="s">
        <v>2583</v>
      </c>
    </row>
    <row r="13">
      <c r="A13" s="8" t="s">
        <v>98</v>
      </c>
      <c r="B13" s="8" t="s">
        <v>669</v>
      </c>
      <c r="C13" s="8" t="s">
        <v>122</v>
      </c>
      <c r="D13" s="18" t="s">
        <v>2593</v>
      </c>
      <c r="E13" s="16">
        <v>98.0</v>
      </c>
      <c r="F13" s="8" t="s">
        <v>3396</v>
      </c>
      <c r="G13" s="8" t="s">
        <v>3395</v>
      </c>
      <c r="H13" s="8" t="s">
        <v>93</v>
      </c>
      <c r="I13" s="18" t="s">
        <v>2593</v>
      </c>
      <c r="J13" s="16">
        <v>61.0</v>
      </c>
      <c r="K13" s="8" t="s">
        <v>98</v>
      </c>
      <c r="L13" s="8" t="s">
        <v>284</v>
      </c>
      <c r="M13" s="18" t="s">
        <v>2558</v>
      </c>
      <c r="N13" s="16">
        <v>78.0</v>
      </c>
      <c r="O13" s="8" t="s">
        <v>3922</v>
      </c>
      <c r="P13" s="8" t="s">
        <v>122</v>
      </c>
      <c r="Q13" s="14" t="s">
        <v>1679</v>
      </c>
      <c r="R13" s="8" t="s">
        <v>2554</v>
      </c>
      <c r="S13" s="14" t="s">
        <v>2590</v>
      </c>
    </row>
    <row r="14">
      <c r="A14" s="8" t="s">
        <v>98</v>
      </c>
      <c r="B14" s="8" t="s">
        <v>2093</v>
      </c>
      <c r="C14" s="8" t="s">
        <v>149</v>
      </c>
      <c r="D14" s="18" t="s">
        <v>2610</v>
      </c>
      <c r="E14" s="16">
        <v>62.0</v>
      </c>
      <c r="F14" s="8" t="s">
        <v>98</v>
      </c>
      <c r="G14" s="8" t="s">
        <v>879</v>
      </c>
      <c r="H14" s="8" t="s">
        <v>93</v>
      </c>
      <c r="I14" s="18" t="s">
        <v>2584</v>
      </c>
      <c r="J14" s="16">
        <v>78.0</v>
      </c>
      <c r="K14" s="8" t="s">
        <v>98</v>
      </c>
      <c r="L14" s="8" t="s">
        <v>1392</v>
      </c>
      <c r="M14" s="18" t="s">
        <v>2585</v>
      </c>
      <c r="N14" s="16">
        <v>69.0</v>
      </c>
      <c r="O14" s="8" t="s">
        <v>3923</v>
      </c>
      <c r="P14" s="8" t="s">
        <v>24</v>
      </c>
      <c r="Q14" s="14" t="s">
        <v>459</v>
      </c>
      <c r="R14" s="18" t="s">
        <v>2589</v>
      </c>
      <c r="S14" s="14" t="s">
        <v>2630</v>
      </c>
    </row>
    <row r="15">
      <c r="A15" s="8" t="s">
        <v>98</v>
      </c>
      <c r="B15" s="8" t="s">
        <v>1237</v>
      </c>
      <c r="C15" s="8" t="s">
        <v>59</v>
      </c>
      <c r="D15" s="18" t="s">
        <v>2585</v>
      </c>
      <c r="E15" s="16">
        <v>83.0</v>
      </c>
      <c r="F15" s="8" t="s">
        <v>98</v>
      </c>
      <c r="G15" s="8" t="s">
        <v>3228</v>
      </c>
      <c r="H15" s="8" t="s">
        <v>65</v>
      </c>
      <c r="I15" s="18" t="s">
        <v>2589</v>
      </c>
      <c r="J15" s="16">
        <v>71.0</v>
      </c>
      <c r="K15" s="8" t="s">
        <v>98</v>
      </c>
      <c r="L15" s="8" t="s">
        <v>3020</v>
      </c>
      <c r="M15" s="18" t="s">
        <v>2558</v>
      </c>
      <c r="N15" s="16">
        <v>75.0</v>
      </c>
      <c r="O15" s="8" t="s">
        <v>3924</v>
      </c>
      <c r="P15" s="8" t="s">
        <v>65</v>
      </c>
      <c r="Q15" s="14" t="s">
        <v>1352</v>
      </c>
      <c r="R15" s="8" t="s">
        <v>2620</v>
      </c>
      <c r="S15" s="14" t="s">
        <v>2555</v>
      </c>
    </row>
    <row r="16">
      <c r="A16" s="8" t="s">
        <v>98</v>
      </c>
      <c r="B16" s="8" t="s">
        <v>767</v>
      </c>
      <c r="C16" s="8" t="s">
        <v>16</v>
      </c>
      <c r="D16" s="18" t="s">
        <v>2183</v>
      </c>
      <c r="E16" s="16">
        <v>63.0</v>
      </c>
      <c r="F16" s="8" t="s">
        <v>98</v>
      </c>
      <c r="G16" s="8" t="s">
        <v>284</v>
      </c>
      <c r="H16" s="8" t="s">
        <v>70</v>
      </c>
      <c r="I16" s="18" t="s">
        <v>2558</v>
      </c>
      <c r="J16" s="16">
        <v>70.0</v>
      </c>
      <c r="K16" s="8" t="s">
        <v>98</v>
      </c>
      <c r="L16" s="8" t="s">
        <v>1269</v>
      </c>
      <c r="M16" s="18" t="s">
        <v>2593</v>
      </c>
      <c r="N16" s="16">
        <v>66.0</v>
      </c>
      <c r="O16" s="8" t="s">
        <v>3925</v>
      </c>
      <c r="P16" s="8" t="s">
        <v>93</v>
      </c>
      <c r="Q16" s="14" t="s">
        <v>837</v>
      </c>
      <c r="R16" s="8" t="s">
        <v>2562</v>
      </c>
      <c r="S16" s="14" t="s">
        <v>2601</v>
      </c>
    </row>
    <row r="17">
      <c r="A17" s="8" t="s">
        <v>98</v>
      </c>
      <c r="B17" s="8" t="s">
        <v>3020</v>
      </c>
      <c r="C17" s="8" t="s">
        <v>261</v>
      </c>
      <c r="D17" s="18" t="s">
        <v>2558</v>
      </c>
      <c r="E17" s="16">
        <v>71.0</v>
      </c>
      <c r="F17" s="8" t="s">
        <v>98</v>
      </c>
      <c r="G17" s="8" t="s">
        <v>3393</v>
      </c>
      <c r="H17" s="8" t="s">
        <v>24</v>
      </c>
      <c r="I17" s="18" t="s">
        <v>2558</v>
      </c>
      <c r="J17" s="16">
        <v>66.0</v>
      </c>
      <c r="K17" s="8" t="s">
        <v>98</v>
      </c>
      <c r="L17" s="8" t="s">
        <v>879</v>
      </c>
      <c r="M17" s="18" t="s">
        <v>2562</v>
      </c>
      <c r="N17" s="16">
        <v>77.0</v>
      </c>
      <c r="O17" s="8" t="s">
        <v>3926</v>
      </c>
      <c r="P17" s="8" t="s">
        <v>215</v>
      </c>
      <c r="Q17" s="14" t="s">
        <v>631</v>
      </c>
      <c r="R17" s="8" t="s">
        <v>2593</v>
      </c>
      <c r="S17" s="14" t="s">
        <v>2635</v>
      </c>
    </row>
    <row r="18">
      <c r="A18" s="8" t="s">
        <v>98</v>
      </c>
      <c r="B18" s="8" t="s">
        <v>97</v>
      </c>
      <c r="C18" s="8" t="s">
        <v>16</v>
      </c>
      <c r="D18" s="18" t="s">
        <v>2558</v>
      </c>
      <c r="E18" s="16">
        <v>96.0</v>
      </c>
      <c r="F18" s="8" t="s">
        <v>98</v>
      </c>
      <c r="G18" s="8" t="s">
        <v>3020</v>
      </c>
      <c r="H18" s="8" t="s">
        <v>261</v>
      </c>
      <c r="I18" s="18" t="s">
        <v>2558</v>
      </c>
      <c r="J18" s="16">
        <v>83.0</v>
      </c>
      <c r="K18" s="8" t="s">
        <v>98</v>
      </c>
      <c r="L18" s="8" t="s">
        <v>1237</v>
      </c>
      <c r="M18" s="18" t="s">
        <v>2605</v>
      </c>
      <c r="N18" s="16">
        <v>75.0</v>
      </c>
      <c r="O18" s="8" t="s">
        <v>3927</v>
      </c>
      <c r="P18" s="8" t="s">
        <v>70</v>
      </c>
      <c r="Q18" s="14" t="s">
        <v>1679</v>
      </c>
      <c r="R18" s="8" t="s">
        <v>2558</v>
      </c>
      <c r="S18" s="14" t="s">
        <v>2599</v>
      </c>
    </row>
    <row r="19">
      <c r="A19" s="8" t="s">
        <v>98</v>
      </c>
      <c r="B19" s="8" t="s">
        <v>1328</v>
      </c>
      <c r="C19" s="8" t="s">
        <v>59</v>
      </c>
      <c r="D19" s="18" t="s">
        <v>2621</v>
      </c>
      <c r="E19" s="16">
        <v>65.0</v>
      </c>
      <c r="F19" s="8" t="s">
        <v>98</v>
      </c>
      <c r="G19" s="8" t="s">
        <v>1237</v>
      </c>
      <c r="H19" s="8" t="s">
        <v>215</v>
      </c>
      <c r="I19" s="18" t="s">
        <v>2585</v>
      </c>
      <c r="J19" s="16">
        <v>76.0</v>
      </c>
      <c r="K19" s="8" t="s">
        <v>98</v>
      </c>
      <c r="L19" s="8" t="s">
        <v>97</v>
      </c>
      <c r="M19" s="18" t="s">
        <v>2558</v>
      </c>
      <c r="N19" s="16">
        <v>89.0</v>
      </c>
      <c r="O19" s="8" t="s">
        <v>3928</v>
      </c>
      <c r="P19" s="8" t="s">
        <v>53</v>
      </c>
      <c r="Q19" s="14" t="s">
        <v>1070</v>
      </c>
      <c r="R19" s="8" t="s">
        <v>2605</v>
      </c>
      <c r="S19" s="14" t="s">
        <v>2571</v>
      </c>
    </row>
    <row r="20">
      <c r="A20" s="8" t="s">
        <v>98</v>
      </c>
      <c r="B20" s="8" t="s">
        <v>78</v>
      </c>
      <c r="C20" s="8" t="s">
        <v>192</v>
      </c>
      <c r="D20" s="18" t="s">
        <v>2587</v>
      </c>
      <c r="E20" s="16">
        <v>77.0</v>
      </c>
      <c r="F20" s="8" t="s">
        <v>98</v>
      </c>
      <c r="G20" s="8" t="s">
        <v>1328</v>
      </c>
      <c r="H20" s="8" t="s">
        <v>53</v>
      </c>
      <c r="I20" s="18" t="s">
        <v>2621</v>
      </c>
      <c r="J20" s="16">
        <v>64.0</v>
      </c>
      <c r="K20" s="8" t="s">
        <v>98</v>
      </c>
      <c r="L20" s="8" t="s">
        <v>669</v>
      </c>
      <c r="M20" s="18" t="s">
        <v>2593</v>
      </c>
      <c r="N20" s="16">
        <v>89.0</v>
      </c>
      <c r="O20" s="8" t="s">
        <v>3929</v>
      </c>
      <c r="P20" s="8" t="s">
        <v>75</v>
      </c>
      <c r="Q20" s="14" t="s">
        <v>1070</v>
      </c>
      <c r="R20" s="8" t="s">
        <v>2593</v>
      </c>
      <c r="S20" s="14" t="s">
        <v>2618</v>
      </c>
    </row>
    <row r="21">
      <c r="A21" s="8" t="s">
        <v>952</v>
      </c>
      <c r="B21" s="8" t="s">
        <v>284</v>
      </c>
      <c r="C21" s="8" t="s">
        <v>122</v>
      </c>
      <c r="D21" s="18" t="s">
        <v>2584</v>
      </c>
      <c r="E21" s="16">
        <v>68.0</v>
      </c>
      <c r="F21" s="8" t="s">
        <v>98</v>
      </c>
      <c r="G21" s="8" t="s">
        <v>1392</v>
      </c>
      <c r="H21" s="8" t="s">
        <v>65</v>
      </c>
      <c r="I21" s="18" t="s">
        <v>2585</v>
      </c>
      <c r="J21" s="16">
        <v>67.0</v>
      </c>
      <c r="K21" s="8" t="s">
        <v>952</v>
      </c>
      <c r="L21" s="8" t="s">
        <v>284</v>
      </c>
      <c r="M21" s="18" t="s">
        <v>2584</v>
      </c>
      <c r="N21" s="16">
        <v>76.0</v>
      </c>
      <c r="O21" s="8" t="s">
        <v>3930</v>
      </c>
      <c r="P21" s="8" t="s">
        <v>16</v>
      </c>
      <c r="Q21" s="14" t="s">
        <v>83</v>
      </c>
      <c r="R21" s="8" t="s">
        <v>2558</v>
      </c>
      <c r="S21" s="14" t="s">
        <v>2561</v>
      </c>
    </row>
    <row r="22">
      <c r="A22" s="8" t="s">
        <v>11</v>
      </c>
      <c r="B22" s="8" t="s">
        <v>3645</v>
      </c>
      <c r="C22" s="8" t="s">
        <v>24</v>
      </c>
      <c r="D22" s="18" t="s">
        <v>2554</v>
      </c>
      <c r="E22" s="16">
        <v>64.0</v>
      </c>
      <c r="F22" s="8" t="s">
        <v>98</v>
      </c>
      <c r="G22" s="8" t="s">
        <v>3287</v>
      </c>
      <c r="H22" s="8" t="s">
        <v>93</v>
      </c>
      <c r="I22" s="18" t="s">
        <v>2564</v>
      </c>
      <c r="J22" s="16">
        <v>62.0</v>
      </c>
      <c r="K22" s="8" t="s">
        <v>11</v>
      </c>
      <c r="L22" s="8" t="s">
        <v>1202</v>
      </c>
      <c r="M22" s="18" t="s">
        <v>2592</v>
      </c>
      <c r="N22" s="16">
        <v>75.0</v>
      </c>
      <c r="O22" s="8" t="s">
        <v>3931</v>
      </c>
      <c r="P22" s="8" t="s">
        <v>132</v>
      </c>
      <c r="Q22" s="14" t="s">
        <v>1352</v>
      </c>
      <c r="R22" s="8" t="s">
        <v>2621</v>
      </c>
      <c r="S22" s="14" t="s">
        <v>2606</v>
      </c>
    </row>
    <row r="23">
      <c r="A23" s="8" t="s">
        <v>11</v>
      </c>
      <c r="B23" s="8" t="s">
        <v>373</v>
      </c>
      <c r="C23" s="8" t="s">
        <v>132</v>
      </c>
      <c r="D23" s="18" t="s">
        <v>2566</v>
      </c>
      <c r="E23" s="16">
        <v>66.0</v>
      </c>
      <c r="F23" s="8" t="s">
        <v>98</v>
      </c>
      <c r="G23" s="8" t="s">
        <v>477</v>
      </c>
      <c r="H23" s="8" t="s">
        <v>24</v>
      </c>
      <c r="I23" s="18" t="s">
        <v>2589</v>
      </c>
      <c r="J23" s="16">
        <v>45.0</v>
      </c>
      <c r="K23" s="8" t="s">
        <v>11</v>
      </c>
      <c r="L23" s="8" t="s">
        <v>2687</v>
      </c>
      <c r="M23" s="18" t="s">
        <v>2554</v>
      </c>
      <c r="N23" s="16">
        <v>67.0</v>
      </c>
      <c r="O23" s="8" t="s">
        <v>3932</v>
      </c>
      <c r="P23" s="8" t="s">
        <v>59</v>
      </c>
      <c r="Q23" s="14" t="s">
        <v>1070</v>
      </c>
      <c r="R23" s="8" t="s">
        <v>2620</v>
      </c>
      <c r="S23" s="14" t="s">
        <v>2579</v>
      </c>
    </row>
    <row r="24">
      <c r="A24" s="8" t="s">
        <v>11</v>
      </c>
      <c r="B24" s="8" t="s">
        <v>1175</v>
      </c>
      <c r="C24" s="8" t="s">
        <v>215</v>
      </c>
      <c r="D24" s="18" t="s">
        <v>2620</v>
      </c>
      <c r="E24" s="16">
        <v>68.0</v>
      </c>
      <c r="F24" s="8" t="s">
        <v>98</v>
      </c>
      <c r="G24" s="8" t="s">
        <v>669</v>
      </c>
      <c r="H24" s="8" t="s">
        <v>215</v>
      </c>
      <c r="I24" s="18" t="s">
        <v>2593</v>
      </c>
      <c r="J24" s="16">
        <v>99.0</v>
      </c>
      <c r="K24" s="8" t="s">
        <v>11</v>
      </c>
      <c r="L24" s="8" t="s">
        <v>10</v>
      </c>
      <c r="M24" s="18" t="s">
        <v>2567</v>
      </c>
      <c r="N24" s="16">
        <v>80.0</v>
      </c>
      <c r="O24" s="8" t="s">
        <v>3933</v>
      </c>
      <c r="P24" s="8" t="s">
        <v>138</v>
      </c>
      <c r="Q24" s="14" t="s">
        <v>2033</v>
      </c>
      <c r="R24" s="8" t="s">
        <v>2605</v>
      </c>
      <c r="S24" s="14" t="s">
        <v>2594</v>
      </c>
    </row>
    <row r="25">
      <c r="A25" s="8" t="s">
        <v>11</v>
      </c>
      <c r="B25" s="8" t="s">
        <v>530</v>
      </c>
      <c r="C25" s="8" t="s">
        <v>186</v>
      </c>
      <c r="D25" s="18" t="s">
        <v>2582</v>
      </c>
      <c r="E25" s="16">
        <v>70.0</v>
      </c>
      <c r="F25" s="8" t="s">
        <v>98</v>
      </c>
      <c r="G25" s="8" t="s">
        <v>97</v>
      </c>
      <c r="H25" s="8" t="s">
        <v>16</v>
      </c>
      <c r="I25" s="18" t="s">
        <v>2558</v>
      </c>
      <c r="J25" s="16">
        <v>98.0</v>
      </c>
      <c r="K25" s="8" t="s">
        <v>11</v>
      </c>
      <c r="L25" s="8" t="s">
        <v>1968</v>
      </c>
      <c r="M25" s="18" t="s">
        <v>2605</v>
      </c>
      <c r="N25" s="16">
        <v>76.0</v>
      </c>
      <c r="O25" s="8" t="s">
        <v>3934</v>
      </c>
      <c r="P25" s="8" t="s">
        <v>122</v>
      </c>
      <c r="Q25" s="14" t="s">
        <v>837</v>
      </c>
      <c r="R25" s="8" t="s">
        <v>2584</v>
      </c>
      <c r="S25" s="14" t="s">
        <v>2565</v>
      </c>
    </row>
    <row r="26">
      <c r="A26" s="8" t="s">
        <v>11</v>
      </c>
      <c r="B26" s="8" t="s">
        <v>1202</v>
      </c>
      <c r="C26" s="8" t="s">
        <v>65</v>
      </c>
      <c r="D26" s="18" t="s">
        <v>2592</v>
      </c>
      <c r="E26" s="16">
        <v>67.0</v>
      </c>
      <c r="F26" s="8" t="s">
        <v>952</v>
      </c>
      <c r="G26" s="8" t="s">
        <v>284</v>
      </c>
      <c r="H26" s="8" t="s">
        <v>122</v>
      </c>
      <c r="I26" s="18" t="s">
        <v>2584</v>
      </c>
      <c r="J26" s="16">
        <v>80.0</v>
      </c>
      <c r="K26" s="8" t="s">
        <v>11</v>
      </c>
      <c r="L26" s="8" t="s">
        <v>373</v>
      </c>
      <c r="M26" s="18" t="s">
        <v>2592</v>
      </c>
      <c r="N26" s="16">
        <v>69.0</v>
      </c>
      <c r="O26" s="8" t="s">
        <v>3935</v>
      </c>
      <c r="P26" s="8" t="s">
        <v>122</v>
      </c>
      <c r="Q26" s="14" t="s">
        <v>1352</v>
      </c>
      <c r="R26" s="8" t="s">
        <v>2600</v>
      </c>
      <c r="S26" s="14" t="s">
        <v>2557</v>
      </c>
    </row>
    <row r="27">
      <c r="A27" s="8" t="s">
        <v>11</v>
      </c>
      <c r="B27" s="8" t="s">
        <v>284</v>
      </c>
      <c r="C27" s="8" t="s">
        <v>93</v>
      </c>
      <c r="D27" s="18" t="s">
        <v>2610</v>
      </c>
      <c r="E27" s="16">
        <v>88.0</v>
      </c>
      <c r="F27" s="8" t="s">
        <v>3163</v>
      </c>
      <c r="G27" s="8" t="s">
        <v>2310</v>
      </c>
      <c r="H27" s="8" t="s">
        <v>93</v>
      </c>
      <c r="I27" s="18" t="s">
        <v>2554</v>
      </c>
      <c r="J27" s="16">
        <v>64.0</v>
      </c>
      <c r="K27" s="8" t="s">
        <v>11</v>
      </c>
      <c r="L27" s="8" t="s">
        <v>2984</v>
      </c>
      <c r="M27" s="18" t="s">
        <v>2558</v>
      </c>
      <c r="N27" s="16">
        <v>65.0</v>
      </c>
      <c r="O27" s="8" t="s">
        <v>3936</v>
      </c>
      <c r="P27" s="8" t="s">
        <v>75</v>
      </c>
      <c r="Q27" s="14" t="s">
        <v>338</v>
      </c>
      <c r="R27" s="8" t="s">
        <v>2598</v>
      </c>
      <c r="S27" s="14" t="s">
        <v>2609</v>
      </c>
    </row>
    <row r="28">
      <c r="A28" s="8" t="s">
        <v>11</v>
      </c>
      <c r="B28" s="8" t="s">
        <v>605</v>
      </c>
      <c r="C28" s="8" t="s">
        <v>65</v>
      </c>
      <c r="D28" s="18" t="s">
        <v>2552</v>
      </c>
      <c r="E28" s="16">
        <v>69.0</v>
      </c>
      <c r="F28" s="8" t="s">
        <v>11</v>
      </c>
      <c r="G28" s="8" t="s">
        <v>373</v>
      </c>
      <c r="H28" s="8" t="s">
        <v>75</v>
      </c>
      <c r="I28" s="18" t="s">
        <v>2566</v>
      </c>
      <c r="J28" s="16">
        <v>67.0</v>
      </c>
      <c r="K28" s="8" t="s">
        <v>11</v>
      </c>
      <c r="L28" s="8" t="s">
        <v>486</v>
      </c>
      <c r="M28" s="18" t="s">
        <v>2600</v>
      </c>
      <c r="N28" s="16">
        <v>72.0</v>
      </c>
      <c r="O28" s="8" t="s">
        <v>3937</v>
      </c>
      <c r="P28" s="8" t="s">
        <v>215</v>
      </c>
      <c r="Q28" s="14" t="s">
        <v>1070</v>
      </c>
      <c r="R28" s="8" t="s">
        <v>2620</v>
      </c>
      <c r="S28" s="14" t="s">
        <v>2553</v>
      </c>
    </row>
    <row r="29">
      <c r="A29" s="8" t="s">
        <v>11</v>
      </c>
      <c r="B29" s="8" t="s">
        <v>10</v>
      </c>
      <c r="C29" s="8" t="s">
        <v>12</v>
      </c>
      <c r="D29" s="18" t="s">
        <v>2567</v>
      </c>
      <c r="E29" s="16">
        <v>84.0</v>
      </c>
      <c r="F29" s="8" t="s">
        <v>11</v>
      </c>
      <c r="G29" s="8" t="s">
        <v>2687</v>
      </c>
      <c r="H29" s="8" t="s">
        <v>46</v>
      </c>
      <c r="I29" s="18" t="s">
        <v>2566</v>
      </c>
      <c r="J29" s="16">
        <v>65.0</v>
      </c>
      <c r="K29" s="8" t="s">
        <v>11</v>
      </c>
      <c r="L29" s="8" t="s">
        <v>1175</v>
      </c>
      <c r="M29" s="18" t="s">
        <v>2620</v>
      </c>
      <c r="N29" s="16">
        <v>74.0</v>
      </c>
      <c r="O29" s="8" t="s">
        <v>3938</v>
      </c>
      <c r="P29" s="8" t="s">
        <v>65</v>
      </c>
      <c r="Q29" s="14" t="s">
        <v>1070</v>
      </c>
      <c r="R29" s="8" t="s">
        <v>2621</v>
      </c>
      <c r="S29" s="14" t="s">
        <v>2586</v>
      </c>
    </row>
    <row r="30">
      <c r="A30" s="8" t="s">
        <v>809</v>
      </c>
      <c r="B30" s="8" t="s">
        <v>2812</v>
      </c>
      <c r="C30" s="8" t="s">
        <v>186</v>
      </c>
      <c r="D30" s="18" t="s">
        <v>2592</v>
      </c>
      <c r="E30" s="16">
        <v>61.0</v>
      </c>
      <c r="F30" s="8" t="s">
        <v>11</v>
      </c>
      <c r="G30" s="8" t="s">
        <v>284</v>
      </c>
      <c r="H30" s="8" t="s">
        <v>93</v>
      </c>
      <c r="I30" s="18" t="s">
        <v>2610</v>
      </c>
      <c r="J30" s="16">
        <v>81.0</v>
      </c>
      <c r="K30" s="8" t="s">
        <v>11</v>
      </c>
      <c r="L30" s="8" t="s">
        <v>284</v>
      </c>
      <c r="M30" s="18" t="s">
        <v>2645</v>
      </c>
      <c r="N30" s="16">
        <v>61.0</v>
      </c>
      <c r="O30" s="8" t="s">
        <v>3939</v>
      </c>
      <c r="P30" s="8" t="s">
        <v>141</v>
      </c>
      <c r="Q30" s="14" t="s">
        <v>1070</v>
      </c>
      <c r="R30" s="8" t="s">
        <v>2614</v>
      </c>
      <c r="S30" s="14" t="s">
        <v>2606</v>
      </c>
    </row>
    <row r="31">
      <c r="A31" s="8" t="s">
        <v>1331</v>
      </c>
      <c r="B31" s="8" t="s">
        <v>1330</v>
      </c>
      <c r="C31" s="8" t="s">
        <v>122</v>
      </c>
      <c r="D31" s="18" t="s">
        <v>2587</v>
      </c>
      <c r="E31" s="16">
        <v>70.0</v>
      </c>
      <c r="F31" s="8" t="s">
        <v>11</v>
      </c>
      <c r="G31" s="8" t="s">
        <v>1202</v>
      </c>
      <c r="H31" s="8" t="s">
        <v>65</v>
      </c>
      <c r="I31" s="18" t="s">
        <v>2592</v>
      </c>
      <c r="J31" s="16">
        <v>76.0</v>
      </c>
      <c r="K31" s="8" t="s">
        <v>11</v>
      </c>
      <c r="L31" s="8" t="s">
        <v>2686</v>
      </c>
      <c r="M31" s="18" t="s">
        <v>2645</v>
      </c>
      <c r="N31" s="16">
        <v>68.0</v>
      </c>
      <c r="O31" s="8" t="s">
        <v>3940</v>
      </c>
      <c r="P31" s="8" t="s">
        <v>24</v>
      </c>
      <c r="Q31" s="14" t="s">
        <v>1679</v>
      </c>
      <c r="R31" s="8" t="s">
        <v>2605</v>
      </c>
      <c r="S31" s="14" t="s">
        <v>2553</v>
      </c>
    </row>
    <row r="32">
      <c r="A32" s="8" t="s">
        <v>127</v>
      </c>
      <c r="B32" s="8" t="s">
        <v>1074</v>
      </c>
      <c r="C32" s="8" t="s">
        <v>80</v>
      </c>
      <c r="D32" s="18" t="s">
        <v>2605</v>
      </c>
      <c r="E32" s="16">
        <v>77.0</v>
      </c>
      <c r="F32" s="8" t="s">
        <v>11</v>
      </c>
      <c r="G32" s="8" t="s">
        <v>1175</v>
      </c>
      <c r="H32" s="8" t="s">
        <v>215</v>
      </c>
      <c r="I32" s="18" t="s">
        <v>2620</v>
      </c>
      <c r="J32" s="16">
        <v>66.0</v>
      </c>
      <c r="K32" s="8" t="s">
        <v>11</v>
      </c>
      <c r="L32" s="8" t="s">
        <v>1297</v>
      </c>
      <c r="M32" s="18" t="s">
        <v>2587</v>
      </c>
      <c r="N32" s="16">
        <v>65.0</v>
      </c>
      <c r="O32" s="8" t="s">
        <v>3941</v>
      </c>
      <c r="P32" s="8" t="s">
        <v>65</v>
      </c>
      <c r="Q32" s="14" t="s">
        <v>459</v>
      </c>
      <c r="R32" s="8" t="s">
        <v>2552</v>
      </c>
      <c r="S32" s="14" t="s">
        <v>2636</v>
      </c>
    </row>
    <row r="33">
      <c r="A33" s="8" t="s">
        <v>127</v>
      </c>
      <c r="B33" s="8" t="s">
        <v>253</v>
      </c>
      <c r="C33" s="8" t="s">
        <v>138</v>
      </c>
      <c r="D33" s="18" t="s">
        <v>2598</v>
      </c>
      <c r="E33" s="16">
        <v>77.0</v>
      </c>
      <c r="F33" s="8" t="s">
        <v>11</v>
      </c>
      <c r="G33" s="8" t="s">
        <v>2984</v>
      </c>
      <c r="H33" s="8" t="s">
        <v>75</v>
      </c>
      <c r="I33" s="18" t="s">
        <v>2558</v>
      </c>
      <c r="J33" s="16">
        <v>61.0</v>
      </c>
      <c r="K33" s="8" t="s">
        <v>11</v>
      </c>
      <c r="L33" s="8" t="s">
        <v>605</v>
      </c>
      <c r="M33" s="18" t="s">
        <v>2552</v>
      </c>
      <c r="N33" s="16">
        <v>84.0</v>
      </c>
      <c r="O33" s="8" t="s">
        <v>3942</v>
      </c>
      <c r="P33" s="8" t="s">
        <v>12</v>
      </c>
      <c r="Q33" s="14" t="s">
        <v>13</v>
      </c>
      <c r="R33" s="8" t="s">
        <v>2567</v>
      </c>
      <c r="S33" s="14" t="s">
        <v>2586</v>
      </c>
    </row>
    <row r="34">
      <c r="A34" s="8" t="s">
        <v>127</v>
      </c>
      <c r="B34" s="8" t="s">
        <v>126</v>
      </c>
      <c r="C34" s="8" t="s">
        <v>70</v>
      </c>
      <c r="D34" s="18" t="s">
        <v>2552</v>
      </c>
      <c r="E34" s="16">
        <v>91.0</v>
      </c>
      <c r="F34" s="8" t="s">
        <v>11</v>
      </c>
      <c r="G34" s="8" t="s">
        <v>1968</v>
      </c>
      <c r="H34" s="8" t="s">
        <v>24</v>
      </c>
      <c r="I34" s="18" t="s">
        <v>2605</v>
      </c>
      <c r="J34" s="16">
        <v>75.0</v>
      </c>
      <c r="K34" s="8" t="s">
        <v>809</v>
      </c>
      <c r="L34" s="8" t="s">
        <v>2812</v>
      </c>
      <c r="M34" s="18" t="s">
        <v>2592</v>
      </c>
      <c r="N34" s="16">
        <v>72.0</v>
      </c>
      <c r="O34" s="8" t="s">
        <v>3943</v>
      </c>
      <c r="P34" s="8" t="s">
        <v>186</v>
      </c>
      <c r="Q34" s="14" t="s">
        <v>631</v>
      </c>
      <c r="R34" s="8" t="s">
        <v>2615</v>
      </c>
      <c r="S34" s="14" t="s">
        <v>2568</v>
      </c>
    </row>
    <row r="35">
      <c r="A35" s="8" t="s">
        <v>127</v>
      </c>
      <c r="B35" s="8" t="s">
        <v>1005</v>
      </c>
      <c r="C35" s="8" t="s">
        <v>80</v>
      </c>
      <c r="D35" s="18" t="s">
        <v>2572</v>
      </c>
      <c r="E35" s="16">
        <v>67.0</v>
      </c>
      <c r="F35" s="8" t="s">
        <v>11</v>
      </c>
      <c r="G35" s="8" t="s">
        <v>10</v>
      </c>
      <c r="H35" s="8" t="s">
        <v>12</v>
      </c>
      <c r="I35" s="18" t="s">
        <v>2567</v>
      </c>
      <c r="J35" s="16">
        <v>84.0</v>
      </c>
      <c r="K35" s="8" t="s">
        <v>1365</v>
      </c>
      <c r="L35" s="8" t="s">
        <v>1364</v>
      </c>
      <c r="M35" s="18" t="s">
        <v>2552</v>
      </c>
      <c r="N35" s="16">
        <v>65.0</v>
      </c>
      <c r="O35" s="8" t="s">
        <v>3944</v>
      </c>
      <c r="P35" s="8" t="s">
        <v>215</v>
      </c>
      <c r="Q35" s="14" t="s">
        <v>1352</v>
      </c>
      <c r="R35" s="8" t="s">
        <v>2552</v>
      </c>
      <c r="S35" s="14" t="s">
        <v>2555</v>
      </c>
    </row>
    <row r="36">
      <c r="A36" s="8" t="s">
        <v>1991</v>
      </c>
      <c r="B36" s="8" t="s">
        <v>224</v>
      </c>
      <c r="C36" s="8" t="s">
        <v>53</v>
      </c>
      <c r="D36" s="18" t="s">
        <v>2585</v>
      </c>
      <c r="E36" s="16">
        <v>74.0</v>
      </c>
      <c r="F36" s="8" t="s">
        <v>11</v>
      </c>
      <c r="G36" s="8" t="s">
        <v>605</v>
      </c>
      <c r="H36" s="8" t="s">
        <v>65</v>
      </c>
      <c r="I36" s="18" t="s">
        <v>2552</v>
      </c>
      <c r="J36" s="16">
        <v>81.0</v>
      </c>
      <c r="K36" s="8" t="s">
        <v>1331</v>
      </c>
      <c r="L36" s="8" t="s">
        <v>1330</v>
      </c>
      <c r="M36" s="18" t="s">
        <v>2587</v>
      </c>
      <c r="N36" s="16">
        <v>68.0</v>
      </c>
      <c r="O36" s="8" t="s">
        <v>3945</v>
      </c>
      <c r="P36" s="8" t="s">
        <v>122</v>
      </c>
      <c r="Q36" s="14" t="s">
        <v>1070</v>
      </c>
      <c r="R36" s="8" t="s">
        <v>2581</v>
      </c>
      <c r="S36" s="14" t="s">
        <v>2579</v>
      </c>
    </row>
    <row r="37">
      <c r="A37" s="8" t="s">
        <v>3422</v>
      </c>
      <c r="B37" s="8" t="s">
        <v>3421</v>
      </c>
      <c r="C37" s="8" t="s">
        <v>122</v>
      </c>
      <c r="D37" s="18" t="s">
        <v>2603</v>
      </c>
      <c r="E37" s="16">
        <v>74.0</v>
      </c>
      <c r="F37" s="8" t="s">
        <v>809</v>
      </c>
      <c r="G37" s="8" t="s">
        <v>2812</v>
      </c>
      <c r="H37" s="8" t="s">
        <v>59</v>
      </c>
      <c r="I37" s="18" t="s">
        <v>2592</v>
      </c>
      <c r="J37" s="16">
        <v>65.0</v>
      </c>
      <c r="K37" s="8" t="s">
        <v>3946</v>
      </c>
      <c r="L37" s="8" t="s">
        <v>208</v>
      </c>
      <c r="M37" s="18" t="s">
        <v>2621</v>
      </c>
      <c r="N37" s="16">
        <v>82.0</v>
      </c>
      <c r="O37" s="8" t="s">
        <v>3947</v>
      </c>
      <c r="P37" s="8" t="s">
        <v>93</v>
      </c>
      <c r="Q37" s="14" t="s">
        <v>2296</v>
      </c>
      <c r="R37" s="8" t="s">
        <v>2582</v>
      </c>
      <c r="S37" s="14" t="s">
        <v>2583</v>
      </c>
    </row>
    <row r="38">
      <c r="A38" s="8" t="s">
        <v>957</v>
      </c>
      <c r="B38" s="8" t="s">
        <v>2667</v>
      </c>
      <c r="C38" s="8" t="s">
        <v>59</v>
      </c>
      <c r="D38" s="18" t="s">
        <v>2593</v>
      </c>
      <c r="E38" s="16">
        <v>77.0</v>
      </c>
      <c r="F38" s="8" t="s">
        <v>1331</v>
      </c>
      <c r="G38" s="8" t="s">
        <v>1330</v>
      </c>
      <c r="H38" s="8" t="s">
        <v>122</v>
      </c>
      <c r="I38" s="18" t="s">
        <v>2587</v>
      </c>
      <c r="J38" s="16">
        <v>71.0</v>
      </c>
      <c r="K38" s="8" t="s">
        <v>127</v>
      </c>
      <c r="L38" s="8" t="s">
        <v>1406</v>
      </c>
      <c r="M38" s="18" t="s">
        <v>2585</v>
      </c>
      <c r="N38" s="16">
        <v>76.0</v>
      </c>
      <c r="O38" s="8" t="s">
        <v>3948</v>
      </c>
      <c r="P38" s="8" t="s">
        <v>93</v>
      </c>
      <c r="Q38" s="14" t="s">
        <v>2033</v>
      </c>
      <c r="R38" s="8" t="s">
        <v>2621</v>
      </c>
      <c r="S38" s="14" t="s">
        <v>2578</v>
      </c>
    </row>
    <row r="39">
      <c r="A39" s="8" t="s">
        <v>957</v>
      </c>
      <c r="B39" s="8" t="s">
        <v>3605</v>
      </c>
      <c r="C39" s="8" t="s">
        <v>186</v>
      </c>
      <c r="D39" s="18" t="s">
        <v>2562</v>
      </c>
      <c r="E39" s="16">
        <v>74.0</v>
      </c>
      <c r="F39" s="8" t="s">
        <v>3946</v>
      </c>
      <c r="G39" s="8" t="s">
        <v>208</v>
      </c>
      <c r="H39" s="8" t="s">
        <v>93</v>
      </c>
      <c r="I39" s="18" t="s">
        <v>2621</v>
      </c>
      <c r="J39" s="16">
        <v>74.0</v>
      </c>
      <c r="K39" s="8" t="s">
        <v>127</v>
      </c>
      <c r="L39" s="8" t="s">
        <v>1074</v>
      </c>
      <c r="M39" s="18" t="s">
        <v>2605</v>
      </c>
      <c r="N39" s="16">
        <v>84.0</v>
      </c>
      <c r="O39" s="8" t="s">
        <v>3949</v>
      </c>
      <c r="P39" s="8" t="s">
        <v>192</v>
      </c>
      <c r="Q39" s="14" t="s">
        <v>1070</v>
      </c>
      <c r="R39" s="8" t="s">
        <v>2558</v>
      </c>
      <c r="S39" s="14" t="s">
        <v>2604</v>
      </c>
    </row>
    <row r="40">
      <c r="A40" s="8" t="s">
        <v>957</v>
      </c>
      <c r="B40" s="8" t="s">
        <v>205</v>
      </c>
      <c r="C40" s="8" t="s">
        <v>70</v>
      </c>
      <c r="D40" s="18" t="s">
        <v>2562</v>
      </c>
      <c r="E40" s="16">
        <v>64.0</v>
      </c>
      <c r="F40" s="8" t="s">
        <v>127</v>
      </c>
      <c r="G40" s="8" t="s">
        <v>126</v>
      </c>
      <c r="H40" s="8" t="s">
        <v>70</v>
      </c>
      <c r="I40" s="18" t="s">
        <v>2595</v>
      </c>
      <c r="J40" s="16">
        <v>84.0</v>
      </c>
      <c r="K40" s="8" t="s">
        <v>127</v>
      </c>
      <c r="L40" s="8" t="s">
        <v>1005</v>
      </c>
      <c r="M40" s="18" t="s">
        <v>2572</v>
      </c>
      <c r="N40" s="16">
        <v>73.0</v>
      </c>
      <c r="O40" s="8" t="s">
        <v>3950</v>
      </c>
      <c r="P40" s="8" t="s">
        <v>215</v>
      </c>
      <c r="Q40" s="14" t="s">
        <v>237</v>
      </c>
      <c r="R40" s="8" t="s">
        <v>2598</v>
      </c>
      <c r="S40" s="14" t="s">
        <v>2590</v>
      </c>
    </row>
    <row r="41">
      <c r="A41" s="8" t="s">
        <v>957</v>
      </c>
      <c r="B41" s="8" t="s">
        <v>956</v>
      </c>
      <c r="C41" s="8" t="s">
        <v>93</v>
      </c>
      <c r="D41" s="18" t="s">
        <v>2598</v>
      </c>
      <c r="E41" s="16">
        <v>61.0</v>
      </c>
      <c r="F41" s="8" t="s">
        <v>127</v>
      </c>
      <c r="G41" s="8" t="s">
        <v>253</v>
      </c>
      <c r="H41" s="8" t="s">
        <v>138</v>
      </c>
      <c r="I41" s="18" t="s">
        <v>2598</v>
      </c>
      <c r="J41" s="16">
        <v>77.0</v>
      </c>
      <c r="K41" s="8" t="s">
        <v>127</v>
      </c>
      <c r="L41" s="8" t="s">
        <v>253</v>
      </c>
      <c r="M41" s="18" t="s">
        <v>2600</v>
      </c>
      <c r="N41" s="16">
        <v>78.0</v>
      </c>
      <c r="O41" s="8" t="s">
        <v>3951</v>
      </c>
      <c r="P41" s="8" t="s">
        <v>80</v>
      </c>
      <c r="Q41" s="14" t="s">
        <v>1352</v>
      </c>
      <c r="R41" s="8" t="s">
        <v>2585</v>
      </c>
      <c r="S41" s="14" t="s">
        <v>2602</v>
      </c>
    </row>
    <row r="42">
      <c r="A42" s="8" t="s">
        <v>957</v>
      </c>
      <c r="B42" s="8" t="s">
        <v>1034</v>
      </c>
      <c r="C42" s="8" t="s">
        <v>122</v>
      </c>
      <c r="D42" s="18" t="s">
        <v>2592</v>
      </c>
      <c r="E42" s="16">
        <v>73.0</v>
      </c>
      <c r="F42" s="8" t="s">
        <v>127</v>
      </c>
      <c r="G42" s="8" t="s">
        <v>1406</v>
      </c>
      <c r="H42" s="8" t="s">
        <v>192</v>
      </c>
      <c r="I42" s="18" t="s">
        <v>2585</v>
      </c>
      <c r="J42" s="16">
        <v>60.0</v>
      </c>
      <c r="K42" s="8" t="s">
        <v>127</v>
      </c>
      <c r="L42" s="8" t="s">
        <v>1074</v>
      </c>
      <c r="M42" s="18" t="s">
        <v>2605</v>
      </c>
      <c r="N42" s="16">
        <v>89.0</v>
      </c>
      <c r="O42" s="8" t="s">
        <v>3952</v>
      </c>
      <c r="P42" s="8" t="s">
        <v>70</v>
      </c>
      <c r="Q42" s="14" t="s">
        <v>108</v>
      </c>
      <c r="R42" s="8" t="s">
        <v>2582</v>
      </c>
      <c r="S42" s="14" t="s">
        <v>2578</v>
      </c>
    </row>
    <row r="43">
      <c r="A43" s="8" t="s">
        <v>534</v>
      </c>
      <c r="B43" s="8" t="s">
        <v>533</v>
      </c>
      <c r="C43" s="8" t="s">
        <v>138</v>
      </c>
      <c r="D43" s="18" t="s">
        <v>2605</v>
      </c>
      <c r="E43" s="16">
        <v>78.0</v>
      </c>
      <c r="F43" s="8" t="s">
        <v>127</v>
      </c>
      <c r="G43" s="8" t="s">
        <v>1074</v>
      </c>
      <c r="H43" s="8" t="s">
        <v>80</v>
      </c>
      <c r="I43" s="18" t="s">
        <v>2605</v>
      </c>
      <c r="J43" s="16">
        <v>80.0</v>
      </c>
      <c r="K43" s="8" t="s">
        <v>2028</v>
      </c>
      <c r="L43" s="8" t="s">
        <v>2027</v>
      </c>
      <c r="M43" s="18" t="s">
        <v>2585</v>
      </c>
      <c r="N43" s="16">
        <v>75.0</v>
      </c>
      <c r="O43" s="8" t="s">
        <v>3953</v>
      </c>
      <c r="P43" s="8" t="s">
        <v>192</v>
      </c>
      <c r="Q43" s="14" t="s">
        <v>837</v>
      </c>
      <c r="R43" s="8" t="s">
        <v>2572</v>
      </c>
      <c r="S43" s="14" t="s">
        <v>2590</v>
      </c>
    </row>
    <row r="44">
      <c r="A44" s="8" t="s">
        <v>234</v>
      </c>
      <c r="B44" s="8" t="s">
        <v>233</v>
      </c>
      <c r="C44" s="8" t="s">
        <v>122</v>
      </c>
      <c r="D44" s="18" t="s">
        <v>2621</v>
      </c>
      <c r="E44" s="16">
        <v>74.0</v>
      </c>
      <c r="F44" s="8" t="s">
        <v>127</v>
      </c>
      <c r="G44" s="8" t="s">
        <v>1005</v>
      </c>
      <c r="H44" s="8" t="s">
        <v>80</v>
      </c>
      <c r="I44" s="18" t="s">
        <v>2572</v>
      </c>
      <c r="J44" s="16">
        <v>67.0</v>
      </c>
      <c r="K44" s="8" t="s">
        <v>1991</v>
      </c>
      <c r="L44" s="8" t="s">
        <v>224</v>
      </c>
      <c r="M44" s="18" t="s">
        <v>2645</v>
      </c>
      <c r="N44" s="16">
        <v>61.0</v>
      </c>
      <c r="O44" s="8" t="s">
        <v>3954</v>
      </c>
      <c r="P44" s="8" t="s">
        <v>93</v>
      </c>
      <c r="Q44" s="14" t="s">
        <v>1679</v>
      </c>
      <c r="R44" s="8" t="s">
        <v>2585</v>
      </c>
      <c r="S44" s="14" t="s">
        <v>2573</v>
      </c>
    </row>
    <row r="45">
      <c r="A45" s="8" t="s">
        <v>3864</v>
      </c>
      <c r="B45" s="8" t="s">
        <v>3955</v>
      </c>
      <c r="C45" s="8" t="s">
        <v>122</v>
      </c>
      <c r="D45" s="18" t="s">
        <v>2183</v>
      </c>
      <c r="E45" s="16">
        <v>71.0</v>
      </c>
      <c r="F45" s="8" t="s">
        <v>2028</v>
      </c>
      <c r="G45" s="8" t="s">
        <v>2027</v>
      </c>
      <c r="H45" s="8" t="s">
        <v>93</v>
      </c>
      <c r="I45" s="18" t="s">
        <v>2585</v>
      </c>
      <c r="J45" s="16">
        <v>71.0</v>
      </c>
      <c r="K45" s="8" t="s">
        <v>957</v>
      </c>
      <c r="L45" s="8" t="s">
        <v>1034</v>
      </c>
      <c r="M45" s="18" t="s">
        <v>2581</v>
      </c>
      <c r="N45" s="16">
        <v>75.0</v>
      </c>
      <c r="O45" s="8" t="s">
        <v>3956</v>
      </c>
      <c r="P45" s="8" t="s">
        <v>53</v>
      </c>
      <c r="Q45" s="14" t="s">
        <v>1679</v>
      </c>
      <c r="R45" s="8" t="s">
        <v>2567</v>
      </c>
      <c r="S45" s="14" t="s">
        <v>2583</v>
      </c>
    </row>
    <row r="46">
      <c r="A46" s="8" t="s">
        <v>2748</v>
      </c>
      <c r="B46" s="8" t="s">
        <v>1381</v>
      </c>
      <c r="C46" s="8" t="s">
        <v>122</v>
      </c>
      <c r="D46" s="18" t="s">
        <v>2600</v>
      </c>
      <c r="E46" s="16">
        <v>77.0</v>
      </c>
      <c r="F46" s="8" t="s">
        <v>1991</v>
      </c>
      <c r="G46" s="8" t="s">
        <v>224</v>
      </c>
      <c r="H46" s="8" t="s">
        <v>53</v>
      </c>
      <c r="I46" s="18" t="s">
        <v>2585</v>
      </c>
      <c r="J46" s="16">
        <v>75.0</v>
      </c>
      <c r="K46" s="8" t="s">
        <v>534</v>
      </c>
      <c r="L46" s="8" t="s">
        <v>533</v>
      </c>
      <c r="M46" s="18" t="s">
        <v>2605</v>
      </c>
      <c r="N46" s="16">
        <v>80.0</v>
      </c>
      <c r="O46" s="8" t="s">
        <v>3957</v>
      </c>
      <c r="P46" s="8" t="s">
        <v>93</v>
      </c>
      <c r="Q46" s="14" t="s">
        <v>837</v>
      </c>
      <c r="R46" s="8" t="s">
        <v>2603</v>
      </c>
      <c r="S46" s="14" t="s">
        <v>2576</v>
      </c>
    </row>
    <row r="47">
      <c r="A47" s="8" t="s">
        <v>2748</v>
      </c>
      <c r="B47" s="8" t="s">
        <v>2747</v>
      </c>
      <c r="C47" s="8" t="s">
        <v>24</v>
      </c>
      <c r="D47" s="18" t="s">
        <v>2592</v>
      </c>
      <c r="E47" s="16">
        <v>62.0</v>
      </c>
      <c r="F47" s="8" t="s">
        <v>3422</v>
      </c>
      <c r="G47" s="8" t="s">
        <v>3421</v>
      </c>
      <c r="H47" s="8" t="s">
        <v>122</v>
      </c>
      <c r="I47" s="18" t="s">
        <v>2603</v>
      </c>
      <c r="J47" s="16">
        <v>74.0</v>
      </c>
      <c r="K47" s="8" t="s">
        <v>534</v>
      </c>
      <c r="L47" s="8" t="s">
        <v>533</v>
      </c>
      <c r="M47" s="18" t="s">
        <v>2605</v>
      </c>
      <c r="N47" s="16">
        <v>87.0</v>
      </c>
      <c r="O47" s="8" t="s">
        <v>3958</v>
      </c>
      <c r="P47" s="8" t="s">
        <v>122</v>
      </c>
      <c r="Q47" s="14" t="s">
        <v>837</v>
      </c>
      <c r="R47" s="8" t="s">
        <v>2581</v>
      </c>
      <c r="S47" s="14" t="s">
        <v>2573</v>
      </c>
    </row>
    <row r="48">
      <c r="A48" s="8" t="s">
        <v>3262</v>
      </c>
      <c r="B48" s="8" t="s">
        <v>3261</v>
      </c>
      <c r="C48" s="8" t="s">
        <v>186</v>
      </c>
      <c r="D48" s="18" t="s">
        <v>2589</v>
      </c>
      <c r="E48" s="16">
        <v>61.0</v>
      </c>
      <c r="F48" s="8" t="s">
        <v>957</v>
      </c>
      <c r="G48" s="8" t="s">
        <v>205</v>
      </c>
      <c r="H48" s="8" t="s">
        <v>70</v>
      </c>
      <c r="I48" s="18" t="s">
        <v>2562</v>
      </c>
      <c r="J48" s="16">
        <v>69.0</v>
      </c>
      <c r="K48" s="8" t="s">
        <v>234</v>
      </c>
      <c r="L48" s="8" t="s">
        <v>233</v>
      </c>
      <c r="M48" s="18" t="s">
        <v>2567</v>
      </c>
      <c r="N48" s="16">
        <v>78.0</v>
      </c>
      <c r="O48" s="8" t="s">
        <v>3959</v>
      </c>
      <c r="P48" s="8" t="s">
        <v>138</v>
      </c>
      <c r="Q48" s="14" t="s">
        <v>459</v>
      </c>
      <c r="R48" s="8" t="s">
        <v>2605</v>
      </c>
      <c r="S48" s="14" t="s">
        <v>2604</v>
      </c>
    </row>
    <row r="49">
      <c r="A49" s="8" t="s">
        <v>1064</v>
      </c>
      <c r="B49" s="8" t="s">
        <v>2928</v>
      </c>
      <c r="C49" s="8" t="s">
        <v>186</v>
      </c>
      <c r="D49" s="18" t="s">
        <v>2575</v>
      </c>
      <c r="E49" s="16">
        <v>70.0</v>
      </c>
      <c r="F49" s="8" t="s">
        <v>957</v>
      </c>
      <c r="G49" s="8" t="s">
        <v>956</v>
      </c>
      <c r="H49" s="8" t="s">
        <v>80</v>
      </c>
      <c r="I49" s="18" t="s">
        <v>2598</v>
      </c>
      <c r="J49" s="16">
        <v>57.0</v>
      </c>
      <c r="K49" s="8" t="s">
        <v>1910</v>
      </c>
      <c r="L49" s="8" t="s">
        <v>1908</v>
      </c>
      <c r="M49" s="18" t="s">
        <v>2595</v>
      </c>
      <c r="N49" s="16">
        <v>64.0</v>
      </c>
      <c r="O49" s="8" t="s">
        <v>3960</v>
      </c>
      <c r="P49" s="8" t="s">
        <v>122</v>
      </c>
      <c r="Q49" s="14" t="s">
        <v>189</v>
      </c>
      <c r="R49" s="8" t="s">
        <v>2603</v>
      </c>
      <c r="S49" s="14" t="s">
        <v>2590</v>
      </c>
    </row>
    <row r="50">
      <c r="A50" s="8" t="s">
        <v>1064</v>
      </c>
      <c r="B50" s="8" t="s">
        <v>451</v>
      </c>
      <c r="C50" s="8" t="s">
        <v>65</v>
      </c>
      <c r="D50" s="18" t="s">
        <v>2183</v>
      </c>
      <c r="E50" s="16">
        <v>74.0</v>
      </c>
      <c r="F50" s="8" t="s">
        <v>957</v>
      </c>
      <c r="G50" s="8" t="s">
        <v>2667</v>
      </c>
      <c r="H50" s="8" t="s">
        <v>59</v>
      </c>
      <c r="I50" s="18" t="s">
        <v>2567</v>
      </c>
      <c r="J50" s="16">
        <v>76.0</v>
      </c>
      <c r="K50" s="8" t="s">
        <v>2748</v>
      </c>
      <c r="L50" s="8" t="s">
        <v>2747</v>
      </c>
      <c r="M50" s="18" t="s">
        <v>2592</v>
      </c>
      <c r="N50" s="16">
        <v>63.0</v>
      </c>
      <c r="O50" s="8" t="s">
        <v>3961</v>
      </c>
      <c r="P50" s="8" t="s">
        <v>215</v>
      </c>
      <c r="Q50" s="14" t="s">
        <v>1679</v>
      </c>
      <c r="R50" s="8" t="s">
        <v>2567</v>
      </c>
      <c r="S50" s="14" t="s">
        <v>2563</v>
      </c>
    </row>
    <row r="51">
      <c r="A51" s="8" t="s">
        <v>3437</v>
      </c>
      <c r="B51" s="8" t="s">
        <v>99</v>
      </c>
      <c r="C51" s="8" t="s">
        <v>59</v>
      </c>
      <c r="D51" s="18" t="s">
        <v>2556</v>
      </c>
      <c r="E51" s="16">
        <v>85.0</v>
      </c>
      <c r="F51" s="8" t="s">
        <v>957</v>
      </c>
      <c r="G51" s="8" t="s">
        <v>1034</v>
      </c>
      <c r="H51" s="8" t="s">
        <v>122</v>
      </c>
      <c r="I51" s="18" t="s">
        <v>2554</v>
      </c>
      <c r="J51" s="16">
        <v>73.0</v>
      </c>
      <c r="K51" s="8" t="s">
        <v>1064</v>
      </c>
      <c r="L51" s="8" t="s">
        <v>451</v>
      </c>
      <c r="M51" s="18" t="s">
        <v>2581</v>
      </c>
      <c r="N51" s="16">
        <v>75.0</v>
      </c>
      <c r="O51" s="8" t="s">
        <v>3962</v>
      </c>
      <c r="P51" s="8" t="s">
        <v>122</v>
      </c>
      <c r="Q51" s="14" t="s">
        <v>2296</v>
      </c>
      <c r="R51" s="8" t="s">
        <v>2562</v>
      </c>
      <c r="S51" s="14" t="s">
        <v>2555</v>
      </c>
    </row>
    <row r="52">
      <c r="A52" s="8" t="s">
        <v>423</v>
      </c>
      <c r="B52" s="8" t="s">
        <v>308</v>
      </c>
      <c r="C52" s="8" t="s">
        <v>65</v>
      </c>
      <c r="D52" s="18" t="s">
        <v>2598</v>
      </c>
      <c r="E52" s="16">
        <v>67.0</v>
      </c>
      <c r="F52" s="8" t="s">
        <v>534</v>
      </c>
      <c r="G52" s="8" t="s">
        <v>533</v>
      </c>
      <c r="H52" s="8" t="s">
        <v>138</v>
      </c>
      <c r="I52" s="18" t="s">
        <v>2605</v>
      </c>
      <c r="J52" s="16">
        <v>83.0</v>
      </c>
      <c r="K52" s="8" t="s">
        <v>1064</v>
      </c>
      <c r="L52" s="8" t="s">
        <v>2928</v>
      </c>
      <c r="M52" s="18" t="s">
        <v>2575</v>
      </c>
      <c r="N52" s="16">
        <v>73.0</v>
      </c>
      <c r="O52" s="8" t="s">
        <v>3963</v>
      </c>
      <c r="P52" s="8" t="s">
        <v>65</v>
      </c>
      <c r="Q52" s="14" t="s">
        <v>837</v>
      </c>
      <c r="R52" s="8" t="s">
        <v>2581</v>
      </c>
      <c r="S52" s="14" t="s">
        <v>2608</v>
      </c>
    </row>
    <row r="53">
      <c r="A53" s="8" t="s">
        <v>998</v>
      </c>
      <c r="B53" s="8" t="s">
        <v>997</v>
      </c>
      <c r="C53" s="8" t="s">
        <v>186</v>
      </c>
      <c r="D53" s="18" t="s">
        <v>2593</v>
      </c>
      <c r="E53" s="16">
        <v>79.0</v>
      </c>
      <c r="F53" s="8" t="s">
        <v>234</v>
      </c>
      <c r="G53" s="8" t="s">
        <v>233</v>
      </c>
      <c r="H53" s="8" t="s">
        <v>122</v>
      </c>
      <c r="I53" s="18" t="s">
        <v>2567</v>
      </c>
      <c r="J53" s="16">
        <v>74.0</v>
      </c>
      <c r="K53" s="8" t="s">
        <v>423</v>
      </c>
      <c r="L53" s="8" t="s">
        <v>308</v>
      </c>
      <c r="M53" s="18" t="s">
        <v>2585</v>
      </c>
      <c r="N53" s="16">
        <v>72.0</v>
      </c>
      <c r="O53" s="8" t="s">
        <v>3964</v>
      </c>
      <c r="P53" s="8" t="s">
        <v>65</v>
      </c>
      <c r="Q53" s="14" t="s">
        <v>338</v>
      </c>
      <c r="R53" s="8" t="s">
        <v>2574</v>
      </c>
      <c r="S53" s="14" t="s">
        <v>2602</v>
      </c>
    </row>
    <row r="54">
      <c r="A54" s="8" t="s">
        <v>447</v>
      </c>
      <c r="B54" s="8" t="s">
        <v>446</v>
      </c>
      <c r="C54" s="8" t="s">
        <v>46</v>
      </c>
      <c r="D54" s="18" t="s">
        <v>2577</v>
      </c>
      <c r="E54" s="16">
        <v>70.0</v>
      </c>
      <c r="F54" s="8" t="s">
        <v>3428</v>
      </c>
      <c r="G54" s="8" t="s">
        <v>3427</v>
      </c>
      <c r="H54" s="8" t="s">
        <v>93</v>
      </c>
      <c r="I54" s="18" t="s">
        <v>2575</v>
      </c>
      <c r="J54" s="16">
        <v>61.0</v>
      </c>
      <c r="K54" s="8" t="s">
        <v>423</v>
      </c>
      <c r="L54" s="8" t="s">
        <v>1959</v>
      </c>
      <c r="M54" s="18" t="s">
        <v>2566</v>
      </c>
      <c r="N54" s="16">
        <v>76.0</v>
      </c>
      <c r="O54" s="8" t="s">
        <v>3965</v>
      </c>
      <c r="P54" s="8" t="s">
        <v>12</v>
      </c>
      <c r="Q54" s="14" t="s">
        <v>1679</v>
      </c>
      <c r="R54" s="8" t="s">
        <v>2566</v>
      </c>
      <c r="S54" s="14" t="s">
        <v>2611</v>
      </c>
    </row>
    <row r="55">
      <c r="A55" s="8" t="s">
        <v>100</v>
      </c>
      <c r="B55" s="8" t="s">
        <v>1705</v>
      </c>
      <c r="C55" s="8" t="s">
        <v>132</v>
      </c>
      <c r="D55" s="18" t="s">
        <v>2552</v>
      </c>
      <c r="E55" s="16">
        <v>81.0</v>
      </c>
      <c r="F55" s="8" t="s">
        <v>1910</v>
      </c>
      <c r="G55" s="8" t="s">
        <v>1908</v>
      </c>
      <c r="H55" s="8" t="s">
        <v>215</v>
      </c>
      <c r="I55" s="18" t="s">
        <v>2595</v>
      </c>
      <c r="J55" s="16">
        <v>65.0</v>
      </c>
      <c r="K55" s="8" t="s">
        <v>998</v>
      </c>
      <c r="L55" s="8" t="s">
        <v>997</v>
      </c>
      <c r="M55" s="18" t="s">
        <v>2566</v>
      </c>
      <c r="N55" s="16">
        <v>77.0</v>
      </c>
      <c r="O55" s="8" t="s">
        <v>3966</v>
      </c>
      <c r="P55" s="8" t="s">
        <v>186</v>
      </c>
      <c r="Q55" s="14" t="s">
        <v>837</v>
      </c>
      <c r="R55" s="8" t="s">
        <v>2566</v>
      </c>
      <c r="S55" s="14" t="s">
        <v>2591</v>
      </c>
    </row>
    <row r="56">
      <c r="A56" s="8" t="s">
        <v>100</v>
      </c>
      <c r="B56" s="8" t="s">
        <v>248</v>
      </c>
      <c r="C56" s="8" t="s">
        <v>93</v>
      </c>
      <c r="D56" s="18" t="s">
        <v>2554</v>
      </c>
      <c r="E56" s="16">
        <v>67.0</v>
      </c>
      <c r="F56" s="8" t="s">
        <v>2748</v>
      </c>
      <c r="G56" s="8" t="s">
        <v>1381</v>
      </c>
      <c r="H56" s="8" t="s">
        <v>122</v>
      </c>
      <c r="I56" s="18" t="s">
        <v>2600</v>
      </c>
      <c r="J56" s="16">
        <v>83.0</v>
      </c>
      <c r="K56" s="8" t="s">
        <v>447</v>
      </c>
      <c r="L56" s="8" t="s">
        <v>446</v>
      </c>
      <c r="M56" s="18" t="s">
        <v>2577</v>
      </c>
      <c r="N56" s="16">
        <v>78.0</v>
      </c>
      <c r="O56" s="8" t="s">
        <v>3967</v>
      </c>
      <c r="P56" s="8" t="s">
        <v>46</v>
      </c>
      <c r="Q56" s="14" t="s">
        <v>338</v>
      </c>
      <c r="R56" s="8" t="s">
        <v>2577</v>
      </c>
      <c r="S56" s="14" t="s">
        <v>2633</v>
      </c>
    </row>
    <row r="57">
      <c r="A57" s="8" t="s">
        <v>100</v>
      </c>
      <c r="B57" s="8" t="s">
        <v>498</v>
      </c>
      <c r="C57" s="8" t="s">
        <v>70</v>
      </c>
      <c r="D57" s="18" t="s">
        <v>2603</v>
      </c>
      <c r="E57" s="16">
        <v>69.0</v>
      </c>
      <c r="F57" s="8" t="s">
        <v>2748</v>
      </c>
      <c r="G57" s="8" t="s">
        <v>2747</v>
      </c>
      <c r="H57" s="8" t="s">
        <v>261</v>
      </c>
      <c r="I57" s="18" t="s">
        <v>2592</v>
      </c>
      <c r="J57" s="16">
        <v>68.0</v>
      </c>
      <c r="K57" s="8" t="s">
        <v>100</v>
      </c>
      <c r="L57" s="8" t="s">
        <v>94</v>
      </c>
      <c r="M57" s="18" t="s">
        <v>2575</v>
      </c>
      <c r="N57" s="16">
        <v>74.0</v>
      </c>
      <c r="O57" s="8" t="s">
        <v>3968</v>
      </c>
      <c r="P57" s="8" t="s">
        <v>186</v>
      </c>
      <c r="Q57" s="14" t="s">
        <v>1679</v>
      </c>
      <c r="R57" s="8" t="s">
        <v>2595</v>
      </c>
      <c r="S57" s="14" t="s">
        <v>2553</v>
      </c>
    </row>
    <row r="58">
      <c r="A58" s="8" t="s">
        <v>100</v>
      </c>
      <c r="B58" s="8" t="s">
        <v>500</v>
      </c>
      <c r="C58" s="8" t="s">
        <v>75</v>
      </c>
      <c r="D58" s="18" t="s">
        <v>2610</v>
      </c>
      <c r="E58" s="16">
        <v>59.0</v>
      </c>
      <c r="F58" s="8" t="s">
        <v>3262</v>
      </c>
      <c r="G58" s="8" t="s">
        <v>3261</v>
      </c>
      <c r="H58" s="8" t="s">
        <v>53</v>
      </c>
      <c r="I58" s="18" t="s">
        <v>2589</v>
      </c>
      <c r="J58" s="16">
        <v>63.0</v>
      </c>
      <c r="K58" s="8" t="s">
        <v>100</v>
      </c>
      <c r="L58" s="8" t="s">
        <v>1362</v>
      </c>
      <c r="M58" s="18" t="s">
        <v>2574</v>
      </c>
      <c r="N58" s="16">
        <v>68.0</v>
      </c>
      <c r="O58" s="8" t="s">
        <v>3969</v>
      </c>
      <c r="P58" s="8" t="s">
        <v>261</v>
      </c>
      <c r="Q58" s="14" t="s">
        <v>1352</v>
      </c>
      <c r="R58" s="8" t="s">
        <v>2574</v>
      </c>
      <c r="S58" s="14" t="s">
        <v>2568</v>
      </c>
    </row>
    <row r="59">
      <c r="A59" s="8" t="s">
        <v>100</v>
      </c>
      <c r="B59" s="8" t="s">
        <v>94</v>
      </c>
      <c r="C59" s="8" t="s">
        <v>149</v>
      </c>
      <c r="D59" s="18" t="s">
        <v>2575</v>
      </c>
      <c r="E59" s="16">
        <v>69.0</v>
      </c>
      <c r="F59" s="8" t="s">
        <v>1064</v>
      </c>
      <c r="G59" s="8" t="s">
        <v>451</v>
      </c>
      <c r="H59" s="8" t="s">
        <v>65</v>
      </c>
      <c r="I59" s="18" t="s">
        <v>2183</v>
      </c>
      <c r="J59" s="16">
        <v>74.0</v>
      </c>
      <c r="K59" s="8" t="s">
        <v>100</v>
      </c>
      <c r="L59" s="8" t="s">
        <v>1683</v>
      </c>
      <c r="M59" s="18" t="s">
        <v>2595</v>
      </c>
      <c r="N59" s="16">
        <v>77.0</v>
      </c>
      <c r="O59" s="8" t="s">
        <v>3970</v>
      </c>
      <c r="P59" s="8" t="s">
        <v>70</v>
      </c>
      <c r="Q59" s="14" t="s">
        <v>2296</v>
      </c>
      <c r="R59" s="8" t="s">
        <v>2621</v>
      </c>
      <c r="S59" s="14" t="s">
        <v>2555</v>
      </c>
    </row>
    <row r="60">
      <c r="A60" s="8" t="s">
        <v>100</v>
      </c>
      <c r="B60" s="8" t="s">
        <v>163</v>
      </c>
      <c r="C60" s="8" t="s">
        <v>141</v>
      </c>
      <c r="D60" s="18" t="s">
        <v>2598</v>
      </c>
      <c r="E60" s="16">
        <v>84.0</v>
      </c>
      <c r="F60" s="8" t="s">
        <v>1064</v>
      </c>
      <c r="G60" s="8" t="s">
        <v>2928</v>
      </c>
      <c r="H60" s="8" t="s">
        <v>53</v>
      </c>
      <c r="I60" s="18" t="s">
        <v>2575</v>
      </c>
      <c r="J60" s="16">
        <v>70.0</v>
      </c>
      <c r="K60" s="8" t="s">
        <v>100</v>
      </c>
      <c r="L60" s="8" t="s">
        <v>1705</v>
      </c>
      <c r="M60" s="18" t="s">
        <v>2645</v>
      </c>
      <c r="N60" s="16">
        <v>60.0</v>
      </c>
      <c r="O60" s="8" t="s">
        <v>3971</v>
      </c>
      <c r="P60" s="8" t="s">
        <v>215</v>
      </c>
      <c r="Q60" s="14" t="s">
        <v>1352</v>
      </c>
      <c r="R60" s="18" t="s">
        <v>2556</v>
      </c>
      <c r="S60" s="14" t="s">
        <v>2555</v>
      </c>
    </row>
    <row r="61">
      <c r="A61" s="8" t="s">
        <v>100</v>
      </c>
      <c r="B61" s="8" t="s">
        <v>3351</v>
      </c>
      <c r="C61" s="8" t="s">
        <v>215</v>
      </c>
      <c r="D61" s="18" t="s">
        <v>2564</v>
      </c>
      <c r="E61" s="16">
        <v>60.0</v>
      </c>
      <c r="F61" s="8" t="s">
        <v>3437</v>
      </c>
      <c r="G61" s="8" t="s">
        <v>99</v>
      </c>
      <c r="H61" s="8" t="s">
        <v>59</v>
      </c>
      <c r="I61" s="18" t="s">
        <v>2556</v>
      </c>
      <c r="J61" s="16">
        <v>85.0</v>
      </c>
      <c r="K61" s="8" t="s">
        <v>100</v>
      </c>
      <c r="L61" s="8" t="s">
        <v>2670</v>
      </c>
      <c r="M61" s="18" t="s">
        <v>2582</v>
      </c>
      <c r="N61" s="16">
        <v>65.0</v>
      </c>
      <c r="O61" s="8" t="s">
        <v>3972</v>
      </c>
      <c r="P61" s="8" t="s">
        <v>75</v>
      </c>
      <c r="Q61" s="14" t="s">
        <v>2033</v>
      </c>
      <c r="R61" s="8" t="s">
        <v>2605</v>
      </c>
      <c r="S61" s="14" t="s">
        <v>2612</v>
      </c>
    </row>
    <row r="62">
      <c r="A62" s="8" t="s">
        <v>100</v>
      </c>
      <c r="B62" s="8" t="s">
        <v>772</v>
      </c>
      <c r="C62" s="8" t="s">
        <v>53</v>
      </c>
      <c r="D62" s="18" t="s">
        <v>2589</v>
      </c>
      <c r="E62" s="16">
        <v>71.0</v>
      </c>
      <c r="F62" s="8" t="s">
        <v>423</v>
      </c>
      <c r="G62" s="8" t="s">
        <v>1959</v>
      </c>
      <c r="H62" s="8" t="s">
        <v>12</v>
      </c>
      <c r="I62" s="18" t="s">
        <v>2566</v>
      </c>
      <c r="J62" s="16">
        <v>71.0</v>
      </c>
      <c r="K62" s="8" t="s">
        <v>100</v>
      </c>
      <c r="L62" s="8" t="s">
        <v>1079</v>
      </c>
      <c r="M62" s="18" t="s">
        <v>2554</v>
      </c>
      <c r="N62" s="16">
        <v>65.0</v>
      </c>
      <c r="O62" s="8" t="s">
        <v>3973</v>
      </c>
      <c r="P62" s="8" t="s">
        <v>132</v>
      </c>
      <c r="Q62" s="14" t="s">
        <v>1679</v>
      </c>
      <c r="R62" s="8" t="s">
        <v>2592</v>
      </c>
      <c r="S62" s="14" t="s">
        <v>2583</v>
      </c>
    </row>
    <row r="63">
      <c r="A63" s="8" t="s">
        <v>100</v>
      </c>
      <c r="B63" s="8" t="s">
        <v>1297</v>
      </c>
      <c r="C63" s="8" t="s">
        <v>141</v>
      </c>
      <c r="D63" s="18" t="s">
        <v>2610</v>
      </c>
      <c r="E63" s="16">
        <v>57.0</v>
      </c>
      <c r="F63" s="8" t="s">
        <v>423</v>
      </c>
      <c r="G63" s="8" t="s">
        <v>308</v>
      </c>
      <c r="H63" s="8" t="s">
        <v>65</v>
      </c>
      <c r="I63" s="18" t="s">
        <v>2585</v>
      </c>
      <c r="J63" s="16">
        <v>72.0</v>
      </c>
      <c r="K63" s="8" t="s">
        <v>100</v>
      </c>
      <c r="L63" s="8" t="s">
        <v>1163</v>
      </c>
      <c r="M63" s="18" t="s">
        <v>2610</v>
      </c>
      <c r="N63" s="16">
        <v>68.0</v>
      </c>
      <c r="O63" s="8" t="s">
        <v>3974</v>
      </c>
      <c r="P63" s="8" t="s">
        <v>65</v>
      </c>
      <c r="Q63" s="14" t="s">
        <v>1070</v>
      </c>
      <c r="R63" s="8" t="s">
        <v>2610</v>
      </c>
      <c r="S63" s="14" t="s">
        <v>2591</v>
      </c>
    </row>
    <row r="64">
      <c r="A64" s="8" t="s">
        <v>100</v>
      </c>
      <c r="B64" s="8" t="s">
        <v>99</v>
      </c>
      <c r="C64" s="8" t="s">
        <v>16</v>
      </c>
      <c r="D64" s="18" t="s">
        <v>2183</v>
      </c>
      <c r="E64" s="16">
        <v>82.0</v>
      </c>
      <c r="F64" s="8" t="s">
        <v>998</v>
      </c>
      <c r="G64" s="8" t="s">
        <v>997</v>
      </c>
      <c r="H64" s="8" t="s">
        <v>186</v>
      </c>
      <c r="I64" s="18" t="s">
        <v>2593</v>
      </c>
      <c r="J64" s="16">
        <v>77.0</v>
      </c>
      <c r="K64" s="8" t="s">
        <v>100</v>
      </c>
      <c r="L64" s="8" t="s">
        <v>498</v>
      </c>
      <c r="M64" s="18" t="s">
        <v>2575</v>
      </c>
      <c r="N64" s="16">
        <v>79.0</v>
      </c>
      <c r="O64" s="8" t="s">
        <v>3975</v>
      </c>
      <c r="P64" s="8" t="s">
        <v>24</v>
      </c>
      <c r="Q64" s="14" t="s">
        <v>631</v>
      </c>
      <c r="R64" s="8" t="s">
        <v>2598</v>
      </c>
      <c r="S64" s="14" t="s">
        <v>2609</v>
      </c>
    </row>
    <row r="65">
      <c r="A65" s="8" t="s">
        <v>100</v>
      </c>
      <c r="B65" s="8" t="s">
        <v>323</v>
      </c>
      <c r="C65" s="8" t="s">
        <v>16</v>
      </c>
      <c r="D65" s="18" t="s">
        <v>2621</v>
      </c>
      <c r="E65" s="16">
        <v>63.0</v>
      </c>
      <c r="F65" s="8" t="s">
        <v>447</v>
      </c>
      <c r="G65" s="8" t="s">
        <v>446</v>
      </c>
      <c r="H65" s="8" t="s">
        <v>46</v>
      </c>
      <c r="I65" s="18" t="s">
        <v>2577</v>
      </c>
      <c r="J65" s="16">
        <v>81.0</v>
      </c>
      <c r="K65" s="8" t="s">
        <v>100</v>
      </c>
      <c r="L65" s="8" t="s">
        <v>248</v>
      </c>
      <c r="M65" s="18" t="s">
        <v>2603</v>
      </c>
      <c r="N65" s="16">
        <v>69.0</v>
      </c>
      <c r="O65" s="8" t="s">
        <v>3976</v>
      </c>
      <c r="P65" s="8" t="s">
        <v>75</v>
      </c>
      <c r="Q65" s="14" t="s">
        <v>837</v>
      </c>
      <c r="R65" s="8" t="s">
        <v>2575</v>
      </c>
      <c r="S65" s="14" t="s">
        <v>2602</v>
      </c>
    </row>
    <row r="66">
      <c r="A66" s="8" t="s">
        <v>650</v>
      </c>
      <c r="B66" s="8" t="s">
        <v>649</v>
      </c>
      <c r="C66" s="8" t="s">
        <v>70</v>
      </c>
      <c r="D66" s="18" t="s">
        <v>2562</v>
      </c>
      <c r="E66" s="16">
        <v>76.0</v>
      </c>
      <c r="F66" s="8" t="s">
        <v>3479</v>
      </c>
      <c r="G66" s="8" t="s">
        <v>3478</v>
      </c>
      <c r="H66" s="8" t="s">
        <v>16</v>
      </c>
      <c r="I66" s="18" t="s">
        <v>2598</v>
      </c>
      <c r="J66" s="16">
        <v>58.0</v>
      </c>
      <c r="K66" s="8" t="s">
        <v>100</v>
      </c>
      <c r="L66" s="8" t="s">
        <v>163</v>
      </c>
      <c r="M66" s="18" t="s">
        <v>2598</v>
      </c>
      <c r="N66" s="16">
        <v>86.0</v>
      </c>
      <c r="O66" s="8" t="s">
        <v>3977</v>
      </c>
      <c r="P66" s="8" t="s">
        <v>46</v>
      </c>
      <c r="Q66" s="14" t="s">
        <v>2033</v>
      </c>
      <c r="R66" s="8" t="s">
        <v>2558</v>
      </c>
      <c r="S66" s="14" t="s">
        <v>2628</v>
      </c>
    </row>
    <row r="67">
      <c r="A67" s="8" t="s">
        <v>650</v>
      </c>
      <c r="B67" s="8" t="s">
        <v>1905</v>
      </c>
      <c r="C67" s="8" t="s">
        <v>70</v>
      </c>
      <c r="D67" s="18" t="s">
        <v>2614</v>
      </c>
      <c r="E67" s="16">
        <v>79.0</v>
      </c>
      <c r="F67" s="8" t="s">
        <v>100</v>
      </c>
      <c r="G67" s="8" t="s">
        <v>1683</v>
      </c>
      <c r="H67" s="8" t="s">
        <v>59</v>
      </c>
      <c r="I67" s="18" t="s">
        <v>2595</v>
      </c>
      <c r="J67" s="16">
        <v>68.0</v>
      </c>
      <c r="K67" s="8" t="s">
        <v>100</v>
      </c>
      <c r="L67" s="8" t="s">
        <v>1297</v>
      </c>
      <c r="M67" s="18" t="s">
        <v>2610</v>
      </c>
      <c r="N67" s="16">
        <v>65.0</v>
      </c>
      <c r="O67" s="8" t="s">
        <v>3978</v>
      </c>
      <c r="P67" s="8" t="s">
        <v>141</v>
      </c>
      <c r="Q67" s="14" t="s">
        <v>135</v>
      </c>
      <c r="R67" s="8" t="s">
        <v>2598</v>
      </c>
      <c r="S67" s="14" t="s">
        <v>2596</v>
      </c>
    </row>
    <row r="68">
      <c r="A68" s="8" t="s">
        <v>1240</v>
      </c>
      <c r="B68" s="8" t="s">
        <v>1239</v>
      </c>
      <c r="C68" s="8" t="s">
        <v>132</v>
      </c>
      <c r="D68" s="18" t="s">
        <v>2592</v>
      </c>
      <c r="E68" s="16">
        <v>77.0</v>
      </c>
      <c r="F68" s="8" t="s">
        <v>100</v>
      </c>
      <c r="G68" s="8" t="s">
        <v>1297</v>
      </c>
      <c r="H68" s="8" t="s">
        <v>132</v>
      </c>
      <c r="I68" s="18" t="s">
        <v>2610</v>
      </c>
      <c r="J68" s="16">
        <v>58.0</v>
      </c>
      <c r="K68" s="8" t="s">
        <v>100</v>
      </c>
      <c r="L68" s="8" t="s">
        <v>772</v>
      </c>
      <c r="M68" s="18" t="s">
        <v>2595</v>
      </c>
      <c r="N68" s="16">
        <v>78.0</v>
      </c>
      <c r="O68" s="8" t="s">
        <v>3979</v>
      </c>
      <c r="P68" s="8" t="s">
        <v>16</v>
      </c>
      <c r="Q68" s="14" t="s">
        <v>2033</v>
      </c>
      <c r="R68" s="8" t="s">
        <v>2584</v>
      </c>
      <c r="S68" s="14" t="s">
        <v>2617</v>
      </c>
    </row>
    <row r="69">
      <c r="A69" s="8" t="s">
        <v>460</v>
      </c>
      <c r="B69" s="8" t="s">
        <v>240</v>
      </c>
      <c r="C69" s="8" t="s">
        <v>215</v>
      </c>
      <c r="D69" s="18" t="s">
        <v>2183</v>
      </c>
      <c r="E69" s="16">
        <v>79.0</v>
      </c>
      <c r="F69" s="8" t="s">
        <v>100</v>
      </c>
      <c r="G69" s="8" t="s">
        <v>248</v>
      </c>
      <c r="H69" s="8" t="s">
        <v>93</v>
      </c>
      <c r="I69" s="18" t="s">
        <v>2554</v>
      </c>
      <c r="J69" s="16">
        <v>67.0</v>
      </c>
      <c r="K69" s="8" t="s">
        <v>100</v>
      </c>
      <c r="L69" s="8" t="s">
        <v>99</v>
      </c>
      <c r="M69" s="18" t="s">
        <v>2582</v>
      </c>
      <c r="N69" s="16">
        <v>83.0</v>
      </c>
      <c r="O69" s="8" t="s">
        <v>3980</v>
      </c>
      <c r="P69" s="8" t="s">
        <v>138</v>
      </c>
      <c r="Q69" s="14" t="s">
        <v>631</v>
      </c>
      <c r="R69" s="8" t="s">
        <v>2183</v>
      </c>
      <c r="S69" s="14" t="s">
        <v>2571</v>
      </c>
    </row>
    <row r="70">
      <c r="A70" s="8" t="s">
        <v>460</v>
      </c>
      <c r="B70" s="8" t="s">
        <v>3162</v>
      </c>
      <c r="C70" s="8" t="s">
        <v>75</v>
      </c>
      <c r="D70" s="18" t="s">
        <v>2564</v>
      </c>
      <c r="E70" s="16">
        <v>71.0</v>
      </c>
      <c r="F70" s="8" t="s">
        <v>100</v>
      </c>
      <c r="G70" s="8" t="s">
        <v>677</v>
      </c>
      <c r="H70" s="8" t="s">
        <v>24</v>
      </c>
      <c r="I70" s="18" t="s">
        <v>2584</v>
      </c>
      <c r="J70" s="16">
        <v>64.0</v>
      </c>
      <c r="K70" s="8" t="s">
        <v>100</v>
      </c>
      <c r="L70" s="8" t="s">
        <v>1729</v>
      </c>
      <c r="M70" s="18" t="s">
        <v>2592</v>
      </c>
      <c r="N70" s="16">
        <v>70.0</v>
      </c>
      <c r="O70" s="8" t="s">
        <v>3981</v>
      </c>
      <c r="P70" s="8" t="s">
        <v>132</v>
      </c>
      <c r="Q70" s="14" t="s">
        <v>1679</v>
      </c>
      <c r="R70" s="8" t="s">
        <v>2610</v>
      </c>
      <c r="S70" s="14" t="s">
        <v>2579</v>
      </c>
    </row>
    <row r="71">
      <c r="A71" s="8" t="s">
        <v>460</v>
      </c>
      <c r="B71" s="8" t="s">
        <v>945</v>
      </c>
      <c r="C71" s="8" t="s">
        <v>65</v>
      </c>
      <c r="D71" s="18" t="s">
        <v>2584</v>
      </c>
      <c r="E71" s="16">
        <v>85.0</v>
      </c>
      <c r="F71" s="8" t="s">
        <v>100</v>
      </c>
      <c r="G71" s="8" t="s">
        <v>3351</v>
      </c>
      <c r="H71" s="8" t="s">
        <v>138</v>
      </c>
      <c r="I71" s="18" t="s">
        <v>2564</v>
      </c>
      <c r="J71" s="16">
        <v>60.0</v>
      </c>
      <c r="K71" s="8" t="s">
        <v>100</v>
      </c>
      <c r="L71" s="8" t="s">
        <v>2184</v>
      </c>
      <c r="M71" s="18" t="s">
        <v>2603</v>
      </c>
      <c r="N71" s="16">
        <v>65.0</v>
      </c>
      <c r="O71" s="8" t="s">
        <v>3982</v>
      </c>
      <c r="P71" s="8" t="s">
        <v>16</v>
      </c>
      <c r="Q71" s="14" t="s">
        <v>83</v>
      </c>
      <c r="R71" s="8" t="s">
        <v>2582</v>
      </c>
      <c r="S71" s="14" t="s">
        <v>2590</v>
      </c>
    </row>
    <row r="72">
      <c r="A72" s="8" t="s">
        <v>460</v>
      </c>
      <c r="B72" s="8" t="s">
        <v>308</v>
      </c>
      <c r="C72" s="8" t="s">
        <v>65</v>
      </c>
      <c r="D72" s="18" t="s">
        <v>2584</v>
      </c>
      <c r="E72" s="16">
        <v>88.0</v>
      </c>
      <c r="F72" s="8" t="s">
        <v>100</v>
      </c>
      <c r="G72" s="8" t="s">
        <v>99</v>
      </c>
      <c r="H72" s="8" t="s">
        <v>16</v>
      </c>
      <c r="I72" s="18" t="s">
        <v>2183</v>
      </c>
      <c r="J72" s="16">
        <v>81.0</v>
      </c>
      <c r="K72" s="8" t="s">
        <v>650</v>
      </c>
      <c r="L72" s="8" t="s">
        <v>1905</v>
      </c>
      <c r="M72" s="18" t="s">
        <v>2645</v>
      </c>
      <c r="N72" s="16">
        <v>61.0</v>
      </c>
      <c r="O72" s="8" t="s">
        <v>3983</v>
      </c>
      <c r="P72" s="8" t="s">
        <v>16</v>
      </c>
      <c r="Q72" s="14" t="s">
        <v>237</v>
      </c>
      <c r="R72" s="8" t="s">
        <v>2566</v>
      </c>
      <c r="S72" s="14" t="s">
        <v>2638</v>
      </c>
    </row>
    <row r="73">
      <c r="A73" s="8" t="s">
        <v>1306</v>
      </c>
      <c r="B73" s="8" t="s">
        <v>409</v>
      </c>
      <c r="C73" s="8" t="s">
        <v>65</v>
      </c>
      <c r="D73" s="18" t="s">
        <v>2610</v>
      </c>
      <c r="E73" s="16">
        <v>62.0</v>
      </c>
      <c r="F73" s="8" t="s">
        <v>100</v>
      </c>
      <c r="G73" s="8" t="s">
        <v>323</v>
      </c>
      <c r="H73" s="8" t="s">
        <v>16</v>
      </c>
      <c r="I73" s="18" t="s">
        <v>2621</v>
      </c>
      <c r="J73" s="16">
        <v>61.0</v>
      </c>
      <c r="K73" s="8" t="s">
        <v>650</v>
      </c>
      <c r="L73" s="8" t="s">
        <v>649</v>
      </c>
      <c r="M73" s="18" t="s">
        <v>2562</v>
      </c>
      <c r="N73" s="16">
        <v>71.0</v>
      </c>
      <c r="O73" s="8" t="s">
        <v>3984</v>
      </c>
      <c r="P73" s="8" t="s">
        <v>65</v>
      </c>
      <c r="Q73" s="14" t="s">
        <v>2033</v>
      </c>
      <c r="R73" s="8" t="s">
        <v>2566</v>
      </c>
      <c r="S73" s="14" t="s">
        <v>2576</v>
      </c>
    </row>
    <row r="74">
      <c r="A74" s="8" t="s">
        <v>551</v>
      </c>
      <c r="B74" s="8" t="s">
        <v>550</v>
      </c>
      <c r="C74" s="8" t="s">
        <v>65</v>
      </c>
      <c r="D74" s="18" t="s">
        <v>2605</v>
      </c>
      <c r="E74" s="16">
        <v>91.0</v>
      </c>
      <c r="F74" s="8" t="s">
        <v>100</v>
      </c>
      <c r="G74" s="8" t="s">
        <v>1163</v>
      </c>
      <c r="H74" s="8" t="s">
        <v>65</v>
      </c>
      <c r="I74" s="18" t="s">
        <v>2610</v>
      </c>
      <c r="J74" s="16">
        <v>61.0</v>
      </c>
      <c r="K74" s="8" t="s">
        <v>1240</v>
      </c>
      <c r="L74" s="8" t="s">
        <v>1239</v>
      </c>
      <c r="M74" s="18" t="s">
        <v>2592</v>
      </c>
      <c r="N74" s="16">
        <v>81.0</v>
      </c>
      <c r="O74" s="8" t="s">
        <v>3985</v>
      </c>
      <c r="P74" s="8" t="s">
        <v>70</v>
      </c>
      <c r="Q74" s="14" t="s">
        <v>2459</v>
      </c>
      <c r="R74" s="8" t="s">
        <v>2552</v>
      </c>
      <c r="S74" s="14" t="s">
        <v>2622</v>
      </c>
    </row>
    <row r="75">
      <c r="A75" s="8" t="s">
        <v>3113</v>
      </c>
      <c r="B75" s="8" t="s">
        <v>3112</v>
      </c>
      <c r="C75" s="8" t="s">
        <v>93</v>
      </c>
      <c r="D75" s="18" t="s">
        <v>2592</v>
      </c>
      <c r="E75" s="16">
        <v>75.0</v>
      </c>
      <c r="F75" s="8" t="s">
        <v>100</v>
      </c>
      <c r="G75" s="8" t="s">
        <v>94</v>
      </c>
      <c r="H75" s="8" t="s">
        <v>75</v>
      </c>
      <c r="I75" s="18" t="s">
        <v>2575</v>
      </c>
      <c r="J75" s="16">
        <v>70.0</v>
      </c>
      <c r="K75" s="8" t="s">
        <v>460</v>
      </c>
      <c r="L75" s="8" t="s">
        <v>240</v>
      </c>
      <c r="M75" s="18" t="s">
        <v>2183</v>
      </c>
      <c r="N75" s="16">
        <v>75.0</v>
      </c>
      <c r="O75" s="8" t="s">
        <v>3986</v>
      </c>
      <c r="P75" s="8" t="s">
        <v>70</v>
      </c>
      <c r="Q75" s="14" t="s">
        <v>631</v>
      </c>
      <c r="R75" s="8" t="s">
        <v>2584</v>
      </c>
      <c r="S75" s="14" t="s">
        <v>2602</v>
      </c>
    </row>
    <row r="76">
      <c r="A76" s="8" t="s">
        <v>1853</v>
      </c>
      <c r="B76" s="8" t="s">
        <v>240</v>
      </c>
      <c r="C76" s="8" t="s">
        <v>132</v>
      </c>
      <c r="D76" s="18" t="s">
        <v>2615</v>
      </c>
      <c r="E76" s="16">
        <v>71.0</v>
      </c>
      <c r="F76" s="8" t="s">
        <v>100</v>
      </c>
      <c r="G76" s="8" t="s">
        <v>2670</v>
      </c>
      <c r="H76" s="8" t="s">
        <v>132</v>
      </c>
      <c r="I76" s="18" t="s">
        <v>2560</v>
      </c>
      <c r="J76" s="16">
        <v>62.0</v>
      </c>
      <c r="K76" s="8" t="s">
        <v>460</v>
      </c>
      <c r="L76" s="8" t="s">
        <v>308</v>
      </c>
      <c r="M76" s="18" t="s">
        <v>2605</v>
      </c>
      <c r="N76" s="16">
        <v>82.0</v>
      </c>
      <c r="O76" s="8" t="s">
        <v>3987</v>
      </c>
      <c r="P76" s="8" t="s">
        <v>75</v>
      </c>
      <c r="Q76" s="14" t="s">
        <v>1070</v>
      </c>
      <c r="R76" s="8" t="s">
        <v>2592</v>
      </c>
      <c r="S76" s="14" t="s">
        <v>2613</v>
      </c>
    </row>
    <row r="77">
      <c r="A77" s="8" t="s">
        <v>1411</v>
      </c>
      <c r="B77" s="8" t="s">
        <v>500</v>
      </c>
      <c r="C77" s="8" t="s">
        <v>65</v>
      </c>
      <c r="D77" s="18" t="s">
        <v>2556</v>
      </c>
      <c r="E77" s="16">
        <v>83.0</v>
      </c>
      <c r="F77" s="8" t="s">
        <v>100</v>
      </c>
      <c r="G77" s="8" t="s">
        <v>1705</v>
      </c>
      <c r="H77" s="8" t="s">
        <v>75</v>
      </c>
      <c r="I77" s="18" t="s">
        <v>2552</v>
      </c>
      <c r="J77" s="16">
        <v>79.0</v>
      </c>
      <c r="K77" s="8" t="s">
        <v>460</v>
      </c>
      <c r="L77" s="8" t="s">
        <v>945</v>
      </c>
      <c r="M77" s="18" t="s">
        <v>2614</v>
      </c>
      <c r="N77" s="16">
        <v>78.0</v>
      </c>
      <c r="O77" s="8" t="s">
        <v>3988</v>
      </c>
      <c r="P77" s="8" t="s">
        <v>93</v>
      </c>
      <c r="Q77" s="14" t="s">
        <v>2033</v>
      </c>
      <c r="R77" s="8" t="s">
        <v>2620</v>
      </c>
      <c r="S77" s="14" t="s">
        <v>2570</v>
      </c>
    </row>
    <row r="78">
      <c r="A78" s="8" t="s">
        <v>3683</v>
      </c>
      <c r="B78" s="8" t="s">
        <v>3682</v>
      </c>
      <c r="C78" s="8" t="s">
        <v>186</v>
      </c>
      <c r="D78" s="18" t="s">
        <v>2567</v>
      </c>
      <c r="E78" s="16">
        <v>59.0</v>
      </c>
      <c r="F78" s="8" t="s">
        <v>100</v>
      </c>
      <c r="G78" s="8" t="s">
        <v>498</v>
      </c>
      <c r="H78" s="8" t="s">
        <v>70</v>
      </c>
      <c r="I78" s="18" t="s">
        <v>2603</v>
      </c>
      <c r="J78" s="16">
        <v>67.0</v>
      </c>
      <c r="K78" s="8" t="s">
        <v>551</v>
      </c>
      <c r="L78" s="8" t="s">
        <v>550</v>
      </c>
      <c r="M78" s="18" t="s">
        <v>2564</v>
      </c>
      <c r="N78" s="16">
        <v>85.0</v>
      </c>
      <c r="O78" s="8" t="s">
        <v>3989</v>
      </c>
      <c r="P78" s="8" t="s">
        <v>24</v>
      </c>
      <c r="Q78" s="14" t="s">
        <v>2296</v>
      </c>
      <c r="R78" s="8" t="s">
        <v>2595</v>
      </c>
      <c r="S78" s="14" t="s">
        <v>2576</v>
      </c>
    </row>
    <row r="79">
      <c r="A79" s="8" t="s">
        <v>1069</v>
      </c>
      <c r="B79" s="8" t="s">
        <v>1068</v>
      </c>
      <c r="C79" s="8" t="s">
        <v>70</v>
      </c>
      <c r="D79" s="18" t="s">
        <v>2554</v>
      </c>
      <c r="E79" s="16">
        <v>78.0</v>
      </c>
      <c r="F79" s="8" t="s">
        <v>100</v>
      </c>
      <c r="G79" s="8" t="s">
        <v>772</v>
      </c>
      <c r="H79" s="8" t="s">
        <v>138</v>
      </c>
      <c r="I79" s="18" t="s">
        <v>2595</v>
      </c>
      <c r="J79" s="16">
        <v>72.0</v>
      </c>
      <c r="K79" s="8" t="s">
        <v>3113</v>
      </c>
      <c r="L79" s="8" t="s">
        <v>3112</v>
      </c>
      <c r="M79" s="18" t="s">
        <v>2645</v>
      </c>
      <c r="N79" s="16">
        <v>61.0</v>
      </c>
      <c r="O79" s="8" t="s">
        <v>3990</v>
      </c>
      <c r="P79" s="8" t="s">
        <v>65</v>
      </c>
      <c r="Q79" s="14" t="s">
        <v>837</v>
      </c>
      <c r="R79" s="8" t="s">
        <v>2614</v>
      </c>
      <c r="S79" s="14" t="s">
        <v>2571</v>
      </c>
    </row>
    <row r="80">
      <c r="A80" s="8" t="s">
        <v>3578</v>
      </c>
      <c r="B80" s="8" t="s">
        <v>3577</v>
      </c>
      <c r="C80" s="8" t="s">
        <v>65</v>
      </c>
      <c r="D80" s="18" t="s">
        <v>2589</v>
      </c>
      <c r="E80" s="16">
        <v>61.0</v>
      </c>
      <c r="F80" s="8" t="s">
        <v>100</v>
      </c>
      <c r="G80" s="8" t="s">
        <v>1362</v>
      </c>
      <c r="H80" s="8" t="s">
        <v>261</v>
      </c>
      <c r="I80" s="18" t="s">
        <v>2574</v>
      </c>
      <c r="J80" s="16">
        <v>72.0</v>
      </c>
      <c r="K80" s="8" t="s">
        <v>1853</v>
      </c>
      <c r="L80" s="8" t="s">
        <v>1862</v>
      </c>
      <c r="M80" s="18" t="s">
        <v>2595</v>
      </c>
      <c r="N80" s="16">
        <v>85.0</v>
      </c>
      <c r="O80" s="8" t="s">
        <v>3991</v>
      </c>
      <c r="P80" s="8" t="s">
        <v>65</v>
      </c>
      <c r="Q80" s="14" t="s">
        <v>2033</v>
      </c>
      <c r="R80" s="8" t="s">
        <v>2558</v>
      </c>
      <c r="S80" s="14" t="s">
        <v>2583</v>
      </c>
    </row>
    <row r="81">
      <c r="A81" s="8" t="s">
        <v>277</v>
      </c>
      <c r="B81" s="8" t="s">
        <v>1381</v>
      </c>
      <c r="C81" s="8" t="s">
        <v>138</v>
      </c>
      <c r="D81" s="18" t="s">
        <v>2581</v>
      </c>
      <c r="E81" s="16">
        <v>70.0</v>
      </c>
      <c r="F81" s="8" t="s">
        <v>100</v>
      </c>
      <c r="G81" s="8" t="s">
        <v>163</v>
      </c>
      <c r="H81" s="8" t="s">
        <v>141</v>
      </c>
      <c r="I81" s="18" t="s">
        <v>2598</v>
      </c>
      <c r="J81" s="16">
        <v>91.0</v>
      </c>
      <c r="K81" s="8" t="s">
        <v>2756</v>
      </c>
      <c r="L81" s="8" t="s">
        <v>2755</v>
      </c>
      <c r="M81" s="18" t="s">
        <v>2603</v>
      </c>
      <c r="N81" s="16">
        <v>72.0</v>
      </c>
      <c r="O81" s="8" t="s">
        <v>3992</v>
      </c>
      <c r="P81" s="8" t="s">
        <v>65</v>
      </c>
      <c r="Q81" s="14" t="s">
        <v>1070</v>
      </c>
      <c r="R81" s="8" t="s">
        <v>2605</v>
      </c>
      <c r="S81" s="14" t="s">
        <v>2633</v>
      </c>
    </row>
    <row r="82">
      <c r="A82" s="8" t="s">
        <v>277</v>
      </c>
      <c r="B82" s="8" t="s">
        <v>3192</v>
      </c>
      <c r="C82" s="8" t="s">
        <v>65</v>
      </c>
      <c r="D82" s="18" t="s">
        <v>2554</v>
      </c>
      <c r="E82" s="16">
        <v>70.0</v>
      </c>
      <c r="F82" s="8" t="s">
        <v>650</v>
      </c>
      <c r="G82" s="8" t="s">
        <v>649</v>
      </c>
      <c r="H82" s="8" t="s">
        <v>70</v>
      </c>
      <c r="I82" s="18" t="s">
        <v>2562</v>
      </c>
      <c r="J82" s="16">
        <v>75.0</v>
      </c>
      <c r="K82" s="8" t="s">
        <v>1411</v>
      </c>
      <c r="L82" s="8" t="s">
        <v>500</v>
      </c>
      <c r="M82" s="18" t="s">
        <v>2556</v>
      </c>
      <c r="N82" s="16">
        <v>82.0</v>
      </c>
      <c r="O82" s="8" t="s">
        <v>3993</v>
      </c>
      <c r="P82" s="8" t="s">
        <v>65</v>
      </c>
      <c r="Q82" s="14" t="s">
        <v>1070</v>
      </c>
      <c r="R82" s="8" t="s">
        <v>2566</v>
      </c>
      <c r="S82" s="14" t="s">
        <v>2594</v>
      </c>
    </row>
    <row r="83">
      <c r="A83" s="8" t="s">
        <v>277</v>
      </c>
      <c r="B83" s="8" t="s">
        <v>3604</v>
      </c>
      <c r="C83" s="8" t="s">
        <v>65</v>
      </c>
      <c r="D83" s="18" t="s">
        <v>2567</v>
      </c>
      <c r="E83" s="16">
        <v>52.0</v>
      </c>
      <c r="F83" s="8" t="s">
        <v>650</v>
      </c>
      <c r="G83" s="8" t="s">
        <v>1905</v>
      </c>
      <c r="H83" s="8" t="s">
        <v>70</v>
      </c>
      <c r="I83" s="18" t="s">
        <v>2614</v>
      </c>
      <c r="J83" s="16">
        <v>75.0</v>
      </c>
      <c r="K83" s="8" t="s">
        <v>2785</v>
      </c>
      <c r="L83" s="8" t="s">
        <v>2784</v>
      </c>
      <c r="M83" s="18" t="s">
        <v>2566</v>
      </c>
      <c r="N83" s="16">
        <v>67.0</v>
      </c>
      <c r="O83" s="8" t="s">
        <v>3994</v>
      </c>
      <c r="P83" s="8" t="s">
        <v>65</v>
      </c>
      <c r="Q83" s="14" t="s">
        <v>459</v>
      </c>
      <c r="R83" s="8" t="s">
        <v>2564</v>
      </c>
      <c r="S83" s="14" t="s">
        <v>2604</v>
      </c>
    </row>
    <row r="84">
      <c r="A84" s="8" t="s">
        <v>277</v>
      </c>
      <c r="B84" s="8" t="s">
        <v>368</v>
      </c>
      <c r="C84" s="8" t="s">
        <v>70</v>
      </c>
      <c r="D84" s="18" t="s">
        <v>2589</v>
      </c>
      <c r="E84" s="16">
        <v>78.0</v>
      </c>
      <c r="F84" s="8" t="s">
        <v>3185</v>
      </c>
      <c r="G84" s="8" t="s">
        <v>106</v>
      </c>
      <c r="H84" s="8" t="s">
        <v>261</v>
      </c>
      <c r="I84" s="18" t="s">
        <v>2603</v>
      </c>
      <c r="J84" s="16">
        <v>73.0</v>
      </c>
      <c r="K84" s="8" t="s">
        <v>1069</v>
      </c>
      <c r="L84" s="8" t="s">
        <v>1068</v>
      </c>
      <c r="M84" s="18" t="s">
        <v>2554</v>
      </c>
      <c r="N84" s="16">
        <v>76.0</v>
      </c>
      <c r="O84" s="8" t="s">
        <v>3995</v>
      </c>
      <c r="P84" s="8" t="s">
        <v>186</v>
      </c>
      <c r="Q84" s="14" t="s">
        <v>1679</v>
      </c>
      <c r="R84" s="8" t="s">
        <v>2575</v>
      </c>
      <c r="S84" s="14" t="s">
        <v>2606</v>
      </c>
    </row>
    <row r="85">
      <c r="A85" s="8" t="s">
        <v>277</v>
      </c>
      <c r="B85" s="8" t="s">
        <v>2828</v>
      </c>
      <c r="C85" s="8" t="s">
        <v>80</v>
      </c>
      <c r="D85" s="18" t="s">
        <v>2562</v>
      </c>
      <c r="E85" s="16">
        <v>77.0</v>
      </c>
      <c r="F85" s="8" t="s">
        <v>1240</v>
      </c>
      <c r="G85" s="8" t="s">
        <v>1239</v>
      </c>
      <c r="H85" s="8" t="s">
        <v>132</v>
      </c>
      <c r="I85" s="18" t="s">
        <v>2592</v>
      </c>
      <c r="J85" s="16">
        <v>85.0</v>
      </c>
      <c r="K85" s="8" t="s">
        <v>3050</v>
      </c>
      <c r="L85" s="8" t="s">
        <v>3049</v>
      </c>
      <c r="M85" s="18" t="s">
        <v>2574</v>
      </c>
      <c r="N85" s="16">
        <v>71.0</v>
      </c>
      <c r="O85" s="8" t="s">
        <v>3996</v>
      </c>
      <c r="P85" s="8" t="s">
        <v>70</v>
      </c>
      <c r="Q85" s="14" t="s">
        <v>1679</v>
      </c>
      <c r="R85" s="8" t="s">
        <v>2595</v>
      </c>
      <c r="S85" s="14" t="s">
        <v>2561</v>
      </c>
    </row>
    <row r="86">
      <c r="A86" s="8" t="s">
        <v>277</v>
      </c>
      <c r="B86" s="8" t="s">
        <v>276</v>
      </c>
      <c r="C86" s="8" t="s">
        <v>65</v>
      </c>
      <c r="D86" s="18" t="s">
        <v>2556</v>
      </c>
      <c r="E86" s="16">
        <v>73.0</v>
      </c>
      <c r="F86" s="8" t="s">
        <v>460</v>
      </c>
      <c r="G86" s="8" t="s">
        <v>3162</v>
      </c>
      <c r="H86" s="8" t="s">
        <v>75</v>
      </c>
      <c r="I86" s="18" t="s">
        <v>2564</v>
      </c>
      <c r="J86" s="16">
        <v>81.0</v>
      </c>
      <c r="K86" s="8" t="s">
        <v>277</v>
      </c>
      <c r="L86" s="8" t="s">
        <v>99</v>
      </c>
      <c r="M86" s="18" t="s">
        <v>2589</v>
      </c>
      <c r="N86" s="16">
        <v>76.0</v>
      </c>
      <c r="O86" s="8" t="s">
        <v>3997</v>
      </c>
      <c r="P86" s="8" t="s">
        <v>192</v>
      </c>
      <c r="Q86" s="14" t="s">
        <v>2459</v>
      </c>
      <c r="R86" s="8" t="s">
        <v>2621</v>
      </c>
      <c r="S86" s="14" t="s">
        <v>2622</v>
      </c>
    </row>
    <row r="87">
      <c r="A87" s="8" t="s">
        <v>277</v>
      </c>
      <c r="B87" s="8" t="s">
        <v>389</v>
      </c>
      <c r="C87" s="8" t="s">
        <v>65</v>
      </c>
      <c r="D87" s="18" t="s">
        <v>2621</v>
      </c>
      <c r="E87" s="16">
        <v>76.0</v>
      </c>
      <c r="F87" s="8" t="s">
        <v>460</v>
      </c>
      <c r="G87" s="8" t="s">
        <v>308</v>
      </c>
      <c r="H87" s="8" t="s">
        <v>65</v>
      </c>
      <c r="I87" s="18" t="s">
        <v>2584</v>
      </c>
      <c r="J87" s="16">
        <v>87.0</v>
      </c>
      <c r="K87" s="8" t="s">
        <v>277</v>
      </c>
      <c r="L87" s="8" t="s">
        <v>2828</v>
      </c>
      <c r="M87" s="18" t="s">
        <v>2562</v>
      </c>
      <c r="N87" s="16">
        <v>81.0</v>
      </c>
      <c r="O87" s="8" t="s">
        <v>3998</v>
      </c>
      <c r="P87" s="8" t="s">
        <v>93</v>
      </c>
      <c r="Q87" s="14" t="s">
        <v>2033</v>
      </c>
      <c r="R87" s="8" t="s">
        <v>2554</v>
      </c>
      <c r="S87" s="14" t="s">
        <v>2622</v>
      </c>
    </row>
    <row r="88">
      <c r="A88" s="8" t="s">
        <v>277</v>
      </c>
      <c r="B88" s="8" t="s">
        <v>305</v>
      </c>
      <c r="C88" s="8" t="s">
        <v>65</v>
      </c>
      <c r="D88" s="18" t="s">
        <v>2554</v>
      </c>
      <c r="E88" s="16">
        <v>71.0</v>
      </c>
      <c r="F88" s="8" t="s">
        <v>460</v>
      </c>
      <c r="G88" s="8" t="s">
        <v>240</v>
      </c>
      <c r="H88" s="8" t="s">
        <v>215</v>
      </c>
      <c r="I88" s="18" t="s">
        <v>2183</v>
      </c>
      <c r="J88" s="16">
        <v>77.0</v>
      </c>
      <c r="K88" s="8" t="s">
        <v>277</v>
      </c>
      <c r="L88" s="8" t="s">
        <v>1381</v>
      </c>
      <c r="M88" s="18" t="s">
        <v>2581</v>
      </c>
      <c r="N88" s="16">
        <v>69.0</v>
      </c>
      <c r="O88" s="8" t="s">
        <v>3999</v>
      </c>
      <c r="P88" s="8" t="s">
        <v>65</v>
      </c>
      <c r="Q88" s="14" t="s">
        <v>1352</v>
      </c>
      <c r="R88" s="8" t="s">
        <v>2614</v>
      </c>
      <c r="S88" s="14" t="s">
        <v>2596</v>
      </c>
    </row>
    <row r="89">
      <c r="A89" s="8" t="s">
        <v>277</v>
      </c>
      <c r="B89" s="8" t="s">
        <v>99</v>
      </c>
      <c r="C89" s="8" t="s">
        <v>149</v>
      </c>
      <c r="D89" s="18" t="s">
        <v>2552</v>
      </c>
      <c r="E89" s="16">
        <v>77.0</v>
      </c>
      <c r="F89" s="8" t="s">
        <v>460</v>
      </c>
      <c r="G89" s="8" t="s">
        <v>945</v>
      </c>
      <c r="H89" s="8" t="s">
        <v>65</v>
      </c>
      <c r="I89" s="18" t="s">
        <v>2584</v>
      </c>
      <c r="J89" s="16">
        <v>81.0</v>
      </c>
      <c r="K89" s="8" t="s">
        <v>277</v>
      </c>
      <c r="L89" s="8" t="s">
        <v>78</v>
      </c>
      <c r="M89" s="18" t="s">
        <v>2645</v>
      </c>
      <c r="N89" s="16">
        <v>67.0</v>
      </c>
      <c r="O89" s="8" t="s">
        <v>4000</v>
      </c>
      <c r="P89" s="8" t="s">
        <v>70</v>
      </c>
      <c r="Q89" s="14" t="s">
        <v>1070</v>
      </c>
      <c r="R89" s="8" t="s">
        <v>2552</v>
      </c>
      <c r="S89" s="14" t="s">
        <v>2553</v>
      </c>
    </row>
    <row r="90">
      <c r="A90" s="8" t="s">
        <v>277</v>
      </c>
      <c r="B90" s="8" t="s">
        <v>78</v>
      </c>
      <c r="C90" s="8" t="s">
        <v>70</v>
      </c>
      <c r="D90" s="18" t="s">
        <v>2566</v>
      </c>
      <c r="E90" s="16">
        <v>72.0</v>
      </c>
      <c r="F90" s="8" t="s">
        <v>1306</v>
      </c>
      <c r="G90" s="8" t="s">
        <v>409</v>
      </c>
      <c r="H90" s="8" t="s">
        <v>65</v>
      </c>
      <c r="I90" s="18" t="s">
        <v>2610</v>
      </c>
      <c r="J90" s="16">
        <v>62.0</v>
      </c>
      <c r="K90" s="8" t="s">
        <v>277</v>
      </c>
      <c r="L90" s="8" t="s">
        <v>276</v>
      </c>
      <c r="M90" s="18" t="s">
        <v>2587</v>
      </c>
      <c r="N90" s="16">
        <v>74.0</v>
      </c>
      <c r="O90" s="8" t="s">
        <v>4001</v>
      </c>
      <c r="P90" s="8" t="s">
        <v>93</v>
      </c>
      <c r="Q90" s="14" t="s">
        <v>2033</v>
      </c>
      <c r="R90" s="8" t="s">
        <v>2554</v>
      </c>
      <c r="S90" s="14" t="s">
        <v>2609</v>
      </c>
    </row>
    <row r="91">
      <c r="A91" s="8" t="s">
        <v>55</v>
      </c>
      <c r="B91" s="8" t="s">
        <v>1702</v>
      </c>
      <c r="C91" s="8" t="s">
        <v>122</v>
      </c>
      <c r="D91" s="18" t="s">
        <v>2610</v>
      </c>
      <c r="E91" s="16">
        <v>67.0</v>
      </c>
      <c r="F91" s="8" t="s">
        <v>551</v>
      </c>
      <c r="G91" s="8" t="s">
        <v>550</v>
      </c>
      <c r="H91" s="8" t="s">
        <v>65</v>
      </c>
      <c r="I91" s="18" t="s">
        <v>2564</v>
      </c>
      <c r="J91" s="16">
        <v>87.0</v>
      </c>
      <c r="K91" s="8" t="s">
        <v>277</v>
      </c>
      <c r="L91" s="8" t="s">
        <v>99</v>
      </c>
      <c r="M91" s="18" t="s">
        <v>2574</v>
      </c>
      <c r="N91" s="16">
        <v>66.0</v>
      </c>
      <c r="O91" s="8" t="s">
        <v>4002</v>
      </c>
      <c r="P91" s="8" t="s">
        <v>46</v>
      </c>
      <c r="Q91" s="14" t="s">
        <v>2033</v>
      </c>
      <c r="R91" s="8" t="s">
        <v>2564</v>
      </c>
      <c r="S91" s="14" t="s">
        <v>2591</v>
      </c>
    </row>
    <row r="92">
      <c r="A92" s="8" t="s">
        <v>55</v>
      </c>
      <c r="B92" s="8" t="s">
        <v>199</v>
      </c>
      <c r="C92" s="8" t="s">
        <v>24</v>
      </c>
      <c r="D92" s="18" t="s">
        <v>2592</v>
      </c>
      <c r="E92" s="16">
        <v>62.0</v>
      </c>
      <c r="F92" s="8" t="s">
        <v>1853</v>
      </c>
      <c r="G92" s="8" t="s">
        <v>1862</v>
      </c>
      <c r="H92" s="8" t="s">
        <v>70</v>
      </c>
      <c r="I92" s="18" t="s">
        <v>2595</v>
      </c>
      <c r="J92" s="16">
        <v>76.0</v>
      </c>
      <c r="K92" s="8" t="s">
        <v>55</v>
      </c>
      <c r="L92" s="8" t="s">
        <v>1702</v>
      </c>
      <c r="M92" s="18" t="s">
        <v>2610</v>
      </c>
      <c r="N92" s="16">
        <v>68.0</v>
      </c>
      <c r="O92" s="8" t="s">
        <v>4003</v>
      </c>
      <c r="P92" s="8" t="s">
        <v>70</v>
      </c>
      <c r="Q92" s="14" t="s">
        <v>338</v>
      </c>
      <c r="R92" s="8" t="s">
        <v>2592</v>
      </c>
      <c r="S92" s="14" t="s">
        <v>2565</v>
      </c>
    </row>
    <row r="93">
      <c r="A93" s="8" t="s">
        <v>55</v>
      </c>
      <c r="B93" s="8" t="s">
        <v>887</v>
      </c>
      <c r="C93" s="8" t="s">
        <v>132</v>
      </c>
      <c r="D93" s="18" t="s">
        <v>2593</v>
      </c>
      <c r="E93" s="16">
        <v>64.0</v>
      </c>
      <c r="F93" s="8" t="s">
        <v>2756</v>
      </c>
      <c r="G93" s="8" t="s">
        <v>2755</v>
      </c>
      <c r="H93" s="8" t="s">
        <v>65</v>
      </c>
      <c r="I93" s="18" t="s">
        <v>2603</v>
      </c>
      <c r="J93" s="16">
        <v>74.0</v>
      </c>
      <c r="K93" s="8" t="s">
        <v>55</v>
      </c>
      <c r="L93" s="8" t="s">
        <v>312</v>
      </c>
      <c r="M93" s="18" t="s">
        <v>2552</v>
      </c>
      <c r="N93" s="16">
        <v>80.0</v>
      </c>
      <c r="O93" s="8" t="s">
        <v>4004</v>
      </c>
      <c r="P93" s="8" t="s">
        <v>65</v>
      </c>
      <c r="Q93" s="14" t="s">
        <v>237</v>
      </c>
      <c r="R93" s="8" t="s">
        <v>2620</v>
      </c>
      <c r="S93" s="14" t="s">
        <v>2565</v>
      </c>
    </row>
    <row r="94">
      <c r="A94" s="8" t="s">
        <v>55</v>
      </c>
      <c r="B94" s="8" t="s">
        <v>2103</v>
      </c>
      <c r="C94" s="8" t="s">
        <v>12</v>
      </c>
      <c r="D94" s="18" t="s">
        <v>2581</v>
      </c>
      <c r="E94" s="16">
        <v>76.0</v>
      </c>
      <c r="F94" s="8" t="s">
        <v>1411</v>
      </c>
      <c r="G94" s="8" t="s">
        <v>500</v>
      </c>
      <c r="H94" s="8" t="s">
        <v>65</v>
      </c>
      <c r="I94" s="18" t="s">
        <v>2556</v>
      </c>
      <c r="J94" s="16">
        <v>87.0</v>
      </c>
      <c r="K94" s="8" t="s">
        <v>55</v>
      </c>
      <c r="L94" s="8" t="s">
        <v>993</v>
      </c>
      <c r="M94" s="18" t="s">
        <v>2584</v>
      </c>
      <c r="N94" s="16">
        <v>85.0</v>
      </c>
      <c r="O94" s="8" t="s">
        <v>4005</v>
      </c>
      <c r="P94" s="8" t="s">
        <v>65</v>
      </c>
      <c r="Q94" s="14" t="s">
        <v>1352</v>
      </c>
      <c r="R94" s="8" t="s">
        <v>2572</v>
      </c>
      <c r="S94" s="14" t="s">
        <v>2583</v>
      </c>
    </row>
    <row r="95">
      <c r="A95" s="8" t="s">
        <v>55</v>
      </c>
      <c r="B95" s="8" t="s">
        <v>3646</v>
      </c>
      <c r="C95" s="8" t="s">
        <v>186</v>
      </c>
      <c r="D95" s="18" t="s">
        <v>2614</v>
      </c>
      <c r="E95" s="16">
        <v>71.0</v>
      </c>
      <c r="F95" s="8" t="s">
        <v>2785</v>
      </c>
      <c r="G95" s="8" t="s">
        <v>2784</v>
      </c>
      <c r="H95" s="8" t="s">
        <v>65</v>
      </c>
      <c r="I95" s="18" t="s">
        <v>2584</v>
      </c>
      <c r="J95" s="16">
        <v>63.0</v>
      </c>
      <c r="K95" s="8" t="s">
        <v>55</v>
      </c>
      <c r="L95" s="8" t="s">
        <v>577</v>
      </c>
      <c r="M95" s="18" t="s">
        <v>2567</v>
      </c>
      <c r="N95" s="16">
        <v>83.0</v>
      </c>
      <c r="O95" s="8" t="s">
        <v>4006</v>
      </c>
      <c r="P95" s="8" t="s">
        <v>65</v>
      </c>
      <c r="Q95" s="14" t="s">
        <v>237</v>
      </c>
      <c r="R95" s="8" t="s">
        <v>2587</v>
      </c>
      <c r="S95" s="14" t="s">
        <v>2591</v>
      </c>
    </row>
    <row r="96">
      <c r="A96" s="8" t="s">
        <v>55</v>
      </c>
      <c r="B96" s="8" t="s">
        <v>2195</v>
      </c>
      <c r="C96" s="8" t="s">
        <v>46</v>
      </c>
      <c r="D96" s="18" t="s">
        <v>2564</v>
      </c>
      <c r="E96" s="16">
        <v>75.0</v>
      </c>
      <c r="F96" s="8" t="s">
        <v>1069</v>
      </c>
      <c r="G96" s="8" t="s">
        <v>1068</v>
      </c>
      <c r="H96" s="8" t="s">
        <v>70</v>
      </c>
      <c r="I96" s="18" t="s">
        <v>2554</v>
      </c>
      <c r="J96" s="16">
        <v>78.0</v>
      </c>
      <c r="K96" s="8" t="s">
        <v>55</v>
      </c>
      <c r="L96" s="8" t="s">
        <v>835</v>
      </c>
      <c r="M96" s="18" t="s">
        <v>2566</v>
      </c>
      <c r="N96" s="16">
        <v>70.0</v>
      </c>
      <c r="O96" s="8" t="s">
        <v>4007</v>
      </c>
      <c r="P96" s="8" t="s">
        <v>186</v>
      </c>
      <c r="Q96" s="14" t="s">
        <v>2296</v>
      </c>
      <c r="R96" s="8" t="s">
        <v>2574</v>
      </c>
      <c r="S96" s="14" t="s">
        <v>2576</v>
      </c>
    </row>
    <row r="97">
      <c r="A97" s="8" t="s">
        <v>55</v>
      </c>
      <c r="B97" s="8" t="s">
        <v>1187</v>
      </c>
      <c r="C97" s="8" t="s">
        <v>65</v>
      </c>
      <c r="D97" s="18" t="s">
        <v>2615</v>
      </c>
      <c r="E97" s="16">
        <v>73.0</v>
      </c>
      <c r="F97" s="8" t="s">
        <v>3050</v>
      </c>
      <c r="G97" s="8" t="s">
        <v>3049</v>
      </c>
      <c r="H97" s="8" t="s">
        <v>75</v>
      </c>
      <c r="I97" s="18" t="s">
        <v>2574</v>
      </c>
      <c r="J97" s="16">
        <v>72.0</v>
      </c>
      <c r="K97" s="8" t="s">
        <v>55</v>
      </c>
      <c r="L97" s="8" t="s">
        <v>887</v>
      </c>
      <c r="M97" s="18" t="s">
        <v>2575</v>
      </c>
      <c r="N97" s="16">
        <v>62.0</v>
      </c>
      <c r="O97" s="8" t="s">
        <v>4008</v>
      </c>
      <c r="P97" s="8" t="s">
        <v>80</v>
      </c>
      <c r="Q97" s="14" t="s">
        <v>1070</v>
      </c>
      <c r="R97" s="8" t="s">
        <v>2554</v>
      </c>
      <c r="S97" s="14" t="s">
        <v>2557</v>
      </c>
    </row>
    <row r="98">
      <c r="A98" s="8" t="s">
        <v>55</v>
      </c>
      <c r="B98" s="8" t="s">
        <v>577</v>
      </c>
      <c r="C98" s="8" t="s">
        <v>16</v>
      </c>
      <c r="D98" s="18" t="s">
        <v>2567</v>
      </c>
      <c r="E98" s="16">
        <v>88.0</v>
      </c>
      <c r="F98" s="8" t="s">
        <v>277</v>
      </c>
      <c r="G98" s="8" t="s">
        <v>368</v>
      </c>
      <c r="H98" s="8" t="s">
        <v>65</v>
      </c>
      <c r="I98" s="18" t="s">
        <v>2589</v>
      </c>
      <c r="J98" s="16">
        <v>72.0</v>
      </c>
      <c r="K98" s="8" t="s">
        <v>55</v>
      </c>
      <c r="L98" s="8" t="s">
        <v>54</v>
      </c>
      <c r="M98" s="18" t="s">
        <v>2593</v>
      </c>
      <c r="N98" s="16">
        <v>84.0</v>
      </c>
      <c r="O98" s="8" t="s">
        <v>4009</v>
      </c>
      <c r="P98" s="8" t="s">
        <v>122</v>
      </c>
      <c r="Q98" s="14" t="s">
        <v>1679</v>
      </c>
      <c r="R98" s="8" t="s">
        <v>2610</v>
      </c>
      <c r="S98" s="14" t="s">
        <v>2565</v>
      </c>
    </row>
    <row r="99">
      <c r="A99" s="8" t="s">
        <v>55</v>
      </c>
      <c r="B99" s="8" t="s">
        <v>582</v>
      </c>
      <c r="C99" s="8" t="s">
        <v>46</v>
      </c>
      <c r="D99" s="18" t="s">
        <v>2562</v>
      </c>
      <c r="E99" s="16">
        <v>70.0</v>
      </c>
      <c r="F99" s="8" t="s">
        <v>277</v>
      </c>
      <c r="G99" s="8" t="s">
        <v>276</v>
      </c>
      <c r="H99" s="8" t="s">
        <v>65</v>
      </c>
      <c r="I99" s="18" t="s">
        <v>2587</v>
      </c>
      <c r="J99" s="16">
        <v>76.0</v>
      </c>
      <c r="K99" s="8" t="s">
        <v>55</v>
      </c>
      <c r="L99" s="8" t="s">
        <v>106</v>
      </c>
      <c r="M99" s="18" t="s">
        <v>2610</v>
      </c>
      <c r="N99" s="16">
        <v>70.0</v>
      </c>
      <c r="O99" s="8" t="s">
        <v>4010</v>
      </c>
      <c r="P99" s="8" t="s">
        <v>122</v>
      </c>
      <c r="Q99" s="14" t="s">
        <v>2033</v>
      </c>
      <c r="R99" s="8" t="s">
        <v>2610</v>
      </c>
      <c r="S99" s="14" t="s">
        <v>2579</v>
      </c>
    </row>
    <row r="100">
      <c r="A100" s="8" t="s">
        <v>55</v>
      </c>
      <c r="B100" s="8" t="s">
        <v>993</v>
      </c>
      <c r="C100" s="8" t="s">
        <v>75</v>
      </c>
      <c r="D100" s="18" t="s">
        <v>2574</v>
      </c>
      <c r="E100" s="16">
        <v>83.0</v>
      </c>
      <c r="F100" s="8" t="s">
        <v>277</v>
      </c>
      <c r="G100" s="8" t="s">
        <v>78</v>
      </c>
      <c r="H100" s="8" t="s">
        <v>70</v>
      </c>
      <c r="I100" s="18" t="s">
        <v>2572</v>
      </c>
      <c r="J100" s="16">
        <v>69.0</v>
      </c>
      <c r="K100" s="8" t="s">
        <v>1567</v>
      </c>
      <c r="L100" s="8" t="s">
        <v>1566</v>
      </c>
      <c r="M100" s="18" t="s">
        <v>2595</v>
      </c>
      <c r="N100" s="16">
        <v>76.0</v>
      </c>
      <c r="O100" s="8" t="s">
        <v>4011</v>
      </c>
      <c r="P100" s="8" t="s">
        <v>24</v>
      </c>
      <c r="Q100" s="14" t="s">
        <v>189</v>
      </c>
      <c r="R100" s="18" t="s">
        <v>2556</v>
      </c>
      <c r="S100" s="14" t="s">
        <v>2618</v>
      </c>
    </row>
    <row r="101">
      <c r="A101" s="8" t="s">
        <v>55</v>
      </c>
      <c r="B101" s="8" t="s">
        <v>312</v>
      </c>
      <c r="C101" s="8" t="s">
        <v>192</v>
      </c>
      <c r="D101" s="18" t="s">
        <v>2552</v>
      </c>
      <c r="E101" s="16">
        <v>78.0</v>
      </c>
      <c r="F101" s="8" t="s">
        <v>277</v>
      </c>
      <c r="G101" s="8" t="s">
        <v>99</v>
      </c>
      <c r="H101" s="8" t="s">
        <v>46</v>
      </c>
      <c r="I101" s="18" t="s">
        <v>2610</v>
      </c>
      <c r="J101" s="16">
        <v>74.0</v>
      </c>
      <c r="K101" s="8" t="s">
        <v>43</v>
      </c>
      <c r="L101" s="8" t="s">
        <v>1207</v>
      </c>
      <c r="M101" s="18" t="s">
        <v>2620</v>
      </c>
      <c r="N101" s="16">
        <v>78.0</v>
      </c>
      <c r="O101" s="8" t="s">
        <v>4012</v>
      </c>
      <c r="P101" s="8" t="s">
        <v>149</v>
      </c>
      <c r="Q101" s="14" t="s">
        <v>837</v>
      </c>
      <c r="R101" s="8" t="s">
        <v>2554</v>
      </c>
      <c r="S101" s="14" t="s">
        <v>2569</v>
      </c>
    </row>
    <row r="102">
      <c r="A102" s="8" t="s">
        <v>55</v>
      </c>
      <c r="B102" s="8" t="s">
        <v>3473</v>
      </c>
      <c r="C102" s="8" t="s">
        <v>132</v>
      </c>
      <c r="D102" s="18" t="s">
        <v>2585</v>
      </c>
      <c r="E102" s="16">
        <v>71.0</v>
      </c>
      <c r="F102" s="8" t="s">
        <v>277</v>
      </c>
      <c r="G102" s="8" t="s">
        <v>1381</v>
      </c>
      <c r="H102" s="8" t="s">
        <v>138</v>
      </c>
      <c r="I102" s="18" t="s">
        <v>2581</v>
      </c>
      <c r="J102" s="16">
        <v>78.0</v>
      </c>
      <c r="K102" s="8" t="s">
        <v>43</v>
      </c>
      <c r="L102" s="8" t="s">
        <v>284</v>
      </c>
      <c r="M102" s="18" t="s">
        <v>2554</v>
      </c>
      <c r="N102" s="16">
        <v>67.0</v>
      </c>
      <c r="O102" s="8" t="s">
        <v>4013</v>
      </c>
      <c r="P102" s="8" t="s">
        <v>24</v>
      </c>
      <c r="Q102" s="14" t="s">
        <v>837</v>
      </c>
      <c r="R102" s="8" t="s">
        <v>2582</v>
      </c>
      <c r="S102" s="14" t="s">
        <v>2630</v>
      </c>
    </row>
    <row r="103">
      <c r="A103" s="8" t="s">
        <v>55</v>
      </c>
      <c r="B103" s="8" t="s">
        <v>54</v>
      </c>
      <c r="C103" s="8" t="s">
        <v>46</v>
      </c>
      <c r="D103" s="18" t="s">
        <v>2610</v>
      </c>
      <c r="E103" s="16">
        <v>93.0</v>
      </c>
      <c r="F103" s="8" t="s">
        <v>277</v>
      </c>
      <c r="G103" s="8" t="s">
        <v>305</v>
      </c>
      <c r="H103" s="8" t="s">
        <v>65</v>
      </c>
      <c r="I103" s="18" t="s">
        <v>2598</v>
      </c>
      <c r="J103" s="16">
        <v>72.0</v>
      </c>
      <c r="K103" s="8" t="s">
        <v>43</v>
      </c>
      <c r="L103" s="8" t="s">
        <v>258</v>
      </c>
      <c r="M103" s="18" t="s">
        <v>2610</v>
      </c>
      <c r="N103" s="16">
        <v>79.0</v>
      </c>
      <c r="O103" s="8" t="s">
        <v>4014</v>
      </c>
      <c r="P103" s="8" t="s">
        <v>16</v>
      </c>
      <c r="Q103" s="14" t="s">
        <v>459</v>
      </c>
      <c r="R103" s="8" t="s">
        <v>2567</v>
      </c>
      <c r="S103" s="14" t="s">
        <v>2559</v>
      </c>
    </row>
    <row r="104">
      <c r="A104" s="8" t="s">
        <v>1567</v>
      </c>
      <c r="B104" s="8" t="s">
        <v>1566</v>
      </c>
      <c r="C104" s="8" t="s">
        <v>132</v>
      </c>
      <c r="D104" s="18" t="s">
        <v>2595</v>
      </c>
      <c r="E104" s="16">
        <v>70.0</v>
      </c>
      <c r="F104" s="8" t="s">
        <v>277</v>
      </c>
      <c r="G104" s="8" t="s">
        <v>2828</v>
      </c>
      <c r="H104" s="8" t="s">
        <v>80</v>
      </c>
      <c r="I104" s="18" t="s">
        <v>2562</v>
      </c>
      <c r="J104" s="16">
        <v>74.0</v>
      </c>
      <c r="K104" s="8" t="s">
        <v>43</v>
      </c>
      <c r="L104" s="8" t="s">
        <v>42</v>
      </c>
      <c r="M104" s="18" t="s">
        <v>2589</v>
      </c>
      <c r="N104" s="16">
        <v>82.0</v>
      </c>
      <c r="O104" s="8" t="s">
        <v>4015</v>
      </c>
      <c r="P104" s="8" t="s">
        <v>75</v>
      </c>
      <c r="Q104" s="14" t="s">
        <v>837</v>
      </c>
      <c r="R104" s="8" t="s">
        <v>2584</v>
      </c>
      <c r="S104" s="14" t="s">
        <v>2625</v>
      </c>
    </row>
    <row r="105">
      <c r="A105" s="8" t="s">
        <v>43</v>
      </c>
      <c r="B105" s="8" t="s">
        <v>258</v>
      </c>
      <c r="C105" s="8" t="s">
        <v>16</v>
      </c>
      <c r="D105" s="18" t="s">
        <v>2610</v>
      </c>
      <c r="E105" s="16">
        <v>87.0</v>
      </c>
      <c r="F105" s="8" t="s">
        <v>55</v>
      </c>
      <c r="G105" s="8" t="s">
        <v>887</v>
      </c>
      <c r="H105" s="8" t="s">
        <v>132</v>
      </c>
      <c r="I105" s="18" t="s">
        <v>2593</v>
      </c>
      <c r="J105" s="16">
        <v>65.0</v>
      </c>
      <c r="K105" s="8" t="s">
        <v>43</v>
      </c>
      <c r="L105" s="8" t="s">
        <v>2901</v>
      </c>
      <c r="M105" s="18" t="s">
        <v>2598</v>
      </c>
      <c r="N105" s="16">
        <v>80.0</v>
      </c>
      <c r="O105" s="8" t="s">
        <v>4016</v>
      </c>
      <c r="P105" s="8" t="s">
        <v>80</v>
      </c>
      <c r="Q105" s="14" t="s">
        <v>237</v>
      </c>
      <c r="R105" s="8" t="s">
        <v>2564</v>
      </c>
      <c r="S105" s="14" t="s">
        <v>2608</v>
      </c>
    </row>
    <row r="106">
      <c r="A106" s="8" t="s">
        <v>43</v>
      </c>
      <c r="B106" s="8" t="s">
        <v>3647</v>
      </c>
      <c r="C106" s="8" t="s">
        <v>141</v>
      </c>
      <c r="D106" s="18" t="s">
        <v>2621</v>
      </c>
      <c r="E106" s="16">
        <v>64.0</v>
      </c>
      <c r="F106" s="8" t="s">
        <v>55</v>
      </c>
      <c r="G106" s="8" t="s">
        <v>312</v>
      </c>
      <c r="H106" s="8" t="s">
        <v>192</v>
      </c>
      <c r="I106" s="18" t="s">
        <v>2552</v>
      </c>
      <c r="J106" s="16">
        <v>78.0</v>
      </c>
      <c r="K106" s="8" t="s">
        <v>1089</v>
      </c>
      <c r="L106" s="8" t="s">
        <v>1088</v>
      </c>
      <c r="M106" s="18" t="s">
        <v>2562</v>
      </c>
      <c r="N106" s="16">
        <v>65.0</v>
      </c>
      <c r="O106" s="8" t="s">
        <v>4017</v>
      </c>
      <c r="P106" s="8" t="s">
        <v>186</v>
      </c>
      <c r="Q106" s="14" t="s">
        <v>1679</v>
      </c>
      <c r="R106" s="8" t="s">
        <v>2581</v>
      </c>
      <c r="S106" s="14" t="s">
        <v>2583</v>
      </c>
    </row>
    <row r="107">
      <c r="A107" s="8" t="s">
        <v>43</v>
      </c>
      <c r="B107" s="8" t="s">
        <v>1207</v>
      </c>
      <c r="C107" s="8" t="s">
        <v>261</v>
      </c>
      <c r="D107" s="18" t="s">
        <v>2620</v>
      </c>
      <c r="E107" s="16">
        <v>67.0</v>
      </c>
      <c r="F107" s="8" t="s">
        <v>55</v>
      </c>
      <c r="G107" s="8" t="s">
        <v>1702</v>
      </c>
      <c r="H107" s="8" t="s">
        <v>122</v>
      </c>
      <c r="I107" s="18" t="s">
        <v>2610</v>
      </c>
      <c r="J107" s="16">
        <v>68.0</v>
      </c>
      <c r="K107" s="8" t="s">
        <v>212</v>
      </c>
      <c r="L107" s="8" t="s">
        <v>844</v>
      </c>
      <c r="M107" s="18" t="s">
        <v>2552</v>
      </c>
      <c r="N107" s="16">
        <v>84.0</v>
      </c>
      <c r="O107" s="8" t="s">
        <v>4018</v>
      </c>
      <c r="P107" s="8" t="s">
        <v>24</v>
      </c>
      <c r="Q107" s="14" t="s">
        <v>1679</v>
      </c>
      <c r="R107" s="8" t="s">
        <v>2572</v>
      </c>
      <c r="S107" s="14" t="s">
        <v>2609</v>
      </c>
    </row>
    <row r="108">
      <c r="A108" s="8" t="s">
        <v>43</v>
      </c>
      <c r="B108" s="8" t="s">
        <v>284</v>
      </c>
      <c r="C108" s="8" t="s">
        <v>65</v>
      </c>
      <c r="D108" s="18" t="s">
        <v>2614</v>
      </c>
      <c r="E108" s="16">
        <v>60.0</v>
      </c>
      <c r="F108" s="8" t="s">
        <v>55</v>
      </c>
      <c r="G108" s="8" t="s">
        <v>835</v>
      </c>
      <c r="H108" s="8" t="s">
        <v>80</v>
      </c>
      <c r="I108" s="18" t="s">
        <v>2566</v>
      </c>
      <c r="J108" s="16">
        <v>78.0</v>
      </c>
      <c r="K108" s="8" t="s">
        <v>212</v>
      </c>
      <c r="L108" s="8" t="s">
        <v>1166</v>
      </c>
      <c r="M108" s="18" t="s">
        <v>2615</v>
      </c>
      <c r="N108" s="16">
        <v>68.0</v>
      </c>
      <c r="O108" s="8" t="s">
        <v>4019</v>
      </c>
      <c r="P108" s="8" t="s">
        <v>46</v>
      </c>
      <c r="Q108" s="14" t="s">
        <v>39</v>
      </c>
      <c r="R108" s="8" t="s">
        <v>2593</v>
      </c>
      <c r="S108" s="14" t="s">
        <v>2634</v>
      </c>
    </row>
    <row r="109">
      <c r="A109" s="8" t="s">
        <v>43</v>
      </c>
      <c r="B109" s="8" t="s">
        <v>42</v>
      </c>
      <c r="C109" s="8" t="s">
        <v>38</v>
      </c>
      <c r="D109" s="18" t="s">
        <v>2615</v>
      </c>
      <c r="E109" s="16">
        <v>80.0</v>
      </c>
      <c r="F109" s="8" t="s">
        <v>55</v>
      </c>
      <c r="G109" s="8" t="s">
        <v>1187</v>
      </c>
      <c r="H109" s="8" t="s">
        <v>65</v>
      </c>
      <c r="I109" s="18" t="s">
        <v>2600</v>
      </c>
      <c r="J109" s="16">
        <v>74.0</v>
      </c>
      <c r="K109" s="8" t="s">
        <v>212</v>
      </c>
      <c r="L109" s="8" t="s">
        <v>89</v>
      </c>
      <c r="M109" s="18" t="s">
        <v>2552</v>
      </c>
      <c r="N109" s="16">
        <v>74.0</v>
      </c>
      <c r="O109" s="8" t="s">
        <v>4020</v>
      </c>
      <c r="P109" s="8" t="s">
        <v>80</v>
      </c>
      <c r="Q109" s="14" t="s">
        <v>2296</v>
      </c>
      <c r="R109" s="8" t="s">
        <v>2584</v>
      </c>
      <c r="S109" s="14" t="s">
        <v>2576</v>
      </c>
    </row>
    <row r="110">
      <c r="A110" s="8" t="s">
        <v>43</v>
      </c>
      <c r="B110" s="8" t="s">
        <v>2901</v>
      </c>
      <c r="C110" s="8" t="s">
        <v>75</v>
      </c>
      <c r="D110" s="18" t="s">
        <v>2598</v>
      </c>
      <c r="E110" s="16">
        <v>80.0</v>
      </c>
      <c r="F110" s="8" t="s">
        <v>55</v>
      </c>
      <c r="G110" s="8" t="s">
        <v>54</v>
      </c>
      <c r="H110" s="8" t="s">
        <v>46</v>
      </c>
      <c r="I110" s="18" t="s">
        <v>2593</v>
      </c>
      <c r="J110" s="16">
        <v>89.0</v>
      </c>
      <c r="K110" s="8" t="s">
        <v>212</v>
      </c>
      <c r="L110" s="8" t="s">
        <v>2893</v>
      </c>
      <c r="M110" s="18" t="s">
        <v>2582</v>
      </c>
      <c r="N110" s="16">
        <v>67.0</v>
      </c>
      <c r="O110" s="8" t="s">
        <v>4021</v>
      </c>
      <c r="P110" s="8" t="s">
        <v>132</v>
      </c>
      <c r="Q110" s="14" t="s">
        <v>1352</v>
      </c>
      <c r="R110" s="8" t="s">
        <v>2183</v>
      </c>
      <c r="S110" s="14" t="s">
        <v>2563</v>
      </c>
    </row>
    <row r="111">
      <c r="A111" s="8" t="s">
        <v>43</v>
      </c>
      <c r="B111" s="8" t="s">
        <v>3777</v>
      </c>
      <c r="C111" s="8" t="s">
        <v>59</v>
      </c>
      <c r="D111" s="18" t="s">
        <v>2183</v>
      </c>
      <c r="E111" s="16">
        <v>67.0</v>
      </c>
      <c r="F111" s="8" t="s">
        <v>55</v>
      </c>
      <c r="G111" s="8" t="s">
        <v>2103</v>
      </c>
      <c r="H111" s="8" t="s">
        <v>12</v>
      </c>
      <c r="I111" s="18" t="s">
        <v>2581</v>
      </c>
      <c r="J111" s="16">
        <v>75.0</v>
      </c>
      <c r="K111" s="8" t="s">
        <v>212</v>
      </c>
      <c r="L111" s="8" t="s">
        <v>3117</v>
      </c>
      <c r="M111" s="18" t="s">
        <v>2567</v>
      </c>
      <c r="N111" s="16">
        <v>69.0</v>
      </c>
      <c r="O111" s="8" t="s">
        <v>4022</v>
      </c>
      <c r="P111" s="8" t="s">
        <v>75</v>
      </c>
      <c r="Q111" s="14" t="s">
        <v>1352</v>
      </c>
      <c r="R111" s="8" t="s">
        <v>2595</v>
      </c>
      <c r="S111" s="14" t="s">
        <v>2565</v>
      </c>
    </row>
    <row r="112">
      <c r="A112" s="8" t="s">
        <v>1089</v>
      </c>
      <c r="B112" s="8" t="s">
        <v>1088</v>
      </c>
      <c r="C112" s="8" t="s">
        <v>215</v>
      </c>
      <c r="D112" s="18" t="s">
        <v>2621</v>
      </c>
      <c r="E112" s="16">
        <v>61.0</v>
      </c>
      <c r="F112" s="8" t="s">
        <v>55</v>
      </c>
      <c r="G112" s="8" t="s">
        <v>3473</v>
      </c>
      <c r="H112" s="8" t="s">
        <v>132</v>
      </c>
      <c r="I112" s="18" t="s">
        <v>2183</v>
      </c>
      <c r="J112" s="16">
        <v>75.0</v>
      </c>
      <c r="K112" s="8" t="s">
        <v>212</v>
      </c>
      <c r="L112" s="8" t="s">
        <v>1121</v>
      </c>
      <c r="M112" s="18" t="s">
        <v>2577</v>
      </c>
      <c r="N112" s="16">
        <v>66.0</v>
      </c>
      <c r="O112" s="8" t="s">
        <v>4023</v>
      </c>
      <c r="P112" s="8" t="s">
        <v>16</v>
      </c>
      <c r="Q112" s="14" t="s">
        <v>237</v>
      </c>
      <c r="R112" s="8" t="s">
        <v>2610</v>
      </c>
      <c r="S112" s="14" t="s">
        <v>2607</v>
      </c>
    </row>
    <row r="113">
      <c r="A113" s="8" t="s">
        <v>3558</v>
      </c>
      <c r="B113" s="8" t="s">
        <v>3557</v>
      </c>
      <c r="C113" s="8" t="s">
        <v>65</v>
      </c>
      <c r="D113" s="18" t="s">
        <v>2554</v>
      </c>
      <c r="E113" s="16">
        <v>79.0</v>
      </c>
      <c r="F113" s="8" t="s">
        <v>55</v>
      </c>
      <c r="G113" s="8" t="s">
        <v>577</v>
      </c>
      <c r="H113" s="8" t="s">
        <v>16</v>
      </c>
      <c r="I113" s="18" t="s">
        <v>2567</v>
      </c>
      <c r="J113" s="16">
        <v>90.0</v>
      </c>
      <c r="K113" s="8" t="s">
        <v>212</v>
      </c>
      <c r="L113" s="8" t="s">
        <v>389</v>
      </c>
      <c r="M113" s="18" t="s">
        <v>2567</v>
      </c>
      <c r="N113" s="16">
        <v>64.0</v>
      </c>
      <c r="O113" s="8" t="s">
        <v>4024</v>
      </c>
      <c r="P113" s="8" t="s">
        <v>65</v>
      </c>
      <c r="Q113" s="14" t="s">
        <v>2296</v>
      </c>
      <c r="R113" s="18" t="s">
        <v>2589</v>
      </c>
      <c r="S113" s="14" t="s">
        <v>2565</v>
      </c>
    </row>
    <row r="114">
      <c r="A114" s="8" t="s">
        <v>212</v>
      </c>
      <c r="B114" s="8" t="s">
        <v>844</v>
      </c>
      <c r="C114" s="8" t="s">
        <v>53</v>
      </c>
      <c r="D114" s="18" t="s">
        <v>2552</v>
      </c>
      <c r="E114" s="16">
        <v>88.0</v>
      </c>
      <c r="F114" s="8" t="s">
        <v>55</v>
      </c>
      <c r="G114" s="8" t="s">
        <v>993</v>
      </c>
      <c r="H114" s="8" t="s">
        <v>75</v>
      </c>
      <c r="I114" s="18" t="s">
        <v>2574</v>
      </c>
      <c r="J114" s="16">
        <v>84.0</v>
      </c>
      <c r="K114" s="8" t="s">
        <v>212</v>
      </c>
      <c r="L114" s="8" t="s">
        <v>940</v>
      </c>
      <c r="M114" s="18" t="s">
        <v>2183</v>
      </c>
      <c r="N114" s="16">
        <v>81.0</v>
      </c>
      <c r="O114" s="8" t="s">
        <v>4025</v>
      </c>
      <c r="P114" s="8" t="s">
        <v>261</v>
      </c>
      <c r="Q114" s="14" t="s">
        <v>1070</v>
      </c>
      <c r="R114" s="8" t="s">
        <v>2620</v>
      </c>
      <c r="S114" s="14" t="s">
        <v>2565</v>
      </c>
    </row>
    <row r="115">
      <c r="A115" s="8" t="s">
        <v>212</v>
      </c>
      <c r="B115" s="8" t="s">
        <v>106</v>
      </c>
      <c r="C115" s="8" t="s">
        <v>93</v>
      </c>
      <c r="D115" s="18" t="s">
        <v>2614</v>
      </c>
      <c r="E115" s="16">
        <v>68.0</v>
      </c>
      <c r="F115" s="8" t="s">
        <v>1567</v>
      </c>
      <c r="G115" s="8" t="s">
        <v>1566</v>
      </c>
      <c r="H115" s="8" t="s">
        <v>75</v>
      </c>
      <c r="I115" s="18" t="s">
        <v>2595</v>
      </c>
      <c r="J115" s="16">
        <v>74.0</v>
      </c>
      <c r="K115" s="8" t="s">
        <v>212</v>
      </c>
      <c r="L115" s="8" t="s">
        <v>106</v>
      </c>
      <c r="M115" s="18" t="s">
        <v>2614</v>
      </c>
      <c r="N115" s="16">
        <v>75.0</v>
      </c>
      <c r="O115" s="8" t="s">
        <v>4026</v>
      </c>
      <c r="P115" s="8" t="s">
        <v>65</v>
      </c>
      <c r="Q115" s="14" t="s">
        <v>1352</v>
      </c>
      <c r="R115" s="8" t="s">
        <v>2554</v>
      </c>
      <c r="S115" s="14" t="s">
        <v>2555</v>
      </c>
    </row>
    <row r="116">
      <c r="A116" s="8" t="s">
        <v>212</v>
      </c>
      <c r="B116" s="8" t="s">
        <v>250</v>
      </c>
      <c r="C116" s="8" t="s">
        <v>46</v>
      </c>
      <c r="D116" s="18" t="s">
        <v>2567</v>
      </c>
      <c r="E116" s="16">
        <v>81.0</v>
      </c>
      <c r="F116" s="8" t="s">
        <v>43</v>
      </c>
      <c r="G116" s="8" t="s">
        <v>42</v>
      </c>
      <c r="H116" s="8" t="s">
        <v>38</v>
      </c>
      <c r="I116" s="18" t="s">
        <v>2574</v>
      </c>
      <c r="J116" s="16">
        <v>79.0</v>
      </c>
      <c r="K116" s="8" t="s">
        <v>212</v>
      </c>
      <c r="L116" s="8" t="s">
        <v>314</v>
      </c>
      <c r="M116" s="18" t="s">
        <v>2183</v>
      </c>
      <c r="N116" s="16">
        <v>82.0</v>
      </c>
      <c r="O116" s="8" t="s">
        <v>4027</v>
      </c>
      <c r="P116" s="8" t="s">
        <v>38</v>
      </c>
      <c r="Q116" s="14" t="s">
        <v>39</v>
      </c>
      <c r="R116" s="18" t="s">
        <v>2589</v>
      </c>
      <c r="S116" s="14" t="s">
        <v>2590</v>
      </c>
    </row>
    <row r="117">
      <c r="A117" s="8" t="s">
        <v>212</v>
      </c>
      <c r="B117" s="8" t="s">
        <v>1121</v>
      </c>
      <c r="C117" s="8" t="s">
        <v>59</v>
      </c>
      <c r="D117" s="18" t="s">
        <v>2577</v>
      </c>
      <c r="E117" s="16">
        <v>62.0</v>
      </c>
      <c r="F117" s="8" t="s">
        <v>43</v>
      </c>
      <c r="G117" s="8" t="s">
        <v>1207</v>
      </c>
      <c r="H117" s="8" t="s">
        <v>261</v>
      </c>
      <c r="I117" s="18" t="s">
        <v>2620</v>
      </c>
      <c r="J117" s="16">
        <v>82.0</v>
      </c>
      <c r="K117" s="8" t="s">
        <v>212</v>
      </c>
      <c r="L117" s="8" t="s">
        <v>1067</v>
      </c>
      <c r="M117" s="18" t="s">
        <v>2554</v>
      </c>
      <c r="N117" s="16">
        <v>79.0</v>
      </c>
      <c r="O117" s="8" t="s">
        <v>4028</v>
      </c>
      <c r="P117" s="8" t="s">
        <v>215</v>
      </c>
      <c r="Q117" s="14" t="s">
        <v>1070</v>
      </c>
      <c r="R117" s="8" t="s">
        <v>2562</v>
      </c>
      <c r="S117" s="14" t="s">
        <v>2622</v>
      </c>
    </row>
    <row r="118">
      <c r="A118" s="8" t="s">
        <v>212</v>
      </c>
      <c r="B118" s="8" t="s">
        <v>61</v>
      </c>
      <c r="C118" s="8" t="s">
        <v>149</v>
      </c>
      <c r="D118" s="18" t="s">
        <v>2585</v>
      </c>
      <c r="E118" s="16">
        <v>78.0</v>
      </c>
      <c r="F118" s="8" t="s">
        <v>43</v>
      </c>
      <c r="G118" s="8" t="s">
        <v>284</v>
      </c>
      <c r="H118" s="8" t="s">
        <v>65</v>
      </c>
      <c r="I118" s="18" t="s">
        <v>2614</v>
      </c>
      <c r="J118" s="16">
        <v>64.0</v>
      </c>
      <c r="K118" s="8" t="s">
        <v>212</v>
      </c>
      <c r="L118" s="8" t="s">
        <v>2900</v>
      </c>
      <c r="M118" s="18" t="s">
        <v>2575</v>
      </c>
      <c r="N118" s="16">
        <v>75.0</v>
      </c>
      <c r="O118" s="8" t="s">
        <v>4029</v>
      </c>
      <c r="P118" s="8" t="s">
        <v>93</v>
      </c>
      <c r="Q118" s="14" t="s">
        <v>1679</v>
      </c>
      <c r="R118" s="8" t="s">
        <v>2575</v>
      </c>
      <c r="S118" s="14" t="s">
        <v>2568</v>
      </c>
    </row>
    <row r="119">
      <c r="A119" s="8" t="s">
        <v>212</v>
      </c>
      <c r="B119" s="8" t="s">
        <v>3249</v>
      </c>
      <c r="C119" s="8" t="s">
        <v>24</v>
      </c>
      <c r="D119" s="18" t="s">
        <v>2621</v>
      </c>
      <c r="E119" s="16">
        <v>80.0</v>
      </c>
      <c r="F119" s="8" t="s">
        <v>43</v>
      </c>
      <c r="G119" s="8" t="s">
        <v>2901</v>
      </c>
      <c r="H119" s="8" t="s">
        <v>75</v>
      </c>
      <c r="I119" s="18" t="s">
        <v>2598</v>
      </c>
      <c r="J119" s="16">
        <v>84.0</v>
      </c>
      <c r="K119" s="8" t="s">
        <v>212</v>
      </c>
      <c r="L119" s="8" t="s">
        <v>250</v>
      </c>
      <c r="M119" s="18" t="s">
        <v>2567</v>
      </c>
      <c r="N119" s="16">
        <v>81.0</v>
      </c>
      <c r="O119" s="8" t="s">
        <v>4030</v>
      </c>
      <c r="P119" s="8" t="s">
        <v>53</v>
      </c>
      <c r="Q119" s="14" t="s">
        <v>837</v>
      </c>
      <c r="R119" s="8" t="s">
        <v>2552</v>
      </c>
      <c r="S119" s="14" t="s">
        <v>2588</v>
      </c>
    </row>
    <row r="120">
      <c r="A120" s="8" t="s">
        <v>212</v>
      </c>
      <c r="B120" s="8" t="s">
        <v>89</v>
      </c>
      <c r="C120" s="8" t="s">
        <v>80</v>
      </c>
      <c r="D120" s="18" t="s">
        <v>2552</v>
      </c>
      <c r="E120" s="16">
        <v>68.0</v>
      </c>
      <c r="F120" s="8" t="s">
        <v>43</v>
      </c>
      <c r="G120" s="8" t="s">
        <v>258</v>
      </c>
      <c r="H120" s="8" t="s">
        <v>16</v>
      </c>
      <c r="I120" s="18" t="s">
        <v>2610</v>
      </c>
      <c r="J120" s="16">
        <v>84.0</v>
      </c>
      <c r="K120" s="8" t="s">
        <v>212</v>
      </c>
      <c r="L120" s="8" t="s">
        <v>402</v>
      </c>
      <c r="M120" s="18" t="s">
        <v>2605</v>
      </c>
      <c r="N120" s="16">
        <v>76.0</v>
      </c>
      <c r="O120" s="8" t="s">
        <v>4031</v>
      </c>
      <c r="P120" s="8" t="s">
        <v>93</v>
      </c>
      <c r="Q120" s="14" t="s">
        <v>1352</v>
      </c>
      <c r="R120" s="8" t="s">
        <v>2614</v>
      </c>
      <c r="S120" s="14" t="s">
        <v>2608</v>
      </c>
    </row>
    <row r="121">
      <c r="A121" s="8" t="s">
        <v>212</v>
      </c>
      <c r="B121" s="8" t="s">
        <v>940</v>
      </c>
      <c r="C121" s="8" t="s">
        <v>53</v>
      </c>
      <c r="D121" s="18" t="s">
        <v>2614</v>
      </c>
      <c r="E121" s="16">
        <v>74.0</v>
      </c>
      <c r="F121" s="8" t="s">
        <v>1089</v>
      </c>
      <c r="G121" s="8" t="s">
        <v>1088</v>
      </c>
      <c r="H121" s="8" t="s">
        <v>138</v>
      </c>
      <c r="I121" s="18" t="s">
        <v>2621</v>
      </c>
      <c r="J121" s="16">
        <v>63.0</v>
      </c>
      <c r="K121" s="8" t="s">
        <v>212</v>
      </c>
      <c r="L121" s="8" t="s">
        <v>1688</v>
      </c>
      <c r="M121" s="18" t="s">
        <v>2575</v>
      </c>
      <c r="N121" s="16">
        <v>70.0</v>
      </c>
      <c r="O121" s="8" t="s">
        <v>4032</v>
      </c>
      <c r="P121" s="8" t="s">
        <v>46</v>
      </c>
      <c r="Q121" s="14" t="s">
        <v>237</v>
      </c>
      <c r="R121" s="8" t="s">
        <v>2567</v>
      </c>
      <c r="S121" s="14" t="s">
        <v>2611</v>
      </c>
    </row>
    <row r="122">
      <c r="A122" s="8" t="s">
        <v>212</v>
      </c>
      <c r="B122" s="8" t="s">
        <v>3721</v>
      </c>
      <c r="C122" s="8" t="s">
        <v>80</v>
      </c>
      <c r="D122" s="18" t="s">
        <v>2575</v>
      </c>
      <c r="E122" s="16">
        <v>71.0</v>
      </c>
      <c r="F122" s="8" t="s">
        <v>212</v>
      </c>
      <c r="G122" s="8" t="s">
        <v>1166</v>
      </c>
      <c r="H122" s="8" t="s">
        <v>141</v>
      </c>
      <c r="I122" s="18" t="s">
        <v>2615</v>
      </c>
      <c r="J122" s="16">
        <v>64.0</v>
      </c>
      <c r="K122" s="8" t="s">
        <v>82</v>
      </c>
      <c r="L122" s="8" t="s">
        <v>81</v>
      </c>
      <c r="M122" s="18" t="s">
        <v>2589</v>
      </c>
      <c r="N122" s="16">
        <v>79.0</v>
      </c>
      <c r="O122" s="8" t="s">
        <v>4033</v>
      </c>
      <c r="P122" s="8" t="s">
        <v>53</v>
      </c>
      <c r="Q122" s="14" t="s">
        <v>1070</v>
      </c>
      <c r="R122" s="8" t="s">
        <v>2577</v>
      </c>
      <c r="S122" s="14" t="s">
        <v>2622</v>
      </c>
    </row>
    <row r="123">
      <c r="A123" s="8" t="s">
        <v>212</v>
      </c>
      <c r="B123" s="8" t="s">
        <v>314</v>
      </c>
      <c r="C123" s="8" t="s">
        <v>261</v>
      </c>
      <c r="D123" s="18" t="s">
        <v>2183</v>
      </c>
      <c r="E123" s="16">
        <v>81.0</v>
      </c>
      <c r="F123" s="8" t="s">
        <v>212</v>
      </c>
      <c r="G123" s="8" t="s">
        <v>844</v>
      </c>
      <c r="H123" s="8" t="s">
        <v>53</v>
      </c>
      <c r="I123" s="18" t="s">
        <v>2552</v>
      </c>
      <c r="J123" s="16">
        <v>79.0</v>
      </c>
      <c r="K123" s="8" t="s">
        <v>245</v>
      </c>
      <c r="L123" s="8" t="s">
        <v>2114</v>
      </c>
      <c r="M123" s="18" t="s">
        <v>2645</v>
      </c>
      <c r="N123" s="16">
        <v>60.0</v>
      </c>
      <c r="O123" s="8" t="s">
        <v>4034</v>
      </c>
      <c r="P123" s="8" t="s">
        <v>141</v>
      </c>
      <c r="Q123" s="14" t="s">
        <v>1070</v>
      </c>
      <c r="R123" s="8" t="s">
        <v>2564</v>
      </c>
      <c r="S123" s="14" t="s">
        <v>2618</v>
      </c>
    </row>
    <row r="124">
      <c r="A124" s="8" t="s">
        <v>212</v>
      </c>
      <c r="B124" s="8" t="s">
        <v>3448</v>
      </c>
      <c r="C124" s="8" t="s">
        <v>132</v>
      </c>
      <c r="D124" s="18" t="s">
        <v>2581</v>
      </c>
      <c r="E124" s="16">
        <v>62.0</v>
      </c>
      <c r="F124" s="8" t="s">
        <v>212</v>
      </c>
      <c r="G124" s="8" t="s">
        <v>3448</v>
      </c>
      <c r="H124" s="8" t="s">
        <v>75</v>
      </c>
      <c r="I124" s="18" t="s">
        <v>2581</v>
      </c>
      <c r="J124" s="16">
        <v>67.0</v>
      </c>
      <c r="K124" s="8" t="s">
        <v>245</v>
      </c>
      <c r="L124" s="8" t="s">
        <v>2953</v>
      </c>
      <c r="M124" s="18" t="s">
        <v>2567</v>
      </c>
      <c r="N124" s="16">
        <v>68.0</v>
      </c>
      <c r="O124" s="8" t="s">
        <v>4035</v>
      </c>
      <c r="P124" s="8" t="s">
        <v>24</v>
      </c>
      <c r="Q124" s="14" t="s">
        <v>1679</v>
      </c>
      <c r="R124" s="8" t="s">
        <v>2621</v>
      </c>
      <c r="S124" s="14" t="s">
        <v>2622</v>
      </c>
    </row>
    <row r="125">
      <c r="A125" s="8" t="s">
        <v>212</v>
      </c>
      <c r="B125" s="8" t="s">
        <v>1067</v>
      </c>
      <c r="C125" s="8" t="s">
        <v>215</v>
      </c>
      <c r="D125" s="18" t="s">
        <v>2554</v>
      </c>
      <c r="E125" s="16">
        <v>66.0</v>
      </c>
      <c r="F125" s="8" t="s">
        <v>212</v>
      </c>
      <c r="G125" s="8" t="s">
        <v>89</v>
      </c>
      <c r="H125" s="8" t="s">
        <v>80</v>
      </c>
      <c r="I125" s="18" t="s">
        <v>2552</v>
      </c>
      <c r="J125" s="16">
        <v>67.0</v>
      </c>
      <c r="K125" s="8" t="s">
        <v>245</v>
      </c>
      <c r="L125" s="8" t="s">
        <v>2318</v>
      </c>
      <c r="M125" s="18" t="s">
        <v>2615</v>
      </c>
      <c r="N125" s="16">
        <v>72.0</v>
      </c>
      <c r="O125" s="8" t="s">
        <v>4036</v>
      </c>
      <c r="P125" s="8" t="s">
        <v>80</v>
      </c>
      <c r="Q125" s="14" t="s">
        <v>837</v>
      </c>
      <c r="R125" s="8" t="s">
        <v>2552</v>
      </c>
      <c r="S125" s="14" t="s">
        <v>2602</v>
      </c>
    </row>
    <row r="126">
      <c r="A126" s="8" t="s">
        <v>82</v>
      </c>
      <c r="B126" s="8" t="s">
        <v>81</v>
      </c>
      <c r="C126" s="8" t="s">
        <v>192</v>
      </c>
      <c r="D126" s="18" t="s">
        <v>2585</v>
      </c>
      <c r="E126" s="16">
        <v>77.0</v>
      </c>
      <c r="F126" s="8" t="s">
        <v>212</v>
      </c>
      <c r="G126" s="8" t="s">
        <v>250</v>
      </c>
      <c r="H126" s="8" t="s">
        <v>46</v>
      </c>
      <c r="I126" s="18" t="s">
        <v>2567</v>
      </c>
      <c r="J126" s="16">
        <v>83.0</v>
      </c>
      <c r="K126" s="8" t="s">
        <v>245</v>
      </c>
      <c r="L126" s="8" t="s">
        <v>106</v>
      </c>
      <c r="M126" s="18" t="s">
        <v>2577</v>
      </c>
      <c r="N126" s="16">
        <v>89.0</v>
      </c>
      <c r="O126" s="8" t="s">
        <v>4037</v>
      </c>
      <c r="P126" s="8" t="s">
        <v>59</v>
      </c>
      <c r="Q126" s="14" t="s">
        <v>837</v>
      </c>
      <c r="R126" s="8" t="s">
        <v>2183</v>
      </c>
      <c r="S126" s="14" t="s">
        <v>2590</v>
      </c>
    </row>
    <row r="127">
      <c r="A127" s="8" t="s">
        <v>82</v>
      </c>
      <c r="B127" s="8" t="s">
        <v>293</v>
      </c>
      <c r="C127" s="8" t="s">
        <v>132</v>
      </c>
      <c r="D127" s="18" t="s">
        <v>2589</v>
      </c>
      <c r="E127" s="16">
        <v>64.0</v>
      </c>
      <c r="F127" s="8" t="s">
        <v>212</v>
      </c>
      <c r="G127" s="8" t="s">
        <v>3249</v>
      </c>
      <c r="H127" s="8" t="s">
        <v>24</v>
      </c>
      <c r="I127" s="18" t="s">
        <v>2581</v>
      </c>
      <c r="J127" s="16">
        <v>83.0</v>
      </c>
      <c r="K127" s="8" t="s">
        <v>1078</v>
      </c>
      <c r="L127" s="8" t="s">
        <v>1077</v>
      </c>
      <c r="M127" s="18" t="s">
        <v>2592</v>
      </c>
      <c r="N127" s="16">
        <v>63.0</v>
      </c>
      <c r="O127" s="8" t="s">
        <v>4038</v>
      </c>
      <c r="P127" s="8" t="s">
        <v>65</v>
      </c>
      <c r="Q127" s="14" t="s">
        <v>2033</v>
      </c>
      <c r="R127" s="8" t="s">
        <v>2592</v>
      </c>
      <c r="S127" s="14" t="s">
        <v>2579</v>
      </c>
    </row>
    <row r="128">
      <c r="A128" s="8" t="s">
        <v>680</v>
      </c>
      <c r="B128" s="8" t="s">
        <v>3628</v>
      </c>
      <c r="C128" s="8" t="s">
        <v>80</v>
      </c>
      <c r="D128" s="18" t="s">
        <v>2552</v>
      </c>
      <c r="E128" s="16">
        <v>72.0</v>
      </c>
      <c r="F128" s="8" t="s">
        <v>212</v>
      </c>
      <c r="G128" s="8" t="s">
        <v>2900</v>
      </c>
      <c r="H128" s="8" t="s">
        <v>192</v>
      </c>
      <c r="I128" s="18" t="s">
        <v>2575</v>
      </c>
      <c r="J128" s="16">
        <v>70.0</v>
      </c>
      <c r="K128" s="8" t="s">
        <v>1342</v>
      </c>
      <c r="L128" s="8" t="s">
        <v>233</v>
      </c>
      <c r="M128" s="18" t="s">
        <v>2614</v>
      </c>
      <c r="N128" s="16">
        <v>64.0</v>
      </c>
      <c r="O128" s="8" t="s">
        <v>4039</v>
      </c>
      <c r="P128" s="8" t="s">
        <v>215</v>
      </c>
      <c r="Q128" s="14" t="s">
        <v>1070</v>
      </c>
      <c r="R128" s="8" t="s">
        <v>2572</v>
      </c>
      <c r="S128" s="14" t="s">
        <v>2579</v>
      </c>
    </row>
    <row r="129">
      <c r="A129" s="8" t="s">
        <v>245</v>
      </c>
      <c r="B129" s="8" t="s">
        <v>460</v>
      </c>
      <c r="C129" s="8" t="s">
        <v>80</v>
      </c>
      <c r="D129" s="18" t="s">
        <v>2562</v>
      </c>
      <c r="E129" s="16">
        <v>79.0</v>
      </c>
      <c r="F129" s="8" t="s">
        <v>212</v>
      </c>
      <c r="G129" s="8" t="s">
        <v>2893</v>
      </c>
      <c r="H129" s="8" t="s">
        <v>138</v>
      </c>
      <c r="I129" s="18" t="s">
        <v>2582</v>
      </c>
      <c r="J129" s="16">
        <v>61.0</v>
      </c>
      <c r="K129" s="8" t="s">
        <v>3137</v>
      </c>
      <c r="L129" s="8" t="s">
        <v>78</v>
      </c>
      <c r="M129" s="18" t="s">
        <v>2552</v>
      </c>
      <c r="N129" s="16">
        <v>68.0</v>
      </c>
      <c r="O129" s="8" t="s">
        <v>4040</v>
      </c>
      <c r="P129" s="8" t="s">
        <v>192</v>
      </c>
      <c r="Q129" s="14" t="s">
        <v>189</v>
      </c>
      <c r="R129" s="8" t="s">
        <v>2575</v>
      </c>
      <c r="S129" s="14" t="s">
        <v>2571</v>
      </c>
    </row>
    <row r="130">
      <c r="A130" s="8" t="s">
        <v>245</v>
      </c>
      <c r="B130" s="8" t="s">
        <v>638</v>
      </c>
      <c r="C130" s="8" t="s">
        <v>70</v>
      </c>
      <c r="D130" s="18" t="s">
        <v>2621</v>
      </c>
      <c r="E130" s="16">
        <v>76.0</v>
      </c>
      <c r="F130" s="8" t="s">
        <v>212</v>
      </c>
      <c r="G130" s="8" t="s">
        <v>106</v>
      </c>
      <c r="H130" s="8" t="s">
        <v>93</v>
      </c>
      <c r="I130" s="18" t="s">
        <v>2614</v>
      </c>
      <c r="J130" s="16">
        <v>79.0</v>
      </c>
      <c r="K130" s="8" t="s">
        <v>179</v>
      </c>
      <c r="L130" s="8" t="s">
        <v>178</v>
      </c>
      <c r="M130" s="18" t="s">
        <v>2593</v>
      </c>
      <c r="N130" s="16">
        <v>86.0</v>
      </c>
      <c r="O130" s="8" t="s">
        <v>4041</v>
      </c>
      <c r="P130" s="8" t="s">
        <v>65</v>
      </c>
      <c r="Q130" s="14" t="s">
        <v>1679</v>
      </c>
      <c r="R130" s="8" t="s">
        <v>2605</v>
      </c>
      <c r="S130" s="14" t="s">
        <v>2601</v>
      </c>
    </row>
    <row r="131">
      <c r="A131" s="8" t="s">
        <v>245</v>
      </c>
      <c r="B131" s="8" t="s">
        <v>106</v>
      </c>
      <c r="C131" s="8" t="s">
        <v>65</v>
      </c>
      <c r="D131" s="18" t="s">
        <v>2577</v>
      </c>
      <c r="E131" s="16">
        <v>97.0</v>
      </c>
      <c r="F131" s="8" t="s">
        <v>212</v>
      </c>
      <c r="G131" s="8" t="s">
        <v>314</v>
      </c>
      <c r="H131" s="8" t="s">
        <v>261</v>
      </c>
      <c r="I131" s="18" t="s">
        <v>2183</v>
      </c>
      <c r="J131" s="16">
        <v>70.0</v>
      </c>
      <c r="K131" s="8" t="s">
        <v>3075</v>
      </c>
      <c r="L131" s="8" t="s">
        <v>1625</v>
      </c>
      <c r="M131" s="18" t="s">
        <v>2560</v>
      </c>
      <c r="N131" s="16">
        <v>73.0</v>
      </c>
      <c r="O131" s="8" t="s">
        <v>4042</v>
      </c>
      <c r="P131" s="8" t="s">
        <v>53</v>
      </c>
      <c r="Q131" s="14" t="s">
        <v>2296</v>
      </c>
      <c r="R131" s="8" t="s">
        <v>2592</v>
      </c>
      <c r="S131" s="14" t="s">
        <v>2563</v>
      </c>
    </row>
    <row r="132">
      <c r="A132" s="8" t="s">
        <v>245</v>
      </c>
      <c r="B132" s="8" t="s">
        <v>2114</v>
      </c>
      <c r="C132" s="8" t="s">
        <v>24</v>
      </c>
      <c r="D132" s="18" t="s">
        <v>2572</v>
      </c>
      <c r="E132" s="16">
        <v>85.0</v>
      </c>
      <c r="F132" s="8" t="s">
        <v>212</v>
      </c>
      <c r="G132" s="8" t="s">
        <v>1067</v>
      </c>
      <c r="H132" s="8" t="s">
        <v>215</v>
      </c>
      <c r="I132" s="18" t="s">
        <v>2554</v>
      </c>
      <c r="J132" s="16">
        <v>69.0</v>
      </c>
      <c r="K132" s="8" t="s">
        <v>2165</v>
      </c>
      <c r="L132" s="8" t="s">
        <v>2164</v>
      </c>
      <c r="M132" s="18" t="s">
        <v>2556</v>
      </c>
      <c r="N132" s="16">
        <v>70.0</v>
      </c>
      <c r="O132" s="8" t="s">
        <v>4043</v>
      </c>
      <c r="P132" s="8" t="s">
        <v>65</v>
      </c>
      <c r="Q132" s="14" t="s">
        <v>2296</v>
      </c>
      <c r="R132" s="8" t="s">
        <v>2621</v>
      </c>
      <c r="S132" s="14" t="s">
        <v>2594</v>
      </c>
    </row>
    <row r="133">
      <c r="A133" s="8" t="s">
        <v>245</v>
      </c>
      <c r="B133" s="8" t="s">
        <v>3009</v>
      </c>
      <c r="C133" s="8" t="s">
        <v>192</v>
      </c>
      <c r="D133" s="18" t="s">
        <v>2620</v>
      </c>
      <c r="E133" s="16">
        <v>63.0</v>
      </c>
      <c r="F133" s="8" t="s">
        <v>212</v>
      </c>
      <c r="G133" s="8" t="s">
        <v>1121</v>
      </c>
      <c r="H133" s="8" t="s">
        <v>53</v>
      </c>
      <c r="I133" s="18" t="s">
        <v>2577</v>
      </c>
      <c r="J133" s="16">
        <v>66.0</v>
      </c>
      <c r="K133" s="8" t="s">
        <v>2884</v>
      </c>
      <c r="L133" s="8" t="s">
        <v>2883</v>
      </c>
      <c r="M133" s="18" t="s">
        <v>2582</v>
      </c>
      <c r="N133" s="16">
        <v>68.0</v>
      </c>
      <c r="O133" s="8" t="s">
        <v>4044</v>
      </c>
      <c r="P133" s="8" t="s">
        <v>261</v>
      </c>
      <c r="Q133" s="14" t="s">
        <v>338</v>
      </c>
      <c r="R133" s="8" t="s">
        <v>2183</v>
      </c>
      <c r="S133" s="14" t="s">
        <v>2590</v>
      </c>
    </row>
    <row r="134">
      <c r="A134" s="8" t="s">
        <v>245</v>
      </c>
      <c r="B134" s="8" t="s">
        <v>2953</v>
      </c>
      <c r="C134" s="8" t="s">
        <v>186</v>
      </c>
      <c r="D134" s="18" t="s">
        <v>2567</v>
      </c>
      <c r="E134" s="16">
        <v>65.0</v>
      </c>
      <c r="F134" s="8" t="s">
        <v>212</v>
      </c>
      <c r="G134" s="8" t="s">
        <v>389</v>
      </c>
      <c r="H134" s="8" t="s">
        <v>138</v>
      </c>
      <c r="I134" s="18" t="s">
        <v>2560</v>
      </c>
      <c r="J134" s="16">
        <v>62.0</v>
      </c>
      <c r="K134" s="8" t="s">
        <v>1363</v>
      </c>
      <c r="L134" s="8" t="s">
        <v>639</v>
      </c>
      <c r="M134" s="18" t="s">
        <v>2585</v>
      </c>
      <c r="N134" s="16">
        <v>77.0</v>
      </c>
      <c r="O134" s="8" t="s">
        <v>4045</v>
      </c>
      <c r="P134" s="8" t="s">
        <v>59</v>
      </c>
      <c r="Q134" s="14" t="s">
        <v>1679</v>
      </c>
      <c r="R134" s="8" t="s">
        <v>2567</v>
      </c>
      <c r="S134" s="14" t="s">
        <v>2557</v>
      </c>
    </row>
    <row r="135">
      <c r="A135" s="8" t="s">
        <v>3657</v>
      </c>
      <c r="B135" s="8" t="s">
        <v>3656</v>
      </c>
      <c r="C135" s="8" t="s">
        <v>65</v>
      </c>
      <c r="D135" s="18" t="s">
        <v>2603</v>
      </c>
      <c r="E135" s="16">
        <v>65.0</v>
      </c>
      <c r="F135" s="8" t="s">
        <v>212</v>
      </c>
      <c r="G135" s="8" t="s">
        <v>3117</v>
      </c>
      <c r="H135" s="8" t="s">
        <v>186</v>
      </c>
      <c r="I135" s="18" t="s">
        <v>2567</v>
      </c>
      <c r="J135" s="16">
        <v>66.0</v>
      </c>
      <c r="K135" s="8" t="s">
        <v>2278</v>
      </c>
      <c r="L135" s="8" t="s">
        <v>2277</v>
      </c>
      <c r="M135" s="18" t="s">
        <v>2183</v>
      </c>
      <c r="N135" s="16">
        <v>68.0</v>
      </c>
      <c r="O135" s="8" t="s">
        <v>4046</v>
      </c>
      <c r="P135" s="8" t="s">
        <v>186</v>
      </c>
      <c r="Q135" s="14" t="s">
        <v>2033</v>
      </c>
      <c r="R135" s="8" t="s">
        <v>2560</v>
      </c>
      <c r="S135" s="14" t="s">
        <v>2609</v>
      </c>
    </row>
    <row r="136">
      <c r="A136" s="8" t="s">
        <v>3659</v>
      </c>
      <c r="B136" s="8" t="s">
        <v>700</v>
      </c>
      <c r="C136" s="8" t="s">
        <v>65</v>
      </c>
      <c r="D136" s="18" t="s">
        <v>2610</v>
      </c>
      <c r="E136" s="16">
        <v>59.0</v>
      </c>
      <c r="F136" s="8" t="s">
        <v>212</v>
      </c>
      <c r="G136" s="8" t="s">
        <v>940</v>
      </c>
      <c r="H136" s="8" t="s">
        <v>186</v>
      </c>
      <c r="I136" s="18" t="s">
        <v>2614</v>
      </c>
      <c r="J136" s="16">
        <v>74.0</v>
      </c>
      <c r="K136" s="8" t="s">
        <v>1964</v>
      </c>
      <c r="L136" s="8" t="s">
        <v>1031</v>
      </c>
      <c r="M136" s="18" t="s">
        <v>2572</v>
      </c>
      <c r="N136" s="16">
        <v>66.0</v>
      </c>
      <c r="O136" s="8" t="s">
        <v>4047</v>
      </c>
      <c r="P136" s="8" t="s">
        <v>215</v>
      </c>
      <c r="Q136" s="14" t="s">
        <v>837</v>
      </c>
      <c r="R136" s="8" t="s">
        <v>2615</v>
      </c>
      <c r="S136" s="14" t="s">
        <v>2602</v>
      </c>
    </row>
    <row r="137">
      <c r="A137" s="8" t="s">
        <v>3137</v>
      </c>
      <c r="B137" s="8" t="s">
        <v>78</v>
      </c>
      <c r="C137" s="8" t="s">
        <v>186</v>
      </c>
      <c r="D137" s="18" t="s">
        <v>2554</v>
      </c>
      <c r="E137" s="16">
        <v>65.0</v>
      </c>
      <c r="F137" s="8" t="s">
        <v>212</v>
      </c>
      <c r="G137" s="8" t="s">
        <v>3202</v>
      </c>
      <c r="H137" s="8" t="s">
        <v>93</v>
      </c>
      <c r="I137" s="18" t="s">
        <v>2556</v>
      </c>
      <c r="J137" s="16">
        <v>60.0</v>
      </c>
      <c r="K137" s="8" t="s">
        <v>1245</v>
      </c>
      <c r="L137" s="8" t="s">
        <v>1244</v>
      </c>
      <c r="M137" s="18" t="s">
        <v>2595</v>
      </c>
      <c r="N137" s="16">
        <v>64.0</v>
      </c>
      <c r="O137" s="8" t="s">
        <v>4048</v>
      </c>
      <c r="P137" s="8" t="s">
        <v>80</v>
      </c>
      <c r="Q137" s="14" t="s">
        <v>83</v>
      </c>
      <c r="R137" s="8" t="s">
        <v>2566</v>
      </c>
      <c r="S137" s="14" t="s">
        <v>2590</v>
      </c>
    </row>
    <row r="138">
      <c r="A138" s="8" t="s">
        <v>3555</v>
      </c>
      <c r="B138" s="8" t="s">
        <v>647</v>
      </c>
      <c r="C138" s="8" t="s">
        <v>80</v>
      </c>
      <c r="D138" s="18" t="s">
        <v>2621</v>
      </c>
      <c r="E138" s="16">
        <v>75.0</v>
      </c>
      <c r="F138" s="8" t="s">
        <v>82</v>
      </c>
      <c r="G138" s="8" t="s">
        <v>81</v>
      </c>
      <c r="H138" s="8" t="s">
        <v>192</v>
      </c>
      <c r="I138" s="18" t="s">
        <v>2589</v>
      </c>
      <c r="J138" s="16">
        <v>75.0</v>
      </c>
      <c r="K138" s="8" t="s">
        <v>1726</v>
      </c>
      <c r="L138" s="8" t="s">
        <v>1725</v>
      </c>
      <c r="M138" s="18" t="s">
        <v>2577</v>
      </c>
      <c r="N138" s="16">
        <v>80.0</v>
      </c>
      <c r="O138" s="8" t="s">
        <v>4049</v>
      </c>
      <c r="P138" s="8" t="s">
        <v>80</v>
      </c>
      <c r="Q138" s="14" t="s">
        <v>631</v>
      </c>
      <c r="R138" s="8" t="s">
        <v>2585</v>
      </c>
      <c r="S138" s="14" t="s">
        <v>2622</v>
      </c>
    </row>
    <row r="139">
      <c r="A139" s="8" t="s">
        <v>179</v>
      </c>
      <c r="B139" s="8" t="s">
        <v>178</v>
      </c>
      <c r="C139" s="8" t="s">
        <v>93</v>
      </c>
      <c r="D139" s="18" t="s">
        <v>2620</v>
      </c>
      <c r="E139" s="16">
        <v>90.0</v>
      </c>
      <c r="F139" s="8" t="s">
        <v>680</v>
      </c>
      <c r="G139" s="8" t="s">
        <v>3246</v>
      </c>
      <c r="H139" s="8" t="s">
        <v>80</v>
      </c>
      <c r="I139" s="18" t="s">
        <v>2552</v>
      </c>
      <c r="J139" s="16">
        <v>71.0</v>
      </c>
      <c r="K139" s="8" t="s">
        <v>2431</v>
      </c>
      <c r="L139" s="8" t="s">
        <v>324</v>
      </c>
      <c r="M139" s="18" t="s">
        <v>2610</v>
      </c>
      <c r="N139" s="16">
        <v>69.0</v>
      </c>
      <c r="O139" s="8" t="s">
        <v>4050</v>
      </c>
      <c r="P139" s="8" t="s">
        <v>65</v>
      </c>
      <c r="Q139" s="14" t="s">
        <v>237</v>
      </c>
      <c r="R139" s="18" t="s">
        <v>2556</v>
      </c>
      <c r="S139" s="14" t="s">
        <v>2632</v>
      </c>
    </row>
    <row r="140">
      <c r="A140" s="8" t="s">
        <v>3639</v>
      </c>
      <c r="B140" s="8" t="s">
        <v>154</v>
      </c>
      <c r="C140" s="8" t="s">
        <v>70</v>
      </c>
      <c r="D140" s="18" t="s">
        <v>2581</v>
      </c>
      <c r="E140" s="16">
        <v>81.0</v>
      </c>
      <c r="F140" s="8" t="s">
        <v>245</v>
      </c>
      <c r="G140" s="8" t="s">
        <v>2114</v>
      </c>
      <c r="H140" s="8" t="s">
        <v>24</v>
      </c>
      <c r="I140" s="18" t="s">
        <v>2572</v>
      </c>
      <c r="J140" s="16">
        <v>87.0</v>
      </c>
      <c r="K140" s="8" t="s">
        <v>464</v>
      </c>
      <c r="L140" s="8" t="s">
        <v>851</v>
      </c>
      <c r="M140" s="18" t="s">
        <v>2593</v>
      </c>
      <c r="N140" s="16">
        <v>65.0</v>
      </c>
      <c r="O140" s="8" t="s">
        <v>4051</v>
      </c>
      <c r="P140" s="8" t="s">
        <v>65</v>
      </c>
      <c r="Q140" s="14" t="s">
        <v>2296</v>
      </c>
      <c r="R140" s="8" t="s">
        <v>2615</v>
      </c>
      <c r="S140" s="14" t="s">
        <v>2601</v>
      </c>
    </row>
    <row r="141">
      <c r="A141" s="8" t="s">
        <v>2884</v>
      </c>
      <c r="B141" s="8" t="s">
        <v>2883</v>
      </c>
      <c r="C141" s="8" t="s">
        <v>75</v>
      </c>
      <c r="D141" s="18" t="s">
        <v>2582</v>
      </c>
      <c r="E141" s="16">
        <v>62.0</v>
      </c>
      <c r="F141" s="8" t="s">
        <v>245</v>
      </c>
      <c r="G141" s="8" t="s">
        <v>2953</v>
      </c>
      <c r="H141" s="8" t="s">
        <v>186</v>
      </c>
      <c r="I141" s="18" t="s">
        <v>2567</v>
      </c>
      <c r="J141" s="16">
        <v>68.0</v>
      </c>
      <c r="K141" s="8" t="s">
        <v>464</v>
      </c>
      <c r="L141" s="8" t="s">
        <v>389</v>
      </c>
      <c r="M141" s="18" t="s">
        <v>2592</v>
      </c>
      <c r="N141" s="16">
        <v>68.0</v>
      </c>
      <c r="O141" s="8" t="s">
        <v>4052</v>
      </c>
      <c r="P141" s="8" t="s">
        <v>149</v>
      </c>
      <c r="Q141" s="14" t="s">
        <v>1352</v>
      </c>
      <c r="R141" s="8" t="s">
        <v>2567</v>
      </c>
      <c r="S141" s="14" t="s">
        <v>2570</v>
      </c>
    </row>
    <row r="142">
      <c r="A142" s="8" t="s">
        <v>1363</v>
      </c>
      <c r="B142" s="8" t="s">
        <v>639</v>
      </c>
      <c r="C142" s="8" t="s">
        <v>138</v>
      </c>
      <c r="D142" s="18" t="s">
        <v>2585</v>
      </c>
      <c r="E142" s="16">
        <v>77.0</v>
      </c>
      <c r="F142" s="8" t="s">
        <v>245</v>
      </c>
      <c r="G142" s="8" t="s">
        <v>921</v>
      </c>
      <c r="H142" s="8" t="s">
        <v>46</v>
      </c>
      <c r="I142" s="18" t="s">
        <v>2600</v>
      </c>
      <c r="J142" s="16">
        <v>71.0</v>
      </c>
      <c r="K142" s="8" t="s">
        <v>464</v>
      </c>
      <c r="L142" s="8" t="s">
        <v>3099</v>
      </c>
      <c r="M142" s="18" t="s">
        <v>2620</v>
      </c>
      <c r="N142" s="16">
        <v>69.0</v>
      </c>
      <c r="O142" s="8" t="s">
        <v>4053</v>
      </c>
      <c r="P142" s="8" t="s">
        <v>93</v>
      </c>
      <c r="Q142" s="14" t="s">
        <v>1070</v>
      </c>
      <c r="R142" s="8" t="s">
        <v>2566</v>
      </c>
      <c r="S142" s="14" t="s">
        <v>2580</v>
      </c>
    </row>
    <row r="143">
      <c r="A143" s="8" t="s">
        <v>3187</v>
      </c>
      <c r="B143" s="8" t="s">
        <v>2064</v>
      </c>
      <c r="C143" s="8" t="s">
        <v>138</v>
      </c>
      <c r="D143" s="18" t="s">
        <v>2615</v>
      </c>
      <c r="E143" s="16">
        <v>70.0</v>
      </c>
      <c r="F143" s="8" t="s">
        <v>245</v>
      </c>
      <c r="G143" s="8" t="s">
        <v>1181</v>
      </c>
      <c r="H143" s="8" t="s">
        <v>93</v>
      </c>
      <c r="I143" s="18" t="s">
        <v>2556</v>
      </c>
      <c r="J143" s="16">
        <v>61.0</v>
      </c>
      <c r="K143" s="8" t="s">
        <v>464</v>
      </c>
      <c r="L143" s="8" t="s">
        <v>1486</v>
      </c>
      <c r="M143" s="18" t="s">
        <v>2574</v>
      </c>
      <c r="N143" s="16">
        <v>63.0</v>
      </c>
      <c r="O143" s="8" t="s">
        <v>4054</v>
      </c>
      <c r="P143" s="8" t="s">
        <v>24</v>
      </c>
      <c r="Q143" s="14" t="s">
        <v>1070</v>
      </c>
      <c r="R143" s="8" t="s">
        <v>2592</v>
      </c>
      <c r="S143" s="14" t="s">
        <v>2579</v>
      </c>
    </row>
    <row r="144">
      <c r="A144" s="8" t="s">
        <v>1245</v>
      </c>
      <c r="B144" s="8" t="s">
        <v>106</v>
      </c>
      <c r="C144" s="8" t="s">
        <v>186</v>
      </c>
      <c r="D144" s="18" t="s">
        <v>2575</v>
      </c>
      <c r="E144" s="16">
        <v>72.0</v>
      </c>
      <c r="F144" s="8" t="s">
        <v>245</v>
      </c>
      <c r="G144" s="8" t="s">
        <v>106</v>
      </c>
      <c r="H144" s="8" t="s">
        <v>65</v>
      </c>
      <c r="I144" s="18" t="s">
        <v>2577</v>
      </c>
      <c r="J144" s="16">
        <v>97.0</v>
      </c>
      <c r="K144" s="8" t="s">
        <v>464</v>
      </c>
      <c r="L144" s="8" t="s">
        <v>389</v>
      </c>
      <c r="M144" s="18" t="s">
        <v>2621</v>
      </c>
      <c r="N144" s="16">
        <v>72.0</v>
      </c>
      <c r="O144" s="8" t="s">
        <v>4055</v>
      </c>
      <c r="P144" s="8" t="s">
        <v>122</v>
      </c>
      <c r="Q144" s="14" t="s">
        <v>1070</v>
      </c>
      <c r="R144" s="8" t="s">
        <v>2614</v>
      </c>
      <c r="S144" s="14" t="s">
        <v>2602</v>
      </c>
    </row>
    <row r="145">
      <c r="A145" s="8" t="s">
        <v>1245</v>
      </c>
      <c r="B145" s="8" t="s">
        <v>284</v>
      </c>
      <c r="C145" s="8" t="s">
        <v>215</v>
      </c>
      <c r="D145" s="18" t="s">
        <v>2567</v>
      </c>
      <c r="E145" s="16">
        <v>71.0</v>
      </c>
      <c r="F145" s="8" t="s">
        <v>3137</v>
      </c>
      <c r="G145" s="8" t="s">
        <v>78</v>
      </c>
      <c r="H145" s="8" t="s">
        <v>53</v>
      </c>
      <c r="I145" s="18" t="s">
        <v>2554</v>
      </c>
      <c r="J145" s="16">
        <v>65.0</v>
      </c>
      <c r="K145" s="8" t="s">
        <v>464</v>
      </c>
      <c r="L145" s="8" t="s">
        <v>1013</v>
      </c>
      <c r="M145" s="18" t="s">
        <v>2615</v>
      </c>
      <c r="N145" s="16">
        <v>66.0</v>
      </c>
      <c r="O145" s="8" t="s">
        <v>4056</v>
      </c>
      <c r="P145" s="8" t="s">
        <v>93</v>
      </c>
      <c r="Q145" s="14" t="s">
        <v>135</v>
      </c>
      <c r="R145" s="8" t="s">
        <v>2593</v>
      </c>
      <c r="S145" s="14" t="s">
        <v>2604</v>
      </c>
    </row>
    <row r="146">
      <c r="A146" s="8" t="s">
        <v>1245</v>
      </c>
      <c r="B146" s="8" t="s">
        <v>1237</v>
      </c>
      <c r="C146" s="8" t="s">
        <v>24</v>
      </c>
      <c r="D146" s="18" t="s">
        <v>2598</v>
      </c>
      <c r="E146" s="16">
        <v>67.0</v>
      </c>
      <c r="F146" s="8" t="s">
        <v>179</v>
      </c>
      <c r="G146" s="8" t="s">
        <v>178</v>
      </c>
      <c r="H146" s="8" t="s">
        <v>93</v>
      </c>
      <c r="I146" s="18" t="s">
        <v>2620</v>
      </c>
      <c r="J146" s="16">
        <v>94.0</v>
      </c>
      <c r="K146" s="8" t="s">
        <v>464</v>
      </c>
      <c r="L146" s="8" t="s">
        <v>3040</v>
      </c>
      <c r="M146" s="18" t="s">
        <v>2584</v>
      </c>
      <c r="N146" s="16">
        <v>78.0</v>
      </c>
      <c r="O146" s="8" t="s">
        <v>4057</v>
      </c>
      <c r="P146" s="8" t="s">
        <v>215</v>
      </c>
      <c r="Q146" s="14" t="s">
        <v>2033</v>
      </c>
      <c r="R146" s="18" t="s">
        <v>2556</v>
      </c>
      <c r="S146" s="14" t="s">
        <v>2591</v>
      </c>
    </row>
    <row r="147">
      <c r="A147" s="8" t="s">
        <v>1245</v>
      </c>
      <c r="B147" s="8" t="s">
        <v>3368</v>
      </c>
      <c r="C147" s="8" t="s">
        <v>53</v>
      </c>
      <c r="D147" s="18" t="s">
        <v>2577</v>
      </c>
      <c r="E147" s="16">
        <v>78.0</v>
      </c>
      <c r="F147" s="8" t="s">
        <v>3075</v>
      </c>
      <c r="G147" s="8" t="s">
        <v>1625</v>
      </c>
      <c r="H147" s="8" t="s">
        <v>65</v>
      </c>
      <c r="I147" s="18" t="s">
        <v>2560</v>
      </c>
      <c r="J147" s="16">
        <v>74.0</v>
      </c>
      <c r="K147" s="8" t="s">
        <v>464</v>
      </c>
      <c r="L147" s="8" t="s">
        <v>1843</v>
      </c>
      <c r="M147" s="18" t="s">
        <v>2598</v>
      </c>
      <c r="N147" s="16">
        <v>79.0</v>
      </c>
      <c r="O147" s="8" t="s">
        <v>4058</v>
      </c>
      <c r="P147" s="8" t="s">
        <v>122</v>
      </c>
      <c r="Q147" s="14" t="s">
        <v>1352</v>
      </c>
      <c r="R147" s="8" t="s">
        <v>2585</v>
      </c>
      <c r="S147" s="14" t="s">
        <v>2586</v>
      </c>
    </row>
    <row r="148">
      <c r="A148" s="8" t="s">
        <v>1726</v>
      </c>
      <c r="B148" s="8" t="s">
        <v>1725</v>
      </c>
      <c r="C148" s="8" t="s">
        <v>93</v>
      </c>
      <c r="D148" s="18" t="s">
        <v>2577</v>
      </c>
      <c r="E148" s="16">
        <v>72.0</v>
      </c>
      <c r="F148" s="8" t="s">
        <v>2884</v>
      </c>
      <c r="G148" s="8" t="s">
        <v>2883</v>
      </c>
      <c r="H148" s="8" t="s">
        <v>132</v>
      </c>
      <c r="I148" s="18" t="s">
        <v>2582</v>
      </c>
      <c r="J148" s="16">
        <v>63.0</v>
      </c>
      <c r="K148" s="8" t="s">
        <v>464</v>
      </c>
      <c r="L148" s="8" t="s">
        <v>1200</v>
      </c>
      <c r="M148" s="18" t="s">
        <v>2567</v>
      </c>
      <c r="N148" s="16">
        <v>77.0</v>
      </c>
      <c r="O148" s="8" t="s">
        <v>4059</v>
      </c>
      <c r="P148" s="8" t="s">
        <v>192</v>
      </c>
      <c r="Q148" s="14" t="s">
        <v>2033</v>
      </c>
      <c r="R148" s="8" t="s">
        <v>2183</v>
      </c>
      <c r="S148" s="14" t="s">
        <v>2555</v>
      </c>
    </row>
    <row r="149">
      <c r="A149" s="8" t="s">
        <v>3691</v>
      </c>
      <c r="B149" s="8" t="s">
        <v>208</v>
      </c>
      <c r="C149" s="8" t="s">
        <v>93</v>
      </c>
      <c r="D149" s="18" t="s">
        <v>2589</v>
      </c>
      <c r="E149" s="16">
        <v>69.0</v>
      </c>
      <c r="F149" s="8" t="s">
        <v>1363</v>
      </c>
      <c r="G149" s="8" t="s">
        <v>639</v>
      </c>
      <c r="H149" s="8" t="s">
        <v>215</v>
      </c>
      <c r="I149" s="18" t="s">
        <v>2585</v>
      </c>
      <c r="J149" s="16">
        <v>75.0</v>
      </c>
      <c r="K149" s="8" t="s">
        <v>464</v>
      </c>
      <c r="L149" s="8" t="s">
        <v>1777</v>
      </c>
      <c r="M149" s="18" t="s">
        <v>2572</v>
      </c>
      <c r="N149" s="16">
        <v>74.0</v>
      </c>
      <c r="O149" s="8" t="s">
        <v>4060</v>
      </c>
      <c r="P149" s="8" t="s">
        <v>122</v>
      </c>
      <c r="Q149" s="14" t="s">
        <v>2033</v>
      </c>
      <c r="R149" s="8" t="s">
        <v>2552</v>
      </c>
      <c r="S149" s="14" t="s">
        <v>2563</v>
      </c>
    </row>
    <row r="150">
      <c r="A150" s="8" t="s">
        <v>3209</v>
      </c>
      <c r="B150" s="8" t="s">
        <v>3208</v>
      </c>
      <c r="C150" s="8" t="s">
        <v>24</v>
      </c>
      <c r="D150" s="18" t="s">
        <v>2572</v>
      </c>
      <c r="E150" s="16">
        <v>68.0</v>
      </c>
      <c r="F150" s="8" t="s">
        <v>3187</v>
      </c>
      <c r="G150" s="8" t="s">
        <v>2064</v>
      </c>
      <c r="H150" s="8" t="s">
        <v>138</v>
      </c>
      <c r="I150" s="18" t="s">
        <v>2554</v>
      </c>
      <c r="J150" s="16">
        <v>71.0</v>
      </c>
      <c r="K150" s="8" t="s">
        <v>464</v>
      </c>
      <c r="L150" s="8" t="s">
        <v>774</v>
      </c>
      <c r="M150" s="18" t="s">
        <v>2598</v>
      </c>
      <c r="N150" s="16">
        <v>72.0</v>
      </c>
      <c r="O150" s="8" t="s">
        <v>4061</v>
      </c>
      <c r="P150" s="8" t="s">
        <v>93</v>
      </c>
      <c r="Q150" s="14" t="s">
        <v>2459</v>
      </c>
      <c r="R150" s="8" t="s">
        <v>2572</v>
      </c>
      <c r="S150" s="14" t="s">
        <v>2609</v>
      </c>
    </row>
    <row r="151">
      <c r="A151" s="8" t="s">
        <v>3210</v>
      </c>
      <c r="B151" s="8" t="s">
        <v>349</v>
      </c>
      <c r="C151" s="8" t="s">
        <v>186</v>
      </c>
      <c r="D151" s="18" t="s">
        <v>2552</v>
      </c>
      <c r="E151" s="16">
        <v>67.0</v>
      </c>
      <c r="F151" s="8" t="s">
        <v>3169</v>
      </c>
      <c r="G151" s="8" t="s">
        <v>3168</v>
      </c>
      <c r="H151" s="8" t="s">
        <v>65</v>
      </c>
      <c r="I151" s="18" t="s">
        <v>2584</v>
      </c>
      <c r="J151" s="16">
        <v>70.0</v>
      </c>
      <c r="K151" s="8" t="s">
        <v>464</v>
      </c>
      <c r="L151" s="8" t="s">
        <v>144</v>
      </c>
      <c r="M151" s="18" t="s">
        <v>2595</v>
      </c>
      <c r="N151" s="16">
        <v>68.0</v>
      </c>
      <c r="O151" s="8" t="s">
        <v>4062</v>
      </c>
      <c r="P151" s="8" t="s">
        <v>65</v>
      </c>
      <c r="Q151" s="14" t="s">
        <v>1679</v>
      </c>
      <c r="R151" s="8" t="s">
        <v>2572</v>
      </c>
      <c r="S151" s="14" t="s">
        <v>2594</v>
      </c>
    </row>
    <row r="152">
      <c r="A152" s="8" t="s">
        <v>464</v>
      </c>
      <c r="B152" s="8" t="s">
        <v>851</v>
      </c>
      <c r="C152" s="8" t="s">
        <v>141</v>
      </c>
      <c r="D152" s="18" t="s">
        <v>2567</v>
      </c>
      <c r="E152" s="16">
        <v>63.0</v>
      </c>
      <c r="F152" s="8" t="s">
        <v>1964</v>
      </c>
      <c r="G152" s="8" t="s">
        <v>1031</v>
      </c>
      <c r="H152" s="8" t="s">
        <v>65</v>
      </c>
      <c r="I152" s="18" t="s">
        <v>2572</v>
      </c>
      <c r="J152" s="16">
        <v>64.0</v>
      </c>
      <c r="K152" s="8" t="s">
        <v>464</v>
      </c>
      <c r="L152" s="8" t="s">
        <v>61</v>
      </c>
      <c r="M152" s="18" t="s">
        <v>2603</v>
      </c>
      <c r="N152" s="16">
        <v>70.0</v>
      </c>
      <c r="O152" s="8" t="s">
        <v>4063</v>
      </c>
      <c r="P152" s="8" t="s">
        <v>93</v>
      </c>
      <c r="Q152" s="14" t="s">
        <v>1070</v>
      </c>
      <c r="R152" s="8" t="s">
        <v>2560</v>
      </c>
      <c r="S152" s="14" t="s">
        <v>2594</v>
      </c>
    </row>
    <row r="153">
      <c r="A153" s="8" t="s">
        <v>464</v>
      </c>
      <c r="B153" s="8" t="s">
        <v>61</v>
      </c>
      <c r="C153" s="8" t="s">
        <v>16</v>
      </c>
      <c r="D153" s="18" t="s">
        <v>2615</v>
      </c>
      <c r="E153" s="16">
        <v>69.0</v>
      </c>
      <c r="F153" s="8" t="s">
        <v>1245</v>
      </c>
      <c r="G153" s="8" t="s">
        <v>106</v>
      </c>
      <c r="H153" s="8" t="s">
        <v>186</v>
      </c>
      <c r="I153" s="18" t="s">
        <v>2603</v>
      </c>
      <c r="J153" s="16">
        <v>69.0</v>
      </c>
      <c r="K153" s="8" t="s">
        <v>464</v>
      </c>
      <c r="L153" s="8" t="s">
        <v>2077</v>
      </c>
      <c r="M153" s="18" t="s">
        <v>2615</v>
      </c>
      <c r="N153" s="16">
        <v>74.0</v>
      </c>
      <c r="O153" s="8" t="s">
        <v>4064</v>
      </c>
      <c r="P153" s="8" t="s">
        <v>93</v>
      </c>
      <c r="Q153" s="14" t="s">
        <v>1679</v>
      </c>
      <c r="R153" s="8" t="s">
        <v>2577</v>
      </c>
      <c r="S153" s="14" t="s">
        <v>2573</v>
      </c>
    </row>
    <row r="154">
      <c r="A154" s="8" t="s">
        <v>464</v>
      </c>
      <c r="B154" s="8" t="s">
        <v>1843</v>
      </c>
      <c r="C154" s="8" t="s">
        <v>24</v>
      </c>
      <c r="D154" s="18" t="s">
        <v>2598</v>
      </c>
      <c r="E154" s="16">
        <v>70.0</v>
      </c>
      <c r="F154" s="8" t="s">
        <v>1245</v>
      </c>
      <c r="G154" s="8" t="s">
        <v>3368</v>
      </c>
      <c r="H154" s="8" t="s">
        <v>53</v>
      </c>
      <c r="I154" s="18" t="s">
        <v>2577</v>
      </c>
      <c r="J154" s="16">
        <v>74.0</v>
      </c>
      <c r="K154" s="8" t="s">
        <v>464</v>
      </c>
      <c r="L154" s="8" t="s">
        <v>2223</v>
      </c>
      <c r="M154" s="18" t="s">
        <v>2587</v>
      </c>
      <c r="N154" s="16">
        <v>67.0</v>
      </c>
      <c r="O154" s="8" t="s">
        <v>4065</v>
      </c>
      <c r="P154" s="8" t="s">
        <v>65</v>
      </c>
      <c r="Q154" s="14" t="s">
        <v>2296</v>
      </c>
      <c r="R154" s="8" t="s">
        <v>2610</v>
      </c>
      <c r="S154" s="14" t="s">
        <v>2557</v>
      </c>
    </row>
    <row r="155">
      <c r="A155" s="8" t="s">
        <v>464</v>
      </c>
      <c r="B155" s="8" t="s">
        <v>1200</v>
      </c>
      <c r="C155" s="8" t="s">
        <v>149</v>
      </c>
      <c r="D155" s="18" t="s">
        <v>2556</v>
      </c>
      <c r="E155" s="16">
        <v>80.0</v>
      </c>
      <c r="F155" s="8" t="s">
        <v>1245</v>
      </c>
      <c r="G155" s="8" t="s">
        <v>1244</v>
      </c>
      <c r="H155" s="8" t="s">
        <v>93</v>
      </c>
      <c r="I155" s="18" t="s">
        <v>2595</v>
      </c>
      <c r="J155" s="16">
        <v>61.0</v>
      </c>
      <c r="K155" s="8" t="s">
        <v>1063</v>
      </c>
      <c r="L155" s="8" t="s">
        <v>1675</v>
      </c>
      <c r="M155" s="18" t="s">
        <v>2603</v>
      </c>
      <c r="N155" s="16">
        <v>62.0</v>
      </c>
      <c r="O155" s="8" t="s">
        <v>4066</v>
      </c>
      <c r="P155" s="8" t="s">
        <v>132</v>
      </c>
      <c r="Q155" s="14" t="s">
        <v>837</v>
      </c>
      <c r="R155" s="8" t="s">
        <v>2593</v>
      </c>
      <c r="S155" s="14" t="s">
        <v>2599</v>
      </c>
    </row>
    <row r="156">
      <c r="A156" s="8" t="s">
        <v>464</v>
      </c>
      <c r="B156" s="8" t="s">
        <v>389</v>
      </c>
      <c r="C156" s="8" t="s">
        <v>261</v>
      </c>
      <c r="D156" s="18" t="s">
        <v>2595</v>
      </c>
      <c r="E156" s="16">
        <v>70.0</v>
      </c>
      <c r="F156" s="8" t="s">
        <v>1726</v>
      </c>
      <c r="G156" s="8" t="s">
        <v>1725</v>
      </c>
      <c r="H156" s="8" t="s">
        <v>93</v>
      </c>
      <c r="I156" s="18" t="s">
        <v>2577</v>
      </c>
      <c r="J156" s="16">
        <v>78.0</v>
      </c>
      <c r="K156" s="8" t="s">
        <v>1063</v>
      </c>
      <c r="L156" s="8" t="s">
        <v>1062</v>
      </c>
      <c r="M156" s="18" t="s">
        <v>2560</v>
      </c>
      <c r="N156" s="16">
        <v>87.0</v>
      </c>
      <c r="O156" s="8" t="s">
        <v>4067</v>
      </c>
      <c r="P156" s="8" t="s">
        <v>138</v>
      </c>
      <c r="Q156" s="14" t="s">
        <v>2296</v>
      </c>
      <c r="R156" s="8" t="s">
        <v>2554</v>
      </c>
      <c r="S156" s="14" t="s">
        <v>2563</v>
      </c>
    </row>
    <row r="157">
      <c r="A157" s="8" t="s">
        <v>464</v>
      </c>
      <c r="B157" s="8" t="s">
        <v>389</v>
      </c>
      <c r="C157" s="8" t="s">
        <v>122</v>
      </c>
      <c r="D157" s="18" t="s">
        <v>2621</v>
      </c>
      <c r="E157" s="16">
        <v>70.0</v>
      </c>
      <c r="F157" s="8" t="s">
        <v>3209</v>
      </c>
      <c r="G157" s="8" t="s">
        <v>3208</v>
      </c>
      <c r="H157" s="8" t="s">
        <v>24</v>
      </c>
      <c r="I157" s="18" t="s">
        <v>2572</v>
      </c>
      <c r="J157" s="16">
        <v>67.0</v>
      </c>
      <c r="K157" s="8" t="s">
        <v>1063</v>
      </c>
      <c r="L157" s="8" t="s">
        <v>1911</v>
      </c>
      <c r="M157" s="18" t="s">
        <v>2566</v>
      </c>
      <c r="N157" s="16">
        <v>63.0</v>
      </c>
      <c r="O157" s="8" t="s">
        <v>4068</v>
      </c>
      <c r="P157" s="8" t="s">
        <v>186</v>
      </c>
      <c r="Q157" s="14" t="s">
        <v>1352</v>
      </c>
      <c r="R157" s="8" t="s">
        <v>2603</v>
      </c>
      <c r="S157" s="14" t="s">
        <v>2568</v>
      </c>
    </row>
    <row r="158">
      <c r="A158" s="8" t="s">
        <v>464</v>
      </c>
      <c r="B158" s="8" t="s">
        <v>774</v>
      </c>
      <c r="C158" s="8" t="s">
        <v>149</v>
      </c>
      <c r="D158" s="18" t="s">
        <v>2615</v>
      </c>
      <c r="E158" s="16">
        <v>71.0</v>
      </c>
      <c r="F158" s="8" t="s">
        <v>3210</v>
      </c>
      <c r="G158" s="8" t="s">
        <v>349</v>
      </c>
      <c r="H158" s="8" t="s">
        <v>186</v>
      </c>
      <c r="I158" s="18" t="s">
        <v>2584</v>
      </c>
      <c r="J158" s="16">
        <v>68.0</v>
      </c>
      <c r="K158" s="8" t="s">
        <v>1063</v>
      </c>
      <c r="L158" s="8" t="s">
        <v>1062</v>
      </c>
      <c r="M158" s="18" t="s">
        <v>2560</v>
      </c>
      <c r="N158" s="16">
        <v>81.0</v>
      </c>
      <c r="O158" s="8" t="s">
        <v>4069</v>
      </c>
      <c r="P158" s="8" t="s">
        <v>65</v>
      </c>
      <c r="Q158" s="14" t="s">
        <v>1352</v>
      </c>
      <c r="R158" s="8" t="s">
        <v>2595</v>
      </c>
      <c r="S158" s="14" t="s">
        <v>2622</v>
      </c>
    </row>
    <row r="159">
      <c r="A159" s="8" t="s">
        <v>464</v>
      </c>
      <c r="B159" s="8" t="s">
        <v>1013</v>
      </c>
      <c r="C159" s="8" t="s">
        <v>141</v>
      </c>
      <c r="D159" s="18" t="s">
        <v>2582</v>
      </c>
      <c r="E159" s="16">
        <v>63.0</v>
      </c>
      <c r="F159" s="8" t="s">
        <v>464</v>
      </c>
      <c r="G159" s="8" t="s">
        <v>3040</v>
      </c>
      <c r="H159" s="8" t="s">
        <v>24</v>
      </c>
      <c r="I159" s="18" t="s">
        <v>2560</v>
      </c>
      <c r="J159" s="16">
        <v>74.0</v>
      </c>
      <c r="K159" s="8" t="s">
        <v>1129</v>
      </c>
      <c r="L159" s="8" t="s">
        <v>498</v>
      </c>
      <c r="M159" s="18" t="s">
        <v>2552</v>
      </c>
      <c r="N159" s="16">
        <v>74.0</v>
      </c>
      <c r="O159" s="8" t="s">
        <v>4070</v>
      </c>
      <c r="P159" s="8" t="s">
        <v>132</v>
      </c>
      <c r="Q159" s="14" t="s">
        <v>2033</v>
      </c>
      <c r="R159" s="8" t="s">
        <v>2615</v>
      </c>
      <c r="S159" s="14" t="s">
        <v>2591</v>
      </c>
    </row>
    <row r="160">
      <c r="A160" s="8" t="s">
        <v>464</v>
      </c>
      <c r="B160" s="8" t="s">
        <v>3040</v>
      </c>
      <c r="C160" s="8" t="s">
        <v>24</v>
      </c>
      <c r="D160" s="18" t="s">
        <v>2592</v>
      </c>
      <c r="E160" s="16">
        <v>78.0</v>
      </c>
      <c r="F160" s="8" t="s">
        <v>464</v>
      </c>
      <c r="G160" s="8" t="s">
        <v>3099</v>
      </c>
      <c r="H160" s="8" t="s">
        <v>24</v>
      </c>
      <c r="I160" s="18" t="s">
        <v>2620</v>
      </c>
      <c r="J160" s="16">
        <v>63.0</v>
      </c>
      <c r="K160" s="8" t="s">
        <v>2177</v>
      </c>
      <c r="L160" s="8" t="s">
        <v>2176</v>
      </c>
      <c r="M160" s="18" t="s">
        <v>2564</v>
      </c>
      <c r="N160" s="16">
        <v>71.0</v>
      </c>
      <c r="O160" s="8" t="s">
        <v>4071</v>
      </c>
      <c r="P160" s="8" t="s">
        <v>24</v>
      </c>
      <c r="Q160" s="14" t="s">
        <v>2459</v>
      </c>
      <c r="R160" s="8" t="s">
        <v>2552</v>
      </c>
      <c r="S160" s="14" t="s">
        <v>27</v>
      </c>
    </row>
    <row r="161">
      <c r="A161" s="8" t="s">
        <v>464</v>
      </c>
      <c r="B161" s="8" t="s">
        <v>1614</v>
      </c>
      <c r="C161" s="8" t="s">
        <v>46</v>
      </c>
      <c r="D161" s="18" t="s">
        <v>2552</v>
      </c>
      <c r="E161" s="16">
        <v>63.0</v>
      </c>
      <c r="F161" s="8" t="s">
        <v>464</v>
      </c>
      <c r="G161" s="8" t="s">
        <v>389</v>
      </c>
      <c r="H161" s="8" t="s">
        <v>122</v>
      </c>
      <c r="I161" s="18" t="s">
        <v>2621</v>
      </c>
      <c r="J161" s="16">
        <v>70.0</v>
      </c>
      <c r="K161" s="8" t="s">
        <v>3114</v>
      </c>
      <c r="L161" s="8" t="s">
        <v>1598</v>
      </c>
      <c r="M161" s="18" t="s">
        <v>2556</v>
      </c>
      <c r="N161" s="16">
        <v>68.0</v>
      </c>
      <c r="O161" s="8" t="s">
        <v>4072</v>
      </c>
      <c r="P161" s="8" t="s">
        <v>70</v>
      </c>
      <c r="Q161" s="14" t="s">
        <v>1679</v>
      </c>
      <c r="R161" s="8" t="s">
        <v>2572</v>
      </c>
      <c r="S161" s="14" t="s">
        <v>2588</v>
      </c>
    </row>
    <row r="162">
      <c r="A162" s="8" t="s">
        <v>1063</v>
      </c>
      <c r="B162" s="8" t="s">
        <v>1062</v>
      </c>
      <c r="C162" s="8" t="s">
        <v>186</v>
      </c>
      <c r="D162" s="18" t="s">
        <v>2621</v>
      </c>
      <c r="E162" s="16">
        <v>78.0</v>
      </c>
      <c r="F162" s="8" t="s">
        <v>464</v>
      </c>
      <c r="G162" s="8" t="s">
        <v>1843</v>
      </c>
      <c r="H162" s="8" t="s">
        <v>24</v>
      </c>
      <c r="I162" s="18" t="s">
        <v>2598</v>
      </c>
      <c r="J162" s="16">
        <v>77.0</v>
      </c>
      <c r="K162" s="8" t="s">
        <v>3047</v>
      </c>
      <c r="L162" s="8" t="s">
        <v>3046</v>
      </c>
      <c r="M162" s="18" t="s">
        <v>2564</v>
      </c>
      <c r="N162" s="16">
        <v>68.0</v>
      </c>
      <c r="O162" s="8" t="s">
        <v>4073</v>
      </c>
      <c r="P162" s="8" t="s">
        <v>24</v>
      </c>
      <c r="Q162" s="14" t="s">
        <v>1679</v>
      </c>
      <c r="R162" s="8" t="s">
        <v>2598</v>
      </c>
      <c r="S162" s="14" t="s">
        <v>2625</v>
      </c>
    </row>
    <row r="163">
      <c r="A163" s="8" t="s">
        <v>1063</v>
      </c>
      <c r="B163" s="8" t="s">
        <v>1675</v>
      </c>
      <c r="C163" s="8" t="s">
        <v>149</v>
      </c>
      <c r="D163" s="18" t="s">
        <v>2595</v>
      </c>
      <c r="E163" s="16">
        <v>60.0</v>
      </c>
      <c r="F163" s="8" t="s">
        <v>464</v>
      </c>
      <c r="G163" s="8" t="s">
        <v>1200</v>
      </c>
      <c r="H163" s="8" t="s">
        <v>149</v>
      </c>
      <c r="I163" s="18" t="s">
        <v>2556</v>
      </c>
      <c r="J163" s="16">
        <v>72.0</v>
      </c>
      <c r="K163" s="18" t="s">
        <v>912</v>
      </c>
      <c r="L163" s="8" t="s">
        <v>1174</v>
      </c>
      <c r="M163" s="18" t="s">
        <v>2566</v>
      </c>
      <c r="N163" s="16">
        <v>72.0</v>
      </c>
      <c r="O163" s="8" t="s">
        <v>4074</v>
      </c>
      <c r="P163" s="8" t="s">
        <v>122</v>
      </c>
      <c r="Q163" s="14" t="s">
        <v>1352</v>
      </c>
      <c r="R163" s="8" t="s">
        <v>2621</v>
      </c>
      <c r="S163" s="14" t="s">
        <v>2622</v>
      </c>
    </row>
    <row r="164">
      <c r="A164" s="8" t="s">
        <v>3047</v>
      </c>
      <c r="B164" s="8" t="s">
        <v>3046</v>
      </c>
      <c r="C164" s="8" t="s">
        <v>122</v>
      </c>
      <c r="D164" s="18" t="s">
        <v>2564</v>
      </c>
      <c r="E164" s="16">
        <v>60.0</v>
      </c>
      <c r="F164" s="8" t="s">
        <v>464</v>
      </c>
      <c r="G164" s="8" t="s">
        <v>389</v>
      </c>
      <c r="H164" s="8" t="s">
        <v>261</v>
      </c>
      <c r="I164" s="18" t="s">
        <v>2592</v>
      </c>
      <c r="J164" s="16">
        <v>68.0</v>
      </c>
      <c r="K164" s="18" t="s">
        <v>912</v>
      </c>
      <c r="L164" s="8" t="s">
        <v>911</v>
      </c>
      <c r="M164" s="18" t="s">
        <v>2577</v>
      </c>
      <c r="N164" s="16">
        <v>75.0</v>
      </c>
      <c r="O164" s="8" t="s">
        <v>4075</v>
      </c>
      <c r="P164" s="8" t="s">
        <v>149</v>
      </c>
      <c r="Q164" s="14" t="s">
        <v>631</v>
      </c>
      <c r="R164" s="8" t="s">
        <v>2621</v>
      </c>
      <c r="S164" s="14" t="s">
        <v>2609</v>
      </c>
    </row>
    <row r="165">
      <c r="A165" s="18" t="s">
        <v>912</v>
      </c>
      <c r="B165" s="8" t="s">
        <v>361</v>
      </c>
      <c r="C165" s="8" t="s">
        <v>16</v>
      </c>
      <c r="D165" s="18" t="s">
        <v>2566</v>
      </c>
      <c r="E165" s="16">
        <v>57.0</v>
      </c>
      <c r="F165" s="8" t="s">
        <v>464</v>
      </c>
      <c r="G165" s="8" t="s">
        <v>61</v>
      </c>
      <c r="H165" s="8" t="s">
        <v>16</v>
      </c>
      <c r="I165" s="18" t="s">
        <v>2603</v>
      </c>
      <c r="J165" s="16">
        <v>68.0</v>
      </c>
      <c r="K165" s="18" t="s">
        <v>912</v>
      </c>
      <c r="L165" s="8" t="s">
        <v>2680</v>
      </c>
      <c r="M165" s="18" t="s">
        <v>2615</v>
      </c>
      <c r="N165" s="16">
        <v>63.0</v>
      </c>
      <c r="O165" s="8" t="s">
        <v>4076</v>
      </c>
      <c r="P165" s="8" t="s">
        <v>65</v>
      </c>
      <c r="Q165" s="14" t="s">
        <v>2033</v>
      </c>
      <c r="R165" s="8" t="s">
        <v>2593</v>
      </c>
      <c r="S165" s="14" t="s">
        <v>2579</v>
      </c>
    </row>
    <row r="166">
      <c r="A166" s="18" t="s">
        <v>912</v>
      </c>
      <c r="B166" s="8" t="s">
        <v>3618</v>
      </c>
      <c r="C166" s="8" t="s">
        <v>122</v>
      </c>
      <c r="D166" s="18" t="s">
        <v>2552</v>
      </c>
      <c r="E166" s="16">
        <v>63.0</v>
      </c>
      <c r="F166" s="8" t="s">
        <v>464</v>
      </c>
      <c r="G166" s="8" t="s">
        <v>1614</v>
      </c>
      <c r="H166" s="8" t="s">
        <v>75</v>
      </c>
      <c r="I166" s="18" t="s">
        <v>2552</v>
      </c>
      <c r="J166" s="16">
        <v>63.0</v>
      </c>
      <c r="K166" s="18" t="s">
        <v>912</v>
      </c>
      <c r="L166" s="8" t="s">
        <v>537</v>
      </c>
      <c r="M166" s="18" t="s">
        <v>2566</v>
      </c>
      <c r="N166" s="16">
        <v>71.0</v>
      </c>
      <c r="O166" s="8" t="s">
        <v>4077</v>
      </c>
      <c r="P166" s="8" t="s">
        <v>141</v>
      </c>
      <c r="Q166" s="14" t="s">
        <v>837</v>
      </c>
      <c r="R166" s="8" t="s">
        <v>2183</v>
      </c>
      <c r="S166" s="14" t="s">
        <v>2580</v>
      </c>
    </row>
    <row r="167">
      <c r="A167" s="18" t="s">
        <v>912</v>
      </c>
      <c r="B167" s="8" t="s">
        <v>911</v>
      </c>
      <c r="C167" s="8" t="s">
        <v>141</v>
      </c>
      <c r="D167" s="18" t="s">
        <v>2577</v>
      </c>
      <c r="E167" s="16">
        <v>65.0</v>
      </c>
      <c r="F167" s="8" t="s">
        <v>464</v>
      </c>
      <c r="G167" s="8" t="s">
        <v>851</v>
      </c>
      <c r="H167" s="8" t="s">
        <v>141</v>
      </c>
      <c r="I167" s="18" t="s">
        <v>2593</v>
      </c>
      <c r="J167" s="16">
        <v>62.0</v>
      </c>
      <c r="K167" s="8" t="s">
        <v>1891</v>
      </c>
      <c r="L167" s="8" t="s">
        <v>1890</v>
      </c>
      <c r="M167" s="18" t="s">
        <v>2615</v>
      </c>
      <c r="N167" s="16">
        <v>79.0</v>
      </c>
      <c r="O167" s="8" t="s">
        <v>4078</v>
      </c>
      <c r="P167" s="8" t="s">
        <v>75</v>
      </c>
      <c r="Q167" s="14" t="s">
        <v>2033</v>
      </c>
      <c r="R167" s="8" t="s">
        <v>2620</v>
      </c>
      <c r="S167" s="14" t="s">
        <v>2612</v>
      </c>
    </row>
    <row r="168">
      <c r="A168" s="18" t="s">
        <v>912</v>
      </c>
      <c r="B168" s="8" t="s">
        <v>1174</v>
      </c>
      <c r="C168" s="8" t="s">
        <v>186</v>
      </c>
      <c r="D168" s="18" t="s">
        <v>2566</v>
      </c>
      <c r="E168" s="16">
        <v>66.0</v>
      </c>
      <c r="F168" s="8" t="s">
        <v>1063</v>
      </c>
      <c r="G168" s="8" t="s">
        <v>1911</v>
      </c>
      <c r="H168" s="8" t="s">
        <v>215</v>
      </c>
      <c r="I168" s="18" t="s">
        <v>2566</v>
      </c>
      <c r="J168" s="16">
        <v>66.0</v>
      </c>
      <c r="K168" s="8" t="s">
        <v>1891</v>
      </c>
      <c r="L168" s="8" t="s">
        <v>1890</v>
      </c>
      <c r="M168" s="18" t="s">
        <v>2615</v>
      </c>
      <c r="N168" s="16">
        <v>87.0</v>
      </c>
      <c r="O168" s="8" t="s">
        <v>4079</v>
      </c>
      <c r="P168" s="8" t="s">
        <v>12</v>
      </c>
      <c r="Q168" s="14" t="s">
        <v>2296</v>
      </c>
      <c r="R168" s="8" t="s">
        <v>2615</v>
      </c>
      <c r="S168" s="14" t="s">
        <v>2563</v>
      </c>
    </row>
    <row r="169">
      <c r="A169" s="18" t="s">
        <v>616</v>
      </c>
      <c r="B169" s="8" t="s">
        <v>232</v>
      </c>
      <c r="C169" s="8" t="s">
        <v>93</v>
      </c>
      <c r="D169" s="18" t="s">
        <v>2621</v>
      </c>
      <c r="E169" s="16">
        <v>66.0</v>
      </c>
      <c r="F169" s="8" t="s">
        <v>1063</v>
      </c>
      <c r="G169" s="8" t="s">
        <v>1675</v>
      </c>
      <c r="H169" s="8" t="s">
        <v>46</v>
      </c>
      <c r="I169" s="18" t="s">
        <v>2581</v>
      </c>
      <c r="J169" s="16">
        <v>59.0</v>
      </c>
      <c r="K169" s="8" t="s">
        <v>2699</v>
      </c>
      <c r="L169" s="8" t="s">
        <v>436</v>
      </c>
      <c r="M169" s="18" t="s">
        <v>2575</v>
      </c>
      <c r="N169" s="16">
        <v>69.0</v>
      </c>
      <c r="O169" s="8" t="s">
        <v>4080</v>
      </c>
      <c r="P169" s="8" t="s">
        <v>59</v>
      </c>
      <c r="Q169" s="14" t="s">
        <v>1679</v>
      </c>
      <c r="R169" s="8" t="s">
        <v>2566</v>
      </c>
      <c r="S169" s="14" t="s">
        <v>2568</v>
      </c>
    </row>
    <row r="170">
      <c r="A170" s="8" t="s">
        <v>764</v>
      </c>
      <c r="B170" s="8" t="s">
        <v>763</v>
      </c>
      <c r="C170" s="8" t="s">
        <v>53</v>
      </c>
      <c r="D170" s="18" t="s">
        <v>2615</v>
      </c>
      <c r="E170" s="16">
        <v>76.0</v>
      </c>
      <c r="F170" s="8" t="s">
        <v>1063</v>
      </c>
      <c r="G170" s="8" t="s">
        <v>3269</v>
      </c>
      <c r="H170" s="8" t="s">
        <v>132</v>
      </c>
      <c r="I170" s="18" t="s">
        <v>2584</v>
      </c>
      <c r="J170" s="16">
        <v>62.0</v>
      </c>
      <c r="K170" s="8" t="s">
        <v>764</v>
      </c>
      <c r="L170" s="8" t="s">
        <v>763</v>
      </c>
      <c r="M170" s="18" t="s">
        <v>2603</v>
      </c>
      <c r="N170" s="16">
        <v>81.0</v>
      </c>
      <c r="O170" s="8" t="s">
        <v>4081</v>
      </c>
      <c r="P170" s="8" t="s">
        <v>186</v>
      </c>
      <c r="Q170" s="14" t="s">
        <v>837</v>
      </c>
      <c r="R170" s="8" t="s">
        <v>2560</v>
      </c>
      <c r="S170" s="14" t="s">
        <v>2625</v>
      </c>
    </row>
    <row r="171">
      <c r="A171" s="8" t="s">
        <v>1079</v>
      </c>
      <c r="B171" s="8" t="s">
        <v>284</v>
      </c>
      <c r="C171" s="8" t="s">
        <v>75</v>
      </c>
      <c r="D171" s="18" t="s">
        <v>2564</v>
      </c>
      <c r="E171" s="16">
        <v>72.0</v>
      </c>
      <c r="F171" s="8" t="s">
        <v>1063</v>
      </c>
      <c r="G171" s="8" t="s">
        <v>1062</v>
      </c>
      <c r="H171" s="8" t="s">
        <v>186</v>
      </c>
      <c r="I171" s="18" t="s">
        <v>2621</v>
      </c>
      <c r="J171" s="16">
        <v>79.0</v>
      </c>
      <c r="K171" s="8" t="s">
        <v>2729</v>
      </c>
      <c r="L171" s="8" t="s">
        <v>2728</v>
      </c>
      <c r="M171" s="18" t="s">
        <v>2584</v>
      </c>
      <c r="N171" s="16">
        <v>79.0</v>
      </c>
      <c r="O171" s="8" t="s">
        <v>4082</v>
      </c>
      <c r="P171" s="8" t="s">
        <v>46</v>
      </c>
      <c r="Q171" s="14" t="s">
        <v>1070</v>
      </c>
      <c r="R171" s="8" t="s">
        <v>2552</v>
      </c>
      <c r="S171" s="14" t="s">
        <v>2583</v>
      </c>
    </row>
    <row r="172">
      <c r="A172" s="8" t="s">
        <v>2729</v>
      </c>
      <c r="B172" s="8" t="s">
        <v>2728</v>
      </c>
      <c r="C172" s="8" t="s">
        <v>192</v>
      </c>
      <c r="D172" s="18" t="s">
        <v>2614</v>
      </c>
      <c r="E172" s="16">
        <v>82.0</v>
      </c>
      <c r="F172" s="8" t="s">
        <v>1129</v>
      </c>
      <c r="G172" s="8" t="s">
        <v>498</v>
      </c>
      <c r="H172" s="8" t="s">
        <v>149</v>
      </c>
      <c r="I172" s="18" t="s">
        <v>2552</v>
      </c>
      <c r="J172" s="16">
        <v>65.0</v>
      </c>
      <c r="K172" s="8" t="s">
        <v>860</v>
      </c>
      <c r="L172" s="8" t="s">
        <v>859</v>
      </c>
      <c r="M172" s="18" t="s">
        <v>2645</v>
      </c>
      <c r="N172" s="16">
        <v>61.0</v>
      </c>
      <c r="O172" s="8" t="s">
        <v>4083</v>
      </c>
      <c r="P172" s="8" t="s">
        <v>93</v>
      </c>
      <c r="Q172" s="14" t="s">
        <v>2033</v>
      </c>
      <c r="R172" s="8" t="s">
        <v>2564</v>
      </c>
      <c r="S172" s="14" t="s">
        <v>2586</v>
      </c>
    </row>
    <row r="173">
      <c r="A173" s="8" t="s">
        <v>860</v>
      </c>
      <c r="B173" s="8" t="s">
        <v>859</v>
      </c>
      <c r="C173" s="8" t="s">
        <v>93</v>
      </c>
      <c r="D173" s="18" t="s">
        <v>2582</v>
      </c>
      <c r="E173" s="16">
        <v>81.0</v>
      </c>
      <c r="F173" s="18" t="s">
        <v>912</v>
      </c>
      <c r="G173" s="8" t="s">
        <v>361</v>
      </c>
      <c r="H173" s="8" t="s">
        <v>65</v>
      </c>
      <c r="I173" s="18" t="s">
        <v>2598</v>
      </c>
      <c r="J173" s="16">
        <v>58.0</v>
      </c>
      <c r="K173" s="8" t="s">
        <v>479</v>
      </c>
      <c r="L173" s="8" t="s">
        <v>460</v>
      </c>
      <c r="M173" s="18" t="s">
        <v>2592</v>
      </c>
      <c r="N173" s="16">
        <v>74.0</v>
      </c>
      <c r="O173" s="18" t="s">
        <v>4084</v>
      </c>
      <c r="P173" s="8" t="s">
        <v>75</v>
      </c>
      <c r="Q173" s="14" t="s">
        <v>837</v>
      </c>
      <c r="R173" s="8" t="s">
        <v>2577</v>
      </c>
      <c r="S173" s="14" t="s">
        <v>2622</v>
      </c>
    </row>
    <row r="174">
      <c r="A174" s="8" t="s">
        <v>479</v>
      </c>
      <c r="B174" s="8" t="s">
        <v>460</v>
      </c>
      <c r="C174" s="8" t="s">
        <v>122</v>
      </c>
      <c r="D174" s="18" t="s">
        <v>2564</v>
      </c>
      <c r="E174" s="16">
        <v>65.0</v>
      </c>
      <c r="F174" s="18" t="s">
        <v>912</v>
      </c>
      <c r="G174" s="8" t="s">
        <v>1174</v>
      </c>
      <c r="H174" s="8" t="s">
        <v>186</v>
      </c>
      <c r="I174" s="18" t="s">
        <v>2566</v>
      </c>
      <c r="J174" s="16">
        <v>65.0</v>
      </c>
      <c r="K174" s="8" t="s">
        <v>479</v>
      </c>
      <c r="L174" s="8" t="s">
        <v>3030</v>
      </c>
      <c r="M174" s="18" t="s">
        <v>2589</v>
      </c>
      <c r="N174" s="16">
        <v>64.0</v>
      </c>
      <c r="O174" s="18" t="s">
        <v>4085</v>
      </c>
      <c r="P174" s="8" t="s">
        <v>186</v>
      </c>
      <c r="Q174" s="14" t="s">
        <v>1070</v>
      </c>
      <c r="R174" s="8" t="s">
        <v>2566</v>
      </c>
      <c r="S174" s="14" t="s">
        <v>2565</v>
      </c>
    </row>
    <row r="175">
      <c r="A175" s="8" t="s">
        <v>479</v>
      </c>
      <c r="B175" s="8" t="s">
        <v>478</v>
      </c>
      <c r="C175" s="8" t="s">
        <v>24</v>
      </c>
      <c r="D175" s="18" t="s">
        <v>2621</v>
      </c>
      <c r="E175" s="16">
        <v>46.0</v>
      </c>
      <c r="F175" s="18" t="s">
        <v>912</v>
      </c>
      <c r="G175" s="8" t="s">
        <v>911</v>
      </c>
      <c r="H175" s="8" t="s">
        <v>75</v>
      </c>
      <c r="I175" s="18" t="s">
        <v>2577</v>
      </c>
      <c r="J175" s="16">
        <v>73.0</v>
      </c>
      <c r="K175" s="8" t="s">
        <v>50</v>
      </c>
      <c r="L175" s="8" t="s">
        <v>1220</v>
      </c>
      <c r="M175" s="18" t="s">
        <v>2584</v>
      </c>
      <c r="N175" s="16">
        <v>72.0</v>
      </c>
      <c r="O175" s="18" t="s">
        <v>4086</v>
      </c>
      <c r="P175" s="8" t="s">
        <v>215</v>
      </c>
      <c r="Q175" s="14" t="s">
        <v>2033</v>
      </c>
      <c r="R175" s="8" t="s">
        <v>2566</v>
      </c>
      <c r="S175" s="14" t="s">
        <v>2553</v>
      </c>
    </row>
    <row r="176">
      <c r="A176" s="8" t="s">
        <v>479</v>
      </c>
      <c r="B176" s="8" t="s">
        <v>3030</v>
      </c>
      <c r="C176" s="8" t="s">
        <v>24</v>
      </c>
      <c r="D176" s="18" t="s">
        <v>2574</v>
      </c>
      <c r="E176" s="16">
        <v>65.0</v>
      </c>
      <c r="F176" s="18" t="s">
        <v>616</v>
      </c>
      <c r="G176" s="8" t="s">
        <v>232</v>
      </c>
      <c r="H176" s="8" t="s">
        <v>93</v>
      </c>
      <c r="I176" s="18" t="s">
        <v>2605</v>
      </c>
      <c r="J176" s="16">
        <v>71.0</v>
      </c>
      <c r="K176" s="8" t="s">
        <v>50</v>
      </c>
      <c r="L176" s="8" t="s">
        <v>49</v>
      </c>
      <c r="M176" s="18" t="s">
        <v>2577</v>
      </c>
      <c r="N176" s="16">
        <v>84.0</v>
      </c>
      <c r="O176" s="18" t="s">
        <v>4087</v>
      </c>
      <c r="P176" s="8" t="s">
        <v>93</v>
      </c>
      <c r="Q176" s="14" t="s">
        <v>459</v>
      </c>
      <c r="R176" s="8" t="s">
        <v>2610</v>
      </c>
      <c r="S176" s="14" t="s">
        <v>2622</v>
      </c>
    </row>
    <row r="177">
      <c r="A177" s="8" t="s">
        <v>50</v>
      </c>
      <c r="B177" s="8" t="s">
        <v>266</v>
      </c>
      <c r="C177" s="8" t="s">
        <v>75</v>
      </c>
      <c r="D177" s="18" t="s">
        <v>2598</v>
      </c>
      <c r="E177" s="16">
        <v>66.0</v>
      </c>
      <c r="F177" s="8" t="s">
        <v>764</v>
      </c>
      <c r="G177" s="8" t="s">
        <v>763</v>
      </c>
      <c r="H177" s="8" t="s">
        <v>59</v>
      </c>
      <c r="I177" s="18" t="s">
        <v>2567</v>
      </c>
      <c r="J177" s="16">
        <v>78.0</v>
      </c>
      <c r="K177" s="8" t="s">
        <v>50</v>
      </c>
      <c r="L177" s="8" t="s">
        <v>2840</v>
      </c>
      <c r="M177" s="18" t="s">
        <v>2562</v>
      </c>
      <c r="N177" s="16">
        <v>73.0</v>
      </c>
      <c r="O177" s="8" t="s">
        <v>4088</v>
      </c>
      <c r="P177" s="8" t="s">
        <v>16</v>
      </c>
      <c r="Q177" s="14" t="s">
        <v>1679</v>
      </c>
      <c r="R177" s="8" t="s">
        <v>2615</v>
      </c>
      <c r="S177" s="14" t="s">
        <v>2578</v>
      </c>
    </row>
    <row r="178">
      <c r="A178" s="8" t="s">
        <v>50</v>
      </c>
      <c r="B178" s="8" t="s">
        <v>2840</v>
      </c>
      <c r="C178" s="8" t="s">
        <v>186</v>
      </c>
      <c r="D178" s="18" t="s">
        <v>2556</v>
      </c>
      <c r="E178" s="16">
        <v>70.0</v>
      </c>
      <c r="F178" s="8" t="s">
        <v>2729</v>
      </c>
      <c r="G178" s="8" t="s">
        <v>2728</v>
      </c>
      <c r="H178" s="8" t="s">
        <v>192</v>
      </c>
      <c r="I178" s="18" t="s">
        <v>2584</v>
      </c>
      <c r="J178" s="16">
        <v>83.0</v>
      </c>
      <c r="K178" s="8" t="s">
        <v>50</v>
      </c>
      <c r="L178" s="8" t="s">
        <v>1801</v>
      </c>
      <c r="M178" s="18" t="s">
        <v>2552</v>
      </c>
      <c r="N178" s="16">
        <v>76.0</v>
      </c>
      <c r="O178" s="8" t="s">
        <v>4089</v>
      </c>
      <c r="P178" s="8" t="s">
        <v>53</v>
      </c>
      <c r="Q178" s="14" t="s">
        <v>631</v>
      </c>
      <c r="R178" s="8" t="s">
        <v>2603</v>
      </c>
      <c r="S178" s="14" t="s">
        <v>2553</v>
      </c>
    </row>
    <row r="179">
      <c r="A179" s="8" t="s">
        <v>50</v>
      </c>
      <c r="B179" s="8" t="s">
        <v>2857</v>
      </c>
      <c r="C179" s="8" t="s">
        <v>46</v>
      </c>
      <c r="D179" s="18" t="s">
        <v>2560</v>
      </c>
      <c r="E179" s="16">
        <v>69.0</v>
      </c>
      <c r="F179" s="8" t="s">
        <v>860</v>
      </c>
      <c r="G179" s="8" t="s">
        <v>859</v>
      </c>
      <c r="H179" s="8" t="s">
        <v>93</v>
      </c>
      <c r="I179" s="18" t="s">
        <v>2582</v>
      </c>
      <c r="J179" s="16">
        <v>75.0</v>
      </c>
      <c r="K179" s="8" t="s">
        <v>50</v>
      </c>
      <c r="L179" s="8" t="s">
        <v>266</v>
      </c>
      <c r="M179" s="18" t="s">
        <v>2598</v>
      </c>
      <c r="N179" s="16">
        <v>72.0</v>
      </c>
      <c r="O179" s="8" t="s">
        <v>4090</v>
      </c>
      <c r="P179" s="8" t="s">
        <v>93</v>
      </c>
      <c r="Q179" s="14" t="s">
        <v>837</v>
      </c>
      <c r="R179" s="8" t="s">
        <v>2183</v>
      </c>
      <c r="S179" s="14" t="s">
        <v>2553</v>
      </c>
    </row>
    <row r="180">
      <c r="A180" s="8" t="s">
        <v>50</v>
      </c>
      <c r="B180" s="8" t="s">
        <v>2150</v>
      </c>
      <c r="C180" s="8" t="s">
        <v>59</v>
      </c>
      <c r="D180" s="18" t="s">
        <v>2574</v>
      </c>
      <c r="E180" s="16">
        <v>67.0</v>
      </c>
      <c r="F180" s="8" t="s">
        <v>479</v>
      </c>
      <c r="G180" s="8" t="s">
        <v>3030</v>
      </c>
      <c r="H180" s="8" t="s">
        <v>24</v>
      </c>
      <c r="I180" s="18" t="s">
        <v>2558</v>
      </c>
      <c r="J180" s="16">
        <v>65.0</v>
      </c>
      <c r="K180" s="8" t="s">
        <v>50</v>
      </c>
      <c r="L180" s="8" t="s">
        <v>284</v>
      </c>
      <c r="M180" s="18" t="s">
        <v>2621</v>
      </c>
      <c r="N180" s="16">
        <v>77.0</v>
      </c>
      <c r="O180" s="8" t="s">
        <v>4091</v>
      </c>
      <c r="P180" s="8" t="s">
        <v>215</v>
      </c>
      <c r="Q180" s="14" t="s">
        <v>837</v>
      </c>
      <c r="R180" s="8" t="s">
        <v>2592</v>
      </c>
      <c r="S180" s="14" t="s">
        <v>2591</v>
      </c>
    </row>
    <row r="181">
      <c r="A181" s="8" t="s">
        <v>50</v>
      </c>
      <c r="B181" s="8" t="s">
        <v>284</v>
      </c>
      <c r="C181" s="8" t="s">
        <v>141</v>
      </c>
      <c r="D181" s="18" t="s">
        <v>2621</v>
      </c>
      <c r="E181" s="16">
        <v>74.0</v>
      </c>
      <c r="F181" s="8" t="s">
        <v>479</v>
      </c>
      <c r="G181" s="8" t="s">
        <v>478</v>
      </c>
      <c r="H181" s="8" t="s">
        <v>24</v>
      </c>
      <c r="I181" s="18" t="s">
        <v>2621</v>
      </c>
      <c r="J181" s="16">
        <v>46.0</v>
      </c>
      <c r="K181" s="8" t="s">
        <v>50</v>
      </c>
      <c r="L181" s="8" t="s">
        <v>1379</v>
      </c>
      <c r="M181" s="18" t="s">
        <v>2560</v>
      </c>
      <c r="N181" s="16">
        <v>64.0</v>
      </c>
      <c r="O181" s="8" t="s">
        <v>4092</v>
      </c>
      <c r="P181" s="8" t="s">
        <v>132</v>
      </c>
      <c r="Q181" s="14" t="s">
        <v>2033</v>
      </c>
      <c r="R181" s="8" t="s">
        <v>2554</v>
      </c>
      <c r="S181" s="14" t="s">
        <v>2609</v>
      </c>
    </row>
    <row r="182">
      <c r="A182" s="8" t="s">
        <v>50</v>
      </c>
      <c r="B182" s="8" t="s">
        <v>1220</v>
      </c>
      <c r="C182" s="8" t="s">
        <v>24</v>
      </c>
      <c r="D182" s="18" t="s">
        <v>2584</v>
      </c>
      <c r="E182" s="16">
        <v>64.0</v>
      </c>
      <c r="F182" s="8" t="s">
        <v>479</v>
      </c>
      <c r="G182" s="8" t="s">
        <v>460</v>
      </c>
      <c r="H182" s="8" t="s">
        <v>122</v>
      </c>
      <c r="I182" s="18" t="s">
        <v>2564</v>
      </c>
      <c r="J182" s="16">
        <v>68.0</v>
      </c>
      <c r="K182" s="8" t="s">
        <v>50</v>
      </c>
      <c r="L182" s="8" t="s">
        <v>2857</v>
      </c>
      <c r="M182" s="18" t="s">
        <v>2560</v>
      </c>
      <c r="N182" s="16">
        <v>71.0</v>
      </c>
      <c r="O182" s="8" t="s">
        <v>4093</v>
      </c>
      <c r="P182" s="8" t="s">
        <v>24</v>
      </c>
      <c r="Q182" s="14" t="s">
        <v>459</v>
      </c>
      <c r="R182" s="8" t="s">
        <v>2621</v>
      </c>
      <c r="S182" s="14" t="s">
        <v>2631</v>
      </c>
    </row>
    <row r="183">
      <c r="A183" s="8" t="s">
        <v>50</v>
      </c>
      <c r="B183" s="8" t="s">
        <v>49</v>
      </c>
      <c r="C183" s="8" t="s">
        <v>16</v>
      </c>
      <c r="D183" s="18" t="s">
        <v>2577</v>
      </c>
      <c r="E183" s="16">
        <v>93.0</v>
      </c>
      <c r="F183" s="8" t="s">
        <v>50</v>
      </c>
      <c r="G183" s="8" t="s">
        <v>2840</v>
      </c>
      <c r="H183" s="8" t="s">
        <v>186</v>
      </c>
      <c r="I183" s="18" t="s">
        <v>2556</v>
      </c>
      <c r="J183" s="16">
        <v>66.0</v>
      </c>
      <c r="K183" s="8" t="s">
        <v>50</v>
      </c>
      <c r="L183" s="8" t="s">
        <v>1383</v>
      </c>
      <c r="M183" s="18" t="s">
        <v>2605</v>
      </c>
      <c r="N183" s="16">
        <v>63.0</v>
      </c>
      <c r="O183" s="8" t="s">
        <v>4094</v>
      </c>
      <c r="P183" s="8" t="s">
        <v>138</v>
      </c>
      <c r="Q183" s="14" t="s">
        <v>2033</v>
      </c>
      <c r="R183" s="8" t="s">
        <v>2567</v>
      </c>
      <c r="S183" s="14" t="s">
        <v>2557</v>
      </c>
    </row>
    <row r="184">
      <c r="A184" s="8" t="s">
        <v>1255</v>
      </c>
      <c r="B184" s="8" t="s">
        <v>1254</v>
      </c>
      <c r="C184" s="8" t="s">
        <v>186</v>
      </c>
      <c r="D184" s="18" t="s">
        <v>2562</v>
      </c>
      <c r="E184" s="16">
        <v>77.0</v>
      </c>
      <c r="F184" s="8" t="s">
        <v>50</v>
      </c>
      <c r="G184" s="8" t="s">
        <v>2857</v>
      </c>
      <c r="H184" s="8" t="s">
        <v>46</v>
      </c>
      <c r="I184" s="18" t="s">
        <v>2560</v>
      </c>
      <c r="J184" s="16">
        <v>66.0</v>
      </c>
      <c r="K184" s="8" t="s">
        <v>50</v>
      </c>
      <c r="L184" s="8" t="s">
        <v>2150</v>
      </c>
      <c r="M184" s="18" t="s">
        <v>2574</v>
      </c>
      <c r="N184" s="16">
        <v>67.0</v>
      </c>
      <c r="O184" s="8" t="s">
        <v>4095</v>
      </c>
      <c r="P184" s="8" t="s">
        <v>132</v>
      </c>
      <c r="Q184" s="14" t="s">
        <v>1352</v>
      </c>
      <c r="R184" s="8" t="s">
        <v>2560</v>
      </c>
      <c r="S184" s="14" t="s">
        <v>2628</v>
      </c>
    </row>
    <row r="185">
      <c r="A185" s="8" t="s">
        <v>2683</v>
      </c>
      <c r="B185" s="8" t="s">
        <v>2682</v>
      </c>
      <c r="C185" s="8" t="s">
        <v>93</v>
      </c>
      <c r="D185" s="18" t="s">
        <v>2574</v>
      </c>
      <c r="E185" s="16">
        <v>80.0</v>
      </c>
      <c r="F185" s="8" t="s">
        <v>50</v>
      </c>
      <c r="G185" s="8" t="s">
        <v>1220</v>
      </c>
      <c r="H185" s="8" t="s">
        <v>24</v>
      </c>
      <c r="I185" s="18" t="s">
        <v>2584</v>
      </c>
      <c r="J185" s="16">
        <v>66.0</v>
      </c>
      <c r="K185" s="8" t="s">
        <v>1255</v>
      </c>
      <c r="L185" s="8" t="s">
        <v>1254</v>
      </c>
      <c r="M185" s="18" t="s">
        <v>2562</v>
      </c>
      <c r="N185" s="16">
        <v>78.0</v>
      </c>
      <c r="O185" s="8" t="s">
        <v>4096</v>
      </c>
      <c r="P185" s="8" t="s">
        <v>24</v>
      </c>
      <c r="Q185" s="14" t="s">
        <v>1352</v>
      </c>
      <c r="R185" s="8" t="s">
        <v>2605</v>
      </c>
      <c r="S185" s="14" t="s">
        <v>2622</v>
      </c>
    </row>
    <row r="186">
      <c r="A186" s="8" t="s">
        <v>3567</v>
      </c>
      <c r="B186" s="8" t="s">
        <v>106</v>
      </c>
      <c r="C186" s="8" t="s">
        <v>53</v>
      </c>
      <c r="D186" s="18" t="s">
        <v>2558</v>
      </c>
      <c r="E186" s="16">
        <v>59.0</v>
      </c>
      <c r="F186" s="8" t="s">
        <v>50</v>
      </c>
      <c r="G186" s="8" t="s">
        <v>1379</v>
      </c>
      <c r="H186" s="8" t="s">
        <v>75</v>
      </c>
      <c r="I186" s="18" t="s">
        <v>2560</v>
      </c>
      <c r="J186" s="16">
        <v>63.0</v>
      </c>
      <c r="K186" s="8" t="s">
        <v>4097</v>
      </c>
      <c r="L186" s="8" t="s">
        <v>2682</v>
      </c>
      <c r="M186" s="18" t="s">
        <v>2589</v>
      </c>
      <c r="N186" s="16">
        <v>71.0</v>
      </c>
      <c r="O186" s="8" t="s">
        <v>4098</v>
      </c>
      <c r="P186" s="8" t="s">
        <v>186</v>
      </c>
      <c r="Q186" s="14" t="s">
        <v>2459</v>
      </c>
      <c r="R186" s="8" t="s">
        <v>2603</v>
      </c>
      <c r="S186" s="14" t="s">
        <v>2557</v>
      </c>
    </row>
    <row r="187">
      <c r="A187" s="8" t="s">
        <v>35</v>
      </c>
      <c r="B187" s="8" t="s">
        <v>34</v>
      </c>
      <c r="C187" s="8" t="s">
        <v>24</v>
      </c>
      <c r="D187" s="18" t="s">
        <v>2575</v>
      </c>
      <c r="E187" s="16">
        <v>81.0</v>
      </c>
      <c r="F187" s="8" t="s">
        <v>50</v>
      </c>
      <c r="G187" s="8" t="s">
        <v>49</v>
      </c>
      <c r="H187" s="8" t="s">
        <v>16</v>
      </c>
      <c r="I187" s="18" t="s">
        <v>2577</v>
      </c>
      <c r="J187" s="16">
        <v>91.0</v>
      </c>
      <c r="K187" s="8" t="s">
        <v>686</v>
      </c>
      <c r="L187" s="8" t="s">
        <v>222</v>
      </c>
      <c r="M187" s="18" t="s">
        <v>2621</v>
      </c>
      <c r="N187" s="16">
        <v>76.0</v>
      </c>
      <c r="O187" s="8" t="s">
        <v>4099</v>
      </c>
      <c r="P187" s="8" t="s">
        <v>75</v>
      </c>
      <c r="Q187" s="14" t="s">
        <v>237</v>
      </c>
      <c r="R187" s="8" t="s">
        <v>2585</v>
      </c>
      <c r="S187" s="14" t="s">
        <v>2579</v>
      </c>
    </row>
    <row r="188">
      <c r="A188" s="8" t="s">
        <v>136</v>
      </c>
      <c r="B188" s="8" t="s">
        <v>208</v>
      </c>
      <c r="C188" s="8" t="s">
        <v>80</v>
      </c>
      <c r="D188" s="18" t="s">
        <v>2566</v>
      </c>
      <c r="E188" s="16">
        <v>68.0</v>
      </c>
      <c r="F188" s="8" t="s">
        <v>50</v>
      </c>
      <c r="G188" s="8" t="s">
        <v>284</v>
      </c>
      <c r="H188" s="8" t="s">
        <v>141</v>
      </c>
      <c r="I188" s="18" t="s">
        <v>2621</v>
      </c>
      <c r="J188" s="16">
        <v>83.0</v>
      </c>
      <c r="K188" s="8" t="s">
        <v>686</v>
      </c>
      <c r="L188" s="8" t="s">
        <v>2791</v>
      </c>
      <c r="M188" s="18" t="s">
        <v>2605</v>
      </c>
      <c r="N188" s="16">
        <v>72.0</v>
      </c>
      <c r="O188" s="8" t="s">
        <v>4100</v>
      </c>
      <c r="P188" s="8" t="s">
        <v>59</v>
      </c>
      <c r="Q188" s="14" t="s">
        <v>1679</v>
      </c>
      <c r="R188" s="8" t="s">
        <v>2552</v>
      </c>
      <c r="S188" s="14" t="s">
        <v>2553</v>
      </c>
    </row>
    <row r="189">
      <c r="A189" s="8" t="s">
        <v>686</v>
      </c>
      <c r="B189" s="8" t="s">
        <v>685</v>
      </c>
      <c r="C189" s="8" t="s">
        <v>65</v>
      </c>
      <c r="D189" s="18" t="s">
        <v>2620</v>
      </c>
      <c r="E189" s="16">
        <v>71.0</v>
      </c>
      <c r="F189" s="8" t="s">
        <v>50</v>
      </c>
      <c r="G189" s="8" t="s">
        <v>266</v>
      </c>
      <c r="H189" s="8" t="s">
        <v>141</v>
      </c>
      <c r="I189" s="18" t="s">
        <v>2598</v>
      </c>
      <c r="J189" s="16">
        <v>66.0</v>
      </c>
      <c r="K189" s="8" t="s">
        <v>503</v>
      </c>
      <c r="L189" s="8" t="s">
        <v>502</v>
      </c>
      <c r="M189" s="18" t="s">
        <v>2605</v>
      </c>
      <c r="N189" s="16">
        <v>70.0</v>
      </c>
      <c r="O189" s="8" t="s">
        <v>4101</v>
      </c>
      <c r="P189" s="8" t="s">
        <v>141</v>
      </c>
      <c r="Q189" s="14" t="s">
        <v>338</v>
      </c>
      <c r="R189" s="8" t="s">
        <v>2621</v>
      </c>
      <c r="S189" s="14" t="s">
        <v>2586</v>
      </c>
    </row>
    <row r="190">
      <c r="A190" s="8" t="s">
        <v>686</v>
      </c>
      <c r="B190" s="8" t="s">
        <v>222</v>
      </c>
      <c r="C190" s="8" t="s">
        <v>122</v>
      </c>
      <c r="D190" s="18" t="s">
        <v>2564</v>
      </c>
      <c r="E190" s="16">
        <v>78.0</v>
      </c>
      <c r="F190" s="8" t="s">
        <v>50</v>
      </c>
      <c r="G190" s="8" t="s">
        <v>2150</v>
      </c>
      <c r="H190" s="8" t="s">
        <v>186</v>
      </c>
      <c r="I190" s="18" t="s">
        <v>2574</v>
      </c>
      <c r="J190" s="16">
        <v>63.0</v>
      </c>
      <c r="K190" s="8" t="s">
        <v>754</v>
      </c>
      <c r="L190" s="8" t="s">
        <v>753</v>
      </c>
      <c r="M190" s="18" t="s">
        <v>2589</v>
      </c>
      <c r="N190" s="16">
        <v>70.0</v>
      </c>
      <c r="O190" s="8" t="s">
        <v>4102</v>
      </c>
      <c r="P190" s="8" t="s">
        <v>24</v>
      </c>
      <c r="Q190" s="14" t="s">
        <v>1070</v>
      </c>
      <c r="R190" s="8" t="s">
        <v>2584</v>
      </c>
      <c r="S190" s="14" t="s">
        <v>2591</v>
      </c>
    </row>
    <row r="191">
      <c r="A191" s="8" t="s">
        <v>503</v>
      </c>
      <c r="B191" s="8" t="s">
        <v>502</v>
      </c>
      <c r="C191" s="8" t="s">
        <v>70</v>
      </c>
      <c r="D191" s="18" t="s">
        <v>2593</v>
      </c>
      <c r="E191" s="16">
        <v>74.0</v>
      </c>
      <c r="F191" s="8" t="s">
        <v>50</v>
      </c>
      <c r="G191" s="8" t="s">
        <v>3179</v>
      </c>
      <c r="H191" s="8" t="s">
        <v>186</v>
      </c>
      <c r="I191" s="18" t="s">
        <v>2574</v>
      </c>
      <c r="J191" s="16">
        <v>61.0</v>
      </c>
      <c r="K191" s="8" t="s">
        <v>2388</v>
      </c>
      <c r="L191" s="8" t="s">
        <v>2220</v>
      </c>
      <c r="M191" s="18" t="s">
        <v>2560</v>
      </c>
      <c r="N191" s="16">
        <v>79.0</v>
      </c>
      <c r="O191" s="8" t="s">
        <v>4103</v>
      </c>
      <c r="P191" s="8" t="s">
        <v>186</v>
      </c>
      <c r="Q191" s="14" t="s">
        <v>1679</v>
      </c>
      <c r="R191" s="8" t="s">
        <v>2183</v>
      </c>
      <c r="S191" s="14" t="s">
        <v>2609</v>
      </c>
    </row>
    <row r="192">
      <c r="A192" s="8" t="s">
        <v>754</v>
      </c>
      <c r="B192" s="8" t="s">
        <v>753</v>
      </c>
      <c r="C192" s="8" t="s">
        <v>138</v>
      </c>
      <c r="D192" s="18" t="s">
        <v>2614</v>
      </c>
      <c r="E192" s="16">
        <v>68.0</v>
      </c>
      <c r="F192" s="8" t="s">
        <v>50</v>
      </c>
      <c r="G192" s="8" t="s">
        <v>1801</v>
      </c>
      <c r="H192" s="8" t="s">
        <v>186</v>
      </c>
      <c r="I192" s="18" t="s">
        <v>2552</v>
      </c>
      <c r="J192" s="16">
        <v>65.0</v>
      </c>
      <c r="K192" s="8" t="s">
        <v>2388</v>
      </c>
      <c r="L192" s="8" t="s">
        <v>1548</v>
      </c>
      <c r="M192" s="18" t="s">
        <v>2605</v>
      </c>
      <c r="N192" s="16">
        <v>68.0</v>
      </c>
      <c r="O192" s="8" t="s">
        <v>4104</v>
      </c>
      <c r="P192" s="8" t="s">
        <v>75</v>
      </c>
      <c r="Q192" s="14" t="s">
        <v>2296</v>
      </c>
      <c r="R192" s="8" t="s">
        <v>2575</v>
      </c>
      <c r="S192" s="14" t="s">
        <v>2583</v>
      </c>
    </row>
    <row r="193">
      <c r="A193" s="8" t="s">
        <v>847</v>
      </c>
      <c r="B193" s="8" t="s">
        <v>1287</v>
      </c>
      <c r="C193" s="8" t="s">
        <v>70</v>
      </c>
      <c r="D193" s="18" t="s">
        <v>2560</v>
      </c>
      <c r="E193" s="16">
        <v>70.0</v>
      </c>
      <c r="F193" s="8" t="s">
        <v>1255</v>
      </c>
      <c r="G193" s="8" t="s">
        <v>1254</v>
      </c>
      <c r="H193" s="8" t="s">
        <v>186</v>
      </c>
      <c r="I193" s="18" t="s">
        <v>2562</v>
      </c>
      <c r="J193" s="16">
        <v>82.0</v>
      </c>
      <c r="K193" s="8" t="s">
        <v>1044</v>
      </c>
      <c r="L193" s="8" t="s">
        <v>1043</v>
      </c>
      <c r="M193" s="18" t="s">
        <v>2620</v>
      </c>
      <c r="N193" s="16">
        <v>69.0</v>
      </c>
      <c r="O193" s="8" t="s">
        <v>4105</v>
      </c>
      <c r="P193" s="8" t="s">
        <v>16</v>
      </c>
      <c r="Q193" s="14" t="s">
        <v>39</v>
      </c>
      <c r="R193" s="8" t="s">
        <v>2577</v>
      </c>
      <c r="S193" s="14" t="s">
        <v>2625</v>
      </c>
    </row>
    <row r="194">
      <c r="A194" s="8" t="s">
        <v>847</v>
      </c>
      <c r="B194" s="8" t="s">
        <v>3410</v>
      </c>
      <c r="C194" s="8" t="s">
        <v>65</v>
      </c>
      <c r="D194" s="18" t="s">
        <v>2592</v>
      </c>
      <c r="E194" s="16">
        <v>59.0</v>
      </c>
      <c r="F194" s="8" t="s">
        <v>2683</v>
      </c>
      <c r="G194" s="8" t="s">
        <v>2682</v>
      </c>
      <c r="H194" s="8" t="s">
        <v>93</v>
      </c>
      <c r="I194" s="18" t="s">
        <v>2610</v>
      </c>
      <c r="J194" s="16">
        <v>69.0</v>
      </c>
      <c r="K194" s="8" t="s">
        <v>1044</v>
      </c>
      <c r="L194" s="8" t="s">
        <v>1579</v>
      </c>
      <c r="M194" s="18" t="s">
        <v>2610</v>
      </c>
      <c r="N194" s="16">
        <v>76.0</v>
      </c>
      <c r="O194" s="8" t="s">
        <v>4106</v>
      </c>
      <c r="P194" s="8" t="s">
        <v>186</v>
      </c>
      <c r="Q194" s="14" t="s">
        <v>1070</v>
      </c>
      <c r="R194" s="8" t="s">
        <v>2562</v>
      </c>
      <c r="S194" s="14" t="s">
        <v>2578</v>
      </c>
    </row>
    <row r="195">
      <c r="A195" s="8" t="s">
        <v>2388</v>
      </c>
      <c r="B195" s="8" t="s">
        <v>2220</v>
      </c>
      <c r="C195" s="8" t="s">
        <v>70</v>
      </c>
      <c r="D195" s="18" t="s">
        <v>2560</v>
      </c>
      <c r="E195" s="16">
        <v>78.0</v>
      </c>
      <c r="F195" s="8" t="s">
        <v>35</v>
      </c>
      <c r="G195" s="8" t="s">
        <v>34</v>
      </c>
      <c r="H195" s="8" t="s">
        <v>24</v>
      </c>
      <c r="I195" s="18" t="s">
        <v>2575</v>
      </c>
      <c r="J195" s="16">
        <v>80.0</v>
      </c>
      <c r="K195" s="8" t="s">
        <v>514</v>
      </c>
      <c r="L195" s="8" t="s">
        <v>2733</v>
      </c>
      <c r="M195" s="18" t="s">
        <v>2574</v>
      </c>
      <c r="N195" s="16">
        <v>67.0</v>
      </c>
      <c r="O195" s="8" t="s">
        <v>4107</v>
      </c>
      <c r="P195" s="8" t="s">
        <v>24</v>
      </c>
      <c r="Q195" s="14" t="s">
        <v>27</v>
      </c>
      <c r="R195" s="8" t="s">
        <v>2600</v>
      </c>
      <c r="S195" s="14" t="s">
        <v>2588</v>
      </c>
    </row>
    <row r="196">
      <c r="A196" s="8" t="s">
        <v>1044</v>
      </c>
      <c r="B196" s="8" t="s">
        <v>1043</v>
      </c>
      <c r="C196" s="8" t="s">
        <v>132</v>
      </c>
      <c r="D196" s="18" t="s">
        <v>2581</v>
      </c>
      <c r="E196" s="16">
        <v>68.0</v>
      </c>
      <c r="F196" s="8" t="s">
        <v>686</v>
      </c>
      <c r="G196" s="8" t="s">
        <v>2791</v>
      </c>
      <c r="H196" s="8" t="s">
        <v>65</v>
      </c>
      <c r="I196" s="18" t="s">
        <v>2620</v>
      </c>
      <c r="J196" s="16">
        <v>71.0</v>
      </c>
      <c r="K196" s="8" t="s">
        <v>514</v>
      </c>
      <c r="L196" s="8" t="s">
        <v>513</v>
      </c>
      <c r="M196" s="18" t="s">
        <v>2621</v>
      </c>
      <c r="N196" s="16">
        <v>73.0</v>
      </c>
      <c r="O196" s="8" t="s">
        <v>4108</v>
      </c>
      <c r="P196" s="8" t="s">
        <v>80</v>
      </c>
      <c r="Q196" s="14" t="s">
        <v>837</v>
      </c>
      <c r="R196" s="8" t="s">
        <v>2575</v>
      </c>
      <c r="S196" s="14" t="s">
        <v>2594</v>
      </c>
    </row>
    <row r="197">
      <c r="A197" s="8" t="s">
        <v>1044</v>
      </c>
      <c r="B197" s="8" t="s">
        <v>3502</v>
      </c>
      <c r="C197" s="8" t="s">
        <v>215</v>
      </c>
      <c r="D197" s="18" t="s">
        <v>2620</v>
      </c>
      <c r="E197" s="16">
        <v>67.0</v>
      </c>
      <c r="F197" s="8" t="s">
        <v>686</v>
      </c>
      <c r="G197" s="8" t="s">
        <v>222</v>
      </c>
      <c r="H197" s="8" t="s">
        <v>122</v>
      </c>
      <c r="I197" s="18" t="s">
        <v>2183</v>
      </c>
      <c r="J197" s="16">
        <v>78.0</v>
      </c>
      <c r="K197" s="8" t="s">
        <v>1090</v>
      </c>
      <c r="L197" s="8" t="s">
        <v>106</v>
      </c>
      <c r="M197" s="18" t="s">
        <v>2584</v>
      </c>
      <c r="N197" s="16">
        <v>72.0</v>
      </c>
      <c r="O197" s="8" t="s">
        <v>4109</v>
      </c>
      <c r="P197" s="8" t="s">
        <v>65</v>
      </c>
      <c r="Q197" s="14" t="s">
        <v>631</v>
      </c>
      <c r="R197" s="8" t="s">
        <v>2566</v>
      </c>
      <c r="S197" s="14" t="s">
        <v>2573</v>
      </c>
    </row>
    <row r="198">
      <c r="A198" s="8" t="s">
        <v>3176</v>
      </c>
      <c r="B198" s="8" t="s">
        <v>1962</v>
      </c>
      <c r="C198" s="8" t="s">
        <v>70</v>
      </c>
      <c r="D198" s="18" t="s">
        <v>2621</v>
      </c>
      <c r="E198" s="16">
        <v>73.0</v>
      </c>
      <c r="F198" s="8" t="s">
        <v>503</v>
      </c>
      <c r="G198" s="8" t="s">
        <v>3220</v>
      </c>
      <c r="H198" s="8" t="s">
        <v>70</v>
      </c>
      <c r="I198" s="18" t="s">
        <v>2605</v>
      </c>
      <c r="J198" s="16">
        <v>74.0</v>
      </c>
      <c r="K198" s="8" t="s">
        <v>647</v>
      </c>
      <c r="L198" s="8" t="s">
        <v>1526</v>
      </c>
      <c r="M198" s="18" t="s">
        <v>2558</v>
      </c>
      <c r="N198" s="16">
        <v>79.0</v>
      </c>
      <c r="O198" s="8" t="s">
        <v>4110</v>
      </c>
      <c r="P198" s="8" t="s">
        <v>70</v>
      </c>
      <c r="Q198" s="14" t="s">
        <v>459</v>
      </c>
      <c r="R198" s="8" t="s">
        <v>2584</v>
      </c>
      <c r="S198" s="14" t="s">
        <v>2568</v>
      </c>
    </row>
    <row r="199">
      <c r="A199" s="8" t="s">
        <v>3896</v>
      </c>
      <c r="B199" s="8" t="s">
        <v>3895</v>
      </c>
      <c r="C199" s="8" t="s">
        <v>138</v>
      </c>
      <c r="D199" s="18" t="s">
        <v>2584</v>
      </c>
      <c r="E199" s="16">
        <v>74.0</v>
      </c>
      <c r="F199" s="8" t="s">
        <v>754</v>
      </c>
      <c r="G199" s="8" t="s">
        <v>753</v>
      </c>
      <c r="H199" s="8" t="s">
        <v>215</v>
      </c>
      <c r="I199" s="18" t="s">
        <v>2614</v>
      </c>
      <c r="J199" s="16">
        <v>74.0</v>
      </c>
      <c r="K199" s="8" t="s">
        <v>647</v>
      </c>
      <c r="L199" s="8" t="s">
        <v>857</v>
      </c>
      <c r="M199" s="18" t="s">
        <v>2584</v>
      </c>
      <c r="N199" s="16">
        <v>80.0</v>
      </c>
      <c r="O199" s="8" t="s">
        <v>4111</v>
      </c>
      <c r="P199" s="8" t="s">
        <v>70</v>
      </c>
      <c r="Q199" s="14" t="s">
        <v>2459</v>
      </c>
      <c r="R199" s="8" t="s">
        <v>2577</v>
      </c>
      <c r="S199" s="14" t="s">
        <v>2557</v>
      </c>
    </row>
    <row r="200">
      <c r="A200" s="8" t="s">
        <v>514</v>
      </c>
      <c r="B200" s="8" t="s">
        <v>513</v>
      </c>
      <c r="C200" s="8" t="s">
        <v>16</v>
      </c>
      <c r="D200" s="18" t="s">
        <v>2585</v>
      </c>
      <c r="E200" s="16">
        <v>74.0</v>
      </c>
      <c r="F200" s="8" t="s">
        <v>847</v>
      </c>
      <c r="G200" s="8" t="s">
        <v>1287</v>
      </c>
      <c r="H200" s="8" t="s">
        <v>70</v>
      </c>
      <c r="I200" s="18" t="s">
        <v>2620</v>
      </c>
      <c r="J200" s="16">
        <v>69.0</v>
      </c>
      <c r="K200" s="8" t="s">
        <v>647</v>
      </c>
      <c r="L200" s="8" t="s">
        <v>1132</v>
      </c>
      <c r="M200" s="18" t="s">
        <v>2593</v>
      </c>
      <c r="N200" s="16">
        <v>69.0</v>
      </c>
      <c r="O200" s="8" t="s">
        <v>4112</v>
      </c>
      <c r="P200" s="8" t="s">
        <v>138</v>
      </c>
      <c r="Q200" s="14" t="s">
        <v>631</v>
      </c>
      <c r="R200" s="18" t="s">
        <v>2556</v>
      </c>
      <c r="S200" s="14" t="s">
        <v>2602</v>
      </c>
    </row>
    <row r="201">
      <c r="A201" s="8" t="s">
        <v>1090</v>
      </c>
      <c r="B201" s="8" t="s">
        <v>3496</v>
      </c>
      <c r="C201" s="8" t="s">
        <v>12</v>
      </c>
      <c r="D201" s="18" t="s">
        <v>2552</v>
      </c>
      <c r="E201" s="16">
        <v>81.0</v>
      </c>
      <c r="F201" s="8" t="s">
        <v>847</v>
      </c>
      <c r="G201" s="8" t="s">
        <v>3410</v>
      </c>
      <c r="H201" s="8" t="s">
        <v>65</v>
      </c>
      <c r="I201" s="18" t="s">
        <v>2592</v>
      </c>
      <c r="J201" s="16">
        <v>60.0</v>
      </c>
      <c r="K201" s="8" t="s">
        <v>647</v>
      </c>
      <c r="L201" s="8" t="s">
        <v>646</v>
      </c>
      <c r="M201" s="18" t="s">
        <v>2552</v>
      </c>
      <c r="N201" s="16">
        <v>64.0</v>
      </c>
      <c r="O201" s="8" t="s">
        <v>4113</v>
      </c>
      <c r="P201" s="8" t="s">
        <v>138</v>
      </c>
      <c r="Q201" s="14" t="s">
        <v>2296</v>
      </c>
      <c r="R201" s="8" t="s">
        <v>2605</v>
      </c>
      <c r="S201" s="14" t="s">
        <v>2553</v>
      </c>
    </row>
    <row r="202">
      <c r="A202" s="8" t="s">
        <v>647</v>
      </c>
      <c r="B202" s="8" t="s">
        <v>3524</v>
      </c>
      <c r="C202" s="8" t="s">
        <v>24</v>
      </c>
      <c r="D202" s="18" t="s">
        <v>2587</v>
      </c>
      <c r="E202" s="16">
        <v>63.0</v>
      </c>
      <c r="F202" s="8" t="s">
        <v>2388</v>
      </c>
      <c r="G202" s="8" t="s">
        <v>2220</v>
      </c>
      <c r="H202" s="8" t="s">
        <v>70</v>
      </c>
      <c r="I202" s="18" t="s">
        <v>2560</v>
      </c>
      <c r="J202" s="16">
        <v>81.0</v>
      </c>
      <c r="K202" s="8" t="s">
        <v>647</v>
      </c>
      <c r="L202" s="8" t="s">
        <v>1485</v>
      </c>
      <c r="M202" s="18" t="s">
        <v>2614</v>
      </c>
      <c r="N202" s="16">
        <v>69.0</v>
      </c>
      <c r="O202" s="8" t="s">
        <v>4114</v>
      </c>
      <c r="P202" s="8" t="s">
        <v>24</v>
      </c>
      <c r="Q202" s="14" t="s">
        <v>1070</v>
      </c>
      <c r="R202" s="8" t="s">
        <v>2567</v>
      </c>
      <c r="S202" s="14" t="s">
        <v>2563</v>
      </c>
    </row>
    <row r="203">
      <c r="A203" s="8" t="s">
        <v>647</v>
      </c>
      <c r="B203" s="8" t="s">
        <v>646</v>
      </c>
      <c r="C203" s="8" t="s">
        <v>24</v>
      </c>
      <c r="D203" s="18" t="s">
        <v>2585</v>
      </c>
      <c r="E203" s="16">
        <v>65.0</v>
      </c>
      <c r="F203" s="8" t="s">
        <v>1044</v>
      </c>
      <c r="G203" s="8" t="s">
        <v>3502</v>
      </c>
      <c r="H203" s="8" t="s">
        <v>138</v>
      </c>
      <c r="I203" s="18" t="s">
        <v>2620</v>
      </c>
      <c r="J203" s="16">
        <v>68.0</v>
      </c>
      <c r="K203" s="8" t="s">
        <v>624</v>
      </c>
      <c r="L203" s="8" t="s">
        <v>623</v>
      </c>
      <c r="M203" s="18" t="s">
        <v>2598</v>
      </c>
      <c r="N203" s="16">
        <v>72.0</v>
      </c>
      <c r="O203" s="8" t="s">
        <v>4115</v>
      </c>
      <c r="P203" s="8" t="s">
        <v>141</v>
      </c>
      <c r="Q203" s="14" t="s">
        <v>1679</v>
      </c>
      <c r="R203" s="8" t="s">
        <v>2610</v>
      </c>
      <c r="S203" s="14" t="s">
        <v>2573</v>
      </c>
    </row>
    <row r="204">
      <c r="A204" s="8" t="s">
        <v>647</v>
      </c>
      <c r="B204" s="8" t="s">
        <v>857</v>
      </c>
      <c r="C204" s="8" t="s">
        <v>16</v>
      </c>
      <c r="D204" s="18" t="s">
        <v>2584</v>
      </c>
      <c r="E204" s="16">
        <v>82.0</v>
      </c>
      <c r="F204" s="8" t="s">
        <v>1044</v>
      </c>
      <c r="G204" s="8" t="s">
        <v>1043</v>
      </c>
      <c r="H204" s="8" t="s">
        <v>132</v>
      </c>
      <c r="I204" s="18" t="s">
        <v>2620</v>
      </c>
      <c r="J204" s="16">
        <v>68.0</v>
      </c>
      <c r="K204" s="8" t="s">
        <v>2412</v>
      </c>
      <c r="L204" s="8" t="s">
        <v>2411</v>
      </c>
      <c r="M204" s="18" t="s">
        <v>2614</v>
      </c>
      <c r="N204" s="16">
        <v>71.0</v>
      </c>
      <c r="O204" s="8" t="s">
        <v>4116</v>
      </c>
      <c r="P204" s="8" t="s">
        <v>75</v>
      </c>
      <c r="Q204" s="14" t="s">
        <v>837</v>
      </c>
      <c r="R204" s="8" t="s">
        <v>2558</v>
      </c>
      <c r="S204" s="14" t="s">
        <v>2555</v>
      </c>
    </row>
    <row r="205">
      <c r="A205" s="8" t="s">
        <v>647</v>
      </c>
      <c r="B205" s="8" t="s">
        <v>1132</v>
      </c>
      <c r="C205" s="8" t="s">
        <v>192</v>
      </c>
      <c r="D205" s="18" t="s">
        <v>2564</v>
      </c>
      <c r="E205" s="16">
        <v>67.0</v>
      </c>
      <c r="F205" s="8" t="s">
        <v>3176</v>
      </c>
      <c r="G205" s="8" t="s">
        <v>1962</v>
      </c>
      <c r="H205" s="8" t="s">
        <v>70</v>
      </c>
      <c r="I205" s="18" t="s">
        <v>2552</v>
      </c>
      <c r="J205" s="16">
        <v>72.0</v>
      </c>
      <c r="K205" s="8" t="s">
        <v>399</v>
      </c>
      <c r="L205" s="8" t="s">
        <v>1468</v>
      </c>
      <c r="M205" s="18" t="s">
        <v>2610</v>
      </c>
      <c r="N205" s="16">
        <v>66.0</v>
      </c>
      <c r="O205" s="8" t="s">
        <v>4117</v>
      </c>
      <c r="P205" s="8" t="s">
        <v>16</v>
      </c>
      <c r="Q205" s="14" t="s">
        <v>459</v>
      </c>
      <c r="R205" s="8" t="s">
        <v>2592</v>
      </c>
      <c r="S205" s="14" t="s">
        <v>2594</v>
      </c>
    </row>
    <row r="206">
      <c r="A206" s="8" t="s">
        <v>647</v>
      </c>
      <c r="B206" s="8" t="s">
        <v>1526</v>
      </c>
      <c r="C206" s="8" t="s">
        <v>186</v>
      </c>
      <c r="D206" s="18" t="s">
        <v>2558</v>
      </c>
      <c r="E206" s="16">
        <v>67.0</v>
      </c>
      <c r="F206" s="8" t="s">
        <v>514</v>
      </c>
      <c r="G206" s="8" t="s">
        <v>513</v>
      </c>
      <c r="H206" s="8" t="s">
        <v>16</v>
      </c>
      <c r="I206" s="18" t="s">
        <v>2589</v>
      </c>
      <c r="J206" s="16">
        <v>72.0</v>
      </c>
      <c r="K206" s="8" t="s">
        <v>399</v>
      </c>
      <c r="L206" s="8" t="s">
        <v>1250</v>
      </c>
      <c r="M206" s="18" t="s">
        <v>2581</v>
      </c>
      <c r="N206" s="16">
        <v>77.0</v>
      </c>
      <c r="O206" s="8" t="s">
        <v>4118</v>
      </c>
      <c r="P206" s="8" t="s">
        <v>24</v>
      </c>
      <c r="Q206" s="14" t="s">
        <v>631</v>
      </c>
      <c r="R206" s="8" t="s">
        <v>2183</v>
      </c>
      <c r="S206" s="14" t="s">
        <v>2583</v>
      </c>
    </row>
    <row r="207">
      <c r="A207" s="8" t="s">
        <v>624</v>
      </c>
      <c r="B207" s="8" t="s">
        <v>623</v>
      </c>
      <c r="C207" s="8" t="s">
        <v>93</v>
      </c>
      <c r="D207" s="18" t="s">
        <v>2621</v>
      </c>
      <c r="E207" s="16">
        <v>71.0</v>
      </c>
      <c r="F207" s="8" t="s">
        <v>1090</v>
      </c>
      <c r="G207" s="8" t="s">
        <v>106</v>
      </c>
      <c r="H207" s="8" t="s">
        <v>53</v>
      </c>
      <c r="I207" s="18" t="s">
        <v>2584</v>
      </c>
      <c r="J207" s="16">
        <v>68.0</v>
      </c>
      <c r="K207" s="8" t="s">
        <v>399</v>
      </c>
      <c r="L207" s="8" t="s">
        <v>398</v>
      </c>
      <c r="M207" s="18" t="s">
        <v>2605</v>
      </c>
      <c r="N207" s="16">
        <v>76.0</v>
      </c>
      <c r="O207" s="8" t="s">
        <v>4119</v>
      </c>
      <c r="P207" s="8" t="s">
        <v>16</v>
      </c>
      <c r="Q207" s="14" t="s">
        <v>837</v>
      </c>
      <c r="R207" s="8" t="s">
        <v>2593</v>
      </c>
      <c r="S207" s="14" t="s">
        <v>2557</v>
      </c>
    </row>
    <row r="208">
      <c r="A208" s="8" t="s">
        <v>399</v>
      </c>
      <c r="B208" s="8" t="s">
        <v>1468</v>
      </c>
      <c r="C208" s="8" t="s">
        <v>149</v>
      </c>
      <c r="D208" s="18" t="s">
        <v>2566</v>
      </c>
      <c r="E208" s="16">
        <v>67.0</v>
      </c>
      <c r="F208" s="8" t="s">
        <v>1090</v>
      </c>
      <c r="G208" s="8" t="s">
        <v>3496</v>
      </c>
      <c r="H208" s="8" t="s">
        <v>12</v>
      </c>
      <c r="I208" s="18" t="s">
        <v>2603</v>
      </c>
      <c r="J208" s="16">
        <v>72.0</v>
      </c>
      <c r="K208" s="8" t="s">
        <v>2025</v>
      </c>
      <c r="L208" s="8" t="s">
        <v>3141</v>
      </c>
      <c r="M208" s="18" t="s">
        <v>2592</v>
      </c>
      <c r="N208" s="16">
        <v>66.0</v>
      </c>
      <c r="O208" s="8" t="s">
        <v>4120</v>
      </c>
      <c r="P208" s="8" t="s">
        <v>186</v>
      </c>
      <c r="Q208" s="14" t="s">
        <v>2033</v>
      </c>
      <c r="R208" s="8" t="s">
        <v>2560</v>
      </c>
      <c r="S208" s="14" t="s">
        <v>2622</v>
      </c>
    </row>
    <row r="209">
      <c r="A209" s="8" t="s">
        <v>399</v>
      </c>
      <c r="B209" s="8" t="s">
        <v>398</v>
      </c>
      <c r="C209" s="8" t="s">
        <v>149</v>
      </c>
      <c r="D209" s="18" t="s">
        <v>2605</v>
      </c>
      <c r="E209" s="16">
        <v>75.0</v>
      </c>
      <c r="F209" s="8" t="s">
        <v>647</v>
      </c>
      <c r="G209" s="8" t="s">
        <v>646</v>
      </c>
      <c r="H209" s="8" t="s">
        <v>24</v>
      </c>
      <c r="I209" s="18" t="s">
        <v>2585</v>
      </c>
      <c r="J209" s="16">
        <v>65.0</v>
      </c>
      <c r="K209" s="8" t="s">
        <v>1965</v>
      </c>
      <c r="L209" s="8" t="s">
        <v>1031</v>
      </c>
      <c r="M209" s="18" t="s">
        <v>2595</v>
      </c>
      <c r="N209" s="16">
        <v>70.0</v>
      </c>
      <c r="O209" s="8" t="s">
        <v>4121</v>
      </c>
      <c r="P209" s="8" t="s">
        <v>192</v>
      </c>
      <c r="Q209" s="14" t="s">
        <v>1070</v>
      </c>
      <c r="R209" s="8" t="s">
        <v>2564</v>
      </c>
      <c r="S209" s="14" t="s">
        <v>2568</v>
      </c>
    </row>
    <row r="210">
      <c r="A210" s="8" t="s">
        <v>399</v>
      </c>
      <c r="B210" s="8" t="s">
        <v>1250</v>
      </c>
      <c r="C210" s="8" t="s">
        <v>93</v>
      </c>
      <c r="D210" s="18" t="s">
        <v>2581</v>
      </c>
      <c r="E210" s="16">
        <v>71.0</v>
      </c>
      <c r="F210" s="8" t="s">
        <v>647</v>
      </c>
      <c r="G210" s="8" t="s">
        <v>1619</v>
      </c>
      <c r="H210" s="8" t="s">
        <v>70</v>
      </c>
      <c r="I210" s="18" t="s">
        <v>2592</v>
      </c>
      <c r="J210" s="16">
        <v>54.0</v>
      </c>
      <c r="K210" s="8" t="s">
        <v>1604</v>
      </c>
      <c r="L210" s="8" t="s">
        <v>2871</v>
      </c>
      <c r="M210" s="18" t="s">
        <v>2567</v>
      </c>
      <c r="N210" s="16">
        <v>66.0</v>
      </c>
      <c r="O210" s="8" t="s">
        <v>4122</v>
      </c>
      <c r="P210" s="8" t="s">
        <v>65</v>
      </c>
      <c r="Q210" s="14" t="s">
        <v>1352</v>
      </c>
      <c r="R210" s="8" t="s">
        <v>2615</v>
      </c>
      <c r="S210" s="14" t="s">
        <v>2580</v>
      </c>
    </row>
    <row r="211">
      <c r="A211" s="8" t="s">
        <v>399</v>
      </c>
      <c r="B211" s="8" t="s">
        <v>3811</v>
      </c>
      <c r="C211" s="8" t="s">
        <v>70</v>
      </c>
      <c r="D211" s="18" t="s">
        <v>2566</v>
      </c>
      <c r="E211" s="16">
        <v>73.0</v>
      </c>
      <c r="F211" s="8" t="s">
        <v>647</v>
      </c>
      <c r="G211" s="8" t="s">
        <v>1132</v>
      </c>
      <c r="H211" s="8" t="s">
        <v>93</v>
      </c>
      <c r="I211" s="18" t="s">
        <v>2593</v>
      </c>
      <c r="J211" s="16">
        <v>65.0</v>
      </c>
      <c r="K211" s="8" t="s">
        <v>1604</v>
      </c>
      <c r="L211" s="8" t="s">
        <v>1603</v>
      </c>
      <c r="M211" s="18" t="s">
        <v>2592</v>
      </c>
      <c r="N211" s="16">
        <v>66.0</v>
      </c>
      <c r="O211" s="8" t="s">
        <v>4123</v>
      </c>
      <c r="P211" s="8" t="s">
        <v>24</v>
      </c>
      <c r="Q211" s="14" t="s">
        <v>1352</v>
      </c>
      <c r="R211" s="8" t="s">
        <v>2614</v>
      </c>
      <c r="S211" s="14" t="s">
        <v>2602</v>
      </c>
    </row>
    <row r="212">
      <c r="A212" s="8" t="s">
        <v>399</v>
      </c>
      <c r="B212" s="8" t="s">
        <v>786</v>
      </c>
      <c r="C212" s="8" t="s">
        <v>215</v>
      </c>
      <c r="D212" s="18" t="s">
        <v>2595</v>
      </c>
      <c r="E212" s="16">
        <v>66.0</v>
      </c>
      <c r="F212" s="8" t="s">
        <v>647</v>
      </c>
      <c r="G212" s="8" t="s">
        <v>1485</v>
      </c>
      <c r="H212" s="8" t="s">
        <v>24</v>
      </c>
      <c r="I212" s="18" t="s">
        <v>2614</v>
      </c>
      <c r="J212" s="16">
        <v>67.0</v>
      </c>
      <c r="K212" s="8" t="s">
        <v>1604</v>
      </c>
      <c r="L212" s="8" t="s">
        <v>3143</v>
      </c>
      <c r="M212" s="18" t="s">
        <v>2645</v>
      </c>
      <c r="N212" s="16">
        <v>75.0</v>
      </c>
      <c r="O212" s="8" t="s">
        <v>4124</v>
      </c>
      <c r="P212" s="8" t="s">
        <v>186</v>
      </c>
      <c r="Q212" s="14" t="s">
        <v>1352</v>
      </c>
      <c r="R212" s="8" t="s">
        <v>2558</v>
      </c>
      <c r="S212" s="14" t="s">
        <v>2588</v>
      </c>
    </row>
    <row r="213">
      <c r="A213" s="8" t="s">
        <v>399</v>
      </c>
      <c r="B213" s="8" t="s">
        <v>611</v>
      </c>
      <c r="C213" s="8" t="s">
        <v>186</v>
      </c>
      <c r="D213" s="18" t="s">
        <v>2603</v>
      </c>
      <c r="E213" s="16">
        <v>88.0</v>
      </c>
      <c r="F213" s="8" t="s">
        <v>647</v>
      </c>
      <c r="G213" s="8" t="s">
        <v>1526</v>
      </c>
      <c r="H213" s="8" t="s">
        <v>186</v>
      </c>
      <c r="I213" s="18" t="s">
        <v>2558</v>
      </c>
      <c r="J213" s="16">
        <v>74.0</v>
      </c>
      <c r="K213" s="8" t="s">
        <v>1379</v>
      </c>
      <c r="L213" s="8" t="s">
        <v>99</v>
      </c>
      <c r="M213" s="18" t="s">
        <v>2567</v>
      </c>
      <c r="N213" s="16">
        <v>75.0</v>
      </c>
      <c r="O213" s="8" t="s">
        <v>4125</v>
      </c>
      <c r="P213" s="8" t="s">
        <v>93</v>
      </c>
      <c r="Q213" s="14" t="s">
        <v>2033</v>
      </c>
      <c r="R213" s="8" t="s">
        <v>2560</v>
      </c>
      <c r="S213" s="14" t="s">
        <v>2576</v>
      </c>
    </row>
    <row r="214">
      <c r="A214" s="8" t="s">
        <v>1604</v>
      </c>
      <c r="B214" s="8" t="s">
        <v>3377</v>
      </c>
      <c r="C214" s="8" t="s">
        <v>38</v>
      </c>
      <c r="D214" s="18" t="s">
        <v>2584</v>
      </c>
      <c r="E214" s="16">
        <v>81.0</v>
      </c>
      <c r="F214" s="8" t="s">
        <v>647</v>
      </c>
      <c r="G214" s="8" t="s">
        <v>857</v>
      </c>
      <c r="H214" s="8" t="s">
        <v>16</v>
      </c>
      <c r="I214" s="18" t="s">
        <v>2584</v>
      </c>
      <c r="J214" s="16">
        <v>77.0</v>
      </c>
      <c r="K214" s="8" t="s">
        <v>436</v>
      </c>
      <c r="L214" s="8" t="s">
        <v>435</v>
      </c>
      <c r="M214" s="18" t="s">
        <v>2605</v>
      </c>
      <c r="N214" s="16">
        <v>68.0</v>
      </c>
      <c r="O214" s="8" t="s">
        <v>4126</v>
      </c>
      <c r="P214" s="8" t="s">
        <v>93</v>
      </c>
      <c r="Q214" s="14" t="s">
        <v>459</v>
      </c>
      <c r="R214" s="8" t="s">
        <v>2598</v>
      </c>
      <c r="S214" s="14" t="s">
        <v>2576</v>
      </c>
    </row>
    <row r="215">
      <c r="A215" s="8" t="s">
        <v>1604</v>
      </c>
      <c r="B215" s="8" t="s">
        <v>3143</v>
      </c>
      <c r="C215" s="8" t="s">
        <v>38</v>
      </c>
      <c r="D215" s="18" t="s">
        <v>2566</v>
      </c>
      <c r="E215" s="16">
        <v>76.0</v>
      </c>
      <c r="F215" s="8" t="s">
        <v>624</v>
      </c>
      <c r="G215" s="8" t="s">
        <v>623</v>
      </c>
      <c r="H215" s="8" t="s">
        <v>93</v>
      </c>
      <c r="I215" s="18" t="s">
        <v>2598</v>
      </c>
      <c r="J215" s="16">
        <v>71.0</v>
      </c>
      <c r="K215" s="8" t="s">
        <v>436</v>
      </c>
      <c r="L215" s="8" t="s">
        <v>2007</v>
      </c>
      <c r="M215" s="18" t="s">
        <v>2554</v>
      </c>
      <c r="N215" s="16">
        <v>65.0</v>
      </c>
      <c r="O215" s="8" t="s">
        <v>4127</v>
      </c>
      <c r="P215" s="8" t="s">
        <v>70</v>
      </c>
      <c r="Q215" s="14" t="s">
        <v>2296</v>
      </c>
      <c r="R215" s="8" t="s">
        <v>2603</v>
      </c>
      <c r="S215" s="14" t="s">
        <v>2576</v>
      </c>
    </row>
    <row r="216">
      <c r="A216" s="8" t="s">
        <v>436</v>
      </c>
      <c r="B216" s="8" t="s">
        <v>2007</v>
      </c>
      <c r="C216" s="8" t="s">
        <v>65</v>
      </c>
      <c r="D216" s="18" t="s">
        <v>2593</v>
      </c>
      <c r="E216" s="16">
        <v>63.0</v>
      </c>
      <c r="F216" s="8" t="s">
        <v>399</v>
      </c>
      <c r="G216" s="8" t="s">
        <v>1250</v>
      </c>
      <c r="H216" s="8" t="s">
        <v>93</v>
      </c>
      <c r="I216" s="18" t="s">
        <v>2581</v>
      </c>
      <c r="J216" s="16">
        <v>74.0</v>
      </c>
      <c r="K216" s="8" t="s">
        <v>436</v>
      </c>
      <c r="L216" s="8" t="s">
        <v>1018</v>
      </c>
      <c r="M216" s="18" t="s">
        <v>2620</v>
      </c>
      <c r="N216" s="16">
        <v>81.0</v>
      </c>
      <c r="O216" s="8" t="s">
        <v>4128</v>
      </c>
      <c r="P216" s="8" t="s">
        <v>46</v>
      </c>
      <c r="Q216" s="14" t="s">
        <v>2296</v>
      </c>
      <c r="R216" s="8" t="s">
        <v>2593</v>
      </c>
      <c r="S216" s="14" t="s">
        <v>2583</v>
      </c>
    </row>
    <row r="217">
      <c r="A217" s="8" t="s">
        <v>436</v>
      </c>
      <c r="B217" s="8" t="s">
        <v>756</v>
      </c>
      <c r="C217" s="8" t="s">
        <v>80</v>
      </c>
      <c r="D217" s="18" t="s">
        <v>2592</v>
      </c>
      <c r="E217" s="16">
        <v>77.0</v>
      </c>
      <c r="F217" s="8" t="s">
        <v>399</v>
      </c>
      <c r="G217" s="8" t="s">
        <v>398</v>
      </c>
      <c r="H217" s="8" t="s">
        <v>149</v>
      </c>
      <c r="I217" s="18" t="s">
        <v>2605</v>
      </c>
      <c r="J217" s="16">
        <v>73.0</v>
      </c>
      <c r="K217" s="8" t="s">
        <v>436</v>
      </c>
      <c r="L217" s="8" t="s">
        <v>1572</v>
      </c>
      <c r="M217" s="18" t="s">
        <v>2585</v>
      </c>
      <c r="N217" s="16">
        <v>80.0</v>
      </c>
      <c r="O217" s="8" t="s">
        <v>4129</v>
      </c>
      <c r="P217" s="8" t="s">
        <v>149</v>
      </c>
      <c r="Q217" s="14" t="s">
        <v>1352</v>
      </c>
      <c r="R217" s="8" t="s">
        <v>2610</v>
      </c>
      <c r="S217" s="14" t="s">
        <v>2583</v>
      </c>
    </row>
    <row r="218">
      <c r="A218" s="8" t="s">
        <v>436</v>
      </c>
      <c r="B218" s="8" t="s">
        <v>1572</v>
      </c>
      <c r="C218" s="8" t="s">
        <v>38</v>
      </c>
      <c r="D218" s="18" t="s">
        <v>2585</v>
      </c>
      <c r="E218" s="16">
        <v>77.0</v>
      </c>
      <c r="F218" s="8" t="s">
        <v>399</v>
      </c>
      <c r="G218" s="8" t="s">
        <v>1468</v>
      </c>
      <c r="H218" s="8" t="s">
        <v>149</v>
      </c>
      <c r="I218" s="18" t="s">
        <v>2566</v>
      </c>
      <c r="J218" s="16">
        <v>70.0</v>
      </c>
      <c r="K218" s="8" t="s">
        <v>436</v>
      </c>
      <c r="L218" s="8" t="s">
        <v>756</v>
      </c>
      <c r="M218" s="18" t="s">
        <v>2603</v>
      </c>
      <c r="N218" s="16">
        <v>76.0</v>
      </c>
      <c r="O218" s="8" t="s">
        <v>4130</v>
      </c>
      <c r="P218" s="8" t="s">
        <v>149</v>
      </c>
      <c r="Q218" s="14" t="s">
        <v>338</v>
      </c>
      <c r="R218" s="8" t="s">
        <v>2605</v>
      </c>
      <c r="S218" s="14" t="s">
        <v>2601</v>
      </c>
    </row>
    <row r="219">
      <c r="A219" s="8" t="s">
        <v>436</v>
      </c>
      <c r="B219" s="8" t="s">
        <v>1018</v>
      </c>
      <c r="C219" s="8" t="s">
        <v>93</v>
      </c>
      <c r="D219" s="18" t="s">
        <v>2620</v>
      </c>
      <c r="E219" s="16">
        <v>83.0</v>
      </c>
      <c r="F219" s="8" t="s">
        <v>399</v>
      </c>
      <c r="G219" s="8" t="s">
        <v>611</v>
      </c>
      <c r="H219" s="8" t="s">
        <v>186</v>
      </c>
      <c r="I219" s="18" t="s">
        <v>2603</v>
      </c>
      <c r="J219" s="16">
        <v>93.0</v>
      </c>
      <c r="K219" s="8" t="s">
        <v>436</v>
      </c>
      <c r="L219" s="8" t="s">
        <v>1717</v>
      </c>
      <c r="M219" s="18" t="s">
        <v>2575</v>
      </c>
      <c r="N219" s="16">
        <v>68.0</v>
      </c>
      <c r="O219" s="8" t="s">
        <v>4131</v>
      </c>
      <c r="P219" s="8" t="s">
        <v>93</v>
      </c>
      <c r="Q219" s="14" t="s">
        <v>1070</v>
      </c>
      <c r="R219" s="8" t="s">
        <v>2581</v>
      </c>
      <c r="S219" s="14" t="s">
        <v>2571</v>
      </c>
    </row>
    <row r="220">
      <c r="A220" s="8" t="s">
        <v>436</v>
      </c>
      <c r="B220" s="8" t="s">
        <v>435</v>
      </c>
      <c r="C220" s="8" t="s">
        <v>149</v>
      </c>
      <c r="D220" s="18" t="s">
        <v>2603</v>
      </c>
      <c r="E220" s="16">
        <v>74.0</v>
      </c>
      <c r="F220" s="8" t="s">
        <v>2025</v>
      </c>
      <c r="G220" s="8" t="s">
        <v>3141</v>
      </c>
      <c r="H220" s="8" t="s">
        <v>65</v>
      </c>
      <c r="I220" s="18" t="s">
        <v>2592</v>
      </c>
      <c r="J220" s="16">
        <v>62.0</v>
      </c>
      <c r="K220" s="8" t="s">
        <v>436</v>
      </c>
      <c r="L220" s="8" t="s">
        <v>1405</v>
      </c>
      <c r="M220" s="18" t="s">
        <v>2620</v>
      </c>
      <c r="N220" s="16">
        <v>79.0</v>
      </c>
      <c r="O220" s="8" t="s">
        <v>4132</v>
      </c>
      <c r="P220" s="8" t="s">
        <v>186</v>
      </c>
      <c r="Q220" s="14" t="s">
        <v>2033</v>
      </c>
      <c r="R220" s="8" t="s">
        <v>2567</v>
      </c>
      <c r="S220" s="14" t="s">
        <v>2563</v>
      </c>
    </row>
    <row r="221">
      <c r="A221" s="8" t="s">
        <v>3513</v>
      </c>
      <c r="B221" s="8" t="s">
        <v>235</v>
      </c>
      <c r="C221" s="8" t="s">
        <v>65</v>
      </c>
      <c r="D221" s="18" t="s">
        <v>2620</v>
      </c>
      <c r="E221" s="16">
        <v>60.0</v>
      </c>
      <c r="F221" s="8" t="s">
        <v>1604</v>
      </c>
      <c r="G221" s="8" t="s">
        <v>3143</v>
      </c>
      <c r="H221" s="8" t="s">
        <v>38</v>
      </c>
      <c r="I221" s="18" t="s">
        <v>2566</v>
      </c>
      <c r="J221" s="16">
        <v>77.0</v>
      </c>
      <c r="K221" s="8" t="s">
        <v>1204</v>
      </c>
      <c r="L221" s="8" t="s">
        <v>2393</v>
      </c>
      <c r="M221" s="18" t="s">
        <v>2645</v>
      </c>
      <c r="N221" s="16">
        <v>61.0</v>
      </c>
      <c r="O221" s="8" t="s">
        <v>4133</v>
      </c>
      <c r="P221" s="8" t="s">
        <v>186</v>
      </c>
      <c r="Q221" s="14" t="s">
        <v>459</v>
      </c>
      <c r="R221" s="8" t="s">
        <v>2603</v>
      </c>
      <c r="S221" s="14" t="s">
        <v>2635</v>
      </c>
    </row>
    <row r="222">
      <c r="A222" s="8" t="s">
        <v>1204</v>
      </c>
      <c r="B222" s="8" t="s">
        <v>1064</v>
      </c>
      <c r="C222" s="8" t="s">
        <v>46</v>
      </c>
      <c r="D222" s="18" t="s">
        <v>2581</v>
      </c>
      <c r="E222" s="16">
        <v>80.0</v>
      </c>
      <c r="F222" s="8" t="s">
        <v>1604</v>
      </c>
      <c r="G222" s="8" t="s">
        <v>1603</v>
      </c>
      <c r="H222" s="8" t="s">
        <v>149</v>
      </c>
      <c r="I222" s="18" t="s">
        <v>2621</v>
      </c>
      <c r="J222" s="16">
        <v>65.0</v>
      </c>
      <c r="K222" s="8" t="s">
        <v>1204</v>
      </c>
      <c r="L222" s="8" t="s">
        <v>208</v>
      </c>
      <c r="M222" s="18" t="s">
        <v>2603</v>
      </c>
      <c r="N222" s="16">
        <v>64.0</v>
      </c>
      <c r="O222" s="8" t="s">
        <v>4134</v>
      </c>
      <c r="P222" s="8" t="s">
        <v>65</v>
      </c>
      <c r="Q222" s="14" t="s">
        <v>1679</v>
      </c>
      <c r="R222" s="8" t="s">
        <v>2592</v>
      </c>
      <c r="S222" s="14" t="s">
        <v>2555</v>
      </c>
    </row>
    <row r="223">
      <c r="A223" s="8" t="s">
        <v>1204</v>
      </c>
      <c r="B223" s="8" t="s">
        <v>2393</v>
      </c>
      <c r="C223" s="8" t="s">
        <v>70</v>
      </c>
      <c r="D223" s="18" t="s">
        <v>2572</v>
      </c>
      <c r="E223" s="16">
        <v>79.0</v>
      </c>
      <c r="F223" s="8" t="s">
        <v>1604</v>
      </c>
      <c r="G223" s="8" t="s">
        <v>2871</v>
      </c>
      <c r="H223" s="8" t="s">
        <v>16</v>
      </c>
      <c r="I223" s="18" t="s">
        <v>2554</v>
      </c>
      <c r="J223" s="16">
        <v>64.0</v>
      </c>
      <c r="K223" s="8" t="s">
        <v>1413</v>
      </c>
      <c r="L223" s="8" t="s">
        <v>1412</v>
      </c>
      <c r="M223" s="18" t="s">
        <v>2593</v>
      </c>
      <c r="N223" s="16">
        <v>83.0</v>
      </c>
      <c r="O223" s="8" t="s">
        <v>4135</v>
      </c>
      <c r="P223" s="8" t="s">
        <v>70</v>
      </c>
      <c r="Q223" s="14" t="s">
        <v>2033</v>
      </c>
      <c r="R223" s="8" t="s">
        <v>2183</v>
      </c>
      <c r="S223" s="14" t="s">
        <v>2555</v>
      </c>
    </row>
    <row r="224">
      <c r="A224" s="8" t="s">
        <v>3824</v>
      </c>
      <c r="B224" s="8" t="s">
        <v>597</v>
      </c>
      <c r="C224" s="8" t="s">
        <v>80</v>
      </c>
      <c r="D224" s="18" t="s">
        <v>2620</v>
      </c>
      <c r="E224" s="16">
        <v>72.0</v>
      </c>
      <c r="F224" s="8" t="s">
        <v>1604</v>
      </c>
      <c r="G224" s="8" t="s">
        <v>3377</v>
      </c>
      <c r="H224" s="8" t="s">
        <v>38</v>
      </c>
      <c r="I224" s="18" t="s">
        <v>2584</v>
      </c>
      <c r="J224" s="16">
        <v>77.0</v>
      </c>
      <c r="K224" s="8" t="s">
        <v>121</v>
      </c>
      <c r="L224" s="8" t="s">
        <v>78</v>
      </c>
      <c r="M224" s="18" t="s">
        <v>2575</v>
      </c>
      <c r="N224" s="16">
        <v>80.0</v>
      </c>
      <c r="O224" s="8" t="s">
        <v>4136</v>
      </c>
      <c r="P224" s="8" t="s">
        <v>70</v>
      </c>
      <c r="Q224" s="14" t="s">
        <v>1679</v>
      </c>
      <c r="R224" s="8" t="s">
        <v>2564</v>
      </c>
      <c r="S224" s="14" t="s">
        <v>2622</v>
      </c>
    </row>
    <row r="225">
      <c r="A225" s="8" t="s">
        <v>1413</v>
      </c>
      <c r="B225" s="8" t="s">
        <v>1412</v>
      </c>
      <c r="C225" s="8" t="s">
        <v>65</v>
      </c>
      <c r="D225" s="18" t="s">
        <v>2595</v>
      </c>
      <c r="E225" s="16">
        <v>83.0</v>
      </c>
      <c r="F225" s="8" t="s">
        <v>436</v>
      </c>
      <c r="G225" s="8" t="s">
        <v>1018</v>
      </c>
      <c r="H225" s="8" t="s">
        <v>93</v>
      </c>
      <c r="I225" s="18" t="s">
        <v>2620</v>
      </c>
      <c r="J225" s="16">
        <v>77.0</v>
      </c>
      <c r="K225" s="8" t="s">
        <v>121</v>
      </c>
      <c r="L225" s="8" t="s">
        <v>2798</v>
      </c>
      <c r="M225" s="18" t="s">
        <v>2598</v>
      </c>
      <c r="N225" s="16">
        <v>78.0</v>
      </c>
      <c r="O225" s="8" t="s">
        <v>4137</v>
      </c>
      <c r="P225" s="8" t="s">
        <v>149</v>
      </c>
      <c r="Q225" s="14" t="s">
        <v>1352</v>
      </c>
      <c r="R225" s="8" t="s">
        <v>2615</v>
      </c>
      <c r="S225" s="14" t="s">
        <v>2606</v>
      </c>
    </row>
    <row r="226">
      <c r="A226" s="8" t="s">
        <v>121</v>
      </c>
      <c r="B226" s="8" t="s">
        <v>460</v>
      </c>
      <c r="C226" s="8" t="s">
        <v>16</v>
      </c>
      <c r="D226" s="18" t="s">
        <v>2584</v>
      </c>
      <c r="E226" s="16">
        <v>65.0</v>
      </c>
      <c r="F226" s="8" t="s">
        <v>436</v>
      </c>
      <c r="G226" s="8" t="s">
        <v>2007</v>
      </c>
      <c r="H226" s="8" t="s">
        <v>65</v>
      </c>
      <c r="I226" s="18" t="s">
        <v>2593</v>
      </c>
      <c r="J226" s="16">
        <v>64.0</v>
      </c>
      <c r="K226" s="8" t="s">
        <v>121</v>
      </c>
      <c r="L226" s="8" t="s">
        <v>2887</v>
      </c>
      <c r="M226" s="18" t="s">
        <v>2610</v>
      </c>
      <c r="N226" s="16">
        <v>77.0</v>
      </c>
      <c r="O226" s="8" t="s">
        <v>4138</v>
      </c>
      <c r="P226" s="8" t="s">
        <v>149</v>
      </c>
      <c r="Q226" s="14" t="s">
        <v>2033</v>
      </c>
      <c r="R226" s="8" t="s">
        <v>2567</v>
      </c>
      <c r="S226" s="14" t="s">
        <v>2599</v>
      </c>
    </row>
    <row r="227">
      <c r="A227" s="8" t="s">
        <v>121</v>
      </c>
      <c r="B227" s="8" t="s">
        <v>474</v>
      </c>
      <c r="C227" s="8" t="s">
        <v>70</v>
      </c>
      <c r="D227" s="18" t="s">
        <v>2600</v>
      </c>
      <c r="E227" s="16">
        <v>72.0</v>
      </c>
      <c r="F227" s="8" t="s">
        <v>436</v>
      </c>
      <c r="G227" s="8" t="s">
        <v>756</v>
      </c>
      <c r="H227" s="8" t="s">
        <v>80</v>
      </c>
      <c r="I227" s="18" t="s">
        <v>2603</v>
      </c>
      <c r="J227" s="16">
        <v>78.0</v>
      </c>
      <c r="K227" s="8" t="s">
        <v>121</v>
      </c>
      <c r="L227" s="8" t="s">
        <v>3126</v>
      </c>
      <c r="M227" s="18" t="s">
        <v>2562</v>
      </c>
      <c r="N227" s="16">
        <v>66.0</v>
      </c>
      <c r="O227" s="8" t="s">
        <v>4139</v>
      </c>
      <c r="P227" s="8" t="s">
        <v>141</v>
      </c>
      <c r="Q227" s="14" t="s">
        <v>1679</v>
      </c>
      <c r="R227" s="8" t="s">
        <v>2575</v>
      </c>
      <c r="S227" s="14" t="s">
        <v>2555</v>
      </c>
    </row>
    <row r="228">
      <c r="A228" s="8" t="s">
        <v>121</v>
      </c>
      <c r="B228" s="8" t="s">
        <v>3560</v>
      </c>
      <c r="C228" s="8" t="s">
        <v>24</v>
      </c>
      <c r="D228" s="18" t="s">
        <v>2560</v>
      </c>
      <c r="E228" s="16">
        <v>69.0</v>
      </c>
      <c r="F228" s="8" t="s">
        <v>436</v>
      </c>
      <c r="G228" s="8" t="s">
        <v>435</v>
      </c>
      <c r="H228" s="8" t="s">
        <v>46</v>
      </c>
      <c r="I228" s="18" t="s">
        <v>2605</v>
      </c>
      <c r="J228" s="16">
        <v>67.0</v>
      </c>
      <c r="K228" s="8" t="s">
        <v>121</v>
      </c>
      <c r="L228" s="8" t="s">
        <v>451</v>
      </c>
      <c r="M228" s="18" t="s">
        <v>2610</v>
      </c>
      <c r="N228" s="16">
        <v>62.0</v>
      </c>
      <c r="O228" s="8" t="s">
        <v>4140</v>
      </c>
      <c r="P228" s="8" t="s">
        <v>59</v>
      </c>
      <c r="Q228" s="14" t="s">
        <v>2033</v>
      </c>
      <c r="R228" s="8" t="s">
        <v>2620</v>
      </c>
      <c r="S228" s="14" t="s">
        <v>2607</v>
      </c>
    </row>
    <row r="229">
      <c r="A229" s="8" t="s">
        <v>121</v>
      </c>
      <c r="B229" s="8" t="s">
        <v>2315</v>
      </c>
      <c r="C229" s="8" t="s">
        <v>93</v>
      </c>
      <c r="D229" s="18" t="s">
        <v>2605</v>
      </c>
      <c r="E229" s="16">
        <v>71.0</v>
      </c>
      <c r="F229" s="8" t="s">
        <v>436</v>
      </c>
      <c r="G229" s="8" t="s">
        <v>1572</v>
      </c>
      <c r="H229" s="8" t="s">
        <v>38</v>
      </c>
      <c r="I229" s="18" t="s">
        <v>2585</v>
      </c>
      <c r="J229" s="16">
        <v>73.0</v>
      </c>
      <c r="K229" s="8" t="s">
        <v>121</v>
      </c>
      <c r="L229" s="8" t="s">
        <v>3134</v>
      </c>
      <c r="M229" s="18" t="s">
        <v>2584</v>
      </c>
      <c r="N229" s="16">
        <v>67.0</v>
      </c>
      <c r="O229" s="8" t="s">
        <v>4141</v>
      </c>
      <c r="P229" s="8" t="s">
        <v>80</v>
      </c>
      <c r="Q229" s="14" t="s">
        <v>631</v>
      </c>
      <c r="R229" s="8" t="s">
        <v>2603</v>
      </c>
      <c r="S229" s="14" t="s">
        <v>2608</v>
      </c>
    </row>
    <row r="230">
      <c r="A230" s="8" t="s">
        <v>121</v>
      </c>
      <c r="B230" s="8" t="s">
        <v>224</v>
      </c>
      <c r="C230" s="8" t="s">
        <v>132</v>
      </c>
      <c r="D230" s="18" t="s">
        <v>2564</v>
      </c>
      <c r="E230" s="16">
        <v>80.0</v>
      </c>
      <c r="F230" s="8" t="s">
        <v>1204</v>
      </c>
      <c r="G230" s="8" t="s">
        <v>1064</v>
      </c>
      <c r="H230" s="8" t="s">
        <v>46</v>
      </c>
      <c r="I230" s="18" t="s">
        <v>2584</v>
      </c>
      <c r="J230" s="16">
        <v>73.0</v>
      </c>
      <c r="K230" s="8" t="s">
        <v>121</v>
      </c>
      <c r="L230" s="8" t="s">
        <v>203</v>
      </c>
      <c r="M230" s="18" t="s">
        <v>2564</v>
      </c>
      <c r="N230" s="16">
        <v>86.0</v>
      </c>
      <c r="O230" s="8" t="s">
        <v>4142</v>
      </c>
      <c r="P230" s="8" t="s">
        <v>38</v>
      </c>
      <c r="Q230" s="14" t="s">
        <v>1352</v>
      </c>
      <c r="R230" s="8" t="s">
        <v>2592</v>
      </c>
      <c r="S230" s="14" t="s">
        <v>2571</v>
      </c>
    </row>
    <row r="231">
      <c r="A231" s="8" t="s">
        <v>121</v>
      </c>
      <c r="B231" s="8" t="s">
        <v>3571</v>
      </c>
      <c r="C231" s="8" t="s">
        <v>93</v>
      </c>
      <c r="D231" s="18" t="s">
        <v>2603</v>
      </c>
      <c r="E231" s="16">
        <v>73.0</v>
      </c>
      <c r="F231" s="8" t="s">
        <v>1204</v>
      </c>
      <c r="G231" s="8" t="s">
        <v>208</v>
      </c>
      <c r="H231" s="8" t="s">
        <v>215</v>
      </c>
      <c r="I231" s="18" t="s">
        <v>2556</v>
      </c>
      <c r="J231" s="16">
        <v>61.0</v>
      </c>
      <c r="K231" s="8" t="s">
        <v>121</v>
      </c>
      <c r="L231" s="8" t="s">
        <v>144</v>
      </c>
      <c r="M231" s="18" t="s">
        <v>2575</v>
      </c>
      <c r="N231" s="16">
        <v>78.0</v>
      </c>
      <c r="O231" s="8" t="s">
        <v>4143</v>
      </c>
      <c r="P231" s="8" t="s">
        <v>93</v>
      </c>
      <c r="Q231" s="14" t="s">
        <v>837</v>
      </c>
      <c r="R231" s="8" t="s">
        <v>2562</v>
      </c>
      <c r="S231" s="14" t="s">
        <v>2586</v>
      </c>
    </row>
    <row r="232">
      <c r="A232" s="8" t="s">
        <v>121</v>
      </c>
      <c r="B232" s="8" t="s">
        <v>1723</v>
      </c>
      <c r="C232" s="8" t="s">
        <v>70</v>
      </c>
      <c r="D232" s="18" t="s">
        <v>2558</v>
      </c>
      <c r="E232" s="16">
        <v>61.0</v>
      </c>
      <c r="F232" s="8" t="s">
        <v>1204</v>
      </c>
      <c r="G232" s="8" t="s">
        <v>2393</v>
      </c>
      <c r="H232" s="8" t="s">
        <v>70</v>
      </c>
      <c r="I232" s="18" t="s">
        <v>2572</v>
      </c>
      <c r="J232" s="16">
        <v>79.0</v>
      </c>
      <c r="K232" s="8" t="s">
        <v>121</v>
      </c>
      <c r="L232" s="8" t="s">
        <v>662</v>
      </c>
      <c r="M232" s="18" t="s">
        <v>2560</v>
      </c>
      <c r="N232" s="16">
        <v>68.0</v>
      </c>
      <c r="O232" s="8" t="s">
        <v>4144</v>
      </c>
      <c r="P232" s="8" t="s">
        <v>24</v>
      </c>
      <c r="Q232" s="14" t="s">
        <v>338</v>
      </c>
      <c r="R232" s="8" t="s">
        <v>2605</v>
      </c>
      <c r="S232" s="14" t="s">
        <v>2563</v>
      </c>
    </row>
    <row r="233">
      <c r="A233" s="8" t="s">
        <v>121</v>
      </c>
      <c r="B233" s="8" t="s">
        <v>144</v>
      </c>
      <c r="C233" s="8" t="s">
        <v>93</v>
      </c>
      <c r="D233" s="18" t="s">
        <v>2614</v>
      </c>
      <c r="E233" s="16">
        <v>76.0</v>
      </c>
      <c r="F233" s="8" t="s">
        <v>1413</v>
      </c>
      <c r="G233" s="8" t="s">
        <v>1412</v>
      </c>
      <c r="H233" s="8" t="s">
        <v>65</v>
      </c>
      <c r="I233" s="18" t="s">
        <v>2600</v>
      </c>
      <c r="J233" s="16">
        <v>86.0</v>
      </c>
      <c r="K233" s="8" t="s">
        <v>121</v>
      </c>
      <c r="L233" s="8" t="s">
        <v>1022</v>
      </c>
      <c r="M233" s="18" t="s">
        <v>2582</v>
      </c>
      <c r="N233" s="16">
        <v>84.0</v>
      </c>
      <c r="O233" s="8" t="s">
        <v>4145</v>
      </c>
      <c r="P233" s="8" t="s">
        <v>215</v>
      </c>
      <c r="Q233" s="14" t="s">
        <v>1070</v>
      </c>
      <c r="R233" s="8" t="s">
        <v>2603</v>
      </c>
      <c r="S233" s="14" t="s">
        <v>2583</v>
      </c>
    </row>
    <row r="234">
      <c r="A234" s="8" t="s">
        <v>121</v>
      </c>
      <c r="B234" s="8" t="s">
        <v>1405</v>
      </c>
      <c r="C234" s="8" t="s">
        <v>186</v>
      </c>
      <c r="D234" s="18" t="s">
        <v>2593</v>
      </c>
      <c r="E234" s="16">
        <v>60.0</v>
      </c>
      <c r="F234" s="8" t="s">
        <v>121</v>
      </c>
      <c r="G234" s="8" t="s">
        <v>2315</v>
      </c>
      <c r="H234" s="8" t="s">
        <v>93</v>
      </c>
      <c r="I234" s="18" t="s">
        <v>2575</v>
      </c>
      <c r="J234" s="16">
        <v>71.0</v>
      </c>
      <c r="K234" s="8" t="s">
        <v>121</v>
      </c>
      <c r="L234" s="8" t="s">
        <v>405</v>
      </c>
      <c r="M234" s="18" t="s">
        <v>2620</v>
      </c>
      <c r="N234" s="16">
        <v>77.0</v>
      </c>
      <c r="O234" s="8" t="s">
        <v>4146</v>
      </c>
      <c r="P234" s="8" t="s">
        <v>65</v>
      </c>
      <c r="Q234" s="14" t="s">
        <v>1352</v>
      </c>
      <c r="R234" s="8" t="s">
        <v>2593</v>
      </c>
      <c r="S234" s="14" t="s">
        <v>2604</v>
      </c>
    </row>
    <row r="235">
      <c r="A235" s="8" t="s">
        <v>121</v>
      </c>
      <c r="B235" s="8" t="s">
        <v>877</v>
      </c>
      <c r="C235" s="8" t="s">
        <v>65</v>
      </c>
      <c r="D235" s="18" t="s">
        <v>2595</v>
      </c>
      <c r="E235" s="16">
        <v>69.0</v>
      </c>
      <c r="F235" s="8" t="s">
        <v>121</v>
      </c>
      <c r="G235" s="8" t="s">
        <v>62</v>
      </c>
      <c r="H235" s="8" t="s">
        <v>75</v>
      </c>
      <c r="I235" s="18" t="s">
        <v>2554</v>
      </c>
      <c r="J235" s="16">
        <v>67.0</v>
      </c>
      <c r="K235" s="8" t="s">
        <v>121</v>
      </c>
      <c r="L235" s="8" t="s">
        <v>460</v>
      </c>
      <c r="M235" s="18" t="s">
        <v>2593</v>
      </c>
      <c r="N235" s="16">
        <v>64.0</v>
      </c>
      <c r="O235" s="8" t="s">
        <v>4147</v>
      </c>
      <c r="P235" s="8" t="s">
        <v>16</v>
      </c>
      <c r="Q235" s="14" t="s">
        <v>1070</v>
      </c>
      <c r="R235" s="8" t="s">
        <v>2593</v>
      </c>
      <c r="S235" s="14" t="s">
        <v>13</v>
      </c>
    </row>
    <row r="236">
      <c r="A236" s="8" t="s">
        <v>121</v>
      </c>
      <c r="B236" s="8" t="s">
        <v>662</v>
      </c>
      <c r="C236" s="8" t="s">
        <v>53</v>
      </c>
      <c r="D236" s="18" t="s">
        <v>2554</v>
      </c>
      <c r="E236" s="16">
        <v>64.0</v>
      </c>
      <c r="F236" s="8" t="s">
        <v>121</v>
      </c>
      <c r="G236" s="8" t="s">
        <v>224</v>
      </c>
      <c r="H236" s="8" t="s">
        <v>132</v>
      </c>
      <c r="I236" s="18" t="s">
        <v>2564</v>
      </c>
      <c r="J236" s="16">
        <v>89.0</v>
      </c>
      <c r="K236" s="8" t="s">
        <v>121</v>
      </c>
      <c r="L236" s="8" t="s">
        <v>62</v>
      </c>
      <c r="M236" s="18" t="s">
        <v>2584</v>
      </c>
      <c r="N236" s="16">
        <v>74.0</v>
      </c>
      <c r="O236" s="8" t="s">
        <v>4148</v>
      </c>
      <c r="P236" s="8" t="s">
        <v>70</v>
      </c>
      <c r="Q236" s="14" t="s">
        <v>459</v>
      </c>
      <c r="R236" s="8" t="s">
        <v>2600</v>
      </c>
      <c r="S236" s="14" t="s">
        <v>2568</v>
      </c>
    </row>
    <row r="237">
      <c r="A237" s="8" t="s">
        <v>121</v>
      </c>
      <c r="B237" s="8" t="s">
        <v>1149</v>
      </c>
      <c r="C237" s="8" t="s">
        <v>93</v>
      </c>
      <c r="D237" s="18" t="s">
        <v>2595</v>
      </c>
      <c r="E237" s="16">
        <v>65.0</v>
      </c>
      <c r="F237" s="8" t="s">
        <v>121</v>
      </c>
      <c r="G237" s="8" t="s">
        <v>78</v>
      </c>
      <c r="H237" s="8" t="s">
        <v>24</v>
      </c>
      <c r="I237" s="18" t="s">
        <v>2567</v>
      </c>
      <c r="J237" s="16">
        <v>71.0</v>
      </c>
      <c r="K237" s="8" t="s">
        <v>121</v>
      </c>
      <c r="L237" s="8" t="s">
        <v>120</v>
      </c>
      <c r="M237" s="18" t="s">
        <v>2572</v>
      </c>
      <c r="N237" s="16">
        <v>74.0</v>
      </c>
      <c r="O237" s="8" t="s">
        <v>4149</v>
      </c>
      <c r="P237" s="8" t="s">
        <v>132</v>
      </c>
      <c r="Q237" s="14" t="s">
        <v>338</v>
      </c>
      <c r="R237" s="8" t="s">
        <v>2564</v>
      </c>
      <c r="S237" s="14" t="s">
        <v>2561</v>
      </c>
    </row>
    <row r="238">
      <c r="A238" s="8" t="s">
        <v>121</v>
      </c>
      <c r="B238" s="8" t="s">
        <v>3230</v>
      </c>
      <c r="C238" s="8" t="s">
        <v>16</v>
      </c>
      <c r="D238" s="18" t="s">
        <v>2581</v>
      </c>
      <c r="E238" s="16">
        <v>63.0</v>
      </c>
      <c r="F238" s="8" t="s">
        <v>121</v>
      </c>
      <c r="G238" s="8" t="s">
        <v>324</v>
      </c>
      <c r="H238" s="8" t="s">
        <v>65</v>
      </c>
      <c r="I238" s="18" t="s">
        <v>2587</v>
      </c>
      <c r="J238" s="16">
        <v>69.0</v>
      </c>
      <c r="K238" s="8" t="s">
        <v>121</v>
      </c>
      <c r="L238" s="8" t="s">
        <v>1024</v>
      </c>
      <c r="M238" s="18" t="s">
        <v>2560</v>
      </c>
      <c r="N238" s="16">
        <v>73.0</v>
      </c>
      <c r="O238" s="8" t="s">
        <v>4150</v>
      </c>
      <c r="P238" s="8" t="s">
        <v>192</v>
      </c>
      <c r="Q238" s="14" t="s">
        <v>2033</v>
      </c>
      <c r="R238" s="8" t="s">
        <v>2560</v>
      </c>
      <c r="S238" s="14" t="s">
        <v>2570</v>
      </c>
    </row>
    <row r="239">
      <c r="A239" s="8" t="s">
        <v>121</v>
      </c>
      <c r="B239" s="8" t="s">
        <v>1158</v>
      </c>
      <c r="C239" s="8" t="s">
        <v>138</v>
      </c>
      <c r="D239" s="18" t="s">
        <v>2562</v>
      </c>
      <c r="E239" s="16">
        <v>68.0</v>
      </c>
      <c r="F239" s="8" t="s">
        <v>121</v>
      </c>
      <c r="G239" s="8" t="s">
        <v>3134</v>
      </c>
      <c r="H239" s="8" t="s">
        <v>70</v>
      </c>
      <c r="I239" s="18" t="s">
        <v>2560</v>
      </c>
      <c r="J239" s="16">
        <v>65.0</v>
      </c>
      <c r="K239" s="8" t="s">
        <v>121</v>
      </c>
      <c r="L239" s="8" t="s">
        <v>877</v>
      </c>
      <c r="M239" s="18" t="s">
        <v>2595</v>
      </c>
      <c r="N239" s="16">
        <v>76.0</v>
      </c>
      <c r="O239" s="8" t="s">
        <v>4151</v>
      </c>
      <c r="P239" s="8" t="s">
        <v>93</v>
      </c>
      <c r="Q239" s="14" t="s">
        <v>135</v>
      </c>
      <c r="R239" s="8" t="s">
        <v>2575</v>
      </c>
      <c r="S239" s="14" t="s">
        <v>2599</v>
      </c>
    </row>
    <row r="240">
      <c r="A240" s="8" t="s">
        <v>121</v>
      </c>
      <c r="B240" s="8" t="s">
        <v>913</v>
      </c>
      <c r="C240" s="8" t="s">
        <v>93</v>
      </c>
      <c r="D240" s="18" t="s">
        <v>2572</v>
      </c>
      <c r="E240" s="16">
        <v>78.0</v>
      </c>
      <c r="F240" s="8" t="s">
        <v>121</v>
      </c>
      <c r="G240" s="8" t="s">
        <v>2798</v>
      </c>
      <c r="H240" s="8" t="s">
        <v>75</v>
      </c>
      <c r="I240" s="18" t="s">
        <v>2585</v>
      </c>
      <c r="J240" s="16">
        <v>70.0</v>
      </c>
      <c r="K240" s="8" t="s">
        <v>121</v>
      </c>
      <c r="L240" s="8" t="s">
        <v>224</v>
      </c>
      <c r="M240" s="18" t="s">
        <v>2564</v>
      </c>
      <c r="N240" s="16">
        <v>85.0</v>
      </c>
      <c r="O240" s="8" t="s">
        <v>4152</v>
      </c>
      <c r="P240" s="8" t="s">
        <v>186</v>
      </c>
      <c r="Q240" s="14" t="s">
        <v>1352</v>
      </c>
      <c r="R240" s="8" t="s">
        <v>2574</v>
      </c>
      <c r="S240" s="14" t="s">
        <v>2609</v>
      </c>
    </row>
    <row r="241">
      <c r="A241" s="8" t="s">
        <v>121</v>
      </c>
      <c r="B241" s="8" t="s">
        <v>2798</v>
      </c>
      <c r="C241" s="8" t="s">
        <v>75</v>
      </c>
      <c r="D241" s="18" t="s">
        <v>2552</v>
      </c>
      <c r="E241" s="16">
        <v>72.0</v>
      </c>
      <c r="F241" s="8" t="s">
        <v>121</v>
      </c>
      <c r="G241" s="8" t="s">
        <v>3230</v>
      </c>
      <c r="H241" s="8" t="s">
        <v>16</v>
      </c>
      <c r="I241" s="18" t="s">
        <v>2581</v>
      </c>
      <c r="J241" s="16">
        <v>61.0</v>
      </c>
      <c r="K241" s="8" t="s">
        <v>121</v>
      </c>
      <c r="L241" s="8" t="s">
        <v>646</v>
      </c>
      <c r="M241" s="18" t="s">
        <v>2610</v>
      </c>
      <c r="N241" s="16">
        <v>65.0</v>
      </c>
      <c r="O241" s="8" t="s">
        <v>4153</v>
      </c>
      <c r="P241" s="8" t="s">
        <v>59</v>
      </c>
      <c r="Q241" s="14" t="s">
        <v>631</v>
      </c>
      <c r="R241" s="8" t="s">
        <v>2560</v>
      </c>
      <c r="S241" s="14" t="s">
        <v>2565</v>
      </c>
    </row>
    <row r="242">
      <c r="A242" s="8" t="s">
        <v>121</v>
      </c>
      <c r="B242" s="8" t="s">
        <v>203</v>
      </c>
      <c r="C242" s="8" t="s">
        <v>215</v>
      </c>
      <c r="D242" s="18" t="s">
        <v>2564</v>
      </c>
      <c r="E242" s="16">
        <v>92.0</v>
      </c>
      <c r="F242" s="8" t="s">
        <v>121</v>
      </c>
      <c r="G242" s="8" t="s">
        <v>1022</v>
      </c>
      <c r="H242" s="8" t="s">
        <v>132</v>
      </c>
      <c r="I242" s="18" t="s">
        <v>2582</v>
      </c>
      <c r="J242" s="16">
        <v>86.0</v>
      </c>
      <c r="K242" s="8" t="s">
        <v>121</v>
      </c>
      <c r="L242" s="8" t="s">
        <v>956</v>
      </c>
      <c r="M242" s="18" t="s">
        <v>2600</v>
      </c>
      <c r="N242" s="16">
        <v>64.0</v>
      </c>
      <c r="O242" s="8" t="s">
        <v>4154</v>
      </c>
      <c r="P242" s="8" t="s">
        <v>122</v>
      </c>
      <c r="Q242" s="14" t="s">
        <v>1070</v>
      </c>
      <c r="R242" s="8" t="s">
        <v>2562</v>
      </c>
      <c r="S242" s="14" t="s">
        <v>2622</v>
      </c>
    </row>
    <row r="243">
      <c r="A243" s="8" t="s">
        <v>121</v>
      </c>
      <c r="B243" s="8" t="s">
        <v>89</v>
      </c>
      <c r="C243" s="8" t="s">
        <v>93</v>
      </c>
      <c r="D243" s="18" t="s">
        <v>2581</v>
      </c>
      <c r="E243" s="16">
        <v>71.0</v>
      </c>
      <c r="F243" s="8" t="s">
        <v>121</v>
      </c>
      <c r="G243" s="8" t="s">
        <v>444</v>
      </c>
      <c r="H243" s="8" t="s">
        <v>122</v>
      </c>
      <c r="I243" s="18" t="s">
        <v>2610</v>
      </c>
      <c r="J243" s="16">
        <v>67.0</v>
      </c>
      <c r="K243" s="8" t="s">
        <v>121</v>
      </c>
      <c r="L243" s="8" t="s">
        <v>474</v>
      </c>
      <c r="M243" s="18" t="s">
        <v>2600</v>
      </c>
      <c r="N243" s="16">
        <v>70.0</v>
      </c>
      <c r="O243" s="8" t="s">
        <v>4155</v>
      </c>
      <c r="P243" s="8" t="s">
        <v>93</v>
      </c>
      <c r="Q243" s="14" t="s">
        <v>1679</v>
      </c>
      <c r="R243" s="8" t="s">
        <v>2572</v>
      </c>
      <c r="S243" s="14" t="s">
        <v>2609</v>
      </c>
    </row>
    <row r="244">
      <c r="A244" s="8" t="s">
        <v>121</v>
      </c>
      <c r="B244" s="8" t="s">
        <v>3680</v>
      </c>
      <c r="C244" s="8" t="s">
        <v>186</v>
      </c>
      <c r="D244" s="18" t="s">
        <v>2614</v>
      </c>
      <c r="E244" s="16">
        <v>68.0</v>
      </c>
      <c r="F244" s="8" t="s">
        <v>121</v>
      </c>
      <c r="G244" s="8" t="s">
        <v>460</v>
      </c>
      <c r="H244" s="8" t="s">
        <v>16</v>
      </c>
      <c r="I244" s="18" t="s">
        <v>2584</v>
      </c>
      <c r="J244" s="16">
        <v>63.0</v>
      </c>
      <c r="K244" s="8" t="s">
        <v>121</v>
      </c>
      <c r="L244" s="8" t="s">
        <v>1149</v>
      </c>
      <c r="M244" s="18" t="s">
        <v>2645</v>
      </c>
      <c r="N244" s="16">
        <v>64.0</v>
      </c>
      <c r="O244" s="8" t="s">
        <v>4156</v>
      </c>
      <c r="P244" s="8" t="s">
        <v>215</v>
      </c>
      <c r="Q244" s="14" t="s">
        <v>237</v>
      </c>
      <c r="R244" s="8" t="s">
        <v>2564</v>
      </c>
      <c r="S244" s="14" t="s">
        <v>2596</v>
      </c>
    </row>
    <row r="245">
      <c r="A245" s="8" t="s">
        <v>121</v>
      </c>
      <c r="B245" s="8" t="s">
        <v>2887</v>
      </c>
      <c r="C245" s="8" t="s">
        <v>65</v>
      </c>
      <c r="D245" s="18" t="s">
        <v>2610</v>
      </c>
      <c r="E245" s="16">
        <v>77.0</v>
      </c>
      <c r="F245" s="8" t="s">
        <v>121</v>
      </c>
      <c r="G245" s="8" t="s">
        <v>474</v>
      </c>
      <c r="H245" s="8" t="s">
        <v>70</v>
      </c>
      <c r="I245" s="18" t="s">
        <v>2600</v>
      </c>
      <c r="J245" s="16">
        <v>72.0</v>
      </c>
      <c r="K245" s="8" t="s">
        <v>121</v>
      </c>
      <c r="L245" s="8" t="s">
        <v>1158</v>
      </c>
      <c r="M245" s="18" t="s">
        <v>2562</v>
      </c>
      <c r="N245" s="16">
        <v>70.0</v>
      </c>
      <c r="O245" s="8" t="s">
        <v>4157</v>
      </c>
      <c r="P245" s="8" t="s">
        <v>53</v>
      </c>
      <c r="Q245" s="14" t="s">
        <v>1070</v>
      </c>
      <c r="R245" s="8" t="s">
        <v>2600</v>
      </c>
      <c r="S245" s="14" t="s">
        <v>2609</v>
      </c>
    </row>
    <row r="246">
      <c r="A246" s="8" t="s">
        <v>121</v>
      </c>
      <c r="B246" s="8" t="s">
        <v>968</v>
      </c>
      <c r="C246" s="8" t="s">
        <v>132</v>
      </c>
      <c r="D246" s="18" t="s">
        <v>2584</v>
      </c>
      <c r="E246" s="16">
        <v>77.0</v>
      </c>
      <c r="F246" s="8" t="s">
        <v>121</v>
      </c>
      <c r="G246" s="8" t="s">
        <v>78</v>
      </c>
      <c r="H246" s="8" t="s">
        <v>122</v>
      </c>
      <c r="I246" s="18" t="s">
        <v>2575</v>
      </c>
      <c r="J246" s="16">
        <v>82.0</v>
      </c>
      <c r="K246" s="8" t="s">
        <v>121</v>
      </c>
      <c r="L246" s="8" t="s">
        <v>3012</v>
      </c>
      <c r="M246" s="18" t="s">
        <v>2587</v>
      </c>
      <c r="N246" s="16">
        <v>64.0</v>
      </c>
      <c r="O246" s="8" t="s">
        <v>4158</v>
      </c>
      <c r="P246" s="8" t="s">
        <v>149</v>
      </c>
      <c r="Q246" s="14" t="s">
        <v>2296</v>
      </c>
      <c r="R246" s="8" t="s">
        <v>2614</v>
      </c>
      <c r="S246" s="14" t="s">
        <v>2569</v>
      </c>
    </row>
    <row r="247">
      <c r="A247" s="8" t="s">
        <v>121</v>
      </c>
      <c r="B247" s="8" t="s">
        <v>405</v>
      </c>
      <c r="C247" s="8" t="s">
        <v>186</v>
      </c>
      <c r="D247" s="18" t="s">
        <v>2620</v>
      </c>
      <c r="E247" s="16">
        <v>90.0</v>
      </c>
      <c r="F247" s="8" t="s">
        <v>121</v>
      </c>
      <c r="G247" s="8" t="s">
        <v>120</v>
      </c>
      <c r="H247" s="8" t="s">
        <v>122</v>
      </c>
      <c r="I247" s="18" t="s">
        <v>2572</v>
      </c>
      <c r="J247" s="16">
        <v>82.0</v>
      </c>
      <c r="K247" s="8" t="s">
        <v>121</v>
      </c>
      <c r="L247" s="8" t="s">
        <v>405</v>
      </c>
      <c r="M247" s="18" t="s">
        <v>2603</v>
      </c>
      <c r="N247" s="16">
        <v>76.0</v>
      </c>
      <c r="O247" s="8" t="s">
        <v>4159</v>
      </c>
      <c r="P247" s="8" t="s">
        <v>141</v>
      </c>
      <c r="Q247" s="14" t="s">
        <v>837</v>
      </c>
      <c r="R247" s="8" t="s">
        <v>2584</v>
      </c>
      <c r="S247" s="14" t="s">
        <v>2633</v>
      </c>
    </row>
    <row r="248">
      <c r="A248" s="8" t="s">
        <v>121</v>
      </c>
      <c r="B248" s="8" t="s">
        <v>405</v>
      </c>
      <c r="C248" s="8" t="s">
        <v>65</v>
      </c>
      <c r="D248" s="18" t="s">
        <v>2560</v>
      </c>
      <c r="E248" s="16">
        <v>89.0</v>
      </c>
      <c r="F248" s="8" t="s">
        <v>121</v>
      </c>
      <c r="G248" s="8" t="s">
        <v>662</v>
      </c>
      <c r="H248" s="8" t="s">
        <v>138</v>
      </c>
      <c r="I248" s="18" t="s">
        <v>2554</v>
      </c>
      <c r="J248" s="16">
        <v>66.0</v>
      </c>
      <c r="K248" s="8" t="s">
        <v>121</v>
      </c>
      <c r="L248" s="8" t="s">
        <v>968</v>
      </c>
      <c r="M248" s="18" t="s">
        <v>2584</v>
      </c>
      <c r="N248" s="16">
        <v>84.0</v>
      </c>
      <c r="O248" s="8" t="s">
        <v>4160</v>
      </c>
      <c r="P248" s="8" t="s">
        <v>186</v>
      </c>
      <c r="Q248" s="14" t="s">
        <v>459</v>
      </c>
      <c r="R248" s="18" t="s">
        <v>2556</v>
      </c>
      <c r="S248" s="14" t="s">
        <v>2601</v>
      </c>
    </row>
    <row r="249">
      <c r="A249" s="8" t="s">
        <v>121</v>
      </c>
      <c r="B249" s="8" t="s">
        <v>757</v>
      </c>
      <c r="C249" s="8" t="s">
        <v>12</v>
      </c>
      <c r="D249" s="18" t="s">
        <v>2620</v>
      </c>
      <c r="E249" s="16">
        <v>82.0</v>
      </c>
      <c r="F249" s="8" t="s">
        <v>121</v>
      </c>
      <c r="G249" s="8" t="s">
        <v>2277</v>
      </c>
      <c r="H249" s="8" t="s">
        <v>53</v>
      </c>
      <c r="I249" s="18" t="s">
        <v>2581</v>
      </c>
      <c r="J249" s="16">
        <v>62.0</v>
      </c>
      <c r="K249" s="8" t="s">
        <v>121</v>
      </c>
      <c r="L249" s="8" t="s">
        <v>78</v>
      </c>
      <c r="M249" s="18" t="s">
        <v>2589</v>
      </c>
      <c r="N249" s="16">
        <v>67.0</v>
      </c>
      <c r="O249" s="8" t="s">
        <v>4161</v>
      </c>
      <c r="P249" s="8" t="s">
        <v>12</v>
      </c>
      <c r="Q249" s="14" t="s">
        <v>631</v>
      </c>
      <c r="R249" s="8" t="s">
        <v>2620</v>
      </c>
      <c r="S249" s="14" t="s">
        <v>2571</v>
      </c>
    </row>
    <row r="250">
      <c r="A250" s="8" t="s">
        <v>121</v>
      </c>
      <c r="B250" s="8" t="s">
        <v>120</v>
      </c>
      <c r="C250" s="8" t="s">
        <v>122</v>
      </c>
      <c r="D250" s="18" t="s">
        <v>2572</v>
      </c>
      <c r="E250" s="16">
        <v>80.0</v>
      </c>
      <c r="F250" s="8" t="s">
        <v>121</v>
      </c>
      <c r="G250" s="8" t="s">
        <v>877</v>
      </c>
      <c r="H250" s="8" t="s">
        <v>65</v>
      </c>
      <c r="I250" s="18" t="s">
        <v>2595</v>
      </c>
      <c r="J250" s="16">
        <v>72.0</v>
      </c>
      <c r="K250" s="8" t="s">
        <v>121</v>
      </c>
      <c r="L250" s="8" t="s">
        <v>1276</v>
      </c>
      <c r="M250" s="18" t="s">
        <v>2556</v>
      </c>
      <c r="N250" s="16">
        <v>72.0</v>
      </c>
      <c r="O250" s="8" t="s">
        <v>4162</v>
      </c>
      <c r="P250" s="8" t="s">
        <v>122</v>
      </c>
      <c r="Q250" s="14" t="s">
        <v>108</v>
      </c>
      <c r="R250" s="8" t="s">
        <v>2572</v>
      </c>
      <c r="S250" s="14" t="s">
        <v>2602</v>
      </c>
    </row>
    <row r="251">
      <c r="A251" s="8" t="s">
        <v>121</v>
      </c>
      <c r="B251" s="8" t="s">
        <v>769</v>
      </c>
      <c r="C251" s="8" t="s">
        <v>24</v>
      </c>
      <c r="D251" s="18" t="s">
        <v>2592</v>
      </c>
      <c r="E251" s="16">
        <v>72.0</v>
      </c>
      <c r="F251" s="8" t="s">
        <v>121</v>
      </c>
      <c r="G251" s="8" t="s">
        <v>956</v>
      </c>
      <c r="H251" s="8" t="s">
        <v>80</v>
      </c>
      <c r="I251" s="18" t="s">
        <v>2600</v>
      </c>
      <c r="J251" s="16">
        <v>62.0</v>
      </c>
      <c r="K251" s="8" t="s">
        <v>121</v>
      </c>
      <c r="L251" s="8" t="s">
        <v>757</v>
      </c>
      <c r="M251" s="18" t="s">
        <v>2620</v>
      </c>
      <c r="N251" s="16">
        <v>84.0</v>
      </c>
      <c r="O251" s="8" t="s">
        <v>4163</v>
      </c>
      <c r="P251" s="8" t="s">
        <v>149</v>
      </c>
      <c r="Q251" s="14" t="s">
        <v>2033</v>
      </c>
      <c r="R251" s="18" t="s">
        <v>2556</v>
      </c>
      <c r="S251" s="14" t="s">
        <v>2555</v>
      </c>
    </row>
    <row r="252">
      <c r="A252" s="8" t="s">
        <v>121</v>
      </c>
      <c r="B252" s="8" t="s">
        <v>3796</v>
      </c>
      <c r="C252" s="8" t="s">
        <v>24</v>
      </c>
      <c r="D252" s="18" t="s">
        <v>2554</v>
      </c>
      <c r="E252" s="16">
        <v>74.0</v>
      </c>
      <c r="F252" s="8" t="s">
        <v>121</v>
      </c>
      <c r="G252" s="8" t="s">
        <v>405</v>
      </c>
      <c r="H252" s="8" t="s">
        <v>186</v>
      </c>
      <c r="I252" s="18" t="s">
        <v>2620</v>
      </c>
      <c r="J252" s="16">
        <v>86.0</v>
      </c>
      <c r="K252" s="8" t="s">
        <v>1262</v>
      </c>
      <c r="L252" s="8" t="s">
        <v>402</v>
      </c>
      <c r="M252" s="18" t="s">
        <v>2562</v>
      </c>
      <c r="N252" s="16">
        <v>73.0</v>
      </c>
      <c r="O252" s="8" t="s">
        <v>4164</v>
      </c>
      <c r="P252" s="8" t="s">
        <v>65</v>
      </c>
      <c r="Q252" s="14" t="s">
        <v>2033</v>
      </c>
      <c r="R252" s="8" t="s">
        <v>2554</v>
      </c>
      <c r="S252" s="14" t="s">
        <v>2555</v>
      </c>
    </row>
    <row r="253">
      <c r="A253" s="8" t="s">
        <v>121</v>
      </c>
      <c r="B253" s="8" t="s">
        <v>1022</v>
      </c>
      <c r="C253" s="8" t="s">
        <v>132</v>
      </c>
      <c r="D253" s="18" t="s">
        <v>2582</v>
      </c>
      <c r="E253" s="16">
        <v>78.0</v>
      </c>
      <c r="F253" s="8" t="s">
        <v>121</v>
      </c>
      <c r="G253" s="8" t="s">
        <v>3126</v>
      </c>
      <c r="H253" s="8" t="s">
        <v>16</v>
      </c>
      <c r="I253" s="18" t="s">
        <v>2562</v>
      </c>
      <c r="J253" s="16">
        <v>68.0</v>
      </c>
      <c r="K253" s="8" t="s">
        <v>1262</v>
      </c>
      <c r="L253" s="8" t="s">
        <v>2050</v>
      </c>
      <c r="M253" s="18" t="s">
        <v>2600</v>
      </c>
      <c r="N253" s="16">
        <v>70.0</v>
      </c>
      <c r="O253" s="8" t="s">
        <v>4165</v>
      </c>
      <c r="P253" s="8" t="s">
        <v>132</v>
      </c>
      <c r="Q253" s="14" t="s">
        <v>837</v>
      </c>
      <c r="R253" s="8" t="s">
        <v>2582</v>
      </c>
      <c r="S253" s="14" t="s">
        <v>2604</v>
      </c>
    </row>
    <row r="254">
      <c r="A254" s="8" t="s">
        <v>121</v>
      </c>
      <c r="B254" s="8" t="s">
        <v>1024</v>
      </c>
      <c r="C254" s="8" t="s">
        <v>149</v>
      </c>
      <c r="D254" s="18" t="s">
        <v>2560</v>
      </c>
      <c r="E254" s="16">
        <v>66.0</v>
      </c>
      <c r="F254" s="8" t="s">
        <v>121</v>
      </c>
      <c r="G254" s="8" t="s">
        <v>451</v>
      </c>
      <c r="H254" s="8" t="s">
        <v>70</v>
      </c>
      <c r="I254" s="18" t="s">
        <v>2610</v>
      </c>
      <c r="J254" s="16">
        <v>64.0</v>
      </c>
      <c r="K254" s="8" t="s">
        <v>859</v>
      </c>
      <c r="L254" s="8" t="s">
        <v>2250</v>
      </c>
      <c r="M254" s="18" t="s">
        <v>2183</v>
      </c>
      <c r="N254" s="16">
        <v>74.0</v>
      </c>
      <c r="O254" s="8" t="s">
        <v>4166</v>
      </c>
      <c r="P254" s="8" t="s">
        <v>149</v>
      </c>
      <c r="Q254" s="14" t="s">
        <v>837</v>
      </c>
      <c r="R254" s="8" t="s">
        <v>2560</v>
      </c>
      <c r="S254" s="14" t="s">
        <v>2591</v>
      </c>
    </row>
    <row r="255">
      <c r="A255" s="8" t="s">
        <v>121</v>
      </c>
      <c r="B255" s="8" t="s">
        <v>324</v>
      </c>
      <c r="C255" s="8" t="s">
        <v>65</v>
      </c>
      <c r="D255" s="18" t="s">
        <v>2610</v>
      </c>
      <c r="E255" s="16">
        <v>71.0</v>
      </c>
      <c r="F255" s="8" t="s">
        <v>121</v>
      </c>
      <c r="G255" s="8" t="s">
        <v>1158</v>
      </c>
      <c r="H255" s="8" t="s">
        <v>215</v>
      </c>
      <c r="I255" s="18" t="s">
        <v>2562</v>
      </c>
      <c r="J255" s="16">
        <v>68.0</v>
      </c>
      <c r="K255" s="8" t="s">
        <v>1872</v>
      </c>
      <c r="L255" s="8" t="s">
        <v>1871</v>
      </c>
      <c r="M255" s="18" t="s">
        <v>2620</v>
      </c>
      <c r="N255" s="16">
        <v>70.0</v>
      </c>
      <c r="O255" s="8" t="s">
        <v>4167</v>
      </c>
      <c r="P255" s="8" t="s">
        <v>132</v>
      </c>
      <c r="Q255" s="14" t="s">
        <v>631</v>
      </c>
      <c r="R255" s="8" t="s">
        <v>2584</v>
      </c>
      <c r="S255" s="14" t="s">
        <v>2576</v>
      </c>
    </row>
    <row r="256">
      <c r="A256" s="8" t="s">
        <v>121</v>
      </c>
      <c r="B256" s="8" t="s">
        <v>62</v>
      </c>
      <c r="C256" s="8" t="s">
        <v>132</v>
      </c>
      <c r="D256" s="18" t="s">
        <v>2585</v>
      </c>
      <c r="E256" s="16">
        <v>67.0</v>
      </c>
      <c r="F256" s="8" t="s">
        <v>121</v>
      </c>
      <c r="G256" s="8" t="s">
        <v>78</v>
      </c>
      <c r="H256" s="8" t="s">
        <v>93</v>
      </c>
      <c r="I256" s="18" t="s">
        <v>2589</v>
      </c>
      <c r="J256" s="16">
        <v>69.0</v>
      </c>
      <c r="K256" s="8" t="s">
        <v>1308</v>
      </c>
      <c r="L256" s="8" t="s">
        <v>1307</v>
      </c>
      <c r="M256" s="18" t="s">
        <v>2562</v>
      </c>
      <c r="N256" s="16">
        <v>69.0</v>
      </c>
      <c r="O256" s="8" t="s">
        <v>4168</v>
      </c>
      <c r="P256" s="8" t="s">
        <v>138</v>
      </c>
      <c r="Q256" s="14" t="s">
        <v>338</v>
      </c>
      <c r="R256" s="8" t="s">
        <v>2575</v>
      </c>
      <c r="S256" s="14" t="s">
        <v>2633</v>
      </c>
    </row>
    <row r="257">
      <c r="A257" s="8" t="s">
        <v>121</v>
      </c>
      <c r="B257" s="8" t="s">
        <v>444</v>
      </c>
      <c r="C257" s="8" t="s">
        <v>122</v>
      </c>
      <c r="D257" s="18" t="s">
        <v>2610</v>
      </c>
      <c r="E257" s="16">
        <v>67.0</v>
      </c>
      <c r="F257" s="8" t="s">
        <v>121</v>
      </c>
      <c r="G257" s="8" t="s">
        <v>405</v>
      </c>
      <c r="H257" s="8" t="s">
        <v>65</v>
      </c>
      <c r="I257" s="18" t="s">
        <v>2566</v>
      </c>
      <c r="J257" s="16">
        <v>85.0</v>
      </c>
      <c r="K257" s="8" t="s">
        <v>2806</v>
      </c>
      <c r="L257" s="8" t="s">
        <v>2805</v>
      </c>
      <c r="M257" s="18" t="s">
        <v>2556</v>
      </c>
      <c r="N257" s="16">
        <v>69.0</v>
      </c>
      <c r="O257" s="8" t="s">
        <v>4168</v>
      </c>
      <c r="P257" s="8" t="s">
        <v>93</v>
      </c>
      <c r="Q257" s="14" t="s">
        <v>1070</v>
      </c>
      <c r="R257" s="18" t="s">
        <v>2589</v>
      </c>
      <c r="S257" s="14" t="s">
        <v>2622</v>
      </c>
    </row>
    <row r="258">
      <c r="A258" s="8" t="s">
        <v>121</v>
      </c>
      <c r="B258" s="8" t="s">
        <v>2277</v>
      </c>
      <c r="C258" s="8" t="s">
        <v>59</v>
      </c>
      <c r="D258" s="18" t="s">
        <v>2552</v>
      </c>
      <c r="E258" s="16">
        <v>64.0</v>
      </c>
      <c r="F258" s="8" t="s">
        <v>121</v>
      </c>
      <c r="G258" s="8" t="s">
        <v>1024</v>
      </c>
      <c r="H258" s="8" t="s">
        <v>149</v>
      </c>
      <c r="I258" s="18" t="s">
        <v>2560</v>
      </c>
      <c r="J258" s="16">
        <v>69.0</v>
      </c>
      <c r="K258" s="8" t="s">
        <v>780</v>
      </c>
      <c r="L258" s="8" t="s">
        <v>251</v>
      </c>
      <c r="M258" s="18" t="s">
        <v>2645</v>
      </c>
      <c r="N258" s="16">
        <v>60.0</v>
      </c>
      <c r="O258" s="8" t="s">
        <v>4169</v>
      </c>
      <c r="P258" s="8" t="s">
        <v>80</v>
      </c>
      <c r="Q258" s="14" t="s">
        <v>1352</v>
      </c>
      <c r="R258" s="8" t="s">
        <v>2610</v>
      </c>
      <c r="S258" s="14" t="s">
        <v>2594</v>
      </c>
    </row>
    <row r="259">
      <c r="A259" s="8" t="s">
        <v>121</v>
      </c>
      <c r="B259" s="8" t="s">
        <v>3126</v>
      </c>
      <c r="C259" s="8" t="s">
        <v>16</v>
      </c>
      <c r="D259" s="18" t="s">
        <v>2562</v>
      </c>
      <c r="E259" s="16">
        <v>72.0</v>
      </c>
      <c r="F259" s="8" t="s">
        <v>121</v>
      </c>
      <c r="G259" s="8" t="s">
        <v>203</v>
      </c>
      <c r="H259" s="8" t="s">
        <v>215</v>
      </c>
      <c r="I259" s="18" t="s">
        <v>2564</v>
      </c>
      <c r="J259" s="16">
        <v>95.0</v>
      </c>
      <c r="K259" s="8" t="s">
        <v>780</v>
      </c>
      <c r="L259" s="8" t="s">
        <v>779</v>
      </c>
      <c r="M259" s="18" t="s">
        <v>2560</v>
      </c>
      <c r="N259" s="16">
        <v>65.0</v>
      </c>
      <c r="O259" s="8" t="s">
        <v>4170</v>
      </c>
      <c r="P259" s="8" t="s">
        <v>65</v>
      </c>
      <c r="Q259" s="14" t="s">
        <v>1070</v>
      </c>
      <c r="R259" s="8" t="s">
        <v>2552</v>
      </c>
      <c r="S259" s="14" t="s">
        <v>2555</v>
      </c>
    </row>
    <row r="260">
      <c r="A260" s="8" t="s">
        <v>121</v>
      </c>
      <c r="B260" s="8" t="s">
        <v>3893</v>
      </c>
      <c r="C260" s="8" t="s">
        <v>70</v>
      </c>
      <c r="D260" s="18" t="s">
        <v>2574</v>
      </c>
      <c r="E260" s="16">
        <v>67.0</v>
      </c>
      <c r="F260" s="8" t="s">
        <v>121</v>
      </c>
      <c r="G260" s="8" t="s">
        <v>968</v>
      </c>
      <c r="H260" s="8" t="s">
        <v>141</v>
      </c>
      <c r="I260" s="18" t="s">
        <v>2584</v>
      </c>
      <c r="J260" s="16">
        <v>85.0</v>
      </c>
      <c r="K260" s="8" t="s">
        <v>780</v>
      </c>
      <c r="L260" s="8" t="s">
        <v>817</v>
      </c>
      <c r="M260" s="18" t="s">
        <v>2575</v>
      </c>
      <c r="N260" s="16">
        <v>70.0</v>
      </c>
      <c r="O260" s="8" t="s">
        <v>4171</v>
      </c>
      <c r="P260" s="8" t="s">
        <v>65</v>
      </c>
      <c r="Q260" s="14" t="s">
        <v>2033</v>
      </c>
      <c r="R260" s="8" t="s">
        <v>2600</v>
      </c>
      <c r="S260" s="14" t="s">
        <v>2557</v>
      </c>
    </row>
    <row r="261">
      <c r="A261" s="8" t="s">
        <v>121</v>
      </c>
      <c r="B261" s="8" t="s">
        <v>78</v>
      </c>
      <c r="C261" s="8" t="s">
        <v>122</v>
      </c>
      <c r="D261" s="18" t="s">
        <v>2575</v>
      </c>
      <c r="E261" s="16">
        <v>84.0</v>
      </c>
      <c r="F261" s="8" t="s">
        <v>121</v>
      </c>
      <c r="G261" s="8" t="s">
        <v>2887</v>
      </c>
      <c r="H261" s="8" t="s">
        <v>65</v>
      </c>
      <c r="I261" s="18" t="s">
        <v>2610</v>
      </c>
      <c r="J261" s="16">
        <v>82.0</v>
      </c>
      <c r="K261" s="8" t="s">
        <v>780</v>
      </c>
      <c r="L261" s="8" t="s">
        <v>2822</v>
      </c>
      <c r="M261" s="18" t="s">
        <v>2592</v>
      </c>
      <c r="N261" s="16">
        <v>83.0</v>
      </c>
      <c r="O261" s="8" t="s">
        <v>4172</v>
      </c>
      <c r="P261" s="8" t="s">
        <v>65</v>
      </c>
      <c r="Q261" s="14" t="s">
        <v>1070</v>
      </c>
      <c r="R261" s="8" t="s">
        <v>2564</v>
      </c>
      <c r="S261" s="14" t="s">
        <v>2591</v>
      </c>
    </row>
    <row r="262">
      <c r="A262" s="8" t="s">
        <v>121</v>
      </c>
      <c r="B262" s="8" t="s">
        <v>78</v>
      </c>
      <c r="C262" s="8" t="s">
        <v>24</v>
      </c>
      <c r="D262" s="18" t="s">
        <v>2603</v>
      </c>
      <c r="E262" s="16">
        <v>71.0</v>
      </c>
      <c r="F262" s="8" t="s">
        <v>121</v>
      </c>
      <c r="G262" s="8" t="s">
        <v>757</v>
      </c>
      <c r="H262" s="8" t="s">
        <v>12</v>
      </c>
      <c r="I262" s="18" t="s">
        <v>2620</v>
      </c>
      <c r="J262" s="16">
        <v>80.0</v>
      </c>
      <c r="K262" s="8" t="s">
        <v>780</v>
      </c>
      <c r="L262" s="8" t="s">
        <v>2822</v>
      </c>
      <c r="M262" s="18" t="s">
        <v>2592</v>
      </c>
      <c r="N262" s="16">
        <v>86.0</v>
      </c>
      <c r="O262" s="8" t="s">
        <v>4173</v>
      </c>
      <c r="P262" s="8" t="s">
        <v>215</v>
      </c>
      <c r="Q262" s="14" t="s">
        <v>2033</v>
      </c>
      <c r="R262" s="8" t="s">
        <v>2183</v>
      </c>
      <c r="S262" s="14" t="s">
        <v>2565</v>
      </c>
    </row>
    <row r="263">
      <c r="A263" s="8" t="s">
        <v>121</v>
      </c>
      <c r="B263" s="8" t="s">
        <v>78</v>
      </c>
      <c r="C263" s="8" t="s">
        <v>93</v>
      </c>
      <c r="D263" s="18" t="s">
        <v>2589</v>
      </c>
      <c r="E263" s="16">
        <v>66.0</v>
      </c>
      <c r="F263" s="8" t="s">
        <v>121</v>
      </c>
      <c r="G263" s="8" t="s">
        <v>144</v>
      </c>
      <c r="H263" s="8" t="s">
        <v>93</v>
      </c>
      <c r="I263" s="18" t="s">
        <v>2575</v>
      </c>
      <c r="J263" s="16">
        <v>79.0</v>
      </c>
      <c r="K263" s="8" t="s">
        <v>1708</v>
      </c>
      <c r="L263" s="8" t="s">
        <v>1707</v>
      </c>
      <c r="M263" s="18" t="s">
        <v>2587</v>
      </c>
      <c r="N263" s="16">
        <v>68.0</v>
      </c>
      <c r="O263" s="8" t="s">
        <v>4174</v>
      </c>
      <c r="P263" s="8" t="s">
        <v>65</v>
      </c>
      <c r="Q263" s="14" t="s">
        <v>1679</v>
      </c>
      <c r="R263" s="8" t="s">
        <v>2620</v>
      </c>
      <c r="S263" s="14" t="s">
        <v>2583</v>
      </c>
    </row>
    <row r="264">
      <c r="A264" s="8" t="s">
        <v>1262</v>
      </c>
      <c r="B264" s="8" t="s">
        <v>402</v>
      </c>
      <c r="C264" s="8" t="s">
        <v>65</v>
      </c>
      <c r="D264" s="18" t="s">
        <v>2562</v>
      </c>
      <c r="E264" s="16">
        <v>71.0</v>
      </c>
      <c r="F264" s="8" t="s">
        <v>1262</v>
      </c>
      <c r="G264" s="8" t="s">
        <v>402</v>
      </c>
      <c r="H264" s="8" t="s">
        <v>65</v>
      </c>
      <c r="I264" s="18" t="s">
        <v>2562</v>
      </c>
      <c r="J264" s="16">
        <v>73.0</v>
      </c>
      <c r="K264" s="8" t="s">
        <v>1570</v>
      </c>
      <c r="L264" s="8" t="s">
        <v>1569</v>
      </c>
      <c r="M264" s="18" t="s">
        <v>2575</v>
      </c>
      <c r="N264" s="16">
        <v>74.0</v>
      </c>
      <c r="O264" s="8" t="s">
        <v>4175</v>
      </c>
      <c r="P264" s="8" t="s">
        <v>186</v>
      </c>
      <c r="Q264" s="14" t="s">
        <v>1070</v>
      </c>
      <c r="R264" s="8" t="s">
        <v>2562</v>
      </c>
      <c r="S264" s="14" t="s">
        <v>2591</v>
      </c>
    </row>
    <row r="265">
      <c r="A265" s="8" t="s">
        <v>2806</v>
      </c>
      <c r="B265" s="8" t="s">
        <v>2805</v>
      </c>
      <c r="C265" s="8" t="s">
        <v>149</v>
      </c>
      <c r="D265" s="18" t="s">
        <v>2560</v>
      </c>
      <c r="E265" s="16">
        <v>69.0</v>
      </c>
      <c r="F265" s="8" t="s">
        <v>1872</v>
      </c>
      <c r="G265" s="8" t="s">
        <v>1871</v>
      </c>
      <c r="H265" s="8" t="s">
        <v>93</v>
      </c>
      <c r="I265" s="18" t="s">
        <v>2620</v>
      </c>
      <c r="J265" s="16">
        <v>68.0</v>
      </c>
      <c r="K265" s="8" t="s">
        <v>161</v>
      </c>
      <c r="L265" s="8" t="s">
        <v>284</v>
      </c>
      <c r="M265" s="18" t="s">
        <v>2566</v>
      </c>
      <c r="N265" s="16">
        <v>73.0</v>
      </c>
      <c r="O265" s="8" t="s">
        <v>4176</v>
      </c>
      <c r="P265" s="8" t="s">
        <v>46</v>
      </c>
      <c r="Q265" s="14" t="s">
        <v>631</v>
      </c>
      <c r="R265" s="8" t="s">
        <v>2560</v>
      </c>
      <c r="S265" s="14" t="s">
        <v>2576</v>
      </c>
    </row>
    <row r="266">
      <c r="A266" s="8" t="s">
        <v>780</v>
      </c>
      <c r="B266" s="8" t="s">
        <v>251</v>
      </c>
      <c r="C266" s="8" t="s">
        <v>24</v>
      </c>
      <c r="D266" s="18" t="s">
        <v>2564</v>
      </c>
      <c r="E266" s="16">
        <v>79.0</v>
      </c>
      <c r="F266" s="8" t="s">
        <v>1308</v>
      </c>
      <c r="G266" s="8" t="s">
        <v>1307</v>
      </c>
      <c r="H266" s="8" t="s">
        <v>53</v>
      </c>
      <c r="I266" s="18" t="s">
        <v>2562</v>
      </c>
      <c r="J266" s="16">
        <v>66.0</v>
      </c>
      <c r="K266" s="8" t="s">
        <v>161</v>
      </c>
      <c r="L266" s="8" t="s">
        <v>160</v>
      </c>
      <c r="M266" s="18" t="s">
        <v>2621</v>
      </c>
      <c r="N266" s="16">
        <v>78.0</v>
      </c>
      <c r="O266" s="8" t="s">
        <v>4177</v>
      </c>
      <c r="P266" s="8" t="s">
        <v>138</v>
      </c>
      <c r="Q266" s="14" t="s">
        <v>631</v>
      </c>
      <c r="R266" s="8" t="s">
        <v>2621</v>
      </c>
      <c r="S266" s="14" t="s">
        <v>2591</v>
      </c>
    </row>
    <row r="267">
      <c r="A267" s="8" t="s">
        <v>780</v>
      </c>
      <c r="B267" s="8" t="s">
        <v>2822</v>
      </c>
      <c r="C267" s="8" t="s">
        <v>93</v>
      </c>
      <c r="D267" s="18" t="s">
        <v>2592</v>
      </c>
      <c r="E267" s="16">
        <v>85.0</v>
      </c>
      <c r="F267" s="8" t="s">
        <v>2806</v>
      </c>
      <c r="G267" s="8" t="s">
        <v>2805</v>
      </c>
      <c r="H267" s="8" t="s">
        <v>149</v>
      </c>
      <c r="I267" s="18" t="s">
        <v>2562</v>
      </c>
      <c r="J267" s="16">
        <v>69.0</v>
      </c>
      <c r="K267" s="8" t="s">
        <v>161</v>
      </c>
      <c r="L267" s="8" t="s">
        <v>1203</v>
      </c>
      <c r="M267" s="18" t="s">
        <v>2558</v>
      </c>
      <c r="N267" s="16">
        <v>75.0</v>
      </c>
      <c r="O267" s="8" t="s">
        <v>4178</v>
      </c>
      <c r="P267" s="8" t="s">
        <v>93</v>
      </c>
      <c r="Q267" s="14" t="s">
        <v>1679</v>
      </c>
      <c r="R267" s="8" t="s">
        <v>2584</v>
      </c>
      <c r="S267" s="14" t="s">
        <v>2570</v>
      </c>
    </row>
    <row r="268">
      <c r="A268" s="8" t="s">
        <v>780</v>
      </c>
      <c r="B268" s="8" t="s">
        <v>779</v>
      </c>
      <c r="C268" s="8" t="s">
        <v>149</v>
      </c>
      <c r="D268" s="18" t="s">
        <v>2560</v>
      </c>
      <c r="E268" s="16">
        <v>63.0</v>
      </c>
      <c r="F268" s="8" t="s">
        <v>780</v>
      </c>
      <c r="G268" s="8" t="s">
        <v>817</v>
      </c>
      <c r="H268" s="8" t="s">
        <v>215</v>
      </c>
      <c r="I268" s="18" t="s">
        <v>2575</v>
      </c>
      <c r="J268" s="16">
        <v>69.0</v>
      </c>
      <c r="K268" s="8" t="s">
        <v>157</v>
      </c>
      <c r="L268" s="8" t="s">
        <v>1276</v>
      </c>
      <c r="M268" s="18" t="s">
        <v>2620</v>
      </c>
      <c r="N268" s="16">
        <v>64.0</v>
      </c>
      <c r="O268" s="8" t="s">
        <v>4179</v>
      </c>
      <c r="P268" s="8" t="s">
        <v>65</v>
      </c>
      <c r="Q268" s="14" t="s">
        <v>1352</v>
      </c>
      <c r="R268" s="8" t="s">
        <v>2592</v>
      </c>
      <c r="S268" s="14" t="s">
        <v>2565</v>
      </c>
    </row>
    <row r="269">
      <c r="A269" s="8" t="s">
        <v>780</v>
      </c>
      <c r="B269" s="8" t="s">
        <v>817</v>
      </c>
      <c r="C269" s="8" t="s">
        <v>215</v>
      </c>
      <c r="D269" s="18" t="s">
        <v>2575</v>
      </c>
      <c r="E269" s="16">
        <v>64.0</v>
      </c>
      <c r="F269" s="8" t="s">
        <v>780</v>
      </c>
      <c r="G269" s="8" t="s">
        <v>779</v>
      </c>
      <c r="H269" s="8" t="s">
        <v>149</v>
      </c>
      <c r="I269" s="18" t="s">
        <v>2560</v>
      </c>
      <c r="J269" s="16">
        <v>69.0</v>
      </c>
      <c r="K269" s="8" t="s">
        <v>157</v>
      </c>
      <c r="L269" s="8" t="s">
        <v>833</v>
      </c>
      <c r="M269" s="18" t="s">
        <v>2560</v>
      </c>
      <c r="N269" s="16">
        <v>72.0</v>
      </c>
      <c r="O269" s="8" t="s">
        <v>4180</v>
      </c>
      <c r="P269" s="8" t="s">
        <v>16</v>
      </c>
      <c r="Q269" s="14" t="s">
        <v>1070</v>
      </c>
      <c r="R269" s="18" t="s">
        <v>2589</v>
      </c>
      <c r="S269" s="14" t="s">
        <v>2579</v>
      </c>
    </row>
    <row r="270">
      <c r="A270" s="8" t="s">
        <v>3174</v>
      </c>
      <c r="B270" s="8" t="s">
        <v>3173</v>
      </c>
      <c r="C270" s="8" t="s">
        <v>65</v>
      </c>
      <c r="D270" s="18" t="s">
        <v>2574</v>
      </c>
      <c r="E270" s="16">
        <v>69.0</v>
      </c>
      <c r="F270" s="8" t="s">
        <v>780</v>
      </c>
      <c r="G270" s="8" t="s">
        <v>2822</v>
      </c>
      <c r="H270" s="8" t="s">
        <v>93</v>
      </c>
      <c r="I270" s="18" t="s">
        <v>2592</v>
      </c>
      <c r="J270" s="16">
        <v>88.0</v>
      </c>
      <c r="K270" s="8" t="s">
        <v>157</v>
      </c>
      <c r="L270" s="8" t="s">
        <v>460</v>
      </c>
      <c r="M270" s="18" t="s">
        <v>2577</v>
      </c>
      <c r="N270" s="16">
        <v>68.0</v>
      </c>
      <c r="O270" s="8" t="s">
        <v>4181</v>
      </c>
      <c r="P270" s="8" t="s">
        <v>141</v>
      </c>
      <c r="Q270" s="14" t="s">
        <v>631</v>
      </c>
      <c r="R270" s="8" t="s">
        <v>2552</v>
      </c>
      <c r="S270" s="14" t="s">
        <v>2622</v>
      </c>
    </row>
    <row r="271">
      <c r="A271" s="8" t="s">
        <v>1570</v>
      </c>
      <c r="B271" s="8" t="s">
        <v>1569</v>
      </c>
      <c r="C271" s="8" t="s">
        <v>65</v>
      </c>
      <c r="D271" s="18" t="s">
        <v>2575</v>
      </c>
      <c r="E271" s="16">
        <v>70.0</v>
      </c>
      <c r="F271" s="8" t="s">
        <v>780</v>
      </c>
      <c r="G271" s="8" t="s">
        <v>251</v>
      </c>
      <c r="H271" s="8" t="s">
        <v>24</v>
      </c>
      <c r="I271" s="18" t="s">
        <v>2564</v>
      </c>
      <c r="J271" s="16">
        <v>82.0</v>
      </c>
      <c r="K271" s="8" t="s">
        <v>157</v>
      </c>
      <c r="L271" s="8" t="s">
        <v>1288</v>
      </c>
      <c r="M271" s="18" t="s">
        <v>2598</v>
      </c>
      <c r="N271" s="16">
        <v>79.0</v>
      </c>
      <c r="O271" s="8" t="s">
        <v>4182</v>
      </c>
      <c r="P271" s="8" t="s">
        <v>38</v>
      </c>
      <c r="Q271" s="14" t="s">
        <v>135</v>
      </c>
      <c r="R271" s="8" t="s">
        <v>2621</v>
      </c>
      <c r="S271" s="14" t="s">
        <v>2590</v>
      </c>
    </row>
    <row r="272">
      <c r="A272" s="8" t="s">
        <v>161</v>
      </c>
      <c r="B272" s="8" t="s">
        <v>1203</v>
      </c>
      <c r="C272" s="8" t="s">
        <v>16</v>
      </c>
      <c r="D272" s="18" t="s">
        <v>2558</v>
      </c>
      <c r="E272" s="16">
        <v>70.0</v>
      </c>
      <c r="F272" s="8" t="s">
        <v>3174</v>
      </c>
      <c r="G272" s="8" t="s">
        <v>3173</v>
      </c>
      <c r="H272" s="8" t="s">
        <v>65</v>
      </c>
      <c r="I272" s="18" t="s">
        <v>2574</v>
      </c>
      <c r="J272" s="16">
        <v>69.0</v>
      </c>
      <c r="K272" s="8" t="s">
        <v>157</v>
      </c>
      <c r="L272" s="8" t="s">
        <v>537</v>
      </c>
      <c r="M272" s="18" t="s">
        <v>2610</v>
      </c>
      <c r="N272" s="16">
        <v>71.0</v>
      </c>
      <c r="O272" s="8" t="s">
        <v>4183</v>
      </c>
      <c r="P272" s="8" t="s">
        <v>12</v>
      </c>
      <c r="Q272" s="14" t="s">
        <v>459</v>
      </c>
      <c r="R272" s="8" t="s">
        <v>2614</v>
      </c>
      <c r="S272" s="14" t="s">
        <v>2553</v>
      </c>
    </row>
    <row r="273">
      <c r="A273" s="8" t="s">
        <v>161</v>
      </c>
      <c r="B273" s="8" t="s">
        <v>160</v>
      </c>
      <c r="C273" s="8" t="s">
        <v>38</v>
      </c>
      <c r="D273" s="18" t="s">
        <v>2621</v>
      </c>
      <c r="E273" s="16">
        <v>85.0</v>
      </c>
      <c r="F273" s="8" t="s">
        <v>1570</v>
      </c>
      <c r="G273" s="8" t="s">
        <v>1569</v>
      </c>
      <c r="H273" s="8" t="s">
        <v>65</v>
      </c>
      <c r="I273" s="18" t="s">
        <v>2575</v>
      </c>
      <c r="J273" s="16">
        <v>74.0</v>
      </c>
      <c r="K273" s="8" t="s">
        <v>157</v>
      </c>
      <c r="L273" s="8" t="s">
        <v>156</v>
      </c>
      <c r="M273" s="18" t="s">
        <v>2600</v>
      </c>
      <c r="N273" s="16">
        <v>71.0</v>
      </c>
      <c r="O273" s="8" t="s">
        <v>4184</v>
      </c>
      <c r="P273" s="8" t="s">
        <v>16</v>
      </c>
      <c r="Q273" s="14" t="s">
        <v>2296</v>
      </c>
      <c r="R273" s="8" t="s">
        <v>2620</v>
      </c>
      <c r="S273" s="14" t="s">
        <v>2618</v>
      </c>
    </row>
    <row r="274">
      <c r="A274" s="8" t="s">
        <v>157</v>
      </c>
      <c r="B274" s="8" t="s">
        <v>3221</v>
      </c>
      <c r="C274" s="8" t="s">
        <v>186</v>
      </c>
      <c r="D274" s="18" t="s">
        <v>2562</v>
      </c>
      <c r="E274" s="16">
        <v>81.0</v>
      </c>
      <c r="F274" s="8" t="s">
        <v>161</v>
      </c>
      <c r="G274" s="8" t="s">
        <v>160</v>
      </c>
      <c r="H274" s="8" t="s">
        <v>38</v>
      </c>
      <c r="I274" s="18" t="s">
        <v>2621</v>
      </c>
      <c r="J274" s="16">
        <v>78.0</v>
      </c>
      <c r="K274" s="8" t="s">
        <v>157</v>
      </c>
      <c r="L274" s="8" t="s">
        <v>982</v>
      </c>
      <c r="M274" s="18" t="s">
        <v>2554</v>
      </c>
      <c r="N274" s="16">
        <v>70.0</v>
      </c>
      <c r="O274" s="8" t="s">
        <v>4185</v>
      </c>
      <c r="P274" s="8" t="s">
        <v>93</v>
      </c>
      <c r="Q274" s="14" t="s">
        <v>1352</v>
      </c>
      <c r="R274" s="8" t="s">
        <v>2577</v>
      </c>
      <c r="S274" s="14" t="s">
        <v>2555</v>
      </c>
    </row>
    <row r="275">
      <c r="A275" s="8" t="s">
        <v>157</v>
      </c>
      <c r="B275" s="8" t="s">
        <v>1149</v>
      </c>
      <c r="C275" s="8" t="s">
        <v>93</v>
      </c>
      <c r="D275" s="18" t="s">
        <v>2595</v>
      </c>
      <c r="E275" s="16">
        <v>66.0</v>
      </c>
      <c r="F275" s="8" t="s">
        <v>161</v>
      </c>
      <c r="G275" s="8" t="s">
        <v>284</v>
      </c>
      <c r="H275" s="8" t="s">
        <v>141</v>
      </c>
      <c r="I275" s="18" t="s">
        <v>2566</v>
      </c>
      <c r="J275" s="16">
        <v>64.0</v>
      </c>
      <c r="K275" s="8" t="s">
        <v>157</v>
      </c>
      <c r="L275" s="8" t="s">
        <v>2977</v>
      </c>
      <c r="M275" s="18" t="s">
        <v>2621</v>
      </c>
      <c r="N275" s="16">
        <v>83.0</v>
      </c>
      <c r="O275" s="8" t="s">
        <v>4185</v>
      </c>
      <c r="P275" s="8" t="s">
        <v>141</v>
      </c>
      <c r="Q275" s="14" t="s">
        <v>2033</v>
      </c>
      <c r="R275" s="8" t="s">
        <v>2593</v>
      </c>
      <c r="S275" s="14" t="s">
        <v>2576</v>
      </c>
    </row>
    <row r="276">
      <c r="A276" s="8" t="s">
        <v>157</v>
      </c>
      <c r="B276" s="8" t="s">
        <v>3637</v>
      </c>
      <c r="C276" s="8" t="s">
        <v>141</v>
      </c>
      <c r="D276" s="18" t="s">
        <v>2593</v>
      </c>
      <c r="E276" s="16">
        <v>67.0</v>
      </c>
      <c r="F276" s="8" t="s">
        <v>161</v>
      </c>
      <c r="G276" s="8" t="s">
        <v>1203</v>
      </c>
      <c r="H276" s="8" t="s">
        <v>16</v>
      </c>
      <c r="I276" s="18" t="s">
        <v>2558</v>
      </c>
      <c r="J276" s="16">
        <v>69.0</v>
      </c>
      <c r="K276" s="8" t="s">
        <v>157</v>
      </c>
      <c r="L276" s="8" t="s">
        <v>44</v>
      </c>
      <c r="M276" s="18" t="s">
        <v>2562</v>
      </c>
      <c r="N276" s="16">
        <v>65.0</v>
      </c>
      <c r="O276" s="8" t="s">
        <v>4186</v>
      </c>
      <c r="P276" s="8" t="s">
        <v>53</v>
      </c>
      <c r="Q276" s="14" t="s">
        <v>2459</v>
      </c>
      <c r="R276" s="8" t="s">
        <v>2574</v>
      </c>
      <c r="S276" s="14" t="s">
        <v>2601</v>
      </c>
    </row>
    <row r="277">
      <c r="A277" s="8" t="s">
        <v>157</v>
      </c>
      <c r="B277" s="8" t="s">
        <v>156</v>
      </c>
      <c r="C277" s="8" t="s">
        <v>16</v>
      </c>
      <c r="D277" s="18" t="s">
        <v>2605</v>
      </c>
      <c r="E277" s="16">
        <v>73.0</v>
      </c>
      <c r="F277" s="8" t="s">
        <v>157</v>
      </c>
      <c r="G277" s="8" t="s">
        <v>156</v>
      </c>
      <c r="H277" s="8" t="s">
        <v>16</v>
      </c>
      <c r="I277" s="18" t="s">
        <v>2585</v>
      </c>
      <c r="J277" s="16">
        <v>75.0</v>
      </c>
      <c r="K277" s="8" t="s">
        <v>157</v>
      </c>
      <c r="L277" s="8" t="s">
        <v>3023</v>
      </c>
      <c r="M277" s="18" t="s">
        <v>2552</v>
      </c>
      <c r="N277" s="16">
        <v>72.0</v>
      </c>
      <c r="O277" s="8" t="s">
        <v>4187</v>
      </c>
      <c r="P277" s="8" t="s">
        <v>70</v>
      </c>
      <c r="Q277" s="14" t="s">
        <v>2033</v>
      </c>
      <c r="R277" s="8" t="s">
        <v>2598</v>
      </c>
      <c r="S277" s="14" t="s">
        <v>2555</v>
      </c>
    </row>
    <row r="278">
      <c r="A278" s="8" t="s">
        <v>157</v>
      </c>
      <c r="B278" s="8" t="s">
        <v>3720</v>
      </c>
      <c r="C278" s="8" t="s">
        <v>24</v>
      </c>
      <c r="D278" s="18" t="s">
        <v>2552</v>
      </c>
      <c r="E278" s="16">
        <v>66.0</v>
      </c>
      <c r="F278" s="8" t="s">
        <v>157</v>
      </c>
      <c r="G278" s="8" t="s">
        <v>2977</v>
      </c>
      <c r="H278" s="8" t="s">
        <v>59</v>
      </c>
      <c r="I278" s="18" t="s">
        <v>2621</v>
      </c>
      <c r="J278" s="16">
        <v>85.0</v>
      </c>
      <c r="K278" s="8" t="s">
        <v>157</v>
      </c>
      <c r="L278" s="8" t="s">
        <v>1579</v>
      </c>
      <c r="M278" s="18" t="s">
        <v>2614</v>
      </c>
      <c r="N278" s="16">
        <v>64.0</v>
      </c>
      <c r="O278" s="8" t="s">
        <v>4188</v>
      </c>
      <c r="P278" s="8" t="s">
        <v>16</v>
      </c>
      <c r="Q278" s="14" t="s">
        <v>135</v>
      </c>
      <c r="R278" s="8" t="s">
        <v>2600</v>
      </c>
      <c r="S278" s="14" t="s">
        <v>2583</v>
      </c>
    </row>
    <row r="279">
      <c r="A279" s="8" t="s">
        <v>157</v>
      </c>
      <c r="B279" s="8" t="s">
        <v>982</v>
      </c>
      <c r="C279" s="8" t="s">
        <v>149</v>
      </c>
      <c r="D279" s="18" t="s">
        <v>2577</v>
      </c>
      <c r="E279" s="16">
        <v>65.0</v>
      </c>
      <c r="F279" s="8" t="s">
        <v>157</v>
      </c>
      <c r="G279" s="8" t="s">
        <v>1288</v>
      </c>
      <c r="H279" s="8" t="s">
        <v>93</v>
      </c>
      <c r="I279" s="18" t="s">
        <v>2598</v>
      </c>
      <c r="J279" s="16">
        <v>76.0</v>
      </c>
      <c r="K279" s="8" t="s">
        <v>157</v>
      </c>
      <c r="L279" s="8" t="s">
        <v>419</v>
      </c>
      <c r="M279" s="18" t="s">
        <v>2582</v>
      </c>
      <c r="N279" s="16">
        <v>73.0</v>
      </c>
      <c r="O279" s="8" t="s">
        <v>4189</v>
      </c>
      <c r="P279" s="8" t="s">
        <v>149</v>
      </c>
      <c r="Q279" s="14" t="s">
        <v>837</v>
      </c>
      <c r="R279" s="8" t="s">
        <v>2566</v>
      </c>
      <c r="S279" s="14" t="s">
        <v>2612</v>
      </c>
    </row>
    <row r="280">
      <c r="A280" s="8" t="s">
        <v>157</v>
      </c>
      <c r="B280" s="8" t="s">
        <v>2977</v>
      </c>
      <c r="C280" s="8" t="s">
        <v>59</v>
      </c>
      <c r="D280" s="18" t="s">
        <v>2621</v>
      </c>
      <c r="E280" s="16">
        <v>87.0</v>
      </c>
      <c r="F280" s="8" t="s">
        <v>157</v>
      </c>
      <c r="G280" s="8" t="s">
        <v>1579</v>
      </c>
      <c r="H280" s="8" t="s">
        <v>215</v>
      </c>
      <c r="I280" s="18" t="s">
        <v>2558</v>
      </c>
      <c r="J280" s="16">
        <v>57.0</v>
      </c>
      <c r="K280" s="8" t="s">
        <v>157</v>
      </c>
      <c r="L280" s="8" t="s">
        <v>460</v>
      </c>
      <c r="M280" s="18" t="s">
        <v>2593</v>
      </c>
      <c r="N280" s="16">
        <v>69.0</v>
      </c>
      <c r="O280" s="8" t="s">
        <v>4190</v>
      </c>
      <c r="P280" s="8" t="s">
        <v>149</v>
      </c>
      <c r="Q280" s="14" t="s">
        <v>2033</v>
      </c>
      <c r="R280" s="8" t="s">
        <v>2552</v>
      </c>
      <c r="S280" s="14" t="s">
        <v>2591</v>
      </c>
    </row>
    <row r="281">
      <c r="A281" s="8" t="s">
        <v>157</v>
      </c>
      <c r="B281" s="8" t="s">
        <v>1276</v>
      </c>
      <c r="C281" s="8" t="s">
        <v>24</v>
      </c>
      <c r="D281" s="18" t="s">
        <v>2183</v>
      </c>
      <c r="E281" s="16">
        <v>65.0</v>
      </c>
      <c r="F281" s="8" t="s">
        <v>157</v>
      </c>
      <c r="G281" s="8" t="s">
        <v>833</v>
      </c>
      <c r="H281" s="8" t="s">
        <v>132</v>
      </c>
      <c r="I281" s="18" t="s">
        <v>2560</v>
      </c>
      <c r="J281" s="16">
        <v>78.0</v>
      </c>
      <c r="K281" s="8" t="s">
        <v>157</v>
      </c>
      <c r="L281" s="8" t="s">
        <v>4191</v>
      </c>
      <c r="M281" s="18" t="s">
        <v>2552</v>
      </c>
      <c r="N281" s="16">
        <v>73.0</v>
      </c>
      <c r="O281" s="8" t="s">
        <v>4192</v>
      </c>
      <c r="P281" s="8" t="s">
        <v>93</v>
      </c>
      <c r="Q281" s="14" t="s">
        <v>1070</v>
      </c>
      <c r="R281" s="8" t="s">
        <v>2560</v>
      </c>
      <c r="S281" s="14" t="s">
        <v>2590</v>
      </c>
    </row>
    <row r="282">
      <c r="A282" s="8" t="s">
        <v>157</v>
      </c>
      <c r="B282" s="8" t="s">
        <v>44</v>
      </c>
      <c r="C282" s="8" t="s">
        <v>186</v>
      </c>
      <c r="D282" s="18" t="s">
        <v>2562</v>
      </c>
      <c r="E282" s="16">
        <v>61.0</v>
      </c>
      <c r="F282" s="8" t="s">
        <v>157</v>
      </c>
      <c r="G282" s="8" t="s">
        <v>419</v>
      </c>
      <c r="H282" s="8" t="s">
        <v>65</v>
      </c>
      <c r="I282" s="18" t="s">
        <v>2582</v>
      </c>
      <c r="J282" s="16">
        <v>77.0</v>
      </c>
      <c r="K282" s="8" t="s">
        <v>487</v>
      </c>
      <c r="L282" s="8" t="s">
        <v>486</v>
      </c>
      <c r="M282" s="18" t="s">
        <v>2589</v>
      </c>
      <c r="N282" s="16">
        <v>74.0</v>
      </c>
      <c r="O282" s="8" t="s">
        <v>4193</v>
      </c>
      <c r="P282" s="8" t="s">
        <v>122</v>
      </c>
      <c r="Q282" s="14" t="s">
        <v>1352</v>
      </c>
      <c r="R282" s="8" t="s">
        <v>2615</v>
      </c>
      <c r="S282" s="14" t="s">
        <v>2594</v>
      </c>
    </row>
    <row r="283">
      <c r="A283" s="8" t="s">
        <v>157</v>
      </c>
      <c r="B283" s="8" t="s">
        <v>1288</v>
      </c>
      <c r="C283" s="8" t="s">
        <v>192</v>
      </c>
      <c r="D283" s="18" t="s">
        <v>2598</v>
      </c>
      <c r="E283" s="16">
        <v>60.0</v>
      </c>
      <c r="F283" s="8" t="s">
        <v>157</v>
      </c>
      <c r="G283" s="8" t="s">
        <v>982</v>
      </c>
      <c r="H283" s="8" t="s">
        <v>149</v>
      </c>
      <c r="I283" s="18" t="s">
        <v>2577</v>
      </c>
      <c r="J283" s="16">
        <v>65.0</v>
      </c>
      <c r="K283" s="8" t="s">
        <v>1093</v>
      </c>
      <c r="L283" s="8" t="s">
        <v>1092</v>
      </c>
      <c r="M283" s="18" t="s">
        <v>2615</v>
      </c>
      <c r="N283" s="16">
        <v>79.0</v>
      </c>
      <c r="O283" s="8" t="s">
        <v>4194</v>
      </c>
      <c r="P283" s="8" t="s">
        <v>65</v>
      </c>
      <c r="Q283" s="14" t="s">
        <v>338</v>
      </c>
      <c r="R283" s="8" t="s">
        <v>2582</v>
      </c>
      <c r="S283" s="14" t="s">
        <v>2622</v>
      </c>
    </row>
    <row r="284">
      <c r="A284" s="8" t="s">
        <v>157</v>
      </c>
      <c r="B284" s="8" t="s">
        <v>1579</v>
      </c>
      <c r="C284" s="8" t="s">
        <v>122</v>
      </c>
      <c r="D284" s="18" t="s">
        <v>2558</v>
      </c>
      <c r="E284" s="16">
        <v>59.0</v>
      </c>
      <c r="F284" s="8" t="s">
        <v>157</v>
      </c>
      <c r="G284" s="8" t="s">
        <v>1276</v>
      </c>
      <c r="H284" s="8" t="s">
        <v>24</v>
      </c>
      <c r="I284" s="18" t="s">
        <v>2560</v>
      </c>
      <c r="J284" s="16">
        <v>65.0</v>
      </c>
      <c r="K284" s="8" t="s">
        <v>109</v>
      </c>
      <c r="L284" s="8" t="s">
        <v>36</v>
      </c>
      <c r="M284" s="18" t="s">
        <v>2615</v>
      </c>
      <c r="N284" s="16">
        <v>76.0</v>
      </c>
      <c r="O284" s="8" t="s">
        <v>4195</v>
      </c>
      <c r="P284" s="8" t="s">
        <v>132</v>
      </c>
      <c r="Q284" s="14" t="s">
        <v>631</v>
      </c>
      <c r="R284" s="8" t="s">
        <v>2560</v>
      </c>
      <c r="S284" s="14" t="s">
        <v>2588</v>
      </c>
    </row>
    <row r="285">
      <c r="A285" s="8" t="s">
        <v>157</v>
      </c>
      <c r="B285" s="8" t="s">
        <v>419</v>
      </c>
      <c r="C285" s="8" t="s">
        <v>65</v>
      </c>
      <c r="D285" s="18" t="s">
        <v>2593</v>
      </c>
      <c r="E285" s="16">
        <v>74.0</v>
      </c>
      <c r="F285" s="8" t="s">
        <v>157</v>
      </c>
      <c r="G285" s="8" t="s">
        <v>460</v>
      </c>
      <c r="H285" s="8" t="s">
        <v>93</v>
      </c>
      <c r="I285" s="18" t="s">
        <v>2577</v>
      </c>
      <c r="J285" s="16">
        <v>65.0</v>
      </c>
      <c r="K285" s="8" t="s">
        <v>243</v>
      </c>
      <c r="L285" s="8" t="s">
        <v>2743</v>
      </c>
      <c r="M285" s="18" t="s">
        <v>2585</v>
      </c>
      <c r="N285" s="16">
        <v>65.0</v>
      </c>
      <c r="O285" s="8" t="s">
        <v>4196</v>
      </c>
      <c r="P285" s="8" t="s">
        <v>65</v>
      </c>
      <c r="Q285" s="14" t="s">
        <v>459</v>
      </c>
      <c r="R285" s="8" t="s">
        <v>2581</v>
      </c>
      <c r="S285" s="14" t="s">
        <v>2573</v>
      </c>
    </row>
    <row r="286">
      <c r="A286" s="8" t="s">
        <v>157</v>
      </c>
      <c r="B286" s="8" t="s">
        <v>3023</v>
      </c>
      <c r="C286" s="8" t="s">
        <v>138</v>
      </c>
      <c r="D286" s="18" t="s">
        <v>2552</v>
      </c>
      <c r="E286" s="16">
        <v>79.0</v>
      </c>
      <c r="F286" s="8" t="s">
        <v>157</v>
      </c>
      <c r="G286" s="8" t="s">
        <v>44</v>
      </c>
      <c r="H286" s="8" t="s">
        <v>186</v>
      </c>
      <c r="I286" s="18" t="s">
        <v>2562</v>
      </c>
      <c r="J286" s="16">
        <v>61.0</v>
      </c>
      <c r="K286" s="8" t="s">
        <v>243</v>
      </c>
      <c r="L286" s="8" t="s">
        <v>2978</v>
      </c>
      <c r="M286" s="18" t="s">
        <v>2581</v>
      </c>
      <c r="N286" s="16">
        <v>74.0</v>
      </c>
      <c r="O286" s="8" t="s">
        <v>4197</v>
      </c>
      <c r="P286" s="8" t="s">
        <v>80</v>
      </c>
      <c r="Q286" s="14" t="s">
        <v>1070</v>
      </c>
      <c r="R286" s="8" t="s">
        <v>2562</v>
      </c>
      <c r="S286" s="14" t="s">
        <v>2601</v>
      </c>
    </row>
    <row r="287">
      <c r="A287" s="8" t="s">
        <v>157</v>
      </c>
      <c r="B287" s="8" t="s">
        <v>3425</v>
      </c>
      <c r="C287" s="8" t="s">
        <v>141</v>
      </c>
      <c r="D287" s="18" t="s">
        <v>2621</v>
      </c>
      <c r="E287" s="16">
        <v>71.0</v>
      </c>
      <c r="F287" s="8" t="s">
        <v>157</v>
      </c>
      <c r="G287" s="8" t="s">
        <v>3425</v>
      </c>
      <c r="H287" s="8" t="s">
        <v>132</v>
      </c>
      <c r="I287" s="18" t="s">
        <v>2567</v>
      </c>
      <c r="J287" s="16">
        <v>74.0</v>
      </c>
      <c r="K287" s="8" t="s">
        <v>731</v>
      </c>
      <c r="L287" s="8" t="s">
        <v>730</v>
      </c>
      <c r="M287" s="18" t="s">
        <v>2575</v>
      </c>
      <c r="N287" s="16">
        <v>67.0</v>
      </c>
      <c r="O287" s="8" t="s">
        <v>4198</v>
      </c>
      <c r="P287" s="8" t="s">
        <v>38</v>
      </c>
      <c r="Q287" s="14" t="s">
        <v>108</v>
      </c>
      <c r="R287" s="8" t="s">
        <v>2615</v>
      </c>
      <c r="S287" s="14" t="s">
        <v>2590</v>
      </c>
    </row>
    <row r="288">
      <c r="A288" s="8" t="s">
        <v>157</v>
      </c>
      <c r="B288" s="8" t="s">
        <v>833</v>
      </c>
      <c r="C288" s="8" t="s">
        <v>132</v>
      </c>
      <c r="D288" s="18" t="s">
        <v>2560</v>
      </c>
      <c r="E288" s="16">
        <v>70.0</v>
      </c>
      <c r="F288" s="8" t="s">
        <v>157</v>
      </c>
      <c r="G288" s="8" t="s">
        <v>1149</v>
      </c>
      <c r="H288" s="8" t="s">
        <v>93</v>
      </c>
      <c r="I288" s="18" t="s">
        <v>2584</v>
      </c>
      <c r="J288" s="16">
        <v>65.0</v>
      </c>
      <c r="K288" s="8" t="s">
        <v>731</v>
      </c>
      <c r="L288" s="8" t="s">
        <v>537</v>
      </c>
      <c r="M288" s="18" t="s">
        <v>2645</v>
      </c>
      <c r="N288" s="16">
        <v>67.0</v>
      </c>
      <c r="O288" s="8" t="s">
        <v>4199</v>
      </c>
      <c r="P288" s="8" t="s">
        <v>138</v>
      </c>
      <c r="Q288" s="14" t="s">
        <v>631</v>
      </c>
      <c r="R288" s="8" t="s">
        <v>2560</v>
      </c>
      <c r="S288" s="14" t="s">
        <v>2568</v>
      </c>
    </row>
    <row r="289">
      <c r="A289" s="8" t="s">
        <v>487</v>
      </c>
      <c r="B289" s="8" t="s">
        <v>486</v>
      </c>
      <c r="C289" s="8" t="s">
        <v>65</v>
      </c>
      <c r="D289" s="18" t="s">
        <v>2614</v>
      </c>
      <c r="E289" s="16">
        <v>71.0</v>
      </c>
      <c r="F289" s="8" t="s">
        <v>157</v>
      </c>
      <c r="G289" s="8" t="s">
        <v>3023</v>
      </c>
      <c r="H289" s="8" t="s">
        <v>138</v>
      </c>
      <c r="I289" s="18" t="s">
        <v>2552</v>
      </c>
      <c r="J289" s="16">
        <v>80.0</v>
      </c>
      <c r="K289" s="8" t="s">
        <v>224</v>
      </c>
      <c r="L289" s="8" t="s">
        <v>677</v>
      </c>
      <c r="M289" s="18" t="s">
        <v>2584</v>
      </c>
      <c r="N289" s="16">
        <v>66.0</v>
      </c>
      <c r="O289" s="8" t="s">
        <v>4200</v>
      </c>
      <c r="P289" s="8" t="s">
        <v>59</v>
      </c>
      <c r="Q289" s="14" t="s">
        <v>189</v>
      </c>
      <c r="R289" s="18" t="s">
        <v>2589</v>
      </c>
      <c r="S289" s="14" t="s">
        <v>2590</v>
      </c>
    </row>
    <row r="290">
      <c r="A290" s="8" t="s">
        <v>487</v>
      </c>
      <c r="B290" s="8" t="s">
        <v>1250</v>
      </c>
      <c r="C290" s="8" t="s">
        <v>93</v>
      </c>
      <c r="D290" s="18" t="s">
        <v>2621</v>
      </c>
      <c r="E290" s="16">
        <v>78.0</v>
      </c>
      <c r="F290" s="8" t="s">
        <v>157</v>
      </c>
      <c r="G290" s="8" t="s">
        <v>3221</v>
      </c>
      <c r="H290" s="8" t="s">
        <v>186</v>
      </c>
      <c r="I290" s="18" t="s">
        <v>2562</v>
      </c>
      <c r="J290" s="16">
        <v>78.0</v>
      </c>
      <c r="K290" s="8" t="s">
        <v>224</v>
      </c>
      <c r="L290" s="8" t="s">
        <v>223</v>
      </c>
      <c r="M290" s="18" t="s">
        <v>2598</v>
      </c>
      <c r="N290" s="16">
        <v>78.0</v>
      </c>
      <c r="O290" s="8" t="s">
        <v>4201</v>
      </c>
      <c r="P290" s="8" t="s">
        <v>70</v>
      </c>
      <c r="Q290" s="14" t="s">
        <v>2296</v>
      </c>
      <c r="R290" s="8" t="s">
        <v>2592</v>
      </c>
      <c r="S290" s="14" t="s">
        <v>2594</v>
      </c>
    </row>
    <row r="291">
      <c r="A291" s="8" t="s">
        <v>3273</v>
      </c>
      <c r="B291" s="8" t="s">
        <v>325</v>
      </c>
      <c r="C291" s="8" t="s">
        <v>65</v>
      </c>
      <c r="D291" s="18" t="s">
        <v>2589</v>
      </c>
      <c r="E291" s="16">
        <v>62.0</v>
      </c>
      <c r="F291" s="8" t="s">
        <v>157</v>
      </c>
      <c r="G291" s="8" t="s">
        <v>537</v>
      </c>
      <c r="H291" s="8" t="s">
        <v>70</v>
      </c>
      <c r="I291" s="18" t="s">
        <v>2598</v>
      </c>
      <c r="J291" s="16">
        <v>72.0</v>
      </c>
      <c r="K291" s="8" t="s">
        <v>249</v>
      </c>
      <c r="L291" s="8" t="s">
        <v>368</v>
      </c>
      <c r="M291" s="18" t="s">
        <v>2562</v>
      </c>
      <c r="N291" s="16">
        <v>74.0</v>
      </c>
      <c r="O291" s="8" t="s">
        <v>4202</v>
      </c>
      <c r="P291" s="8" t="s">
        <v>186</v>
      </c>
      <c r="Q291" s="14" t="s">
        <v>237</v>
      </c>
      <c r="R291" s="8" t="s">
        <v>2598</v>
      </c>
      <c r="S291" s="14" t="s">
        <v>2622</v>
      </c>
    </row>
    <row r="292">
      <c r="A292" s="8" t="s">
        <v>109</v>
      </c>
      <c r="B292" s="8" t="s">
        <v>36</v>
      </c>
      <c r="C292" s="8" t="s">
        <v>38</v>
      </c>
      <c r="D292" s="18" t="s">
        <v>2620</v>
      </c>
      <c r="E292" s="16">
        <v>80.0</v>
      </c>
      <c r="F292" s="8" t="s">
        <v>487</v>
      </c>
      <c r="G292" s="8" t="s">
        <v>1250</v>
      </c>
      <c r="H292" s="8" t="s">
        <v>93</v>
      </c>
      <c r="I292" s="18" t="s">
        <v>2621</v>
      </c>
      <c r="J292" s="16">
        <v>78.0</v>
      </c>
      <c r="K292" s="8" t="s">
        <v>249</v>
      </c>
      <c r="L292" s="8" t="s">
        <v>280</v>
      </c>
      <c r="M292" s="18" t="s">
        <v>2556</v>
      </c>
      <c r="N292" s="16">
        <v>82.0</v>
      </c>
      <c r="O292" s="8" t="s">
        <v>4203</v>
      </c>
      <c r="P292" s="8" t="s">
        <v>122</v>
      </c>
      <c r="Q292" s="14" t="s">
        <v>1679</v>
      </c>
      <c r="R292" s="8" t="s">
        <v>2564</v>
      </c>
      <c r="S292" s="14" t="s">
        <v>2594</v>
      </c>
    </row>
    <row r="293">
      <c r="A293" s="8" t="s">
        <v>243</v>
      </c>
      <c r="B293" s="8" t="s">
        <v>2743</v>
      </c>
      <c r="C293" s="8" t="s">
        <v>186</v>
      </c>
      <c r="D293" s="18" t="s">
        <v>2603</v>
      </c>
      <c r="E293" s="16">
        <v>66.0</v>
      </c>
      <c r="F293" s="8" t="s">
        <v>487</v>
      </c>
      <c r="G293" s="8" t="s">
        <v>486</v>
      </c>
      <c r="H293" s="8" t="s">
        <v>65</v>
      </c>
      <c r="I293" s="18" t="s">
        <v>2614</v>
      </c>
      <c r="J293" s="16">
        <v>74.0</v>
      </c>
      <c r="K293" s="8" t="s">
        <v>249</v>
      </c>
      <c r="L293" s="8" t="s">
        <v>99</v>
      </c>
      <c r="M293" s="18" t="s">
        <v>2587</v>
      </c>
      <c r="N293" s="16">
        <v>83.0</v>
      </c>
      <c r="O293" s="8" t="s">
        <v>4204</v>
      </c>
      <c r="P293" s="8" t="s">
        <v>53</v>
      </c>
      <c r="Q293" s="14" t="s">
        <v>237</v>
      </c>
      <c r="R293" s="8" t="s">
        <v>2574</v>
      </c>
      <c r="S293" s="14" t="s">
        <v>2553</v>
      </c>
    </row>
    <row r="294">
      <c r="A294" s="8" t="s">
        <v>243</v>
      </c>
      <c r="B294" s="8" t="s">
        <v>2978</v>
      </c>
      <c r="C294" s="8" t="s">
        <v>16</v>
      </c>
      <c r="D294" s="18" t="s">
        <v>2562</v>
      </c>
      <c r="E294" s="16">
        <v>77.0</v>
      </c>
      <c r="F294" s="8" t="s">
        <v>1093</v>
      </c>
      <c r="G294" s="8" t="s">
        <v>1092</v>
      </c>
      <c r="H294" s="8" t="s">
        <v>93</v>
      </c>
      <c r="I294" s="18" t="s">
        <v>2615</v>
      </c>
      <c r="J294" s="16">
        <v>71.0</v>
      </c>
      <c r="K294" s="8" t="s">
        <v>249</v>
      </c>
      <c r="L294" s="8" t="s">
        <v>99</v>
      </c>
      <c r="M294" s="18" t="s">
        <v>2582</v>
      </c>
      <c r="N294" s="16">
        <v>84.0</v>
      </c>
      <c r="O294" s="8" t="s">
        <v>4205</v>
      </c>
      <c r="P294" s="8" t="s">
        <v>149</v>
      </c>
      <c r="Q294" s="14" t="s">
        <v>338</v>
      </c>
      <c r="R294" s="8" t="s">
        <v>2558</v>
      </c>
      <c r="S294" s="14" t="s">
        <v>2625</v>
      </c>
    </row>
    <row r="295">
      <c r="A295" s="8" t="s">
        <v>243</v>
      </c>
      <c r="B295" s="8" t="s">
        <v>3495</v>
      </c>
      <c r="C295" s="8" t="s">
        <v>80</v>
      </c>
      <c r="D295" s="18" t="s">
        <v>2600</v>
      </c>
      <c r="E295" s="16">
        <v>70.0</v>
      </c>
      <c r="F295" s="8" t="s">
        <v>3273</v>
      </c>
      <c r="G295" s="8" t="s">
        <v>325</v>
      </c>
      <c r="H295" s="8" t="s">
        <v>65</v>
      </c>
      <c r="I295" s="18" t="s">
        <v>2589</v>
      </c>
      <c r="J295" s="16">
        <v>63.0</v>
      </c>
      <c r="K295" s="8" t="s">
        <v>249</v>
      </c>
      <c r="L295" s="8" t="s">
        <v>99</v>
      </c>
      <c r="M295" s="18" t="s">
        <v>2582</v>
      </c>
      <c r="N295" s="16">
        <v>82.0</v>
      </c>
      <c r="O295" s="8" t="s">
        <v>4206</v>
      </c>
      <c r="P295" s="8" t="s">
        <v>53</v>
      </c>
      <c r="Q295" s="14" t="s">
        <v>1352</v>
      </c>
      <c r="R295" s="8" t="s">
        <v>2574</v>
      </c>
      <c r="S295" s="14" t="s">
        <v>2555</v>
      </c>
    </row>
    <row r="296">
      <c r="A296" s="8" t="s">
        <v>731</v>
      </c>
      <c r="B296" s="8" t="s">
        <v>730</v>
      </c>
      <c r="C296" s="8" t="s">
        <v>215</v>
      </c>
      <c r="D296" s="18" t="s">
        <v>2575</v>
      </c>
      <c r="E296" s="16">
        <v>69.0</v>
      </c>
      <c r="F296" s="8" t="s">
        <v>109</v>
      </c>
      <c r="G296" s="8" t="s">
        <v>36</v>
      </c>
      <c r="H296" s="8" t="s">
        <v>38</v>
      </c>
      <c r="I296" s="18" t="s">
        <v>2615</v>
      </c>
      <c r="J296" s="16">
        <v>76.0</v>
      </c>
      <c r="K296" s="8" t="s">
        <v>249</v>
      </c>
      <c r="L296" s="8" t="s">
        <v>99</v>
      </c>
      <c r="M296" s="18" t="s">
        <v>2587</v>
      </c>
      <c r="N296" s="16">
        <v>90.0</v>
      </c>
      <c r="O296" s="8" t="s">
        <v>4207</v>
      </c>
      <c r="P296" s="8" t="s">
        <v>75</v>
      </c>
      <c r="Q296" s="14" t="s">
        <v>459</v>
      </c>
      <c r="R296" s="8" t="s">
        <v>2615</v>
      </c>
      <c r="S296" s="14" t="s">
        <v>2555</v>
      </c>
    </row>
    <row r="297">
      <c r="A297" s="8" t="s">
        <v>224</v>
      </c>
      <c r="B297" s="8" t="s">
        <v>223</v>
      </c>
      <c r="C297" s="8" t="s">
        <v>53</v>
      </c>
      <c r="D297" s="18" t="s">
        <v>2598</v>
      </c>
      <c r="E297" s="16">
        <v>76.0</v>
      </c>
      <c r="F297" s="8" t="s">
        <v>243</v>
      </c>
      <c r="G297" s="8" t="s">
        <v>2743</v>
      </c>
      <c r="H297" s="8" t="s">
        <v>186</v>
      </c>
      <c r="I297" s="18" t="s">
        <v>2585</v>
      </c>
      <c r="J297" s="16">
        <v>68.0</v>
      </c>
      <c r="K297" s="8" t="s">
        <v>249</v>
      </c>
      <c r="L297" s="8" t="s">
        <v>99</v>
      </c>
      <c r="M297" s="18" t="s">
        <v>2587</v>
      </c>
      <c r="N297" s="16">
        <v>86.0</v>
      </c>
      <c r="O297" s="8" t="s">
        <v>4208</v>
      </c>
      <c r="P297" s="8" t="s">
        <v>93</v>
      </c>
      <c r="Q297" s="14" t="s">
        <v>837</v>
      </c>
      <c r="R297" s="8" t="s">
        <v>2620</v>
      </c>
      <c r="S297" s="14" t="s">
        <v>2599</v>
      </c>
    </row>
    <row r="298">
      <c r="A298" s="8" t="s">
        <v>249</v>
      </c>
      <c r="B298" s="8" t="s">
        <v>248</v>
      </c>
      <c r="C298" s="8" t="s">
        <v>186</v>
      </c>
      <c r="D298" s="18" t="s">
        <v>2560</v>
      </c>
      <c r="E298" s="16">
        <v>73.0</v>
      </c>
      <c r="F298" s="8" t="s">
        <v>243</v>
      </c>
      <c r="G298" s="8" t="s">
        <v>2978</v>
      </c>
      <c r="H298" s="8" t="s">
        <v>16</v>
      </c>
      <c r="I298" s="18" t="s">
        <v>2615</v>
      </c>
      <c r="J298" s="16">
        <v>75.0</v>
      </c>
      <c r="K298" s="8" t="s">
        <v>249</v>
      </c>
      <c r="L298" s="8" t="s">
        <v>99</v>
      </c>
      <c r="M298" s="18" t="s">
        <v>2587</v>
      </c>
      <c r="N298" s="16">
        <v>88.0</v>
      </c>
      <c r="O298" s="8" t="s">
        <v>4209</v>
      </c>
      <c r="P298" s="8" t="s">
        <v>186</v>
      </c>
      <c r="Q298" s="14" t="s">
        <v>837</v>
      </c>
      <c r="R298" s="8" t="s">
        <v>2593</v>
      </c>
      <c r="S298" s="14" t="s">
        <v>2563</v>
      </c>
    </row>
    <row r="299">
      <c r="A299" s="8" t="s">
        <v>249</v>
      </c>
      <c r="B299" s="8" t="s">
        <v>368</v>
      </c>
      <c r="C299" s="8" t="s">
        <v>65</v>
      </c>
      <c r="D299" s="18" t="s">
        <v>2585</v>
      </c>
      <c r="E299" s="16">
        <v>69.0</v>
      </c>
      <c r="F299" s="8" t="s">
        <v>731</v>
      </c>
      <c r="G299" s="8" t="s">
        <v>730</v>
      </c>
      <c r="H299" s="8" t="s">
        <v>215</v>
      </c>
      <c r="I299" s="18" t="s">
        <v>2575</v>
      </c>
      <c r="J299" s="16">
        <v>69.0</v>
      </c>
      <c r="K299" s="8" t="s">
        <v>354</v>
      </c>
      <c r="L299" s="8" t="s">
        <v>145</v>
      </c>
      <c r="M299" s="18" t="s">
        <v>2574</v>
      </c>
      <c r="N299" s="16">
        <v>68.0</v>
      </c>
      <c r="O299" s="8" t="s">
        <v>4210</v>
      </c>
      <c r="P299" s="8" t="s">
        <v>70</v>
      </c>
      <c r="Q299" s="14" t="s">
        <v>2459</v>
      </c>
      <c r="R299" s="8" t="s">
        <v>2582</v>
      </c>
      <c r="S299" s="14" t="s">
        <v>2573</v>
      </c>
    </row>
    <row r="300">
      <c r="A300" s="8" t="s">
        <v>249</v>
      </c>
      <c r="B300" s="8" t="s">
        <v>3280</v>
      </c>
      <c r="C300" s="8" t="s">
        <v>16</v>
      </c>
      <c r="D300" s="18" t="s">
        <v>2577</v>
      </c>
      <c r="E300" s="16">
        <v>69.0</v>
      </c>
      <c r="F300" s="8" t="s">
        <v>224</v>
      </c>
      <c r="G300" s="8" t="s">
        <v>223</v>
      </c>
      <c r="H300" s="8" t="s">
        <v>138</v>
      </c>
      <c r="I300" s="18" t="s">
        <v>2598</v>
      </c>
      <c r="J300" s="16">
        <v>76.0</v>
      </c>
      <c r="K300" s="8" t="s">
        <v>354</v>
      </c>
      <c r="L300" s="8" t="s">
        <v>2658</v>
      </c>
      <c r="M300" s="18" t="s">
        <v>2592</v>
      </c>
      <c r="N300" s="16">
        <v>83.0</v>
      </c>
      <c r="O300" s="8" t="s">
        <v>4211</v>
      </c>
      <c r="P300" s="8" t="s">
        <v>59</v>
      </c>
      <c r="Q300" s="14" t="s">
        <v>1070</v>
      </c>
      <c r="R300" s="8" t="s">
        <v>2577</v>
      </c>
      <c r="S300" s="14" t="s">
        <v>2602</v>
      </c>
    </row>
    <row r="301">
      <c r="A301" s="8" t="s">
        <v>249</v>
      </c>
      <c r="B301" s="8" t="s">
        <v>280</v>
      </c>
      <c r="C301" s="8" t="s">
        <v>53</v>
      </c>
      <c r="D301" s="18" t="s">
        <v>2556</v>
      </c>
      <c r="E301" s="16">
        <v>81.0</v>
      </c>
      <c r="F301" s="8" t="s">
        <v>224</v>
      </c>
      <c r="G301" s="8" t="s">
        <v>677</v>
      </c>
      <c r="H301" s="8" t="s">
        <v>186</v>
      </c>
      <c r="I301" s="18" t="s">
        <v>2600</v>
      </c>
      <c r="J301" s="16">
        <v>60.0</v>
      </c>
      <c r="K301" s="8" t="s">
        <v>354</v>
      </c>
      <c r="L301" s="8" t="s">
        <v>353</v>
      </c>
      <c r="M301" s="18" t="s">
        <v>2558</v>
      </c>
      <c r="N301" s="16">
        <v>79.0</v>
      </c>
      <c r="O301" s="8" t="s">
        <v>4212</v>
      </c>
      <c r="P301" s="8" t="s">
        <v>80</v>
      </c>
      <c r="Q301" s="14" t="s">
        <v>2033</v>
      </c>
      <c r="R301" s="18" t="s">
        <v>2589</v>
      </c>
      <c r="S301" s="14" t="s">
        <v>2607</v>
      </c>
    </row>
    <row r="302">
      <c r="A302" s="8" t="s">
        <v>249</v>
      </c>
      <c r="B302" s="8" t="s">
        <v>402</v>
      </c>
      <c r="C302" s="8" t="s">
        <v>261</v>
      </c>
      <c r="D302" s="18" t="s">
        <v>2585</v>
      </c>
      <c r="E302" s="16">
        <v>77.0</v>
      </c>
      <c r="F302" s="8" t="s">
        <v>249</v>
      </c>
      <c r="G302" s="8" t="s">
        <v>248</v>
      </c>
      <c r="H302" s="8" t="s">
        <v>186</v>
      </c>
      <c r="I302" s="18" t="s">
        <v>2560</v>
      </c>
      <c r="J302" s="16">
        <v>72.0</v>
      </c>
      <c r="K302" s="8" t="s">
        <v>354</v>
      </c>
      <c r="L302" s="8" t="s">
        <v>621</v>
      </c>
      <c r="M302" s="18" t="s">
        <v>2183</v>
      </c>
      <c r="N302" s="16">
        <v>72.0</v>
      </c>
      <c r="O302" s="8" t="s">
        <v>4213</v>
      </c>
      <c r="P302" s="8" t="s">
        <v>70</v>
      </c>
      <c r="Q302" s="14" t="s">
        <v>2033</v>
      </c>
      <c r="R302" s="8" t="s">
        <v>2562</v>
      </c>
      <c r="S302" s="14" t="s">
        <v>2570</v>
      </c>
    </row>
    <row r="303">
      <c r="A303" s="8" t="s">
        <v>354</v>
      </c>
      <c r="B303" s="8" t="s">
        <v>2658</v>
      </c>
      <c r="C303" s="8" t="s">
        <v>38</v>
      </c>
      <c r="D303" s="18" t="s">
        <v>2592</v>
      </c>
      <c r="E303" s="16">
        <v>82.0</v>
      </c>
      <c r="F303" s="8" t="s">
        <v>249</v>
      </c>
      <c r="G303" s="8" t="s">
        <v>368</v>
      </c>
      <c r="H303" s="8" t="s">
        <v>65</v>
      </c>
      <c r="I303" s="18" t="s">
        <v>2585</v>
      </c>
      <c r="J303" s="16">
        <v>71.0</v>
      </c>
      <c r="K303" s="8" t="s">
        <v>871</v>
      </c>
      <c r="L303" s="8" t="s">
        <v>932</v>
      </c>
      <c r="M303" s="18" t="s">
        <v>2593</v>
      </c>
      <c r="N303" s="16">
        <v>74.0</v>
      </c>
      <c r="O303" s="8" t="s">
        <v>4214</v>
      </c>
      <c r="P303" s="8" t="s">
        <v>65</v>
      </c>
      <c r="Q303" s="14" t="s">
        <v>1679</v>
      </c>
      <c r="R303" s="8" t="s">
        <v>2620</v>
      </c>
      <c r="S303" s="14" t="s">
        <v>2555</v>
      </c>
    </row>
    <row r="304">
      <c r="A304" s="8" t="s">
        <v>354</v>
      </c>
      <c r="B304" s="8" t="s">
        <v>3562</v>
      </c>
      <c r="C304" s="8" t="s">
        <v>215</v>
      </c>
      <c r="D304" s="18" t="s">
        <v>2564</v>
      </c>
      <c r="E304" s="16">
        <v>71.0</v>
      </c>
      <c r="F304" s="8" t="s">
        <v>249</v>
      </c>
      <c r="G304" s="8" t="s">
        <v>280</v>
      </c>
      <c r="H304" s="8" t="s">
        <v>59</v>
      </c>
      <c r="I304" s="18" t="s">
        <v>2556</v>
      </c>
      <c r="J304" s="16">
        <v>84.0</v>
      </c>
      <c r="K304" s="8" t="s">
        <v>871</v>
      </c>
      <c r="L304" s="8" t="s">
        <v>2994</v>
      </c>
      <c r="M304" s="18" t="s">
        <v>2581</v>
      </c>
      <c r="N304" s="16">
        <v>72.0</v>
      </c>
      <c r="O304" s="8" t="s">
        <v>4215</v>
      </c>
      <c r="P304" s="8" t="s">
        <v>93</v>
      </c>
      <c r="Q304" s="14" t="s">
        <v>338</v>
      </c>
      <c r="R304" s="8" t="s">
        <v>2605</v>
      </c>
      <c r="S304" s="14" t="s">
        <v>2590</v>
      </c>
    </row>
    <row r="305">
      <c r="A305" s="8" t="s">
        <v>354</v>
      </c>
      <c r="B305" s="8" t="s">
        <v>353</v>
      </c>
      <c r="C305" s="8" t="s">
        <v>149</v>
      </c>
      <c r="D305" s="18" t="s">
        <v>2558</v>
      </c>
      <c r="E305" s="16">
        <v>79.0</v>
      </c>
      <c r="F305" s="8" t="s">
        <v>249</v>
      </c>
      <c r="G305" s="8" t="s">
        <v>3267</v>
      </c>
      <c r="H305" s="8" t="s">
        <v>122</v>
      </c>
      <c r="I305" s="18" t="s">
        <v>2554</v>
      </c>
      <c r="J305" s="16">
        <v>68.0</v>
      </c>
      <c r="K305" s="8" t="s">
        <v>871</v>
      </c>
      <c r="L305" s="8" t="s">
        <v>870</v>
      </c>
      <c r="M305" s="18" t="s">
        <v>2605</v>
      </c>
      <c r="N305" s="16">
        <v>76.0</v>
      </c>
      <c r="O305" s="8" t="s">
        <v>4216</v>
      </c>
      <c r="P305" s="8" t="s">
        <v>122</v>
      </c>
      <c r="Q305" s="14" t="s">
        <v>2296</v>
      </c>
      <c r="R305" s="8" t="s">
        <v>2600</v>
      </c>
      <c r="S305" s="14" t="s">
        <v>2555</v>
      </c>
    </row>
    <row r="306">
      <c r="A306" s="8" t="s">
        <v>354</v>
      </c>
      <c r="B306" s="8" t="s">
        <v>3859</v>
      </c>
      <c r="C306" s="8" t="s">
        <v>141</v>
      </c>
      <c r="D306" s="18" t="s">
        <v>2600</v>
      </c>
      <c r="E306" s="16">
        <v>73.0</v>
      </c>
      <c r="F306" s="8" t="s">
        <v>354</v>
      </c>
      <c r="G306" s="8" t="s">
        <v>353</v>
      </c>
      <c r="H306" s="8" t="s">
        <v>149</v>
      </c>
      <c r="I306" s="18" t="s">
        <v>2558</v>
      </c>
      <c r="J306" s="16">
        <v>86.0</v>
      </c>
      <c r="K306" s="8" t="s">
        <v>871</v>
      </c>
      <c r="L306" s="8" t="s">
        <v>3100</v>
      </c>
      <c r="M306" s="18" t="s">
        <v>2564</v>
      </c>
      <c r="N306" s="16">
        <v>69.0</v>
      </c>
      <c r="O306" s="8" t="s">
        <v>4217</v>
      </c>
      <c r="P306" s="8" t="s">
        <v>93</v>
      </c>
      <c r="Q306" s="14" t="s">
        <v>1070</v>
      </c>
      <c r="R306" s="8" t="s">
        <v>2614</v>
      </c>
      <c r="S306" s="14" t="s">
        <v>2616</v>
      </c>
    </row>
    <row r="307">
      <c r="A307" s="8" t="s">
        <v>354</v>
      </c>
      <c r="B307" s="8" t="s">
        <v>3888</v>
      </c>
      <c r="C307" s="8" t="s">
        <v>65</v>
      </c>
      <c r="D307" s="18" t="s">
        <v>2584</v>
      </c>
      <c r="E307" s="16">
        <v>70.0</v>
      </c>
      <c r="F307" s="8" t="s">
        <v>354</v>
      </c>
      <c r="G307" s="8" t="s">
        <v>3215</v>
      </c>
      <c r="H307" s="8" t="s">
        <v>138</v>
      </c>
      <c r="I307" s="18" t="s">
        <v>2574</v>
      </c>
      <c r="J307" s="16">
        <v>64.0</v>
      </c>
      <c r="K307" s="8" t="s">
        <v>3098</v>
      </c>
      <c r="L307" s="8" t="s">
        <v>3097</v>
      </c>
      <c r="M307" s="18" t="s">
        <v>2621</v>
      </c>
      <c r="N307" s="16">
        <v>66.0</v>
      </c>
      <c r="O307" s="8" t="s">
        <v>4218</v>
      </c>
      <c r="P307" s="8" t="s">
        <v>93</v>
      </c>
      <c r="Q307" s="14" t="s">
        <v>2459</v>
      </c>
      <c r="R307" s="18" t="s">
        <v>2589</v>
      </c>
      <c r="S307" s="14" t="s">
        <v>2601</v>
      </c>
    </row>
    <row r="308">
      <c r="A308" s="8" t="s">
        <v>354</v>
      </c>
      <c r="B308" s="8" t="s">
        <v>621</v>
      </c>
      <c r="C308" s="8" t="s">
        <v>46</v>
      </c>
      <c r="D308" s="18" t="s">
        <v>2614</v>
      </c>
      <c r="E308" s="16">
        <v>66.0</v>
      </c>
      <c r="F308" s="8" t="s">
        <v>354</v>
      </c>
      <c r="G308" s="8" t="s">
        <v>621</v>
      </c>
      <c r="H308" s="8" t="s">
        <v>46</v>
      </c>
      <c r="I308" s="18" t="s">
        <v>2183</v>
      </c>
      <c r="J308" s="16">
        <v>66.0</v>
      </c>
      <c r="K308" s="8" t="s">
        <v>2653</v>
      </c>
      <c r="L308" s="8" t="s">
        <v>2652</v>
      </c>
      <c r="M308" s="18" t="s">
        <v>2589</v>
      </c>
      <c r="N308" s="16">
        <v>63.0</v>
      </c>
      <c r="O308" s="8" t="s">
        <v>4219</v>
      </c>
      <c r="P308" s="8" t="s">
        <v>65</v>
      </c>
      <c r="Q308" s="14" t="s">
        <v>1352</v>
      </c>
      <c r="R308" s="8" t="s">
        <v>2183</v>
      </c>
      <c r="S308" s="14" t="s">
        <v>2563</v>
      </c>
    </row>
    <row r="309">
      <c r="A309" s="8" t="s">
        <v>871</v>
      </c>
      <c r="B309" s="8" t="s">
        <v>870</v>
      </c>
      <c r="C309" s="8" t="s">
        <v>93</v>
      </c>
      <c r="D309" s="18" t="s">
        <v>2605</v>
      </c>
      <c r="E309" s="16">
        <v>69.0</v>
      </c>
      <c r="F309" s="8" t="s">
        <v>354</v>
      </c>
      <c r="G309" s="8" t="s">
        <v>2658</v>
      </c>
      <c r="H309" s="8" t="s">
        <v>38</v>
      </c>
      <c r="I309" s="18" t="s">
        <v>2592</v>
      </c>
      <c r="J309" s="16">
        <v>85.0</v>
      </c>
      <c r="K309" s="8" t="s">
        <v>1160</v>
      </c>
      <c r="L309" s="8" t="s">
        <v>1159</v>
      </c>
      <c r="M309" s="18" t="s">
        <v>2577</v>
      </c>
      <c r="N309" s="16">
        <v>76.0</v>
      </c>
      <c r="O309" s="18" t="s">
        <v>4220</v>
      </c>
      <c r="P309" s="8" t="s">
        <v>70</v>
      </c>
      <c r="Q309" s="14" t="s">
        <v>631</v>
      </c>
      <c r="R309" s="8" t="s">
        <v>2554</v>
      </c>
      <c r="S309" s="14" t="s">
        <v>2607</v>
      </c>
    </row>
    <row r="310">
      <c r="A310" s="8" t="s">
        <v>871</v>
      </c>
      <c r="B310" s="8" t="s">
        <v>932</v>
      </c>
      <c r="C310" s="8" t="s">
        <v>186</v>
      </c>
      <c r="D310" s="18" t="s">
        <v>2593</v>
      </c>
      <c r="E310" s="16">
        <v>60.0</v>
      </c>
      <c r="F310" s="8" t="s">
        <v>871</v>
      </c>
      <c r="G310" s="8" t="s">
        <v>2994</v>
      </c>
      <c r="H310" s="8" t="s">
        <v>16</v>
      </c>
      <c r="I310" s="18" t="s">
        <v>2560</v>
      </c>
      <c r="J310" s="16">
        <v>69.0</v>
      </c>
      <c r="K310" s="8" t="s">
        <v>2037</v>
      </c>
      <c r="L310" s="8" t="s">
        <v>1891</v>
      </c>
      <c r="M310" s="18" t="s">
        <v>2589</v>
      </c>
      <c r="N310" s="16">
        <v>77.0</v>
      </c>
      <c r="O310" s="18" t="s">
        <v>4221</v>
      </c>
      <c r="P310" s="8" t="s">
        <v>16</v>
      </c>
      <c r="Q310" s="14" t="s">
        <v>1352</v>
      </c>
      <c r="R310" s="8" t="s">
        <v>2585</v>
      </c>
      <c r="S310" s="14" t="s">
        <v>2570</v>
      </c>
    </row>
    <row r="311">
      <c r="A311" s="8" t="s">
        <v>871</v>
      </c>
      <c r="B311" s="8" t="s">
        <v>89</v>
      </c>
      <c r="C311" s="8" t="s">
        <v>149</v>
      </c>
      <c r="D311" s="18" t="s">
        <v>2598</v>
      </c>
      <c r="E311" s="16">
        <v>73.0</v>
      </c>
      <c r="F311" s="8" t="s">
        <v>871</v>
      </c>
      <c r="G311" s="8" t="s">
        <v>932</v>
      </c>
      <c r="H311" s="8" t="s">
        <v>186</v>
      </c>
      <c r="I311" s="18" t="s">
        <v>2593</v>
      </c>
      <c r="J311" s="16">
        <v>60.0</v>
      </c>
      <c r="K311" s="8" t="s">
        <v>433</v>
      </c>
      <c r="L311" s="8" t="s">
        <v>432</v>
      </c>
      <c r="M311" s="18" t="s">
        <v>2560</v>
      </c>
      <c r="N311" s="16">
        <v>76.0</v>
      </c>
      <c r="O311" s="18" t="s">
        <v>4222</v>
      </c>
      <c r="P311" s="8" t="s">
        <v>93</v>
      </c>
      <c r="Q311" s="14" t="s">
        <v>459</v>
      </c>
      <c r="R311" s="8" t="s">
        <v>2614</v>
      </c>
      <c r="S311" s="14" t="s">
        <v>2583</v>
      </c>
    </row>
    <row r="312">
      <c r="A312" s="8" t="s">
        <v>871</v>
      </c>
      <c r="B312" s="8" t="s">
        <v>2994</v>
      </c>
      <c r="C312" s="8" t="s">
        <v>16</v>
      </c>
      <c r="D312" s="18" t="s">
        <v>2560</v>
      </c>
      <c r="E312" s="16">
        <v>65.0</v>
      </c>
      <c r="F312" s="8" t="s">
        <v>871</v>
      </c>
      <c r="G312" s="8" t="s">
        <v>3100</v>
      </c>
      <c r="H312" s="8" t="s">
        <v>65</v>
      </c>
      <c r="I312" s="18" t="s">
        <v>2564</v>
      </c>
      <c r="J312" s="16">
        <v>61.0</v>
      </c>
      <c r="K312" s="8" t="s">
        <v>1210</v>
      </c>
      <c r="L312" s="8" t="s">
        <v>2926</v>
      </c>
      <c r="M312" s="18" t="s">
        <v>2603</v>
      </c>
      <c r="N312" s="16">
        <v>74.0</v>
      </c>
      <c r="O312" s="18" t="s">
        <v>4223</v>
      </c>
      <c r="P312" s="8" t="s">
        <v>261</v>
      </c>
      <c r="Q312" s="14" t="s">
        <v>1070</v>
      </c>
      <c r="R312" s="8" t="s">
        <v>2552</v>
      </c>
      <c r="S312" s="14" t="s">
        <v>2573</v>
      </c>
    </row>
    <row r="313">
      <c r="A313" s="8" t="s">
        <v>3098</v>
      </c>
      <c r="B313" s="8" t="s">
        <v>3097</v>
      </c>
      <c r="C313" s="8" t="s">
        <v>192</v>
      </c>
      <c r="D313" s="18" t="s">
        <v>2556</v>
      </c>
      <c r="E313" s="16">
        <v>63.0</v>
      </c>
      <c r="F313" s="8" t="s">
        <v>871</v>
      </c>
      <c r="G313" s="8" t="s">
        <v>870</v>
      </c>
      <c r="H313" s="8" t="s">
        <v>93</v>
      </c>
      <c r="I313" s="18" t="s">
        <v>2605</v>
      </c>
      <c r="J313" s="16">
        <v>76.0</v>
      </c>
      <c r="K313" s="8" t="s">
        <v>1210</v>
      </c>
      <c r="L313" s="8" t="s">
        <v>284</v>
      </c>
      <c r="M313" s="18" t="s">
        <v>2614</v>
      </c>
      <c r="N313" s="16">
        <v>78.0</v>
      </c>
      <c r="O313" s="18" t="s">
        <v>4224</v>
      </c>
      <c r="P313" s="8" t="s">
        <v>186</v>
      </c>
      <c r="Q313" s="14" t="s">
        <v>837</v>
      </c>
      <c r="R313" s="8" t="s">
        <v>2560</v>
      </c>
      <c r="S313" s="14" t="s">
        <v>2604</v>
      </c>
    </row>
    <row r="314">
      <c r="A314" s="8" t="s">
        <v>1160</v>
      </c>
      <c r="B314" s="8" t="s">
        <v>1159</v>
      </c>
      <c r="C314" s="8" t="s">
        <v>53</v>
      </c>
      <c r="D314" s="18" t="s">
        <v>2577</v>
      </c>
      <c r="E314" s="16">
        <v>70.0</v>
      </c>
      <c r="F314" s="8" t="s">
        <v>3098</v>
      </c>
      <c r="G314" s="8" t="s">
        <v>3097</v>
      </c>
      <c r="H314" s="8" t="s">
        <v>192</v>
      </c>
      <c r="I314" s="18" t="s">
        <v>2621</v>
      </c>
      <c r="J314" s="16">
        <v>68.0</v>
      </c>
      <c r="K314" s="8" t="s">
        <v>1210</v>
      </c>
      <c r="L314" s="8" t="s">
        <v>405</v>
      </c>
      <c r="M314" s="18" t="s">
        <v>2582</v>
      </c>
      <c r="N314" s="16">
        <v>65.0</v>
      </c>
      <c r="O314" s="18" t="s">
        <v>4225</v>
      </c>
      <c r="P314" s="8" t="s">
        <v>70</v>
      </c>
      <c r="Q314" s="14" t="s">
        <v>1352</v>
      </c>
      <c r="R314" s="8" t="s">
        <v>2603</v>
      </c>
      <c r="S314" s="14" t="s">
        <v>2563</v>
      </c>
    </row>
    <row r="315">
      <c r="A315" s="8" t="s">
        <v>3522</v>
      </c>
      <c r="B315" s="8" t="s">
        <v>636</v>
      </c>
      <c r="C315" s="8" t="s">
        <v>24</v>
      </c>
      <c r="D315" s="18" t="s">
        <v>2585</v>
      </c>
      <c r="E315" s="16">
        <v>64.0</v>
      </c>
      <c r="F315" s="8" t="s">
        <v>2653</v>
      </c>
      <c r="G315" s="8" t="s">
        <v>2652</v>
      </c>
      <c r="H315" s="8" t="s">
        <v>53</v>
      </c>
      <c r="I315" s="18" t="s">
        <v>2610</v>
      </c>
      <c r="J315" s="16">
        <v>60.0</v>
      </c>
      <c r="K315" s="18" t="s">
        <v>521</v>
      </c>
      <c r="L315" s="8" t="s">
        <v>1321</v>
      </c>
      <c r="M315" s="18" t="s">
        <v>2610</v>
      </c>
      <c r="N315" s="16">
        <v>74.0</v>
      </c>
      <c r="O315" s="18" t="s">
        <v>4226</v>
      </c>
      <c r="P315" s="8" t="s">
        <v>80</v>
      </c>
      <c r="Q315" s="14" t="s">
        <v>2033</v>
      </c>
      <c r="R315" s="8" t="s">
        <v>2584</v>
      </c>
      <c r="S315" s="14" t="s">
        <v>2555</v>
      </c>
    </row>
    <row r="316">
      <c r="A316" s="8" t="s">
        <v>433</v>
      </c>
      <c r="B316" s="8" t="s">
        <v>432</v>
      </c>
      <c r="C316" s="8" t="s">
        <v>93</v>
      </c>
      <c r="D316" s="18" t="s">
        <v>2560</v>
      </c>
      <c r="E316" s="16">
        <v>75.0</v>
      </c>
      <c r="F316" s="8" t="s">
        <v>3303</v>
      </c>
      <c r="G316" s="8" t="s">
        <v>3302</v>
      </c>
      <c r="H316" s="8" t="s">
        <v>24</v>
      </c>
      <c r="I316" s="18" t="s">
        <v>2552</v>
      </c>
      <c r="J316" s="16">
        <v>71.0</v>
      </c>
      <c r="K316" s="18" t="s">
        <v>521</v>
      </c>
      <c r="L316" s="8" t="s">
        <v>1372</v>
      </c>
      <c r="M316" s="18" t="s">
        <v>2585</v>
      </c>
      <c r="N316" s="16">
        <v>72.0</v>
      </c>
      <c r="O316" s="18" t="s">
        <v>4227</v>
      </c>
      <c r="P316" s="8" t="s">
        <v>24</v>
      </c>
      <c r="Q316" s="14" t="s">
        <v>1070</v>
      </c>
      <c r="R316" s="8" t="s">
        <v>2610</v>
      </c>
      <c r="S316" s="14" t="s">
        <v>2586</v>
      </c>
    </row>
    <row r="317">
      <c r="A317" s="8" t="s">
        <v>1210</v>
      </c>
      <c r="B317" s="8" t="s">
        <v>646</v>
      </c>
      <c r="C317" s="8" t="s">
        <v>75</v>
      </c>
      <c r="D317" s="18" t="s">
        <v>2621</v>
      </c>
      <c r="E317" s="16">
        <v>70.0</v>
      </c>
      <c r="F317" s="8" t="s">
        <v>1160</v>
      </c>
      <c r="G317" s="8" t="s">
        <v>1159</v>
      </c>
      <c r="H317" s="8" t="s">
        <v>53</v>
      </c>
      <c r="I317" s="18" t="s">
        <v>2577</v>
      </c>
      <c r="J317" s="16">
        <v>75.0</v>
      </c>
      <c r="K317" s="18" t="s">
        <v>521</v>
      </c>
      <c r="L317" s="8" t="s">
        <v>1184</v>
      </c>
      <c r="M317" s="18" t="s">
        <v>2552</v>
      </c>
      <c r="N317" s="16">
        <v>71.0</v>
      </c>
      <c r="O317" s="8" t="s">
        <v>4228</v>
      </c>
      <c r="P317" s="8" t="s">
        <v>12</v>
      </c>
      <c r="Q317" s="14" t="s">
        <v>837</v>
      </c>
      <c r="R317" s="8" t="s">
        <v>2592</v>
      </c>
      <c r="S317" s="14" t="s">
        <v>2622</v>
      </c>
    </row>
    <row r="318">
      <c r="A318" s="8" t="s">
        <v>1210</v>
      </c>
      <c r="B318" s="8" t="s">
        <v>284</v>
      </c>
      <c r="C318" s="8" t="s">
        <v>80</v>
      </c>
      <c r="D318" s="18" t="s">
        <v>2614</v>
      </c>
      <c r="E318" s="16">
        <v>81.0</v>
      </c>
      <c r="F318" s="8" t="s">
        <v>2037</v>
      </c>
      <c r="G318" s="8" t="s">
        <v>1891</v>
      </c>
      <c r="H318" s="8" t="s">
        <v>80</v>
      </c>
      <c r="I318" s="18" t="s">
        <v>2589</v>
      </c>
      <c r="J318" s="16">
        <v>74.0</v>
      </c>
      <c r="K318" s="18" t="s">
        <v>521</v>
      </c>
      <c r="L318" s="8" t="s">
        <v>3061</v>
      </c>
      <c r="M318" s="18" t="s">
        <v>2620</v>
      </c>
      <c r="N318" s="16">
        <v>62.0</v>
      </c>
      <c r="O318" s="8" t="s">
        <v>4229</v>
      </c>
      <c r="P318" s="8" t="s">
        <v>138</v>
      </c>
      <c r="Q318" s="14" t="s">
        <v>135</v>
      </c>
      <c r="R318" s="8" t="s">
        <v>2584</v>
      </c>
      <c r="S318" s="14" t="s">
        <v>2559</v>
      </c>
    </row>
    <row r="319">
      <c r="A319" s="8" t="s">
        <v>1210</v>
      </c>
      <c r="B319" s="8" t="s">
        <v>405</v>
      </c>
      <c r="C319" s="8" t="s">
        <v>70</v>
      </c>
      <c r="D319" s="18" t="s">
        <v>2564</v>
      </c>
      <c r="E319" s="16">
        <v>62.0</v>
      </c>
      <c r="F319" s="8" t="s">
        <v>1844</v>
      </c>
      <c r="G319" s="8" t="s">
        <v>1200</v>
      </c>
      <c r="H319" s="8" t="s">
        <v>65</v>
      </c>
      <c r="I319" s="18" t="s">
        <v>2567</v>
      </c>
      <c r="J319" s="16">
        <v>64.0</v>
      </c>
      <c r="K319" s="18" t="s">
        <v>521</v>
      </c>
      <c r="L319" s="8" t="s">
        <v>636</v>
      </c>
      <c r="M319" s="18" t="s">
        <v>2574</v>
      </c>
      <c r="N319" s="16">
        <v>81.0</v>
      </c>
      <c r="O319" s="8" t="s">
        <v>4230</v>
      </c>
      <c r="P319" s="8" t="s">
        <v>149</v>
      </c>
      <c r="Q319" s="14" t="s">
        <v>1352</v>
      </c>
      <c r="R319" s="8" t="s">
        <v>2592</v>
      </c>
      <c r="S319" s="14" t="s">
        <v>2594</v>
      </c>
    </row>
    <row r="320">
      <c r="A320" s="8" t="s">
        <v>1210</v>
      </c>
      <c r="B320" s="8" t="s">
        <v>2926</v>
      </c>
      <c r="C320" s="8" t="s">
        <v>93</v>
      </c>
      <c r="D320" s="18" t="s">
        <v>2581</v>
      </c>
      <c r="E320" s="16">
        <v>76.0</v>
      </c>
      <c r="F320" s="8" t="s">
        <v>433</v>
      </c>
      <c r="G320" s="8" t="s">
        <v>432</v>
      </c>
      <c r="H320" s="8" t="s">
        <v>93</v>
      </c>
      <c r="I320" s="18" t="s">
        <v>2560</v>
      </c>
      <c r="J320" s="16">
        <v>76.0</v>
      </c>
      <c r="K320" s="18" t="s">
        <v>521</v>
      </c>
      <c r="L320" s="8" t="s">
        <v>1581</v>
      </c>
      <c r="M320" s="18" t="s">
        <v>2603</v>
      </c>
      <c r="N320" s="16">
        <v>74.0</v>
      </c>
      <c r="O320" s="8" t="s">
        <v>4231</v>
      </c>
      <c r="P320" s="8" t="s">
        <v>138</v>
      </c>
      <c r="Q320" s="14" t="s">
        <v>1679</v>
      </c>
      <c r="R320" s="8" t="s">
        <v>2582</v>
      </c>
      <c r="S320" s="14" t="s">
        <v>2563</v>
      </c>
    </row>
    <row r="321">
      <c r="A321" s="8" t="s">
        <v>1210</v>
      </c>
      <c r="B321" s="8" t="s">
        <v>3858</v>
      </c>
      <c r="C321" s="8" t="s">
        <v>149</v>
      </c>
      <c r="D321" s="18" t="s">
        <v>2566</v>
      </c>
      <c r="E321" s="16">
        <v>69.0</v>
      </c>
      <c r="F321" s="8" t="s">
        <v>1210</v>
      </c>
      <c r="G321" s="8" t="s">
        <v>405</v>
      </c>
      <c r="H321" s="8" t="s">
        <v>65</v>
      </c>
      <c r="I321" s="18" t="s">
        <v>2564</v>
      </c>
      <c r="J321" s="16">
        <v>54.0</v>
      </c>
      <c r="K321" s="18" t="s">
        <v>521</v>
      </c>
      <c r="L321" s="8" t="s">
        <v>986</v>
      </c>
      <c r="M321" s="18" t="s">
        <v>2575</v>
      </c>
      <c r="N321" s="16">
        <v>83.0</v>
      </c>
      <c r="O321" s="8" t="s">
        <v>4232</v>
      </c>
      <c r="P321" s="8" t="s">
        <v>24</v>
      </c>
      <c r="Q321" s="14" t="s">
        <v>2033</v>
      </c>
      <c r="R321" s="18" t="s">
        <v>2589</v>
      </c>
      <c r="S321" s="14" t="s">
        <v>2563</v>
      </c>
    </row>
    <row r="322">
      <c r="A322" s="18" t="s">
        <v>521</v>
      </c>
      <c r="B322" s="8" t="s">
        <v>636</v>
      </c>
      <c r="C322" s="8" t="s">
        <v>70</v>
      </c>
      <c r="D322" s="18" t="s">
        <v>2620</v>
      </c>
      <c r="E322" s="16">
        <v>84.0</v>
      </c>
      <c r="F322" s="8" t="s">
        <v>1210</v>
      </c>
      <c r="G322" s="8" t="s">
        <v>2926</v>
      </c>
      <c r="H322" s="8" t="s">
        <v>93</v>
      </c>
      <c r="I322" s="18" t="s">
        <v>2581</v>
      </c>
      <c r="J322" s="16">
        <v>85.0</v>
      </c>
      <c r="K322" s="8" t="s">
        <v>1021</v>
      </c>
      <c r="L322" s="8" t="s">
        <v>1020</v>
      </c>
      <c r="M322" s="18" t="s">
        <v>2560</v>
      </c>
      <c r="N322" s="16">
        <v>79.0</v>
      </c>
      <c r="O322" s="8" t="s">
        <v>4233</v>
      </c>
      <c r="P322" s="8" t="s">
        <v>46</v>
      </c>
      <c r="Q322" s="14" t="s">
        <v>2296</v>
      </c>
      <c r="R322" s="8" t="s">
        <v>2560</v>
      </c>
      <c r="S322" s="14" t="s">
        <v>2606</v>
      </c>
    </row>
    <row r="323">
      <c r="A323" s="18" t="s">
        <v>521</v>
      </c>
      <c r="B323" s="8" t="s">
        <v>3251</v>
      </c>
      <c r="C323" s="8" t="s">
        <v>24</v>
      </c>
      <c r="D323" s="18" t="s">
        <v>2562</v>
      </c>
      <c r="E323" s="16">
        <v>77.0</v>
      </c>
      <c r="F323" s="8" t="s">
        <v>1210</v>
      </c>
      <c r="G323" s="8" t="s">
        <v>284</v>
      </c>
      <c r="H323" s="8" t="s">
        <v>80</v>
      </c>
      <c r="I323" s="18" t="s">
        <v>2614</v>
      </c>
      <c r="J323" s="16">
        <v>84.0</v>
      </c>
      <c r="K323" s="8" t="s">
        <v>143</v>
      </c>
      <c r="L323" s="8" t="s">
        <v>142</v>
      </c>
      <c r="M323" s="18" t="s">
        <v>2584</v>
      </c>
      <c r="N323" s="16">
        <v>84.0</v>
      </c>
      <c r="O323" s="8" t="s">
        <v>4234</v>
      </c>
      <c r="P323" s="8" t="s">
        <v>186</v>
      </c>
      <c r="Q323" s="14" t="s">
        <v>1679</v>
      </c>
      <c r="R323" s="8" t="s">
        <v>2600</v>
      </c>
      <c r="S323" s="14" t="s">
        <v>2570</v>
      </c>
    </row>
    <row r="324">
      <c r="A324" s="18" t="s">
        <v>521</v>
      </c>
      <c r="B324" s="8" t="s">
        <v>520</v>
      </c>
      <c r="C324" s="8" t="s">
        <v>93</v>
      </c>
      <c r="D324" s="18" t="s">
        <v>2598</v>
      </c>
      <c r="E324" s="16">
        <v>61.0</v>
      </c>
      <c r="F324" s="8" t="s">
        <v>1210</v>
      </c>
      <c r="G324" s="8" t="s">
        <v>646</v>
      </c>
      <c r="H324" s="8" t="s">
        <v>149</v>
      </c>
      <c r="I324" s="18" t="s">
        <v>2614</v>
      </c>
      <c r="J324" s="16">
        <v>71.0</v>
      </c>
      <c r="K324" s="8" t="s">
        <v>1376</v>
      </c>
      <c r="L324" s="8" t="s">
        <v>1375</v>
      </c>
      <c r="M324" s="18" t="s">
        <v>2592</v>
      </c>
      <c r="N324" s="16">
        <v>65.0</v>
      </c>
      <c r="O324" s="8" t="s">
        <v>4235</v>
      </c>
      <c r="P324" s="8" t="s">
        <v>65</v>
      </c>
      <c r="Q324" s="14" t="s">
        <v>1679</v>
      </c>
      <c r="R324" s="8" t="s">
        <v>2598</v>
      </c>
      <c r="S324" s="14" t="s">
        <v>2608</v>
      </c>
    </row>
    <row r="325">
      <c r="A325" s="18" t="s">
        <v>521</v>
      </c>
      <c r="B325" s="8" t="s">
        <v>986</v>
      </c>
      <c r="C325" s="8" t="s">
        <v>186</v>
      </c>
      <c r="D325" s="18" t="s">
        <v>2575</v>
      </c>
      <c r="E325" s="16">
        <v>83.0</v>
      </c>
      <c r="F325" s="18" t="s">
        <v>521</v>
      </c>
      <c r="G325" s="8" t="s">
        <v>1581</v>
      </c>
      <c r="H325" s="8" t="s">
        <v>70</v>
      </c>
      <c r="I325" s="18" t="s">
        <v>2603</v>
      </c>
      <c r="J325" s="16">
        <v>74.0</v>
      </c>
      <c r="K325" s="8" t="s">
        <v>1376</v>
      </c>
      <c r="L325" s="8" t="s">
        <v>1720</v>
      </c>
      <c r="M325" s="18" t="s">
        <v>2615</v>
      </c>
      <c r="N325" s="16">
        <v>71.0</v>
      </c>
      <c r="O325" s="8" t="s">
        <v>4236</v>
      </c>
      <c r="P325" s="8" t="s">
        <v>16</v>
      </c>
      <c r="Q325" s="14" t="s">
        <v>338</v>
      </c>
      <c r="R325" s="8" t="s">
        <v>2574</v>
      </c>
      <c r="S325" s="14" t="s">
        <v>2611</v>
      </c>
    </row>
    <row r="326">
      <c r="A326" s="18" t="s">
        <v>521</v>
      </c>
      <c r="B326" s="8" t="s">
        <v>1581</v>
      </c>
      <c r="C326" s="8" t="s">
        <v>70</v>
      </c>
      <c r="D326" s="18" t="s">
        <v>2603</v>
      </c>
      <c r="E326" s="16">
        <v>74.0</v>
      </c>
      <c r="F326" s="18" t="s">
        <v>521</v>
      </c>
      <c r="G326" s="8" t="s">
        <v>3442</v>
      </c>
      <c r="H326" s="8" t="s">
        <v>70</v>
      </c>
      <c r="I326" s="18" t="s">
        <v>2183</v>
      </c>
      <c r="J326" s="16">
        <v>76.0</v>
      </c>
      <c r="K326" s="8" t="s">
        <v>1376</v>
      </c>
      <c r="L326" s="8" t="s">
        <v>3080</v>
      </c>
      <c r="M326" s="18" t="s">
        <v>2572</v>
      </c>
      <c r="N326" s="16">
        <v>79.0</v>
      </c>
      <c r="O326" s="8" t="s">
        <v>4237</v>
      </c>
      <c r="P326" s="8" t="s">
        <v>65</v>
      </c>
      <c r="Q326" s="14" t="s">
        <v>2033</v>
      </c>
      <c r="R326" s="8" t="s">
        <v>2587</v>
      </c>
      <c r="S326" s="14" t="s">
        <v>2609</v>
      </c>
    </row>
    <row r="327">
      <c r="A327" s="18" t="s">
        <v>521</v>
      </c>
      <c r="B327" s="8" t="s">
        <v>3442</v>
      </c>
      <c r="C327" s="8" t="s">
        <v>70</v>
      </c>
      <c r="D327" s="18" t="s">
        <v>2595</v>
      </c>
      <c r="E327" s="16">
        <v>78.0</v>
      </c>
      <c r="F327" s="18" t="s">
        <v>521</v>
      </c>
      <c r="G327" s="8" t="s">
        <v>986</v>
      </c>
      <c r="H327" s="8" t="s">
        <v>186</v>
      </c>
      <c r="I327" s="18" t="s">
        <v>2575</v>
      </c>
      <c r="J327" s="16">
        <v>89.0</v>
      </c>
      <c r="K327" s="8" t="s">
        <v>1915</v>
      </c>
      <c r="L327" s="8" t="s">
        <v>1914</v>
      </c>
      <c r="M327" s="18" t="s">
        <v>2566</v>
      </c>
      <c r="N327" s="16">
        <v>62.0</v>
      </c>
      <c r="O327" s="8" t="s">
        <v>4238</v>
      </c>
      <c r="P327" s="8" t="s">
        <v>46</v>
      </c>
      <c r="Q327" s="14" t="s">
        <v>2033</v>
      </c>
      <c r="R327" s="8" t="s">
        <v>2584</v>
      </c>
      <c r="S327" s="14" t="s">
        <v>2557</v>
      </c>
    </row>
    <row r="328">
      <c r="A328" s="18" t="s">
        <v>521</v>
      </c>
      <c r="B328" s="8" t="s">
        <v>1321</v>
      </c>
      <c r="C328" s="8" t="s">
        <v>24</v>
      </c>
      <c r="D328" s="18" t="s">
        <v>2610</v>
      </c>
      <c r="E328" s="16">
        <v>66.0</v>
      </c>
      <c r="F328" s="18" t="s">
        <v>521</v>
      </c>
      <c r="G328" s="8" t="s">
        <v>1372</v>
      </c>
      <c r="H328" s="8" t="s">
        <v>16</v>
      </c>
      <c r="I328" s="18" t="s">
        <v>2585</v>
      </c>
      <c r="J328" s="16">
        <v>72.0</v>
      </c>
      <c r="K328" s="8" t="s">
        <v>1915</v>
      </c>
      <c r="L328" s="8" t="s">
        <v>1955</v>
      </c>
      <c r="M328" s="18" t="s">
        <v>2598</v>
      </c>
      <c r="N328" s="16">
        <v>77.0</v>
      </c>
      <c r="O328" s="8" t="s">
        <v>4239</v>
      </c>
      <c r="P328" s="8" t="s">
        <v>65</v>
      </c>
      <c r="Q328" s="14" t="s">
        <v>2033</v>
      </c>
      <c r="R328" s="8" t="s">
        <v>2582</v>
      </c>
      <c r="S328" s="14" t="s">
        <v>2579</v>
      </c>
    </row>
    <row r="329">
      <c r="A329" s="18" t="s">
        <v>521</v>
      </c>
      <c r="B329" s="8" t="s">
        <v>451</v>
      </c>
      <c r="C329" s="8" t="s">
        <v>138</v>
      </c>
      <c r="D329" s="18" t="s">
        <v>2595</v>
      </c>
      <c r="E329" s="16">
        <v>69.0</v>
      </c>
      <c r="F329" s="18" t="s">
        <v>521</v>
      </c>
      <c r="G329" s="8" t="s">
        <v>636</v>
      </c>
      <c r="H329" s="8" t="s">
        <v>70</v>
      </c>
      <c r="I329" s="18" t="s">
        <v>2620</v>
      </c>
      <c r="J329" s="16">
        <v>85.0</v>
      </c>
      <c r="K329" s="8" t="s">
        <v>407</v>
      </c>
      <c r="L329" s="8" t="s">
        <v>389</v>
      </c>
      <c r="M329" s="18" t="s">
        <v>2554</v>
      </c>
      <c r="N329" s="16">
        <v>78.0</v>
      </c>
      <c r="O329" s="8" t="s">
        <v>4240</v>
      </c>
      <c r="P329" s="8" t="s">
        <v>70</v>
      </c>
      <c r="Q329" s="14" t="s">
        <v>459</v>
      </c>
      <c r="R329" s="8" t="s">
        <v>2574</v>
      </c>
      <c r="S329" s="14" t="s">
        <v>2568</v>
      </c>
    </row>
    <row r="330">
      <c r="A330" s="8" t="s">
        <v>1021</v>
      </c>
      <c r="B330" s="8" t="s">
        <v>1020</v>
      </c>
      <c r="C330" s="8" t="s">
        <v>12</v>
      </c>
      <c r="D330" s="18" t="s">
        <v>2183</v>
      </c>
      <c r="E330" s="16">
        <v>76.0</v>
      </c>
      <c r="F330" s="18" t="s">
        <v>521</v>
      </c>
      <c r="G330" s="8" t="s">
        <v>3061</v>
      </c>
      <c r="H330" s="8" t="s">
        <v>93</v>
      </c>
      <c r="I330" s="18" t="s">
        <v>2564</v>
      </c>
      <c r="J330" s="16">
        <v>61.0</v>
      </c>
      <c r="K330" s="8" t="s">
        <v>407</v>
      </c>
      <c r="L330" s="8" t="s">
        <v>308</v>
      </c>
      <c r="M330" s="18" t="s">
        <v>2584</v>
      </c>
      <c r="N330" s="16">
        <v>76.0</v>
      </c>
      <c r="O330" s="8" t="s">
        <v>4241</v>
      </c>
      <c r="P330" s="8" t="s">
        <v>65</v>
      </c>
      <c r="Q330" s="14" t="s">
        <v>2033</v>
      </c>
      <c r="R330" s="8" t="s">
        <v>2621</v>
      </c>
      <c r="S330" s="14" t="s">
        <v>2563</v>
      </c>
    </row>
    <row r="331">
      <c r="A331" s="8" t="s">
        <v>143</v>
      </c>
      <c r="B331" s="8" t="s">
        <v>142</v>
      </c>
      <c r="C331" s="8" t="s">
        <v>138</v>
      </c>
      <c r="D331" s="18" t="s">
        <v>2589</v>
      </c>
      <c r="E331" s="16">
        <v>88.0</v>
      </c>
      <c r="F331" s="18" t="s">
        <v>521</v>
      </c>
      <c r="G331" s="8" t="s">
        <v>1321</v>
      </c>
      <c r="H331" s="8" t="s">
        <v>24</v>
      </c>
      <c r="I331" s="18" t="s">
        <v>2610</v>
      </c>
      <c r="J331" s="16">
        <v>69.0</v>
      </c>
      <c r="K331" s="8" t="s">
        <v>407</v>
      </c>
      <c r="L331" s="8" t="s">
        <v>406</v>
      </c>
      <c r="M331" s="18" t="s">
        <v>2574</v>
      </c>
      <c r="N331" s="16">
        <v>84.0</v>
      </c>
      <c r="O331" s="8" t="s">
        <v>4242</v>
      </c>
      <c r="P331" s="8" t="s">
        <v>24</v>
      </c>
      <c r="Q331" s="14" t="s">
        <v>631</v>
      </c>
      <c r="R331" s="8" t="s">
        <v>2592</v>
      </c>
      <c r="S331" s="14" t="s">
        <v>2608</v>
      </c>
    </row>
    <row r="332">
      <c r="A332" s="8" t="s">
        <v>1376</v>
      </c>
      <c r="B332" s="8" t="s">
        <v>1375</v>
      </c>
      <c r="C332" s="8" t="s">
        <v>132</v>
      </c>
      <c r="D332" s="18" t="s">
        <v>2592</v>
      </c>
      <c r="E332" s="16">
        <v>66.0</v>
      </c>
      <c r="F332" s="18" t="s">
        <v>521</v>
      </c>
      <c r="G332" s="8" t="s">
        <v>520</v>
      </c>
      <c r="H332" s="8" t="s">
        <v>93</v>
      </c>
      <c r="I332" s="18" t="s">
        <v>2598</v>
      </c>
      <c r="J332" s="16">
        <v>68.0</v>
      </c>
      <c r="K332" s="8" t="s">
        <v>52</v>
      </c>
      <c r="L332" s="8" t="s">
        <v>42</v>
      </c>
      <c r="M332" s="18" t="s">
        <v>2645</v>
      </c>
      <c r="N332" s="16">
        <v>63.0</v>
      </c>
      <c r="O332" s="8" t="s">
        <v>4243</v>
      </c>
      <c r="P332" s="8" t="s">
        <v>75</v>
      </c>
      <c r="Q332" s="14" t="s">
        <v>837</v>
      </c>
      <c r="R332" s="8" t="s">
        <v>2183</v>
      </c>
      <c r="S332" s="14" t="s">
        <v>2568</v>
      </c>
    </row>
    <row r="333">
      <c r="A333" s="8" t="s">
        <v>1376</v>
      </c>
      <c r="B333" s="8" t="s">
        <v>3080</v>
      </c>
      <c r="C333" s="8" t="s">
        <v>12</v>
      </c>
      <c r="D333" s="18" t="s">
        <v>2564</v>
      </c>
      <c r="E333" s="16">
        <v>76.0</v>
      </c>
      <c r="F333" s="18" t="s">
        <v>521</v>
      </c>
      <c r="G333" s="8" t="s">
        <v>451</v>
      </c>
      <c r="H333" s="8" t="s">
        <v>122</v>
      </c>
      <c r="I333" s="18" t="s">
        <v>2605</v>
      </c>
      <c r="J333" s="16">
        <v>71.0</v>
      </c>
      <c r="K333" s="8" t="s">
        <v>52</v>
      </c>
      <c r="L333" s="8" t="s">
        <v>379</v>
      </c>
      <c r="M333" s="18" t="s">
        <v>2577</v>
      </c>
      <c r="N333" s="16">
        <v>82.0</v>
      </c>
      <c r="O333" s="8" t="s">
        <v>4244</v>
      </c>
      <c r="P333" s="8" t="s">
        <v>149</v>
      </c>
      <c r="Q333" s="14" t="s">
        <v>1070</v>
      </c>
      <c r="R333" s="8" t="s">
        <v>2614</v>
      </c>
      <c r="S333" s="14" t="s">
        <v>2563</v>
      </c>
    </row>
    <row r="334">
      <c r="A334" s="8" t="s">
        <v>1915</v>
      </c>
      <c r="B334" s="8" t="s">
        <v>3684</v>
      </c>
      <c r="C334" s="8" t="s">
        <v>138</v>
      </c>
      <c r="D334" s="18" t="s">
        <v>2620</v>
      </c>
      <c r="E334" s="16">
        <v>59.0</v>
      </c>
      <c r="F334" s="18" t="s">
        <v>521</v>
      </c>
      <c r="G334" s="8" t="s">
        <v>3251</v>
      </c>
      <c r="H334" s="8" t="s">
        <v>24</v>
      </c>
      <c r="I334" s="18" t="s">
        <v>2562</v>
      </c>
      <c r="J334" s="16">
        <v>81.0</v>
      </c>
      <c r="K334" s="8" t="s">
        <v>52</v>
      </c>
      <c r="L334" s="8" t="s">
        <v>15</v>
      </c>
      <c r="M334" s="18" t="s">
        <v>2595</v>
      </c>
      <c r="N334" s="16">
        <v>63.0</v>
      </c>
      <c r="O334" s="8" t="s">
        <v>4245</v>
      </c>
      <c r="P334" s="8" t="s">
        <v>215</v>
      </c>
      <c r="Q334" s="14" t="s">
        <v>338</v>
      </c>
      <c r="R334" s="8" t="s">
        <v>2577</v>
      </c>
      <c r="S334" s="14" t="s">
        <v>2633</v>
      </c>
    </row>
    <row r="335">
      <c r="A335" s="8" t="s">
        <v>1915</v>
      </c>
      <c r="B335" s="8" t="s">
        <v>3403</v>
      </c>
      <c r="C335" s="8" t="s">
        <v>192</v>
      </c>
      <c r="D335" s="18" t="s">
        <v>2560</v>
      </c>
      <c r="E335" s="16">
        <v>83.0</v>
      </c>
      <c r="F335" s="8" t="s">
        <v>1021</v>
      </c>
      <c r="G335" s="8" t="s">
        <v>1020</v>
      </c>
      <c r="H335" s="8" t="s">
        <v>12</v>
      </c>
      <c r="I335" s="18" t="s">
        <v>2183</v>
      </c>
      <c r="J335" s="16">
        <v>79.0</v>
      </c>
      <c r="K335" s="8" t="s">
        <v>52</v>
      </c>
      <c r="L335" s="8" t="s">
        <v>463</v>
      </c>
      <c r="M335" s="18" t="s">
        <v>2574</v>
      </c>
      <c r="N335" s="16">
        <v>70.0</v>
      </c>
      <c r="O335" s="8" t="s">
        <v>4246</v>
      </c>
      <c r="P335" s="8" t="s">
        <v>38</v>
      </c>
      <c r="Q335" s="14" t="s">
        <v>837</v>
      </c>
      <c r="R335" s="8" t="s">
        <v>2564</v>
      </c>
      <c r="S335" s="14" t="s">
        <v>2557</v>
      </c>
    </row>
    <row r="336">
      <c r="A336" s="8" t="s">
        <v>407</v>
      </c>
      <c r="B336" s="8" t="s">
        <v>389</v>
      </c>
      <c r="C336" s="8" t="s">
        <v>53</v>
      </c>
      <c r="D336" s="18" t="s">
        <v>2615</v>
      </c>
      <c r="E336" s="16">
        <v>64.0</v>
      </c>
      <c r="F336" s="8" t="s">
        <v>143</v>
      </c>
      <c r="G336" s="8" t="s">
        <v>142</v>
      </c>
      <c r="H336" s="8" t="s">
        <v>215</v>
      </c>
      <c r="I336" s="18" t="s">
        <v>2584</v>
      </c>
      <c r="J336" s="16">
        <v>91.0</v>
      </c>
      <c r="K336" s="8" t="s">
        <v>52</v>
      </c>
      <c r="L336" s="8" t="s">
        <v>1261</v>
      </c>
      <c r="M336" s="18" t="s">
        <v>2595</v>
      </c>
      <c r="N336" s="16">
        <v>80.0</v>
      </c>
      <c r="O336" s="8" t="s">
        <v>4247</v>
      </c>
      <c r="P336" s="8" t="s">
        <v>138</v>
      </c>
      <c r="Q336" s="14" t="s">
        <v>338</v>
      </c>
      <c r="R336" s="8" t="s">
        <v>2595</v>
      </c>
      <c r="S336" s="14" t="s">
        <v>2616</v>
      </c>
    </row>
    <row r="337">
      <c r="A337" s="8" t="s">
        <v>407</v>
      </c>
      <c r="B337" s="8" t="s">
        <v>406</v>
      </c>
      <c r="C337" s="8" t="s">
        <v>16</v>
      </c>
      <c r="D337" s="18" t="s">
        <v>2574</v>
      </c>
      <c r="E337" s="16">
        <v>94.0</v>
      </c>
      <c r="F337" s="8" t="s">
        <v>1376</v>
      </c>
      <c r="G337" s="8" t="s">
        <v>3324</v>
      </c>
      <c r="H337" s="8" t="s">
        <v>138</v>
      </c>
      <c r="I337" s="18" t="s">
        <v>2552</v>
      </c>
      <c r="J337" s="16">
        <v>64.0</v>
      </c>
      <c r="K337" s="8" t="s">
        <v>52</v>
      </c>
      <c r="L337" s="8" t="s">
        <v>654</v>
      </c>
      <c r="M337" s="18" t="s">
        <v>2592</v>
      </c>
      <c r="N337" s="16">
        <v>79.0</v>
      </c>
      <c r="O337" s="8" t="s">
        <v>4248</v>
      </c>
      <c r="P337" s="8" t="s">
        <v>53</v>
      </c>
      <c r="Q337" s="14" t="s">
        <v>1679</v>
      </c>
      <c r="R337" s="18" t="s">
        <v>2589</v>
      </c>
      <c r="S337" s="14" t="s">
        <v>2576</v>
      </c>
    </row>
    <row r="338">
      <c r="A338" s="8" t="s">
        <v>407</v>
      </c>
      <c r="B338" s="8" t="s">
        <v>62</v>
      </c>
      <c r="C338" s="8" t="s">
        <v>138</v>
      </c>
      <c r="D338" s="18" t="s">
        <v>2593</v>
      </c>
      <c r="E338" s="16">
        <v>66.0</v>
      </c>
      <c r="F338" s="8" t="s">
        <v>1376</v>
      </c>
      <c r="G338" s="8" t="s">
        <v>3080</v>
      </c>
      <c r="H338" s="8" t="s">
        <v>12</v>
      </c>
      <c r="I338" s="18" t="s">
        <v>2564</v>
      </c>
      <c r="J338" s="16">
        <v>80.0</v>
      </c>
      <c r="K338" s="8" t="s">
        <v>52</v>
      </c>
      <c r="L338" s="8" t="s">
        <v>901</v>
      </c>
      <c r="M338" s="18" t="s">
        <v>2183</v>
      </c>
      <c r="N338" s="16">
        <v>70.0</v>
      </c>
      <c r="O338" s="8" t="s">
        <v>4249</v>
      </c>
      <c r="P338" s="8" t="s">
        <v>65</v>
      </c>
      <c r="Q338" s="14" t="s">
        <v>1070</v>
      </c>
      <c r="R338" s="8" t="s">
        <v>2595</v>
      </c>
      <c r="S338" s="14" t="s">
        <v>2608</v>
      </c>
    </row>
    <row r="339">
      <c r="A339" s="8" t="s">
        <v>52</v>
      </c>
      <c r="B339" s="8" t="s">
        <v>463</v>
      </c>
      <c r="C339" s="8" t="s">
        <v>70</v>
      </c>
      <c r="D339" s="18" t="s">
        <v>2574</v>
      </c>
      <c r="E339" s="16">
        <v>70.0</v>
      </c>
      <c r="F339" s="8" t="s">
        <v>1376</v>
      </c>
      <c r="G339" s="8" t="s">
        <v>1375</v>
      </c>
      <c r="H339" s="8" t="s">
        <v>132</v>
      </c>
      <c r="I339" s="18" t="s">
        <v>2592</v>
      </c>
      <c r="J339" s="16">
        <v>66.0</v>
      </c>
      <c r="K339" s="8" t="s">
        <v>52</v>
      </c>
      <c r="L339" s="8" t="s">
        <v>263</v>
      </c>
      <c r="M339" s="18" t="s">
        <v>2595</v>
      </c>
      <c r="N339" s="16">
        <v>87.0</v>
      </c>
      <c r="O339" s="8" t="s">
        <v>4250</v>
      </c>
      <c r="P339" s="8" t="s">
        <v>186</v>
      </c>
      <c r="Q339" s="14" t="s">
        <v>2296</v>
      </c>
      <c r="R339" s="8" t="s">
        <v>2552</v>
      </c>
      <c r="S339" s="14" t="s">
        <v>2583</v>
      </c>
    </row>
    <row r="340">
      <c r="A340" s="8" t="s">
        <v>52</v>
      </c>
      <c r="B340" s="8" t="s">
        <v>3561</v>
      </c>
      <c r="C340" s="8" t="s">
        <v>149</v>
      </c>
      <c r="D340" s="18" t="s">
        <v>2614</v>
      </c>
      <c r="E340" s="16">
        <v>72.0</v>
      </c>
      <c r="F340" s="8" t="s">
        <v>1376</v>
      </c>
      <c r="G340" s="8" t="s">
        <v>1720</v>
      </c>
      <c r="H340" s="8" t="s">
        <v>122</v>
      </c>
      <c r="I340" s="18" t="s">
        <v>2615</v>
      </c>
      <c r="J340" s="16">
        <v>70.0</v>
      </c>
      <c r="K340" s="8" t="s">
        <v>52</v>
      </c>
      <c r="L340" s="8" t="s">
        <v>1171</v>
      </c>
      <c r="M340" s="18" t="s">
        <v>2614</v>
      </c>
      <c r="N340" s="16">
        <v>78.0</v>
      </c>
      <c r="O340" s="8" t="s">
        <v>4251</v>
      </c>
      <c r="P340" s="8" t="s">
        <v>93</v>
      </c>
      <c r="Q340" s="14" t="s">
        <v>1679</v>
      </c>
      <c r="R340" s="8" t="s">
        <v>2577</v>
      </c>
      <c r="S340" s="14" t="s">
        <v>2568</v>
      </c>
    </row>
    <row r="341">
      <c r="A341" s="8" t="s">
        <v>52</v>
      </c>
      <c r="B341" s="8" t="s">
        <v>654</v>
      </c>
      <c r="C341" s="8" t="s">
        <v>24</v>
      </c>
      <c r="D341" s="18" t="s">
        <v>2592</v>
      </c>
      <c r="E341" s="16">
        <v>75.0</v>
      </c>
      <c r="F341" s="8" t="s">
        <v>1915</v>
      </c>
      <c r="G341" s="8" t="s">
        <v>3403</v>
      </c>
      <c r="H341" s="8" t="s">
        <v>80</v>
      </c>
      <c r="I341" s="18" t="s">
        <v>2615</v>
      </c>
      <c r="J341" s="16">
        <v>72.0</v>
      </c>
      <c r="K341" s="8" t="s">
        <v>52</v>
      </c>
      <c r="L341" s="8" t="s">
        <v>1984</v>
      </c>
      <c r="M341" s="18" t="s">
        <v>2577</v>
      </c>
      <c r="N341" s="16">
        <v>69.0</v>
      </c>
      <c r="O341" s="8" t="s">
        <v>4252</v>
      </c>
      <c r="P341" s="8" t="s">
        <v>141</v>
      </c>
      <c r="Q341" s="14" t="s">
        <v>1679</v>
      </c>
      <c r="R341" s="8" t="s">
        <v>2595</v>
      </c>
      <c r="S341" s="14" t="s">
        <v>2580</v>
      </c>
    </row>
    <row r="342">
      <c r="A342" s="8" t="s">
        <v>52</v>
      </c>
      <c r="B342" s="8" t="s">
        <v>901</v>
      </c>
      <c r="C342" s="8" t="s">
        <v>141</v>
      </c>
      <c r="D342" s="18" t="s">
        <v>2615</v>
      </c>
      <c r="E342" s="16">
        <v>68.0</v>
      </c>
      <c r="F342" s="8" t="s">
        <v>407</v>
      </c>
      <c r="G342" s="8" t="s">
        <v>389</v>
      </c>
      <c r="H342" s="8" t="s">
        <v>215</v>
      </c>
      <c r="I342" s="18" t="s">
        <v>2615</v>
      </c>
      <c r="J342" s="16">
        <v>71.0</v>
      </c>
      <c r="K342" s="8" t="s">
        <v>52</v>
      </c>
      <c r="L342" s="8" t="s">
        <v>51</v>
      </c>
      <c r="M342" s="18" t="s">
        <v>2581</v>
      </c>
      <c r="N342" s="16">
        <v>81.0</v>
      </c>
      <c r="O342" s="8" t="s">
        <v>4253</v>
      </c>
      <c r="P342" s="8" t="s">
        <v>53</v>
      </c>
      <c r="Q342" s="14" t="s">
        <v>39</v>
      </c>
      <c r="R342" s="8" t="s">
        <v>2621</v>
      </c>
      <c r="S342" s="14" t="s">
        <v>2611</v>
      </c>
    </row>
    <row r="343">
      <c r="A343" s="8" t="s">
        <v>52</v>
      </c>
      <c r="B343" s="8" t="s">
        <v>1171</v>
      </c>
      <c r="C343" s="8" t="s">
        <v>46</v>
      </c>
      <c r="D343" s="18" t="s">
        <v>2600</v>
      </c>
      <c r="E343" s="16">
        <v>69.0</v>
      </c>
      <c r="F343" s="8" t="s">
        <v>407</v>
      </c>
      <c r="G343" s="8" t="s">
        <v>62</v>
      </c>
      <c r="H343" s="8" t="s">
        <v>122</v>
      </c>
      <c r="I343" s="18" t="s">
        <v>2183</v>
      </c>
      <c r="J343" s="16">
        <v>73.0</v>
      </c>
      <c r="K343" s="8" t="s">
        <v>52</v>
      </c>
      <c r="L343" s="8" t="s">
        <v>1886</v>
      </c>
      <c r="M343" s="18" t="s">
        <v>2581</v>
      </c>
      <c r="N343" s="16">
        <v>67.0</v>
      </c>
      <c r="O343" s="8" t="s">
        <v>4254</v>
      </c>
      <c r="P343" s="8" t="s">
        <v>16</v>
      </c>
      <c r="Q343" s="14" t="s">
        <v>1070</v>
      </c>
      <c r="R343" s="8" t="s">
        <v>2572</v>
      </c>
      <c r="S343" s="14" t="s">
        <v>2618</v>
      </c>
    </row>
    <row r="344">
      <c r="A344" s="8" t="s">
        <v>52</v>
      </c>
      <c r="B344" s="8" t="s">
        <v>379</v>
      </c>
      <c r="C344" s="8" t="s">
        <v>138</v>
      </c>
      <c r="D344" s="18" t="s">
        <v>2577</v>
      </c>
      <c r="E344" s="16">
        <v>88.0</v>
      </c>
      <c r="F344" s="8" t="s">
        <v>407</v>
      </c>
      <c r="G344" s="8" t="s">
        <v>308</v>
      </c>
      <c r="H344" s="8" t="s">
        <v>46</v>
      </c>
      <c r="I344" s="18" t="s">
        <v>2584</v>
      </c>
      <c r="J344" s="16">
        <v>76.0</v>
      </c>
      <c r="K344" s="8" t="s">
        <v>2957</v>
      </c>
      <c r="L344" s="8" t="s">
        <v>2956</v>
      </c>
      <c r="M344" s="18" t="s">
        <v>2574</v>
      </c>
      <c r="N344" s="16">
        <v>73.0</v>
      </c>
      <c r="O344" s="8" t="s">
        <v>4255</v>
      </c>
      <c r="P344" s="8" t="s">
        <v>122</v>
      </c>
      <c r="Q344" s="14" t="s">
        <v>837</v>
      </c>
      <c r="R344" s="8" t="s">
        <v>2615</v>
      </c>
      <c r="S344" s="14" t="s">
        <v>2622</v>
      </c>
    </row>
    <row r="345">
      <c r="A345" s="8" t="s">
        <v>52</v>
      </c>
      <c r="B345" s="8" t="s">
        <v>263</v>
      </c>
      <c r="C345" s="8" t="s">
        <v>138</v>
      </c>
      <c r="D345" s="18" t="s">
        <v>2595</v>
      </c>
      <c r="E345" s="16">
        <v>90.0</v>
      </c>
      <c r="F345" s="8" t="s">
        <v>407</v>
      </c>
      <c r="G345" s="8" t="s">
        <v>406</v>
      </c>
      <c r="H345" s="8" t="s">
        <v>16</v>
      </c>
      <c r="I345" s="18" t="s">
        <v>2574</v>
      </c>
      <c r="J345" s="16">
        <v>88.0</v>
      </c>
      <c r="K345" s="8" t="s">
        <v>3011</v>
      </c>
      <c r="L345" s="8" t="s">
        <v>1012</v>
      </c>
      <c r="M345" s="18" t="s">
        <v>2567</v>
      </c>
      <c r="N345" s="16">
        <v>63.0</v>
      </c>
      <c r="O345" s="8" t="s">
        <v>4256</v>
      </c>
      <c r="P345" s="8" t="s">
        <v>138</v>
      </c>
      <c r="Q345" s="14" t="s">
        <v>2296</v>
      </c>
      <c r="R345" s="8" t="s">
        <v>2595</v>
      </c>
      <c r="S345" s="14" t="s">
        <v>2555</v>
      </c>
    </row>
    <row r="346">
      <c r="A346" s="8" t="s">
        <v>52</v>
      </c>
      <c r="B346" s="8" t="s">
        <v>1237</v>
      </c>
      <c r="C346" s="8" t="s">
        <v>53</v>
      </c>
      <c r="D346" s="18" t="s">
        <v>2593</v>
      </c>
      <c r="E346" s="16">
        <v>60.0</v>
      </c>
      <c r="F346" s="8" t="s">
        <v>52</v>
      </c>
      <c r="G346" s="8" t="s">
        <v>1261</v>
      </c>
      <c r="H346" s="8" t="s">
        <v>65</v>
      </c>
      <c r="I346" s="18" t="s">
        <v>2605</v>
      </c>
      <c r="J346" s="16">
        <v>83.0</v>
      </c>
      <c r="K346" s="8" t="s">
        <v>1211</v>
      </c>
      <c r="L346" s="8" t="s">
        <v>284</v>
      </c>
      <c r="M346" s="18" t="s">
        <v>2572</v>
      </c>
      <c r="N346" s="16">
        <v>67.0</v>
      </c>
      <c r="O346" s="8" t="s">
        <v>4257</v>
      </c>
      <c r="P346" s="8" t="s">
        <v>215</v>
      </c>
      <c r="Q346" s="14" t="s">
        <v>1679</v>
      </c>
      <c r="R346" s="8" t="s">
        <v>2610</v>
      </c>
      <c r="S346" s="14" t="s">
        <v>2599</v>
      </c>
    </row>
    <row r="347">
      <c r="A347" s="8" t="s">
        <v>52</v>
      </c>
      <c r="B347" s="8" t="s">
        <v>1261</v>
      </c>
      <c r="C347" s="8" t="s">
        <v>65</v>
      </c>
      <c r="D347" s="18" t="s">
        <v>2605</v>
      </c>
      <c r="E347" s="16">
        <v>64.0</v>
      </c>
      <c r="F347" s="8" t="s">
        <v>52</v>
      </c>
      <c r="G347" s="8" t="s">
        <v>1984</v>
      </c>
      <c r="H347" s="8" t="s">
        <v>93</v>
      </c>
      <c r="I347" s="18" t="s">
        <v>2577</v>
      </c>
      <c r="J347" s="16">
        <v>69.0</v>
      </c>
      <c r="K347" s="8" t="s">
        <v>881</v>
      </c>
      <c r="L347" s="8" t="s">
        <v>741</v>
      </c>
      <c r="M347" s="18" t="s">
        <v>2610</v>
      </c>
      <c r="N347" s="16">
        <v>79.0</v>
      </c>
      <c r="O347" s="8" t="s">
        <v>4258</v>
      </c>
      <c r="P347" s="8" t="s">
        <v>53</v>
      </c>
      <c r="Q347" s="14" t="s">
        <v>1070</v>
      </c>
      <c r="R347" s="8" t="s">
        <v>2592</v>
      </c>
      <c r="S347" s="14" t="s">
        <v>2601</v>
      </c>
    </row>
    <row r="348">
      <c r="A348" s="8" t="s">
        <v>52</v>
      </c>
      <c r="B348" s="8" t="s">
        <v>51</v>
      </c>
      <c r="C348" s="8" t="s">
        <v>138</v>
      </c>
      <c r="D348" s="18" t="s">
        <v>2581</v>
      </c>
      <c r="E348" s="16">
        <v>89.0</v>
      </c>
      <c r="F348" s="8" t="s">
        <v>52</v>
      </c>
      <c r="G348" s="8" t="s">
        <v>379</v>
      </c>
      <c r="H348" s="8" t="s">
        <v>138</v>
      </c>
      <c r="I348" s="18" t="s">
        <v>2577</v>
      </c>
      <c r="J348" s="16">
        <v>81.0</v>
      </c>
      <c r="K348" s="8" t="s">
        <v>881</v>
      </c>
      <c r="L348" s="8" t="s">
        <v>61</v>
      </c>
      <c r="M348" s="18" t="s">
        <v>2575</v>
      </c>
      <c r="N348" s="16">
        <v>70.0</v>
      </c>
      <c r="O348" s="8" t="s">
        <v>4259</v>
      </c>
      <c r="P348" s="8" t="s">
        <v>138</v>
      </c>
      <c r="Q348" s="14" t="s">
        <v>338</v>
      </c>
      <c r="R348" s="8" t="s">
        <v>2610</v>
      </c>
      <c r="S348" s="14" t="s">
        <v>2588</v>
      </c>
    </row>
    <row r="349">
      <c r="A349" s="8" t="s">
        <v>3835</v>
      </c>
      <c r="B349" s="8" t="s">
        <v>3834</v>
      </c>
      <c r="C349" s="8" t="s">
        <v>65</v>
      </c>
      <c r="D349" s="18" t="s">
        <v>2577</v>
      </c>
      <c r="E349" s="16">
        <v>62.0</v>
      </c>
      <c r="F349" s="8" t="s">
        <v>52</v>
      </c>
      <c r="G349" s="8" t="s">
        <v>1237</v>
      </c>
      <c r="H349" s="8" t="s">
        <v>53</v>
      </c>
      <c r="I349" s="18" t="s">
        <v>2592</v>
      </c>
      <c r="J349" s="16">
        <v>62.0</v>
      </c>
      <c r="K349" s="8" t="s">
        <v>881</v>
      </c>
      <c r="L349" s="8" t="s">
        <v>1268</v>
      </c>
      <c r="M349" s="18" t="s">
        <v>2615</v>
      </c>
      <c r="N349" s="16">
        <v>72.0</v>
      </c>
      <c r="O349" s="8" t="s">
        <v>4260</v>
      </c>
      <c r="P349" s="8" t="s">
        <v>70</v>
      </c>
      <c r="Q349" s="14" t="s">
        <v>631</v>
      </c>
      <c r="R349" s="8" t="s">
        <v>2183</v>
      </c>
      <c r="S349" s="14" t="s">
        <v>2571</v>
      </c>
    </row>
    <row r="350">
      <c r="A350" s="8" t="s">
        <v>2957</v>
      </c>
      <c r="B350" s="8" t="s">
        <v>2956</v>
      </c>
      <c r="C350" s="8" t="s">
        <v>93</v>
      </c>
      <c r="D350" s="18" t="s">
        <v>2552</v>
      </c>
      <c r="E350" s="16">
        <v>75.0</v>
      </c>
      <c r="F350" s="8" t="s">
        <v>52</v>
      </c>
      <c r="G350" s="8" t="s">
        <v>463</v>
      </c>
      <c r="H350" s="8" t="s">
        <v>70</v>
      </c>
      <c r="I350" s="18" t="s">
        <v>2574</v>
      </c>
      <c r="J350" s="16">
        <v>68.0</v>
      </c>
      <c r="K350" s="8" t="s">
        <v>366</v>
      </c>
      <c r="L350" s="8" t="s">
        <v>365</v>
      </c>
      <c r="M350" s="18" t="s">
        <v>2610</v>
      </c>
      <c r="N350" s="16">
        <v>79.0</v>
      </c>
      <c r="O350" s="8" t="s">
        <v>4261</v>
      </c>
      <c r="P350" s="8" t="s">
        <v>138</v>
      </c>
      <c r="Q350" s="14" t="s">
        <v>1352</v>
      </c>
      <c r="R350" s="8" t="s">
        <v>2562</v>
      </c>
      <c r="S350" s="14" t="s">
        <v>2563</v>
      </c>
    </row>
    <row r="351">
      <c r="A351" s="8" t="s">
        <v>3011</v>
      </c>
      <c r="B351" s="8" t="s">
        <v>1012</v>
      </c>
      <c r="C351" s="8" t="s">
        <v>122</v>
      </c>
      <c r="D351" s="18" t="s">
        <v>2554</v>
      </c>
      <c r="E351" s="16">
        <v>67.0</v>
      </c>
      <c r="F351" s="8" t="s">
        <v>52</v>
      </c>
      <c r="G351" s="8" t="s">
        <v>654</v>
      </c>
      <c r="H351" s="8" t="s">
        <v>24</v>
      </c>
      <c r="I351" s="18" t="s">
        <v>2592</v>
      </c>
      <c r="J351" s="16">
        <v>83.0</v>
      </c>
      <c r="K351" s="8" t="s">
        <v>366</v>
      </c>
      <c r="L351" s="8" t="s">
        <v>444</v>
      </c>
      <c r="M351" s="18" t="s">
        <v>2645</v>
      </c>
      <c r="N351" s="16">
        <v>64.0</v>
      </c>
      <c r="O351" s="8" t="s">
        <v>4262</v>
      </c>
      <c r="P351" s="8" t="s">
        <v>65</v>
      </c>
      <c r="Q351" s="14" t="s">
        <v>1352</v>
      </c>
      <c r="R351" s="8" t="s">
        <v>2564</v>
      </c>
      <c r="S351" s="14" t="s">
        <v>2580</v>
      </c>
    </row>
    <row r="352">
      <c r="A352" s="8" t="s">
        <v>1211</v>
      </c>
      <c r="B352" s="8" t="s">
        <v>284</v>
      </c>
      <c r="C352" s="8" t="s">
        <v>16</v>
      </c>
      <c r="D352" s="18" t="s">
        <v>2587</v>
      </c>
      <c r="E352" s="16">
        <v>66.0</v>
      </c>
      <c r="F352" s="8" t="s">
        <v>52</v>
      </c>
      <c r="G352" s="8" t="s">
        <v>51</v>
      </c>
      <c r="H352" s="8" t="s">
        <v>138</v>
      </c>
      <c r="I352" s="18" t="s">
        <v>2581</v>
      </c>
      <c r="J352" s="16">
        <v>89.0</v>
      </c>
      <c r="K352" s="8" t="s">
        <v>366</v>
      </c>
      <c r="L352" s="8" t="s">
        <v>718</v>
      </c>
      <c r="M352" s="18" t="s">
        <v>2615</v>
      </c>
      <c r="N352" s="16">
        <v>80.0</v>
      </c>
      <c r="O352" s="8" t="s">
        <v>4263</v>
      </c>
      <c r="P352" s="8" t="s">
        <v>93</v>
      </c>
      <c r="Q352" s="14" t="s">
        <v>2296</v>
      </c>
      <c r="R352" s="8" t="s">
        <v>2592</v>
      </c>
      <c r="S352" s="14" t="s">
        <v>2573</v>
      </c>
    </row>
    <row r="353">
      <c r="A353" s="8" t="s">
        <v>3566</v>
      </c>
      <c r="B353" s="8" t="s">
        <v>224</v>
      </c>
      <c r="C353" s="8" t="s">
        <v>93</v>
      </c>
      <c r="D353" s="18" t="s">
        <v>2589</v>
      </c>
      <c r="E353" s="16">
        <v>59.0</v>
      </c>
      <c r="F353" s="8" t="s">
        <v>52</v>
      </c>
      <c r="G353" s="8" t="s">
        <v>901</v>
      </c>
      <c r="H353" s="8" t="s">
        <v>149</v>
      </c>
      <c r="I353" s="18" t="s">
        <v>2615</v>
      </c>
      <c r="J353" s="16">
        <v>71.0</v>
      </c>
      <c r="K353" s="8" t="s">
        <v>366</v>
      </c>
      <c r="L353" s="8" t="s">
        <v>937</v>
      </c>
      <c r="M353" s="18" t="s">
        <v>2620</v>
      </c>
      <c r="N353" s="16">
        <v>73.0</v>
      </c>
      <c r="O353" s="8" t="s">
        <v>4264</v>
      </c>
      <c r="P353" s="8" t="s">
        <v>138</v>
      </c>
      <c r="Q353" s="14" t="s">
        <v>1070</v>
      </c>
      <c r="R353" s="8" t="s">
        <v>2567</v>
      </c>
      <c r="S353" s="14" t="s">
        <v>2563</v>
      </c>
    </row>
    <row r="354">
      <c r="A354" s="8" t="s">
        <v>881</v>
      </c>
      <c r="B354" s="8" t="s">
        <v>2698</v>
      </c>
      <c r="C354" s="8" t="s">
        <v>186</v>
      </c>
      <c r="D354" s="18" t="s">
        <v>2558</v>
      </c>
      <c r="E354" s="16">
        <v>68.0</v>
      </c>
      <c r="F354" s="8" t="s">
        <v>52</v>
      </c>
      <c r="G354" s="8" t="s">
        <v>1171</v>
      </c>
      <c r="H354" s="8" t="s">
        <v>149</v>
      </c>
      <c r="I354" s="18" t="s">
        <v>2600</v>
      </c>
      <c r="J354" s="16">
        <v>71.0</v>
      </c>
      <c r="K354" s="8" t="s">
        <v>366</v>
      </c>
      <c r="L354" s="8" t="s">
        <v>1050</v>
      </c>
      <c r="M354" s="18" t="s">
        <v>2562</v>
      </c>
      <c r="N354" s="16">
        <v>73.0</v>
      </c>
      <c r="O354" s="8" t="s">
        <v>4265</v>
      </c>
      <c r="P354" s="8" t="s">
        <v>16</v>
      </c>
      <c r="Q354" s="14" t="s">
        <v>1070</v>
      </c>
      <c r="R354" s="8" t="s">
        <v>2564</v>
      </c>
      <c r="S354" s="14" t="s">
        <v>2588</v>
      </c>
    </row>
    <row r="355">
      <c r="A355" s="8" t="s">
        <v>881</v>
      </c>
      <c r="B355" s="8" t="s">
        <v>61</v>
      </c>
      <c r="C355" s="8" t="s">
        <v>122</v>
      </c>
      <c r="D355" s="18" t="s">
        <v>2575</v>
      </c>
      <c r="E355" s="16">
        <v>66.0</v>
      </c>
      <c r="F355" s="8" t="s">
        <v>52</v>
      </c>
      <c r="G355" s="8" t="s">
        <v>15</v>
      </c>
      <c r="H355" s="8" t="s">
        <v>141</v>
      </c>
      <c r="I355" s="18" t="s">
        <v>2595</v>
      </c>
      <c r="J355" s="16">
        <v>61.0</v>
      </c>
      <c r="K355" s="8" t="s">
        <v>1351</v>
      </c>
      <c r="L355" s="8" t="s">
        <v>1350</v>
      </c>
      <c r="M355" s="18" t="s">
        <v>2589</v>
      </c>
      <c r="N355" s="16">
        <v>62.0</v>
      </c>
      <c r="O355" s="8" t="s">
        <v>4266</v>
      </c>
      <c r="P355" s="8" t="s">
        <v>16</v>
      </c>
      <c r="Q355" s="14" t="s">
        <v>237</v>
      </c>
      <c r="R355" s="8" t="s">
        <v>2582</v>
      </c>
      <c r="S355" s="14" t="s">
        <v>2602</v>
      </c>
    </row>
    <row r="356">
      <c r="A356" s="8" t="s">
        <v>881</v>
      </c>
      <c r="B356" s="8" t="s">
        <v>1268</v>
      </c>
      <c r="C356" s="8" t="s">
        <v>215</v>
      </c>
      <c r="D356" s="18" t="s">
        <v>2615</v>
      </c>
      <c r="E356" s="16">
        <v>69.0</v>
      </c>
      <c r="F356" s="8" t="s">
        <v>52</v>
      </c>
      <c r="G356" s="8" t="s">
        <v>263</v>
      </c>
      <c r="H356" s="8" t="s">
        <v>215</v>
      </c>
      <c r="I356" s="18" t="s">
        <v>2595</v>
      </c>
      <c r="J356" s="16">
        <v>92.0</v>
      </c>
      <c r="K356" s="8" t="s">
        <v>1351</v>
      </c>
      <c r="L356" s="8" t="s">
        <v>61</v>
      </c>
      <c r="M356" s="18" t="s">
        <v>2592</v>
      </c>
      <c r="N356" s="16">
        <v>72.0</v>
      </c>
      <c r="O356" s="8" t="s">
        <v>4267</v>
      </c>
      <c r="P356" s="8" t="s">
        <v>141</v>
      </c>
      <c r="Q356" s="14" t="s">
        <v>1679</v>
      </c>
      <c r="R356" s="8" t="s">
        <v>2582</v>
      </c>
      <c r="S356" s="14" t="s">
        <v>2569</v>
      </c>
    </row>
    <row r="357">
      <c r="A357" s="8" t="s">
        <v>366</v>
      </c>
      <c r="B357" s="8" t="s">
        <v>365</v>
      </c>
      <c r="C357" s="8" t="s">
        <v>138</v>
      </c>
      <c r="D357" s="18" t="s">
        <v>2610</v>
      </c>
      <c r="E357" s="16">
        <v>87.0</v>
      </c>
      <c r="F357" s="8" t="s">
        <v>2957</v>
      </c>
      <c r="G357" s="8" t="s">
        <v>2956</v>
      </c>
      <c r="H357" s="8" t="s">
        <v>93</v>
      </c>
      <c r="I357" s="18" t="s">
        <v>2574</v>
      </c>
      <c r="J357" s="16">
        <v>80.0</v>
      </c>
      <c r="K357" s="8" t="s">
        <v>1286</v>
      </c>
      <c r="L357" s="8" t="s">
        <v>1005</v>
      </c>
      <c r="M357" s="18" t="s">
        <v>2584</v>
      </c>
      <c r="N357" s="16">
        <v>62.0</v>
      </c>
      <c r="O357" s="8" t="s">
        <v>4268</v>
      </c>
      <c r="P357" s="8" t="s">
        <v>93</v>
      </c>
      <c r="Q357" s="14" t="s">
        <v>459</v>
      </c>
      <c r="R357" s="8" t="s">
        <v>2572</v>
      </c>
      <c r="S357" s="14" t="s">
        <v>2596</v>
      </c>
    </row>
    <row r="358">
      <c r="A358" s="8" t="s">
        <v>366</v>
      </c>
      <c r="B358" s="8" t="s">
        <v>2340</v>
      </c>
      <c r="C358" s="8" t="s">
        <v>186</v>
      </c>
      <c r="D358" s="18" t="s">
        <v>2582</v>
      </c>
      <c r="E358" s="16">
        <v>61.0</v>
      </c>
      <c r="F358" s="8" t="s">
        <v>3011</v>
      </c>
      <c r="G358" s="8" t="s">
        <v>1012</v>
      </c>
      <c r="H358" s="8" t="s">
        <v>138</v>
      </c>
      <c r="I358" s="18" t="s">
        <v>2572</v>
      </c>
      <c r="J358" s="16">
        <v>68.0</v>
      </c>
      <c r="K358" s="8" t="s">
        <v>1118</v>
      </c>
      <c r="L358" s="8" t="s">
        <v>1335</v>
      </c>
      <c r="M358" s="18" t="s">
        <v>2564</v>
      </c>
      <c r="N358" s="16">
        <v>85.0</v>
      </c>
      <c r="O358" s="8" t="s">
        <v>4269</v>
      </c>
      <c r="P358" s="8" t="s">
        <v>24</v>
      </c>
      <c r="Q358" s="14" t="s">
        <v>459</v>
      </c>
      <c r="R358" s="8" t="s">
        <v>2620</v>
      </c>
      <c r="S358" s="14" t="s">
        <v>21</v>
      </c>
    </row>
    <row r="359">
      <c r="A359" s="8" t="s">
        <v>366</v>
      </c>
      <c r="B359" s="8" t="s">
        <v>718</v>
      </c>
      <c r="C359" s="8" t="s">
        <v>70</v>
      </c>
      <c r="D359" s="18" t="s">
        <v>2585</v>
      </c>
      <c r="E359" s="16">
        <v>81.0</v>
      </c>
      <c r="F359" s="8" t="s">
        <v>1211</v>
      </c>
      <c r="G359" s="8" t="s">
        <v>284</v>
      </c>
      <c r="H359" s="8" t="s">
        <v>16</v>
      </c>
      <c r="I359" s="18" t="s">
        <v>2587</v>
      </c>
      <c r="J359" s="16">
        <v>66.0</v>
      </c>
      <c r="K359" s="8" t="s">
        <v>289</v>
      </c>
      <c r="L359" s="8" t="s">
        <v>288</v>
      </c>
      <c r="M359" s="18" t="s">
        <v>2620</v>
      </c>
      <c r="N359" s="16">
        <v>82.0</v>
      </c>
      <c r="O359" s="8" t="s">
        <v>4270</v>
      </c>
      <c r="P359" s="8" t="s">
        <v>122</v>
      </c>
      <c r="Q359" s="14" t="s">
        <v>2033</v>
      </c>
      <c r="R359" s="8" t="s">
        <v>2577</v>
      </c>
      <c r="S359" s="14" t="s">
        <v>2576</v>
      </c>
    </row>
    <row r="360">
      <c r="A360" s="8" t="s">
        <v>366</v>
      </c>
      <c r="B360" s="8" t="s">
        <v>444</v>
      </c>
      <c r="C360" s="8" t="s">
        <v>53</v>
      </c>
      <c r="D360" s="18" t="s">
        <v>2562</v>
      </c>
      <c r="E360" s="16">
        <v>62.0</v>
      </c>
      <c r="F360" s="8" t="s">
        <v>881</v>
      </c>
      <c r="G360" s="8" t="s">
        <v>741</v>
      </c>
      <c r="H360" s="8" t="s">
        <v>53</v>
      </c>
      <c r="I360" s="18" t="s">
        <v>2610</v>
      </c>
      <c r="J360" s="16">
        <v>66.0</v>
      </c>
      <c r="K360" s="8" t="s">
        <v>494</v>
      </c>
      <c r="L360" s="8" t="s">
        <v>2234</v>
      </c>
      <c r="M360" s="18" t="s">
        <v>2645</v>
      </c>
      <c r="N360" s="16">
        <v>69.0</v>
      </c>
      <c r="O360" s="8" t="s">
        <v>4271</v>
      </c>
      <c r="P360" s="8" t="s">
        <v>59</v>
      </c>
      <c r="Q360" s="14" t="s">
        <v>1070</v>
      </c>
      <c r="R360" s="8" t="s">
        <v>2582</v>
      </c>
      <c r="S360" s="14" t="s">
        <v>2579</v>
      </c>
    </row>
    <row r="361">
      <c r="A361" s="8" t="s">
        <v>1118</v>
      </c>
      <c r="B361" s="8" t="s">
        <v>2983</v>
      </c>
      <c r="C361" s="8" t="s">
        <v>16</v>
      </c>
      <c r="D361" s="18" t="s">
        <v>2589</v>
      </c>
      <c r="E361" s="16">
        <v>89.0</v>
      </c>
      <c r="F361" s="8" t="s">
        <v>881</v>
      </c>
      <c r="G361" s="8" t="s">
        <v>61</v>
      </c>
      <c r="H361" s="8" t="s">
        <v>122</v>
      </c>
      <c r="I361" s="18" t="s">
        <v>2575</v>
      </c>
      <c r="J361" s="16">
        <v>66.0</v>
      </c>
      <c r="K361" s="8" t="s">
        <v>494</v>
      </c>
      <c r="L361" s="8" t="s">
        <v>530</v>
      </c>
      <c r="M361" s="18" t="s">
        <v>2572</v>
      </c>
      <c r="N361" s="16">
        <v>86.0</v>
      </c>
      <c r="O361" s="8" t="s">
        <v>4272</v>
      </c>
      <c r="P361" s="8" t="s">
        <v>138</v>
      </c>
      <c r="Q361" s="14" t="s">
        <v>837</v>
      </c>
      <c r="R361" s="8" t="s">
        <v>2603</v>
      </c>
      <c r="S361" s="14" t="s">
        <v>2565</v>
      </c>
    </row>
    <row r="362">
      <c r="A362" s="8" t="s">
        <v>1118</v>
      </c>
      <c r="B362" s="8" t="s">
        <v>3474</v>
      </c>
      <c r="C362" s="8" t="s">
        <v>24</v>
      </c>
      <c r="D362" s="18" t="s">
        <v>2584</v>
      </c>
      <c r="E362" s="16">
        <v>45.0</v>
      </c>
      <c r="F362" s="8" t="s">
        <v>881</v>
      </c>
      <c r="G362" s="8" t="s">
        <v>1268</v>
      </c>
      <c r="H362" s="8" t="s">
        <v>215</v>
      </c>
      <c r="I362" s="18" t="s">
        <v>2615</v>
      </c>
      <c r="J362" s="16">
        <v>71.0</v>
      </c>
      <c r="K362" s="8" t="s">
        <v>976</v>
      </c>
      <c r="L362" s="8" t="s">
        <v>975</v>
      </c>
      <c r="M362" s="18" t="s">
        <v>2585</v>
      </c>
      <c r="N362" s="16">
        <v>66.0</v>
      </c>
      <c r="O362" s="8" t="s">
        <v>4273</v>
      </c>
      <c r="P362" s="8" t="s">
        <v>149</v>
      </c>
      <c r="Q362" s="14" t="s">
        <v>837</v>
      </c>
      <c r="R362" s="8" t="s">
        <v>2584</v>
      </c>
      <c r="S362" s="14" t="s">
        <v>2609</v>
      </c>
    </row>
    <row r="363">
      <c r="A363" s="8" t="s">
        <v>1118</v>
      </c>
      <c r="B363" s="8" t="s">
        <v>1335</v>
      </c>
      <c r="C363" s="8" t="s">
        <v>16</v>
      </c>
      <c r="D363" s="18" t="s">
        <v>2564</v>
      </c>
      <c r="E363" s="16">
        <v>76.0</v>
      </c>
      <c r="F363" s="8" t="s">
        <v>881</v>
      </c>
      <c r="G363" s="8" t="s">
        <v>2698</v>
      </c>
      <c r="H363" s="8" t="s">
        <v>59</v>
      </c>
      <c r="I363" s="18" t="s">
        <v>2587</v>
      </c>
      <c r="J363" s="16">
        <v>72.0</v>
      </c>
      <c r="K363" s="8" t="s">
        <v>329</v>
      </c>
      <c r="L363" s="8" t="s">
        <v>996</v>
      </c>
      <c r="M363" s="18" t="s">
        <v>2610</v>
      </c>
      <c r="N363" s="16">
        <v>72.0</v>
      </c>
      <c r="O363" s="8" t="s">
        <v>4274</v>
      </c>
      <c r="P363" s="8" t="s">
        <v>122</v>
      </c>
      <c r="Q363" s="14" t="s">
        <v>237</v>
      </c>
      <c r="R363" s="8" t="s">
        <v>2585</v>
      </c>
      <c r="S363" s="14" t="s">
        <v>2579</v>
      </c>
    </row>
    <row r="364">
      <c r="A364" s="8" t="s">
        <v>289</v>
      </c>
      <c r="B364" s="8" t="s">
        <v>288</v>
      </c>
      <c r="C364" s="8" t="s">
        <v>16</v>
      </c>
      <c r="D364" s="18" t="s">
        <v>2593</v>
      </c>
      <c r="E364" s="16">
        <v>75.0</v>
      </c>
      <c r="F364" s="8" t="s">
        <v>366</v>
      </c>
      <c r="G364" s="8" t="s">
        <v>937</v>
      </c>
      <c r="H364" s="8" t="s">
        <v>65</v>
      </c>
      <c r="I364" s="18" t="s">
        <v>2620</v>
      </c>
      <c r="J364" s="16">
        <v>76.0</v>
      </c>
      <c r="K364" s="8" t="s">
        <v>2287</v>
      </c>
      <c r="L364" s="8" t="s">
        <v>451</v>
      </c>
      <c r="M364" s="18" t="s">
        <v>2614</v>
      </c>
      <c r="N364" s="16">
        <v>73.0</v>
      </c>
      <c r="O364" s="8" t="s">
        <v>4275</v>
      </c>
      <c r="P364" s="8" t="s">
        <v>65</v>
      </c>
      <c r="Q364" s="14" t="s">
        <v>2033</v>
      </c>
      <c r="R364" s="8" t="s">
        <v>2614</v>
      </c>
      <c r="S364" s="14" t="s">
        <v>2557</v>
      </c>
    </row>
    <row r="365">
      <c r="A365" s="8" t="s">
        <v>494</v>
      </c>
      <c r="B365" s="8" t="s">
        <v>530</v>
      </c>
      <c r="C365" s="8" t="s">
        <v>93</v>
      </c>
      <c r="D365" s="18" t="s">
        <v>2572</v>
      </c>
      <c r="E365" s="16">
        <v>84.0</v>
      </c>
      <c r="F365" s="8" t="s">
        <v>366</v>
      </c>
      <c r="G365" s="8" t="s">
        <v>365</v>
      </c>
      <c r="H365" s="8" t="s">
        <v>138</v>
      </c>
      <c r="I365" s="18" t="s">
        <v>2610</v>
      </c>
      <c r="J365" s="16">
        <v>86.0</v>
      </c>
      <c r="K365" s="8" t="s">
        <v>117</v>
      </c>
      <c r="L365" s="8" t="s">
        <v>116</v>
      </c>
      <c r="M365" s="18" t="s">
        <v>2183</v>
      </c>
      <c r="N365" s="16">
        <v>69.0</v>
      </c>
      <c r="O365" s="8" t="s">
        <v>4276</v>
      </c>
      <c r="P365" s="8" t="s">
        <v>261</v>
      </c>
      <c r="Q365" s="14" t="s">
        <v>1352</v>
      </c>
      <c r="R365" s="8" t="s">
        <v>2610</v>
      </c>
      <c r="S365" s="14" t="s">
        <v>2563</v>
      </c>
    </row>
    <row r="366">
      <c r="A366" s="8" t="s">
        <v>494</v>
      </c>
      <c r="B366" s="8" t="s">
        <v>567</v>
      </c>
      <c r="C366" s="8" t="s">
        <v>24</v>
      </c>
      <c r="D366" s="18" t="s">
        <v>2620</v>
      </c>
      <c r="E366" s="16">
        <v>40.0</v>
      </c>
      <c r="F366" s="8" t="s">
        <v>366</v>
      </c>
      <c r="G366" s="8" t="s">
        <v>718</v>
      </c>
      <c r="H366" s="8" t="s">
        <v>70</v>
      </c>
      <c r="I366" s="18" t="s">
        <v>2585</v>
      </c>
      <c r="J366" s="16">
        <v>83.0</v>
      </c>
      <c r="K366" s="8" t="s">
        <v>117</v>
      </c>
      <c r="L366" s="8" t="s">
        <v>78</v>
      </c>
      <c r="M366" s="18" t="s">
        <v>2589</v>
      </c>
      <c r="N366" s="16">
        <v>71.0</v>
      </c>
      <c r="O366" s="8" t="s">
        <v>4277</v>
      </c>
      <c r="P366" s="8" t="s">
        <v>65</v>
      </c>
      <c r="Q366" s="14" t="s">
        <v>1352</v>
      </c>
      <c r="R366" s="8" t="s">
        <v>2552</v>
      </c>
      <c r="S366" s="14" t="s">
        <v>2583</v>
      </c>
    </row>
    <row r="367">
      <c r="A367" s="8" t="s">
        <v>1257</v>
      </c>
      <c r="B367" s="8" t="s">
        <v>1256</v>
      </c>
      <c r="C367" s="8" t="s">
        <v>186</v>
      </c>
      <c r="D367" s="18" t="s">
        <v>2592</v>
      </c>
      <c r="E367" s="16">
        <v>57.0</v>
      </c>
      <c r="F367" s="8" t="s">
        <v>366</v>
      </c>
      <c r="G367" s="8" t="s">
        <v>1050</v>
      </c>
      <c r="H367" s="8" t="s">
        <v>122</v>
      </c>
      <c r="I367" s="18" t="s">
        <v>2562</v>
      </c>
      <c r="J367" s="16">
        <v>68.0</v>
      </c>
      <c r="K367" s="8" t="s">
        <v>117</v>
      </c>
      <c r="L367" s="8" t="s">
        <v>1663</v>
      </c>
      <c r="M367" s="18" t="s">
        <v>2566</v>
      </c>
      <c r="N367" s="16">
        <v>69.0</v>
      </c>
      <c r="O367" s="8" t="s">
        <v>4278</v>
      </c>
      <c r="P367" s="8" t="s">
        <v>16</v>
      </c>
      <c r="Q367" s="14" t="s">
        <v>108</v>
      </c>
      <c r="R367" s="8" t="s">
        <v>2183</v>
      </c>
      <c r="S367" s="14" t="s">
        <v>2580</v>
      </c>
    </row>
    <row r="368">
      <c r="A368" s="8" t="s">
        <v>976</v>
      </c>
      <c r="B368" s="8" t="s">
        <v>975</v>
      </c>
      <c r="C368" s="8" t="s">
        <v>215</v>
      </c>
      <c r="D368" s="18" t="s">
        <v>2603</v>
      </c>
      <c r="E368" s="16">
        <v>67.0</v>
      </c>
      <c r="F368" s="8" t="s">
        <v>366</v>
      </c>
      <c r="G368" s="8" t="s">
        <v>444</v>
      </c>
      <c r="H368" s="8" t="s">
        <v>53</v>
      </c>
      <c r="I368" s="18" t="s">
        <v>2593</v>
      </c>
      <c r="J368" s="16">
        <v>62.0</v>
      </c>
      <c r="K368" s="8" t="s">
        <v>117</v>
      </c>
      <c r="L368" s="8" t="s">
        <v>1032</v>
      </c>
      <c r="M368" s="18" t="s">
        <v>2562</v>
      </c>
      <c r="N368" s="16">
        <v>66.0</v>
      </c>
      <c r="O368" s="8" t="s">
        <v>4279</v>
      </c>
      <c r="P368" s="8" t="s">
        <v>16</v>
      </c>
      <c r="Q368" s="14" t="s">
        <v>1679</v>
      </c>
      <c r="R368" s="18" t="s">
        <v>2589</v>
      </c>
      <c r="S368" s="14" t="s">
        <v>2626</v>
      </c>
    </row>
    <row r="369">
      <c r="A369" s="8" t="s">
        <v>3732</v>
      </c>
      <c r="B369" s="8" t="s">
        <v>3731</v>
      </c>
      <c r="C369" s="8" t="s">
        <v>138</v>
      </c>
      <c r="D369" s="18" t="s">
        <v>2577</v>
      </c>
      <c r="E369" s="16">
        <v>59.0</v>
      </c>
      <c r="F369" s="8" t="s">
        <v>1286</v>
      </c>
      <c r="G369" s="8" t="s">
        <v>1005</v>
      </c>
      <c r="H369" s="8" t="s">
        <v>138</v>
      </c>
      <c r="I369" s="18" t="s">
        <v>2584</v>
      </c>
      <c r="J369" s="16">
        <v>60.0</v>
      </c>
      <c r="K369" s="8" t="s">
        <v>117</v>
      </c>
      <c r="L369" s="8" t="s">
        <v>561</v>
      </c>
      <c r="M369" s="18" t="s">
        <v>2620</v>
      </c>
      <c r="N369" s="16">
        <v>70.0</v>
      </c>
      <c r="O369" s="8" t="s">
        <v>4280</v>
      </c>
      <c r="P369" s="8" t="s">
        <v>149</v>
      </c>
      <c r="Q369" s="14" t="s">
        <v>837</v>
      </c>
      <c r="R369" s="8" t="s">
        <v>2566</v>
      </c>
      <c r="S369" s="14" t="s">
        <v>2569</v>
      </c>
    </row>
    <row r="370">
      <c r="A370" s="8" t="s">
        <v>3839</v>
      </c>
      <c r="B370" s="8" t="s">
        <v>3838</v>
      </c>
      <c r="C370" s="8" t="s">
        <v>65</v>
      </c>
      <c r="D370" s="18" t="s">
        <v>2562</v>
      </c>
      <c r="E370" s="16">
        <v>73.0</v>
      </c>
      <c r="F370" s="8" t="s">
        <v>1118</v>
      </c>
      <c r="G370" s="8" t="s">
        <v>2983</v>
      </c>
      <c r="H370" s="8" t="s">
        <v>16</v>
      </c>
      <c r="I370" s="18" t="s">
        <v>2589</v>
      </c>
      <c r="J370" s="16">
        <v>83.0</v>
      </c>
      <c r="K370" s="8" t="s">
        <v>117</v>
      </c>
      <c r="L370" s="8" t="s">
        <v>2832</v>
      </c>
      <c r="M370" s="18" t="s">
        <v>2560</v>
      </c>
      <c r="N370" s="16">
        <v>71.0</v>
      </c>
      <c r="O370" s="8" t="s">
        <v>4281</v>
      </c>
      <c r="P370" s="8" t="s">
        <v>215</v>
      </c>
      <c r="Q370" s="14" t="s">
        <v>2033</v>
      </c>
      <c r="R370" s="8" t="s">
        <v>2615</v>
      </c>
      <c r="S370" s="14" t="s">
        <v>2563</v>
      </c>
    </row>
    <row r="371">
      <c r="A371" s="8" t="s">
        <v>329</v>
      </c>
      <c r="B371" s="8" t="s">
        <v>996</v>
      </c>
      <c r="C371" s="8" t="s">
        <v>46</v>
      </c>
      <c r="D371" s="18" t="s">
        <v>2610</v>
      </c>
      <c r="E371" s="16">
        <v>74.0</v>
      </c>
      <c r="F371" s="8" t="s">
        <v>1118</v>
      </c>
      <c r="G371" s="8" t="s">
        <v>1335</v>
      </c>
      <c r="H371" s="8" t="s">
        <v>16</v>
      </c>
      <c r="I371" s="18" t="s">
        <v>2564</v>
      </c>
      <c r="J371" s="16">
        <v>79.0</v>
      </c>
      <c r="K371" s="8" t="s">
        <v>117</v>
      </c>
      <c r="L371" s="8" t="s">
        <v>62</v>
      </c>
      <c r="M371" s="18" t="s">
        <v>2615</v>
      </c>
      <c r="N371" s="16">
        <v>72.0</v>
      </c>
      <c r="O371" s="8" t="s">
        <v>4282</v>
      </c>
      <c r="P371" s="8" t="s">
        <v>149</v>
      </c>
      <c r="Q371" s="14" t="s">
        <v>1352</v>
      </c>
      <c r="R371" s="8" t="s">
        <v>2566</v>
      </c>
      <c r="S371" s="14" t="s">
        <v>2609</v>
      </c>
    </row>
    <row r="372">
      <c r="A372" s="8" t="s">
        <v>329</v>
      </c>
      <c r="B372" s="8" t="s">
        <v>3394</v>
      </c>
      <c r="C372" s="8" t="s">
        <v>70</v>
      </c>
      <c r="D372" s="18" t="s">
        <v>2610</v>
      </c>
      <c r="E372" s="16">
        <v>71.0</v>
      </c>
      <c r="F372" s="8" t="s">
        <v>1118</v>
      </c>
      <c r="G372" s="8" t="s">
        <v>3474</v>
      </c>
      <c r="H372" s="8" t="s">
        <v>24</v>
      </c>
      <c r="I372" s="18" t="s">
        <v>2584</v>
      </c>
      <c r="J372" s="16">
        <v>46.0</v>
      </c>
      <c r="K372" s="8" t="s">
        <v>2669</v>
      </c>
      <c r="L372" s="8" t="s">
        <v>240</v>
      </c>
      <c r="M372" s="18" t="s">
        <v>2582</v>
      </c>
      <c r="N372" s="16">
        <v>84.0</v>
      </c>
      <c r="O372" s="8" t="s">
        <v>4283</v>
      </c>
      <c r="P372" s="8" t="s">
        <v>65</v>
      </c>
      <c r="Q372" s="14" t="s">
        <v>1679</v>
      </c>
      <c r="R372" s="18" t="s">
        <v>2589</v>
      </c>
      <c r="S372" s="14" t="s">
        <v>2591</v>
      </c>
    </row>
    <row r="373">
      <c r="A373" s="8" t="s">
        <v>329</v>
      </c>
      <c r="B373" s="8" t="s">
        <v>328</v>
      </c>
      <c r="C373" s="8" t="s">
        <v>122</v>
      </c>
      <c r="D373" s="18" t="s">
        <v>2614</v>
      </c>
      <c r="E373" s="16">
        <v>78.0</v>
      </c>
      <c r="F373" s="8" t="s">
        <v>289</v>
      </c>
      <c r="G373" s="8" t="s">
        <v>288</v>
      </c>
      <c r="H373" s="8" t="s">
        <v>16</v>
      </c>
      <c r="I373" s="18" t="s">
        <v>2552</v>
      </c>
      <c r="J373" s="16">
        <v>73.0</v>
      </c>
      <c r="K373" s="8" t="s">
        <v>2669</v>
      </c>
      <c r="L373" s="8" t="s">
        <v>240</v>
      </c>
      <c r="M373" s="18" t="s">
        <v>2620</v>
      </c>
      <c r="N373" s="16">
        <v>83.0</v>
      </c>
      <c r="O373" s="8" t="s">
        <v>4284</v>
      </c>
      <c r="P373" s="8" t="s">
        <v>12</v>
      </c>
      <c r="Q373" s="14" t="s">
        <v>631</v>
      </c>
      <c r="R373" s="8" t="s">
        <v>2560</v>
      </c>
      <c r="S373" s="14" t="s">
        <v>2568</v>
      </c>
    </row>
    <row r="374">
      <c r="A374" s="8" t="s">
        <v>117</v>
      </c>
      <c r="B374" s="8" t="s">
        <v>3664</v>
      </c>
      <c r="C374" s="8" t="s">
        <v>59</v>
      </c>
      <c r="D374" s="18" t="s">
        <v>2552</v>
      </c>
      <c r="E374" s="16">
        <v>78.0</v>
      </c>
      <c r="F374" s="8" t="s">
        <v>494</v>
      </c>
      <c r="G374" s="8" t="s">
        <v>530</v>
      </c>
      <c r="H374" s="8" t="s">
        <v>93</v>
      </c>
      <c r="I374" s="18" t="s">
        <v>2572</v>
      </c>
      <c r="J374" s="16">
        <v>86.0</v>
      </c>
      <c r="K374" s="8" t="s">
        <v>2669</v>
      </c>
      <c r="L374" s="8" t="s">
        <v>240</v>
      </c>
      <c r="M374" s="18" t="s">
        <v>2620</v>
      </c>
      <c r="N374" s="16">
        <v>85.0</v>
      </c>
      <c r="O374" s="8" t="s">
        <v>4285</v>
      </c>
      <c r="P374" s="8" t="s">
        <v>261</v>
      </c>
      <c r="Q374" s="14" t="s">
        <v>2033</v>
      </c>
      <c r="R374" s="8" t="s">
        <v>2581</v>
      </c>
      <c r="S374" s="14" t="s">
        <v>2583</v>
      </c>
    </row>
    <row r="375">
      <c r="A375" s="8" t="s">
        <v>117</v>
      </c>
      <c r="B375" s="8" t="s">
        <v>116</v>
      </c>
      <c r="C375" s="8" t="s">
        <v>16</v>
      </c>
      <c r="D375" s="18" t="s">
        <v>2584</v>
      </c>
      <c r="E375" s="16">
        <v>69.0</v>
      </c>
      <c r="F375" s="8" t="s">
        <v>494</v>
      </c>
      <c r="G375" s="8" t="s">
        <v>2234</v>
      </c>
      <c r="H375" s="8" t="s">
        <v>122</v>
      </c>
      <c r="I375" s="18" t="s">
        <v>2593</v>
      </c>
      <c r="J375" s="16">
        <v>64.0</v>
      </c>
      <c r="K375" s="8" t="s">
        <v>2669</v>
      </c>
      <c r="L375" s="8" t="s">
        <v>240</v>
      </c>
      <c r="M375" s="18" t="s">
        <v>2620</v>
      </c>
      <c r="N375" s="16">
        <v>91.0</v>
      </c>
      <c r="O375" s="8" t="s">
        <v>4286</v>
      </c>
      <c r="P375" s="8" t="s">
        <v>59</v>
      </c>
      <c r="Q375" s="14" t="s">
        <v>459</v>
      </c>
      <c r="R375" s="18" t="s">
        <v>2589</v>
      </c>
      <c r="S375" s="14" t="s">
        <v>2588</v>
      </c>
    </row>
    <row r="376">
      <c r="A376" s="8" t="s">
        <v>117</v>
      </c>
      <c r="B376" s="8" t="s">
        <v>1032</v>
      </c>
      <c r="C376" s="8" t="s">
        <v>75</v>
      </c>
      <c r="D376" s="18" t="s">
        <v>2562</v>
      </c>
      <c r="E376" s="16">
        <v>63.0</v>
      </c>
      <c r="F376" s="8" t="s">
        <v>494</v>
      </c>
      <c r="G376" s="8" t="s">
        <v>567</v>
      </c>
      <c r="H376" s="8" t="s">
        <v>24</v>
      </c>
      <c r="I376" s="18" t="s">
        <v>2620</v>
      </c>
      <c r="J376" s="16">
        <v>41.0</v>
      </c>
      <c r="K376" s="8" t="s">
        <v>2669</v>
      </c>
      <c r="L376" s="8" t="s">
        <v>240</v>
      </c>
      <c r="M376" s="18" t="s">
        <v>2620</v>
      </c>
      <c r="N376" s="16">
        <v>89.0</v>
      </c>
      <c r="O376" s="8" t="s">
        <v>4287</v>
      </c>
      <c r="P376" s="8" t="s">
        <v>93</v>
      </c>
      <c r="Q376" s="14" t="s">
        <v>2033</v>
      </c>
      <c r="R376" s="8" t="s">
        <v>2558</v>
      </c>
      <c r="S376" s="14" t="s">
        <v>2555</v>
      </c>
    </row>
    <row r="377">
      <c r="A377" s="8" t="s">
        <v>3121</v>
      </c>
      <c r="B377" s="8" t="s">
        <v>3120</v>
      </c>
      <c r="C377" s="8" t="s">
        <v>132</v>
      </c>
      <c r="D377" s="18" t="s">
        <v>2621</v>
      </c>
      <c r="E377" s="16">
        <v>75.0</v>
      </c>
      <c r="F377" s="8" t="s">
        <v>976</v>
      </c>
      <c r="G377" s="8" t="s">
        <v>975</v>
      </c>
      <c r="H377" s="8" t="s">
        <v>53</v>
      </c>
      <c r="I377" s="18" t="s">
        <v>2603</v>
      </c>
      <c r="J377" s="16">
        <v>68.0</v>
      </c>
      <c r="K377" s="8" t="s">
        <v>2669</v>
      </c>
      <c r="L377" s="8" t="s">
        <v>240</v>
      </c>
      <c r="M377" s="18" t="s">
        <v>2582</v>
      </c>
      <c r="N377" s="16">
        <v>87.0</v>
      </c>
      <c r="O377" s="8" t="s">
        <v>4288</v>
      </c>
      <c r="P377" s="8" t="s">
        <v>24</v>
      </c>
      <c r="Q377" s="14" t="s">
        <v>338</v>
      </c>
      <c r="R377" s="18" t="s">
        <v>2589</v>
      </c>
      <c r="S377" s="14" t="s">
        <v>2607</v>
      </c>
    </row>
    <row r="378">
      <c r="A378" s="8" t="s">
        <v>554</v>
      </c>
      <c r="B378" s="8" t="s">
        <v>659</v>
      </c>
      <c r="C378" s="8" t="s">
        <v>12</v>
      </c>
      <c r="D378" s="18" t="s">
        <v>2589</v>
      </c>
      <c r="E378" s="16">
        <v>80.0</v>
      </c>
      <c r="F378" s="8" t="s">
        <v>329</v>
      </c>
      <c r="G378" s="8" t="s">
        <v>996</v>
      </c>
      <c r="H378" s="8" t="s">
        <v>149</v>
      </c>
      <c r="I378" s="18" t="s">
        <v>2610</v>
      </c>
      <c r="J378" s="16">
        <v>72.0</v>
      </c>
      <c r="K378" s="8" t="s">
        <v>3121</v>
      </c>
      <c r="L378" s="8" t="s">
        <v>3120</v>
      </c>
      <c r="M378" s="18" t="s">
        <v>2564</v>
      </c>
      <c r="N378" s="16">
        <v>74.0</v>
      </c>
      <c r="O378" s="8" t="s">
        <v>4289</v>
      </c>
      <c r="P378" s="8" t="s">
        <v>138</v>
      </c>
      <c r="Q378" s="14" t="s">
        <v>1679</v>
      </c>
      <c r="R378" s="8" t="s">
        <v>2581</v>
      </c>
      <c r="S378" s="14" t="s">
        <v>2565</v>
      </c>
    </row>
    <row r="379">
      <c r="A379" s="8" t="s">
        <v>554</v>
      </c>
      <c r="B379" s="8" t="s">
        <v>284</v>
      </c>
      <c r="C379" s="8" t="s">
        <v>59</v>
      </c>
      <c r="D379" s="18" t="s">
        <v>2589</v>
      </c>
      <c r="E379" s="16">
        <v>82.0</v>
      </c>
      <c r="F379" s="8" t="s">
        <v>329</v>
      </c>
      <c r="G379" s="8" t="s">
        <v>3394</v>
      </c>
      <c r="H379" s="8" t="s">
        <v>70</v>
      </c>
      <c r="I379" s="18" t="s">
        <v>2610</v>
      </c>
      <c r="J379" s="16">
        <v>71.0</v>
      </c>
      <c r="K379" s="8" t="s">
        <v>554</v>
      </c>
      <c r="L379" s="8" t="s">
        <v>284</v>
      </c>
      <c r="M379" s="18" t="s">
        <v>2589</v>
      </c>
      <c r="N379" s="16">
        <v>82.0</v>
      </c>
      <c r="O379" s="8" t="s">
        <v>4290</v>
      </c>
      <c r="P379" s="8" t="s">
        <v>65</v>
      </c>
      <c r="Q379" s="14" t="s">
        <v>338</v>
      </c>
      <c r="R379" s="8" t="s">
        <v>2564</v>
      </c>
      <c r="S379" s="14" t="s">
        <v>2557</v>
      </c>
    </row>
    <row r="380">
      <c r="A380" s="8" t="s">
        <v>554</v>
      </c>
      <c r="B380" s="8" t="s">
        <v>3505</v>
      </c>
      <c r="C380" s="8" t="s">
        <v>65</v>
      </c>
      <c r="D380" s="18" t="s">
        <v>2560</v>
      </c>
      <c r="E380" s="16">
        <v>60.0</v>
      </c>
      <c r="F380" s="8" t="s">
        <v>329</v>
      </c>
      <c r="G380" s="8" t="s">
        <v>328</v>
      </c>
      <c r="H380" s="8" t="s">
        <v>122</v>
      </c>
      <c r="I380" s="18" t="s">
        <v>2614</v>
      </c>
      <c r="J380" s="16">
        <v>74.0</v>
      </c>
      <c r="K380" s="8" t="s">
        <v>554</v>
      </c>
      <c r="L380" s="8" t="s">
        <v>659</v>
      </c>
      <c r="M380" s="18" t="s">
        <v>2592</v>
      </c>
      <c r="N380" s="16">
        <v>78.0</v>
      </c>
      <c r="O380" s="8" t="s">
        <v>4291</v>
      </c>
      <c r="P380" s="8" t="s">
        <v>46</v>
      </c>
      <c r="Q380" s="14" t="s">
        <v>837</v>
      </c>
      <c r="R380" s="8" t="s">
        <v>2605</v>
      </c>
      <c r="S380" s="14" t="s">
        <v>2578</v>
      </c>
    </row>
    <row r="381">
      <c r="A381" s="8" t="s">
        <v>3128</v>
      </c>
      <c r="B381" s="8" t="s">
        <v>3127</v>
      </c>
      <c r="C381" s="8" t="s">
        <v>70</v>
      </c>
      <c r="D381" s="18" t="s">
        <v>2183</v>
      </c>
      <c r="E381" s="16">
        <v>75.0</v>
      </c>
      <c r="F381" s="8" t="s">
        <v>1401</v>
      </c>
      <c r="G381" s="8" t="s">
        <v>248</v>
      </c>
      <c r="H381" s="8" t="s">
        <v>24</v>
      </c>
      <c r="I381" s="18" t="s">
        <v>2610</v>
      </c>
      <c r="J381" s="16">
        <v>67.0</v>
      </c>
      <c r="K381" s="8" t="s">
        <v>3079</v>
      </c>
      <c r="L381" s="8" t="s">
        <v>825</v>
      </c>
      <c r="M381" s="18" t="s">
        <v>2592</v>
      </c>
      <c r="N381" s="16">
        <v>63.0</v>
      </c>
      <c r="O381" s="8" t="s">
        <v>4292</v>
      </c>
      <c r="P381" s="8" t="s">
        <v>59</v>
      </c>
      <c r="Q381" s="14" t="s">
        <v>2296</v>
      </c>
      <c r="R381" s="8" t="s">
        <v>2562</v>
      </c>
      <c r="S381" s="14" t="s">
        <v>2576</v>
      </c>
    </row>
    <row r="382">
      <c r="A382" s="8" t="s">
        <v>357</v>
      </c>
      <c r="B382" s="8" t="s">
        <v>165</v>
      </c>
      <c r="C382" s="8" t="s">
        <v>24</v>
      </c>
      <c r="D382" s="18" t="s">
        <v>2587</v>
      </c>
      <c r="E382" s="16">
        <v>84.0</v>
      </c>
      <c r="F382" s="8" t="s">
        <v>117</v>
      </c>
      <c r="G382" s="8" t="s">
        <v>561</v>
      </c>
      <c r="H382" s="8" t="s">
        <v>16</v>
      </c>
      <c r="I382" s="18" t="s">
        <v>2620</v>
      </c>
      <c r="J382" s="16">
        <v>68.0</v>
      </c>
      <c r="K382" s="8" t="s">
        <v>3079</v>
      </c>
      <c r="L382" s="8" t="s">
        <v>3078</v>
      </c>
      <c r="M382" s="18" t="s">
        <v>2645</v>
      </c>
      <c r="N382" s="16">
        <v>63.0</v>
      </c>
      <c r="O382" s="8" t="s">
        <v>4293</v>
      </c>
      <c r="P382" s="8" t="s">
        <v>80</v>
      </c>
      <c r="Q382" s="14" t="s">
        <v>1070</v>
      </c>
      <c r="R382" s="8" t="s">
        <v>2554</v>
      </c>
      <c r="S382" s="14" t="s">
        <v>2555</v>
      </c>
    </row>
    <row r="383">
      <c r="A383" s="8" t="s">
        <v>357</v>
      </c>
      <c r="B383" s="8" t="s">
        <v>689</v>
      </c>
      <c r="C383" s="8" t="s">
        <v>93</v>
      </c>
      <c r="D383" s="18" t="s">
        <v>2615</v>
      </c>
      <c r="E383" s="16">
        <v>67.0</v>
      </c>
      <c r="F383" s="8" t="s">
        <v>117</v>
      </c>
      <c r="G383" s="8" t="s">
        <v>2832</v>
      </c>
      <c r="H383" s="8" t="s">
        <v>65</v>
      </c>
      <c r="I383" s="18" t="s">
        <v>2560</v>
      </c>
      <c r="J383" s="16">
        <v>70.0</v>
      </c>
      <c r="K383" s="8" t="s">
        <v>3128</v>
      </c>
      <c r="L383" s="8" t="s">
        <v>3127</v>
      </c>
      <c r="M383" s="18" t="s">
        <v>2183</v>
      </c>
      <c r="N383" s="16">
        <v>76.0</v>
      </c>
      <c r="O383" s="8" t="s">
        <v>4294</v>
      </c>
      <c r="P383" s="8" t="s">
        <v>24</v>
      </c>
      <c r="Q383" s="14" t="s">
        <v>459</v>
      </c>
      <c r="R383" s="8" t="s">
        <v>2615</v>
      </c>
      <c r="S383" s="14" t="s">
        <v>2576</v>
      </c>
    </row>
    <row r="384">
      <c r="A384" s="8" t="s">
        <v>357</v>
      </c>
      <c r="B384" s="8" t="s">
        <v>3653</v>
      </c>
      <c r="C384" s="8" t="s">
        <v>192</v>
      </c>
      <c r="D384" s="18" t="s">
        <v>2598</v>
      </c>
      <c r="E384" s="16">
        <v>72.0</v>
      </c>
      <c r="F384" s="8" t="s">
        <v>117</v>
      </c>
      <c r="G384" s="8" t="s">
        <v>78</v>
      </c>
      <c r="H384" s="8" t="s">
        <v>65</v>
      </c>
      <c r="I384" s="18" t="s">
        <v>2589</v>
      </c>
      <c r="J384" s="16">
        <v>72.0</v>
      </c>
      <c r="K384" s="8" t="s">
        <v>357</v>
      </c>
      <c r="L384" s="8" t="s">
        <v>89</v>
      </c>
      <c r="M384" s="18" t="s">
        <v>2581</v>
      </c>
      <c r="N384" s="16">
        <v>73.0</v>
      </c>
      <c r="O384" s="8" t="s">
        <v>4295</v>
      </c>
      <c r="P384" s="8" t="s">
        <v>65</v>
      </c>
      <c r="Q384" s="14" t="s">
        <v>1070</v>
      </c>
      <c r="R384" s="8" t="s">
        <v>2560</v>
      </c>
      <c r="S384" s="14" t="s">
        <v>2579</v>
      </c>
    </row>
    <row r="385">
      <c r="A385" s="8" t="s">
        <v>357</v>
      </c>
      <c r="B385" s="8" t="s">
        <v>3316</v>
      </c>
      <c r="C385" s="8" t="s">
        <v>93</v>
      </c>
      <c r="D385" s="18" t="s">
        <v>2562</v>
      </c>
      <c r="E385" s="16">
        <v>72.0</v>
      </c>
      <c r="F385" s="8" t="s">
        <v>117</v>
      </c>
      <c r="G385" s="8" t="s">
        <v>116</v>
      </c>
      <c r="H385" s="8" t="s">
        <v>16</v>
      </c>
      <c r="I385" s="18" t="s">
        <v>2584</v>
      </c>
      <c r="J385" s="16">
        <v>67.0</v>
      </c>
      <c r="K385" s="8" t="s">
        <v>357</v>
      </c>
      <c r="L385" s="8" t="s">
        <v>2898</v>
      </c>
      <c r="M385" s="18" t="s">
        <v>2605</v>
      </c>
      <c r="N385" s="16">
        <v>79.0</v>
      </c>
      <c r="O385" s="8" t="s">
        <v>4296</v>
      </c>
      <c r="P385" s="8" t="s">
        <v>93</v>
      </c>
      <c r="Q385" s="14" t="s">
        <v>2033</v>
      </c>
      <c r="R385" s="8" t="s">
        <v>2183</v>
      </c>
      <c r="S385" s="14" t="s">
        <v>2568</v>
      </c>
    </row>
    <row r="386">
      <c r="A386" s="8" t="s">
        <v>357</v>
      </c>
      <c r="B386" s="8" t="s">
        <v>389</v>
      </c>
      <c r="C386" s="8" t="s">
        <v>138</v>
      </c>
      <c r="D386" s="18" t="s">
        <v>2574</v>
      </c>
      <c r="E386" s="16">
        <v>82.0</v>
      </c>
      <c r="F386" s="8" t="s">
        <v>117</v>
      </c>
      <c r="G386" s="8" t="s">
        <v>1032</v>
      </c>
      <c r="H386" s="8" t="s">
        <v>75</v>
      </c>
      <c r="I386" s="18" t="s">
        <v>2562</v>
      </c>
      <c r="J386" s="16">
        <v>64.0</v>
      </c>
      <c r="K386" s="8" t="s">
        <v>357</v>
      </c>
      <c r="L386" s="8" t="s">
        <v>165</v>
      </c>
      <c r="M386" s="18" t="s">
        <v>2587</v>
      </c>
      <c r="N386" s="16">
        <v>82.0</v>
      </c>
      <c r="O386" s="8" t="s">
        <v>4297</v>
      </c>
      <c r="P386" s="8" t="s">
        <v>186</v>
      </c>
      <c r="Q386" s="14" t="s">
        <v>1070</v>
      </c>
      <c r="R386" s="8" t="s">
        <v>2581</v>
      </c>
      <c r="S386" s="14" t="s">
        <v>2568</v>
      </c>
    </row>
    <row r="387">
      <c r="A387" s="8" t="s">
        <v>357</v>
      </c>
      <c r="B387" s="8" t="s">
        <v>389</v>
      </c>
      <c r="C387" s="8" t="s">
        <v>65</v>
      </c>
      <c r="D387" s="18" t="s">
        <v>2552</v>
      </c>
      <c r="E387" s="16">
        <v>74.0</v>
      </c>
      <c r="F387" s="8" t="s">
        <v>3121</v>
      </c>
      <c r="G387" s="8" t="s">
        <v>3120</v>
      </c>
      <c r="H387" s="8" t="s">
        <v>75</v>
      </c>
      <c r="I387" s="18" t="s">
        <v>2564</v>
      </c>
      <c r="J387" s="16">
        <v>76.0</v>
      </c>
      <c r="K387" s="8" t="s">
        <v>357</v>
      </c>
      <c r="L387" s="8" t="s">
        <v>389</v>
      </c>
      <c r="M387" s="18" t="s">
        <v>2560</v>
      </c>
      <c r="N387" s="16">
        <v>72.0</v>
      </c>
      <c r="O387" s="8" t="s">
        <v>4298</v>
      </c>
      <c r="P387" s="8" t="s">
        <v>16</v>
      </c>
      <c r="Q387" s="14" t="s">
        <v>189</v>
      </c>
      <c r="R387" s="8" t="s">
        <v>2605</v>
      </c>
      <c r="S387" s="14" t="s">
        <v>2555</v>
      </c>
    </row>
    <row r="388">
      <c r="A388" s="8" t="s">
        <v>357</v>
      </c>
      <c r="B388" s="8" t="s">
        <v>3718</v>
      </c>
      <c r="C388" s="8" t="s">
        <v>46</v>
      </c>
      <c r="D388" s="18" t="s">
        <v>2605</v>
      </c>
      <c r="E388" s="16">
        <v>68.0</v>
      </c>
      <c r="F388" s="8" t="s">
        <v>554</v>
      </c>
      <c r="G388" s="8" t="s">
        <v>284</v>
      </c>
      <c r="H388" s="8" t="s">
        <v>59</v>
      </c>
      <c r="I388" s="18" t="s">
        <v>2589</v>
      </c>
      <c r="J388" s="16">
        <v>88.0</v>
      </c>
      <c r="K388" s="8" t="s">
        <v>357</v>
      </c>
      <c r="L388" s="8" t="s">
        <v>3051</v>
      </c>
      <c r="M388" s="18" t="s">
        <v>2592</v>
      </c>
      <c r="N388" s="16">
        <v>76.0</v>
      </c>
      <c r="O388" s="8" t="s">
        <v>4299</v>
      </c>
      <c r="P388" s="8" t="s">
        <v>70</v>
      </c>
      <c r="Q388" s="14" t="s">
        <v>2033</v>
      </c>
      <c r="R388" s="18" t="s">
        <v>2589</v>
      </c>
      <c r="S388" s="14" t="s">
        <v>2565</v>
      </c>
    </row>
    <row r="389">
      <c r="A389" s="8" t="s">
        <v>357</v>
      </c>
      <c r="B389" s="8" t="s">
        <v>3051</v>
      </c>
      <c r="C389" s="8" t="s">
        <v>70</v>
      </c>
      <c r="D389" s="18" t="s">
        <v>2592</v>
      </c>
      <c r="E389" s="16">
        <v>82.0</v>
      </c>
      <c r="F389" s="8" t="s">
        <v>554</v>
      </c>
      <c r="G389" s="8" t="s">
        <v>659</v>
      </c>
      <c r="H389" s="8" t="s">
        <v>12</v>
      </c>
      <c r="I389" s="18" t="s">
        <v>2560</v>
      </c>
      <c r="J389" s="16">
        <v>76.0</v>
      </c>
      <c r="K389" s="8" t="s">
        <v>357</v>
      </c>
      <c r="L389" s="8" t="s">
        <v>3084</v>
      </c>
      <c r="M389" s="18" t="s">
        <v>2614</v>
      </c>
      <c r="N389" s="16">
        <v>74.0</v>
      </c>
      <c r="O389" s="8" t="s">
        <v>4300</v>
      </c>
      <c r="P389" s="8" t="s">
        <v>16</v>
      </c>
      <c r="Q389" s="14" t="s">
        <v>2033</v>
      </c>
      <c r="R389" s="8" t="s">
        <v>2183</v>
      </c>
      <c r="S389" s="14" t="s">
        <v>2638</v>
      </c>
    </row>
    <row r="390">
      <c r="A390" s="8" t="s">
        <v>357</v>
      </c>
      <c r="B390" s="8" t="s">
        <v>3084</v>
      </c>
      <c r="C390" s="8" t="s">
        <v>215</v>
      </c>
      <c r="D390" s="18" t="s">
        <v>2614</v>
      </c>
      <c r="E390" s="16">
        <v>68.0</v>
      </c>
      <c r="F390" s="8" t="s">
        <v>3079</v>
      </c>
      <c r="G390" s="8" t="s">
        <v>3078</v>
      </c>
      <c r="H390" s="8" t="s">
        <v>93</v>
      </c>
      <c r="I390" s="18" t="s">
        <v>2615</v>
      </c>
      <c r="J390" s="16">
        <v>62.0</v>
      </c>
      <c r="K390" s="8" t="s">
        <v>357</v>
      </c>
      <c r="L390" s="8" t="s">
        <v>1330</v>
      </c>
      <c r="M390" s="18" t="s">
        <v>2554</v>
      </c>
      <c r="N390" s="16">
        <v>63.0</v>
      </c>
      <c r="O390" s="8" t="s">
        <v>4301</v>
      </c>
      <c r="P390" s="8" t="s">
        <v>141</v>
      </c>
      <c r="Q390" s="14" t="s">
        <v>1070</v>
      </c>
      <c r="R390" s="8" t="s">
        <v>2582</v>
      </c>
      <c r="S390" s="14" t="s">
        <v>2601</v>
      </c>
    </row>
    <row r="391">
      <c r="A391" s="8" t="s">
        <v>357</v>
      </c>
      <c r="B391" s="8" t="s">
        <v>3872</v>
      </c>
      <c r="C391" s="8" t="s">
        <v>122</v>
      </c>
      <c r="D391" s="18" t="s">
        <v>2581</v>
      </c>
      <c r="E391" s="16">
        <v>56.0</v>
      </c>
      <c r="F391" s="8" t="s">
        <v>3079</v>
      </c>
      <c r="G391" s="8" t="s">
        <v>825</v>
      </c>
      <c r="H391" s="8" t="s">
        <v>138</v>
      </c>
      <c r="I391" s="18" t="s">
        <v>2592</v>
      </c>
      <c r="J391" s="16">
        <v>60.0</v>
      </c>
      <c r="K391" s="8" t="s">
        <v>1278</v>
      </c>
      <c r="L391" s="8" t="s">
        <v>1277</v>
      </c>
      <c r="M391" s="18" t="s">
        <v>2560</v>
      </c>
      <c r="N391" s="16">
        <v>69.0</v>
      </c>
      <c r="O391" s="8" t="s">
        <v>4302</v>
      </c>
      <c r="P391" s="8" t="s">
        <v>215</v>
      </c>
      <c r="Q391" s="14" t="s">
        <v>2033</v>
      </c>
      <c r="R391" s="8" t="s">
        <v>2600</v>
      </c>
      <c r="S391" s="14" t="s">
        <v>2557</v>
      </c>
    </row>
    <row r="392">
      <c r="A392" s="8" t="s">
        <v>544</v>
      </c>
      <c r="B392" s="8" t="s">
        <v>543</v>
      </c>
      <c r="C392" s="8" t="s">
        <v>24</v>
      </c>
      <c r="D392" s="18" t="s">
        <v>2615</v>
      </c>
      <c r="E392" s="16">
        <v>51.0</v>
      </c>
      <c r="F392" s="8" t="s">
        <v>3128</v>
      </c>
      <c r="G392" s="8" t="s">
        <v>3127</v>
      </c>
      <c r="H392" s="8" t="s">
        <v>70</v>
      </c>
      <c r="I392" s="18" t="s">
        <v>2183</v>
      </c>
      <c r="J392" s="16">
        <v>76.0</v>
      </c>
      <c r="K392" s="8" t="s">
        <v>198</v>
      </c>
      <c r="L392" s="8" t="s">
        <v>197</v>
      </c>
      <c r="M392" s="18" t="s">
        <v>2605</v>
      </c>
      <c r="N392" s="16">
        <v>70.0</v>
      </c>
      <c r="O392" s="8" t="s">
        <v>4303</v>
      </c>
      <c r="P392" s="8" t="s">
        <v>80</v>
      </c>
      <c r="Q392" s="14" t="s">
        <v>2459</v>
      </c>
      <c r="R392" s="8" t="s">
        <v>2595</v>
      </c>
      <c r="S392" s="14" t="s">
        <v>2591</v>
      </c>
    </row>
    <row r="393">
      <c r="A393" s="8" t="s">
        <v>1278</v>
      </c>
      <c r="B393" s="8" t="s">
        <v>1277</v>
      </c>
      <c r="C393" s="8" t="s">
        <v>65</v>
      </c>
      <c r="D393" s="18" t="s">
        <v>2560</v>
      </c>
      <c r="E393" s="16">
        <v>65.0</v>
      </c>
      <c r="F393" s="8" t="s">
        <v>357</v>
      </c>
      <c r="G393" s="8" t="s">
        <v>3051</v>
      </c>
      <c r="H393" s="8" t="s">
        <v>70</v>
      </c>
      <c r="I393" s="18" t="s">
        <v>2592</v>
      </c>
      <c r="J393" s="16">
        <v>82.0</v>
      </c>
      <c r="K393" s="8" t="s">
        <v>198</v>
      </c>
      <c r="L393" s="8" t="s">
        <v>1305</v>
      </c>
      <c r="M393" s="18" t="s">
        <v>2582</v>
      </c>
      <c r="N393" s="16">
        <v>72.0</v>
      </c>
      <c r="O393" s="8" t="s">
        <v>4304</v>
      </c>
      <c r="P393" s="8" t="s">
        <v>149</v>
      </c>
      <c r="Q393" s="14" t="s">
        <v>837</v>
      </c>
      <c r="R393" s="8" t="s">
        <v>2620</v>
      </c>
      <c r="S393" s="14" t="s">
        <v>2617</v>
      </c>
    </row>
    <row r="394">
      <c r="A394" s="8" t="s">
        <v>3519</v>
      </c>
      <c r="B394" s="8" t="s">
        <v>3518</v>
      </c>
      <c r="C394" s="8" t="s">
        <v>122</v>
      </c>
      <c r="D394" s="18" t="s">
        <v>2574</v>
      </c>
      <c r="E394" s="16">
        <v>60.0</v>
      </c>
      <c r="F394" s="8" t="s">
        <v>357</v>
      </c>
      <c r="G394" s="8" t="s">
        <v>3316</v>
      </c>
      <c r="H394" s="8" t="s">
        <v>93</v>
      </c>
      <c r="I394" s="18" t="s">
        <v>2587</v>
      </c>
      <c r="J394" s="16">
        <v>70.0</v>
      </c>
      <c r="K394" s="8" t="s">
        <v>198</v>
      </c>
      <c r="L394" s="8" t="s">
        <v>460</v>
      </c>
      <c r="M394" s="18" t="s">
        <v>2581</v>
      </c>
      <c r="N394" s="16">
        <v>73.0</v>
      </c>
      <c r="O394" s="8" t="s">
        <v>4305</v>
      </c>
      <c r="P394" s="8" t="s">
        <v>65</v>
      </c>
      <c r="Q394" s="14" t="s">
        <v>1352</v>
      </c>
      <c r="R394" s="8" t="s">
        <v>2567</v>
      </c>
      <c r="S394" s="14" t="s">
        <v>2553</v>
      </c>
    </row>
    <row r="395">
      <c r="A395" s="8" t="s">
        <v>198</v>
      </c>
      <c r="B395" s="8" t="s">
        <v>3590</v>
      </c>
      <c r="C395" s="8" t="s">
        <v>24</v>
      </c>
      <c r="D395" s="18" t="s">
        <v>2567</v>
      </c>
      <c r="E395" s="16">
        <v>68.0</v>
      </c>
      <c r="F395" s="8" t="s">
        <v>357</v>
      </c>
      <c r="G395" s="8" t="s">
        <v>89</v>
      </c>
      <c r="H395" s="8" t="s">
        <v>215</v>
      </c>
      <c r="I395" s="18" t="s">
        <v>2581</v>
      </c>
      <c r="J395" s="16">
        <v>73.0</v>
      </c>
      <c r="K395" s="8" t="s">
        <v>198</v>
      </c>
      <c r="L395" s="8" t="s">
        <v>2092</v>
      </c>
      <c r="M395" s="18" t="s">
        <v>2589</v>
      </c>
      <c r="N395" s="16">
        <v>68.0</v>
      </c>
      <c r="O395" s="8" t="s">
        <v>4306</v>
      </c>
      <c r="P395" s="8" t="s">
        <v>93</v>
      </c>
      <c r="Q395" s="14" t="s">
        <v>1679</v>
      </c>
      <c r="R395" s="8" t="s">
        <v>2614</v>
      </c>
      <c r="S395" s="14" t="s">
        <v>2607</v>
      </c>
    </row>
    <row r="396">
      <c r="A396" s="8" t="s">
        <v>198</v>
      </c>
      <c r="B396" s="8" t="s">
        <v>197</v>
      </c>
      <c r="C396" s="8" t="s">
        <v>16</v>
      </c>
      <c r="D396" s="18" t="s">
        <v>2564</v>
      </c>
      <c r="E396" s="16">
        <v>71.0</v>
      </c>
      <c r="F396" s="8" t="s">
        <v>357</v>
      </c>
      <c r="G396" s="8" t="s">
        <v>3084</v>
      </c>
      <c r="H396" s="8" t="s">
        <v>138</v>
      </c>
      <c r="I396" s="18" t="s">
        <v>2614</v>
      </c>
      <c r="J396" s="16">
        <v>69.0</v>
      </c>
      <c r="K396" s="8" t="s">
        <v>928</v>
      </c>
      <c r="L396" s="8" t="s">
        <v>268</v>
      </c>
      <c r="M396" s="18" t="s">
        <v>2614</v>
      </c>
      <c r="N396" s="16">
        <v>66.0</v>
      </c>
      <c r="O396" s="8" t="s">
        <v>4307</v>
      </c>
      <c r="P396" s="8" t="s">
        <v>80</v>
      </c>
      <c r="Q396" s="14" t="s">
        <v>459</v>
      </c>
      <c r="R396" s="8" t="s">
        <v>2595</v>
      </c>
      <c r="S396" s="14" t="s">
        <v>2579</v>
      </c>
    </row>
    <row r="397">
      <c r="A397" s="8" t="s">
        <v>198</v>
      </c>
      <c r="B397" s="8" t="s">
        <v>3248</v>
      </c>
      <c r="C397" s="8" t="s">
        <v>132</v>
      </c>
      <c r="D397" s="18" t="s">
        <v>2554</v>
      </c>
      <c r="E397" s="16">
        <v>59.0</v>
      </c>
      <c r="F397" s="8" t="s">
        <v>357</v>
      </c>
      <c r="G397" s="8" t="s">
        <v>2898</v>
      </c>
      <c r="H397" s="8" t="s">
        <v>46</v>
      </c>
      <c r="I397" s="18" t="s">
        <v>2605</v>
      </c>
      <c r="J397" s="16">
        <v>73.0</v>
      </c>
      <c r="K397" s="8" t="s">
        <v>1594</v>
      </c>
      <c r="L397" s="8" t="s">
        <v>1301</v>
      </c>
      <c r="M397" s="18" t="s">
        <v>2567</v>
      </c>
      <c r="N397" s="16">
        <v>73.0</v>
      </c>
      <c r="O397" s="8" t="s">
        <v>4308</v>
      </c>
      <c r="P397" s="8" t="s">
        <v>186</v>
      </c>
      <c r="Q397" s="14" t="s">
        <v>1679</v>
      </c>
      <c r="R397" s="8" t="s">
        <v>2575</v>
      </c>
      <c r="S397" s="14" t="s">
        <v>2570</v>
      </c>
    </row>
    <row r="398">
      <c r="A398" s="8" t="s">
        <v>198</v>
      </c>
      <c r="B398" s="8" t="s">
        <v>783</v>
      </c>
      <c r="C398" s="8" t="s">
        <v>70</v>
      </c>
      <c r="D398" s="18" t="s">
        <v>2593</v>
      </c>
      <c r="E398" s="16">
        <v>67.0</v>
      </c>
      <c r="F398" s="8" t="s">
        <v>357</v>
      </c>
      <c r="G398" s="8" t="s">
        <v>389</v>
      </c>
      <c r="H398" s="8" t="s">
        <v>65</v>
      </c>
      <c r="I398" s="18" t="s">
        <v>2574</v>
      </c>
      <c r="J398" s="16">
        <v>73.0</v>
      </c>
      <c r="K398" s="8" t="s">
        <v>1691</v>
      </c>
      <c r="L398" s="8" t="s">
        <v>1690</v>
      </c>
      <c r="M398" s="18" t="s">
        <v>2614</v>
      </c>
      <c r="N398" s="16">
        <v>79.0</v>
      </c>
      <c r="O398" s="8" t="s">
        <v>4309</v>
      </c>
      <c r="P398" s="8" t="s">
        <v>12</v>
      </c>
      <c r="Q398" s="14" t="s">
        <v>631</v>
      </c>
      <c r="R398" s="8" t="s">
        <v>2577</v>
      </c>
      <c r="S398" s="14" t="s">
        <v>2557</v>
      </c>
    </row>
    <row r="399">
      <c r="A399" s="8" t="s">
        <v>928</v>
      </c>
      <c r="B399" s="8" t="s">
        <v>268</v>
      </c>
      <c r="C399" s="8" t="s">
        <v>149</v>
      </c>
      <c r="D399" s="18" t="s">
        <v>2614</v>
      </c>
      <c r="E399" s="16">
        <v>68.0</v>
      </c>
      <c r="F399" s="8" t="s">
        <v>357</v>
      </c>
      <c r="G399" s="8" t="s">
        <v>389</v>
      </c>
      <c r="H399" s="8" t="s">
        <v>138</v>
      </c>
      <c r="I399" s="18" t="s">
        <v>2574</v>
      </c>
      <c r="J399" s="16">
        <v>83.0</v>
      </c>
      <c r="K399" s="8" t="s">
        <v>275</v>
      </c>
      <c r="L399" s="8" t="s">
        <v>1118</v>
      </c>
      <c r="M399" s="18" t="s">
        <v>2603</v>
      </c>
      <c r="N399" s="16">
        <v>77.0</v>
      </c>
      <c r="O399" s="8" t="s">
        <v>4310</v>
      </c>
      <c r="P399" s="8" t="s">
        <v>70</v>
      </c>
      <c r="Q399" s="14" t="s">
        <v>1679</v>
      </c>
      <c r="R399" s="8" t="s">
        <v>2603</v>
      </c>
      <c r="S399" s="14" t="s">
        <v>2604</v>
      </c>
    </row>
    <row r="400">
      <c r="A400" s="8" t="s">
        <v>3584</v>
      </c>
      <c r="B400" s="8" t="s">
        <v>3583</v>
      </c>
      <c r="C400" s="8" t="s">
        <v>93</v>
      </c>
      <c r="D400" s="18" t="s">
        <v>2581</v>
      </c>
      <c r="E400" s="16">
        <v>68.0</v>
      </c>
      <c r="F400" s="8" t="s">
        <v>357</v>
      </c>
      <c r="G400" s="8" t="s">
        <v>165</v>
      </c>
      <c r="H400" s="8" t="s">
        <v>24</v>
      </c>
      <c r="I400" s="18" t="s">
        <v>2587</v>
      </c>
      <c r="J400" s="16">
        <v>86.0</v>
      </c>
      <c r="K400" s="8" t="s">
        <v>275</v>
      </c>
      <c r="L400" s="8" t="s">
        <v>1264</v>
      </c>
      <c r="M400" s="18" t="s">
        <v>2575</v>
      </c>
      <c r="N400" s="16">
        <v>70.0</v>
      </c>
      <c r="O400" s="8" t="s">
        <v>4311</v>
      </c>
      <c r="P400" s="8" t="s">
        <v>65</v>
      </c>
      <c r="Q400" s="14" t="s">
        <v>1070</v>
      </c>
      <c r="R400" s="8" t="s">
        <v>2584</v>
      </c>
      <c r="S400" s="14" t="s">
        <v>2601</v>
      </c>
    </row>
    <row r="401">
      <c r="A401" s="8" t="s">
        <v>275</v>
      </c>
      <c r="B401" s="8" t="s">
        <v>1891</v>
      </c>
      <c r="C401" s="8" t="s">
        <v>138</v>
      </c>
      <c r="D401" s="18" t="s">
        <v>2582</v>
      </c>
      <c r="E401" s="16">
        <v>81.0</v>
      </c>
      <c r="F401" s="8" t="s">
        <v>544</v>
      </c>
      <c r="G401" s="8" t="s">
        <v>543</v>
      </c>
      <c r="H401" s="8" t="s">
        <v>24</v>
      </c>
      <c r="I401" s="18" t="s">
        <v>2615</v>
      </c>
      <c r="J401" s="16">
        <v>51.0</v>
      </c>
      <c r="K401" s="8" t="s">
        <v>275</v>
      </c>
      <c r="L401" s="8" t="s">
        <v>2919</v>
      </c>
      <c r="M401" s="18" t="s">
        <v>2564</v>
      </c>
      <c r="N401" s="16">
        <v>67.0</v>
      </c>
      <c r="O401" s="8" t="s">
        <v>4312</v>
      </c>
      <c r="P401" s="8" t="s">
        <v>80</v>
      </c>
      <c r="Q401" s="14" t="s">
        <v>1352</v>
      </c>
      <c r="R401" s="8" t="s">
        <v>2598</v>
      </c>
      <c r="S401" s="14" t="s">
        <v>2570</v>
      </c>
    </row>
    <row r="402">
      <c r="A402" s="8" t="s">
        <v>275</v>
      </c>
      <c r="B402" s="8" t="s">
        <v>469</v>
      </c>
      <c r="C402" s="8" t="s">
        <v>192</v>
      </c>
      <c r="D402" s="18" t="s">
        <v>2558</v>
      </c>
      <c r="E402" s="16">
        <v>72.0</v>
      </c>
      <c r="F402" s="8" t="s">
        <v>1278</v>
      </c>
      <c r="G402" s="8" t="s">
        <v>1277</v>
      </c>
      <c r="H402" s="8" t="s">
        <v>65</v>
      </c>
      <c r="I402" s="18" t="s">
        <v>2560</v>
      </c>
      <c r="J402" s="16">
        <v>66.0</v>
      </c>
      <c r="K402" s="8" t="s">
        <v>275</v>
      </c>
      <c r="L402" s="8" t="s">
        <v>223</v>
      </c>
      <c r="M402" s="18" t="s">
        <v>2584</v>
      </c>
      <c r="N402" s="16">
        <v>70.0</v>
      </c>
      <c r="O402" s="8" t="s">
        <v>4313</v>
      </c>
      <c r="P402" s="8" t="s">
        <v>53</v>
      </c>
      <c r="Q402" s="14" t="s">
        <v>2033</v>
      </c>
      <c r="R402" s="8" t="s">
        <v>2614</v>
      </c>
      <c r="S402" s="14" t="s">
        <v>2576</v>
      </c>
    </row>
    <row r="403">
      <c r="A403" s="8" t="s">
        <v>275</v>
      </c>
      <c r="B403" s="8" t="s">
        <v>3538</v>
      </c>
      <c r="C403" s="8" t="s">
        <v>75</v>
      </c>
      <c r="D403" s="18" t="s">
        <v>2600</v>
      </c>
      <c r="E403" s="16">
        <v>65.0</v>
      </c>
      <c r="F403" s="8" t="s">
        <v>198</v>
      </c>
      <c r="G403" s="8" t="s">
        <v>3248</v>
      </c>
      <c r="H403" s="8" t="s">
        <v>132</v>
      </c>
      <c r="I403" s="18" t="s">
        <v>2600</v>
      </c>
      <c r="J403" s="16">
        <v>59.0</v>
      </c>
      <c r="K403" s="8" t="s">
        <v>275</v>
      </c>
      <c r="L403" s="8" t="s">
        <v>395</v>
      </c>
      <c r="M403" s="18" t="s">
        <v>2564</v>
      </c>
      <c r="N403" s="16">
        <v>79.0</v>
      </c>
      <c r="O403" s="8" t="s">
        <v>4314</v>
      </c>
      <c r="P403" s="8" t="s">
        <v>65</v>
      </c>
      <c r="Q403" s="14" t="s">
        <v>2033</v>
      </c>
      <c r="R403" s="8" t="s">
        <v>2592</v>
      </c>
      <c r="S403" s="14" t="s">
        <v>2599</v>
      </c>
    </row>
    <row r="404">
      <c r="A404" s="8" t="s">
        <v>275</v>
      </c>
      <c r="B404" s="8" t="s">
        <v>652</v>
      </c>
      <c r="C404" s="8" t="s">
        <v>12</v>
      </c>
      <c r="D404" s="18" t="s">
        <v>2577</v>
      </c>
      <c r="E404" s="16">
        <v>77.0</v>
      </c>
      <c r="F404" s="8" t="s">
        <v>198</v>
      </c>
      <c r="G404" s="8" t="s">
        <v>197</v>
      </c>
      <c r="H404" s="8" t="s">
        <v>16</v>
      </c>
      <c r="I404" s="18" t="s">
        <v>2595</v>
      </c>
      <c r="J404" s="16">
        <v>70.0</v>
      </c>
      <c r="K404" s="8" t="s">
        <v>275</v>
      </c>
      <c r="L404" s="8" t="s">
        <v>444</v>
      </c>
      <c r="M404" s="18" t="s">
        <v>2562</v>
      </c>
      <c r="N404" s="16">
        <v>68.0</v>
      </c>
      <c r="O404" s="8" t="s">
        <v>4315</v>
      </c>
      <c r="P404" s="8" t="s">
        <v>93</v>
      </c>
      <c r="Q404" s="14" t="s">
        <v>338</v>
      </c>
      <c r="R404" s="8" t="s">
        <v>2620</v>
      </c>
      <c r="S404" s="14" t="s">
        <v>2561</v>
      </c>
    </row>
    <row r="405">
      <c r="A405" s="8" t="s">
        <v>275</v>
      </c>
      <c r="B405" s="8" t="s">
        <v>106</v>
      </c>
      <c r="C405" s="8" t="s">
        <v>65</v>
      </c>
      <c r="D405" s="18" t="s">
        <v>2614</v>
      </c>
      <c r="E405" s="16">
        <v>62.0</v>
      </c>
      <c r="F405" s="8" t="s">
        <v>198</v>
      </c>
      <c r="G405" s="8" t="s">
        <v>1305</v>
      </c>
      <c r="H405" s="8" t="s">
        <v>141</v>
      </c>
      <c r="I405" s="18" t="s">
        <v>2582</v>
      </c>
      <c r="J405" s="16">
        <v>63.0</v>
      </c>
      <c r="K405" s="8" t="s">
        <v>275</v>
      </c>
      <c r="L405" s="8" t="s">
        <v>2835</v>
      </c>
      <c r="M405" s="18" t="s">
        <v>2620</v>
      </c>
      <c r="N405" s="16">
        <v>85.0</v>
      </c>
      <c r="O405" s="8" t="s">
        <v>4316</v>
      </c>
      <c r="P405" s="8" t="s">
        <v>65</v>
      </c>
      <c r="Q405" s="14" t="s">
        <v>237</v>
      </c>
      <c r="R405" s="8" t="s">
        <v>2574</v>
      </c>
      <c r="S405" s="14" t="s">
        <v>2590</v>
      </c>
    </row>
    <row r="406">
      <c r="A406" s="8" t="s">
        <v>275</v>
      </c>
      <c r="B406" s="8" t="s">
        <v>248</v>
      </c>
      <c r="C406" s="8" t="s">
        <v>53</v>
      </c>
      <c r="D406" s="18" t="s">
        <v>2575</v>
      </c>
      <c r="E406" s="16">
        <v>67.0</v>
      </c>
      <c r="F406" s="8" t="s">
        <v>928</v>
      </c>
      <c r="G406" s="8" t="s">
        <v>268</v>
      </c>
      <c r="H406" s="8" t="s">
        <v>149</v>
      </c>
      <c r="I406" s="18" t="s">
        <v>2614</v>
      </c>
      <c r="J406" s="16">
        <v>70.0</v>
      </c>
      <c r="K406" s="8" t="s">
        <v>275</v>
      </c>
      <c r="L406" s="8" t="s">
        <v>2741</v>
      </c>
      <c r="M406" s="18" t="s">
        <v>2592</v>
      </c>
      <c r="N406" s="16">
        <v>72.0</v>
      </c>
      <c r="O406" s="8" t="s">
        <v>4317</v>
      </c>
      <c r="P406" s="8" t="s">
        <v>149</v>
      </c>
      <c r="Q406" s="14" t="s">
        <v>631</v>
      </c>
      <c r="R406" s="8" t="s">
        <v>2615</v>
      </c>
      <c r="S406" s="14" t="s">
        <v>2565</v>
      </c>
    </row>
    <row r="407">
      <c r="A407" s="8" t="s">
        <v>275</v>
      </c>
      <c r="B407" s="8" t="s">
        <v>1594</v>
      </c>
      <c r="C407" s="8" t="s">
        <v>132</v>
      </c>
      <c r="D407" s="18" t="s">
        <v>2598</v>
      </c>
      <c r="E407" s="16">
        <v>78.0</v>
      </c>
      <c r="F407" s="8" t="s">
        <v>1594</v>
      </c>
      <c r="G407" s="8" t="s">
        <v>1301</v>
      </c>
      <c r="H407" s="8" t="s">
        <v>65</v>
      </c>
      <c r="I407" s="18" t="s">
        <v>2567</v>
      </c>
      <c r="J407" s="16">
        <v>67.0</v>
      </c>
      <c r="K407" s="8" t="s">
        <v>275</v>
      </c>
      <c r="L407" s="8" t="s">
        <v>284</v>
      </c>
      <c r="M407" s="18" t="s">
        <v>2614</v>
      </c>
      <c r="N407" s="16">
        <v>84.0</v>
      </c>
      <c r="O407" s="8" t="s">
        <v>4318</v>
      </c>
      <c r="P407" s="8" t="s">
        <v>122</v>
      </c>
      <c r="Q407" s="14" t="s">
        <v>1352</v>
      </c>
      <c r="R407" s="8" t="s">
        <v>2183</v>
      </c>
      <c r="S407" s="14" t="s">
        <v>2596</v>
      </c>
    </row>
    <row r="408">
      <c r="A408" s="8" t="s">
        <v>275</v>
      </c>
      <c r="B408" s="8" t="s">
        <v>90</v>
      </c>
      <c r="C408" s="8" t="s">
        <v>46</v>
      </c>
      <c r="D408" s="18" t="s">
        <v>2562</v>
      </c>
      <c r="E408" s="16">
        <v>75.0</v>
      </c>
      <c r="F408" s="8" t="s">
        <v>1691</v>
      </c>
      <c r="G408" s="8" t="s">
        <v>1690</v>
      </c>
      <c r="H408" s="8" t="s">
        <v>93</v>
      </c>
      <c r="I408" s="18" t="s">
        <v>2614</v>
      </c>
      <c r="J408" s="16">
        <v>76.0</v>
      </c>
      <c r="K408" s="8" t="s">
        <v>275</v>
      </c>
      <c r="L408" s="8" t="s">
        <v>971</v>
      </c>
      <c r="M408" s="18" t="s">
        <v>2574</v>
      </c>
      <c r="N408" s="16">
        <v>65.0</v>
      </c>
      <c r="O408" s="8" t="s">
        <v>4318</v>
      </c>
      <c r="P408" s="8" t="s">
        <v>38</v>
      </c>
      <c r="Q408" s="14" t="s">
        <v>338</v>
      </c>
      <c r="R408" s="8" t="s">
        <v>2614</v>
      </c>
      <c r="S408" s="14" t="s">
        <v>2611</v>
      </c>
    </row>
    <row r="409">
      <c r="A409" s="8" t="s">
        <v>275</v>
      </c>
      <c r="B409" s="8" t="s">
        <v>3589</v>
      </c>
      <c r="C409" s="8" t="s">
        <v>80</v>
      </c>
      <c r="D409" s="18" t="s">
        <v>2589</v>
      </c>
      <c r="E409" s="16">
        <v>76.0</v>
      </c>
      <c r="F409" s="8" t="s">
        <v>275</v>
      </c>
      <c r="G409" s="8" t="s">
        <v>444</v>
      </c>
      <c r="H409" s="8" t="s">
        <v>70</v>
      </c>
      <c r="I409" s="18" t="s">
        <v>2582</v>
      </c>
      <c r="J409" s="16">
        <v>77.0</v>
      </c>
      <c r="K409" s="8" t="s">
        <v>275</v>
      </c>
      <c r="L409" s="8" t="s">
        <v>1464</v>
      </c>
      <c r="M409" s="18" t="s">
        <v>2645</v>
      </c>
      <c r="N409" s="16">
        <v>73.0</v>
      </c>
      <c r="O409" s="8" t="s">
        <v>4318</v>
      </c>
      <c r="P409" s="8" t="s">
        <v>93</v>
      </c>
      <c r="Q409" s="14" t="s">
        <v>1679</v>
      </c>
      <c r="R409" s="18" t="s">
        <v>2589</v>
      </c>
      <c r="S409" s="14" t="s">
        <v>2618</v>
      </c>
    </row>
    <row r="410">
      <c r="A410" s="8" t="s">
        <v>275</v>
      </c>
      <c r="B410" s="8" t="s">
        <v>1130</v>
      </c>
      <c r="C410" s="8" t="s">
        <v>65</v>
      </c>
      <c r="D410" s="18" t="s">
        <v>2183</v>
      </c>
      <c r="E410" s="16">
        <v>70.0</v>
      </c>
      <c r="F410" s="8" t="s">
        <v>275</v>
      </c>
      <c r="G410" s="8" t="s">
        <v>1031</v>
      </c>
      <c r="H410" s="8" t="s">
        <v>132</v>
      </c>
      <c r="I410" s="18" t="s">
        <v>2574</v>
      </c>
      <c r="J410" s="16">
        <v>70.0</v>
      </c>
      <c r="K410" s="8" t="s">
        <v>275</v>
      </c>
      <c r="L410" s="8" t="s">
        <v>1674</v>
      </c>
      <c r="M410" s="18" t="s">
        <v>2575</v>
      </c>
      <c r="N410" s="16">
        <v>71.0</v>
      </c>
      <c r="O410" s="8" t="s">
        <v>4319</v>
      </c>
      <c r="P410" s="8" t="s">
        <v>192</v>
      </c>
      <c r="Q410" s="14" t="s">
        <v>2033</v>
      </c>
      <c r="R410" s="8" t="s">
        <v>2581</v>
      </c>
      <c r="S410" s="14" t="s">
        <v>2618</v>
      </c>
    </row>
    <row r="411">
      <c r="A411" s="8" t="s">
        <v>275</v>
      </c>
      <c r="B411" s="8" t="s">
        <v>2741</v>
      </c>
      <c r="C411" s="8" t="s">
        <v>192</v>
      </c>
      <c r="D411" s="18" t="s">
        <v>2592</v>
      </c>
      <c r="E411" s="16">
        <v>76.0</v>
      </c>
      <c r="F411" s="8" t="s">
        <v>275</v>
      </c>
      <c r="G411" s="8" t="s">
        <v>2859</v>
      </c>
      <c r="H411" s="8" t="s">
        <v>70</v>
      </c>
      <c r="I411" s="18" t="s">
        <v>2584</v>
      </c>
      <c r="J411" s="16">
        <v>80.0</v>
      </c>
      <c r="K411" s="8" t="s">
        <v>275</v>
      </c>
      <c r="L411" s="8" t="s">
        <v>1263</v>
      </c>
      <c r="M411" s="18" t="s">
        <v>2567</v>
      </c>
      <c r="N411" s="16">
        <v>62.0</v>
      </c>
      <c r="O411" s="8" t="s">
        <v>4320</v>
      </c>
      <c r="P411" s="8" t="s">
        <v>59</v>
      </c>
      <c r="Q411" s="14" t="s">
        <v>1070</v>
      </c>
      <c r="R411" s="8" t="s">
        <v>2562</v>
      </c>
      <c r="S411" s="14" t="s">
        <v>2612</v>
      </c>
    </row>
    <row r="412">
      <c r="A412" s="8" t="s">
        <v>275</v>
      </c>
      <c r="B412" s="8" t="s">
        <v>895</v>
      </c>
      <c r="C412" s="8" t="s">
        <v>192</v>
      </c>
      <c r="D412" s="18" t="s">
        <v>2556</v>
      </c>
      <c r="E412" s="16">
        <v>61.0</v>
      </c>
      <c r="F412" s="8" t="s">
        <v>275</v>
      </c>
      <c r="G412" s="8" t="s">
        <v>223</v>
      </c>
      <c r="H412" s="8" t="s">
        <v>132</v>
      </c>
      <c r="I412" s="18" t="s">
        <v>2584</v>
      </c>
      <c r="J412" s="16">
        <v>68.0</v>
      </c>
      <c r="K412" s="8" t="s">
        <v>275</v>
      </c>
      <c r="L412" s="8" t="s">
        <v>284</v>
      </c>
      <c r="M412" s="18" t="s">
        <v>2183</v>
      </c>
      <c r="N412" s="16">
        <v>82.0</v>
      </c>
      <c r="O412" s="8" t="s">
        <v>4321</v>
      </c>
      <c r="P412" s="8" t="s">
        <v>132</v>
      </c>
      <c r="Q412" s="14" t="s">
        <v>2296</v>
      </c>
      <c r="R412" s="8" t="s">
        <v>2598</v>
      </c>
      <c r="S412" s="14" t="s">
        <v>2591</v>
      </c>
    </row>
    <row r="413">
      <c r="A413" s="8" t="s">
        <v>275</v>
      </c>
      <c r="B413" s="8" t="s">
        <v>3003</v>
      </c>
      <c r="C413" s="8" t="s">
        <v>65</v>
      </c>
      <c r="D413" s="18" t="s">
        <v>2564</v>
      </c>
      <c r="E413" s="16">
        <v>68.0</v>
      </c>
      <c r="F413" s="8" t="s">
        <v>275</v>
      </c>
      <c r="G413" s="8" t="s">
        <v>3199</v>
      </c>
      <c r="H413" s="8" t="s">
        <v>138</v>
      </c>
      <c r="I413" s="18" t="s">
        <v>2556</v>
      </c>
      <c r="J413" s="16">
        <v>64.0</v>
      </c>
      <c r="K413" s="8" t="s">
        <v>275</v>
      </c>
      <c r="L413" s="8" t="s">
        <v>469</v>
      </c>
      <c r="M413" s="18" t="s">
        <v>2595</v>
      </c>
      <c r="N413" s="16">
        <v>69.0</v>
      </c>
      <c r="O413" s="8" t="s">
        <v>4322</v>
      </c>
      <c r="P413" s="8" t="s">
        <v>24</v>
      </c>
      <c r="Q413" s="14" t="s">
        <v>837</v>
      </c>
      <c r="R413" s="8" t="s">
        <v>2574</v>
      </c>
      <c r="S413" s="14" t="s">
        <v>2591</v>
      </c>
    </row>
    <row r="414">
      <c r="A414" s="8" t="s">
        <v>275</v>
      </c>
      <c r="B414" s="8" t="s">
        <v>3658</v>
      </c>
      <c r="C414" s="8" t="s">
        <v>24</v>
      </c>
      <c r="D414" s="18" t="s">
        <v>2587</v>
      </c>
      <c r="E414" s="16">
        <v>72.0</v>
      </c>
      <c r="F414" s="8" t="s">
        <v>275</v>
      </c>
      <c r="G414" s="8" t="s">
        <v>3308</v>
      </c>
      <c r="H414" s="8" t="s">
        <v>65</v>
      </c>
      <c r="I414" s="18" t="s">
        <v>2589</v>
      </c>
      <c r="J414" s="16">
        <v>60.0</v>
      </c>
      <c r="K414" s="8" t="s">
        <v>275</v>
      </c>
      <c r="L414" s="8" t="s">
        <v>444</v>
      </c>
      <c r="M414" s="18" t="s">
        <v>2582</v>
      </c>
      <c r="N414" s="16">
        <v>78.0</v>
      </c>
      <c r="O414" s="8" t="s">
        <v>4323</v>
      </c>
      <c r="P414" s="8" t="s">
        <v>93</v>
      </c>
      <c r="Q414" s="14" t="s">
        <v>1070</v>
      </c>
      <c r="R414" s="8" t="s">
        <v>2567</v>
      </c>
      <c r="S414" s="14" t="s">
        <v>2576</v>
      </c>
    </row>
    <row r="415">
      <c r="A415" s="8" t="s">
        <v>275</v>
      </c>
      <c r="B415" s="8" t="s">
        <v>3666</v>
      </c>
      <c r="C415" s="8" t="s">
        <v>80</v>
      </c>
      <c r="D415" s="18" t="s">
        <v>2556</v>
      </c>
      <c r="E415" s="16">
        <v>63.0</v>
      </c>
      <c r="F415" s="8" t="s">
        <v>275</v>
      </c>
      <c r="G415" s="8" t="s">
        <v>248</v>
      </c>
      <c r="H415" s="8" t="s">
        <v>53</v>
      </c>
      <c r="I415" s="18" t="s">
        <v>2582</v>
      </c>
      <c r="J415" s="16">
        <v>67.0</v>
      </c>
      <c r="K415" s="8" t="s">
        <v>275</v>
      </c>
      <c r="L415" s="8" t="s">
        <v>2859</v>
      </c>
      <c r="M415" s="18" t="s">
        <v>2587</v>
      </c>
      <c r="N415" s="16">
        <v>76.0</v>
      </c>
      <c r="O415" s="8" t="s">
        <v>4324</v>
      </c>
      <c r="P415" s="8" t="s">
        <v>65</v>
      </c>
      <c r="Q415" s="14" t="s">
        <v>1070</v>
      </c>
      <c r="R415" s="8" t="s">
        <v>2575</v>
      </c>
      <c r="S415" s="14" t="s">
        <v>2565</v>
      </c>
    </row>
    <row r="416">
      <c r="A416" s="8" t="s">
        <v>275</v>
      </c>
      <c r="B416" s="8" t="s">
        <v>1464</v>
      </c>
      <c r="C416" s="8" t="s">
        <v>46</v>
      </c>
      <c r="D416" s="18" t="s">
        <v>2572</v>
      </c>
      <c r="E416" s="16">
        <v>69.0</v>
      </c>
      <c r="F416" s="8" t="s">
        <v>275</v>
      </c>
      <c r="G416" s="8" t="s">
        <v>1118</v>
      </c>
      <c r="H416" s="8" t="s">
        <v>70</v>
      </c>
      <c r="I416" s="18" t="s">
        <v>2603</v>
      </c>
      <c r="J416" s="16">
        <v>66.0</v>
      </c>
      <c r="K416" s="8" t="s">
        <v>275</v>
      </c>
      <c r="L416" s="8" t="s">
        <v>274</v>
      </c>
      <c r="M416" s="18" t="s">
        <v>2600</v>
      </c>
      <c r="N416" s="16">
        <v>80.0</v>
      </c>
      <c r="O416" s="8" t="s">
        <v>4325</v>
      </c>
      <c r="P416" s="8" t="s">
        <v>215</v>
      </c>
      <c r="Q416" s="14" t="s">
        <v>1679</v>
      </c>
      <c r="R416" s="8" t="s">
        <v>2598</v>
      </c>
      <c r="S416" s="14" t="s">
        <v>2583</v>
      </c>
    </row>
    <row r="417">
      <c r="A417" s="8" t="s">
        <v>275</v>
      </c>
      <c r="B417" s="8" t="s">
        <v>3677</v>
      </c>
      <c r="C417" s="8" t="s">
        <v>93</v>
      </c>
      <c r="D417" s="18" t="s">
        <v>2620</v>
      </c>
      <c r="E417" s="16">
        <v>93.0</v>
      </c>
      <c r="F417" s="8" t="s">
        <v>275</v>
      </c>
      <c r="G417" s="8" t="s">
        <v>1925</v>
      </c>
      <c r="H417" s="8" t="s">
        <v>215</v>
      </c>
      <c r="I417" s="18" t="s">
        <v>2598</v>
      </c>
      <c r="J417" s="16">
        <v>62.0</v>
      </c>
      <c r="K417" s="8" t="s">
        <v>275</v>
      </c>
      <c r="L417" s="8" t="s">
        <v>99</v>
      </c>
      <c r="M417" s="18" t="s">
        <v>2615</v>
      </c>
      <c r="N417" s="16">
        <v>70.0</v>
      </c>
      <c r="O417" s="8" t="s">
        <v>4326</v>
      </c>
      <c r="P417" s="8" t="s">
        <v>75</v>
      </c>
      <c r="Q417" s="14" t="s">
        <v>837</v>
      </c>
      <c r="R417" s="8" t="s">
        <v>2581</v>
      </c>
      <c r="S417" s="14" t="s">
        <v>2594</v>
      </c>
    </row>
    <row r="418">
      <c r="A418" s="8" t="s">
        <v>275</v>
      </c>
      <c r="B418" s="8" t="s">
        <v>274</v>
      </c>
      <c r="C418" s="8" t="s">
        <v>65</v>
      </c>
      <c r="D418" s="18" t="s">
        <v>2600</v>
      </c>
      <c r="E418" s="16">
        <v>75.0</v>
      </c>
      <c r="F418" s="8" t="s">
        <v>275</v>
      </c>
      <c r="G418" s="8" t="s">
        <v>106</v>
      </c>
      <c r="H418" s="8" t="s">
        <v>65</v>
      </c>
      <c r="I418" s="18" t="s">
        <v>2610</v>
      </c>
      <c r="J418" s="16">
        <v>61.0</v>
      </c>
      <c r="K418" s="8" t="s">
        <v>275</v>
      </c>
      <c r="L418" s="8" t="s">
        <v>716</v>
      </c>
      <c r="M418" s="18" t="s">
        <v>2615</v>
      </c>
      <c r="N418" s="16">
        <v>75.0</v>
      </c>
      <c r="O418" s="8" t="s">
        <v>4327</v>
      </c>
      <c r="P418" s="8" t="s">
        <v>138</v>
      </c>
      <c r="Q418" s="14" t="s">
        <v>2033</v>
      </c>
      <c r="R418" s="8" t="s">
        <v>2566</v>
      </c>
      <c r="S418" s="14" t="s">
        <v>2594</v>
      </c>
    </row>
    <row r="419">
      <c r="A419" s="8" t="s">
        <v>275</v>
      </c>
      <c r="B419" s="8" t="s">
        <v>716</v>
      </c>
      <c r="C419" s="8" t="s">
        <v>75</v>
      </c>
      <c r="D419" s="18" t="s">
        <v>2577</v>
      </c>
      <c r="E419" s="16">
        <v>67.0</v>
      </c>
      <c r="F419" s="8" t="s">
        <v>275</v>
      </c>
      <c r="G419" s="8" t="s">
        <v>395</v>
      </c>
      <c r="H419" s="8" t="s">
        <v>138</v>
      </c>
      <c r="I419" s="18" t="s">
        <v>2564</v>
      </c>
      <c r="J419" s="16">
        <v>80.0</v>
      </c>
      <c r="K419" s="8" t="s">
        <v>275</v>
      </c>
      <c r="L419" s="8" t="s">
        <v>652</v>
      </c>
      <c r="M419" s="18" t="s">
        <v>2577</v>
      </c>
      <c r="N419" s="16">
        <v>81.0</v>
      </c>
      <c r="O419" s="8" t="s">
        <v>4328</v>
      </c>
      <c r="P419" s="8" t="s">
        <v>138</v>
      </c>
      <c r="Q419" s="14" t="s">
        <v>837</v>
      </c>
      <c r="R419" s="8" t="s">
        <v>2615</v>
      </c>
      <c r="S419" s="14" t="s">
        <v>2568</v>
      </c>
    </row>
    <row r="420">
      <c r="A420" s="8" t="s">
        <v>275</v>
      </c>
      <c r="B420" s="8" t="s">
        <v>2859</v>
      </c>
      <c r="C420" s="8" t="s">
        <v>70</v>
      </c>
      <c r="D420" s="18" t="s">
        <v>2584</v>
      </c>
      <c r="E420" s="16">
        <v>82.0</v>
      </c>
      <c r="F420" s="8" t="s">
        <v>275</v>
      </c>
      <c r="G420" s="8" t="s">
        <v>971</v>
      </c>
      <c r="H420" s="8" t="s">
        <v>24</v>
      </c>
      <c r="I420" s="18" t="s">
        <v>2574</v>
      </c>
      <c r="J420" s="16">
        <v>62.0</v>
      </c>
      <c r="K420" s="8" t="s">
        <v>275</v>
      </c>
      <c r="L420" s="8" t="s">
        <v>1130</v>
      </c>
      <c r="M420" s="18" t="s">
        <v>2183</v>
      </c>
      <c r="N420" s="16">
        <v>76.0</v>
      </c>
      <c r="O420" s="8" t="s">
        <v>4329</v>
      </c>
      <c r="P420" s="8" t="s">
        <v>70</v>
      </c>
      <c r="Q420" s="14" t="s">
        <v>631</v>
      </c>
      <c r="R420" s="8" t="s">
        <v>2582</v>
      </c>
      <c r="S420" s="14" t="s">
        <v>2608</v>
      </c>
    </row>
    <row r="421">
      <c r="A421" s="8" t="s">
        <v>275</v>
      </c>
      <c r="B421" s="8" t="s">
        <v>389</v>
      </c>
      <c r="C421" s="8" t="s">
        <v>70</v>
      </c>
      <c r="D421" s="18" t="s">
        <v>2589</v>
      </c>
      <c r="E421" s="16">
        <v>75.0</v>
      </c>
      <c r="F421" s="8" t="s">
        <v>275</v>
      </c>
      <c r="G421" s="8" t="s">
        <v>1891</v>
      </c>
      <c r="H421" s="8" t="s">
        <v>122</v>
      </c>
      <c r="I421" s="18" t="s">
        <v>2592</v>
      </c>
      <c r="J421" s="16">
        <v>84.0</v>
      </c>
      <c r="K421" s="8" t="s">
        <v>275</v>
      </c>
      <c r="L421" s="8" t="s">
        <v>1891</v>
      </c>
      <c r="M421" s="18" t="s">
        <v>2610</v>
      </c>
      <c r="N421" s="16">
        <v>75.0</v>
      </c>
      <c r="O421" s="8" t="s">
        <v>4330</v>
      </c>
      <c r="P421" s="8" t="s">
        <v>70</v>
      </c>
      <c r="Q421" s="14" t="s">
        <v>2033</v>
      </c>
      <c r="R421" s="18" t="s">
        <v>2556</v>
      </c>
      <c r="S421" s="14" t="s">
        <v>2609</v>
      </c>
    </row>
    <row r="422">
      <c r="A422" s="8" t="s">
        <v>275</v>
      </c>
      <c r="B422" s="8" t="s">
        <v>284</v>
      </c>
      <c r="C422" s="8" t="s">
        <v>38</v>
      </c>
      <c r="D422" s="18" t="s">
        <v>2614</v>
      </c>
      <c r="E422" s="16">
        <v>82.0</v>
      </c>
      <c r="F422" s="8" t="s">
        <v>275</v>
      </c>
      <c r="G422" s="8" t="s">
        <v>274</v>
      </c>
      <c r="H422" s="8" t="s">
        <v>65</v>
      </c>
      <c r="I422" s="18" t="s">
        <v>2600</v>
      </c>
      <c r="J422" s="16">
        <v>83.0</v>
      </c>
      <c r="K422" s="8" t="s">
        <v>275</v>
      </c>
      <c r="L422" s="8" t="s">
        <v>1848</v>
      </c>
      <c r="M422" s="18" t="s">
        <v>2592</v>
      </c>
      <c r="N422" s="16">
        <v>77.0</v>
      </c>
      <c r="O422" s="8" t="s">
        <v>4331</v>
      </c>
      <c r="P422" s="8" t="s">
        <v>59</v>
      </c>
      <c r="Q422" s="14" t="s">
        <v>2033</v>
      </c>
      <c r="R422" s="8" t="s">
        <v>2610</v>
      </c>
      <c r="S422" s="14" t="s">
        <v>2583</v>
      </c>
    </row>
    <row r="423">
      <c r="A423" s="8" t="s">
        <v>275</v>
      </c>
      <c r="B423" s="8" t="s">
        <v>284</v>
      </c>
      <c r="C423" s="8" t="s">
        <v>138</v>
      </c>
      <c r="D423" s="18" t="s">
        <v>2183</v>
      </c>
      <c r="E423" s="16">
        <v>72.0</v>
      </c>
      <c r="F423" s="8" t="s">
        <v>275</v>
      </c>
      <c r="G423" s="8" t="s">
        <v>90</v>
      </c>
      <c r="H423" s="8" t="s">
        <v>149</v>
      </c>
      <c r="I423" s="18" t="s">
        <v>2562</v>
      </c>
      <c r="J423" s="16">
        <v>72.0</v>
      </c>
      <c r="K423" s="8" t="s">
        <v>275</v>
      </c>
      <c r="L423" s="8" t="s">
        <v>1925</v>
      </c>
      <c r="M423" s="18" t="s">
        <v>2558</v>
      </c>
      <c r="N423" s="16">
        <v>63.0</v>
      </c>
      <c r="O423" s="8" t="s">
        <v>4332</v>
      </c>
      <c r="P423" s="8" t="s">
        <v>215</v>
      </c>
      <c r="Q423" s="14" t="s">
        <v>1352</v>
      </c>
      <c r="R423" s="8" t="s">
        <v>2575</v>
      </c>
      <c r="S423" s="14" t="s">
        <v>2573</v>
      </c>
    </row>
    <row r="424">
      <c r="A424" s="8" t="s">
        <v>275</v>
      </c>
      <c r="B424" s="8" t="s">
        <v>284</v>
      </c>
      <c r="C424" s="8" t="s">
        <v>122</v>
      </c>
      <c r="D424" s="18" t="s">
        <v>2581</v>
      </c>
      <c r="E424" s="16">
        <v>65.0</v>
      </c>
      <c r="F424" s="8" t="s">
        <v>275</v>
      </c>
      <c r="G424" s="8" t="s">
        <v>469</v>
      </c>
      <c r="H424" s="8" t="s">
        <v>192</v>
      </c>
      <c r="I424" s="18" t="s">
        <v>2595</v>
      </c>
      <c r="J424" s="16">
        <v>66.0</v>
      </c>
      <c r="K424" s="8" t="s">
        <v>275</v>
      </c>
      <c r="L424" s="8" t="s">
        <v>1417</v>
      </c>
      <c r="M424" s="18" t="s">
        <v>2614</v>
      </c>
      <c r="N424" s="16">
        <v>65.0</v>
      </c>
      <c r="O424" s="8" t="s">
        <v>4333</v>
      </c>
      <c r="P424" s="8" t="s">
        <v>93</v>
      </c>
      <c r="Q424" s="14" t="s">
        <v>2033</v>
      </c>
      <c r="R424" s="8" t="s">
        <v>2595</v>
      </c>
      <c r="S424" s="14" t="s">
        <v>2555</v>
      </c>
    </row>
    <row r="425">
      <c r="A425" s="8" t="s">
        <v>275</v>
      </c>
      <c r="B425" s="8" t="s">
        <v>1225</v>
      </c>
      <c r="C425" s="8" t="s">
        <v>59</v>
      </c>
      <c r="D425" s="18" t="s">
        <v>2572</v>
      </c>
      <c r="E425" s="16">
        <v>57.0</v>
      </c>
      <c r="F425" s="8" t="s">
        <v>275</v>
      </c>
      <c r="G425" s="8" t="s">
        <v>3389</v>
      </c>
      <c r="H425" s="8" t="s">
        <v>24</v>
      </c>
      <c r="I425" s="18" t="s">
        <v>2581</v>
      </c>
      <c r="J425" s="16">
        <v>63.0</v>
      </c>
      <c r="K425" s="8" t="s">
        <v>275</v>
      </c>
      <c r="L425" s="8" t="s">
        <v>395</v>
      </c>
      <c r="M425" s="18" t="s">
        <v>2564</v>
      </c>
      <c r="N425" s="16">
        <v>85.0</v>
      </c>
      <c r="O425" s="8" t="s">
        <v>4334</v>
      </c>
      <c r="P425" s="8" t="s">
        <v>122</v>
      </c>
      <c r="Q425" s="14" t="s">
        <v>1352</v>
      </c>
      <c r="R425" s="8" t="s">
        <v>2614</v>
      </c>
      <c r="S425" s="14" t="s">
        <v>2602</v>
      </c>
    </row>
    <row r="426">
      <c r="A426" s="8" t="s">
        <v>275</v>
      </c>
      <c r="B426" s="8" t="s">
        <v>3337</v>
      </c>
      <c r="C426" s="8" t="s">
        <v>93</v>
      </c>
      <c r="D426" s="18" t="s">
        <v>2610</v>
      </c>
      <c r="E426" s="16">
        <v>67.0</v>
      </c>
      <c r="F426" s="8" t="s">
        <v>275</v>
      </c>
      <c r="G426" s="8" t="s">
        <v>164</v>
      </c>
      <c r="H426" s="8" t="s">
        <v>65</v>
      </c>
      <c r="I426" s="18" t="s">
        <v>2575</v>
      </c>
      <c r="J426" s="16">
        <v>68.0</v>
      </c>
      <c r="K426" s="8" t="s">
        <v>275</v>
      </c>
      <c r="L426" s="8" t="s">
        <v>284</v>
      </c>
      <c r="M426" s="18" t="s">
        <v>2183</v>
      </c>
      <c r="N426" s="16">
        <v>87.0</v>
      </c>
      <c r="O426" s="8" t="s">
        <v>4335</v>
      </c>
      <c r="P426" s="8" t="s">
        <v>149</v>
      </c>
      <c r="Q426" s="14" t="s">
        <v>1679</v>
      </c>
      <c r="R426" s="8" t="s">
        <v>2585</v>
      </c>
      <c r="S426" s="14" t="s">
        <v>2617</v>
      </c>
    </row>
    <row r="427">
      <c r="A427" s="8" t="s">
        <v>275</v>
      </c>
      <c r="B427" s="8" t="s">
        <v>395</v>
      </c>
      <c r="C427" s="8" t="s">
        <v>138</v>
      </c>
      <c r="D427" s="18" t="s">
        <v>2600</v>
      </c>
      <c r="E427" s="16">
        <v>77.0</v>
      </c>
      <c r="F427" s="8" t="s">
        <v>275</v>
      </c>
      <c r="G427" s="8" t="s">
        <v>1264</v>
      </c>
      <c r="H427" s="8" t="s">
        <v>65</v>
      </c>
      <c r="I427" s="18" t="s">
        <v>2575</v>
      </c>
      <c r="J427" s="16">
        <v>65.0</v>
      </c>
      <c r="K427" s="8" t="s">
        <v>726</v>
      </c>
      <c r="L427" s="8" t="s">
        <v>958</v>
      </c>
      <c r="M427" s="18" t="s">
        <v>2615</v>
      </c>
      <c r="N427" s="16">
        <v>76.0</v>
      </c>
      <c r="O427" s="8" t="s">
        <v>4336</v>
      </c>
      <c r="P427" s="8" t="s">
        <v>59</v>
      </c>
      <c r="Q427" s="14" t="s">
        <v>631</v>
      </c>
      <c r="R427" s="8" t="s">
        <v>2554</v>
      </c>
      <c r="S427" s="14" t="s">
        <v>2602</v>
      </c>
    </row>
    <row r="428">
      <c r="A428" s="8" t="s">
        <v>275</v>
      </c>
      <c r="B428" s="8" t="s">
        <v>2919</v>
      </c>
      <c r="C428" s="8" t="s">
        <v>192</v>
      </c>
      <c r="D428" s="18" t="s">
        <v>2564</v>
      </c>
      <c r="E428" s="16">
        <v>73.0</v>
      </c>
      <c r="F428" s="8" t="s">
        <v>275</v>
      </c>
      <c r="G428" s="8" t="s">
        <v>284</v>
      </c>
      <c r="H428" s="8" t="s">
        <v>215</v>
      </c>
      <c r="I428" s="18" t="s">
        <v>2585</v>
      </c>
      <c r="J428" s="16">
        <v>61.0</v>
      </c>
      <c r="K428" s="8" t="s">
        <v>726</v>
      </c>
      <c r="L428" s="8" t="s">
        <v>1014</v>
      </c>
      <c r="M428" s="18" t="s">
        <v>2554</v>
      </c>
      <c r="N428" s="16">
        <v>65.0</v>
      </c>
      <c r="O428" s="8" t="s">
        <v>4337</v>
      </c>
      <c r="P428" s="8" t="s">
        <v>65</v>
      </c>
      <c r="Q428" s="14" t="s">
        <v>2296</v>
      </c>
      <c r="R428" s="18" t="s">
        <v>2589</v>
      </c>
      <c r="S428" s="14" t="s">
        <v>2571</v>
      </c>
    </row>
    <row r="429">
      <c r="A429" s="8" t="s">
        <v>275</v>
      </c>
      <c r="B429" s="8" t="s">
        <v>164</v>
      </c>
      <c r="C429" s="8" t="s">
        <v>65</v>
      </c>
      <c r="D429" s="18" t="s">
        <v>2575</v>
      </c>
      <c r="E429" s="16">
        <v>68.0</v>
      </c>
      <c r="F429" s="8" t="s">
        <v>275</v>
      </c>
      <c r="G429" s="8" t="s">
        <v>284</v>
      </c>
      <c r="H429" s="8" t="s">
        <v>215</v>
      </c>
      <c r="I429" s="18" t="s">
        <v>2183</v>
      </c>
      <c r="J429" s="16">
        <v>84.0</v>
      </c>
      <c r="K429" s="8" t="s">
        <v>726</v>
      </c>
      <c r="L429" s="8" t="s">
        <v>2182</v>
      </c>
      <c r="M429" s="18" t="s">
        <v>2574</v>
      </c>
      <c r="N429" s="16">
        <v>82.0</v>
      </c>
      <c r="O429" s="8" t="s">
        <v>4338</v>
      </c>
      <c r="P429" s="8" t="s">
        <v>59</v>
      </c>
      <c r="Q429" s="14" t="s">
        <v>837</v>
      </c>
      <c r="R429" s="8" t="s">
        <v>2615</v>
      </c>
      <c r="S429" s="14" t="s">
        <v>2601</v>
      </c>
    </row>
    <row r="430">
      <c r="A430" s="8" t="s">
        <v>275</v>
      </c>
      <c r="B430" s="8" t="s">
        <v>3752</v>
      </c>
      <c r="C430" s="8" t="s">
        <v>122</v>
      </c>
      <c r="D430" s="18" t="s">
        <v>2598</v>
      </c>
      <c r="E430" s="16">
        <v>61.0</v>
      </c>
      <c r="F430" s="8" t="s">
        <v>275</v>
      </c>
      <c r="G430" s="8" t="s">
        <v>1130</v>
      </c>
      <c r="H430" s="8" t="s">
        <v>65</v>
      </c>
      <c r="I430" s="18" t="s">
        <v>2183</v>
      </c>
      <c r="J430" s="16">
        <v>76.0</v>
      </c>
      <c r="K430" s="8" t="s">
        <v>726</v>
      </c>
      <c r="L430" s="8" t="s">
        <v>1337</v>
      </c>
      <c r="M430" s="18" t="s">
        <v>2610</v>
      </c>
      <c r="N430" s="16">
        <v>70.0</v>
      </c>
      <c r="O430" s="8" t="s">
        <v>4339</v>
      </c>
      <c r="P430" s="8" t="s">
        <v>70</v>
      </c>
      <c r="Q430" s="14" t="s">
        <v>2033</v>
      </c>
      <c r="R430" s="8" t="s">
        <v>2574</v>
      </c>
      <c r="S430" s="14" t="s">
        <v>2616</v>
      </c>
    </row>
    <row r="431">
      <c r="A431" s="8" t="s">
        <v>275</v>
      </c>
      <c r="B431" s="8" t="s">
        <v>1250</v>
      </c>
      <c r="C431" s="8" t="s">
        <v>215</v>
      </c>
      <c r="D431" s="18" t="s">
        <v>2581</v>
      </c>
      <c r="E431" s="16">
        <v>64.0</v>
      </c>
      <c r="F431" s="8" t="s">
        <v>275</v>
      </c>
      <c r="G431" s="8" t="s">
        <v>1674</v>
      </c>
      <c r="H431" s="8" t="s">
        <v>138</v>
      </c>
      <c r="I431" s="18" t="s">
        <v>2575</v>
      </c>
      <c r="J431" s="16">
        <v>72.0</v>
      </c>
      <c r="K431" s="8" t="s">
        <v>726</v>
      </c>
      <c r="L431" s="8" t="s">
        <v>284</v>
      </c>
      <c r="M431" s="18" t="s">
        <v>2554</v>
      </c>
      <c r="N431" s="16">
        <v>74.0</v>
      </c>
      <c r="O431" s="8" t="s">
        <v>4340</v>
      </c>
      <c r="P431" s="8" t="s">
        <v>59</v>
      </c>
      <c r="Q431" s="14" t="s">
        <v>2033</v>
      </c>
      <c r="R431" s="8" t="s">
        <v>2574</v>
      </c>
      <c r="S431" s="14" t="s">
        <v>2583</v>
      </c>
    </row>
    <row r="432">
      <c r="A432" s="8" t="s">
        <v>275</v>
      </c>
      <c r="B432" s="8" t="s">
        <v>1264</v>
      </c>
      <c r="C432" s="8" t="s">
        <v>65</v>
      </c>
      <c r="D432" s="18" t="s">
        <v>2575</v>
      </c>
      <c r="E432" s="16">
        <v>65.0</v>
      </c>
      <c r="F432" s="8" t="s">
        <v>275</v>
      </c>
      <c r="G432" s="8" t="s">
        <v>2919</v>
      </c>
      <c r="H432" s="8" t="s">
        <v>80</v>
      </c>
      <c r="I432" s="18" t="s">
        <v>2564</v>
      </c>
      <c r="J432" s="16">
        <v>70.0</v>
      </c>
      <c r="K432" s="8" t="s">
        <v>726</v>
      </c>
      <c r="L432" s="8" t="s">
        <v>1417</v>
      </c>
      <c r="M432" s="18" t="s">
        <v>2562</v>
      </c>
      <c r="N432" s="16">
        <v>72.0</v>
      </c>
      <c r="O432" s="8" t="s">
        <v>4341</v>
      </c>
      <c r="P432" s="8" t="s">
        <v>122</v>
      </c>
      <c r="Q432" s="14" t="s">
        <v>837</v>
      </c>
      <c r="R432" s="8" t="s">
        <v>2610</v>
      </c>
      <c r="S432" s="14" t="s">
        <v>2579</v>
      </c>
    </row>
    <row r="433">
      <c r="A433" s="8" t="s">
        <v>275</v>
      </c>
      <c r="B433" s="8" t="s">
        <v>3389</v>
      </c>
      <c r="C433" s="8" t="s">
        <v>24</v>
      </c>
      <c r="D433" s="18" t="s">
        <v>2564</v>
      </c>
      <c r="E433" s="16">
        <v>63.0</v>
      </c>
      <c r="F433" s="8" t="s">
        <v>275</v>
      </c>
      <c r="G433" s="8" t="s">
        <v>716</v>
      </c>
      <c r="H433" s="8" t="s">
        <v>149</v>
      </c>
      <c r="I433" s="18" t="s">
        <v>2577</v>
      </c>
      <c r="J433" s="16">
        <v>71.0</v>
      </c>
      <c r="K433" s="8" t="s">
        <v>726</v>
      </c>
      <c r="L433" s="8" t="s">
        <v>2827</v>
      </c>
      <c r="M433" s="18" t="s">
        <v>2645</v>
      </c>
      <c r="N433" s="16">
        <v>66.0</v>
      </c>
      <c r="O433" s="8" t="s">
        <v>4342</v>
      </c>
      <c r="P433" s="8" t="s">
        <v>186</v>
      </c>
      <c r="Q433" s="14" t="s">
        <v>2033</v>
      </c>
      <c r="R433" s="8" t="s">
        <v>2600</v>
      </c>
      <c r="S433" s="14" t="s">
        <v>2555</v>
      </c>
    </row>
    <row r="434">
      <c r="A434" s="8" t="s">
        <v>275</v>
      </c>
      <c r="B434" s="8" t="s">
        <v>3402</v>
      </c>
      <c r="C434" s="8" t="s">
        <v>192</v>
      </c>
      <c r="D434" s="18" t="s">
        <v>2605</v>
      </c>
      <c r="E434" s="16">
        <v>69.0</v>
      </c>
      <c r="F434" s="8" t="s">
        <v>275</v>
      </c>
      <c r="G434" s="8" t="s">
        <v>1225</v>
      </c>
      <c r="H434" s="8" t="s">
        <v>59</v>
      </c>
      <c r="I434" s="18" t="s">
        <v>2572</v>
      </c>
      <c r="J434" s="16">
        <v>57.0</v>
      </c>
      <c r="K434" s="8" t="s">
        <v>726</v>
      </c>
      <c r="L434" s="8" t="s">
        <v>255</v>
      </c>
      <c r="M434" s="18" t="s">
        <v>2589</v>
      </c>
      <c r="N434" s="16">
        <v>75.0</v>
      </c>
      <c r="O434" s="8" t="s">
        <v>4343</v>
      </c>
      <c r="P434" s="8" t="s">
        <v>75</v>
      </c>
      <c r="Q434" s="14" t="s">
        <v>1070</v>
      </c>
      <c r="R434" s="8" t="s">
        <v>2610</v>
      </c>
      <c r="S434" s="14" t="s">
        <v>2570</v>
      </c>
    </row>
    <row r="435">
      <c r="A435" s="8" t="s">
        <v>275</v>
      </c>
      <c r="B435" s="8" t="s">
        <v>1031</v>
      </c>
      <c r="C435" s="8" t="s">
        <v>132</v>
      </c>
      <c r="D435" s="18" t="s">
        <v>2574</v>
      </c>
      <c r="E435" s="16">
        <v>70.0</v>
      </c>
      <c r="F435" s="8" t="s">
        <v>275</v>
      </c>
      <c r="G435" s="8" t="s">
        <v>2835</v>
      </c>
      <c r="H435" s="8" t="s">
        <v>93</v>
      </c>
      <c r="I435" s="18" t="s">
        <v>2620</v>
      </c>
      <c r="J435" s="16">
        <v>94.0</v>
      </c>
      <c r="K435" s="8" t="s">
        <v>726</v>
      </c>
      <c r="L435" s="8" t="s">
        <v>142</v>
      </c>
      <c r="M435" s="18" t="s">
        <v>2589</v>
      </c>
      <c r="N435" s="16">
        <v>67.0</v>
      </c>
      <c r="O435" s="8" t="s">
        <v>4344</v>
      </c>
      <c r="P435" s="8" t="s">
        <v>122</v>
      </c>
      <c r="Q435" s="14" t="s">
        <v>2033</v>
      </c>
      <c r="R435" s="8" t="s">
        <v>2581</v>
      </c>
      <c r="S435" s="14" t="s">
        <v>2601</v>
      </c>
    </row>
    <row r="436">
      <c r="A436" s="8" t="s">
        <v>275</v>
      </c>
      <c r="B436" s="8" t="s">
        <v>99</v>
      </c>
      <c r="C436" s="8" t="s">
        <v>138</v>
      </c>
      <c r="D436" s="18" t="s">
        <v>2584</v>
      </c>
      <c r="E436" s="16">
        <v>67.0</v>
      </c>
      <c r="F436" s="8" t="s">
        <v>275</v>
      </c>
      <c r="G436" s="8" t="s">
        <v>284</v>
      </c>
      <c r="H436" s="8" t="s">
        <v>38</v>
      </c>
      <c r="I436" s="18" t="s">
        <v>2614</v>
      </c>
      <c r="J436" s="16">
        <v>83.0</v>
      </c>
      <c r="K436" s="8" t="s">
        <v>726</v>
      </c>
      <c r="L436" s="8" t="s">
        <v>41</v>
      </c>
      <c r="M436" s="18" t="s">
        <v>2600</v>
      </c>
      <c r="N436" s="16">
        <v>67.0</v>
      </c>
      <c r="O436" s="8" t="s">
        <v>4345</v>
      </c>
      <c r="P436" s="8" t="s">
        <v>24</v>
      </c>
      <c r="Q436" s="14" t="s">
        <v>2033</v>
      </c>
      <c r="R436" s="8" t="s">
        <v>2560</v>
      </c>
      <c r="S436" s="14" t="s">
        <v>2571</v>
      </c>
    </row>
    <row r="437">
      <c r="A437" s="8" t="s">
        <v>275</v>
      </c>
      <c r="B437" s="8" t="s">
        <v>3862</v>
      </c>
      <c r="C437" s="8" t="s">
        <v>261</v>
      </c>
      <c r="D437" s="18" t="s">
        <v>2572</v>
      </c>
      <c r="E437" s="16">
        <v>60.0</v>
      </c>
      <c r="F437" s="8" t="s">
        <v>275</v>
      </c>
      <c r="G437" s="8" t="s">
        <v>1464</v>
      </c>
      <c r="H437" s="8" t="s">
        <v>149</v>
      </c>
      <c r="I437" s="18" t="s">
        <v>2572</v>
      </c>
      <c r="J437" s="16">
        <v>71.0</v>
      </c>
      <c r="K437" s="8" t="s">
        <v>2945</v>
      </c>
      <c r="L437" s="8" t="s">
        <v>137</v>
      </c>
      <c r="M437" s="18" t="s">
        <v>2567</v>
      </c>
      <c r="N437" s="16">
        <v>70.0</v>
      </c>
      <c r="O437" s="8" t="s">
        <v>4346</v>
      </c>
      <c r="P437" s="8" t="s">
        <v>80</v>
      </c>
      <c r="Q437" s="14" t="s">
        <v>1679</v>
      </c>
      <c r="R437" s="8" t="s">
        <v>2575</v>
      </c>
      <c r="S437" s="14" t="s">
        <v>2579</v>
      </c>
    </row>
    <row r="438">
      <c r="A438" s="8" t="s">
        <v>275</v>
      </c>
      <c r="B438" s="8" t="s">
        <v>444</v>
      </c>
      <c r="C438" s="8" t="s">
        <v>70</v>
      </c>
      <c r="D438" s="18" t="s">
        <v>2582</v>
      </c>
      <c r="E438" s="16">
        <v>72.0</v>
      </c>
      <c r="F438" s="8" t="s">
        <v>275</v>
      </c>
      <c r="G438" s="8" t="s">
        <v>3337</v>
      </c>
      <c r="H438" s="8" t="s">
        <v>93</v>
      </c>
      <c r="I438" s="18" t="s">
        <v>2620</v>
      </c>
      <c r="J438" s="16">
        <v>68.0</v>
      </c>
      <c r="K438" s="8" t="s">
        <v>2128</v>
      </c>
      <c r="L438" s="8" t="s">
        <v>2842</v>
      </c>
      <c r="M438" s="18" t="s">
        <v>2560</v>
      </c>
      <c r="N438" s="16">
        <v>69.0</v>
      </c>
      <c r="O438" s="8" t="s">
        <v>4347</v>
      </c>
      <c r="P438" s="8" t="s">
        <v>46</v>
      </c>
      <c r="Q438" s="14" t="s">
        <v>2296</v>
      </c>
      <c r="R438" s="8" t="s">
        <v>2577</v>
      </c>
      <c r="S438" s="14" t="s">
        <v>2563</v>
      </c>
    </row>
    <row r="439">
      <c r="A439" s="8" t="s">
        <v>275</v>
      </c>
      <c r="B439" s="8" t="s">
        <v>448</v>
      </c>
      <c r="C439" s="8" t="s">
        <v>141</v>
      </c>
      <c r="D439" s="18" t="s">
        <v>2572</v>
      </c>
      <c r="E439" s="16">
        <v>69.0</v>
      </c>
      <c r="F439" s="8" t="s">
        <v>275</v>
      </c>
      <c r="G439" s="8" t="s">
        <v>1263</v>
      </c>
      <c r="H439" s="8" t="s">
        <v>93</v>
      </c>
      <c r="I439" s="18" t="s">
        <v>2567</v>
      </c>
      <c r="J439" s="16">
        <v>64.0</v>
      </c>
      <c r="K439" s="8" t="s">
        <v>1736</v>
      </c>
      <c r="L439" s="8" t="s">
        <v>90</v>
      </c>
      <c r="M439" s="18" t="s">
        <v>2575</v>
      </c>
      <c r="N439" s="16">
        <v>67.0</v>
      </c>
      <c r="O439" s="8" t="s">
        <v>4348</v>
      </c>
      <c r="P439" s="8" t="s">
        <v>149</v>
      </c>
      <c r="Q439" s="14" t="s">
        <v>2296</v>
      </c>
      <c r="R439" s="8" t="s">
        <v>2560</v>
      </c>
      <c r="S439" s="14" t="s">
        <v>2579</v>
      </c>
    </row>
    <row r="440">
      <c r="A440" s="8" t="s">
        <v>726</v>
      </c>
      <c r="B440" s="8" t="s">
        <v>2064</v>
      </c>
      <c r="C440" s="8" t="s">
        <v>192</v>
      </c>
      <c r="D440" s="18" t="s">
        <v>2593</v>
      </c>
      <c r="E440" s="16">
        <v>64.0</v>
      </c>
      <c r="F440" s="8" t="s">
        <v>275</v>
      </c>
      <c r="G440" s="8" t="s">
        <v>2741</v>
      </c>
      <c r="H440" s="8" t="s">
        <v>192</v>
      </c>
      <c r="I440" s="18" t="s">
        <v>2592</v>
      </c>
      <c r="J440" s="16">
        <v>71.0</v>
      </c>
      <c r="K440" s="8" t="s">
        <v>2392</v>
      </c>
      <c r="L440" s="8" t="s">
        <v>2391</v>
      </c>
      <c r="M440" s="18" t="s">
        <v>2577</v>
      </c>
      <c r="N440" s="16">
        <v>72.0</v>
      </c>
      <c r="O440" s="8" t="s">
        <v>4349</v>
      </c>
      <c r="P440" s="8" t="s">
        <v>24</v>
      </c>
      <c r="Q440" s="14" t="s">
        <v>83</v>
      </c>
      <c r="R440" s="8" t="s">
        <v>2610</v>
      </c>
      <c r="S440" s="14" t="s">
        <v>2628</v>
      </c>
    </row>
    <row r="441">
      <c r="A441" s="8" t="s">
        <v>726</v>
      </c>
      <c r="B441" s="8" t="s">
        <v>1417</v>
      </c>
      <c r="C441" s="8" t="s">
        <v>122</v>
      </c>
      <c r="D441" s="18" t="s">
        <v>2562</v>
      </c>
      <c r="E441" s="16">
        <v>66.0</v>
      </c>
      <c r="F441" s="8" t="s">
        <v>275</v>
      </c>
      <c r="G441" s="8" t="s">
        <v>3402</v>
      </c>
      <c r="H441" s="8" t="s">
        <v>80</v>
      </c>
      <c r="I441" s="18" t="s">
        <v>2605</v>
      </c>
      <c r="J441" s="16">
        <v>70.0</v>
      </c>
      <c r="K441" s="8" t="s">
        <v>165</v>
      </c>
      <c r="L441" s="8" t="s">
        <v>164</v>
      </c>
      <c r="M441" s="18" t="s">
        <v>2558</v>
      </c>
      <c r="N441" s="16">
        <v>83.0</v>
      </c>
      <c r="O441" s="8" t="s">
        <v>4350</v>
      </c>
      <c r="P441" s="8" t="s">
        <v>59</v>
      </c>
      <c r="Q441" s="14" t="s">
        <v>135</v>
      </c>
      <c r="R441" s="8" t="s">
        <v>2593</v>
      </c>
      <c r="S441" s="14" t="s">
        <v>2586</v>
      </c>
    </row>
    <row r="442">
      <c r="A442" s="8" t="s">
        <v>726</v>
      </c>
      <c r="B442" s="8" t="s">
        <v>2827</v>
      </c>
      <c r="C442" s="8" t="s">
        <v>16</v>
      </c>
      <c r="D442" s="18" t="s">
        <v>2560</v>
      </c>
      <c r="E442" s="16">
        <v>67.0</v>
      </c>
      <c r="F442" s="8" t="s">
        <v>275</v>
      </c>
      <c r="G442" s="8" t="s">
        <v>1250</v>
      </c>
      <c r="H442" s="8" t="s">
        <v>53</v>
      </c>
      <c r="I442" s="18" t="s">
        <v>2572</v>
      </c>
      <c r="J442" s="16">
        <v>68.0</v>
      </c>
      <c r="K442" s="8" t="s">
        <v>925</v>
      </c>
      <c r="L442" s="8" t="s">
        <v>924</v>
      </c>
      <c r="M442" s="18" t="s">
        <v>2567</v>
      </c>
      <c r="N442" s="16">
        <v>75.0</v>
      </c>
      <c r="O442" s="8" t="s">
        <v>4351</v>
      </c>
      <c r="P442" s="8" t="s">
        <v>80</v>
      </c>
      <c r="Q442" s="14" t="s">
        <v>1070</v>
      </c>
      <c r="R442" s="8" t="s">
        <v>2610</v>
      </c>
      <c r="S442" s="14" t="s">
        <v>2557</v>
      </c>
    </row>
    <row r="443">
      <c r="A443" s="8" t="s">
        <v>726</v>
      </c>
      <c r="B443" s="8" t="s">
        <v>284</v>
      </c>
      <c r="C443" s="8" t="s">
        <v>186</v>
      </c>
      <c r="D443" s="18" t="s">
        <v>2605</v>
      </c>
      <c r="E443" s="16">
        <v>72.0</v>
      </c>
      <c r="F443" s="8" t="s">
        <v>275</v>
      </c>
      <c r="G443" s="8" t="s">
        <v>99</v>
      </c>
      <c r="H443" s="8" t="s">
        <v>138</v>
      </c>
      <c r="I443" s="18" t="s">
        <v>2610</v>
      </c>
      <c r="J443" s="16">
        <v>67.0</v>
      </c>
      <c r="K443" s="8" t="s">
        <v>925</v>
      </c>
      <c r="L443" s="8" t="s">
        <v>1168</v>
      </c>
      <c r="M443" s="18" t="s">
        <v>2610</v>
      </c>
      <c r="N443" s="16">
        <v>66.0</v>
      </c>
      <c r="O443" s="8" t="s">
        <v>4352</v>
      </c>
      <c r="P443" s="8" t="s">
        <v>192</v>
      </c>
      <c r="Q443" s="14" t="s">
        <v>837</v>
      </c>
      <c r="R443" s="8" t="s">
        <v>2567</v>
      </c>
      <c r="S443" s="14" t="s">
        <v>2586</v>
      </c>
    </row>
    <row r="444">
      <c r="A444" s="8" t="s">
        <v>726</v>
      </c>
      <c r="B444" s="8" t="s">
        <v>958</v>
      </c>
      <c r="C444" s="8" t="s">
        <v>186</v>
      </c>
      <c r="D444" s="18" t="s">
        <v>2615</v>
      </c>
      <c r="E444" s="16">
        <v>74.0</v>
      </c>
      <c r="F444" s="8" t="s">
        <v>275</v>
      </c>
      <c r="G444" s="8" t="s">
        <v>652</v>
      </c>
      <c r="H444" s="8" t="s">
        <v>12</v>
      </c>
      <c r="I444" s="18" t="s">
        <v>2577</v>
      </c>
      <c r="J444" s="16">
        <v>82.0</v>
      </c>
      <c r="K444" s="8" t="s">
        <v>2666</v>
      </c>
      <c r="L444" s="8" t="s">
        <v>2665</v>
      </c>
      <c r="M444" s="18" t="s">
        <v>2645</v>
      </c>
      <c r="N444" s="16">
        <v>61.0</v>
      </c>
      <c r="O444" s="8" t="s">
        <v>4353</v>
      </c>
      <c r="P444" s="8" t="s">
        <v>16</v>
      </c>
      <c r="Q444" s="14" t="s">
        <v>2033</v>
      </c>
      <c r="R444" s="8" t="s">
        <v>2564</v>
      </c>
      <c r="S444" s="14" t="s">
        <v>2618</v>
      </c>
    </row>
    <row r="445">
      <c r="A445" s="8" t="s">
        <v>726</v>
      </c>
      <c r="B445" s="8" t="s">
        <v>1014</v>
      </c>
      <c r="C445" s="8" t="s">
        <v>122</v>
      </c>
      <c r="D445" s="18" t="s">
        <v>2558</v>
      </c>
      <c r="E445" s="16">
        <v>60.0</v>
      </c>
      <c r="F445" s="8" t="s">
        <v>275</v>
      </c>
      <c r="G445" s="8" t="s">
        <v>1848</v>
      </c>
      <c r="H445" s="8" t="s">
        <v>65</v>
      </c>
      <c r="I445" s="18" t="s">
        <v>2592</v>
      </c>
      <c r="J445" s="16">
        <v>75.0</v>
      </c>
      <c r="K445" s="8" t="s">
        <v>352</v>
      </c>
      <c r="L445" s="8" t="s">
        <v>351</v>
      </c>
      <c r="M445" s="18" t="s">
        <v>2610</v>
      </c>
      <c r="N445" s="16">
        <v>78.0</v>
      </c>
      <c r="O445" s="8" t="s">
        <v>4354</v>
      </c>
      <c r="P445" s="8" t="s">
        <v>138</v>
      </c>
      <c r="Q445" s="14" t="s">
        <v>2296</v>
      </c>
      <c r="R445" s="18" t="s">
        <v>2556</v>
      </c>
      <c r="S445" s="14" t="s">
        <v>2553</v>
      </c>
    </row>
    <row r="446">
      <c r="A446" s="8" t="s">
        <v>726</v>
      </c>
      <c r="B446" s="8" t="s">
        <v>1337</v>
      </c>
      <c r="C446" s="8" t="s">
        <v>75</v>
      </c>
      <c r="D446" s="18" t="s">
        <v>2610</v>
      </c>
      <c r="E446" s="16">
        <v>65.0</v>
      </c>
      <c r="F446" s="8" t="s">
        <v>726</v>
      </c>
      <c r="G446" s="8" t="s">
        <v>1417</v>
      </c>
      <c r="H446" s="8" t="s">
        <v>215</v>
      </c>
      <c r="I446" s="18" t="s">
        <v>2562</v>
      </c>
      <c r="J446" s="16">
        <v>70.0</v>
      </c>
      <c r="K446" s="8" t="s">
        <v>2933</v>
      </c>
      <c r="L446" s="8" t="s">
        <v>582</v>
      </c>
      <c r="M446" s="18" t="s">
        <v>2620</v>
      </c>
      <c r="N446" s="16">
        <v>72.0</v>
      </c>
      <c r="O446" s="8" t="s">
        <v>4355</v>
      </c>
      <c r="P446" s="8" t="s">
        <v>132</v>
      </c>
      <c r="Q446" s="14" t="s">
        <v>338</v>
      </c>
      <c r="R446" s="8" t="s">
        <v>2610</v>
      </c>
      <c r="S446" s="14" t="s">
        <v>2571</v>
      </c>
    </row>
    <row r="447">
      <c r="A447" s="8" t="s">
        <v>2945</v>
      </c>
      <c r="B447" s="8" t="s">
        <v>137</v>
      </c>
      <c r="C447" s="8" t="s">
        <v>70</v>
      </c>
      <c r="D447" s="18" t="s">
        <v>2603</v>
      </c>
      <c r="E447" s="16">
        <v>71.0</v>
      </c>
      <c r="F447" s="8" t="s">
        <v>726</v>
      </c>
      <c r="G447" s="8" t="s">
        <v>1014</v>
      </c>
      <c r="H447" s="8" t="s">
        <v>122</v>
      </c>
      <c r="I447" s="18" t="s">
        <v>2558</v>
      </c>
      <c r="J447" s="16">
        <v>66.0</v>
      </c>
      <c r="K447" s="8" t="s">
        <v>1048</v>
      </c>
      <c r="L447" s="8" t="s">
        <v>1047</v>
      </c>
      <c r="M447" s="18" t="s">
        <v>2560</v>
      </c>
      <c r="N447" s="16">
        <v>73.0</v>
      </c>
      <c r="O447" s="8" t="s">
        <v>4356</v>
      </c>
      <c r="P447" s="8" t="s">
        <v>24</v>
      </c>
      <c r="Q447" s="14" t="s">
        <v>837</v>
      </c>
      <c r="R447" s="8" t="s">
        <v>2581</v>
      </c>
      <c r="S447" s="14" t="s">
        <v>2557</v>
      </c>
    </row>
    <row r="448">
      <c r="A448" s="8" t="s">
        <v>3568</v>
      </c>
      <c r="B448" s="8" t="s">
        <v>106</v>
      </c>
      <c r="C448" s="8" t="s">
        <v>93</v>
      </c>
      <c r="D448" s="18" t="s">
        <v>2610</v>
      </c>
      <c r="E448" s="16">
        <v>70.0</v>
      </c>
      <c r="F448" s="8" t="s">
        <v>726</v>
      </c>
      <c r="G448" s="8" t="s">
        <v>2827</v>
      </c>
      <c r="H448" s="8" t="s">
        <v>16</v>
      </c>
      <c r="I448" s="18" t="s">
        <v>2560</v>
      </c>
      <c r="J448" s="16">
        <v>66.0</v>
      </c>
      <c r="K448" s="8" t="s">
        <v>362</v>
      </c>
      <c r="L448" s="8" t="s">
        <v>2985</v>
      </c>
      <c r="M448" s="18" t="s">
        <v>2605</v>
      </c>
      <c r="N448" s="16">
        <v>77.0</v>
      </c>
      <c r="O448" s="8" t="s">
        <v>4357</v>
      </c>
      <c r="P448" s="8" t="s">
        <v>53</v>
      </c>
      <c r="Q448" s="14" t="s">
        <v>2296</v>
      </c>
      <c r="R448" s="8" t="s">
        <v>2603</v>
      </c>
      <c r="S448" s="14" t="s">
        <v>2622</v>
      </c>
    </row>
    <row r="449">
      <c r="A449" s="8" t="s">
        <v>90</v>
      </c>
      <c r="B449" s="8" t="s">
        <v>89</v>
      </c>
      <c r="C449" s="8" t="s">
        <v>24</v>
      </c>
      <c r="D449" s="18" t="s">
        <v>2610</v>
      </c>
      <c r="E449" s="16">
        <v>56.0</v>
      </c>
      <c r="F449" s="8" t="s">
        <v>726</v>
      </c>
      <c r="G449" s="8" t="s">
        <v>2182</v>
      </c>
      <c r="H449" s="8" t="s">
        <v>70</v>
      </c>
      <c r="I449" s="18" t="s">
        <v>2574</v>
      </c>
      <c r="J449" s="16">
        <v>81.0</v>
      </c>
      <c r="K449" s="8" t="s">
        <v>362</v>
      </c>
      <c r="L449" s="8" t="s">
        <v>1231</v>
      </c>
      <c r="M449" s="18" t="s">
        <v>2566</v>
      </c>
      <c r="N449" s="16">
        <v>72.0</v>
      </c>
      <c r="O449" s="8" t="s">
        <v>4358</v>
      </c>
      <c r="P449" s="8" t="s">
        <v>65</v>
      </c>
      <c r="Q449" s="14" t="s">
        <v>1352</v>
      </c>
      <c r="R449" s="8" t="s">
        <v>2610</v>
      </c>
      <c r="S449" s="14" t="s">
        <v>2557</v>
      </c>
    </row>
    <row r="450">
      <c r="A450" s="8" t="s">
        <v>165</v>
      </c>
      <c r="B450" s="8" t="s">
        <v>3223</v>
      </c>
      <c r="C450" s="8" t="s">
        <v>46</v>
      </c>
      <c r="D450" s="18" t="s">
        <v>2589</v>
      </c>
      <c r="E450" s="16">
        <v>60.0</v>
      </c>
      <c r="F450" s="8" t="s">
        <v>726</v>
      </c>
      <c r="G450" s="8" t="s">
        <v>1337</v>
      </c>
      <c r="H450" s="8" t="s">
        <v>132</v>
      </c>
      <c r="I450" s="18" t="s">
        <v>2610</v>
      </c>
      <c r="J450" s="16">
        <v>66.0</v>
      </c>
      <c r="K450" s="8" t="s">
        <v>362</v>
      </c>
      <c r="L450" s="8" t="s">
        <v>1217</v>
      </c>
      <c r="M450" s="18" t="s">
        <v>2584</v>
      </c>
      <c r="N450" s="16">
        <v>71.0</v>
      </c>
      <c r="O450" s="8" t="s">
        <v>4359</v>
      </c>
      <c r="P450" s="8" t="s">
        <v>80</v>
      </c>
      <c r="Q450" s="14" t="s">
        <v>338</v>
      </c>
      <c r="R450" s="8" t="s">
        <v>2584</v>
      </c>
      <c r="S450" s="14" t="s">
        <v>2565</v>
      </c>
    </row>
    <row r="451">
      <c r="A451" s="8" t="s">
        <v>165</v>
      </c>
      <c r="B451" s="8" t="s">
        <v>3672</v>
      </c>
      <c r="C451" s="8" t="s">
        <v>24</v>
      </c>
      <c r="D451" s="18" t="s">
        <v>2600</v>
      </c>
      <c r="E451" s="16">
        <v>70.0</v>
      </c>
      <c r="F451" s="8" t="s">
        <v>726</v>
      </c>
      <c r="G451" s="8" t="s">
        <v>958</v>
      </c>
      <c r="H451" s="8" t="s">
        <v>186</v>
      </c>
      <c r="I451" s="18" t="s">
        <v>2615</v>
      </c>
      <c r="J451" s="16">
        <v>82.0</v>
      </c>
      <c r="K451" s="8" t="s">
        <v>362</v>
      </c>
      <c r="L451" s="8" t="s">
        <v>1058</v>
      </c>
      <c r="M451" s="18" t="s">
        <v>2605</v>
      </c>
      <c r="N451" s="16">
        <v>82.0</v>
      </c>
      <c r="O451" s="8" t="s">
        <v>4360</v>
      </c>
      <c r="P451" s="8" t="s">
        <v>149</v>
      </c>
      <c r="Q451" s="14" t="s">
        <v>2296</v>
      </c>
      <c r="R451" s="8" t="s">
        <v>2587</v>
      </c>
      <c r="S451" s="14" t="s">
        <v>2622</v>
      </c>
    </row>
    <row r="452">
      <c r="A452" s="8" t="s">
        <v>165</v>
      </c>
      <c r="B452" s="8" t="s">
        <v>164</v>
      </c>
      <c r="C452" s="8" t="s">
        <v>53</v>
      </c>
      <c r="D452" s="18" t="s">
        <v>2558</v>
      </c>
      <c r="E452" s="16">
        <v>89.0</v>
      </c>
      <c r="F452" s="8" t="s">
        <v>726</v>
      </c>
      <c r="G452" s="8" t="s">
        <v>284</v>
      </c>
      <c r="H452" s="8" t="s">
        <v>53</v>
      </c>
      <c r="I452" s="18" t="s">
        <v>2605</v>
      </c>
      <c r="J452" s="16">
        <v>73.0</v>
      </c>
      <c r="K452" s="8" t="s">
        <v>362</v>
      </c>
      <c r="L452" s="8" t="s">
        <v>1414</v>
      </c>
      <c r="M452" s="18" t="s">
        <v>2610</v>
      </c>
      <c r="N452" s="16">
        <v>69.0</v>
      </c>
      <c r="O452" s="8" t="s">
        <v>4361</v>
      </c>
      <c r="P452" s="8" t="s">
        <v>16</v>
      </c>
      <c r="Q452" s="14" t="s">
        <v>1070</v>
      </c>
      <c r="R452" s="8" t="s">
        <v>2564</v>
      </c>
      <c r="S452" s="14" t="s">
        <v>2594</v>
      </c>
    </row>
    <row r="453">
      <c r="A453" s="8" t="s">
        <v>925</v>
      </c>
      <c r="B453" s="8" t="s">
        <v>1168</v>
      </c>
      <c r="C453" s="8" t="s">
        <v>192</v>
      </c>
      <c r="D453" s="18" t="s">
        <v>2610</v>
      </c>
      <c r="E453" s="16">
        <v>65.0</v>
      </c>
      <c r="F453" s="8" t="s">
        <v>2945</v>
      </c>
      <c r="G453" s="8" t="s">
        <v>137</v>
      </c>
      <c r="H453" s="8" t="s">
        <v>70</v>
      </c>
      <c r="I453" s="18" t="s">
        <v>2567</v>
      </c>
      <c r="J453" s="16">
        <v>75.0</v>
      </c>
      <c r="K453" s="8" t="s">
        <v>362</v>
      </c>
      <c r="L453" s="8" t="s">
        <v>61</v>
      </c>
      <c r="M453" s="18" t="s">
        <v>2584</v>
      </c>
      <c r="N453" s="16">
        <v>75.0</v>
      </c>
      <c r="O453" s="8" t="s">
        <v>4362</v>
      </c>
      <c r="P453" s="8" t="s">
        <v>65</v>
      </c>
      <c r="Q453" s="14" t="s">
        <v>1070</v>
      </c>
      <c r="R453" s="8" t="s">
        <v>2566</v>
      </c>
      <c r="S453" s="14" t="s">
        <v>2602</v>
      </c>
    </row>
    <row r="454">
      <c r="A454" s="8" t="s">
        <v>925</v>
      </c>
      <c r="B454" s="8" t="s">
        <v>924</v>
      </c>
      <c r="C454" s="8" t="s">
        <v>80</v>
      </c>
      <c r="D454" s="18" t="s">
        <v>2567</v>
      </c>
      <c r="E454" s="16">
        <v>70.0</v>
      </c>
      <c r="F454" s="8" t="s">
        <v>1736</v>
      </c>
      <c r="G454" s="8" t="s">
        <v>90</v>
      </c>
      <c r="H454" s="8" t="s">
        <v>80</v>
      </c>
      <c r="I454" s="18" t="s">
        <v>2575</v>
      </c>
      <c r="J454" s="16">
        <v>65.0</v>
      </c>
      <c r="K454" s="8" t="s">
        <v>362</v>
      </c>
      <c r="L454" s="8" t="s">
        <v>1059</v>
      </c>
      <c r="M454" s="18" t="s">
        <v>2621</v>
      </c>
      <c r="N454" s="16">
        <v>73.0</v>
      </c>
      <c r="O454" s="8" t="s">
        <v>4363</v>
      </c>
      <c r="P454" s="8" t="s">
        <v>141</v>
      </c>
      <c r="Q454" s="14" t="s">
        <v>837</v>
      </c>
      <c r="R454" s="8" t="s">
        <v>2605</v>
      </c>
      <c r="S454" s="14" t="s">
        <v>2599</v>
      </c>
    </row>
    <row r="455">
      <c r="A455" s="8" t="s">
        <v>2666</v>
      </c>
      <c r="B455" s="8" t="s">
        <v>2665</v>
      </c>
      <c r="C455" s="8" t="s">
        <v>215</v>
      </c>
      <c r="D455" s="18" t="s">
        <v>2603</v>
      </c>
      <c r="E455" s="16">
        <v>90.0</v>
      </c>
      <c r="F455" s="8" t="s">
        <v>90</v>
      </c>
      <c r="G455" s="8" t="s">
        <v>89</v>
      </c>
      <c r="H455" s="8" t="s">
        <v>24</v>
      </c>
      <c r="I455" s="18" t="s">
        <v>2610</v>
      </c>
      <c r="J455" s="16">
        <v>56.0</v>
      </c>
      <c r="K455" s="8" t="s">
        <v>1816</v>
      </c>
      <c r="L455" s="8" t="s">
        <v>1815</v>
      </c>
      <c r="M455" s="18" t="s">
        <v>2552</v>
      </c>
      <c r="N455" s="16">
        <v>71.0</v>
      </c>
      <c r="O455" s="8" t="s">
        <v>4364</v>
      </c>
      <c r="P455" s="8" t="s">
        <v>75</v>
      </c>
      <c r="Q455" s="14" t="s">
        <v>837</v>
      </c>
      <c r="R455" s="8" t="s">
        <v>2614</v>
      </c>
      <c r="S455" s="14" t="s">
        <v>2570</v>
      </c>
    </row>
    <row r="456">
      <c r="A456" s="8" t="s">
        <v>2666</v>
      </c>
      <c r="B456" s="8" t="s">
        <v>164</v>
      </c>
      <c r="C456" s="8" t="s">
        <v>215</v>
      </c>
      <c r="D456" s="18" t="s">
        <v>2592</v>
      </c>
      <c r="E456" s="16">
        <v>66.0</v>
      </c>
      <c r="F456" s="8" t="s">
        <v>165</v>
      </c>
      <c r="G456" s="8" t="s">
        <v>164</v>
      </c>
      <c r="H456" s="8" t="s">
        <v>59</v>
      </c>
      <c r="I456" s="18" t="s">
        <v>2558</v>
      </c>
      <c r="J456" s="16">
        <v>82.0</v>
      </c>
      <c r="K456" s="8" t="s">
        <v>349</v>
      </c>
      <c r="L456" s="8" t="s">
        <v>1665</v>
      </c>
      <c r="M456" s="18" t="s">
        <v>2585</v>
      </c>
      <c r="N456" s="16">
        <v>66.0</v>
      </c>
      <c r="O456" s="8" t="s">
        <v>4365</v>
      </c>
      <c r="P456" s="8" t="s">
        <v>132</v>
      </c>
      <c r="Q456" s="14" t="s">
        <v>1679</v>
      </c>
      <c r="R456" s="18" t="s">
        <v>2589</v>
      </c>
      <c r="S456" s="14" t="s">
        <v>2583</v>
      </c>
    </row>
    <row r="457">
      <c r="A457" s="8" t="s">
        <v>352</v>
      </c>
      <c r="B457" s="8" t="s">
        <v>351</v>
      </c>
      <c r="C457" s="8" t="s">
        <v>75</v>
      </c>
      <c r="D457" s="18" t="s">
        <v>2610</v>
      </c>
      <c r="E457" s="16">
        <v>81.0</v>
      </c>
      <c r="F457" s="8" t="s">
        <v>165</v>
      </c>
      <c r="G457" s="8" t="s">
        <v>3223</v>
      </c>
      <c r="H457" s="8" t="s">
        <v>46</v>
      </c>
      <c r="I457" s="18" t="s">
        <v>2614</v>
      </c>
      <c r="J457" s="16">
        <v>60.0</v>
      </c>
      <c r="K457" s="8" t="s">
        <v>349</v>
      </c>
      <c r="L457" s="8" t="s">
        <v>1474</v>
      </c>
      <c r="M457" s="18" t="s">
        <v>2585</v>
      </c>
      <c r="N457" s="16">
        <v>66.0</v>
      </c>
      <c r="O457" s="8" t="s">
        <v>4366</v>
      </c>
      <c r="P457" s="8" t="s">
        <v>38</v>
      </c>
      <c r="Q457" s="14" t="s">
        <v>1679</v>
      </c>
      <c r="R457" s="8" t="s">
        <v>2620</v>
      </c>
      <c r="S457" s="14" t="s">
        <v>2583</v>
      </c>
    </row>
    <row r="458">
      <c r="A458" s="8" t="s">
        <v>2933</v>
      </c>
      <c r="B458" s="8" t="s">
        <v>582</v>
      </c>
      <c r="C458" s="8" t="s">
        <v>122</v>
      </c>
      <c r="D458" s="18" t="s">
        <v>2592</v>
      </c>
      <c r="E458" s="16">
        <v>77.0</v>
      </c>
      <c r="F458" s="8" t="s">
        <v>925</v>
      </c>
      <c r="G458" s="8" t="s">
        <v>924</v>
      </c>
      <c r="H458" s="8" t="s">
        <v>192</v>
      </c>
      <c r="I458" s="18" t="s">
        <v>2567</v>
      </c>
      <c r="J458" s="16">
        <v>81.0</v>
      </c>
      <c r="K458" s="8" t="s">
        <v>349</v>
      </c>
      <c r="L458" s="8" t="s">
        <v>320</v>
      </c>
      <c r="M458" s="18" t="s">
        <v>2574</v>
      </c>
      <c r="N458" s="16">
        <v>65.0</v>
      </c>
      <c r="O458" s="8" t="s">
        <v>4367</v>
      </c>
      <c r="P458" s="8" t="s">
        <v>65</v>
      </c>
      <c r="Q458" s="14" t="s">
        <v>338</v>
      </c>
      <c r="R458" s="8" t="s">
        <v>2587</v>
      </c>
      <c r="S458" s="14" t="s">
        <v>2578</v>
      </c>
    </row>
    <row r="459">
      <c r="A459" s="8" t="s">
        <v>1048</v>
      </c>
      <c r="B459" s="8" t="s">
        <v>1047</v>
      </c>
      <c r="C459" s="8" t="s">
        <v>24</v>
      </c>
      <c r="D459" s="18" t="s">
        <v>2556</v>
      </c>
      <c r="E459" s="16">
        <v>77.0</v>
      </c>
      <c r="F459" s="8" t="s">
        <v>925</v>
      </c>
      <c r="G459" s="8" t="s">
        <v>1168</v>
      </c>
      <c r="H459" s="8" t="s">
        <v>192</v>
      </c>
      <c r="I459" s="18" t="s">
        <v>2610</v>
      </c>
      <c r="J459" s="16">
        <v>63.0</v>
      </c>
      <c r="K459" s="8" t="s">
        <v>349</v>
      </c>
      <c r="L459" s="8" t="s">
        <v>1645</v>
      </c>
      <c r="M459" s="18" t="s">
        <v>2572</v>
      </c>
      <c r="N459" s="16">
        <v>62.0</v>
      </c>
      <c r="O459" s="8" t="s">
        <v>4368</v>
      </c>
      <c r="P459" s="8" t="s">
        <v>46</v>
      </c>
      <c r="Q459" s="14" t="s">
        <v>1679</v>
      </c>
      <c r="R459" s="8" t="s">
        <v>2592</v>
      </c>
      <c r="S459" s="14" t="s">
        <v>2606</v>
      </c>
    </row>
    <row r="460">
      <c r="A460" s="8" t="s">
        <v>3293</v>
      </c>
      <c r="B460" s="8" t="s">
        <v>1181</v>
      </c>
      <c r="C460" s="8" t="s">
        <v>65</v>
      </c>
      <c r="D460" s="18" t="s">
        <v>2574</v>
      </c>
      <c r="E460" s="16">
        <v>65.0</v>
      </c>
      <c r="F460" s="8" t="s">
        <v>2666</v>
      </c>
      <c r="G460" s="8" t="s">
        <v>2665</v>
      </c>
      <c r="H460" s="8" t="s">
        <v>215</v>
      </c>
      <c r="I460" s="18" t="s">
        <v>2603</v>
      </c>
      <c r="J460" s="16">
        <v>86.0</v>
      </c>
      <c r="K460" s="8" t="s">
        <v>349</v>
      </c>
      <c r="L460" s="8" t="s">
        <v>348</v>
      </c>
      <c r="M460" s="18" t="s">
        <v>2614</v>
      </c>
      <c r="N460" s="16">
        <v>76.0</v>
      </c>
      <c r="O460" s="8" t="s">
        <v>4369</v>
      </c>
      <c r="P460" s="8" t="s">
        <v>24</v>
      </c>
      <c r="Q460" s="14" t="s">
        <v>1352</v>
      </c>
      <c r="R460" s="8" t="s">
        <v>2552</v>
      </c>
      <c r="S460" s="14" t="s">
        <v>2568</v>
      </c>
    </row>
    <row r="461">
      <c r="A461" s="8" t="s">
        <v>3253</v>
      </c>
      <c r="B461" s="8" t="s">
        <v>3252</v>
      </c>
      <c r="C461" s="8" t="s">
        <v>24</v>
      </c>
      <c r="D461" s="18" t="s">
        <v>2595</v>
      </c>
      <c r="E461" s="16">
        <v>84.0</v>
      </c>
      <c r="F461" s="8" t="s">
        <v>352</v>
      </c>
      <c r="G461" s="8" t="s">
        <v>351</v>
      </c>
      <c r="H461" s="8" t="s">
        <v>75</v>
      </c>
      <c r="I461" s="18" t="s">
        <v>2610</v>
      </c>
      <c r="J461" s="16">
        <v>77.0</v>
      </c>
      <c r="K461" s="8" t="s">
        <v>349</v>
      </c>
      <c r="L461" s="8" t="s">
        <v>2750</v>
      </c>
      <c r="M461" s="18" t="s">
        <v>2600</v>
      </c>
      <c r="N461" s="16">
        <v>68.0</v>
      </c>
      <c r="O461" s="8" t="s">
        <v>4370</v>
      </c>
      <c r="P461" s="8" t="s">
        <v>186</v>
      </c>
      <c r="Q461" s="14" t="s">
        <v>2033</v>
      </c>
      <c r="R461" s="8" t="s">
        <v>2582</v>
      </c>
      <c r="S461" s="14" t="s">
        <v>2579</v>
      </c>
    </row>
    <row r="462">
      <c r="A462" s="8" t="s">
        <v>362</v>
      </c>
      <c r="B462" s="8" t="s">
        <v>3559</v>
      </c>
      <c r="C462" s="8" t="s">
        <v>46</v>
      </c>
      <c r="D462" s="18" t="s">
        <v>2582</v>
      </c>
      <c r="E462" s="16">
        <v>65.0</v>
      </c>
      <c r="F462" s="8" t="s">
        <v>2933</v>
      </c>
      <c r="G462" s="8" t="s">
        <v>582</v>
      </c>
      <c r="H462" s="8" t="s">
        <v>122</v>
      </c>
      <c r="I462" s="18" t="s">
        <v>2592</v>
      </c>
      <c r="J462" s="16">
        <v>75.0</v>
      </c>
      <c r="K462" s="8" t="s">
        <v>349</v>
      </c>
      <c r="L462" s="8" t="s">
        <v>1885</v>
      </c>
      <c r="M462" s="18" t="s">
        <v>2558</v>
      </c>
      <c r="N462" s="16">
        <v>70.0</v>
      </c>
      <c r="O462" s="8" t="s">
        <v>4371</v>
      </c>
      <c r="P462" s="8" t="s">
        <v>93</v>
      </c>
      <c r="Q462" s="14" t="s">
        <v>1679</v>
      </c>
      <c r="R462" s="8" t="s">
        <v>2574</v>
      </c>
      <c r="S462" s="14" t="s">
        <v>2570</v>
      </c>
    </row>
    <row r="463">
      <c r="A463" s="8" t="s">
        <v>362</v>
      </c>
      <c r="B463" s="8" t="s">
        <v>1414</v>
      </c>
      <c r="C463" s="8" t="s">
        <v>65</v>
      </c>
      <c r="D463" s="18" t="s">
        <v>2610</v>
      </c>
      <c r="E463" s="16">
        <v>65.0</v>
      </c>
      <c r="F463" s="8" t="s">
        <v>1048</v>
      </c>
      <c r="G463" s="8" t="s">
        <v>1047</v>
      </c>
      <c r="H463" s="8" t="s">
        <v>24</v>
      </c>
      <c r="I463" s="18" t="s">
        <v>2556</v>
      </c>
      <c r="J463" s="16">
        <v>75.0</v>
      </c>
      <c r="K463" s="8" t="s">
        <v>285</v>
      </c>
      <c r="L463" s="8" t="s">
        <v>284</v>
      </c>
      <c r="M463" s="18" t="s">
        <v>2574</v>
      </c>
      <c r="N463" s="16">
        <v>71.0</v>
      </c>
      <c r="O463" s="8" t="s">
        <v>4372</v>
      </c>
      <c r="P463" s="8" t="s">
        <v>132</v>
      </c>
      <c r="Q463" s="14" t="s">
        <v>1679</v>
      </c>
      <c r="R463" s="8" t="s">
        <v>2558</v>
      </c>
      <c r="S463" s="14" t="s">
        <v>2617</v>
      </c>
    </row>
    <row r="464">
      <c r="A464" s="8" t="s">
        <v>362</v>
      </c>
      <c r="B464" s="8" t="s">
        <v>61</v>
      </c>
      <c r="C464" s="8" t="s">
        <v>80</v>
      </c>
      <c r="D464" s="18" t="s">
        <v>2593</v>
      </c>
      <c r="E464" s="16">
        <v>68.0</v>
      </c>
      <c r="F464" s="8" t="s">
        <v>3293</v>
      </c>
      <c r="G464" s="8" t="s">
        <v>1181</v>
      </c>
      <c r="H464" s="8" t="s">
        <v>65</v>
      </c>
      <c r="I464" s="18" t="s">
        <v>2577</v>
      </c>
      <c r="J464" s="16">
        <v>68.0</v>
      </c>
      <c r="K464" s="8" t="s">
        <v>219</v>
      </c>
      <c r="L464" s="8" t="s">
        <v>218</v>
      </c>
      <c r="M464" s="18" t="s">
        <v>2582</v>
      </c>
      <c r="N464" s="16">
        <v>69.0</v>
      </c>
      <c r="O464" s="8" t="s">
        <v>4373</v>
      </c>
      <c r="P464" s="8" t="s">
        <v>141</v>
      </c>
      <c r="Q464" s="14" t="s">
        <v>1352</v>
      </c>
      <c r="R464" s="8" t="s">
        <v>2572</v>
      </c>
      <c r="S464" s="14" t="s">
        <v>2617</v>
      </c>
    </row>
    <row r="465">
      <c r="A465" s="8" t="s">
        <v>362</v>
      </c>
      <c r="B465" s="8" t="s">
        <v>1217</v>
      </c>
      <c r="C465" s="8" t="s">
        <v>16</v>
      </c>
      <c r="D465" s="18" t="s">
        <v>2615</v>
      </c>
      <c r="E465" s="16">
        <v>70.0</v>
      </c>
      <c r="F465" s="8" t="s">
        <v>3253</v>
      </c>
      <c r="G465" s="8" t="s">
        <v>3252</v>
      </c>
      <c r="H465" s="8" t="s">
        <v>24</v>
      </c>
      <c r="I465" s="18" t="s">
        <v>2595</v>
      </c>
      <c r="J465" s="16">
        <v>80.0</v>
      </c>
      <c r="K465" s="8" t="s">
        <v>3034</v>
      </c>
      <c r="L465" s="8" t="s">
        <v>3033</v>
      </c>
      <c r="M465" s="18" t="s">
        <v>2587</v>
      </c>
      <c r="N465" s="16">
        <v>76.0</v>
      </c>
      <c r="O465" s="8" t="s">
        <v>4374</v>
      </c>
      <c r="P465" s="8" t="s">
        <v>24</v>
      </c>
      <c r="Q465" s="14" t="s">
        <v>1352</v>
      </c>
      <c r="R465" s="8" t="s">
        <v>2621</v>
      </c>
      <c r="S465" s="14" t="s">
        <v>2568</v>
      </c>
    </row>
    <row r="466">
      <c r="A466" s="8" t="s">
        <v>362</v>
      </c>
      <c r="B466" s="8" t="s">
        <v>1231</v>
      </c>
      <c r="C466" s="8" t="s">
        <v>65</v>
      </c>
      <c r="D466" s="18" t="s">
        <v>2620</v>
      </c>
      <c r="E466" s="16">
        <v>68.0</v>
      </c>
      <c r="F466" s="8" t="s">
        <v>362</v>
      </c>
      <c r="G466" s="8" t="s">
        <v>1231</v>
      </c>
      <c r="H466" s="8" t="s">
        <v>65</v>
      </c>
      <c r="I466" s="18" t="s">
        <v>2620</v>
      </c>
      <c r="J466" s="16">
        <v>68.0</v>
      </c>
      <c r="K466" s="8" t="s">
        <v>1131</v>
      </c>
      <c r="L466" s="8" t="s">
        <v>2674</v>
      </c>
      <c r="M466" s="18" t="s">
        <v>2645</v>
      </c>
      <c r="N466" s="16">
        <v>79.0</v>
      </c>
      <c r="O466" s="8" t="s">
        <v>4375</v>
      </c>
      <c r="P466" s="8" t="s">
        <v>24</v>
      </c>
      <c r="Q466" s="14" t="s">
        <v>1352</v>
      </c>
      <c r="R466" s="8" t="s">
        <v>2585</v>
      </c>
      <c r="S466" s="14" t="s">
        <v>18</v>
      </c>
    </row>
    <row r="467">
      <c r="A467" s="8" t="s">
        <v>362</v>
      </c>
      <c r="B467" s="8" t="s">
        <v>2985</v>
      </c>
      <c r="C467" s="8" t="s">
        <v>12</v>
      </c>
      <c r="D467" s="18" t="s">
        <v>2564</v>
      </c>
      <c r="E467" s="16">
        <v>75.0</v>
      </c>
      <c r="F467" s="8" t="s">
        <v>362</v>
      </c>
      <c r="G467" s="8" t="s">
        <v>3415</v>
      </c>
      <c r="H467" s="8" t="s">
        <v>93</v>
      </c>
      <c r="I467" s="18" t="s">
        <v>2592</v>
      </c>
      <c r="J467" s="16">
        <v>71.0</v>
      </c>
      <c r="K467" s="8" t="s">
        <v>1131</v>
      </c>
      <c r="L467" s="8" t="s">
        <v>1253</v>
      </c>
      <c r="M467" s="18" t="s">
        <v>2620</v>
      </c>
      <c r="N467" s="16">
        <v>71.0</v>
      </c>
      <c r="O467" s="8" t="s">
        <v>4376</v>
      </c>
      <c r="P467" s="8" t="s">
        <v>192</v>
      </c>
      <c r="Q467" s="14" t="s">
        <v>237</v>
      </c>
      <c r="R467" s="8" t="s">
        <v>2574</v>
      </c>
      <c r="S467" s="14" t="s">
        <v>2557</v>
      </c>
    </row>
    <row r="468">
      <c r="A468" s="8" t="s">
        <v>362</v>
      </c>
      <c r="B468" s="8" t="s">
        <v>3415</v>
      </c>
      <c r="C468" s="8" t="s">
        <v>93</v>
      </c>
      <c r="D468" s="18" t="s">
        <v>2621</v>
      </c>
      <c r="E468" s="16">
        <v>72.0</v>
      </c>
      <c r="F468" s="8" t="s">
        <v>362</v>
      </c>
      <c r="G468" s="8" t="s">
        <v>1414</v>
      </c>
      <c r="H468" s="8" t="s">
        <v>65</v>
      </c>
      <c r="I468" s="18" t="s">
        <v>2610</v>
      </c>
      <c r="J468" s="16">
        <v>68.0</v>
      </c>
      <c r="K468" s="8" t="s">
        <v>1131</v>
      </c>
      <c r="L468" s="8" t="s">
        <v>195</v>
      </c>
      <c r="M468" s="18" t="s">
        <v>2556</v>
      </c>
      <c r="N468" s="16">
        <v>68.0</v>
      </c>
      <c r="O468" s="8" t="s">
        <v>4377</v>
      </c>
      <c r="P468" s="8" t="s">
        <v>16</v>
      </c>
      <c r="Q468" s="14" t="s">
        <v>189</v>
      </c>
      <c r="R468" s="8" t="s">
        <v>2582</v>
      </c>
      <c r="S468" s="14" t="s">
        <v>2576</v>
      </c>
    </row>
    <row r="469">
      <c r="A469" s="8" t="s">
        <v>362</v>
      </c>
      <c r="B469" s="8" t="s">
        <v>1328</v>
      </c>
      <c r="C469" s="8" t="s">
        <v>141</v>
      </c>
      <c r="D469" s="18" t="s">
        <v>2577</v>
      </c>
      <c r="E469" s="16">
        <v>65.0</v>
      </c>
      <c r="F469" s="8" t="s">
        <v>362</v>
      </c>
      <c r="G469" s="8" t="s">
        <v>1217</v>
      </c>
      <c r="H469" s="8" t="s">
        <v>16</v>
      </c>
      <c r="I469" s="18" t="s">
        <v>2615</v>
      </c>
      <c r="J469" s="16">
        <v>75.0</v>
      </c>
      <c r="K469" s="8" t="s">
        <v>1131</v>
      </c>
      <c r="L469" s="8" t="s">
        <v>78</v>
      </c>
      <c r="M469" s="18" t="s">
        <v>2614</v>
      </c>
      <c r="N469" s="16">
        <v>76.0</v>
      </c>
      <c r="O469" s="8" t="s">
        <v>4378</v>
      </c>
      <c r="P469" s="8" t="s">
        <v>16</v>
      </c>
      <c r="Q469" s="14" t="s">
        <v>1070</v>
      </c>
      <c r="R469" s="8" t="s">
        <v>2554</v>
      </c>
      <c r="S469" s="14" t="s">
        <v>2627</v>
      </c>
    </row>
    <row r="470">
      <c r="A470" s="8" t="s">
        <v>362</v>
      </c>
      <c r="B470" s="8" t="s">
        <v>1058</v>
      </c>
      <c r="C470" s="8" t="s">
        <v>75</v>
      </c>
      <c r="D470" s="18" t="s">
        <v>2605</v>
      </c>
      <c r="E470" s="16">
        <v>69.0</v>
      </c>
      <c r="F470" s="8" t="s">
        <v>362</v>
      </c>
      <c r="G470" s="8" t="s">
        <v>1058</v>
      </c>
      <c r="H470" s="8" t="s">
        <v>141</v>
      </c>
      <c r="I470" s="18" t="s">
        <v>2605</v>
      </c>
      <c r="J470" s="16">
        <v>86.0</v>
      </c>
      <c r="K470" s="8" t="s">
        <v>500</v>
      </c>
      <c r="L470" s="8" t="s">
        <v>1595</v>
      </c>
      <c r="M470" s="18" t="s">
        <v>2614</v>
      </c>
      <c r="N470" s="16">
        <v>67.0</v>
      </c>
      <c r="O470" s="8" t="s">
        <v>4379</v>
      </c>
      <c r="P470" s="8" t="s">
        <v>75</v>
      </c>
      <c r="Q470" s="14" t="s">
        <v>1679</v>
      </c>
      <c r="R470" s="8" t="s">
        <v>2581</v>
      </c>
      <c r="S470" s="14" t="s">
        <v>2569</v>
      </c>
    </row>
    <row r="471">
      <c r="A471" s="8" t="s">
        <v>362</v>
      </c>
      <c r="B471" s="8" t="s">
        <v>1059</v>
      </c>
      <c r="C471" s="8" t="s">
        <v>132</v>
      </c>
      <c r="D471" s="18" t="s">
        <v>2593</v>
      </c>
      <c r="E471" s="16">
        <v>64.0</v>
      </c>
      <c r="F471" s="8" t="s">
        <v>362</v>
      </c>
      <c r="G471" s="8" t="s">
        <v>61</v>
      </c>
      <c r="H471" s="8" t="s">
        <v>80</v>
      </c>
      <c r="I471" s="18" t="s">
        <v>2593</v>
      </c>
      <c r="J471" s="16">
        <v>65.0</v>
      </c>
      <c r="K471" s="8" t="s">
        <v>500</v>
      </c>
      <c r="L471" s="8" t="s">
        <v>1222</v>
      </c>
      <c r="M471" s="18" t="s">
        <v>2593</v>
      </c>
      <c r="N471" s="16">
        <v>77.0</v>
      </c>
      <c r="O471" s="8" t="s">
        <v>4380</v>
      </c>
      <c r="P471" s="8" t="s">
        <v>132</v>
      </c>
      <c r="Q471" s="14" t="s">
        <v>1070</v>
      </c>
      <c r="R471" s="8" t="s">
        <v>2620</v>
      </c>
      <c r="S471" s="14" t="s">
        <v>2573</v>
      </c>
    </row>
    <row r="472">
      <c r="A472" s="8" t="s">
        <v>349</v>
      </c>
      <c r="B472" s="8" t="s">
        <v>348</v>
      </c>
      <c r="C472" s="8" t="s">
        <v>65</v>
      </c>
      <c r="D472" s="18" t="s">
        <v>2614</v>
      </c>
      <c r="E472" s="16">
        <v>77.0</v>
      </c>
      <c r="F472" s="8" t="s">
        <v>362</v>
      </c>
      <c r="G472" s="8" t="s">
        <v>2985</v>
      </c>
      <c r="H472" s="8" t="s">
        <v>12</v>
      </c>
      <c r="I472" s="18" t="s">
        <v>2615</v>
      </c>
      <c r="J472" s="16">
        <v>74.0</v>
      </c>
      <c r="K472" s="8" t="s">
        <v>776</v>
      </c>
      <c r="L472" s="8" t="s">
        <v>775</v>
      </c>
      <c r="M472" s="18" t="s">
        <v>2600</v>
      </c>
      <c r="N472" s="16">
        <v>75.0</v>
      </c>
      <c r="O472" s="8" t="s">
        <v>4380</v>
      </c>
      <c r="P472" s="8" t="s">
        <v>132</v>
      </c>
      <c r="Q472" s="14" t="s">
        <v>2459</v>
      </c>
      <c r="R472" s="8" t="s">
        <v>2614</v>
      </c>
      <c r="S472" s="14" t="s">
        <v>2583</v>
      </c>
    </row>
    <row r="473">
      <c r="A473" s="8" t="s">
        <v>349</v>
      </c>
      <c r="B473" s="8" t="s">
        <v>1645</v>
      </c>
      <c r="C473" s="8" t="s">
        <v>132</v>
      </c>
      <c r="D473" s="18" t="s">
        <v>2589</v>
      </c>
      <c r="E473" s="16">
        <v>64.0</v>
      </c>
      <c r="F473" s="8" t="s">
        <v>362</v>
      </c>
      <c r="G473" s="8" t="s">
        <v>1059</v>
      </c>
      <c r="H473" s="8" t="s">
        <v>132</v>
      </c>
      <c r="I473" s="18" t="s">
        <v>2593</v>
      </c>
      <c r="J473" s="16">
        <v>69.0</v>
      </c>
      <c r="K473" s="8" t="s">
        <v>1637</v>
      </c>
      <c r="L473" s="8" t="s">
        <v>1636</v>
      </c>
      <c r="M473" s="18" t="s">
        <v>2581</v>
      </c>
      <c r="N473" s="16">
        <v>74.0</v>
      </c>
      <c r="O473" s="8" t="s">
        <v>4381</v>
      </c>
      <c r="P473" s="8" t="s">
        <v>75</v>
      </c>
      <c r="Q473" s="14" t="s">
        <v>2296</v>
      </c>
      <c r="R473" s="8" t="s">
        <v>2614</v>
      </c>
      <c r="S473" s="14" t="s">
        <v>2573</v>
      </c>
    </row>
    <row r="474">
      <c r="A474" s="8" t="s">
        <v>285</v>
      </c>
      <c r="B474" s="8" t="s">
        <v>284</v>
      </c>
      <c r="C474" s="8" t="s">
        <v>80</v>
      </c>
      <c r="D474" s="18" t="s">
        <v>2574</v>
      </c>
      <c r="E474" s="16">
        <v>69.0</v>
      </c>
      <c r="F474" s="8" t="s">
        <v>349</v>
      </c>
      <c r="G474" s="8" t="s">
        <v>1665</v>
      </c>
      <c r="H474" s="8" t="s">
        <v>24</v>
      </c>
      <c r="I474" s="18" t="s">
        <v>2554</v>
      </c>
      <c r="J474" s="16">
        <v>67.0</v>
      </c>
      <c r="K474" s="8" t="s">
        <v>518</v>
      </c>
      <c r="L474" s="8" t="s">
        <v>517</v>
      </c>
      <c r="M474" s="18" t="s">
        <v>2610</v>
      </c>
      <c r="N474" s="16">
        <v>78.0</v>
      </c>
      <c r="O474" s="8" t="s">
        <v>4382</v>
      </c>
      <c r="P474" s="8" t="s">
        <v>149</v>
      </c>
      <c r="Q474" s="14" t="s">
        <v>1070</v>
      </c>
      <c r="R474" s="8" t="s">
        <v>2587</v>
      </c>
      <c r="S474" s="14" t="s">
        <v>2606</v>
      </c>
    </row>
    <row r="475">
      <c r="A475" s="8" t="s">
        <v>285</v>
      </c>
      <c r="B475" s="8" t="s">
        <v>3704</v>
      </c>
      <c r="C475" s="8" t="s">
        <v>16</v>
      </c>
      <c r="D475" s="18" t="s">
        <v>2585</v>
      </c>
      <c r="E475" s="16">
        <v>74.0</v>
      </c>
      <c r="F475" s="8" t="s">
        <v>349</v>
      </c>
      <c r="G475" s="8" t="s">
        <v>1645</v>
      </c>
      <c r="H475" s="8" t="s">
        <v>132</v>
      </c>
      <c r="I475" s="18" t="s">
        <v>2589</v>
      </c>
      <c r="J475" s="16">
        <v>65.0</v>
      </c>
      <c r="K475" s="8" t="s">
        <v>304</v>
      </c>
      <c r="L475" s="8" t="s">
        <v>308</v>
      </c>
      <c r="M475" s="18" t="s">
        <v>2554</v>
      </c>
      <c r="N475" s="16">
        <v>70.0</v>
      </c>
      <c r="O475" s="8" t="s">
        <v>4383</v>
      </c>
      <c r="P475" s="8" t="s">
        <v>215</v>
      </c>
      <c r="Q475" s="14" t="s">
        <v>2033</v>
      </c>
      <c r="R475" s="8" t="s">
        <v>2577</v>
      </c>
      <c r="S475" s="14" t="s">
        <v>2580</v>
      </c>
    </row>
    <row r="476">
      <c r="A476" s="8" t="s">
        <v>219</v>
      </c>
      <c r="B476" s="8" t="s">
        <v>636</v>
      </c>
      <c r="C476" s="8" t="s">
        <v>192</v>
      </c>
      <c r="D476" s="18" t="s">
        <v>2587</v>
      </c>
      <c r="E476" s="16">
        <v>71.0</v>
      </c>
      <c r="F476" s="8" t="s">
        <v>349</v>
      </c>
      <c r="G476" s="8" t="s">
        <v>348</v>
      </c>
      <c r="H476" s="8" t="s">
        <v>65</v>
      </c>
      <c r="I476" s="18" t="s">
        <v>2614</v>
      </c>
      <c r="J476" s="16">
        <v>81.0</v>
      </c>
      <c r="K476" s="8" t="s">
        <v>304</v>
      </c>
      <c r="L476" s="8" t="s">
        <v>44</v>
      </c>
      <c r="M476" s="18" t="s">
        <v>2589</v>
      </c>
      <c r="N476" s="16">
        <v>79.0</v>
      </c>
      <c r="O476" s="8" t="s">
        <v>4384</v>
      </c>
      <c r="P476" s="8" t="s">
        <v>65</v>
      </c>
      <c r="Q476" s="14" t="s">
        <v>1070</v>
      </c>
      <c r="R476" s="8" t="s">
        <v>2593</v>
      </c>
      <c r="S476" s="14" t="s">
        <v>2611</v>
      </c>
    </row>
    <row r="477">
      <c r="A477" s="8" t="s">
        <v>219</v>
      </c>
      <c r="B477" s="8" t="s">
        <v>218</v>
      </c>
      <c r="C477" s="8" t="s">
        <v>16</v>
      </c>
      <c r="D477" s="18" t="s">
        <v>2582</v>
      </c>
      <c r="E477" s="16">
        <v>68.0</v>
      </c>
      <c r="F477" s="8" t="s">
        <v>349</v>
      </c>
      <c r="G477" s="8" t="s">
        <v>1474</v>
      </c>
      <c r="H477" s="8" t="s">
        <v>24</v>
      </c>
      <c r="I477" s="18" t="s">
        <v>2585</v>
      </c>
      <c r="J477" s="16">
        <v>67.0</v>
      </c>
      <c r="K477" s="8" t="s">
        <v>304</v>
      </c>
      <c r="L477" s="8" t="s">
        <v>1737</v>
      </c>
      <c r="M477" s="18" t="s">
        <v>2564</v>
      </c>
      <c r="N477" s="16">
        <v>78.0</v>
      </c>
      <c r="O477" s="8" t="s">
        <v>4385</v>
      </c>
      <c r="P477" s="8" t="s">
        <v>16</v>
      </c>
      <c r="Q477" s="14" t="s">
        <v>1352</v>
      </c>
      <c r="R477" s="8" t="s">
        <v>2614</v>
      </c>
      <c r="S477" s="14" t="s">
        <v>2569</v>
      </c>
    </row>
    <row r="478">
      <c r="A478" s="8" t="s">
        <v>3034</v>
      </c>
      <c r="B478" s="8" t="s">
        <v>3033</v>
      </c>
      <c r="C478" s="8" t="s">
        <v>38</v>
      </c>
      <c r="D478" s="18" t="s">
        <v>2587</v>
      </c>
      <c r="E478" s="16">
        <v>77.0</v>
      </c>
      <c r="F478" s="8" t="s">
        <v>285</v>
      </c>
      <c r="G478" s="8" t="s">
        <v>3320</v>
      </c>
      <c r="H478" s="8" t="s">
        <v>24</v>
      </c>
      <c r="I478" s="18" t="s">
        <v>2567</v>
      </c>
      <c r="J478" s="16">
        <v>67.0</v>
      </c>
      <c r="K478" s="8" t="s">
        <v>304</v>
      </c>
      <c r="L478" s="8" t="s">
        <v>877</v>
      </c>
      <c r="M478" s="18" t="s">
        <v>2615</v>
      </c>
      <c r="N478" s="16">
        <v>76.0</v>
      </c>
      <c r="O478" s="8" t="s">
        <v>4386</v>
      </c>
      <c r="P478" s="8" t="s">
        <v>65</v>
      </c>
      <c r="Q478" s="14" t="s">
        <v>631</v>
      </c>
      <c r="R478" s="8" t="s">
        <v>2605</v>
      </c>
      <c r="S478" s="14" t="s">
        <v>2601</v>
      </c>
    </row>
    <row r="479">
      <c r="A479" s="8" t="s">
        <v>3034</v>
      </c>
      <c r="B479" s="8" t="s">
        <v>3875</v>
      </c>
      <c r="C479" s="8" t="s">
        <v>24</v>
      </c>
      <c r="D479" s="18" t="s">
        <v>2556</v>
      </c>
      <c r="E479" s="16">
        <v>60.0</v>
      </c>
      <c r="F479" s="8" t="s">
        <v>285</v>
      </c>
      <c r="G479" s="8" t="s">
        <v>284</v>
      </c>
      <c r="H479" s="8" t="s">
        <v>80</v>
      </c>
      <c r="I479" s="18" t="s">
        <v>2574</v>
      </c>
      <c r="J479" s="16">
        <v>65.0</v>
      </c>
      <c r="K479" s="8" t="s">
        <v>304</v>
      </c>
      <c r="L479" s="8" t="s">
        <v>745</v>
      </c>
      <c r="M479" s="18" t="s">
        <v>2558</v>
      </c>
      <c r="N479" s="16">
        <v>77.0</v>
      </c>
      <c r="O479" s="8" t="s">
        <v>4387</v>
      </c>
      <c r="P479" s="8" t="s">
        <v>93</v>
      </c>
      <c r="Q479" s="14" t="s">
        <v>1352</v>
      </c>
      <c r="R479" s="8" t="s">
        <v>2581</v>
      </c>
      <c r="S479" s="14" t="s">
        <v>2568</v>
      </c>
    </row>
    <row r="480">
      <c r="A480" s="8" t="s">
        <v>1131</v>
      </c>
      <c r="B480" s="8" t="s">
        <v>3166</v>
      </c>
      <c r="C480" s="8" t="s">
        <v>12</v>
      </c>
      <c r="D480" s="18" t="s">
        <v>2595</v>
      </c>
      <c r="E480" s="16">
        <v>79.0</v>
      </c>
      <c r="F480" s="8" t="s">
        <v>285</v>
      </c>
      <c r="G480" s="8" t="s">
        <v>1475</v>
      </c>
      <c r="H480" s="8" t="s">
        <v>24</v>
      </c>
      <c r="I480" s="18" t="s">
        <v>2577</v>
      </c>
      <c r="J480" s="16">
        <v>47.0</v>
      </c>
      <c r="K480" s="8" t="s">
        <v>304</v>
      </c>
      <c r="L480" s="8" t="s">
        <v>2906</v>
      </c>
      <c r="M480" s="18" t="s">
        <v>2572</v>
      </c>
      <c r="N480" s="16">
        <v>80.0</v>
      </c>
      <c r="O480" s="8" t="s">
        <v>4388</v>
      </c>
      <c r="P480" s="8" t="s">
        <v>75</v>
      </c>
      <c r="Q480" s="14" t="s">
        <v>459</v>
      </c>
      <c r="R480" s="8" t="s">
        <v>2610</v>
      </c>
      <c r="S480" s="14" t="s">
        <v>2553</v>
      </c>
    </row>
    <row r="481">
      <c r="A481" s="8" t="s">
        <v>1131</v>
      </c>
      <c r="B481" s="8" t="s">
        <v>2674</v>
      </c>
      <c r="C481" s="8" t="s">
        <v>138</v>
      </c>
      <c r="D481" s="18" t="s">
        <v>2564</v>
      </c>
      <c r="E481" s="16">
        <v>84.0</v>
      </c>
      <c r="F481" s="8" t="s">
        <v>219</v>
      </c>
      <c r="G481" s="8" t="s">
        <v>636</v>
      </c>
      <c r="H481" s="8" t="s">
        <v>80</v>
      </c>
      <c r="I481" s="18" t="s">
        <v>2587</v>
      </c>
      <c r="J481" s="16">
        <v>69.0</v>
      </c>
      <c r="K481" s="8" t="s">
        <v>304</v>
      </c>
      <c r="L481" s="8" t="s">
        <v>61</v>
      </c>
      <c r="M481" s="18" t="s">
        <v>2621</v>
      </c>
      <c r="N481" s="16">
        <v>78.0</v>
      </c>
      <c r="O481" s="8" t="s">
        <v>4389</v>
      </c>
      <c r="P481" s="8" t="s">
        <v>93</v>
      </c>
      <c r="Q481" s="14" t="s">
        <v>2033</v>
      </c>
      <c r="R481" s="8" t="s">
        <v>2566</v>
      </c>
      <c r="S481" s="14" t="s">
        <v>2563</v>
      </c>
    </row>
    <row r="482">
      <c r="A482" s="8" t="s">
        <v>1131</v>
      </c>
      <c r="B482" s="8" t="s">
        <v>195</v>
      </c>
      <c r="C482" s="8" t="s">
        <v>16</v>
      </c>
      <c r="D482" s="18" t="s">
        <v>2556</v>
      </c>
      <c r="E482" s="16">
        <v>72.0</v>
      </c>
      <c r="F482" s="8" t="s">
        <v>219</v>
      </c>
      <c r="G482" s="8" t="s">
        <v>218</v>
      </c>
      <c r="H482" s="8" t="s">
        <v>16</v>
      </c>
      <c r="I482" s="18" t="s">
        <v>2582</v>
      </c>
      <c r="J482" s="16">
        <v>67.0</v>
      </c>
      <c r="K482" s="8" t="s">
        <v>304</v>
      </c>
      <c r="L482" s="8" t="s">
        <v>700</v>
      </c>
      <c r="M482" s="18" t="s">
        <v>2584</v>
      </c>
      <c r="N482" s="16">
        <v>72.0</v>
      </c>
      <c r="O482" s="8" t="s">
        <v>4390</v>
      </c>
      <c r="P482" s="8" t="s">
        <v>38</v>
      </c>
      <c r="Q482" s="14" t="s">
        <v>2033</v>
      </c>
      <c r="R482" s="8" t="s">
        <v>2587</v>
      </c>
      <c r="S482" s="14" t="s">
        <v>2563</v>
      </c>
    </row>
    <row r="483">
      <c r="A483" s="8" t="s">
        <v>1131</v>
      </c>
      <c r="B483" s="8" t="s">
        <v>1253</v>
      </c>
      <c r="C483" s="8" t="s">
        <v>132</v>
      </c>
      <c r="D483" s="18" t="s">
        <v>2620</v>
      </c>
      <c r="E483" s="16">
        <v>66.0</v>
      </c>
      <c r="F483" s="8" t="s">
        <v>3034</v>
      </c>
      <c r="G483" s="8" t="s">
        <v>3033</v>
      </c>
      <c r="H483" s="8" t="s">
        <v>38</v>
      </c>
      <c r="I483" s="18" t="s">
        <v>2587</v>
      </c>
      <c r="J483" s="16">
        <v>73.0</v>
      </c>
      <c r="K483" s="8" t="s">
        <v>304</v>
      </c>
      <c r="L483" s="8" t="s">
        <v>1511</v>
      </c>
      <c r="M483" s="18" t="s">
        <v>2621</v>
      </c>
      <c r="N483" s="16">
        <v>67.0</v>
      </c>
      <c r="O483" s="8" t="s">
        <v>4391</v>
      </c>
      <c r="P483" s="8" t="s">
        <v>70</v>
      </c>
      <c r="Q483" s="14" t="s">
        <v>1679</v>
      </c>
      <c r="R483" s="8" t="s">
        <v>2564</v>
      </c>
      <c r="S483" s="14" t="s">
        <v>2601</v>
      </c>
    </row>
    <row r="484">
      <c r="A484" s="8" t="s">
        <v>1131</v>
      </c>
      <c r="B484" s="8" t="s">
        <v>1023</v>
      </c>
      <c r="C484" s="8" t="s">
        <v>16</v>
      </c>
      <c r="D484" s="18" t="s">
        <v>2605</v>
      </c>
      <c r="E484" s="16">
        <v>59.0</v>
      </c>
      <c r="F484" s="8" t="s">
        <v>1131</v>
      </c>
      <c r="G484" s="8" t="s">
        <v>1023</v>
      </c>
      <c r="H484" s="8" t="s">
        <v>16</v>
      </c>
      <c r="I484" s="18" t="s">
        <v>2605</v>
      </c>
      <c r="J484" s="16">
        <v>57.0</v>
      </c>
      <c r="K484" s="8" t="s">
        <v>304</v>
      </c>
      <c r="L484" s="8" t="s">
        <v>203</v>
      </c>
      <c r="M484" s="18" t="s">
        <v>2645</v>
      </c>
      <c r="N484" s="16">
        <v>74.0</v>
      </c>
      <c r="O484" s="8" t="s">
        <v>4392</v>
      </c>
      <c r="P484" s="8" t="s">
        <v>65</v>
      </c>
      <c r="Q484" s="14" t="s">
        <v>1352</v>
      </c>
      <c r="R484" s="8" t="s">
        <v>2566</v>
      </c>
      <c r="S484" s="14" t="s">
        <v>2565</v>
      </c>
    </row>
    <row r="485">
      <c r="A485" s="8" t="s">
        <v>1131</v>
      </c>
      <c r="B485" s="8" t="s">
        <v>3907</v>
      </c>
      <c r="C485" s="8" t="s">
        <v>122</v>
      </c>
      <c r="D485" s="18" t="s">
        <v>2564</v>
      </c>
      <c r="E485" s="16">
        <v>60.0</v>
      </c>
      <c r="F485" s="8" t="s">
        <v>1131</v>
      </c>
      <c r="G485" s="8" t="s">
        <v>3166</v>
      </c>
      <c r="H485" s="8" t="s">
        <v>12</v>
      </c>
      <c r="I485" s="18" t="s">
        <v>2605</v>
      </c>
      <c r="J485" s="16">
        <v>75.0</v>
      </c>
      <c r="K485" s="8" t="s">
        <v>304</v>
      </c>
      <c r="L485" s="8" t="s">
        <v>220</v>
      </c>
      <c r="M485" s="18" t="s">
        <v>2564</v>
      </c>
      <c r="N485" s="16">
        <v>70.0</v>
      </c>
      <c r="O485" s="8" t="s">
        <v>4393</v>
      </c>
      <c r="P485" s="8" t="s">
        <v>65</v>
      </c>
      <c r="Q485" s="14" t="s">
        <v>1679</v>
      </c>
      <c r="R485" s="8" t="s">
        <v>2621</v>
      </c>
      <c r="S485" s="14" t="s">
        <v>2588</v>
      </c>
    </row>
    <row r="486">
      <c r="A486" s="8" t="s">
        <v>500</v>
      </c>
      <c r="B486" s="8" t="s">
        <v>3300</v>
      </c>
      <c r="C486" s="8" t="s">
        <v>24</v>
      </c>
      <c r="D486" s="18" t="s">
        <v>2603</v>
      </c>
      <c r="E486" s="16">
        <v>71.0</v>
      </c>
      <c r="F486" s="8" t="s">
        <v>1131</v>
      </c>
      <c r="G486" s="8" t="s">
        <v>3294</v>
      </c>
      <c r="H486" s="8" t="s">
        <v>24</v>
      </c>
      <c r="I486" s="18" t="s">
        <v>2614</v>
      </c>
      <c r="J486" s="16">
        <v>64.0</v>
      </c>
      <c r="K486" s="8" t="s">
        <v>304</v>
      </c>
      <c r="L486" s="8" t="s">
        <v>1264</v>
      </c>
      <c r="M486" s="18" t="s">
        <v>2562</v>
      </c>
      <c r="N486" s="16">
        <v>76.0</v>
      </c>
      <c r="O486" s="8" t="s">
        <v>4394</v>
      </c>
      <c r="P486" s="8" t="s">
        <v>141</v>
      </c>
      <c r="Q486" s="14" t="s">
        <v>1352</v>
      </c>
      <c r="R486" s="8" t="s">
        <v>2621</v>
      </c>
      <c r="S486" s="14" t="s">
        <v>2580</v>
      </c>
    </row>
    <row r="487">
      <c r="A487" s="8" t="s">
        <v>500</v>
      </c>
      <c r="B487" s="8" t="s">
        <v>441</v>
      </c>
      <c r="C487" s="8" t="s">
        <v>192</v>
      </c>
      <c r="D487" s="18" t="s">
        <v>2566</v>
      </c>
      <c r="E487" s="16">
        <v>69.0</v>
      </c>
      <c r="F487" s="8" t="s">
        <v>1131</v>
      </c>
      <c r="G487" s="8" t="s">
        <v>1253</v>
      </c>
      <c r="H487" s="8" t="s">
        <v>75</v>
      </c>
      <c r="I487" s="18" t="s">
        <v>2620</v>
      </c>
      <c r="J487" s="16">
        <v>66.0</v>
      </c>
      <c r="K487" s="8" t="s">
        <v>748</v>
      </c>
      <c r="L487" s="8" t="s">
        <v>747</v>
      </c>
      <c r="M487" s="18" t="s">
        <v>2593</v>
      </c>
      <c r="N487" s="16">
        <v>73.0</v>
      </c>
      <c r="O487" s="8" t="s">
        <v>4395</v>
      </c>
      <c r="P487" s="8" t="s">
        <v>141</v>
      </c>
      <c r="Q487" s="14" t="s">
        <v>631</v>
      </c>
      <c r="R487" s="8" t="s">
        <v>2558</v>
      </c>
      <c r="S487" s="14" t="s">
        <v>2607</v>
      </c>
    </row>
    <row r="488">
      <c r="A488" s="8" t="s">
        <v>3188</v>
      </c>
      <c r="B488" s="8" t="s">
        <v>2064</v>
      </c>
      <c r="C488" s="8" t="s">
        <v>122</v>
      </c>
      <c r="D488" s="18" t="s">
        <v>2587</v>
      </c>
      <c r="E488" s="16">
        <v>71.0</v>
      </c>
      <c r="F488" s="8" t="s">
        <v>1131</v>
      </c>
      <c r="G488" s="8" t="s">
        <v>195</v>
      </c>
      <c r="H488" s="8" t="s">
        <v>16</v>
      </c>
      <c r="I488" s="18" t="s">
        <v>2556</v>
      </c>
      <c r="J488" s="16">
        <v>69.0</v>
      </c>
      <c r="K488" s="8" t="s">
        <v>748</v>
      </c>
      <c r="L488" s="8" t="s">
        <v>1330</v>
      </c>
      <c r="M488" s="18" t="s">
        <v>2554</v>
      </c>
      <c r="N488" s="16">
        <v>74.0</v>
      </c>
      <c r="O488" s="8" t="s">
        <v>4396</v>
      </c>
      <c r="P488" s="8" t="s">
        <v>186</v>
      </c>
      <c r="Q488" s="14" t="s">
        <v>837</v>
      </c>
      <c r="R488" s="8" t="s">
        <v>2592</v>
      </c>
      <c r="S488" s="14" t="s">
        <v>2579</v>
      </c>
    </row>
    <row r="489">
      <c r="A489" s="8" t="s">
        <v>776</v>
      </c>
      <c r="B489" s="8" t="s">
        <v>775</v>
      </c>
      <c r="C489" s="8" t="s">
        <v>65</v>
      </c>
      <c r="D489" s="18" t="s">
        <v>2552</v>
      </c>
      <c r="E489" s="16">
        <v>70.0</v>
      </c>
      <c r="F489" s="8" t="s">
        <v>1131</v>
      </c>
      <c r="G489" s="8" t="s">
        <v>2674</v>
      </c>
      <c r="H489" s="8" t="s">
        <v>53</v>
      </c>
      <c r="I489" s="18" t="s">
        <v>2593</v>
      </c>
      <c r="J489" s="16">
        <v>78.0</v>
      </c>
      <c r="K489" s="8" t="s">
        <v>748</v>
      </c>
      <c r="L489" s="8" t="s">
        <v>2774</v>
      </c>
      <c r="M489" s="18" t="s">
        <v>2552</v>
      </c>
      <c r="N489" s="16">
        <v>64.0</v>
      </c>
      <c r="O489" s="8" t="s">
        <v>4397</v>
      </c>
      <c r="P489" s="8" t="s">
        <v>122</v>
      </c>
      <c r="Q489" s="14" t="s">
        <v>237</v>
      </c>
      <c r="R489" s="18" t="s">
        <v>2589</v>
      </c>
      <c r="S489" s="14" t="s">
        <v>2571</v>
      </c>
    </row>
    <row r="490">
      <c r="A490" s="8" t="s">
        <v>518</v>
      </c>
      <c r="B490" s="8" t="s">
        <v>517</v>
      </c>
      <c r="C490" s="8" t="s">
        <v>46</v>
      </c>
      <c r="D490" s="18" t="s">
        <v>2587</v>
      </c>
      <c r="E490" s="16">
        <v>89.0</v>
      </c>
      <c r="F490" s="8" t="s">
        <v>1251</v>
      </c>
      <c r="G490" s="8" t="s">
        <v>581</v>
      </c>
      <c r="H490" s="8" t="s">
        <v>149</v>
      </c>
      <c r="I490" s="18" t="s">
        <v>2600</v>
      </c>
      <c r="J490" s="16">
        <v>67.0</v>
      </c>
      <c r="K490" s="8" t="s">
        <v>2035</v>
      </c>
      <c r="L490" s="8" t="s">
        <v>641</v>
      </c>
      <c r="M490" s="18" t="s">
        <v>2581</v>
      </c>
      <c r="N490" s="16">
        <v>68.0</v>
      </c>
      <c r="O490" s="8" t="s">
        <v>4398</v>
      </c>
      <c r="P490" s="8" t="s">
        <v>59</v>
      </c>
      <c r="Q490" s="14" t="s">
        <v>1352</v>
      </c>
      <c r="R490" s="8" t="s">
        <v>2587</v>
      </c>
      <c r="S490" s="14" t="s">
        <v>2583</v>
      </c>
    </row>
    <row r="491">
      <c r="A491" s="8" t="s">
        <v>304</v>
      </c>
      <c r="B491" s="8" t="s">
        <v>877</v>
      </c>
      <c r="C491" s="8" t="s">
        <v>65</v>
      </c>
      <c r="D491" s="18" t="s">
        <v>2615</v>
      </c>
      <c r="E491" s="16">
        <v>78.0</v>
      </c>
      <c r="F491" s="8" t="s">
        <v>500</v>
      </c>
      <c r="G491" s="8" t="s">
        <v>1222</v>
      </c>
      <c r="H491" s="8" t="s">
        <v>65</v>
      </c>
      <c r="I491" s="18" t="s">
        <v>2593</v>
      </c>
      <c r="J491" s="16">
        <v>74.0</v>
      </c>
      <c r="K491" s="8" t="s">
        <v>1515</v>
      </c>
      <c r="L491" s="8" t="s">
        <v>1514</v>
      </c>
      <c r="M491" s="18" t="s">
        <v>2593</v>
      </c>
      <c r="N491" s="16">
        <v>70.0</v>
      </c>
      <c r="O491" s="8" t="s">
        <v>4399</v>
      </c>
      <c r="P491" s="8" t="s">
        <v>93</v>
      </c>
      <c r="Q491" s="14" t="s">
        <v>1679</v>
      </c>
      <c r="R491" s="8" t="s">
        <v>2574</v>
      </c>
      <c r="S491" s="14" t="s">
        <v>2579</v>
      </c>
    </row>
    <row r="492">
      <c r="A492" s="8" t="s">
        <v>304</v>
      </c>
      <c r="B492" s="8" t="s">
        <v>918</v>
      </c>
      <c r="C492" s="8" t="s">
        <v>65</v>
      </c>
      <c r="D492" s="18" t="s">
        <v>2554</v>
      </c>
      <c r="E492" s="16">
        <v>70.0</v>
      </c>
      <c r="F492" s="8" t="s">
        <v>500</v>
      </c>
      <c r="G492" s="8" t="s">
        <v>3300</v>
      </c>
      <c r="H492" s="8" t="s">
        <v>24</v>
      </c>
      <c r="I492" s="18" t="s">
        <v>2556</v>
      </c>
      <c r="J492" s="16">
        <v>69.0</v>
      </c>
      <c r="K492" s="8" t="s">
        <v>3042</v>
      </c>
      <c r="L492" s="8" t="s">
        <v>3041</v>
      </c>
      <c r="M492" s="18" t="s">
        <v>2577</v>
      </c>
      <c r="N492" s="16">
        <v>70.0</v>
      </c>
      <c r="O492" s="8" t="s">
        <v>4400</v>
      </c>
      <c r="P492" s="8" t="s">
        <v>149</v>
      </c>
      <c r="Q492" s="14" t="s">
        <v>631</v>
      </c>
      <c r="R492" s="8" t="s">
        <v>2605</v>
      </c>
      <c r="S492" s="14" t="s">
        <v>2618</v>
      </c>
    </row>
    <row r="493">
      <c r="A493" s="8" t="s">
        <v>304</v>
      </c>
      <c r="B493" s="8" t="s">
        <v>203</v>
      </c>
      <c r="C493" s="8" t="s">
        <v>80</v>
      </c>
      <c r="D493" s="18" t="s">
        <v>2587</v>
      </c>
      <c r="E493" s="16">
        <v>82.0</v>
      </c>
      <c r="F493" s="8" t="s">
        <v>3188</v>
      </c>
      <c r="G493" s="8" t="s">
        <v>2064</v>
      </c>
      <c r="H493" s="8" t="s">
        <v>122</v>
      </c>
      <c r="I493" s="18" t="s">
        <v>2566</v>
      </c>
      <c r="J493" s="16">
        <v>71.0</v>
      </c>
      <c r="K493" s="8" t="s">
        <v>2259</v>
      </c>
      <c r="L493" s="8" t="s">
        <v>1984</v>
      </c>
      <c r="M493" s="18" t="s">
        <v>2620</v>
      </c>
      <c r="N493" s="16">
        <v>77.0</v>
      </c>
      <c r="O493" s="8" t="s">
        <v>4401</v>
      </c>
      <c r="P493" s="8" t="s">
        <v>93</v>
      </c>
      <c r="Q493" s="14" t="s">
        <v>2033</v>
      </c>
      <c r="R493" s="8" t="s">
        <v>2581</v>
      </c>
      <c r="S493" s="14" t="s">
        <v>2576</v>
      </c>
    </row>
    <row r="494">
      <c r="A494" s="8" t="s">
        <v>304</v>
      </c>
      <c r="B494" s="8" t="s">
        <v>700</v>
      </c>
      <c r="C494" s="8" t="s">
        <v>70</v>
      </c>
      <c r="D494" s="18" t="s">
        <v>2584</v>
      </c>
      <c r="E494" s="16">
        <v>59.0</v>
      </c>
      <c r="F494" s="8" t="s">
        <v>776</v>
      </c>
      <c r="G494" s="8" t="s">
        <v>775</v>
      </c>
      <c r="H494" s="8" t="s">
        <v>65</v>
      </c>
      <c r="I494" s="18" t="s">
        <v>2556</v>
      </c>
      <c r="J494" s="16">
        <v>78.0</v>
      </c>
      <c r="K494" s="8" t="s">
        <v>307</v>
      </c>
      <c r="L494" s="8" t="s">
        <v>2914</v>
      </c>
      <c r="M494" s="18" t="s">
        <v>2572</v>
      </c>
      <c r="N494" s="16">
        <v>75.0</v>
      </c>
      <c r="O494" s="8" t="s">
        <v>4402</v>
      </c>
      <c r="P494" s="8" t="s">
        <v>122</v>
      </c>
      <c r="Q494" s="14" t="s">
        <v>2033</v>
      </c>
      <c r="R494" s="8" t="s">
        <v>2572</v>
      </c>
      <c r="S494" s="14" t="s">
        <v>2555</v>
      </c>
    </row>
    <row r="495">
      <c r="A495" s="8" t="s">
        <v>304</v>
      </c>
      <c r="B495" s="8" t="s">
        <v>3333</v>
      </c>
      <c r="C495" s="8" t="s">
        <v>53</v>
      </c>
      <c r="D495" s="18" t="s">
        <v>2585</v>
      </c>
      <c r="E495" s="16">
        <v>66.0</v>
      </c>
      <c r="F495" s="8" t="s">
        <v>1637</v>
      </c>
      <c r="G495" s="8" t="s">
        <v>1636</v>
      </c>
      <c r="H495" s="8" t="s">
        <v>93</v>
      </c>
      <c r="I495" s="18" t="s">
        <v>2581</v>
      </c>
      <c r="J495" s="16">
        <v>72.0</v>
      </c>
      <c r="K495" s="8" t="s">
        <v>307</v>
      </c>
      <c r="L495" s="8" t="s">
        <v>306</v>
      </c>
      <c r="M495" s="18" t="s">
        <v>2595</v>
      </c>
      <c r="N495" s="16">
        <v>79.0</v>
      </c>
      <c r="O495" s="8" t="s">
        <v>4403</v>
      </c>
      <c r="P495" s="8" t="s">
        <v>186</v>
      </c>
      <c r="Q495" s="14" t="s">
        <v>1352</v>
      </c>
      <c r="R495" s="8" t="s">
        <v>2593</v>
      </c>
      <c r="S495" s="14" t="s">
        <v>2601</v>
      </c>
    </row>
    <row r="496">
      <c r="A496" s="8" t="s">
        <v>304</v>
      </c>
      <c r="B496" s="8" t="s">
        <v>745</v>
      </c>
      <c r="C496" s="8" t="s">
        <v>141</v>
      </c>
      <c r="D496" s="18" t="s">
        <v>2558</v>
      </c>
      <c r="E496" s="16">
        <v>80.0</v>
      </c>
      <c r="F496" s="8" t="s">
        <v>518</v>
      </c>
      <c r="G496" s="8" t="s">
        <v>517</v>
      </c>
      <c r="H496" s="8" t="s">
        <v>46</v>
      </c>
      <c r="I496" s="18" t="s">
        <v>2587</v>
      </c>
      <c r="J496" s="16">
        <v>84.0</v>
      </c>
      <c r="K496" s="8" t="s">
        <v>4404</v>
      </c>
      <c r="L496" s="8" t="s">
        <v>1508</v>
      </c>
      <c r="M496" s="18" t="s">
        <v>2605</v>
      </c>
      <c r="N496" s="16">
        <v>75.0</v>
      </c>
      <c r="O496" s="8" t="s">
        <v>4405</v>
      </c>
      <c r="P496" s="8" t="s">
        <v>65</v>
      </c>
      <c r="Q496" s="14" t="s">
        <v>2033</v>
      </c>
      <c r="R496" s="8" t="s">
        <v>2620</v>
      </c>
      <c r="S496" s="14" t="s">
        <v>2571</v>
      </c>
    </row>
    <row r="497">
      <c r="A497" s="8" t="s">
        <v>304</v>
      </c>
      <c r="B497" s="8" t="s">
        <v>2906</v>
      </c>
      <c r="C497" s="8" t="s">
        <v>215</v>
      </c>
      <c r="D497" s="18" t="s">
        <v>2572</v>
      </c>
      <c r="E497" s="16">
        <v>80.0</v>
      </c>
      <c r="F497" s="8" t="s">
        <v>304</v>
      </c>
      <c r="G497" s="8" t="s">
        <v>220</v>
      </c>
      <c r="H497" s="8" t="s">
        <v>186</v>
      </c>
      <c r="I497" s="18" t="s">
        <v>2620</v>
      </c>
      <c r="J497" s="16">
        <v>66.0</v>
      </c>
      <c r="K497" s="8" t="s">
        <v>1015</v>
      </c>
      <c r="L497" s="8" t="s">
        <v>2229</v>
      </c>
      <c r="M497" s="18" t="s">
        <v>2574</v>
      </c>
      <c r="N497" s="16">
        <v>74.0</v>
      </c>
      <c r="O497" s="8" t="s">
        <v>4406</v>
      </c>
      <c r="P497" s="8" t="s">
        <v>93</v>
      </c>
      <c r="Q497" s="14" t="s">
        <v>2033</v>
      </c>
      <c r="R497" s="8" t="s">
        <v>2552</v>
      </c>
      <c r="S497" s="14" t="s">
        <v>2594</v>
      </c>
    </row>
    <row r="498">
      <c r="A498" s="8" t="s">
        <v>304</v>
      </c>
      <c r="B498" s="8" t="s">
        <v>1264</v>
      </c>
      <c r="C498" s="8" t="s">
        <v>192</v>
      </c>
      <c r="D498" s="18" t="s">
        <v>2562</v>
      </c>
      <c r="E498" s="16">
        <v>62.0</v>
      </c>
      <c r="F498" s="8" t="s">
        <v>304</v>
      </c>
      <c r="G498" s="8" t="s">
        <v>700</v>
      </c>
      <c r="H498" s="8" t="s">
        <v>70</v>
      </c>
      <c r="I498" s="18" t="s">
        <v>2584</v>
      </c>
      <c r="J498" s="16">
        <v>65.0</v>
      </c>
      <c r="K498" s="8" t="s">
        <v>1015</v>
      </c>
      <c r="L498" s="8" t="s">
        <v>421</v>
      </c>
      <c r="M498" s="18" t="s">
        <v>2566</v>
      </c>
      <c r="N498" s="16">
        <v>63.0</v>
      </c>
      <c r="O498" s="8" t="s">
        <v>4407</v>
      </c>
      <c r="P498" s="8" t="s">
        <v>59</v>
      </c>
      <c r="Q498" s="14" t="s">
        <v>237</v>
      </c>
      <c r="R498" s="8" t="s">
        <v>2595</v>
      </c>
      <c r="S498" s="14" t="s">
        <v>2565</v>
      </c>
    </row>
    <row r="499">
      <c r="A499" s="8" t="s">
        <v>304</v>
      </c>
      <c r="B499" s="8" t="s">
        <v>220</v>
      </c>
      <c r="C499" s="8" t="s">
        <v>186</v>
      </c>
      <c r="D499" s="18" t="s">
        <v>2620</v>
      </c>
      <c r="E499" s="16">
        <v>61.0</v>
      </c>
      <c r="F499" s="8" t="s">
        <v>304</v>
      </c>
      <c r="G499" s="8" t="s">
        <v>745</v>
      </c>
      <c r="H499" s="8" t="s">
        <v>141</v>
      </c>
      <c r="I499" s="18" t="s">
        <v>2558</v>
      </c>
      <c r="J499" s="16">
        <v>82.0</v>
      </c>
      <c r="K499" s="8" t="s">
        <v>1489</v>
      </c>
      <c r="L499" s="8" t="s">
        <v>2883</v>
      </c>
      <c r="M499" s="18" t="s">
        <v>2620</v>
      </c>
      <c r="N499" s="16">
        <v>73.0</v>
      </c>
      <c r="O499" s="8" t="s">
        <v>4408</v>
      </c>
      <c r="P499" s="8" t="s">
        <v>93</v>
      </c>
      <c r="Q499" s="14" t="s">
        <v>1352</v>
      </c>
      <c r="R499" s="8" t="s">
        <v>2564</v>
      </c>
      <c r="S499" s="14" t="s">
        <v>2602</v>
      </c>
    </row>
    <row r="500">
      <c r="A500" s="8" t="s">
        <v>304</v>
      </c>
      <c r="B500" s="8" t="s">
        <v>44</v>
      </c>
      <c r="C500" s="8" t="s">
        <v>122</v>
      </c>
      <c r="D500" s="18" t="s">
        <v>2589</v>
      </c>
      <c r="E500" s="16">
        <v>75.0</v>
      </c>
      <c r="F500" s="8" t="s">
        <v>304</v>
      </c>
      <c r="G500" s="8" t="s">
        <v>877</v>
      </c>
      <c r="H500" s="8" t="s">
        <v>65</v>
      </c>
      <c r="I500" s="18" t="s">
        <v>2615</v>
      </c>
      <c r="J500" s="16">
        <v>78.0</v>
      </c>
      <c r="K500" s="8" t="s">
        <v>1489</v>
      </c>
      <c r="L500" s="8" t="s">
        <v>284</v>
      </c>
      <c r="M500" s="18" t="s">
        <v>2600</v>
      </c>
      <c r="N500" s="16">
        <v>71.0</v>
      </c>
      <c r="O500" s="8" t="s">
        <v>4409</v>
      </c>
      <c r="P500" s="8" t="s">
        <v>261</v>
      </c>
      <c r="Q500" s="14" t="s">
        <v>1679</v>
      </c>
      <c r="R500" s="8" t="s">
        <v>2562</v>
      </c>
      <c r="S500" s="14" t="s">
        <v>2583</v>
      </c>
    </row>
    <row r="501">
      <c r="A501" s="8" t="s">
        <v>304</v>
      </c>
      <c r="B501" s="8" t="s">
        <v>308</v>
      </c>
      <c r="C501" s="8" t="s">
        <v>46</v>
      </c>
      <c r="D501" s="18" t="s">
        <v>2554</v>
      </c>
      <c r="E501" s="16">
        <v>69.0</v>
      </c>
      <c r="F501" s="8" t="s">
        <v>304</v>
      </c>
      <c r="G501" s="8" t="s">
        <v>44</v>
      </c>
      <c r="H501" s="8" t="s">
        <v>122</v>
      </c>
      <c r="I501" s="18" t="s">
        <v>2589</v>
      </c>
      <c r="J501" s="16">
        <v>74.0</v>
      </c>
      <c r="K501" s="18" t="s">
        <v>529</v>
      </c>
      <c r="L501" s="8" t="s">
        <v>57</v>
      </c>
      <c r="M501" s="18" t="s">
        <v>2603</v>
      </c>
      <c r="N501" s="16">
        <v>72.0</v>
      </c>
      <c r="O501" s="8" t="s">
        <v>4410</v>
      </c>
      <c r="P501" s="8" t="s">
        <v>122</v>
      </c>
      <c r="Q501" s="14" t="s">
        <v>1679</v>
      </c>
      <c r="R501" s="8" t="s">
        <v>2552</v>
      </c>
      <c r="S501" s="14" t="s">
        <v>2612</v>
      </c>
    </row>
    <row r="502">
      <c r="A502" s="8" t="s">
        <v>304</v>
      </c>
      <c r="B502" s="8" t="s">
        <v>1330</v>
      </c>
      <c r="C502" s="8" t="s">
        <v>65</v>
      </c>
      <c r="D502" s="18" t="s">
        <v>2598</v>
      </c>
      <c r="E502" s="16">
        <v>62.0</v>
      </c>
      <c r="F502" s="8" t="s">
        <v>304</v>
      </c>
      <c r="G502" s="8" t="s">
        <v>1264</v>
      </c>
      <c r="H502" s="8" t="s">
        <v>80</v>
      </c>
      <c r="I502" s="18" t="s">
        <v>2562</v>
      </c>
      <c r="J502" s="16">
        <v>70.0</v>
      </c>
      <c r="K502" s="18" t="s">
        <v>529</v>
      </c>
      <c r="L502" s="8" t="s">
        <v>1587</v>
      </c>
      <c r="M502" s="18" t="s">
        <v>2562</v>
      </c>
      <c r="N502" s="16">
        <v>80.0</v>
      </c>
      <c r="O502" s="8" t="s">
        <v>4411</v>
      </c>
      <c r="P502" s="8" t="s">
        <v>80</v>
      </c>
      <c r="Q502" s="14" t="s">
        <v>837</v>
      </c>
      <c r="R502" s="18" t="s">
        <v>2556</v>
      </c>
      <c r="S502" s="14" t="s">
        <v>2591</v>
      </c>
    </row>
    <row r="503">
      <c r="A503" s="8" t="s">
        <v>304</v>
      </c>
      <c r="B503" s="8" t="s">
        <v>1055</v>
      </c>
      <c r="C503" s="8" t="s">
        <v>93</v>
      </c>
      <c r="D503" s="18" t="s">
        <v>2587</v>
      </c>
      <c r="E503" s="16">
        <v>71.0</v>
      </c>
      <c r="F503" s="8" t="s">
        <v>304</v>
      </c>
      <c r="G503" s="8" t="s">
        <v>308</v>
      </c>
      <c r="H503" s="8" t="s">
        <v>46</v>
      </c>
      <c r="I503" s="18" t="s">
        <v>2554</v>
      </c>
      <c r="J503" s="16">
        <v>70.0</v>
      </c>
      <c r="K503" s="18" t="s">
        <v>529</v>
      </c>
      <c r="L503" s="8" t="s">
        <v>154</v>
      </c>
      <c r="M503" s="18" t="s">
        <v>2589</v>
      </c>
      <c r="N503" s="16">
        <v>68.0</v>
      </c>
      <c r="O503" s="8" t="s">
        <v>4412</v>
      </c>
      <c r="P503" s="8" t="s">
        <v>65</v>
      </c>
      <c r="Q503" s="14" t="s">
        <v>2033</v>
      </c>
      <c r="R503" s="8" t="s">
        <v>2574</v>
      </c>
      <c r="S503" s="14" t="s">
        <v>2586</v>
      </c>
    </row>
    <row r="504">
      <c r="A504" s="8" t="s">
        <v>748</v>
      </c>
      <c r="B504" s="8" t="s">
        <v>747</v>
      </c>
      <c r="C504" s="8" t="s">
        <v>149</v>
      </c>
      <c r="D504" s="18" t="s">
        <v>2554</v>
      </c>
      <c r="E504" s="16">
        <v>70.0</v>
      </c>
      <c r="F504" s="8" t="s">
        <v>304</v>
      </c>
      <c r="G504" s="8" t="s">
        <v>1511</v>
      </c>
      <c r="H504" s="8" t="s">
        <v>132</v>
      </c>
      <c r="I504" s="18" t="s">
        <v>2621</v>
      </c>
      <c r="J504" s="16">
        <v>67.0</v>
      </c>
      <c r="K504" s="18" t="s">
        <v>529</v>
      </c>
      <c r="L504" s="8" t="s">
        <v>528</v>
      </c>
      <c r="M504" s="18" t="s">
        <v>2584</v>
      </c>
      <c r="N504" s="16">
        <v>74.0</v>
      </c>
      <c r="O504" s="8" t="s">
        <v>4413</v>
      </c>
      <c r="P504" s="8" t="s">
        <v>192</v>
      </c>
      <c r="Q504" s="14" t="s">
        <v>1352</v>
      </c>
      <c r="R504" s="8" t="s">
        <v>2575</v>
      </c>
      <c r="S504" s="14" t="s">
        <v>2568</v>
      </c>
    </row>
    <row r="505">
      <c r="A505" s="8" t="s">
        <v>748</v>
      </c>
      <c r="B505" s="8" t="s">
        <v>1330</v>
      </c>
      <c r="C505" s="8" t="s">
        <v>138</v>
      </c>
      <c r="D505" s="18" t="s">
        <v>2605</v>
      </c>
      <c r="E505" s="16">
        <v>64.0</v>
      </c>
      <c r="F505" s="8" t="s">
        <v>304</v>
      </c>
      <c r="G505" s="8" t="s">
        <v>918</v>
      </c>
      <c r="H505" s="8" t="s">
        <v>65</v>
      </c>
      <c r="I505" s="18" t="s">
        <v>2595</v>
      </c>
      <c r="J505" s="16">
        <v>70.0</v>
      </c>
      <c r="K505" s="18" t="s">
        <v>529</v>
      </c>
      <c r="L505" s="8" t="s">
        <v>284</v>
      </c>
      <c r="M505" s="18" t="s">
        <v>2585</v>
      </c>
      <c r="N505" s="16">
        <v>69.0</v>
      </c>
      <c r="O505" s="18" t="s">
        <v>4414</v>
      </c>
      <c r="P505" s="8" t="s">
        <v>53</v>
      </c>
      <c r="Q505" s="14" t="s">
        <v>837</v>
      </c>
      <c r="R505" s="8" t="s">
        <v>2584</v>
      </c>
      <c r="S505" s="14" t="s">
        <v>2568</v>
      </c>
    </row>
    <row r="506">
      <c r="A506" s="8" t="s">
        <v>1515</v>
      </c>
      <c r="B506" s="8" t="s">
        <v>3297</v>
      </c>
      <c r="C506" s="8" t="s">
        <v>261</v>
      </c>
      <c r="D506" s="18" t="s">
        <v>2593</v>
      </c>
      <c r="E506" s="16">
        <v>80.0</v>
      </c>
      <c r="F506" s="8" t="s">
        <v>304</v>
      </c>
      <c r="G506" s="8" t="s">
        <v>3333</v>
      </c>
      <c r="H506" s="8" t="s">
        <v>53</v>
      </c>
      <c r="I506" s="18" t="s">
        <v>2560</v>
      </c>
      <c r="J506" s="16">
        <v>65.0</v>
      </c>
      <c r="K506" s="18" t="s">
        <v>529</v>
      </c>
      <c r="L506" s="8" t="s">
        <v>682</v>
      </c>
      <c r="M506" s="18" t="s">
        <v>2603</v>
      </c>
      <c r="N506" s="16">
        <v>76.0</v>
      </c>
      <c r="O506" s="18" t="s">
        <v>4415</v>
      </c>
      <c r="P506" s="8" t="s">
        <v>65</v>
      </c>
      <c r="Q506" s="14" t="s">
        <v>2296</v>
      </c>
      <c r="R506" s="8" t="s">
        <v>2584</v>
      </c>
      <c r="S506" s="14" t="s">
        <v>2573</v>
      </c>
    </row>
    <row r="507">
      <c r="A507" s="8" t="s">
        <v>1515</v>
      </c>
      <c r="B507" s="8" t="s">
        <v>260</v>
      </c>
      <c r="C507" s="8" t="s">
        <v>186</v>
      </c>
      <c r="D507" s="18" t="s">
        <v>2556</v>
      </c>
      <c r="E507" s="16">
        <v>61.0</v>
      </c>
      <c r="F507" s="8" t="s">
        <v>304</v>
      </c>
      <c r="G507" s="8" t="s">
        <v>61</v>
      </c>
      <c r="H507" s="8" t="s">
        <v>65</v>
      </c>
      <c r="I507" s="18" t="s">
        <v>2621</v>
      </c>
      <c r="J507" s="16">
        <v>79.0</v>
      </c>
      <c r="K507" s="18" t="s">
        <v>529</v>
      </c>
      <c r="L507" s="8" t="s">
        <v>1202</v>
      </c>
      <c r="M507" s="18" t="s">
        <v>2589</v>
      </c>
      <c r="N507" s="16">
        <v>76.0</v>
      </c>
      <c r="O507" s="18" t="s">
        <v>4416</v>
      </c>
      <c r="P507" s="8" t="s">
        <v>132</v>
      </c>
      <c r="Q507" s="14" t="s">
        <v>631</v>
      </c>
      <c r="R507" s="8" t="s">
        <v>2603</v>
      </c>
      <c r="S507" s="14" t="s">
        <v>2599</v>
      </c>
    </row>
    <row r="508">
      <c r="A508" s="8" t="s">
        <v>1515</v>
      </c>
      <c r="B508" s="8" t="s">
        <v>389</v>
      </c>
      <c r="C508" s="8" t="s">
        <v>122</v>
      </c>
      <c r="D508" s="18" t="s">
        <v>2598</v>
      </c>
      <c r="E508" s="16">
        <v>58.0</v>
      </c>
      <c r="F508" s="8" t="s">
        <v>304</v>
      </c>
      <c r="G508" s="8" t="s">
        <v>2906</v>
      </c>
      <c r="H508" s="8" t="s">
        <v>122</v>
      </c>
      <c r="I508" s="18" t="s">
        <v>2572</v>
      </c>
      <c r="J508" s="16">
        <v>80.0</v>
      </c>
      <c r="K508" s="18" t="s">
        <v>529</v>
      </c>
      <c r="L508" s="8" t="s">
        <v>808</v>
      </c>
      <c r="M508" s="18" t="s">
        <v>2582</v>
      </c>
      <c r="N508" s="16">
        <v>84.0</v>
      </c>
      <c r="O508" s="18" t="s">
        <v>4417</v>
      </c>
      <c r="P508" s="8" t="s">
        <v>70</v>
      </c>
      <c r="Q508" s="14" t="s">
        <v>1352</v>
      </c>
      <c r="R508" s="18" t="s">
        <v>2589</v>
      </c>
      <c r="S508" s="14" t="s">
        <v>2594</v>
      </c>
    </row>
    <row r="509">
      <c r="A509" s="8" t="s">
        <v>3042</v>
      </c>
      <c r="B509" s="8" t="s">
        <v>3041</v>
      </c>
      <c r="C509" s="8" t="s">
        <v>93</v>
      </c>
      <c r="D509" s="18" t="s">
        <v>2593</v>
      </c>
      <c r="E509" s="16">
        <v>71.0</v>
      </c>
      <c r="F509" s="8" t="s">
        <v>304</v>
      </c>
      <c r="G509" s="8" t="s">
        <v>1055</v>
      </c>
      <c r="H509" s="8" t="s">
        <v>93</v>
      </c>
      <c r="I509" s="18" t="s">
        <v>2560</v>
      </c>
      <c r="J509" s="16">
        <v>71.0</v>
      </c>
      <c r="K509" s="18" t="s">
        <v>529</v>
      </c>
      <c r="L509" s="8" t="s">
        <v>1055</v>
      </c>
      <c r="M509" s="18" t="s">
        <v>2567</v>
      </c>
      <c r="N509" s="16">
        <v>67.0</v>
      </c>
      <c r="O509" s="18" t="s">
        <v>4418</v>
      </c>
      <c r="P509" s="8" t="s">
        <v>93</v>
      </c>
      <c r="Q509" s="14" t="s">
        <v>459</v>
      </c>
      <c r="R509" s="8" t="s">
        <v>2584</v>
      </c>
      <c r="S509" s="14" t="s">
        <v>2602</v>
      </c>
    </row>
    <row r="510">
      <c r="A510" s="8" t="s">
        <v>3489</v>
      </c>
      <c r="B510" s="8" t="s">
        <v>3488</v>
      </c>
      <c r="C510" s="8" t="s">
        <v>53</v>
      </c>
      <c r="D510" s="18" t="s">
        <v>2598</v>
      </c>
      <c r="E510" s="16">
        <v>78.0</v>
      </c>
      <c r="F510" s="8" t="s">
        <v>1775</v>
      </c>
      <c r="G510" s="8" t="s">
        <v>1774</v>
      </c>
      <c r="H510" s="8" t="s">
        <v>93</v>
      </c>
      <c r="I510" s="18" t="s">
        <v>2574</v>
      </c>
      <c r="J510" s="16">
        <v>69.0</v>
      </c>
      <c r="K510" s="18" t="s">
        <v>529</v>
      </c>
      <c r="L510" s="8" t="s">
        <v>223</v>
      </c>
      <c r="M510" s="18" t="s">
        <v>2585</v>
      </c>
      <c r="N510" s="16">
        <v>70.0</v>
      </c>
      <c r="O510" s="18" t="s">
        <v>4419</v>
      </c>
      <c r="P510" s="8" t="s">
        <v>46</v>
      </c>
      <c r="Q510" s="14" t="s">
        <v>1352</v>
      </c>
      <c r="R510" s="18" t="s">
        <v>2589</v>
      </c>
      <c r="S510" s="14" t="s">
        <v>2565</v>
      </c>
    </row>
    <row r="511">
      <c r="A511" s="8" t="s">
        <v>307</v>
      </c>
      <c r="B511" s="8" t="s">
        <v>2914</v>
      </c>
      <c r="C511" s="8" t="s">
        <v>93</v>
      </c>
      <c r="D511" s="18" t="s">
        <v>2572</v>
      </c>
      <c r="E511" s="16">
        <v>69.0</v>
      </c>
      <c r="F511" s="8" t="s">
        <v>748</v>
      </c>
      <c r="G511" s="8" t="s">
        <v>1330</v>
      </c>
      <c r="H511" s="8" t="s">
        <v>138</v>
      </c>
      <c r="I511" s="18" t="s">
        <v>2554</v>
      </c>
      <c r="J511" s="16">
        <v>64.0</v>
      </c>
      <c r="K511" s="18" t="s">
        <v>529</v>
      </c>
      <c r="L511" s="8" t="s">
        <v>1264</v>
      </c>
      <c r="M511" s="18" t="s">
        <v>2574</v>
      </c>
      <c r="N511" s="16">
        <v>77.0</v>
      </c>
      <c r="O511" s="18" t="s">
        <v>4420</v>
      </c>
      <c r="P511" s="8" t="s">
        <v>122</v>
      </c>
      <c r="Q511" s="14" t="s">
        <v>1679</v>
      </c>
      <c r="R511" s="8" t="s">
        <v>2585</v>
      </c>
      <c r="S511" s="14" t="s">
        <v>2568</v>
      </c>
    </row>
    <row r="512">
      <c r="A512" s="8" t="s">
        <v>307</v>
      </c>
      <c r="B512" s="8" t="s">
        <v>306</v>
      </c>
      <c r="C512" s="8" t="s">
        <v>59</v>
      </c>
      <c r="D512" s="18" t="s">
        <v>2595</v>
      </c>
      <c r="E512" s="16">
        <v>78.0</v>
      </c>
      <c r="F512" s="8" t="s">
        <v>748</v>
      </c>
      <c r="G512" s="8" t="s">
        <v>2774</v>
      </c>
      <c r="H512" s="8" t="s">
        <v>141</v>
      </c>
      <c r="I512" s="18" t="s">
        <v>2598</v>
      </c>
      <c r="J512" s="16">
        <v>60.0</v>
      </c>
      <c r="K512" s="18" t="s">
        <v>529</v>
      </c>
      <c r="L512" s="8" t="s">
        <v>2319</v>
      </c>
      <c r="M512" s="18" t="s">
        <v>2584</v>
      </c>
      <c r="N512" s="16">
        <v>74.0</v>
      </c>
      <c r="O512" s="18" t="s">
        <v>4421</v>
      </c>
      <c r="P512" s="8" t="s">
        <v>65</v>
      </c>
      <c r="Q512" s="14" t="s">
        <v>2296</v>
      </c>
      <c r="R512" s="8" t="s">
        <v>2574</v>
      </c>
      <c r="S512" s="14" t="s">
        <v>2599</v>
      </c>
    </row>
    <row r="513">
      <c r="A513" s="8" t="s">
        <v>307</v>
      </c>
      <c r="B513" s="8" t="s">
        <v>3855</v>
      </c>
      <c r="C513" s="8" t="s">
        <v>24</v>
      </c>
      <c r="D513" s="18" t="s">
        <v>2621</v>
      </c>
      <c r="E513" s="16">
        <v>80.0</v>
      </c>
      <c r="F513" s="8" t="s">
        <v>748</v>
      </c>
      <c r="G513" s="8" t="s">
        <v>747</v>
      </c>
      <c r="H513" s="8" t="s">
        <v>149</v>
      </c>
      <c r="I513" s="18" t="s">
        <v>2554</v>
      </c>
      <c r="J513" s="16">
        <v>69.0</v>
      </c>
      <c r="K513" s="18" t="s">
        <v>529</v>
      </c>
      <c r="L513" s="8" t="s">
        <v>1264</v>
      </c>
      <c r="M513" s="18" t="s">
        <v>2574</v>
      </c>
      <c r="N513" s="16">
        <v>87.0</v>
      </c>
      <c r="O513" s="18" t="s">
        <v>4422</v>
      </c>
      <c r="P513" s="8" t="s">
        <v>215</v>
      </c>
      <c r="Q513" s="14" t="s">
        <v>1352</v>
      </c>
      <c r="R513" s="8" t="s">
        <v>2562</v>
      </c>
      <c r="S513" s="14" t="s">
        <v>2586</v>
      </c>
    </row>
    <row r="514">
      <c r="A514" s="8" t="s">
        <v>307</v>
      </c>
      <c r="B514" s="8" t="s">
        <v>2277</v>
      </c>
      <c r="C514" s="8" t="s">
        <v>75</v>
      </c>
      <c r="D514" s="18" t="s">
        <v>2560</v>
      </c>
      <c r="E514" s="16">
        <v>63.0</v>
      </c>
      <c r="F514" s="8" t="s">
        <v>1515</v>
      </c>
      <c r="G514" s="8" t="s">
        <v>1514</v>
      </c>
      <c r="H514" s="8" t="s">
        <v>59</v>
      </c>
      <c r="I514" s="18" t="s">
        <v>2593</v>
      </c>
      <c r="J514" s="16">
        <v>62.0</v>
      </c>
      <c r="K514" s="8" t="s">
        <v>4423</v>
      </c>
      <c r="L514" s="8" t="s">
        <v>2098</v>
      </c>
      <c r="M514" s="18" t="s">
        <v>2562</v>
      </c>
      <c r="N514" s="16">
        <v>73.0</v>
      </c>
      <c r="O514" s="18" t="s">
        <v>4424</v>
      </c>
      <c r="P514" s="8" t="s">
        <v>80</v>
      </c>
      <c r="Q514" s="14" t="s">
        <v>2296</v>
      </c>
      <c r="R514" s="8" t="s">
        <v>2585</v>
      </c>
      <c r="S514" s="14" t="s">
        <v>2563</v>
      </c>
    </row>
    <row r="515">
      <c r="A515" s="8" t="s">
        <v>3575</v>
      </c>
      <c r="B515" s="8" t="s">
        <v>486</v>
      </c>
      <c r="C515" s="8" t="s">
        <v>93</v>
      </c>
      <c r="D515" s="18" t="s">
        <v>2554</v>
      </c>
      <c r="E515" s="16">
        <v>68.0</v>
      </c>
      <c r="F515" s="8" t="s">
        <v>1515</v>
      </c>
      <c r="G515" s="8" t="s">
        <v>260</v>
      </c>
      <c r="H515" s="8" t="s">
        <v>186</v>
      </c>
      <c r="I515" s="18" t="s">
        <v>2556</v>
      </c>
      <c r="J515" s="16">
        <v>66.0</v>
      </c>
      <c r="K515" s="8" t="s">
        <v>4425</v>
      </c>
      <c r="L515" s="8" t="s">
        <v>3038</v>
      </c>
      <c r="M515" s="18" t="s">
        <v>2574</v>
      </c>
      <c r="N515" s="16">
        <v>72.0</v>
      </c>
      <c r="O515" s="18" t="s">
        <v>4426</v>
      </c>
      <c r="P515" s="8" t="s">
        <v>192</v>
      </c>
      <c r="Q515" s="14" t="s">
        <v>631</v>
      </c>
      <c r="R515" s="18" t="s">
        <v>2589</v>
      </c>
      <c r="S515" s="14" t="s">
        <v>2578</v>
      </c>
    </row>
    <row r="516">
      <c r="A516" s="8" t="s">
        <v>2745</v>
      </c>
      <c r="B516" s="8" t="s">
        <v>3272</v>
      </c>
      <c r="C516" s="8" t="s">
        <v>24</v>
      </c>
      <c r="D516" s="18" t="s">
        <v>2575</v>
      </c>
      <c r="E516" s="16">
        <v>78.0</v>
      </c>
      <c r="F516" s="8" t="s">
        <v>1515</v>
      </c>
      <c r="G516" s="8" t="s">
        <v>3297</v>
      </c>
      <c r="H516" s="8" t="s">
        <v>261</v>
      </c>
      <c r="I516" s="18" t="s">
        <v>2593</v>
      </c>
      <c r="J516" s="16">
        <v>78.0</v>
      </c>
      <c r="K516" s="8" t="s">
        <v>4427</v>
      </c>
      <c r="L516" s="8" t="s">
        <v>2397</v>
      </c>
      <c r="M516" s="18" t="s">
        <v>2582</v>
      </c>
      <c r="N516" s="16">
        <v>77.0</v>
      </c>
      <c r="O516" s="8" t="s">
        <v>4428</v>
      </c>
      <c r="P516" s="8" t="s">
        <v>65</v>
      </c>
      <c r="Q516" s="14" t="s">
        <v>2459</v>
      </c>
      <c r="R516" s="8" t="s">
        <v>2603</v>
      </c>
      <c r="S516" s="14" t="s">
        <v>2571</v>
      </c>
    </row>
    <row r="517">
      <c r="A517" s="8" t="s">
        <v>3734</v>
      </c>
      <c r="B517" s="8" t="s">
        <v>3733</v>
      </c>
      <c r="C517" s="8" t="s">
        <v>186</v>
      </c>
      <c r="D517" s="18" t="s">
        <v>2567</v>
      </c>
      <c r="E517" s="16">
        <v>57.0</v>
      </c>
      <c r="F517" s="8" t="s">
        <v>3042</v>
      </c>
      <c r="G517" s="8" t="s">
        <v>3041</v>
      </c>
      <c r="H517" s="8" t="s">
        <v>93</v>
      </c>
      <c r="I517" s="18" t="s">
        <v>2577</v>
      </c>
      <c r="J517" s="16">
        <v>71.0</v>
      </c>
      <c r="K517" s="8" t="s">
        <v>4429</v>
      </c>
      <c r="L517" s="8" t="s">
        <v>2120</v>
      </c>
      <c r="M517" s="18" t="s">
        <v>2554</v>
      </c>
      <c r="N517" s="16">
        <v>69.0</v>
      </c>
      <c r="O517" s="8" t="s">
        <v>4430</v>
      </c>
      <c r="P517" s="8" t="s">
        <v>53</v>
      </c>
      <c r="Q517" s="14" t="s">
        <v>2296</v>
      </c>
      <c r="R517" s="8" t="s">
        <v>2621</v>
      </c>
      <c r="S517" s="14" t="s">
        <v>2622</v>
      </c>
    </row>
    <row r="518">
      <c r="A518" s="8" t="s">
        <v>3414</v>
      </c>
      <c r="B518" s="8" t="s">
        <v>786</v>
      </c>
      <c r="C518" s="8" t="s">
        <v>75</v>
      </c>
      <c r="D518" s="18" t="s">
        <v>2587</v>
      </c>
      <c r="E518" s="16">
        <v>63.0</v>
      </c>
      <c r="F518" s="8" t="s">
        <v>3489</v>
      </c>
      <c r="G518" s="8" t="s">
        <v>3488</v>
      </c>
      <c r="H518" s="8" t="s">
        <v>122</v>
      </c>
      <c r="I518" s="18" t="s">
        <v>2598</v>
      </c>
      <c r="J518" s="16">
        <v>73.0</v>
      </c>
      <c r="K518" s="8" t="s">
        <v>2967</v>
      </c>
      <c r="L518" s="8" t="s">
        <v>2966</v>
      </c>
      <c r="M518" s="18" t="s">
        <v>2645</v>
      </c>
      <c r="N518" s="16">
        <v>67.0</v>
      </c>
      <c r="O518" s="8" t="s">
        <v>4431</v>
      </c>
      <c r="P518" s="8" t="s">
        <v>93</v>
      </c>
      <c r="Q518" s="14" t="s">
        <v>1679</v>
      </c>
      <c r="R518" s="8" t="s">
        <v>2183</v>
      </c>
      <c r="S518" s="14" t="s">
        <v>2606</v>
      </c>
    </row>
    <row r="519">
      <c r="A519" s="8" t="s">
        <v>1489</v>
      </c>
      <c r="B519" s="8" t="s">
        <v>284</v>
      </c>
      <c r="C519" s="8" t="s">
        <v>93</v>
      </c>
      <c r="D519" s="18" t="s">
        <v>2600</v>
      </c>
      <c r="E519" s="16">
        <v>71.0</v>
      </c>
      <c r="F519" s="8" t="s">
        <v>307</v>
      </c>
      <c r="G519" s="8" t="s">
        <v>2277</v>
      </c>
      <c r="H519" s="8" t="s">
        <v>132</v>
      </c>
      <c r="I519" s="18" t="s">
        <v>2560</v>
      </c>
      <c r="J519" s="16">
        <v>63.0</v>
      </c>
      <c r="K519" s="8" t="s">
        <v>2829</v>
      </c>
      <c r="L519" s="8" t="s">
        <v>1181</v>
      </c>
      <c r="M519" s="18" t="s">
        <v>2620</v>
      </c>
      <c r="N519" s="16">
        <v>74.0</v>
      </c>
      <c r="O519" s="8" t="s">
        <v>4432</v>
      </c>
      <c r="P519" s="8" t="s">
        <v>70</v>
      </c>
      <c r="Q519" s="14" t="s">
        <v>2033</v>
      </c>
      <c r="R519" s="8" t="s">
        <v>2562</v>
      </c>
      <c r="S519" s="14" t="s">
        <v>2602</v>
      </c>
    </row>
    <row r="520">
      <c r="A520" s="8" t="s">
        <v>1489</v>
      </c>
      <c r="B520" s="8" t="s">
        <v>2883</v>
      </c>
      <c r="C520" s="8" t="s">
        <v>149</v>
      </c>
      <c r="D520" s="18" t="s">
        <v>2587</v>
      </c>
      <c r="E520" s="16">
        <v>72.0</v>
      </c>
      <c r="F520" s="8" t="s">
        <v>307</v>
      </c>
      <c r="G520" s="8" t="s">
        <v>306</v>
      </c>
      <c r="H520" s="8" t="s">
        <v>186</v>
      </c>
      <c r="I520" s="18" t="s">
        <v>2595</v>
      </c>
      <c r="J520" s="16">
        <v>77.0</v>
      </c>
      <c r="K520" s="8" t="s">
        <v>1290</v>
      </c>
      <c r="L520" s="8" t="s">
        <v>1289</v>
      </c>
      <c r="M520" s="18" t="s">
        <v>2614</v>
      </c>
      <c r="N520" s="16">
        <v>81.0</v>
      </c>
      <c r="O520" s="8" t="s">
        <v>4433</v>
      </c>
      <c r="P520" s="8" t="s">
        <v>65</v>
      </c>
      <c r="Q520" s="14" t="s">
        <v>1679</v>
      </c>
      <c r="R520" s="8" t="s">
        <v>2587</v>
      </c>
      <c r="S520" s="14" t="s">
        <v>2576</v>
      </c>
    </row>
    <row r="521">
      <c r="A521" s="18" t="s">
        <v>529</v>
      </c>
      <c r="B521" s="8" t="s">
        <v>57</v>
      </c>
      <c r="C521" s="8" t="s">
        <v>186</v>
      </c>
      <c r="D521" s="18" t="s">
        <v>2183</v>
      </c>
      <c r="E521" s="16">
        <v>56.0</v>
      </c>
      <c r="F521" s="8" t="s">
        <v>307</v>
      </c>
      <c r="G521" s="8" t="s">
        <v>2914</v>
      </c>
      <c r="H521" s="8" t="s">
        <v>93</v>
      </c>
      <c r="I521" s="18" t="s">
        <v>2572</v>
      </c>
      <c r="J521" s="16">
        <v>72.0</v>
      </c>
      <c r="K521" s="8" t="s">
        <v>671</v>
      </c>
      <c r="L521" s="8" t="s">
        <v>670</v>
      </c>
      <c r="M521" s="18" t="s">
        <v>2560</v>
      </c>
      <c r="N521" s="16">
        <v>71.0</v>
      </c>
      <c r="O521" s="8" t="s">
        <v>4434</v>
      </c>
      <c r="P521" s="8" t="s">
        <v>122</v>
      </c>
      <c r="Q521" s="14" t="s">
        <v>2296</v>
      </c>
      <c r="R521" s="8" t="s">
        <v>2582</v>
      </c>
      <c r="S521" s="14" t="s">
        <v>2578</v>
      </c>
    </row>
    <row r="522">
      <c r="A522" s="18" t="s">
        <v>529</v>
      </c>
      <c r="B522" s="8" t="s">
        <v>682</v>
      </c>
      <c r="C522" s="8" t="s">
        <v>132</v>
      </c>
      <c r="D522" s="18" t="s">
        <v>2572</v>
      </c>
      <c r="E522" s="16">
        <v>74.0</v>
      </c>
      <c r="F522" s="8" t="s">
        <v>4404</v>
      </c>
      <c r="G522" s="8" t="s">
        <v>1508</v>
      </c>
      <c r="H522" s="8" t="s">
        <v>93</v>
      </c>
      <c r="I522" s="18" t="s">
        <v>2605</v>
      </c>
      <c r="J522" s="16">
        <v>71.0</v>
      </c>
      <c r="K522" s="8" t="s">
        <v>1811</v>
      </c>
      <c r="L522" s="8" t="s">
        <v>1810</v>
      </c>
      <c r="M522" s="18" t="s">
        <v>2564</v>
      </c>
      <c r="N522" s="16">
        <v>74.0</v>
      </c>
      <c r="O522" s="8" t="s">
        <v>4435</v>
      </c>
      <c r="P522" s="8" t="s">
        <v>138</v>
      </c>
      <c r="Q522" s="14" t="s">
        <v>2033</v>
      </c>
      <c r="R522" s="8" t="s">
        <v>2554</v>
      </c>
      <c r="S522" s="14" t="s">
        <v>2608</v>
      </c>
    </row>
    <row r="523">
      <c r="A523" s="18" t="s">
        <v>529</v>
      </c>
      <c r="B523" s="8" t="s">
        <v>154</v>
      </c>
      <c r="C523" s="8" t="s">
        <v>70</v>
      </c>
      <c r="D523" s="18" t="s">
        <v>2600</v>
      </c>
      <c r="E523" s="16">
        <v>65.0</v>
      </c>
      <c r="F523" s="8" t="s">
        <v>2745</v>
      </c>
      <c r="G523" s="8" t="s">
        <v>3272</v>
      </c>
      <c r="H523" s="8" t="s">
        <v>24</v>
      </c>
      <c r="I523" s="18" t="s">
        <v>2575</v>
      </c>
      <c r="J523" s="16">
        <v>77.0</v>
      </c>
      <c r="K523" s="8" t="s">
        <v>258</v>
      </c>
      <c r="L523" s="8" t="s">
        <v>2749</v>
      </c>
      <c r="M523" s="18" t="s">
        <v>2592</v>
      </c>
      <c r="N523" s="16">
        <v>62.0</v>
      </c>
      <c r="O523" s="8" t="s">
        <v>4436</v>
      </c>
      <c r="P523" s="8" t="s">
        <v>65</v>
      </c>
      <c r="Q523" s="14" t="s">
        <v>1679</v>
      </c>
      <c r="R523" s="8" t="s">
        <v>2620</v>
      </c>
      <c r="S523" s="14" t="s">
        <v>2602</v>
      </c>
    </row>
    <row r="524">
      <c r="A524" s="18" t="s">
        <v>529</v>
      </c>
      <c r="B524" s="8" t="s">
        <v>528</v>
      </c>
      <c r="C524" s="8" t="s">
        <v>93</v>
      </c>
      <c r="D524" s="18" t="s">
        <v>2556</v>
      </c>
      <c r="E524" s="16">
        <v>70.0</v>
      </c>
      <c r="F524" s="8" t="s">
        <v>1015</v>
      </c>
      <c r="G524" s="8" t="s">
        <v>700</v>
      </c>
      <c r="H524" s="8" t="s">
        <v>186</v>
      </c>
      <c r="I524" s="18" t="s">
        <v>2566</v>
      </c>
      <c r="J524" s="16">
        <v>60.0</v>
      </c>
      <c r="K524" s="8" t="s">
        <v>258</v>
      </c>
      <c r="L524" s="8" t="s">
        <v>2238</v>
      </c>
      <c r="M524" s="18" t="s">
        <v>2614</v>
      </c>
      <c r="N524" s="16">
        <v>69.0</v>
      </c>
      <c r="O524" s="8" t="s">
        <v>4437</v>
      </c>
      <c r="P524" s="8" t="s">
        <v>215</v>
      </c>
      <c r="Q524" s="14" t="s">
        <v>1679</v>
      </c>
      <c r="R524" s="8" t="s">
        <v>2564</v>
      </c>
      <c r="S524" s="14" t="s">
        <v>2568</v>
      </c>
    </row>
    <row r="525">
      <c r="A525" s="18" t="s">
        <v>529</v>
      </c>
      <c r="B525" s="8" t="s">
        <v>1202</v>
      </c>
      <c r="C525" s="8" t="s">
        <v>149</v>
      </c>
      <c r="D525" s="18" t="s">
        <v>2589</v>
      </c>
      <c r="E525" s="16">
        <v>73.0</v>
      </c>
      <c r="F525" s="8" t="s">
        <v>1015</v>
      </c>
      <c r="G525" s="8" t="s">
        <v>2229</v>
      </c>
      <c r="H525" s="8" t="s">
        <v>65</v>
      </c>
      <c r="I525" s="18" t="s">
        <v>2574</v>
      </c>
      <c r="J525" s="16">
        <v>73.0</v>
      </c>
      <c r="K525" s="8" t="s">
        <v>1644</v>
      </c>
      <c r="L525" s="8" t="s">
        <v>195</v>
      </c>
      <c r="M525" s="18" t="s">
        <v>2552</v>
      </c>
      <c r="N525" s="16">
        <v>82.0</v>
      </c>
      <c r="O525" s="8" t="s">
        <v>4438</v>
      </c>
      <c r="P525" s="8" t="s">
        <v>16</v>
      </c>
      <c r="Q525" s="14" t="s">
        <v>1070</v>
      </c>
      <c r="R525" s="8" t="s">
        <v>2614</v>
      </c>
      <c r="S525" s="14" t="s">
        <v>2599</v>
      </c>
    </row>
    <row r="526">
      <c r="A526" s="18" t="s">
        <v>529</v>
      </c>
      <c r="B526" s="8" t="s">
        <v>3797</v>
      </c>
      <c r="C526" s="8" t="s">
        <v>138</v>
      </c>
      <c r="D526" s="18" t="s">
        <v>2595</v>
      </c>
      <c r="E526" s="16">
        <v>60.0</v>
      </c>
      <c r="F526" s="8" t="s">
        <v>1015</v>
      </c>
      <c r="G526" s="8" t="s">
        <v>421</v>
      </c>
      <c r="H526" s="8" t="s">
        <v>80</v>
      </c>
      <c r="I526" s="18" t="s">
        <v>2621</v>
      </c>
      <c r="J526" s="16">
        <v>61.0</v>
      </c>
      <c r="K526" s="8" t="s">
        <v>1644</v>
      </c>
      <c r="L526" s="8" t="s">
        <v>1041</v>
      </c>
      <c r="M526" s="18" t="s">
        <v>2566</v>
      </c>
      <c r="N526" s="16">
        <v>77.0</v>
      </c>
      <c r="O526" s="8" t="s">
        <v>4439</v>
      </c>
      <c r="P526" s="8" t="s">
        <v>186</v>
      </c>
      <c r="Q526" s="14" t="s">
        <v>2033</v>
      </c>
      <c r="R526" s="8" t="s">
        <v>2593</v>
      </c>
      <c r="S526" s="14" t="s">
        <v>2594</v>
      </c>
    </row>
    <row r="527">
      <c r="A527" s="18" t="s">
        <v>529</v>
      </c>
      <c r="B527" s="8" t="s">
        <v>1587</v>
      </c>
      <c r="C527" s="8" t="s">
        <v>122</v>
      </c>
      <c r="D527" s="18" t="s">
        <v>2562</v>
      </c>
      <c r="E527" s="16">
        <v>65.0</v>
      </c>
      <c r="F527" s="8" t="s">
        <v>3414</v>
      </c>
      <c r="G527" s="8" t="s">
        <v>786</v>
      </c>
      <c r="H527" s="8" t="s">
        <v>75</v>
      </c>
      <c r="I527" s="18" t="s">
        <v>2605</v>
      </c>
      <c r="J527" s="16">
        <v>63.0</v>
      </c>
      <c r="K527" s="8" t="s">
        <v>1009</v>
      </c>
      <c r="L527" s="8" t="s">
        <v>497</v>
      </c>
      <c r="M527" s="18" t="s">
        <v>2615</v>
      </c>
      <c r="N527" s="16">
        <v>78.0</v>
      </c>
      <c r="O527" s="8" t="s">
        <v>4440</v>
      </c>
      <c r="P527" s="8" t="s">
        <v>75</v>
      </c>
      <c r="Q527" s="14" t="s">
        <v>631</v>
      </c>
      <c r="R527" s="8" t="s">
        <v>2552</v>
      </c>
      <c r="S527" s="14" t="s">
        <v>2609</v>
      </c>
    </row>
    <row r="528">
      <c r="A528" s="18" t="s">
        <v>529</v>
      </c>
      <c r="B528" s="8" t="s">
        <v>808</v>
      </c>
      <c r="C528" s="8" t="s">
        <v>192</v>
      </c>
      <c r="D528" s="18" t="s">
        <v>2589</v>
      </c>
      <c r="E528" s="16">
        <v>72.0</v>
      </c>
      <c r="F528" s="8" t="s">
        <v>1489</v>
      </c>
      <c r="G528" s="8" t="s">
        <v>2883</v>
      </c>
      <c r="H528" s="8" t="s">
        <v>46</v>
      </c>
      <c r="I528" s="18" t="s">
        <v>2554</v>
      </c>
      <c r="J528" s="16">
        <v>72.0</v>
      </c>
      <c r="K528" s="8" t="s">
        <v>1060</v>
      </c>
      <c r="L528" s="8" t="s">
        <v>78</v>
      </c>
      <c r="M528" s="18" t="s">
        <v>2183</v>
      </c>
      <c r="N528" s="16">
        <v>77.0</v>
      </c>
      <c r="O528" s="8" t="s">
        <v>4441</v>
      </c>
      <c r="P528" s="8" t="s">
        <v>24</v>
      </c>
      <c r="Q528" s="14" t="s">
        <v>1679</v>
      </c>
      <c r="R528" s="8" t="s">
        <v>2564</v>
      </c>
      <c r="S528" s="14" t="s">
        <v>2607</v>
      </c>
    </row>
    <row r="529">
      <c r="A529" s="18" t="s">
        <v>529</v>
      </c>
      <c r="B529" s="8" t="s">
        <v>1055</v>
      </c>
      <c r="C529" s="8" t="s">
        <v>93</v>
      </c>
      <c r="D529" s="18" t="s">
        <v>2183</v>
      </c>
      <c r="E529" s="16">
        <v>63.0</v>
      </c>
      <c r="F529" s="8" t="s">
        <v>1489</v>
      </c>
      <c r="G529" s="8" t="s">
        <v>284</v>
      </c>
      <c r="H529" s="8" t="s">
        <v>93</v>
      </c>
      <c r="I529" s="18" t="s">
        <v>2600</v>
      </c>
      <c r="J529" s="16">
        <v>69.0</v>
      </c>
      <c r="K529" s="8" t="s">
        <v>1060</v>
      </c>
      <c r="L529" s="8" t="s">
        <v>451</v>
      </c>
      <c r="M529" s="18" t="s">
        <v>2614</v>
      </c>
      <c r="N529" s="16">
        <v>71.0</v>
      </c>
      <c r="O529" s="8" t="s">
        <v>4442</v>
      </c>
      <c r="P529" s="8" t="s">
        <v>192</v>
      </c>
      <c r="Q529" s="14" t="s">
        <v>1352</v>
      </c>
      <c r="R529" s="18" t="s">
        <v>2556</v>
      </c>
      <c r="S529" s="14" t="s">
        <v>2576</v>
      </c>
    </row>
    <row r="530">
      <c r="A530" s="8" t="s">
        <v>4443</v>
      </c>
      <c r="B530" s="8" t="s">
        <v>99</v>
      </c>
      <c r="C530" s="8" t="s">
        <v>93</v>
      </c>
      <c r="D530" s="18" t="s">
        <v>2567</v>
      </c>
      <c r="E530" s="16">
        <v>69.0</v>
      </c>
      <c r="F530" s="18" t="s">
        <v>529</v>
      </c>
      <c r="G530" s="8" t="s">
        <v>528</v>
      </c>
      <c r="H530" s="8" t="s">
        <v>93</v>
      </c>
      <c r="I530" s="18" t="s">
        <v>2554</v>
      </c>
      <c r="J530" s="16">
        <v>74.0</v>
      </c>
      <c r="K530" s="8" t="s">
        <v>1113</v>
      </c>
      <c r="L530" s="8" t="s">
        <v>1112</v>
      </c>
      <c r="M530" s="18" t="s">
        <v>2574</v>
      </c>
      <c r="N530" s="16">
        <v>71.0</v>
      </c>
      <c r="O530" s="8" t="s">
        <v>4444</v>
      </c>
      <c r="P530" s="8" t="s">
        <v>141</v>
      </c>
      <c r="Q530" s="14" t="s">
        <v>1679</v>
      </c>
      <c r="R530" s="8" t="s">
        <v>2620</v>
      </c>
      <c r="S530" s="14" t="s">
        <v>2557</v>
      </c>
    </row>
    <row r="531">
      <c r="A531" s="8" t="s">
        <v>4445</v>
      </c>
      <c r="B531" s="8" t="s">
        <v>208</v>
      </c>
      <c r="C531" s="8" t="s">
        <v>186</v>
      </c>
      <c r="D531" s="18" t="s">
        <v>2567</v>
      </c>
      <c r="E531" s="16">
        <v>79.0</v>
      </c>
      <c r="F531" s="18" t="s">
        <v>529</v>
      </c>
      <c r="G531" s="8" t="s">
        <v>57</v>
      </c>
      <c r="H531" s="8" t="s">
        <v>186</v>
      </c>
      <c r="I531" s="18" t="s">
        <v>2183</v>
      </c>
      <c r="J531" s="16">
        <v>66.0</v>
      </c>
      <c r="K531" s="8" t="s">
        <v>438</v>
      </c>
      <c r="L531" s="8" t="s">
        <v>437</v>
      </c>
      <c r="M531" s="18" t="s">
        <v>2572</v>
      </c>
      <c r="N531" s="16">
        <v>65.0</v>
      </c>
      <c r="O531" s="8" t="s">
        <v>4446</v>
      </c>
      <c r="P531" s="8" t="s">
        <v>24</v>
      </c>
      <c r="Q531" s="14" t="s">
        <v>2033</v>
      </c>
      <c r="R531" s="8" t="s">
        <v>2614</v>
      </c>
      <c r="S531" s="14" t="s">
        <v>2573</v>
      </c>
    </row>
    <row r="532">
      <c r="A532" s="8" t="s">
        <v>4425</v>
      </c>
      <c r="B532" s="8" t="s">
        <v>3038</v>
      </c>
      <c r="C532" s="8" t="s">
        <v>192</v>
      </c>
      <c r="D532" s="18" t="s">
        <v>2621</v>
      </c>
      <c r="E532" s="16">
        <v>85.0</v>
      </c>
      <c r="F532" s="18" t="s">
        <v>529</v>
      </c>
      <c r="G532" s="8" t="s">
        <v>1202</v>
      </c>
      <c r="H532" s="8" t="s">
        <v>46</v>
      </c>
      <c r="I532" s="18" t="s">
        <v>2589</v>
      </c>
      <c r="J532" s="16">
        <v>71.0</v>
      </c>
      <c r="K532" s="8" t="s">
        <v>438</v>
      </c>
      <c r="L532" s="8" t="s">
        <v>1946</v>
      </c>
      <c r="M532" s="18" t="s">
        <v>2615</v>
      </c>
      <c r="N532" s="16">
        <v>67.0</v>
      </c>
      <c r="O532" s="8" t="s">
        <v>4447</v>
      </c>
      <c r="P532" s="8" t="s">
        <v>70</v>
      </c>
      <c r="Q532" s="14" t="s">
        <v>1679</v>
      </c>
      <c r="R532" s="8" t="s">
        <v>2552</v>
      </c>
      <c r="S532" s="14" t="s">
        <v>2625</v>
      </c>
    </row>
    <row r="533">
      <c r="A533" s="8" t="s">
        <v>2967</v>
      </c>
      <c r="B533" s="8" t="s">
        <v>2966</v>
      </c>
      <c r="C533" s="8" t="s">
        <v>53</v>
      </c>
      <c r="D533" s="18" t="s">
        <v>2183</v>
      </c>
      <c r="E533" s="16">
        <v>63.0</v>
      </c>
      <c r="F533" s="18" t="s">
        <v>529</v>
      </c>
      <c r="G533" s="8" t="s">
        <v>154</v>
      </c>
      <c r="H533" s="8" t="s">
        <v>70</v>
      </c>
      <c r="I533" s="18" t="s">
        <v>2600</v>
      </c>
      <c r="J533" s="16">
        <v>63.0</v>
      </c>
      <c r="K533" s="8" t="s">
        <v>378</v>
      </c>
      <c r="L533" s="8" t="s">
        <v>2836</v>
      </c>
      <c r="M533" s="18" t="s">
        <v>2566</v>
      </c>
      <c r="N533" s="16">
        <v>85.0</v>
      </c>
      <c r="O533" s="8" t="s">
        <v>4448</v>
      </c>
      <c r="P533" s="8" t="s">
        <v>138</v>
      </c>
      <c r="Q533" s="14" t="s">
        <v>1352</v>
      </c>
      <c r="R533" s="8" t="s">
        <v>2566</v>
      </c>
      <c r="S533" s="14" t="s">
        <v>2607</v>
      </c>
    </row>
    <row r="534">
      <c r="A534" s="8" t="s">
        <v>3444</v>
      </c>
      <c r="B534" s="8" t="s">
        <v>318</v>
      </c>
      <c r="C534" s="8" t="s">
        <v>192</v>
      </c>
      <c r="D534" s="18" t="s">
        <v>2621</v>
      </c>
      <c r="E534" s="16">
        <v>69.0</v>
      </c>
      <c r="F534" s="18" t="s">
        <v>529</v>
      </c>
      <c r="G534" s="8" t="s">
        <v>1587</v>
      </c>
      <c r="H534" s="8" t="s">
        <v>122</v>
      </c>
      <c r="I534" s="18" t="s">
        <v>2562</v>
      </c>
      <c r="J534" s="16">
        <v>67.0</v>
      </c>
      <c r="K534" s="8" t="s">
        <v>1216</v>
      </c>
      <c r="L534" s="8" t="s">
        <v>1215</v>
      </c>
      <c r="M534" s="18" t="s">
        <v>2598</v>
      </c>
      <c r="N534" s="16">
        <v>74.0</v>
      </c>
      <c r="O534" s="8" t="s">
        <v>4449</v>
      </c>
      <c r="P534" s="8" t="s">
        <v>70</v>
      </c>
      <c r="Q534" s="14" t="s">
        <v>1679</v>
      </c>
      <c r="R534" s="8" t="s">
        <v>2621</v>
      </c>
      <c r="S534" s="14" t="s">
        <v>2609</v>
      </c>
    </row>
    <row r="535">
      <c r="A535" s="8" t="s">
        <v>1290</v>
      </c>
      <c r="B535" s="8" t="s">
        <v>1289</v>
      </c>
      <c r="C535" s="8" t="s">
        <v>16</v>
      </c>
      <c r="D535" s="18" t="s">
        <v>2614</v>
      </c>
      <c r="E535" s="16">
        <v>71.0</v>
      </c>
      <c r="F535" s="18" t="s">
        <v>529</v>
      </c>
      <c r="G535" s="8" t="s">
        <v>3472</v>
      </c>
      <c r="H535" s="8" t="s">
        <v>24</v>
      </c>
      <c r="I535" s="18" t="s">
        <v>2598</v>
      </c>
      <c r="J535" s="16">
        <v>66.0</v>
      </c>
      <c r="K535" s="8" t="s">
        <v>241</v>
      </c>
      <c r="L535" s="8" t="s">
        <v>240</v>
      </c>
      <c r="M535" s="18" t="s">
        <v>2614</v>
      </c>
      <c r="N535" s="16">
        <v>79.0</v>
      </c>
      <c r="O535" s="8" t="s">
        <v>4450</v>
      </c>
      <c r="P535" s="8" t="s">
        <v>80</v>
      </c>
      <c r="Q535" s="14" t="s">
        <v>837</v>
      </c>
      <c r="R535" s="8" t="s">
        <v>2615</v>
      </c>
      <c r="S535" s="14" t="s">
        <v>2633</v>
      </c>
    </row>
    <row r="536">
      <c r="A536" s="8" t="s">
        <v>671</v>
      </c>
      <c r="B536" s="8" t="s">
        <v>670</v>
      </c>
      <c r="C536" s="8" t="s">
        <v>132</v>
      </c>
      <c r="D536" s="18" t="s">
        <v>2560</v>
      </c>
      <c r="E536" s="16">
        <v>67.0</v>
      </c>
      <c r="F536" s="18" t="s">
        <v>529</v>
      </c>
      <c r="G536" s="8" t="s">
        <v>1055</v>
      </c>
      <c r="H536" s="8" t="s">
        <v>93</v>
      </c>
      <c r="I536" s="18" t="s">
        <v>2183</v>
      </c>
      <c r="J536" s="16">
        <v>63.0</v>
      </c>
      <c r="K536" s="8" t="s">
        <v>241</v>
      </c>
      <c r="L536" s="8" t="s">
        <v>1442</v>
      </c>
      <c r="M536" s="18" t="s">
        <v>2572</v>
      </c>
      <c r="N536" s="16">
        <v>77.0</v>
      </c>
      <c r="O536" s="8" t="s">
        <v>4451</v>
      </c>
      <c r="P536" s="8" t="s">
        <v>65</v>
      </c>
      <c r="Q536" s="14" t="s">
        <v>2459</v>
      </c>
      <c r="R536" s="8" t="s">
        <v>2592</v>
      </c>
      <c r="S536" s="14" t="s">
        <v>2576</v>
      </c>
    </row>
    <row r="537">
      <c r="A537" s="8" t="s">
        <v>1811</v>
      </c>
      <c r="B537" s="8" t="s">
        <v>62</v>
      </c>
      <c r="C537" s="8" t="s">
        <v>75</v>
      </c>
      <c r="D537" s="18" t="s">
        <v>2581</v>
      </c>
      <c r="E537" s="16">
        <v>66.0</v>
      </c>
      <c r="F537" s="18" t="s">
        <v>529</v>
      </c>
      <c r="G537" s="8" t="s">
        <v>808</v>
      </c>
      <c r="H537" s="8" t="s">
        <v>80</v>
      </c>
      <c r="I537" s="18" t="s">
        <v>2582</v>
      </c>
      <c r="J537" s="16">
        <v>84.0</v>
      </c>
      <c r="K537" s="8" t="s">
        <v>241</v>
      </c>
      <c r="L537" s="8" t="s">
        <v>1974</v>
      </c>
      <c r="M537" s="18" t="s">
        <v>2554</v>
      </c>
      <c r="N537" s="16">
        <v>67.0</v>
      </c>
      <c r="O537" s="8" t="s">
        <v>4452</v>
      </c>
      <c r="P537" s="8" t="s">
        <v>70</v>
      </c>
      <c r="Q537" s="14" t="s">
        <v>2296</v>
      </c>
      <c r="R537" s="8" t="s">
        <v>2600</v>
      </c>
      <c r="S537" s="14" t="s">
        <v>2557</v>
      </c>
    </row>
    <row r="538">
      <c r="A538" s="8" t="s">
        <v>258</v>
      </c>
      <c r="B538" s="8" t="s">
        <v>916</v>
      </c>
      <c r="C538" s="8" t="s">
        <v>141</v>
      </c>
      <c r="D538" s="18" t="s">
        <v>2562</v>
      </c>
      <c r="E538" s="16">
        <v>69.0</v>
      </c>
      <c r="F538" s="18" t="s">
        <v>529</v>
      </c>
      <c r="G538" s="8" t="s">
        <v>682</v>
      </c>
      <c r="H538" s="8" t="s">
        <v>149</v>
      </c>
      <c r="I538" s="18" t="s">
        <v>2566</v>
      </c>
      <c r="J538" s="16">
        <v>75.0</v>
      </c>
      <c r="K538" s="8" t="s">
        <v>1755</v>
      </c>
      <c r="L538" s="8" t="s">
        <v>1754</v>
      </c>
      <c r="M538" s="18" t="s">
        <v>2621</v>
      </c>
      <c r="N538" s="16">
        <v>73.0</v>
      </c>
      <c r="O538" s="8" t="s">
        <v>4453</v>
      </c>
      <c r="P538" s="8" t="s">
        <v>70</v>
      </c>
      <c r="Q538" s="14" t="s">
        <v>837</v>
      </c>
      <c r="R538" s="8" t="s">
        <v>2183</v>
      </c>
      <c r="S538" s="14" t="s">
        <v>2607</v>
      </c>
    </row>
    <row r="539">
      <c r="A539" s="8" t="s">
        <v>1009</v>
      </c>
      <c r="B539" s="8" t="s">
        <v>497</v>
      </c>
      <c r="C539" s="8" t="s">
        <v>93</v>
      </c>
      <c r="D539" s="18" t="s">
        <v>2558</v>
      </c>
      <c r="E539" s="16">
        <v>76.0</v>
      </c>
      <c r="F539" s="18" t="s">
        <v>529</v>
      </c>
      <c r="G539" s="8" t="s">
        <v>284</v>
      </c>
      <c r="H539" s="8" t="s">
        <v>122</v>
      </c>
      <c r="I539" s="18" t="s">
        <v>2585</v>
      </c>
      <c r="J539" s="16">
        <v>64.0</v>
      </c>
      <c r="K539" s="8" t="s">
        <v>197</v>
      </c>
      <c r="L539" s="8" t="s">
        <v>979</v>
      </c>
      <c r="M539" s="18" t="s">
        <v>2577</v>
      </c>
      <c r="N539" s="16">
        <v>69.0</v>
      </c>
      <c r="O539" s="8" t="s">
        <v>4454</v>
      </c>
      <c r="P539" s="8" t="s">
        <v>53</v>
      </c>
      <c r="Q539" s="14" t="s">
        <v>1070</v>
      </c>
      <c r="R539" s="8" t="s">
        <v>2183</v>
      </c>
      <c r="S539" s="14" t="s">
        <v>2591</v>
      </c>
    </row>
    <row r="540">
      <c r="A540" s="8" t="s">
        <v>3458</v>
      </c>
      <c r="B540" s="8" t="s">
        <v>3457</v>
      </c>
      <c r="C540" s="8" t="s">
        <v>93</v>
      </c>
      <c r="D540" s="18" t="s">
        <v>2595</v>
      </c>
      <c r="E540" s="16">
        <v>68.0</v>
      </c>
      <c r="F540" s="8" t="s">
        <v>4443</v>
      </c>
      <c r="G540" s="8" t="s">
        <v>99</v>
      </c>
      <c r="H540" s="8" t="s">
        <v>93</v>
      </c>
      <c r="I540" s="18" t="s">
        <v>2621</v>
      </c>
      <c r="J540" s="16">
        <v>67.0</v>
      </c>
      <c r="K540" s="8" t="s">
        <v>197</v>
      </c>
      <c r="L540" s="8" t="s">
        <v>106</v>
      </c>
      <c r="M540" s="18" t="s">
        <v>2605</v>
      </c>
      <c r="N540" s="16">
        <v>70.0</v>
      </c>
      <c r="O540" s="8" t="s">
        <v>4455</v>
      </c>
      <c r="P540" s="8" t="s">
        <v>65</v>
      </c>
      <c r="Q540" s="14" t="s">
        <v>1070</v>
      </c>
      <c r="R540" s="18" t="s">
        <v>2589</v>
      </c>
      <c r="S540" s="14" t="s">
        <v>2573</v>
      </c>
    </row>
    <row r="541">
      <c r="A541" s="8" t="s">
        <v>1060</v>
      </c>
      <c r="B541" s="8" t="s">
        <v>78</v>
      </c>
      <c r="C541" s="8" t="s">
        <v>70</v>
      </c>
      <c r="D541" s="18" t="s">
        <v>2581</v>
      </c>
      <c r="E541" s="16">
        <v>72.0</v>
      </c>
      <c r="F541" s="8" t="s">
        <v>4423</v>
      </c>
      <c r="G541" s="8" t="s">
        <v>2098</v>
      </c>
      <c r="H541" s="8" t="s">
        <v>70</v>
      </c>
      <c r="I541" s="18" t="s">
        <v>2562</v>
      </c>
      <c r="J541" s="16">
        <v>71.0</v>
      </c>
      <c r="K541" s="8" t="s">
        <v>197</v>
      </c>
      <c r="L541" s="8" t="s">
        <v>292</v>
      </c>
      <c r="M541" s="18" t="s">
        <v>2581</v>
      </c>
      <c r="N541" s="16">
        <v>74.0</v>
      </c>
      <c r="O541" s="8" t="s">
        <v>4456</v>
      </c>
      <c r="P541" s="8" t="s">
        <v>65</v>
      </c>
      <c r="Q541" s="14" t="s">
        <v>1679</v>
      </c>
      <c r="R541" s="8" t="s">
        <v>2615</v>
      </c>
      <c r="S541" s="14" t="s">
        <v>2557</v>
      </c>
    </row>
    <row r="542">
      <c r="A542" s="8" t="s">
        <v>1060</v>
      </c>
      <c r="B542" s="8" t="s">
        <v>451</v>
      </c>
      <c r="C542" s="8" t="s">
        <v>59</v>
      </c>
      <c r="D542" s="18" t="s">
        <v>2614</v>
      </c>
      <c r="E542" s="16">
        <v>68.0</v>
      </c>
      <c r="F542" s="8" t="s">
        <v>4425</v>
      </c>
      <c r="G542" s="8" t="s">
        <v>3038</v>
      </c>
      <c r="H542" s="8" t="s">
        <v>192</v>
      </c>
      <c r="I542" s="18" t="s">
        <v>2621</v>
      </c>
      <c r="J542" s="16">
        <v>76.0</v>
      </c>
      <c r="K542" s="8" t="s">
        <v>197</v>
      </c>
      <c r="L542" s="8" t="s">
        <v>597</v>
      </c>
      <c r="M542" s="18" t="s">
        <v>2614</v>
      </c>
      <c r="N542" s="16">
        <v>62.0</v>
      </c>
      <c r="O542" s="8" t="s">
        <v>4457</v>
      </c>
      <c r="P542" s="8" t="s">
        <v>122</v>
      </c>
      <c r="Q542" s="14" t="s">
        <v>338</v>
      </c>
      <c r="R542" s="8" t="s">
        <v>2572</v>
      </c>
      <c r="S542" s="14" t="s">
        <v>2568</v>
      </c>
    </row>
    <row r="543">
      <c r="A543" s="8" t="s">
        <v>438</v>
      </c>
      <c r="B543" s="8" t="s">
        <v>437</v>
      </c>
      <c r="C543" s="8" t="s">
        <v>215</v>
      </c>
      <c r="D543" s="18" t="s">
        <v>2572</v>
      </c>
      <c r="E543" s="16">
        <v>62.0</v>
      </c>
      <c r="F543" s="8" t="s">
        <v>4427</v>
      </c>
      <c r="G543" s="8" t="s">
        <v>106</v>
      </c>
      <c r="H543" s="8" t="s">
        <v>65</v>
      </c>
      <c r="I543" s="18" t="s">
        <v>2572</v>
      </c>
      <c r="J543" s="16">
        <v>57.0</v>
      </c>
      <c r="K543" s="8" t="s">
        <v>197</v>
      </c>
      <c r="L543" s="8" t="s">
        <v>1387</v>
      </c>
      <c r="M543" s="18" t="s">
        <v>2598</v>
      </c>
      <c r="N543" s="16">
        <v>62.0</v>
      </c>
      <c r="O543" s="8" t="s">
        <v>4458</v>
      </c>
      <c r="P543" s="8" t="s">
        <v>122</v>
      </c>
      <c r="Q543" s="14" t="s">
        <v>338</v>
      </c>
      <c r="R543" s="8" t="s">
        <v>2554</v>
      </c>
      <c r="S543" s="14" t="s">
        <v>2639</v>
      </c>
    </row>
    <row r="544">
      <c r="A544" s="8" t="s">
        <v>378</v>
      </c>
      <c r="B544" s="8" t="s">
        <v>377</v>
      </c>
      <c r="C544" s="8" t="s">
        <v>122</v>
      </c>
      <c r="D544" s="18" t="s">
        <v>2566</v>
      </c>
      <c r="E544" s="16">
        <v>84.0</v>
      </c>
      <c r="F544" s="8" t="s">
        <v>2967</v>
      </c>
      <c r="G544" s="8" t="s">
        <v>2966</v>
      </c>
      <c r="H544" s="8" t="s">
        <v>53</v>
      </c>
      <c r="I544" s="18" t="s">
        <v>2183</v>
      </c>
      <c r="J544" s="16">
        <v>67.0</v>
      </c>
      <c r="K544" s="8" t="s">
        <v>197</v>
      </c>
      <c r="L544" s="8" t="s">
        <v>2894</v>
      </c>
      <c r="M544" s="18" t="s">
        <v>2595</v>
      </c>
      <c r="N544" s="16">
        <v>65.0</v>
      </c>
      <c r="O544" s="8" t="s">
        <v>4459</v>
      </c>
      <c r="P544" s="8" t="s">
        <v>192</v>
      </c>
      <c r="Q544" s="14" t="s">
        <v>2033</v>
      </c>
      <c r="R544" s="8" t="s">
        <v>2621</v>
      </c>
      <c r="S544" s="14" t="s">
        <v>2618</v>
      </c>
    </row>
    <row r="545">
      <c r="A545" s="8" t="s">
        <v>3371</v>
      </c>
      <c r="B545" s="8" t="s">
        <v>1264</v>
      </c>
      <c r="C545" s="8" t="s">
        <v>215</v>
      </c>
      <c r="D545" s="18" t="s">
        <v>2556</v>
      </c>
      <c r="E545" s="16">
        <v>69.0</v>
      </c>
      <c r="F545" s="8" t="s">
        <v>1823</v>
      </c>
      <c r="G545" s="8" t="s">
        <v>1183</v>
      </c>
      <c r="H545" s="8" t="s">
        <v>215</v>
      </c>
      <c r="I545" s="18" t="s">
        <v>2574</v>
      </c>
      <c r="J545" s="16">
        <v>69.0</v>
      </c>
      <c r="K545" s="8" t="s">
        <v>197</v>
      </c>
      <c r="L545" s="8" t="s">
        <v>602</v>
      </c>
      <c r="M545" s="18" t="s">
        <v>2183</v>
      </c>
      <c r="N545" s="16">
        <v>73.0</v>
      </c>
      <c r="O545" s="8" t="s">
        <v>4460</v>
      </c>
      <c r="P545" s="8" t="s">
        <v>80</v>
      </c>
      <c r="Q545" s="14" t="s">
        <v>1070</v>
      </c>
      <c r="R545" s="8" t="s">
        <v>2598</v>
      </c>
      <c r="S545" s="14" t="s">
        <v>2608</v>
      </c>
    </row>
    <row r="546">
      <c r="A546" s="8" t="s">
        <v>241</v>
      </c>
      <c r="B546" s="8" t="s">
        <v>240</v>
      </c>
      <c r="C546" s="8" t="s">
        <v>12</v>
      </c>
      <c r="D546" s="18" t="s">
        <v>2614</v>
      </c>
      <c r="E546" s="16">
        <v>85.0</v>
      </c>
      <c r="F546" s="8" t="s">
        <v>3430</v>
      </c>
      <c r="G546" s="8" t="s">
        <v>3429</v>
      </c>
      <c r="H546" s="8" t="s">
        <v>65</v>
      </c>
      <c r="I546" s="18" t="s">
        <v>2587</v>
      </c>
      <c r="J546" s="16">
        <v>63.0</v>
      </c>
      <c r="K546" s="8" t="s">
        <v>197</v>
      </c>
      <c r="L546" s="8" t="s">
        <v>1730</v>
      </c>
      <c r="M546" s="18" t="s">
        <v>2552</v>
      </c>
      <c r="N546" s="16">
        <v>79.0</v>
      </c>
      <c r="O546" s="8" t="s">
        <v>4461</v>
      </c>
      <c r="P546" s="8" t="s">
        <v>24</v>
      </c>
      <c r="Q546" s="14" t="s">
        <v>1679</v>
      </c>
      <c r="R546" s="8" t="s">
        <v>2595</v>
      </c>
      <c r="S546" s="14" t="s">
        <v>2573</v>
      </c>
    </row>
    <row r="547">
      <c r="A547" s="8" t="s">
        <v>241</v>
      </c>
      <c r="B547" s="8" t="s">
        <v>356</v>
      </c>
      <c r="C547" s="8" t="s">
        <v>12</v>
      </c>
      <c r="D547" s="18" t="s">
        <v>2587</v>
      </c>
      <c r="E547" s="16">
        <v>79.0</v>
      </c>
      <c r="F547" s="8" t="s">
        <v>3444</v>
      </c>
      <c r="G547" s="8" t="s">
        <v>318</v>
      </c>
      <c r="H547" s="8" t="s">
        <v>192</v>
      </c>
      <c r="I547" s="18" t="s">
        <v>2577</v>
      </c>
      <c r="J547" s="16">
        <v>70.0</v>
      </c>
      <c r="K547" s="8" t="s">
        <v>197</v>
      </c>
      <c r="L547" s="8" t="s">
        <v>2958</v>
      </c>
      <c r="M547" s="18" t="s">
        <v>2589</v>
      </c>
      <c r="N547" s="16">
        <v>62.0</v>
      </c>
      <c r="O547" s="8" t="s">
        <v>4462</v>
      </c>
      <c r="P547" s="8" t="s">
        <v>12</v>
      </c>
      <c r="Q547" s="14" t="s">
        <v>237</v>
      </c>
      <c r="R547" s="8" t="s">
        <v>2552</v>
      </c>
      <c r="S547" s="14" t="s">
        <v>2602</v>
      </c>
    </row>
    <row r="548">
      <c r="A548" s="8" t="s">
        <v>241</v>
      </c>
      <c r="B548" s="8" t="s">
        <v>3717</v>
      </c>
      <c r="C548" s="8" t="s">
        <v>16</v>
      </c>
      <c r="D548" s="18" t="s">
        <v>2592</v>
      </c>
      <c r="E548" s="16">
        <v>60.0</v>
      </c>
      <c r="F548" s="8" t="s">
        <v>1290</v>
      </c>
      <c r="G548" s="8" t="s">
        <v>1289</v>
      </c>
      <c r="H548" s="8" t="s">
        <v>16</v>
      </c>
      <c r="I548" s="18" t="s">
        <v>2614</v>
      </c>
      <c r="J548" s="16">
        <v>86.0</v>
      </c>
      <c r="K548" s="8" t="s">
        <v>1846</v>
      </c>
      <c r="L548" s="8" t="s">
        <v>1380</v>
      </c>
      <c r="M548" s="18" t="s">
        <v>2552</v>
      </c>
      <c r="N548" s="16">
        <v>82.0</v>
      </c>
      <c r="O548" s="8" t="s">
        <v>4463</v>
      </c>
      <c r="P548" s="8" t="s">
        <v>75</v>
      </c>
      <c r="Q548" s="14" t="s">
        <v>1352</v>
      </c>
      <c r="R548" s="8" t="s">
        <v>2572</v>
      </c>
      <c r="S548" s="14" t="s">
        <v>2563</v>
      </c>
    </row>
    <row r="549">
      <c r="A549" s="8" t="s">
        <v>241</v>
      </c>
      <c r="B549" s="8" t="s">
        <v>3787</v>
      </c>
      <c r="C549" s="8" t="s">
        <v>16</v>
      </c>
      <c r="D549" s="18" t="s">
        <v>2554</v>
      </c>
      <c r="E549" s="16">
        <v>66.0</v>
      </c>
      <c r="F549" s="8" t="s">
        <v>671</v>
      </c>
      <c r="G549" s="8" t="s">
        <v>670</v>
      </c>
      <c r="H549" s="8" t="s">
        <v>132</v>
      </c>
      <c r="I549" s="18" t="s">
        <v>2560</v>
      </c>
      <c r="J549" s="16">
        <v>71.0</v>
      </c>
      <c r="K549" s="8" t="s">
        <v>134</v>
      </c>
      <c r="L549" s="8" t="s">
        <v>1310</v>
      </c>
      <c r="M549" s="18" t="s">
        <v>2600</v>
      </c>
      <c r="N549" s="16">
        <v>80.0</v>
      </c>
      <c r="O549" s="8" t="s">
        <v>4464</v>
      </c>
      <c r="P549" s="8" t="s">
        <v>122</v>
      </c>
      <c r="Q549" s="14" t="s">
        <v>837</v>
      </c>
      <c r="R549" s="8" t="s">
        <v>2577</v>
      </c>
      <c r="S549" s="14" t="s">
        <v>2563</v>
      </c>
    </row>
    <row r="550">
      <c r="A550" s="8" t="s">
        <v>241</v>
      </c>
      <c r="B550" s="8" t="s">
        <v>3436</v>
      </c>
      <c r="C550" s="8" t="s">
        <v>59</v>
      </c>
      <c r="D550" s="18" t="s">
        <v>2584</v>
      </c>
      <c r="E550" s="16">
        <v>79.0</v>
      </c>
      <c r="F550" s="8" t="s">
        <v>1811</v>
      </c>
      <c r="G550" s="8" t="s">
        <v>62</v>
      </c>
      <c r="H550" s="8" t="s">
        <v>132</v>
      </c>
      <c r="I550" s="18" t="s">
        <v>2564</v>
      </c>
      <c r="J550" s="16">
        <v>64.0</v>
      </c>
      <c r="K550" s="8" t="s">
        <v>134</v>
      </c>
      <c r="L550" s="8" t="s">
        <v>1484</v>
      </c>
      <c r="M550" s="18" t="s">
        <v>2552</v>
      </c>
      <c r="N550" s="16">
        <v>70.0</v>
      </c>
      <c r="O550" s="8" t="s">
        <v>4465</v>
      </c>
      <c r="P550" s="8" t="s">
        <v>149</v>
      </c>
      <c r="Q550" s="14" t="s">
        <v>1679</v>
      </c>
      <c r="R550" s="8" t="s">
        <v>2600</v>
      </c>
      <c r="S550" s="14" t="s">
        <v>2569</v>
      </c>
    </row>
    <row r="551">
      <c r="A551" s="8" t="s">
        <v>241</v>
      </c>
      <c r="B551" s="8" t="s">
        <v>78</v>
      </c>
      <c r="C551" s="8" t="s">
        <v>122</v>
      </c>
      <c r="D551" s="18" t="s">
        <v>2556</v>
      </c>
      <c r="E551" s="16">
        <v>88.0</v>
      </c>
      <c r="F551" s="8" t="s">
        <v>258</v>
      </c>
      <c r="G551" s="8" t="s">
        <v>2749</v>
      </c>
      <c r="H551" s="8" t="s">
        <v>70</v>
      </c>
      <c r="I551" s="18" t="s">
        <v>2567</v>
      </c>
      <c r="J551" s="16">
        <v>61.0</v>
      </c>
      <c r="K551" s="8" t="s">
        <v>134</v>
      </c>
      <c r="L551" s="8" t="s">
        <v>1658</v>
      </c>
      <c r="M551" s="18" t="s">
        <v>2615</v>
      </c>
      <c r="N551" s="16">
        <v>69.0</v>
      </c>
      <c r="O551" s="8" t="s">
        <v>4466</v>
      </c>
      <c r="P551" s="8" t="s">
        <v>80</v>
      </c>
      <c r="Q551" s="14" t="s">
        <v>1679</v>
      </c>
      <c r="R551" s="8" t="s">
        <v>2621</v>
      </c>
      <c r="S551" s="14" t="s">
        <v>2563</v>
      </c>
    </row>
    <row r="552">
      <c r="A552" s="8" t="s">
        <v>197</v>
      </c>
      <c r="B552" s="8" t="s">
        <v>3525</v>
      </c>
      <c r="C552" s="8" t="s">
        <v>65</v>
      </c>
      <c r="D552" s="18" t="s">
        <v>2567</v>
      </c>
      <c r="E552" s="16">
        <v>60.0</v>
      </c>
      <c r="F552" s="8" t="s">
        <v>1644</v>
      </c>
      <c r="G552" s="8" t="s">
        <v>195</v>
      </c>
      <c r="H552" s="8" t="s">
        <v>70</v>
      </c>
      <c r="I552" s="18" t="s">
        <v>2552</v>
      </c>
      <c r="J552" s="16">
        <v>80.0</v>
      </c>
      <c r="K552" s="8" t="s">
        <v>134</v>
      </c>
      <c r="L552" s="8" t="s">
        <v>133</v>
      </c>
      <c r="M552" s="18" t="s">
        <v>2581</v>
      </c>
      <c r="N552" s="16">
        <v>80.0</v>
      </c>
      <c r="O552" s="8" t="s">
        <v>4467</v>
      </c>
      <c r="P552" s="8" t="s">
        <v>24</v>
      </c>
      <c r="Q552" s="14" t="s">
        <v>837</v>
      </c>
      <c r="R552" s="8" t="s">
        <v>2560</v>
      </c>
      <c r="S552" s="14" t="s">
        <v>2622</v>
      </c>
    </row>
    <row r="553">
      <c r="A553" s="8" t="s">
        <v>197</v>
      </c>
      <c r="B553" s="8" t="s">
        <v>3184</v>
      </c>
      <c r="C553" s="8" t="s">
        <v>65</v>
      </c>
      <c r="D553" s="18" t="s">
        <v>2605</v>
      </c>
      <c r="E553" s="16">
        <v>65.0</v>
      </c>
      <c r="F553" s="8" t="s">
        <v>1644</v>
      </c>
      <c r="G553" s="8" t="s">
        <v>1041</v>
      </c>
      <c r="H553" s="8" t="s">
        <v>122</v>
      </c>
      <c r="I553" s="18" t="s">
        <v>2566</v>
      </c>
      <c r="J553" s="16">
        <v>71.0</v>
      </c>
      <c r="K553" s="8" t="s">
        <v>134</v>
      </c>
      <c r="L553" s="8" t="s">
        <v>608</v>
      </c>
      <c r="M553" s="18" t="s">
        <v>2605</v>
      </c>
      <c r="N553" s="16">
        <v>84.0</v>
      </c>
      <c r="O553" s="8" t="s">
        <v>4468</v>
      </c>
      <c r="P553" s="8" t="s">
        <v>46</v>
      </c>
      <c r="Q553" s="14" t="s">
        <v>1352</v>
      </c>
      <c r="R553" s="8" t="s">
        <v>2585</v>
      </c>
      <c r="S553" s="14" t="s">
        <v>2569</v>
      </c>
    </row>
    <row r="554">
      <c r="A554" s="8" t="s">
        <v>197</v>
      </c>
      <c r="B554" s="8" t="s">
        <v>106</v>
      </c>
      <c r="C554" s="8" t="s">
        <v>65</v>
      </c>
      <c r="D554" s="18" t="s">
        <v>2575</v>
      </c>
      <c r="E554" s="16">
        <v>61.0</v>
      </c>
      <c r="F554" s="8" t="s">
        <v>1009</v>
      </c>
      <c r="G554" s="8" t="s">
        <v>497</v>
      </c>
      <c r="H554" s="8" t="s">
        <v>93</v>
      </c>
      <c r="I554" s="18" t="s">
        <v>2558</v>
      </c>
      <c r="J554" s="16">
        <v>77.0</v>
      </c>
      <c r="K554" s="8" t="s">
        <v>134</v>
      </c>
      <c r="L554" s="8" t="s">
        <v>1439</v>
      </c>
      <c r="M554" s="18" t="s">
        <v>2600</v>
      </c>
      <c r="N554" s="16">
        <v>67.0</v>
      </c>
      <c r="O554" s="8" t="s">
        <v>4469</v>
      </c>
      <c r="P554" s="8" t="s">
        <v>12</v>
      </c>
      <c r="Q554" s="14" t="s">
        <v>1679</v>
      </c>
      <c r="R554" s="18" t="s">
        <v>2556</v>
      </c>
      <c r="S554" s="14" t="s">
        <v>2557</v>
      </c>
    </row>
    <row r="555">
      <c r="A555" s="8" t="s">
        <v>197</v>
      </c>
      <c r="B555" s="8" t="s">
        <v>292</v>
      </c>
      <c r="C555" s="8" t="s">
        <v>141</v>
      </c>
      <c r="D555" s="18" t="s">
        <v>2585</v>
      </c>
      <c r="E555" s="16">
        <v>71.0</v>
      </c>
      <c r="F555" s="8" t="s">
        <v>3482</v>
      </c>
      <c r="G555" s="8" t="s">
        <v>472</v>
      </c>
      <c r="H555" s="8" t="s">
        <v>192</v>
      </c>
      <c r="I555" s="18" t="s">
        <v>2600</v>
      </c>
      <c r="J555" s="16">
        <v>59.0</v>
      </c>
      <c r="K555" s="8" t="s">
        <v>134</v>
      </c>
      <c r="L555" s="8" t="s">
        <v>608</v>
      </c>
      <c r="M555" s="18" t="s">
        <v>2620</v>
      </c>
      <c r="N555" s="16">
        <v>88.0</v>
      </c>
      <c r="O555" s="8" t="s">
        <v>4470</v>
      </c>
      <c r="P555" s="8" t="s">
        <v>122</v>
      </c>
      <c r="Q555" s="14" t="s">
        <v>1352</v>
      </c>
      <c r="R555" s="8" t="s">
        <v>2615</v>
      </c>
      <c r="S555" s="14" t="s">
        <v>2576</v>
      </c>
    </row>
    <row r="556">
      <c r="A556" s="8" t="s">
        <v>197</v>
      </c>
      <c r="B556" s="8" t="s">
        <v>2894</v>
      </c>
      <c r="C556" s="8" t="s">
        <v>70</v>
      </c>
      <c r="D556" s="18" t="s">
        <v>2595</v>
      </c>
      <c r="E556" s="16">
        <v>68.0</v>
      </c>
      <c r="F556" s="8" t="s">
        <v>3458</v>
      </c>
      <c r="G556" s="8" t="s">
        <v>3457</v>
      </c>
      <c r="H556" s="8" t="s">
        <v>93</v>
      </c>
      <c r="I556" s="18" t="s">
        <v>2595</v>
      </c>
      <c r="J556" s="16">
        <v>68.0</v>
      </c>
      <c r="K556" s="8" t="s">
        <v>1445</v>
      </c>
      <c r="L556" s="8" t="s">
        <v>2792</v>
      </c>
      <c r="M556" s="18" t="s">
        <v>2584</v>
      </c>
      <c r="N556" s="16">
        <v>75.0</v>
      </c>
      <c r="O556" s="8" t="s">
        <v>4471</v>
      </c>
      <c r="P556" s="8" t="s">
        <v>24</v>
      </c>
      <c r="Q556" s="14" t="s">
        <v>1679</v>
      </c>
      <c r="R556" s="8" t="s">
        <v>2572</v>
      </c>
      <c r="S556" s="14" t="s">
        <v>2576</v>
      </c>
    </row>
    <row r="557">
      <c r="A557" s="8" t="s">
        <v>197</v>
      </c>
      <c r="B557" s="8" t="s">
        <v>979</v>
      </c>
      <c r="C557" s="8" t="s">
        <v>122</v>
      </c>
      <c r="D557" s="18" t="s">
        <v>2577</v>
      </c>
      <c r="E557" s="16">
        <v>66.0</v>
      </c>
      <c r="F557" s="8" t="s">
        <v>1060</v>
      </c>
      <c r="G557" s="8" t="s">
        <v>451</v>
      </c>
      <c r="H557" s="8" t="s">
        <v>53</v>
      </c>
      <c r="I557" s="18" t="s">
        <v>2614</v>
      </c>
      <c r="J557" s="16">
        <v>73.0</v>
      </c>
      <c r="K557" s="8" t="s">
        <v>1445</v>
      </c>
      <c r="L557" s="8" t="s">
        <v>2217</v>
      </c>
      <c r="M557" s="18" t="s">
        <v>2585</v>
      </c>
      <c r="N557" s="16">
        <v>76.0</v>
      </c>
      <c r="O557" s="8" t="s">
        <v>4472</v>
      </c>
      <c r="P557" s="8" t="s">
        <v>16</v>
      </c>
      <c r="Q557" s="14" t="s">
        <v>2296</v>
      </c>
      <c r="R557" s="8" t="s">
        <v>2566</v>
      </c>
      <c r="S557" s="14" t="s">
        <v>2555</v>
      </c>
    </row>
    <row r="558">
      <c r="A558" s="8" t="s">
        <v>197</v>
      </c>
      <c r="B558" s="8" t="s">
        <v>2958</v>
      </c>
      <c r="C558" s="8" t="s">
        <v>141</v>
      </c>
      <c r="D558" s="18" t="s">
        <v>2183</v>
      </c>
      <c r="E558" s="16">
        <v>63.0</v>
      </c>
      <c r="F558" s="8" t="s">
        <v>1060</v>
      </c>
      <c r="G558" s="8" t="s">
        <v>78</v>
      </c>
      <c r="H558" s="8" t="s">
        <v>70</v>
      </c>
      <c r="I558" s="18" t="s">
        <v>2581</v>
      </c>
      <c r="J558" s="16">
        <v>76.0</v>
      </c>
      <c r="K558" s="8" t="s">
        <v>953</v>
      </c>
      <c r="L558" s="8" t="s">
        <v>284</v>
      </c>
      <c r="M558" s="18" t="s">
        <v>2621</v>
      </c>
      <c r="N558" s="16">
        <v>76.0</v>
      </c>
      <c r="O558" s="8" t="s">
        <v>4473</v>
      </c>
      <c r="P558" s="8" t="s">
        <v>141</v>
      </c>
      <c r="Q558" s="14" t="s">
        <v>237</v>
      </c>
      <c r="R558" s="8" t="s">
        <v>2581</v>
      </c>
      <c r="S558" s="14" t="s">
        <v>2568</v>
      </c>
    </row>
    <row r="559">
      <c r="A559" s="8" t="s">
        <v>197</v>
      </c>
      <c r="B559" s="8" t="s">
        <v>602</v>
      </c>
      <c r="C559" s="8" t="s">
        <v>80</v>
      </c>
      <c r="D559" s="18" t="s">
        <v>2183</v>
      </c>
      <c r="E559" s="16">
        <v>69.0</v>
      </c>
      <c r="F559" s="8" t="s">
        <v>1113</v>
      </c>
      <c r="G559" s="8" t="s">
        <v>1112</v>
      </c>
      <c r="H559" s="8" t="s">
        <v>65</v>
      </c>
      <c r="I559" s="18" t="s">
        <v>2574</v>
      </c>
      <c r="J559" s="16">
        <v>58.0</v>
      </c>
      <c r="K559" s="8" t="s">
        <v>645</v>
      </c>
      <c r="L559" s="8" t="s">
        <v>644</v>
      </c>
      <c r="M559" s="18" t="s">
        <v>2621</v>
      </c>
      <c r="N559" s="16">
        <v>71.0</v>
      </c>
      <c r="O559" s="8" t="s">
        <v>4474</v>
      </c>
      <c r="P559" s="8" t="s">
        <v>122</v>
      </c>
      <c r="Q559" s="14" t="s">
        <v>1070</v>
      </c>
      <c r="R559" s="8" t="s">
        <v>2614</v>
      </c>
      <c r="S559" s="14" t="s">
        <v>2568</v>
      </c>
    </row>
    <row r="560">
      <c r="A560" s="8" t="s">
        <v>197</v>
      </c>
      <c r="B560" s="8" t="s">
        <v>62</v>
      </c>
      <c r="C560" s="8" t="s">
        <v>70</v>
      </c>
      <c r="D560" s="18" t="s">
        <v>2581</v>
      </c>
      <c r="E560" s="16">
        <v>72.0</v>
      </c>
      <c r="F560" s="8" t="s">
        <v>438</v>
      </c>
      <c r="G560" s="8" t="s">
        <v>437</v>
      </c>
      <c r="H560" s="8" t="s">
        <v>122</v>
      </c>
      <c r="I560" s="18" t="s">
        <v>2572</v>
      </c>
      <c r="J560" s="16">
        <v>69.0</v>
      </c>
      <c r="K560" s="8" t="s">
        <v>1643</v>
      </c>
      <c r="L560" s="8" t="s">
        <v>1625</v>
      </c>
      <c r="M560" s="18" t="s">
        <v>2620</v>
      </c>
      <c r="N560" s="16">
        <v>78.0</v>
      </c>
      <c r="O560" s="8" t="s">
        <v>4475</v>
      </c>
      <c r="P560" s="8" t="s">
        <v>192</v>
      </c>
      <c r="Q560" s="14" t="s">
        <v>459</v>
      </c>
      <c r="R560" s="8" t="s">
        <v>2183</v>
      </c>
      <c r="S560" s="14" t="s">
        <v>2591</v>
      </c>
    </row>
    <row r="561">
      <c r="A561" s="8" t="s">
        <v>1846</v>
      </c>
      <c r="B561" s="8" t="s">
        <v>1380</v>
      </c>
      <c r="C561" s="8" t="s">
        <v>215</v>
      </c>
      <c r="D561" s="18" t="s">
        <v>2552</v>
      </c>
      <c r="E561" s="16">
        <v>72.0</v>
      </c>
      <c r="F561" s="8" t="s">
        <v>378</v>
      </c>
      <c r="G561" s="8" t="s">
        <v>377</v>
      </c>
      <c r="H561" s="8" t="s">
        <v>122</v>
      </c>
      <c r="I561" s="18" t="s">
        <v>2566</v>
      </c>
      <c r="J561" s="16">
        <v>89.0</v>
      </c>
      <c r="K561" s="8" t="s">
        <v>1643</v>
      </c>
      <c r="L561" s="8" t="s">
        <v>444</v>
      </c>
      <c r="M561" s="18" t="s">
        <v>2566</v>
      </c>
      <c r="N561" s="16">
        <v>71.0</v>
      </c>
      <c r="O561" s="8" t="s">
        <v>4476</v>
      </c>
      <c r="P561" s="8" t="s">
        <v>122</v>
      </c>
      <c r="Q561" s="14" t="s">
        <v>2033</v>
      </c>
      <c r="R561" s="8" t="s">
        <v>2614</v>
      </c>
      <c r="S561" s="14" t="s">
        <v>2576</v>
      </c>
    </row>
    <row r="562">
      <c r="A562" s="8" t="s">
        <v>3244</v>
      </c>
      <c r="B562" s="8" t="s">
        <v>3243</v>
      </c>
      <c r="C562" s="8" t="s">
        <v>59</v>
      </c>
      <c r="D562" s="18" t="s">
        <v>2595</v>
      </c>
      <c r="E562" s="16">
        <v>77.0</v>
      </c>
      <c r="F562" s="8" t="s">
        <v>1216</v>
      </c>
      <c r="G562" s="8" t="s">
        <v>1215</v>
      </c>
      <c r="H562" s="8" t="s">
        <v>93</v>
      </c>
      <c r="I562" s="18" t="s">
        <v>2598</v>
      </c>
      <c r="J562" s="16">
        <v>68.0</v>
      </c>
      <c r="K562" s="8" t="s">
        <v>800</v>
      </c>
      <c r="L562" s="8" t="s">
        <v>950</v>
      </c>
      <c r="M562" s="18" t="s">
        <v>2621</v>
      </c>
      <c r="N562" s="16">
        <v>64.0</v>
      </c>
      <c r="O562" s="8" t="s">
        <v>4477</v>
      </c>
      <c r="P562" s="8" t="s">
        <v>138</v>
      </c>
      <c r="Q562" s="14" t="s">
        <v>1679</v>
      </c>
      <c r="R562" s="8" t="s">
        <v>2552</v>
      </c>
      <c r="S562" s="14" t="s">
        <v>2633</v>
      </c>
    </row>
    <row r="563">
      <c r="A563" s="8" t="s">
        <v>134</v>
      </c>
      <c r="B563" s="8" t="s">
        <v>133</v>
      </c>
      <c r="C563" s="8" t="s">
        <v>65</v>
      </c>
      <c r="D563" s="18" t="s">
        <v>2600</v>
      </c>
      <c r="E563" s="16">
        <v>83.0</v>
      </c>
      <c r="F563" s="8" t="s">
        <v>3371</v>
      </c>
      <c r="G563" s="8" t="s">
        <v>1264</v>
      </c>
      <c r="H563" s="8" t="s">
        <v>215</v>
      </c>
      <c r="I563" s="18" t="s">
        <v>2614</v>
      </c>
      <c r="J563" s="16">
        <v>70.0</v>
      </c>
      <c r="K563" s="8" t="s">
        <v>800</v>
      </c>
      <c r="L563" s="8" t="s">
        <v>955</v>
      </c>
      <c r="M563" s="18" t="s">
        <v>2562</v>
      </c>
      <c r="N563" s="16">
        <v>65.0</v>
      </c>
      <c r="O563" s="8" t="s">
        <v>4478</v>
      </c>
      <c r="P563" s="8" t="s">
        <v>65</v>
      </c>
      <c r="Q563" s="14" t="s">
        <v>135</v>
      </c>
      <c r="R563" s="8" t="s">
        <v>2554</v>
      </c>
      <c r="S563" s="14" t="s">
        <v>2599</v>
      </c>
    </row>
    <row r="564">
      <c r="A564" s="8" t="s">
        <v>134</v>
      </c>
      <c r="B564" s="8" t="s">
        <v>1310</v>
      </c>
      <c r="C564" s="8" t="s">
        <v>122</v>
      </c>
      <c r="D564" s="18" t="s">
        <v>2615</v>
      </c>
      <c r="E564" s="16">
        <v>72.0</v>
      </c>
      <c r="F564" s="8" t="s">
        <v>4479</v>
      </c>
      <c r="G564" s="8" t="s">
        <v>3452</v>
      </c>
      <c r="H564" s="8" t="s">
        <v>65</v>
      </c>
      <c r="I564" s="18" t="s">
        <v>2581</v>
      </c>
      <c r="J564" s="16">
        <v>64.0</v>
      </c>
      <c r="K564" s="8" t="s">
        <v>800</v>
      </c>
      <c r="L564" s="8" t="s">
        <v>2895</v>
      </c>
      <c r="M564" s="18" t="s">
        <v>2645</v>
      </c>
      <c r="N564" s="16">
        <v>67.0</v>
      </c>
      <c r="O564" s="8" t="s">
        <v>4480</v>
      </c>
      <c r="P564" s="8" t="s">
        <v>16</v>
      </c>
      <c r="Q564" s="14" t="s">
        <v>1352</v>
      </c>
      <c r="R564" s="8" t="s">
        <v>2600</v>
      </c>
      <c r="S564" s="14" t="s">
        <v>2637</v>
      </c>
    </row>
    <row r="565">
      <c r="A565" s="8" t="s">
        <v>134</v>
      </c>
      <c r="B565" s="8" t="s">
        <v>608</v>
      </c>
      <c r="C565" s="8" t="s">
        <v>186</v>
      </c>
      <c r="D565" s="18" t="s">
        <v>2605</v>
      </c>
      <c r="E565" s="16">
        <v>85.0</v>
      </c>
      <c r="F565" s="8" t="s">
        <v>241</v>
      </c>
      <c r="G565" s="8" t="s">
        <v>1442</v>
      </c>
      <c r="H565" s="8" t="s">
        <v>132</v>
      </c>
      <c r="I565" s="18" t="s">
        <v>2572</v>
      </c>
      <c r="J565" s="16">
        <v>76.0</v>
      </c>
      <c r="K565" s="8" t="s">
        <v>800</v>
      </c>
      <c r="L565" s="8" t="s">
        <v>1571</v>
      </c>
      <c r="M565" s="18" t="s">
        <v>2572</v>
      </c>
      <c r="N565" s="16">
        <v>70.0</v>
      </c>
      <c r="O565" s="8" t="s">
        <v>4481</v>
      </c>
      <c r="P565" s="8" t="s">
        <v>132</v>
      </c>
      <c r="Q565" s="14" t="s">
        <v>1352</v>
      </c>
      <c r="R565" s="8" t="s">
        <v>2552</v>
      </c>
      <c r="S565" s="14" t="s">
        <v>2576</v>
      </c>
    </row>
    <row r="566">
      <c r="A566" s="8" t="s">
        <v>134</v>
      </c>
      <c r="B566" s="8" t="s">
        <v>1658</v>
      </c>
      <c r="C566" s="8" t="s">
        <v>24</v>
      </c>
      <c r="D566" s="18" t="s">
        <v>2592</v>
      </c>
      <c r="E566" s="16">
        <v>69.0</v>
      </c>
      <c r="F566" s="8" t="s">
        <v>241</v>
      </c>
      <c r="G566" s="8" t="s">
        <v>240</v>
      </c>
      <c r="H566" s="8" t="s">
        <v>12</v>
      </c>
      <c r="I566" s="18" t="s">
        <v>2614</v>
      </c>
      <c r="J566" s="16">
        <v>84.0</v>
      </c>
      <c r="K566" s="8" t="s">
        <v>800</v>
      </c>
      <c r="L566" s="8" t="s">
        <v>3055</v>
      </c>
      <c r="M566" s="18" t="s">
        <v>2554</v>
      </c>
      <c r="N566" s="16">
        <v>86.0</v>
      </c>
      <c r="O566" s="8" t="s">
        <v>4482</v>
      </c>
      <c r="P566" s="8" t="s">
        <v>93</v>
      </c>
      <c r="Q566" s="14" t="s">
        <v>2033</v>
      </c>
      <c r="R566" s="8" t="s">
        <v>2582</v>
      </c>
      <c r="S566" s="14" t="s">
        <v>2576</v>
      </c>
    </row>
    <row r="567">
      <c r="A567" s="8" t="s">
        <v>134</v>
      </c>
      <c r="B567" s="8" t="s">
        <v>3504</v>
      </c>
      <c r="C567" s="8" t="s">
        <v>70</v>
      </c>
      <c r="D567" s="18" t="s">
        <v>2572</v>
      </c>
      <c r="E567" s="16">
        <v>82.0</v>
      </c>
      <c r="F567" s="8" t="s">
        <v>241</v>
      </c>
      <c r="G567" s="8" t="s">
        <v>3436</v>
      </c>
      <c r="H567" s="8" t="s">
        <v>53</v>
      </c>
      <c r="I567" s="18" t="s">
        <v>2605</v>
      </c>
      <c r="J567" s="16">
        <v>74.0</v>
      </c>
      <c r="K567" s="8" t="s">
        <v>800</v>
      </c>
      <c r="L567" s="8" t="s">
        <v>1005</v>
      </c>
      <c r="M567" s="18" t="s">
        <v>2610</v>
      </c>
      <c r="N567" s="16">
        <v>67.0</v>
      </c>
      <c r="O567" s="8" t="s">
        <v>4483</v>
      </c>
      <c r="P567" s="8" t="s">
        <v>122</v>
      </c>
      <c r="Q567" s="14" t="s">
        <v>1070</v>
      </c>
      <c r="R567" s="8" t="s">
        <v>2600</v>
      </c>
      <c r="S567" s="14" t="s">
        <v>2553</v>
      </c>
    </row>
    <row r="568">
      <c r="A568" s="8" t="s">
        <v>1445</v>
      </c>
      <c r="B568" s="8" t="s">
        <v>3641</v>
      </c>
      <c r="C568" s="8" t="s">
        <v>215</v>
      </c>
      <c r="D568" s="18" t="s">
        <v>2584</v>
      </c>
      <c r="E568" s="16">
        <v>77.0</v>
      </c>
      <c r="F568" s="8" t="s">
        <v>241</v>
      </c>
      <c r="G568" s="8" t="s">
        <v>3257</v>
      </c>
      <c r="H568" s="8" t="s">
        <v>46</v>
      </c>
      <c r="I568" s="18" t="s">
        <v>2574</v>
      </c>
      <c r="J568" s="16">
        <v>66.0</v>
      </c>
      <c r="K568" s="8" t="s">
        <v>800</v>
      </c>
      <c r="L568" s="8" t="s">
        <v>1172</v>
      </c>
      <c r="M568" s="18" t="s">
        <v>2567</v>
      </c>
      <c r="N568" s="16">
        <v>74.0</v>
      </c>
      <c r="O568" s="8" t="s">
        <v>4484</v>
      </c>
      <c r="P568" s="8" t="s">
        <v>186</v>
      </c>
      <c r="Q568" s="14" t="s">
        <v>459</v>
      </c>
      <c r="R568" s="8" t="s">
        <v>2605</v>
      </c>
      <c r="S568" s="14" t="s">
        <v>2607</v>
      </c>
    </row>
    <row r="569">
      <c r="A569" s="8" t="s">
        <v>953</v>
      </c>
      <c r="B569" s="8" t="s">
        <v>284</v>
      </c>
      <c r="C569" s="8" t="s">
        <v>138</v>
      </c>
      <c r="D569" s="18" t="s">
        <v>2621</v>
      </c>
      <c r="E569" s="16">
        <v>68.0</v>
      </c>
      <c r="F569" s="8" t="s">
        <v>241</v>
      </c>
      <c r="G569" s="8" t="s">
        <v>1974</v>
      </c>
      <c r="H569" s="8" t="s">
        <v>149</v>
      </c>
      <c r="I569" s="18" t="s">
        <v>2614</v>
      </c>
      <c r="J569" s="16">
        <v>62.0</v>
      </c>
      <c r="K569" s="8" t="s">
        <v>886</v>
      </c>
      <c r="L569" s="8" t="s">
        <v>885</v>
      </c>
      <c r="M569" s="18" t="s">
        <v>2610</v>
      </c>
      <c r="N569" s="16">
        <v>77.0</v>
      </c>
      <c r="O569" s="8" t="s">
        <v>4485</v>
      </c>
      <c r="P569" s="8" t="s">
        <v>261</v>
      </c>
      <c r="Q569" s="14" t="s">
        <v>1352</v>
      </c>
      <c r="R569" s="8" t="s">
        <v>2558</v>
      </c>
      <c r="S569" s="14" t="s">
        <v>2563</v>
      </c>
    </row>
    <row r="570">
      <c r="A570" s="8" t="s">
        <v>645</v>
      </c>
      <c r="B570" s="8" t="s">
        <v>644</v>
      </c>
      <c r="C570" s="8" t="s">
        <v>186</v>
      </c>
      <c r="D570" s="18" t="s">
        <v>2556</v>
      </c>
      <c r="E570" s="16">
        <v>61.0</v>
      </c>
      <c r="F570" s="8" t="s">
        <v>197</v>
      </c>
      <c r="G570" s="8" t="s">
        <v>2894</v>
      </c>
      <c r="H570" s="8" t="s">
        <v>70</v>
      </c>
      <c r="I570" s="18" t="s">
        <v>2595</v>
      </c>
      <c r="J570" s="16">
        <v>63.0</v>
      </c>
      <c r="K570" s="8" t="s">
        <v>1338</v>
      </c>
      <c r="L570" s="8" t="s">
        <v>361</v>
      </c>
      <c r="M570" s="18" t="s">
        <v>2567</v>
      </c>
      <c r="N570" s="16">
        <v>68.0</v>
      </c>
      <c r="O570" s="8" t="s">
        <v>4486</v>
      </c>
      <c r="P570" s="8" t="s">
        <v>59</v>
      </c>
      <c r="Q570" s="14" t="s">
        <v>1352</v>
      </c>
      <c r="R570" s="8" t="s">
        <v>2593</v>
      </c>
      <c r="S570" s="14" t="s">
        <v>2590</v>
      </c>
    </row>
    <row r="571">
      <c r="A571" s="8" t="s">
        <v>1643</v>
      </c>
      <c r="B571" s="8" t="s">
        <v>1625</v>
      </c>
      <c r="C571" s="8" t="s">
        <v>80</v>
      </c>
      <c r="D571" s="18" t="s">
        <v>2620</v>
      </c>
      <c r="E571" s="16">
        <v>86.0</v>
      </c>
      <c r="F571" s="8" t="s">
        <v>197</v>
      </c>
      <c r="G571" s="8" t="s">
        <v>292</v>
      </c>
      <c r="H571" s="8" t="s">
        <v>141</v>
      </c>
      <c r="I571" s="18" t="s">
        <v>2585</v>
      </c>
      <c r="J571" s="16">
        <v>71.0</v>
      </c>
      <c r="K571" s="8" t="s">
        <v>1338</v>
      </c>
      <c r="L571" s="8" t="s">
        <v>78</v>
      </c>
      <c r="M571" s="18" t="s">
        <v>2585</v>
      </c>
      <c r="N571" s="16">
        <v>64.0</v>
      </c>
      <c r="O571" s="8" t="s">
        <v>4487</v>
      </c>
      <c r="P571" s="8" t="s">
        <v>65</v>
      </c>
      <c r="Q571" s="14" t="s">
        <v>2033</v>
      </c>
      <c r="R571" s="8" t="s">
        <v>2585</v>
      </c>
      <c r="S571" s="14" t="s">
        <v>2607</v>
      </c>
    </row>
    <row r="572">
      <c r="A572" s="8" t="s">
        <v>1643</v>
      </c>
      <c r="B572" s="8" t="s">
        <v>444</v>
      </c>
      <c r="C572" s="8" t="s">
        <v>80</v>
      </c>
      <c r="D572" s="18" t="s">
        <v>2566</v>
      </c>
      <c r="E572" s="16">
        <v>69.0</v>
      </c>
      <c r="F572" s="8" t="s">
        <v>197</v>
      </c>
      <c r="G572" s="8" t="s">
        <v>979</v>
      </c>
      <c r="H572" s="8" t="s">
        <v>122</v>
      </c>
      <c r="I572" s="18" t="s">
        <v>2577</v>
      </c>
      <c r="J572" s="16">
        <v>69.0</v>
      </c>
      <c r="K572" s="8" t="s">
        <v>1338</v>
      </c>
      <c r="L572" s="8" t="s">
        <v>1818</v>
      </c>
      <c r="M572" s="18" t="s">
        <v>2564</v>
      </c>
      <c r="N572" s="16">
        <v>62.0</v>
      </c>
      <c r="O572" s="8" t="s">
        <v>4488</v>
      </c>
      <c r="P572" s="8" t="s">
        <v>122</v>
      </c>
      <c r="Q572" s="14" t="s">
        <v>837</v>
      </c>
      <c r="R572" s="8" t="s">
        <v>2621</v>
      </c>
      <c r="S572" s="14" t="s">
        <v>2571</v>
      </c>
    </row>
    <row r="573">
      <c r="A573" s="8" t="s">
        <v>3675</v>
      </c>
      <c r="B573" s="8" t="s">
        <v>89</v>
      </c>
      <c r="C573" s="8" t="s">
        <v>59</v>
      </c>
      <c r="D573" s="18" t="s">
        <v>2610</v>
      </c>
      <c r="E573" s="16">
        <v>62.0</v>
      </c>
      <c r="F573" s="8" t="s">
        <v>197</v>
      </c>
      <c r="G573" s="8" t="s">
        <v>3184</v>
      </c>
      <c r="H573" s="8" t="s">
        <v>65</v>
      </c>
      <c r="I573" s="18" t="s">
        <v>2605</v>
      </c>
      <c r="J573" s="16">
        <v>65.0</v>
      </c>
      <c r="K573" s="8" t="s">
        <v>1338</v>
      </c>
      <c r="L573" s="8" t="s">
        <v>78</v>
      </c>
      <c r="M573" s="18" t="s">
        <v>2593</v>
      </c>
      <c r="N573" s="16">
        <v>66.0</v>
      </c>
      <c r="O573" s="8" t="s">
        <v>4489</v>
      </c>
      <c r="P573" s="8" t="s">
        <v>70</v>
      </c>
      <c r="Q573" s="14" t="s">
        <v>1352</v>
      </c>
      <c r="R573" s="8" t="s">
        <v>2592</v>
      </c>
      <c r="S573" s="14" t="s">
        <v>2594</v>
      </c>
    </row>
    <row r="574">
      <c r="A574" s="8" t="s">
        <v>800</v>
      </c>
      <c r="B574" s="8" t="s">
        <v>486</v>
      </c>
      <c r="C574" s="8" t="s">
        <v>93</v>
      </c>
      <c r="D574" s="18" t="s">
        <v>2567</v>
      </c>
      <c r="E574" s="16">
        <v>72.0</v>
      </c>
      <c r="F574" s="8" t="s">
        <v>197</v>
      </c>
      <c r="G574" s="8" t="s">
        <v>2958</v>
      </c>
      <c r="H574" s="8" t="s">
        <v>75</v>
      </c>
      <c r="I574" s="18" t="s">
        <v>2589</v>
      </c>
      <c r="J574" s="16">
        <v>63.0</v>
      </c>
      <c r="K574" s="8" t="s">
        <v>153</v>
      </c>
      <c r="L574" s="8" t="s">
        <v>3071</v>
      </c>
      <c r="M574" s="18" t="s">
        <v>2564</v>
      </c>
      <c r="N574" s="16">
        <v>75.0</v>
      </c>
      <c r="O574" s="8" t="s">
        <v>4490</v>
      </c>
      <c r="P574" s="8" t="s">
        <v>186</v>
      </c>
      <c r="Q574" s="14" t="s">
        <v>631</v>
      </c>
      <c r="R574" s="8" t="s">
        <v>2621</v>
      </c>
      <c r="S574" s="14" t="s">
        <v>2555</v>
      </c>
    </row>
    <row r="575">
      <c r="A575" s="8" t="s">
        <v>800</v>
      </c>
      <c r="B575" s="8" t="s">
        <v>3301</v>
      </c>
      <c r="C575" s="8" t="s">
        <v>93</v>
      </c>
      <c r="D575" s="18" t="s">
        <v>2610</v>
      </c>
      <c r="E575" s="16">
        <v>60.0</v>
      </c>
      <c r="F575" s="8" t="s">
        <v>197</v>
      </c>
      <c r="G575" s="8" t="s">
        <v>1387</v>
      </c>
      <c r="H575" s="8" t="s">
        <v>149</v>
      </c>
      <c r="I575" s="18" t="s">
        <v>2598</v>
      </c>
      <c r="J575" s="16">
        <v>61.0</v>
      </c>
      <c r="K575" s="8" t="s">
        <v>153</v>
      </c>
      <c r="L575" s="8" t="s">
        <v>152</v>
      </c>
      <c r="M575" s="18" t="s">
        <v>2615</v>
      </c>
      <c r="N575" s="16">
        <v>75.0</v>
      </c>
      <c r="O575" s="8" t="s">
        <v>4491</v>
      </c>
      <c r="P575" s="8" t="s">
        <v>80</v>
      </c>
      <c r="Q575" s="14" t="s">
        <v>1352</v>
      </c>
      <c r="R575" s="8" t="s">
        <v>2614</v>
      </c>
      <c r="S575" s="14" t="s">
        <v>2622</v>
      </c>
    </row>
    <row r="576">
      <c r="A576" s="8" t="s">
        <v>800</v>
      </c>
      <c r="B576" s="8" t="s">
        <v>208</v>
      </c>
      <c r="C576" s="8" t="s">
        <v>70</v>
      </c>
      <c r="D576" s="18" t="s">
        <v>2614</v>
      </c>
      <c r="E576" s="16">
        <v>67.0</v>
      </c>
      <c r="F576" s="8" t="s">
        <v>197</v>
      </c>
      <c r="G576" s="8" t="s">
        <v>602</v>
      </c>
      <c r="H576" s="8" t="s">
        <v>192</v>
      </c>
      <c r="I576" s="18" t="s">
        <v>2183</v>
      </c>
      <c r="J576" s="16">
        <v>75.0</v>
      </c>
      <c r="K576" s="8" t="s">
        <v>2845</v>
      </c>
      <c r="L576" s="8" t="s">
        <v>2844</v>
      </c>
      <c r="M576" s="18" t="s">
        <v>2577</v>
      </c>
      <c r="N576" s="16">
        <v>71.0</v>
      </c>
      <c r="O576" s="8" t="s">
        <v>4492</v>
      </c>
      <c r="P576" s="8" t="s">
        <v>93</v>
      </c>
      <c r="Q576" s="14" t="s">
        <v>1070</v>
      </c>
      <c r="R576" s="8" t="s">
        <v>2593</v>
      </c>
      <c r="S576" s="14" t="s">
        <v>2570</v>
      </c>
    </row>
    <row r="577">
      <c r="A577" s="8" t="s">
        <v>800</v>
      </c>
      <c r="B577" s="8" t="s">
        <v>950</v>
      </c>
      <c r="C577" s="8" t="s">
        <v>65</v>
      </c>
      <c r="D577" s="18" t="s">
        <v>2615</v>
      </c>
      <c r="E577" s="16">
        <v>61.0</v>
      </c>
      <c r="F577" s="8" t="s">
        <v>1846</v>
      </c>
      <c r="G577" s="8" t="s">
        <v>1380</v>
      </c>
      <c r="H577" s="8" t="s">
        <v>138</v>
      </c>
      <c r="I577" s="18" t="s">
        <v>2552</v>
      </c>
      <c r="J577" s="16">
        <v>86.0</v>
      </c>
      <c r="K577" s="8" t="s">
        <v>1876</v>
      </c>
      <c r="L577" s="8" t="s">
        <v>42</v>
      </c>
      <c r="M577" s="18" t="s">
        <v>2560</v>
      </c>
      <c r="N577" s="16">
        <v>74.0</v>
      </c>
      <c r="O577" s="8" t="s">
        <v>4493</v>
      </c>
      <c r="P577" s="8" t="s">
        <v>70</v>
      </c>
      <c r="Q577" s="14" t="s">
        <v>1352</v>
      </c>
      <c r="R577" s="8" t="s">
        <v>2614</v>
      </c>
      <c r="S577" s="14" t="s">
        <v>2576</v>
      </c>
    </row>
    <row r="578">
      <c r="A578" s="8" t="s">
        <v>800</v>
      </c>
      <c r="B578" s="8" t="s">
        <v>955</v>
      </c>
      <c r="C578" s="8" t="s">
        <v>122</v>
      </c>
      <c r="D578" s="18" t="s">
        <v>2620</v>
      </c>
      <c r="E578" s="16">
        <v>61.0</v>
      </c>
      <c r="F578" s="8" t="s">
        <v>3244</v>
      </c>
      <c r="G578" s="8" t="s">
        <v>3243</v>
      </c>
      <c r="H578" s="8" t="s">
        <v>59</v>
      </c>
      <c r="I578" s="18" t="s">
        <v>2595</v>
      </c>
      <c r="J578" s="16">
        <v>75.0</v>
      </c>
      <c r="K578" s="8" t="s">
        <v>792</v>
      </c>
      <c r="L578" s="8" t="s">
        <v>305</v>
      </c>
      <c r="M578" s="18" t="s">
        <v>2560</v>
      </c>
      <c r="N578" s="16">
        <v>74.0</v>
      </c>
      <c r="O578" s="8" t="s">
        <v>4494</v>
      </c>
      <c r="P578" s="8" t="s">
        <v>65</v>
      </c>
      <c r="Q578" s="14" t="s">
        <v>837</v>
      </c>
      <c r="R578" s="8" t="s">
        <v>2621</v>
      </c>
      <c r="S578" s="14" t="s">
        <v>2579</v>
      </c>
    </row>
    <row r="579">
      <c r="A579" s="8" t="s">
        <v>800</v>
      </c>
      <c r="B579" s="8" t="s">
        <v>2895</v>
      </c>
      <c r="C579" s="8" t="s">
        <v>122</v>
      </c>
      <c r="D579" s="18" t="s">
        <v>2556</v>
      </c>
      <c r="E579" s="16">
        <v>58.0</v>
      </c>
      <c r="F579" s="8" t="s">
        <v>134</v>
      </c>
      <c r="G579" s="8" t="s">
        <v>3504</v>
      </c>
      <c r="H579" s="8" t="s">
        <v>70</v>
      </c>
      <c r="I579" s="18" t="s">
        <v>2575</v>
      </c>
      <c r="J579" s="16">
        <v>82.0</v>
      </c>
      <c r="K579" s="8" t="s">
        <v>1057</v>
      </c>
      <c r="L579" s="8" t="s">
        <v>2031</v>
      </c>
      <c r="M579" s="18" t="s">
        <v>2556</v>
      </c>
      <c r="N579" s="16">
        <v>74.0</v>
      </c>
      <c r="O579" s="8" t="s">
        <v>4495</v>
      </c>
      <c r="P579" s="8" t="s">
        <v>122</v>
      </c>
      <c r="Q579" s="14" t="s">
        <v>837</v>
      </c>
      <c r="R579" s="8" t="s">
        <v>2554</v>
      </c>
      <c r="S579" s="14" t="s">
        <v>2576</v>
      </c>
    </row>
    <row r="580">
      <c r="A580" s="8" t="s">
        <v>800</v>
      </c>
      <c r="B580" s="8" t="s">
        <v>1571</v>
      </c>
      <c r="C580" s="8" t="s">
        <v>138</v>
      </c>
      <c r="D580" s="18" t="s">
        <v>2572</v>
      </c>
      <c r="E580" s="16">
        <v>65.0</v>
      </c>
      <c r="F580" s="8" t="s">
        <v>134</v>
      </c>
      <c r="G580" s="8" t="s">
        <v>133</v>
      </c>
      <c r="H580" s="8" t="s">
        <v>65</v>
      </c>
      <c r="I580" s="18" t="s">
        <v>2600</v>
      </c>
      <c r="J580" s="16">
        <v>78.0</v>
      </c>
      <c r="K580" s="8" t="s">
        <v>1057</v>
      </c>
      <c r="L580" s="8" t="s">
        <v>78</v>
      </c>
      <c r="M580" s="18" t="s">
        <v>2574</v>
      </c>
      <c r="N580" s="16">
        <v>86.0</v>
      </c>
      <c r="O580" s="8" t="s">
        <v>4496</v>
      </c>
      <c r="P580" s="8" t="s">
        <v>53</v>
      </c>
      <c r="Q580" s="14" t="s">
        <v>1679</v>
      </c>
      <c r="R580" s="8" t="s">
        <v>2567</v>
      </c>
      <c r="S580" s="14" t="s">
        <v>2611</v>
      </c>
    </row>
    <row r="581">
      <c r="A581" s="8" t="s">
        <v>800</v>
      </c>
      <c r="B581" s="8" t="s">
        <v>799</v>
      </c>
      <c r="C581" s="8" t="s">
        <v>93</v>
      </c>
      <c r="D581" s="18" t="s">
        <v>2554</v>
      </c>
      <c r="E581" s="16">
        <v>90.0</v>
      </c>
      <c r="F581" s="8" t="s">
        <v>134</v>
      </c>
      <c r="G581" s="8" t="s">
        <v>608</v>
      </c>
      <c r="H581" s="8" t="s">
        <v>186</v>
      </c>
      <c r="I581" s="18" t="s">
        <v>2605</v>
      </c>
      <c r="J581" s="16">
        <v>84.0</v>
      </c>
      <c r="K581" s="8" t="s">
        <v>2995</v>
      </c>
      <c r="L581" s="8" t="s">
        <v>1005</v>
      </c>
      <c r="M581" s="18" t="s">
        <v>2577</v>
      </c>
      <c r="N581" s="16">
        <v>65.0</v>
      </c>
      <c r="O581" s="8" t="s">
        <v>4497</v>
      </c>
      <c r="P581" s="8" t="s">
        <v>93</v>
      </c>
      <c r="Q581" s="14" t="s">
        <v>2033</v>
      </c>
      <c r="R581" s="8" t="s">
        <v>2610</v>
      </c>
      <c r="S581" s="14" t="s">
        <v>2579</v>
      </c>
    </row>
    <row r="582">
      <c r="A582" s="8" t="s">
        <v>800</v>
      </c>
      <c r="B582" s="8" t="s">
        <v>1055</v>
      </c>
      <c r="C582" s="8" t="s">
        <v>93</v>
      </c>
      <c r="D582" s="18" t="s">
        <v>2567</v>
      </c>
      <c r="E582" s="16">
        <v>59.0</v>
      </c>
      <c r="F582" s="8" t="s">
        <v>134</v>
      </c>
      <c r="G582" s="8" t="s">
        <v>1484</v>
      </c>
      <c r="H582" s="8" t="s">
        <v>132</v>
      </c>
      <c r="I582" s="18" t="s">
        <v>2552</v>
      </c>
      <c r="J582" s="16">
        <v>68.0</v>
      </c>
      <c r="K582" s="8" t="s">
        <v>555</v>
      </c>
      <c r="L582" s="8" t="s">
        <v>284</v>
      </c>
      <c r="M582" s="18" t="s">
        <v>2614</v>
      </c>
      <c r="N582" s="16">
        <v>70.0</v>
      </c>
      <c r="O582" s="8" t="s">
        <v>4498</v>
      </c>
      <c r="P582" s="8" t="s">
        <v>215</v>
      </c>
      <c r="Q582" s="14" t="s">
        <v>1352</v>
      </c>
      <c r="R582" s="18" t="s">
        <v>2589</v>
      </c>
      <c r="S582" s="14" t="s">
        <v>2591</v>
      </c>
    </row>
    <row r="583">
      <c r="A583" s="8" t="s">
        <v>886</v>
      </c>
      <c r="B583" s="8" t="s">
        <v>885</v>
      </c>
      <c r="C583" s="8" t="s">
        <v>93</v>
      </c>
      <c r="D583" s="18" t="s">
        <v>2610</v>
      </c>
      <c r="E583" s="16">
        <v>75.0</v>
      </c>
      <c r="F583" s="8" t="s">
        <v>134</v>
      </c>
      <c r="G583" s="8" t="s">
        <v>1310</v>
      </c>
      <c r="H583" s="8" t="s">
        <v>122</v>
      </c>
      <c r="I583" s="18" t="s">
        <v>2615</v>
      </c>
      <c r="J583" s="16">
        <v>82.0</v>
      </c>
      <c r="K583" s="8" t="s">
        <v>1071</v>
      </c>
      <c r="L583" s="8" t="s">
        <v>835</v>
      </c>
      <c r="M583" s="18" t="s">
        <v>2558</v>
      </c>
      <c r="N583" s="16">
        <v>84.0</v>
      </c>
      <c r="O583" s="8" t="s">
        <v>4499</v>
      </c>
      <c r="P583" s="8" t="s">
        <v>93</v>
      </c>
      <c r="Q583" s="14" t="s">
        <v>631</v>
      </c>
      <c r="R583" s="8" t="s">
        <v>2554</v>
      </c>
      <c r="S583" s="14" t="s">
        <v>2596</v>
      </c>
    </row>
    <row r="584">
      <c r="A584" s="8" t="s">
        <v>1338</v>
      </c>
      <c r="B584" s="8" t="s">
        <v>1818</v>
      </c>
      <c r="C584" s="8" t="s">
        <v>75</v>
      </c>
      <c r="D584" s="18" t="s">
        <v>2564</v>
      </c>
      <c r="E584" s="16">
        <v>59.0</v>
      </c>
      <c r="F584" s="8" t="s">
        <v>134</v>
      </c>
      <c r="G584" s="8" t="s">
        <v>1658</v>
      </c>
      <c r="H584" s="8" t="s">
        <v>261</v>
      </c>
      <c r="I584" s="18" t="s">
        <v>2615</v>
      </c>
      <c r="J584" s="16">
        <v>70.0</v>
      </c>
      <c r="K584" s="8" t="s">
        <v>506</v>
      </c>
      <c r="L584" s="8" t="s">
        <v>915</v>
      </c>
      <c r="M584" s="18" t="s">
        <v>2621</v>
      </c>
      <c r="N584" s="16">
        <v>62.0</v>
      </c>
      <c r="O584" s="8" t="s">
        <v>4500</v>
      </c>
      <c r="P584" s="8" t="s">
        <v>65</v>
      </c>
      <c r="Q584" s="14" t="s">
        <v>2296</v>
      </c>
      <c r="R584" s="8" t="s">
        <v>2566</v>
      </c>
      <c r="S584" s="14" t="s">
        <v>2622</v>
      </c>
    </row>
    <row r="585">
      <c r="A585" s="8" t="s">
        <v>1338</v>
      </c>
      <c r="B585" s="8" t="s">
        <v>3454</v>
      </c>
      <c r="C585" s="8" t="s">
        <v>80</v>
      </c>
      <c r="D585" s="18" t="s">
        <v>2572</v>
      </c>
      <c r="E585" s="16">
        <v>72.0</v>
      </c>
      <c r="F585" s="8" t="s">
        <v>1445</v>
      </c>
      <c r="G585" s="8" t="s">
        <v>2792</v>
      </c>
      <c r="H585" s="8" t="s">
        <v>138</v>
      </c>
      <c r="I585" s="18" t="s">
        <v>2584</v>
      </c>
      <c r="J585" s="16">
        <v>76.0</v>
      </c>
      <c r="K585" s="8" t="s">
        <v>506</v>
      </c>
      <c r="L585" s="8" t="s">
        <v>841</v>
      </c>
      <c r="M585" s="18" t="s">
        <v>2183</v>
      </c>
      <c r="N585" s="16">
        <v>78.0</v>
      </c>
      <c r="O585" s="8" t="s">
        <v>4501</v>
      </c>
      <c r="P585" s="8" t="s">
        <v>186</v>
      </c>
      <c r="Q585" s="14" t="s">
        <v>1679</v>
      </c>
      <c r="R585" s="8" t="s">
        <v>2595</v>
      </c>
      <c r="S585" s="14" t="s">
        <v>2576</v>
      </c>
    </row>
    <row r="586">
      <c r="A586" s="8" t="s">
        <v>1338</v>
      </c>
      <c r="B586" s="8" t="s">
        <v>78</v>
      </c>
      <c r="C586" s="8" t="s">
        <v>46</v>
      </c>
      <c r="D586" s="18" t="s">
        <v>2593</v>
      </c>
      <c r="E586" s="16">
        <v>65.0</v>
      </c>
      <c r="F586" s="8" t="s">
        <v>953</v>
      </c>
      <c r="G586" s="8" t="s">
        <v>284</v>
      </c>
      <c r="H586" s="8" t="s">
        <v>138</v>
      </c>
      <c r="I586" s="18" t="s">
        <v>2621</v>
      </c>
      <c r="J586" s="16">
        <v>78.0</v>
      </c>
      <c r="K586" s="8" t="s">
        <v>506</v>
      </c>
      <c r="L586" s="8" t="s">
        <v>1247</v>
      </c>
      <c r="M586" s="18" t="s">
        <v>2574</v>
      </c>
      <c r="N586" s="16">
        <v>71.0</v>
      </c>
      <c r="O586" s="8" t="s">
        <v>4502</v>
      </c>
      <c r="P586" s="8" t="s">
        <v>80</v>
      </c>
      <c r="Q586" s="14" t="s">
        <v>2296</v>
      </c>
      <c r="R586" s="8" t="s">
        <v>2558</v>
      </c>
      <c r="S586" s="14" t="s">
        <v>2565</v>
      </c>
    </row>
    <row r="587">
      <c r="A587" s="8" t="s">
        <v>3817</v>
      </c>
      <c r="B587" s="8" t="s">
        <v>3816</v>
      </c>
      <c r="C587" s="8" t="s">
        <v>93</v>
      </c>
      <c r="D587" s="18" t="s">
        <v>2560</v>
      </c>
      <c r="E587" s="16">
        <v>91.0</v>
      </c>
      <c r="F587" s="8" t="s">
        <v>1559</v>
      </c>
      <c r="G587" s="8" t="s">
        <v>1558</v>
      </c>
      <c r="H587" s="8" t="s">
        <v>70</v>
      </c>
      <c r="I587" s="18" t="s">
        <v>2562</v>
      </c>
      <c r="J587" s="16">
        <v>65.0</v>
      </c>
      <c r="K587" s="8" t="s">
        <v>506</v>
      </c>
      <c r="L587" s="8" t="s">
        <v>1275</v>
      </c>
      <c r="M587" s="18" t="s">
        <v>2595</v>
      </c>
      <c r="N587" s="16">
        <v>78.0</v>
      </c>
      <c r="O587" s="8" t="s">
        <v>4503</v>
      </c>
      <c r="P587" s="8" t="s">
        <v>93</v>
      </c>
      <c r="Q587" s="14" t="s">
        <v>837</v>
      </c>
      <c r="R587" s="8" t="s">
        <v>2610</v>
      </c>
      <c r="S587" s="14" t="s">
        <v>2590</v>
      </c>
    </row>
    <row r="588">
      <c r="A588" s="8" t="s">
        <v>153</v>
      </c>
      <c r="B588" s="8" t="s">
        <v>152</v>
      </c>
      <c r="C588" s="8" t="s">
        <v>24</v>
      </c>
      <c r="D588" s="18" t="s">
        <v>2589</v>
      </c>
      <c r="E588" s="16">
        <v>73.0</v>
      </c>
      <c r="F588" s="8" t="s">
        <v>645</v>
      </c>
      <c r="G588" s="8" t="s">
        <v>644</v>
      </c>
      <c r="H588" s="8" t="s">
        <v>186</v>
      </c>
      <c r="I588" s="18" t="s">
        <v>2621</v>
      </c>
      <c r="J588" s="16">
        <v>62.0</v>
      </c>
      <c r="K588" s="8" t="s">
        <v>506</v>
      </c>
      <c r="L588" s="8" t="s">
        <v>2675</v>
      </c>
      <c r="M588" s="18" t="s">
        <v>2560</v>
      </c>
      <c r="N588" s="16">
        <v>77.0</v>
      </c>
      <c r="O588" s="8" t="s">
        <v>4504</v>
      </c>
      <c r="P588" s="8" t="s">
        <v>70</v>
      </c>
      <c r="Q588" s="14" t="s">
        <v>1679</v>
      </c>
      <c r="R588" s="8" t="s">
        <v>2183</v>
      </c>
      <c r="S588" s="14" t="s">
        <v>2555</v>
      </c>
    </row>
    <row r="589">
      <c r="A589" s="8" t="s">
        <v>153</v>
      </c>
      <c r="B589" s="8" t="s">
        <v>2937</v>
      </c>
      <c r="C589" s="8" t="s">
        <v>70</v>
      </c>
      <c r="D589" s="18" t="s">
        <v>2614</v>
      </c>
      <c r="E589" s="16">
        <v>79.0</v>
      </c>
      <c r="F589" s="8" t="s">
        <v>1643</v>
      </c>
      <c r="G589" s="8" t="s">
        <v>444</v>
      </c>
      <c r="H589" s="8" t="s">
        <v>80</v>
      </c>
      <c r="I589" s="18" t="s">
        <v>2566</v>
      </c>
      <c r="J589" s="16">
        <v>69.0</v>
      </c>
      <c r="K589" s="8" t="s">
        <v>506</v>
      </c>
      <c r="L589" s="8" t="s">
        <v>1969</v>
      </c>
      <c r="M589" s="18" t="s">
        <v>2556</v>
      </c>
      <c r="N589" s="16">
        <v>69.0</v>
      </c>
      <c r="O589" s="8" t="s">
        <v>4505</v>
      </c>
      <c r="P589" s="8" t="s">
        <v>24</v>
      </c>
      <c r="Q589" s="14" t="s">
        <v>1679</v>
      </c>
      <c r="R589" s="18" t="s">
        <v>2589</v>
      </c>
      <c r="S589" s="14" t="s">
        <v>2622</v>
      </c>
    </row>
    <row r="590">
      <c r="A590" s="8" t="s">
        <v>153</v>
      </c>
      <c r="B590" s="8" t="s">
        <v>3071</v>
      </c>
      <c r="C590" s="8" t="s">
        <v>70</v>
      </c>
      <c r="D590" s="18" t="s">
        <v>2564</v>
      </c>
      <c r="E590" s="16">
        <v>81.0</v>
      </c>
      <c r="F590" s="8" t="s">
        <v>1643</v>
      </c>
      <c r="G590" s="8" t="s">
        <v>1625</v>
      </c>
      <c r="H590" s="8" t="s">
        <v>80</v>
      </c>
      <c r="I590" s="18" t="s">
        <v>2620</v>
      </c>
      <c r="J590" s="16">
        <v>83.0</v>
      </c>
      <c r="K590" s="8" t="s">
        <v>506</v>
      </c>
      <c r="L590" s="8" t="s">
        <v>508</v>
      </c>
      <c r="M590" s="18" t="s">
        <v>2577</v>
      </c>
      <c r="N590" s="16">
        <v>87.0</v>
      </c>
      <c r="O590" s="8" t="s">
        <v>4506</v>
      </c>
      <c r="P590" s="8" t="s">
        <v>70</v>
      </c>
      <c r="Q590" s="14" t="s">
        <v>2296</v>
      </c>
      <c r="R590" s="8" t="s">
        <v>2593</v>
      </c>
      <c r="S590" s="14" t="s">
        <v>2565</v>
      </c>
    </row>
    <row r="591">
      <c r="A591" s="8" t="s">
        <v>153</v>
      </c>
      <c r="B591" s="8" t="s">
        <v>1329</v>
      </c>
      <c r="C591" s="8" t="s">
        <v>65</v>
      </c>
      <c r="D591" s="18" t="s">
        <v>2575</v>
      </c>
      <c r="E591" s="16">
        <v>65.0</v>
      </c>
      <c r="F591" s="8" t="s">
        <v>800</v>
      </c>
      <c r="G591" s="8" t="s">
        <v>2895</v>
      </c>
      <c r="H591" s="8" t="s">
        <v>138</v>
      </c>
      <c r="I591" s="18" t="s">
        <v>2556</v>
      </c>
      <c r="J591" s="16">
        <v>60.0</v>
      </c>
      <c r="K591" s="8" t="s">
        <v>506</v>
      </c>
      <c r="L591" s="8" t="s">
        <v>638</v>
      </c>
      <c r="M591" s="18" t="s">
        <v>2600</v>
      </c>
      <c r="N591" s="16">
        <v>83.0</v>
      </c>
      <c r="O591" s="8" t="s">
        <v>4507</v>
      </c>
      <c r="P591" s="8" t="s">
        <v>46</v>
      </c>
      <c r="Q591" s="14" t="s">
        <v>1070</v>
      </c>
      <c r="R591" s="8" t="s">
        <v>2575</v>
      </c>
      <c r="S591" s="14" t="s">
        <v>2580</v>
      </c>
    </row>
    <row r="592">
      <c r="A592" s="8" t="s">
        <v>3887</v>
      </c>
      <c r="B592" s="8" t="s">
        <v>3886</v>
      </c>
      <c r="C592" s="8" t="s">
        <v>93</v>
      </c>
      <c r="D592" s="18" t="s">
        <v>2554</v>
      </c>
      <c r="E592" s="16">
        <v>69.0</v>
      </c>
      <c r="F592" s="8" t="s">
        <v>800</v>
      </c>
      <c r="G592" s="8" t="s">
        <v>955</v>
      </c>
      <c r="H592" s="8" t="s">
        <v>122</v>
      </c>
      <c r="I592" s="18" t="s">
        <v>2600</v>
      </c>
      <c r="J592" s="16">
        <v>62.0</v>
      </c>
      <c r="K592" s="8" t="s">
        <v>506</v>
      </c>
      <c r="L592" s="8" t="s">
        <v>2952</v>
      </c>
      <c r="M592" s="18" t="s">
        <v>2552</v>
      </c>
      <c r="N592" s="16">
        <v>73.0</v>
      </c>
      <c r="O592" s="8" t="s">
        <v>4508</v>
      </c>
      <c r="P592" s="8" t="s">
        <v>24</v>
      </c>
      <c r="Q592" s="14" t="s">
        <v>135</v>
      </c>
      <c r="R592" s="8" t="s">
        <v>2562</v>
      </c>
      <c r="S592" s="14" t="s">
        <v>2601</v>
      </c>
    </row>
    <row r="593">
      <c r="A593" s="8" t="s">
        <v>3892</v>
      </c>
      <c r="B593" s="8" t="s">
        <v>3499</v>
      </c>
      <c r="C593" s="8" t="s">
        <v>149</v>
      </c>
      <c r="D593" s="18" t="s">
        <v>2620</v>
      </c>
      <c r="E593" s="16">
        <v>69.0</v>
      </c>
      <c r="F593" s="8" t="s">
        <v>800</v>
      </c>
      <c r="G593" s="8" t="s">
        <v>3301</v>
      </c>
      <c r="H593" s="8" t="s">
        <v>93</v>
      </c>
      <c r="I593" s="18" t="s">
        <v>2615</v>
      </c>
      <c r="J593" s="16">
        <v>61.0</v>
      </c>
      <c r="K593" s="8" t="s">
        <v>506</v>
      </c>
      <c r="L593" s="8" t="s">
        <v>593</v>
      </c>
      <c r="M593" s="18" t="s">
        <v>2562</v>
      </c>
      <c r="N593" s="16">
        <v>72.0</v>
      </c>
      <c r="O593" s="8" t="s">
        <v>4509</v>
      </c>
      <c r="P593" s="8" t="s">
        <v>24</v>
      </c>
      <c r="Q593" s="14" t="s">
        <v>1070</v>
      </c>
      <c r="R593" s="18" t="s">
        <v>2556</v>
      </c>
      <c r="S593" s="14" t="s">
        <v>2622</v>
      </c>
    </row>
    <row r="594">
      <c r="A594" s="8" t="s">
        <v>2845</v>
      </c>
      <c r="B594" s="8" t="s">
        <v>2844</v>
      </c>
      <c r="C594" s="8" t="s">
        <v>65</v>
      </c>
      <c r="D594" s="18" t="s">
        <v>2577</v>
      </c>
      <c r="E594" s="16">
        <v>71.0</v>
      </c>
      <c r="F594" s="8" t="s">
        <v>800</v>
      </c>
      <c r="G594" s="8" t="s">
        <v>1571</v>
      </c>
      <c r="H594" s="8" t="s">
        <v>138</v>
      </c>
      <c r="I594" s="18" t="s">
        <v>2572</v>
      </c>
      <c r="J594" s="16">
        <v>66.0</v>
      </c>
      <c r="K594" s="8" t="s">
        <v>506</v>
      </c>
      <c r="L594" s="8" t="s">
        <v>1483</v>
      </c>
      <c r="M594" s="18" t="s">
        <v>2614</v>
      </c>
      <c r="N594" s="16">
        <v>79.0</v>
      </c>
      <c r="O594" s="8" t="s">
        <v>4510</v>
      </c>
      <c r="P594" s="8" t="s">
        <v>186</v>
      </c>
      <c r="Q594" s="14" t="s">
        <v>1679</v>
      </c>
      <c r="R594" s="8" t="s">
        <v>2183</v>
      </c>
      <c r="S594" s="14" t="s">
        <v>2602</v>
      </c>
    </row>
    <row r="595">
      <c r="A595" s="8" t="s">
        <v>1876</v>
      </c>
      <c r="B595" s="8" t="s">
        <v>42</v>
      </c>
      <c r="C595" s="8" t="s">
        <v>186</v>
      </c>
      <c r="D595" s="18" t="s">
        <v>2560</v>
      </c>
      <c r="E595" s="16">
        <v>73.0</v>
      </c>
      <c r="F595" s="8" t="s">
        <v>800</v>
      </c>
      <c r="G595" s="8" t="s">
        <v>950</v>
      </c>
      <c r="H595" s="8" t="s">
        <v>65</v>
      </c>
      <c r="I595" s="18" t="s">
        <v>2621</v>
      </c>
      <c r="J595" s="16">
        <v>61.0</v>
      </c>
      <c r="K595" s="8" t="s">
        <v>506</v>
      </c>
      <c r="L595" s="8" t="s">
        <v>47</v>
      </c>
      <c r="M595" s="18" t="s">
        <v>2592</v>
      </c>
      <c r="N595" s="16">
        <v>63.0</v>
      </c>
      <c r="O595" s="8" t="s">
        <v>4511</v>
      </c>
      <c r="P595" s="8" t="s">
        <v>138</v>
      </c>
      <c r="Q595" s="14" t="s">
        <v>2296</v>
      </c>
      <c r="R595" s="8" t="s">
        <v>2587</v>
      </c>
      <c r="S595" s="14" t="s">
        <v>2555</v>
      </c>
    </row>
    <row r="596">
      <c r="A596" s="8" t="s">
        <v>792</v>
      </c>
      <c r="B596" s="8" t="s">
        <v>1905</v>
      </c>
      <c r="C596" s="8" t="s">
        <v>93</v>
      </c>
      <c r="D596" s="18" t="s">
        <v>2560</v>
      </c>
      <c r="E596" s="16">
        <v>71.0</v>
      </c>
      <c r="F596" s="8" t="s">
        <v>800</v>
      </c>
      <c r="G596" s="8" t="s">
        <v>3055</v>
      </c>
      <c r="H596" s="8" t="s">
        <v>93</v>
      </c>
      <c r="I596" s="18" t="s">
        <v>2554</v>
      </c>
      <c r="J596" s="16">
        <v>89.0</v>
      </c>
      <c r="K596" s="8" t="s">
        <v>506</v>
      </c>
      <c r="L596" s="8" t="s">
        <v>2787</v>
      </c>
      <c r="M596" s="18" t="s">
        <v>2581</v>
      </c>
      <c r="N596" s="16">
        <v>67.0</v>
      </c>
      <c r="O596" s="8" t="s">
        <v>4512</v>
      </c>
      <c r="P596" s="8" t="s">
        <v>93</v>
      </c>
      <c r="Q596" s="14" t="s">
        <v>631</v>
      </c>
      <c r="R596" s="8" t="s">
        <v>2560</v>
      </c>
      <c r="S596" s="14" t="s">
        <v>2571</v>
      </c>
    </row>
    <row r="597">
      <c r="A597" s="8" t="s">
        <v>792</v>
      </c>
      <c r="B597" s="8" t="s">
        <v>305</v>
      </c>
      <c r="C597" s="8" t="s">
        <v>93</v>
      </c>
      <c r="D597" s="18" t="s">
        <v>2600</v>
      </c>
      <c r="E597" s="16">
        <v>64.0</v>
      </c>
      <c r="F597" s="8" t="s">
        <v>800</v>
      </c>
      <c r="G597" s="8" t="s">
        <v>486</v>
      </c>
      <c r="H597" s="8" t="s">
        <v>93</v>
      </c>
      <c r="I597" s="18" t="s">
        <v>2567</v>
      </c>
      <c r="J597" s="16">
        <v>82.0</v>
      </c>
      <c r="K597" s="8" t="s">
        <v>506</v>
      </c>
      <c r="L597" s="8" t="s">
        <v>2205</v>
      </c>
      <c r="M597" s="18" t="s">
        <v>2615</v>
      </c>
      <c r="N597" s="16">
        <v>77.0</v>
      </c>
      <c r="O597" s="8" t="s">
        <v>4513</v>
      </c>
      <c r="P597" s="8" t="s">
        <v>65</v>
      </c>
      <c r="Q597" s="14" t="s">
        <v>1679</v>
      </c>
      <c r="R597" s="8" t="s">
        <v>2582</v>
      </c>
      <c r="S597" s="14" t="s">
        <v>2555</v>
      </c>
    </row>
    <row r="598">
      <c r="A598" s="8" t="s">
        <v>1057</v>
      </c>
      <c r="B598" s="8" t="s">
        <v>786</v>
      </c>
      <c r="C598" s="8" t="s">
        <v>70</v>
      </c>
      <c r="D598" s="18" t="s">
        <v>2577</v>
      </c>
      <c r="E598" s="16">
        <v>67.0</v>
      </c>
      <c r="F598" s="8" t="s">
        <v>886</v>
      </c>
      <c r="G598" s="8" t="s">
        <v>885</v>
      </c>
      <c r="H598" s="8" t="s">
        <v>93</v>
      </c>
      <c r="I598" s="18" t="s">
        <v>2610</v>
      </c>
      <c r="J598" s="16">
        <v>73.0</v>
      </c>
      <c r="K598" s="8" t="s">
        <v>506</v>
      </c>
      <c r="L598" s="8" t="s">
        <v>956</v>
      </c>
      <c r="M598" s="18" t="s">
        <v>2621</v>
      </c>
      <c r="N598" s="16">
        <v>63.0</v>
      </c>
      <c r="O598" s="8" t="s">
        <v>4514</v>
      </c>
      <c r="P598" s="8" t="s">
        <v>70</v>
      </c>
      <c r="Q598" s="14" t="s">
        <v>2296</v>
      </c>
      <c r="R598" s="8" t="s">
        <v>2183</v>
      </c>
      <c r="S598" s="14" t="s">
        <v>2579</v>
      </c>
    </row>
    <row r="599">
      <c r="A599" s="8" t="s">
        <v>1057</v>
      </c>
      <c r="B599" s="8" t="s">
        <v>99</v>
      </c>
      <c r="C599" s="8" t="s">
        <v>53</v>
      </c>
      <c r="D599" s="18" t="s">
        <v>2592</v>
      </c>
      <c r="E599" s="16">
        <v>82.0</v>
      </c>
      <c r="F599" s="8" t="s">
        <v>2022</v>
      </c>
      <c r="G599" s="8" t="s">
        <v>1675</v>
      </c>
      <c r="H599" s="8" t="s">
        <v>261</v>
      </c>
      <c r="I599" s="18" t="s">
        <v>2574</v>
      </c>
      <c r="J599" s="16">
        <v>74.0</v>
      </c>
      <c r="K599" s="8" t="s">
        <v>506</v>
      </c>
      <c r="L599" s="8" t="s">
        <v>1004</v>
      </c>
      <c r="M599" s="18" t="s">
        <v>2552</v>
      </c>
      <c r="N599" s="16">
        <v>68.0</v>
      </c>
      <c r="O599" s="8" t="s">
        <v>4515</v>
      </c>
      <c r="P599" s="8" t="s">
        <v>149</v>
      </c>
      <c r="Q599" s="14" t="s">
        <v>837</v>
      </c>
      <c r="R599" s="8" t="s">
        <v>2574</v>
      </c>
      <c r="S599" s="14" t="s">
        <v>2608</v>
      </c>
    </row>
    <row r="600">
      <c r="A600" s="8" t="s">
        <v>1057</v>
      </c>
      <c r="B600" s="8" t="s">
        <v>1330</v>
      </c>
      <c r="C600" s="8" t="s">
        <v>186</v>
      </c>
      <c r="D600" s="18" t="s">
        <v>2589</v>
      </c>
      <c r="E600" s="16">
        <v>70.0</v>
      </c>
      <c r="F600" s="8" t="s">
        <v>1338</v>
      </c>
      <c r="G600" s="8" t="s">
        <v>3454</v>
      </c>
      <c r="H600" s="8" t="s">
        <v>80</v>
      </c>
      <c r="I600" s="18" t="s">
        <v>2572</v>
      </c>
      <c r="J600" s="16">
        <v>71.0</v>
      </c>
      <c r="K600" s="8" t="s">
        <v>506</v>
      </c>
      <c r="L600" s="8" t="s">
        <v>78</v>
      </c>
      <c r="M600" s="18" t="s">
        <v>2620</v>
      </c>
      <c r="N600" s="16">
        <v>66.0</v>
      </c>
      <c r="O600" s="8" t="s">
        <v>4516</v>
      </c>
      <c r="P600" s="8" t="s">
        <v>93</v>
      </c>
      <c r="Q600" s="14" t="s">
        <v>1679</v>
      </c>
      <c r="R600" s="18" t="s">
        <v>2556</v>
      </c>
      <c r="S600" s="14" t="s">
        <v>2602</v>
      </c>
    </row>
    <row r="601">
      <c r="A601" s="8" t="s">
        <v>1057</v>
      </c>
      <c r="B601" s="8" t="s">
        <v>78</v>
      </c>
      <c r="C601" s="8" t="s">
        <v>149</v>
      </c>
      <c r="D601" s="18" t="s">
        <v>2574</v>
      </c>
      <c r="E601" s="16">
        <v>70.0</v>
      </c>
      <c r="F601" s="8" t="s">
        <v>1338</v>
      </c>
      <c r="G601" s="8" t="s">
        <v>78</v>
      </c>
      <c r="H601" s="8" t="s">
        <v>149</v>
      </c>
      <c r="I601" s="18" t="s">
        <v>2593</v>
      </c>
      <c r="J601" s="16">
        <v>66.0</v>
      </c>
      <c r="K601" s="8" t="s">
        <v>506</v>
      </c>
      <c r="L601" s="8" t="s">
        <v>1264</v>
      </c>
      <c r="M601" s="18" t="s">
        <v>2603</v>
      </c>
      <c r="N601" s="16">
        <v>68.0</v>
      </c>
      <c r="O601" s="8" t="s">
        <v>4517</v>
      </c>
      <c r="P601" s="8" t="s">
        <v>122</v>
      </c>
      <c r="Q601" s="14" t="s">
        <v>459</v>
      </c>
      <c r="R601" s="8" t="s">
        <v>2584</v>
      </c>
      <c r="S601" s="14" t="s">
        <v>2568</v>
      </c>
    </row>
    <row r="602">
      <c r="A602" s="8" t="s">
        <v>1057</v>
      </c>
      <c r="B602" s="8" t="s">
        <v>2031</v>
      </c>
      <c r="C602" s="8" t="s">
        <v>93</v>
      </c>
      <c r="D602" s="18" t="s">
        <v>2574</v>
      </c>
      <c r="E602" s="16">
        <v>68.0</v>
      </c>
      <c r="F602" s="8" t="s">
        <v>1338</v>
      </c>
      <c r="G602" s="8" t="s">
        <v>1818</v>
      </c>
      <c r="H602" s="8" t="s">
        <v>132</v>
      </c>
      <c r="I602" s="18" t="s">
        <v>2564</v>
      </c>
      <c r="J602" s="16">
        <v>61.0</v>
      </c>
      <c r="K602" s="8" t="s">
        <v>506</v>
      </c>
      <c r="L602" s="8" t="s">
        <v>843</v>
      </c>
      <c r="M602" s="18" t="s">
        <v>2558</v>
      </c>
      <c r="N602" s="16">
        <v>91.0</v>
      </c>
      <c r="O602" s="8" t="s">
        <v>4518</v>
      </c>
      <c r="P602" s="8" t="s">
        <v>65</v>
      </c>
      <c r="Q602" s="14" t="s">
        <v>1070</v>
      </c>
      <c r="R602" s="8" t="s">
        <v>2558</v>
      </c>
      <c r="S602" s="14" t="s">
        <v>2559</v>
      </c>
    </row>
    <row r="603">
      <c r="A603" s="8" t="s">
        <v>2995</v>
      </c>
      <c r="B603" s="8" t="s">
        <v>1005</v>
      </c>
      <c r="C603" s="8" t="s">
        <v>93</v>
      </c>
      <c r="D603" s="18" t="s">
        <v>2582</v>
      </c>
      <c r="E603" s="16">
        <v>59.0</v>
      </c>
      <c r="F603" s="8" t="s">
        <v>153</v>
      </c>
      <c r="G603" s="8" t="s">
        <v>2937</v>
      </c>
      <c r="H603" s="8" t="s">
        <v>70</v>
      </c>
      <c r="I603" s="18" t="s">
        <v>2614</v>
      </c>
      <c r="J603" s="16">
        <v>77.0</v>
      </c>
      <c r="K603" s="8" t="s">
        <v>506</v>
      </c>
      <c r="L603" s="8" t="s">
        <v>389</v>
      </c>
      <c r="M603" s="18" t="s">
        <v>2589</v>
      </c>
      <c r="N603" s="16">
        <v>87.0</v>
      </c>
      <c r="O603" s="8" t="s">
        <v>4519</v>
      </c>
      <c r="P603" s="8" t="s">
        <v>93</v>
      </c>
      <c r="Q603" s="14" t="s">
        <v>837</v>
      </c>
      <c r="R603" s="18" t="s">
        <v>2589</v>
      </c>
      <c r="S603" s="14" t="s">
        <v>2573</v>
      </c>
    </row>
    <row r="604">
      <c r="A604" s="8" t="s">
        <v>555</v>
      </c>
      <c r="B604" s="8" t="s">
        <v>284</v>
      </c>
      <c r="C604" s="8" t="s">
        <v>138</v>
      </c>
      <c r="D604" s="18" t="s">
        <v>2558</v>
      </c>
      <c r="E604" s="16">
        <v>76.0</v>
      </c>
      <c r="F604" s="8" t="s">
        <v>153</v>
      </c>
      <c r="G604" s="8" t="s">
        <v>3071</v>
      </c>
      <c r="H604" s="8" t="s">
        <v>70</v>
      </c>
      <c r="I604" s="18" t="s">
        <v>2564</v>
      </c>
      <c r="J604" s="16">
        <v>83.0</v>
      </c>
      <c r="K604" s="8" t="s">
        <v>506</v>
      </c>
      <c r="L604" s="8" t="s">
        <v>843</v>
      </c>
      <c r="M604" s="18" t="s">
        <v>2558</v>
      </c>
      <c r="N604" s="16">
        <v>86.0</v>
      </c>
      <c r="O604" s="8" t="s">
        <v>4520</v>
      </c>
      <c r="P604" s="8" t="s">
        <v>141</v>
      </c>
      <c r="Q604" s="14" t="s">
        <v>837</v>
      </c>
      <c r="R604" s="8" t="s">
        <v>2600</v>
      </c>
      <c r="S604" s="14" t="s">
        <v>2611</v>
      </c>
    </row>
    <row r="605">
      <c r="A605" s="8" t="s">
        <v>1071</v>
      </c>
      <c r="B605" s="8" t="s">
        <v>835</v>
      </c>
      <c r="C605" s="8" t="s">
        <v>65</v>
      </c>
      <c r="D605" s="18" t="s">
        <v>2558</v>
      </c>
      <c r="E605" s="16">
        <v>75.0</v>
      </c>
      <c r="F605" s="8" t="s">
        <v>153</v>
      </c>
      <c r="G605" s="8" t="s">
        <v>152</v>
      </c>
      <c r="H605" s="8" t="s">
        <v>24</v>
      </c>
      <c r="I605" s="18" t="s">
        <v>2554</v>
      </c>
      <c r="J605" s="16">
        <v>74.0</v>
      </c>
      <c r="K605" s="8" t="s">
        <v>61</v>
      </c>
      <c r="L605" s="8" t="s">
        <v>232</v>
      </c>
      <c r="M605" s="18" t="s">
        <v>2566</v>
      </c>
      <c r="N605" s="16">
        <v>72.0</v>
      </c>
      <c r="O605" s="8" t="s">
        <v>4521</v>
      </c>
      <c r="P605" s="8" t="s">
        <v>46</v>
      </c>
      <c r="Q605" s="14" t="s">
        <v>837</v>
      </c>
      <c r="R605" s="8" t="s">
        <v>2558</v>
      </c>
      <c r="S605" s="14" t="s">
        <v>2619</v>
      </c>
    </row>
    <row r="606">
      <c r="A606" s="8" t="s">
        <v>506</v>
      </c>
      <c r="B606" s="8" t="s">
        <v>841</v>
      </c>
      <c r="C606" s="8" t="s">
        <v>93</v>
      </c>
      <c r="D606" s="18" t="s">
        <v>2556</v>
      </c>
      <c r="E606" s="16">
        <v>84.0</v>
      </c>
      <c r="F606" s="8" t="s">
        <v>153</v>
      </c>
      <c r="G606" s="8" t="s">
        <v>1329</v>
      </c>
      <c r="H606" s="8" t="s">
        <v>24</v>
      </c>
      <c r="I606" s="18" t="s">
        <v>2575</v>
      </c>
      <c r="J606" s="16">
        <v>68.0</v>
      </c>
      <c r="K606" s="8" t="s">
        <v>1808</v>
      </c>
      <c r="L606" s="8" t="s">
        <v>1807</v>
      </c>
      <c r="M606" s="18" t="s">
        <v>2581</v>
      </c>
      <c r="N606" s="16">
        <v>75.0</v>
      </c>
      <c r="O606" s="8" t="s">
        <v>4522</v>
      </c>
      <c r="P606" s="8" t="s">
        <v>16</v>
      </c>
      <c r="Q606" s="14" t="s">
        <v>1679</v>
      </c>
      <c r="R606" s="8" t="s">
        <v>2615</v>
      </c>
      <c r="S606" s="14" t="s">
        <v>2626</v>
      </c>
    </row>
    <row r="607">
      <c r="A607" s="8" t="s">
        <v>506</v>
      </c>
      <c r="B607" s="8" t="s">
        <v>638</v>
      </c>
      <c r="C607" s="8" t="s">
        <v>141</v>
      </c>
      <c r="D607" s="18" t="s">
        <v>2600</v>
      </c>
      <c r="E607" s="16">
        <v>71.0</v>
      </c>
      <c r="F607" s="8" t="s">
        <v>2845</v>
      </c>
      <c r="G607" s="8" t="s">
        <v>2844</v>
      </c>
      <c r="H607" s="8" t="s">
        <v>65</v>
      </c>
      <c r="I607" s="18" t="s">
        <v>2577</v>
      </c>
      <c r="J607" s="16">
        <v>72.0</v>
      </c>
      <c r="K607" s="8" t="s">
        <v>1808</v>
      </c>
      <c r="L607" s="8" t="s">
        <v>2850</v>
      </c>
      <c r="M607" s="18" t="s">
        <v>2558</v>
      </c>
      <c r="N607" s="16">
        <v>72.0</v>
      </c>
      <c r="O607" s="8" t="s">
        <v>4523</v>
      </c>
      <c r="P607" s="8" t="s">
        <v>132</v>
      </c>
      <c r="Q607" s="14" t="s">
        <v>459</v>
      </c>
      <c r="R607" s="8" t="s">
        <v>2577</v>
      </c>
      <c r="S607" s="14" t="s">
        <v>2634</v>
      </c>
    </row>
    <row r="608">
      <c r="A608" s="8" t="s">
        <v>506</v>
      </c>
      <c r="B608" s="8" t="s">
        <v>3529</v>
      </c>
      <c r="C608" s="8" t="s">
        <v>75</v>
      </c>
      <c r="D608" s="18" t="s">
        <v>2593</v>
      </c>
      <c r="E608" s="16">
        <v>63.0</v>
      </c>
      <c r="F608" s="8" t="s">
        <v>1876</v>
      </c>
      <c r="G608" s="8" t="s">
        <v>42</v>
      </c>
      <c r="H608" s="8" t="s">
        <v>186</v>
      </c>
      <c r="I608" s="18" t="s">
        <v>2560</v>
      </c>
      <c r="J608" s="16">
        <v>72.0</v>
      </c>
      <c r="K608" s="8" t="s">
        <v>1827</v>
      </c>
      <c r="L608" s="8" t="s">
        <v>89</v>
      </c>
      <c r="M608" s="18" t="s">
        <v>2610</v>
      </c>
      <c r="N608" s="16">
        <v>69.0</v>
      </c>
      <c r="O608" s="8" t="s">
        <v>4524</v>
      </c>
      <c r="P608" s="8" t="s">
        <v>149</v>
      </c>
      <c r="Q608" s="14" t="s">
        <v>2296</v>
      </c>
      <c r="R608" s="8" t="s">
        <v>2593</v>
      </c>
      <c r="S608" s="14" t="s">
        <v>2570</v>
      </c>
    </row>
    <row r="609">
      <c r="A609" s="8" t="s">
        <v>506</v>
      </c>
      <c r="B609" s="8" t="s">
        <v>843</v>
      </c>
      <c r="C609" s="8" t="s">
        <v>46</v>
      </c>
      <c r="D609" s="18" t="s">
        <v>2558</v>
      </c>
      <c r="E609" s="16">
        <v>79.0</v>
      </c>
      <c r="F609" s="8" t="s">
        <v>792</v>
      </c>
      <c r="G609" s="8" t="s">
        <v>305</v>
      </c>
      <c r="H609" s="8" t="s">
        <v>93</v>
      </c>
      <c r="I609" s="18" t="s">
        <v>2560</v>
      </c>
      <c r="J609" s="16">
        <v>68.0</v>
      </c>
      <c r="K609" s="8" t="s">
        <v>2889</v>
      </c>
      <c r="L609" s="8" t="s">
        <v>2888</v>
      </c>
      <c r="M609" s="18" t="s">
        <v>2592</v>
      </c>
      <c r="N609" s="16">
        <v>64.0</v>
      </c>
      <c r="O609" s="8" t="s">
        <v>4525</v>
      </c>
      <c r="P609" s="8" t="s">
        <v>70</v>
      </c>
      <c r="Q609" s="14" t="s">
        <v>837</v>
      </c>
      <c r="R609" s="8" t="s">
        <v>2621</v>
      </c>
      <c r="S609" s="14" t="s">
        <v>2612</v>
      </c>
    </row>
    <row r="610">
      <c r="A610" s="8" t="s">
        <v>506</v>
      </c>
      <c r="B610" s="8" t="s">
        <v>2675</v>
      </c>
      <c r="C610" s="8" t="s">
        <v>59</v>
      </c>
      <c r="D610" s="18" t="s">
        <v>2621</v>
      </c>
      <c r="E610" s="16">
        <v>66.0</v>
      </c>
      <c r="F610" s="8" t="s">
        <v>792</v>
      </c>
      <c r="G610" s="8" t="s">
        <v>3461</v>
      </c>
      <c r="H610" s="8" t="s">
        <v>215</v>
      </c>
      <c r="I610" s="18" t="s">
        <v>2595</v>
      </c>
      <c r="J610" s="16">
        <v>72.0</v>
      </c>
      <c r="K610" s="8" t="s">
        <v>1977</v>
      </c>
      <c r="L610" s="8" t="s">
        <v>1976</v>
      </c>
      <c r="M610" s="18" t="s">
        <v>2584</v>
      </c>
      <c r="N610" s="16">
        <v>72.0</v>
      </c>
      <c r="O610" s="8" t="s">
        <v>4526</v>
      </c>
      <c r="P610" s="8" t="s">
        <v>70</v>
      </c>
      <c r="Q610" s="14" t="s">
        <v>837</v>
      </c>
      <c r="R610" s="18" t="s">
        <v>2589</v>
      </c>
      <c r="S610" s="14" t="s">
        <v>2604</v>
      </c>
    </row>
    <row r="611">
      <c r="A611" s="8" t="s">
        <v>506</v>
      </c>
      <c r="B611" s="8" t="s">
        <v>3572</v>
      </c>
      <c r="C611" s="8" t="s">
        <v>192</v>
      </c>
      <c r="D611" s="18" t="s">
        <v>2582</v>
      </c>
      <c r="E611" s="16">
        <v>77.0</v>
      </c>
      <c r="F611" s="8" t="s">
        <v>792</v>
      </c>
      <c r="G611" s="8" t="s">
        <v>1905</v>
      </c>
      <c r="H611" s="8" t="s">
        <v>93</v>
      </c>
      <c r="I611" s="18" t="s">
        <v>2567</v>
      </c>
      <c r="J611" s="16">
        <v>72.0</v>
      </c>
      <c r="K611" s="8" t="s">
        <v>4527</v>
      </c>
      <c r="L611" s="8" t="s">
        <v>937</v>
      </c>
      <c r="M611" s="18" t="s">
        <v>2620</v>
      </c>
      <c r="N611" s="16">
        <v>69.0</v>
      </c>
      <c r="O611" s="8" t="s">
        <v>4528</v>
      </c>
      <c r="P611" s="8" t="s">
        <v>93</v>
      </c>
      <c r="Q611" s="14" t="s">
        <v>2459</v>
      </c>
      <c r="R611" s="8" t="s">
        <v>2593</v>
      </c>
      <c r="S611" s="14" t="s">
        <v>2557</v>
      </c>
    </row>
    <row r="612">
      <c r="A612" s="8" t="s">
        <v>506</v>
      </c>
      <c r="B612" s="8" t="s">
        <v>496</v>
      </c>
      <c r="C612" s="8" t="s">
        <v>70</v>
      </c>
      <c r="D612" s="18" t="s">
        <v>2621</v>
      </c>
      <c r="E612" s="16">
        <v>70.0</v>
      </c>
      <c r="F612" s="8" t="s">
        <v>1057</v>
      </c>
      <c r="G612" s="8" t="s">
        <v>2031</v>
      </c>
      <c r="H612" s="8" t="s">
        <v>93</v>
      </c>
      <c r="I612" s="18" t="s">
        <v>2574</v>
      </c>
      <c r="J612" s="16">
        <v>74.0</v>
      </c>
      <c r="K612" s="8" t="s">
        <v>4529</v>
      </c>
      <c r="L612" s="8" t="s">
        <v>62</v>
      </c>
      <c r="M612" s="18" t="s">
        <v>2183</v>
      </c>
      <c r="N612" s="16">
        <v>70.0</v>
      </c>
      <c r="O612" s="8" t="s">
        <v>4530</v>
      </c>
      <c r="P612" s="8" t="s">
        <v>186</v>
      </c>
      <c r="Q612" s="14" t="s">
        <v>2296</v>
      </c>
      <c r="R612" s="8" t="s">
        <v>2621</v>
      </c>
      <c r="S612" s="14" t="s">
        <v>2609</v>
      </c>
    </row>
    <row r="613">
      <c r="A613" s="8" t="s">
        <v>506</v>
      </c>
      <c r="B613" s="8" t="s">
        <v>974</v>
      </c>
      <c r="C613" s="8" t="s">
        <v>122</v>
      </c>
      <c r="D613" s="18" t="s">
        <v>2610</v>
      </c>
      <c r="E613" s="16">
        <v>60.0</v>
      </c>
      <c r="F613" s="8" t="s">
        <v>1057</v>
      </c>
      <c r="G613" s="8" t="s">
        <v>78</v>
      </c>
      <c r="H613" s="8" t="s">
        <v>149</v>
      </c>
      <c r="I613" s="18" t="s">
        <v>2574</v>
      </c>
      <c r="J613" s="16">
        <v>70.0</v>
      </c>
      <c r="K613" s="8" t="s">
        <v>4531</v>
      </c>
      <c r="L613" s="8" t="s">
        <v>185</v>
      </c>
      <c r="M613" s="18" t="s">
        <v>2587</v>
      </c>
      <c r="N613" s="16">
        <v>67.0</v>
      </c>
      <c r="O613" s="8" t="s">
        <v>4532</v>
      </c>
      <c r="P613" s="8" t="s">
        <v>186</v>
      </c>
      <c r="Q613" s="14" t="s">
        <v>1070</v>
      </c>
      <c r="R613" s="8" t="s">
        <v>2585</v>
      </c>
      <c r="S613" s="14" t="s">
        <v>2622</v>
      </c>
    </row>
    <row r="614">
      <c r="A614" s="8" t="s">
        <v>506</v>
      </c>
      <c r="B614" s="8" t="s">
        <v>508</v>
      </c>
      <c r="C614" s="8" t="s">
        <v>132</v>
      </c>
      <c r="D614" s="18" t="s">
        <v>2577</v>
      </c>
      <c r="E614" s="16">
        <v>84.0</v>
      </c>
      <c r="F614" s="8" t="s">
        <v>2995</v>
      </c>
      <c r="G614" s="8" t="s">
        <v>1005</v>
      </c>
      <c r="H614" s="8" t="s">
        <v>93</v>
      </c>
      <c r="I614" s="18" t="s">
        <v>2582</v>
      </c>
      <c r="J614" s="16">
        <v>67.0</v>
      </c>
      <c r="K614" s="8" t="s">
        <v>4533</v>
      </c>
      <c r="L614" s="8" t="s">
        <v>1081</v>
      </c>
      <c r="M614" s="18" t="s">
        <v>2564</v>
      </c>
      <c r="N614" s="16">
        <v>64.0</v>
      </c>
      <c r="O614" s="8" t="s">
        <v>4534</v>
      </c>
      <c r="P614" s="8" t="s">
        <v>70</v>
      </c>
      <c r="Q614" s="14" t="s">
        <v>2296</v>
      </c>
      <c r="R614" s="8" t="s">
        <v>2605</v>
      </c>
      <c r="S614" s="14" t="s">
        <v>2573</v>
      </c>
    </row>
    <row r="615">
      <c r="A615" s="8" t="s">
        <v>506</v>
      </c>
      <c r="B615" s="8" t="s">
        <v>2787</v>
      </c>
      <c r="C615" s="8" t="s">
        <v>16</v>
      </c>
      <c r="D615" s="18" t="s">
        <v>2605</v>
      </c>
      <c r="E615" s="16">
        <v>63.0</v>
      </c>
      <c r="F615" s="8" t="s">
        <v>555</v>
      </c>
      <c r="G615" s="8" t="s">
        <v>284</v>
      </c>
      <c r="H615" s="8" t="s">
        <v>215</v>
      </c>
      <c r="I615" s="18" t="s">
        <v>2552</v>
      </c>
      <c r="J615" s="16">
        <v>76.0</v>
      </c>
      <c r="K615" s="8" t="s">
        <v>4535</v>
      </c>
      <c r="L615" s="8" t="s">
        <v>99</v>
      </c>
      <c r="M615" s="18" t="s">
        <v>2645</v>
      </c>
      <c r="N615" s="16">
        <v>65.0</v>
      </c>
      <c r="O615" s="8" t="s">
        <v>4536</v>
      </c>
      <c r="P615" s="8" t="s">
        <v>65</v>
      </c>
      <c r="Q615" s="14" t="s">
        <v>1679</v>
      </c>
      <c r="R615" s="8" t="s">
        <v>2603</v>
      </c>
      <c r="S615" s="14" t="s">
        <v>2571</v>
      </c>
    </row>
    <row r="616">
      <c r="A616" s="8" t="s">
        <v>506</v>
      </c>
      <c r="B616" s="8" t="s">
        <v>915</v>
      </c>
      <c r="C616" s="8" t="s">
        <v>70</v>
      </c>
      <c r="D616" s="18" t="s">
        <v>2621</v>
      </c>
      <c r="E616" s="16">
        <v>64.0</v>
      </c>
      <c r="F616" s="8" t="s">
        <v>1071</v>
      </c>
      <c r="G616" s="8" t="s">
        <v>835</v>
      </c>
      <c r="H616" s="8" t="s">
        <v>65</v>
      </c>
      <c r="I616" s="18" t="s">
        <v>2558</v>
      </c>
      <c r="J616" s="16">
        <v>84.0</v>
      </c>
      <c r="K616" s="8" t="s">
        <v>4537</v>
      </c>
      <c r="L616" s="8" t="s">
        <v>142</v>
      </c>
      <c r="M616" s="18" t="s">
        <v>2598</v>
      </c>
      <c r="N616" s="16">
        <v>81.0</v>
      </c>
      <c r="O616" s="8" t="s">
        <v>4538</v>
      </c>
      <c r="P616" s="8" t="s">
        <v>24</v>
      </c>
      <c r="Q616" s="14" t="s">
        <v>1070</v>
      </c>
      <c r="R616" s="8" t="s">
        <v>2552</v>
      </c>
      <c r="S616" s="14" t="s">
        <v>2573</v>
      </c>
    </row>
    <row r="617">
      <c r="A617" s="8" t="s">
        <v>506</v>
      </c>
      <c r="B617" s="8" t="s">
        <v>3640</v>
      </c>
      <c r="C617" s="8" t="s">
        <v>46</v>
      </c>
      <c r="D617" s="18" t="s">
        <v>2574</v>
      </c>
      <c r="E617" s="16">
        <v>64.0</v>
      </c>
      <c r="F617" s="8" t="s">
        <v>506</v>
      </c>
      <c r="G617" s="8" t="s">
        <v>1004</v>
      </c>
      <c r="H617" s="8" t="s">
        <v>122</v>
      </c>
      <c r="I617" s="18" t="s">
        <v>2567</v>
      </c>
      <c r="J617" s="16">
        <v>70.0</v>
      </c>
      <c r="K617" s="8" t="s">
        <v>1606</v>
      </c>
      <c r="L617" s="8" t="s">
        <v>1605</v>
      </c>
      <c r="M617" s="18" t="s">
        <v>2598</v>
      </c>
      <c r="N617" s="16">
        <v>71.0</v>
      </c>
      <c r="O617" s="8" t="s">
        <v>4539</v>
      </c>
      <c r="P617" s="8" t="s">
        <v>24</v>
      </c>
      <c r="Q617" s="14" t="s">
        <v>2033</v>
      </c>
      <c r="R617" s="8" t="s">
        <v>2615</v>
      </c>
      <c r="S617" s="14" t="s">
        <v>2588</v>
      </c>
    </row>
    <row r="618">
      <c r="A618" s="8" t="s">
        <v>506</v>
      </c>
      <c r="B618" s="8" t="s">
        <v>89</v>
      </c>
      <c r="C618" s="8" t="s">
        <v>186</v>
      </c>
      <c r="D618" s="18" t="s">
        <v>2560</v>
      </c>
      <c r="E618" s="16">
        <v>81.0</v>
      </c>
      <c r="F618" s="8" t="s">
        <v>506</v>
      </c>
      <c r="G618" s="8" t="s">
        <v>1247</v>
      </c>
      <c r="H618" s="8" t="s">
        <v>59</v>
      </c>
      <c r="I618" s="18" t="s">
        <v>2574</v>
      </c>
      <c r="J618" s="16">
        <v>66.0</v>
      </c>
      <c r="K618" s="8" t="s">
        <v>974</v>
      </c>
      <c r="L618" s="8" t="s">
        <v>973</v>
      </c>
      <c r="M618" s="18" t="s">
        <v>2587</v>
      </c>
      <c r="N618" s="16">
        <v>70.0</v>
      </c>
      <c r="O618" s="8" t="s">
        <v>4540</v>
      </c>
      <c r="P618" s="8" t="s">
        <v>122</v>
      </c>
      <c r="Q618" s="14" t="s">
        <v>1070</v>
      </c>
      <c r="R618" s="8" t="s">
        <v>2595</v>
      </c>
      <c r="S618" s="14" t="s">
        <v>2586</v>
      </c>
    </row>
    <row r="619">
      <c r="A619" s="8" t="s">
        <v>506</v>
      </c>
      <c r="B619" s="8" t="s">
        <v>1483</v>
      </c>
      <c r="C619" s="8" t="s">
        <v>138</v>
      </c>
      <c r="D619" s="18" t="s">
        <v>2614</v>
      </c>
      <c r="E619" s="16">
        <v>67.0</v>
      </c>
      <c r="F619" s="8" t="s">
        <v>506</v>
      </c>
      <c r="G619" s="8" t="s">
        <v>2952</v>
      </c>
      <c r="H619" s="8" t="s">
        <v>24</v>
      </c>
      <c r="I619" s="18" t="s">
        <v>2552</v>
      </c>
      <c r="J619" s="16">
        <v>67.0</v>
      </c>
      <c r="K619" s="8" t="s">
        <v>974</v>
      </c>
      <c r="L619" s="8" t="s">
        <v>1517</v>
      </c>
      <c r="M619" s="18" t="s">
        <v>2558</v>
      </c>
      <c r="N619" s="16">
        <v>74.0</v>
      </c>
      <c r="O619" s="8" t="s">
        <v>4541</v>
      </c>
      <c r="P619" s="8" t="s">
        <v>122</v>
      </c>
      <c r="Q619" s="14" t="s">
        <v>837</v>
      </c>
      <c r="R619" s="8" t="s">
        <v>2600</v>
      </c>
      <c r="S619" s="14" t="s">
        <v>2579</v>
      </c>
    </row>
    <row r="620">
      <c r="A620" s="8" t="s">
        <v>506</v>
      </c>
      <c r="B620" s="8" t="s">
        <v>389</v>
      </c>
      <c r="C620" s="8" t="s">
        <v>70</v>
      </c>
      <c r="D620" s="18" t="s">
        <v>2589</v>
      </c>
      <c r="E620" s="16">
        <v>83.0</v>
      </c>
      <c r="F620" s="8" t="s">
        <v>506</v>
      </c>
      <c r="G620" s="8" t="s">
        <v>915</v>
      </c>
      <c r="H620" s="8" t="s">
        <v>70</v>
      </c>
      <c r="I620" s="18" t="s">
        <v>2621</v>
      </c>
      <c r="J620" s="16">
        <v>61.0</v>
      </c>
      <c r="K620" s="8" t="s">
        <v>943</v>
      </c>
      <c r="L620" s="8" t="s">
        <v>1199</v>
      </c>
      <c r="M620" s="18" t="s">
        <v>2605</v>
      </c>
      <c r="N620" s="16">
        <v>68.0</v>
      </c>
      <c r="O620" s="8" t="s">
        <v>4542</v>
      </c>
      <c r="P620" s="8" t="s">
        <v>75</v>
      </c>
      <c r="Q620" s="14" t="s">
        <v>459</v>
      </c>
      <c r="R620" s="8" t="s">
        <v>2621</v>
      </c>
      <c r="S620" s="14" t="s">
        <v>2609</v>
      </c>
    </row>
    <row r="621">
      <c r="A621" s="8" t="s">
        <v>506</v>
      </c>
      <c r="B621" s="8" t="s">
        <v>389</v>
      </c>
      <c r="C621" s="8" t="s">
        <v>261</v>
      </c>
      <c r="D621" s="18" t="s">
        <v>2577</v>
      </c>
      <c r="E621" s="16">
        <v>74.0</v>
      </c>
      <c r="F621" s="8" t="s">
        <v>506</v>
      </c>
      <c r="G621" s="8" t="s">
        <v>638</v>
      </c>
      <c r="H621" s="8" t="s">
        <v>141</v>
      </c>
      <c r="I621" s="18" t="s">
        <v>2600</v>
      </c>
      <c r="J621" s="16">
        <v>78.0</v>
      </c>
      <c r="K621" s="8" t="s">
        <v>943</v>
      </c>
      <c r="L621" s="8" t="s">
        <v>897</v>
      </c>
      <c r="M621" s="18" t="s">
        <v>2603</v>
      </c>
      <c r="N621" s="16">
        <v>65.0</v>
      </c>
      <c r="O621" s="8" t="s">
        <v>4543</v>
      </c>
      <c r="P621" s="8" t="s">
        <v>46</v>
      </c>
      <c r="Q621" s="14" t="s">
        <v>2033</v>
      </c>
      <c r="R621" s="18" t="s">
        <v>2556</v>
      </c>
      <c r="S621" s="14" t="s">
        <v>2612</v>
      </c>
    </row>
    <row r="622">
      <c r="A622" s="8" t="s">
        <v>506</v>
      </c>
      <c r="B622" s="8" t="s">
        <v>956</v>
      </c>
      <c r="C622" s="8" t="s">
        <v>122</v>
      </c>
      <c r="D622" s="18" t="s">
        <v>2183</v>
      </c>
      <c r="E622" s="16">
        <v>67.0</v>
      </c>
      <c r="F622" s="8" t="s">
        <v>506</v>
      </c>
      <c r="G622" s="8" t="s">
        <v>1483</v>
      </c>
      <c r="H622" s="8" t="s">
        <v>138</v>
      </c>
      <c r="I622" s="18" t="s">
        <v>2614</v>
      </c>
      <c r="J622" s="16">
        <v>79.0</v>
      </c>
      <c r="K622" s="8" t="s">
        <v>943</v>
      </c>
      <c r="L622" s="8" t="s">
        <v>1330</v>
      </c>
      <c r="M622" s="18" t="s">
        <v>2556</v>
      </c>
      <c r="N622" s="16">
        <v>73.0</v>
      </c>
      <c r="O622" s="8" t="s">
        <v>4544</v>
      </c>
      <c r="P622" s="8" t="s">
        <v>65</v>
      </c>
      <c r="Q622" s="14" t="s">
        <v>2033</v>
      </c>
      <c r="R622" s="8" t="s">
        <v>2587</v>
      </c>
      <c r="S622" s="14" t="s">
        <v>2583</v>
      </c>
    </row>
    <row r="623">
      <c r="A623" s="8" t="s">
        <v>506</v>
      </c>
      <c r="B623" s="8" t="s">
        <v>1247</v>
      </c>
      <c r="C623" s="8" t="s">
        <v>186</v>
      </c>
      <c r="D623" s="18" t="s">
        <v>2574</v>
      </c>
      <c r="E623" s="16">
        <v>64.0</v>
      </c>
      <c r="F623" s="8" t="s">
        <v>506</v>
      </c>
      <c r="G623" s="8" t="s">
        <v>2205</v>
      </c>
      <c r="H623" s="8" t="s">
        <v>24</v>
      </c>
      <c r="I623" s="18" t="s">
        <v>2615</v>
      </c>
      <c r="J623" s="16">
        <v>78.0</v>
      </c>
      <c r="K623" s="8" t="s">
        <v>943</v>
      </c>
      <c r="L623" s="8" t="s">
        <v>3056</v>
      </c>
      <c r="M623" s="18" t="s">
        <v>2645</v>
      </c>
      <c r="N623" s="16">
        <v>66.0</v>
      </c>
      <c r="O623" s="8" t="s">
        <v>4545</v>
      </c>
      <c r="P623" s="8" t="s">
        <v>149</v>
      </c>
      <c r="Q623" s="14" t="s">
        <v>1679</v>
      </c>
      <c r="R623" s="8" t="s">
        <v>2562</v>
      </c>
      <c r="S623" s="14" t="s">
        <v>2627</v>
      </c>
    </row>
    <row r="624">
      <c r="A624" s="8" t="s">
        <v>506</v>
      </c>
      <c r="B624" s="8" t="s">
        <v>3770</v>
      </c>
      <c r="C624" s="8" t="s">
        <v>93</v>
      </c>
      <c r="D624" s="18" t="s">
        <v>2598</v>
      </c>
      <c r="E624" s="16">
        <v>61.0</v>
      </c>
      <c r="F624" s="8" t="s">
        <v>506</v>
      </c>
      <c r="G624" s="8" t="s">
        <v>974</v>
      </c>
      <c r="H624" s="8" t="s">
        <v>122</v>
      </c>
      <c r="I624" s="18" t="s">
        <v>2610</v>
      </c>
      <c r="J624" s="16">
        <v>60.0</v>
      </c>
      <c r="K624" s="8" t="s">
        <v>943</v>
      </c>
      <c r="L624" s="8" t="s">
        <v>715</v>
      </c>
      <c r="M624" s="18" t="s">
        <v>2562</v>
      </c>
      <c r="N624" s="16">
        <v>88.0</v>
      </c>
      <c r="O624" s="8" t="s">
        <v>4546</v>
      </c>
      <c r="P624" s="8" t="s">
        <v>24</v>
      </c>
      <c r="Q624" s="14" t="s">
        <v>1679</v>
      </c>
      <c r="R624" s="8" t="s">
        <v>2183</v>
      </c>
      <c r="S624" s="14" t="s">
        <v>2568</v>
      </c>
    </row>
    <row r="625">
      <c r="A625" s="8" t="s">
        <v>506</v>
      </c>
      <c r="B625" s="8" t="s">
        <v>3771</v>
      </c>
      <c r="C625" s="8" t="s">
        <v>122</v>
      </c>
      <c r="D625" s="18" t="s">
        <v>2620</v>
      </c>
      <c r="E625" s="16">
        <v>58.0</v>
      </c>
      <c r="F625" s="8" t="s">
        <v>506</v>
      </c>
      <c r="G625" s="8" t="s">
        <v>843</v>
      </c>
      <c r="H625" s="8" t="s">
        <v>46</v>
      </c>
      <c r="I625" s="18" t="s">
        <v>2558</v>
      </c>
      <c r="J625" s="16">
        <v>91.0</v>
      </c>
      <c r="K625" s="8" t="s">
        <v>1056</v>
      </c>
      <c r="L625" s="8" t="s">
        <v>1055</v>
      </c>
      <c r="M625" s="18" t="s">
        <v>2562</v>
      </c>
      <c r="N625" s="16">
        <v>67.0</v>
      </c>
      <c r="O625" s="8" t="s">
        <v>4547</v>
      </c>
      <c r="P625" s="8" t="s">
        <v>53</v>
      </c>
      <c r="Q625" s="14" t="s">
        <v>1679</v>
      </c>
      <c r="R625" s="8" t="s">
        <v>2562</v>
      </c>
      <c r="S625" s="14" t="s">
        <v>2570</v>
      </c>
    </row>
    <row r="626">
      <c r="A626" s="8" t="s">
        <v>506</v>
      </c>
      <c r="B626" s="8" t="s">
        <v>146</v>
      </c>
      <c r="C626" s="8" t="s">
        <v>24</v>
      </c>
      <c r="D626" s="18" t="s">
        <v>2552</v>
      </c>
      <c r="E626" s="16">
        <v>67.0</v>
      </c>
      <c r="F626" s="8" t="s">
        <v>506</v>
      </c>
      <c r="G626" s="8" t="s">
        <v>1275</v>
      </c>
      <c r="H626" s="8" t="s">
        <v>122</v>
      </c>
      <c r="I626" s="18" t="s">
        <v>2595</v>
      </c>
      <c r="J626" s="16">
        <v>72.0</v>
      </c>
      <c r="K626" s="8" t="s">
        <v>1192</v>
      </c>
      <c r="L626" s="8" t="s">
        <v>3149</v>
      </c>
      <c r="M626" s="18" t="s">
        <v>2558</v>
      </c>
      <c r="N626" s="16">
        <v>68.0</v>
      </c>
      <c r="O626" s="8" t="s">
        <v>4548</v>
      </c>
      <c r="P626" s="8" t="s">
        <v>16</v>
      </c>
      <c r="Q626" s="14" t="s">
        <v>1679</v>
      </c>
      <c r="R626" s="8" t="s">
        <v>2560</v>
      </c>
      <c r="S626" s="14" t="s">
        <v>2612</v>
      </c>
    </row>
    <row r="627">
      <c r="A627" s="8" t="s">
        <v>506</v>
      </c>
      <c r="B627" s="8" t="s">
        <v>1275</v>
      </c>
      <c r="C627" s="8" t="s">
        <v>215</v>
      </c>
      <c r="D627" s="18" t="s">
        <v>2595</v>
      </c>
      <c r="E627" s="16">
        <v>64.0</v>
      </c>
      <c r="F627" s="8" t="s">
        <v>506</v>
      </c>
      <c r="G627" s="8" t="s">
        <v>389</v>
      </c>
      <c r="H627" s="8" t="s">
        <v>70</v>
      </c>
      <c r="I627" s="18" t="s">
        <v>2589</v>
      </c>
      <c r="J627" s="16">
        <v>94.0</v>
      </c>
      <c r="K627" s="8" t="s">
        <v>1672</v>
      </c>
      <c r="L627" s="8" t="s">
        <v>3144</v>
      </c>
      <c r="M627" s="18" t="s">
        <v>2600</v>
      </c>
      <c r="N627" s="16">
        <v>71.0</v>
      </c>
      <c r="O627" s="8" t="s">
        <v>4549</v>
      </c>
      <c r="P627" s="8" t="s">
        <v>122</v>
      </c>
      <c r="Q627" s="14" t="s">
        <v>1679</v>
      </c>
      <c r="R627" s="8" t="s">
        <v>2581</v>
      </c>
      <c r="S627" s="14" t="s">
        <v>2601</v>
      </c>
    </row>
    <row r="628">
      <c r="A628" s="8" t="s">
        <v>506</v>
      </c>
      <c r="B628" s="8" t="s">
        <v>1004</v>
      </c>
      <c r="C628" s="8" t="s">
        <v>122</v>
      </c>
      <c r="D628" s="18" t="s">
        <v>2567</v>
      </c>
      <c r="E628" s="16">
        <v>68.0</v>
      </c>
      <c r="F628" s="8" t="s">
        <v>506</v>
      </c>
      <c r="G628" s="8" t="s">
        <v>1969</v>
      </c>
      <c r="H628" s="8" t="s">
        <v>46</v>
      </c>
      <c r="I628" s="18" t="s">
        <v>2556</v>
      </c>
      <c r="J628" s="16">
        <v>69.0</v>
      </c>
      <c r="K628" s="8" t="s">
        <v>1662</v>
      </c>
      <c r="L628" s="8" t="s">
        <v>1661</v>
      </c>
      <c r="M628" s="18" t="s">
        <v>2584</v>
      </c>
      <c r="N628" s="16">
        <v>77.0</v>
      </c>
      <c r="O628" s="8" t="s">
        <v>4550</v>
      </c>
      <c r="P628" s="8" t="s">
        <v>93</v>
      </c>
      <c r="Q628" s="14" t="s">
        <v>1679</v>
      </c>
      <c r="R628" s="8" t="s">
        <v>2610</v>
      </c>
      <c r="S628" s="14" t="s">
        <v>2609</v>
      </c>
    </row>
    <row r="629">
      <c r="A629" s="8" t="s">
        <v>506</v>
      </c>
      <c r="B629" s="8" t="s">
        <v>3507</v>
      </c>
      <c r="C629" s="8" t="s">
        <v>75</v>
      </c>
      <c r="D629" s="18" t="s">
        <v>2574</v>
      </c>
      <c r="E629" s="16">
        <v>69.0</v>
      </c>
      <c r="F629" s="8" t="s">
        <v>506</v>
      </c>
      <c r="G629" s="8" t="s">
        <v>3507</v>
      </c>
      <c r="H629" s="8" t="s">
        <v>75</v>
      </c>
      <c r="I629" s="18" t="s">
        <v>2574</v>
      </c>
      <c r="J629" s="16">
        <v>69.0</v>
      </c>
      <c r="K629" s="8" t="s">
        <v>684</v>
      </c>
      <c r="L629" s="8" t="s">
        <v>683</v>
      </c>
      <c r="M629" s="18" t="s">
        <v>2183</v>
      </c>
      <c r="N629" s="16">
        <v>75.0</v>
      </c>
      <c r="O629" s="8" t="s">
        <v>4551</v>
      </c>
      <c r="P629" s="8" t="s">
        <v>24</v>
      </c>
      <c r="Q629" s="14" t="s">
        <v>2296</v>
      </c>
      <c r="R629" s="8" t="s">
        <v>2587</v>
      </c>
      <c r="S629" s="14" t="s">
        <v>2622</v>
      </c>
    </row>
    <row r="630">
      <c r="A630" s="8" t="s">
        <v>61</v>
      </c>
      <c r="B630" s="8" t="s">
        <v>3874</v>
      </c>
      <c r="C630" s="8" t="s">
        <v>215</v>
      </c>
      <c r="D630" s="18" t="s">
        <v>2595</v>
      </c>
      <c r="E630" s="16">
        <v>60.0</v>
      </c>
      <c r="F630" s="8" t="s">
        <v>506</v>
      </c>
      <c r="G630" s="8" t="s">
        <v>841</v>
      </c>
      <c r="H630" s="8" t="s">
        <v>93</v>
      </c>
      <c r="I630" s="18" t="s">
        <v>2556</v>
      </c>
      <c r="J630" s="16">
        <v>82.0</v>
      </c>
      <c r="K630" s="8" t="s">
        <v>684</v>
      </c>
      <c r="L630" s="8" t="s">
        <v>3115</v>
      </c>
      <c r="M630" s="18" t="s">
        <v>2562</v>
      </c>
      <c r="N630" s="16">
        <v>66.0</v>
      </c>
      <c r="O630" s="8" t="s">
        <v>4552</v>
      </c>
      <c r="P630" s="8" t="s">
        <v>138</v>
      </c>
      <c r="Q630" s="14" t="s">
        <v>1679</v>
      </c>
      <c r="R630" s="8" t="s">
        <v>2584</v>
      </c>
      <c r="S630" s="14" t="s">
        <v>2591</v>
      </c>
    </row>
    <row r="631">
      <c r="A631" s="8" t="s">
        <v>1808</v>
      </c>
      <c r="B631" s="8" t="s">
        <v>2850</v>
      </c>
      <c r="C631" s="8" t="s">
        <v>93</v>
      </c>
      <c r="D631" s="18" t="s">
        <v>2584</v>
      </c>
      <c r="E631" s="16">
        <v>76.0</v>
      </c>
      <c r="F631" s="8" t="s">
        <v>506</v>
      </c>
      <c r="G631" s="8" t="s">
        <v>1264</v>
      </c>
      <c r="H631" s="8" t="s">
        <v>65</v>
      </c>
      <c r="I631" s="18" t="s">
        <v>2603</v>
      </c>
      <c r="J631" s="16">
        <v>66.0</v>
      </c>
      <c r="K631" s="8" t="s">
        <v>1389</v>
      </c>
      <c r="L631" s="8" t="s">
        <v>1388</v>
      </c>
      <c r="M631" s="18" t="s">
        <v>2585</v>
      </c>
      <c r="N631" s="16">
        <v>83.0</v>
      </c>
      <c r="O631" s="8" t="s">
        <v>4553</v>
      </c>
      <c r="P631" s="8" t="s">
        <v>24</v>
      </c>
      <c r="Q631" s="14" t="s">
        <v>1679</v>
      </c>
      <c r="R631" s="8" t="s">
        <v>2605</v>
      </c>
      <c r="S631" s="14" t="s">
        <v>2555</v>
      </c>
    </row>
    <row r="632">
      <c r="A632" s="8" t="s">
        <v>4529</v>
      </c>
      <c r="B632" s="8" t="s">
        <v>62</v>
      </c>
      <c r="C632" s="8" t="s">
        <v>65</v>
      </c>
      <c r="D632" s="18" t="s">
        <v>2183</v>
      </c>
      <c r="E632" s="16">
        <v>71.0</v>
      </c>
      <c r="F632" s="8" t="s">
        <v>506</v>
      </c>
      <c r="G632" s="8" t="s">
        <v>508</v>
      </c>
      <c r="H632" s="8" t="s">
        <v>132</v>
      </c>
      <c r="I632" s="18" t="s">
        <v>2577</v>
      </c>
      <c r="J632" s="16">
        <v>88.0</v>
      </c>
      <c r="K632" s="8" t="s">
        <v>1854</v>
      </c>
      <c r="L632" s="8" t="s">
        <v>284</v>
      </c>
      <c r="M632" s="18" t="s">
        <v>2598</v>
      </c>
      <c r="N632" s="16">
        <v>85.0</v>
      </c>
      <c r="O632" s="8" t="s">
        <v>4554</v>
      </c>
      <c r="P632" s="8" t="s">
        <v>122</v>
      </c>
      <c r="Q632" s="14" t="s">
        <v>2296</v>
      </c>
      <c r="R632" s="8" t="s">
        <v>2575</v>
      </c>
      <c r="S632" s="14" t="s">
        <v>2568</v>
      </c>
    </row>
    <row r="633">
      <c r="A633" s="8" t="s">
        <v>4531</v>
      </c>
      <c r="B633" s="8" t="s">
        <v>185</v>
      </c>
      <c r="C633" s="8" t="s">
        <v>149</v>
      </c>
      <c r="D633" s="18" t="s">
        <v>2575</v>
      </c>
      <c r="E633" s="16">
        <v>66.0</v>
      </c>
      <c r="F633" s="8" t="s">
        <v>506</v>
      </c>
      <c r="G633" s="8" t="s">
        <v>389</v>
      </c>
      <c r="H633" s="8" t="s">
        <v>24</v>
      </c>
      <c r="I633" s="18" t="s">
        <v>2577</v>
      </c>
      <c r="J633" s="16">
        <v>64.0</v>
      </c>
      <c r="K633" s="8" t="s">
        <v>4555</v>
      </c>
      <c r="L633" s="8" t="s">
        <v>1183</v>
      </c>
      <c r="M633" s="18" t="s">
        <v>2605</v>
      </c>
      <c r="N633" s="16">
        <v>69.0</v>
      </c>
      <c r="O633" s="8" t="s">
        <v>4556</v>
      </c>
      <c r="P633" s="8" t="s">
        <v>70</v>
      </c>
      <c r="Q633" s="14" t="s">
        <v>1070</v>
      </c>
      <c r="R633" s="8" t="s">
        <v>2560</v>
      </c>
      <c r="S633" s="14" t="s">
        <v>2609</v>
      </c>
    </row>
    <row r="634">
      <c r="A634" s="8" t="s">
        <v>4533</v>
      </c>
      <c r="B634" s="8" t="s">
        <v>89</v>
      </c>
      <c r="C634" s="8" t="s">
        <v>93</v>
      </c>
      <c r="D634" s="18" t="s">
        <v>2595</v>
      </c>
      <c r="E634" s="16">
        <v>60.0</v>
      </c>
      <c r="F634" s="8" t="s">
        <v>506</v>
      </c>
      <c r="G634" s="8" t="s">
        <v>956</v>
      </c>
      <c r="H634" s="8" t="s">
        <v>138</v>
      </c>
      <c r="I634" s="18" t="s">
        <v>2183</v>
      </c>
      <c r="J634" s="16">
        <v>64.0</v>
      </c>
      <c r="K634" s="8" t="s">
        <v>2955</v>
      </c>
      <c r="L634" s="8" t="s">
        <v>2954</v>
      </c>
      <c r="M634" s="18" t="s">
        <v>2620</v>
      </c>
      <c r="N634" s="16">
        <v>66.0</v>
      </c>
      <c r="O634" s="8" t="s">
        <v>4557</v>
      </c>
      <c r="P634" s="8" t="s">
        <v>70</v>
      </c>
      <c r="Q634" s="14" t="s">
        <v>1679</v>
      </c>
      <c r="R634" s="8" t="s">
        <v>2575</v>
      </c>
      <c r="S634" s="14" t="s">
        <v>2583</v>
      </c>
    </row>
    <row r="635">
      <c r="A635" s="8" t="s">
        <v>4537</v>
      </c>
      <c r="B635" s="8" t="s">
        <v>142</v>
      </c>
      <c r="C635" s="8" t="s">
        <v>186</v>
      </c>
      <c r="D635" s="18" t="s">
        <v>2598</v>
      </c>
      <c r="E635" s="16">
        <v>64.0</v>
      </c>
      <c r="F635" s="8" t="s">
        <v>506</v>
      </c>
      <c r="G635" s="8" t="s">
        <v>2787</v>
      </c>
      <c r="H635" s="8" t="s">
        <v>16</v>
      </c>
      <c r="I635" s="18" t="s">
        <v>2581</v>
      </c>
      <c r="J635" s="16">
        <v>62.0</v>
      </c>
      <c r="K635" s="8" t="s">
        <v>330</v>
      </c>
      <c r="L635" s="8" t="s">
        <v>34</v>
      </c>
      <c r="M635" s="18" t="s">
        <v>2585</v>
      </c>
      <c r="N635" s="16">
        <v>70.0</v>
      </c>
      <c r="O635" s="8" t="s">
        <v>4558</v>
      </c>
      <c r="P635" s="8" t="s">
        <v>132</v>
      </c>
      <c r="Q635" s="14" t="s">
        <v>837</v>
      </c>
      <c r="R635" s="8" t="s">
        <v>2587</v>
      </c>
      <c r="S635" s="14" t="s">
        <v>2609</v>
      </c>
    </row>
    <row r="636">
      <c r="A636" s="8" t="s">
        <v>974</v>
      </c>
      <c r="B636" s="8" t="s">
        <v>1517</v>
      </c>
      <c r="C636" s="8" t="s">
        <v>138</v>
      </c>
      <c r="D636" s="18" t="s">
        <v>2558</v>
      </c>
      <c r="E636" s="16">
        <v>65.0</v>
      </c>
      <c r="F636" s="8" t="s">
        <v>506</v>
      </c>
      <c r="G636" s="8" t="s">
        <v>2675</v>
      </c>
      <c r="H636" s="8" t="s">
        <v>59</v>
      </c>
      <c r="I636" s="18" t="s">
        <v>2603</v>
      </c>
      <c r="J636" s="16">
        <v>66.0</v>
      </c>
      <c r="K636" s="8" t="s">
        <v>105</v>
      </c>
      <c r="L636" s="8" t="s">
        <v>104</v>
      </c>
      <c r="M636" s="18" t="s">
        <v>2621</v>
      </c>
      <c r="N636" s="16">
        <v>86.0</v>
      </c>
      <c r="O636" s="8" t="s">
        <v>4559</v>
      </c>
      <c r="P636" s="8" t="s">
        <v>93</v>
      </c>
      <c r="Q636" s="14" t="s">
        <v>1070</v>
      </c>
      <c r="R636" s="8" t="s">
        <v>2620</v>
      </c>
      <c r="S636" s="14" t="s">
        <v>2609</v>
      </c>
    </row>
    <row r="637">
      <c r="A637" s="8" t="s">
        <v>974</v>
      </c>
      <c r="B637" s="8" t="s">
        <v>973</v>
      </c>
      <c r="C637" s="8" t="s">
        <v>192</v>
      </c>
      <c r="D637" s="18" t="s">
        <v>2574</v>
      </c>
      <c r="E637" s="16">
        <v>67.0</v>
      </c>
      <c r="F637" s="8" t="s">
        <v>506</v>
      </c>
      <c r="G637" s="8" t="s">
        <v>593</v>
      </c>
      <c r="H637" s="8" t="s">
        <v>132</v>
      </c>
      <c r="I637" s="18" t="s">
        <v>2562</v>
      </c>
      <c r="J637" s="16">
        <v>66.0</v>
      </c>
      <c r="K637" s="8" t="s">
        <v>105</v>
      </c>
      <c r="L637" s="8" t="s">
        <v>104</v>
      </c>
      <c r="M637" s="18" t="s">
        <v>2621</v>
      </c>
      <c r="N637" s="16">
        <v>90.0</v>
      </c>
      <c r="O637" s="8" t="s">
        <v>4560</v>
      </c>
      <c r="P637" s="8" t="s">
        <v>59</v>
      </c>
      <c r="Q637" s="14" t="s">
        <v>1070</v>
      </c>
      <c r="R637" s="8" t="s">
        <v>2598</v>
      </c>
      <c r="S637" s="14" t="s">
        <v>2608</v>
      </c>
    </row>
    <row r="638">
      <c r="A638" s="8" t="s">
        <v>3211</v>
      </c>
      <c r="B638" s="8" t="s">
        <v>877</v>
      </c>
      <c r="C638" s="8" t="s">
        <v>122</v>
      </c>
      <c r="D638" s="18" t="s">
        <v>2581</v>
      </c>
      <c r="E638" s="16">
        <v>62.0</v>
      </c>
      <c r="F638" s="8" t="s">
        <v>506</v>
      </c>
      <c r="G638" s="8" t="s">
        <v>89</v>
      </c>
      <c r="H638" s="8" t="s">
        <v>186</v>
      </c>
      <c r="I638" s="18" t="s">
        <v>2600</v>
      </c>
      <c r="J638" s="16">
        <v>81.0</v>
      </c>
      <c r="K638" s="8" t="s">
        <v>2129</v>
      </c>
      <c r="L638" s="8" t="s">
        <v>537</v>
      </c>
      <c r="M638" s="18" t="s">
        <v>2603</v>
      </c>
      <c r="N638" s="16">
        <v>70.0</v>
      </c>
      <c r="O638" s="8" t="s">
        <v>4561</v>
      </c>
      <c r="P638" s="8" t="s">
        <v>122</v>
      </c>
      <c r="Q638" s="14" t="s">
        <v>1352</v>
      </c>
      <c r="R638" s="8" t="s">
        <v>2598</v>
      </c>
      <c r="S638" s="14" t="s">
        <v>2573</v>
      </c>
    </row>
    <row r="639">
      <c r="A639" s="8" t="s">
        <v>943</v>
      </c>
      <c r="B639" s="8" t="s">
        <v>897</v>
      </c>
      <c r="C639" s="8" t="s">
        <v>93</v>
      </c>
      <c r="D639" s="18" t="s">
        <v>2603</v>
      </c>
      <c r="E639" s="16">
        <v>61.0</v>
      </c>
      <c r="F639" s="8" t="s">
        <v>61</v>
      </c>
      <c r="G639" s="8" t="s">
        <v>232</v>
      </c>
      <c r="H639" s="8" t="s">
        <v>16</v>
      </c>
      <c r="I639" s="18" t="s">
        <v>2566</v>
      </c>
      <c r="J639" s="16">
        <v>73.0</v>
      </c>
      <c r="K639" s="8" t="s">
        <v>2702</v>
      </c>
      <c r="L639" s="8" t="s">
        <v>2701</v>
      </c>
      <c r="M639" s="18" t="s">
        <v>2645</v>
      </c>
      <c r="N639" s="16">
        <v>77.0</v>
      </c>
      <c r="O639" s="8" t="s">
        <v>4562</v>
      </c>
      <c r="P639" s="8" t="s">
        <v>138</v>
      </c>
      <c r="Q639" s="14" t="s">
        <v>1352</v>
      </c>
      <c r="R639" s="8" t="s">
        <v>2558</v>
      </c>
      <c r="S639" s="14" t="s">
        <v>2601</v>
      </c>
    </row>
    <row r="640">
      <c r="A640" s="8" t="s">
        <v>943</v>
      </c>
      <c r="B640" s="8" t="s">
        <v>715</v>
      </c>
      <c r="C640" s="8" t="s">
        <v>65</v>
      </c>
      <c r="D640" s="18" t="s">
        <v>2562</v>
      </c>
      <c r="E640" s="16">
        <v>93.0</v>
      </c>
      <c r="F640" s="8" t="s">
        <v>1808</v>
      </c>
      <c r="G640" s="8" t="s">
        <v>1807</v>
      </c>
      <c r="H640" s="8" t="s">
        <v>122</v>
      </c>
      <c r="I640" s="18" t="s">
        <v>2581</v>
      </c>
      <c r="J640" s="16">
        <v>65.0</v>
      </c>
      <c r="K640" s="8" t="s">
        <v>148</v>
      </c>
      <c r="L640" s="8" t="s">
        <v>147</v>
      </c>
      <c r="M640" s="18" t="s">
        <v>2592</v>
      </c>
      <c r="N640" s="16">
        <v>84.0</v>
      </c>
      <c r="O640" s="8" t="s">
        <v>4563</v>
      </c>
      <c r="P640" s="8" t="s">
        <v>80</v>
      </c>
      <c r="Q640" s="14" t="s">
        <v>837</v>
      </c>
      <c r="R640" s="8" t="s">
        <v>2587</v>
      </c>
      <c r="S640" s="14" t="s">
        <v>2622</v>
      </c>
    </row>
    <row r="641">
      <c r="A641" s="8" t="s">
        <v>943</v>
      </c>
      <c r="B641" s="8" t="s">
        <v>1199</v>
      </c>
      <c r="C641" s="8" t="s">
        <v>80</v>
      </c>
      <c r="D641" s="18" t="s">
        <v>2605</v>
      </c>
      <c r="E641" s="16">
        <v>68.0</v>
      </c>
      <c r="F641" s="8" t="s">
        <v>1808</v>
      </c>
      <c r="G641" s="8" t="s">
        <v>2850</v>
      </c>
      <c r="H641" s="8" t="s">
        <v>93</v>
      </c>
      <c r="I641" s="18" t="s">
        <v>2558</v>
      </c>
      <c r="J641" s="16">
        <v>74.0</v>
      </c>
      <c r="K641" s="8" t="s">
        <v>2959</v>
      </c>
      <c r="L641" s="8" t="s">
        <v>767</v>
      </c>
      <c r="M641" s="18" t="s">
        <v>2645</v>
      </c>
      <c r="N641" s="16">
        <v>81.0</v>
      </c>
      <c r="O641" s="8" t="s">
        <v>4564</v>
      </c>
      <c r="P641" s="8" t="s">
        <v>93</v>
      </c>
      <c r="Q641" s="14" t="s">
        <v>2296</v>
      </c>
      <c r="R641" s="8" t="s">
        <v>2566</v>
      </c>
      <c r="S641" s="14" t="s">
        <v>2573</v>
      </c>
    </row>
    <row r="642">
      <c r="A642" s="8" t="s">
        <v>943</v>
      </c>
      <c r="B642" s="8" t="s">
        <v>3722</v>
      </c>
      <c r="C642" s="8" t="s">
        <v>59</v>
      </c>
      <c r="D642" s="18" t="s">
        <v>2554</v>
      </c>
      <c r="E642" s="16">
        <v>87.0</v>
      </c>
      <c r="F642" s="8" t="s">
        <v>2889</v>
      </c>
      <c r="G642" s="8" t="s">
        <v>2888</v>
      </c>
      <c r="H642" s="8" t="s">
        <v>122</v>
      </c>
      <c r="I642" s="18" t="s">
        <v>2592</v>
      </c>
      <c r="J642" s="16">
        <v>64.0</v>
      </c>
      <c r="K642" s="8" t="s">
        <v>964</v>
      </c>
      <c r="L642" s="8" t="s">
        <v>104</v>
      </c>
      <c r="M642" s="18" t="s">
        <v>2620</v>
      </c>
      <c r="N642" s="16">
        <v>71.0</v>
      </c>
      <c r="O642" s="8" t="s">
        <v>4565</v>
      </c>
      <c r="P642" s="8" t="s">
        <v>65</v>
      </c>
      <c r="Q642" s="14" t="s">
        <v>1070</v>
      </c>
      <c r="R642" s="8" t="s">
        <v>2562</v>
      </c>
      <c r="S642" s="14" t="s">
        <v>2568</v>
      </c>
    </row>
    <row r="643">
      <c r="A643" s="8" t="s">
        <v>3211</v>
      </c>
      <c r="B643" s="8" t="s">
        <v>2225</v>
      </c>
      <c r="C643" s="8" t="s">
        <v>65</v>
      </c>
      <c r="D643" s="18" t="s">
        <v>2572</v>
      </c>
      <c r="E643" s="16">
        <v>62.0</v>
      </c>
      <c r="F643" s="8" t="s">
        <v>1977</v>
      </c>
      <c r="G643" s="8" t="s">
        <v>1976</v>
      </c>
      <c r="H643" s="8" t="s">
        <v>215</v>
      </c>
      <c r="I643" s="18" t="s">
        <v>2584</v>
      </c>
      <c r="J643" s="16">
        <v>71.0</v>
      </c>
      <c r="K643" s="8" t="s">
        <v>1735</v>
      </c>
      <c r="L643" s="8" t="s">
        <v>308</v>
      </c>
      <c r="M643" s="18" t="s">
        <v>2183</v>
      </c>
      <c r="N643" s="16">
        <v>73.0</v>
      </c>
      <c r="O643" s="8" t="s">
        <v>4566</v>
      </c>
      <c r="P643" s="8" t="s">
        <v>65</v>
      </c>
      <c r="Q643" s="14" t="s">
        <v>837</v>
      </c>
      <c r="R643" s="8" t="s">
        <v>2562</v>
      </c>
      <c r="S643" s="14" t="s">
        <v>2635</v>
      </c>
    </row>
    <row r="644">
      <c r="A644" s="8" t="s">
        <v>943</v>
      </c>
      <c r="B644" s="8" t="s">
        <v>3056</v>
      </c>
      <c r="C644" s="8" t="s">
        <v>65</v>
      </c>
      <c r="D644" s="18" t="s">
        <v>2585</v>
      </c>
      <c r="E644" s="16">
        <v>64.0</v>
      </c>
      <c r="F644" s="8" t="s">
        <v>3400</v>
      </c>
      <c r="G644" s="8" t="s">
        <v>2221</v>
      </c>
      <c r="H644" s="8" t="s">
        <v>53</v>
      </c>
      <c r="I644" s="18" t="s">
        <v>2562</v>
      </c>
      <c r="J644" s="16">
        <v>64.0</v>
      </c>
      <c r="K644" s="8" t="s">
        <v>964</v>
      </c>
      <c r="L644" s="8" t="s">
        <v>524</v>
      </c>
      <c r="M644" s="18" t="s">
        <v>2614</v>
      </c>
      <c r="N644" s="16">
        <v>83.0</v>
      </c>
      <c r="O644" s="8" t="s">
        <v>4567</v>
      </c>
      <c r="P644" s="8" t="s">
        <v>80</v>
      </c>
      <c r="Q644" s="14" t="s">
        <v>1070</v>
      </c>
      <c r="R644" s="8" t="s">
        <v>2605</v>
      </c>
      <c r="S644" s="14" t="s">
        <v>2576</v>
      </c>
    </row>
    <row r="645">
      <c r="A645" s="8" t="s">
        <v>943</v>
      </c>
      <c r="B645" s="8" t="s">
        <v>1330</v>
      </c>
      <c r="C645" s="8" t="s">
        <v>70</v>
      </c>
      <c r="D645" s="18" t="s">
        <v>2556</v>
      </c>
      <c r="E645" s="16">
        <v>68.0</v>
      </c>
      <c r="F645" s="8" t="s">
        <v>4527</v>
      </c>
      <c r="G645" s="8" t="s">
        <v>937</v>
      </c>
      <c r="H645" s="8" t="s">
        <v>70</v>
      </c>
      <c r="I645" s="18" t="s">
        <v>2620</v>
      </c>
      <c r="J645" s="16">
        <v>68.0</v>
      </c>
      <c r="K645" s="8" t="s">
        <v>964</v>
      </c>
      <c r="L645" s="8" t="s">
        <v>2667</v>
      </c>
      <c r="M645" s="18" t="s">
        <v>2605</v>
      </c>
      <c r="N645" s="16">
        <v>63.0</v>
      </c>
      <c r="O645" s="8" t="s">
        <v>4568</v>
      </c>
      <c r="P645" s="8" t="s">
        <v>70</v>
      </c>
      <c r="Q645" s="14" t="s">
        <v>1070</v>
      </c>
      <c r="R645" s="18" t="s">
        <v>2556</v>
      </c>
      <c r="S645" s="14" t="s">
        <v>2602</v>
      </c>
    </row>
    <row r="646">
      <c r="A646" s="8" t="s">
        <v>1056</v>
      </c>
      <c r="B646" s="8" t="s">
        <v>1055</v>
      </c>
      <c r="C646" s="8" t="s">
        <v>65</v>
      </c>
      <c r="D646" s="18" t="s">
        <v>2585</v>
      </c>
      <c r="E646" s="16">
        <v>65.0</v>
      </c>
      <c r="F646" s="8" t="s">
        <v>4529</v>
      </c>
      <c r="G646" s="8" t="s">
        <v>62</v>
      </c>
      <c r="H646" s="8" t="s">
        <v>65</v>
      </c>
      <c r="I646" s="18" t="s">
        <v>2183</v>
      </c>
      <c r="J646" s="16">
        <v>69.0</v>
      </c>
      <c r="K646" s="8" t="s">
        <v>363</v>
      </c>
      <c r="L646" s="8" t="s">
        <v>61</v>
      </c>
      <c r="M646" s="18" t="s">
        <v>2595</v>
      </c>
      <c r="N646" s="16">
        <v>84.0</v>
      </c>
      <c r="O646" s="8" t="s">
        <v>4569</v>
      </c>
      <c r="P646" s="8" t="s">
        <v>65</v>
      </c>
      <c r="Q646" s="14" t="s">
        <v>837</v>
      </c>
      <c r="R646" s="8" t="s">
        <v>2574</v>
      </c>
      <c r="S646" s="14" t="s">
        <v>2555</v>
      </c>
    </row>
    <row r="647">
      <c r="A647" s="8" t="s">
        <v>1192</v>
      </c>
      <c r="B647" s="8" t="s">
        <v>1183</v>
      </c>
      <c r="C647" s="8" t="s">
        <v>80</v>
      </c>
      <c r="D647" s="18" t="s">
        <v>2582</v>
      </c>
      <c r="E647" s="16">
        <v>82.0</v>
      </c>
      <c r="F647" s="8" t="s">
        <v>4531</v>
      </c>
      <c r="G647" s="8" t="s">
        <v>185</v>
      </c>
      <c r="H647" s="8" t="s">
        <v>149</v>
      </c>
      <c r="I647" s="18" t="s">
        <v>2575</v>
      </c>
      <c r="J647" s="16">
        <v>67.0</v>
      </c>
      <c r="K647" s="8" t="s">
        <v>327</v>
      </c>
      <c r="L647" s="8" t="s">
        <v>62</v>
      </c>
      <c r="M647" s="18" t="s">
        <v>2620</v>
      </c>
      <c r="N647" s="16">
        <v>83.0</v>
      </c>
      <c r="O647" s="8" t="s">
        <v>4570</v>
      </c>
      <c r="P647" s="8" t="s">
        <v>93</v>
      </c>
      <c r="Q647" s="14" t="s">
        <v>1352</v>
      </c>
      <c r="R647" s="8" t="s">
        <v>2562</v>
      </c>
      <c r="S647" s="14" t="s">
        <v>2594</v>
      </c>
    </row>
    <row r="648">
      <c r="A648" s="8" t="s">
        <v>1192</v>
      </c>
      <c r="B648" s="8" t="s">
        <v>188</v>
      </c>
      <c r="C648" s="8" t="s">
        <v>215</v>
      </c>
      <c r="D648" s="18" t="s">
        <v>2603</v>
      </c>
      <c r="E648" s="16">
        <v>64.0</v>
      </c>
      <c r="F648" s="8" t="s">
        <v>4533</v>
      </c>
      <c r="G648" s="8" t="s">
        <v>1081</v>
      </c>
      <c r="H648" s="8" t="s">
        <v>93</v>
      </c>
      <c r="I648" s="18" t="s">
        <v>2183</v>
      </c>
      <c r="J648" s="16">
        <v>64.0</v>
      </c>
      <c r="K648" s="8" t="s">
        <v>2813</v>
      </c>
      <c r="L648" s="8" t="s">
        <v>1174</v>
      </c>
      <c r="M648" s="18" t="s">
        <v>2558</v>
      </c>
      <c r="N648" s="16">
        <v>68.0</v>
      </c>
      <c r="O648" s="8" t="s">
        <v>4571</v>
      </c>
      <c r="P648" s="8" t="s">
        <v>215</v>
      </c>
      <c r="Q648" s="14" t="s">
        <v>1352</v>
      </c>
      <c r="R648" s="8" t="s">
        <v>2600</v>
      </c>
      <c r="S648" s="14" t="s">
        <v>2565</v>
      </c>
    </row>
    <row r="649">
      <c r="A649" s="8" t="s">
        <v>1192</v>
      </c>
      <c r="B649" s="8" t="s">
        <v>78</v>
      </c>
      <c r="C649" s="8" t="s">
        <v>70</v>
      </c>
      <c r="D649" s="18" t="s">
        <v>2577</v>
      </c>
      <c r="E649" s="16">
        <v>81.0</v>
      </c>
      <c r="F649" s="8" t="s">
        <v>4533</v>
      </c>
      <c r="G649" s="8" t="s">
        <v>89</v>
      </c>
      <c r="H649" s="8" t="s">
        <v>93</v>
      </c>
      <c r="I649" s="18" t="s">
        <v>2595</v>
      </c>
      <c r="J649" s="16">
        <v>63.0</v>
      </c>
      <c r="K649" s="8" t="s">
        <v>1418</v>
      </c>
      <c r="L649" s="8" t="s">
        <v>145</v>
      </c>
      <c r="M649" s="18" t="s">
        <v>2574</v>
      </c>
      <c r="N649" s="16">
        <v>64.0</v>
      </c>
      <c r="O649" s="8" t="s">
        <v>4572</v>
      </c>
      <c r="P649" s="8" t="s">
        <v>93</v>
      </c>
      <c r="Q649" s="14" t="s">
        <v>1352</v>
      </c>
      <c r="R649" s="18" t="s">
        <v>2589</v>
      </c>
      <c r="S649" s="14" t="s">
        <v>2609</v>
      </c>
    </row>
    <row r="650">
      <c r="A650" s="8" t="s">
        <v>684</v>
      </c>
      <c r="B650" s="8" t="s">
        <v>683</v>
      </c>
      <c r="C650" s="8" t="s">
        <v>59</v>
      </c>
      <c r="D650" s="18" t="s">
        <v>2183</v>
      </c>
      <c r="E650" s="16">
        <v>73.0</v>
      </c>
      <c r="F650" s="8" t="s">
        <v>4535</v>
      </c>
      <c r="G650" s="8" t="s">
        <v>99</v>
      </c>
      <c r="H650" s="8" t="s">
        <v>70</v>
      </c>
      <c r="I650" s="18" t="s">
        <v>2581</v>
      </c>
      <c r="J650" s="16">
        <v>65.0</v>
      </c>
      <c r="K650" s="8" t="s">
        <v>708</v>
      </c>
      <c r="L650" s="8" t="s">
        <v>3014</v>
      </c>
      <c r="M650" s="18" t="s">
        <v>2582</v>
      </c>
      <c r="N650" s="16">
        <v>68.0</v>
      </c>
      <c r="O650" s="8" t="s">
        <v>4573</v>
      </c>
      <c r="P650" s="8" t="s">
        <v>65</v>
      </c>
      <c r="Q650" s="14" t="s">
        <v>1352</v>
      </c>
      <c r="R650" s="8" t="s">
        <v>2584</v>
      </c>
      <c r="S650" s="14" t="s">
        <v>2608</v>
      </c>
    </row>
    <row r="651">
      <c r="A651" s="8" t="s">
        <v>684</v>
      </c>
      <c r="B651" s="8" t="s">
        <v>3769</v>
      </c>
      <c r="C651" s="8" t="s">
        <v>93</v>
      </c>
      <c r="D651" s="18" t="s">
        <v>2560</v>
      </c>
      <c r="E651" s="16">
        <v>71.0</v>
      </c>
      <c r="F651" s="8" t="s">
        <v>4537</v>
      </c>
      <c r="G651" s="8" t="s">
        <v>142</v>
      </c>
      <c r="H651" s="8" t="s">
        <v>59</v>
      </c>
      <c r="I651" s="18" t="s">
        <v>2598</v>
      </c>
      <c r="J651" s="16">
        <v>73.0</v>
      </c>
      <c r="K651" s="8" t="s">
        <v>708</v>
      </c>
      <c r="L651" s="8" t="s">
        <v>89</v>
      </c>
      <c r="M651" s="18" t="s">
        <v>2183</v>
      </c>
      <c r="N651" s="16">
        <v>72.0</v>
      </c>
      <c r="O651" s="8" t="s">
        <v>4574</v>
      </c>
      <c r="P651" s="8" t="s">
        <v>138</v>
      </c>
      <c r="Q651" s="14" t="s">
        <v>631</v>
      </c>
      <c r="R651" s="8" t="s">
        <v>2585</v>
      </c>
      <c r="S651" s="14" t="s">
        <v>2611</v>
      </c>
    </row>
    <row r="652">
      <c r="A652" s="8" t="s">
        <v>1389</v>
      </c>
      <c r="B652" s="8" t="s">
        <v>1388</v>
      </c>
      <c r="C652" s="8" t="s">
        <v>215</v>
      </c>
      <c r="D652" s="18" t="s">
        <v>2585</v>
      </c>
      <c r="E652" s="16">
        <v>78.0</v>
      </c>
      <c r="F652" s="8" t="s">
        <v>974</v>
      </c>
      <c r="G652" s="8" t="s">
        <v>1517</v>
      </c>
      <c r="H652" s="8" t="s">
        <v>138</v>
      </c>
      <c r="I652" s="18" t="s">
        <v>2558</v>
      </c>
      <c r="J652" s="16">
        <v>67.0</v>
      </c>
      <c r="K652" s="8" t="s">
        <v>2854</v>
      </c>
      <c r="L652" s="8" t="s">
        <v>944</v>
      </c>
      <c r="M652" s="18" t="s">
        <v>2621</v>
      </c>
      <c r="N652" s="16">
        <v>63.0</v>
      </c>
      <c r="O652" s="8" t="s">
        <v>4575</v>
      </c>
      <c r="P652" s="8" t="s">
        <v>65</v>
      </c>
      <c r="Q652" s="14" t="s">
        <v>2033</v>
      </c>
      <c r="R652" s="8" t="s">
        <v>2585</v>
      </c>
      <c r="S652" s="14" t="s">
        <v>2573</v>
      </c>
    </row>
    <row r="653">
      <c r="A653" s="8" t="s">
        <v>1854</v>
      </c>
      <c r="B653" s="8" t="s">
        <v>284</v>
      </c>
      <c r="C653" s="8" t="s">
        <v>186</v>
      </c>
      <c r="D653" s="18" t="s">
        <v>2598</v>
      </c>
      <c r="E653" s="16">
        <v>71.0</v>
      </c>
      <c r="F653" s="8" t="s">
        <v>974</v>
      </c>
      <c r="G653" s="8" t="s">
        <v>973</v>
      </c>
      <c r="H653" s="8" t="s">
        <v>192</v>
      </c>
      <c r="I653" s="18" t="s">
        <v>2574</v>
      </c>
      <c r="J653" s="16">
        <v>65.0</v>
      </c>
      <c r="K653" s="8" t="s">
        <v>467</v>
      </c>
      <c r="L653" s="8" t="s">
        <v>466</v>
      </c>
      <c r="M653" s="18" t="s">
        <v>2567</v>
      </c>
      <c r="N653" s="16">
        <v>73.0</v>
      </c>
      <c r="O653" s="8" t="s">
        <v>4576</v>
      </c>
      <c r="P653" s="8" t="s">
        <v>122</v>
      </c>
      <c r="Q653" s="14" t="s">
        <v>1352</v>
      </c>
      <c r="R653" s="8" t="s">
        <v>2585</v>
      </c>
      <c r="S653" s="14" t="s">
        <v>2604</v>
      </c>
    </row>
    <row r="654">
      <c r="A654" s="8" t="s">
        <v>4555</v>
      </c>
      <c r="B654" s="8" t="s">
        <v>1183</v>
      </c>
      <c r="C654" s="8" t="s">
        <v>93</v>
      </c>
      <c r="D654" s="18" t="s">
        <v>2605</v>
      </c>
      <c r="E654" s="16">
        <v>64.0</v>
      </c>
      <c r="F654" s="8" t="s">
        <v>943</v>
      </c>
      <c r="G654" s="8" t="s">
        <v>3056</v>
      </c>
      <c r="H654" s="8" t="s">
        <v>65</v>
      </c>
      <c r="I654" s="18" t="s">
        <v>2585</v>
      </c>
      <c r="J654" s="16">
        <v>65.0</v>
      </c>
      <c r="K654" s="8" t="s">
        <v>562</v>
      </c>
      <c r="L654" s="8" t="s">
        <v>561</v>
      </c>
      <c r="M654" s="18" t="s">
        <v>2621</v>
      </c>
      <c r="N654" s="16">
        <v>70.0</v>
      </c>
      <c r="O654" s="8" t="s">
        <v>4577</v>
      </c>
      <c r="P654" s="8" t="s">
        <v>186</v>
      </c>
      <c r="Q654" s="14" t="s">
        <v>1679</v>
      </c>
      <c r="R654" s="8" t="s">
        <v>2598</v>
      </c>
      <c r="S654" s="14" t="s">
        <v>2561</v>
      </c>
    </row>
    <row r="655">
      <c r="A655" s="8" t="s">
        <v>2955</v>
      </c>
      <c r="B655" s="8" t="s">
        <v>2954</v>
      </c>
      <c r="C655" s="8" t="s">
        <v>53</v>
      </c>
      <c r="D655" s="18" t="s">
        <v>2621</v>
      </c>
      <c r="E655" s="16">
        <v>63.0</v>
      </c>
      <c r="F655" s="8" t="s">
        <v>943</v>
      </c>
      <c r="G655" s="8" t="s">
        <v>897</v>
      </c>
      <c r="H655" s="8" t="s">
        <v>93</v>
      </c>
      <c r="I655" s="18" t="s">
        <v>2603</v>
      </c>
      <c r="J655" s="16">
        <v>64.0</v>
      </c>
      <c r="K655" s="8" t="s">
        <v>1285</v>
      </c>
      <c r="L655" s="8" t="s">
        <v>3015</v>
      </c>
      <c r="M655" s="18" t="s">
        <v>2615</v>
      </c>
      <c r="N655" s="16">
        <v>63.0</v>
      </c>
      <c r="O655" s="8" t="s">
        <v>4578</v>
      </c>
      <c r="P655" s="8" t="s">
        <v>192</v>
      </c>
      <c r="Q655" s="14" t="s">
        <v>1352</v>
      </c>
      <c r="R655" s="8" t="s">
        <v>2564</v>
      </c>
      <c r="S655" s="14" t="s">
        <v>2594</v>
      </c>
    </row>
    <row r="656">
      <c r="A656" s="8" t="s">
        <v>3386</v>
      </c>
      <c r="B656" s="8" t="s">
        <v>3385</v>
      </c>
      <c r="C656" s="8" t="s">
        <v>93</v>
      </c>
      <c r="D656" s="18" t="s">
        <v>2614</v>
      </c>
      <c r="E656" s="16">
        <v>66.0</v>
      </c>
      <c r="F656" s="8" t="s">
        <v>943</v>
      </c>
      <c r="G656" s="8" t="s">
        <v>1199</v>
      </c>
      <c r="H656" s="8" t="s">
        <v>80</v>
      </c>
      <c r="I656" s="18" t="s">
        <v>2605</v>
      </c>
      <c r="J656" s="16">
        <v>66.0</v>
      </c>
      <c r="K656" s="8" t="s">
        <v>1285</v>
      </c>
      <c r="L656" s="8" t="s">
        <v>1284</v>
      </c>
      <c r="M656" s="18" t="s">
        <v>2572</v>
      </c>
      <c r="N656" s="16">
        <v>79.0</v>
      </c>
      <c r="O656" s="8" t="s">
        <v>4579</v>
      </c>
      <c r="P656" s="8" t="s">
        <v>80</v>
      </c>
      <c r="Q656" s="14" t="s">
        <v>2296</v>
      </c>
      <c r="R656" s="18" t="s">
        <v>2589</v>
      </c>
      <c r="S656" s="14" t="s">
        <v>2557</v>
      </c>
    </row>
    <row r="657">
      <c r="A657" s="8" t="s">
        <v>330</v>
      </c>
      <c r="B657" s="8" t="s">
        <v>34</v>
      </c>
      <c r="C657" s="8" t="s">
        <v>186</v>
      </c>
      <c r="D657" s="18" t="s">
        <v>2620</v>
      </c>
      <c r="E657" s="16">
        <v>63.0</v>
      </c>
      <c r="F657" s="8" t="s">
        <v>943</v>
      </c>
      <c r="G657" s="8" t="s">
        <v>1330</v>
      </c>
      <c r="H657" s="8" t="s">
        <v>70</v>
      </c>
      <c r="I657" s="18" t="s">
        <v>2556</v>
      </c>
      <c r="J657" s="16">
        <v>74.0</v>
      </c>
      <c r="K657" s="8" t="s">
        <v>1285</v>
      </c>
      <c r="L657" s="8" t="s">
        <v>389</v>
      </c>
      <c r="M657" s="18" t="s">
        <v>2645</v>
      </c>
      <c r="N657" s="16">
        <v>68.0</v>
      </c>
      <c r="O657" s="8" t="s">
        <v>4580</v>
      </c>
      <c r="P657" s="8" t="s">
        <v>59</v>
      </c>
      <c r="Q657" s="14" t="s">
        <v>237</v>
      </c>
      <c r="R657" s="8" t="s">
        <v>2620</v>
      </c>
      <c r="S657" s="14" t="s">
        <v>2557</v>
      </c>
    </row>
    <row r="658">
      <c r="A658" s="8" t="s">
        <v>105</v>
      </c>
      <c r="B658" s="8" t="s">
        <v>104</v>
      </c>
      <c r="C658" s="8" t="s">
        <v>24</v>
      </c>
      <c r="D658" s="18" t="s">
        <v>2621</v>
      </c>
      <c r="E658" s="16">
        <v>93.0</v>
      </c>
      <c r="F658" s="8" t="s">
        <v>943</v>
      </c>
      <c r="G658" s="8" t="s">
        <v>715</v>
      </c>
      <c r="H658" s="8" t="s">
        <v>65</v>
      </c>
      <c r="I658" s="18" t="s">
        <v>2562</v>
      </c>
      <c r="J658" s="16">
        <v>91.0</v>
      </c>
      <c r="K658" s="8" t="s">
        <v>1285</v>
      </c>
      <c r="L658" s="8" t="s">
        <v>825</v>
      </c>
      <c r="M658" s="18" t="s">
        <v>2615</v>
      </c>
      <c r="N658" s="16">
        <v>79.0</v>
      </c>
      <c r="O658" s="8" t="s">
        <v>4581</v>
      </c>
      <c r="P658" s="8" t="s">
        <v>24</v>
      </c>
      <c r="Q658" s="14" t="s">
        <v>83</v>
      </c>
      <c r="R658" s="8" t="s">
        <v>2621</v>
      </c>
      <c r="S658" s="14" t="s">
        <v>2559</v>
      </c>
    </row>
    <row r="659">
      <c r="A659" s="8" t="s">
        <v>2702</v>
      </c>
      <c r="B659" s="8" t="s">
        <v>2701</v>
      </c>
      <c r="C659" s="8" t="s">
        <v>93</v>
      </c>
      <c r="D659" s="18" t="s">
        <v>2595</v>
      </c>
      <c r="E659" s="16">
        <v>82.0</v>
      </c>
      <c r="F659" s="8" t="s">
        <v>3211</v>
      </c>
      <c r="G659" s="8" t="s">
        <v>877</v>
      </c>
      <c r="H659" s="8" t="s">
        <v>122</v>
      </c>
      <c r="I659" s="18" t="s">
        <v>2587</v>
      </c>
      <c r="J659" s="16">
        <v>65.0</v>
      </c>
      <c r="K659" s="8" t="s">
        <v>697</v>
      </c>
      <c r="L659" s="8" t="s">
        <v>696</v>
      </c>
      <c r="M659" s="18" t="s">
        <v>2567</v>
      </c>
      <c r="N659" s="16">
        <v>74.0</v>
      </c>
      <c r="O659" s="8" t="s">
        <v>4582</v>
      </c>
      <c r="P659" s="8" t="s">
        <v>80</v>
      </c>
      <c r="Q659" s="14" t="s">
        <v>2033</v>
      </c>
      <c r="R659" s="8" t="s">
        <v>2603</v>
      </c>
      <c r="S659" s="14" t="s">
        <v>2568</v>
      </c>
    </row>
    <row r="660">
      <c r="A660" s="8" t="s">
        <v>148</v>
      </c>
      <c r="B660" s="8" t="s">
        <v>147</v>
      </c>
      <c r="C660" s="8" t="s">
        <v>149</v>
      </c>
      <c r="D660" s="18" t="s">
        <v>2592</v>
      </c>
      <c r="E660" s="16">
        <v>78.0</v>
      </c>
      <c r="F660" s="8" t="s">
        <v>1192</v>
      </c>
      <c r="G660" s="8" t="s">
        <v>1183</v>
      </c>
      <c r="H660" s="8" t="s">
        <v>80</v>
      </c>
      <c r="I660" s="18" t="s">
        <v>2582</v>
      </c>
      <c r="J660" s="16">
        <v>79.0</v>
      </c>
      <c r="K660" s="8" t="s">
        <v>569</v>
      </c>
      <c r="L660" s="8" t="s">
        <v>568</v>
      </c>
      <c r="M660" s="18" t="s">
        <v>2587</v>
      </c>
      <c r="N660" s="16">
        <v>74.0</v>
      </c>
      <c r="O660" s="8" t="s">
        <v>4583</v>
      </c>
      <c r="P660" s="8" t="s">
        <v>149</v>
      </c>
      <c r="Q660" s="14" t="s">
        <v>135</v>
      </c>
      <c r="R660" s="8" t="s">
        <v>2592</v>
      </c>
      <c r="S660" s="14" t="s">
        <v>2613</v>
      </c>
    </row>
    <row r="661">
      <c r="A661" s="8" t="s">
        <v>2959</v>
      </c>
      <c r="B661" s="8" t="s">
        <v>767</v>
      </c>
      <c r="C661" s="8" t="s">
        <v>70</v>
      </c>
      <c r="D661" s="18" t="s">
        <v>2621</v>
      </c>
      <c r="E661" s="16">
        <v>83.0</v>
      </c>
      <c r="F661" s="8" t="s">
        <v>1192</v>
      </c>
      <c r="G661" s="8" t="s">
        <v>106</v>
      </c>
      <c r="H661" s="8" t="s">
        <v>122</v>
      </c>
      <c r="I661" s="18" t="s">
        <v>2621</v>
      </c>
      <c r="J661" s="16">
        <v>66.0</v>
      </c>
      <c r="K661" s="8" t="s">
        <v>569</v>
      </c>
      <c r="L661" s="8" t="s">
        <v>601</v>
      </c>
      <c r="M661" s="18" t="s">
        <v>2560</v>
      </c>
      <c r="N661" s="16">
        <v>69.0</v>
      </c>
      <c r="O661" s="8" t="s">
        <v>4584</v>
      </c>
      <c r="P661" s="8" t="s">
        <v>122</v>
      </c>
      <c r="Q661" s="14" t="s">
        <v>1679</v>
      </c>
      <c r="R661" s="8" t="s">
        <v>2603</v>
      </c>
      <c r="S661" s="14" t="s">
        <v>2579</v>
      </c>
    </row>
    <row r="662">
      <c r="A662" s="8" t="s">
        <v>1735</v>
      </c>
      <c r="B662" s="8" t="s">
        <v>2667</v>
      </c>
      <c r="C662" s="8" t="s">
        <v>65</v>
      </c>
      <c r="D662" s="18" t="s">
        <v>2577</v>
      </c>
      <c r="E662" s="16">
        <v>62.0</v>
      </c>
      <c r="F662" s="8" t="s">
        <v>1192</v>
      </c>
      <c r="G662" s="8" t="s">
        <v>3149</v>
      </c>
      <c r="H662" s="8" t="s">
        <v>65</v>
      </c>
      <c r="I662" s="18" t="s">
        <v>2558</v>
      </c>
      <c r="J662" s="16">
        <v>66.0</v>
      </c>
      <c r="K662" s="8" t="s">
        <v>569</v>
      </c>
      <c r="L662" s="8" t="s">
        <v>956</v>
      </c>
      <c r="M662" s="18" t="s">
        <v>2584</v>
      </c>
      <c r="N662" s="16">
        <v>71.0</v>
      </c>
      <c r="O662" s="8" t="s">
        <v>4585</v>
      </c>
      <c r="P662" s="8" t="s">
        <v>138</v>
      </c>
      <c r="Q662" s="14" t="s">
        <v>837</v>
      </c>
      <c r="R662" s="8" t="s">
        <v>2614</v>
      </c>
      <c r="S662" s="14" t="s">
        <v>2596</v>
      </c>
    </row>
    <row r="663">
      <c r="A663" s="8" t="s">
        <v>964</v>
      </c>
      <c r="B663" s="8" t="s">
        <v>524</v>
      </c>
      <c r="C663" s="8" t="s">
        <v>138</v>
      </c>
      <c r="D663" s="18" t="s">
        <v>2614</v>
      </c>
      <c r="E663" s="16">
        <v>81.0</v>
      </c>
      <c r="F663" s="8" t="s">
        <v>1672</v>
      </c>
      <c r="G663" s="8" t="s">
        <v>3144</v>
      </c>
      <c r="H663" s="8" t="s">
        <v>215</v>
      </c>
      <c r="I663" s="18" t="s">
        <v>2600</v>
      </c>
      <c r="J663" s="16">
        <v>69.0</v>
      </c>
      <c r="K663" s="8" t="s">
        <v>569</v>
      </c>
      <c r="L663" s="8" t="s">
        <v>190</v>
      </c>
      <c r="M663" s="18" t="s">
        <v>2605</v>
      </c>
      <c r="N663" s="16">
        <v>64.0</v>
      </c>
      <c r="O663" s="8" t="s">
        <v>4586</v>
      </c>
      <c r="P663" s="8" t="s">
        <v>65</v>
      </c>
      <c r="Q663" s="14" t="s">
        <v>1679</v>
      </c>
      <c r="R663" s="8" t="s">
        <v>2183</v>
      </c>
      <c r="S663" s="14" t="s">
        <v>2553</v>
      </c>
    </row>
    <row r="664">
      <c r="A664" s="8" t="s">
        <v>1735</v>
      </c>
      <c r="B664" s="8" t="s">
        <v>308</v>
      </c>
      <c r="C664" s="8" t="s">
        <v>65</v>
      </c>
      <c r="D664" s="18" t="s">
        <v>2183</v>
      </c>
      <c r="E664" s="16">
        <v>65.0</v>
      </c>
      <c r="F664" s="8" t="s">
        <v>1662</v>
      </c>
      <c r="G664" s="8" t="s">
        <v>1661</v>
      </c>
      <c r="H664" s="8" t="s">
        <v>65</v>
      </c>
      <c r="I664" s="18" t="s">
        <v>2584</v>
      </c>
      <c r="J664" s="16">
        <v>75.0</v>
      </c>
      <c r="K664" s="8" t="s">
        <v>569</v>
      </c>
      <c r="L664" s="8" t="s">
        <v>2067</v>
      </c>
      <c r="M664" s="18" t="s">
        <v>2567</v>
      </c>
      <c r="N664" s="16">
        <v>71.0</v>
      </c>
      <c r="O664" s="8" t="s">
        <v>4587</v>
      </c>
      <c r="P664" s="8" t="s">
        <v>215</v>
      </c>
      <c r="Q664" s="14" t="s">
        <v>1679</v>
      </c>
      <c r="R664" s="8" t="s">
        <v>2620</v>
      </c>
      <c r="S664" s="14" t="s">
        <v>2622</v>
      </c>
    </row>
    <row r="665">
      <c r="A665" s="8" t="s">
        <v>964</v>
      </c>
      <c r="B665" s="8" t="s">
        <v>3877</v>
      </c>
      <c r="C665" s="8" t="s">
        <v>93</v>
      </c>
      <c r="D665" s="18" t="s">
        <v>2598</v>
      </c>
      <c r="E665" s="16">
        <v>67.0</v>
      </c>
      <c r="F665" s="8" t="s">
        <v>684</v>
      </c>
      <c r="G665" s="8" t="s">
        <v>683</v>
      </c>
      <c r="H665" s="8" t="s">
        <v>59</v>
      </c>
      <c r="I665" s="18" t="s">
        <v>2183</v>
      </c>
      <c r="J665" s="16">
        <v>78.0</v>
      </c>
      <c r="K665" s="8" t="s">
        <v>863</v>
      </c>
      <c r="L665" s="8" t="s">
        <v>862</v>
      </c>
      <c r="M665" s="18" t="s">
        <v>2589</v>
      </c>
      <c r="N665" s="16">
        <v>74.0</v>
      </c>
      <c r="O665" s="8" t="s">
        <v>4588</v>
      </c>
      <c r="P665" s="8" t="s">
        <v>59</v>
      </c>
      <c r="Q665" s="14" t="s">
        <v>338</v>
      </c>
      <c r="R665" s="8" t="s">
        <v>2595</v>
      </c>
      <c r="S665" s="14" t="s">
        <v>2625</v>
      </c>
    </row>
    <row r="666">
      <c r="A666" s="8" t="s">
        <v>964</v>
      </c>
      <c r="B666" s="8" t="s">
        <v>1049</v>
      </c>
      <c r="C666" s="8" t="s">
        <v>59</v>
      </c>
      <c r="D666" s="18" t="s">
        <v>2620</v>
      </c>
      <c r="E666" s="16">
        <v>86.0</v>
      </c>
      <c r="F666" s="8" t="s">
        <v>684</v>
      </c>
      <c r="G666" s="8" t="s">
        <v>3115</v>
      </c>
      <c r="H666" s="8" t="s">
        <v>93</v>
      </c>
      <c r="I666" s="18" t="s">
        <v>2562</v>
      </c>
      <c r="J666" s="16">
        <v>62.0</v>
      </c>
      <c r="K666" s="8" t="s">
        <v>445</v>
      </c>
      <c r="L666" s="8" t="s">
        <v>444</v>
      </c>
      <c r="M666" s="18" t="s">
        <v>2614</v>
      </c>
      <c r="N666" s="16">
        <v>74.0</v>
      </c>
      <c r="O666" s="8" t="s">
        <v>4589</v>
      </c>
      <c r="P666" s="8" t="s">
        <v>65</v>
      </c>
      <c r="Q666" s="14" t="s">
        <v>237</v>
      </c>
      <c r="R666" s="8" t="s">
        <v>2600</v>
      </c>
      <c r="S666" s="14" t="s">
        <v>2588</v>
      </c>
    </row>
    <row r="667">
      <c r="A667" s="8" t="s">
        <v>363</v>
      </c>
      <c r="B667" s="8" t="s">
        <v>61</v>
      </c>
      <c r="C667" s="8" t="s">
        <v>186</v>
      </c>
      <c r="D667" s="18" t="s">
        <v>2615</v>
      </c>
      <c r="E667" s="16">
        <v>76.0</v>
      </c>
      <c r="F667" s="8" t="s">
        <v>1389</v>
      </c>
      <c r="G667" s="8" t="s">
        <v>1388</v>
      </c>
      <c r="H667" s="8" t="s">
        <v>138</v>
      </c>
      <c r="I667" s="18" t="s">
        <v>2585</v>
      </c>
      <c r="J667" s="16">
        <v>79.0</v>
      </c>
      <c r="K667" s="8" t="s">
        <v>493</v>
      </c>
      <c r="L667" s="8" t="s">
        <v>144</v>
      </c>
      <c r="M667" s="18" t="s">
        <v>2556</v>
      </c>
      <c r="N667" s="16">
        <v>82.0</v>
      </c>
      <c r="O667" s="8" t="s">
        <v>4590</v>
      </c>
      <c r="P667" s="8" t="s">
        <v>192</v>
      </c>
      <c r="Q667" s="14" t="s">
        <v>1352</v>
      </c>
      <c r="R667" s="8" t="s">
        <v>2610</v>
      </c>
      <c r="S667" s="14" t="s">
        <v>2555</v>
      </c>
    </row>
    <row r="668">
      <c r="A668" s="8" t="s">
        <v>327</v>
      </c>
      <c r="B668" s="8" t="s">
        <v>62</v>
      </c>
      <c r="C668" s="8" t="s">
        <v>65</v>
      </c>
      <c r="D668" s="18" t="s">
        <v>2620</v>
      </c>
      <c r="E668" s="16">
        <v>87.0</v>
      </c>
      <c r="F668" s="8" t="s">
        <v>1854</v>
      </c>
      <c r="G668" s="8" t="s">
        <v>284</v>
      </c>
      <c r="H668" s="8" t="s">
        <v>186</v>
      </c>
      <c r="I668" s="18" t="s">
        <v>2598</v>
      </c>
      <c r="J668" s="16">
        <v>81.0</v>
      </c>
      <c r="K668" s="8" t="s">
        <v>493</v>
      </c>
      <c r="L668" s="8" t="s">
        <v>492</v>
      </c>
      <c r="M668" s="18" t="s">
        <v>2556</v>
      </c>
      <c r="N668" s="16">
        <v>69.0</v>
      </c>
      <c r="O668" s="8" t="s">
        <v>4591</v>
      </c>
      <c r="P668" s="8" t="s">
        <v>24</v>
      </c>
      <c r="Q668" s="14" t="s">
        <v>631</v>
      </c>
      <c r="R668" s="8" t="s">
        <v>2615</v>
      </c>
      <c r="S668" s="14" t="s">
        <v>2590</v>
      </c>
    </row>
    <row r="669">
      <c r="A669" s="8" t="s">
        <v>2813</v>
      </c>
      <c r="B669" s="8" t="s">
        <v>1174</v>
      </c>
      <c r="C669" s="8" t="s">
        <v>93</v>
      </c>
      <c r="D669" s="18" t="s">
        <v>2558</v>
      </c>
      <c r="E669" s="16">
        <v>68.0</v>
      </c>
      <c r="F669" s="8" t="s">
        <v>4555</v>
      </c>
      <c r="G669" s="8" t="s">
        <v>1183</v>
      </c>
      <c r="H669" s="8" t="s">
        <v>93</v>
      </c>
      <c r="I669" s="18" t="s">
        <v>2605</v>
      </c>
      <c r="J669" s="16">
        <v>65.0</v>
      </c>
      <c r="K669" s="8" t="s">
        <v>493</v>
      </c>
      <c r="L669" s="8" t="s">
        <v>448</v>
      </c>
      <c r="M669" s="18" t="s">
        <v>2572</v>
      </c>
      <c r="N669" s="16">
        <v>69.0</v>
      </c>
      <c r="O669" s="8" t="s">
        <v>4592</v>
      </c>
      <c r="P669" s="8" t="s">
        <v>53</v>
      </c>
      <c r="Q669" s="14" t="s">
        <v>2033</v>
      </c>
      <c r="R669" s="8" t="s">
        <v>2592</v>
      </c>
      <c r="S669" s="14" t="s">
        <v>2570</v>
      </c>
    </row>
    <row r="670">
      <c r="A670" s="8" t="s">
        <v>3523</v>
      </c>
      <c r="B670" s="8" t="s">
        <v>636</v>
      </c>
      <c r="C670" s="8" t="s">
        <v>215</v>
      </c>
      <c r="D670" s="18" t="s">
        <v>2558</v>
      </c>
      <c r="E670" s="16">
        <v>57.0</v>
      </c>
      <c r="F670" s="8" t="s">
        <v>2955</v>
      </c>
      <c r="G670" s="8" t="s">
        <v>2954</v>
      </c>
      <c r="H670" s="8" t="s">
        <v>53</v>
      </c>
      <c r="I670" s="18" t="s">
        <v>2567</v>
      </c>
      <c r="J670" s="16">
        <v>63.0</v>
      </c>
      <c r="K670" s="8" t="s">
        <v>493</v>
      </c>
      <c r="L670" s="8" t="s">
        <v>47</v>
      </c>
      <c r="M670" s="18" t="s">
        <v>2600</v>
      </c>
      <c r="N670" s="16">
        <v>74.0</v>
      </c>
      <c r="O670" s="8" t="s">
        <v>4593</v>
      </c>
      <c r="P670" s="8" t="s">
        <v>122</v>
      </c>
      <c r="Q670" s="14" t="s">
        <v>459</v>
      </c>
      <c r="R670" s="8" t="s">
        <v>2567</v>
      </c>
      <c r="S670" s="14" t="s">
        <v>2571</v>
      </c>
    </row>
    <row r="671">
      <c r="A671" s="8" t="s">
        <v>708</v>
      </c>
      <c r="B671" s="8" t="s">
        <v>89</v>
      </c>
      <c r="C671" s="8" t="s">
        <v>24</v>
      </c>
      <c r="D671" s="18" t="s">
        <v>2183</v>
      </c>
      <c r="E671" s="16">
        <v>66.0</v>
      </c>
      <c r="F671" s="8" t="s">
        <v>3386</v>
      </c>
      <c r="G671" s="8" t="s">
        <v>3385</v>
      </c>
      <c r="H671" s="8" t="s">
        <v>93</v>
      </c>
      <c r="I671" s="18" t="s">
        <v>2598</v>
      </c>
      <c r="J671" s="16">
        <v>66.0</v>
      </c>
      <c r="K671" s="8" t="s">
        <v>493</v>
      </c>
      <c r="L671" s="8" t="s">
        <v>622</v>
      </c>
      <c r="M671" s="18" t="s">
        <v>2620</v>
      </c>
      <c r="N671" s="16">
        <v>76.0</v>
      </c>
      <c r="O671" s="8" t="s">
        <v>4594</v>
      </c>
      <c r="P671" s="8" t="s">
        <v>149</v>
      </c>
      <c r="Q671" s="14" t="s">
        <v>2296</v>
      </c>
      <c r="R671" s="8" t="s">
        <v>2574</v>
      </c>
      <c r="S671" s="14" t="s">
        <v>2580</v>
      </c>
    </row>
    <row r="672">
      <c r="A672" s="8" t="s">
        <v>708</v>
      </c>
      <c r="B672" s="8" t="s">
        <v>579</v>
      </c>
      <c r="C672" s="8" t="s">
        <v>93</v>
      </c>
      <c r="D672" s="18" t="s">
        <v>2584</v>
      </c>
      <c r="E672" s="16">
        <v>73.0</v>
      </c>
      <c r="F672" s="8" t="s">
        <v>330</v>
      </c>
      <c r="G672" s="8" t="s">
        <v>34</v>
      </c>
      <c r="H672" s="8" t="s">
        <v>59</v>
      </c>
      <c r="I672" s="18" t="s">
        <v>2585</v>
      </c>
      <c r="J672" s="16">
        <v>68.0</v>
      </c>
      <c r="K672" s="8" t="s">
        <v>493</v>
      </c>
      <c r="L672" s="8" t="s">
        <v>406</v>
      </c>
      <c r="M672" s="18" t="s">
        <v>2645</v>
      </c>
      <c r="N672" s="16">
        <v>60.0</v>
      </c>
      <c r="O672" s="8" t="s">
        <v>4595</v>
      </c>
      <c r="P672" s="8" t="s">
        <v>186</v>
      </c>
      <c r="Q672" s="14" t="s">
        <v>1352</v>
      </c>
      <c r="R672" s="18" t="s">
        <v>2589</v>
      </c>
      <c r="S672" s="14" t="s">
        <v>2569</v>
      </c>
    </row>
    <row r="673">
      <c r="A673" s="8" t="s">
        <v>708</v>
      </c>
      <c r="B673" s="8" t="s">
        <v>3014</v>
      </c>
      <c r="C673" s="8" t="s">
        <v>141</v>
      </c>
      <c r="D673" s="18" t="s">
        <v>2593</v>
      </c>
      <c r="E673" s="16">
        <v>62.0</v>
      </c>
      <c r="F673" s="8" t="s">
        <v>105</v>
      </c>
      <c r="G673" s="8" t="s">
        <v>104</v>
      </c>
      <c r="H673" s="8" t="s">
        <v>24</v>
      </c>
      <c r="I673" s="18" t="s">
        <v>2621</v>
      </c>
      <c r="J673" s="16">
        <v>93.0</v>
      </c>
      <c r="K673" s="8" t="s">
        <v>493</v>
      </c>
      <c r="L673" s="8" t="s">
        <v>2042</v>
      </c>
      <c r="M673" s="18" t="s">
        <v>2564</v>
      </c>
      <c r="N673" s="16">
        <v>78.0</v>
      </c>
      <c r="O673" s="8" t="s">
        <v>4596</v>
      </c>
      <c r="P673" s="8" t="s">
        <v>149</v>
      </c>
      <c r="Q673" s="14" t="s">
        <v>459</v>
      </c>
      <c r="R673" s="8" t="s">
        <v>2621</v>
      </c>
      <c r="S673" s="14" t="s">
        <v>2555</v>
      </c>
    </row>
    <row r="674">
      <c r="A674" s="8" t="s">
        <v>2854</v>
      </c>
      <c r="B674" s="8" t="s">
        <v>944</v>
      </c>
      <c r="C674" s="8" t="s">
        <v>192</v>
      </c>
      <c r="D674" s="18" t="s">
        <v>2605</v>
      </c>
      <c r="E674" s="16">
        <v>63.0</v>
      </c>
      <c r="F674" s="8" t="s">
        <v>2129</v>
      </c>
      <c r="G674" s="8" t="s">
        <v>537</v>
      </c>
      <c r="H674" s="8" t="s">
        <v>80</v>
      </c>
      <c r="I674" s="18" t="s">
        <v>2603</v>
      </c>
      <c r="J674" s="16">
        <v>68.0</v>
      </c>
      <c r="K674" s="8" t="s">
        <v>1473</v>
      </c>
      <c r="L674" s="8" t="s">
        <v>637</v>
      </c>
      <c r="M674" s="18" t="s">
        <v>2621</v>
      </c>
      <c r="N674" s="16">
        <v>83.0</v>
      </c>
      <c r="O674" s="8" t="s">
        <v>4597</v>
      </c>
      <c r="P674" s="8" t="s">
        <v>132</v>
      </c>
      <c r="Q674" s="14" t="s">
        <v>1352</v>
      </c>
      <c r="R674" s="18" t="s">
        <v>2556</v>
      </c>
      <c r="S674" s="14" t="s">
        <v>2576</v>
      </c>
    </row>
    <row r="675">
      <c r="A675" s="8" t="s">
        <v>3821</v>
      </c>
      <c r="B675" s="8" t="s">
        <v>308</v>
      </c>
      <c r="C675" s="8" t="s">
        <v>70</v>
      </c>
      <c r="D675" s="18" t="s">
        <v>2584</v>
      </c>
      <c r="E675" s="16">
        <v>73.0</v>
      </c>
      <c r="F675" s="8" t="s">
        <v>2702</v>
      </c>
      <c r="G675" s="8" t="s">
        <v>2701</v>
      </c>
      <c r="H675" s="8" t="s">
        <v>93</v>
      </c>
      <c r="I675" s="18" t="s">
        <v>2595</v>
      </c>
      <c r="J675" s="16">
        <v>79.0</v>
      </c>
      <c r="K675" s="8" t="s">
        <v>1473</v>
      </c>
      <c r="L675" s="8" t="s">
        <v>284</v>
      </c>
      <c r="M675" s="18" t="s">
        <v>2560</v>
      </c>
      <c r="N675" s="16">
        <v>64.0</v>
      </c>
      <c r="O675" s="8" t="s">
        <v>4598</v>
      </c>
      <c r="P675" s="8" t="s">
        <v>186</v>
      </c>
      <c r="Q675" s="14" t="s">
        <v>1070</v>
      </c>
      <c r="R675" s="8" t="s">
        <v>2572</v>
      </c>
      <c r="S675" s="14" t="s">
        <v>2553</v>
      </c>
    </row>
    <row r="676">
      <c r="A676" s="8" t="s">
        <v>467</v>
      </c>
      <c r="B676" s="8" t="s">
        <v>466</v>
      </c>
      <c r="C676" s="8" t="s">
        <v>215</v>
      </c>
      <c r="D676" s="18" t="s">
        <v>2556</v>
      </c>
      <c r="E676" s="16">
        <v>63.0</v>
      </c>
      <c r="F676" s="8" t="s">
        <v>148</v>
      </c>
      <c r="G676" s="8" t="s">
        <v>147</v>
      </c>
      <c r="H676" s="8" t="s">
        <v>149</v>
      </c>
      <c r="I676" s="18" t="s">
        <v>2592</v>
      </c>
      <c r="J676" s="16">
        <v>80.0</v>
      </c>
      <c r="K676" s="8" t="s">
        <v>1473</v>
      </c>
      <c r="L676" s="8" t="s">
        <v>146</v>
      </c>
      <c r="M676" s="18" t="s">
        <v>2621</v>
      </c>
      <c r="N676" s="16">
        <v>76.0</v>
      </c>
      <c r="O676" s="8" t="s">
        <v>4599</v>
      </c>
      <c r="P676" s="8" t="s">
        <v>93</v>
      </c>
      <c r="Q676" s="14" t="s">
        <v>2296</v>
      </c>
      <c r="R676" s="8" t="s">
        <v>2615</v>
      </c>
      <c r="S676" s="14" t="s">
        <v>2613</v>
      </c>
    </row>
    <row r="677">
      <c r="A677" s="8" t="s">
        <v>562</v>
      </c>
      <c r="B677" s="8" t="s">
        <v>561</v>
      </c>
      <c r="C677" s="8" t="s">
        <v>149</v>
      </c>
      <c r="D677" s="18" t="s">
        <v>2564</v>
      </c>
      <c r="E677" s="16">
        <v>72.0</v>
      </c>
      <c r="F677" s="8" t="s">
        <v>2959</v>
      </c>
      <c r="G677" s="8" t="s">
        <v>767</v>
      </c>
      <c r="H677" s="8" t="s">
        <v>70</v>
      </c>
      <c r="I677" s="18" t="s">
        <v>2621</v>
      </c>
      <c r="J677" s="16">
        <v>91.0</v>
      </c>
      <c r="K677" s="8" t="s">
        <v>1473</v>
      </c>
      <c r="L677" s="8" t="s">
        <v>709</v>
      </c>
      <c r="M677" s="18" t="s">
        <v>2598</v>
      </c>
      <c r="N677" s="16">
        <v>73.0</v>
      </c>
      <c r="O677" s="8" t="s">
        <v>4600</v>
      </c>
      <c r="P677" s="8" t="s">
        <v>149</v>
      </c>
      <c r="Q677" s="14" t="s">
        <v>631</v>
      </c>
      <c r="R677" s="18" t="s">
        <v>2556</v>
      </c>
      <c r="S677" s="14" t="s">
        <v>2576</v>
      </c>
    </row>
    <row r="678">
      <c r="A678" s="8" t="s">
        <v>562</v>
      </c>
      <c r="B678" s="8" t="s">
        <v>3800</v>
      </c>
      <c r="C678" s="8" t="s">
        <v>24</v>
      </c>
      <c r="D678" s="18" t="s">
        <v>2575</v>
      </c>
      <c r="E678" s="16">
        <v>81.0</v>
      </c>
      <c r="F678" s="8" t="s">
        <v>964</v>
      </c>
      <c r="G678" s="8" t="s">
        <v>524</v>
      </c>
      <c r="H678" s="8" t="s">
        <v>215</v>
      </c>
      <c r="I678" s="18" t="s">
        <v>2614</v>
      </c>
      <c r="J678" s="16">
        <v>79.0</v>
      </c>
      <c r="K678" s="8" t="s">
        <v>1473</v>
      </c>
      <c r="L678" s="8" t="s">
        <v>1496</v>
      </c>
      <c r="M678" s="18" t="s">
        <v>2615</v>
      </c>
      <c r="N678" s="16">
        <v>77.0</v>
      </c>
      <c r="O678" s="8" t="s">
        <v>4601</v>
      </c>
      <c r="P678" s="8" t="s">
        <v>192</v>
      </c>
      <c r="Q678" s="14" t="s">
        <v>1070</v>
      </c>
      <c r="R678" s="8" t="s">
        <v>2605</v>
      </c>
      <c r="S678" s="14" t="s">
        <v>2555</v>
      </c>
    </row>
    <row r="679">
      <c r="A679" s="8" t="s">
        <v>1498</v>
      </c>
      <c r="B679" s="8" t="s">
        <v>1497</v>
      </c>
      <c r="C679" s="8" t="s">
        <v>75</v>
      </c>
      <c r="D679" s="18" t="s">
        <v>2556</v>
      </c>
      <c r="E679" s="16">
        <v>57.0</v>
      </c>
      <c r="F679" s="8" t="s">
        <v>1735</v>
      </c>
      <c r="G679" s="8" t="s">
        <v>308</v>
      </c>
      <c r="H679" s="8" t="s">
        <v>65</v>
      </c>
      <c r="I679" s="18" t="s">
        <v>2183</v>
      </c>
      <c r="J679" s="16">
        <v>65.0</v>
      </c>
      <c r="K679" s="8" t="s">
        <v>1473</v>
      </c>
      <c r="L679" s="8" t="s">
        <v>389</v>
      </c>
      <c r="M679" s="18" t="s">
        <v>2556</v>
      </c>
      <c r="N679" s="16">
        <v>82.0</v>
      </c>
      <c r="O679" s="8" t="s">
        <v>4602</v>
      </c>
      <c r="P679" s="8" t="s">
        <v>65</v>
      </c>
      <c r="Q679" s="14" t="s">
        <v>2033</v>
      </c>
      <c r="R679" s="8" t="s">
        <v>2567</v>
      </c>
      <c r="S679" s="14" t="s">
        <v>2568</v>
      </c>
    </row>
    <row r="680">
      <c r="A680" s="8" t="s">
        <v>1285</v>
      </c>
      <c r="B680" s="8" t="s">
        <v>1284</v>
      </c>
      <c r="C680" s="8" t="s">
        <v>186</v>
      </c>
      <c r="D680" s="18" t="s">
        <v>2572</v>
      </c>
      <c r="E680" s="16">
        <v>76.0</v>
      </c>
      <c r="F680" s="8" t="s">
        <v>1735</v>
      </c>
      <c r="G680" s="8" t="s">
        <v>2667</v>
      </c>
      <c r="H680" s="8" t="s">
        <v>65</v>
      </c>
      <c r="I680" s="18" t="s">
        <v>2577</v>
      </c>
      <c r="J680" s="16">
        <v>62.0</v>
      </c>
      <c r="K680" s="8" t="s">
        <v>1473</v>
      </c>
      <c r="L680" s="8" t="s">
        <v>2207</v>
      </c>
      <c r="M680" s="18" t="s">
        <v>2183</v>
      </c>
      <c r="N680" s="16">
        <v>72.0</v>
      </c>
      <c r="O680" s="8" t="s">
        <v>4603</v>
      </c>
      <c r="P680" s="8" t="s">
        <v>59</v>
      </c>
      <c r="Q680" s="14" t="s">
        <v>459</v>
      </c>
      <c r="R680" s="8" t="s">
        <v>2587</v>
      </c>
      <c r="S680" s="14" t="s">
        <v>2563</v>
      </c>
    </row>
    <row r="681">
      <c r="A681" s="8" t="s">
        <v>1285</v>
      </c>
      <c r="B681" s="8" t="s">
        <v>3015</v>
      </c>
      <c r="C681" s="8" t="s">
        <v>93</v>
      </c>
      <c r="D681" s="18" t="s">
        <v>2564</v>
      </c>
      <c r="E681" s="16">
        <v>63.0</v>
      </c>
      <c r="F681" s="8" t="s">
        <v>964</v>
      </c>
      <c r="G681" s="8" t="s">
        <v>104</v>
      </c>
      <c r="H681" s="8" t="s">
        <v>138</v>
      </c>
      <c r="I681" s="18" t="s">
        <v>2620</v>
      </c>
      <c r="J681" s="16">
        <v>70.0</v>
      </c>
      <c r="K681" s="8" t="s">
        <v>1473</v>
      </c>
      <c r="L681" s="8" t="s">
        <v>224</v>
      </c>
      <c r="M681" s="18" t="s">
        <v>2592</v>
      </c>
      <c r="N681" s="16">
        <v>84.0</v>
      </c>
      <c r="O681" s="8" t="s">
        <v>4604</v>
      </c>
      <c r="P681" s="8" t="s">
        <v>122</v>
      </c>
      <c r="Q681" s="14" t="s">
        <v>459</v>
      </c>
      <c r="R681" s="8" t="s">
        <v>2558</v>
      </c>
      <c r="S681" s="14" t="s">
        <v>2579</v>
      </c>
    </row>
    <row r="682">
      <c r="A682" s="8" t="s">
        <v>697</v>
      </c>
      <c r="B682" s="8" t="s">
        <v>696</v>
      </c>
      <c r="C682" s="8" t="s">
        <v>149</v>
      </c>
      <c r="D682" s="18" t="s">
        <v>2567</v>
      </c>
      <c r="E682" s="16">
        <v>69.0</v>
      </c>
      <c r="F682" s="8" t="s">
        <v>363</v>
      </c>
      <c r="G682" s="8" t="s">
        <v>61</v>
      </c>
      <c r="H682" s="8" t="s">
        <v>186</v>
      </c>
      <c r="I682" s="18" t="s">
        <v>2560</v>
      </c>
      <c r="J682" s="16">
        <v>74.0</v>
      </c>
      <c r="K682" s="8" t="s">
        <v>1473</v>
      </c>
      <c r="L682" s="8" t="s">
        <v>224</v>
      </c>
      <c r="M682" s="18" t="s">
        <v>2592</v>
      </c>
      <c r="N682" s="16">
        <v>82.0</v>
      </c>
      <c r="O682" s="8" t="s">
        <v>4605</v>
      </c>
      <c r="P682" s="8" t="s">
        <v>24</v>
      </c>
      <c r="Q682" s="14" t="s">
        <v>1679</v>
      </c>
      <c r="R682" s="8" t="s">
        <v>2183</v>
      </c>
      <c r="S682" s="14" t="s">
        <v>2583</v>
      </c>
    </row>
    <row r="683">
      <c r="A683" s="8" t="s">
        <v>569</v>
      </c>
      <c r="B683" s="8" t="s">
        <v>190</v>
      </c>
      <c r="C683" s="8" t="s">
        <v>192</v>
      </c>
      <c r="D683" s="18" t="s">
        <v>2605</v>
      </c>
      <c r="E683" s="16">
        <v>68.0</v>
      </c>
      <c r="F683" s="8" t="s">
        <v>327</v>
      </c>
      <c r="G683" s="8" t="s">
        <v>62</v>
      </c>
      <c r="H683" s="8" t="s">
        <v>65</v>
      </c>
      <c r="I683" s="18" t="s">
        <v>2620</v>
      </c>
      <c r="J683" s="16">
        <v>87.0</v>
      </c>
      <c r="K683" s="8" t="s">
        <v>1473</v>
      </c>
      <c r="L683" s="8" t="s">
        <v>224</v>
      </c>
      <c r="M683" s="18" t="s">
        <v>2592</v>
      </c>
      <c r="N683" s="16">
        <v>83.0</v>
      </c>
      <c r="O683" s="8" t="s">
        <v>4606</v>
      </c>
      <c r="P683" s="8" t="s">
        <v>186</v>
      </c>
      <c r="Q683" s="14" t="s">
        <v>837</v>
      </c>
      <c r="R683" s="8" t="s">
        <v>2592</v>
      </c>
      <c r="S683" s="14" t="s">
        <v>2622</v>
      </c>
    </row>
    <row r="684">
      <c r="A684" s="8" t="s">
        <v>569</v>
      </c>
      <c r="B684" s="8" t="s">
        <v>395</v>
      </c>
      <c r="C684" s="8" t="s">
        <v>65</v>
      </c>
      <c r="D684" s="18" t="s">
        <v>2593</v>
      </c>
      <c r="E684" s="16">
        <v>64.0</v>
      </c>
      <c r="F684" s="8" t="s">
        <v>2813</v>
      </c>
      <c r="G684" s="8" t="s">
        <v>1174</v>
      </c>
      <c r="H684" s="8" t="s">
        <v>93</v>
      </c>
      <c r="I684" s="18" t="s">
        <v>2558</v>
      </c>
      <c r="J684" s="16">
        <v>68.0</v>
      </c>
      <c r="K684" s="8" t="s">
        <v>1473</v>
      </c>
      <c r="L684" s="8" t="s">
        <v>224</v>
      </c>
      <c r="M684" s="18" t="s">
        <v>2592</v>
      </c>
      <c r="N684" s="16">
        <v>88.0</v>
      </c>
      <c r="O684" s="8" t="s">
        <v>4607</v>
      </c>
      <c r="P684" s="8" t="s">
        <v>65</v>
      </c>
      <c r="Q684" s="14" t="s">
        <v>2459</v>
      </c>
      <c r="R684" s="8" t="s">
        <v>2560</v>
      </c>
      <c r="S684" s="14" t="s">
        <v>2563</v>
      </c>
    </row>
    <row r="685">
      <c r="A685" s="8" t="s">
        <v>569</v>
      </c>
      <c r="B685" s="8" t="s">
        <v>601</v>
      </c>
      <c r="C685" s="8" t="s">
        <v>122</v>
      </c>
      <c r="D685" s="18" t="s">
        <v>2560</v>
      </c>
      <c r="E685" s="16">
        <v>58.0</v>
      </c>
      <c r="F685" s="8" t="s">
        <v>708</v>
      </c>
      <c r="G685" s="8" t="s">
        <v>89</v>
      </c>
      <c r="H685" s="8" t="s">
        <v>24</v>
      </c>
      <c r="I685" s="18" t="s">
        <v>2183</v>
      </c>
      <c r="J685" s="16">
        <v>70.0</v>
      </c>
      <c r="K685" s="8" t="s">
        <v>1473</v>
      </c>
      <c r="L685" s="8" t="s">
        <v>224</v>
      </c>
      <c r="M685" s="18" t="s">
        <v>2592</v>
      </c>
      <c r="N685" s="16">
        <v>86.0</v>
      </c>
      <c r="O685" s="8" t="s">
        <v>4608</v>
      </c>
      <c r="P685" s="8" t="s">
        <v>65</v>
      </c>
      <c r="Q685" s="14" t="s">
        <v>338</v>
      </c>
      <c r="R685" s="8" t="s">
        <v>2560</v>
      </c>
      <c r="S685" s="14" t="s">
        <v>2591</v>
      </c>
    </row>
    <row r="686">
      <c r="A686" s="8" t="s">
        <v>863</v>
      </c>
      <c r="B686" s="8" t="s">
        <v>862</v>
      </c>
      <c r="C686" s="8" t="s">
        <v>186</v>
      </c>
      <c r="D686" s="18" t="s">
        <v>2589</v>
      </c>
      <c r="E686" s="16">
        <v>78.0</v>
      </c>
      <c r="F686" s="8" t="s">
        <v>2854</v>
      </c>
      <c r="G686" s="8" t="s">
        <v>944</v>
      </c>
      <c r="H686" s="8" t="s">
        <v>80</v>
      </c>
      <c r="I686" s="18" t="s">
        <v>2621</v>
      </c>
      <c r="J686" s="16">
        <v>66.0</v>
      </c>
      <c r="K686" s="8" t="s">
        <v>2350</v>
      </c>
      <c r="L686" s="8" t="s">
        <v>2349</v>
      </c>
      <c r="M686" s="18" t="s">
        <v>2582</v>
      </c>
      <c r="N686" s="16">
        <v>77.0</v>
      </c>
      <c r="O686" s="8" t="s">
        <v>4609</v>
      </c>
      <c r="P686" s="8" t="s">
        <v>138</v>
      </c>
      <c r="Q686" s="14" t="s">
        <v>2033</v>
      </c>
      <c r="R686" s="8" t="s">
        <v>2564</v>
      </c>
      <c r="S686" s="14" t="s">
        <v>2571</v>
      </c>
    </row>
    <row r="687">
      <c r="A687" s="8" t="s">
        <v>3435</v>
      </c>
      <c r="B687" s="8" t="s">
        <v>3434</v>
      </c>
      <c r="C687" s="8" t="s">
        <v>53</v>
      </c>
      <c r="D687" s="18" t="s">
        <v>2564</v>
      </c>
      <c r="E687" s="16">
        <v>61.0</v>
      </c>
      <c r="F687" s="8" t="s">
        <v>467</v>
      </c>
      <c r="G687" s="8" t="s">
        <v>466</v>
      </c>
      <c r="H687" s="8" t="s">
        <v>215</v>
      </c>
      <c r="I687" s="18" t="s">
        <v>2556</v>
      </c>
      <c r="J687" s="16">
        <v>65.0</v>
      </c>
      <c r="K687" s="8" t="s">
        <v>1029</v>
      </c>
      <c r="L687" s="8" t="s">
        <v>99</v>
      </c>
      <c r="M687" s="18" t="s">
        <v>2615</v>
      </c>
      <c r="N687" s="16">
        <v>70.0</v>
      </c>
      <c r="O687" s="8" t="s">
        <v>4610</v>
      </c>
      <c r="P687" s="8" t="s">
        <v>16</v>
      </c>
      <c r="Q687" s="14" t="s">
        <v>631</v>
      </c>
      <c r="R687" s="18" t="s">
        <v>2556</v>
      </c>
      <c r="S687" s="14" t="s">
        <v>2607</v>
      </c>
    </row>
    <row r="688">
      <c r="A688" s="8" t="s">
        <v>445</v>
      </c>
      <c r="B688" s="8" t="s">
        <v>444</v>
      </c>
      <c r="C688" s="8" t="s">
        <v>65</v>
      </c>
      <c r="D688" s="18" t="s">
        <v>2605</v>
      </c>
      <c r="E688" s="16">
        <v>64.0</v>
      </c>
      <c r="F688" s="8" t="s">
        <v>562</v>
      </c>
      <c r="G688" s="8" t="s">
        <v>561</v>
      </c>
      <c r="H688" s="8" t="s">
        <v>46</v>
      </c>
      <c r="I688" s="18" t="s">
        <v>2621</v>
      </c>
      <c r="J688" s="16">
        <v>68.0</v>
      </c>
      <c r="K688" s="8" t="s">
        <v>1817</v>
      </c>
      <c r="L688" s="8" t="s">
        <v>260</v>
      </c>
      <c r="M688" s="18" t="s">
        <v>2572</v>
      </c>
      <c r="N688" s="16">
        <v>77.0</v>
      </c>
      <c r="O688" s="8" t="s">
        <v>4611</v>
      </c>
      <c r="P688" s="8" t="s">
        <v>24</v>
      </c>
      <c r="Q688" s="14" t="s">
        <v>459</v>
      </c>
      <c r="R688" s="18" t="s">
        <v>2556</v>
      </c>
      <c r="S688" s="14" t="s">
        <v>2557</v>
      </c>
    </row>
    <row r="689">
      <c r="A689" s="8" t="s">
        <v>493</v>
      </c>
      <c r="B689" s="8" t="s">
        <v>636</v>
      </c>
      <c r="C689" s="8" t="s">
        <v>16</v>
      </c>
      <c r="D689" s="18" t="s">
        <v>2574</v>
      </c>
      <c r="E689" s="16">
        <v>70.0</v>
      </c>
      <c r="F689" s="8" t="s">
        <v>1498</v>
      </c>
      <c r="G689" s="8" t="s">
        <v>1497</v>
      </c>
      <c r="H689" s="8" t="s">
        <v>46</v>
      </c>
      <c r="I689" s="18" t="s">
        <v>2556</v>
      </c>
      <c r="J689" s="16">
        <v>69.0</v>
      </c>
      <c r="K689" s="8" t="s">
        <v>209</v>
      </c>
      <c r="L689" s="8" t="s">
        <v>208</v>
      </c>
      <c r="M689" s="18" t="s">
        <v>2592</v>
      </c>
      <c r="N689" s="16">
        <v>82.0</v>
      </c>
      <c r="O689" s="8" t="s">
        <v>4612</v>
      </c>
      <c r="P689" s="8" t="s">
        <v>138</v>
      </c>
      <c r="Q689" s="14" t="s">
        <v>1352</v>
      </c>
      <c r="R689" s="8" t="s">
        <v>2600</v>
      </c>
      <c r="S689" s="14" t="s">
        <v>2622</v>
      </c>
    </row>
    <row r="690">
      <c r="A690" s="8" t="s">
        <v>493</v>
      </c>
      <c r="B690" s="8" t="s">
        <v>144</v>
      </c>
      <c r="C690" s="8" t="s">
        <v>16</v>
      </c>
      <c r="D690" s="18" t="s">
        <v>2556</v>
      </c>
      <c r="E690" s="16">
        <v>83.0</v>
      </c>
      <c r="F690" s="8" t="s">
        <v>1285</v>
      </c>
      <c r="G690" s="8" t="s">
        <v>389</v>
      </c>
      <c r="H690" s="8" t="s">
        <v>192</v>
      </c>
      <c r="I690" s="18" t="s">
        <v>2621</v>
      </c>
      <c r="J690" s="16">
        <v>61.0</v>
      </c>
      <c r="K690" s="8" t="s">
        <v>2276</v>
      </c>
      <c r="L690" s="8" t="s">
        <v>34</v>
      </c>
      <c r="M690" s="18" t="s">
        <v>2562</v>
      </c>
      <c r="N690" s="16">
        <v>80.0</v>
      </c>
      <c r="O690" s="8" t="s">
        <v>4613</v>
      </c>
      <c r="P690" s="8" t="s">
        <v>261</v>
      </c>
      <c r="Q690" s="14" t="s">
        <v>1070</v>
      </c>
      <c r="R690" s="8" t="s">
        <v>2572</v>
      </c>
      <c r="S690" s="14" t="s">
        <v>2591</v>
      </c>
    </row>
    <row r="691">
      <c r="A691" s="8" t="s">
        <v>493</v>
      </c>
      <c r="B691" s="8" t="s">
        <v>492</v>
      </c>
      <c r="C691" s="8" t="s">
        <v>24</v>
      </c>
      <c r="D691" s="18" t="s">
        <v>2582</v>
      </c>
      <c r="E691" s="16">
        <v>73.0</v>
      </c>
      <c r="F691" s="8" t="s">
        <v>1285</v>
      </c>
      <c r="G691" s="8" t="s">
        <v>3015</v>
      </c>
      <c r="H691" s="8" t="s">
        <v>93</v>
      </c>
      <c r="I691" s="18" t="s">
        <v>2562</v>
      </c>
      <c r="J691" s="16">
        <v>62.0</v>
      </c>
      <c r="K691" s="8" t="s">
        <v>1339</v>
      </c>
      <c r="L691" s="8" t="s">
        <v>78</v>
      </c>
      <c r="M691" s="18" t="s">
        <v>2620</v>
      </c>
      <c r="N691" s="16">
        <v>65.0</v>
      </c>
      <c r="O691" s="8" t="s">
        <v>4614</v>
      </c>
      <c r="P691" s="8" t="s">
        <v>138</v>
      </c>
      <c r="Q691" s="14" t="s">
        <v>459</v>
      </c>
      <c r="R691" s="8" t="s">
        <v>2620</v>
      </c>
      <c r="S691" s="14" t="s">
        <v>2607</v>
      </c>
    </row>
    <row r="692">
      <c r="A692" s="8" t="s">
        <v>493</v>
      </c>
      <c r="B692" s="8" t="s">
        <v>406</v>
      </c>
      <c r="C692" s="8" t="s">
        <v>149</v>
      </c>
      <c r="D692" s="18" t="s">
        <v>2562</v>
      </c>
      <c r="E692" s="16">
        <v>82.0</v>
      </c>
      <c r="F692" s="8" t="s">
        <v>1285</v>
      </c>
      <c r="G692" s="8" t="s">
        <v>1284</v>
      </c>
      <c r="H692" s="8" t="s">
        <v>186</v>
      </c>
      <c r="I692" s="18" t="s">
        <v>2572</v>
      </c>
      <c r="J692" s="16">
        <v>76.0</v>
      </c>
      <c r="K692" s="8" t="s">
        <v>1339</v>
      </c>
      <c r="L692" s="8" t="s">
        <v>3044</v>
      </c>
      <c r="M692" s="18" t="s">
        <v>2554</v>
      </c>
      <c r="N692" s="16">
        <v>76.0</v>
      </c>
      <c r="O692" s="8" t="s">
        <v>4615</v>
      </c>
      <c r="P692" s="8" t="s">
        <v>93</v>
      </c>
      <c r="Q692" s="14" t="s">
        <v>2296</v>
      </c>
      <c r="R692" s="8" t="s">
        <v>2562</v>
      </c>
      <c r="S692" s="14" t="s">
        <v>2580</v>
      </c>
    </row>
    <row r="693">
      <c r="A693" s="8" t="s">
        <v>493</v>
      </c>
      <c r="B693" s="8" t="s">
        <v>448</v>
      </c>
      <c r="C693" s="8" t="s">
        <v>261</v>
      </c>
      <c r="D693" s="18" t="s">
        <v>2572</v>
      </c>
      <c r="E693" s="16">
        <v>71.0</v>
      </c>
      <c r="F693" s="8" t="s">
        <v>697</v>
      </c>
      <c r="G693" s="8" t="s">
        <v>696</v>
      </c>
      <c r="H693" s="8" t="s">
        <v>132</v>
      </c>
      <c r="I693" s="18" t="s">
        <v>2567</v>
      </c>
      <c r="J693" s="16">
        <v>69.0</v>
      </c>
      <c r="K693" s="8" t="s">
        <v>903</v>
      </c>
      <c r="L693" s="8" t="s">
        <v>902</v>
      </c>
      <c r="M693" s="18" t="s">
        <v>2582</v>
      </c>
      <c r="N693" s="16">
        <v>62.0</v>
      </c>
      <c r="O693" s="8" t="s">
        <v>4616</v>
      </c>
      <c r="P693" s="8" t="s">
        <v>70</v>
      </c>
      <c r="Q693" s="14" t="s">
        <v>1352</v>
      </c>
      <c r="R693" s="8" t="s">
        <v>2621</v>
      </c>
      <c r="S693" s="14" t="s">
        <v>2578</v>
      </c>
    </row>
    <row r="694">
      <c r="A694" s="8" t="s">
        <v>493</v>
      </c>
      <c r="B694" s="8" t="s">
        <v>622</v>
      </c>
      <c r="C694" s="8" t="s">
        <v>138</v>
      </c>
      <c r="D694" s="18" t="s">
        <v>2620</v>
      </c>
      <c r="E694" s="16">
        <v>86.0</v>
      </c>
      <c r="F694" s="8" t="s">
        <v>569</v>
      </c>
      <c r="G694" s="8" t="s">
        <v>601</v>
      </c>
      <c r="H694" s="8" t="s">
        <v>122</v>
      </c>
      <c r="I694" s="18" t="s">
        <v>2560</v>
      </c>
      <c r="J694" s="16">
        <v>65.0</v>
      </c>
      <c r="K694" s="8" t="s">
        <v>2780</v>
      </c>
      <c r="L694" s="8" t="s">
        <v>897</v>
      </c>
      <c r="M694" s="18" t="s">
        <v>2575</v>
      </c>
      <c r="N694" s="16">
        <v>69.0</v>
      </c>
      <c r="O694" s="8" t="s">
        <v>4617</v>
      </c>
      <c r="P694" s="8" t="s">
        <v>93</v>
      </c>
      <c r="Q694" s="14" t="s">
        <v>1679</v>
      </c>
      <c r="R694" s="8" t="s">
        <v>2560</v>
      </c>
      <c r="S694" s="14" t="s">
        <v>2580</v>
      </c>
    </row>
    <row r="695">
      <c r="A695" s="8" t="s">
        <v>1473</v>
      </c>
      <c r="B695" s="8" t="s">
        <v>637</v>
      </c>
      <c r="C695" s="8" t="s">
        <v>70</v>
      </c>
      <c r="D695" s="18" t="s">
        <v>2621</v>
      </c>
      <c r="E695" s="16">
        <v>74.0</v>
      </c>
      <c r="F695" s="8" t="s">
        <v>569</v>
      </c>
      <c r="G695" s="8" t="s">
        <v>190</v>
      </c>
      <c r="H695" s="8" t="s">
        <v>192</v>
      </c>
      <c r="I695" s="18" t="s">
        <v>2605</v>
      </c>
      <c r="J695" s="16">
        <v>66.0</v>
      </c>
      <c r="K695" s="8" t="s">
        <v>2167</v>
      </c>
      <c r="L695" s="8" t="s">
        <v>2166</v>
      </c>
      <c r="M695" s="18" t="s">
        <v>2558</v>
      </c>
      <c r="N695" s="16">
        <v>76.0</v>
      </c>
      <c r="O695" s="8" t="s">
        <v>4618</v>
      </c>
      <c r="P695" s="8" t="s">
        <v>192</v>
      </c>
      <c r="Q695" s="14" t="s">
        <v>1352</v>
      </c>
      <c r="R695" s="8" t="s">
        <v>2567</v>
      </c>
      <c r="S695" s="14" t="s">
        <v>2602</v>
      </c>
    </row>
    <row r="696">
      <c r="A696" s="8" t="s">
        <v>1473</v>
      </c>
      <c r="B696" s="8" t="s">
        <v>389</v>
      </c>
      <c r="C696" s="8" t="s">
        <v>186</v>
      </c>
      <c r="D696" s="18" t="s">
        <v>2183</v>
      </c>
      <c r="E696" s="16">
        <v>90.0</v>
      </c>
      <c r="F696" s="8" t="s">
        <v>863</v>
      </c>
      <c r="G696" s="8" t="s">
        <v>862</v>
      </c>
      <c r="H696" s="8" t="s">
        <v>186</v>
      </c>
      <c r="I696" s="18" t="s">
        <v>2589</v>
      </c>
      <c r="J696" s="16">
        <v>80.0</v>
      </c>
      <c r="K696" s="8" t="s">
        <v>816</v>
      </c>
      <c r="L696" s="8" t="s">
        <v>815</v>
      </c>
      <c r="M696" s="18" t="s">
        <v>2598</v>
      </c>
      <c r="N696" s="16">
        <v>87.0</v>
      </c>
      <c r="O696" s="8" t="s">
        <v>4619</v>
      </c>
      <c r="P696" s="8" t="s">
        <v>122</v>
      </c>
      <c r="Q696" s="14" t="s">
        <v>2033</v>
      </c>
      <c r="R696" s="8" t="s">
        <v>2183</v>
      </c>
      <c r="S696" s="14" t="s">
        <v>2571</v>
      </c>
    </row>
    <row r="697">
      <c r="A697" s="8" t="s">
        <v>1473</v>
      </c>
      <c r="B697" s="8" t="s">
        <v>1496</v>
      </c>
      <c r="C697" s="8" t="s">
        <v>192</v>
      </c>
      <c r="D697" s="18" t="s">
        <v>2615</v>
      </c>
      <c r="E697" s="16">
        <v>65.0</v>
      </c>
      <c r="F697" s="8" t="s">
        <v>3435</v>
      </c>
      <c r="G697" s="8" t="s">
        <v>3434</v>
      </c>
      <c r="H697" s="8" t="s">
        <v>59</v>
      </c>
      <c r="I697" s="18" t="s">
        <v>2566</v>
      </c>
      <c r="J697" s="16">
        <v>62.0</v>
      </c>
      <c r="K697" s="8" t="s">
        <v>816</v>
      </c>
      <c r="L697" s="8" t="s">
        <v>956</v>
      </c>
      <c r="M697" s="18" t="s">
        <v>2572</v>
      </c>
      <c r="N697" s="16">
        <v>79.0</v>
      </c>
      <c r="O697" s="8" t="s">
        <v>4620</v>
      </c>
      <c r="P697" s="8" t="s">
        <v>65</v>
      </c>
      <c r="Q697" s="14" t="s">
        <v>1679</v>
      </c>
      <c r="R697" s="8" t="s">
        <v>2615</v>
      </c>
      <c r="S697" s="14" t="s">
        <v>2583</v>
      </c>
    </row>
    <row r="698">
      <c r="A698" s="8" t="s">
        <v>1473</v>
      </c>
      <c r="B698" s="8" t="s">
        <v>146</v>
      </c>
      <c r="C698" s="8" t="s">
        <v>53</v>
      </c>
      <c r="D698" s="18" t="s">
        <v>2621</v>
      </c>
      <c r="E698" s="16">
        <v>81.0</v>
      </c>
      <c r="F698" s="8" t="s">
        <v>445</v>
      </c>
      <c r="G698" s="8" t="s">
        <v>444</v>
      </c>
      <c r="H698" s="8" t="s">
        <v>65</v>
      </c>
      <c r="I698" s="18" t="s">
        <v>2605</v>
      </c>
      <c r="J698" s="16">
        <v>69.0</v>
      </c>
      <c r="K698" s="8" t="s">
        <v>1654</v>
      </c>
      <c r="L698" s="8" t="s">
        <v>1653</v>
      </c>
      <c r="M698" s="18" t="s">
        <v>2564</v>
      </c>
      <c r="N698" s="16">
        <v>63.0</v>
      </c>
      <c r="O698" s="8" t="s">
        <v>4621</v>
      </c>
      <c r="P698" s="8" t="s">
        <v>70</v>
      </c>
      <c r="Q698" s="14" t="s">
        <v>2296</v>
      </c>
      <c r="R698" s="8" t="s">
        <v>2582</v>
      </c>
      <c r="S698" s="14" t="s">
        <v>2586</v>
      </c>
    </row>
    <row r="699">
      <c r="A699" s="8" t="s">
        <v>1473</v>
      </c>
      <c r="B699" s="8" t="s">
        <v>709</v>
      </c>
      <c r="C699" s="8" t="s">
        <v>215</v>
      </c>
      <c r="D699" s="18" t="s">
        <v>2598</v>
      </c>
      <c r="E699" s="16">
        <v>72.0</v>
      </c>
      <c r="F699" s="8" t="s">
        <v>493</v>
      </c>
      <c r="G699" s="8" t="s">
        <v>406</v>
      </c>
      <c r="H699" s="8" t="s">
        <v>149</v>
      </c>
      <c r="I699" s="18" t="s">
        <v>2562</v>
      </c>
      <c r="J699" s="16">
        <v>78.0</v>
      </c>
      <c r="K699" s="8" t="s">
        <v>1096</v>
      </c>
      <c r="L699" s="8" t="s">
        <v>2927</v>
      </c>
      <c r="M699" s="18" t="s">
        <v>2558</v>
      </c>
      <c r="N699" s="16">
        <v>67.0</v>
      </c>
      <c r="O699" s="8" t="s">
        <v>4622</v>
      </c>
      <c r="P699" s="8" t="s">
        <v>80</v>
      </c>
      <c r="Q699" s="14" t="s">
        <v>837</v>
      </c>
      <c r="R699" s="8" t="s">
        <v>2552</v>
      </c>
      <c r="S699" s="14" t="s">
        <v>2594</v>
      </c>
    </row>
    <row r="700">
      <c r="A700" s="8" t="s">
        <v>1029</v>
      </c>
      <c r="B700" s="8" t="s">
        <v>99</v>
      </c>
      <c r="C700" s="8" t="s">
        <v>80</v>
      </c>
      <c r="D700" s="18" t="s">
        <v>2610</v>
      </c>
      <c r="E700" s="16">
        <v>67.0</v>
      </c>
      <c r="F700" s="8" t="s">
        <v>493</v>
      </c>
      <c r="G700" s="8" t="s">
        <v>492</v>
      </c>
      <c r="H700" s="8" t="s">
        <v>24</v>
      </c>
      <c r="I700" s="18" t="s">
        <v>2582</v>
      </c>
      <c r="J700" s="16">
        <v>72.0</v>
      </c>
      <c r="K700" s="8" t="s">
        <v>1096</v>
      </c>
      <c r="L700" s="8" t="s">
        <v>1095</v>
      </c>
      <c r="M700" s="18" t="s">
        <v>2592</v>
      </c>
      <c r="N700" s="16">
        <v>64.0</v>
      </c>
      <c r="O700" s="8" t="s">
        <v>4623</v>
      </c>
      <c r="P700" s="8" t="s">
        <v>46</v>
      </c>
      <c r="Q700" s="14" t="s">
        <v>1679</v>
      </c>
      <c r="R700" s="8" t="s">
        <v>2577</v>
      </c>
      <c r="S700" s="14" t="s">
        <v>2612</v>
      </c>
    </row>
    <row r="701">
      <c r="A701" s="8" t="s">
        <v>209</v>
      </c>
      <c r="B701" s="8" t="s">
        <v>208</v>
      </c>
      <c r="C701" s="8" t="s">
        <v>65</v>
      </c>
      <c r="D701" s="18" t="s">
        <v>2582</v>
      </c>
      <c r="E701" s="16">
        <v>84.0</v>
      </c>
      <c r="F701" s="8" t="s">
        <v>493</v>
      </c>
      <c r="G701" s="8" t="s">
        <v>2042</v>
      </c>
      <c r="H701" s="8" t="s">
        <v>215</v>
      </c>
      <c r="I701" s="18" t="s">
        <v>2564</v>
      </c>
      <c r="J701" s="16">
        <v>75.0</v>
      </c>
      <c r="K701" s="8" t="s">
        <v>1082</v>
      </c>
      <c r="L701" s="8" t="s">
        <v>1276</v>
      </c>
      <c r="M701" s="18" t="s">
        <v>2581</v>
      </c>
      <c r="N701" s="16">
        <v>81.0</v>
      </c>
      <c r="O701" s="8" t="s">
        <v>4624</v>
      </c>
      <c r="P701" s="8" t="s">
        <v>192</v>
      </c>
      <c r="Q701" s="14" t="s">
        <v>2033</v>
      </c>
      <c r="R701" s="8" t="s">
        <v>2572</v>
      </c>
      <c r="S701" s="14" t="s">
        <v>2633</v>
      </c>
    </row>
    <row r="702">
      <c r="A702" s="8" t="s">
        <v>1339</v>
      </c>
      <c r="B702" s="8" t="s">
        <v>3044</v>
      </c>
      <c r="C702" s="8" t="s">
        <v>93</v>
      </c>
      <c r="D702" s="18" t="s">
        <v>2603</v>
      </c>
      <c r="E702" s="16">
        <v>67.0</v>
      </c>
      <c r="F702" s="8" t="s">
        <v>493</v>
      </c>
      <c r="G702" s="8" t="s">
        <v>622</v>
      </c>
      <c r="H702" s="8" t="s">
        <v>138</v>
      </c>
      <c r="I702" s="18" t="s">
        <v>2620</v>
      </c>
      <c r="J702" s="16">
        <v>81.0</v>
      </c>
      <c r="K702" s="8" t="s">
        <v>1096</v>
      </c>
      <c r="L702" s="8" t="s">
        <v>2091</v>
      </c>
      <c r="M702" s="18" t="s">
        <v>2552</v>
      </c>
      <c r="N702" s="16">
        <v>67.0</v>
      </c>
      <c r="O702" s="8" t="s">
        <v>4625</v>
      </c>
      <c r="P702" s="8" t="s">
        <v>65</v>
      </c>
      <c r="Q702" s="14" t="s">
        <v>189</v>
      </c>
      <c r="R702" s="8" t="s">
        <v>2564</v>
      </c>
      <c r="S702" s="14" t="s">
        <v>2625</v>
      </c>
    </row>
    <row r="703">
      <c r="A703" s="8" t="s">
        <v>903</v>
      </c>
      <c r="B703" s="8" t="s">
        <v>902</v>
      </c>
      <c r="C703" s="8" t="s">
        <v>80</v>
      </c>
      <c r="D703" s="18" t="s">
        <v>2582</v>
      </c>
      <c r="E703" s="16">
        <v>66.0</v>
      </c>
      <c r="F703" s="8" t="s">
        <v>493</v>
      </c>
      <c r="G703" s="8" t="s">
        <v>1468</v>
      </c>
      <c r="H703" s="8" t="s">
        <v>24</v>
      </c>
      <c r="I703" s="18" t="s">
        <v>2558</v>
      </c>
      <c r="J703" s="16">
        <v>44.0</v>
      </c>
      <c r="K703" s="8" t="s">
        <v>217</v>
      </c>
      <c r="L703" s="8" t="s">
        <v>1448</v>
      </c>
      <c r="M703" s="18" t="s">
        <v>2574</v>
      </c>
      <c r="N703" s="16">
        <v>79.0</v>
      </c>
      <c r="O703" s="8" t="s">
        <v>4626</v>
      </c>
      <c r="P703" s="8" t="s">
        <v>186</v>
      </c>
      <c r="Q703" s="14" t="s">
        <v>2296</v>
      </c>
      <c r="R703" s="8" t="s">
        <v>2610</v>
      </c>
      <c r="S703" s="14" t="s">
        <v>2583</v>
      </c>
    </row>
    <row r="704">
      <c r="A704" s="8" t="s">
        <v>816</v>
      </c>
      <c r="B704" s="8" t="s">
        <v>2064</v>
      </c>
      <c r="C704" s="8" t="s">
        <v>138</v>
      </c>
      <c r="D704" s="18" t="s">
        <v>2615</v>
      </c>
      <c r="E704" s="16">
        <v>77.0</v>
      </c>
      <c r="F704" s="8" t="s">
        <v>493</v>
      </c>
      <c r="G704" s="8" t="s">
        <v>47</v>
      </c>
      <c r="H704" s="8" t="s">
        <v>59</v>
      </c>
      <c r="I704" s="18" t="s">
        <v>2600</v>
      </c>
      <c r="J704" s="16">
        <v>72.0</v>
      </c>
      <c r="K704" s="8" t="s">
        <v>217</v>
      </c>
      <c r="L704" s="8" t="s">
        <v>216</v>
      </c>
      <c r="M704" s="18" t="s">
        <v>2600</v>
      </c>
      <c r="N704" s="16">
        <v>84.0</v>
      </c>
      <c r="O704" s="8" t="s">
        <v>4627</v>
      </c>
      <c r="P704" s="8" t="s">
        <v>16</v>
      </c>
      <c r="Q704" s="14" t="s">
        <v>2033</v>
      </c>
      <c r="R704" s="8" t="s">
        <v>2562</v>
      </c>
      <c r="S704" s="14" t="s">
        <v>2588</v>
      </c>
    </row>
    <row r="705">
      <c r="A705" s="8" t="s">
        <v>816</v>
      </c>
      <c r="B705" s="8" t="s">
        <v>815</v>
      </c>
      <c r="C705" s="8" t="s">
        <v>93</v>
      </c>
      <c r="D705" s="18" t="s">
        <v>2598</v>
      </c>
      <c r="E705" s="16">
        <v>90.0</v>
      </c>
      <c r="F705" s="8" t="s">
        <v>493</v>
      </c>
      <c r="G705" s="8" t="s">
        <v>636</v>
      </c>
      <c r="H705" s="8" t="s">
        <v>16</v>
      </c>
      <c r="I705" s="18" t="s">
        <v>2574</v>
      </c>
      <c r="J705" s="16">
        <v>69.0</v>
      </c>
      <c r="K705" s="8" t="s">
        <v>217</v>
      </c>
      <c r="L705" s="8" t="s">
        <v>99</v>
      </c>
      <c r="M705" s="18" t="s">
        <v>2560</v>
      </c>
      <c r="N705" s="16">
        <v>70.0</v>
      </c>
      <c r="O705" s="8" t="s">
        <v>4628</v>
      </c>
      <c r="P705" s="8" t="s">
        <v>122</v>
      </c>
      <c r="Q705" s="14" t="s">
        <v>1070</v>
      </c>
      <c r="R705" s="8" t="s">
        <v>2620</v>
      </c>
      <c r="S705" s="14" t="s">
        <v>2583</v>
      </c>
    </row>
    <row r="706">
      <c r="A706" s="8" t="s">
        <v>1096</v>
      </c>
      <c r="B706" s="8" t="s">
        <v>1095</v>
      </c>
      <c r="C706" s="8" t="s">
        <v>59</v>
      </c>
      <c r="D706" s="18" t="s">
        <v>2592</v>
      </c>
      <c r="E706" s="16">
        <v>62.0</v>
      </c>
      <c r="F706" s="8" t="s">
        <v>493</v>
      </c>
      <c r="G706" s="8" t="s">
        <v>448</v>
      </c>
      <c r="H706" s="8" t="s">
        <v>261</v>
      </c>
      <c r="I706" s="18" t="s">
        <v>2572</v>
      </c>
      <c r="J706" s="16">
        <v>61.0</v>
      </c>
      <c r="K706" s="8" t="s">
        <v>735</v>
      </c>
      <c r="L706" s="8" t="s">
        <v>734</v>
      </c>
      <c r="M706" s="18" t="s">
        <v>2554</v>
      </c>
      <c r="N706" s="16">
        <v>77.0</v>
      </c>
      <c r="O706" s="8" t="s">
        <v>4629</v>
      </c>
      <c r="P706" s="8" t="s">
        <v>192</v>
      </c>
      <c r="Q706" s="14" t="s">
        <v>837</v>
      </c>
      <c r="R706" s="8" t="s">
        <v>2582</v>
      </c>
      <c r="S706" s="14" t="s">
        <v>2583</v>
      </c>
    </row>
    <row r="707">
      <c r="A707" s="8" t="s">
        <v>1082</v>
      </c>
      <c r="B707" s="8" t="s">
        <v>1276</v>
      </c>
      <c r="C707" s="8" t="s">
        <v>65</v>
      </c>
      <c r="D707" s="18" t="s">
        <v>2581</v>
      </c>
      <c r="E707" s="16">
        <v>77.0</v>
      </c>
      <c r="F707" s="8" t="s">
        <v>493</v>
      </c>
      <c r="G707" s="8" t="s">
        <v>144</v>
      </c>
      <c r="H707" s="8" t="s">
        <v>16</v>
      </c>
      <c r="I707" s="18" t="s">
        <v>2556</v>
      </c>
      <c r="J707" s="16">
        <v>89.0</v>
      </c>
      <c r="K707" s="8" t="s">
        <v>917</v>
      </c>
      <c r="L707" s="8" t="s">
        <v>916</v>
      </c>
      <c r="M707" s="18" t="s">
        <v>2598</v>
      </c>
      <c r="N707" s="16">
        <v>85.0</v>
      </c>
      <c r="O707" s="8" t="s">
        <v>4630</v>
      </c>
      <c r="P707" s="8" t="s">
        <v>80</v>
      </c>
      <c r="Q707" s="14" t="s">
        <v>2296</v>
      </c>
      <c r="R707" s="8" t="s">
        <v>2575</v>
      </c>
      <c r="S707" s="14" t="s">
        <v>2579</v>
      </c>
    </row>
    <row r="708">
      <c r="A708" s="8" t="s">
        <v>3842</v>
      </c>
      <c r="B708" s="8" t="s">
        <v>3841</v>
      </c>
      <c r="C708" s="8" t="s">
        <v>122</v>
      </c>
      <c r="D708" s="18" t="s">
        <v>2577</v>
      </c>
      <c r="E708" s="16">
        <v>58.0</v>
      </c>
      <c r="F708" s="8" t="s">
        <v>1473</v>
      </c>
      <c r="G708" s="8" t="s">
        <v>389</v>
      </c>
      <c r="H708" s="8" t="s">
        <v>186</v>
      </c>
      <c r="I708" s="18" t="s">
        <v>2183</v>
      </c>
      <c r="J708" s="16">
        <v>83.0</v>
      </c>
      <c r="K708" s="8" t="s">
        <v>856</v>
      </c>
      <c r="L708" s="8" t="s">
        <v>855</v>
      </c>
      <c r="M708" s="18" t="s">
        <v>2620</v>
      </c>
      <c r="N708" s="16">
        <v>75.0</v>
      </c>
      <c r="O708" s="8" t="s">
        <v>4631</v>
      </c>
      <c r="P708" s="8" t="s">
        <v>16</v>
      </c>
      <c r="Q708" s="14" t="s">
        <v>2033</v>
      </c>
      <c r="R708" s="8" t="s">
        <v>2558</v>
      </c>
      <c r="S708" s="14" t="s">
        <v>2555</v>
      </c>
    </row>
    <row r="709">
      <c r="A709" s="8" t="s">
        <v>3579</v>
      </c>
      <c r="B709" s="8" t="s">
        <v>144</v>
      </c>
      <c r="C709" s="8" t="s">
        <v>93</v>
      </c>
      <c r="D709" s="18" t="s">
        <v>2183</v>
      </c>
      <c r="E709" s="16">
        <v>59.0</v>
      </c>
      <c r="F709" s="8" t="s">
        <v>1473</v>
      </c>
      <c r="G709" s="8" t="s">
        <v>146</v>
      </c>
      <c r="H709" s="8" t="s">
        <v>53</v>
      </c>
      <c r="I709" s="18" t="s">
        <v>2621</v>
      </c>
      <c r="J709" s="16">
        <v>79.0</v>
      </c>
      <c r="K709" s="8" t="s">
        <v>2450</v>
      </c>
      <c r="L709" s="8" t="s">
        <v>582</v>
      </c>
      <c r="M709" s="18" t="s">
        <v>2556</v>
      </c>
      <c r="N709" s="16">
        <v>72.0</v>
      </c>
      <c r="O709" s="8" t="s">
        <v>4632</v>
      </c>
      <c r="P709" s="8" t="s">
        <v>93</v>
      </c>
      <c r="Q709" s="14" t="s">
        <v>1679</v>
      </c>
      <c r="R709" s="8" t="s">
        <v>2572</v>
      </c>
      <c r="S709" s="14" t="s">
        <v>2633</v>
      </c>
    </row>
    <row r="710">
      <c r="A710" s="8" t="s">
        <v>3804</v>
      </c>
      <c r="B710" s="8" t="s">
        <v>3803</v>
      </c>
      <c r="C710" s="8" t="s">
        <v>65</v>
      </c>
      <c r="D710" s="18" t="s">
        <v>2620</v>
      </c>
      <c r="E710" s="16">
        <v>66.0</v>
      </c>
      <c r="F710" s="8" t="s">
        <v>1473</v>
      </c>
      <c r="G710" s="8" t="s">
        <v>877</v>
      </c>
      <c r="H710" s="8" t="s">
        <v>261</v>
      </c>
      <c r="I710" s="18" t="s">
        <v>2598</v>
      </c>
      <c r="J710" s="16">
        <v>75.0</v>
      </c>
      <c r="K710" s="8" t="s">
        <v>2693</v>
      </c>
      <c r="L710" s="8" t="s">
        <v>1095</v>
      </c>
      <c r="M710" s="18" t="s">
        <v>2567</v>
      </c>
      <c r="N710" s="16">
        <v>67.0</v>
      </c>
      <c r="O710" s="8" t="s">
        <v>4633</v>
      </c>
      <c r="P710" s="8" t="s">
        <v>93</v>
      </c>
      <c r="Q710" s="14" t="s">
        <v>631</v>
      </c>
      <c r="R710" s="8" t="s">
        <v>2598</v>
      </c>
      <c r="S710" s="14" t="s">
        <v>2613</v>
      </c>
    </row>
    <row r="711">
      <c r="A711" s="8" t="s">
        <v>217</v>
      </c>
      <c r="B711" s="8" t="s">
        <v>918</v>
      </c>
      <c r="C711" s="8" t="s">
        <v>65</v>
      </c>
      <c r="D711" s="18" t="s">
        <v>2598</v>
      </c>
      <c r="E711" s="16">
        <v>62.0</v>
      </c>
      <c r="F711" s="8" t="s">
        <v>1473</v>
      </c>
      <c r="G711" s="8" t="s">
        <v>284</v>
      </c>
      <c r="H711" s="8" t="s">
        <v>93</v>
      </c>
      <c r="I711" s="18" t="s">
        <v>2560</v>
      </c>
      <c r="J711" s="16">
        <v>63.0</v>
      </c>
      <c r="K711" s="8" t="s">
        <v>2706</v>
      </c>
      <c r="L711" s="8" t="s">
        <v>2064</v>
      </c>
      <c r="M711" s="18" t="s">
        <v>2645</v>
      </c>
      <c r="N711" s="16">
        <v>81.0</v>
      </c>
      <c r="O711" s="8" t="s">
        <v>4634</v>
      </c>
      <c r="P711" s="8" t="s">
        <v>122</v>
      </c>
      <c r="Q711" s="14" t="s">
        <v>1352</v>
      </c>
      <c r="R711" s="8" t="s">
        <v>2574</v>
      </c>
      <c r="S711" s="14" t="s">
        <v>2583</v>
      </c>
    </row>
    <row r="712">
      <c r="A712" s="8" t="s">
        <v>217</v>
      </c>
      <c r="B712" s="8" t="s">
        <v>1448</v>
      </c>
      <c r="C712" s="8" t="s">
        <v>65</v>
      </c>
      <c r="D712" s="18" t="s">
        <v>2574</v>
      </c>
      <c r="E712" s="16">
        <v>74.0</v>
      </c>
      <c r="F712" s="8" t="s">
        <v>1473</v>
      </c>
      <c r="G712" s="8" t="s">
        <v>637</v>
      </c>
      <c r="H712" s="8" t="s">
        <v>70</v>
      </c>
      <c r="I712" s="18" t="s">
        <v>2621</v>
      </c>
      <c r="J712" s="16">
        <v>79.0</v>
      </c>
      <c r="K712" s="8" t="s">
        <v>3068</v>
      </c>
      <c r="L712" s="8" t="s">
        <v>3067</v>
      </c>
      <c r="M712" s="18" t="s">
        <v>2574</v>
      </c>
      <c r="N712" s="16">
        <v>71.0</v>
      </c>
      <c r="O712" s="8" t="s">
        <v>4635</v>
      </c>
      <c r="P712" s="8" t="s">
        <v>70</v>
      </c>
      <c r="Q712" s="14" t="s">
        <v>1352</v>
      </c>
      <c r="R712" s="8" t="s">
        <v>2572</v>
      </c>
      <c r="S712" s="14" t="s">
        <v>2555</v>
      </c>
    </row>
    <row r="713">
      <c r="A713" s="8" t="s">
        <v>217</v>
      </c>
      <c r="B713" s="8" t="s">
        <v>3340</v>
      </c>
      <c r="C713" s="8" t="s">
        <v>65</v>
      </c>
      <c r="D713" s="18" t="s">
        <v>2600</v>
      </c>
      <c r="E713" s="16">
        <v>63.0</v>
      </c>
      <c r="F713" s="8" t="s">
        <v>1473</v>
      </c>
      <c r="G713" s="8" t="s">
        <v>709</v>
      </c>
      <c r="H713" s="8" t="s">
        <v>122</v>
      </c>
      <c r="I713" s="18" t="s">
        <v>2598</v>
      </c>
      <c r="J713" s="16">
        <v>75.0</v>
      </c>
      <c r="K713" s="8" t="s">
        <v>1492</v>
      </c>
      <c r="L713" s="8" t="s">
        <v>91</v>
      </c>
      <c r="M713" s="18" t="s">
        <v>2552</v>
      </c>
      <c r="N713" s="16">
        <v>65.0</v>
      </c>
      <c r="O713" s="8" t="s">
        <v>4636</v>
      </c>
      <c r="P713" s="8" t="s">
        <v>59</v>
      </c>
      <c r="Q713" s="14" t="s">
        <v>1070</v>
      </c>
      <c r="R713" s="8" t="s">
        <v>2592</v>
      </c>
      <c r="S713" s="14" t="s">
        <v>2579</v>
      </c>
    </row>
    <row r="714">
      <c r="A714" s="8" t="s">
        <v>217</v>
      </c>
      <c r="B714" s="8" t="s">
        <v>216</v>
      </c>
      <c r="C714" s="8" t="s">
        <v>80</v>
      </c>
      <c r="D714" s="18" t="s">
        <v>2600</v>
      </c>
      <c r="E714" s="16">
        <v>91.0</v>
      </c>
      <c r="F714" s="8" t="s">
        <v>1473</v>
      </c>
      <c r="G714" s="8" t="s">
        <v>1496</v>
      </c>
      <c r="H714" s="8" t="s">
        <v>192</v>
      </c>
      <c r="I714" s="18" t="s">
        <v>2615</v>
      </c>
      <c r="J714" s="16">
        <v>66.0</v>
      </c>
      <c r="K714" s="8" t="s">
        <v>1457</v>
      </c>
      <c r="L714" s="8" t="s">
        <v>698</v>
      </c>
      <c r="M714" s="18" t="s">
        <v>2183</v>
      </c>
      <c r="N714" s="16">
        <v>68.0</v>
      </c>
      <c r="O714" s="8" t="s">
        <v>4637</v>
      </c>
      <c r="P714" s="8" t="s">
        <v>186</v>
      </c>
      <c r="Q714" s="14" t="s">
        <v>2033</v>
      </c>
      <c r="R714" s="8" t="s">
        <v>2552</v>
      </c>
      <c r="S714" s="14" t="s">
        <v>2576</v>
      </c>
    </row>
    <row r="715">
      <c r="A715" s="8" t="s">
        <v>217</v>
      </c>
      <c r="B715" s="8" t="s">
        <v>99</v>
      </c>
      <c r="C715" s="8" t="s">
        <v>65</v>
      </c>
      <c r="D715" s="18" t="s">
        <v>2560</v>
      </c>
      <c r="E715" s="16">
        <v>70.0</v>
      </c>
      <c r="F715" s="8" t="s">
        <v>1029</v>
      </c>
      <c r="G715" s="8" t="s">
        <v>99</v>
      </c>
      <c r="H715" s="8" t="s">
        <v>80</v>
      </c>
      <c r="I715" s="18" t="s">
        <v>2610</v>
      </c>
      <c r="J715" s="16">
        <v>65.0</v>
      </c>
      <c r="K715" s="8" t="s">
        <v>1457</v>
      </c>
      <c r="L715" s="8" t="s">
        <v>1424</v>
      </c>
      <c r="M715" s="18" t="s">
        <v>2558</v>
      </c>
      <c r="N715" s="16">
        <v>66.0</v>
      </c>
      <c r="O715" s="8" t="s">
        <v>4638</v>
      </c>
      <c r="P715" s="8" t="s">
        <v>65</v>
      </c>
      <c r="Q715" s="14" t="s">
        <v>1070</v>
      </c>
      <c r="R715" s="8" t="s">
        <v>2581</v>
      </c>
      <c r="S715" s="14" t="s">
        <v>2608</v>
      </c>
    </row>
    <row r="716">
      <c r="A716" s="8" t="s">
        <v>217</v>
      </c>
      <c r="B716" s="8" t="s">
        <v>2255</v>
      </c>
      <c r="C716" s="8" t="s">
        <v>65</v>
      </c>
      <c r="D716" s="18" t="s">
        <v>2614</v>
      </c>
      <c r="E716" s="16">
        <v>68.0</v>
      </c>
      <c r="F716" s="8" t="s">
        <v>209</v>
      </c>
      <c r="G716" s="8" t="s">
        <v>208</v>
      </c>
      <c r="H716" s="8" t="s">
        <v>65</v>
      </c>
      <c r="I716" s="18" t="s">
        <v>2592</v>
      </c>
      <c r="J716" s="16">
        <v>87.0</v>
      </c>
      <c r="K716" s="8" t="s">
        <v>744</v>
      </c>
      <c r="L716" s="8" t="s">
        <v>1422</v>
      </c>
      <c r="M716" s="18" t="s">
        <v>2587</v>
      </c>
      <c r="N716" s="16">
        <v>78.0</v>
      </c>
      <c r="O716" s="8" t="s">
        <v>4639</v>
      </c>
      <c r="P716" s="8" t="s">
        <v>122</v>
      </c>
      <c r="Q716" s="14" t="s">
        <v>1070</v>
      </c>
      <c r="R716" s="8" t="s">
        <v>2615</v>
      </c>
      <c r="S716" s="14" t="s">
        <v>2580</v>
      </c>
    </row>
    <row r="717">
      <c r="A717" s="8" t="s">
        <v>217</v>
      </c>
      <c r="B717" s="8" t="s">
        <v>441</v>
      </c>
      <c r="C717" s="8" t="s">
        <v>138</v>
      </c>
      <c r="D717" s="18" t="s">
        <v>2554</v>
      </c>
      <c r="E717" s="16">
        <v>72.0</v>
      </c>
      <c r="F717" s="8" t="s">
        <v>2276</v>
      </c>
      <c r="G717" s="8" t="s">
        <v>34</v>
      </c>
      <c r="H717" s="8" t="s">
        <v>16</v>
      </c>
      <c r="I717" s="18" t="s">
        <v>2562</v>
      </c>
      <c r="J717" s="16">
        <v>76.0</v>
      </c>
      <c r="K717" s="8" t="s">
        <v>744</v>
      </c>
      <c r="L717" s="8" t="s">
        <v>94</v>
      </c>
      <c r="M717" s="18" t="s">
        <v>2621</v>
      </c>
      <c r="N717" s="16">
        <v>82.0</v>
      </c>
      <c r="O717" s="8" t="s">
        <v>4640</v>
      </c>
      <c r="P717" s="8" t="s">
        <v>186</v>
      </c>
      <c r="Q717" s="14" t="s">
        <v>2459</v>
      </c>
      <c r="R717" s="8" t="s">
        <v>2577</v>
      </c>
      <c r="S717" s="14" t="s">
        <v>2565</v>
      </c>
    </row>
    <row r="718">
      <c r="A718" s="8" t="s">
        <v>735</v>
      </c>
      <c r="B718" s="8" t="s">
        <v>2316</v>
      </c>
      <c r="C718" s="8" t="s">
        <v>65</v>
      </c>
      <c r="D718" s="18" t="s">
        <v>2585</v>
      </c>
      <c r="E718" s="16">
        <v>63.0</v>
      </c>
      <c r="F718" s="8" t="s">
        <v>1339</v>
      </c>
      <c r="G718" s="8" t="s">
        <v>78</v>
      </c>
      <c r="H718" s="8" t="s">
        <v>122</v>
      </c>
      <c r="I718" s="18" t="s">
        <v>2610</v>
      </c>
      <c r="J718" s="16">
        <v>61.0</v>
      </c>
      <c r="K718" s="8" t="s">
        <v>744</v>
      </c>
      <c r="L718" s="8" t="s">
        <v>263</v>
      </c>
      <c r="M718" s="18" t="s">
        <v>2603</v>
      </c>
      <c r="N718" s="16">
        <v>75.0</v>
      </c>
      <c r="O718" s="8" t="s">
        <v>4641</v>
      </c>
      <c r="P718" s="8" t="s">
        <v>65</v>
      </c>
      <c r="Q718" s="14" t="s">
        <v>1352</v>
      </c>
      <c r="R718" s="8" t="s">
        <v>2567</v>
      </c>
      <c r="S718" s="14" t="s">
        <v>2607</v>
      </c>
    </row>
    <row r="719">
      <c r="A719" s="8" t="s">
        <v>735</v>
      </c>
      <c r="B719" s="8" t="s">
        <v>389</v>
      </c>
      <c r="C719" s="8" t="s">
        <v>261</v>
      </c>
      <c r="D719" s="18" t="s">
        <v>2574</v>
      </c>
      <c r="E719" s="16">
        <v>62.0</v>
      </c>
      <c r="F719" s="8" t="s">
        <v>1339</v>
      </c>
      <c r="G719" s="8" t="s">
        <v>3044</v>
      </c>
      <c r="H719" s="8" t="s">
        <v>93</v>
      </c>
      <c r="I719" s="18" t="s">
        <v>2603</v>
      </c>
      <c r="J719" s="16">
        <v>79.0</v>
      </c>
      <c r="K719" s="8" t="s">
        <v>744</v>
      </c>
      <c r="L719" s="8" t="s">
        <v>1619</v>
      </c>
      <c r="M719" s="18" t="s">
        <v>2605</v>
      </c>
      <c r="N719" s="16">
        <v>77.0</v>
      </c>
      <c r="O719" s="8" t="s">
        <v>4642</v>
      </c>
      <c r="P719" s="8" t="s">
        <v>65</v>
      </c>
      <c r="Q719" s="14" t="s">
        <v>2033</v>
      </c>
      <c r="R719" s="8" t="s">
        <v>2598</v>
      </c>
      <c r="S719" s="14" t="s">
        <v>2555</v>
      </c>
    </row>
    <row r="720">
      <c r="A720" s="8" t="s">
        <v>735</v>
      </c>
      <c r="B720" s="8" t="s">
        <v>734</v>
      </c>
      <c r="C720" s="8" t="s">
        <v>53</v>
      </c>
      <c r="D720" s="18" t="s">
        <v>2566</v>
      </c>
      <c r="E720" s="16">
        <v>78.0</v>
      </c>
      <c r="F720" s="8" t="s">
        <v>903</v>
      </c>
      <c r="G720" s="8" t="s">
        <v>902</v>
      </c>
      <c r="H720" s="8" t="s">
        <v>80</v>
      </c>
      <c r="I720" s="18" t="s">
        <v>2582</v>
      </c>
      <c r="J720" s="16">
        <v>67.0</v>
      </c>
      <c r="K720" s="8" t="s">
        <v>2989</v>
      </c>
      <c r="L720" s="8" t="s">
        <v>2988</v>
      </c>
      <c r="M720" s="18" t="s">
        <v>2620</v>
      </c>
      <c r="N720" s="16">
        <v>77.0</v>
      </c>
      <c r="O720" s="8" t="s">
        <v>4643</v>
      </c>
      <c r="P720" s="8" t="s">
        <v>80</v>
      </c>
      <c r="Q720" s="14" t="s">
        <v>189</v>
      </c>
      <c r="R720" s="8" t="s">
        <v>2600</v>
      </c>
      <c r="S720" s="14" t="s">
        <v>2596</v>
      </c>
    </row>
    <row r="721">
      <c r="A721" s="8" t="s">
        <v>735</v>
      </c>
      <c r="B721" s="8" t="s">
        <v>3857</v>
      </c>
      <c r="C721" s="8" t="s">
        <v>122</v>
      </c>
      <c r="D721" s="18" t="s">
        <v>2562</v>
      </c>
      <c r="E721" s="16">
        <v>67.0</v>
      </c>
      <c r="F721" s="8" t="s">
        <v>2167</v>
      </c>
      <c r="G721" s="8" t="s">
        <v>2166</v>
      </c>
      <c r="H721" s="8" t="s">
        <v>16</v>
      </c>
      <c r="I721" s="18" t="s">
        <v>2615</v>
      </c>
      <c r="J721" s="16">
        <v>75.0</v>
      </c>
      <c r="K721" s="8" t="s">
        <v>172</v>
      </c>
      <c r="L721" s="8" t="s">
        <v>1828</v>
      </c>
      <c r="M721" s="18" t="s">
        <v>2593</v>
      </c>
      <c r="N721" s="16">
        <v>62.0</v>
      </c>
      <c r="O721" s="8" t="s">
        <v>4644</v>
      </c>
      <c r="P721" s="8" t="s">
        <v>70</v>
      </c>
      <c r="Q721" s="14" t="s">
        <v>2459</v>
      </c>
      <c r="R721" s="8" t="s">
        <v>2587</v>
      </c>
      <c r="S721" s="14" t="s">
        <v>2565</v>
      </c>
    </row>
    <row r="722">
      <c r="A722" s="8" t="s">
        <v>917</v>
      </c>
      <c r="B722" s="8" t="s">
        <v>916</v>
      </c>
      <c r="C722" s="8" t="s">
        <v>70</v>
      </c>
      <c r="D722" s="18" t="s">
        <v>2598</v>
      </c>
      <c r="E722" s="16">
        <v>86.0</v>
      </c>
      <c r="F722" s="8" t="s">
        <v>816</v>
      </c>
      <c r="G722" s="8" t="s">
        <v>2064</v>
      </c>
      <c r="H722" s="8" t="s">
        <v>122</v>
      </c>
      <c r="I722" s="18" t="s">
        <v>2615</v>
      </c>
      <c r="J722" s="16">
        <v>79.0</v>
      </c>
      <c r="K722" s="8" t="s">
        <v>172</v>
      </c>
      <c r="L722" s="8" t="s">
        <v>171</v>
      </c>
      <c r="M722" s="18" t="s">
        <v>2645</v>
      </c>
      <c r="N722" s="16">
        <v>83.0</v>
      </c>
      <c r="O722" s="8" t="s">
        <v>4645</v>
      </c>
      <c r="P722" s="8" t="s">
        <v>65</v>
      </c>
      <c r="Q722" s="14" t="s">
        <v>837</v>
      </c>
      <c r="R722" s="8" t="s">
        <v>2614</v>
      </c>
      <c r="S722" s="14" t="s">
        <v>2568</v>
      </c>
    </row>
    <row r="723">
      <c r="A723" s="8" t="s">
        <v>856</v>
      </c>
      <c r="B723" s="8" t="s">
        <v>855</v>
      </c>
      <c r="C723" s="8" t="s">
        <v>70</v>
      </c>
      <c r="D723" s="18" t="s">
        <v>2620</v>
      </c>
      <c r="E723" s="16">
        <v>72.0</v>
      </c>
      <c r="F723" s="8" t="s">
        <v>816</v>
      </c>
      <c r="G723" s="8" t="s">
        <v>815</v>
      </c>
      <c r="H723" s="8" t="s">
        <v>93</v>
      </c>
      <c r="I723" s="18" t="s">
        <v>2598</v>
      </c>
      <c r="J723" s="16">
        <v>89.0</v>
      </c>
      <c r="K723" s="8" t="s">
        <v>172</v>
      </c>
      <c r="L723" s="8" t="s">
        <v>2773</v>
      </c>
      <c r="M723" s="18" t="s">
        <v>2593</v>
      </c>
      <c r="N723" s="16">
        <v>76.0</v>
      </c>
      <c r="O723" s="8" t="s">
        <v>4646</v>
      </c>
      <c r="P723" s="8" t="s">
        <v>186</v>
      </c>
      <c r="Q723" s="14" t="s">
        <v>2459</v>
      </c>
      <c r="R723" s="8" t="s">
        <v>2592</v>
      </c>
      <c r="S723" s="14" t="s">
        <v>2553</v>
      </c>
    </row>
    <row r="724">
      <c r="A724" s="8" t="s">
        <v>3698</v>
      </c>
      <c r="B724" s="8" t="s">
        <v>389</v>
      </c>
      <c r="C724" s="8" t="s">
        <v>93</v>
      </c>
      <c r="D724" s="18" t="s">
        <v>2598</v>
      </c>
      <c r="E724" s="16">
        <v>61.0</v>
      </c>
      <c r="F724" s="8" t="s">
        <v>816</v>
      </c>
      <c r="G724" s="8" t="s">
        <v>956</v>
      </c>
      <c r="H724" s="8" t="s">
        <v>192</v>
      </c>
      <c r="I724" s="18" t="s">
        <v>2572</v>
      </c>
      <c r="J724" s="16">
        <v>67.0</v>
      </c>
      <c r="K724" s="8" t="s">
        <v>31</v>
      </c>
      <c r="L724" s="8" t="s">
        <v>2719</v>
      </c>
      <c r="M724" s="18" t="s">
        <v>2584</v>
      </c>
      <c r="N724" s="16">
        <v>71.0</v>
      </c>
      <c r="O724" s="8" t="s">
        <v>4647</v>
      </c>
      <c r="P724" s="8" t="s">
        <v>53</v>
      </c>
      <c r="Q724" s="14" t="s">
        <v>631</v>
      </c>
      <c r="R724" s="8" t="s">
        <v>2554</v>
      </c>
      <c r="S724" s="14" t="s">
        <v>2553</v>
      </c>
    </row>
    <row r="725">
      <c r="A725" s="8" t="s">
        <v>3358</v>
      </c>
      <c r="B725" s="8" t="s">
        <v>582</v>
      </c>
      <c r="C725" s="8" t="s">
        <v>192</v>
      </c>
      <c r="D725" s="18" t="s">
        <v>2556</v>
      </c>
      <c r="E725" s="16">
        <v>65.0</v>
      </c>
      <c r="F725" s="8" t="s">
        <v>1654</v>
      </c>
      <c r="G725" s="8" t="s">
        <v>1653</v>
      </c>
      <c r="H725" s="8" t="s">
        <v>122</v>
      </c>
      <c r="I725" s="18" t="s">
        <v>2564</v>
      </c>
      <c r="J725" s="16">
        <v>64.0</v>
      </c>
      <c r="K725" s="8" t="s">
        <v>31</v>
      </c>
      <c r="L725" s="8" t="s">
        <v>284</v>
      </c>
      <c r="M725" s="18" t="s">
        <v>2585</v>
      </c>
      <c r="N725" s="16">
        <v>70.0</v>
      </c>
      <c r="O725" s="8" t="s">
        <v>4648</v>
      </c>
      <c r="P725" s="8" t="s">
        <v>70</v>
      </c>
      <c r="Q725" s="14" t="s">
        <v>837</v>
      </c>
      <c r="R725" s="8" t="s">
        <v>2598</v>
      </c>
      <c r="S725" s="14" t="s">
        <v>2596</v>
      </c>
    </row>
    <row r="726">
      <c r="A726" s="8" t="s">
        <v>2450</v>
      </c>
      <c r="B726" s="8" t="s">
        <v>3757</v>
      </c>
      <c r="C726" s="8" t="s">
        <v>70</v>
      </c>
      <c r="D726" s="18" t="s">
        <v>2621</v>
      </c>
      <c r="E726" s="16">
        <v>73.0</v>
      </c>
      <c r="F726" s="8" t="s">
        <v>1082</v>
      </c>
      <c r="G726" s="8" t="s">
        <v>1276</v>
      </c>
      <c r="H726" s="8" t="s">
        <v>65</v>
      </c>
      <c r="I726" s="18" t="s">
        <v>2581</v>
      </c>
      <c r="J726" s="16">
        <v>81.0</v>
      </c>
      <c r="K726" s="8" t="s">
        <v>669</v>
      </c>
      <c r="L726" s="8" t="s">
        <v>3073</v>
      </c>
      <c r="M726" s="18" t="s">
        <v>2615</v>
      </c>
      <c r="N726" s="16">
        <v>75.0</v>
      </c>
      <c r="O726" s="8" t="s">
        <v>4649</v>
      </c>
      <c r="P726" s="8" t="s">
        <v>70</v>
      </c>
      <c r="Q726" s="14" t="s">
        <v>837</v>
      </c>
      <c r="R726" s="8" t="s">
        <v>2620</v>
      </c>
      <c r="S726" s="14" t="s">
        <v>2565</v>
      </c>
    </row>
    <row r="727">
      <c r="A727" s="8" t="s">
        <v>2450</v>
      </c>
      <c r="B727" s="8" t="s">
        <v>582</v>
      </c>
      <c r="C727" s="8" t="s">
        <v>93</v>
      </c>
      <c r="D727" s="18" t="s">
        <v>2556</v>
      </c>
      <c r="E727" s="16">
        <v>61.0</v>
      </c>
      <c r="F727" s="8" t="s">
        <v>1096</v>
      </c>
      <c r="G727" s="8" t="s">
        <v>2927</v>
      </c>
      <c r="H727" s="8" t="s">
        <v>70</v>
      </c>
      <c r="I727" s="18" t="s">
        <v>2558</v>
      </c>
      <c r="J727" s="16">
        <v>66.0</v>
      </c>
      <c r="K727" s="8" t="s">
        <v>669</v>
      </c>
      <c r="L727" s="8" t="s">
        <v>2397</v>
      </c>
      <c r="M727" s="18" t="s">
        <v>2584</v>
      </c>
      <c r="N727" s="16">
        <v>68.0</v>
      </c>
      <c r="O727" s="8" t="s">
        <v>4650</v>
      </c>
      <c r="P727" s="8" t="s">
        <v>122</v>
      </c>
      <c r="Q727" s="14" t="s">
        <v>2459</v>
      </c>
      <c r="R727" s="8" t="s">
        <v>2566</v>
      </c>
      <c r="S727" s="14" t="s">
        <v>2571</v>
      </c>
    </row>
    <row r="728">
      <c r="A728" s="8" t="s">
        <v>2450</v>
      </c>
      <c r="B728" s="8" t="s">
        <v>3359</v>
      </c>
      <c r="C728" s="8" t="s">
        <v>93</v>
      </c>
      <c r="D728" s="18" t="s">
        <v>2560</v>
      </c>
      <c r="E728" s="16">
        <v>68.0</v>
      </c>
      <c r="F728" s="8" t="s">
        <v>1096</v>
      </c>
      <c r="G728" s="8" t="s">
        <v>1095</v>
      </c>
      <c r="H728" s="8" t="s">
        <v>59</v>
      </c>
      <c r="I728" s="18" t="s">
        <v>2592</v>
      </c>
      <c r="J728" s="16">
        <v>62.0</v>
      </c>
      <c r="K728" s="8" t="s">
        <v>669</v>
      </c>
      <c r="L728" s="8" t="s">
        <v>2990</v>
      </c>
      <c r="M728" s="18" t="s">
        <v>2556</v>
      </c>
      <c r="N728" s="16">
        <v>83.0</v>
      </c>
      <c r="O728" s="8" t="s">
        <v>4651</v>
      </c>
      <c r="P728" s="8" t="s">
        <v>70</v>
      </c>
      <c r="Q728" s="14" t="s">
        <v>2296</v>
      </c>
      <c r="R728" s="8" t="s">
        <v>2558</v>
      </c>
      <c r="S728" s="14" t="s">
        <v>2563</v>
      </c>
    </row>
    <row r="729">
      <c r="A729" s="8" t="s">
        <v>2706</v>
      </c>
      <c r="B729" s="8" t="s">
        <v>2064</v>
      </c>
      <c r="C729" s="8" t="s">
        <v>65</v>
      </c>
      <c r="D729" s="18" t="s">
        <v>2614</v>
      </c>
      <c r="E729" s="16">
        <v>90.0</v>
      </c>
      <c r="F729" s="8" t="s">
        <v>217</v>
      </c>
      <c r="G729" s="8" t="s">
        <v>99</v>
      </c>
      <c r="H729" s="8" t="s">
        <v>65</v>
      </c>
      <c r="I729" s="18" t="s">
        <v>2560</v>
      </c>
      <c r="J729" s="16">
        <v>70.0</v>
      </c>
      <c r="K729" s="8" t="s">
        <v>2705</v>
      </c>
      <c r="L729" s="8" t="s">
        <v>106</v>
      </c>
      <c r="M729" s="18" t="s">
        <v>2558</v>
      </c>
      <c r="N729" s="16">
        <v>65.0</v>
      </c>
      <c r="O729" s="8" t="s">
        <v>4652</v>
      </c>
      <c r="P729" s="8" t="s">
        <v>46</v>
      </c>
      <c r="Q729" s="14" t="s">
        <v>1352</v>
      </c>
      <c r="R729" s="8" t="s">
        <v>2598</v>
      </c>
      <c r="S729" s="14" t="s">
        <v>2628</v>
      </c>
    </row>
    <row r="730">
      <c r="A730" s="8" t="s">
        <v>3776</v>
      </c>
      <c r="B730" s="8" t="s">
        <v>765</v>
      </c>
      <c r="C730" s="8" t="s">
        <v>53</v>
      </c>
      <c r="D730" s="18" t="s">
        <v>2183</v>
      </c>
      <c r="E730" s="16">
        <v>65.0</v>
      </c>
      <c r="F730" s="8" t="s">
        <v>217</v>
      </c>
      <c r="G730" s="8" t="s">
        <v>1448</v>
      </c>
      <c r="H730" s="8" t="s">
        <v>65</v>
      </c>
      <c r="I730" s="18" t="s">
        <v>2574</v>
      </c>
      <c r="J730" s="16">
        <v>76.0</v>
      </c>
      <c r="K730" s="8" t="s">
        <v>2731</v>
      </c>
      <c r="L730" s="8" t="s">
        <v>90</v>
      </c>
      <c r="M730" s="18" t="s">
        <v>2572</v>
      </c>
      <c r="N730" s="16">
        <v>64.0</v>
      </c>
      <c r="O730" s="8" t="s">
        <v>4653</v>
      </c>
      <c r="P730" s="8" t="s">
        <v>46</v>
      </c>
      <c r="Q730" s="14" t="s">
        <v>1352</v>
      </c>
      <c r="R730" s="8" t="s">
        <v>2574</v>
      </c>
      <c r="S730" s="14" t="s">
        <v>2580</v>
      </c>
    </row>
    <row r="731">
      <c r="A731" s="8" t="s">
        <v>3068</v>
      </c>
      <c r="B731" s="8" t="s">
        <v>3067</v>
      </c>
      <c r="C731" s="8" t="s">
        <v>192</v>
      </c>
      <c r="D731" s="18" t="s">
        <v>2567</v>
      </c>
      <c r="E731" s="16">
        <v>66.0</v>
      </c>
      <c r="F731" s="8" t="s">
        <v>217</v>
      </c>
      <c r="G731" s="8" t="s">
        <v>918</v>
      </c>
      <c r="H731" s="8" t="s">
        <v>65</v>
      </c>
      <c r="I731" s="18" t="s">
        <v>2598</v>
      </c>
      <c r="J731" s="16">
        <v>62.0</v>
      </c>
      <c r="K731" s="8" t="s">
        <v>1943</v>
      </c>
      <c r="L731" s="8" t="s">
        <v>3007</v>
      </c>
      <c r="M731" s="18" t="s">
        <v>2564</v>
      </c>
      <c r="N731" s="16">
        <v>71.0</v>
      </c>
      <c r="O731" s="8" t="s">
        <v>4654</v>
      </c>
      <c r="P731" s="8" t="s">
        <v>65</v>
      </c>
      <c r="Q731" s="14" t="s">
        <v>2296</v>
      </c>
      <c r="R731" s="8" t="s">
        <v>2552</v>
      </c>
      <c r="S731" s="14" t="s">
        <v>2583</v>
      </c>
    </row>
    <row r="732">
      <c r="A732" s="8" t="s">
        <v>1457</v>
      </c>
      <c r="B732" s="8" t="s">
        <v>3632</v>
      </c>
      <c r="C732" s="8" t="s">
        <v>75</v>
      </c>
      <c r="D732" s="18" t="s">
        <v>2566</v>
      </c>
      <c r="E732" s="16">
        <v>65.0</v>
      </c>
      <c r="F732" s="8" t="s">
        <v>217</v>
      </c>
      <c r="G732" s="8" t="s">
        <v>3340</v>
      </c>
      <c r="H732" s="8" t="s">
        <v>65</v>
      </c>
      <c r="I732" s="18" t="s">
        <v>2600</v>
      </c>
      <c r="J732" s="16">
        <v>63.0</v>
      </c>
      <c r="K732" s="8" t="s">
        <v>1314</v>
      </c>
      <c r="L732" s="8" t="s">
        <v>99</v>
      </c>
      <c r="M732" s="18" t="s">
        <v>2592</v>
      </c>
      <c r="N732" s="16">
        <v>76.0</v>
      </c>
      <c r="O732" s="8" t="s">
        <v>4655</v>
      </c>
      <c r="P732" s="8" t="s">
        <v>46</v>
      </c>
      <c r="Q732" s="14" t="s">
        <v>1352</v>
      </c>
      <c r="R732" s="8" t="s">
        <v>2587</v>
      </c>
      <c r="S732" s="14" t="s">
        <v>2590</v>
      </c>
    </row>
    <row r="733">
      <c r="A733" s="8" t="s">
        <v>1457</v>
      </c>
      <c r="B733" s="8" t="s">
        <v>42</v>
      </c>
      <c r="C733" s="8" t="s">
        <v>53</v>
      </c>
      <c r="D733" s="18" t="s">
        <v>2595</v>
      </c>
      <c r="E733" s="16">
        <v>57.0</v>
      </c>
      <c r="F733" s="8" t="s">
        <v>217</v>
      </c>
      <c r="G733" s="8" t="s">
        <v>2255</v>
      </c>
      <c r="H733" s="8" t="s">
        <v>65</v>
      </c>
      <c r="I733" s="18" t="s">
        <v>2560</v>
      </c>
      <c r="J733" s="16">
        <v>64.0</v>
      </c>
      <c r="K733" s="8" t="s">
        <v>4656</v>
      </c>
      <c r="L733" s="8" t="s">
        <v>535</v>
      </c>
      <c r="M733" s="18" t="s">
        <v>2600</v>
      </c>
      <c r="N733" s="16">
        <v>82.0</v>
      </c>
      <c r="O733" s="8" t="s">
        <v>4657</v>
      </c>
      <c r="P733" s="8" t="s">
        <v>70</v>
      </c>
      <c r="Q733" s="14" t="s">
        <v>631</v>
      </c>
      <c r="R733" s="8" t="s">
        <v>2621</v>
      </c>
      <c r="S733" s="14" t="s">
        <v>2611</v>
      </c>
    </row>
    <row r="734">
      <c r="A734" s="8" t="s">
        <v>744</v>
      </c>
      <c r="B734" s="8" t="s">
        <v>240</v>
      </c>
      <c r="C734" s="8" t="s">
        <v>192</v>
      </c>
      <c r="D734" s="18" t="s">
        <v>2560</v>
      </c>
      <c r="E734" s="16">
        <v>73.0</v>
      </c>
      <c r="F734" s="8" t="s">
        <v>217</v>
      </c>
      <c r="G734" s="8" t="s">
        <v>441</v>
      </c>
      <c r="H734" s="8" t="s">
        <v>215</v>
      </c>
      <c r="I734" s="18" t="s">
        <v>2566</v>
      </c>
      <c r="J734" s="16">
        <v>71.0</v>
      </c>
      <c r="K734" s="8" t="s">
        <v>2863</v>
      </c>
      <c r="L734" s="8" t="s">
        <v>389</v>
      </c>
      <c r="M734" s="18" t="s">
        <v>2603</v>
      </c>
      <c r="N734" s="16">
        <v>71.0</v>
      </c>
      <c r="O734" s="8" t="s">
        <v>4658</v>
      </c>
      <c r="P734" s="8" t="s">
        <v>65</v>
      </c>
      <c r="Q734" s="14" t="s">
        <v>2033</v>
      </c>
      <c r="R734" s="8" t="s">
        <v>2577</v>
      </c>
      <c r="S734" s="14" t="s">
        <v>2557</v>
      </c>
    </row>
    <row r="735">
      <c r="A735" s="8" t="s">
        <v>744</v>
      </c>
      <c r="B735" s="8" t="s">
        <v>263</v>
      </c>
      <c r="C735" s="8" t="s">
        <v>215</v>
      </c>
      <c r="D735" s="18" t="s">
        <v>2581</v>
      </c>
      <c r="E735" s="16">
        <v>68.0</v>
      </c>
      <c r="F735" s="8" t="s">
        <v>217</v>
      </c>
      <c r="G735" s="8" t="s">
        <v>216</v>
      </c>
      <c r="H735" s="8" t="s">
        <v>80</v>
      </c>
      <c r="I735" s="18" t="s">
        <v>2600</v>
      </c>
      <c r="J735" s="16">
        <v>92.0</v>
      </c>
      <c r="K735" s="8" t="s">
        <v>591</v>
      </c>
      <c r="L735" s="8" t="s">
        <v>590</v>
      </c>
      <c r="M735" s="18" t="s">
        <v>2574</v>
      </c>
      <c r="N735" s="16">
        <v>82.0</v>
      </c>
      <c r="O735" s="8" t="s">
        <v>4659</v>
      </c>
      <c r="P735" s="8" t="s">
        <v>93</v>
      </c>
      <c r="Q735" s="14" t="s">
        <v>1679</v>
      </c>
      <c r="R735" s="8" t="s">
        <v>2593</v>
      </c>
      <c r="S735" s="14" t="s">
        <v>2612</v>
      </c>
    </row>
    <row r="736">
      <c r="A736" s="8" t="s">
        <v>744</v>
      </c>
      <c r="B736" s="8" t="s">
        <v>94</v>
      </c>
      <c r="C736" s="8" t="s">
        <v>70</v>
      </c>
      <c r="D736" s="18" t="s">
        <v>2600</v>
      </c>
      <c r="E736" s="16">
        <v>80.0</v>
      </c>
      <c r="F736" s="8" t="s">
        <v>735</v>
      </c>
      <c r="G736" s="8" t="s">
        <v>734</v>
      </c>
      <c r="H736" s="8" t="s">
        <v>53</v>
      </c>
      <c r="I736" s="18" t="s">
        <v>2566</v>
      </c>
      <c r="J736" s="16">
        <v>80.0</v>
      </c>
      <c r="K736" s="8" t="s">
        <v>591</v>
      </c>
      <c r="L736" s="8" t="s">
        <v>590</v>
      </c>
      <c r="M736" s="18" t="s">
        <v>2574</v>
      </c>
      <c r="N736" s="16">
        <v>87.0</v>
      </c>
      <c r="O736" s="8" t="s">
        <v>4660</v>
      </c>
      <c r="P736" s="8" t="s">
        <v>93</v>
      </c>
      <c r="Q736" s="14" t="s">
        <v>135</v>
      </c>
      <c r="R736" s="8" t="s">
        <v>2582</v>
      </c>
      <c r="S736" s="14" t="s">
        <v>2608</v>
      </c>
    </row>
    <row r="737">
      <c r="A737" s="8" t="s">
        <v>744</v>
      </c>
      <c r="B737" s="8" t="s">
        <v>1619</v>
      </c>
      <c r="C737" s="8" t="s">
        <v>24</v>
      </c>
      <c r="D737" s="18" t="s">
        <v>2581</v>
      </c>
      <c r="E737" s="16">
        <v>75.0</v>
      </c>
      <c r="F737" s="8" t="s">
        <v>917</v>
      </c>
      <c r="G737" s="8" t="s">
        <v>916</v>
      </c>
      <c r="H737" s="8" t="s">
        <v>70</v>
      </c>
      <c r="I737" s="18" t="s">
        <v>2598</v>
      </c>
      <c r="J737" s="16">
        <v>89.0</v>
      </c>
      <c r="K737" s="8" t="s">
        <v>1267</v>
      </c>
      <c r="L737" s="8" t="s">
        <v>1427</v>
      </c>
      <c r="M737" s="18" t="s">
        <v>2566</v>
      </c>
      <c r="N737" s="16">
        <v>67.0</v>
      </c>
      <c r="O737" s="8" t="s">
        <v>4661</v>
      </c>
      <c r="P737" s="8" t="s">
        <v>75</v>
      </c>
      <c r="Q737" s="14" t="s">
        <v>338</v>
      </c>
      <c r="R737" s="8" t="s">
        <v>2620</v>
      </c>
      <c r="S737" s="14" t="s">
        <v>2618</v>
      </c>
    </row>
    <row r="738">
      <c r="A738" s="8" t="s">
        <v>2989</v>
      </c>
      <c r="B738" s="8" t="s">
        <v>1279</v>
      </c>
      <c r="C738" s="8" t="s">
        <v>122</v>
      </c>
      <c r="D738" s="18" t="s">
        <v>2610</v>
      </c>
      <c r="E738" s="16">
        <v>73.0</v>
      </c>
      <c r="F738" s="8" t="s">
        <v>856</v>
      </c>
      <c r="G738" s="8" t="s">
        <v>855</v>
      </c>
      <c r="H738" s="8" t="s">
        <v>70</v>
      </c>
      <c r="I738" s="18" t="s">
        <v>2620</v>
      </c>
      <c r="J738" s="16">
        <v>73.0</v>
      </c>
      <c r="K738" s="8" t="s">
        <v>1267</v>
      </c>
      <c r="L738" s="8" t="s">
        <v>1266</v>
      </c>
      <c r="M738" s="18" t="s">
        <v>2584</v>
      </c>
      <c r="N738" s="16">
        <v>77.0</v>
      </c>
      <c r="O738" s="8" t="s">
        <v>4662</v>
      </c>
      <c r="P738" s="8" t="s">
        <v>24</v>
      </c>
      <c r="Q738" s="14" t="s">
        <v>27</v>
      </c>
      <c r="R738" s="8" t="s">
        <v>2554</v>
      </c>
      <c r="S738" s="14" t="s">
        <v>2612</v>
      </c>
    </row>
    <row r="739">
      <c r="A739" s="8" t="s">
        <v>172</v>
      </c>
      <c r="B739" s="8" t="s">
        <v>57</v>
      </c>
      <c r="C739" s="8" t="s">
        <v>186</v>
      </c>
      <c r="D739" s="18" t="s">
        <v>2615</v>
      </c>
      <c r="E739" s="16">
        <v>58.0</v>
      </c>
      <c r="F739" s="8" t="s">
        <v>3358</v>
      </c>
      <c r="G739" s="8" t="s">
        <v>582</v>
      </c>
      <c r="H739" s="8" t="s">
        <v>59</v>
      </c>
      <c r="I739" s="18" t="s">
        <v>2603</v>
      </c>
      <c r="J739" s="16">
        <v>59.0</v>
      </c>
      <c r="K739" s="8" t="s">
        <v>1267</v>
      </c>
      <c r="L739" s="8" t="s">
        <v>208</v>
      </c>
      <c r="M739" s="18" t="s">
        <v>2574</v>
      </c>
      <c r="N739" s="16">
        <v>74.0</v>
      </c>
      <c r="O739" s="8" t="s">
        <v>4663</v>
      </c>
      <c r="P739" s="8" t="s">
        <v>70</v>
      </c>
      <c r="Q739" s="14" t="s">
        <v>1679</v>
      </c>
      <c r="R739" s="8" t="s">
        <v>2564</v>
      </c>
      <c r="S739" s="14" t="s">
        <v>2622</v>
      </c>
    </row>
    <row r="740">
      <c r="A740" s="8" t="s">
        <v>172</v>
      </c>
      <c r="B740" s="8" t="s">
        <v>2773</v>
      </c>
      <c r="C740" s="8" t="s">
        <v>122</v>
      </c>
      <c r="D740" s="18" t="s">
        <v>2593</v>
      </c>
      <c r="E740" s="16">
        <v>74.0</v>
      </c>
      <c r="F740" s="8" t="s">
        <v>2450</v>
      </c>
      <c r="G740" s="8" t="s">
        <v>3359</v>
      </c>
      <c r="H740" s="8" t="s">
        <v>93</v>
      </c>
      <c r="I740" s="18" t="s">
        <v>2560</v>
      </c>
      <c r="J740" s="16">
        <v>67.0</v>
      </c>
      <c r="K740" s="8" t="s">
        <v>387</v>
      </c>
      <c r="L740" s="8" t="s">
        <v>386</v>
      </c>
      <c r="M740" s="18" t="s">
        <v>2605</v>
      </c>
      <c r="N740" s="16">
        <v>61.0</v>
      </c>
      <c r="O740" s="8" t="s">
        <v>4664</v>
      </c>
      <c r="P740" s="8" t="s">
        <v>46</v>
      </c>
      <c r="Q740" s="14" t="s">
        <v>2033</v>
      </c>
      <c r="R740" s="8" t="s">
        <v>2584</v>
      </c>
      <c r="S740" s="14" t="s">
        <v>2612</v>
      </c>
    </row>
    <row r="741">
      <c r="A741" s="8" t="s">
        <v>172</v>
      </c>
      <c r="B741" s="8" t="s">
        <v>171</v>
      </c>
      <c r="C741" s="8" t="s">
        <v>93</v>
      </c>
      <c r="D741" s="18" t="s">
        <v>2566</v>
      </c>
      <c r="E741" s="16">
        <v>87.0</v>
      </c>
      <c r="F741" s="8" t="s">
        <v>2450</v>
      </c>
      <c r="G741" s="8" t="s">
        <v>582</v>
      </c>
      <c r="H741" s="8" t="s">
        <v>93</v>
      </c>
      <c r="I741" s="18" t="s">
        <v>2556</v>
      </c>
      <c r="J741" s="16">
        <v>60.0</v>
      </c>
      <c r="K741" s="8" t="s">
        <v>2306</v>
      </c>
      <c r="L741" s="8" t="s">
        <v>2662</v>
      </c>
      <c r="M741" s="18" t="s">
        <v>2614</v>
      </c>
      <c r="N741" s="16">
        <v>68.0</v>
      </c>
      <c r="O741" s="8" t="s">
        <v>4665</v>
      </c>
      <c r="P741" s="8" t="s">
        <v>24</v>
      </c>
      <c r="Q741" s="14" t="s">
        <v>2296</v>
      </c>
      <c r="R741" s="8" t="s">
        <v>2592</v>
      </c>
      <c r="S741" s="14" t="s">
        <v>2576</v>
      </c>
    </row>
    <row r="742">
      <c r="A742" s="8" t="s">
        <v>31</v>
      </c>
      <c r="B742" s="8" t="s">
        <v>343</v>
      </c>
      <c r="C742" s="8" t="s">
        <v>46</v>
      </c>
      <c r="D742" s="18" t="s">
        <v>2558</v>
      </c>
      <c r="E742" s="16">
        <v>65.0</v>
      </c>
      <c r="F742" s="8" t="s">
        <v>2450</v>
      </c>
      <c r="G742" s="8" t="s">
        <v>3356</v>
      </c>
      <c r="H742" s="8" t="s">
        <v>80</v>
      </c>
      <c r="I742" s="18" t="s">
        <v>2572</v>
      </c>
      <c r="J742" s="16">
        <v>67.0</v>
      </c>
      <c r="K742" s="8" t="s">
        <v>1850</v>
      </c>
      <c r="L742" s="8" t="s">
        <v>389</v>
      </c>
      <c r="M742" s="18" t="s">
        <v>2574</v>
      </c>
      <c r="N742" s="16">
        <v>75.0</v>
      </c>
      <c r="O742" s="8" t="s">
        <v>4666</v>
      </c>
      <c r="P742" s="8" t="s">
        <v>93</v>
      </c>
      <c r="Q742" s="14" t="s">
        <v>2033</v>
      </c>
      <c r="R742" s="8" t="s">
        <v>2615</v>
      </c>
      <c r="S742" s="14" t="s">
        <v>2594</v>
      </c>
    </row>
    <row r="743">
      <c r="A743" s="8" t="s">
        <v>31</v>
      </c>
      <c r="B743" s="8" t="s">
        <v>2719</v>
      </c>
      <c r="C743" s="8" t="s">
        <v>192</v>
      </c>
      <c r="D743" s="18" t="s">
        <v>2554</v>
      </c>
      <c r="E743" s="16">
        <v>70.0</v>
      </c>
      <c r="F743" s="8" t="s">
        <v>2706</v>
      </c>
      <c r="G743" s="8" t="s">
        <v>2064</v>
      </c>
      <c r="H743" s="8" t="s">
        <v>65</v>
      </c>
      <c r="I743" s="18" t="s">
        <v>2614</v>
      </c>
      <c r="J743" s="16">
        <v>91.0</v>
      </c>
      <c r="K743" s="8" t="s">
        <v>1850</v>
      </c>
      <c r="L743" s="8" t="s">
        <v>4667</v>
      </c>
      <c r="M743" s="18" t="s">
        <v>2183</v>
      </c>
      <c r="N743" s="16">
        <v>71.0</v>
      </c>
      <c r="O743" s="8" t="s">
        <v>4668</v>
      </c>
      <c r="P743" s="8" t="s">
        <v>46</v>
      </c>
      <c r="Q743" s="14" t="s">
        <v>1070</v>
      </c>
      <c r="R743" s="8" t="s">
        <v>2592</v>
      </c>
      <c r="S743" s="14" t="s">
        <v>2622</v>
      </c>
    </row>
    <row r="744">
      <c r="A744" s="8" t="s">
        <v>31</v>
      </c>
      <c r="B744" s="8" t="s">
        <v>208</v>
      </c>
      <c r="C744" s="8" t="s">
        <v>70</v>
      </c>
      <c r="D744" s="18" t="s">
        <v>2558</v>
      </c>
      <c r="E744" s="16">
        <v>60.0</v>
      </c>
      <c r="F744" s="8" t="s">
        <v>3068</v>
      </c>
      <c r="G744" s="8" t="s">
        <v>3067</v>
      </c>
      <c r="H744" s="8" t="s">
        <v>192</v>
      </c>
      <c r="I744" s="18" t="s">
        <v>2574</v>
      </c>
      <c r="J744" s="16">
        <v>65.0</v>
      </c>
      <c r="K744" s="8" t="s">
        <v>397</v>
      </c>
      <c r="L744" s="8" t="s">
        <v>1531</v>
      </c>
      <c r="M744" s="18" t="s">
        <v>2560</v>
      </c>
      <c r="N744" s="16">
        <v>63.0</v>
      </c>
      <c r="O744" s="8" t="s">
        <v>4669</v>
      </c>
      <c r="P744" s="8" t="s">
        <v>192</v>
      </c>
      <c r="Q744" s="14" t="s">
        <v>1679</v>
      </c>
      <c r="R744" s="8" t="s">
        <v>2614</v>
      </c>
      <c r="S744" s="14" t="s">
        <v>2609</v>
      </c>
    </row>
    <row r="745">
      <c r="A745" s="8" t="s">
        <v>31</v>
      </c>
      <c r="B745" s="8" t="s">
        <v>284</v>
      </c>
      <c r="C745" s="8" t="s">
        <v>80</v>
      </c>
      <c r="D745" s="18" t="s">
        <v>2615</v>
      </c>
      <c r="E745" s="16">
        <v>70.0</v>
      </c>
      <c r="F745" s="8" t="s">
        <v>3335</v>
      </c>
      <c r="G745" s="8" t="s">
        <v>94</v>
      </c>
      <c r="H745" s="8" t="s">
        <v>65</v>
      </c>
      <c r="I745" s="18" t="s">
        <v>2587</v>
      </c>
      <c r="J745" s="16">
        <v>65.0</v>
      </c>
      <c r="K745" s="8" t="s">
        <v>397</v>
      </c>
      <c r="L745" s="8" t="s">
        <v>396</v>
      </c>
      <c r="M745" s="18" t="s">
        <v>2556</v>
      </c>
      <c r="N745" s="16">
        <v>78.0</v>
      </c>
      <c r="O745" s="8" t="s">
        <v>4670</v>
      </c>
      <c r="P745" s="8" t="s">
        <v>59</v>
      </c>
      <c r="Q745" s="14" t="s">
        <v>459</v>
      </c>
      <c r="R745" s="8" t="s">
        <v>2600</v>
      </c>
      <c r="S745" s="14" t="s">
        <v>2578</v>
      </c>
    </row>
    <row r="746">
      <c r="A746" s="8" t="s">
        <v>31</v>
      </c>
      <c r="B746" s="8" t="s">
        <v>30</v>
      </c>
      <c r="C746" s="8" t="s">
        <v>24</v>
      </c>
      <c r="D746" s="18" t="s">
        <v>2554</v>
      </c>
      <c r="E746" s="16">
        <v>50.0</v>
      </c>
      <c r="F746" s="8" t="s">
        <v>1457</v>
      </c>
      <c r="G746" s="8" t="s">
        <v>698</v>
      </c>
      <c r="H746" s="8" t="s">
        <v>46</v>
      </c>
      <c r="I746" s="18" t="s">
        <v>2564</v>
      </c>
      <c r="J746" s="16">
        <v>64.0</v>
      </c>
      <c r="K746" s="8" t="s">
        <v>397</v>
      </c>
      <c r="L746" s="8" t="s">
        <v>2671</v>
      </c>
      <c r="M746" s="18" t="s">
        <v>2603</v>
      </c>
      <c r="N746" s="16">
        <v>85.0</v>
      </c>
      <c r="O746" s="8" t="s">
        <v>4671</v>
      </c>
      <c r="P746" s="8" t="s">
        <v>122</v>
      </c>
      <c r="Q746" s="14" t="s">
        <v>459</v>
      </c>
      <c r="R746" s="8" t="s">
        <v>2574</v>
      </c>
      <c r="S746" s="14" t="s">
        <v>2586</v>
      </c>
    </row>
    <row r="747">
      <c r="A747" s="8" t="s">
        <v>669</v>
      </c>
      <c r="B747" s="8" t="s">
        <v>106</v>
      </c>
      <c r="C747" s="8" t="s">
        <v>70</v>
      </c>
      <c r="D747" s="18" t="s">
        <v>2600</v>
      </c>
      <c r="E747" s="16">
        <v>76.0</v>
      </c>
      <c r="F747" s="8" t="s">
        <v>744</v>
      </c>
      <c r="G747" s="8" t="s">
        <v>94</v>
      </c>
      <c r="H747" s="8" t="s">
        <v>70</v>
      </c>
      <c r="I747" s="18" t="s">
        <v>2600</v>
      </c>
      <c r="J747" s="16">
        <v>82.0</v>
      </c>
      <c r="K747" s="8" t="s">
        <v>397</v>
      </c>
      <c r="L747" s="8" t="s">
        <v>2671</v>
      </c>
      <c r="M747" s="18" t="s">
        <v>2603</v>
      </c>
      <c r="N747" s="16">
        <v>88.0</v>
      </c>
      <c r="O747" s="8" t="s">
        <v>4672</v>
      </c>
      <c r="P747" s="8" t="s">
        <v>122</v>
      </c>
      <c r="Q747" s="14" t="s">
        <v>2033</v>
      </c>
      <c r="R747" s="8" t="s">
        <v>2584</v>
      </c>
      <c r="S747" s="14" t="s">
        <v>2583</v>
      </c>
    </row>
    <row r="748">
      <c r="A748" s="8" t="s">
        <v>669</v>
      </c>
      <c r="B748" s="8" t="s">
        <v>486</v>
      </c>
      <c r="C748" s="8" t="s">
        <v>186</v>
      </c>
      <c r="D748" s="18" t="s">
        <v>2589</v>
      </c>
      <c r="E748" s="16">
        <v>73.0</v>
      </c>
      <c r="F748" s="8" t="s">
        <v>744</v>
      </c>
      <c r="G748" s="8" t="s">
        <v>1619</v>
      </c>
      <c r="H748" s="8" t="s">
        <v>24</v>
      </c>
      <c r="I748" s="18" t="s">
        <v>2605</v>
      </c>
      <c r="J748" s="16">
        <v>78.0</v>
      </c>
      <c r="K748" s="8" t="s">
        <v>565</v>
      </c>
      <c r="L748" s="8" t="s">
        <v>564</v>
      </c>
      <c r="M748" s="18" t="s">
        <v>2610</v>
      </c>
      <c r="N748" s="16">
        <v>77.0</v>
      </c>
      <c r="O748" s="8" t="s">
        <v>4673</v>
      </c>
      <c r="P748" s="8" t="s">
        <v>93</v>
      </c>
      <c r="Q748" s="14" t="s">
        <v>1352</v>
      </c>
      <c r="R748" s="8" t="s">
        <v>2593</v>
      </c>
      <c r="S748" s="14" t="s">
        <v>2555</v>
      </c>
    </row>
    <row r="749">
      <c r="A749" s="8" t="s">
        <v>669</v>
      </c>
      <c r="B749" s="8" t="s">
        <v>1187</v>
      </c>
      <c r="C749" s="8" t="s">
        <v>46</v>
      </c>
      <c r="D749" s="18" t="s">
        <v>2574</v>
      </c>
      <c r="E749" s="16">
        <v>62.0</v>
      </c>
      <c r="F749" s="8" t="s">
        <v>744</v>
      </c>
      <c r="G749" s="8" t="s">
        <v>263</v>
      </c>
      <c r="H749" s="8" t="s">
        <v>215</v>
      </c>
      <c r="I749" s="18" t="s">
        <v>2603</v>
      </c>
      <c r="J749" s="16">
        <v>68.0</v>
      </c>
      <c r="K749" s="8" t="s">
        <v>2657</v>
      </c>
      <c r="L749" s="8" t="s">
        <v>636</v>
      </c>
      <c r="M749" s="18" t="s">
        <v>2567</v>
      </c>
      <c r="N749" s="16">
        <v>65.0</v>
      </c>
      <c r="O749" s="8" t="s">
        <v>4674</v>
      </c>
      <c r="P749" s="8" t="s">
        <v>93</v>
      </c>
      <c r="Q749" s="14" t="s">
        <v>2033</v>
      </c>
      <c r="R749" s="8" t="s">
        <v>2574</v>
      </c>
      <c r="S749" s="14" t="s">
        <v>2607</v>
      </c>
    </row>
    <row r="750">
      <c r="A750" s="8" t="s">
        <v>669</v>
      </c>
      <c r="B750" s="8" t="s">
        <v>2990</v>
      </c>
      <c r="C750" s="8" t="s">
        <v>46</v>
      </c>
      <c r="D750" s="18" t="s">
        <v>2556</v>
      </c>
      <c r="E750" s="16">
        <v>87.0</v>
      </c>
      <c r="F750" s="8" t="s">
        <v>744</v>
      </c>
      <c r="G750" s="8" t="s">
        <v>1422</v>
      </c>
      <c r="H750" s="8" t="s">
        <v>149</v>
      </c>
      <c r="I750" s="18" t="s">
        <v>2587</v>
      </c>
      <c r="J750" s="16">
        <v>76.0</v>
      </c>
      <c r="K750" s="8" t="s">
        <v>20</v>
      </c>
      <c r="L750" s="8" t="s">
        <v>2872</v>
      </c>
      <c r="M750" s="18" t="s">
        <v>2572</v>
      </c>
      <c r="N750" s="16">
        <v>78.0</v>
      </c>
      <c r="O750" s="8" t="s">
        <v>4675</v>
      </c>
      <c r="P750" s="8" t="s">
        <v>65</v>
      </c>
      <c r="Q750" s="14" t="s">
        <v>1070</v>
      </c>
      <c r="R750" s="8" t="s">
        <v>2577</v>
      </c>
      <c r="S750" s="14" t="s">
        <v>2601</v>
      </c>
    </row>
    <row r="751">
      <c r="A751" s="8" t="s">
        <v>669</v>
      </c>
      <c r="B751" s="8" t="s">
        <v>3073</v>
      </c>
      <c r="C751" s="8" t="s">
        <v>149</v>
      </c>
      <c r="D751" s="18" t="s">
        <v>2620</v>
      </c>
      <c r="E751" s="16">
        <v>72.0</v>
      </c>
      <c r="F751" s="8" t="s">
        <v>2989</v>
      </c>
      <c r="G751" s="8" t="s">
        <v>1279</v>
      </c>
      <c r="H751" s="8" t="s">
        <v>122</v>
      </c>
      <c r="I751" s="18" t="s">
        <v>2620</v>
      </c>
      <c r="J751" s="16">
        <v>74.0</v>
      </c>
      <c r="K751" s="8" t="s">
        <v>20</v>
      </c>
      <c r="L751" s="8" t="s">
        <v>103</v>
      </c>
      <c r="M751" s="18" t="s">
        <v>2615</v>
      </c>
      <c r="N751" s="16">
        <v>73.0</v>
      </c>
      <c r="O751" s="8" t="s">
        <v>4676</v>
      </c>
      <c r="P751" s="8" t="s">
        <v>70</v>
      </c>
      <c r="Q751" s="14" t="s">
        <v>1679</v>
      </c>
      <c r="R751" s="8" t="s">
        <v>2615</v>
      </c>
      <c r="S751" s="14" t="s">
        <v>2579</v>
      </c>
    </row>
    <row r="752">
      <c r="A752" s="8" t="s">
        <v>669</v>
      </c>
      <c r="B752" s="8" t="s">
        <v>1330</v>
      </c>
      <c r="C752" s="8" t="s">
        <v>93</v>
      </c>
      <c r="D752" s="18" t="s">
        <v>2577</v>
      </c>
      <c r="E752" s="16">
        <v>65.0</v>
      </c>
      <c r="F752" s="8" t="s">
        <v>172</v>
      </c>
      <c r="G752" s="8" t="s">
        <v>2773</v>
      </c>
      <c r="H752" s="8" t="s">
        <v>215</v>
      </c>
      <c r="I752" s="18" t="s">
        <v>2593</v>
      </c>
      <c r="J752" s="16">
        <v>78.0</v>
      </c>
      <c r="K752" s="8" t="s">
        <v>20</v>
      </c>
      <c r="L752" s="8" t="s">
        <v>19</v>
      </c>
      <c r="M752" s="18" t="s">
        <v>2595</v>
      </c>
      <c r="N752" s="16">
        <v>86.0</v>
      </c>
      <c r="O752" s="8" t="s">
        <v>4677</v>
      </c>
      <c r="P752" s="8" t="s">
        <v>65</v>
      </c>
      <c r="Q752" s="14" t="s">
        <v>338</v>
      </c>
      <c r="R752" s="8" t="s">
        <v>2600</v>
      </c>
      <c r="S752" s="14" t="s">
        <v>2553</v>
      </c>
    </row>
    <row r="753">
      <c r="A753" s="8" t="s">
        <v>2731</v>
      </c>
      <c r="B753" s="8" t="s">
        <v>90</v>
      </c>
      <c r="C753" s="8" t="s">
        <v>132</v>
      </c>
      <c r="D753" s="18" t="s">
        <v>2572</v>
      </c>
      <c r="E753" s="16">
        <v>61.0</v>
      </c>
      <c r="F753" s="8" t="s">
        <v>172</v>
      </c>
      <c r="G753" s="8" t="s">
        <v>57</v>
      </c>
      <c r="H753" s="8" t="s">
        <v>59</v>
      </c>
      <c r="I753" s="18" t="s">
        <v>2615</v>
      </c>
      <c r="J753" s="16">
        <v>61.0</v>
      </c>
      <c r="K753" s="8" t="s">
        <v>107</v>
      </c>
      <c r="L753" s="8" t="s">
        <v>106</v>
      </c>
      <c r="M753" s="18" t="s">
        <v>2603</v>
      </c>
      <c r="N753" s="16">
        <v>81.0</v>
      </c>
      <c r="O753" s="8" t="s">
        <v>4678</v>
      </c>
      <c r="P753" s="8" t="s">
        <v>138</v>
      </c>
      <c r="Q753" s="14" t="s">
        <v>2296</v>
      </c>
      <c r="R753" s="8" t="s">
        <v>2614</v>
      </c>
      <c r="S753" s="14" t="s">
        <v>2573</v>
      </c>
    </row>
    <row r="754">
      <c r="A754" s="8" t="s">
        <v>2173</v>
      </c>
      <c r="B754" s="8" t="s">
        <v>284</v>
      </c>
      <c r="C754" s="8" t="s">
        <v>38</v>
      </c>
      <c r="D754" s="18" t="s">
        <v>2564</v>
      </c>
      <c r="E754" s="16">
        <v>79.0</v>
      </c>
      <c r="F754" s="8" t="s">
        <v>172</v>
      </c>
      <c r="G754" s="8" t="s">
        <v>171</v>
      </c>
      <c r="H754" s="8" t="s">
        <v>93</v>
      </c>
      <c r="I754" s="18" t="s">
        <v>2566</v>
      </c>
      <c r="J754" s="16">
        <v>89.0</v>
      </c>
      <c r="K754" s="8" t="s">
        <v>1486</v>
      </c>
      <c r="L754" s="8" t="s">
        <v>421</v>
      </c>
      <c r="M754" s="18" t="s">
        <v>2598</v>
      </c>
      <c r="N754" s="16">
        <v>68.0</v>
      </c>
      <c r="O754" s="8" t="s">
        <v>4679</v>
      </c>
      <c r="P754" s="8" t="s">
        <v>132</v>
      </c>
      <c r="Q754" s="14" t="s">
        <v>1679</v>
      </c>
      <c r="R754" s="8" t="s">
        <v>2574</v>
      </c>
      <c r="S754" s="14" t="s">
        <v>2609</v>
      </c>
    </row>
    <row r="755">
      <c r="A755" s="8" t="s">
        <v>1314</v>
      </c>
      <c r="B755" s="8" t="s">
        <v>99</v>
      </c>
      <c r="C755" s="8" t="s">
        <v>46</v>
      </c>
      <c r="D755" s="18" t="s">
        <v>2592</v>
      </c>
      <c r="E755" s="16">
        <v>77.0</v>
      </c>
      <c r="F755" s="8" t="s">
        <v>31</v>
      </c>
      <c r="G755" s="8" t="s">
        <v>2719</v>
      </c>
      <c r="H755" s="8" t="s">
        <v>80</v>
      </c>
      <c r="I755" s="18" t="s">
        <v>2554</v>
      </c>
      <c r="J755" s="16">
        <v>70.0</v>
      </c>
      <c r="K755" s="8" t="s">
        <v>1486</v>
      </c>
      <c r="L755" s="8" t="s">
        <v>2866</v>
      </c>
      <c r="M755" s="18" t="s">
        <v>2615</v>
      </c>
      <c r="N755" s="16">
        <v>78.0</v>
      </c>
      <c r="O755" s="8" t="s">
        <v>4680</v>
      </c>
      <c r="P755" s="8" t="s">
        <v>53</v>
      </c>
      <c r="Q755" s="14" t="s">
        <v>1679</v>
      </c>
      <c r="R755" s="8" t="s">
        <v>2183</v>
      </c>
      <c r="S755" s="14" t="s">
        <v>2557</v>
      </c>
    </row>
    <row r="756">
      <c r="A756" s="8" t="s">
        <v>4656</v>
      </c>
      <c r="B756" s="8" t="s">
        <v>535</v>
      </c>
      <c r="C756" s="8" t="s">
        <v>59</v>
      </c>
      <c r="D756" s="18" t="s">
        <v>2600</v>
      </c>
      <c r="E756" s="16">
        <v>90.0</v>
      </c>
      <c r="F756" s="8" t="s">
        <v>31</v>
      </c>
      <c r="G756" s="8" t="s">
        <v>3201</v>
      </c>
      <c r="H756" s="8" t="s">
        <v>186</v>
      </c>
      <c r="I756" s="18" t="s">
        <v>2564</v>
      </c>
      <c r="J756" s="16">
        <v>57.0</v>
      </c>
      <c r="K756" s="8" t="s">
        <v>1486</v>
      </c>
      <c r="L756" s="8" t="s">
        <v>2761</v>
      </c>
      <c r="M756" s="18" t="s">
        <v>2600</v>
      </c>
      <c r="N756" s="16">
        <v>73.0</v>
      </c>
      <c r="O756" s="8" t="s">
        <v>4681</v>
      </c>
      <c r="P756" s="8" t="s">
        <v>70</v>
      </c>
      <c r="Q756" s="14" t="s">
        <v>338</v>
      </c>
      <c r="R756" s="18" t="s">
        <v>2556</v>
      </c>
      <c r="S756" s="14" t="s">
        <v>2586</v>
      </c>
    </row>
    <row r="757">
      <c r="A757" s="8" t="s">
        <v>2863</v>
      </c>
      <c r="B757" s="8" t="s">
        <v>389</v>
      </c>
      <c r="C757" s="8" t="s">
        <v>93</v>
      </c>
      <c r="D757" s="18" t="s">
        <v>2585</v>
      </c>
      <c r="E757" s="16">
        <v>75.0</v>
      </c>
      <c r="F757" s="8" t="s">
        <v>31</v>
      </c>
      <c r="G757" s="8" t="s">
        <v>343</v>
      </c>
      <c r="H757" s="8" t="s">
        <v>132</v>
      </c>
      <c r="I757" s="18" t="s">
        <v>2558</v>
      </c>
      <c r="J757" s="16">
        <v>67.0</v>
      </c>
      <c r="K757" s="8" t="s">
        <v>1486</v>
      </c>
      <c r="L757" s="8" t="s">
        <v>1776</v>
      </c>
      <c r="M757" s="18" t="s">
        <v>2562</v>
      </c>
      <c r="N757" s="16">
        <v>69.0</v>
      </c>
      <c r="O757" s="8" t="s">
        <v>4682</v>
      </c>
      <c r="P757" s="8" t="s">
        <v>80</v>
      </c>
      <c r="Q757" s="14" t="s">
        <v>1352</v>
      </c>
      <c r="R757" s="8" t="s">
        <v>2560</v>
      </c>
      <c r="S757" s="14" t="s">
        <v>2563</v>
      </c>
    </row>
    <row r="758">
      <c r="A758" s="8" t="s">
        <v>591</v>
      </c>
      <c r="B758" s="8" t="s">
        <v>590</v>
      </c>
      <c r="C758" s="8" t="s">
        <v>122</v>
      </c>
      <c r="D758" s="18" t="s">
        <v>2183</v>
      </c>
      <c r="E758" s="16">
        <v>85.0</v>
      </c>
      <c r="F758" s="8" t="s">
        <v>31</v>
      </c>
      <c r="G758" s="8" t="s">
        <v>284</v>
      </c>
      <c r="H758" s="8" t="s">
        <v>80</v>
      </c>
      <c r="I758" s="18" t="s">
        <v>2585</v>
      </c>
      <c r="J758" s="16">
        <v>69.0</v>
      </c>
      <c r="K758" s="8" t="s">
        <v>1979</v>
      </c>
      <c r="L758" s="8" t="s">
        <v>1978</v>
      </c>
      <c r="M758" s="18" t="s">
        <v>2581</v>
      </c>
      <c r="N758" s="16">
        <v>70.0</v>
      </c>
      <c r="O758" s="8" t="s">
        <v>4683</v>
      </c>
      <c r="P758" s="8" t="s">
        <v>186</v>
      </c>
      <c r="Q758" s="14" t="s">
        <v>2296</v>
      </c>
      <c r="R758" s="8" t="s">
        <v>2585</v>
      </c>
      <c r="S758" s="14" t="s">
        <v>2555</v>
      </c>
    </row>
    <row r="759">
      <c r="A759" s="8" t="s">
        <v>1267</v>
      </c>
      <c r="B759" s="8" t="s">
        <v>1266</v>
      </c>
      <c r="C759" s="8" t="s">
        <v>65</v>
      </c>
      <c r="D759" s="18" t="s">
        <v>2567</v>
      </c>
      <c r="E759" s="16">
        <v>78.0</v>
      </c>
      <c r="F759" s="8" t="s">
        <v>31</v>
      </c>
      <c r="G759" s="8" t="s">
        <v>30</v>
      </c>
      <c r="H759" s="8" t="s">
        <v>24</v>
      </c>
      <c r="I759" s="18" t="s">
        <v>2554</v>
      </c>
      <c r="J759" s="16">
        <v>49.0</v>
      </c>
      <c r="K759" s="8" t="s">
        <v>707</v>
      </c>
      <c r="L759" s="8" t="s">
        <v>706</v>
      </c>
      <c r="M759" s="18" t="s">
        <v>2600</v>
      </c>
      <c r="N759" s="16">
        <v>78.0</v>
      </c>
      <c r="O759" s="8" t="s">
        <v>4684</v>
      </c>
      <c r="P759" s="8" t="s">
        <v>93</v>
      </c>
      <c r="Q759" s="14" t="s">
        <v>459</v>
      </c>
      <c r="R759" s="8" t="s">
        <v>2610</v>
      </c>
      <c r="S759" s="14" t="s">
        <v>2586</v>
      </c>
    </row>
    <row r="760">
      <c r="A760" s="8" t="s">
        <v>3237</v>
      </c>
      <c r="B760" s="8" t="s">
        <v>3620</v>
      </c>
      <c r="C760" s="8" t="s">
        <v>65</v>
      </c>
      <c r="D760" s="18" t="s">
        <v>2592</v>
      </c>
      <c r="E760" s="16">
        <v>64.0</v>
      </c>
      <c r="F760" s="8" t="s">
        <v>669</v>
      </c>
      <c r="G760" s="8" t="s">
        <v>3073</v>
      </c>
      <c r="H760" s="8" t="s">
        <v>46</v>
      </c>
      <c r="I760" s="18" t="s">
        <v>2620</v>
      </c>
      <c r="J760" s="16">
        <v>67.0</v>
      </c>
      <c r="K760" s="8" t="s">
        <v>37</v>
      </c>
      <c r="L760" s="8" t="s">
        <v>715</v>
      </c>
      <c r="M760" s="18" t="s">
        <v>2582</v>
      </c>
      <c r="N760" s="16">
        <v>77.0</v>
      </c>
      <c r="O760" s="8" t="s">
        <v>4685</v>
      </c>
      <c r="P760" s="8" t="s">
        <v>215</v>
      </c>
      <c r="Q760" s="14" t="s">
        <v>2296</v>
      </c>
      <c r="R760" s="8" t="s">
        <v>2620</v>
      </c>
      <c r="S760" s="14" t="s">
        <v>2568</v>
      </c>
    </row>
    <row r="761">
      <c r="A761" s="8" t="s">
        <v>387</v>
      </c>
      <c r="B761" s="8" t="s">
        <v>386</v>
      </c>
      <c r="C761" s="8" t="s">
        <v>65</v>
      </c>
      <c r="D761" s="18" t="s">
        <v>2572</v>
      </c>
      <c r="E761" s="16">
        <v>72.0</v>
      </c>
      <c r="F761" s="8" t="s">
        <v>669</v>
      </c>
      <c r="G761" s="8" t="s">
        <v>2990</v>
      </c>
      <c r="H761" s="8" t="s">
        <v>46</v>
      </c>
      <c r="I761" s="18" t="s">
        <v>2556</v>
      </c>
      <c r="J761" s="16">
        <v>89.0</v>
      </c>
      <c r="K761" s="8" t="s">
        <v>37</v>
      </c>
      <c r="L761" s="8" t="s">
        <v>36</v>
      </c>
      <c r="M761" s="18" t="s">
        <v>2183</v>
      </c>
      <c r="N761" s="16">
        <v>79.0</v>
      </c>
      <c r="O761" s="8" t="s">
        <v>4686</v>
      </c>
      <c r="P761" s="8" t="s">
        <v>16</v>
      </c>
      <c r="Q761" s="14" t="s">
        <v>21</v>
      </c>
      <c r="R761" s="8" t="s">
        <v>2595</v>
      </c>
      <c r="S761" s="14" t="s">
        <v>2559</v>
      </c>
    </row>
    <row r="762">
      <c r="A762" s="8" t="s">
        <v>3283</v>
      </c>
      <c r="B762" s="8" t="s">
        <v>700</v>
      </c>
      <c r="C762" s="8" t="s">
        <v>93</v>
      </c>
      <c r="D762" s="18" t="s">
        <v>2577</v>
      </c>
      <c r="E762" s="16">
        <v>66.0</v>
      </c>
      <c r="F762" s="8" t="s">
        <v>669</v>
      </c>
      <c r="G762" s="8" t="s">
        <v>2397</v>
      </c>
      <c r="H762" s="8" t="s">
        <v>53</v>
      </c>
      <c r="I762" s="18" t="s">
        <v>2575</v>
      </c>
      <c r="J762" s="16">
        <v>59.0</v>
      </c>
      <c r="K762" s="8" t="s">
        <v>273</v>
      </c>
      <c r="L762" s="8" t="s">
        <v>89</v>
      </c>
      <c r="M762" s="18" t="s">
        <v>2556</v>
      </c>
      <c r="N762" s="16">
        <v>71.0</v>
      </c>
      <c r="O762" s="8" t="s">
        <v>4687</v>
      </c>
      <c r="P762" s="8" t="s">
        <v>75</v>
      </c>
      <c r="Q762" s="14" t="s">
        <v>2296</v>
      </c>
      <c r="R762" s="8" t="s">
        <v>2615</v>
      </c>
      <c r="S762" s="14" t="s">
        <v>2583</v>
      </c>
    </row>
    <row r="763">
      <c r="A763" s="8" t="s">
        <v>3662</v>
      </c>
      <c r="B763" s="8" t="s">
        <v>3661</v>
      </c>
      <c r="C763" s="8" t="s">
        <v>65</v>
      </c>
      <c r="D763" s="18" t="s">
        <v>2621</v>
      </c>
      <c r="E763" s="16">
        <v>76.0</v>
      </c>
      <c r="F763" s="8" t="s">
        <v>669</v>
      </c>
      <c r="G763" s="8" t="s">
        <v>1187</v>
      </c>
      <c r="H763" s="8" t="s">
        <v>132</v>
      </c>
      <c r="I763" s="18" t="s">
        <v>2183</v>
      </c>
      <c r="J763" s="16">
        <v>60.0</v>
      </c>
      <c r="K763" s="8" t="s">
        <v>273</v>
      </c>
      <c r="L763" s="8" t="s">
        <v>460</v>
      </c>
      <c r="M763" s="18" t="s">
        <v>2600</v>
      </c>
      <c r="N763" s="16">
        <v>79.0</v>
      </c>
      <c r="O763" s="8" t="s">
        <v>4688</v>
      </c>
      <c r="P763" s="8" t="s">
        <v>16</v>
      </c>
      <c r="Q763" s="14" t="s">
        <v>2296</v>
      </c>
      <c r="R763" s="8" t="s">
        <v>2620</v>
      </c>
      <c r="S763" s="14" t="s">
        <v>2568</v>
      </c>
    </row>
    <row r="764">
      <c r="A764" s="8" t="s">
        <v>397</v>
      </c>
      <c r="B764" s="8" t="s">
        <v>2671</v>
      </c>
      <c r="C764" s="8" t="s">
        <v>65</v>
      </c>
      <c r="D764" s="18" t="s">
        <v>2603</v>
      </c>
      <c r="E764" s="16">
        <v>89.0</v>
      </c>
      <c r="F764" s="8" t="s">
        <v>2705</v>
      </c>
      <c r="G764" s="8" t="s">
        <v>106</v>
      </c>
      <c r="H764" s="8" t="s">
        <v>93</v>
      </c>
      <c r="I764" s="18" t="s">
        <v>2558</v>
      </c>
      <c r="J764" s="16">
        <v>62.0</v>
      </c>
      <c r="K764" s="8" t="s">
        <v>1399</v>
      </c>
      <c r="L764" s="8" t="s">
        <v>2765</v>
      </c>
      <c r="M764" s="18" t="s">
        <v>2560</v>
      </c>
      <c r="N764" s="16">
        <v>68.0</v>
      </c>
      <c r="O764" s="8" t="s">
        <v>4689</v>
      </c>
      <c r="P764" s="8" t="s">
        <v>24</v>
      </c>
      <c r="Q764" s="14" t="s">
        <v>2033</v>
      </c>
      <c r="R764" s="8" t="s">
        <v>2610</v>
      </c>
      <c r="S764" s="14" t="s">
        <v>2573</v>
      </c>
    </row>
    <row r="765">
      <c r="A765" s="8" t="s">
        <v>397</v>
      </c>
      <c r="B765" s="8" t="s">
        <v>3643</v>
      </c>
      <c r="C765" s="8" t="s">
        <v>149</v>
      </c>
      <c r="D765" s="18" t="s">
        <v>2614</v>
      </c>
      <c r="E765" s="16">
        <v>80.0</v>
      </c>
      <c r="F765" s="8" t="s">
        <v>2731</v>
      </c>
      <c r="G765" s="8" t="s">
        <v>90</v>
      </c>
      <c r="H765" s="8" t="s">
        <v>132</v>
      </c>
      <c r="I765" s="18" t="s">
        <v>2572</v>
      </c>
      <c r="J765" s="16">
        <v>63.0</v>
      </c>
      <c r="K765" s="8" t="s">
        <v>1399</v>
      </c>
      <c r="L765" s="8" t="s">
        <v>349</v>
      </c>
      <c r="M765" s="18" t="s">
        <v>2562</v>
      </c>
      <c r="N765" s="16">
        <v>78.0</v>
      </c>
      <c r="O765" s="8" t="s">
        <v>4690</v>
      </c>
      <c r="P765" s="8" t="s">
        <v>16</v>
      </c>
      <c r="Q765" s="14" t="s">
        <v>83</v>
      </c>
      <c r="R765" s="8" t="s">
        <v>2615</v>
      </c>
      <c r="S765" s="14" t="s">
        <v>2609</v>
      </c>
    </row>
    <row r="766">
      <c r="A766" s="8" t="s">
        <v>397</v>
      </c>
      <c r="B766" s="8" t="s">
        <v>396</v>
      </c>
      <c r="C766" s="8" t="s">
        <v>70</v>
      </c>
      <c r="D766" s="18" t="s">
        <v>2592</v>
      </c>
      <c r="E766" s="16">
        <v>90.0</v>
      </c>
      <c r="F766" s="8" t="s">
        <v>1943</v>
      </c>
      <c r="G766" s="8" t="s">
        <v>3007</v>
      </c>
      <c r="H766" s="8" t="s">
        <v>70</v>
      </c>
      <c r="I766" s="18" t="s">
        <v>2564</v>
      </c>
      <c r="J766" s="16">
        <v>73.0</v>
      </c>
      <c r="K766" s="8" t="s">
        <v>1399</v>
      </c>
      <c r="L766" s="8" t="s">
        <v>1398</v>
      </c>
      <c r="M766" s="18" t="s">
        <v>2572</v>
      </c>
      <c r="N766" s="16">
        <v>74.0</v>
      </c>
      <c r="O766" s="8" t="s">
        <v>4691</v>
      </c>
      <c r="P766" s="8" t="s">
        <v>132</v>
      </c>
      <c r="Q766" s="14" t="s">
        <v>2296</v>
      </c>
      <c r="R766" s="8" t="s">
        <v>2552</v>
      </c>
      <c r="S766" s="14" t="s">
        <v>2568</v>
      </c>
    </row>
    <row r="767">
      <c r="A767" s="8" t="s">
        <v>565</v>
      </c>
      <c r="B767" s="8" t="s">
        <v>564</v>
      </c>
      <c r="C767" s="8" t="s">
        <v>93</v>
      </c>
      <c r="D767" s="18" t="s">
        <v>2610</v>
      </c>
      <c r="E767" s="16">
        <v>76.0</v>
      </c>
      <c r="F767" s="8" t="s">
        <v>2173</v>
      </c>
      <c r="G767" s="8" t="s">
        <v>284</v>
      </c>
      <c r="H767" s="8" t="s">
        <v>38</v>
      </c>
      <c r="I767" s="18" t="s">
        <v>2564</v>
      </c>
      <c r="J767" s="16">
        <v>76.0</v>
      </c>
      <c r="K767" s="8" t="s">
        <v>1641</v>
      </c>
      <c r="L767" s="8" t="s">
        <v>62</v>
      </c>
      <c r="M767" s="18" t="s">
        <v>2620</v>
      </c>
      <c r="N767" s="16">
        <v>67.0</v>
      </c>
      <c r="O767" s="8" t="s">
        <v>4692</v>
      </c>
      <c r="P767" s="8" t="s">
        <v>186</v>
      </c>
      <c r="Q767" s="14" t="s">
        <v>1679</v>
      </c>
      <c r="R767" s="8" t="s">
        <v>2572</v>
      </c>
      <c r="S767" s="14" t="s">
        <v>2557</v>
      </c>
    </row>
    <row r="768">
      <c r="A768" s="8" t="s">
        <v>3848</v>
      </c>
      <c r="B768" s="8" t="s">
        <v>99</v>
      </c>
      <c r="C768" s="8" t="s">
        <v>70</v>
      </c>
      <c r="D768" s="18" t="s">
        <v>2572</v>
      </c>
      <c r="E768" s="16">
        <v>61.0</v>
      </c>
      <c r="F768" s="8" t="s">
        <v>1314</v>
      </c>
      <c r="G768" s="8" t="s">
        <v>99</v>
      </c>
      <c r="H768" s="8" t="s">
        <v>46</v>
      </c>
      <c r="I768" s="18" t="s">
        <v>2592</v>
      </c>
      <c r="J768" s="16">
        <v>72.0</v>
      </c>
      <c r="K768" s="18" t="s">
        <v>920</v>
      </c>
      <c r="L768" s="8" t="s">
        <v>2916</v>
      </c>
      <c r="M768" s="18" t="s">
        <v>2556</v>
      </c>
      <c r="N768" s="16">
        <v>73.0</v>
      </c>
      <c r="O768" s="8" t="s">
        <v>4693</v>
      </c>
      <c r="P768" s="8" t="s">
        <v>46</v>
      </c>
      <c r="Q768" s="14" t="s">
        <v>108</v>
      </c>
      <c r="R768" s="8" t="s">
        <v>2603</v>
      </c>
      <c r="S768" s="14" t="s">
        <v>2588</v>
      </c>
    </row>
    <row r="769">
      <c r="A769" s="8" t="s">
        <v>2657</v>
      </c>
      <c r="B769" s="8" t="s">
        <v>636</v>
      </c>
      <c r="C769" s="8" t="s">
        <v>65</v>
      </c>
      <c r="D769" s="18" t="s">
        <v>2585</v>
      </c>
      <c r="E769" s="16">
        <v>62.0</v>
      </c>
      <c r="F769" s="8" t="s">
        <v>4656</v>
      </c>
      <c r="G769" s="8" t="s">
        <v>535</v>
      </c>
      <c r="H769" s="8" t="s">
        <v>186</v>
      </c>
      <c r="I769" s="18" t="s">
        <v>2600</v>
      </c>
      <c r="J769" s="16">
        <v>89.0</v>
      </c>
      <c r="K769" s="18" t="s">
        <v>920</v>
      </c>
      <c r="L769" s="8" t="s">
        <v>689</v>
      </c>
      <c r="M769" s="18" t="s">
        <v>2615</v>
      </c>
      <c r="N769" s="16">
        <v>80.0</v>
      </c>
      <c r="O769" s="8" t="s">
        <v>4694</v>
      </c>
      <c r="P769" s="8" t="s">
        <v>80</v>
      </c>
      <c r="Q769" s="14" t="s">
        <v>2033</v>
      </c>
      <c r="R769" s="8" t="s">
        <v>2600</v>
      </c>
      <c r="S769" s="14" t="s">
        <v>2568</v>
      </c>
    </row>
    <row r="770">
      <c r="A770" s="8" t="s">
        <v>20</v>
      </c>
      <c r="B770" s="8" t="s">
        <v>19</v>
      </c>
      <c r="C770" s="8" t="s">
        <v>16</v>
      </c>
      <c r="D770" s="18" t="s">
        <v>2595</v>
      </c>
      <c r="E770" s="16">
        <v>90.0</v>
      </c>
      <c r="F770" s="8" t="s">
        <v>2863</v>
      </c>
      <c r="G770" s="8" t="s">
        <v>389</v>
      </c>
      <c r="H770" s="8" t="s">
        <v>93</v>
      </c>
      <c r="I770" s="18" t="s">
        <v>2585</v>
      </c>
      <c r="J770" s="16">
        <v>69.0</v>
      </c>
      <c r="K770" s="8" t="s">
        <v>443</v>
      </c>
      <c r="L770" s="8" t="s">
        <v>427</v>
      </c>
      <c r="M770" s="18" t="s">
        <v>2585</v>
      </c>
      <c r="N770" s="16">
        <v>69.0</v>
      </c>
      <c r="O770" s="8" t="s">
        <v>4695</v>
      </c>
      <c r="P770" s="8" t="s">
        <v>59</v>
      </c>
      <c r="Q770" s="14" t="s">
        <v>1679</v>
      </c>
      <c r="R770" s="8" t="s">
        <v>2562</v>
      </c>
      <c r="S770" s="14" t="s">
        <v>2573</v>
      </c>
    </row>
    <row r="771">
      <c r="A771" s="8" t="s">
        <v>20</v>
      </c>
      <c r="B771" s="8" t="s">
        <v>486</v>
      </c>
      <c r="C771" s="8" t="s">
        <v>38</v>
      </c>
      <c r="D771" s="18" t="s">
        <v>2589</v>
      </c>
      <c r="E771" s="16">
        <v>76.0</v>
      </c>
      <c r="F771" s="8" t="s">
        <v>591</v>
      </c>
      <c r="G771" s="8" t="s">
        <v>590</v>
      </c>
      <c r="H771" s="8" t="s">
        <v>122</v>
      </c>
      <c r="I771" s="18" t="s">
        <v>2598</v>
      </c>
      <c r="J771" s="16">
        <v>79.0</v>
      </c>
      <c r="K771" s="8" t="s">
        <v>443</v>
      </c>
      <c r="L771" s="8" t="s">
        <v>3090</v>
      </c>
      <c r="M771" s="18" t="s">
        <v>2603</v>
      </c>
      <c r="N771" s="16">
        <v>87.0</v>
      </c>
      <c r="O771" s="8" t="s">
        <v>4696</v>
      </c>
      <c r="P771" s="8" t="s">
        <v>70</v>
      </c>
      <c r="Q771" s="14" t="s">
        <v>1352</v>
      </c>
      <c r="R771" s="8" t="s">
        <v>2615</v>
      </c>
      <c r="S771" s="14" t="s">
        <v>2607</v>
      </c>
    </row>
    <row r="772">
      <c r="A772" s="8" t="s">
        <v>20</v>
      </c>
      <c r="B772" s="8" t="s">
        <v>3634</v>
      </c>
      <c r="C772" s="8" t="s">
        <v>24</v>
      </c>
      <c r="D772" s="18" t="s">
        <v>2603</v>
      </c>
      <c r="E772" s="16">
        <v>40.0</v>
      </c>
      <c r="F772" s="8" t="s">
        <v>1267</v>
      </c>
      <c r="G772" s="8" t="s">
        <v>1266</v>
      </c>
      <c r="H772" s="8" t="s">
        <v>65</v>
      </c>
      <c r="I772" s="18" t="s">
        <v>2567</v>
      </c>
      <c r="J772" s="16">
        <v>80.0</v>
      </c>
      <c r="K772" s="8" t="s">
        <v>201</v>
      </c>
      <c r="L772" s="8" t="s">
        <v>200</v>
      </c>
      <c r="M772" s="18" t="s">
        <v>2603</v>
      </c>
      <c r="N772" s="16">
        <v>74.0</v>
      </c>
      <c r="O772" s="8" t="s">
        <v>4697</v>
      </c>
      <c r="P772" s="8" t="s">
        <v>53</v>
      </c>
      <c r="Q772" s="14" t="s">
        <v>1352</v>
      </c>
      <c r="R772" s="8" t="s">
        <v>2598</v>
      </c>
      <c r="S772" s="14" t="s">
        <v>2622</v>
      </c>
    </row>
    <row r="773">
      <c r="A773" s="8" t="s">
        <v>20</v>
      </c>
      <c r="B773" s="8" t="s">
        <v>2872</v>
      </c>
      <c r="C773" s="8" t="s">
        <v>38</v>
      </c>
      <c r="D773" s="18" t="s">
        <v>2572</v>
      </c>
      <c r="E773" s="16">
        <v>76.0</v>
      </c>
      <c r="F773" s="8" t="s">
        <v>3237</v>
      </c>
      <c r="G773" s="8" t="s">
        <v>3236</v>
      </c>
      <c r="H773" s="8" t="s">
        <v>65</v>
      </c>
      <c r="I773" s="18" t="s">
        <v>2592</v>
      </c>
      <c r="J773" s="16">
        <v>64.0</v>
      </c>
      <c r="K773" s="8" t="s">
        <v>1347</v>
      </c>
      <c r="L773" s="8" t="s">
        <v>2998</v>
      </c>
      <c r="M773" s="18" t="s">
        <v>2645</v>
      </c>
      <c r="N773" s="16">
        <v>60.0</v>
      </c>
      <c r="O773" s="8" t="s">
        <v>4698</v>
      </c>
      <c r="P773" s="8" t="s">
        <v>93</v>
      </c>
      <c r="Q773" s="14" t="s">
        <v>2296</v>
      </c>
      <c r="R773" s="8" t="s">
        <v>2605</v>
      </c>
      <c r="S773" s="14" t="s">
        <v>2576</v>
      </c>
    </row>
    <row r="774">
      <c r="A774" s="8" t="s">
        <v>20</v>
      </c>
      <c r="B774" s="8" t="s">
        <v>3784</v>
      </c>
      <c r="C774" s="8" t="s">
        <v>141</v>
      </c>
      <c r="D774" s="18" t="s">
        <v>2183</v>
      </c>
      <c r="E774" s="16">
        <v>66.0</v>
      </c>
      <c r="F774" s="8" t="s">
        <v>387</v>
      </c>
      <c r="G774" s="8" t="s">
        <v>386</v>
      </c>
      <c r="H774" s="8" t="s">
        <v>65</v>
      </c>
      <c r="I774" s="18" t="s">
        <v>2572</v>
      </c>
      <c r="J774" s="16">
        <v>76.0</v>
      </c>
      <c r="K774" s="8" t="s">
        <v>1347</v>
      </c>
      <c r="L774" s="8" t="s">
        <v>2009</v>
      </c>
      <c r="M774" s="18" t="s">
        <v>2556</v>
      </c>
      <c r="N774" s="16">
        <v>72.0</v>
      </c>
      <c r="O774" s="8" t="s">
        <v>4699</v>
      </c>
      <c r="P774" s="8" t="s">
        <v>93</v>
      </c>
      <c r="Q774" s="14" t="s">
        <v>1352</v>
      </c>
      <c r="R774" s="8" t="s">
        <v>2552</v>
      </c>
      <c r="S774" s="14" t="s">
        <v>2555</v>
      </c>
    </row>
    <row r="775">
      <c r="A775" s="8" t="s">
        <v>20</v>
      </c>
      <c r="B775" s="8" t="s">
        <v>103</v>
      </c>
      <c r="C775" s="8" t="s">
        <v>16</v>
      </c>
      <c r="D775" s="18" t="s">
        <v>2589</v>
      </c>
      <c r="E775" s="16">
        <v>68.0</v>
      </c>
      <c r="F775" s="8" t="s">
        <v>3283</v>
      </c>
      <c r="G775" s="8" t="s">
        <v>700</v>
      </c>
      <c r="H775" s="8" t="s">
        <v>93</v>
      </c>
      <c r="I775" s="18" t="s">
        <v>2584</v>
      </c>
      <c r="J775" s="16">
        <v>66.0</v>
      </c>
      <c r="K775" s="8" t="s">
        <v>1347</v>
      </c>
      <c r="L775" s="8" t="s">
        <v>1346</v>
      </c>
      <c r="M775" s="18" t="s">
        <v>2587</v>
      </c>
      <c r="N775" s="16">
        <v>73.0</v>
      </c>
      <c r="O775" s="8" t="s">
        <v>4700</v>
      </c>
      <c r="P775" s="8" t="s">
        <v>24</v>
      </c>
      <c r="Q775" s="14" t="s">
        <v>1679</v>
      </c>
      <c r="R775" s="8" t="s">
        <v>2581</v>
      </c>
      <c r="S775" s="14" t="s">
        <v>2568</v>
      </c>
    </row>
    <row r="776">
      <c r="A776" s="8" t="s">
        <v>107</v>
      </c>
      <c r="B776" s="8" t="s">
        <v>106</v>
      </c>
      <c r="C776" s="8" t="s">
        <v>46</v>
      </c>
      <c r="D776" s="18" t="s">
        <v>2562</v>
      </c>
      <c r="E776" s="16">
        <v>86.0</v>
      </c>
      <c r="F776" s="8" t="s">
        <v>1850</v>
      </c>
      <c r="G776" s="8" t="s">
        <v>389</v>
      </c>
      <c r="H776" s="8" t="s">
        <v>132</v>
      </c>
      <c r="I776" s="18" t="s">
        <v>2589</v>
      </c>
      <c r="J776" s="16">
        <v>71.0</v>
      </c>
      <c r="K776" s="8" t="s">
        <v>1347</v>
      </c>
      <c r="L776" s="8" t="s">
        <v>208</v>
      </c>
      <c r="M776" s="18" t="s">
        <v>2605</v>
      </c>
      <c r="N776" s="16">
        <v>77.0</v>
      </c>
      <c r="O776" s="8" t="s">
        <v>4701</v>
      </c>
      <c r="P776" s="8" t="s">
        <v>192</v>
      </c>
      <c r="Q776" s="14" t="s">
        <v>631</v>
      </c>
      <c r="R776" s="8" t="s">
        <v>2600</v>
      </c>
      <c r="S776" s="14" t="s">
        <v>2601</v>
      </c>
    </row>
    <row r="777">
      <c r="A777" s="8" t="s">
        <v>3676</v>
      </c>
      <c r="B777" s="8" t="s">
        <v>89</v>
      </c>
      <c r="C777" s="8" t="s">
        <v>70</v>
      </c>
      <c r="D777" s="18" t="s">
        <v>2585</v>
      </c>
      <c r="E777" s="16">
        <v>70.0</v>
      </c>
      <c r="F777" s="8" t="s">
        <v>397</v>
      </c>
      <c r="G777" s="8" t="s">
        <v>396</v>
      </c>
      <c r="H777" s="8" t="s">
        <v>70</v>
      </c>
      <c r="I777" s="18" t="s">
        <v>2592</v>
      </c>
      <c r="J777" s="16">
        <v>83.0</v>
      </c>
      <c r="K777" s="8" t="s">
        <v>1347</v>
      </c>
      <c r="L777" s="8" t="s">
        <v>1455</v>
      </c>
      <c r="M777" s="18" t="s">
        <v>2605</v>
      </c>
      <c r="N777" s="16">
        <v>76.0</v>
      </c>
      <c r="O777" s="8" t="s">
        <v>4702</v>
      </c>
      <c r="P777" s="8" t="s">
        <v>38</v>
      </c>
      <c r="Q777" s="14" t="s">
        <v>39</v>
      </c>
      <c r="R777" s="8" t="s">
        <v>2183</v>
      </c>
      <c r="S777" s="14" t="s">
        <v>2599</v>
      </c>
    </row>
    <row r="778">
      <c r="A778" s="8" t="s">
        <v>1486</v>
      </c>
      <c r="B778" s="8" t="s">
        <v>3310</v>
      </c>
      <c r="C778" s="8" t="s">
        <v>192</v>
      </c>
      <c r="D778" s="18" t="s">
        <v>2582</v>
      </c>
      <c r="E778" s="16">
        <v>77.0</v>
      </c>
      <c r="F778" s="8" t="s">
        <v>397</v>
      </c>
      <c r="G778" s="8" t="s">
        <v>1531</v>
      </c>
      <c r="H778" s="8" t="s">
        <v>192</v>
      </c>
      <c r="I778" s="18" t="s">
        <v>2560</v>
      </c>
      <c r="J778" s="16">
        <v>60.0</v>
      </c>
      <c r="K778" s="8" t="s">
        <v>3022</v>
      </c>
      <c r="L778" s="8" t="s">
        <v>308</v>
      </c>
      <c r="M778" s="18" t="s">
        <v>2589</v>
      </c>
      <c r="N778" s="16">
        <v>64.0</v>
      </c>
      <c r="O778" s="8" t="s">
        <v>4703</v>
      </c>
      <c r="P778" s="8" t="s">
        <v>12</v>
      </c>
      <c r="Q778" s="14" t="s">
        <v>631</v>
      </c>
      <c r="R778" s="8" t="s">
        <v>2582</v>
      </c>
      <c r="S778" s="14" t="s">
        <v>2601</v>
      </c>
    </row>
    <row r="779">
      <c r="A779" s="8" t="s">
        <v>1486</v>
      </c>
      <c r="B779" s="8" t="s">
        <v>3702</v>
      </c>
      <c r="C779" s="8" t="s">
        <v>70</v>
      </c>
      <c r="D779" s="18" t="s">
        <v>2615</v>
      </c>
      <c r="E779" s="16">
        <v>78.0</v>
      </c>
      <c r="F779" s="8" t="s">
        <v>397</v>
      </c>
      <c r="G779" s="8" t="s">
        <v>2671</v>
      </c>
      <c r="H779" s="8" t="s">
        <v>65</v>
      </c>
      <c r="I779" s="18" t="s">
        <v>2603</v>
      </c>
      <c r="J779" s="16">
        <v>89.0</v>
      </c>
      <c r="K779" s="8" t="s">
        <v>3002</v>
      </c>
      <c r="L779" s="8" t="s">
        <v>1579</v>
      </c>
      <c r="M779" s="18" t="s">
        <v>2593</v>
      </c>
      <c r="N779" s="16">
        <v>65.0</v>
      </c>
      <c r="O779" s="8" t="s">
        <v>4704</v>
      </c>
      <c r="P779" s="8" t="s">
        <v>24</v>
      </c>
      <c r="Q779" s="14" t="s">
        <v>459</v>
      </c>
      <c r="R779" s="8" t="s">
        <v>2581</v>
      </c>
      <c r="S779" s="14" t="s">
        <v>2571</v>
      </c>
    </row>
    <row r="780">
      <c r="A780" s="8" t="s">
        <v>1486</v>
      </c>
      <c r="B780" s="8" t="s">
        <v>78</v>
      </c>
      <c r="C780" s="8" t="s">
        <v>80</v>
      </c>
      <c r="D780" s="18" t="s">
        <v>2587</v>
      </c>
      <c r="E780" s="16">
        <v>76.0</v>
      </c>
      <c r="F780" s="8" t="s">
        <v>565</v>
      </c>
      <c r="G780" s="8" t="s">
        <v>564</v>
      </c>
      <c r="H780" s="8" t="s">
        <v>93</v>
      </c>
      <c r="I780" s="18" t="s">
        <v>2610</v>
      </c>
      <c r="J780" s="16">
        <v>78.0</v>
      </c>
      <c r="K780" s="8" t="s">
        <v>1592</v>
      </c>
      <c r="L780" s="8" t="s">
        <v>305</v>
      </c>
      <c r="M780" s="18" t="s">
        <v>2600</v>
      </c>
      <c r="N780" s="16">
        <v>75.0</v>
      </c>
      <c r="O780" s="8" t="s">
        <v>4705</v>
      </c>
      <c r="P780" s="8" t="s">
        <v>65</v>
      </c>
      <c r="Q780" s="14" t="s">
        <v>237</v>
      </c>
      <c r="R780" s="18" t="s">
        <v>2556</v>
      </c>
      <c r="S780" s="14" t="s">
        <v>2557</v>
      </c>
    </row>
    <row r="781">
      <c r="A781" s="8" t="s">
        <v>707</v>
      </c>
      <c r="B781" s="8" t="s">
        <v>706</v>
      </c>
      <c r="C781" s="8" t="s">
        <v>192</v>
      </c>
      <c r="D781" s="18" t="s">
        <v>2600</v>
      </c>
      <c r="E781" s="16">
        <v>75.0</v>
      </c>
      <c r="F781" s="8" t="s">
        <v>2657</v>
      </c>
      <c r="G781" s="8" t="s">
        <v>636</v>
      </c>
      <c r="H781" s="8" t="s">
        <v>65</v>
      </c>
      <c r="I781" s="18" t="s">
        <v>2562</v>
      </c>
      <c r="J781" s="16">
        <v>62.0</v>
      </c>
      <c r="K781" s="8" t="s">
        <v>29</v>
      </c>
      <c r="L781" s="8" t="s">
        <v>1684</v>
      </c>
      <c r="M781" s="18" t="s">
        <v>2566</v>
      </c>
      <c r="N781" s="16">
        <v>71.0</v>
      </c>
      <c r="O781" s="8" t="s">
        <v>4706</v>
      </c>
      <c r="P781" s="8" t="s">
        <v>16</v>
      </c>
      <c r="Q781" s="14" t="s">
        <v>2296</v>
      </c>
      <c r="R781" s="8" t="s">
        <v>2582</v>
      </c>
      <c r="S781" s="14" t="s">
        <v>2565</v>
      </c>
    </row>
    <row r="782">
      <c r="A782" s="8" t="s">
        <v>37</v>
      </c>
      <c r="B782" s="8" t="s">
        <v>36</v>
      </c>
      <c r="C782" s="8" t="s">
        <v>38</v>
      </c>
      <c r="D782" s="18" t="s">
        <v>2183</v>
      </c>
      <c r="E782" s="16">
        <v>82.0</v>
      </c>
      <c r="F782" s="8" t="s">
        <v>20</v>
      </c>
      <c r="G782" s="8" t="s">
        <v>2872</v>
      </c>
      <c r="H782" s="8" t="s">
        <v>38</v>
      </c>
      <c r="I782" s="18" t="s">
        <v>2572</v>
      </c>
      <c r="J782" s="16">
        <v>72.0</v>
      </c>
      <c r="K782" s="8" t="s">
        <v>29</v>
      </c>
      <c r="L782" s="8" t="s">
        <v>1301</v>
      </c>
      <c r="M782" s="18" t="s">
        <v>2645</v>
      </c>
      <c r="N782" s="16">
        <v>61.0</v>
      </c>
      <c r="O782" s="8" t="s">
        <v>4707</v>
      </c>
      <c r="P782" s="8" t="s">
        <v>70</v>
      </c>
      <c r="Q782" s="14" t="s">
        <v>1352</v>
      </c>
      <c r="R782" s="8" t="s">
        <v>2595</v>
      </c>
      <c r="S782" s="14" t="s">
        <v>2622</v>
      </c>
    </row>
    <row r="783">
      <c r="A783" s="8" t="s">
        <v>37</v>
      </c>
      <c r="B783" s="8" t="s">
        <v>715</v>
      </c>
      <c r="C783" s="8" t="s">
        <v>12</v>
      </c>
      <c r="D783" s="18" t="s">
        <v>2582</v>
      </c>
      <c r="E783" s="16">
        <v>77.0</v>
      </c>
      <c r="F783" s="8" t="s">
        <v>20</v>
      </c>
      <c r="G783" s="8" t="s">
        <v>103</v>
      </c>
      <c r="H783" s="8" t="s">
        <v>16</v>
      </c>
      <c r="I783" s="18" t="s">
        <v>2589</v>
      </c>
      <c r="J783" s="16">
        <v>66.0</v>
      </c>
      <c r="K783" s="8" t="s">
        <v>29</v>
      </c>
      <c r="L783" s="8" t="s">
        <v>1467</v>
      </c>
      <c r="M783" s="18" t="s">
        <v>2585</v>
      </c>
      <c r="N783" s="16">
        <v>71.0</v>
      </c>
      <c r="O783" s="8" t="s">
        <v>4708</v>
      </c>
      <c r="P783" s="8" t="s">
        <v>65</v>
      </c>
      <c r="Q783" s="14" t="s">
        <v>1352</v>
      </c>
      <c r="R783" s="8" t="s">
        <v>2572</v>
      </c>
      <c r="S783" s="14" t="s">
        <v>2557</v>
      </c>
    </row>
    <row r="784">
      <c r="A784" s="8" t="s">
        <v>37</v>
      </c>
      <c r="B784" s="8" t="s">
        <v>3493</v>
      </c>
      <c r="C784" s="8" t="s">
        <v>16</v>
      </c>
      <c r="D784" s="18" t="s">
        <v>2577</v>
      </c>
      <c r="E784" s="16">
        <v>62.0</v>
      </c>
      <c r="F784" s="8" t="s">
        <v>20</v>
      </c>
      <c r="G784" s="8" t="s">
        <v>19</v>
      </c>
      <c r="H784" s="8" t="s">
        <v>16</v>
      </c>
      <c r="I784" s="18" t="s">
        <v>2595</v>
      </c>
      <c r="J784" s="16">
        <v>92.0</v>
      </c>
      <c r="K784" s="8" t="s">
        <v>29</v>
      </c>
      <c r="L784" s="8" t="s">
        <v>28</v>
      </c>
      <c r="M784" s="18" t="s">
        <v>2566</v>
      </c>
      <c r="N784" s="16">
        <v>78.0</v>
      </c>
      <c r="O784" s="8" t="s">
        <v>4709</v>
      </c>
      <c r="P784" s="8" t="s">
        <v>186</v>
      </c>
      <c r="Q784" s="14" t="s">
        <v>1352</v>
      </c>
      <c r="R784" s="8" t="s">
        <v>2562</v>
      </c>
      <c r="S784" s="14" t="s">
        <v>2565</v>
      </c>
    </row>
    <row r="785">
      <c r="A785" s="8" t="s">
        <v>273</v>
      </c>
      <c r="B785" s="8" t="s">
        <v>460</v>
      </c>
      <c r="C785" s="8" t="s">
        <v>24</v>
      </c>
      <c r="D785" s="18" t="s">
        <v>2567</v>
      </c>
      <c r="E785" s="16">
        <v>80.0</v>
      </c>
      <c r="F785" s="8" t="s">
        <v>107</v>
      </c>
      <c r="G785" s="8" t="s">
        <v>106</v>
      </c>
      <c r="H785" s="8" t="s">
        <v>46</v>
      </c>
      <c r="I785" s="18" t="s">
        <v>2562</v>
      </c>
      <c r="J785" s="16">
        <v>86.0</v>
      </c>
      <c r="K785" s="8" t="s">
        <v>1528</v>
      </c>
      <c r="L785" s="8" t="s">
        <v>2020</v>
      </c>
      <c r="M785" s="18" t="s">
        <v>2620</v>
      </c>
      <c r="N785" s="16">
        <v>67.0</v>
      </c>
      <c r="O785" s="8" t="s">
        <v>4710</v>
      </c>
      <c r="P785" s="8" t="s">
        <v>80</v>
      </c>
      <c r="Q785" s="14" t="s">
        <v>1352</v>
      </c>
      <c r="R785" s="8" t="s">
        <v>2620</v>
      </c>
      <c r="S785" s="14" t="s">
        <v>2583</v>
      </c>
    </row>
    <row r="786">
      <c r="A786" s="8" t="s">
        <v>273</v>
      </c>
      <c r="B786" s="8" t="s">
        <v>3284</v>
      </c>
      <c r="C786" s="8" t="s">
        <v>93</v>
      </c>
      <c r="D786" s="18" t="s">
        <v>2584</v>
      </c>
      <c r="E786" s="16">
        <v>74.0</v>
      </c>
      <c r="F786" s="8" t="s">
        <v>1486</v>
      </c>
      <c r="G786" s="8" t="s">
        <v>2866</v>
      </c>
      <c r="H786" s="8" t="s">
        <v>70</v>
      </c>
      <c r="I786" s="18" t="s">
        <v>2615</v>
      </c>
      <c r="J786" s="16">
        <v>80.0</v>
      </c>
      <c r="K786" s="8" t="s">
        <v>1528</v>
      </c>
      <c r="L786" s="8" t="s">
        <v>2135</v>
      </c>
      <c r="M786" s="18" t="s">
        <v>2574</v>
      </c>
      <c r="N786" s="16">
        <v>63.0</v>
      </c>
      <c r="O786" s="18" t="s">
        <v>4711</v>
      </c>
      <c r="P786" s="8" t="s">
        <v>93</v>
      </c>
      <c r="Q786" s="14" t="s">
        <v>837</v>
      </c>
      <c r="R786" s="8" t="s">
        <v>2587</v>
      </c>
      <c r="S786" s="14" t="s">
        <v>2565</v>
      </c>
    </row>
    <row r="787">
      <c r="A787" s="8" t="s">
        <v>273</v>
      </c>
      <c r="B787" s="8" t="s">
        <v>89</v>
      </c>
      <c r="C787" s="8" t="s">
        <v>65</v>
      </c>
      <c r="D787" s="18" t="s">
        <v>2566</v>
      </c>
      <c r="E787" s="16">
        <v>73.0</v>
      </c>
      <c r="F787" s="8" t="s">
        <v>1486</v>
      </c>
      <c r="G787" s="8" t="s">
        <v>421</v>
      </c>
      <c r="H787" s="8" t="s">
        <v>59</v>
      </c>
      <c r="I787" s="18" t="s">
        <v>2598</v>
      </c>
      <c r="J787" s="16">
        <v>71.0</v>
      </c>
      <c r="K787" s="8" t="s">
        <v>1528</v>
      </c>
      <c r="L787" s="8" t="s">
        <v>1944</v>
      </c>
      <c r="M787" s="18" t="s">
        <v>2564</v>
      </c>
      <c r="N787" s="16">
        <v>70.0</v>
      </c>
      <c r="O787" s="18" t="s">
        <v>4712</v>
      </c>
      <c r="P787" s="8" t="s">
        <v>53</v>
      </c>
      <c r="Q787" s="14" t="s">
        <v>1679</v>
      </c>
      <c r="R787" s="8" t="s">
        <v>2567</v>
      </c>
      <c r="S787" s="14" t="s">
        <v>2594</v>
      </c>
    </row>
    <row r="788">
      <c r="A788" s="8" t="s">
        <v>273</v>
      </c>
      <c r="B788" s="8" t="s">
        <v>1330</v>
      </c>
      <c r="C788" s="8" t="s">
        <v>70</v>
      </c>
      <c r="D788" s="18" t="s">
        <v>2554</v>
      </c>
      <c r="E788" s="16">
        <v>65.0</v>
      </c>
      <c r="F788" s="8" t="s">
        <v>1486</v>
      </c>
      <c r="G788" s="8" t="s">
        <v>3310</v>
      </c>
      <c r="H788" s="8" t="s">
        <v>192</v>
      </c>
      <c r="I788" s="18" t="s">
        <v>2566</v>
      </c>
      <c r="J788" s="16">
        <v>75.0</v>
      </c>
      <c r="K788" s="8" t="s">
        <v>1528</v>
      </c>
      <c r="L788" s="8" t="s">
        <v>1527</v>
      </c>
      <c r="M788" s="18" t="s">
        <v>2560</v>
      </c>
      <c r="N788" s="16">
        <v>74.0</v>
      </c>
      <c r="O788" s="8" t="s">
        <v>4713</v>
      </c>
      <c r="P788" s="8" t="s">
        <v>80</v>
      </c>
      <c r="Q788" s="14" t="s">
        <v>338</v>
      </c>
      <c r="R788" s="8" t="s">
        <v>2575</v>
      </c>
      <c r="S788" s="14" t="s">
        <v>2639</v>
      </c>
    </row>
    <row r="789">
      <c r="A789" s="8" t="s">
        <v>3339</v>
      </c>
      <c r="B789" s="8" t="s">
        <v>3338</v>
      </c>
      <c r="C789" s="8" t="s">
        <v>80</v>
      </c>
      <c r="D789" s="18" t="s">
        <v>2572</v>
      </c>
      <c r="E789" s="16">
        <v>79.0</v>
      </c>
      <c r="F789" s="8" t="s">
        <v>707</v>
      </c>
      <c r="G789" s="8" t="s">
        <v>706</v>
      </c>
      <c r="H789" s="8" t="s">
        <v>192</v>
      </c>
      <c r="I789" s="18" t="s">
        <v>2600</v>
      </c>
      <c r="J789" s="16">
        <v>77.0</v>
      </c>
      <c r="K789" s="8" t="s">
        <v>1528</v>
      </c>
      <c r="L789" s="8" t="s">
        <v>42</v>
      </c>
      <c r="M789" s="18" t="s">
        <v>2585</v>
      </c>
      <c r="N789" s="16">
        <v>69.0</v>
      </c>
      <c r="O789" s="8" t="s">
        <v>4714</v>
      </c>
      <c r="P789" s="8" t="s">
        <v>132</v>
      </c>
      <c r="Q789" s="14" t="s">
        <v>459</v>
      </c>
      <c r="R789" s="8" t="s">
        <v>2592</v>
      </c>
      <c r="S789" s="14" t="s">
        <v>2583</v>
      </c>
    </row>
    <row r="790">
      <c r="A790" s="8" t="s">
        <v>1399</v>
      </c>
      <c r="B790" s="8" t="s">
        <v>444</v>
      </c>
      <c r="C790" s="8" t="s">
        <v>16</v>
      </c>
      <c r="D790" s="18" t="s">
        <v>2593</v>
      </c>
      <c r="E790" s="16">
        <v>61.0</v>
      </c>
      <c r="F790" s="8" t="s">
        <v>37</v>
      </c>
      <c r="G790" s="8" t="s">
        <v>715</v>
      </c>
      <c r="H790" s="8" t="s">
        <v>12</v>
      </c>
      <c r="I790" s="18" t="s">
        <v>2582</v>
      </c>
      <c r="J790" s="16">
        <v>74.0</v>
      </c>
      <c r="K790" s="8" t="s">
        <v>1281</v>
      </c>
      <c r="L790" s="8" t="s">
        <v>1280</v>
      </c>
      <c r="M790" s="18" t="s">
        <v>2589</v>
      </c>
      <c r="N790" s="16">
        <v>66.0</v>
      </c>
      <c r="O790" s="8" t="s">
        <v>4715</v>
      </c>
      <c r="P790" s="8" t="s">
        <v>16</v>
      </c>
      <c r="Q790" s="14" t="s">
        <v>2296</v>
      </c>
      <c r="R790" s="8" t="s">
        <v>2572</v>
      </c>
      <c r="S790" s="14" t="s">
        <v>2576</v>
      </c>
    </row>
    <row r="791">
      <c r="A791" s="18" t="s">
        <v>920</v>
      </c>
      <c r="B791" s="8" t="s">
        <v>1085</v>
      </c>
      <c r="C791" s="8" t="s">
        <v>24</v>
      </c>
      <c r="D791" s="18" t="s">
        <v>2615</v>
      </c>
      <c r="E791" s="16">
        <v>65.0</v>
      </c>
      <c r="F791" s="8" t="s">
        <v>37</v>
      </c>
      <c r="G791" s="8" t="s">
        <v>3493</v>
      </c>
      <c r="H791" s="8" t="s">
        <v>16</v>
      </c>
      <c r="I791" s="18" t="s">
        <v>2575</v>
      </c>
      <c r="J791" s="16">
        <v>60.0</v>
      </c>
      <c r="K791" s="8" t="s">
        <v>226</v>
      </c>
      <c r="L791" s="8" t="s">
        <v>225</v>
      </c>
      <c r="M791" s="18" t="s">
        <v>2620</v>
      </c>
      <c r="N791" s="16">
        <v>83.0</v>
      </c>
      <c r="O791" s="8" t="s">
        <v>4716</v>
      </c>
      <c r="P791" s="8" t="s">
        <v>24</v>
      </c>
      <c r="Q791" s="14" t="s">
        <v>189</v>
      </c>
      <c r="R791" s="8" t="s">
        <v>2603</v>
      </c>
      <c r="S791" s="14" t="s">
        <v>2571</v>
      </c>
    </row>
    <row r="792">
      <c r="A792" s="18" t="s">
        <v>920</v>
      </c>
      <c r="B792" s="8" t="s">
        <v>3554</v>
      </c>
      <c r="C792" s="8" t="s">
        <v>93</v>
      </c>
      <c r="D792" s="18" t="s">
        <v>2600</v>
      </c>
      <c r="E792" s="16">
        <v>70.0</v>
      </c>
      <c r="F792" s="8" t="s">
        <v>37</v>
      </c>
      <c r="G792" s="8" t="s">
        <v>36</v>
      </c>
      <c r="H792" s="8" t="s">
        <v>38</v>
      </c>
      <c r="I792" s="18" t="s">
        <v>2183</v>
      </c>
      <c r="J792" s="16">
        <v>81.0</v>
      </c>
      <c r="K792" s="8" t="s">
        <v>226</v>
      </c>
      <c r="L792" s="8" t="s">
        <v>1557</v>
      </c>
      <c r="M792" s="18" t="s">
        <v>2615</v>
      </c>
      <c r="N792" s="16">
        <v>74.0</v>
      </c>
      <c r="O792" s="8" t="s">
        <v>4717</v>
      </c>
      <c r="P792" s="8" t="s">
        <v>122</v>
      </c>
      <c r="Q792" s="14" t="s">
        <v>2459</v>
      </c>
      <c r="R792" s="8" t="s">
        <v>2587</v>
      </c>
      <c r="S792" s="14" t="s">
        <v>2608</v>
      </c>
    </row>
    <row r="793">
      <c r="A793" s="18" t="s">
        <v>920</v>
      </c>
      <c r="B793" s="8" t="s">
        <v>689</v>
      </c>
      <c r="C793" s="8" t="s">
        <v>93</v>
      </c>
      <c r="D793" s="18" t="s">
        <v>2593</v>
      </c>
      <c r="E793" s="16">
        <v>79.0</v>
      </c>
      <c r="F793" s="8" t="s">
        <v>273</v>
      </c>
      <c r="G793" s="8" t="s">
        <v>1330</v>
      </c>
      <c r="H793" s="8" t="s">
        <v>70</v>
      </c>
      <c r="I793" s="18" t="s">
        <v>2554</v>
      </c>
      <c r="J793" s="16">
        <v>68.0</v>
      </c>
      <c r="K793" s="8" t="s">
        <v>226</v>
      </c>
      <c r="L793" s="8" t="s">
        <v>2891</v>
      </c>
      <c r="M793" s="18" t="s">
        <v>2556</v>
      </c>
      <c r="N793" s="16">
        <v>72.0</v>
      </c>
      <c r="O793" s="8" t="s">
        <v>4718</v>
      </c>
      <c r="P793" s="8" t="s">
        <v>122</v>
      </c>
      <c r="Q793" s="14" t="s">
        <v>1352</v>
      </c>
      <c r="R793" s="8" t="s">
        <v>2605</v>
      </c>
      <c r="S793" s="14" t="s">
        <v>2625</v>
      </c>
    </row>
    <row r="794">
      <c r="A794" s="18" t="s">
        <v>920</v>
      </c>
      <c r="B794" s="8" t="s">
        <v>2916</v>
      </c>
      <c r="C794" s="8" t="s">
        <v>16</v>
      </c>
      <c r="D794" s="18" t="s">
        <v>2587</v>
      </c>
      <c r="E794" s="16">
        <v>71.0</v>
      </c>
      <c r="F794" s="8" t="s">
        <v>273</v>
      </c>
      <c r="G794" s="8" t="s">
        <v>62</v>
      </c>
      <c r="H794" s="8" t="s">
        <v>93</v>
      </c>
      <c r="I794" s="18" t="s">
        <v>2600</v>
      </c>
      <c r="J794" s="16">
        <v>61.0</v>
      </c>
      <c r="K794" s="8" t="s">
        <v>2423</v>
      </c>
      <c r="L794" s="8" t="s">
        <v>3072</v>
      </c>
      <c r="M794" s="18" t="s">
        <v>2558</v>
      </c>
      <c r="N794" s="16">
        <v>68.0</v>
      </c>
      <c r="O794" s="8" t="s">
        <v>4719</v>
      </c>
      <c r="P794" s="8" t="s">
        <v>80</v>
      </c>
      <c r="Q794" s="14" t="s">
        <v>1352</v>
      </c>
      <c r="R794" s="8" t="s">
        <v>2605</v>
      </c>
      <c r="S794" s="14" t="s">
        <v>2616</v>
      </c>
    </row>
    <row r="795">
      <c r="A795" s="8" t="s">
        <v>443</v>
      </c>
      <c r="B795" s="8" t="s">
        <v>427</v>
      </c>
      <c r="C795" s="8" t="s">
        <v>122</v>
      </c>
      <c r="D795" s="18" t="s">
        <v>2581</v>
      </c>
      <c r="E795" s="16">
        <v>74.0</v>
      </c>
      <c r="F795" s="8" t="s">
        <v>273</v>
      </c>
      <c r="G795" s="8" t="s">
        <v>460</v>
      </c>
      <c r="H795" s="8" t="s">
        <v>24</v>
      </c>
      <c r="I795" s="18" t="s">
        <v>2600</v>
      </c>
      <c r="J795" s="16">
        <v>80.0</v>
      </c>
      <c r="K795" s="8" t="s">
        <v>1443</v>
      </c>
      <c r="L795" s="8" t="s">
        <v>913</v>
      </c>
      <c r="M795" s="18" t="s">
        <v>2566</v>
      </c>
      <c r="N795" s="16">
        <v>74.0</v>
      </c>
      <c r="O795" s="8" t="s">
        <v>4720</v>
      </c>
      <c r="P795" s="8" t="s">
        <v>122</v>
      </c>
      <c r="Q795" s="14" t="s">
        <v>1679</v>
      </c>
      <c r="R795" s="18" t="s">
        <v>2556</v>
      </c>
      <c r="S795" s="14" t="s">
        <v>2622</v>
      </c>
    </row>
    <row r="796">
      <c r="A796" s="8" t="s">
        <v>443</v>
      </c>
      <c r="B796" s="8" t="s">
        <v>3383</v>
      </c>
      <c r="C796" s="8" t="s">
        <v>138</v>
      </c>
      <c r="D796" s="18" t="s">
        <v>2567</v>
      </c>
      <c r="E796" s="16">
        <v>56.0</v>
      </c>
      <c r="F796" s="8" t="s">
        <v>273</v>
      </c>
      <c r="G796" s="8" t="s">
        <v>89</v>
      </c>
      <c r="H796" s="8" t="s">
        <v>65</v>
      </c>
      <c r="I796" s="18" t="s">
        <v>2566</v>
      </c>
      <c r="J796" s="16">
        <v>71.0</v>
      </c>
      <c r="K796" s="8" t="s">
        <v>129</v>
      </c>
      <c r="L796" s="8" t="s">
        <v>648</v>
      </c>
      <c r="M796" s="18" t="s">
        <v>2183</v>
      </c>
      <c r="N796" s="16">
        <v>87.0</v>
      </c>
      <c r="O796" s="8" t="s">
        <v>4721</v>
      </c>
      <c r="P796" s="8" t="s">
        <v>215</v>
      </c>
      <c r="Q796" s="14" t="s">
        <v>1070</v>
      </c>
      <c r="R796" s="8" t="s">
        <v>2587</v>
      </c>
      <c r="S796" s="14" t="s">
        <v>2557</v>
      </c>
    </row>
    <row r="797">
      <c r="A797" s="8" t="s">
        <v>443</v>
      </c>
      <c r="B797" s="8" t="s">
        <v>3090</v>
      </c>
      <c r="C797" s="8" t="s">
        <v>80</v>
      </c>
      <c r="D797" s="18" t="s">
        <v>2603</v>
      </c>
      <c r="E797" s="16">
        <v>93.0</v>
      </c>
      <c r="F797" s="8" t="s">
        <v>273</v>
      </c>
      <c r="G797" s="8" t="s">
        <v>3284</v>
      </c>
      <c r="H797" s="8" t="s">
        <v>93</v>
      </c>
      <c r="I797" s="18" t="s">
        <v>2564</v>
      </c>
      <c r="J797" s="16">
        <v>71.0</v>
      </c>
      <c r="K797" s="8" t="s">
        <v>129</v>
      </c>
      <c r="L797" s="8" t="s">
        <v>451</v>
      </c>
      <c r="M797" s="18" t="s">
        <v>2552</v>
      </c>
      <c r="N797" s="16">
        <v>69.0</v>
      </c>
      <c r="O797" s="8" t="s">
        <v>4722</v>
      </c>
      <c r="P797" s="8" t="s">
        <v>12</v>
      </c>
      <c r="Q797" s="14" t="s">
        <v>2033</v>
      </c>
      <c r="R797" s="8" t="s">
        <v>2605</v>
      </c>
      <c r="S797" s="14" t="s">
        <v>2622</v>
      </c>
    </row>
    <row r="798">
      <c r="A798" s="8" t="s">
        <v>443</v>
      </c>
      <c r="B798" s="8" t="s">
        <v>613</v>
      </c>
      <c r="C798" s="8" t="s">
        <v>132</v>
      </c>
      <c r="D798" s="18" t="s">
        <v>2589</v>
      </c>
      <c r="E798" s="16">
        <v>74.0</v>
      </c>
      <c r="F798" s="8" t="s">
        <v>3339</v>
      </c>
      <c r="G798" s="8" t="s">
        <v>3338</v>
      </c>
      <c r="H798" s="8" t="s">
        <v>80</v>
      </c>
      <c r="I798" s="18" t="s">
        <v>2572</v>
      </c>
      <c r="J798" s="16">
        <v>81.0</v>
      </c>
      <c r="K798" s="8" t="s">
        <v>129</v>
      </c>
      <c r="L798" s="8" t="s">
        <v>1599</v>
      </c>
      <c r="M798" s="18" t="s">
        <v>2598</v>
      </c>
      <c r="N798" s="16">
        <v>71.0</v>
      </c>
      <c r="O798" s="8" t="s">
        <v>4723</v>
      </c>
      <c r="P798" s="8" t="s">
        <v>59</v>
      </c>
      <c r="Q798" s="14" t="s">
        <v>837</v>
      </c>
      <c r="R798" s="8" t="s">
        <v>2574</v>
      </c>
      <c r="S798" s="14" t="s">
        <v>2583</v>
      </c>
    </row>
    <row r="799">
      <c r="A799" s="8" t="s">
        <v>443</v>
      </c>
      <c r="B799" s="8" t="s">
        <v>3905</v>
      </c>
      <c r="C799" s="8" t="s">
        <v>80</v>
      </c>
      <c r="D799" s="18" t="s">
        <v>2584</v>
      </c>
      <c r="E799" s="16">
        <v>68.0</v>
      </c>
      <c r="F799" s="8" t="s">
        <v>1399</v>
      </c>
      <c r="G799" s="8" t="s">
        <v>349</v>
      </c>
      <c r="H799" s="8" t="s">
        <v>186</v>
      </c>
      <c r="I799" s="18" t="s">
        <v>2562</v>
      </c>
      <c r="J799" s="16">
        <v>61.0</v>
      </c>
      <c r="K799" s="8" t="s">
        <v>129</v>
      </c>
      <c r="L799" s="8" t="s">
        <v>1428</v>
      </c>
      <c r="M799" s="18" t="s">
        <v>2645</v>
      </c>
      <c r="N799" s="16">
        <v>61.0</v>
      </c>
      <c r="O799" s="8" t="s">
        <v>4724</v>
      </c>
      <c r="P799" s="8" t="s">
        <v>186</v>
      </c>
      <c r="Q799" s="14" t="s">
        <v>1352</v>
      </c>
      <c r="R799" s="8" t="s">
        <v>2600</v>
      </c>
      <c r="S799" s="14" t="s">
        <v>2573</v>
      </c>
    </row>
    <row r="800">
      <c r="A800" s="8" t="s">
        <v>201</v>
      </c>
      <c r="B800" s="8" t="s">
        <v>200</v>
      </c>
      <c r="C800" s="8" t="s">
        <v>24</v>
      </c>
      <c r="D800" s="18" t="s">
        <v>2574</v>
      </c>
      <c r="E800" s="16">
        <v>72.0</v>
      </c>
      <c r="F800" s="8" t="s">
        <v>1399</v>
      </c>
      <c r="G800" s="8" t="s">
        <v>2765</v>
      </c>
      <c r="H800" s="8" t="s">
        <v>59</v>
      </c>
      <c r="I800" s="18" t="s">
        <v>2560</v>
      </c>
      <c r="J800" s="16">
        <v>64.0</v>
      </c>
      <c r="K800" s="8" t="s">
        <v>129</v>
      </c>
      <c r="L800" s="8" t="s">
        <v>128</v>
      </c>
      <c r="M800" s="18" t="s">
        <v>2575</v>
      </c>
      <c r="N800" s="16">
        <v>81.0</v>
      </c>
      <c r="O800" s="8" t="s">
        <v>4725</v>
      </c>
      <c r="P800" s="8" t="s">
        <v>132</v>
      </c>
      <c r="Q800" s="14" t="s">
        <v>2033</v>
      </c>
      <c r="R800" s="8" t="s">
        <v>2558</v>
      </c>
      <c r="S800" s="14" t="s">
        <v>2557</v>
      </c>
    </row>
    <row r="801">
      <c r="A801" s="8" t="s">
        <v>201</v>
      </c>
      <c r="B801" s="8" t="s">
        <v>3413</v>
      </c>
      <c r="C801" s="8" t="s">
        <v>80</v>
      </c>
      <c r="D801" s="18" t="s">
        <v>2564</v>
      </c>
      <c r="E801" s="16">
        <v>70.0</v>
      </c>
      <c r="F801" s="18" t="s">
        <v>920</v>
      </c>
      <c r="G801" s="8" t="s">
        <v>2916</v>
      </c>
      <c r="H801" s="8" t="s">
        <v>16</v>
      </c>
      <c r="I801" s="18" t="s">
        <v>2556</v>
      </c>
      <c r="J801" s="16">
        <v>70.0</v>
      </c>
      <c r="K801" s="8" t="s">
        <v>129</v>
      </c>
      <c r="L801" s="8" t="s">
        <v>570</v>
      </c>
      <c r="M801" s="18" t="s">
        <v>2605</v>
      </c>
      <c r="N801" s="16">
        <v>66.0</v>
      </c>
      <c r="O801" s="8" t="s">
        <v>4726</v>
      </c>
      <c r="P801" s="8" t="s">
        <v>122</v>
      </c>
      <c r="Q801" s="14" t="s">
        <v>1352</v>
      </c>
      <c r="R801" s="8" t="s">
        <v>2584</v>
      </c>
      <c r="S801" s="14" t="s">
        <v>2555</v>
      </c>
    </row>
    <row r="802">
      <c r="A802" s="8" t="s">
        <v>201</v>
      </c>
      <c r="B802" s="8" t="s">
        <v>3449</v>
      </c>
      <c r="C802" s="8" t="s">
        <v>215</v>
      </c>
      <c r="D802" s="18" t="s">
        <v>2589</v>
      </c>
      <c r="E802" s="16">
        <v>62.0</v>
      </c>
      <c r="F802" s="18" t="s">
        <v>920</v>
      </c>
      <c r="G802" s="8" t="s">
        <v>689</v>
      </c>
      <c r="H802" s="8" t="s">
        <v>93</v>
      </c>
      <c r="I802" s="18" t="s">
        <v>2593</v>
      </c>
      <c r="J802" s="16">
        <v>74.0</v>
      </c>
      <c r="K802" s="8" t="s">
        <v>129</v>
      </c>
      <c r="L802" s="8" t="s">
        <v>767</v>
      </c>
      <c r="M802" s="18" t="s">
        <v>2183</v>
      </c>
      <c r="N802" s="16">
        <v>65.0</v>
      </c>
      <c r="O802" s="8" t="s">
        <v>4727</v>
      </c>
      <c r="P802" s="8" t="s">
        <v>93</v>
      </c>
      <c r="Q802" s="14" t="s">
        <v>1679</v>
      </c>
      <c r="R802" s="8" t="s">
        <v>2595</v>
      </c>
      <c r="S802" s="14" t="s">
        <v>2571</v>
      </c>
    </row>
    <row r="803">
      <c r="A803" s="8" t="s">
        <v>1347</v>
      </c>
      <c r="B803" s="8" t="s">
        <v>1455</v>
      </c>
      <c r="C803" s="8" t="s">
        <v>122</v>
      </c>
      <c r="D803" s="18" t="s">
        <v>2605</v>
      </c>
      <c r="E803" s="16">
        <v>76.0</v>
      </c>
      <c r="F803" s="8" t="s">
        <v>443</v>
      </c>
      <c r="G803" s="8" t="s">
        <v>3503</v>
      </c>
      <c r="H803" s="8" t="s">
        <v>192</v>
      </c>
      <c r="I803" s="18" t="s">
        <v>2582</v>
      </c>
      <c r="J803" s="16">
        <v>66.0</v>
      </c>
      <c r="K803" s="8" t="s">
        <v>129</v>
      </c>
      <c r="L803" s="8" t="s">
        <v>1303</v>
      </c>
      <c r="M803" s="18" t="s">
        <v>2600</v>
      </c>
      <c r="N803" s="16">
        <v>73.0</v>
      </c>
      <c r="O803" s="8" t="s">
        <v>4728</v>
      </c>
      <c r="P803" s="8" t="s">
        <v>53</v>
      </c>
      <c r="Q803" s="14" t="s">
        <v>1352</v>
      </c>
      <c r="R803" s="8" t="s">
        <v>2587</v>
      </c>
      <c r="S803" s="14" t="s">
        <v>2573</v>
      </c>
    </row>
    <row r="804">
      <c r="A804" s="8" t="s">
        <v>1347</v>
      </c>
      <c r="B804" s="8" t="s">
        <v>3327</v>
      </c>
      <c r="C804" s="8" t="s">
        <v>70</v>
      </c>
      <c r="D804" s="18" t="s">
        <v>2558</v>
      </c>
      <c r="E804" s="16">
        <v>83.0</v>
      </c>
      <c r="F804" s="8" t="s">
        <v>443</v>
      </c>
      <c r="G804" s="8" t="s">
        <v>3383</v>
      </c>
      <c r="H804" s="8" t="s">
        <v>138</v>
      </c>
      <c r="I804" s="18" t="s">
        <v>2183</v>
      </c>
      <c r="J804" s="16">
        <v>57.0</v>
      </c>
      <c r="K804" s="8" t="s">
        <v>129</v>
      </c>
      <c r="L804" s="8" t="s">
        <v>681</v>
      </c>
      <c r="M804" s="18" t="s">
        <v>2183</v>
      </c>
      <c r="N804" s="16">
        <v>77.0</v>
      </c>
      <c r="O804" s="8" t="s">
        <v>4729</v>
      </c>
      <c r="P804" s="8" t="s">
        <v>16</v>
      </c>
      <c r="Q804" s="14" t="s">
        <v>27</v>
      </c>
      <c r="R804" s="8" t="s">
        <v>2566</v>
      </c>
      <c r="S804" s="14" t="s">
        <v>2565</v>
      </c>
    </row>
    <row r="805">
      <c r="A805" s="8" t="s">
        <v>1347</v>
      </c>
      <c r="B805" s="8" t="s">
        <v>2998</v>
      </c>
      <c r="C805" s="8" t="s">
        <v>192</v>
      </c>
      <c r="D805" s="18" t="s">
        <v>2562</v>
      </c>
      <c r="E805" s="16">
        <v>70.0</v>
      </c>
      <c r="F805" s="8" t="s">
        <v>443</v>
      </c>
      <c r="G805" s="8" t="s">
        <v>427</v>
      </c>
      <c r="H805" s="8" t="s">
        <v>122</v>
      </c>
      <c r="I805" s="18" t="s">
        <v>2585</v>
      </c>
      <c r="J805" s="16">
        <v>72.0</v>
      </c>
      <c r="K805" s="8" t="s">
        <v>129</v>
      </c>
      <c r="L805" s="8" t="s">
        <v>732</v>
      </c>
      <c r="M805" s="18" t="s">
        <v>2552</v>
      </c>
      <c r="N805" s="16">
        <v>81.0</v>
      </c>
      <c r="O805" s="8" t="s">
        <v>4730</v>
      </c>
      <c r="P805" s="8" t="s">
        <v>65</v>
      </c>
      <c r="Q805" s="14" t="s">
        <v>1070</v>
      </c>
      <c r="R805" s="8" t="s">
        <v>2577</v>
      </c>
      <c r="S805" s="14" t="s">
        <v>2602</v>
      </c>
    </row>
    <row r="806">
      <c r="A806" s="8" t="s">
        <v>1347</v>
      </c>
      <c r="B806" s="8" t="s">
        <v>3825</v>
      </c>
      <c r="C806" s="8" t="s">
        <v>65</v>
      </c>
      <c r="D806" s="18" t="s">
        <v>2605</v>
      </c>
      <c r="E806" s="16">
        <v>77.0</v>
      </c>
      <c r="F806" s="8" t="s">
        <v>443</v>
      </c>
      <c r="G806" s="8" t="s">
        <v>3090</v>
      </c>
      <c r="H806" s="8" t="s">
        <v>80</v>
      </c>
      <c r="I806" s="18" t="s">
        <v>2603</v>
      </c>
      <c r="J806" s="16">
        <v>94.0</v>
      </c>
      <c r="K806" s="8" t="s">
        <v>129</v>
      </c>
      <c r="L806" s="8" t="s">
        <v>99</v>
      </c>
      <c r="M806" s="18" t="s">
        <v>2581</v>
      </c>
      <c r="N806" s="16">
        <v>65.0</v>
      </c>
      <c r="O806" s="8" t="s">
        <v>4731</v>
      </c>
      <c r="P806" s="8" t="s">
        <v>70</v>
      </c>
      <c r="Q806" s="14" t="s">
        <v>2459</v>
      </c>
      <c r="R806" s="8" t="s">
        <v>2574</v>
      </c>
      <c r="S806" s="14" t="s">
        <v>2555</v>
      </c>
    </row>
    <row r="807">
      <c r="A807" s="8" t="s">
        <v>1347</v>
      </c>
      <c r="B807" s="8" t="s">
        <v>1346</v>
      </c>
      <c r="C807" s="8" t="s">
        <v>215</v>
      </c>
      <c r="D807" s="18" t="s">
        <v>2620</v>
      </c>
      <c r="E807" s="16">
        <v>62.0</v>
      </c>
      <c r="F807" s="8" t="s">
        <v>443</v>
      </c>
      <c r="G807" s="8" t="s">
        <v>613</v>
      </c>
      <c r="H807" s="8" t="s">
        <v>75</v>
      </c>
      <c r="I807" s="18" t="s">
        <v>2584</v>
      </c>
      <c r="J807" s="16">
        <v>70.0</v>
      </c>
      <c r="K807" s="8" t="s">
        <v>129</v>
      </c>
      <c r="L807" s="8" t="s">
        <v>1012</v>
      </c>
      <c r="M807" s="18" t="s">
        <v>2645</v>
      </c>
      <c r="N807" s="16">
        <v>79.0</v>
      </c>
      <c r="O807" s="8" t="s">
        <v>4732</v>
      </c>
      <c r="P807" s="8" t="s">
        <v>70</v>
      </c>
      <c r="Q807" s="14" t="s">
        <v>2033</v>
      </c>
      <c r="R807" s="8" t="s">
        <v>2574</v>
      </c>
      <c r="S807" s="14" t="s">
        <v>2606</v>
      </c>
    </row>
    <row r="808">
      <c r="A808" s="8" t="s">
        <v>3022</v>
      </c>
      <c r="B808" s="8" t="s">
        <v>308</v>
      </c>
      <c r="C808" s="8" t="s">
        <v>53</v>
      </c>
      <c r="D808" s="18" t="s">
        <v>2552</v>
      </c>
      <c r="E808" s="16">
        <v>56.0</v>
      </c>
      <c r="F808" s="8" t="s">
        <v>201</v>
      </c>
      <c r="G808" s="8" t="s">
        <v>3449</v>
      </c>
      <c r="H808" s="8" t="s">
        <v>138</v>
      </c>
      <c r="I808" s="18" t="s">
        <v>2589</v>
      </c>
      <c r="J808" s="16">
        <v>62.0</v>
      </c>
      <c r="K808" s="8" t="s">
        <v>129</v>
      </c>
      <c r="L808" s="8" t="s">
        <v>1161</v>
      </c>
      <c r="M808" s="18" t="s">
        <v>2567</v>
      </c>
      <c r="N808" s="16">
        <v>81.0</v>
      </c>
      <c r="O808" s="8" t="s">
        <v>4733</v>
      </c>
      <c r="P808" s="8" t="s">
        <v>59</v>
      </c>
      <c r="Q808" s="14" t="s">
        <v>2033</v>
      </c>
      <c r="R808" s="8" t="s">
        <v>2585</v>
      </c>
      <c r="S808" s="14" t="s">
        <v>2563</v>
      </c>
    </row>
    <row r="809">
      <c r="A809" s="8" t="s">
        <v>3250</v>
      </c>
      <c r="B809" s="8" t="s">
        <v>1170</v>
      </c>
      <c r="C809" s="8" t="s">
        <v>215</v>
      </c>
      <c r="D809" s="18" t="s">
        <v>2605</v>
      </c>
      <c r="E809" s="16">
        <v>67.0</v>
      </c>
      <c r="F809" s="8" t="s">
        <v>201</v>
      </c>
      <c r="G809" s="8" t="s">
        <v>3413</v>
      </c>
      <c r="H809" s="8" t="s">
        <v>80</v>
      </c>
      <c r="I809" s="18" t="s">
        <v>2615</v>
      </c>
      <c r="J809" s="16">
        <v>68.0</v>
      </c>
      <c r="K809" s="8" t="s">
        <v>129</v>
      </c>
      <c r="L809" s="8" t="s">
        <v>1041</v>
      </c>
      <c r="M809" s="18" t="s">
        <v>2560</v>
      </c>
      <c r="N809" s="16">
        <v>70.0</v>
      </c>
      <c r="O809" s="8" t="s">
        <v>4734</v>
      </c>
      <c r="P809" s="8" t="s">
        <v>70</v>
      </c>
      <c r="Q809" s="14" t="s">
        <v>1352</v>
      </c>
      <c r="R809" s="8" t="s">
        <v>2560</v>
      </c>
      <c r="S809" s="14" t="s">
        <v>2557</v>
      </c>
    </row>
    <row r="810">
      <c r="A810" s="8" t="s">
        <v>1592</v>
      </c>
      <c r="B810" s="8" t="s">
        <v>305</v>
      </c>
      <c r="C810" s="8" t="s">
        <v>186</v>
      </c>
      <c r="D810" s="18" t="s">
        <v>2600</v>
      </c>
      <c r="E810" s="16">
        <v>65.0</v>
      </c>
      <c r="F810" s="8" t="s">
        <v>201</v>
      </c>
      <c r="G810" s="8" t="s">
        <v>200</v>
      </c>
      <c r="H810" s="8" t="s">
        <v>24</v>
      </c>
      <c r="I810" s="18" t="s">
        <v>2574</v>
      </c>
      <c r="J810" s="16">
        <v>70.0</v>
      </c>
      <c r="K810" s="8" t="s">
        <v>129</v>
      </c>
      <c r="L810" s="8" t="s">
        <v>42</v>
      </c>
      <c r="M810" s="18" t="s">
        <v>2600</v>
      </c>
      <c r="N810" s="16">
        <v>70.0</v>
      </c>
      <c r="O810" s="8" t="s">
        <v>4735</v>
      </c>
      <c r="P810" s="8" t="s">
        <v>149</v>
      </c>
      <c r="Q810" s="14" t="s">
        <v>2033</v>
      </c>
      <c r="R810" s="8" t="s">
        <v>2603</v>
      </c>
      <c r="S810" s="14" t="s">
        <v>2618</v>
      </c>
    </row>
    <row r="811">
      <c r="A811" s="8" t="s">
        <v>29</v>
      </c>
      <c r="B811" s="8" t="s">
        <v>1684</v>
      </c>
      <c r="C811" s="8" t="s">
        <v>93</v>
      </c>
      <c r="D811" s="18" t="s">
        <v>2566</v>
      </c>
      <c r="E811" s="16">
        <v>76.0</v>
      </c>
      <c r="F811" s="8" t="s">
        <v>1347</v>
      </c>
      <c r="G811" s="8" t="s">
        <v>1346</v>
      </c>
      <c r="H811" s="8" t="s">
        <v>138</v>
      </c>
      <c r="I811" s="18" t="s">
        <v>2587</v>
      </c>
      <c r="J811" s="16">
        <v>63.0</v>
      </c>
      <c r="K811" s="8" t="s">
        <v>527</v>
      </c>
      <c r="L811" s="8" t="s">
        <v>3082</v>
      </c>
      <c r="M811" s="18" t="s">
        <v>2567</v>
      </c>
      <c r="N811" s="16">
        <v>66.0</v>
      </c>
      <c r="O811" s="8" t="s">
        <v>4736</v>
      </c>
      <c r="P811" s="8" t="s">
        <v>138</v>
      </c>
      <c r="Q811" s="14" t="s">
        <v>1679</v>
      </c>
      <c r="R811" s="8" t="s">
        <v>2574</v>
      </c>
      <c r="S811" s="14" t="s">
        <v>2576</v>
      </c>
    </row>
    <row r="812">
      <c r="A812" s="8" t="s">
        <v>29</v>
      </c>
      <c r="B812" s="8" t="s">
        <v>1467</v>
      </c>
      <c r="C812" s="8" t="s">
        <v>59</v>
      </c>
      <c r="D812" s="18" t="s">
        <v>2585</v>
      </c>
      <c r="E812" s="16">
        <v>70.0</v>
      </c>
      <c r="F812" s="8" t="s">
        <v>1347</v>
      </c>
      <c r="G812" s="8" t="s">
        <v>208</v>
      </c>
      <c r="H812" s="8" t="s">
        <v>192</v>
      </c>
      <c r="I812" s="18" t="s">
        <v>2605</v>
      </c>
      <c r="J812" s="16">
        <v>71.0</v>
      </c>
      <c r="K812" s="8" t="s">
        <v>527</v>
      </c>
      <c r="L812" s="8" t="s">
        <v>1524</v>
      </c>
      <c r="M812" s="18" t="s">
        <v>2585</v>
      </c>
      <c r="N812" s="16">
        <v>69.0</v>
      </c>
      <c r="O812" s="8" t="s">
        <v>4737</v>
      </c>
      <c r="P812" s="8" t="s">
        <v>261</v>
      </c>
      <c r="Q812" s="14" t="s">
        <v>1679</v>
      </c>
      <c r="R812" s="8" t="s">
        <v>2582</v>
      </c>
      <c r="S812" s="14" t="s">
        <v>2576</v>
      </c>
    </row>
    <row r="813">
      <c r="A813" s="8" t="s">
        <v>29</v>
      </c>
      <c r="B813" s="8" t="s">
        <v>28</v>
      </c>
      <c r="C813" s="8" t="s">
        <v>16</v>
      </c>
      <c r="D813" s="18" t="s">
        <v>2566</v>
      </c>
      <c r="E813" s="16">
        <v>81.0</v>
      </c>
      <c r="F813" s="8" t="s">
        <v>1347</v>
      </c>
      <c r="G813" s="8" t="s">
        <v>1455</v>
      </c>
      <c r="H813" s="8" t="s">
        <v>122</v>
      </c>
      <c r="I813" s="18" t="s">
        <v>2605</v>
      </c>
      <c r="J813" s="16">
        <v>81.0</v>
      </c>
      <c r="K813" s="8" t="s">
        <v>527</v>
      </c>
      <c r="L813" s="8" t="s">
        <v>89</v>
      </c>
      <c r="M813" s="18" t="s">
        <v>2556</v>
      </c>
      <c r="N813" s="16">
        <v>64.0</v>
      </c>
      <c r="O813" s="8" t="s">
        <v>4738</v>
      </c>
      <c r="P813" s="8" t="s">
        <v>132</v>
      </c>
      <c r="Q813" s="14" t="s">
        <v>1679</v>
      </c>
      <c r="R813" s="8" t="s">
        <v>2620</v>
      </c>
      <c r="S813" s="14" t="s">
        <v>2563</v>
      </c>
    </row>
    <row r="814">
      <c r="A814" s="8" t="s">
        <v>3233</v>
      </c>
      <c r="B814" s="8" t="s">
        <v>3232</v>
      </c>
      <c r="C814" s="8" t="s">
        <v>53</v>
      </c>
      <c r="D814" s="18" t="s">
        <v>2575</v>
      </c>
      <c r="E814" s="16">
        <v>87.0</v>
      </c>
      <c r="F814" s="8" t="s">
        <v>1347</v>
      </c>
      <c r="G814" s="8" t="s">
        <v>2009</v>
      </c>
      <c r="H814" s="8" t="s">
        <v>138</v>
      </c>
      <c r="I814" s="18" t="s">
        <v>2556</v>
      </c>
      <c r="J814" s="16">
        <v>69.0</v>
      </c>
      <c r="K814" s="8" t="s">
        <v>1940</v>
      </c>
      <c r="L814" s="8" t="s">
        <v>1939</v>
      </c>
      <c r="M814" s="18" t="s">
        <v>2603</v>
      </c>
      <c r="N814" s="16">
        <v>70.0</v>
      </c>
      <c r="O814" s="8" t="s">
        <v>4739</v>
      </c>
      <c r="P814" s="8" t="s">
        <v>261</v>
      </c>
      <c r="Q814" s="14" t="s">
        <v>1070</v>
      </c>
      <c r="R814" s="8" t="s">
        <v>2566</v>
      </c>
      <c r="S814" s="14" t="s">
        <v>2622</v>
      </c>
    </row>
    <row r="815">
      <c r="A815" s="8" t="s">
        <v>226</v>
      </c>
      <c r="B815" s="8" t="s">
        <v>2891</v>
      </c>
      <c r="C815" s="8" t="s">
        <v>59</v>
      </c>
      <c r="D815" s="18" t="s">
        <v>2552</v>
      </c>
      <c r="E815" s="16">
        <v>72.0</v>
      </c>
      <c r="F815" s="8" t="s">
        <v>1347</v>
      </c>
      <c r="G815" s="8" t="s">
        <v>3327</v>
      </c>
      <c r="H815" s="8" t="s">
        <v>70</v>
      </c>
      <c r="I815" s="18" t="s">
        <v>2603</v>
      </c>
      <c r="J815" s="16">
        <v>82.0</v>
      </c>
      <c r="K815" s="8" t="s">
        <v>1940</v>
      </c>
      <c r="L815" s="8" t="s">
        <v>3129</v>
      </c>
      <c r="M815" s="18" t="s">
        <v>2593</v>
      </c>
      <c r="N815" s="16">
        <v>71.0</v>
      </c>
      <c r="O815" s="8" t="s">
        <v>4740</v>
      </c>
      <c r="P815" s="8" t="s">
        <v>65</v>
      </c>
      <c r="Q815" s="14" t="s">
        <v>2296</v>
      </c>
      <c r="R815" s="8" t="s">
        <v>2605</v>
      </c>
      <c r="S815" s="14" t="s">
        <v>2568</v>
      </c>
    </row>
    <row r="816">
      <c r="A816" s="8" t="s">
        <v>226</v>
      </c>
      <c r="B816" s="8" t="s">
        <v>1557</v>
      </c>
      <c r="C816" s="8" t="s">
        <v>53</v>
      </c>
      <c r="D816" s="18" t="s">
        <v>2615</v>
      </c>
      <c r="E816" s="16">
        <v>72.0</v>
      </c>
      <c r="F816" s="8" t="s">
        <v>1347</v>
      </c>
      <c r="G816" s="8" t="s">
        <v>2998</v>
      </c>
      <c r="H816" s="8" t="s">
        <v>192</v>
      </c>
      <c r="I816" s="18" t="s">
        <v>2562</v>
      </c>
      <c r="J816" s="16">
        <v>74.0</v>
      </c>
      <c r="K816" s="8" t="s">
        <v>1940</v>
      </c>
      <c r="L816" s="8" t="s">
        <v>500</v>
      </c>
      <c r="M816" s="18" t="s">
        <v>2566</v>
      </c>
      <c r="N816" s="16">
        <v>64.0</v>
      </c>
      <c r="O816" s="8" t="s">
        <v>4741</v>
      </c>
      <c r="P816" s="8" t="s">
        <v>53</v>
      </c>
      <c r="Q816" s="14" t="s">
        <v>2296</v>
      </c>
      <c r="R816" s="8" t="s">
        <v>2572</v>
      </c>
      <c r="S816" s="14" t="s">
        <v>2555</v>
      </c>
    </row>
    <row r="817">
      <c r="A817" s="8" t="s">
        <v>226</v>
      </c>
      <c r="B817" s="8" t="s">
        <v>225</v>
      </c>
      <c r="C817" s="8" t="s">
        <v>65</v>
      </c>
      <c r="D817" s="18" t="s">
        <v>2620</v>
      </c>
      <c r="E817" s="16">
        <v>88.0</v>
      </c>
      <c r="F817" s="8" t="s">
        <v>3022</v>
      </c>
      <c r="G817" s="8" t="s">
        <v>308</v>
      </c>
      <c r="H817" s="8" t="s">
        <v>53</v>
      </c>
      <c r="I817" s="18" t="s">
        <v>2552</v>
      </c>
      <c r="J817" s="16">
        <v>56.0</v>
      </c>
      <c r="K817" s="8" t="s">
        <v>177</v>
      </c>
      <c r="L817" s="8" t="s">
        <v>1094</v>
      </c>
      <c r="M817" s="18" t="s">
        <v>2589</v>
      </c>
      <c r="N817" s="16">
        <v>73.0</v>
      </c>
      <c r="O817" s="8" t="s">
        <v>4742</v>
      </c>
      <c r="P817" s="8" t="s">
        <v>59</v>
      </c>
      <c r="Q817" s="14" t="s">
        <v>2296</v>
      </c>
      <c r="R817" s="8" t="s">
        <v>2603</v>
      </c>
      <c r="S817" s="14" t="s">
        <v>2609</v>
      </c>
    </row>
    <row r="818">
      <c r="A818" s="8" t="s">
        <v>3205</v>
      </c>
      <c r="B818" s="8" t="s">
        <v>3204</v>
      </c>
      <c r="C818" s="8" t="s">
        <v>149</v>
      </c>
      <c r="D818" s="18" t="s">
        <v>2566</v>
      </c>
      <c r="E818" s="16">
        <v>66.0</v>
      </c>
      <c r="F818" s="8" t="s">
        <v>3314</v>
      </c>
      <c r="G818" s="8" t="s">
        <v>208</v>
      </c>
      <c r="H818" s="8" t="s">
        <v>186</v>
      </c>
      <c r="I818" s="18" t="s">
        <v>2567</v>
      </c>
      <c r="J818" s="16">
        <v>65.0</v>
      </c>
      <c r="K818" s="8" t="s">
        <v>177</v>
      </c>
      <c r="L818" s="8" t="s">
        <v>1371</v>
      </c>
      <c r="M818" s="18" t="s">
        <v>2574</v>
      </c>
      <c r="N818" s="16">
        <v>65.0</v>
      </c>
      <c r="O818" s="8" t="s">
        <v>4743</v>
      </c>
      <c r="P818" s="8" t="s">
        <v>138</v>
      </c>
      <c r="Q818" s="14" t="s">
        <v>1352</v>
      </c>
      <c r="R818" s="8" t="s">
        <v>2183</v>
      </c>
      <c r="S818" s="14" t="s">
        <v>2571</v>
      </c>
    </row>
    <row r="819">
      <c r="A819" s="8" t="s">
        <v>1443</v>
      </c>
      <c r="B819" s="8" t="s">
        <v>913</v>
      </c>
      <c r="C819" s="8" t="s">
        <v>46</v>
      </c>
      <c r="D819" s="18" t="s">
        <v>2566</v>
      </c>
      <c r="E819" s="16">
        <v>76.0</v>
      </c>
      <c r="F819" s="8" t="s">
        <v>3250</v>
      </c>
      <c r="G819" s="8" t="s">
        <v>1170</v>
      </c>
      <c r="H819" s="8" t="s">
        <v>215</v>
      </c>
      <c r="I819" s="18" t="s">
        <v>2554</v>
      </c>
      <c r="J819" s="16">
        <v>67.0</v>
      </c>
      <c r="K819" s="8" t="s">
        <v>177</v>
      </c>
      <c r="L819" s="8" t="s">
        <v>99</v>
      </c>
      <c r="M819" s="18" t="s">
        <v>2592</v>
      </c>
      <c r="N819" s="16">
        <v>77.0</v>
      </c>
      <c r="O819" s="8" t="s">
        <v>4744</v>
      </c>
      <c r="P819" s="8" t="s">
        <v>65</v>
      </c>
      <c r="Q819" s="14" t="s">
        <v>189</v>
      </c>
      <c r="R819" s="8" t="s">
        <v>2620</v>
      </c>
      <c r="S819" s="14" t="s">
        <v>2613</v>
      </c>
    </row>
    <row r="820">
      <c r="A820" s="8" t="s">
        <v>129</v>
      </c>
      <c r="B820" s="8" t="s">
        <v>648</v>
      </c>
      <c r="C820" s="8" t="s">
        <v>80</v>
      </c>
      <c r="D820" s="18" t="s">
        <v>2183</v>
      </c>
      <c r="E820" s="16">
        <v>93.0</v>
      </c>
      <c r="F820" s="8" t="s">
        <v>3002</v>
      </c>
      <c r="G820" s="8" t="s">
        <v>1579</v>
      </c>
      <c r="H820" s="8" t="s">
        <v>59</v>
      </c>
      <c r="I820" s="18" t="s">
        <v>2593</v>
      </c>
      <c r="J820" s="16">
        <v>66.0</v>
      </c>
      <c r="K820" s="8" t="s">
        <v>177</v>
      </c>
      <c r="L820" s="8" t="s">
        <v>1781</v>
      </c>
      <c r="M820" s="18" t="s">
        <v>2566</v>
      </c>
      <c r="N820" s="16">
        <v>81.0</v>
      </c>
      <c r="O820" s="8" t="s">
        <v>4745</v>
      </c>
      <c r="P820" s="8" t="s">
        <v>186</v>
      </c>
      <c r="Q820" s="14" t="s">
        <v>1679</v>
      </c>
      <c r="R820" s="8" t="s">
        <v>2592</v>
      </c>
      <c r="S820" s="14" t="s">
        <v>2606</v>
      </c>
    </row>
    <row r="821">
      <c r="A821" s="8" t="s">
        <v>129</v>
      </c>
      <c r="B821" s="8" t="s">
        <v>1428</v>
      </c>
      <c r="C821" s="8" t="s">
        <v>65</v>
      </c>
      <c r="D821" s="18" t="s">
        <v>2560</v>
      </c>
      <c r="E821" s="16">
        <v>87.0</v>
      </c>
      <c r="F821" s="8" t="s">
        <v>1592</v>
      </c>
      <c r="G821" s="8" t="s">
        <v>305</v>
      </c>
      <c r="H821" s="8" t="s">
        <v>53</v>
      </c>
      <c r="I821" s="18" t="s">
        <v>2600</v>
      </c>
      <c r="J821" s="16">
        <v>75.0</v>
      </c>
      <c r="K821" s="8" t="s">
        <v>272</v>
      </c>
      <c r="L821" s="8" t="s">
        <v>271</v>
      </c>
      <c r="M821" s="18" t="s">
        <v>2552</v>
      </c>
      <c r="N821" s="16">
        <v>86.0</v>
      </c>
      <c r="O821" s="8" t="s">
        <v>4746</v>
      </c>
      <c r="P821" s="8" t="s">
        <v>65</v>
      </c>
      <c r="Q821" s="14" t="s">
        <v>2296</v>
      </c>
      <c r="R821" s="8" t="s">
        <v>2558</v>
      </c>
      <c r="S821" s="14" t="s">
        <v>2563</v>
      </c>
    </row>
    <row r="822">
      <c r="A822" s="8" t="s">
        <v>129</v>
      </c>
      <c r="B822" s="8" t="s">
        <v>1161</v>
      </c>
      <c r="C822" s="8" t="s">
        <v>24</v>
      </c>
      <c r="D822" s="18" t="s">
        <v>2554</v>
      </c>
      <c r="E822" s="16">
        <v>76.0</v>
      </c>
      <c r="F822" s="8" t="s">
        <v>29</v>
      </c>
      <c r="G822" s="8" t="s">
        <v>1301</v>
      </c>
      <c r="H822" s="8" t="s">
        <v>65</v>
      </c>
      <c r="I822" s="18" t="s">
        <v>2577</v>
      </c>
      <c r="J822" s="16">
        <v>76.0</v>
      </c>
      <c r="K822" s="8" t="s">
        <v>342</v>
      </c>
      <c r="L822" s="8" t="s">
        <v>341</v>
      </c>
      <c r="M822" s="18" t="s">
        <v>2554</v>
      </c>
      <c r="N822" s="16">
        <v>80.0</v>
      </c>
      <c r="O822" s="8" t="s">
        <v>4747</v>
      </c>
      <c r="P822" s="8" t="s">
        <v>75</v>
      </c>
      <c r="Q822" s="14" t="s">
        <v>1352</v>
      </c>
      <c r="R822" s="8" t="s">
        <v>2582</v>
      </c>
      <c r="S822" s="14" t="s">
        <v>2579</v>
      </c>
    </row>
    <row r="823">
      <c r="A823" s="8" t="s">
        <v>129</v>
      </c>
      <c r="B823" s="8" t="s">
        <v>681</v>
      </c>
      <c r="C823" s="8" t="s">
        <v>46</v>
      </c>
      <c r="D823" s="18" t="s">
        <v>2183</v>
      </c>
      <c r="E823" s="16">
        <v>78.0</v>
      </c>
      <c r="F823" s="8" t="s">
        <v>29</v>
      </c>
      <c r="G823" s="8" t="s">
        <v>1684</v>
      </c>
      <c r="H823" s="8" t="s">
        <v>93</v>
      </c>
      <c r="I823" s="18" t="s">
        <v>2566</v>
      </c>
      <c r="J823" s="16">
        <v>77.0</v>
      </c>
      <c r="K823" s="8" t="s">
        <v>342</v>
      </c>
      <c r="L823" s="8" t="s">
        <v>897</v>
      </c>
      <c r="M823" s="18" t="s">
        <v>2614</v>
      </c>
      <c r="N823" s="16">
        <v>86.0</v>
      </c>
      <c r="O823" s="8" t="s">
        <v>4748</v>
      </c>
      <c r="P823" s="8" t="s">
        <v>24</v>
      </c>
      <c r="Q823" s="14" t="s">
        <v>1070</v>
      </c>
      <c r="R823" s="8" t="s">
        <v>2567</v>
      </c>
      <c r="S823" s="14" t="s">
        <v>2633</v>
      </c>
    </row>
    <row r="824">
      <c r="A824" s="8" t="s">
        <v>129</v>
      </c>
      <c r="B824" s="8" t="s">
        <v>732</v>
      </c>
      <c r="C824" s="8" t="s">
        <v>186</v>
      </c>
      <c r="D824" s="18" t="s">
        <v>2552</v>
      </c>
      <c r="E824" s="16">
        <v>76.0</v>
      </c>
      <c r="F824" s="8" t="s">
        <v>29</v>
      </c>
      <c r="G824" s="8" t="s">
        <v>1467</v>
      </c>
      <c r="H824" s="8" t="s">
        <v>53</v>
      </c>
      <c r="I824" s="18" t="s">
        <v>2585</v>
      </c>
      <c r="J824" s="16">
        <v>69.0</v>
      </c>
      <c r="K824" s="8" t="s">
        <v>1540</v>
      </c>
      <c r="L824" s="8" t="s">
        <v>1539</v>
      </c>
      <c r="M824" s="18" t="s">
        <v>2582</v>
      </c>
      <c r="N824" s="16">
        <v>73.0</v>
      </c>
      <c r="O824" s="8" t="s">
        <v>4749</v>
      </c>
      <c r="P824" s="8" t="s">
        <v>46</v>
      </c>
      <c r="Q824" s="14" t="s">
        <v>631</v>
      </c>
      <c r="R824" s="8" t="s">
        <v>2183</v>
      </c>
      <c r="S824" s="14" t="s">
        <v>2553</v>
      </c>
    </row>
    <row r="825">
      <c r="A825" s="8" t="s">
        <v>129</v>
      </c>
      <c r="B825" s="8" t="s">
        <v>570</v>
      </c>
      <c r="C825" s="8" t="s">
        <v>141</v>
      </c>
      <c r="D825" s="18" t="s">
        <v>2593</v>
      </c>
      <c r="E825" s="16">
        <v>66.0</v>
      </c>
      <c r="F825" s="8" t="s">
        <v>29</v>
      </c>
      <c r="G825" s="8" t="s">
        <v>28</v>
      </c>
      <c r="H825" s="8" t="s">
        <v>16</v>
      </c>
      <c r="I825" s="18" t="s">
        <v>2566</v>
      </c>
      <c r="J825" s="16">
        <v>80.0</v>
      </c>
      <c r="K825" s="8" t="s">
        <v>3063</v>
      </c>
      <c r="L825" s="8" t="s">
        <v>3062</v>
      </c>
      <c r="M825" s="18" t="s">
        <v>2582</v>
      </c>
      <c r="N825" s="16">
        <v>62.0</v>
      </c>
      <c r="O825" s="8" t="s">
        <v>4750</v>
      </c>
      <c r="P825" s="8" t="s">
        <v>186</v>
      </c>
      <c r="Q825" s="14" t="s">
        <v>837</v>
      </c>
      <c r="R825" s="8" t="s">
        <v>2552</v>
      </c>
      <c r="S825" s="14" t="s">
        <v>2586</v>
      </c>
    </row>
    <row r="826">
      <c r="A826" s="8" t="s">
        <v>129</v>
      </c>
      <c r="B826" s="8" t="s">
        <v>767</v>
      </c>
      <c r="C826" s="8" t="s">
        <v>93</v>
      </c>
      <c r="D826" s="18" t="s">
        <v>2183</v>
      </c>
      <c r="E826" s="16">
        <v>68.0</v>
      </c>
      <c r="F826" s="8" t="s">
        <v>1528</v>
      </c>
      <c r="G826" s="8" t="s">
        <v>1527</v>
      </c>
      <c r="H826" s="8" t="s">
        <v>70</v>
      </c>
      <c r="I826" s="18" t="s">
        <v>2560</v>
      </c>
      <c r="J826" s="16">
        <v>70.0</v>
      </c>
      <c r="K826" s="8" t="s">
        <v>63</v>
      </c>
      <c r="L826" s="8" t="s">
        <v>3096</v>
      </c>
      <c r="M826" s="18" t="s">
        <v>2577</v>
      </c>
      <c r="N826" s="16">
        <v>66.0</v>
      </c>
      <c r="O826" s="8" t="s">
        <v>4751</v>
      </c>
      <c r="P826" s="8" t="s">
        <v>132</v>
      </c>
      <c r="Q826" s="14" t="s">
        <v>459</v>
      </c>
      <c r="R826" s="8" t="s">
        <v>2615</v>
      </c>
      <c r="S826" s="14" t="s">
        <v>2576</v>
      </c>
    </row>
    <row r="827">
      <c r="A827" s="8" t="s">
        <v>129</v>
      </c>
      <c r="B827" s="8" t="s">
        <v>775</v>
      </c>
      <c r="C827" s="8" t="s">
        <v>93</v>
      </c>
      <c r="D827" s="18" t="s">
        <v>2615</v>
      </c>
      <c r="E827" s="16">
        <v>61.0</v>
      </c>
      <c r="F827" s="8" t="s">
        <v>1528</v>
      </c>
      <c r="G827" s="8" t="s">
        <v>2135</v>
      </c>
      <c r="H827" s="8" t="s">
        <v>70</v>
      </c>
      <c r="I827" s="18" t="s">
        <v>2556</v>
      </c>
      <c r="J827" s="16">
        <v>65.0</v>
      </c>
      <c r="K827" s="8" t="s">
        <v>664</v>
      </c>
      <c r="L827" s="8" t="s">
        <v>145</v>
      </c>
      <c r="M827" s="18" t="s">
        <v>2564</v>
      </c>
      <c r="N827" s="16">
        <v>87.0</v>
      </c>
      <c r="O827" s="8" t="s">
        <v>4752</v>
      </c>
      <c r="P827" s="8" t="s">
        <v>138</v>
      </c>
      <c r="Q827" s="14" t="s">
        <v>1352</v>
      </c>
      <c r="R827" s="8" t="s">
        <v>2554</v>
      </c>
      <c r="S827" s="14" t="s">
        <v>2579</v>
      </c>
    </row>
    <row r="828">
      <c r="A828" s="8" t="s">
        <v>129</v>
      </c>
      <c r="B828" s="8" t="s">
        <v>3397</v>
      </c>
      <c r="C828" s="8" t="s">
        <v>59</v>
      </c>
      <c r="D828" s="18" t="s">
        <v>2603</v>
      </c>
      <c r="E828" s="16">
        <v>58.0</v>
      </c>
      <c r="F828" s="8" t="s">
        <v>1528</v>
      </c>
      <c r="G828" s="8" t="s">
        <v>1944</v>
      </c>
      <c r="H828" s="8" t="s">
        <v>122</v>
      </c>
      <c r="I828" s="18" t="s">
        <v>2564</v>
      </c>
      <c r="J828" s="16">
        <v>69.0</v>
      </c>
      <c r="K828" s="8" t="s">
        <v>1788</v>
      </c>
      <c r="L828" s="8" t="s">
        <v>1787</v>
      </c>
      <c r="M828" s="18" t="s">
        <v>2560</v>
      </c>
      <c r="N828" s="16">
        <v>66.0</v>
      </c>
      <c r="O828" s="8" t="s">
        <v>4753</v>
      </c>
      <c r="P828" s="8" t="s">
        <v>80</v>
      </c>
      <c r="Q828" s="14" t="s">
        <v>1352</v>
      </c>
      <c r="R828" s="8" t="s">
        <v>2615</v>
      </c>
      <c r="S828" s="14" t="s">
        <v>2591</v>
      </c>
    </row>
    <row r="829">
      <c r="A829" s="8" t="s">
        <v>129</v>
      </c>
      <c r="B829" s="8" t="s">
        <v>1012</v>
      </c>
      <c r="C829" s="8" t="s">
        <v>80</v>
      </c>
      <c r="D829" s="18" t="s">
        <v>2585</v>
      </c>
      <c r="E829" s="16">
        <v>77.0</v>
      </c>
      <c r="F829" s="8" t="s">
        <v>1528</v>
      </c>
      <c r="G829" s="8" t="s">
        <v>42</v>
      </c>
      <c r="H829" s="8" t="s">
        <v>59</v>
      </c>
      <c r="I829" s="18" t="s">
        <v>2552</v>
      </c>
      <c r="J829" s="16">
        <v>65.0</v>
      </c>
      <c r="K829" s="8" t="s">
        <v>1505</v>
      </c>
      <c r="L829" s="8" t="s">
        <v>1504</v>
      </c>
      <c r="M829" s="18" t="s">
        <v>2572</v>
      </c>
      <c r="N829" s="16">
        <v>78.0</v>
      </c>
      <c r="O829" s="8" t="s">
        <v>4754</v>
      </c>
      <c r="P829" s="8" t="s">
        <v>192</v>
      </c>
      <c r="Q829" s="14" t="s">
        <v>837</v>
      </c>
      <c r="R829" s="8" t="s">
        <v>2574</v>
      </c>
      <c r="S829" s="14" t="s">
        <v>2571</v>
      </c>
    </row>
    <row r="830">
      <c r="A830" s="8" t="s">
        <v>129</v>
      </c>
      <c r="B830" s="8" t="s">
        <v>1303</v>
      </c>
      <c r="C830" s="8" t="s">
        <v>93</v>
      </c>
      <c r="D830" s="18" t="s">
        <v>2564</v>
      </c>
      <c r="E830" s="16">
        <v>74.0</v>
      </c>
      <c r="F830" s="8" t="s">
        <v>3233</v>
      </c>
      <c r="G830" s="8" t="s">
        <v>3232</v>
      </c>
      <c r="H830" s="8" t="s">
        <v>215</v>
      </c>
      <c r="I830" s="18" t="s">
        <v>2585</v>
      </c>
      <c r="J830" s="16">
        <v>83.0</v>
      </c>
      <c r="K830" s="8" t="s">
        <v>1931</v>
      </c>
      <c r="L830" s="8" t="s">
        <v>1930</v>
      </c>
      <c r="M830" s="18" t="s">
        <v>2598</v>
      </c>
      <c r="N830" s="16">
        <v>68.0</v>
      </c>
      <c r="O830" s="8" t="s">
        <v>4755</v>
      </c>
      <c r="P830" s="8" t="s">
        <v>93</v>
      </c>
      <c r="Q830" s="14" t="s">
        <v>1070</v>
      </c>
      <c r="R830" s="8" t="s">
        <v>2581</v>
      </c>
      <c r="S830" s="14" t="s">
        <v>2565</v>
      </c>
    </row>
    <row r="831">
      <c r="A831" s="8" t="s">
        <v>129</v>
      </c>
      <c r="B831" s="8" t="s">
        <v>1041</v>
      </c>
      <c r="C831" s="8" t="s">
        <v>24</v>
      </c>
      <c r="D831" s="18" t="s">
        <v>2562</v>
      </c>
      <c r="E831" s="16">
        <v>64.0</v>
      </c>
      <c r="F831" s="8" t="s">
        <v>226</v>
      </c>
      <c r="G831" s="8" t="s">
        <v>225</v>
      </c>
      <c r="H831" s="8" t="s">
        <v>65</v>
      </c>
      <c r="I831" s="18" t="s">
        <v>2620</v>
      </c>
      <c r="J831" s="16">
        <v>89.0</v>
      </c>
      <c r="K831" s="8" t="s">
        <v>3133</v>
      </c>
      <c r="L831" s="8" t="s">
        <v>3132</v>
      </c>
      <c r="M831" s="18" t="s">
        <v>2574</v>
      </c>
      <c r="N831" s="16">
        <v>69.0</v>
      </c>
      <c r="O831" s="8" t="s">
        <v>4756</v>
      </c>
      <c r="P831" s="8" t="s">
        <v>24</v>
      </c>
      <c r="Q831" s="14" t="s">
        <v>1352</v>
      </c>
      <c r="R831" s="8" t="s">
        <v>2598</v>
      </c>
      <c r="S831" s="14" t="s">
        <v>2573</v>
      </c>
    </row>
    <row r="832">
      <c r="A832" s="8" t="s">
        <v>129</v>
      </c>
      <c r="B832" s="8" t="s">
        <v>128</v>
      </c>
      <c r="C832" s="8" t="s">
        <v>80</v>
      </c>
      <c r="D832" s="18" t="s">
        <v>2575</v>
      </c>
      <c r="E832" s="16">
        <v>92.0</v>
      </c>
      <c r="F832" s="8" t="s">
        <v>226</v>
      </c>
      <c r="G832" s="8" t="s">
        <v>2891</v>
      </c>
      <c r="H832" s="8" t="s">
        <v>59</v>
      </c>
      <c r="I832" s="18" t="s">
        <v>2552</v>
      </c>
      <c r="J832" s="16">
        <v>72.0</v>
      </c>
      <c r="K832" s="8" t="s">
        <v>69</v>
      </c>
      <c r="L832" s="8" t="s">
        <v>90</v>
      </c>
      <c r="M832" s="18" t="s">
        <v>2603</v>
      </c>
      <c r="N832" s="16">
        <v>79.0</v>
      </c>
      <c r="O832" s="8" t="s">
        <v>4757</v>
      </c>
      <c r="P832" s="8" t="s">
        <v>149</v>
      </c>
      <c r="Q832" s="14" t="s">
        <v>2033</v>
      </c>
      <c r="R832" s="8" t="s">
        <v>2560</v>
      </c>
      <c r="S832" s="14" t="s">
        <v>2628</v>
      </c>
    </row>
    <row r="833">
      <c r="A833" s="8" t="s">
        <v>129</v>
      </c>
      <c r="B833" s="8" t="s">
        <v>3499</v>
      </c>
      <c r="C833" s="8" t="s">
        <v>65</v>
      </c>
      <c r="D833" s="18" t="s">
        <v>2598</v>
      </c>
      <c r="E833" s="16">
        <v>69.0</v>
      </c>
      <c r="F833" s="8" t="s">
        <v>226</v>
      </c>
      <c r="G833" s="8" t="s">
        <v>1557</v>
      </c>
      <c r="H833" s="8" t="s">
        <v>138</v>
      </c>
      <c r="I833" s="18" t="s">
        <v>2615</v>
      </c>
      <c r="J833" s="16">
        <v>74.0</v>
      </c>
      <c r="K833" s="8" t="s">
        <v>69</v>
      </c>
      <c r="L833" s="8" t="s">
        <v>3151</v>
      </c>
      <c r="M833" s="18" t="s">
        <v>2183</v>
      </c>
      <c r="N833" s="16">
        <v>65.0</v>
      </c>
      <c r="O833" s="8" t="s">
        <v>4758</v>
      </c>
      <c r="P833" s="8" t="s">
        <v>24</v>
      </c>
      <c r="Q833" s="14" t="s">
        <v>837</v>
      </c>
      <c r="R833" s="8" t="s">
        <v>2560</v>
      </c>
      <c r="S833" s="14" t="s">
        <v>2557</v>
      </c>
    </row>
    <row r="834">
      <c r="A834" s="8" t="s">
        <v>129</v>
      </c>
      <c r="B834" s="8" t="s">
        <v>1669</v>
      </c>
      <c r="C834" s="8" t="s">
        <v>149</v>
      </c>
      <c r="D834" s="18" t="s">
        <v>2610</v>
      </c>
      <c r="E834" s="16">
        <v>76.0</v>
      </c>
      <c r="F834" s="8" t="s">
        <v>3205</v>
      </c>
      <c r="G834" s="8" t="s">
        <v>3204</v>
      </c>
      <c r="H834" s="8" t="s">
        <v>46</v>
      </c>
      <c r="I834" s="18" t="s">
        <v>2614</v>
      </c>
      <c r="J834" s="16">
        <v>65.0</v>
      </c>
      <c r="K834" s="8" t="s">
        <v>69</v>
      </c>
      <c r="L834" s="8" t="s">
        <v>68</v>
      </c>
      <c r="M834" s="18" t="s">
        <v>2581</v>
      </c>
      <c r="N834" s="16">
        <v>77.0</v>
      </c>
      <c r="O834" s="8" t="s">
        <v>4759</v>
      </c>
      <c r="P834" s="8" t="s">
        <v>80</v>
      </c>
      <c r="Q834" s="14" t="s">
        <v>108</v>
      </c>
      <c r="R834" s="8" t="s">
        <v>2593</v>
      </c>
      <c r="S834" s="14" t="s">
        <v>2599</v>
      </c>
    </row>
    <row r="835">
      <c r="A835" s="8" t="s">
        <v>129</v>
      </c>
      <c r="B835" s="8" t="s">
        <v>1343</v>
      </c>
      <c r="C835" s="8" t="s">
        <v>141</v>
      </c>
      <c r="D835" s="18" t="s">
        <v>2587</v>
      </c>
      <c r="E835" s="16">
        <v>81.0</v>
      </c>
      <c r="F835" s="8" t="s">
        <v>1443</v>
      </c>
      <c r="G835" s="8" t="s">
        <v>913</v>
      </c>
      <c r="H835" s="8" t="s">
        <v>46</v>
      </c>
      <c r="I835" s="18" t="s">
        <v>2566</v>
      </c>
      <c r="J835" s="16">
        <v>71.0</v>
      </c>
      <c r="K835" s="8" t="s">
        <v>69</v>
      </c>
      <c r="L835" s="8" t="s">
        <v>2224</v>
      </c>
      <c r="M835" s="18" t="s">
        <v>2554</v>
      </c>
      <c r="N835" s="16">
        <v>78.0</v>
      </c>
      <c r="O835" s="8" t="s">
        <v>4760</v>
      </c>
      <c r="P835" s="8" t="s">
        <v>53</v>
      </c>
      <c r="Q835" s="14" t="s">
        <v>1679</v>
      </c>
      <c r="R835" s="8" t="s">
        <v>2552</v>
      </c>
      <c r="S835" s="14" t="s">
        <v>2563</v>
      </c>
    </row>
    <row r="836">
      <c r="A836" s="8" t="s">
        <v>527</v>
      </c>
      <c r="B836" s="8" t="s">
        <v>3793</v>
      </c>
      <c r="C836" s="8" t="s">
        <v>149</v>
      </c>
      <c r="D836" s="18" t="s">
        <v>2585</v>
      </c>
      <c r="E836" s="16">
        <v>71.0</v>
      </c>
      <c r="F836" s="8" t="s">
        <v>129</v>
      </c>
      <c r="G836" s="8" t="s">
        <v>732</v>
      </c>
      <c r="H836" s="8" t="s">
        <v>186</v>
      </c>
      <c r="I836" s="18" t="s">
        <v>2552</v>
      </c>
      <c r="J836" s="16">
        <v>80.0</v>
      </c>
      <c r="K836" s="8" t="s">
        <v>2364</v>
      </c>
      <c r="L836" s="8" t="s">
        <v>2444</v>
      </c>
      <c r="M836" s="18" t="s">
        <v>2585</v>
      </c>
      <c r="N836" s="16">
        <v>73.0</v>
      </c>
      <c r="O836" s="8" t="s">
        <v>4761</v>
      </c>
      <c r="P836" s="8" t="s">
        <v>80</v>
      </c>
      <c r="Q836" s="14" t="s">
        <v>459</v>
      </c>
      <c r="R836" s="18" t="s">
        <v>2556</v>
      </c>
      <c r="S836" s="14" t="s">
        <v>2622</v>
      </c>
    </row>
    <row r="837">
      <c r="A837" s="8" t="s">
        <v>527</v>
      </c>
      <c r="B837" s="8" t="s">
        <v>3082</v>
      </c>
      <c r="C837" s="8" t="s">
        <v>24</v>
      </c>
      <c r="D837" s="18" t="s">
        <v>2567</v>
      </c>
      <c r="E837" s="16">
        <v>58.0</v>
      </c>
      <c r="F837" s="8" t="s">
        <v>129</v>
      </c>
      <c r="G837" s="8" t="s">
        <v>1303</v>
      </c>
      <c r="H837" s="8" t="s">
        <v>93</v>
      </c>
      <c r="I837" s="18" t="s">
        <v>2600</v>
      </c>
      <c r="J837" s="16">
        <v>76.0</v>
      </c>
      <c r="K837" s="8" t="s">
        <v>2922</v>
      </c>
      <c r="L837" s="8" t="s">
        <v>2921</v>
      </c>
      <c r="M837" s="18" t="s">
        <v>2592</v>
      </c>
      <c r="N837" s="16">
        <v>67.0</v>
      </c>
      <c r="O837" s="8" t="s">
        <v>4762</v>
      </c>
      <c r="P837" s="8" t="s">
        <v>141</v>
      </c>
      <c r="Q837" s="14" t="s">
        <v>1352</v>
      </c>
      <c r="R837" s="8" t="s">
        <v>2585</v>
      </c>
      <c r="S837" s="14" t="s">
        <v>2606</v>
      </c>
    </row>
    <row r="838">
      <c r="A838" s="8" t="s">
        <v>527</v>
      </c>
      <c r="B838" s="8" t="s">
        <v>3884</v>
      </c>
      <c r="C838" s="8" t="s">
        <v>53</v>
      </c>
      <c r="D838" s="18" t="s">
        <v>2567</v>
      </c>
      <c r="E838" s="16">
        <v>78.0</v>
      </c>
      <c r="F838" s="8" t="s">
        <v>129</v>
      </c>
      <c r="G838" s="8" t="s">
        <v>3499</v>
      </c>
      <c r="H838" s="8" t="s">
        <v>65</v>
      </c>
      <c r="I838" s="18" t="s">
        <v>2621</v>
      </c>
      <c r="J838" s="16">
        <v>69.0</v>
      </c>
      <c r="K838" s="8" t="s">
        <v>2922</v>
      </c>
      <c r="L838" s="8" t="s">
        <v>3074</v>
      </c>
      <c r="M838" s="18" t="s">
        <v>2645</v>
      </c>
      <c r="N838" s="16">
        <v>61.0</v>
      </c>
      <c r="O838" s="8" t="s">
        <v>4763</v>
      </c>
      <c r="P838" s="8" t="s">
        <v>141</v>
      </c>
      <c r="Q838" s="14" t="s">
        <v>2296</v>
      </c>
      <c r="R838" s="8" t="s">
        <v>2595</v>
      </c>
      <c r="S838" s="14" t="s">
        <v>2568</v>
      </c>
    </row>
    <row r="839">
      <c r="A839" s="8" t="s">
        <v>3679</v>
      </c>
      <c r="B839" s="8" t="s">
        <v>937</v>
      </c>
      <c r="C839" s="8" t="s">
        <v>186</v>
      </c>
      <c r="D839" s="18" t="s">
        <v>2560</v>
      </c>
      <c r="E839" s="16">
        <v>75.0</v>
      </c>
      <c r="F839" s="8" t="s">
        <v>129</v>
      </c>
      <c r="G839" s="8" t="s">
        <v>1428</v>
      </c>
      <c r="H839" s="8" t="s">
        <v>65</v>
      </c>
      <c r="I839" s="18" t="s">
        <v>2621</v>
      </c>
      <c r="J839" s="16">
        <v>86.0</v>
      </c>
      <c r="K839" s="8" t="s">
        <v>3028</v>
      </c>
      <c r="L839" s="8" t="s">
        <v>3027</v>
      </c>
      <c r="M839" s="18" t="s">
        <v>2556</v>
      </c>
      <c r="N839" s="16">
        <v>72.0</v>
      </c>
      <c r="O839" s="8" t="s">
        <v>4764</v>
      </c>
      <c r="P839" s="8" t="s">
        <v>132</v>
      </c>
      <c r="Q839" s="14" t="s">
        <v>2459</v>
      </c>
      <c r="R839" s="8" t="s">
        <v>2595</v>
      </c>
      <c r="S839" s="14" t="s">
        <v>2618</v>
      </c>
    </row>
    <row r="840">
      <c r="A840" s="8" t="s">
        <v>1940</v>
      </c>
      <c r="B840" s="8" t="s">
        <v>3129</v>
      </c>
      <c r="C840" s="8" t="s">
        <v>122</v>
      </c>
      <c r="D840" s="18" t="s">
        <v>2593</v>
      </c>
      <c r="E840" s="16">
        <v>66.0</v>
      </c>
      <c r="F840" s="8" t="s">
        <v>129</v>
      </c>
      <c r="G840" s="8" t="s">
        <v>570</v>
      </c>
      <c r="H840" s="8" t="s">
        <v>141</v>
      </c>
      <c r="I840" s="18" t="s">
        <v>2605</v>
      </c>
      <c r="J840" s="16">
        <v>69.0</v>
      </c>
      <c r="K840" s="8" t="s">
        <v>724</v>
      </c>
      <c r="L840" s="8" t="s">
        <v>208</v>
      </c>
      <c r="M840" s="18" t="s">
        <v>2556</v>
      </c>
      <c r="N840" s="16">
        <v>79.0</v>
      </c>
      <c r="O840" s="8" t="s">
        <v>4765</v>
      </c>
      <c r="P840" s="8" t="s">
        <v>75</v>
      </c>
      <c r="Q840" s="14" t="s">
        <v>1679</v>
      </c>
      <c r="R840" s="8" t="s">
        <v>2603</v>
      </c>
      <c r="S840" s="14" t="s">
        <v>2594</v>
      </c>
    </row>
    <row r="841">
      <c r="A841" s="8" t="s">
        <v>3845</v>
      </c>
      <c r="B841" s="8" t="s">
        <v>1619</v>
      </c>
      <c r="C841" s="8" t="s">
        <v>215</v>
      </c>
      <c r="D841" s="18" t="s">
        <v>2593</v>
      </c>
      <c r="E841" s="16">
        <v>69.0</v>
      </c>
      <c r="F841" s="8" t="s">
        <v>129</v>
      </c>
      <c r="G841" s="8" t="s">
        <v>451</v>
      </c>
      <c r="H841" s="8" t="s">
        <v>53</v>
      </c>
      <c r="I841" s="18" t="s">
        <v>2552</v>
      </c>
      <c r="J841" s="16">
        <v>61.0</v>
      </c>
      <c r="K841" s="8" t="s">
        <v>724</v>
      </c>
      <c r="L841" s="8" t="s">
        <v>455</v>
      </c>
      <c r="M841" s="18" t="s">
        <v>2581</v>
      </c>
      <c r="N841" s="16">
        <v>71.0</v>
      </c>
      <c r="O841" s="8" t="s">
        <v>4766</v>
      </c>
      <c r="P841" s="8" t="s">
        <v>24</v>
      </c>
      <c r="Q841" s="14" t="s">
        <v>1352</v>
      </c>
      <c r="R841" s="8" t="s">
        <v>2558</v>
      </c>
      <c r="S841" s="14" t="s">
        <v>2579</v>
      </c>
    </row>
    <row r="842">
      <c r="A842" s="8" t="s">
        <v>177</v>
      </c>
      <c r="B842" s="8" t="s">
        <v>1094</v>
      </c>
      <c r="C842" s="8" t="s">
        <v>141</v>
      </c>
      <c r="D842" s="18" t="s">
        <v>2589</v>
      </c>
      <c r="E842" s="16">
        <v>67.0</v>
      </c>
      <c r="F842" s="8" t="s">
        <v>129</v>
      </c>
      <c r="G842" s="8" t="s">
        <v>1343</v>
      </c>
      <c r="H842" s="8" t="s">
        <v>141</v>
      </c>
      <c r="I842" s="18" t="s">
        <v>2587</v>
      </c>
      <c r="J842" s="16">
        <v>73.0</v>
      </c>
      <c r="K842" s="8" t="s">
        <v>724</v>
      </c>
      <c r="L842" s="8" t="s">
        <v>276</v>
      </c>
      <c r="M842" s="18" t="s">
        <v>2589</v>
      </c>
      <c r="N842" s="16">
        <v>62.0</v>
      </c>
      <c r="O842" s="8" t="s">
        <v>4767</v>
      </c>
      <c r="P842" s="8" t="s">
        <v>75</v>
      </c>
      <c r="Q842" s="14" t="s">
        <v>1070</v>
      </c>
      <c r="R842" s="8" t="s">
        <v>2567</v>
      </c>
      <c r="S842" s="14" t="s">
        <v>2583</v>
      </c>
    </row>
    <row r="843">
      <c r="A843" s="8" t="s">
        <v>177</v>
      </c>
      <c r="B843" s="8" t="s">
        <v>3747</v>
      </c>
      <c r="C843" s="8" t="s">
        <v>132</v>
      </c>
      <c r="D843" s="18" t="s">
        <v>2589</v>
      </c>
      <c r="E843" s="16">
        <v>88.0</v>
      </c>
      <c r="F843" s="8" t="s">
        <v>129</v>
      </c>
      <c r="G843" s="8" t="s">
        <v>1669</v>
      </c>
      <c r="H843" s="8" t="s">
        <v>149</v>
      </c>
      <c r="I843" s="18" t="s">
        <v>2610</v>
      </c>
      <c r="J843" s="16">
        <v>72.0</v>
      </c>
      <c r="K843" s="8" t="s">
        <v>724</v>
      </c>
      <c r="L843" s="8" t="s">
        <v>396</v>
      </c>
      <c r="M843" s="18" t="s">
        <v>2589</v>
      </c>
      <c r="N843" s="16">
        <v>62.0</v>
      </c>
      <c r="O843" s="8" t="s">
        <v>4768</v>
      </c>
      <c r="P843" s="8" t="s">
        <v>75</v>
      </c>
      <c r="Q843" s="14" t="s">
        <v>2296</v>
      </c>
      <c r="R843" s="8" t="s">
        <v>2566</v>
      </c>
      <c r="S843" s="14" t="s">
        <v>2606</v>
      </c>
    </row>
    <row r="844">
      <c r="A844" s="8" t="s">
        <v>177</v>
      </c>
      <c r="B844" s="8" t="s">
        <v>99</v>
      </c>
      <c r="C844" s="8" t="s">
        <v>141</v>
      </c>
      <c r="D844" s="18" t="s">
        <v>2592</v>
      </c>
      <c r="E844" s="16">
        <v>75.0</v>
      </c>
      <c r="F844" s="8" t="s">
        <v>129</v>
      </c>
      <c r="G844" s="8" t="s">
        <v>1161</v>
      </c>
      <c r="H844" s="8" t="s">
        <v>24</v>
      </c>
      <c r="I844" s="18" t="s">
        <v>2554</v>
      </c>
      <c r="J844" s="16">
        <v>81.0</v>
      </c>
      <c r="K844" s="8" t="s">
        <v>1743</v>
      </c>
      <c r="L844" s="8" t="s">
        <v>1130</v>
      </c>
      <c r="M844" s="18" t="s">
        <v>2556</v>
      </c>
      <c r="N844" s="16">
        <v>75.0</v>
      </c>
      <c r="O844" s="8" t="s">
        <v>4769</v>
      </c>
      <c r="P844" s="8" t="s">
        <v>24</v>
      </c>
      <c r="Q844" s="14" t="s">
        <v>1679</v>
      </c>
      <c r="R844" s="8" t="s">
        <v>2566</v>
      </c>
      <c r="S844" s="14" t="s">
        <v>2611</v>
      </c>
    </row>
    <row r="845">
      <c r="A845" s="8" t="s">
        <v>177</v>
      </c>
      <c r="B845" s="8" t="s">
        <v>746</v>
      </c>
      <c r="C845" s="8" t="s">
        <v>65</v>
      </c>
      <c r="D845" s="18" t="s">
        <v>2592</v>
      </c>
      <c r="E845" s="16">
        <v>57.0</v>
      </c>
      <c r="F845" s="8" t="s">
        <v>129</v>
      </c>
      <c r="G845" s="8" t="s">
        <v>1012</v>
      </c>
      <c r="H845" s="8" t="s">
        <v>192</v>
      </c>
      <c r="I845" s="18" t="s">
        <v>2585</v>
      </c>
      <c r="J845" s="16">
        <v>77.0</v>
      </c>
      <c r="K845" s="8" t="s">
        <v>854</v>
      </c>
      <c r="L845" s="8" t="s">
        <v>853</v>
      </c>
      <c r="M845" s="18" t="s">
        <v>2620</v>
      </c>
      <c r="N845" s="16">
        <v>75.0</v>
      </c>
      <c r="O845" s="8" t="s">
        <v>4770</v>
      </c>
      <c r="P845" s="8" t="s">
        <v>141</v>
      </c>
      <c r="Q845" s="14" t="s">
        <v>135</v>
      </c>
      <c r="R845" s="8" t="s">
        <v>2592</v>
      </c>
      <c r="S845" s="14" t="s">
        <v>2583</v>
      </c>
    </row>
    <row r="846">
      <c r="A846" s="8" t="s">
        <v>272</v>
      </c>
      <c r="B846" s="8" t="s">
        <v>271</v>
      </c>
      <c r="C846" s="8" t="s">
        <v>215</v>
      </c>
      <c r="D846" s="18" t="s">
        <v>2552</v>
      </c>
      <c r="E846" s="16">
        <v>88.0</v>
      </c>
      <c r="F846" s="8" t="s">
        <v>129</v>
      </c>
      <c r="G846" s="8" t="s">
        <v>648</v>
      </c>
      <c r="H846" s="8" t="s">
        <v>192</v>
      </c>
      <c r="I846" s="18" t="s">
        <v>2183</v>
      </c>
      <c r="J846" s="16">
        <v>94.0</v>
      </c>
      <c r="K846" s="8" t="s">
        <v>252</v>
      </c>
      <c r="L846" s="8" t="s">
        <v>2815</v>
      </c>
      <c r="M846" s="18" t="s">
        <v>2598</v>
      </c>
      <c r="N846" s="16">
        <v>63.0</v>
      </c>
      <c r="O846" s="8" t="s">
        <v>4771</v>
      </c>
      <c r="P846" s="8" t="s">
        <v>215</v>
      </c>
      <c r="Q846" s="14" t="s">
        <v>237</v>
      </c>
      <c r="R846" s="8" t="s">
        <v>2552</v>
      </c>
      <c r="S846" s="14" t="s">
        <v>2625</v>
      </c>
    </row>
    <row r="847">
      <c r="A847" s="8" t="s">
        <v>342</v>
      </c>
      <c r="B847" s="8" t="s">
        <v>341</v>
      </c>
      <c r="C847" s="8" t="s">
        <v>215</v>
      </c>
      <c r="D847" s="18" t="s">
        <v>2554</v>
      </c>
      <c r="E847" s="16">
        <v>90.0</v>
      </c>
      <c r="F847" s="8" t="s">
        <v>129</v>
      </c>
      <c r="G847" s="8" t="s">
        <v>681</v>
      </c>
      <c r="H847" s="8" t="s">
        <v>46</v>
      </c>
      <c r="I847" s="18" t="s">
        <v>2183</v>
      </c>
      <c r="J847" s="16">
        <v>76.0</v>
      </c>
      <c r="K847" s="8" t="s">
        <v>252</v>
      </c>
      <c r="L847" s="8" t="s">
        <v>251</v>
      </c>
      <c r="M847" s="18" t="s">
        <v>2585</v>
      </c>
      <c r="N847" s="16">
        <v>75.0</v>
      </c>
      <c r="O847" s="8" t="s">
        <v>4772</v>
      </c>
      <c r="P847" s="8" t="s">
        <v>215</v>
      </c>
      <c r="Q847" s="14" t="s">
        <v>338</v>
      </c>
      <c r="R847" s="8" t="s">
        <v>2603</v>
      </c>
      <c r="S847" s="14" t="s">
        <v>2607</v>
      </c>
    </row>
    <row r="848">
      <c r="A848" s="8" t="s">
        <v>342</v>
      </c>
      <c r="B848" s="8" t="s">
        <v>897</v>
      </c>
      <c r="C848" s="8" t="s">
        <v>70</v>
      </c>
      <c r="D848" s="18" t="s">
        <v>2614</v>
      </c>
      <c r="E848" s="16">
        <v>80.0</v>
      </c>
      <c r="F848" s="8" t="s">
        <v>129</v>
      </c>
      <c r="G848" s="8" t="s">
        <v>767</v>
      </c>
      <c r="H848" s="8" t="s">
        <v>80</v>
      </c>
      <c r="I848" s="18" t="s">
        <v>2183</v>
      </c>
      <c r="J848" s="16">
        <v>70.0</v>
      </c>
      <c r="K848" s="8" t="s">
        <v>252</v>
      </c>
      <c r="L848" s="8" t="s">
        <v>522</v>
      </c>
      <c r="M848" s="18" t="s">
        <v>2595</v>
      </c>
      <c r="N848" s="16">
        <v>67.0</v>
      </c>
      <c r="O848" s="8" t="s">
        <v>4773</v>
      </c>
      <c r="P848" s="8" t="s">
        <v>70</v>
      </c>
      <c r="Q848" s="14" t="s">
        <v>1679</v>
      </c>
      <c r="R848" s="8" t="s">
        <v>2614</v>
      </c>
      <c r="S848" s="14" t="s">
        <v>2636</v>
      </c>
    </row>
    <row r="849">
      <c r="A849" s="8" t="s">
        <v>3214</v>
      </c>
      <c r="B849" s="8" t="s">
        <v>500</v>
      </c>
      <c r="C849" s="8" t="s">
        <v>149</v>
      </c>
      <c r="D849" s="18" t="s">
        <v>2585</v>
      </c>
      <c r="E849" s="16">
        <v>66.0</v>
      </c>
      <c r="F849" s="8" t="s">
        <v>129</v>
      </c>
      <c r="G849" s="8" t="s">
        <v>1599</v>
      </c>
      <c r="H849" s="8" t="s">
        <v>24</v>
      </c>
      <c r="I849" s="18" t="s">
        <v>2598</v>
      </c>
      <c r="J849" s="16">
        <v>70.0</v>
      </c>
      <c r="K849" s="8" t="s">
        <v>252</v>
      </c>
      <c r="L849" s="8" t="s">
        <v>267</v>
      </c>
      <c r="M849" s="18" t="s">
        <v>2574</v>
      </c>
      <c r="N849" s="16">
        <v>62.0</v>
      </c>
      <c r="O849" s="8" t="s">
        <v>4774</v>
      </c>
      <c r="P849" s="8" t="s">
        <v>192</v>
      </c>
      <c r="Q849" s="14" t="s">
        <v>2033</v>
      </c>
      <c r="R849" s="18" t="s">
        <v>2589</v>
      </c>
      <c r="S849" s="14" t="s">
        <v>2612</v>
      </c>
    </row>
    <row r="850">
      <c r="A850" s="8" t="s">
        <v>3879</v>
      </c>
      <c r="B850" s="8" t="s">
        <v>3878</v>
      </c>
      <c r="C850" s="8" t="s">
        <v>141</v>
      </c>
      <c r="D850" s="18" t="s">
        <v>2587</v>
      </c>
      <c r="E850" s="16">
        <v>72.0</v>
      </c>
      <c r="F850" s="8" t="s">
        <v>129</v>
      </c>
      <c r="G850" s="8" t="s">
        <v>1041</v>
      </c>
      <c r="H850" s="8" t="s">
        <v>24</v>
      </c>
      <c r="I850" s="18" t="s">
        <v>2560</v>
      </c>
      <c r="J850" s="16">
        <v>63.0</v>
      </c>
      <c r="K850" s="8" t="s">
        <v>252</v>
      </c>
      <c r="L850" s="8" t="s">
        <v>3048</v>
      </c>
      <c r="M850" s="18" t="s">
        <v>2593</v>
      </c>
      <c r="N850" s="16">
        <v>63.0</v>
      </c>
      <c r="O850" s="8" t="s">
        <v>4775</v>
      </c>
      <c r="P850" s="8" t="s">
        <v>93</v>
      </c>
      <c r="Q850" s="14" t="s">
        <v>1352</v>
      </c>
      <c r="R850" s="8" t="s">
        <v>2582</v>
      </c>
      <c r="S850" s="14" t="s">
        <v>2602</v>
      </c>
    </row>
    <row r="851">
      <c r="A851" s="8" t="s">
        <v>63</v>
      </c>
      <c r="B851" s="8" t="s">
        <v>3096</v>
      </c>
      <c r="C851" s="8" t="s">
        <v>70</v>
      </c>
      <c r="D851" s="18" t="s">
        <v>2577</v>
      </c>
      <c r="E851" s="16">
        <v>67.0</v>
      </c>
      <c r="F851" s="8" t="s">
        <v>129</v>
      </c>
      <c r="G851" s="8" t="s">
        <v>3397</v>
      </c>
      <c r="H851" s="8" t="s">
        <v>59</v>
      </c>
      <c r="I851" s="18" t="s">
        <v>2566</v>
      </c>
      <c r="J851" s="16">
        <v>58.0</v>
      </c>
      <c r="K851" s="8" t="s">
        <v>3058</v>
      </c>
      <c r="L851" s="8" t="s">
        <v>99</v>
      </c>
      <c r="M851" s="18" t="s">
        <v>2598</v>
      </c>
      <c r="N851" s="16">
        <v>63.0</v>
      </c>
      <c r="O851" s="8" t="s">
        <v>4776</v>
      </c>
      <c r="P851" s="8" t="s">
        <v>138</v>
      </c>
      <c r="Q851" s="14" t="s">
        <v>1070</v>
      </c>
      <c r="R851" s="8" t="s">
        <v>2558</v>
      </c>
      <c r="S851" s="14" t="s">
        <v>2576</v>
      </c>
    </row>
    <row r="852">
      <c r="A852" s="8" t="s">
        <v>664</v>
      </c>
      <c r="B852" s="8" t="s">
        <v>145</v>
      </c>
      <c r="C852" s="8" t="s">
        <v>122</v>
      </c>
      <c r="D852" s="18" t="s">
        <v>2564</v>
      </c>
      <c r="E852" s="16">
        <v>93.0</v>
      </c>
      <c r="F852" s="8" t="s">
        <v>129</v>
      </c>
      <c r="G852" s="8" t="s">
        <v>128</v>
      </c>
      <c r="H852" s="8" t="s">
        <v>80</v>
      </c>
      <c r="I852" s="18" t="s">
        <v>2575</v>
      </c>
      <c r="J852" s="16">
        <v>93.0</v>
      </c>
      <c r="K852" s="8" t="s">
        <v>2809</v>
      </c>
      <c r="L852" s="8" t="s">
        <v>2808</v>
      </c>
      <c r="M852" s="18" t="s">
        <v>2585</v>
      </c>
      <c r="N852" s="16">
        <v>75.0</v>
      </c>
      <c r="O852" s="8" t="s">
        <v>4777</v>
      </c>
      <c r="P852" s="8" t="s">
        <v>122</v>
      </c>
      <c r="Q852" s="14" t="s">
        <v>631</v>
      </c>
      <c r="R852" s="8" t="s">
        <v>2564</v>
      </c>
      <c r="S852" s="14" t="s">
        <v>2623</v>
      </c>
    </row>
    <row r="853">
      <c r="A853" s="8" t="s">
        <v>3133</v>
      </c>
      <c r="B853" s="8" t="s">
        <v>3132</v>
      </c>
      <c r="C853" s="8" t="s">
        <v>70</v>
      </c>
      <c r="D853" s="18" t="s">
        <v>2574</v>
      </c>
      <c r="E853" s="16">
        <v>69.0</v>
      </c>
      <c r="F853" s="8" t="s">
        <v>527</v>
      </c>
      <c r="G853" s="8" t="s">
        <v>3082</v>
      </c>
      <c r="H853" s="8" t="s">
        <v>24</v>
      </c>
      <c r="I853" s="18" t="s">
        <v>2567</v>
      </c>
      <c r="J853" s="16">
        <v>66.0</v>
      </c>
      <c r="K853" s="8" t="s">
        <v>2783</v>
      </c>
      <c r="L853" s="8" t="s">
        <v>2782</v>
      </c>
      <c r="M853" s="18" t="s">
        <v>2581</v>
      </c>
      <c r="N853" s="16">
        <v>73.0</v>
      </c>
      <c r="O853" s="8" t="s">
        <v>4778</v>
      </c>
      <c r="P853" s="8" t="s">
        <v>215</v>
      </c>
      <c r="Q853" s="14" t="s">
        <v>1679</v>
      </c>
      <c r="R853" s="8" t="s">
        <v>2560</v>
      </c>
      <c r="S853" s="14" t="s">
        <v>2576</v>
      </c>
    </row>
    <row r="854">
      <c r="A854" s="8" t="s">
        <v>69</v>
      </c>
      <c r="B854" s="8" t="s">
        <v>90</v>
      </c>
      <c r="C854" s="8" t="s">
        <v>138</v>
      </c>
      <c r="D854" s="18" t="s">
        <v>2603</v>
      </c>
      <c r="E854" s="16">
        <v>65.0</v>
      </c>
      <c r="F854" s="8" t="s">
        <v>527</v>
      </c>
      <c r="G854" s="8" t="s">
        <v>89</v>
      </c>
      <c r="H854" s="8" t="s">
        <v>192</v>
      </c>
      <c r="I854" s="18" t="s">
        <v>2595</v>
      </c>
      <c r="J854" s="16">
        <v>63.0</v>
      </c>
      <c r="K854" s="8" t="s">
        <v>1689</v>
      </c>
      <c r="L854" s="8" t="s">
        <v>1063</v>
      </c>
      <c r="M854" s="18" t="s">
        <v>2615</v>
      </c>
      <c r="N854" s="16">
        <v>68.0</v>
      </c>
      <c r="O854" s="8" t="s">
        <v>4779</v>
      </c>
      <c r="P854" s="8" t="s">
        <v>132</v>
      </c>
      <c r="Q854" s="14" t="s">
        <v>1352</v>
      </c>
      <c r="R854" s="8" t="s">
        <v>2572</v>
      </c>
      <c r="S854" s="14" t="s">
        <v>2602</v>
      </c>
    </row>
    <row r="855">
      <c r="A855" s="8" t="s">
        <v>69</v>
      </c>
      <c r="B855" s="8" t="s">
        <v>68</v>
      </c>
      <c r="C855" s="8" t="s">
        <v>70</v>
      </c>
      <c r="D855" s="18" t="s">
        <v>2567</v>
      </c>
      <c r="E855" s="16">
        <v>79.0</v>
      </c>
      <c r="F855" s="8" t="s">
        <v>527</v>
      </c>
      <c r="G855" s="8" t="s">
        <v>3158</v>
      </c>
      <c r="H855" s="8" t="s">
        <v>141</v>
      </c>
      <c r="I855" s="18" t="s">
        <v>2562</v>
      </c>
      <c r="J855" s="16">
        <v>60.0</v>
      </c>
      <c r="K855" s="8" t="s">
        <v>930</v>
      </c>
      <c r="L855" s="8" t="s">
        <v>929</v>
      </c>
      <c r="M855" s="18" t="s">
        <v>2600</v>
      </c>
      <c r="N855" s="16">
        <v>64.0</v>
      </c>
      <c r="O855" s="8" t="s">
        <v>4780</v>
      </c>
      <c r="P855" s="8" t="s">
        <v>24</v>
      </c>
      <c r="Q855" s="14" t="s">
        <v>2296</v>
      </c>
      <c r="R855" s="18" t="s">
        <v>2556</v>
      </c>
      <c r="S855" s="14" t="s">
        <v>2557</v>
      </c>
    </row>
    <row r="856">
      <c r="A856" s="8" t="s">
        <v>69</v>
      </c>
      <c r="B856" s="8" t="s">
        <v>557</v>
      </c>
      <c r="C856" s="8" t="s">
        <v>138</v>
      </c>
      <c r="D856" s="18" t="s">
        <v>2600</v>
      </c>
      <c r="E856" s="16">
        <v>63.0</v>
      </c>
      <c r="F856" s="8" t="s">
        <v>1940</v>
      </c>
      <c r="G856" s="8" t="s">
        <v>500</v>
      </c>
      <c r="H856" s="8" t="s">
        <v>132</v>
      </c>
      <c r="I856" s="18" t="s">
        <v>2577</v>
      </c>
      <c r="J856" s="16">
        <v>62.0</v>
      </c>
      <c r="K856" s="8" t="s">
        <v>239</v>
      </c>
      <c r="L856" s="8" t="s">
        <v>99</v>
      </c>
      <c r="M856" s="18" t="s">
        <v>2572</v>
      </c>
      <c r="N856" s="16">
        <v>74.0</v>
      </c>
      <c r="O856" s="8" t="s">
        <v>4781</v>
      </c>
      <c r="P856" s="8" t="s">
        <v>59</v>
      </c>
      <c r="Q856" s="14" t="s">
        <v>1679</v>
      </c>
      <c r="R856" s="8" t="s">
        <v>2598</v>
      </c>
      <c r="S856" s="14" t="s">
        <v>2573</v>
      </c>
    </row>
    <row r="857">
      <c r="A857" s="8" t="s">
        <v>69</v>
      </c>
      <c r="B857" s="8" t="s">
        <v>3151</v>
      </c>
      <c r="C857" s="8" t="s">
        <v>53</v>
      </c>
      <c r="D857" s="18" t="s">
        <v>2183</v>
      </c>
      <c r="E857" s="16">
        <v>71.0</v>
      </c>
      <c r="F857" s="8" t="s">
        <v>1940</v>
      </c>
      <c r="G857" s="8" t="s">
        <v>1939</v>
      </c>
      <c r="H857" s="8" t="s">
        <v>149</v>
      </c>
      <c r="I857" s="18" t="s">
        <v>2603</v>
      </c>
      <c r="J857" s="16">
        <v>75.0</v>
      </c>
      <c r="K857" s="8" t="s">
        <v>239</v>
      </c>
      <c r="L857" s="8" t="s">
        <v>238</v>
      </c>
      <c r="M857" s="18" t="s">
        <v>2610</v>
      </c>
      <c r="N857" s="16">
        <v>86.0</v>
      </c>
      <c r="O857" s="8" t="s">
        <v>4782</v>
      </c>
      <c r="P857" s="8" t="s">
        <v>215</v>
      </c>
      <c r="Q857" s="14" t="s">
        <v>1070</v>
      </c>
      <c r="R857" s="8" t="s">
        <v>2183</v>
      </c>
      <c r="S857" s="14" t="s">
        <v>2578</v>
      </c>
    </row>
    <row r="858">
      <c r="A858" s="8" t="s">
        <v>2376</v>
      </c>
      <c r="B858" s="8" t="s">
        <v>3295</v>
      </c>
      <c r="C858" s="8" t="s">
        <v>65</v>
      </c>
      <c r="D858" s="18" t="s">
        <v>2183</v>
      </c>
      <c r="E858" s="16">
        <v>63.0</v>
      </c>
      <c r="F858" s="8" t="s">
        <v>1940</v>
      </c>
      <c r="G858" s="8" t="s">
        <v>3129</v>
      </c>
      <c r="H858" s="8" t="s">
        <v>138</v>
      </c>
      <c r="I858" s="18" t="s">
        <v>2593</v>
      </c>
      <c r="J858" s="16">
        <v>72.0</v>
      </c>
      <c r="K858" s="8" t="s">
        <v>239</v>
      </c>
      <c r="L858" s="8" t="s">
        <v>238</v>
      </c>
      <c r="M858" s="18" t="s">
        <v>2610</v>
      </c>
      <c r="N858" s="16">
        <v>89.0</v>
      </c>
      <c r="O858" s="8" t="s">
        <v>4783</v>
      </c>
      <c r="P858" s="8" t="s">
        <v>70</v>
      </c>
      <c r="Q858" s="14" t="s">
        <v>60</v>
      </c>
      <c r="R858" s="8" t="s">
        <v>2587</v>
      </c>
      <c r="S858" s="14" t="s">
        <v>2599</v>
      </c>
    </row>
    <row r="859">
      <c r="A859" s="8" t="s">
        <v>2922</v>
      </c>
      <c r="B859" s="8" t="s">
        <v>2921</v>
      </c>
      <c r="C859" s="8" t="s">
        <v>65</v>
      </c>
      <c r="D859" s="18" t="s">
        <v>2592</v>
      </c>
      <c r="E859" s="16">
        <v>58.0</v>
      </c>
      <c r="F859" s="8" t="s">
        <v>177</v>
      </c>
      <c r="G859" s="8" t="s">
        <v>1781</v>
      </c>
      <c r="H859" s="8" t="s">
        <v>24</v>
      </c>
      <c r="I859" s="18" t="s">
        <v>2566</v>
      </c>
      <c r="J859" s="16">
        <v>75.0</v>
      </c>
      <c r="K859" s="8" t="s">
        <v>1635</v>
      </c>
      <c r="L859" s="8" t="s">
        <v>1634</v>
      </c>
      <c r="M859" s="18" t="s">
        <v>2614</v>
      </c>
      <c r="N859" s="16">
        <v>73.0</v>
      </c>
      <c r="O859" s="8" t="s">
        <v>4784</v>
      </c>
      <c r="P859" s="8" t="s">
        <v>75</v>
      </c>
      <c r="Q859" s="14" t="s">
        <v>2033</v>
      </c>
      <c r="R859" s="8" t="s">
        <v>2554</v>
      </c>
      <c r="S859" s="14" t="s">
        <v>2608</v>
      </c>
    </row>
    <row r="860">
      <c r="A860" s="8" t="s">
        <v>3028</v>
      </c>
      <c r="B860" s="8" t="s">
        <v>3027</v>
      </c>
      <c r="C860" s="8" t="s">
        <v>215</v>
      </c>
      <c r="D860" s="18" t="s">
        <v>2589</v>
      </c>
      <c r="E860" s="16">
        <v>76.0</v>
      </c>
      <c r="F860" s="8" t="s">
        <v>177</v>
      </c>
      <c r="G860" s="8" t="s">
        <v>99</v>
      </c>
      <c r="H860" s="8" t="s">
        <v>75</v>
      </c>
      <c r="I860" s="18" t="s">
        <v>2592</v>
      </c>
      <c r="J860" s="16">
        <v>73.0</v>
      </c>
      <c r="K860" s="8" t="s">
        <v>1635</v>
      </c>
      <c r="L860" s="8" t="s">
        <v>703</v>
      </c>
      <c r="M860" s="18" t="s">
        <v>2615</v>
      </c>
      <c r="N860" s="16">
        <v>65.0</v>
      </c>
      <c r="O860" s="8" t="s">
        <v>4785</v>
      </c>
      <c r="P860" s="8" t="s">
        <v>53</v>
      </c>
      <c r="Q860" s="14" t="s">
        <v>2296</v>
      </c>
      <c r="R860" s="8" t="s">
        <v>2560</v>
      </c>
      <c r="S860" s="14" t="s">
        <v>2622</v>
      </c>
    </row>
    <row r="861">
      <c r="A861" s="8" t="s">
        <v>724</v>
      </c>
      <c r="B861" s="8" t="s">
        <v>276</v>
      </c>
      <c r="C861" s="8" t="s">
        <v>24</v>
      </c>
      <c r="D861" s="18" t="s">
        <v>2556</v>
      </c>
      <c r="E861" s="16">
        <v>60.0</v>
      </c>
      <c r="F861" s="8" t="s">
        <v>177</v>
      </c>
      <c r="G861" s="8" t="s">
        <v>1094</v>
      </c>
      <c r="H861" s="8" t="s">
        <v>75</v>
      </c>
      <c r="I861" s="18" t="s">
        <v>2589</v>
      </c>
      <c r="J861" s="16">
        <v>68.0</v>
      </c>
      <c r="K861" s="8" t="s">
        <v>546</v>
      </c>
      <c r="L861" s="8" t="s">
        <v>545</v>
      </c>
      <c r="M861" s="18" t="s">
        <v>2610</v>
      </c>
      <c r="N861" s="16">
        <v>77.0</v>
      </c>
      <c r="O861" s="8" t="s">
        <v>4786</v>
      </c>
      <c r="P861" s="8" t="s">
        <v>132</v>
      </c>
      <c r="Q861" s="14" t="s">
        <v>2296</v>
      </c>
      <c r="R861" s="8" t="s">
        <v>2577</v>
      </c>
      <c r="S861" s="14" t="s">
        <v>2617</v>
      </c>
    </row>
    <row r="862">
      <c r="A862" s="8" t="s">
        <v>724</v>
      </c>
      <c r="B862" s="8" t="s">
        <v>3311</v>
      </c>
      <c r="C862" s="8" t="s">
        <v>141</v>
      </c>
      <c r="D862" s="18" t="s">
        <v>2554</v>
      </c>
      <c r="E862" s="16">
        <v>65.0</v>
      </c>
      <c r="F862" s="8" t="s">
        <v>272</v>
      </c>
      <c r="G862" s="8" t="s">
        <v>271</v>
      </c>
      <c r="H862" s="8" t="s">
        <v>215</v>
      </c>
      <c r="I862" s="18" t="s">
        <v>2552</v>
      </c>
      <c r="J862" s="16">
        <v>86.0</v>
      </c>
      <c r="K862" s="8" t="s">
        <v>546</v>
      </c>
      <c r="L862" s="8" t="s">
        <v>906</v>
      </c>
      <c r="M862" s="18" t="s">
        <v>2603</v>
      </c>
      <c r="N862" s="16">
        <v>75.0</v>
      </c>
      <c r="O862" s="8" t="s">
        <v>4787</v>
      </c>
      <c r="P862" s="8" t="s">
        <v>59</v>
      </c>
      <c r="Q862" s="14" t="s">
        <v>2296</v>
      </c>
      <c r="R862" s="8" t="s">
        <v>2585</v>
      </c>
      <c r="S862" s="14" t="s">
        <v>2553</v>
      </c>
    </row>
    <row r="863">
      <c r="A863" s="8" t="s">
        <v>724</v>
      </c>
      <c r="B863" s="8" t="s">
        <v>208</v>
      </c>
      <c r="C863" s="8" t="s">
        <v>75</v>
      </c>
      <c r="D863" s="18" t="s">
        <v>2556</v>
      </c>
      <c r="E863" s="16">
        <v>83.0</v>
      </c>
      <c r="F863" s="8" t="s">
        <v>342</v>
      </c>
      <c r="G863" s="8" t="s">
        <v>897</v>
      </c>
      <c r="H863" s="8" t="s">
        <v>70</v>
      </c>
      <c r="I863" s="18" t="s">
        <v>2614</v>
      </c>
      <c r="J863" s="16">
        <v>90.0</v>
      </c>
      <c r="K863" s="8" t="s">
        <v>546</v>
      </c>
      <c r="L863" s="8" t="s">
        <v>1499</v>
      </c>
      <c r="M863" s="18" t="s">
        <v>2585</v>
      </c>
      <c r="N863" s="16">
        <v>77.0</v>
      </c>
      <c r="O863" s="8" t="s">
        <v>4788</v>
      </c>
      <c r="P863" s="8" t="s">
        <v>132</v>
      </c>
      <c r="Q863" s="14" t="s">
        <v>631</v>
      </c>
      <c r="R863" s="18" t="s">
        <v>2556</v>
      </c>
      <c r="S863" s="14" t="s">
        <v>2590</v>
      </c>
    </row>
    <row r="864">
      <c r="A864" s="8" t="s">
        <v>724</v>
      </c>
      <c r="B864" s="8" t="s">
        <v>396</v>
      </c>
      <c r="C864" s="8" t="s">
        <v>59</v>
      </c>
      <c r="D864" s="18" t="s">
        <v>2589</v>
      </c>
      <c r="E864" s="16">
        <v>64.0</v>
      </c>
      <c r="F864" s="8" t="s">
        <v>342</v>
      </c>
      <c r="G864" s="8" t="s">
        <v>341</v>
      </c>
      <c r="H864" s="8" t="s">
        <v>215</v>
      </c>
      <c r="I864" s="18" t="s">
        <v>2554</v>
      </c>
      <c r="J864" s="16">
        <v>84.0</v>
      </c>
      <c r="K864" s="8" t="s">
        <v>546</v>
      </c>
      <c r="L864" s="8" t="s">
        <v>2866</v>
      </c>
      <c r="M864" s="18" t="s">
        <v>2595</v>
      </c>
      <c r="N864" s="16">
        <v>69.0</v>
      </c>
      <c r="O864" s="8" t="s">
        <v>4789</v>
      </c>
      <c r="P864" s="8" t="s">
        <v>122</v>
      </c>
      <c r="Q864" s="14" t="s">
        <v>837</v>
      </c>
      <c r="R864" s="18" t="s">
        <v>2556</v>
      </c>
      <c r="S864" s="14" t="s">
        <v>2563</v>
      </c>
    </row>
    <row r="865">
      <c r="A865" s="8" t="s">
        <v>724</v>
      </c>
      <c r="B865" s="8" t="s">
        <v>455</v>
      </c>
      <c r="C865" s="8" t="s">
        <v>122</v>
      </c>
      <c r="D865" s="18" t="s">
        <v>2554</v>
      </c>
      <c r="E865" s="16">
        <v>69.0</v>
      </c>
      <c r="F865" s="8" t="s">
        <v>3418</v>
      </c>
      <c r="G865" s="8" t="s">
        <v>308</v>
      </c>
      <c r="H865" s="8" t="s">
        <v>93</v>
      </c>
      <c r="I865" s="18" t="s">
        <v>2584</v>
      </c>
      <c r="J865" s="16">
        <v>62.0</v>
      </c>
      <c r="K865" s="8" t="s">
        <v>294</v>
      </c>
      <c r="L865" s="8" t="s">
        <v>902</v>
      </c>
      <c r="M865" s="18" t="s">
        <v>2593</v>
      </c>
      <c r="N865" s="16">
        <v>76.0</v>
      </c>
      <c r="O865" s="8" t="s">
        <v>4790</v>
      </c>
      <c r="P865" s="8" t="s">
        <v>16</v>
      </c>
      <c r="Q865" s="14" t="s">
        <v>2033</v>
      </c>
      <c r="R865" s="8" t="s">
        <v>2584</v>
      </c>
      <c r="S865" s="14" t="s">
        <v>2570</v>
      </c>
    </row>
    <row r="866">
      <c r="A866" s="8" t="s">
        <v>252</v>
      </c>
      <c r="B866" s="8" t="s">
        <v>251</v>
      </c>
      <c r="C866" s="8" t="s">
        <v>24</v>
      </c>
      <c r="D866" s="18" t="s">
        <v>2585</v>
      </c>
      <c r="E866" s="16">
        <v>75.0</v>
      </c>
      <c r="F866" s="8" t="s">
        <v>1540</v>
      </c>
      <c r="G866" s="8" t="s">
        <v>1539</v>
      </c>
      <c r="H866" s="8" t="s">
        <v>93</v>
      </c>
      <c r="I866" s="18" t="s">
        <v>2582</v>
      </c>
      <c r="J866" s="16">
        <v>70.0</v>
      </c>
      <c r="K866" s="8" t="s">
        <v>294</v>
      </c>
      <c r="L866" s="8" t="s">
        <v>218</v>
      </c>
      <c r="M866" s="18" t="s">
        <v>2592</v>
      </c>
      <c r="N866" s="16">
        <v>86.0</v>
      </c>
      <c r="O866" s="8" t="s">
        <v>4791</v>
      </c>
      <c r="P866" s="8" t="s">
        <v>93</v>
      </c>
      <c r="Q866" s="14" t="s">
        <v>1679</v>
      </c>
      <c r="R866" s="18" t="s">
        <v>2556</v>
      </c>
      <c r="S866" s="14" t="s">
        <v>2608</v>
      </c>
    </row>
    <row r="867">
      <c r="A867" s="8" t="s">
        <v>252</v>
      </c>
      <c r="B867" s="8" t="s">
        <v>203</v>
      </c>
      <c r="C867" s="8" t="s">
        <v>24</v>
      </c>
      <c r="D867" s="18" t="s">
        <v>2620</v>
      </c>
      <c r="E867" s="16">
        <v>70.0</v>
      </c>
      <c r="F867" s="8" t="s">
        <v>1108</v>
      </c>
      <c r="G867" s="8" t="s">
        <v>106</v>
      </c>
      <c r="H867" s="8" t="s">
        <v>138</v>
      </c>
      <c r="I867" s="18" t="s">
        <v>2556</v>
      </c>
      <c r="J867" s="16">
        <v>62.0</v>
      </c>
      <c r="K867" s="8" t="s">
        <v>882</v>
      </c>
      <c r="L867" s="8" t="s">
        <v>61</v>
      </c>
      <c r="M867" s="18" t="s">
        <v>2572</v>
      </c>
      <c r="N867" s="16">
        <v>67.0</v>
      </c>
      <c r="O867" s="8" t="s">
        <v>4792</v>
      </c>
      <c r="P867" s="8" t="s">
        <v>46</v>
      </c>
      <c r="Q867" s="14" t="s">
        <v>837</v>
      </c>
      <c r="R867" s="8" t="s">
        <v>2620</v>
      </c>
      <c r="S867" s="14" t="s">
        <v>2590</v>
      </c>
    </row>
    <row r="868">
      <c r="A868" s="8" t="s">
        <v>252</v>
      </c>
      <c r="B868" s="8" t="s">
        <v>2815</v>
      </c>
      <c r="C868" s="8" t="s">
        <v>16</v>
      </c>
      <c r="D868" s="18" t="s">
        <v>2595</v>
      </c>
      <c r="E868" s="16">
        <v>64.0</v>
      </c>
      <c r="F868" s="8" t="s">
        <v>3214</v>
      </c>
      <c r="G868" s="8" t="s">
        <v>500</v>
      </c>
      <c r="H868" s="8" t="s">
        <v>46</v>
      </c>
      <c r="I868" s="18" t="s">
        <v>2567</v>
      </c>
      <c r="J868" s="16">
        <v>64.0</v>
      </c>
      <c r="K868" s="8" t="s">
        <v>1481</v>
      </c>
      <c r="L868" s="8" t="s">
        <v>1480</v>
      </c>
      <c r="M868" s="18" t="s">
        <v>2603</v>
      </c>
      <c r="N868" s="16">
        <v>73.0</v>
      </c>
      <c r="O868" s="8" t="s">
        <v>4793</v>
      </c>
      <c r="P868" s="8" t="s">
        <v>53</v>
      </c>
      <c r="Q868" s="14" t="s">
        <v>1679</v>
      </c>
      <c r="R868" s="8" t="s">
        <v>2554</v>
      </c>
      <c r="S868" s="14" t="s">
        <v>2594</v>
      </c>
    </row>
    <row r="869">
      <c r="A869" s="8" t="s">
        <v>252</v>
      </c>
      <c r="B869" s="8" t="s">
        <v>783</v>
      </c>
      <c r="C869" s="8" t="s">
        <v>75</v>
      </c>
      <c r="D869" s="18" t="s">
        <v>2593</v>
      </c>
      <c r="E869" s="16">
        <v>78.0</v>
      </c>
      <c r="F869" s="8" t="s">
        <v>63</v>
      </c>
      <c r="G869" s="8" t="s">
        <v>3096</v>
      </c>
      <c r="H869" s="8" t="s">
        <v>70</v>
      </c>
      <c r="I869" s="18" t="s">
        <v>2577</v>
      </c>
      <c r="J869" s="16">
        <v>66.0</v>
      </c>
      <c r="K869" s="8" t="s">
        <v>2320</v>
      </c>
      <c r="L869" s="8" t="s">
        <v>726</v>
      </c>
      <c r="M869" s="18" t="s">
        <v>2582</v>
      </c>
      <c r="N869" s="16">
        <v>71.0</v>
      </c>
      <c r="O869" s="8" t="s">
        <v>4794</v>
      </c>
      <c r="P869" s="8" t="s">
        <v>141</v>
      </c>
      <c r="Q869" s="14" t="s">
        <v>1679</v>
      </c>
      <c r="R869" s="8" t="s">
        <v>2552</v>
      </c>
      <c r="S869" s="14" t="s">
        <v>2602</v>
      </c>
    </row>
    <row r="870">
      <c r="A870" s="8" t="s">
        <v>252</v>
      </c>
      <c r="B870" s="8" t="s">
        <v>3459</v>
      </c>
      <c r="C870" s="8" t="s">
        <v>38</v>
      </c>
      <c r="D870" s="18" t="s">
        <v>2589</v>
      </c>
      <c r="E870" s="16">
        <v>69.0</v>
      </c>
      <c r="F870" s="8" t="s">
        <v>664</v>
      </c>
      <c r="G870" s="8" t="s">
        <v>145</v>
      </c>
      <c r="H870" s="8" t="s">
        <v>122</v>
      </c>
      <c r="I870" s="18" t="s">
        <v>2564</v>
      </c>
      <c r="J870" s="16">
        <v>91.0</v>
      </c>
      <c r="K870" s="8" t="s">
        <v>1358</v>
      </c>
      <c r="L870" s="8" t="s">
        <v>1357</v>
      </c>
      <c r="M870" s="18" t="s">
        <v>2558</v>
      </c>
      <c r="N870" s="16">
        <v>72.0</v>
      </c>
      <c r="O870" s="8" t="s">
        <v>4795</v>
      </c>
      <c r="P870" s="8" t="s">
        <v>24</v>
      </c>
      <c r="Q870" s="14" t="s">
        <v>237</v>
      </c>
      <c r="R870" s="8" t="s">
        <v>2585</v>
      </c>
      <c r="S870" s="14" t="s">
        <v>2602</v>
      </c>
    </row>
    <row r="871">
      <c r="A871" s="8" t="s">
        <v>3058</v>
      </c>
      <c r="B871" s="8" t="s">
        <v>3423</v>
      </c>
      <c r="C871" s="8" t="s">
        <v>141</v>
      </c>
      <c r="D871" s="18" t="s">
        <v>2587</v>
      </c>
      <c r="E871" s="16">
        <v>54.0</v>
      </c>
      <c r="F871" s="8" t="s">
        <v>1505</v>
      </c>
      <c r="G871" s="8" t="s">
        <v>1504</v>
      </c>
      <c r="H871" s="8" t="s">
        <v>75</v>
      </c>
      <c r="I871" s="18" t="s">
        <v>2572</v>
      </c>
      <c r="J871" s="16">
        <v>79.0</v>
      </c>
      <c r="K871" s="8" t="s">
        <v>1292</v>
      </c>
      <c r="L871" s="8" t="s">
        <v>1291</v>
      </c>
      <c r="M871" s="18" t="s">
        <v>2621</v>
      </c>
      <c r="N871" s="16">
        <v>64.0</v>
      </c>
      <c r="O871" s="8" t="s">
        <v>4796</v>
      </c>
      <c r="P871" s="8" t="s">
        <v>24</v>
      </c>
      <c r="Q871" s="14" t="s">
        <v>2033</v>
      </c>
      <c r="R871" s="8" t="s">
        <v>2566</v>
      </c>
      <c r="S871" s="14" t="s">
        <v>2576</v>
      </c>
    </row>
    <row r="872">
      <c r="A872" s="8" t="s">
        <v>2809</v>
      </c>
      <c r="B872" s="8" t="s">
        <v>2808</v>
      </c>
      <c r="C872" s="8" t="s">
        <v>46</v>
      </c>
      <c r="D872" s="18" t="s">
        <v>2603</v>
      </c>
      <c r="E872" s="16">
        <v>72.0</v>
      </c>
      <c r="F872" s="8" t="s">
        <v>3133</v>
      </c>
      <c r="G872" s="8" t="s">
        <v>3132</v>
      </c>
      <c r="H872" s="8" t="s">
        <v>70</v>
      </c>
      <c r="I872" s="18" t="s">
        <v>2574</v>
      </c>
      <c r="J872" s="16">
        <v>69.0</v>
      </c>
      <c r="K872" s="8" t="s">
        <v>604</v>
      </c>
      <c r="L872" s="8" t="s">
        <v>603</v>
      </c>
      <c r="M872" s="18" t="s">
        <v>2556</v>
      </c>
      <c r="N872" s="16">
        <v>75.0</v>
      </c>
      <c r="O872" s="8" t="s">
        <v>4797</v>
      </c>
      <c r="P872" s="8" t="s">
        <v>16</v>
      </c>
      <c r="Q872" s="14" t="s">
        <v>631</v>
      </c>
      <c r="R872" s="8" t="s">
        <v>2615</v>
      </c>
      <c r="S872" s="14" t="s">
        <v>2626</v>
      </c>
    </row>
    <row r="873">
      <c r="A873" s="8" t="s">
        <v>3649</v>
      </c>
      <c r="B873" s="8" t="s">
        <v>3648</v>
      </c>
      <c r="C873" s="8" t="s">
        <v>141</v>
      </c>
      <c r="D873" s="18" t="s">
        <v>2615</v>
      </c>
      <c r="E873" s="16">
        <v>66.0</v>
      </c>
      <c r="F873" s="8" t="s">
        <v>2793</v>
      </c>
      <c r="G873" s="8" t="s">
        <v>3323</v>
      </c>
      <c r="H873" s="8" t="s">
        <v>215</v>
      </c>
      <c r="I873" s="18" t="s">
        <v>2577</v>
      </c>
      <c r="J873" s="16">
        <v>61.0</v>
      </c>
      <c r="K873" s="8" t="s">
        <v>848</v>
      </c>
      <c r="L873" s="8" t="s">
        <v>847</v>
      </c>
      <c r="M873" s="18" t="s">
        <v>2610</v>
      </c>
      <c r="N873" s="16">
        <v>77.0</v>
      </c>
      <c r="O873" s="8" t="s">
        <v>4798</v>
      </c>
      <c r="P873" s="8" t="s">
        <v>24</v>
      </c>
      <c r="Q873" s="14" t="s">
        <v>1352</v>
      </c>
      <c r="R873" s="8" t="s">
        <v>2595</v>
      </c>
      <c r="S873" s="14" t="s">
        <v>2563</v>
      </c>
    </row>
    <row r="874">
      <c r="A874" s="8" t="s">
        <v>2157</v>
      </c>
      <c r="B874" s="8" t="s">
        <v>3541</v>
      </c>
      <c r="C874" s="8" t="s">
        <v>24</v>
      </c>
      <c r="D874" s="18" t="s">
        <v>2615</v>
      </c>
      <c r="E874" s="16">
        <v>84.0</v>
      </c>
      <c r="F874" s="8" t="s">
        <v>69</v>
      </c>
      <c r="G874" s="8" t="s">
        <v>3151</v>
      </c>
      <c r="H874" s="8" t="s">
        <v>53</v>
      </c>
      <c r="I874" s="18" t="s">
        <v>2183</v>
      </c>
      <c r="J874" s="16">
        <v>69.0</v>
      </c>
      <c r="K874" s="8" t="s">
        <v>3003</v>
      </c>
      <c r="L874" s="8" t="s">
        <v>1579</v>
      </c>
      <c r="M874" s="18" t="s">
        <v>2592</v>
      </c>
      <c r="N874" s="16">
        <v>62.0</v>
      </c>
      <c r="O874" s="8" t="s">
        <v>4799</v>
      </c>
      <c r="P874" s="8" t="s">
        <v>65</v>
      </c>
      <c r="Q874" s="14" t="s">
        <v>2296</v>
      </c>
      <c r="R874" s="8" t="s">
        <v>2603</v>
      </c>
      <c r="S874" s="14" t="s">
        <v>2557</v>
      </c>
    </row>
    <row r="875">
      <c r="A875" s="8" t="s">
        <v>2783</v>
      </c>
      <c r="B875" s="8" t="s">
        <v>2782</v>
      </c>
      <c r="C875" s="8" t="s">
        <v>24</v>
      </c>
      <c r="D875" s="18" t="s">
        <v>2614</v>
      </c>
      <c r="E875" s="16">
        <v>74.0</v>
      </c>
      <c r="F875" s="8" t="s">
        <v>69</v>
      </c>
      <c r="G875" s="8" t="s">
        <v>68</v>
      </c>
      <c r="H875" s="8" t="s">
        <v>70</v>
      </c>
      <c r="I875" s="18" t="s">
        <v>2567</v>
      </c>
      <c r="J875" s="16">
        <v>83.0</v>
      </c>
      <c r="K875" s="8" t="s">
        <v>3009</v>
      </c>
      <c r="L875" s="8" t="s">
        <v>2054</v>
      </c>
      <c r="M875" s="18" t="s">
        <v>2554</v>
      </c>
      <c r="N875" s="16">
        <v>83.0</v>
      </c>
      <c r="O875" s="8" t="s">
        <v>4800</v>
      </c>
      <c r="P875" s="8" t="s">
        <v>186</v>
      </c>
      <c r="Q875" s="14" t="s">
        <v>2033</v>
      </c>
      <c r="R875" s="8" t="s">
        <v>2183</v>
      </c>
      <c r="S875" s="14" t="s">
        <v>2612</v>
      </c>
    </row>
    <row r="876">
      <c r="A876" s="8" t="s">
        <v>930</v>
      </c>
      <c r="B876" s="8" t="s">
        <v>929</v>
      </c>
      <c r="C876" s="8" t="s">
        <v>215</v>
      </c>
      <c r="D876" s="18" t="s">
        <v>2600</v>
      </c>
      <c r="E876" s="16">
        <v>63.0</v>
      </c>
      <c r="F876" s="8" t="s">
        <v>69</v>
      </c>
      <c r="G876" s="8" t="s">
        <v>90</v>
      </c>
      <c r="H876" s="8" t="s">
        <v>138</v>
      </c>
      <c r="I876" s="18" t="s">
        <v>2603</v>
      </c>
      <c r="J876" s="16">
        <v>82.0</v>
      </c>
      <c r="K876" s="8" t="s">
        <v>325</v>
      </c>
      <c r="L876" s="8" t="s">
        <v>3085</v>
      </c>
      <c r="M876" s="18" t="s">
        <v>2554</v>
      </c>
      <c r="N876" s="16">
        <v>85.0</v>
      </c>
      <c r="O876" s="8" t="s">
        <v>4801</v>
      </c>
      <c r="P876" s="8" t="s">
        <v>65</v>
      </c>
      <c r="Q876" s="14" t="s">
        <v>1070</v>
      </c>
      <c r="R876" s="8" t="s">
        <v>2183</v>
      </c>
      <c r="S876" s="14" t="s">
        <v>2579</v>
      </c>
    </row>
    <row r="877">
      <c r="A877" s="8" t="s">
        <v>239</v>
      </c>
      <c r="B877" s="8" t="s">
        <v>238</v>
      </c>
      <c r="C877" s="8" t="s">
        <v>122</v>
      </c>
      <c r="D877" s="18" t="s">
        <v>2610</v>
      </c>
      <c r="E877" s="16">
        <v>94.0</v>
      </c>
      <c r="F877" s="8" t="s">
        <v>2376</v>
      </c>
      <c r="G877" s="8" t="s">
        <v>3295</v>
      </c>
      <c r="H877" s="8" t="s">
        <v>65</v>
      </c>
      <c r="I877" s="18" t="s">
        <v>2560</v>
      </c>
      <c r="J877" s="16">
        <v>63.0</v>
      </c>
      <c r="K877" s="8" t="s">
        <v>1206</v>
      </c>
      <c r="L877" s="8" t="s">
        <v>1205</v>
      </c>
      <c r="M877" s="18" t="s">
        <v>2598</v>
      </c>
      <c r="N877" s="16">
        <v>83.0</v>
      </c>
      <c r="O877" s="8" t="s">
        <v>4802</v>
      </c>
      <c r="P877" s="8" t="s">
        <v>53</v>
      </c>
      <c r="Q877" s="14" t="s">
        <v>1679</v>
      </c>
      <c r="R877" s="8" t="s">
        <v>2615</v>
      </c>
      <c r="S877" s="14" t="s">
        <v>2571</v>
      </c>
    </row>
    <row r="878">
      <c r="A878" s="8" t="s">
        <v>239</v>
      </c>
      <c r="B878" s="8" t="s">
        <v>99</v>
      </c>
      <c r="C878" s="8" t="s">
        <v>16</v>
      </c>
      <c r="D878" s="18" t="s">
        <v>2560</v>
      </c>
      <c r="E878" s="16">
        <v>73.0</v>
      </c>
      <c r="F878" s="8" t="s">
        <v>2922</v>
      </c>
      <c r="G878" s="8" t="s">
        <v>2921</v>
      </c>
      <c r="H878" s="8" t="s">
        <v>65</v>
      </c>
      <c r="I878" s="18" t="s">
        <v>2592</v>
      </c>
      <c r="J878" s="16">
        <v>62.0</v>
      </c>
      <c r="K878" s="8" t="s">
        <v>203</v>
      </c>
      <c r="L878" s="8" t="s">
        <v>926</v>
      </c>
      <c r="M878" s="18" t="s">
        <v>2554</v>
      </c>
      <c r="N878" s="16">
        <v>75.0</v>
      </c>
      <c r="O878" s="8" t="s">
        <v>4803</v>
      </c>
      <c r="P878" s="8" t="s">
        <v>215</v>
      </c>
      <c r="Q878" s="14" t="s">
        <v>837</v>
      </c>
      <c r="R878" s="8" t="s">
        <v>2595</v>
      </c>
      <c r="S878" s="14" t="s">
        <v>2576</v>
      </c>
    </row>
    <row r="879">
      <c r="A879" s="8" t="s">
        <v>1635</v>
      </c>
      <c r="B879" s="8" t="s">
        <v>426</v>
      </c>
      <c r="C879" s="8" t="s">
        <v>132</v>
      </c>
      <c r="D879" s="18" t="s">
        <v>2554</v>
      </c>
      <c r="E879" s="16">
        <v>81.0</v>
      </c>
      <c r="F879" s="8" t="s">
        <v>2922</v>
      </c>
      <c r="G879" s="8" t="s">
        <v>3176</v>
      </c>
      <c r="H879" s="8" t="s">
        <v>53</v>
      </c>
      <c r="I879" s="18" t="s">
        <v>2560</v>
      </c>
      <c r="J879" s="16">
        <v>59.0</v>
      </c>
      <c r="K879" s="8" t="s">
        <v>203</v>
      </c>
      <c r="L879" s="8" t="s">
        <v>202</v>
      </c>
      <c r="M879" s="18" t="s">
        <v>2574</v>
      </c>
      <c r="N879" s="16">
        <v>82.0</v>
      </c>
      <c r="O879" s="8" t="s">
        <v>4804</v>
      </c>
      <c r="P879" s="8" t="s">
        <v>122</v>
      </c>
      <c r="Q879" s="14" t="s">
        <v>237</v>
      </c>
      <c r="R879" s="8" t="s">
        <v>2610</v>
      </c>
      <c r="S879" s="14" t="s">
        <v>2616</v>
      </c>
    </row>
    <row r="880">
      <c r="A880" s="8" t="s">
        <v>1635</v>
      </c>
      <c r="B880" s="8" t="s">
        <v>1634</v>
      </c>
      <c r="C880" s="8" t="s">
        <v>24</v>
      </c>
      <c r="D880" s="18" t="s">
        <v>2614</v>
      </c>
      <c r="E880" s="16">
        <v>64.0</v>
      </c>
      <c r="F880" s="8" t="s">
        <v>2922</v>
      </c>
      <c r="G880" s="8" t="s">
        <v>3074</v>
      </c>
      <c r="H880" s="8" t="s">
        <v>261</v>
      </c>
      <c r="I880" s="18" t="s">
        <v>2605</v>
      </c>
      <c r="J880" s="16">
        <v>73.0</v>
      </c>
      <c r="K880" s="8" t="s">
        <v>124</v>
      </c>
      <c r="L880" s="8" t="s">
        <v>970</v>
      </c>
      <c r="M880" s="18" t="s">
        <v>2562</v>
      </c>
      <c r="N880" s="16">
        <v>73.0</v>
      </c>
      <c r="O880" s="8" t="s">
        <v>4805</v>
      </c>
      <c r="P880" s="8" t="s">
        <v>16</v>
      </c>
      <c r="Q880" s="14" t="s">
        <v>631</v>
      </c>
      <c r="R880" s="8" t="s">
        <v>2603</v>
      </c>
      <c r="S880" s="14" t="s">
        <v>2580</v>
      </c>
    </row>
    <row r="881">
      <c r="A881" s="8" t="s">
        <v>546</v>
      </c>
      <c r="B881" s="8" t="s">
        <v>3157</v>
      </c>
      <c r="C881" s="8" t="s">
        <v>70</v>
      </c>
      <c r="D881" s="18" t="s">
        <v>2556</v>
      </c>
      <c r="E881" s="16">
        <v>64.0</v>
      </c>
      <c r="F881" s="8" t="s">
        <v>3028</v>
      </c>
      <c r="G881" s="8" t="s">
        <v>3027</v>
      </c>
      <c r="H881" s="8" t="s">
        <v>215</v>
      </c>
      <c r="I881" s="18" t="s">
        <v>2589</v>
      </c>
      <c r="J881" s="16">
        <v>72.0</v>
      </c>
      <c r="K881" s="8" t="s">
        <v>124</v>
      </c>
      <c r="L881" s="8" t="s">
        <v>1523</v>
      </c>
      <c r="M881" s="18" t="s">
        <v>2585</v>
      </c>
      <c r="N881" s="16">
        <v>69.0</v>
      </c>
      <c r="O881" s="8" t="s">
        <v>4806</v>
      </c>
      <c r="P881" s="8" t="s">
        <v>24</v>
      </c>
      <c r="Q881" s="14" t="s">
        <v>1352</v>
      </c>
      <c r="R881" s="8" t="s">
        <v>2584</v>
      </c>
      <c r="S881" s="14" t="s">
        <v>2602</v>
      </c>
    </row>
    <row r="882">
      <c r="A882" s="8" t="s">
        <v>546</v>
      </c>
      <c r="B882" s="8" t="s">
        <v>3631</v>
      </c>
      <c r="C882" s="8" t="s">
        <v>93</v>
      </c>
      <c r="D882" s="18" t="s">
        <v>2603</v>
      </c>
      <c r="E882" s="16">
        <v>59.0</v>
      </c>
      <c r="F882" s="8" t="s">
        <v>724</v>
      </c>
      <c r="G882" s="8" t="s">
        <v>276</v>
      </c>
      <c r="H882" s="8" t="s">
        <v>24</v>
      </c>
      <c r="I882" s="18" t="s">
        <v>2556</v>
      </c>
      <c r="J882" s="16">
        <v>61.0</v>
      </c>
      <c r="K882" s="8" t="s">
        <v>124</v>
      </c>
      <c r="L882" s="8" t="s">
        <v>123</v>
      </c>
      <c r="M882" s="18" t="s">
        <v>2574</v>
      </c>
      <c r="N882" s="16">
        <v>85.0</v>
      </c>
      <c r="O882" s="8" t="s">
        <v>4807</v>
      </c>
      <c r="P882" s="8" t="s">
        <v>132</v>
      </c>
      <c r="Q882" s="14" t="s">
        <v>2296</v>
      </c>
      <c r="R882" s="8" t="s">
        <v>2566</v>
      </c>
      <c r="S882" s="14" t="s">
        <v>2570</v>
      </c>
    </row>
    <row r="883">
      <c r="A883" s="8" t="s">
        <v>546</v>
      </c>
      <c r="B883" s="8" t="s">
        <v>545</v>
      </c>
      <c r="C883" s="8" t="s">
        <v>80</v>
      </c>
      <c r="D883" s="18" t="s">
        <v>2610</v>
      </c>
      <c r="E883" s="16">
        <v>84.0</v>
      </c>
      <c r="F883" s="8" t="s">
        <v>724</v>
      </c>
      <c r="G883" s="8" t="s">
        <v>396</v>
      </c>
      <c r="H883" s="8" t="s">
        <v>186</v>
      </c>
      <c r="I883" s="18" t="s">
        <v>2589</v>
      </c>
      <c r="J883" s="16">
        <v>58.0</v>
      </c>
      <c r="K883" s="8" t="s">
        <v>124</v>
      </c>
      <c r="L883" s="8" t="s">
        <v>3109</v>
      </c>
      <c r="M883" s="18" t="s">
        <v>2574</v>
      </c>
      <c r="N883" s="16">
        <v>71.0</v>
      </c>
      <c r="O883" s="8" t="s">
        <v>4808</v>
      </c>
      <c r="P883" s="8" t="s">
        <v>149</v>
      </c>
      <c r="Q883" s="14" t="s">
        <v>837</v>
      </c>
      <c r="R883" s="8" t="s">
        <v>2603</v>
      </c>
      <c r="S883" s="14" t="s">
        <v>2622</v>
      </c>
    </row>
    <row r="884">
      <c r="A884" s="8" t="s">
        <v>546</v>
      </c>
      <c r="B884" s="8" t="s">
        <v>389</v>
      </c>
      <c r="C884" s="8" t="s">
        <v>215</v>
      </c>
      <c r="D884" s="18" t="s">
        <v>2592</v>
      </c>
      <c r="E884" s="16">
        <v>70.0</v>
      </c>
      <c r="F884" s="8" t="s">
        <v>724</v>
      </c>
      <c r="G884" s="8" t="s">
        <v>455</v>
      </c>
      <c r="H884" s="8" t="s">
        <v>122</v>
      </c>
      <c r="I884" s="18" t="s">
        <v>2564</v>
      </c>
      <c r="J884" s="16">
        <v>70.0</v>
      </c>
      <c r="K884" s="8" t="s">
        <v>124</v>
      </c>
      <c r="L884" s="8" t="s">
        <v>335</v>
      </c>
      <c r="M884" s="18" t="s">
        <v>2593</v>
      </c>
      <c r="N884" s="16">
        <v>86.0</v>
      </c>
      <c r="O884" s="8" t="s">
        <v>4809</v>
      </c>
      <c r="P884" s="8" t="s">
        <v>192</v>
      </c>
      <c r="Q884" s="14" t="s">
        <v>459</v>
      </c>
      <c r="R884" s="8" t="s">
        <v>2614</v>
      </c>
      <c r="S884" s="14" t="s">
        <v>2602</v>
      </c>
    </row>
    <row r="885">
      <c r="A885" s="8" t="s">
        <v>546</v>
      </c>
      <c r="B885" s="8" t="s">
        <v>3502</v>
      </c>
      <c r="C885" s="8" t="s">
        <v>70</v>
      </c>
      <c r="D885" s="18" t="s">
        <v>2554</v>
      </c>
      <c r="E885" s="16">
        <v>68.0</v>
      </c>
      <c r="F885" s="8" t="s">
        <v>724</v>
      </c>
      <c r="G885" s="8" t="s">
        <v>208</v>
      </c>
      <c r="H885" s="8" t="s">
        <v>132</v>
      </c>
      <c r="I885" s="18" t="s">
        <v>2556</v>
      </c>
      <c r="J885" s="16">
        <v>84.0</v>
      </c>
      <c r="K885" s="8" t="s">
        <v>124</v>
      </c>
      <c r="L885" s="8" t="s">
        <v>2257</v>
      </c>
      <c r="M885" s="18" t="s">
        <v>2582</v>
      </c>
      <c r="N885" s="16">
        <v>69.0</v>
      </c>
      <c r="O885" s="8" t="s">
        <v>4810</v>
      </c>
      <c r="P885" s="8" t="s">
        <v>24</v>
      </c>
      <c r="Q885" s="14" t="s">
        <v>1352</v>
      </c>
      <c r="R885" s="8" t="s">
        <v>2585</v>
      </c>
      <c r="S885" s="14" t="s">
        <v>2561</v>
      </c>
    </row>
    <row r="886">
      <c r="A886" s="8" t="s">
        <v>294</v>
      </c>
      <c r="B886" s="8" t="s">
        <v>726</v>
      </c>
      <c r="C886" s="8" t="s">
        <v>24</v>
      </c>
      <c r="D886" s="18" t="s">
        <v>2589</v>
      </c>
      <c r="E886" s="16">
        <v>63.0</v>
      </c>
      <c r="F886" s="8" t="s">
        <v>724</v>
      </c>
      <c r="G886" s="8" t="s">
        <v>3311</v>
      </c>
      <c r="H886" s="8" t="s">
        <v>141</v>
      </c>
      <c r="I886" s="18" t="s">
        <v>2615</v>
      </c>
      <c r="J886" s="16">
        <v>65.0</v>
      </c>
      <c r="K886" s="8" t="s">
        <v>124</v>
      </c>
      <c r="L886" s="8" t="s">
        <v>1605</v>
      </c>
      <c r="M886" s="18" t="s">
        <v>2575</v>
      </c>
      <c r="N886" s="16">
        <v>67.0</v>
      </c>
      <c r="O886" s="8" t="s">
        <v>4811</v>
      </c>
      <c r="P886" s="8" t="s">
        <v>192</v>
      </c>
      <c r="Q886" s="14" t="s">
        <v>1352</v>
      </c>
      <c r="R886" s="8" t="s">
        <v>2567</v>
      </c>
      <c r="S886" s="14" t="s">
        <v>2622</v>
      </c>
    </row>
    <row r="887">
      <c r="A887" s="8" t="s">
        <v>294</v>
      </c>
      <c r="B887" s="8" t="s">
        <v>3687</v>
      </c>
      <c r="C887" s="8" t="s">
        <v>186</v>
      </c>
      <c r="D887" s="18" t="s">
        <v>2585</v>
      </c>
      <c r="E887" s="16">
        <v>69.0</v>
      </c>
      <c r="F887" s="8" t="s">
        <v>1743</v>
      </c>
      <c r="G887" s="8" t="s">
        <v>1130</v>
      </c>
      <c r="H887" s="8" t="s">
        <v>93</v>
      </c>
      <c r="I887" s="18" t="s">
        <v>2556</v>
      </c>
      <c r="J887" s="16">
        <v>75.0</v>
      </c>
      <c r="K887" s="8" t="s">
        <v>124</v>
      </c>
      <c r="L887" s="8" t="s">
        <v>123</v>
      </c>
      <c r="M887" s="18" t="s">
        <v>2574</v>
      </c>
      <c r="N887" s="16">
        <v>91.0</v>
      </c>
      <c r="O887" s="8" t="s">
        <v>4812</v>
      </c>
      <c r="P887" s="8" t="s">
        <v>24</v>
      </c>
      <c r="Q887" s="14" t="s">
        <v>1352</v>
      </c>
      <c r="R887" s="8" t="s">
        <v>2593</v>
      </c>
      <c r="S887" s="14" t="s">
        <v>2608</v>
      </c>
    </row>
    <row r="888">
      <c r="A888" s="8" t="s">
        <v>294</v>
      </c>
      <c r="B888" s="8" t="s">
        <v>218</v>
      </c>
      <c r="C888" s="8" t="s">
        <v>122</v>
      </c>
      <c r="D888" s="18" t="s">
        <v>2592</v>
      </c>
      <c r="E888" s="16">
        <v>92.0</v>
      </c>
      <c r="F888" s="8" t="s">
        <v>854</v>
      </c>
      <c r="G888" s="8" t="s">
        <v>853</v>
      </c>
      <c r="H888" s="8" t="s">
        <v>46</v>
      </c>
      <c r="I888" s="18" t="s">
        <v>2620</v>
      </c>
      <c r="J888" s="16">
        <v>77.0</v>
      </c>
      <c r="K888" s="8" t="s">
        <v>1626</v>
      </c>
      <c r="L888" s="8" t="s">
        <v>1625</v>
      </c>
      <c r="M888" s="18" t="s">
        <v>2567</v>
      </c>
      <c r="N888" s="16">
        <v>68.0</v>
      </c>
      <c r="O888" s="8" t="s">
        <v>4813</v>
      </c>
      <c r="P888" s="8" t="s">
        <v>215</v>
      </c>
      <c r="Q888" s="14" t="s">
        <v>237</v>
      </c>
      <c r="R888" s="8" t="s">
        <v>2574</v>
      </c>
      <c r="S888" s="14" t="s">
        <v>2633</v>
      </c>
    </row>
    <row r="889">
      <c r="A889" s="8" t="s">
        <v>294</v>
      </c>
      <c r="B889" s="8" t="s">
        <v>47</v>
      </c>
      <c r="C889" s="8" t="s">
        <v>59</v>
      </c>
      <c r="D889" s="18" t="s">
        <v>2562</v>
      </c>
      <c r="E889" s="16">
        <v>61.0</v>
      </c>
      <c r="F889" s="8" t="s">
        <v>252</v>
      </c>
      <c r="G889" s="8" t="s">
        <v>251</v>
      </c>
      <c r="H889" s="8" t="s">
        <v>24</v>
      </c>
      <c r="I889" s="18" t="s">
        <v>2585</v>
      </c>
      <c r="J889" s="16">
        <v>70.0</v>
      </c>
      <c r="K889" s="8" t="s">
        <v>2736</v>
      </c>
      <c r="L889" s="8" t="s">
        <v>2735</v>
      </c>
      <c r="M889" s="18" t="s">
        <v>2558</v>
      </c>
      <c r="N889" s="16">
        <v>82.0</v>
      </c>
      <c r="O889" s="8" t="s">
        <v>4814</v>
      </c>
      <c r="P889" s="8" t="s">
        <v>65</v>
      </c>
      <c r="Q889" s="14" t="s">
        <v>837</v>
      </c>
      <c r="R889" s="8" t="s">
        <v>2572</v>
      </c>
      <c r="S889" s="14" t="s">
        <v>2579</v>
      </c>
    </row>
    <row r="890">
      <c r="A890" s="8" t="s">
        <v>882</v>
      </c>
      <c r="B890" s="8" t="s">
        <v>61</v>
      </c>
      <c r="C890" s="8" t="s">
        <v>65</v>
      </c>
      <c r="D890" s="18" t="s">
        <v>2566</v>
      </c>
      <c r="E890" s="16">
        <v>64.0</v>
      </c>
      <c r="F890" s="8" t="s">
        <v>252</v>
      </c>
      <c r="G890" s="8" t="s">
        <v>2815</v>
      </c>
      <c r="H890" s="8" t="s">
        <v>16</v>
      </c>
      <c r="I890" s="18" t="s">
        <v>2595</v>
      </c>
      <c r="J890" s="16">
        <v>62.0</v>
      </c>
      <c r="K890" s="8" t="s">
        <v>1951</v>
      </c>
      <c r="L890" s="8" t="s">
        <v>1950</v>
      </c>
      <c r="M890" s="18" t="s">
        <v>2589</v>
      </c>
      <c r="N890" s="16">
        <v>76.0</v>
      </c>
      <c r="O890" s="8" t="s">
        <v>4815</v>
      </c>
      <c r="P890" s="8" t="s">
        <v>149</v>
      </c>
      <c r="Q890" s="14" t="s">
        <v>1352</v>
      </c>
      <c r="R890" s="8" t="s">
        <v>2558</v>
      </c>
      <c r="S890" s="14" t="s">
        <v>2618</v>
      </c>
    </row>
    <row r="891">
      <c r="A891" s="8" t="s">
        <v>1481</v>
      </c>
      <c r="B891" s="8" t="s">
        <v>1480</v>
      </c>
      <c r="C891" s="8" t="s">
        <v>132</v>
      </c>
      <c r="D891" s="18" t="s">
        <v>2603</v>
      </c>
      <c r="E891" s="16">
        <v>75.0</v>
      </c>
      <c r="F891" s="8" t="s">
        <v>252</v>
      </c>
      <c r="G891" s="8" t="s">
        <v>267</v>
      </c>
      <c r="H891" s="8" t="s">
        <v>16</v>
      </c>
      <c r="I891" s="18" t="s">
        <v>2574</v>
      </c>
      <c r="J891" s="16">
        <v>59.0</v>
      </c>
      <c r="K891" s="8" t="s">
        <v>2066</v>
      </c>
      <c r="L891" s="8" t="s">
        <v>3106</v>
      </c>
      <c r="M891" s="18" t="s">
        <v>2554</v>
      </c>
      <c r="N891" s="16">
        <v>64.0</v>
      </c>
      <c r="O891" s="8" t="s">
        <v>4816</v>
      </c>
      <c r="P891" s="8" t="s">
        <v>149</v>
      </c>
      <c r="Q891" s="14" t="s">
        <v>1352</v>
      </c>
      <c r="R891" s="8" t="s">
        <v>2603</v>
      </c>
      <c r="S891" s="14" t="s">
        <v>2573</v>
      </c>
    </row>
    <row r="892">
      <c r="A892" s="8" t="s">
        <v>1358</v>
      </c>
      <c r="B892" s="8" t="s">
        <v>1357</v>
      </c>
      <c r="C892" s="8" t="s">
        <v>65</v>
      </c>
      <c r="D892" s="18" t="s">
        <v>2558</v>
      </c>
      <c r="E892" s="16">
        <v>61.0</v>
      </c>
      <c r="F892" s="8" t="s">
        <v>3058</v>
      </c>
      <c r="G892" s="8" t="s">
        <v>99</v>
      </c>
      <c r="H892" s="8" t="s">
        <v>138</v>
      </c>
      <c r="I892" s="18" t="s">
        <v>2603</v>
      </c>
      <c r="J892" s="16">
        <v>61.0</v>
      </c>
      <c r="K892" s="8" t="s">
        <v>2828</v>
      </c>
      <c r="L892" s="8" t="s">
        <v>1322</v>
      </c>
      <c r="M892" s="18" t="s">
        <v>2564</v>
      </c>
      <c r="N892" s="16">
        <v>75.0</v>
      </c>
      <c r="O892" s="8" t="s">
        <v>4817</v>
      </c>
      <c r="P892" s="8" t="s">
        <v>186</v>
      </c>
      <c r="Q892" s="14" t="s">
        <v>2033</v>
      </c>
      <c r="R892" s="8" t="s">
        <v>2610</v>
      </c>
      <c r="S892" s="14" t="s">
        <v>2622</v>
      </c>
    </row>
    <row r="893">
      <c r="A893" s="8" t="s">
        <v>3281</v>
      </c>
      <c r="B893" s="8" t="s">
        <v>3280</v>
      </c>
      <c r="C893" s="8" t="s">
        <v>141</v>
      </c>
      <c r="D893" s="18" t="s">
        <v>2574</v>
      </c>
      <c r="E893" s="16">
        <v>70.0</v>
      </c>
      <c r="F893" s="8" t="s">
        <v>3058</v>
      </c>
      <c r="G893" s="8" t="s">
        <v>3423</v>
      </c>
      <c r="H893" s="8" t="s">
        <v>141</v>
      </c>
      <c r="I893" s="18" t="s">
        <v>2592</v>
      </c>
      <c r="J893" s="16">
        <v>54.0</v>
      </c>
      <c r="K893" s="8" t="s">
        <v>2965</v>
      </c>
      <c r="L893" s="8" t="s">
        <v>2964</v>
      </c>
      <c r="M893" s="18" t="s">
        <v>2564</v>
      </c>
      <c r="N893" s="16">
        <v>77.0</v>
      </c>
      <c r="O893" s="8" t="s">
        <v>4818</v>
      </c>
      <c r="P893" s="8" t="s">
        <v>46</v>
      </c>
      <c r="Q893" s="14" t="s">
        <v>2296</v>
      </c>
      <c r="R893" s="8" t="s">
        <v>2582</v>
      </c>
      <c r="S893" s="14" t="s">
        <v>2579</v>
      </c>
    </row>
    <row r="894">
      <c r="A894" s="8" t="s">
        <v>604</v>
      </c>
      <c r="B894" s="8" t="s">
        <v>3780</v>
      </c>
      <c r="C894" s="8" t="s">
        <v>215</v>
      </c>
      <c r="D894" s="18" t="s">
        <v>2577</v>
      </c>
      <c r="E894" s="16">
        <v>62.0</v>
      </c>
      <c r="F894" s="8" t="s">
        <v>2809</v>
      </c>
      <c r="G894" s="8" t="s">
        <v>2808</v>
      </c>
      <c r="H894" s="8" t="s">
        <v>149</v>
      </c>
      <c r="I894" s="18" t="s">
        <v>2585</v>
      </c>
      <c r="J894" s="16">
        <v>71.0</v>
      </c>
      <c r="K894" s="8" t="s">
        <v>934</v>
      </c>
      <c r="L894" s="8" t="s">
        <v>1550</v>
      </c>
      <c r="M894" s="18" t="s">
        <v>2610</v>
      </c>
      <c r="N894" s="16">
        <v>64.0</v>
      </c>
      <c r="O894" s="8" t="s">
        <v>4819</v>
      </c>
      <c r="P894" s="8" t="s">
        <v>65</v>
      </c>
      <c r="Q894" s="14" t="s">
        <v>1352</v>
      </c>
      <c r="R894" s="8" t="s">
        <v>2558</v>
      </c>
      <c r="S894" s="14" t="s">
        <v>2553</v>
      </c>
    </row>
    <row r="895">
      <c r="A895" s="8" t="s">
        <v>604</v>
      </c>
      <c r="B895" s="8" t="s">
        <v>603</v>
      </c>
      <c r="C895" s="8" t="s">
        <v>12</v>
      </c>
      <c r="D895" s="18" t="s">
        <v>2556</v>
      </c>
      <c r="E895" s="16">
        <v>67.0</v>
      </c>
      <c r="F895" s="8" t="s">
        <v>2783</v>
      </c>
      <c r="G895" s="8" t="s">
        <v>2782</v>
      </c>
      <c r="H895" s="8" t="s">
        <v>24</v>
      </c>
      <c r="I895" s="18" t="s">
        <v>2183</v>
      </c>
      <c r="J895" s="16">
        <v>74.0</v>
      </c>
      <c r="K895" s="8" t="s">
        <v>2949</v>
      </c>
      <c r="L895" s="8" t="s">
        <v>402</v>
      </c>
      <c r="M895" s="18" t="s">
        <v>2645</v>
      </c>
      <c r="N895" s="16">
        <v>66.0</v>
      </c>
      <c r="O895" s="8" t="s">
        <v>4820</v>
      </c>
      <c r="P895" s="8" t="s">
        <v>138</v>
      </c>
      <c r="Q895" s="14" t="s">
        <v>2033</v>
      </c>
      <c r="R895" s="8" t="s">
        <v>2567</v>
      </c>
      <c r="S895" s="14" t="s">
        <v>2583</v>
      </c>
    </row>
    <row r="896">
      <c r="A896" s="8" t="s">
        <v>848</v>
      </c>
      <c r="B896" s="8" t="s">
        <v>847</v>
      </c>
      <c r="C896" s="8" t="s">
        <v>70</v>
      </c>
      <c r="D896" s="18" t="s">
        <v>2610</v>
      </c>
      <c r="E896" s="16">
        <v>85.0</v>
      </c>
      <c r="F896" s="8" t="s">
        <v>930</v>
      </c>
      <c r="G896" s="8" t="s">
        <v>929</v>
      </c>
      <c r="H896" s="8" t="s">
        <v>138</v>
      </c>
      <c r="I896" s="18" t="s">
        <v>2600</v>
      </c>
      <c r="J896" s="16">
        <v>63.0</v>
      </c>
      <c r="K896" s="8" t="s">
        <v>1467</v>
      </c>
      <c r="L896" s="8" t="s">
        <v>1226</v>
      </c>
      <c r="M896" s="18" t="s">
        <v>2621</v>
      </c>
      <c r="N896" s="16">
        <v>75.0</v>
      </c>
      <c r="O896" s="8" t="s">
        <v>4821</v>
      </c>
      <c r="P896" s="8" t="s">
        <v>59</v>
      </c>
      <c r="Q896" s="14" t="s">
        <v>1070</v>
      </c>
      <c r="R896" s="8" t="s">
        <v>2621</v>
      </c>
      <c r="S896" s="14" t="s">
        <v>2555</v>
      </c>
    </row>
    <row r="897">
      <c r="A897" s="8" t="s">
        <v>3003</v>
      </c>
      <c r="B897" s="8" t="s">
        <v>1579</v>
      </c>
      <c r="C897" s="8" t="s">
        <v>149</v>
      </c>
      <c r="D897" s="18" t="s">
        <v>2589</v>
      </c>
      <c r="E897" s="16">
        <v>60.0</v>
      </c>
      <c r="F897" s="8" t="s">
        <v>239</v>
      </c>
      <c r="G897" s="8" t="s">
        <v>99</v>
      </c>
      <c r="H897" s="8" t="s">
        <v>16</v>
      </c>
      <c r="I897" s="18" t="s">
        <v>2566</v>
      </c>
      <c r="J897" s="16">
        <v>72.0</v>
      </c>
      <c r="K897" s="8" t="s">
        <v>377</v>
      </c>
      <c r="L897" s="8" t="s">
        <v>1727</v>
      </c>
      <c r="M897" s="18" t="s">
        <v>2183</v>
      </c>
      <c r="N897" s="16">
        <v>82.0</v>
      </c>
      <c r="O897" s="8" t="s">
        <v>4822</v>
      </c>
      <c r="P897" s="8" t="s">
        <v>12</v>
      </c>
      <c r="Q897" s="14" t="s">
        <v>459</v>
      </c>
      <c r="R897" s="8" t="s">
        <v>2598</v>
      </c>
      <c r="S897" s="14" t="s">
        <v>2573</v>
      </c>
    </row>
    <row r="898">
      <c r="A898" s="8" t="s">
        <v>517</v>
      </c>
      <c r="B898" s="8" t="s">
        <v>3611</v>
      </c>
      <c r="C898" s="8" t="s">
        <v>138</v>
      </c>
      <c r="D898" s="18" t="s">
        <v>2585</v>
      </c>
      <c r="E898" s="16">
        <v>70.0</v>
      </c>
      <c r="F898" s="8" t="s">
        <v>239</v>
      </c>
      <c r="G898" s="8" t="s">
        <v>238</v>
      </c>
      <c r="H898" s="8" t="s">
        <v>122</v>
      </c>
      <c r="I898" s="18" t="s">
        <v>2610</v>
      </c>
      <c r="J898" s="16">
        <v>91.0</v>
      </c>
      <c r="K898" s="8" t="s">
        <v>377</v>
      </c>
      <c r="L898" s="8" t="s">
        <v>99</v>
      </c>
      <c r="M898" s="18" t="s">
        <v>2552</v>
      </c>
      <c r="N898" s="16">
        <v>88.0</v>
      </c>
      <c r="O898" s="8" t="s">
        <v>4823</v>
      </c>
      <c r="P898" s="8" t="s">
        <v>70</v>
      </c>
      <c r="Q898" s="14" t="s">
        <v>837</v>
      </c>
      <c r="R898" s="8" t="s">
        <v>2610</v>
      </c>
      <c r="S898" s="14" t="s">
        <v>2608</v>
      </c>
    </row>
    <row r="899">
      <c r="A899" s="8" t="s">
        <v>517</v>
      </c>
      <c r="B899" s="8" t="s">
        <v>1669</v>
      </c>
      <c r="C899" s="8" t="s">
        <v>70</v>
      </c>
      <c r="D899" s="18" t="s">
        <v>2615</v>
      </c>
      <c r="E899" s="16">
        <v>64.0</v>
      </c>
      <c r="F899" s="8" t="s">
        <v>1635</v>
      </c>
      <c r="G899" s="8" t="s">
        <v>1634</v>
      </c>
      <c r="H899" s="8" t="s">
        <v>24</v>
      </c>
      <c r="I899" s="18" t="s">
        <v>2614</v>
      </c>
      <c r="J899" s="16">
        <v>74.0</v>
      </c>
      <c r="K899" s="8" t="s">
        <v>377</v>
      </c>
      <c r="L899" s="8" t="s">
        <v>1005</v>
      </c>
      <c r="M899" s="18" t="s">
        <v>2587</v>
      </c>
      <c r="N899" s="16">
        <v>72.0</v>
      </c>
      <c r="O899" s="8" t="s">
        <v>4824</v>
      </c>
      <c r="P899" s="8" t="s">
        <v>192</v>
      </c>
      <c r="Q899" s="14" t="s">
        <v>1679</v>
      </c>
      <c r="R899" s="8" t="s">
        <v>2564</v>
      </c>
      <c r="S899" s="14" t="s">
        <v>2609</v>
      </c>
    </row>
    <row r="900">
      <c r="A900" s="8" t="s">
        <v>3009</v>
      </c>
      <c r="B900" s="8" t="s">
        <v>2054</v>
      </c>
      <c r="C900" s="8" t="s">
        <v>80</v>
      </c>
      <c r="D900" s="18" t="s">
        <v>2554</v>
      </c>
      <c r="E900" s="16">
        <v>83.0</v>
      </c>
      <c r="F900" s="8" t="s">
        <v>546</v>
      </c>
      <c r="G900" s="8" t="s">
        <v>389</v>
      </c>
      <c r="H900" s="8" t="s">
        <v>138</v>
      </c>
      <c r="I900" s="18" t="s">
        <v>2592</v>
      </c>
      <c r="J900" s="16">
        <v>71.0</v>
      </c>
      <c r="K900" s="8" t="s">
        <v>1229</v>
      </c>
      <c r="L900" s="8" t="s">
        <v>1228</v>
      </c>
      <c r="M900" s="18" t="s">
        <v>2600</v>
      </c>
      <c r="N900" s="16">
        <v>68.0</v>
      </c>
      <c r="O900" s="8" t="s">
        <v>4825</v>
      </c>
      <c r="P900" s="8" t="s">
        <v>65</v>
      </c>
      <c r="Q900" s="14" t="s">
        <v>237</v>
      </c>
      <c r="R900" s="8" t="s">
        <v>2566</v>
      </c>
      <c r="S900" s="14" t="s">
        <v>2625</v>
      </c>
    </row>
    <row r="901">
      <c r="A901" s="8" t="s">
        <v>325</v>
      </c>
      <c r="B901" s="8" t="s">
        <v>3085</v>
      </c>
      <c r="C901" s="8" t="s">
        <v>65</v>
      </c>
      <c r="D901" s="18" t="s">
        <v>2554</v>
      </c>
      <c r="E901" s="16">
        <v>89.0</v>
      </c>
      <c r="F901" s="8" t="s">
        <v>546</v>
      </c>
      <c r="G901" s="8" t="s">
        <v>906</v>
      </c>
      <c r="H901" s="8" t="s">
        <v>46</v>
      </c>
      <c r="I901" s="18" t="s">
        <v>2603</v>
      </c>
      <c r="J901" s="16">
        <v>69.0</v>
      </c>
      <c r="K901" s="8" t="s">
        <v>1954</v>
      </c>
      <c r="L901" s="8" t="s">
        <v>1953</v>
      </c>
      <c r="M901" s="18" t="s">
        <v>2567</v>
      </c>
      <c r="N901" s="16">
        <v>70.0</v>
      </c>
      <c r="O901" s="8" t="s">
        <v>4826</v>
      </c>
      <c r="P901" s="8" t="s">
        <v>122</v>
      </c>
      <c r="Q901" s="14" t="s">
        <v>1070</v>
      </c>
      <c r="R901" s="8" t="s">
        <v>2598</v>
      </c>
      <c r="S901" s="14" t="s">
        <v>2604</v>
      </c>
    </row>
    <row r="902">
      <c r="A902" s="8" t="s">
        <v>3586</v>
      </c>
      <c r="B902" s="8" t="s">
        <v>3585</v>
      </c>
      <c r="C902" s="8" t="s">
        <v>149</v>
      </c>
      <c r="D902" s="18" t="s">
        <v>2592</v>
      </c>
      <c r="E902" s="16">
        <v>70.0</v>
      </c>
      <c r="F902" s="8" t="s">
        <v>546</v>
      </c>
      <c r="G902" s="8" t="s">
        <v>1499</v>
      </c>
      <c r="H902" s="8" t="s">
        <v>24</v>
      </c>
      <c r="I902" s="18" t="s">
        <v>2585</v>
      </c>
      <c r="J902" s="16">
        <v>72.0</v>
      </c>
      <c r="K902" s="8" t="s">
        <v>4827</v>
      </c>
      <c r="L902" s="8" t="s">
        <v>2879</v>
      </c>
      <c r="M902" s="18" t="s">
        <v>2595</v>
      </c>
      <c r="N902" s="16">
        <v>68.0</v>
      </c>
      <c r="O902" s="8" t="s">
        <v>4828</v>
      </c>
      <c r="P902" s="8" t="s">
        <v>12</v>
      </c>
      <c r="Q902" s="14" t="s">
        <v>189</v>
      </c>
      <c r="R902" s="8" t="s">
        <v>2574</v>
      </c>
      <c r="S902" s="14" t="s">
        <v>2608</v>
      </c>
    </row>
    <row r="903">
      <c r="A903" s="8" t="s">
        <v>1206</v>
      </c>
      <c r="B903" s="8" t="s">
        <v>1205</v>
      </c>
      <c r="C903" s="8" t="s">
        <v>122</v>
      </c>
      <c r="D903" s="18" t="s">
        <v>2598</v>
      </c>
      <c r="E903" s="16">
        <v>72.0</v>
      </c>
      <c r="F903" s="8" t="s">
        <v>546</v>
      </c>
      <c r="G903" s="8" t="s">
        <v>3157</v>
      </c>
      <c r="H903" s="8" t="s">
        <v>70</v>
      </c>
      <c r="I903" s="18" t="s">
        <v>2615</v>
      </c>
      <c r="J903" s="16">
        <v>63.0</v>
      </c>
      <c r="K903" s="8" t="s">
        <v>528</v>
      </c>
      <c r="L903" s="8" t="s">
        <v>944</v>
      </c>
      <c r="M903" s="18" t="s">
        <v>2575</v>
      </c>
      <c r="N903" s="16">
        <v>76.0</v>
      </c>
      <c r="O903" s="8" t="s">
        <v>4829</v>
      </c>
      <c r="P903" s="8" t="s">
        <v>141</v>
      </c>
      <c r="Q903" s="14" t="s">
        <v>837</v>
      </c>
      <c r="R903" s="8" t="s">
        <v>2554</v>
      </c>
      <c r="S903" s="14" t="s">
        <v>2553</v>
      </c>
    </row>
    <row r="904">
      <c r="A904" s="8" t="s">
        <v>203</v>
      </c>
      <c r="B904" s="8" t="s">
        <v>202</v>
      </c>
      <c r="C904" s="8" t="s">
        <v>12</v>
      </c>
      <c r="D904" s="18" t="s">
        <v>2574</v>
      </c>
      <c r="E904" s="16">
        <v>85.0</v>
      </c>
      <c r="F904" s="8" t="s">
        <v>546</v>
      </c>
      <c r="G904" s="8" t="s">
        <v>545</v>
      </c>
      <c r="H904" s="8" t="s">
        <v>80</v>
      </c>
      <c r="I904" s="18" t="s">
        <v>2610</v>
      </c>
      <c r="J904" s="16">
        <v>75.0</v>
      </c>
      <c r="K904" s="8" t="s">
        <v>2839</v>
      </c>
      <c r="L904" s="8" t="s">
        <v>3006</v>
      </c>
      <c r="M904" s="18" t="s">
        <v>2572</v>
      </c>
      <c r="N904" s="16">
        <v>71.0</v>
      </c>
      <c r="O904" s="8" t="s">
        <v>4830</v>
      </c>
      <c r="P904" s="8" t="s">
        <v>93</v>
      </c>
      <c r="Q904" s="14" t="s">
        <v>2033</v>
      </c>
      <c r="R904" s="8" t="s">
        <v>2566</v>
      </c>
      <c r="S904" s="14" t="s">
        <v>2591</v>
      </c>
    </row>
    <row r="905">
      <c r="A905" s="8" t="s">
        <v>203</v>
      </c>
      <c r="B905" s="8" t="s">
        <v>926</v>
      </c>
      <c r="C905" s="8" t="s">
        <v>141</v>
      </c>
      <c r="D905" s="18" t="s">
        <v>2554</v>
      </c>
      <c r="E905" s="16">
        <v>69.0</v>
      </c>
      <c r="F905" s="8" t="s">
        <v>294</v>
      </c>
      <c r="G905" s="8" t="s">
        <v>218</v>
      </c>
      <c r="H905" s="8" t="s">
        <v>122</v>
      </c>
      <c r="I905" s="18" t="s">
        <v>2592</v>
      </c>
      <c r="J905" s="16">
        <v>90.0</v>
      </c>
      <c r="K905" s="8" t="s">
        <v>637</v>
      </c>
      <c r="L905" s="8" t="s">
        <v>636</v>
      </c>
      <c r="M905" s="18" t="s">
        <v>2560</v>
      </c>
      <c r="N905" s="16">
        <v>77.0</v>
      </c>
      <c r="O905" s="8" t="s">
        <v>4831</v>
      </c>
      <c r="P905" s="8" t="s">
        <v>93</v>
      </c>
      <c r="Q905" s="14" t="s">
        <v>2459</v>
      </c>
      <c r="R905" s="8" t="s">
        <v>2615</v>
      </c>
      <c r="S905" s="14" t="s">
        <v>2602</v>
      </c>
    </row>
    <row r="906">
      <c r="A906" s="8" t="s">
        <v>124</v>
      </c>
      <c r="B906" s="8" t="s">
        <v>2481</v>
      </c>
      <c r="C906" s="8" t="s">
        <v>65</v>
      </c>
      <c r="D906" s="18" t="s">
        <v>2587</v>
      </c>
      <c r="E906" s="16">
        <v>68.0</v>
      </c>
      <c r="F906" s="8" t="s">
        <v>294</v>
      </c>
      <c r="G906" s="8" t="s">
        <v>3304</v>
      </c>
      <c r="H906" s="8" t="s">
        <v>53</v>
      </c>
      <c r="I906" s="18" t="s">
        <v>2587</v>
      </c>
      <c r="J906" s="16">
        <v>79.0</v>
      </c>
      <c r="K906" s="8" t="s">
        <v>637</v>
      </c>
      <c r="L906" s="8" t="s">
        <v>2885</v>
      </c>
      <c r="M906" s="18" t="s">
        <v>2593</v>
      </c>
      <c r="N906" s="16">
        <v>62.0</v>
      </c>
      <c r="O906" s="8" t="s">
        <v>4832</v>
      </c>
      <c r="P906" s="8" t="s">
        <v>186</v>
      </c>
      <c r="Q906" s="14" t="s">
        <v>1679</v>
      </c>
      <c r="R906" s="8" t="s">
        <v>2552</v>
      </c>
      <c r="S906" s="14" t="s">
        <v>2612</v>
      </c>
    </row>
    <row r="907">
      <c r="A907" s="8" t="s">
        <v>124</v>
      </c>
      <c r="B907" s="8" t="s">
        <v>970</v>
      </c>
      <c r="C907" s="8" t="s">
        <v>141</v>
      </c>
      <c r="D907" s="18" t="s">
        <v>2562</v>
      </c>
      <c r="E907" s="16">
        <v>63.0</v>
      </c>
      <c r="F907" s="8" t="s">
        <v>294</v>
      </c>
      <c r="G907" s="8" t="s">
        <v>902</v>
      </c>
      <c r="H907" s="8" t="s">
        <v>24</v>
      </c>
      <c r="I907" s="18" t="s">
        <v>2593</v>
      </c>
      <c r="J907" s="16">
        <v>75.0</v>
      </c>
      <c r="K907" s="8" t="s">
        <v>1333</v>
      </c>
      <c r="L907" s="8" t="s">
        <v>1332</v>
      </c>
      <c r="M907" s="18" t="s">
        <v>2558</v>
      </c>
      <c r="N907" s="16">
        <v>63.0</v>
      </c>
      <c r="O907" s="8" t="s">
        <v>4833</v>
      </c>
      <c r="P907" s="8" t="s">
        <v>65</v>
      </c>
      <c r="Q907" s="14" t="s">
        <v>2459</v>
      </c>
      <c r="R907" s="8" t="s">
        <v>2560</v>
      </c>
      <c r="S907" s="14" t="s">
        <v>2579</v>
      </c>
    </row>
    <row r="908">
      <c r="A908" s="8" t="s">
        <v>124</v>
      </c>
      <c r="B908" s="8" t="s">
        <v>3766</v>
      </c>
      <c r="C908" s="8" t="s">
        <v>122</v>
      </c>
      <c r="D908" s="18" t="s">
        <v>2566</v>
      </c>
      <c r="E908" s="16">
        <v>62.0</v>
      </c>
      <c r="F908" s="8" t="s">
        <v>882</v>
      </c>
      <c r="G908" s="8" t="s">
        <v>61</v>
      </c>
      <c r="H908" s="8" t="s">
        <v>65</v>
      </c>
      <c r="I908" s="18" t="s">
        <v>2572</v>
      </c>
      <c r="J908" s="16">
        <v>64.0</v>
      </c>
      <c r="K908" s="8" t="s">
        <v>1200</v>
      </c>
      <c r="L908" s="8" t="s">
        <v>284</v>
      </c>
      <c r="M908" s="18" t="s">
        <v>2645</v>
      </c>
      <c r="N908" s="16">
        <v>66.0</v>
      </c>
      <c r="O908" s="8" t="s">
        <v>4834</v>
      </c>
      <c r="P908" s="8" t="s">
        <v>122</v>
      </c>
      <c r="Q908" s="14" t="s">
        <v>2033</v>
      </c>
      <c r="R908" s="8" t="s">
        <v>2593</v>
      </c>
      <c r="S908" s="14" t="s">
        <v>2568</v>
      </c>
    </row>
    <row r="909">
      <c r="A909" s="8" t="s">
        <v>124</v>
      </c>
      <c r="B909" s="8" t="s">
        <v>123</v>
      </c>
      <c r="C909" s="8" t="s">
        <v>24</v>
      </c>
      <c r="D909" s="18" t="s">
        <v>2574</v>
      </c>
      <c r="E909" s="16">
        <v>93.0</v>
      </c>
      <c r="F909" s="8" t="s">
        <v>1481</v>
      </c>
      <c r="G909" s="8" t="s">
        <v>1480</v>
      </c>
      <c r="H909" s="8" t="s">
        <v>149</v>
      </c>
      <c r="I909" s="18" t="s">
        <v>2603</v>
      </c>
      <c r="J909" s="16">
        <v>73.0</v>
      </c>
      <c r="K909" s="8" t="s">
        <v>1200</v>
      </c>
      <c r="L909" s="8" t="s">
        <v>451</v>
      </c>
      <c r="M909" s="18" t="s">
        <v>2615</v>
      </c>
      <c r="N909" s="16">
        <v>69.0</v>
      </c>
      <c r="O909" s="8" t="s">
        <v>4835</v>
      </c>
      <c r="P909" s="8" t="s">
        <v>12</v>
      </c>
      <c r="Q909" s="14" t="s">
        <v>1352</v>
      </c>
      <c r="R909" s="8" t="s">
        <v>2615</v>
      </c>
      <c r="S909" s="14" t="s">
        <v>2557</v>
      </c>
    </row>
    <row r="910">
      <c r="A910" s="8" t="s">
        <v>124</v>
      </c>
      <c r="B910" s="8" t="s">
        <v>308</v>
      </c>
      <c r="C910" s="8" t="s">
        <v>46</v>
      </c>
      <c r="D910" s="18" t="s">
        <v>2593</v>
      </c>
      <c r="E910" s="16">
        <v>77.0</v>
      </c>
      <c r="F910" s="8" t="s">
        <v>1358</v>
      </c>
      <c r="G910" s="8" t="s">
        <v>1357</v>
      </c>
      <c r="H910" s="8" t="s">
        <v>65</v>
      </c>
      <c r="I910" s="18" t="s">
        <v>2558</v>
      </c>
      <c r="J910" s="16">
        <v>67.0</v>
      </c>
      <c r="K910" s="8" t="s">
        <v>702</v>
      </c>
      <c r="L910" s="8" t="s">
        <v>701</v>
      </c>
      <c r="M910" s="18" t="s">
        <v>2605</v>
      </c>
      <c r="N910" s="16">
        <v>69.0</v>
      </c>
      <c r="O910" s="8" t="s">
        <v>4836</v>
      </c>
      <c r="P910" s="8" t="s">
        <v>46</v>
      </c>
      <c r="Q910" s="14" t="s">
        <v>2459</v>
      </c>
      <c r="R910" s="8" t="s">
        <v>2574</v>
      </c>
      <c r="S910" s="14" t="s">
        <v>2579</v>
      </c>
    </row>
    <row r="911">
      <c r="A911" s="8" t="s">
        <v>124</v>
      </c>
      <c r="B911" s="8" t="s">
        <v>3826</v>
      </c>
      <c r="C911" s="8" t="s">
        <v>65</v>
      </c>
      <c r="D911" s="18" t="s">
        <v>2587</v>
      </c>
      <c r="E911" s="16">
        <v>67.0</v>
      </c>
      <c r="F911" s="8" t="s">
        <v>3281</v>
      </c>
      <c r="G911" s="8" t="s">
        <v>3280</v>
      </c>
      <c r="H911" s="8" t="s">
        <v>141</v>
      </c>
      <c r="I911" s="18" t="s">
        <v>2574</v>
      </c>
      <c r="J911" s="16">
        <v>71.0</v>
      </c>
      <c r="K911" s="8" t="s">
        <v>1380</v>
      </c>
      <c r="L911" s="8" t="s">
        <v>637</v>
      </c>
      <c r="M911" s="18" t="s">
        <v>2572</v>
      </c>
      <c r="N911" s="16">
        <v>84.0</v>
      </c>
      <c r="O911" s="8" t="s">
        <v>4837</v>
      </c>
      <c r="P911" s="8" t="s">
        <v>93</v>
      </c>
      <c r="Q911" s="14" t="s">
        <v>1352</v>
      </c>
      <c r="R911" s="8" t="s">
        <v>2585</v>
      </c>
      <c r="S911" s="14" t="s">
        <v>2568</v>
      </c>
    </row>
    <row r="912">
      <c r="A912" s="8" t="s">
        <v>124</v>
      </c>
      <c r="B912" s="8" t="s">
        <v>3833</v>
      </c>
      <c r="C912" s="8" t="s">
        <v>24</v>
      </c>
      <c r="D912" s="18" t="s">
        <v>2605</v>
      </c>
      <c r="E912" s="16">
        <v>60.0</v>
      </c>
      <c r="F912" s="8" t="s">
        <v>604</v>
      </c>
      <c r="G912" s="8" t="s">
        <v>603</v>
      </c>
      <c r="H912" s="8" t="s">
        <v>12</v>
      </c>
      <c r="I912" s="18" t="s">
        <v>2556</v>
      </c>
      <c r="J912" s="16">
        <v>66.0</v>
      </c>
      <c r="K912" s="8" t="s">
        <v>1380</v>
      </c>
      <c r="L912" s="8" t="s">
        <v>3043</v>
      </c>
      <c r="M912" s="18" t="s">
        <v>2566</v>
      </c>
      <c r="N912" s="16">
        <v>66.0</v>
      </c>
      <c r="O912" s="8" t="s">
        <v>4838</v>
      </c>
      <c r="P912" s="8" t="s">
        <v>141</v>
      </c>
      <c r="Q912" s="14" t="s">
        <v>837</v>
      </c>
      <c r="R912" s="8" t="s">
        <v>2562</v>
      </c>
      <c r="S912" s="14" t="s">
        <v>2594</v>
      </c>
    </row>
    <row r="913">
      <c r="A913" s="8" t="s">
        <v>124</v>
      </c>
      <c r="B913" s="8" t="s">
        <v>3870</v>
      </c>
      <c r="C913" s="8" t="s">
        <v>93</v>
      </c>
      <c r="D913" s="18" t="s">
        <v>2582</v>
      </c>
      <c r="E913" s="16">
        <v>72.0</v>
      </c>
      <c r="F913" s="8" t="s">
        <v>848</v>
      </c>
      <c r="G913" s="8" t="s">
        <v>847</v>
      </c>
      <c r="H913" s="8" t="s">
        <v>70</v>
      </c>
      <c r="I913" s="18" t="s">
        <v>2610</v>
      </c>
      <c r="J913" s="16">
        <v>86.0</v>
      </c>
      <c r="K913" s="8" t="s">
        <v>1312</v>
      </c>
      <c r="L913" s="8" t="s">
        <v>1311</v>
      </c>
      <c r="M913" s="18" t="s">
        <v>2556</v>
      </c>
      <c r="N913" s="16">
        <v>70.0</v>
      </c>
      <c r="O913" s="8" t="s">
        <v>4839</v>
      </c>
      <c r="P913" s="8" t="s">
        <v>24</v>
      </c>
      <c r="Q913" s="14" t="s">
        <v>108</v>
      </c>
      <c r="R913" s="8" t="s">
        <v>2574</v>
      </c>
      <c r="S913" s="14" t="s">
        <v>2596</v>
      </c>
    </row>
    <row r="914">
      <c r="A914" s="8" t="s">
        <v>124</v>
      </c>
      <c r="B914" s="8" t="s">
        <v>2275</v>
      </c>
      <c r="C914" s="8" t="s">
        <v>141</v>
      </c>
      <c r="D914" s="18" t="s">
        <v>2577</v>
      </c>
      <c r="E914" s="16">
        <v>65.0</v>
      </c>
      <c r="F914" s="8" t="s">
        <v>3003</v>
      </c>
      <c r="G914" s="8" t="s">
        <v>1579</v>
      </c>
      <c r="H914" s="8" t="s">
        <v>149</v>
      </c>
      <c r="I914" s="18" t="s">
        <v>2589</v>
      </c>
      <c r="J914" s="16">
        <v>60.0</v>
      </c>
      <c r="K914" s="8" t="s">
        <v>1312</v>
      </c>
      <c r="L914" s="8" t="s">
        <v>62</v>
      </c>
      <c r="M914" s="18" t="s">
        <v>2574</v>
      </c>
      <c r="N914" s="16">
        <v>71.0</v>
      </c>
      <c r="O914" s="8" t="s">
        <v>4840</v>
      </c>
      <c r="P914" s="8" t="s">
        <v>46</v>
      </c>
      <c r="Q914" s="14" t="s">
        <v>1070</v>
      </c>
      <c r="R914" s="8" t="s">
        <v>2615</v>
      </c>
      <c r="S914" s="14" t="s">
        <v>2591</v>
      </c>
    </row>
    <row r="915">
      <c r="A915" s="8" t="s">
        <v>124</v>
      </c>
      <c r="B915" s="8" t="s">
        <v>335</v>
      </c>
      <c r="C915" s="8" t="s">
        <v>12</v>
      </c>
      <c r="D915" s="18" t="s">
        <v>2593</v>
      </c>
      <c r="E915" s="16">
        <v>78.0</v>
      </c>
      <c r="F915" s="8" t="s">
        <v>517</v>
      </c>
      <c r="G915" s="8" t="s">
        <v>3286</v>
      </c>
      <c r="H915" s="8" t="s">
        <v>261</v>
      </c>
      <c r="I915" s="18" t="s">
        <v>2600</v>
      </c>
      <c r="J915" s="16">
        <v>67.0</v>
      </c>
      <c r="K915" s="8" t="s">
        <v>2716</v>
      </c>
      <c r="L915" s="8" t="s">
        <v>142</v>
      </c>
      <c r="M915" s="18" t="s">
        <v>2562</v>
      </c>
      <c r="N915" s="16">
        <v>71.0</v>
      </c>
      <c r="O915" s="8" t="s">
        <v>4841</v>
      </c>
      <c r="P915" s="8" t="s">
        <v>46</v>
      </c>
      <c r="Q915" s="14" t="s">
        <v>1679</v>
      </c>
      <c r="R915" s="8" t="s">
        <v>2575</v>
      </c>
      <c r="S915" s="14" t="s">
        <v>2580</v>
      </c>
    </row>
    <row r="916">
      <c r="A916" s="8" t="s">
        <v>3898</v>
      </c>
      <c r="B916" s="8" t="s">
        <v>3897</v>
      </c>
      <c r="C916" s="8" t="s">
        <v>65</v>
      </c>
      <c r="D916" s="18" t="s">
        <v>2581</v>
      </c>
      <c r="E916" s="16">
        <v>70.0</v>
      </c>
      <c r="F916" s="8" t="s">
        <v>3009</v>
      </c>
      <c r="G916" s="8" t="s">
        <v>2054</v>
      </c>
      <c r="H916" s="8" t="s">
        <v>80</v>
      </c>
      <c r="I916" s="18" t="s">
        <v>2554</v>
      </c>
      <c r="J916" s="16">
        <v>82.0</v>
      </c>
      <c r="K916" s="8" t="s">
        <v>1555</v>
      </c>
      <c r="L916" s="8" t="s">
        <v>1554</v>
      </c>
      <c r="M916" s="18" t="s">
        <v>2552</v>
      </c>
      <c r="N916" s="16">
        <v>67.0</v>
      </c>
      <c r="O916" s="8" t="s">
        <v>4842</v>
      </c>
      <c r="P916" s="8" t="s">
        <v>93</v>
      </c>
      <c r="Q916" s="14" t="s">
        <v>2033</v>
      </c>
      <c r="R916" s="8" t="s">
        <v>2582</v>
      </c>
      <c r="S916" s="14" t="s">
        <v>2591</v>
      </c>
    </row>
    <row r="917">
      <c r="A917" s="8" t="s">
        <v>1773</v>
      </c>
      <c r="B917" s="8" t="s">
        <v>389</v>
      </c>
      <c r="C917" s="8" t="s">
        <v>70</v>
      </c>
      <c r="D917" s="18" t="s">
        <v>2598</v>
      </c>
      <c r="E917" s="16">
        <v>63.0</v>
      </c>
      <c r="F917" s="8" t="s">
        <v>325</v>
      </c>
      <c r="G917" s="8" t="s">
        <v>3085</v>
      </c>
      <c r="H917" s="8" t="s">
        <v>65</v>
      </c>
      <c r="I917" s="18" t="s">
        <v>2554</v>
      </c>
      <c r="J917" s="16">
        <v>87.0</v>
      </c>
      <c r="K917" s="8" t="s">
        <v>1611</v>
      </c>
      <c r="L917" s="8" t="s">
        <v>2664</v>
      </c>
      <c r="M917" s="18" t="s">
        <v>2581</v>
      </c>
      <c r="N917" s="16">
        <v>72.0</v>
      </c>
      <c r="O917" s="8" t="s">
        <v>4843</v>
      </c>
      <c r="P917" s="8" t="s">
        <v>75</v>
      </c>
      <c r="Q917" s="14" t="s">
        <v>459</v>
      </c>
      <c r="R917" s="8" t="s">
        <v>2574</v>
      </c>
      <c r="S917" s="14" t="s">
        <v>2555</v>
      </c>
    </row>
    <row r="918">
      <c r="A918" s="8" t="s">
        <v>2736</v>
      </c>
      <c r="B918" s="8" t="s">
        <v>2735</v>
      </c>
      <c r="C918" s="8" t="s">
        <v>80</v>
      </c>
      <c r="D918" s="18" t="s">
        <v>2558</v>
      </c>
      <c r="E918" s="16">
        <v>83.0</v>
      </c>
      <c r="F918" s="8" t="s">
        <v>1206</v>
      </c>
      <c r="G918" s="8" t="s">
        <v>1205</v>
      </c>
      <c r="H918" s="8" t="s">
        <v>122</v>
      </c>
      <c r="I918" s="18" t="s">
        <v>2598</v>
      </c>
      <c r="J918" s="16">
        <v>82.0</v>
      </c>
      <c r="K918" s="8" t="s">
        <v>1611</v>
      </c>
      <c r="L918" s="8" t="s">
        <v>1610</v>
      </c>
      <c r="M918" s="18" t="s">
        <v>2564</v>
      </c>
      <c r="N918" s="16">
        <v>72.0</v>
      </c>
      <c r="O918" s="8" t="s">
        <v>4844</v>
      </c>
      <c r="P918" s="8" t="s">
        <v>12</v>
      </c>
      <c r="Q918" s="14" t="s">
        <v>237</v>
      </c>
      <c r="R918" s="8" t="s">
        <v>2593</v>
      </c>
      <c r="S918" s="14" t="s">
        <v>2607</v>
      </c>
    </row>
    <row r="919">
      <c r="A919" s="8" t="s">
        <v>2066</v>
      </c>
      <c r="B919" s="8" t="s">
        <v>3781</v>
      </c>
      <c r="C919" s="8" t="s">
        <v>65</v>
      </c>
      <c r="D919" s="18" t="s">
        <v>2595</v>
      </c>
      <c r="E919" s="16">
        <v>73.0</v>
      </c>
      <c r="F919" s="8" t="s">
        <v>203</v>
      </c>
      <c r="G919" s="8" t="s">
        <v>926</v>
      </c>
      <c r="H919" s="8" t="s">
        <v>75</v>
      </c>
      <c r="I919" s="18" t="s">
        <v>2554</v>
      </c>
      <c r="J919" s="16">
        <v>69.0</v>
      </c>
      <c r="K919" s="8" t="s">
        <v>1611</v>
      </c>
      <c r="L919" s="8" t="s">
        <v>1958</v>
      </c>
      <c r="M919" s="18" t="s">
        <v>2572</v>
      </c>
      <c r="N919" s="16">
        <v>68.0</v>
      </c>
      <c r="O919" s="8" t="s">
        <v>4845</v>
      </c>
      <c r="P919" s="8" t="s">
        <v>122</v>
      </c>
      <c r="Q919" s="14" t="s">
        <v>1352</v>
      </c>
      <c r="R919" s="8" t="s">
        <v>2567</v>
      </c>
      <c r="S919" s="14" t="s">
        <v>2579</v>
      </c>
    </row>
    <row r="920">
      <c r="A920" s="8" t="s">
        <v>2066</v>
      </c>
      <c r="B920" s="8" t="s">
        <v>3106</v>
      </c>
      <c r="C920" s="8" t="s">
        <v>24</v>
      </c>
      <c r="D920" s="18" t="s">
        <v>2589</v>
      </c>
      <c r="E920" s="16">
        <v>61.0</v>
      </c>
      <c r="F920" s="8" t="s">
        <v>203</v>
      </c>
      <c r="G920" s="8" t="s">
        <v>202</v>
      </c>
      <c r="H920" s="8" t="s">
        <v>12</v>
      </c>
      <c r="I920" s="18" t="s">
        <v>2574</v>
      </c>
      <c r="J920" s="16">
        <v>76.0</v>
      </c>
      <c r="K920" s="8" t="s">
        <v>1611</v>
      </c>
      <c r="L920" s="8" t="s">
        <v>587</v>
      </c>
      <c r="M920" s="18" t="s">
        <v>2556</v>
      </c>
      <c r="N920" s="16">
        <v>62.0</v>
      </c>
      <c r="O920" s="8" t="s">
        <v>4846</v>
      </c>
      <c r="P920" s="8" t="s">
        <v>70</v>
      </c>
      <c r="Q920" s="14" t="s">
        <v>1679</v>
      </c>
      <c r="R920" s="8" t="s">
        <v>2575</v>
      </c>
      <c r="S920" s="14" t="s">
        <v>2601</v>
      </c>
    </row>
    <row r="921">
      <c r="A921" s="8" t="s">
        <v>2828</v>
      </c>
      <c r="B921" s="8" t="s">
        <v>1322</v>
      </c>
      <c r="C921" s="8" t="s">
        <v>46</v>
      </c>
      <c r="D921" s="18" t="s">
        <v>2564</v>
      </c>
      <c r="E921" s="16">
        <v>66.0</v>
      </c>
      <c r="F921" s="8" t="s">
        <v>124</v>
      </c>
      <c r="G921" s="8" t="s">
        <v>970</v>
      </c>
      <c r="H921" s="8" t="s">
        <v>141</v>
      </c>
      <c r="I921" s="18" t="s">
        <v>2562</v>
      </c>
      <c r="J921" s="16">
        <v>78.0</v>
      </c>
      <c r="K921" s="8" t="s">
        <v>1611</v>
      </c>
      <c r="L921" s="8" t="s">
        <v>2292</v>
      </c>
      <c r="M921" s="18" t="s">
        <v>2620</v>
      </c>
      <c r="N921" s="16">
        <v>72.0</v>
      </c>
      <c r="O921" s="8" t="s">
        <v>4847</v>
      </c>
      <c r="P921" s="8" t="s">
        <v>192</v>
      </c>
      <c r="Q921" s="14" t="s">
        <v>1070</v>
      </c>
      <c r="R921" s="8" t="s">
        <v>2605</v>
      </c>
      <c r="S921" s="14" t="s">
        <v>2607</v>
      </c>
    </row>
    <row r="922">
      <c r="A922" s="8" t="s">
        <v>2965</v>
      </c>
      <c r="B922" s="8" t="s">
        <v>2964</v>
      </c>
      <c r="C922" s="8" t="s">
        <v>122</v>
      </c>
      <c r="D922" s="18" t="s">
        <v>2554</v>
      </c>
      <c r="E922" s="16">
        <v>82.0</v>
      </c>
      <c r="F922" s="8" t="s">
        <v>124</v>
      </c>
      <c r="G922" s="8" t="s">
        <v>123</v>
      </c>
      <c r="H922" s="8" t="s">
        <v>24</v>
      </c>
      <c r="I922" s="18" t="s">
        <v>2574</v>
      </c>
      <c r="J922" s="16">
        <v>92.0</v>
      </c>
      <c r="K922" s="8" t="s">
        <v>948</v>
      </c>
      <c r="L922" s="8" t="s">
        <v>1137</v>
      </c>
      <c r="M922" s="18" t="s">
        <v>2560</v>
      </c>
      <c r="N922" s="16">
        <v>77.0</v>
      </c>
      <c r="O922" s="8" t="s">
        <v>4848</v>
      </c>
      <c r="P922" s="8" t="s">
        <v>186</v>
      </c>
      <c r="Q922" s="14" t="s">
        <v>1679</v>
      </c>
      <c r="R922" s="18" t="s">
        <v>2589</v>
      </c>
      <c r="S922" s="14" t="s">
        <v>2553</v>
      </c>
    </row>
    <row r="923">
      <c r="A923" s="8" t="s">
        <v>2949</v>
      </c>
      <c r="B923" s="8" t="s">
        <v>402</v>
      </c>
      <c r="C923" s="8" t="s">
        <v>93</v>
      </c>
      <c r="D923" s="18" t="s">
        <v>2589</v>
      </c>
      <c r="E923" s="16">
        <v>62.0</v>
      </c>
      <c r="F923" s="8" t="s">
        <v>124</v>
      </c>
      <c r="G923" s="8" t="s">
        <v>3407</v>
      </c>
      <c r="H923" s="8" t="s">
        <v>132</v>
      </c>
      <c r="I923" s="18" t="s">
        <v>2587</v>
      </c>
      <c r="J923" s="16">
        <v>61.0</v>
      </c>
      <c r="K923" s="8" t="s">
        <v>948</v>
      </c>
      <c r="L923" s="8" t="s">
        <v>1895</v>
      </c>
      <c r="M923" s="18" t="s">
        <v>2620</v>
      </c>
      <c r="N923" s="16">
        <v>69.0</v>
      </c>
      <c r="O923" s="8" t="s">
        <v>4849</v>
      </c>
      <c r="P923" s="8" t="s">
        <v>65</v>
      </c>
      <c r="Q923" s="14" t="s">
        <v>2033</v>
      </c>
      <c r="R923" s="18" t="s">
        <v>2589</v>
      </c>
      <c r="S923" s="14" t="s">
        <v>2565</v>
      </c>
    </row>
    <row r="924">
      <c r="A924" s="8" t="s">
        <v>1467</v>
      </c>
      <c r="B924" s="8" t="s">
        <v>1491</v>
      </c>
      <c r="C924" s="8" t="s">
        <v>80</v>
      </c>
      <c r="D924" s="18" t="s">
        <v>2605</v>
      </c>
      <c r="E924" s="16">
        <v>71.0</v>
      </c>
      <c r="F924" s="8" t="s">
        <v>124</v>
      </c>
      <c r="G924" s="8" t="s">
        <v>335</v>
      </c>
      <c r="H924" s="8" t="s">
        <v>12</v>
      </c>
      <c r="I924" s="18" t="s">
        <v>2593</v>
      </c>
      <c r="J924" s="16">
        <v>79.0</v>
      </c>
      <c r="K924" s="8" t="s">
        <v>948</v>
      </c>
      <c r="L924" s="8" t="s">
        <v>389</v>
      </c>
      <c r="M924" s="18" t="s">
        <v>2592</v>
      </c>
      <c r="N924" s="16">
        <v>67.0</v>
      </c>
      <c r="O924" s="8" t="s">
        <v>4850</v>
      </c>
      <c r="P924" s="8" t="s">
        <v>149</v>
      </c>
      <c r="Q924" s="14" t="s">
        <v>1070</v>
      </c>
      <c r="R924" s="8" t="s">
        <v>2564</v>
      </c>
      <c r="S924" s="14" t="s">
        <v>2563</v>
      </c>
    </row>
    <row r="925">
      <c r="A925" s="8" t="s">
        <v>377</v>
      </c>
      <c r="B925" s="8" t="s">
        <v>99</v>
      </c>
      <c r="C925" s="8" t="s">
        <v>80</v>
      </c>
      <c r="D925" s="18" t="s">
        <v>2552</v>
      </c>
      <c r="E925" s="16">
        <v>94.0</v>
      </c>
      <c r="F925" s="8" t="s">
        <v>124</v>
      </c>
      <c r="G925" s="8" t="s">
        <v>308</v>
      </c>
      <c r="H925" s="8" t="s">
        <v>46</v>
      </c>
      <c r="I925" s="18" t="s">
        <v>2554</v>
      </c>
      <c r="J925" s="16">
        <v>71.0</v>
      </c>
      <c r="K925" s="8" t="s">
        <v>948</v>
      </c>
      <c r="L925" s="8" t="s">
        <v>2677</v>
      </c>
      <c r="M925" s="18" t="s">
        <v>2603</v>
      </c>
      <c r="N925" s="16">
        <v>69.0</v>
      </c>
      <c r="O925" s="8" t="s">
        <v>4851</v>
      </c>
      <c r="P925" s="8" t="s">
        <v>186</v>
      </c>
      <c r="Q925" s="14" t="s">
        <v>1352</v>
      </c>
      <c r="R925" s="8" t="s">
        <v>2610</v>
      </c>
      <c r="S925" s="14" t="s">
        <v>2563</v>
      </c>
    </row>
    <row r="926">
      <c r="A926" s="8" t="s">
        <v>2473</v>
      </c>
      <c r="B926" s="8" t="s">
        <v>888</v>
      </c>
      <c r="C926" s="8" t="s">
        <v>65</v>
      </c>
      <c r="D926" s="18" t="s">
        <v>2621</v>
      </c>
      <c r="E926" s="16">
        <v>73.0</v>
      </c>
      <c r="F926" s="8" t="s">
        <v>1626</v>
      </c>
      <c r="G926" s="8" t="s">
        <v>1625</v>
      </c>
      <c r="H926" s="8" t="s">
        <v>215</v>
      </c>
      <c r="I926" s="18" t="s">
        <v>2567</v>
      </c>
      <c r="J926" s="16">
        <v>61.0</v>
      </c>
      <c r="K926" s="8" t="s">
        <v>948</v>
      </c>
      <c r="L926" s="8" t="s">
        <v>389</v>
      </c>
      <c r="M926" s="18" t="s">
        <v>2593</v>
      </c>
      <c r="N926" s="16">
        <v>64.0</v>
      </c>
      <c r="O926" s="8" t="s">
        <v>4852</v>
      </c>
      <c r="P926" s="8" t="s">
        <v>192</v>
      </c>
      <c r="Q926" s="14" t="s">
        <v>1352</v>
      </c>
      <c r="R926" s="8" t="s">
        <v>2183</v>
      </c>
      <c r="S926" s="14" t="s">
        <v>2555</v>
      </c>
    </row>
    <row r="927">
      <c r="A927" s="8" t="s">
        <v>1954</v>
      </c>
      <c r="B927" s="8" t="s">
        <v>1953</v>
      </c>
      <c r="C927" s="8" t="s">
        <v>215</v>
      </c>
      <c r="D927" s="18" t="s">
        <v>2567</v>
      </c>
      <c r="E927" s="16">
        <v>68.0</v>
      </c>
      <c r="F927" s="8" t="s">
        <v>2736</v>
      </c>
      <c r="G927" s="8" t="s">
        <v>2735</v>
      </c>
      <c r="H927" s="8" t="s">
        <v>80</v>
      </c>
      <c r="I927" s="18" t="s">
        <v>2558</v>
      </c>
      <c r="J927" s="16">
        <v>82.0</v>
      </c>
      <c r="K927" s="8" t="s">
        <v>948</v>
      </c>
      <c r="L927" s="8" t="s">
        <v>1483</v>
      </c>
      <c r="M927" s="18" t="s">
        <v>2605</v>
      </c>
      <c r="N927" s="16">
        <v>67.0</v>
      </c>
      <c r="O927" s="8" t="s">
        <v>4853</v>
      </c>
      <c r="P927" s="8" t="s">
        <v>59</v>
      </c>
      <c r="Q927" s="14" t="s">
        <v>2033</v>
      </c>
      <c r="R927" s="8" t="s">
        <v>2621</v>
      </c>
      <c r="S927" s="14" t="s">
        <v>2586</v>
      </c>
    </row>
    <row r="928">
      <c r="A928" s="8" t="s">
        <v>4827</v>
      </c>
      <c r="B928" s="8" t="s">
        <v>2879</v>
      </c>
      <c r="C928" s="8" t="s">
        <v>215</v>
      </c>
      <c r="D928" s="18" t="s">
        <v>2595</v>
      </c>
      <c r="E928" s="16">
        <v>75.0</v>
      </c>
      <c r="F928" s="8" t="s">
        <v>1951</v>
      </c>
      <c r="G928" s="8" t="s">
        <v>1950</v>
      </c>
      <c r="H928" s="8" t="s">
        <v>186</v>
      </c>
      <c r="I928" s="18" t="s">
        <v>2589</v>
      </c>
      <c r="J928" s="16">
        <v>73.0</v>
      </c>
      <c r="K928" s="8" t="s">
        <v>948</v>
      </c>
      <c r="L928" s="8" t="s">
        <v>834</v>
      </c>
      <c r="M928" s="18" t="s">
        <v>2600</v>
      </c>
      <c r="N928" s="16">
        <v>77.0</v>
      </c>
      <c r="O928" s="8" t="s">
        <v>4854</v>
      </c>
      <c r="P928" s="8" t="s">
        <v>12</v>
      </c>
      <c r="Q928" s="14" t="s">
        <v>1679</v>
      </c>
      <c r="R928" s="8" t="s">
        <v>2183</v>
      </c>
      <c r="S928" s="14" t="s">
        <v>2608</v>
      </c>
    </row>
    <row r="929">
      <c r="A929" s="8" t="s">
        <v>2839</v>
      </c>
      <c r="B929" s="8" t="s">
        <v>3006</v>
      </c>
      <c r="C929" s="8" t="s">
        <v>59</v>
      </c>
      <c r="D929" s="18" t="s">
        <v>2584</v>
      </c>
      <c r="E929" s="16">
        <v>67.0</v>
      </c>
      <c r="F929" s="8" t="s">
        <v>2066</v>
      </c>
      <c r="G929" s="8" t="s">
        <v>3106</v>
      </c>
      <c r="H929" s="8" t="s">
        <v>24</v>
      </c>
      <c r="I929" s="18" t="s">
        <v>2589</v>
      </c>
      <c r="J929" s="16">
        <v>63.0</v>
      </c>
      <c r="K929" s="8" t="s">
        <v>948</v>
      </c>
      <c r="L929" s="8" t="s">
        <v>2393</v>
      </c>
      <c r="M929" s="18" t="s">
        <v>2598</v>
      </c>
      <c r="N929" s="16">
        <v>73.0</v>
      </c>
      <c r="O929" s="8" t="s">
        <v>4855</v>
      </c>
      <c r="P929" s="8" t="s">
        <v>122</v>
      </c>
      <c r="Q929" s="14" t="s">
        <v>2033</v>
      </c>
      <c r="R929" s="8" t="s">
        <v>2587</v>
      </c>
      <c r="S929" s="14" t="s">
        <v>2553</v>
      </c>
    </row>
    <row r="930">
      <c r="A930" s="8" t="s">
        <v>3749</v>
      </c>
      <c r="B930" s="8" t="s">
        <v>3748</v>
      </c>
      <c r="C930" s="8" t="s">
        <v>215</v>
      </c>
      <c r="D930" s="18" t="s">
        <v>2560</v>
      </c>
      <c r="E930" s="16">
        <v>58.0</v>
      </c>
      <c r="F930" s="8" t="s">
        <v>2828</v>
      </c>
      <c r="G930" s="8" t="s">
        <v>1322</v>
      </c>
      <c r="H930" s="8" t="s">
        <v>149</v>
      </c>
      <c r="I930" s="18" t="s">
        <v>2564</v>
      </c>
      <c r="J930" s="16">
        <v>70.0</v>
      </c>
      <c r="K930" s="8" t="s">
        <v>2245</v>
      </c>
      <c r="L930" s="8" t="s">
        <v>99</v>
      </c>
      <c r="M930" s="18" t="s">
        <v>2598</v>
      </c>
      <c r="N930" s="16">
        <v>70.0</v>
      </c>
      <c r="O930" s="8" t="s">
        <v>4856</v>
      </c>
      <c r="P930" s="8" t="s">
        <v>192</v>
      </c>
      <c r="Q930" s="14" t="s">
        <v>338</v>
      </c>
      <c r="R930" s="8" t="s">
        <v>2552</v>
      </c>
      <c r="S930" s="14" t="s">
        <v>2636</v>
      </c>
    </row>
    <row r="931">
      <c r="A931" s="8" t="s">
        <v>637</v>
      </c>
      <c r="B931" s="8" t="s">
        <v>636</v>
      </c>
      <c r="C931" s="8" t="s">
        <v>138</v>
      </c>
      <c r="D931" s="18" t="s">
        <v>2567</v>
      </c>
      <c r="E931" s="16">
        <v>76.0</v>
      </c>
      <c r="F931" s="8" t="s">
        <v>2965</v>
      </c>
      <c r="G931" s="8" t="s">
        <v>2964</v>
      </c>
      <c r="H931" s="8" t="s">
        <v>122</v>
      </c>
      <c r="I931" s="18" t="s">
        <v>2554</v>
      </c>
      <c r="J931" s="16">
        <v>78.0</v>
      </c>
      <c r="K931" s="18" t="s">
        <v>814</v>
      </c>
      <c r="L931" s="8" t="s">
        <v>813</v>
      </c>
      <c r="M931" s="18" t="s">
        <v>2615</v>
      </c>
      <c r="N931" s="16">
        <v>77.0</v>
      </c>
      <c r="O931" s="8" t="s">
        <v>4857</v>
      </c>
      <c r="P931" s="8" t="s">
        <v>186</v>
      </c>
      <c r="Q931" s="14" t="s">
        <v>1070</v>
      </c>
      <c r="R931" s="8" t="s">
        <v>2560</v>
      </c>
      <c r="S931" s="14" t="s">
        <v>2583</v>
      </c>
    </row>
    <row r="932">
      <c r="A932" s="8" t="s">
        <v>637</v>
      </c>
      <c r="B932" s="8" t="s">
        <v>2885</v>
      </c>
      <c r="C932" s="8" t="s">
        <v>24</v>
      </c>
      <c r="D932" s="18" t="s">
        <v>2620</v>
      </c>
      <c r="E932" s="16">
        <v>61.0</v>
      </c>
      <c r="F932" s="8" t="s">
        <v>934</v>
      </c>
      <c r="G932" s="8" t="s">
        <v>1550</v>
      </c>
      <c r="H932" s="8" t="s">
        <v>186</v>
      </c>
      <c r="I932" s="18" t="s">
        <v>2610</v>
      </c>
      <c r="J932" s="16">
        <v>62.0</v>
      </c>
      <c r="K932" s="18" t="s">
        <v>1259</v>
      </c>
      <c r="L932" s="8" t="s">
        <v>1258</v>
      </c>
      <c r="M932" s="18" t="s">
        <v>2603</v>
      </c>
      <c r="N932" s="16">
        <v>73.0</v>
      </c>
      <c r="O932" s="8" t="s">
        <v>4858</v>
      </c>
      <c r="P932" s="8" t="s">
        <v>122</v>
      </c>
      <c r="Q932" s="14" t="s">
        <v>1679</v>
      </c>
      <c r="R932" s="8" t="s">
        <v>2564</v>
      </c>
      <c r="S932" s="14" t="s">
        <v>2563</v>
      </c>
    </row>
    <row r="933">
      <c r="A933" s="8" t="s">
        <v>380</v>
      </c>
      <c r="B933" s="8" t="s">
        <v>644</v>
      </c>
      <c r="C933" s="8" t="s">
        <v>59</v>
      </c>
      <c r="D933" s="18" t="s">
        <v>2582</v>
      </c>
      <c r="E933" s="16">
        <v>60.0</v>
      </c>
      <c r="F933" s="8" t="s">
        <v>2949</v>
      </c>
      <c r="G933" s="8" t="s">
        <v>402</v>
      </c>
      <c r="H933" s="8" t="s">
        <v>93</v>
      </c>
      <c r="I933" s="18" t="s">
        <v>2589</v>
      </c>
      <c r="J933" s="16">
        <v>66.0</v>
      </c>
      <c r="K933" s="18" t="s">
        <v>159</v>
      </c>
      <c r="L933" s="8" t="s">
        <v>220</v>
      </c>
      <c r="M933" s="18" t="s">
        <v>2589</v>
      </c>
      <c r="N933" s="16">
        <v>74.0</v>
      </c>
      <c r="O933" s="8" t="s">
        <v>4859</v>
      </c>
      <c r="P933" s="8" t="s">
        <v>24</v>
      </c>
      <c r="Q933" s="14" t="s">
        <v>1070</v>
      </c>
      <c r="R933" s="8" t="s">
        <v>2575</v>
      </c>
      <c r="S933" s="14" t="s">
        <v>2586</v>
      </c>
    </row>
    <row r="934">
      <c r="A934" s="8" t="s">
        <v>1200</v>
      </c>
      <c r="B934" s="8" t="s">
        <v>284</v>
      </c>
      <c r="C934" s="8" t="s">
        <v>138</v>
      </c>
      <c r="D934" s="18" t="s">
        <v>2592</v>
      </c>
      <c r="E934" s="16">
        <v>70.0</v>
      </c>
      <c r="F934" s="8" t="s">
        <v>1467</v>
      </c>
      <c r="G934" s="8" t="s">
        <v>1491</v>
      </c>
      <c r="H934" s="8" t="s">
        <v>192</v>
      </c>
      <c r="I934" s="18" t="s">
        <v>2605</v>
      </c>
      <c r="J934" s="16">
        <v>72.0</v>
      </c>
      <c r="K934" s="18" t="s">
        <v>159</v>
      </c>
      <c r="L934" s="8" t="s">
        <v>2763</v>
      </c>
      <c r="M934" s="18" t="s">
        <v>2620</v>
      </c>
      <c r="N934" s="16">
        <v>71.0</v>
      </c>
      <c r="O934" s="8" t="s">
        <v>4860</v>
      </c>
      <c r="P934" s="8" t="s">
        <v>93</v>
      </c>
      <c r="Q934" s="14" t="s">
        <v>2296</v>
      </c>
      <c r="R934" s="8" t="s">
        <v>2566</v>
      </c>
      <c r="S934" s="14" t="s">
        <v>2617</v>
      </c>
    </row>
    <row r="935">
      <c r="A935" s="8" t="s">
        <v>702</v>
      </c>
      <c r="B935" s="8" t="s">
        <v>701</v>
      </c>
      <c r="C935" s="8" t="s">
        <v>141</v>
      </c>
      <c r="D935" s="18" t="s">
        <v>2605</v>
      </c>
      <c r="E935" s="16">
        <v>68.0</v>
      </c>
      <c r="F935" s="8" t="s">
        <v>377</v>
      </c>
      <c r="G935" s="8" t="s">
        <v>1727</v>
      </c>
      <c r="H935" s="8" t="s">
        <v>12</v>
      </c>
      <c r="I935" s="18" t="s">
        <v>2574</v>
      </c>
      <c r="J935" s="16">
        <v>72.0</v>
      </c>
      <c r="K935" s="18" t="s">
        <v>159</v>
      </c>
      <c r="L935" s="8" t="s">
        <v>448</v>
      </c>
      <c r="M935" s="18" t="s">
        <v>2562</v>
      </c>
      <c r="N935" s="16">
        <v>89.0</v>
      </c>
      <c r="O935" s="8" t="s">
        <v>4861</v>
      </c>
      <c r="P935" s="8" t="s">
        <v>215</v>
      </c>
      <c r="Q935" s="14" t="s">
        <v>631</v>
      </c>
      <c r="R935" s="8" t="s">
        <v>2560</v>
      </c>
      <c r="S935" s="14" t="s">
        <v>2608</v>
      </c>
    </row>
    <row r="936">
      <c r="A936" s="8" t="s">
        <v>3869</v>
      </c>
      <c r="B936" s="8" t="s">
        <v>328</v>
      </c>
      <c r="C936" s="8" t="s">
        <v>75</v>
      </c>
      <c r="D936" s="18" t="s">
        <v>2567</v>
      </c>
      <c r="E936" s="16">
        <v>72.0</v>
      </c>
      <c r="F936" s="8" t="s">
        <v>377</v>
      </c>
      <c r="G936" s="8" t="s">
        <v>99</v>
      </c>
      <c r="H936" s="8" t="s">
        <v>80</v>
      </c>
      <c r="I936" s="18" t="s">
        <v>2552</v>
      </c>
      <c r="J936" s="16">
        <v>93.0</v>
      </c>
      <c r="K936" s="18" t="s">
        <v>440</v>
      </c>
      <c r="L936" s="8" t="s">
        <v>439</v>
      </c>
      <c r="M936" s="18" t="s">
        <v>2645</v>
      </c>
      <c r="N936" s="16">
        <v>76.0</v>
      </c>
      <c r="O936" s="8" t="s">
        <v>4862</v>
      </c>
      <c r="P936" s="8" t="s">
        <v>93</v>
      </c>
      <c r="Q936" s="14" t="s">
        <v>1070</v>
      </c>
      <c r="R936" s="8" t="s">
        <v>2577</v>
      </c>
      <c r="S936" s="14" t="s">
        <v>2570</v>
      </c>
    </row>
    <row r="937">
      <c r="A937" s="8" t="s">
        <v>1380</v>
      </c>
      <c r="B937" s="8" t="s">
        <v>637</v>
      </c>
      <c r="C937" s="8" t="s">
        <v>24</v>
      </c>
      <c r="D937" s="18" t="s">
        <v>2572</v>
      </c>
      <c r="E937" s="16">
        <v>78.0</v>
      </c>
      <c r="F937" s="8" t="s">
        <v>2473</v>
      </c>
      <c r="G937" s="8" t="s">
        <v>888</v>
      </c>
      <c r="H937" s="8" t="s">
        <v>65</v>
      </c>
      <c r="I937" s="18" t="s">
        <v>2621</v>
      </c>
      <c r="J937" s="16">
        <v>73.0</v>
      </c>
      <c r="K937" s="8" t="s">
        <v>4863</v>
      </c>
      <c r="L937" s="8" t="s">
        <v>1264</v>
      </c>
      <c r="M937" s="18" t="s">
        <v>2558</v>
      </c>
      <c r="N937" s="16">
        <v>71.0</v>
      </c>
      <c r="O937" s="8" t="s">
        <v>4864</v>
      </c>
      <c r="P937" s="8" t="s">
        <v>122</v>
      </c>
      <c r="Q937" s="14" t="s">
        <v>2033</v>
      </c>
      <c r="R937" s="8" t="s">
        <v>2552</v>
      </c>
      <c r="S937" s="14" t="s">
        <v>2609</v>
      </c>
    </row>
    <row r="938">
      <c r="A938" s="8" t="s">
        <v>1380</v>
      </c>
      <c r="B938" s="8" t="s">
        <v>3043</v>
      </c>
      <c r="C938" s="8" t="s">
        <v>65</v>
      </c>
      <c r="D938" s="18" t="s">
        <v>2564</v>
      </c>
      <c r="E938" s="16">
        <v>63.0</v>
      </c>
      <c r="F938" s="8" t="s">
        <v>1229</v>
      </c>
      <c r="G938" s="8" t="s">
        <v>1228</v>
      </c>
      <c r="H938" s="8" t="s">
        <v>186</v>
      </c>
      <c r="I938" s="18" t="s">
        <v>2600</v>
      </c>
      <c r="J938" s="16">
        <v>59.0</v>
      </c>
      <c r="K938" s="8" t="s">
        <v>4865</v>
      </c>
      <c r="L938" s="8" t="s">
        <v>2047</v>
      </c>
      <c r="M938" s="18" t="s">
        <v>2600</v>
      </c>
      <c r="N938" s="16">
        <v>70.0</v>
      </c>
      <c r="O938" s="8" t="s">
        <v>4866</v>
      </c>
      <c r="P938" s="8" t="s">
        <v>75</v>
      </c>
      <c r="Q938" s="14" t="s">
        <v>2033</v>
      </c>
      <c r="R938" s="8" t="s">
        <v>2600</v>
      </c>
      <c r="S938" s="14" t="s">
        <v>2594</v>
      </c>
    </row>
    <row r="939">
      <c r="A939" s="8" t="s">
        <v>1312</v>
      </c>
      <c r="B939" s="8" t="s">
        <v>3426</v>
      </c>
      <c r="C939" s="8" t="s">
        <v>59</v>
      </c>
      <c r="D939" s="18" t="s">
        <v>2593</v>
      </c>
      <c r="E939" s="16">
        <v>59.0</v>
      </c>
      <c r="F939" s="8" t="s">
        <v>1954</v>
      </c>
      <c r="G939" s="8" t="s">
        <v>1953</v>
      </c>
      <c r="H939" s="8" t="s">
        <v>138</v>
      </c>
      <c r="I939" s="18" t="s">
        <v>2567</v>
      </c>
      <c r="J939" s="16">
        <v>69.0</v>
      </c>
      <c r="K939" s="8" t="s">
        <v>4867</v>
      </c>
      <c r="L939" s="8" t="s">
        <v>260</v>
      </c>
      <c r="M939" s="18" t="s">
        <v>2581</v>
      </c>
      <c r="N939" s="16">
        <v>80.0</v>
      </c>
      <c r="O939" s="8" t="s">
        <v>4868</v>
      </c>
      <c r="P939" s="8" t="s">
        <v>93</v>
      </c>
      <c r="Q939" s="14" t="s">
        <v>2296</v>
      </c>
      <c r="R939" s="8" t="s">
        <v>2552</v>
      </c>
      <c r="S939" s="14" t="s">
        <v>2573</v>
      </c>
    </row>
    <row r="940">
      <c r="A940" s="8" t="s">
        <v>1312</v>
      </c>
      <c r="B940" s="8" t="s">
        <v>1311</v>
      </c>
      <c r="C940" s="8" t="s">
        <v>75</v>
      </c>
      <c r="D940" s="18" t="s">
        <v>2585</v>
      </c>
      <c r="E940" s="16">
        <v>67.0</v>
      </c>
      <c r="F940" s="8" t="s">
        <v>4827</v>
      </c>
      <c r="G940" s="8" t="s">
        <v>2879</v>
      </c>
      <c r="H940" s="8" t="s">
        <v>53</v>
      </c>
      <c r="I940" s="18" t="s">
        <v>2595</v>
      </c>
      <c r="J940" s="16">
        <v>73.0</v>
      </c>
      <c r="K940" s="8" t="s">
        <v>429</v>
      </c>
      <c r="L940" s="8" t="s">
        <v>428</v>
      </c>
      <c r="M940" s="18" t="s">
        <v>2567</v>
      </c>
      <c r="N940" s="16">
        <v>83.0</v>
      </c>
      <c r="O940" s="8" t="s">
        <v>4869</v>
      </c>
      <c r="P940" s="8" t="s">
        <v>93</v>
      </c>
      <c r="Q940" s="14" t="s">
        <v>1352</v>
      </c>
      <c r="R940" s="8" t="s">
        <v>2620</v>
      </c>
      <c r="S940" s="14" t="s">
        <v>2580</v>
      </c>
    </row>
    <row r="941">
      <c r="A941" s="8" t="s">
        <v>1312</v>
      </c>
      <c r="B941" s="8" t="s">
        <v>828</v>
      </c>
      <c r="C941" s="8" t="s">
        <v>93</v>
      </c>
      <c r="D941" s="18" t="s">
        <v>2554</v>
      </c>
      <c r="E941" s="16">
        <v>63.0</v>
      </c>
      <c r="F941" s="8" t="s">
        <v>2839</v>
      </c>
      <c r="G941" s="8" t="s">
        <v>3006</v>
      </c>
      <c r="H941" s="8" t="s">
        <v>186</v>
      </c>
      <c r="I941" s="18" t="s">
        <v>2584</v>
      </c>
      <c r="J941" s="16">
        <v>66.0</v>
      </c>
      <c r="K941" s="8" t="s">
        <v>429</v>
      </c>
      <c r="L941" s="8" t="s">
        <v>428</v>
      </c>
      <c r="M941" s="18" t="s">
        <v>2567</v>
      </c>
      <c r="N941" s="16">
        <v>88.0</v>
      </c>
      <c r="O941" s="8" t="s">
        <v>4870</v>
      </c>
      <c r="P941" s="8" t="s">
        <v>141</v>
      </c>
      <c r="Q941" s="14" t="s">
        <v>631</v>
      </c>
      <c r="R941" s="8" t="s">
        <v>2621</v>
      </c>
      <c r="S941" s="14" t="s">
        <v>2580</v>
      </c>
    </row>
    <row r="942">
      <c r="A942" s="8" t="s">
        <v>1312</v>
      </c>
      <c r="B942" s="8" t="s">
        <v>78</v>
      </c>
      <c r="C942" s="8" t="s">
        <v>122</v>
      </c>
      <c r="D942" s="18" t="s">
        <v>2585</v>
      </c>
      <c r="E942" s="16">
        <v>82.0</v>
      </c>
      <c r="F942" s="8" t="s">
        <v>637</v>
      </c>
      <c r="G942" s="8" t="s">
        <v>636</v>
      </c>
      <c r="H942" s="8" t="s">
        <v>138</v>
      </c>
      <c r="I942" s="18" t="s">
        <v>2567</v>
      </c>
      <c r="J942" s="16">
        <v>76.0</v>
      </c>
      <c r="K942" s="8" t="s">
        <v>2214</v>
      </c>
      <c r="L942" s="8" t="s">
        <v>2213</v>
      </c>
      <c r="M942" s="18" t="s">
        <v>2615</v>
      </c>
      <c r="N942" s="16">
        <v>76.0</v>
      </c>
      <c r="O942" s="8" t="s">
        <v>4871</v>
      </c>
      <c r="P942" s="8" t="s">
        <v>24</v>
      </c>
      <c r="Q942" s="14" t="s">
        <v>1352</v>
      </c>
      <c r="R942" s="8" t="s">
        <v>2558</v>
      </c>
      <c r="S942" s="14" t="s">
        <v>2629</v>
      </c>
    </row>
    <row r="943">
      <c r="A943" s="8" t="s">
        <v>2716</v>
      </c>
      <c r="B943" s="8" t="s">
        <v>142</v>
      </c>
      <c r="C943" s="8" t="s">
        <v>192</v>
      </c>
      <c r="D943" s="18" t="s">
        <v>2615</v>
      </c>
      <c r="E943" s="16">
        <v>70.0</v>
      </c>
      <c r="F943" s="8" t="s">
        <v>637</v>
      </c>
      <c r="G943" s="8" t="s">
        <v>2885</v>
      </c>
      <c r="H943" s="8" t="s">
        <v>24</v>
      </c>
      <c r="I943" s="18" t="s">
        <v>2620</v>
      </c>
      <c r="J943" s="16">
        <v>61.0</v>
      </c>
      <c r="K943" s="8" t="s">
        <v>2425</v>
      </c>
      <c r="L943" s="8" t="s">
        <v>2656</v>
      </c>
      <c r="M943" s="18" t="s">
        <v>2183</v>
      </c>
      <c r="N943" s="16">
        <v>74.0</v>
      </c>
      <c r="O943" s="8" t="s">
        <v>4872</v>
      </c>
      <c r="P943" s="8" t="s">
        <v>24</v>
      </c>
      <c r="Q943" s="14" t="s">
        <v>1679</v>
      </c>
      <c r="R943" s="8" t="s">
        <v>2572</v>
      </c>
      <c r="S943" s="14" t="s">
        <v>2633</v>
      </c>
    </row>
    <row r="944">
      <c r="A944" s="8" t="s">
        <v>3370</v>
      </c>
      <c r="B944" s="8" t="s">
        <v>3369</v>
      </c>
      <c r="C944" s="8" t="s">
        <v>24</v>
      </c>
      <c r="D944" s="18" t="s">
        <v>2589</v>
      </c>
      <c r="E944" s="16">
        <v>66.0</v>
      </c>
      <c r="F944" s="8" t="s">
        <v>1333</v>
      </c>
      <c r="G944" s="8" t="s">
        <v>1332</v>
      </c>
      <c r="H944" s="8" t="s">
        <v>93</v>
      </c>
      <c r="I944" s="18" t="s">
        <v>2558</v>
      </c>
      <c r="J944" s="16">
        <v>62.0</v>
      </c>
      <c r="K944" s="8" t="s">
        <v>360</v>
      </c>
      <c r="L944" s="8" t="s">
        <v>359</v>
      </c>
      <c r="M944" s="18" t="s">
        <v>2598</v>
      </c>
      <c r="N944" s="16">
        <v>66.0</v>
      </c>
      <c r="O944" s="8" t="s">
        <v>4873</v>
      </c>
      <c r="P944" s="8" t="s">
        <v>65</v>
      </c>
      <c r="Q944" s="14" t="s">
        <v>2296</v>
      </c>
      <c r="R944" s="18" t="s">
        <v>2556</v>
      </c>
      <c r="S944" s="14" t="s">
        <v>2591</v>
      </c>
    </row>
    <row r="945">
      <c r="A945" s="8" t="s">
        <v>3623</v>
      </c>
      <c r="B945" s="8" t="s">
        <v>3622</v>
      </c>
      <c r="C945" s="8" t="s">
        <v>93</v>
      </c>
      <c r="D945" s="18" t="s">
        <v>2581</v>
      </c>
      <c r="E945" s="16">
        <v>67.0</v>
      </c>
      <c r="F945" s="8" t="s">
        <v>380</v>
      </c>
      <c r="G945" s="8" t="s">
        <v>644</v>
      </c>
      <c r="H945" s="8" t="s">
        <v>53</v>
      </c>
      <c r="I945" s="18" t="s">
        <v>2582</v>
      </c>
      <c r="J945" s="16">
        <v>60.0</v>
      </c>
      <c r="K945" s="8" t="s">
        <v>360</v>
      </c>
      <c r="L945" s="8" t="s">
        <v>3094</v>
      </c>
      <c r="M945" s="18" t="s">
        <v>2552</v>
      </c>
      <c r="N945" s="16">
        <v>67.0</v>
      </c>
      <c r="O945" s="8" t="s">
        <v>4874</v>
      </c>
      <c r="P945" s="8" t="s">
        <v>149</v>
      </c>
      <c r="Q945" s="14" t="s">
        <v>1070</v>
      </c>
      <c r="R945" s="8" t="s">
        <v>2574</v>
      </c>
      <c r="S945" s="14" t="s">
        <v>2617</v>
      </c>
    </row>
    <row r="946">
      <c r="A946" s="8" t="s">
        <v>3627</v>
      </c>
      <c r="B946" s="8" t="s">
        <v>3626</v>
      </c>
      <c r="C946" s="8" t="s">
        <v>138</v>
      </c>
      <c r="D946" s="18" t="s">
        <v>2587</v>
      </c>
      <c r="E946" s="16">
        <v>66.0</v>
      </c>
      <c r="F946" s="8" t="s">
        <v>1200</v>
      </c>
      <c r="G946" s="8" t="s">
        <v>451</v>
      </c>
      <c r="H946" s="8" t="s">
        <v>93</v>
      </c>
      <c r="I946" s="18" t="s">
        <v>2615</v>
      </c>
      <c r="J946" s="16">
        <v>69.0</v>
      </c>
      <c r="K946" s="8" t="s">
        <v>360</v>
      </c>
      <c r="L946" s="8" t="s">
        <v>2944</v>
      </c>
      <c r="M946" s="18" t="s">
        <v>2567</v>
      </c>
      <c r="N946" s="16">
        <v>77.0</v>
      </c>
      <c r="O946" s="8" t="s">
        <v>4875</v>
      </c>
      <c r="P946" s="8" t="s">
        <v>24</v>
      </c>
      <c r="Q946" s="14" t="s">
        <v>2033</v>
      </c>
      <c r="R946" s="8" t="s">
        <v>2574</v>
      </c>
      <c r="S946" s="14" t="s">
        <v>2602</v>
      </c>
    </row>
    <row r="947">
      <c r="A947" s="8" t="s">
        <v>3512</v>
      </c>
      <c r="B947" s="8" t="s">
        <v>3511</v>
      </c>
      <c r="C947" s="8" t="s">
        <v>80</v>
      </c>
      <c r="D947" s="18" t="s">
        <v>2581</v>
      </c>
      <c r="E947" s="16">
        <v>76.0</v>
      </c>
      <c r="F947" s="8" t="s">
        <v>702</v>
      </c>
      <c r="G947" s="8" t="s">
        <v>701</v>
      </c>
      <c r="H947" s="8" t="s">
        <v>141</v>
      </c>
      <c r="I947" s="18" t="s">
        <v>2605</v>
      </c>
      <c r="J947" s="16">
        <v>69.0</v>
      </c>
      <c r="K947" s="8" t="s">
        <v>360</v>
      </c>
      <c r="L947" s="8" t="s">
        <v>1410</v>
      </c>
      <c r="M947" s="18" t="s">
        <v>2621</v>
      </c>
      <c r="N947" s="16">
        <v>83.0</v>
      </c>
      <c r="O947" s="8" t="s">
        <v>4876</v>
      </c>
      <c r="P947" s="8" t="s">
        <v>122</v>
      </c>
      <c r="Q947" s="14" t="s">
        <v>1352</v>
      </c>
      <c r="R947" s="8" t="s">
        <v>2552</v>
      </c>
      <c r="S947" s="14" t="s">
        <v>2576</v>
      </c>
    </row>
    <row r="948">
      <c r="A948" s="8" t="s">
        <v>1611</v>
      </c>
      <c r="B948" s="8" t="s">
        <v>1610</v>
      </c>
      <c r="C948" s="8" t="s">
        <v>75</v>
      </c>
      <c r="D948" s="18" t="s">
        <v>2564</v>
      </c>
      <c r="E948" s="16">
        <v>69.0</v>
      </c>
      <c r="F948" s="8" t="s">
        <v>1380</v>
      </c>
      <c r="G948" s="8" t="s">
        <v>637</v>
      </c>
      <c r="H948" s="8" t="s">
        <v>24</v>
      </c>
      <c r="I948" s="18" t="s">
        <v>2572</v>
      </c>
      <c r="J948" s="16">
        <v>82.0</v>
      </c>
      <c r="K948" s="8" t="s">
        <v>360</v>
      </c>
      <c r="L948" s="8" t="s">
        <v>509</v>
      </c>
      <c r="M948" s="18" t="s">
        <v>2567</v>
      </c>
      <c r="N948" s="16">
        <v>80.0</v>
      </c>
      <c r="O948" s="8" t="s">
        <v>4877</v>
      </c>
      <c r="P948" s="8" t="s">
        <v>132</v>
      </c>
      <c r="Q948" s="14" t="s">
        <v>2033</v>
      </c>
      <c r="R948" s="8" t="s">
        <v>2587</v>
      </c>
      <c r="S948" s="14" t="s">
        <v>2627</v>
      </c>
    </row>
    <row r="949">
      <c r="A949" s="8" t="s">
        <v>948</v>
      </c>
      <c r="B949" s="8" t="s">
        <v>2677</v>
      </c>
      <c r="C949" s="8" t="s">
        <v>149</v>
      </c>
      <c r="D949" s="18" t="s">
        <v>2593</v>
      </c>
      <c r="E949" s="16">
        <v>68.0</v>
      </c>
      <c r="F949" s="8" t="s">
        <v>1312</v>
      </c>
      <c r="G949" s="8" t="s">
        <v>3426</v>
      </c>
      <c r="H949" s="8" t="s">
        <v>59</v>
      </c>
      <c r="I949" s="18" t="s">
        <v>2587</v>
      </c>
      <c r="J949" s="16">
        <v>61.0</v>
      </c>
      <c r="K949" s="8" t="s">
        <v>360</v>
      </c>
      <c r="L949" s="8" t="s">
        <v>2073</v>
      </c>
      <c r="M949" s="18" t="s">
        <v>2592</v>
      </c>
      <c r="N949" s="16">
        <v>70.0</v>
      </c>
      <c r="O949" s="8" t="s">
        <v>4878</v>
      </c>
      <c r="P949" s="8" t="s">
        <v>93</v>
      </c>
      <c r="Q949" s="14" t="s">
        <v>2296</v>
      </c>
      <c r="R949" s="8" t="s">
        <v>2575</v>
      </c>
      <c r="S949" s="14" t="s">
        <v>2568</v>
      </c>
    </row>
    <row r="950">
      <c r="A950" s="8" t="s">
        <v>948</v>
      </c>
      <c r="B950" s="8" t="s">
        <v>3191</v>
      </c>
      <c r="C950" s="8" t="s">
        <v>65</v>
      </c>
      <c r="D950" s="18" t="s">
        <v>2572</v>
      </c>
      <c r="E950" s="16">
        <v>61.0</v>
      </c>
      <c r="F950" s="8" t="s">
        <v>1312</v>
      </c>
      <c r="G950" s="8" t="s">
        <v>1311</v>
      </c>
      <c r="H950" s="8" t="s">
        <v>149</v>
      </c>
      <c r="I950" s="18" t="s">
        <v>2556</v>
      </c>
      <c r="J950" s="16">
        <v>67.0</v>
      </c>
      <c r="K950" s="8" t="s">
        <v>360</v>
      </c>
      <c r="L950" s="8" t="s">
        <v>1410</v>
      </c>
      <c r="M950" s="18" t="s">
        <v>2621</v>
      </c>
      <c r="N950" s="16">
        <v>88.0</v>
      </c>
      <c r="O950" s="8" t="s">
        <v>4879</v>
      </c>
      <c r="P950" s="8" t="s">
        <v>24</v>
      </c>
      <c r="Q950" s="14" t="s">
        <v>2459</v>
      </c>
      <c r="R950" s="8" t="s">
        <v>2552</v>
      </c>
      <c r="S950" s="14" t="s">
        <v>2601</v>
      </c>
    </row>
    <row r="951">
      <c r="A951" s="8" t="s">
        <v>948</v>
      </c>
      <c r="B951" s="8" t="s">
        <v>1137</v>
      </c>
      <c r="C951" s="8" t="s">
        <v>70</v>
      </c>
      <c r="D951" s="18" t="s">
        <v>2615</v>
      </c>
      <c r="E951" s="16">
        <v>76.0</v>
      </c>
      <c r="F951" s="8" t="s">
        <v>2716</v>
      </c>
      <c r="G951" s="8" t="s">
        <v>142</v>
      </c>
      <c r="H951" s="8" t="s">
        <v>192</v>
      </c>
      <c r="I951" s="18" t="s">
        <v>2615</v>
      </c>
      <c r="J951" s="16">
        <v>70.0</v>
      </c>
      <c r="K951" s="8" t="s">
        <v>1479</v>
      </c>
      <c r="L951" s="8" t="s">
        <v>1478</v>
      </c>
      <c r="M951" s="18" t="s">
        <v>2600</v>
      </c>
      <c r="N951" s="16">
        <v>72.0</v>
      </c>
      <c r="O951" s="8" t="s">
        <v>4880</v>
      </c>
      <c r="P951" s="8" t="s">
        <v>24</v>
      </c>
      <c r="Q951" s="14" t="s">
        <v>2296</v>
      </c>
      <c r="R951" s="8" t="s">
        <v>2554</v>
      </c>
      <c r="S951" s="14" t="s">
        <v>2568</v>
      </c>
    </row>
    <row r="952">
      <c r="A952" s="8" t="s">
        <v>948</v>
      </c>
      <c r="B952" s="8" t="s">
        <v>3644</v>
      </c>
      <c r="C952" s="8" t="s">
        <v>93</v>
      </c>
      <c r="D952" s="18" t="s">
        <v>2614</v>
      </c>
      <c r="E952" s="16">
        <v>70.0</v>
      </c>
      <c r="F952" s="8" t="s">
        <v>1555</v>
      </c>
      <c r="G952" s="8" t="s">
        <v>1554</v>
      </c>
      <c r="H952" s="8" t="s">
        <v>215</v>
      </c>
      <c r="I952" s="18" t="s">
        <v>2552</v>
      </c>
      <c r="J952" s="16">
        <v>65.0</v>
      </c>
      <c r="K952" s="8" t="s">
        <v>1479</v>
      </c>
      <c r="L952" s="8" t="s">
        <v>396</v>
      </c>
      <c r="M952" s="18" t="s">
        <v>2603</v>
      </c>
      <c r="N952" s="16">
        <v>65.0</v>
      </c>
      <c r="O952" s="8" t="s">
        <v>4881</v>
      </c>
      <c r="P952" s="8" t="s">
        <v>138</v>
      </c>
      <c r="Q952" s="14" t="s">
        <v>1679</v>
      </c>
      <c r="R952" s="8" t="s">
        <v>2572</v>
      </c>
      <c r="S952" s="14" t="s">
        <v>2568</v>
      </c>
    </row>
    <row r="953">
      <c r="A953" s="8" t="s">
        <v>948</v>
      </c>
      <c r="B953" s="8" t="s">
        <v>389</v>
      </c>
      <c r="C953" s="8" t="s">
        <v>192</v>
      </c>
      <c r="D953" s="18" t="s">
        <v>2554</v>
      </c>
      <c r="E953" s="16">
        <v>61.0</v>
      </c>
      <c r="F953" s="8" t="s">
        <v>3370</v>
      </c>
      <c r="G953" s="8" t="s">
        <v>3369</v>
      </c>
      <c r="H953" s="8" t="s">
        <v>24</v>
      </c>
      <c r="I953" s="18" t="s">
        <v>2589</v>
      </c>
      <c r="J953" s="16">
        <v>66.0</v>
      </c>
      <c r="K953" s="8" t="s">
        <v>1103</v>
      </c>
      <c r="L953" s="8" t="s">
        <v>1102</v>
      </c>
      <c r="M953" s="18" t="s">
        <v>2567</v>
      </c>
      <c r="N953" s="16">
        <v>77.0</v>
      </c>
      <c r="O953" s="8" t="s">
        <v>4882</v>
      </c>
      <c r="P953" s="8" t="s">
        <v>75</v>
      </c>
      <c r="Q953" s="14" t="s">
        <v>1352</v>
      </c>
      <c r="R953" s="8" t="s">
        <v>2564</v>
      </c>
      <c r="S953" s="14" t="s">
        <v>2591</v>
      </c>
    </row>
    <row r="954">
      <c r="A954" s="8" t="s">
        <v>948</v>
      </c>
      <c r="B954" s="8" t="s">
        <v>3792</v>
      </c>
      <c r="C954" s="8" t="s">
        <v>70</v>
      </c>
      <c r="D954" s="18" t="s">
        <v>2581</v>
      </c>
      <c r="E954" s="16">
        <v>67.0</v>
      </c>
      <c r="F954" s="8" t="s">
        <v>1611</v>
      </c>
      <c r="G954" s="8" t="s">
        <v>1610</v>
      </c>
      <c r="H954" s="8" t="s">
        <v>75</v>
      </c>
      <c r="I954" s="18" t="s">
        <v>2564</v>
      </c>
      <c r="J954" s="16">
        <v>69.0</v>
      </c>
      <c r="K954" s="8" t="s">
        <v>3024</v>
      </c>
      <c r="L954" s="8" t="s">
        <v>97</v>
      </c>
      <c r="M954" s="18" t="s">
        <v>2592</v>
      </c>
      <c r="N954" s="16">
        <v>75.0</v>
      </c>
      <c r="O954" s="8" t="s">
        <v>4883</v>
      </c>
      <c r="P954" s="8" t="s">
        <v>65</v>
      </c>
      <c r="Q954" s="14" t="s">
        <v>1352</v>
      </c>
      <c r="R954" s="8" t="s">
        <v>2562</v>
      </c>
      <c r="S954" s="14" t="s">
        <v>2569</v>
      </c>
    </row>
    <row r="955">
      <c r="A955" s="8" t="s">
        <v>3763</v>
      </c>
      <c r="B955" s="8" t="s">
        <v>3762</v>
      </c>
      <c r="C955" s="8" t="s">
        <v>59</v>
      </c>
      <c r="D955" s="18" t="s">
        <v>2598</v>
      </c>
      <c r="E955" s="16">
        <v>61.0</v>
      </c>
      <c r="F955" s="8" t="s">
        <v>1611</v>
      </c>
      <c r="G955" s="8" t="s">
        <v>1958</v>
      </c>
      <c r="H955" s="8" t="s">
        <v>122</v>
      </c>
      <c r="I955" s="18" t="s">
        <v>2572</v>
      </c>
      <c r="J955" s="16">
        <v>68.0</v>
      </c>
      <c r="K955" s="8" t="s">
        <v>1124</v>
      </c>
      <c r="L955" s="8" t="s">
        <v>1123</v>
      </c>
      <c r="M955" s="18" t="s">
        <v>2562</v>
      </c>
      <c r="N955" s="16">
        <v>87.0</v>
      </c>
      <c r="O955" s="8" t="s">
        <v>4884</v>
      </c>
      <c r="P955" s="8" t="s">
        <v>93</v>
      </c>
      <c r="Q955" s="14" t="s">
        <v>2033</v>
      </c>
      <c r="R955" s="8" t="s">
        <v>2620</v>
      </c>
      <c r="S955" s="14" t="s">
        <v>2622</v>
      </c>
    </row>
    <row r="956">
      <c r="A956" s="18" t="s">
        <v>814</v>
      </c>
      <c r="B956" s="8" t="s">
        <v>813</v>
      </c>
      <c r="C956" s="8" t="s">
        <v>141</v>
      </c>
      <c r="D956" s="18" t="s">
        <v>2558</v>
      </c>
      <c r="E956" s="16">
        <v>76.0</v>
      </c>
      <c r="F956" s="8" t="s">
        <v>1611</v>
      </c>
      <c r="G956" s="8" t="s">
        <v>2664</v>
      </c>
      <c r="H956" s="8" t="s">
        <v>75</v>
      </c>
      <c r="I956" s="18" t="s">
        <v>2581</v>
      </c>
      <c r="J956" s="16">
        <v>68.0</v>
      </c>
      <c r="K956" s="8" t="s">
        <v>1124</v>
      </c>
      <c r="L956" s="8" t="s">
        <v>1123</v>
      </c>
      <c r="M956" s="18" t="s">
        <v>2562</v>
      </c>
      <c r="N956" s="16">
        <v>91.0</v>
      </c>
      <c r="O956" s="8" t="s">
        <v>4885</v>
      </c>
      <c r="P956" s="8" t="s">
        <v>215</v>
      </c>
      <c r="Q956" s="14" t="s">
        <v>2033</v>
      </c>
      <c r="R956" s="8" t="s">
        <v>2577</v>
      </c>
      <c r="S956" s="14" t="s">
        <v>2555</v>
      </c>
    </row>
    <row r="957">
      <c r="A957" s="18" t="s">
        <v>1259</v>
      </c>
      <c r="B957" s="8" t="s">
        <v>1258</v>
      </c>
      <c r="C957" s="8" t="s">
        <v>65</v>
      </c>
      <c r="D957" s="18" t="s">
        <v>2598</v>
      </c>
      <c r="E957" s="16">
        <v>62.0</v>
      </c>
      <c r="F957" s="8" t="s">
        <v>948</v>
      </c>
      <c r="G957" s="8" t="s">
        <v>1895</v>
      </c>
      <c r="H957" s="8" t="s">
        <v>65</v>
      </c>
      <c r="I957" s="18" t="s">
        <v>2620</v>
      </c>
      <c r="J957" s="16">
        <v>67.0</v>
      </c>
      <c r="K957" s="8" t="s">
        <v>458</v>
      </c>
      <c r="L957" s="8" t="s">
        <v>457</v>
      </c>
      <c r="M957" s="18" t="s">
        <v>2572</v>
      </c>
      <c r="N957" s="16">
        <v>80.0</v>
      </c>
      <c r="O957" s="8" t="s">
        <v>4886</v>
      </c>
      <c r="P957" s="8" t="s">
        <v>70</v>
      </c>
      <c r="Q957" s="14" t="s">
        <v>1070</v>
      </c>
      <c r="R957" s="18" t="s">
        <v>2556</v>
      </c>
      <c r="S957" s="14" t="s">
        <v>2608</v>
      </c>
    </row>
    <row r="958">
      <c r="A958" s="18" t="s">
        <v>159</v>
      </c>
      <c r="B958" s="8" t="s">
        <v>158</v>
      </c>
      <c r="C958" s="8" t="s">
        <v>24</v>
      </c>
      <c r="D958" s="18" t="s">
        <v>2574</v>
      </c>
      <c r="E958" s="16">
        <v>44.0</v>
      </c>
      <c r="F958" s="8" t="s">
        <v>948</v>
      </c>
      <c r="G958" s="8" t="s">
        <v>389</v>
      </c>
      <c r="H958" s="8" t="s">
        <v>192</v>
      </c>
      <c r="I958" s="18" t="s">
        <v>2593</v>
      </c>
      <c r="J958" s="16">
        <v>60.0</v>
      </c>
      <c r="K958" s="8" t="s">
        <v>2786</v>
      </c>
      <c r="L958" s="8" t="s">
        <v>1164</v>
      </c>
      <c r="M958" s="18" t="s">
        <v>2645</v>
      </c>
      <c r="N958" s="16">
        <v>60.0</v>
      </c>
      <c r="O958" s="8" t="s">
        <v>4887</v>
      </c>
      <c r="P958" s="8" t="s">
        <v>65</v>
      </c>
      <c r="Q958" s="14" t="s">
        <v>2033</v>
      </c>
      <c r="R958" s="8" t="s">
        <v>2581</v>
      </c>
      <c r="S958" s="14" t="s">
        <v>2622</v>
      </c>
    </row>
    <row r="959">
      <c r="A959" s="18" t="s">
        <v>159</v>
      </c>
      <c r="B959" s="8" t="s">
        <v>220</v>
      </c>
      <c r="C959" s="8" t="s">
        <v>65</v>
      </c>
      <c r="D959" s="18" t="s">
        <v>2589</v>
      </c>
      <c r="E959" s="16">
        <v>67.0</v>
      </c>
      <c r="F959" s="8" t="s">
        <v>948</v>
      </c>
      <c r="G959" s="8" t="s">
        <v>683</v>
      </c>
      <c r="H959" s="8" t="s">
        <v>65</v>
      </c>
      <c r="I959" s="18" t="s">
        <v>2581</v>
      </c>
      <c r="J959" s="16">
        <v>67.0</v>
      </c>
      <c r="K959" s="8" t="s">
        <v>2300</v>
      </c>
      <c r="L959" s="8" t="s">
        <v>57</v>
      </c>
      <c r="M959" s="18" t="s">
        <v>2558</v>
      </c>
      <c r="N959" s="16">
        <v>77.0</v>
      </c>
      <c r="O959" s="8" t="s">
        <v>4888</v>
      </c>
      <c r="P959" s="8" t="s">
        <v>59</v>
      </c>
      <c r="Q959" s="14" t="s">
        <v>1352</v>
      </c>
      <c r="R959" s="8" t="s">
        <v>2605</v>
      </c>
      <c r="S959" s="14" t="s">
        <v>2579</v>
      </c>
    </row>
    <row r="960">
      <c r="A960" s="18" t="s">
        <v>159</v>
      </c>
      <c r="B960" s="8" t="s">
        <v>448</v>
      </c>
      <c r="C960" s="8" t="s">
        <v>215</v>
      </c>
      <c r="D960" s="18" t="s">
        <v>2562</v>
      </c>
      <c r="E960" s="16">
        <v>99.0</v>
      </c>
      <c r="F960" s="8" t="s">
        <v>948</v>
      </c>
      <c r="G960" s="8" t="s">
        <v>2677</v>
      </c>
      <c r="H960" s="8" t="s">
        <v>149</v>
      </c>
      <c r="I960" s="18" t="s">
        <v>2183</v>
      </c>
      <c r="J960" s="16">
        <v>67.0</v>
      </c>
      <c r="K960" s="8" t="s">
        <v>2300</v>
      </c>
      <c r="L960" s="8" t="s">
        <v>57</v>
      </c>
      <c r="M960" s="18" t="s">
        <v>2558</v>
      </c>
      <c r="N960" s="16">
        <v>87.0</v>
      </c>
      <c r="O960" s="8" t="s">
        <v>4889</v>
      </c>
      <c r="P960" s="8" t="s">
        <v>93</v>
      </c>
      <c r="Q960" s="14" t="s">
        <v>2033</v>
      </c>
      <c r="R960" s="18" t="s">
        <v>2556</v>
      </c>
      <c r="S960" s="14" t="s">
        <v>2568</v>
      </c>
    </row>
    <row r="961">
      <c r="A961" s="18" t="s">
        <v>159</v>
      </c>
      <c r="B961" s="8" t="s">
        <v>830</v>
      </c>
      <c r="C961" s="8" t="s">
        <v>80</v>
      </c>
      <c r="D961" s="18" t="s">
        <v>2614</v>
      </c>
      <c r="E961" s="16">
        <v>79.0</v>
      </c>
      <c r="F961" s="8" t="s">
        <v>948</v>
      </c>
      <c r="G961" s="8" t="s">
        <v>1137</v>
      </c>
      <c r="H961" s="8" t="s">
        <v>70</v>
      </c>
      <c r="I961" s="18" t="s">
        <v>2615</v>
      </c>
      <c r="J961" s="16">
        <v>82.0</v>
      </c>
      <c r="K961" s="8" t="s">
        <v>299</v>
      </c>
      <c r="L961" s="8" t="s">
        <v>1436</v>
      </c>
      <c r="M961" s="18" t="s">
        <v>2593</v>
      </c>
      <c r="N961" s="16">
        <v>67.0</v>
      </c>
      <c r="O961" s="8" t="s">
        <v>4889</v>
      </c>
      <c r="P961" s="8" t="s">
        <v>192</v>
      </c>
      <c r="Q961" s="14" t="s">
        <v>1070</v>
      </c>
      <c r="R961" s="8" t="s">
        <v>2592</v>
      </c>
      <c r="S961" s="14" t="s">
        <v>2579</v>
      </c>
    </row>
    <row r="962">
      <c r="A962" s="18" t="s">
        <v>440</v>
      </c>
      <c r="B962" s="8" t="s">
        <v>439</v>
      </c>
      <c r="C962" s="8" t="s">
        <v>75</v>
      </c>
      <c r="D962" s="18" t="s">
        <v>2592</v>
      </c>
      <c r="E962" s="16">
        <v>76.0</v>
      </c>
      <c r="F962" s="8" t="s">
        <v>948</v>
      </c>
      <c r="G962" s="8" t="s">
        <v>3191</v>
      </c>
      <c r="H962" s="8" t="s">
        <v>65</v>
      </c>
      <c r="I962" s="18" t="s">
        <v>2572</v>
      </c>
      <c r="J962" s="16">
        <v>61.0</v>
      </c>
      <c r="K962" s="8" t="s">
        <v>299</v>
      </c>
      <c r="L962" s="8" t="s">
        <v>2938</v>
      </c>
      <c r="M962" s="18" t="s">
        <v>2577</v>
      </c>
      <c r="N962" s="16">
        <v>63.0</v>
      </c>
      <c r="O962" s="8" t="s">
        <v>4889</v>
      </c>
      <c r="P962" s="8" t="s">
        <v>192</v>
      </c>
      <c r="Q962" s="14" t="s">
        <v>837</v>
      </c>
      <c r="R962" s="8" t="s">
        <v>2567</v>
      </c>
      <c r="S962" s="14" t="s">
        <v>2576</v>
      </c>
    </row>
    <row r="963">
      <c r="A963" s="18" t="s">
        <v>440</v>
      </c>
      <c r="B963" s="8" t="s">
        <v>2434</v>
      </c>
      <c r="C963" s="8" t="s">
        <v>59</v>
      </c>
      <c r="D963" s="18" t="s">
        <v>2621</v>
      </c>
      <c r="E963" s="16">
        <v>59.0</v>
      </c>
      <c r="F963" s="8" t="s">
        <v>722</v>
      </c>
      <c r="G963" s="8" t="s">
        <v>3509</v>
      </c>
      <c r="H963" s="8" t="s">
        <v>65</v>
      </c>
      <c r="I963" s="18" t="s">
        <v>2556</v>
      </c>
      <c r="J963" s="16">
        <v>60.0</v>
      </c>
      <c r="K963" s="8" t="s">
        <v>299</v>
      </c>
      <c r="L963" s="8" t="s">
        <v>897</v>
      </c>
      <c r="M963" s="18" t="s">
        <v>2564</v>
      </c>
      <c r="N963" s="16">
        <v>83.0</v>
      </c>
      <c r="O963" s="8" t="s">
        <v>4890</v>
      </c>
      <c r="P963" s="8" t="s">
        <v>65</v>
      </c>
      <c r="Q963" s="14" t="s">
        <v>1679</v>
      </c>
      <c r="R963" s="8" t="s">
        <v>2587</v>
      </c>
      <c r="S963" s="14" t="s">
        <v>2573</v>
      </c>
    </row>
    <row r="964">
      <c r="A964" s="18" t="s">
        <v>1490</v>
      </c>
      <c r="B964" s="8" t="s">
        <v>3090</v>
      </c>
      <c r="C964" s="8" t="s">
        <v>59</v>
      </c>
      <c r="D964" s="18" t="s">
        <v>2566</v>
      </c>
      <c r="E964" s="16">
        <v>76.0</v>
      </c>
      <c r="F964" s="18" t="s">
        <v>814</v>
      </c>
      <c r="G964" s="8" t="s">
        <v>813</v>
      </c>
      <c r="H964" s="8" t="s">
        <v>141</v>
      </c>
      <c r="I964" s="18" t="s">
        <v>2615</v>
      </c>
      <c r="J964" s="16">
        <v>84.0</v>
      </c>
      <c r="K964" s="8" t="s">
        <v>299</v>
      </c>
      <c r="L964" s="8" t="s">
        <v>681</v>
      </c>
      <c r="M964" s="18" t="s">
        <v>2610</v>
      </c>
      <c r="N964" s="16">
        <v>74.0</v>
      </c>
      <c r="O964" s="8" t="s">
        <v>4891</v>
      </c>
      <c r="P964" s="8" t="s">
        <v>93</v>
      </c>
      <c r="Q964" s="14" t="s">
        <v>2296</v>
      </c>
      <c r="R964" s="8" t="s">
        <v>2598</v>
      </c>
      <c r="S964" s="14" t="s">
        <v>2573</v>
      </c>
    </row>
    <row r="965">
      <c r="A965" s="8" t="s">
        <v>4892</v>
      </c>
      <c r="B965" s="8" t="s">
        <v>232</v>
      </c>
      <c r="C965" s="8" t="s">
        <v>132</v>
      </c>
      <c r="D965" s="18" t="s">
        <v>2603</v>
      </c>
      <c r="E965" s="16">
        <v>67.0</v>
      </c>
      <c r="F965" s="18" t="s">
        <v>1259</v>
      </c>
      <c r="G965" s="8" t="s">
        <v>1258</v>
      </c>
      <c r="H965" s="8" t="s">
        <v>70</v>
      </c>
      <c r="I965" s="18" t="s">
        <v>2603</v>
      </c>
      <c r="J965" s="16">
        <v>63.0</v>
      </c>
      <c r="K965" s="8" t="s">
        <v>299</v>
      </c>
      <c r="L965" s="8" t="s">
        <v>1728</v>
      </c>
      <c r="M965" s="18" t="s">
        <v>2620</v>
      </c>
      <c r="N965" s="16">
        <v>73.0</v>
      </c>
      <c r="O965" s="8" t="s">
        <v>4893</v>
      </c>
      <c r="P965" s="8" t="s">
        <v>149</v>
      </c>
      <c r="Q965" s="14" t="s">
        <v>2296</v>
      </c>
      <c r="R965" s="8" t="s">
        <v>2581</v>
      </c>
      <c r="S965" s="14" t="s">
        <v>2609</v>
      </c>
    </row>
    <row r="966">
      <c r="A966" s="8" t="s">
        <v>4867</v>
      </c>
      <c r="B966" s="8" t="s">
        <v>260</v>
      </c>
      <c r="C966" s="8" t="s">
        <v>149</v>
      </c>
      <c r="D966" s="18" t="s">
        <v>2581</v>
      </c>
      <c r="E966" s="16">
        <v>75.0</v>
      </c>
      <c r="F966" s="18" t="s">
        <v>159</v>
      </c>
      <c r="G966" s="8" t="s">
        <v>220</v>
      </c>
      <c r="H966" s="8" t="s">
        <v>65</v>
      </c>
      <c r="I966" s="18" t="s">
        <v>2589</v>
      </c>
      <c r="J966" s="16">
        <v>73.0</v>
      </c>
      <c r="K966" s="8" t="s">
        <v>299</v>
      </c>
      <c r="L966" s="8" t="s">
        <v>2890</v>
      </c>
      <c r="M966" s="18" t="s">
        <v>2592</v>
      </c>
      <c r="N966" s="16">
        <v>64.0</v>
      </c>
      <c r="O966" s="8" t="s">
        <v>4894</v>
      </c>
      <c r="P966" s="8" t="s">
        <v>46</v>
      </c>
      <c r="Q966" s="14" t="s">
        <v>2033</v>
      </c>
      <c r="R966" s="8" t="s">
        <v>2600</v>
      </c>
      <c r="S966" s="14" t="s">
        <v>2602</v>
      </c>
    </row>
    <row r="967">
      <c r="A967" s="8" t="s">
        <v>429</v>
      </c>
      <c r="B967" s="8" t="s">
        <v>428</v>
      </c>
      <c r="C967" s="8" t="s">
        <v>215</v>
      </c>
      <c r="D967" s="18" t="s">
        <v>2600</v>
      </c>
      <c r="E967" s="16">
        <v>88.0</v>
      </c>
      <c r="F967" s="18" t="s">
        <v>159</v>
      </c>
      <c r="G967" s="8" t="s">
        <v>448</v>
      </c>
      <c r="H967" s="8" t="s">
        <v>215</v>
      </c>
      <c r="I967" s="18" t="s">
        <v>2562</v>
      </c>
      <c r="J967" s="16">
        <v>98.0</v>
      </c>
      <c r="K967" s="8" t="s">
        <v>299</v>
      </c>
      <c r="L967" s="8" t="s">
        <v>67</v>
      </c>
      <c r="M967" s="18" t="s">
        <v>2558</v>
      </c>
      <c r="N967" s="16">
        <v>80.0</v>
      </c>
      <c r="O967" s="8" t="s">
        <v>4895</v>
      </c>
      <c r="P967" s="8" t="s">
        <v>70</v>
      </c>
      <c r="Q967" s="14" t="s">
        <v>2033</v>
      </c>
      <c r="R967" s="8" t="s">
        <v>2598</v>
      </c>
      <c r="S967" s="14" t="s">
        <v>2571</v>
      </c>
    </row>
    <row r="968">
      <c r="A968" s="8" t="s">
        <v>3401</v>
      </c>
      <c r="B968" s="8" t="s">
        <v>1579</v>
      </c>
      <c r="C968" s="8" t="s">
        <v>93</v>
      </c>
      <c r="D968" s="18" t="s">
        <v>2552</v>
      </c>
      <c r="E968" s="16">
        <v>65.0</v>
      </c>
      <c r="F968" s="18" t="s">
        <v>159</v>
      </c>
      <c r="G968" s="8" t="s">
        <v>830</v>
      </c>
      <c r="H968" s="8" t="s">
        <v>192</v>
      </c>
      <c r="I968" s="18" t="s">
        <v>2592</v>
      </c>
      <c r="J968" s="16">
        <v>81.0</v>
      </c>
      <c r="K968" s="8" t="s">
        <v>299</v>
      </c>
      <c r="L968" s="8" t="s">
        <v>1099</v>
      </c>
      <c r="M968" s="18" t="s">
        <v>2581</v>
      </c>
      <c r="N968" s="16">
        <v>67.0</v>
      </c>
      <c r="O968" s="18" t="s">
        <v>4896</v>
      </c>
      <c r="P968" s="8" t="s">
        <v>141</v>
      </c>
      <c r="Q968" s="14" t="s">
        <v>2033</v>
      </c>
      <c r="R968" s="8" t="s">
        <v>2577</v>
      </c>
      <c r="S968" s="14" t="s">
        <v>2626</v>
      </c>
    </row>
    <row r="969">
      <c r="A969" s="8" t="s">
        <v>2425</v>
      </c>
      <c r="B969" s="8" t="s">
        <v>2656</v>
      </c>
      <c r="C969" s="8" t="s">
        <v>24</v>
      </c>
      <c r="D969" s="18" t="s">
        <v>2560</v>
      </c>
      <c r="E969" s="16">
        <v>74.0</v>
      </c>
      <c r="F969" s="18" t="s">
        <v>159</v>
      </c>
      <c r="G969" s="8" t="s">
        <v>2763</v>
      </c>
      <c r="H969" s="8" t="s">
        <v>141</v>
      </c>
      <c r="I969" s="18" t="s">
        <v>2610</v>
      </c>
      <c r="J969" s="16">
        <v>66.0</v>
      </c>
      <c r="K969" s="8" t="s">
        <v>299</v>
      </c>
      <c r="L969" s="8" t="s">
        <v>97</v>
      </c>
      <c r="M969" s="18" t="s">
        <v>2577</v>
      </c>
      <c r="N969" s="16">
        <v>68.0</v>
      </c>
      <c r="O969" s="18" t="s">
        <v>4897</v>
      </c>
      <c r="P969" s="8" t="s">
        <v>141</v>
      </c>
      <c r="Q969" s="14" t="s">
        <v>631</v>
      </c>
      <c r="R969" s="8" t="s">
        <v>2615</v>
      </c>
      <c r="S969" s="14" t="s">
        <v>2608</v>
      </c>
    </row>
    <row r="970">
      <c r="A970" s="8" t="s">
        <v>360</v>
      </c>
      <c r="B970" s="8" t="s">
        <v>460</v>
      </c>
      <c r="C970" s="8" t="s">
        <v>141</v>
      </c>
      <c r="D970" s="18" t="s">
        <v>2595</v>
      </c>
      <c r="E970" s="16">
        <v>59.0</v>
      </c>
      <c r="F970" s="18" t="s">
        <v>159</v>
      </c>
      <c r="G970" s="8" t="s">
        <v>158</v>
      </c>
      <c r="H970" s="8" t="s">
        <v>24</v>
      </c>
      <c r="I970" s="18" t="s">
        <v>2574</v>
      </c>
      <c r="J970" s="16">
        <v>44.0</v>
      </c>
      <c r="K970" s="8" t="s">
        <v>299</v>
      </c>
      <c r="L970" s="8" t="s">
        <v>1304</v>
      </c>
      <c r="M970" s="18" t="s">
        <v>2554</v>
      </c>
      <c r="N970" s="16">
        <v>64.0</v>
      </c>
      <c r="O970" s="18" t="s">
        <v>4898</v>
      </c>
      <c r="P970" s="8" t="s">
        <v>70</v>
      </c>
      <c r="Q970" s="14" t="s">
        <v>1070</v>
      </c>
      <c r="R970" s="8" t="s">
        <v>2603</v>
      </c>
      <c r="S970" s="14" t="s">
        <v>2553</v>
      </c>
    </row>
    <row r="971">
      <c r="A971" s="8" t="s">
        <v>360</v>
      </c>
      <c r="B971" s="8" t="s">
        <v>1410</v>
      </c>
      <c r="C971" s="8" t="s">
        <v>149</v>
      </c>
      <c r="D971" s="18" t="s">
        <v>2621</v>
      </c>
      <c r="E971" s="16">
        <v>79.0</v>
      </c>
      <c r="F971" s="18" t="s">
        <v>440</v>
      </c>
      <c r="G971" s="8" t="s">
        <v>439</v>
      </c>
      <c r="H971" s="8" t="s">
        <v>75</v>
      </c>
      <c r="I971" s="18" t="s">
        <v>2592</v>
      </c>
      <c r="J971" s="16">
        <v>77.0</v>
      </c>
      <c r="K971" s="8" t="s">
        <v>299</v>
      </c>
      <c r="L971" s="8" t="s">
        <v>164</v>
      </c>
      <c r="M971" s="18" t="s">
        <v>2598</v>
      </c>
      <c r="N971" s="16">
        <v>80.0</v>
      </c>
      <c r="O971" s="18" t="s">
        <v>4899</v>
      </c>
      <c r="P971" s="8" t="s">
        <v>65</v>
      </c>
      <c r="Q971" s="14" t="s">
        <v>2296</v>
      </c>
      <c r="R971" s="8" t="s">
        <v>2564</v>
      </c>
      <c r="S971" s="14" t="s">
        <v>2602</v>
      </c>
    </row>
    <row r="972">
      <c r="A972" s="8" t="s">
        <v>360</v>
      </c>
      <c r="B972" s="8" t="s">
        <v>359</v>
      </c>
      <c r="C972" s="8" t="s">
        <v>122</v>
      </c>
      <c r="D972" s="18" t="s">
        <v>2614</v>
      </c>
      <c r="E972" s="16">
        <v>64.0</v>
      </c>
      <c r="F972" s="18" t="s">
        <v>1490</v>
      </c>
      <c r="G972" s="8" t="s">
        <v>3090</v>
      </c>
      <c r="H972" s="8" t="s">
        <v>59</v>
      </c>
      <c r="I972" s="18" t="s">
        <v>2566</v>
      </c>
      <c r="J972" s="16">
        <v>73.0</v>
      </c>
      <c r="K972" s="8" t="s">
        <v>1176</v>
      </c>
      <c r="L972" s="8" t="s">
        <v>700</v>
      </c>
      <c r="M972" s="18" t="s">
        <v>2581</v>
      </c>
      <c r="N972" s="16">
        <v>72.0</v>
      </c>
      <c r="O972" s="18" t="s">
        <v>4900</v>
      </c>
      <c r="P972" s="8" t="s">
        <v>24</v>
      </c>
      <c r="Q972" s="14" t="s">
        <v>135</v>
      </c>
      <c r="R972" s="8" t="s">
        <v>2574</v>
      </c>
      <c r="S972" s="14" t="s">
        <v>2624</v>
      </c>
    </row>
    <row r="973">
      <c r="A973" s="8" t="s">
        <v>360</v>
      </c>
      <c r="B973" s="8" t="s">
        <v>509</v>
      </c>
      <c r="C973" s="8" t="s">
        <v>24</v>
      </c>
      <c r="D973" s="18" t="s">
        <v>2567</v>
      </c>
      <c r="E973" s="16">
        <v>72.0</v>
      </c>
      <c r="F973" s="8" t="s">
        <v>4867</v>
      </c>
      <c r="G973" s="8" t="s">
        <v>260</v>
      </c>
      <c r="H973" s="8" t="s">
        <v>149</v>
      </c>
      <c r="I973" s="18" t="s">
        <v>2581</v>
      </c>
      <c r="J973" s="16">
        <v>78.0</v>
      </c>
      <c r="K973" s="8" t="s">
        <v>1488</v>
      </c>
      <c r="L973" s="8" t="s">
        <v>389</v>
      </c>
      <c r="M973" s="18" t="s">
        <v>2552</v>
      </c>
      <c r="N973" s="16">
        <v>71.0</v>
      </c>
      <c r="O973" s="18" t="s">
        <v>4901</v>
      </c>
      <c r="P973" s="8" t="s">
        <v>65</v>
      </c>
      <c r="Q973" s="14" t="s">
        <v>1070</v>
      </c>
      <c r="R973" s="8" t="s">
        <v>2560</v>
      </c>
      <c r="S973" s="14" t="s">
        <v>2576</v>
      </c>
    </row>
    <row r="974">
      <c r="A974" s="8" t="s">
        <v>360</v>
      </c>
      <c r="B974" s="8" t="s">
        <v>2944</v>
      </c>
      <c r="C974" s="8" t="s">
        <v>75</v>
      </c>
      <c r="D974" s="18" t="s">
        <v>2567</v>
      </c>
      <c r="E974" s="16">
        <v>85.0</v>
      </c>
      <c r="F974" s="8" t="s">
        <v>429</v>
      </c>
      <c r="G974" s="8" t="s">
        <v>428</v>
      </c>
      <c r="H974" s="8" t="s">
        <v>53</v>
      </c>
      <c r="I974" s="18" t="s">
        <v>2567</v>
      </c>
      <c r="J974" s="16">
        <v>79.0</v>
      </c>
      <c r="K974" s="8" t="s">
        <v>1488</v>
      </c>
      <c r="L974" s="8" t="s">
        <v>1031</v>
      </c>
      <c r="M974" s="18" t="s">
        <v>2575</v>
      </c>
      <c r="N974" s="16">
        <v>71.0</v>
      </c>
      <c r="O974" s="18" t="s">
        <v>4902</v>
      </c>
      <c r="P974" s="8" t="s">
        <v>65</v>
      </c>
      <c r="Q974" s="14" t="s">
        <v>837</v>
      </c>
      <c r="R974" s="18" t="s">
        <v>2556</v>
      </c>
      <c r="S974" s="14" t="s">
        <v>2591</v>
      </c>
    </row>
    <row r="975">
      <c r="A975" s="8" t="s">
        <v>1479</v>
      </c>
      <c r="B975" s="8" t="s">
        <v>3636</v>
      </c>
      <c r="C975" s="8" t="s">
        <v>141</v>
      </c>
      <c r="D975" s="18" t="s">
        <v>2558</v>
      </c>
      <c r="E975" s="16">
        <v>58.0</v>
      </c>
      <c r="F975" s="8" t="s">
        <v>3401</v>
      </c>
      <c r="G975" s="8" t="s">
        <v>1579</v>
      </c>
      <c r="H975" s="8" t="s">
        <v>93</v>
      </c>
      <c r="I975" s="18" t="s">
        <v>2552</v>
      </c>
      <c r="J975" s="16">
        <v>65.0</v>
      </c>
      <c r="K975" s="8" t="s">
        <v>1128</v>
      </c>
      <c r="L975" s="8" t="s">
        <v>1952</v>
      </c>
      <c r="M975" s="18" t="s">
        <v>2554</v>
      </c>
      <c r="N975" s="16">
        <v>70.0</v>
      </c>
      <c r="O975" s="18" t="s">
        <v>4903</v>
      </c>
      <c r="P975" s="8" t="s">
        <v>138</v>
      </c>
      <c r="Q975" s="14" t="s">
        <v>338</v>
      </c>
      <c r="R975" s="8" t="s">
        <v>2562</v>
      </c>
      <c r="S975" s="14" t="s">
        <v>2619</v>
      </c>
    </row>
    <row r="976">
      <c r="A976" s="8" t="s">
        <v>1479</v>
      </c>
      <c r="B976" s="8" t="s">
        <v>3831</v>
      </c>
      <c r="C976" s="8" t="s">
        <v>38</v>
      </c>
      <c r="D976" s="18" t="s">
        <v>2592</v>
      </c>
      <c r="E976" s="16">
        <v>78.0</v>
      </c>
      <c r="F976" s="8" t="s">
        <v>2214</v>
      </c>
      <c r="G976" s="8" t="s">
        <v>2213</v>
      </c>
      <c r="H976" s="8" t="s">
        <v>192</v>
      </c>
      <c r="I976" s="18" t="s">
        <v>2615</v>
      </c>
      <c r="J976" s="16">
        <v>76.0</v>
      </c>
      <c r="K976" s="8" t="s">
        <v>1128</v>
      </c>
      <c r="L976" s="8" t="s">
        <v>315</v>
      </c>
      <c r="M976" s="18" t="s">
        <v>2556</v>
      </c>
      <c r="N976" s="16">
        <v>73.0</v>
      </c>
      <c r="O976" s="18" t="s">
        <v>4904</v>
      </c>
      <c r="P976" s="8" t="s">
        <v>192</v>
      </c>
      <c r="Q976" s="14" t="s">
        <v>631</v>
      </c>
      <c r="R976" s="8" t="s">
        <v>2598</v>
      </c>
      <c r="S976" s="14" t="s">
        <v>2622</v>
      </c>
    </row>
    <row r="977">
      <c r="A977" s="8" t="s">
        <v>1479</v>
      </c>
      <c r="B977" s="8" t="s">
        <v>3865</v>
      </c>
      <c r="C977" s="8" t="s">
        <v>24</v>
      </c>
      <c r="D977" s="18" t="s">
        <v>2598</v>
      </c>
      <c r="E977" s="16">
        <v>79.0</v>
      </c>
      <c r="F977" s="8" t="s">
        <v>2425</v>
      </c>
      <c r="G977" s="8" t="s">
        <v>2656</v>
      </c>
      <c r="H977" s="8" t="s">
        <v>24</v>
      </c>
      <c r="I977" s="18" t="s">
        <v>2621</v>
      </c>
      <c r="J977" s="16">
        <v>75.0</v>
      </c>
      <c r="K977" s="8" t="s">
        <v>1128</v>
      </c>
      <c r="L977" s="8" t="s">
        <v>2960</v>
      </c>
      <c r="M977" s="18" t="s">
        <v>2584</v>
      </c>
      <c r="N977" s="16">
        <v>70.0</v>
      </c>
      <c r="O977" s="18" t="s">
        <v>4905</v>
      </c>
      <c r="P977" s="8" t="s">
        <v>75</v>
      </c>
      <c r="Q977" s="14" t="s">
        <v>338</v>
      </c>
      <c r="R977" s="18" t="s">
        <v>2589</v>
      </c>
      <c r="S977" s="14" t="s">
        <v>2565</v>
      </c>
    </row>
    <row r="978">
      <c r="A978" s="8" t="s">
        <v>1103</v>
      </c>
      <c r="B978" s="8" t="s">
        <v>1102</v>
      </c>
      <c r="C978" s="8" t="s">
        <v>16</v>
      </c>
      <c r="D978" s="18" t="s">
        <v>2600</v>
      </c>
      <c r="E978" s="16">
        <v>70.0</v>
      </c>
      <c r="F978" s="8" t="s">
        <v>2425</v>
      </c>
      <c r="G978" s="8" t="s">
        <v>3175</v>
      </c>
      <c r="H978" s="8" t="s">
        <v>65</v>
      </c>
      <c r="I978" s="18" t="s">
        <v>2554</v>
      </c>
      <c r="J978" s="16">
        <v>64.0</v>
      </c>
      <c r="K978" s="8" t="s">
        <v>1128</v>
      </c>
      <c r="L978" s="8" t="s">
        <v>762</v>
      </c>
      <c r="M978" s="18" t="s">
        <v>2564</v>
      </c>
      <c r="N978" s="16">
        <v>81.0</v>
      </c>
      <c r="O978" s="18" t="s">
        <v>4906</v>
      </c>
      <c r="P978" s="8" t="s">
        <v>16</v>
      </c>
      <c r="Q978" s="14" t="s">
        <v>1679</v>
      </c>
      <c r="R978" s="8" t="s">
        <v>2595</v>
      </c>
      <c r="S978" s="14" t="s">
        <v>2569</v>
      </c>
    </row>
    <row r="979">
      <c r="A979" s="8" t="s">
        <v>1103</v>
      </c>
      <c r="B979" s="8" t="s">
        <v>517</v>
      </c>
      <c r="C979" s="8" t="s">
        <v>93</v>
      </c>
      <c r="D979" s="18" t="s">
        <v>2605</v>
      </c>
      <c r="E979" s="16">
        <v>62.0</v>
      </c>
      <c r="F979" s="8" t="s">
        <v>360</v>
      </c>
      <c r="G979" s="8" t="s">
        <v>359</v>
      </c>
      <c r="H979" s="8" t="s">
        <v>215</v>
      </c>
      <c r="I979" s="18" t="s">
        <v>2598</v>
      </c>
      <c r="J979" s="16">
        <v>69.0</v>
      </c>
      <c r="K979" s="8" t="s">
        <v>1128</v>
      </c>
      <c r="L979" s="18" t="s">
        <v>1873</v>
      </c>
      <c r="M979" s="18" t="s">
        <v>2584</v>
      </c>
      <c r="N979" s="16">
        <v>89.0</v>
      </c>
      <c r="O979" s="18" t="s">
        <v>4907</v>
      </c>
      <c r="P979" s="8" t="s">
        <v>192</v>
      </c>
      <c r="Q979" s="14" t="s">
        <v>2033</v>
      </c>
      <c r="R979" s="8" t="s">
        <v>2595</v>
      </c>
      <c r="S979" s="14" t="s">
        <v>2609</v>
      </c>
    </row>
    <row r="980">
      <c r="A980" s="8" t="s">
        <v>3836</v>
      </c>
      <c r="B980" s="8" t="s">
        <v>1614</v>
      </c>
      <c r="C980" s="8" t="s">
        <v>93</v>
      </c>
      <c r="D980" s="18" t="s">
        <v>2564</v>
      </c>
      <c r="E980" s="16">
        <v>64.0</v>
      </c>
      <c r="F980" s="8" t="s">
        <v>360</v>
      </c>
      <c r="G980" s="8" t="s">
        <v>3094</v>
      </c>
      <c r="H980" s="8" t="s">
        <v>192</v>
      </c>
      <c r="I980" s="18" t="s">
        <v>2552</v>
      </c>
      <c r="J980" s="16">
        <v>63.0</v>
      </c>
      <c r="K980" s="8" t="s">
        <v>1128</v>
      </c>
      <c r="L980" s="18" t="s">
        <v>1873</v>
      </c>
      <c r="M980" s="18" t="s">
        <v>2584</v>
      </c>
      <c r="N980" s="16">
        <v>92.0</v>
      </c>
      <c r="O980" s="18" t="s">
        <v>4908</v>
      </c>
      <c r="P980" s="8" t="s">
        <v>53</v>
      </c>
      <c r="Q980" s="14" t="s">
        <v>1352</v>
      </c>
      <c r="R980" s="8" t="s">
        <v>2577</v>
      </c>
      <c r="S980" s="14" t="s">
        <v>2609</v>
      </c>
    </row>
    <row r="981">
      <c r="A981" s="8" t="s">
        <v>3756</v>
      </c>
      <c r="B981" s="8" t="s">
        <v>3755</v>
      </c>
      <c r="C981" s="8" t="s">
        <v>141</v>
      </c>
      <c r="D981" s="18" t="s">
        <v>2581</v>
      </c>
      <c r="E981" s="16">
        <v>70.0</v>
      </c>
      <c r="F981" s="8" t="s">
        <v>360</v>
      </c>
      <c r="G981" s="8" t="s">
        <v>509</v>
      </c>
      <c r="H981" s="8" t="s">
        <v>24</v>
      </c>
      <c r="I981" s="18" t="s">
        <v>2567</v>
      </c>
      <c r="J981" s="16">
        <v>79.0</v>
      </c>
      <c r="K981" s="8" t="s">
        <v>2790</v>
      </c>
      <c r="L981" s="8" t="s">
        <v>685</v>
      </c>
      <c r="M981" s="18" t="s">
        <v>2603</v>
      </c>
      <c r="N981" s="16">
        <v>71.0</v>
      </c>
      <c r="O981" s="8" t="s">
        <v>4909</v>
      </c>
      <c r="P981" s="8" t="s">
        <v>149</v>
      </c>
      <c r="Q981" s="14" t="s">
        <v>237</v>
      </c>
      <c r="R981" s="8" t="s">
        <v>2567</v>
      </c>
      <c r="S981" s="14" t="s">
        <v>2609</v>
      </c>
    </row>
    <row r="982">
      <c r="A982" s="8" t="s">
        <v>3439</v>
      </c>
      <c r="B982" s="8" t="s">
        <v>99</v>
      </c>
      <c r="C982" s="8" t="s">
        <v>138</v>
      </c>
      <c r="D982" s="18" t="s">
        <v>2592</v>
      </c>
      <c r="E982" s="16">
        <v>74.0</v>
      </c>
      <c r="F982" s="8" t="s">
        <v>360</v>
      </c>
      <c r="G982" s="8" t="s">
        <v>460</v>
      </c>
      <c r="H982" s="8" t="s">
        <v>141</v>
      </c>
      <c r="I982" s="18" t="s">
        <v>2595</v>
      </c>
      <c r="J982" s="16">
        <v>59.0</v>
      </c>
      <c r="K982" s="8" t="s">
        <v>2134</v>
      </c>
      <c r="L982" s="8" t="s">
        <v>276</v>
      </c>
      <c r="M982" s="18" t="s">
        <v>2552</v>
      </c>
      <c r="N982" s="16">
        <v>71.0</v>
      </c>
      <c r="O982" s="8" t="s">
        <v>4910</v>
      </c>
      <c r="P982" s="8" t="s">
        <v>65</v>
      </c>
      <c r="Q982" s="14" t="s">
        <v>1679</v>
      </c>
      <c r="R982" s="8" t="s">
        <v>2558</v>
      </c>
      <c r="S982" s="14" t="s">
        <v>2568</v>
      </c>
    </row>
    <row r="983">
      <c r="A983" s="8" t="s">
        <v>3024</v>
      </c>
      <c r="B983" s="8" t="s">
        <v>97</v>
      </c>
      <c r="C983" s="8" t="s">
        <v>70</v>
      </c>
      <c r="D983" s="18" t="s">
        <v>2605</v>
      </c>
      <c r="E983" s="16">
        <v>75.0</v>
      </c>
      <c r="F983" s="8" t="s">
        <v>360</v>
      </c>
      <c r="G983" s="8" t="s">
        <v>1410</v>
      </c>
      <c r="H983" s="8" t="s">
        <v>149</v>
      </c>
      <c r="I983" s="18" t="s">
        <v>2621</v>
      </c>
      <c r="J983" s="16">
        <v>86.0</v>
      </c>
      <c r="K983" s="8" t="s">
        <v>2021</v>
      </c>
      <c r="L983" s="8" t="s">
        <v>357</v>
      </c>
      <c r="M983" s="18" t="s">
        <v>2645</v>
      </c>
      <c r="N983" s="16">
        <v>61.0</v>
      </c>
      <c r="O983" s="8" t="s">
        <v>4911</v>
      </c>
      <c r="P983" s="8" t="s">
        <v>186</v>
      </c>
      <c r="Q983" s="14" t="s">
        <v>2033</v>
      </c>
      <c r="R983" s="8" t="s">
        <v>2600</v>
      </c>
      <c r="S983" s="14" t="s">
        <v>2553</v>
      </c>
    </row>
    <row r="984">
      <c r="A984" s="8" t="s">
        <v>1124</v>
      </c>
      <c r="B984" s="8" t="s">
        <v>1123</v>
      </c>
      <c r="C984" s="8" t="s">
        <v>59</v>
      </c>
      <c r="D984" s="18" t="s">
        <v>2562</v>
      </c>
      <c r="E984" s="16">
        <v>83.0</v>
      </c>
      <c r="F984" s="8" t="s">
        <v>360</v>
      </c>
      <c r="G984" s="8" t="s">
        <v>2944</v>
      </c>
      <c r="H984" s="8" t="s">
        <v>75</v>
      </c>
      <c r="I984" s="18" t="s">
        <v>2567</v>
      </c>
      <c r="J984" s="16">
        <v>82.0</v>
      </c>
      <c r="K984" s="8" t="s">
        <v>2021</v>
      </c>
      <c r="L984" s="8" t="s">
        <v>78</v>
      </c>
      <c r="M984" s="18" t="s">
        <v>2558</v>
      </c>
      <c r="N984" s="16">
        <v>78.0</v>
      </c>
      <c r="O984" s="8" t="s">
        <v>4912</v>
      </c>
      <c r="P984" s="8" t="s">
        <v>149</v>
      </c>
      <c r="Q984" s="14" t="s">
        <v>837</v>
      </c>
      <c r="R984" s="8" t="s">
        <v>2620</v>
      </c>
      <c r="S984" s="14" t="s">
        <v>2586</v>
      </c>
    </row>
    <row r="985">
      <c r="A985" s="8" t="s">
        <v>1630</v>
      </c>
      <c r="B985" s="8" t="s">
        <v>1629</v>
      </c>
      <c r="C985" s="8" t="s">
        <v>65</v>
      </c>
      <c r="D985" s="18" t="s">
        <v>2562</v>
      </c>
      <c r="E985" s="16">
        <v>73.0</v>
      </c>
      <c r="F985" s="8" t="s">
        <v>1103</v>
      </c>
      <c r="G985" s="8" t="s">
        <v>1102</v>
      </c>
      <c r="H985" s="8" t="s">
        <v>16</v>
      </c>
      <c r="I985" s="18" t="s">
        <v>2600</v>
      </c>
      <c r="J985" s="16">
        <v>72.0</v>
      </c>
      <c r="K985" s="8" t="s">
        <v>2021</v>
      </c>
      <c r="L985" s="8" t="s">
        <v>284</v>
      </c>
      <c r="M985" s="18" t="s">
        <v>2574</v>
      </c>
      <c r="N985" s="16">
        <v>62.0</v>
      </c>
      <c r="O985" s="8" t="s">
        <v>4913</v>
      </c>
      <c r="P985" s="8" t="s">
        <v>138</v>
      </c>
      <c r="Q985" s="14" t="s">
        <v>338</v>
      </c>
      <c r="R985" s="8" t="s">
        <v>2567</v>
      </c>
      <c r="S985" s="14" t="s">
        <v>2588</v>
      </c>
    </row>
    <row r="986">
      <c r="A986" s="8" t="s">
        <v>3411</v>
      </c>
      <c r="B986" s="8" t="s">
        <v>1012</v>
      </c>
      <c r="C986" s="8" t="s">
        <v>149</v>
      </c>
      <c r="D986" s="18" t="s">
        <v>2183</v>
      </c>
      <c r="E986" s="16">
        <v>72.0</v>
      </c>
      <c r="F986" s="8" t="s">
        <v>3439</v>
      </c>
      <c r="G986" s="8" t="s">
        <v>99</v>
      </c>
      <c r="H986" s="8" t="s">
        <v>138</v>
      </c>
      <c r="I986" s="18" t="s">
        <v>2592</v>
      </c>
      <c r="J986" s="16">
        <v>72.0</v>
      </c>
      <c r="K986" s="8" t="s">
        <v>1402</v>
      </c>
      <c r="L986" s="8" t="s">
        <v>248</v>
      </c>
      <c r="M986" s="18" t="s">
        <v>2620</v>
      </c>
      <c r="N986" s="16">
        <v>66.0</v>
      </c>
      <c r="O986" s="8" t="s">
        <v>4914</v>
      </c>
      <c r="P986" s="8" t="s">
        <v>192</v>
      </c>
      <c r="Q986" s="14" t="s">
        <v>2033</v>
      </c>
      <c r="R986" s="8" t="s">
        <v>2566</v>
      </c>
      <c r="S986" s="14" t="s">
        <v>2611</v>
      </c>
    </row>
    <row r="987">
      <c r="A987" s="8" t="s">
        <v>458</v>
      </c>
      <c r="B987" s="8" t="s">
        <v>457</v>
      </c>
      <c r="C987" s="8" t="s">
        <v>192</v>
      </c>
      <c r="D987" s="18" t="s">
        <v>2572</v>
      </c>
      <c r="E987" s="16">
        <v>74.0</v>
      </c>
      <c r="F987" s="8" t="s">
        <v>3024</v>
      </c>
      <c r="G987" s="8" t="s">
        <v>97</v>
      </c>
      <c r="H987" s="8" t="s">
        <v>70</v>
      </c>
      <c r="I987" s="18" t="s">
        <v>2592</v>
      </c>
      <c r="J987" s="16">
        <v>78.0</v>
      </c>
      <c r="K987" s="8" t="s">
        <v>1402</v>
      </c>
      <c r="L987" s="8" t="s">
        <v>835</v>
      </c>
      <c r="M987" s="18" t="s">
        <v>2560</v>
      </c>
      <c r="N987" s="16">
        <v>81.0</v>
      </c>
      <c r="O987" s="8" t="s">
        <v>4915</v>
      </c>
      <c r="P987" s="8" t="s">
        <v>24</v>
      </c>
      <c r="Q987" s="14" t="s">
        <v>2296</v>
      </c>
      <c r="R987" s="8" t="s">
        <v>2558</v>
      </c>
      <c r="S987" s="14" t="s">
        <v>2565</v>
      </c>
    </row>
    <row r="988">
      <c r="A988" s="8" t="s">
        <v>3576</v>
      </c>
      <c r="B988" s="8" t="s">
        <v>1112</v>
      </c>
      <c r="C988" s="8" t="s">
        <v>80</v>
      </c>
      <c r="D988" s="18" t="s">
        <v>2595</v>
      </c>
      <c r="E988" s="16">
        <v>83.0</v>
      </c>
      <c r="F988" s="8" t="s">
        <v>3321</v>
      </c>
      <c r="G988" s="8" t="s">
        <v>389</v>
      </c>
      <c r="H988" s="8" t="s">
        <v>80</v>
      </c>
      <c r="I988" s="18" t="s">
        <v>2566</v>
      </c>
      <c r="J988" s="16">
        <v>58.0</v>
      </c>
      <c r="K988" s="8" t="s">
        <v>1402</v>
      </c>
      <c r="L988" s="8" t="s">
        <v>1682</v>
      </c>
      <c r="M988" s="18" t="s">
        <v>2554</v>
      </c>
      <c r="N988" s="16">
        <v>71.0</v>
      </c>
      <c r="O988" s="8" t="s">
        <v>4916</v>
      </c>
      <c r="P988" s="8" t="s">
        <v>59</v>
      </c>
      <c r="Q988" s="14" t="s">
        <v>2296</v>
      </c>
      <c r="R988" s="8" t="s">
        <v>2560</v>
      </c>
      <c r="S988" s="14" t="s">
        <v>2565</v>
      </c>
    </row>
    <row r="989">
      <c r="A989" s="8" t="s">
        <v>299</v>
      </c>
      <c r="B989" s="8" t="s">
        <v>1099</v>
      </c>
      <c r="C989" s="8" t="s">
        <v>141</v>
      </c>
      <c r="D989" s="18" t="s">
        <v>2614</v>
      </c>
      <c r="E989" s="16">
        <v>60.0</v>
      </c>
      <c r="F989" s="8" t="s">
        <v>1124</v>
      </c>
      <c r="G989" s="8" t="s">
        <v>1123</v>
      </c>
      <c r="H989" s="8" t="s">
        <v>53</v>
      </c>
      <c r="I989" s="18" t="s">
        <v>2562</v>
      </c>
      <c r="J989" s="16">
        <v>86.0</v>
      </c>
      <c r="K989" s="8" t="s">
        <v>810</v>
      </c>
      <c r="L989" s="8" t="s">
        <v>441</v>
      </c>
      <c r="M989" s="18" t="s">
        <v>2589</v>
      </c>
      <c r="N989" s="16">
        <v>79.0</v>
      </c>
      <c r="O989" s="8" t="s">
        <v>4917</v>
      </c>
      <c r="P989" s="8" t="s">
        <v>186</v>
      </c>
      <c r="Q989" s="14" t="s">
        <v>2033</v>
      </c>
      <c r="R989" s="8" t="s">
        <v>2592</v>
      </c>
      <c r="S989" s="14" t="s">
        <v>2576</v>
      </c>
    </row>
    <row r="990">
      <c r="A990" s="8" t="s">
        <v>299</v>
      </c>
      <c r="B990" s="8" t="s">
        <v>3593</v>
      </c>
      <c r="C990" s="8" t="s">
        <v>16</v>
      </c>
      <c r="D990" s="18" t="s">
        <v>2589</v>
      </c>
      <c r="E990" s="16">
        <v>62.0</v>
      </c>
      <c r="F990" s="8" t="s">
        <v>1630</v>
      </c>
      <c r="G990" s="8" t="s">
        <v>1629</v>
      </c>
      <c r="H990" s="8" t="s">
        <v>65</v>
      </c>
      <c r="I990" s="18" t="s">
        <v>2562</v>
      </c>
      <c r="J990" s="16">
        <v>73.0</v>
      </c>
      <c r="K990" s="8" t="s">
        <v>2160</v>
      </c>
      <c r="L990" s="8" t="s">
        <v>284</v>
      </c>
      <c r="M990" s="18" t="s">
        <v>2603</v>
      </c>
      <c r="N990" s="16">
        <v>68.0</v>
      </c>
      <c r="O990" s="8" t="s">
        <v>4918</v>
      </c>
      <c r="P990" s="8" t="s">
        <v>149</v>
      </c>
      <c r="Q990" s="14" t="s">
        <v>1352</v>
      </c>
      <c r="R990" s="8" t="s">
        <v>2621</v>
      </c>
      <c r="S990" s="14" t="s">
        <v>2586</v>
      </c>
    </row>
    <row r="991">
      <c r="A991" s="8" t="s">
        <v>299</v>
      </c>
      <c r="B991" s="8" t="s">
        <v>681</v>
      </c>
      <c r="C991" s="8" t="s">
        <v>149</v>
      </c>
      <c r="D991" s="18" t="s">
        <v>2610</v>
      </c>
      <c r="E991" s="16">
        <v>77.0</v>
      </c>
      <c r="F991" s="8" t="s">
        <v>3411</v>
      </c>
      <c r="G991" s="8" t="s">
        <v>1012</v>
      </c>
      <c r="H991" s="8" t="s">
        <v>149</v>
      </c>
      <c r="I991" s="18" t="s">
        <v>2183</v>
      </c>
      <c r="J991" s="16">
        <v>73.0</v>
      </c>
      <c r="K991" s="8" t="s">
        <v>1026</v>
      </c>
      <c r="L991" s="8" t="s">
        <v>1025</v>
      </c>
      <c r="M991" s="18" t="s">
        <v>2614</v>
      </c>
      <c r="N991" s="16">
        <v>62.0</v>
      </c>
      <c r="O991" s="8" t="s">
        <v>4919</v>
      </c>
      <c r="P991" s="8" t="s">
        <v>122</v>
      </c>
      <c r="Q991" s="14" t="s">
        <v>338</v>
      </c>
      <c r="R991" s="8" t="s">
        <v>2598</v>
      </c>
      <c r="S991" s="14" t="s">
        <v>2591</v>
      </c>
    </row>
    <row r="992">
      <c r="A992" s="8" t="s">
        <v>299</v>
      </c>
      <c r="B992" s="8" t="s">
        <v>3678</v>
      </c>
      <c r="C992" s="8" t="s">
        <v>16</v>
      </c>
      <c r="D992" s="18" t="s">
        <v>2603</v>
      </c>
      <c r="E992" s="16">
        <v>62.0</v>
      </c>
      <c r="F992" s="8" t="s">
        <v>458</v>
      </c>
      <c r="G992" s="8" t="s">
        <v>457</v>
      </c>
      <c r="H992" s="8" t="s">
        <v>192</v>
      </c>
      <c r="I992" s="18" t="s">
        <v>2572</v>
      </c>
      <c r="J992" s="16">
        <v>83.0</v>
      </c>
      <c r="K992" s="8" t="s">
        <v>1670</v>
      </c>
      <c r="L992" s="8" t="s">
        <v>1669</v>
      </c>
      <c r="M992" s="18" t="s">
        <v>2592</v>
      </c>
      <c r="N992" s="16">
        <v>80.0</v>
      </c>
      <c r="O992" s="8" t="s">
        <v>4920</v>
      </c>
      <c r="P992" s="8" t="s">
        <v>24</v>
      </c>
      <c r="Q992" s="14" t="s">
        <v>459</v>
      </c>
      <c r="R992" s="8" t="s">
        <v>2567</v>
      </c>
      <c r="S992" s="14" t="s">
        <v>2625</v>
      </c>
    </row>
    <row r="993">
      <c r="A993" s="8" t="s">
        <v>299</v>
      </c>
      <c r="B993" s="8" t="s">
        <v>2890</v>
      </c>
      <c r="C993" s="8" t="s">
        <v>65</v>
      </c>
      <c r="D993" s="18" t="s">
        <v>2595</v>
      </c>
      <c r="E993" s="16">
        <v>61.0</v>
      </c>
      <c r="F993" s="8" t="s">
        <v>2786</v>
      </c>
      <c r="G993" s="8" t="s">
        <v>1164</v>
      </c>
      <c r="H993" s="8" t="s">
        <v>132</v>
      </c>
      <c r="I993" s="18" t="s">
        <v>2558</v>
      </c>
      <c r="J993" s="16">
        <v>76.0</v>
      </c>
      <c r="K993" s="8" t="s">
        <v>260</v>
      </c>
      <c r="L993" s="8" t="s">
        <v>1055</v>
      </c>
      <c r="M993" s="18" t="s">
        <v>2600</v>
      </c>
      <c r="N993" s="16">
        <v>78.0</v>
      </c>
      <c r="O993" s="8" t="s">
        <v>4921</v>
      </c>
      <c r="P993" s="8" t="s">
        <v>38</v>
      </c>
      <c r="Q993" s="14" t="s">
        <v>2033</v>
      </c>
      <c r="R993" s="8" t="s">
        <v>2183</v>
      </c>
      <c r="S993" s="14" t="s">
        <v>2579</v>
      </c>
    </row>
    <row r="994">
      <c r="A994" s="8" t="s">
        <v>299</v>
      </c>
      <c r="B994" s="8" t="s">
        <v>164</v>
      </c>
      <c r="C994" s="8" t="s">
        <v>46</v>
      </c>
      <c r="D994" s="18" t="s">
        <v>2598</v>
      </c>
      <c r="E994" s="16">
        <v>80.0</v>
      </c>
      <c r="F994" s="8" t="s">
        <v>299</v>
      </c>
      <c r="G994" s="8" t="s">
        <v>97</v>
      </c>
      <c r="H994" s="8" t="s">
        <v>46</v>
      </c>
      <c r="I994" s="18" t="s">
        <v>2577</v>
      </c>
      <c r="J994" s="16">
        <v>65.0</v>
      </c>
      <c r="K994" s="8" t="s">
        <v>260</v>
      </c>
      <c r="L994" s="8" t="s">
        <v>663</v>
      </c>
      <c r="M994" s="18" t="s">
        <v>2556</v>
      </c>
      <c r="N994" s="16">
        <v>75.0</v>
      </c>
      <c r="O994" s="8" t="s">
        <v>4922</v>
      </c>
      <c r="P994" s="8" t="s">
        <v>46</v>
      </c>
      <c r="Q994" s="14" t="s">
        <v>1679</v>
      </c>
      <c r="R994" s="8" t="s">
        <v>2567</v>
      </c>
      <c r="S994" s="14" t="s">
        <v>2617</v>
      </c>
    </row>
    <row r="995">
      <c r="A995" s="8" t="s">
        <v>299</v>
      </c>
      <c r="B995" s="8" t="s">
        <v>298</v>
      </c>
      <c r="C995" s="8" t="s">
        <v>24</v>
      </c>
      <c r="D995" s="18" t="s">
        <v>2593</v>
      </c>
      <c r="E995" s="16">
        <v>44.0</v>
      </c>
      <c r="F995" s="8" t="s">
        <v>299</v>
      </c>
      <c r="G995" s="8" t="s">
        <v>1728</v>
      </c>
      <c r="H995" s="8" t="s">
        <v>24</v>
      </c>
      <c r="I995" s="18" t="s">
        <v>2620</v>
      </c>
      <c r="J995" s="16">
        <v>74.0</v>
      </c>
      <c r="K995" s="8" t="s">
        <v>260</v>
      </c>
      <c r="L995" s="8" t="s">
        <v>4923</v>
      </c>
      <c r="M995" s="18" t="s">
        <v>2584</v>
      </c>
      <c r="N995" s="16">
        <v>72.0</v>
      </c>
      <c r="O995" s="8" t="s">
        <v>4924</v>
      </c>
      <c r="P995" s="8" t="s">
        <v>24</v>
      </c>
      <c r="Q995" s="14" t="s">
        <v>1352</v>
      </c>
      <c r="R995" s="8" t="s">
        <v>2603</v>
      </c>
      <c r="S995" s="14" t="s">
        <v>2573</v>
      </c>
    </row>
    <row r="996">
      <c r="A996" s="8" t="s">
        <v>299</v>
      </c>
      <c r="B996" s="8" t="s">
        <v>97</v>
      </c>
      <c r="C996" s="8" t="s">
        <v>46</v>
      </c>
      <c r="D996" s="18" t="s">
        <v>2566</v>
      </c>
      <c r="E996" s="16">
        <v>66.0</v>
      </c>
      <c r="F996" s="8" t="s">
        <v>299</v>
      </c>
      <c r="G996" s="8" t="s">
        <v>681</v>
      </c>
      <c r="H996" s="8" t="s">
        <v>46</v>
      </c>
      <c r="I996" s="18" t="s">
        <v>2610</v>
      </c>
      <c r="J996" s="16">
        <v>70.0</v>
      </c>
      <c r="K996" s="8" t="s">
        <v>260</v>
      </c>
      <c r="L996" s="8" t="s">
        <v>1932</v>
      </c>
      <c r="M996" s="18" t="s">
        <v>2572</v>
      </c>
      <c r="N996" s="16">
        <v>74.0</v>
      </c>
      <c r="O996" s="8" t="s">
        <v>4925</v>
      </c>
      <c r="P996" s="8" t="s">
        <v>138</v>
      </c>
      <c r="Q996" s="14" t="s">
        <v>2033</v>
      </c>
      <c r="R996" s="8" t="s">
        <v>2603</v>
      </c>
      <c r="S996" s="14" t="s">
        <v>2622</v>
      </c>
    </row>
    <row r="997">
      <c r="A997" s="8" t="s">
        <v>299</v>
      </c>
      <c r="B997" s="8" t="s">
        <v>1304</v>
      </c>
      <c r="C997" s="8" t="s">
        <v>16</v>
      </c>
      <c r="D997" s="18" t="s">
        <v>2554</v>
      </c>
      <c r="E997" s="16">
        <v>64.0</v>
      </c>
      <c r="F997" s="8" t="s">
        <v>299</v>
      </c>
      <c r="G997" s="8" t="s">
        <v>67</v>
      </c>
      <c r="H997" s="8" t="s">
        <v>186</v>
      </c>
      <c r="I997" s="18" t="s">
        <v>2558</v>
      </c>
      <c r="J997" s="16">
        <v>76.0</v>
      </c>
      <c r="K997" s="8" t="s">
        <v>260</v>
      </c>
      <c r="L997" s="8" t="s">
        <v>2708</v>
      </c>
      <c r="M997" s="18" t="s">
        <v>2615</v>
      </c>
      <c r="N997" s="16">
        <v>64.0</v>
      </c>
      <c r="O997" s="8" t="s">
        <v>4926</v>
      </c>
      <c r="P997" s="8" t="s">
        <v>122</v>
      </c>
      <c r="Q997" s="14" t="s">
        <v>2033</v>
      </c>
      <c r="R997" s="8" t="s">
        <v>2598</v>
      </c>
      <c r="S997" s="14" t="s">
        <v>2618</v>
      </c>
    </row>
    <row r="998">
      <c r="A998" s="8" t="s">
        <v>299</v>
      </c>
      <c r="B998" s="8" t="s">
        <v>67</v>
      </c>
      <c r="C998" s="8" t="s">
        <v>186</v>
      </c>
      <c r="D998" s="18" t="s">
        <v>2558</v>
      </c>
      <c r="E998" s="16">
        <v>70.0</v>
      </c>
      <c r="F998" s="8" t="s">
        <v>299</v>
      </c>
      <c r="G998" s="8" t="s">
        <v>897</v>
      </c>
      <c r="H998" s="8" t="s">
        <v>12</v>
      </c>
      <c r="I998" s="18" t="s">
        <v>2610</v>
      </c>
      <c r="J998" s="16">
        <v>75.0</v>
      </c>
      <c r="K998" s="8" t="s">
        <v>260</v>
      </c>
      <c r="L998" s="8" t="s">
        <v>1098</v>
      </c>
      <c r="M998" s="18" t="s">
        <v>2574</v>
      </c>
      <c r="N998" s="16">
        <v>77.0</v>
      </c>
      <c r="O998" s="8" t="s">
        <v>4927</v>
      </c>
      <c r="P998" s="8" t="s">
        <v>16</v>
      </c>
      <c r="Q998" s="14" t="s">
        <v>1070</v>
      </c>
      <c r="R998" s="8" t="s">
        <v>2567</v>
      </c>
      <c r="S998" s="14" t="s">
        <v>2573</v>
      </c>
    </row>
    <row r="999">
      <c r="A999" s="8" t="s">
        <v>1176</v>
      </c>
      <c r="B999" s="8" t="s">
        <v>700</v>
      </c>
      <c r="C999" s="8" t="s">
        <v>65</v>
      </c>
      <c r="D999" s="18" t="s">
        <v>2581</v>
      </c>
      <c r="E999" s="16">
        <v>66.0</v>
      </c>
      <c r="F999" s="8" t="s">
        <v>299</v>
      </c>
      <c r="G999" s="8" t="s">
        <v>1436</v>
      </c>
      <c r="H999" s="8" t="s">
        <v>141</v>
      </c>
      <c r="I999" s="18" t="s">
        <v>2593</v>
      </c>
      <c r="J999" s="16">
        <v>61.0</v>
      </c>
      <c r="K999" s="8" t="s">
        <v>260</v>
      </c>
      <c r="L999" s="8" t="s">
        <v>944</v>
      </c>
      <c r="M999" s="18" t="s">
        <v>2575</v>
      </c>
      <c r="N999" s="16">
        <v>74.0</v>
      </c>
      <c r="O999" s="8" t="s">
        <v>4928</v>
      </c>
      <c r="P999" s="8" t="s">
        <v>59</v>
      </c>
      <c r="Q999" s="14" t="s">
        <v>1070</v>
      </c>
      <c r="R999" s="8" t="s">
        <v>2562</v>
      </c>
      <c r="S999" s="14" t="s">
        <v>2559</v>
      </c>
    </row>
    <row r="1000">
      <c r="A1000" s="8" t="s">
        <v>1128</v>
      </c>
      <c r="B1000" s="8" t="s">
        <v>498</v>
      </c>
      <c r="C1000" s="8" t="s">
        <v>93</v>
      </c>
      <c r="D1000" s="18" t="s">
        <v>2598</v>
      </c>
      <c r="E1000" s="16">
        <v>71.0</v>
      </c>
      <c r="F1000" s="8" t="s">
        <v>299</v>
      </c>
      <c r="G1000" s="8" t="s">
        <v>2890</v>
      </c>
      <c r="H1000" s="8" t="s">
        <v>65</v>
      </c>
      <c r="I1000" s="18" t="s">
        <v>2595</v>
      </c>
      <c r="J1000" s="16">
        <v>61.0</v>
      </c>
      <c r="K1000" s="8" t="s">
        <v>260</v>
      </c>
      <c r="L1000" s="8" t="s">
        <v>356</v>
      </c>
      <c r="M1000" s="18" t="s">
        <v>2560</v>
      </c>
      <c r="N1000" s="16">
        <v>73.0</v>
      </c>
      <c r="O1000" s="8" t="s">
        <v>4929</v>
      </c>
      <c r="P1000" s="8" t="s">
        <v>65</v>
      </c>
      <c r="Q1000" s="14" t="s">
        <v>1352</v>
      </c>
      <c r="R1000" s="8" t="s">
        <v>2615</v>
      </c>
      <c r="S1000" s="14" t="s">
        <v>2573</v>
      </c>
    </row>
    <row r="1001">
      <c r="A1001" s="8" t="s">
        <v>1128</v>
      </c>
      <c r="B1001" s="8" t="s">
        <v>762</v>
      </c>
      <c r="C1001" s="8" t="s">
        <v>93</v>
      </c>
      <c r="D1001" s="18" t="s">
        <v>2564</v>
      </c>
      <c r="E1001" s="16">
        <v>63.0</v>
      </c>
      <c r="F1001" s="8" t="s">
        <v>299</v>
      </c>
      <c r="G1001" s="8" t="s">
        <v>298</v>
      </c>
      <c r="H1001" s="8" t="s">
        <v>24</v>
      </c>
      <c r="I1001" s="18" t="s">
        <v>2593</v>
      </c>
      <c r="J1001" s="16">
        <v>44.0</v>
      </c>
      <c r="K1001" s="8" t="s">
        <v>260</v>
      </c>
      <c r="L1001" s="8" t="s">
        <v>1744</v>
      </c>
      <c r="M1001" s="18" t="s">
        <v>2577</v>
      </c>
      <c r="N1001" s="16">
        <v>72.0</v>
      </c>
      <c r="O1001" s="8" t="s">
        <v>4930</v>
      </c>
      <c r="P1001" s="8" t="s">
        <v>186</v>
      </c>
      <c r="Q1001" s="14" t="s">
        <v>2296</v>
      </c>
      <c r="R1001" s="8" t="s">
        <v>2554</v>
      </c>
      <c r="S1001" s="14" t="s">
        <v>2557</v>
      </c>
    </row>
    <row r="1002">
      <c r="A1002" s="8" t="s">
        <v>1128</v>
      </c>
      <c r="B1002" s="18" t="s">
        <v>1873</v>
      </c>
      <c r="C1002" s="8" t="s">
        <v>93</v>
      </c>
      <c r="D1002" s="18" t="s">
        <v>2584</v>
      </c>
      <c r="E1002" s="16">
        <v>82.0</v>
      </c>
      <c r="F1002" s="8" t="s">
        <v>299</v>
      </c>
      <c r="G1002" s="8" t="s">
        <v>1304</v>
      </c>
      <c r="H1002" s="8" t="s">
        <v>16</v>
      </c>
      <c r="I1002" s="18" t="s">
        <v>2554</v>
      </c>
      <c r="J1002" s="16">
        <v>63.0</v>
      </c>
      <c r="K1002" s="8" t="s">
        <v>260</v>
      </c>
      <c r="L1002" s="8" t="s">
        <v>259</v>
      </c>
      <c r="M1002" s="18" t="s">
        <v>2600</v>
      </c>
      <c r="N1002" s="16">
        <v>83.0</v>
      </c>
      <c r="O1002" s="8" t="s">
        <v>4931</v>
      </c>
      <c r="P1002" s="8" t="s">
        <v>192</v>
      </c>
      <c r="Q1002" s="14" t="s">
        <v>459</v>
      </c>
      <c r="R1002" s="8" t="s">
        <v>2562</v>
      </c>
      <c r="S1002" s="14" t="s">
        <v>2571</v>
      </c>
    </row>
    <row r="1003">
      <c r="A1003" s="8" t="s">
        <v>3569</v>
      </c>
      <c r="B1003" s="8" t="s">
        <v>106</v>
      </c>
      <c r="C1003" s="8" t="s">
        <v>93</v>
      </c>
      <c r="D1003" s="18" t="s">
        <v>2567</v>
      </c>
      <c r="E1003" s="16">
        <v>67.0</v>
      </c>
      <c r="F1003" s="8" t="s">
        <v>299</v>
      </c>
      <c r="G1003" s="8" t="s">
        <v>1099</v>
      </c>
      <c r="H1003" s="8" t="s">
        <v>141</v>
      </c>
      <c r="I1003" s="18" t="s">
        <v>2581</v>
      </c>
      <c r="J1003" s="16">
        <v>60.0</v>
      </c>
      <c r="K1003" s="8" t="s">
        <v>260</v>
      </c>
      <c r="L1003" s="8" t="s">
        <v>361</v>
      </c>
      <c r="M1003" s="18" t="s">
        <v>2605</v>
      </c>
      <c r="N1003" s="16">
        <v>74.0</v>
      </c>
      <c r="O1003" s="8" t="s">
        <v>4932</v>
      </c>
      <c r="P1003" s="8" t="s">
        <v>93</v>
      </c>
      <c r="Q1003" s="14" t="s">
        <v>2296</v>
      </c>
      <c r="R1003" s="8" t="s">
        <v>2558</v>
      </c>
      <c r="S1003" s="14" t="s">
        <v>2578</v>
      </c>
    </row>
    <row r="1004">
      <c r="A1004" s="8" t="s">
        <v>2790</v>
      </c>
      <c r="B1004" s="8" t="s">
        <v>685</v>
      </c>
      <c r="C1004" s="8" t="s">
        <v>261</v>
      </c>
      <c r="D1004" s="18" t="s">
        <v>2621</v>
      </c>
      <c r="E1004" s="16">
        <v>88.0</v>
      </c>
      <c r="F1004" s="8" t="s">
        <v>299</v>
      </c>
      <c r="G1004" s="8" t="s">
        <v>164</v>
      </c>
      <c r="H1004" s="8" t="s">
        <v>46</v>
      </c>
      <c r="I1004" s="18" t="s">
        <v>2598</v>
      </c>
      <c r="J1004" s="16">
        <v>77.0</v>
      </c>
      <c r="K1004" s="8" t="s">
        <v>260</v>
      </c>
      <c r="L1004" s="8" t="s">
        <v>574</v>
      </c>
      <c r="M1004" s="18" t="s">
        <v>2558</v>
      </c>
      <c r="N1004" s="16">
        <v>66.0</v>
      </c>
      <c r="O1004" s="8" t="s">
        <v>4933</v>
      </c>
      <c r="P1004" s="8" t="s">
        <v>38</v>
      </c>
      <c r="Q1004" s="14" t="s">
        <v>2296</v>
      </c>
      <c r="R1004" s="8" t="s">
        <v>2600</v>
      </c>
      <c r="S1004" s="14" t="s">
        <v>2563</v>
      </c>
    </row>
    <row r="1005">
      <c r="A1005" s="8" t="s">
        <v>2021</v>
      </c>
      <c r="B1005" s="8" t="s">
        <v>357</v>
      </c>
      <c r="C1005" s="8" t="s">
        <v>70</v>
      </c>
      <c r="D1005" s="18" t="s">
        <v>2183</v>
      </c>
      <c r="E1005" s="16">
        <v>89.0</v>
      </c>
      <c r="F1005" s="8" t="s">
        <v>1176</v>
      </c>
      <c r="G1005" s="8" t="s">
        <v>700</v>
      </c>
      <c r="H1005" s="8" t="s">
        <v>65</v>
      </c>
      <c r="I1005" s="18" t="s">
        <v>2581</v>
      </c>
      <c r="J1005" s="16">
        <v>67.0</v>
      </c>
      <c r="K1005" s="8" t="s">
        <v>260</v>
      </c>
      <c r="L1005" s="8" t="s">
        <v>1330</v>
      </c>
      <c r="M1005" s="18" t="s">
        <v>2577</v>
      </c>
      <c r="N1005" s="16">
        <v>76.0</v>
      </c>
      <c r="O1005" s="8" t="s">
        <v>4934</v>
      </c>
      <c r="P1005" s="8" t="s">
        <v>141</v>
      </c>
      <c r="Q1005" s="14" t="s">
        <v>1070</v>
      </c>
      <c r="R1005" s="8" t="s">
        <v>2620</v>
      </c>
      <c r="S1005" s="14" t="s">
        <v>2606</v>
      </c>
    </row>
    <row r="1006">
      <c r="A1006" s="8" t="s">
        <v>2021</v>
      </c>
      <c r="B1006" s="8" t="s">
        <v>284</v>
      </c>
      <c r="C1006" s="8" t="s">
        <v>65</v>
      </c>
      <c r="D1006" s="18" t="s">
        <v>2572</v>
      </c>
      <c r="E1006" s="16">
        <v>61.0</v>
      </c>
      <c r="F1006" s="8" t="s">
        <v>1488</v>
      </c>
      <c r="G1006" s="8" t="s">
        <v>389</v>
      </c>
      <c r="H1006" s="8" t="s">
        <v>122</v>
      </c>
      <c r="I1006" s="18" t="s">
        <v>2552</v>
      </c>
      <c r="J1006" s="16">
        <v>69.0</v>
      </c>
      <c r="K1006" s="8" t="s">
        <v>499</v>
      </c>
      <c r="L1006" s="8" t="s">
        <v>760</v>
      </c>
      <c r="M1006" s="18" t="s">
        <v>2615</v>
      </c>
      <c r="N1006" s="16">
        <v>72.0</v>
      </c>
      <c r="O1006" s="8" t="s">
        <v>4935</v>
      </c>
      <c r="P1006" s="8" t="s">
        <v>24</v>
      </c>
      <c r="Q1006" s="14" t="s">
        <v>1679</v>
      </c>
      <c r="R1006" s="8" t="s">
        <v>2620</v>
      </c>
      <c r="S1006" s="14" t="s">
        <v>2601</v>
      </c>
    </row>
    <row r="1007">
      <c r="A1007" s="8" t="s">
        <v>810</v>
      </c>
      <c r="B1007" s="8" t="s">
        <v>441</v>
      </c>
      <c r="C1007" s="8" t="s">
        <v>93</v>
      </c>
      <c r="D1007" s="18" t="s">
        <v>2615</v>
      </c>
      <c r="E1007" s="16">
        <v>70.0</v>
      </c>
      <c r="F1007" s="8" t="s">
        <v>1128</v>
      </c>
      <c r="G1007" s="8" t="s">
        <v>2960</v>
      </c>
      <c r="H1007" s="8" t="s">
        <v>93</v>
      </c>
      <c r="I1007" s="18" t="s">
        <v>2584</v>
      </c>
      <c r="J1007" s="16">
        <v>67.0</v>
      </c>
      <c r="K1007" s="8" t="s">
        <v>499</v>
      </c>
      <c r="L1007" s="8" t="s">
        <v>2740</v>
      </c>
      <c r="M1007" s="18" t="s">
        <v>2615</v>
      </c>
      <c r="N1007" s="16">
        <v>81.0</v>
      </c>
      <c r="O1007" s="8" t="s">
        <v>4936</v>
      </c>
      <c r="P1007" s="8" t="s">
        <v>132</v>
      </c>
      <c r="Q1007" s="14" t="s">
        <v>1352</v>
      </c>
      <c r="R1007" s="8" t="s">
        <v>2567</v>
      </c>
      <c r="S1007" s="14" t="s">
        <v>2606</v>
      </c>
    </row>
    <row r="1008">
      <c r="A1008" s="8" t="s">
        <v>3828</v>
      </c>
      <c r="B1008" s="8" t="s">
        <v>3827</v>
      </c>
      <c r="C1008" s="8" t="s">
        <v>192</v>
      </c>
      <c r="D1008" s="18" t="s">
        <v>2595</v>
      </c>
      <c r="E1008" s="16">
        <v>73.0</v>
      </c>
      <c r="F1008" s="8" t="s">
        <v>1128</v>
      </c>
      <c r="G1008" s="8" t="s">
        <v>498</v>
      </c>
      <c r="H1008" s="8" t="s">
        <v>93</v>
      </c>
      <c r="I1008" s="18" t="s">
        <v>2598</v>
      </c>
      <c r="J1008" s="16">
        <v>79.0</v>
      </c>
      <c r="K1008" s="8" t="s">
        <v>889</v>
      </c>
      <c r="L1008" s="8" t="s">
        <v>888</v>
      </c>
      <c r="M1008" s="18" t="s">
        <v>2598</v>
      </c>
      <c r="N1008" s="16">
        <v>66.0</v>
      </c>
      <c r="O1008" s="8" t="s">
        <v>4937</v>
      </c>
      <c r="P1008" s="8" t="s">
        <v>12</v>
      </c>
      <c r="Q1008" s="14" t="s">
        <v>1679</v>
      </c>
      <c r="R1008" s="8" t="s">
        <v>2564</v>
      </c>
      <c r="S1008" s="14" t="s">
        <v>2553</v>
      </c>
    </row>
    <row r="1009">
      <c r="A1009" s="8" t="s">
        <v>3714</v>
      </c>
      <c r="B1009" s="8" t="s">
        <v>2169</v>
      </c>
      <c r="C1009" s="8" t="s">
        <v>186</v>
      </c>
      <c r="D1009" s="18" t="s">
        <v>2587</v>
      </c>
      <c r="E1009" s="16">
        <v>70.0</v>
      </c>
      <c r="F1009" s="8" t="s">
        <v>1128</v>
      </c>
      <c r="G1009" s="18" t="s">
        <v>1873</v>
      </c>
      <c r="H1009" s="8" t="s">
        <v>93</v>
      </c>
      <c r="I1009" s="18" t="s">
        <v>2584</v>
      </c>
      <c r="J1009" s="16">
        <v>86.0</v>
      </c>
      <c r="K1009" s="8" t="s">
        <v>889</v>
      </c>
      <c r="L1009" s="8" t="s">
        <v>2083</v>
      </c>
      <c r="M1009" s="18" t="s">
        <v>2593</v>
      </c>
      <c r="N1009" s="16">
        <v>69.0</v>
      </c>
      <c r="O1009" s="8" t="s">
        <v>4938</v>
      </c>
      <c r="P1009" s="8" t="s">
        <v>65</v>
      </c>
      <c r="Q1009" s="14" t="s">
        <v>837</v>
      </c>
      <c r="R1009" s="8" t="s">
        <v>2558</v>
      </c>
      <c r="S1009" s="14" t="s">
        <v>2557</v>
      </c>
    </row>
    <row r="1010">
      <c r="A1010" s="8" t="s">
        <v>1026</v>
      </c>
      <c r="B1010" s="8" t="s">
        <v>1025</v>
      </c>
      <c r="C1010" s="8" t="s">
        <v>16</v>
      </c>
      <c r="D1010" s="18" t="s">
        <v>2614</v>
      </c>
      <c r="E1010" s="16">
        <v>56.0</v>
      </c>
      <c r="F1010" s="8" t="s">
        <v>1128</v>
      </c>
      <c r="G1010" s="8" t="s">
        <v>1952</v>
      </c>
      <c r="H1010" s="8" t="s">
        <v>53</v>
      </c>
      <c r="I1010" s="18" t="s">
        <v>2554</v>
      </c>
      <c r="J1010" s="16">
        <v>67.0</v>
      </c>
      <c r="K1010" s="8" t="s">
        <v>1136</v>
      </c>
      <c r="L1010" s="8" t="s">
        <v>1135</v>
      </c>
      <c r="M1010" s="18" t="s">
        <v>2582</v>
      </c>
      <c r="N1010" s="16">
        <v>78.0</v>
      </c>
      <c r="O1010" s="8" t="s">
        <v>4939</v>
      </c>
      <c r="P1010" s="8" t="s">
        <v>46</v>
      </c>
      <c r="Q1010" s="14" t="s">
        <v>837</v>
      </c>
      <c r="R1010" s="8" t="s">
        <v>2598</v>
      </c>
      <c r="S1010" s="14" t="s">
        <v>2608</v>
      </c>
    </row>
    <row r="1011">
      <c r="A1011" s="8" t="s">
        <v>1670</v>
      </c>
      <c r="B1011" s="8" t="s">
        <v>1669</v>
      </c>
      <c r="C1011" s="8" t="s">
        <v>16</v>
      </c>
      <c r="D1011" s="18" t="s">
        <v>2592</v>
      </c>
      <c r="E1011" s="16">
        <v>82.0</v>
      </c>
      <c r="F1011" s="8" t="s">
        <v>1128</v>
      </c>
      <c r="G1011" s="8" t="s">
        <v>315</v>
      </c>
      <c r="H1011" s="8" t="s">
        <v>70</v>
      </c>
      <c r="I1011" s="18" t="s">
        <v>2556</v>
      </c>
      <c r="J1011" s="16">
        <v>77.0</v>
      </c>
      <c r="K1011" s="8" t="s">
        <v>411</v>
      </c>
      <c r="L1011" s="8" t="s">
        <v>410</v>
      </c>
      <c r="M1011" s="18" t="s">
        <v>2614</v>
      </c>
      <c r="N1011" s="16">
        <v>76.0</v>
      </c>
      <c r="O1011" s="8" t="s">
        <v>4940</v>
      </c>
      <c r="P1011" s="8" t="s">
        <v>24</v>
      </c>
      <c r="Q1011" s="14" t="s">
        <v>237</v>
      </c>
      <c r="R1011" s="8" t="s">
        <v>2593</v>
      </c>
      <c r="S1011" s="14" t="s">
        <v>2631</v>
      </c>
    </row>
    <row r="1012">
      <c r="A1012" s="8" t="s">
        <v>3635</v>
      </c>
      <c r="B1012" s="8" t="s">
        <v>1171</v>
      </c>
      <c r="C1012" s="8" t="s">
        <v>192</v>
      </c>
      <c r="D1012" s="18" t="s">
        <v>2183</v>
      </c>
      <c r="E1012" s="16">
        <v>66.0</v>
      </c>
      <c r="F1012" s="8" t="s">
        <v>1128</v>
      </c>
      <c r="G1012" s="8" t="s">
        <v>762</v>
      </c>
      <c r="H1012" s="8" t="s">
        <v>93</v>
      </c>
      <c r="I1012" s="18" t="s">
        <v>2564</v>
      </c>
      <c r="J1012" s="16">
        <v>70.0</v>
      </c>
      <c r="K1012" s="8" t="s">
        <v>1106</v>
      </c>
      <c r="L1012" s="8" t="s">
        <v>106</v>
      </c>
      <c r="M1012" s="18" t="s">
        <v>2593</v>
      </c>
      <c r="N1012" s="16">
        <v>74.0</v>
      </c>
      <c r="O1012" s="8" t="s">
        <v>4941</v>
      </c>
      <c r="P1012" s="8" t="s">
        <v>149</v>
      </c>
      <c r="Q1012" s="14" t="s">
        <v>837</v>
      </c>
      <c r="R1012" s="8" t="s">
        <v>2620</v>
      </c>
      <c r="S1012" s="14" t="s">
        <v>2569</v>
      </c>
    </row>
    <row r="1013">
      <c r="A1013" s="8" t="s">
        <v>260</v>
      </c>
      <c r="B1013" s="8" t="s">
        <v>1098</v>
      </c>
      <c r="C1013" s="8" t="s">
        <v>93</v>
      </c>
      <c r="D1013" s="18" t="s">
        <v>2574</v>
      </c>
      <c r="E1013" s="16">
        <v>70.0</v>
      </c>
      <c r="F1013" s="8" t="s">
        <v>2197</v>
      </c>
      <c r="G1013" s="8" t="s">
        <v>405</v>
      </c>
      <c r="H1013" s="8" t="s">
        <v>65</v>
      </c>
      <c r="I1013" s="18" t="s">
        <v>2560</v>
      </c>
      <c r="J1013" s="16">
        <v>69.0</v>
      </c>
      <c r="K1013" s="8" t="s">
        <v>388</v>
      </c>
      <c r="L1013" s="8" t="s">
        <v>282</v>
      </c>
      <c r="M1013" s="18" t="s">
        <v>2566</v>
      </c>
      <c r="N1013" s="16">
        <v>84.0</v>
      </c>
      <c r="O1013" s="8" t="s">
        <v>4942</v>
      </c>
      <c r="P1013" s="8" t="s">
        <v>16</v>
      </c>
      <c r="Q1013" s="14" t="s">
        <v>1070</v>
      </c>
      <c r="R1013" s="8" t="s">
        <v>2581</v>
      </c>
      <c r="S1013" s="14" t="s">
        <v>2627</v>
      </c>
    </row>
    <row r="1014">
      <c r="A1014" s="8" t="s">
        <v>260</v>
      </c>
      <c r="B1014" s="8" t="s">
        <v>356</v>
      </c>
      <c r="C1014" s="8" t="s">
        <v>75</v>
      </c>
      <c r="D1014" s="18" t="s">
        <v>2560</v>
      </c>
      <c r="E1014" s="16">
        <v>79.0</v>
      </c>
      <c r="F1014" s="8" t="s">
        <v>2790</v>
      </c>
      <c r="G1014" s="8" t="s">
        <v>685</v>
      </c>
      <c r="H1014" s="8" t="s">
        <v>261</v>
      </c>
      <c r="I1014" s="18" t="s">
        <v>2621</v>
      </c>
      <c r="J1014" s="16">
        <v>78.0</v>
      </c>
      <c r="K1014" s="8" t="s">
        <v>1040</v>
      </c>
      <c r="L1014" s="8" t="s">
        <v>1039</v>
      </c>
      <c r="M1014" s="18" t="s">
        <v>2585</v>
      </c>
      <c r="N1014" s="16">
        <v>80.0</v>
      </c>
      <c r="O1014" s="8" t="s">
        <v>4943</v>
      </c>
      <c r="P1014" s="8" t="s">
        <v>186</v>
      </c>
      <c r="Q1014" s="14" t="s">
        <v>837</v>
      </c>
      <c r="R1014" s="8" t="s">
        <v>2584</v>
      </c>
      <c r="S1014" s="14" t="s">
        <v>2586</v>
      </c>
    </row>
    <row r="1015">
      <c r="A1015" s="8" t="s">
        <v>260</v>
      </c>
      <c r="B1015" s="8" t="s">
        <v>663</v>
      </c>
      <c r="C1015" s="8" t="s">
        <v>138</v>
      </c>
      <c r="D1015" s="18" t="s">
        <v>2556</v>
      </c>
      <c r="E1015" s="16">
        <v>61.0</v>
      </c>
      <c r="F1015" s="8" t="s">
        <v>2021</v>
      </c>
      <c r="G1015" s="8" t="s">
        <v>357</v>
      </c>
      <c r="H1015" s="8" t="s">
        <v>70</v>
      </c>
      <c r="I1015" s="18" t="s">
        <v>2620</v>
      </c>
      <c r="J1015" s="16">
        <v>84.0</v>
      </c>
      <c r="K1015" s="8" t="s">
        <v>196</v>
      </c>
      <c r="L1015" s="8" t="s">
        <v>1270</v>
      </c>
      <c r="M1015" s="18" t="s">
        <v>2574</v>
      </c>
      <c r="N1015" s="16">
        <v>72.0</v>
      </c>
      <c r="O1015" s="8" t="s">
        <v>4944</v>
      </c>
      <c r="P1015" s="8" t="s">
        <v>65</v>
      </c>
      <c r="Q1015" s="14" t="s">
        <v>1070</v>
      </c>
      <c r="R1015" s="8" t="s">
        <v>2581</v>
      </c>
      <c r="S1015" s="14" t="s">
        <v>2601</v>
      </c>
    </row>
    <row r="1016">
      <c r="A1016" s="8" t="s">
        <v>260</v>
      </c>
      <c r="B1016" s="8" t="s">
        <v>259</v>
      </c>
      <c r="C1016" s="8" t="s">
        <v>261</v>
      </c>
      <c r="D1016" s="18" t="s">
        <v>2600</v>
      </c>
      <c r="E1016" s="16">
        <v>83.0</v>
      </c>
      <c r="F1016" s="8" t="s">
        <v>2021</v>
      </c>
      <c r="G1016" s="8" t="s">
        <v>78</v>
      </c>
      <c r="H1016" s="8" t="s">
        <v>70</v>
      </c>
      <c r="I1016" s="18" t="s">
        <v>2558</v>
      </c>
      <c r="J1016" s="16">
        <v>72.0</v>
      </c>
      <c r="K1016" s="8" t="s">
        <v>196</v>
      </c>
      <c r="L1016" s="8" t="s">
        <v>3111</v>
      </c>
      <c r="M1016" s="18" t="s">
        <v>2620</v>
      </c>
      <c r="N1016" s="16">
        <v>77.0</v>
      </c>
      <c r="O1016" s="8" t="s">
        <v>4945</v>
      </c>
      <c r="P1016" s="8" t="s">
        <v>122</v>
      </c>
      <c r="Q1016" s="14" t="s">
        <v>1352</v>
      </c>
      <c r="R1016" s="8" t="s">
        <v>2552</v>
      </c>
      <c r="S1016" s="14" t="s">
        <v>2568</v>
      </c>
    </row>
    <row r="1017">
      <c r="A1017" s="8" t="s">
        <v>260</v>
      </c>
      <c r="B1017" s="8" t="s">
        <v>371</v>
      </c>
      <c r="C1017" s="8" t="s">
        <v>141</v>
      </c>
      <c r="D1017" s="18" t="s">
        <v>2620</v>
      </c>
      <c r="E1017" s="16">
        <v>64.0</v>
      </c>
      <c r="F1017" s="8" t="s">
        <v>2021</v>
      </c>
      <c r="G1017" s="8" t="s">
        <v>284</v>
      </c>
      <c r="H1017" s="8" t="s">
        <v>65</v>
      </c>
      <c r="I1017" s="18" t="s">
        <v>2572</v>
      </c>
      <c r="J1017" s="16">
        <v>61.0</v>
      </c>
      <c r="K1017" s="8" t="s">
        <v>196</v>
      </c>
      <c r="L1017" s="8" t="s">
        <v>1809</v>
      </c>
      <c r="M1017" s="18" t="s">
        <v>2593</v>
      </c>
      <c r="N1017" s="16">
        <v>81.0</v>
      </c>
      <c r="O1017" s="8" t="s">
        <v>4946</v>
      </c>
      <c r="P1017" s="8" t="s">
        <v>65</v>
      </c>
      <c r="Q1017" s="14" t="s">
        <v>1679</v>
      </c>
      <c r="R1017" s="8" t="s">
        <v>2575</v>
      </c>
      <c r="S1017" s="14" t="s">
        <v>2622</v>
      </c>
    </row>
    <row r="1018">
      <c r="A1018" s="8" t="s">
        <v>260</v>
      </c>
      <c r="B1018" s="8" t="s">
        <v>3296</v>
      </c>
      <c r="C1018" s="8" t="s">
        <v>24</v>
      </c>
      <c r="D1018" s="18" t="s">
        <v>2614</v>
      </c>
      <c r="E1018" s="16">
        <v>74.0</v>
      </c>
      <c r="F1018" s="8" t="s">
        <v>1402</v>
      </c>
      <c r="G1018" s="8" t="s">
        <v>1682</v>
      </c>
      <c r="H1018" s="8" t="s">
        <v>93</v>
      </c>
      <c r="I1018" s="18" t="s">
        <v>2554</v>
      </c>
      <c r="J1018" s="16">
        <v>66.0</v>
      </c>
      <c r="K1018" s="8" t="s">
        <v>196</v>
      </c>
      <c r="L1018" s="8" t="s">
        <v>195</v>
      </c>
      <c r="M1018" s="18" t="s">
        <v>2556</v>
      </c>
      <c r="N1018" s="16">
        <v>80.0</v>
      </c>
      <c r="O1018" s="8" t="s">
        <v>4947</v>
      </c>
      <c r="P1018" s="8" t="s">
        <v>93</v>
      </c>
      <c r="Q1018" s="14" t="s">
        <v>1070</v>
      </c>
      <c r="R1018" s="8" t="s">
        <v>2567</v>
      </c>
      <c r="S1018" s="14" t="s">
        <v>2563</v>
      </c>
    </row>
    <row r="1019">
      <c r="A1019" s="8" t="s">
        <v>260</v>
      </c>
      <c r="B1019" s="8" t="s">
        <v>377</v>
      </c>
      <c r="C1019" s="8" t="s">
        <v>59</v>
      </c>
      <c r="D1019" s="18" t="s">
        <v>2577</v>
      </c>
      <c r="E1019" s="16">
        <v>85.0</v>
      </c>
      <c r="F1019" s="8" t="s">
        <v>1402</v>
      </c>
      <c r="G1019" s="8" t="s">
        <v>248</v>
      </c>
      <c r="H1019" s="8" t="s">
        <v>80</v>
      </c>
      <c r="I1019" s="18" t="s">
        <v>2620</v>
      </c>
      <c r="J1019" s="16">
        <v>62.0</v>
      </c>
      <c r="K1019" s="8" t="s">
        <v>481</v>
      </c>
      <c r="L1019" s="8" t="s">
        <v>106</v>
      </c>
      <c r="M1019" s="18" t="s">
        <v>2603</v>
      </c>
      <c r="N1019" s="16">
        <v>76.0</v>
      </c>
      <c r="O1019" s="8" t="s">
        <v>4948</v>
      </c>
      <c r="P1019" s="8" t="s">
        <v>93</v>
      </c>
      <c r="Q1019" s="14" t="s">
        <v>2033</v>
      </c>
      <c r="R1019" s="8" t="s">
        <v>2581</v>
      </c>
      <c r="S1019" s="14" t="s">
        <v>2609</v>
      </c>
    </row>
    <row r="1020">
      <c r="A1020" s="8" t="s">
        <v>260</v>
      </c>
      <c r="B1020" s="8" t="s">
        <v>944</v>
      </c>
      <c r="C1020" s="8" t="s">
        <v>75</v>
      </c>
      <c r="D1020" s="18" t="s">
        <v>2575</v>
      </c>
      <c r="E1020" s="16">
        <v>66.0</v>
      </c>
      <c r="F1020" s="8" t="s">
        <v>1402</v>
      </c>
      <c r="G1020" s="8" t="s">
        <v>835</v>
      </c>
      <c r="H1020" s="8" t="s">
        <v>192</v>
      </c>
      <c r="I1020" s="18" t="s">
        <v>2560</v>
      </c>
      <c r="J1020" s="16">
        <v>81.0</v>
      </c>
      <c r="K1020" s="8" t="s">
        <v>2080</v>
      </c>
      <c r="L1020" s="8" t="s">
        <v>61</v>
      </c>
      <c r="M1020" s="18" t="s">
        <v>2554</v>
      </c>
      <c r="N1020" s="16">
        <v>76.0</v>
      </c>
      <c r="O1020" s="8" t="s">
        <v>4949</v>
      </c>
      <c r="P1020" s="8" t="s">
        <v>65</v>
      </c>
      <c r="Q1020" s="14" t="s">
        <v>2033</v>
      </c>
      <c r="R1020" s="8" t="s">
        <v>2585</v>
      </c>
      <c r="S1020" s="14" t="s">
        <v>2622</v>
      </c>
    </row>
    <row r="1021">
      <c r="A1021" s="8" t="s">
        <v>260</v>
      </c>
      <c r="B1021" s="8" t="s">
        <v>3715</v>
      </c>
      <c r="C1021" s="8" t="s">
        <v>186</v>
      </c>
      <c r="D1021" s="18" t="s">
        <v>2595</v>
      </c>
      <c r="E1021" s="16">
        <v>73.0</v>
      </c>
      <c r="F1021" s="8" t="s">
        <v>810</v>
      </c>
      <c r="G1021" s="8" t="s">
        <v>441</v>
      </c>
      <c r="H1021" s="8" t="s">
        <v>93</v>
      </c>
      <c r="I1021" s="18" t="s">
        <v>2615</v>
      </c>
      <c r="J1021" s="16">
        <v>81.0</v>
      </c>
      <c r="K1021" s="8" t="s">
        <v>1588</v>
      </c>
      <c r="L1021" s="8" t="s">
        <v>223</v>
      </c>
      <c r="M1021" s="18" t="s">
        <v>2603</v>
      </c>
      <c r="N1021" s="16">
        <v>77.0</v>
      </c>
      <c r="O1021" s="8" t="s">
        <v>4950</v>
      </c>
      <c r="P1021" s="8" t="s">
        <v>138</v>
      </c>
      <c r="Q1021" s="14" t="s">
        <v>2033</v>
      </c>
      <c r="R1021" s="8" t="s">
        <v>2614</v>
      </c>
      <c r="S1021" s="14" t="s">
        <v>2594</v>
      </c>
    </row>
    <row r="1022">
      <c r="A1022" s="8" t="s">
        <v>260</v>
      </c>
      <c r="B1022" s="8" t="s">
        <v>4923</v>
      </c>
      <c r="C1022" s="8" t="s">
        <v>24</v>
      </c>
      <c r="D1022" s="18" t="s">
        <v>2183</v>
      </c>
      <c r="E1022" s="16">
        <v>68.0</v>
      </c>
      <c r="F1022" s="8" t="s">
        <v>1026</v>
      </c>
      <c r="G1022" s="8" t="s">
        <v>1025</v>
      </c>
      <c r="H1022" s="8" t="s">
        <v>192</v>
      </c>
      <c r="I1022" s="18" t="s">
        <v>2614</v>
      </c>
      <c r="J1022" s="16">
        <v>55.0</v>
      </c>
      <c r="K1022" s="8" t="s">
        <v>1668</v>
      </c>
      <c r="L1022" s="8" t="s">
        <v>451</v>
      </c>
      <c r="M1022" s="18" t="s">
        <v>2584</v>
      </c>
      <c r="N1022" s="16">
        <v>72.0</v>
      </c>
      <c r="O1022" s="8" t="s">
        <v>4951</v>
      </c>
      <c r="P1022" s="8" t="s">
        <v>93</v>
      </c>
      <c r="Q1022" s="14" t="s">
        <v>1352</v>
      </c>
      <c r="R1022" s="8" t="s">
        <v>2564</v>
      </c>
      <c r="S1022" s="14" t="s">
        <v>2553</v>
      </c>
    </row>
    <row r="1023">
      <c r="A1023" s="8" t="s">
        <v>260</v>
      </c>
      <c r="B1023" s="8" t="s">
        <v>2228</v>
      </c>
      <c r="C1023" s="8" t="s">
        <v>192</v>
      </c>
      <c r="D1023" s="18" t="s">
        <v>2584</v>
      </c>
      <c r="E1023" s="16">
        <v>69.0</v>
      </c>
      <c r="F1023" s="8" t="s">
        <v>1670</v>
      </c>
      <c r="G1023" s="8" t="s">
        <v>1669</v>
      </c>
      <c r="H1023" s="8" t="s">
        <v>16</v>
      </c>
      <c r="I1023" s="18" t="s">
        <v>2592</v>
      </c>
      <c r="J1023" s="16">
        <v>81.0</v>
      </c>
      <c r="K1023" s="8" t="s">
        <v>2867</v>
      </c>
      <c r="L1023" s="8" t="s">
        <v>284</v>
      </c>
      <c r="M1023" s="18" t="s">
        <v>2645</v>
      </c>
      <c r="N1023" s="16">
        <v>63.0</v>
      </c>
      <c r="O1023" s="18" t="s">
        <v>4952</v>
      </c>
      <c r="P1023" s="8" t="s">
        <v>93</v>
      </c>
      <c r="Q1023" s="14" t="s">
        <v>1679</v>
      </c>
      <c r="R1023" s="8" t="s">
        <v>2584</v>
      </c>
      <c r="S1023" s="14" t="s">
        <v>2623</v>
      </c>
    </row>
    <row r="1024">
      <c r="A1024" s="8" t="s">
        <v>260</v>
      </c>
      <c r="B1024" s="8" t="s">
        <v>3852</v>
      </c>
      <c r="C1024" s="8" t="s">
        <v>70</v>
      </c>
      <c r="D1024" s="18" t="s">
        <v>2558</v>
      </c>
      <c r="E1024" s="16">
        <v>79.0</v>
      </c>
      <c r="F1024" s="8" t="s">
        <v>260</v>
      </c>
      <c r="G1024" s="8" t="s">
        <v>452</v>
      </c>
      <c r="H1024" s="8" t="s">
        <v>24</v>
      </c>
      <c r="I1024" s="18" t="s">
        <v>2183</v>
      </c>
      <c r="J1024" s="16">
        <v>43.0</v>
      </c>
      <c r="K1024" s="8" t="s">
        <v>3138</v>
      </c>
      <c r="L1024" s="8" t="s">
        <v>78</v>
      </c>
      <c r="M1024" s="18" t="s">
        <v>2610</v>
      </c>
      <c r="N1024" s="16">
        <v>66.0</v>
      </c>
      <c r="O1024" s="8" t="s">
        <v>4953</v>
      </c>
      <c r="P1024" s="8" t="s">
        <v>59</v>
      </c>
      <c r="Q1024" s="14" t="s">
        <v>1679</v>
      </c>
      <c r="R1024" s="8" t="s">
        <v>2554</v>
      </c>
      <c r="S1024" s="14" t="s">
        <v>2563</v>
      </c>
    </row>
    <row r="1025">
      <c r="A1025" s="8" t="s">
        <v>260</v>
      </c>
      <c r="B1025" s="8" t="s">
        <v>1055</v>
      </c>
      <c r="C1025" s="8" t="s">
        <v>70</v>
      </c>
      <c r="D1025" s="18" t="s">
        <v>2600</v>
      </c>
      <c r="E1025" s="16">
        <v>75.0</v>
      </c>
      <c r="F1025" s="8" t="s">
        <v>260</v>
      </c>
      <c r="G1025" s="8" t="s">
        <v>3296</v>
      </c>
      <c r="H1025" s="8" t="s">
        <v>24</v>
      </c>
      <c r="I1025" s="18" t="s">
        <v>2614</v>
      </c>
      <c r="J1025" s="16">
        <v>73.0</v>
      </c>
      <c r="K1025" s="8" t="s">
        <v>1227</v>
      </c>
      <c r="L1025" s="8" t="s">
        <v>282</v>
      </c>
      <c r="M1025" s="18" t="s">
        <v>2183</v>
      </c>
      <c r="N1025" s="16">
        <v>69.0</v>
      </c>
      <c r="O1025" s="8" t="s">
        <v>4954</v>
      </c>
      <c r="P1025" s="8" t="s">
        <v>70</v>
      </c>
      <c r="Q1025" s="14" t="s">
        <v>1352</v>
      </c>
      <c r="R1025" s="18" t="s">
        <v>2556</v>
      </c>
      <c r="S1025" s="14" t="s">
        <v>2601</v>
      </c>
    </row>
    <row r="1026">
      <c r="A1026" s="8" t="s">
        <v>260</v>
      </c>
      <c r="B1026" s="8" t="s">
        <v>452</v>
      </c>
      <c r="C1026" s="8" t="s">
        <v>24</v>
      </c>
      <c r="D1026" s="18" t="s">
        <v>2183</v>
      </c>
      <c r="E1026" s="16">
        <v>43.0</v>
      </c>
      <c r="F1026" s="8" t="s">
        <v>260</v>
      </c>
      <c r="G1026" s="8" t="s">
        <v>2228</v>
      </c>
      <c r="H1026" s="8" t="s">
        <v>192</v>
      </c>
      <c r="I1026" s="18" t="s">
        <v>2584</v>
      </c>
      <c r="J1026" s="16">
        <v>67.0</v>
      </c>
      <c r="K1026" s="8" t="s">
        <v>1227</v>
      </c>
      <c r="L1026" s="8" t="s">
        <v>1226</v>
      </c>
      <c r="M1026" s="18" t="s">
        <v>2615</v>
      </c>
      <c r="N1026" s="16">
        <v>86.0</v>
      </c>
      <c r="O1026" s="8" t="s">
        <v>4955</v>
      </c>
      <c r="P1026" s="8" t="s">
        <v>65</v>
      </c>
      <c r="Q1026" s="14" t="s">
        <v>2033</v>
      </c>
      <c r="R1026" s="8" t="s">
        <v>2621</v>
      </c>
      <c r="S1026" s="14" t="s">
        <v>2555</v>
      </c>
    </row>
    <row r="1027">
      <c r="A1027" s="8" t="s">
        <v>260</v>
      </c>
      <c r="B1027" s="8" t="s">
        <v>455</v>
      </c>
      <c r="C1027" s="8" t="s">
        <v>65</v>
      </c>
      <c r="D1027" s="18" t="s">
        <v>2610</v>
      </c>
      <c r="E1027" s="16">
        <v>63.0</v>
      </c>
      <c r="F1027" s="8" t="s">
        <v>260</v>
      </c>
      <c r="G1027" s="8" t="s">
        <v>4923</v>
      </c>
      <c r="H1027" s="8" t="s">
        <v>24</v>
      </c>
      <c r="I1027" s="18" t="s">
        <v>2600</v>
      </c>
      <c r="J1027" s="16">
        <v>67.0</v>
      </c>
      <c r="K1027" s="8" t="s">
        <v>1227</v>
      </c>
      <c r="L1027" s="8" t="s">
        <v>1226</v>
      </c>
      <c r="M1027" s="18" t="s">
        <v>2615</v>
      </c>
      <c r="N1027" s="16">
        <v>89.0</v>
      </c>
      <c r="O1027" s="8" t="s">
        <v>4956</v>
      </c>
      <c r="P1027" s="8" t="s">
        <v>70</v>
      </c>
      <c r="Q1027" s="14" t="s">
        <v>2033</v>
      </c>
      <c r="R1027" s="8" t="s">
        <v>2560</v>
      </c>
      <c r="S1027" s="14" t="s">
        <v>2579</v>
      </c>
    </row>
    <row r="1028">
      <c r="A1028" s="8" t="s">
        <v>3699</v>
      </c>
      <c r="B1028" s="8" t="s">
        <v>389</v>
      </c>
      <c r="C1028" s="8" t="s">
        <v>59</v>
      </c>
      <c r="D1028" s="18" t="s">
        <v>2581</v>
      </c>
      <c r="E1028" s="16">
        <v>72.0</v>
      </c>
      <c r="F1028" s="8" t="s">
        <v>260</v>
      </c>
      <c r="G1028" s="8" t="s">
        <v>356</v>
      </c>
      <c r="H1028" s="8" t="s">
        <v>75</v>
      </c>
      <c r="I1028" s="18" t="s">
        <v>2560</v>
      </c>
      <c r="J1028" s="16">
        <v>82.0</v>
      </c>
      <c r="K1028" s="8" t="s">
        <v>45</v>
      </c>
      <c r="L1028" s="8" t="s">
        <v>1419</v>
      </c>
      <c r="M1028" s="18" t="s">
        <v>2587</v>
      </c>
      <c r="N1028" s="16">
        <v>66.0</v>
      </c>
      <c r="O1028" s="8" t="s">
        <v>4957</v>
      </c>
      <c r="P1028" s="8" t="s">
        <v>122</v>
      </c>
      <c r="Q1028" s="14" t="s">
        <v>2033</v>
      </c>
      <c r="R1028" s="8" t="s">
        <v>2552</v>
      </c>
      <c r="S1028" s="14" t="s">
        <v>2579</v>
      </c>
    </row>
    <row r="1029">
      <c r="A1029" s="8" t="s">
        <v>499</v>
      </c>
      <c r="B1029" s="8" t="s">
        <v>498</v>
      </c>
      <c r="C1029" s="8" t="s">
        <v>186</v>
      </c>
      <c r="D1029" s="18" t="s">
        <v>2600</v>
      </c>
      <c r="E1029" s="16">
        <v>88.0</v>
      </c>
      <c r="F1029" s="8" t="s">
        <v>260</v>
      </c>
      <c r="G1029" s="8" t="s">
        <v>944</v>
      </c>
      <c r="H1029" s="8" t="s">
        <v>149</v>
      </c>
      <c r="I1029" s="18" t="s">
        <v>2575</v>
      </c>
      <c r="J1029" s="16">
        <v>69.0</v>
      </c>
      <c r="K1029" s="8" t="s">
        <v>45</v>
      </c>
      <c r="L1029" s="8" t="s">
        <v>956</v>
      </c>
      <c r="M1029" s="18" t="s">
        <v>2600</v>
      </c>
      <c r="N1029" s="16">
        <v>75.0</v>
      </c>
      <c r="O1029" s="8" t="s">
        <v>4958</v>
      </c>
      <c r="P1029" s="8" t="s">
        <v>70</v>
      </c>
      <c r="Q1029" s="14" t="s">
        <v>1679</v>
      </c>
      <c r="R1029" s="8" t="s">
        <v>2558</v>
      </c>
      <c r="S1029" s="14" t="s">
        <v>2571</v>
      </c>
    </row>
    <row r="1030">
      <c r="A1030" s="8" t="s">
        <v>499</v>
      </c>
      <c r="B1030" s="8" t="s">
        <v>760</v>
      </c>
      <c r="C1030" s="8" t="s">
        <v>122</v>
      </c>
      <c r="D1030" s="18" t="s">
        <v>2615</v>
      </c>
      <c r="E1030" s="16">
        <v>69.0</v>
      </c>
      <c r="F1030" s="8" t="s">
        <v>260</v>
      </c>
      <c r="G1030" s="8" t="s">
        <v>663</v>
      </c>
      <c r="H1030" s="8" t="s">
        <v>59</v>
      </c>
      <c r="I1030" s="18" t="s">
        <v>2556</v>
      </c>
      <c r="J1030" s="16">
        <v>59.0</v>
      </c>
      <c r="K1030" s="8" t="s">
        <v>45</v>
      </c>
      <c r="L1030" s="8" t="s">
        <v>44</v>
      </c>
      <c r="M1030" s="18" t="s">
        <v>2564</v>
      </c>
      <c r="N1030" s="16">
        <v>85.0</v>
      </c>
      <c r="O1030" s="8" t="s">
        <v>4959</v>
      </c>
      <c r="P1030" s="8" t="s">
        <v>192</v>
      </c>
      <c r="Q1030" s="14" t="s">
        <v>2033</v>
      </c>
      <c r="R1030" s="8" t="s">
        <v>2560</v>
      </c>
      <c r="S1030" s="14" t="s">
        <v>2561</v>
      </c>
    </row>
    <row r="1031">
      <c r="A1031" s="8" t="s">
        <v>1136</v>
      </c>
      <c r="B1031" s="8" t="s">
        <v>1135</v>
      </c>
      <c r="C1031" s="8" t="s">
        <v>65</v>
      </c>
      <c r="D1031" s="18" t="s">
        <v>2582</v>
      </c>
      <c r="E1031" s="16">
        <v>74.0</v>
      </c>
      <c r="F1031" s="8" t="s">
        <v>260</v>
      </c>
      <c r="G1031" s="8" t="s">
        <v>1055</v>
      </c>
      <c r="H1031" s="8" t="s">
        <v>70</v>
      </c>
      <c r="I1031" s="18" t="s">
        <v>2600</v>
      </c>
      <c r="J1031" s="16">
        <v>81.0</v>
      </c>
      <c r="K1031" s="8" t="s">
        <v>45</v>
      </c>
      <c r="L1031" s="8" t="s">
        <v>820</v>
      </c>
      <c r="M1031" s="18" t="s">
        <v>2572</v>
      </c>
      <c r="N1031" s="16">
        <v>83.0</v>
      </c>
      <c r="O1031" s="8" t="s">
        <v>4960</v>
      </c>
      <c r="P1031" s="8" t="s">
        <v>93</v>
      </c>
      <c r="Q1031" s="14" t="s">
        <v>1679</v>
      </c>
      <c r="R1031" s="8" t="s">
        <v>2554</v>
      </c>
      <c r="S1031" s="14" t="s">
        <v>2579</v>
      </c>
    </row>
    <row r="1032">
      <c r="A1032" s="8" t="s">
        <v>411</v>
      </c>
      <c r="B1032" s="8" t="s">
        <v>410</v>
      </c>
      <c r="C1032" s="8" t="s">
        <v>261</v>
      </c>
      <c r="D1032" s="18" t="s">
        <v>2556</v>
      </c>
      <c r="E1032" s="16">
        <v>79.0</v>
      </c>
      <c r="F1032" s="8" t="s">
        <v>260</v>
      </c>
      <c r="G1032" s="8" t="s">
        <v>1744</v>
      </c>
      <c r="H1032" s="8" t="s">
        <v>70</v>
      </c>
      <c r="I1032" s="18" t="s">
        <v>2577</v>
      </c>
      <c r="J1032" s="16">
        <v>71.0</v>
      </c>
      <c r="K1032" s="8" t="s">
        <v>45</v>
      </c>
      <c r="L1032" s="8" t="s">
        <v>414</v>
      </c>
      <c r="M1032" s="18" t="s">
        <v>2592</v>
      </c>
      <c r="N1032" s="16">
        <v>78.0</v>
      </c>
      <c r="O1032" s="8" t="s">
        <v>4961</v>
      </c>
      <c r="P1032" s="8" t="s">
        <v>80</v>
      </c>
      <c r="Q1032" s="14" t="s">
        <v>1352</v>
      </c>
      <c r="R1032" s="8" t="s">
        <v>2620</v>
      </c>
      <c r="S1032" s="14" t="s">
        <v>2594</v>
      </c>
    </row>
    <row r="1033">
      <c r="A1033" s="8" t="s">
        <v>1106</v>
      </c>
      <c r="B1033" s="8" t="s">
        <v>106</v>
      </c>
      <c r="C1033" s="8" t="s">
        <v>132</v>
      </c>
      <c r="D1033" s="18" t="s">
        <v>2593</v>
      </c>
      <c r="E1033" s="16">
        <v>68.0</v>
      </c>
      <c r="F1033" s="8" t="s">
        <v>260</v>
      </c>
      <c r="G1033" s="8" t="s">
        <v>1098</v>
      </c>
      <c r="H1033" s="8" t="s">
        <v>93</v>
      </c>
      <c r="I1033" s="18" t="s">
        <v>2574</v>
      </c>
      <c r="J1033" s="16">
        <v>81.0</v>
      </c>
      <c r="K1033" s="8" t="s">
        <v>45</v>
      </c>
      <c r="L1033" s="8" t="s">
        <v>290</v>
      </c>
      <c r="M1033" s="18" t="s">
        <v>2564</v>
      </c>
      <c r="N1033" s="16">
        <v>83.0</v>
      </c>
      <c r="O1033" s="8" t="s">
        <v>4962</v>
      </c>
      <c r="P1033" s="8" t="s">
        <v>65</v>
      </c>
      <c r="Q1033" s="14" t="s">
        <v>2033</v>
      </c>
      <c r="R1033" s="8" t="s">
        <v>2183</v>
      </c>
      <c r="S1033" s="14" t="s">
        <v>2555</v>
      </c>
    </row>
    <row r="1034">
      <c r="A1034" s="8" t="s">
        <v>388</v>
      </c>
      <c r="B1034" s="8" t="s">
        <v>282</v>
      </c>
      <c r="C1034" s="8" t="s">
        <v>93</v>
      </c>
      <c r="D1034" s="18" t="s">
        <v>2566</v>
      </c>
      <c r="E1034" s="16">
        <v>85.0</v>
      </c>
      <c r="F1034" s="8" t="s">
        <v>260</v>
      </c>
      <c r="G1034" s="8" t="s">
        <v>1393</v>
      </c>
      <c r="H1034" s="8" t="s">
        <v>53</v>
      </c>
      <c r="I1034" s="18" t="s">
        <v>2615</v>
      </c>
      <c r="J1034" s="16">
        <v>60.0</v>
      </c>
      <c r="K1034" s="8" t="s">
        <v>45</v>
      </c>
      <c r="L1034" s="8" t="s">
        <v>216</v>
      </c>
      <c r="M1034" s="18" t="s">
        <v>2600</v>
      </c>
      <c r="N1034" s="16">
        <v>84.0</v>
      </c>
      <c r="O1034" s="8" t="s">
        <v>4963</v>
      </c>
      <c r="P1034" s="8" t="s">
        <v>93</v>
      </c>
      <c r="Q1034" s="14" t="s">
        <v>1679</v>
      </c>
      <c r="R1034" s="8" t="s">
        <v>2581</v>
      </c>
      <c r="S1034" s="14" t="s">
        <v>2618</v>
      </c>
    </row>
    <row r="1035">
      <c r="A1035" s="8" t="s">
        <v>1040</v>
      </c>
      <c r="B1035" s="8" t="s">
        <v>1039</v>
      </c>
      <c r="C1035" s="8" t="s">
        <v>192</v>
      </c>
      <c r="D1035" s="18" t="s">
        <v>2585</v>
      </c>
      <c r="E1035" s="16">
        <v>71.0</v>
      </c>
      <c r="F1035" s="8" t="s">
        <v>260</v>
      </c>
      <c r="G1035" s="8" t="s">
        <v>377</v>
      </c>
      <c r="H1035" s="8" t="s">
        <v>59</v>
      </c>
      <c r="I1035" s="18" t="s">
        <v>2577</v>
      </c>
      <c r="J1035" s="16">
        <v>86.0</v>
      </c>
      <c r="K1035" s="8" t="s">
        <v>45</v>
      </c>
      <c r="L1035" s="8" t="s">
        <v>769</v>
      </c>
      <c r="M1035" s="18" t="s">
        <v>2603</v>
      </c>
      <c r="N1035" s="16">
        <v>76.0</v>
      </c>
      <c r="O1035" s="8" t="s">
        <v>4964</v>
      </c>
      <c r="P1035" s="8" t="s">
        <v>93</v>
      </c>
      <c r="Q1035" s="14" t="s">
        <v>631</v>
      </c>
      <c r="R1035" s="8" t="s">
        <v>2603</v>
      </c>
      <c r="S1035" s="14" t="s">
        <v>2591</v>
      </c>
    </row>
    <row r="1036">
      <c r="A1036" s="8" t="s">
        <v>196</v>
      </c>
      <c r="B1036" s="8" t="s">
        <v>3152</v>
      </c>
      <c r="C1036" s="8" t="s">
        <v>65</v>
      </c>
      <c r="D1036" s="18" t="s">
        <v>2558</v>
      </c>
      <c r="E1036" s="16">
        <v>68.0</v>
      </c>
      <c r="F1036" s="8" t="s">
        <v>260</v>
      </c>
      <c r="G1036" s="8" t="s">
        <v>371</v>
      </c>
      <c r="H1036" s="8" t="s">
        <v>141</v>
      </c>
      <c r="I1036" s="18" t="s">
        <v>2600</v>
      </c>
      <c r="J1036" s="16">
        <v>63.0</v>
      </c>
      <c r="K1036" s="8" t="s">
        <v>45</v>
      </c>
      <c r="L1036" s="8" t="s">
        <v>1622</v>
      </c>
      <c r="M1036" s="18" t="s">
        <v>2558</v>
      </c>
      <c r="N1036" s="16">
        <v>71.0</v>
      </c>
      <c r="O1036" s="8" t="s">
        <v>4965</v>
      </c>
      <c r="P1036" s="8" t="s">
        <v>46</v>
      </c>
      <c r="Q1036" s="14" t="s">
        <v>2033</v>
      </c>
      <c r="R1036" s="8" t="s">
        <v>2603</v>
      </c>
      <c r="S1036" s="14" t="s">
        <v>2594</v>
      </c>
    </row>
    <row r="1037">
      <c r="A1037" s="8" t="s">
        <v>196</v>
      </c>
      <c r="B1037" s="8" t="s">
        <v>195</v>
      </c>
      <c r="C1037" s="8" t="s">
        <v>24</v>
      </c>
      <c r="D1037" s="18" t="s">
        <v>2558</v>
      </c>
      <c r="E1037" s="16">
        <v>80.0</v>
      </c>
      <c r="F1037" s="8" t="s">
        <v>260</v>
      </c>
      <c r="G1037" s="8" t="s">
        <v>3450</v>
      </c>
      <c r="H1037" s="8" t="s">
        <v>141</v>
      </c>
      <c r="I1037" s="18" t="s">
        <v>2592</v>
      </c>
      <c r="J1037" s="16">
        <v>71.0</v>
      </c>
      <c r="K1037" s="8" t="s">
        <v>45</v>
      </c>
      <c r="L1037" s="8" t="s">
        <v>225</v>
      </c>
      <c r="M1037" s="18" t="s">
        <v>2581</v>
      </c>
      <c r="N1037" s="16">
        <v>77.0</v>
      </c>
      <c r="O1037" s="8" t="s">
        <v>4966</v>
      </c>
      <c r="P1037" s="8" t="s">
        <v>192</v>
      </c>
      <c r="Q1037" s="14" t="s">
        <v>837</v>
      </c>
      <c r="R1037" s="8" t="s">
        <v>2614</v>
      </c>
      <c r="S1037" s="14" t="s">
        <v>2618</v>
      </c>
    </row>
    <row r="1038">
      <c r="A1038" s="8" t="s">
        <v>196</v>
      </c>
      <c r="B1038" s="8" t="s">
        <v>3216</v>
      </c>
      <c r="C1038" s="8" t="s">
        <v>215</v>
      </c>
      <c r="D1038" s="18" t="s">
        <v>2620</v>
      </c>
      <c r="E1038" s="16">
        <v>70.0</v>
      </c>
      <c r="F1038" s="8" t="s">
        <v>260</v>
      </c>
      <c r="G1038" s="8" t="s">
        <v>259</v>
      </c>
      <c r="H1038" s="8" t="s">
        <v>261</v>
      </c>
      <c r="I1038" s="18" t="s">
        <v>2600</v>
      </c>
      <c r="J1038" s="16">
        <v>84.0</v>
      </c>
      <c r="K1038" s="8" t="s">
        <v>1385</v>
      </c>
      <c r="L1038" s="8" t="s">
        <v>106</v>
      </c>
      <c r="M1038" s="18" t="s">
        <v>2572</v>
      </c>
      <c r="N1038" s="16">
        <v>78.0</v>
      </c>
      <c r="O1038" s="8" t="s">
        <v>4967</v>
      </c>
      <c r="P1038" s="8" t="s">
        <v>16</v>
      </c>
      <c r="Q1038" s="14" t="s">
        <v>1352</v>
      </c>
      <c r="R1038" s="8" t="s">
        <v>2592</v>
      </c>
      <c r="S1038" s="14" t="s">
        <v>2571</v>
      </c>
    </row>
    <row r="1039">
      <c r="A1039" s="8" t="s">
        <v>196</v>
      </c>
      <c r="B1039" s="8" t="s">
        <v>666</v>
      </c>
      <c r="C1039" s="8" t="s">
        <v>65</v>
      </c>
      <c r="D1039" s="18" t="s">
        <v>2595</v>
      </c>
      <c r="E1039" s="16">
        <v>62.0</v>
      </c>
      <c r="F1039" s="8" t="s">
        <v>260</v>
      </c>
      <c r="G1039" s="8" t="s">
        <v>455</v>
      </c>
      <c r="H1039" s="8" t="s">
        <v>65</v>
      </c>
      <c r="I1039" s="18" t="s">
        <v>2615</v>
      </c>
      <c r="J1039" s="16">
        <v>64.0</v>
      </c>
      <c r="K1039" s="8" t="s">
        <v>1162</v>
      </c>
      <c r="L1039" s="8" t="s">
        <v>897</v>
      </c>
      <c r="M1039" s="18" t="s">
        <v>2592</v>
      </c>
      <c r="N1039" s="16">
        <v>70.0</v>
      </c>
      <c r="O1039" s="8" t="s">
        <v>4968</v>
      </c>
      <c r="P1039" s="8" t="s">
        <v>93</v>
      </c>
      <c r="Q1039" s="14" t="s">
        <v>1679</v>
      </c>
      <c r="R1039" s="8" t="s">
        <v>2592</v>
      </c>
      <c r="S1039" s="14" t="s">
        <v>2622</v>
      </c>
    </row>
    <row r="1040">
      <c r="A1040" s="8" t="s">
        <v>196</v>
      </c>
      <c r="B1040" s="8" t="s">
        <v>1809</v>
      </c>
      <c r="C1040" s="8" t="s">
        <v>16</v>
      </c>
      <c r="D1040" s="18" t="s">
        <v>2593</v>
      </c>
      <c r="E1040" s="16">
        <v>77.0</v>
      </c>
      <c r="F1040" s="8" t="s">
        <v>499</v>
      </c>
      <c r="G1040" s="8" t="s">
        <v>760</v>
      </c>
      <c r="H1040" s="8" t="s">
        <v>122</v>
      </c>
      <c r="I1040" s="18" t="s">
        <v>2615</v>
      </c>
      <c r="J1040" s="16">
        <v>72.0</v>
      </c>
      <c r="K1040" s="8" t="s">
        <v>1186</v>
      </c>
      <c r="L1040" s="8" t="s">
        <v>1185</v>
      </c>
      <c r="M1040" s="18" t="s">
        <v>2577</v>
      </c>
      <c r="N1040" s="16">
        <v>78.0</v>
      </c>
      <c r="O1040" s="8" t="s">
        <v>4969</v>
      </c>
      <c r="P1040" s="8" t="s">
        <v>93</v>
      </c>
      <c r="Q1040" s="14" t="s">
        <v>1070</v>
      </c>
      <c r="R1040" s="8" t="s">
        <v>2574</v>
      </c>
      <c r="S1040" s="14" t="s">
        <v>2608</v>
      </c>
    </row>
    <row r="1041">
      <c r="A1041" s="8" t="s">
        <v>196</v>
      </c>
      <c r="B1041" s="8" t="s">
        <v>1270</v>
      </c>
      <c r="C1041" s="8" t="s">
        <v>186</v>
      </c>
      <c r="D1041" s="18" t="s">
        <v>2574</v>
      </c>
      <c r="E1041" s="16">
        <v>57.0</v>
      </c>
      <c r="F1041" s="8" t="s">
        <v>499</v>
      </c>
      <c r="G1041" s="8" t="s">
        <v>2740</v>
      </c>
      <c r="H1041" s="8" t="s">
        <v>53</v>
      </c>
      <c r="I1041" s="18" t="s">
        <v>2615</v>
      </c>
      <c r="J1041" s="16">
        <v>85.0</v>
      </c>
      <c r="K1041" s="8" t="s">
        <v>1186</v>
      </c>
      <c r="L1041" s="8" t="s">
        <v>2026</v>
      </c>
      <c r="M1041" s="18" t="s">
        <v>2605</v>
      </c>
      <c r="N1041" s="16">
        <v>69.0</v>
      </c>
      <c r="O1041" s="8" t="s">
        <v>4970</v>
      </c>
      <c r="P1041" s="8" t="s">
        <v>186</v>
      </c>
      <c r="Q1041" s="14" t="s">
        <v>1352</v>
      </c>
      <c r="R1041" s="8" t="s">
        <v>2560</v>
      </c>
      <c r="S1041" s="14" t="s">
        <v>2579</v>
      </c>
    </row>
    <row r="1042">
      <c r="A1042" s="8" t="s">
        <v>196</v>
      </c>
      <c r="B1042" s="8" t="s">
        <v>3786</v>
      </c>
      <c r="C1042" s="8" t="s">
        <v>215</v>
      </c>
      <c r="D1042" s="18" t="s">
        <v>2584</v>
      </c>
      <c r="E1042" s="16">
        <v>78.0</v>
      </c>
      <c r="F1042" s="8" t="s">
        <v>889</v>
      </c>
      <c r="G1042" s="8" t="s">
        <v>888</v>
      </c>
      <c r="H1042" s="8" t="s">
        <v>75</v>
      </c>
      <c r="I1042" s="18" t="s">
        <v>2600</v>
      </c>
      <c r="J1042" s="16">
        <v>65.0</v>
      </c>
      <c r="K1042" s="8" t="s">
        <v>635</v>
      </c>
      <c r="L1042" s="8" t="s">
        <v>460</v>
      </c>
      <c r="M1042" s="18" t="s">
        <v>2575</v>
      </c>
      <c r="N1042" s="16">
        <v>74.0</v>
      </c>
      <c r="O1042" s="8" t="s">
        <v>4971</v>
      </c>
      <c r="P1042" s="8" t="s">
        <v>75</v>
      </c>
      <c r="Q1042" s="14" t="s">
        <v>338</v>
      </c>
      <c r="R1042" s="8" t="s">
        <v>2598</v>
      </c>
      <c r="S1042" s="14" t="s">
        <v>2557</v>
      </c>
    </row>
    <row r="1043">
      <c r="A1043" s="8" t="s">
        <v>196</v>
      </c>
      <c r="B1043" s="8" t="s">
        <v>3111</v>
      </c>
      <c r="C1043" s="8" t="s">
        <v>46</v>
      </c>
      <c r="D1043" s="18" t="s">
        <v>2589</v>
      </c>
      <c r="E1043" s="16">
        <v>85.0</v>
      </c>
      <c r="F1043" s="8" t="s">
        <v>1136</v>
      </c>
      <c r="G1043" s="8" t="s">
        <v>1135</v>
      </c>
      <c r="H1043" s="8" t="s">
        <v>65</v>
      </c>
      <c r="I1043" s="18" t="s">
        <v>2582</v>
      </c>
      <c r="J1043" s="16">
        <v>82.0</v>
      </c>
      <c r="K1043" s="8" t="s">
        <v>2651</v>
      </c>
      <c r="L1043" s="8" t="s">
        <v>2650</v>
      </c>
      <c r="M1043" s="18" t="s">
        <v>2564</v>
      </c>
      <c r="N1043" s="16">
        <v>83.0</v>
      </c>
      <c r="O1043" s="8" t="s">
        <v>4972</v>
      </c>
      <c r="P1043" s="8" t="s">
        <v>70</v>
      </c>
      <c r="Q1043" s="14" t="s">
        <v>1679</v>
      </c>
      <c r="R1043" s="8" t="s">
        <v>2577</v>
      </c>
      <c r="S1043" s="14" t="s">
        <v>2578</v>
      </c>
    </row>
    <row r="1044">
      <c r="A1044" s="8" t="s">
        <v>625</v>
      </c>
      <c r="B1044" s="8" t="s">
        <v>455</v>
      </c>
      <c r="C1044" s="8" t="s">
        <v>65</v>
      </c>
      <c r="D1044" s="18" t="s">
        <v>2552</v>
      </c>
      <c r="E1044" s="16">
        <v>75.0</v>
      </c>
      <c r="F1044" s="8" t="s">
        <v>411</v>
      </c>
      <c r="G1044" s="8" t="s">
        <v>410</v>
      </c>
      <c r="H1044" s="8" t="s">
        <v>261</v>
      </c>
      <c r="I1044" s="18" t="s">
        <v>2556</v>
      </c>
      <c r="J1044" s="16">
        <v>72.0</v>
      </c>
      <c r="K1044" s="8" t="s">
        <v>2651</v>
      </c>
      <c r="L1044" s="8" t="s">
        <v>2704</v>
      </c>
      <c r="M1044" s="18" t="s">
        <v>2595</v>
      </c>
      <c r="N1044" s="16">
        <v>71.0</v>
      </c>
      <c r="O1044" s="8" t="s">
        <v>4973</v>
      </c>
      <c r="P1044" s="8" t="s">
        <v>138</v>
      </c>
      <c r="Q1044" s="14" t="s">
        <v>631</v>
      </c>
      <c r="R1044" s="18" t="s">
        <v>2556</v>
      </c>
      <c r="S1044" s="14" t="s">
        <v>2622</v>
      </c>
    </row>
    <row r="1045">
      <c r="A1045" s="8" t="s">
        <v>481</v>
      </c>
      <c r="B1045" s="8" t="s">
        <v>106</v>
      </c>
      <c r="C1045" s="8" t="s">
        <v>65</v>
      </c>
      <c r="D1045" s="18" t="s">
        <v>2589</v>
      </c>
      <c r="E1045" s="16">
        <v>72.0</v>
      </c>
      <c r="F1045" s="8" t="s">
        <v>1106</v>
      </c>
      <c r="G1045" s="8" t="s">
        <v>106</v>
      </c>
      <c r="H1045" s="8" t="s">
        <v>75</v>
      </c>
      <c r="I1045" s="18" t="s">
        <v>2593</v>
      </c>
      <c r="J1045" s="16">
        <v>69.0</v>
      </c>
      <c r="K1045" s="8" t="s">
        <v>2651</v>
      </c>
      <c r="L1045" s="8" t="s">
        <v>3004</v>
      </c>
      <c r="M1045" s="18" t="s">
        <v>2562</v>
      </c>
      <c r="N1045" s="16">
        <v>74.0</v>
      </c>
      <c r="O1045" s="8" t="s">
        <v>4974</v>
      </c>
      <c r="P1045" s="8" t="s">
        <v>186</v>
      </c>
      <c r="Q1045" s="14" t="s">
        <v>1679</v>
      </c>
      <c r="R1045" s="8" t="s">
        <v>2558</v>
      </c>
      <c r="S1045" s="14" t="s">
        <v>2594</v>
      </c>
    </row>
    <row r="1046">
      <c r="A1046" s="8" t="s">
        <v>1588</v>
      </c>
      <c r="B1046" s="8" t="s">
        <v>223</v>
      </c>
      <c r="C1046" s="8" t="s">
        <v>122</v>
      </c>
      <c r="D1046" s="18" t="s">
        <v>2603</v>
      </c>
      <c r="E1046" s="16">
        <v>73.0</v>
      </c>
      <c r="F1046" s="8" t="s">
        <v>388</v>
      </c>
      <c r="G1046" s="8" t="s">
        <v>282</v>
      </c>
      <c r="H1046" s="8" t="s">
        <v>93</v>
      </c>
      <c r="I1046" s="18" t="s">
        <v>2566</v>
      </c>
      <c r="J1046" s="16">
        <v>89.0</v>
      </c>
      <c r="K1046" s="8" t="s">
        <v>2947</v>
      </c>
      <c r="L1046" s="8" t="s">
        <v>2946</v>
      </c>
      <c r="M1046" s="18" t="s">
        <v>2584</v>
      </c>
      <c r="N1046" s="16">
        <v>69.0</v>
      </c>
      <c r="O1046" s="8" t="s">
        <v>4975</v>
      </c>
      <c r="P1046" s="8" t="s">
        <v>75</v>
      </c>
      <c r="Q1046" s="14" t="s">
        <v>2459</v>
      </c>
      <c r="R1046" s="8" t="s">
        <v>2605</v>
      </c>
      <c r="S1046" s="14" t="s">
        <v>2590</v>
      </c>
    </row>
    <row r="1047">
      <c r="A1047" s="8" t="s">
        <v>1205</v>
      </c>
      <c r="B1047" s="8" t="s">
        <v>2315</v>
      </c>
      <c r="C1047" s="8" t="s">
        <v>65</v>
      </c>
      <c r="D1047" s="18" t="s">
        <v>2587</v>
      </c>
      <c r="E1047" s="16">
        <v>67.0</v>
      </c>
      <c r="F1047" s="8" t="s">
        <v>1040</v>
      </c>
      <c r="G1047" s="8" t="s">
        <v>1039</v>
      </c>
      <c r="H1047" s="8" t="s">
        <v>192</v>
      </c>
      <c r="I1047" s="18" t="s">
        <v>2585</v>
      </c>
      <c r="J1047" s="16">
        <v>72.0</v>
      </c>
      <c r="K1047" s="8" t="s">
        <v>1051</v>
      </c>
      <c r="L1047" s="8" t="s">
        <v>537</v>
      </c>
      <c r="M1047" s="18" t="s">
        <v>2575</v>
      </c>
      <c r="N1047" s="16">
        <v>65.0</v>
      </c>
      <c r="O1047" s="8" t="s">
        <v>4976</v>
      </c>
      <c r="P1047" s="8" t="s">
        <v>261</v>
      </c>
      <c r="Q1047" s="14" t="s">
        <v>237</v>
      </c>
      <c r="R1047" s="8" t="s">
        <v>2600</v>
      </c>
      <c r="S1047" s="14" t="s">
        <v>2601</v>
      </c>
    </row>
    <row r="1048">
      <c r="A1048" s="8" t="s">
        <v>1668</v>
      </c>
      <c r="B1048" s="8" t="s">
        <v>3404</v>
      </c>
      <c r="C1048" s="8" t="s">
        <v>75</v>
      </c>
      <c r="D1048" s="18" t="s">
        <v>2183</v>
      </c>
      <c r="E1048" s="16">
        <v>64.0</v>
      </c>
      <c r="F1048" s="8" t="s">
        <v>196</v>
      </c>
      <c r="G1048" s="8" t="s">
        <v>3216</v>
      </c>
      <c r="H1048" s="8" t="s">
        <v>215</v>
      </c>
      <c r="I1048" s="18" t="s">
        <v>2620</v>
      </c>
      <c r="J1048" s="16">
        <v>71.0</v>
      </c>
      <c r="K1048" s="8" t="s">
        <v>1051</v>
      </c>
      <c r="L1048" s="8" t="s">
        <v>1050</v>
      </c>
      <c r="M1048" s="18" t="s">
        <v>2572</v>
      </c>
      <c r="N1048" s="16">
        <v>74.0</v>
      </c>
      <c r="O1048" s="8" t="s">
        <v>4977</v>
      </c>
      <c r="P1048" s="8" t="s">
        <v>141</v>
      </c>
      <c r="Q1048" s="14" t="s">
        <v>338</v>
      </c>
      <c r="R1048" s="8" t="s">
        <v>2600</v>
      </c>
      <c r="S1048" s="14" t="s">
        <v>2637</v>
      </c>
    </row>
    <row r="1049">
      <c r="A1049" s="8" t="s">
        <v>1227</v>
      </c>
      <c r="B1049" s="8" t="s">
        <v>377</v>
      </c>
      <c r="C1049" s="8" t="s">
        <v>132</v>
      </c>
      <c r="D1049" s="18" t="s">
        <v>2560</v>
      </c>
      <c r="E1049" s="16">
        <v>67.0</v>
      </c>
      <c r="F1049" s="8" t="s">
        <v>196</v>
      </c>
      <c r="G1049" s="8" t="s">
        <v>195</v>
      </c>
      <c r="H1049" s="8" t="s">
        <v>24</v>
      </c>
      <c r="I1049" s="18" t="s">
        <v>2556</v>
      </c>
      <c r="J1049" s="16">
        <v>85.0</v>
      </c>
      <c r="K1049" s="8" t="s">
        <v>1051</v>
      </c>
      <c r="L1049" s="8" t="s">
        <v>2231</v>
      </c>
      <c r="M1049" s="18" t="s">
        <v>2577</v>
      </c>
      <c r="N1049" s="16">
        <v>72.0</v>
      </c>
      <c r="O1049" s="8" t="s">
        <v>4978</v>
      </c>
      <c r="P1049" s="8" t="s">
        <v>75</v>
      </c>
      <c r="Q1049" s="14" t="s">
        <v>837</v>
      </c>
      <c r="R1049" s="8" t="s">
        <v>2575</v>
      </c>
      <c r="S1049" s="14" t="s">
        <v>2568</v>
      </c>
    </row>
    <row r="1050">
      <c r="A1050" s="8" t="s">
        <v>1227</v>
      </c>
      <c r="B1050" s="8" t="s">
        <v>282</v>
      </c>
      <c r="C1050" s="8" t="s">
        <v>138</v>
      </c>
      <c r="D1050" s="18" t="s">
        <v>2560</v>
      </c>
      <c r="E1050" s="16">
        <v>66.0</v>
      </c>
      <c r="F1050" s="8" t="s">
        <v>196</v>
      </c>
      <c r="G1050" s="8" t="s">
        <v>3152</v>
      </c>
      <c r="H1050" s="8" t="s">
        <v>65</v>
      </c>
      <c r="I1050" s="18" t="s">
        <v>2554</v>
      </c>
      <c r="J1050" s="16">
        <v>69.0</v>
      </c>
      <c r="K1050" s="8" t="s">
        <v>1971</v>
      </c>
      <c r="L1050" s="8" t="s">
        <v>99</v>
      </c>
      <c r="M1050" s="18" t="s">
        <v>2614</v>
      </c>
      <c r="N1050" s="16">
        <v>78.0</v>
      </c>
      <c r="O1050" s="8" t="s">
        <v>4979</v>
      </c>
      <c r="P1050" s="8" t="s">
        <v>138</v>
      </c>
      <c r="Q1050" s="14" t="s">
        <v>1679</v>
      </c>
      <c r="R1050" s="8" t="s">
        <v>2558</v>
      </c>
      <c r="S1050" s="14" t="s">
        <v>2555</v>
      </c>
    </row>
    <row r="1051">
      <c r="A1051" s="8" t="s">
        <v>1227</v>
      </c>
      <c r="B1051" s="8" t="s">
        <v>284</v>
      </c>
      <c r="C1051" s="8" t="s">
        <v>59</v>
      </c>
      <c r="D1051" s="18" t="s">
        <v>2577</v>
      </c>
      <c r="E1051" s="16">
        <v>73.0</v>
      </c>
      <c r="F1051" s="8" t="s">
        <v>196</v>
      </c>
      <c r="G1051" s="8" t="s">
        <v>1809</v>
      </c>
      <c r="H1051" s="8" t="s">
        <v>16</v>
      </c>
      <c r="I1051" s="18" t="s">
        <v>2593</v>
      </c>
      <c r="J1051" s="16">
        <v>73.0</v>
      </c>
      <c r="K1051" s="8" t="s">
        <v>1722</v>
      </c>
      <c r="L1051" s="8" t="s">
        <v>106</v>
      </c>
      <c r="M1051" s="18" t="s">
        <v>2621</v>
      </c>
      <c r="N1051" s="16">
        <v>72.0</v>
      </c>
      <c r="O1051" s="8" t="s">
        <v>4980</v>
      </c>
      <c r="P1051" s="8" t="s">
        <v>24</v>
      </c>
      <c r="Q1051" s="14" t="s">
        <v>837</v>
      </c>
      <c r="R1051" s="8" t="s">
        <v>2584</v>
      </c>
      <c r="S1051" s="14" t="s">
        <v>2601</v>
      </c>
    </row>
    <row r="1052">
      <c r="A1052" s="8" t="s">
        <v>1227</v>
      </c>
      <c r="B1052" s="8" t="s">
        <v>1226</v>
      </c>
      <c r="C1052" s="8" t="s">
        <v>65</v>
      </c>
      <c r="D1052" s="18" t="s">
        <v>2581</v>
      </c>
      <c r="E1052" s="16">
        <v>87.0</v>
      </c>
      <c r="F1052" s="8" t="s">
        <v>196</v>
      </c>
      <c r="G1052" s="8" t="s">
        <v>1270</v>
      </c>
      <c r="H1052" s="8" t="s">
        <v>53</v>
      </c>
      <c r="I1052" s="18" t="s">
        <v>2574</v>
      </c>
      <c r="J1052" s="16">
        <v>60.0</v>
      </c>
      <c r="K1052" s="8" t="s">
        <v>1495</v>
      </c>
      <c r="L1052" s="8" t="s">
        <v>557</v>
      </c>
      <c r="M1052" s="18" t="s">
        <v>2552</v>
      </c>
      <c r="N1052" s="16">
        <v>67.0</v>
      </c>
      <c r="O1052" s="8" t="s">
        <v>4981</v>
      </c>
      <c r="P1052" s="8" t="s">
        <v>59</v>
      </c>
      <c r="Q1052" s="14" t="s">
        <v>1679</v>
      </c>
      <c r="R1052" s="8" t="s">
        <v>2584</v>
      </c>
      <c r="S1052" s="14" t="s">
        <v>2563</v>
      </c>
    </row>
    <row r="1053">
      <c r="A1053" s="8" t="s">
        <v>45</v>
      </c>
      <c r="B1053" s="8" t="s">
        <v>3630</v>
      </c>
      <c r="C1053" s="8" t="s">
        <v>59</v>
      </c>
      <c r="D1053" s="18" t="s">
        <v>2585</v>
      </c>
      <c r="E1053" s="16">
        <v>60.0</v>
      </c>
      <c r="F1053" s="8" t="s">
        <v>196</v>
      </c>
      <c r="G1053" s="8" t="s">
        <v>3111</v>
      </c>
      <c r="H1053" s="8" t="s">
        <v>149</v>
      </c>
      <c r="I1053" s="18" t="s">
        <v>2589</v>
      </c>
      <c r="J1053" s="16">
        <v>84.0</v>
      </c>
      <c r="K1053" s="8" t="s">
        <v>898</v>
      </c>
      <c r="L1053" s="8" t="s">
        <v>897</v>
      </c>
      <c r="M1053" s="18" t="s">
        <v>2595</v>
      </c>
      <c r="N1053" s="16">
        <v>73.0</v>
      </c>
      <c r="O1053" s="8" t="s">
        <v>4982</v>
      </c>
      <c r="P1053" s="8" t="s">
        <v>53</v>
      </c>
      <c r="Q1053" s="14" t="s">
        <v>1070</v>
      </c>
      <c r="R1053" s="8" t="s">
        <v>2605</v>
      </c>
      <c r="S1053" s="14" t="s">
        <v>2594</v>
      </c>
    </row>
    <row r="1054">
      <c r="A1054" s="8" t="s">
        <v>45</v>
      </c>
      <c r="B1054" s="8" t="s">
        <v>284</v>
      </c>
      <c r="C1054" s="8" t="s">
        <v>215</v>
      </c>
      <c r="D1054" s="18" t="s">
        <v>2581</v>
      </c>
      <c r="E1054" s="16">
        <v>77.0</v>
      </c>
      <c r="F1054" s="8" t="s">
        <v>625</v>
      </c>
      <c r="G1054" s="8" t="s">
        <v>455</v>
      </c>
      <c r="H1054" s="8" t="s">
        <v>65</v>
      </c>
      <c r="I1054" s="18" t="s">
        <v>2552</v>
      </c>
      <c r="J1054" s="16">
        <v>73.0</v>
      </c>
      <c r="K1054" s="8" t="s">
        <v>712</v>
      </c>
      <c r="L1054" s="8" t="s">
        <v>1157</v>
      </c>
      <c r="M1054" s="18" t="s">
        <v>2610</v>
      </c>
      <c r="N1054" s="16">
        <v>68.0</v>
      </c>
      <c r="O1054" s="8" t="s">
        <v>4983</v>
      </c>
      <c r="P1054" s="8" t="s">
        <v>65</v>
      </c>
      <c r="Q1054" s="14" t="s">
        <v>2033</v>
      </c>
      <c r="R1054" s="8" t="s">
        <v>2577</v>
      </c>
      <c r="S1054" s="14" t="s">
        <v>2601</v>
      </c>
    </row>
    <row r="1055">
      <c r="A1055" s="8" t="s">
        <v>45</v>
      </c>
      <c r="B1055" s="8" t="s">
        <v>290</v>
      </c>
      <c r="C1055" s="8" t="s">
        <v>141</v>
      </c>
      <c r="D1055" s="18" t="s">
        <v>2564</v>
      </c>
      <c r="E1055" s="16">
        <v>85.0</v>
      </c>
      <c r="F1055" s="8" t="s">
        <v>481</v>
      </c>
      <c r="G1055" s="8" t="s">
        <v>106</v>
      </c>
      <c r="H1055" s="8" t="s">
        <v>65</v>
      </c>
      <c r="I1055" s="18" t="s">
        <v>2589</v>
      </c>
      <c r="J1055" s="16">
        <v>74.0</v>
      </c>
      <c r="K1055" s="8" t="s">
        <v>712</v>
      </c>
      <c r="L1055" s="8" t="s">
        <v>2861</v>
      </c>
      <c r="M1055" s="18" t="s">
        <v>2615</v>
      </c>
      <c r="N1055" s="16">
        <v>70.0</v>
      </c>
      <c r="O1055" s="8" t="s">
        <v>4984</v>
      </c>
      <c r="P1055" s="8" t="s">
        <v>70</v>
      </c>
      <c r="Q1055" s="14" t="s">
        <v>837</v>
      </c>
      <c r="R1055" s="8" t="s">
        <v>2600</v>
      </c>
      <c r="S1055" s="14" t="s">
        <v>2633</v>
      </c>
    </row>
    <row r="1056">
      <c r="A1056" s="8" t="s">
        <v>45</v>
      </c>
      <c r="B1056" s="8" t="s">
        <v>216</v>
      </c>
      <c r="C1056" s="8" t="s">
        <v>93</v>
      </c>
      <c r="D1056" s="18" t="s">
        <v>2621</v>
      </c>
      <c r="E1056" s="16">
        <v>80.0</v>
      </c>
      <c r="F1056" s="8" t="s">
        <v>2080</v>
      </c>
      <c r="G1056" s="8" t="s">
        <v>61</v>
      </c>
      <c r="H1056" s="8" t="s">
        <v>186</v>
      </c>
      <c r="I1056" s="18" t="s">
        <v>2554</v>
      </c>
      <c r="J1056" s="16">
        <v>74.0</v>
      </c>
      <c r="K1056" s="8" t="s">
        <v>712</v>
      </c>
      <c r="L1056" s="8" t="s">
        <v>2907</v>
      </c>
      <c r="M1056" s="18" t="s">
        <v>2585</v>
      </c>
      <c r="N1056" s="16">
        <v>76.0</v>
      </c>
      <c r="O1056" s="8" t="s">
        <v>4985</v>
      </c>
      <c r="P1056" s="8" t="s">
        <v>24</v>
      </c>
      <c r="Q1056" s="14" t="s">
        <v>338</v>
      </c>
      <c r="R1056" s="8" t="s">
        <v>2183</v>
      </c>
      <c r="S1056" s="14" t="s">
        <v>2640</v>
      </c>
    </row>
    <row r="1057">
      <c r="A1057" s="8" t="s">
        <v>45</v>
      </c>
      <c r="B1057" s="8" t="s">
        <v>769</v>
      </c>
      <c r="C1057" s="8" t="s">
        <v>12</v>
      </c>
      <c r="D1057" s="18" t="s">
        <v>2584</v>
      </c>
      <c r="E1057" s="16">
        <v>77.0</v>
      </c>
      <c r="F1057" s="8" t="s">
        <v>1588</v>
      </c>
      <c r="G1057" s="8" t="s">
        <v>223</v>
      </c>
      <c r="H1057" s="8" t="s">
        <v>122</v>
      </c>
      <c r="I1057" s="18" t="s">
        <v>2603</v>
      </c>
      <c r="J1057" s="16">
        <v>73.0</v>
      </c>
      <c r="K1057" s="8" t="s">
        <v>712</v>
      </c>
      <c r="L1057" s="8" t="s">
        <v>785</v>
      </c>
      <c r="M1057" s="18" t="s">
        <v>2572</v>
      </c>
      <c r="N1057" s="16">
        <v>66.0</v>
      </c>
      <c r="O1057" s="8" t="s">
        <v>4986</v>
      </c>
      <c r="P1057" s="8" t="s">
        <v>53</v>
      </c>
      <c r="Q1057" s="14" t="s">
        <v>459</v>
      </c>
      <c r="R1057" s="8" t="s">
        <v>2600</v>
      </c>
      <c r="S1057" s="14" t="s">
        <v>2602</v>
      </c>
    </row>
    <row r="1058">
      <c r="A1058" s="8" t="s">
        <v>45</v>
      </c>
      <c r="B1058" s="8" t="s">
        <v>44</v>
      </c>
      <c r="C1058" s="8" t="s">
        <v>46</v>
      </c>
      <c r="D1058" s="18" t="s">
        <v>2564</v>
      </c>
      <c r="E1058" s="16">
        <v>87.0</v>
      </c>
      <c r="F1058" s="8" t="s">
        <v>1668</v>
      </c>
      <c r="G1058" s="8" t="s">
        <v>3404</v>
      </c>
      <c r="H1058" s="8" t="s">
        <v>132</v>
      </c>
      <c r="I1058" s="18" t="s">
        <v>2575</v>
      </c>
      <c r="J1058" s="16">
        <v>64.0</v>
      </c>
      <c r="K1058" s="8" t="s">
        <v>712</v>
      </c>
      <c r="L1058" s="8" t="s">
        <v>460</v>
      </c>
      <c r="M1058" s="18" t="s">
        <v>2562</v>
      </c>
      <c r="N1058" s="16">
        <v>73.0</v>
      </c>
      <c r="O1058" s="8" t="s">
        <v>4987</v>
      </c>
      <c r="P1058" s="8" t="s">
        <v>122</v>
      </c>
      <c r="Q1058" s="14" t="s">
        <v>631</v>
      </c>
      <c r="R1058" s="8" t="s">
        <v>2603</v>
      </c>
      <c r="S1058" s="14" t="s">
        <v>2563</v>
      </c>
    </row>
    <row r="1059">
      <c r="A1059" s="8" t="s">
        <v>45</v>
      </c>
      <c r="B1059" s="8" t="s">
        <v>414</v>
      </c>
      <c r="C1059" s="8" t="s">
        <v>138</v>
      </c>
      <c r="D1059" s="18" t="s">
        <v>2566</v>
      </c>
      <c r="E1059" s="16">
        <v>85.0</v>
      </c>
      <c r="F1059" s="8" t="s">
        <v>1668</v>
      </c>
      <c r="G1059" s="8" t="s">
        <v>451</v>
      </c>
      <c r="H1059" s="8" t="s">
        <v>192</v>
      </c>
      <c r="I1059" s="18" t="s">
        <v>2584</v>
      </c>
      <c r="J1059" s="16">
        <v>62.0</v>
      </c>
      <c r="K1059" s="8" t="s">
        <v>712</v>
      </c>
      <c r="L1059" s="8" t="s">
        <v>711</v>
      </c>
      <c r="M1059" s="18" t="s">
        <v>2614</v>
      </c>
      <c r="N1059" s="16">
        <v>74.0</v>
      </c>
      <c r="O1059" s="8" t="s">
        <v>4988</v>
      </c>
      <c r="P1059" s="8" t="s">
        <v>132</v>
      </c>
      <c r="Q1059" s="14" t="s">
        <v>2033</v>
      </c>
      <c r="R1059" s="8" t="s">
        <v>2593</v>
      </c>
      <c r="S1059" s="14" t="s">
        <v>2580</v>
      </c>
    </row>
    <row r="1060">
      <c r="A1060" s="8" t="s">
        <v>45</v>
      </c>
      <c r="B1060" s="8" t="s">
        <v>1622</v>
      </c>
      <c r="C1060" s="8" t="s">
        <v>46</v>
      </c>
      <c r="D1060" s="18" t="s">
        <v>2558</v>
      </c>
      <c r="E1060" s="16">
        <v>70.0</v>
      </c>
      <c r="F1060" s="8" t="s">
        <v>2867</v>
      </c>
      <c r="G1060" s="8" t="s">
        <v>284</v>
      </c>
      <c r="H1060" s="8" t="s">
        <v>122</v>
      </c>
      <c r="I1060" s="18" t="s">
        <v>2566</v>
      </c>
      <c r="J1060" s="16">
        <v>64.0</v>
      </c>
      <c r="K1060" s="8" t="s">
        <v>712</v>
      </c>
      <c r="L1060" s="8" t="s">
        <v>1195</v>
      </c>
      <c r="M1060" s="18" t="s">
        <v>2620</v>
      </c>
      <c r="N1060" s="16">
        <v>74.0</v>
      </c>
      <c r="O1060" s="8" t="s">
        <v>4989</v>
      </c>
      <c r="P1060" s="8" t="s">
        <v>75</v>
      </c>
      <c r="Q1060" s="14" t="s">
        <v>837</v>
      </c>
      <c r="R1060" s="8" t="s">
        <v>2621</v>
      </c>
      <c r="S1060" s="14" t="s">
        <v>2570</v>
      </c>
    </row>
    <row r="1061">
      <c r="A1061" s="8" t="s">
        <v>45</v>
      </c>
      <c r="B1061" s="8" t="s">
        <v>820</v>
      </c>
      <c r="C1061" s="8" t="s">
        <v>93</v>
      </c>
      <c r="D1061" s="18" t="s">
        <v>2572</v>
      </c>
      <c r="E1061" s="16">
        <v>88.0</v>
      </c>
      <c r="F1061" s="8" t="s">
        <v>1227</v>
      </c>
      <c r="G1061" s="8" t="s">
        <v>282</v>
      </c>
      <c r="H1061" s="8" t="s">
        <v>215</v>
      </c>
      <c r="I1061" s="18" t="s">
        <v>2183</v>
      </c>
      <c r="J1061" s="16">
        <v>68.0</v>
      </c>
      <c r="K1061" s="8" t="s">
        <v>1404</v>
      </c>
      <c r="L1061" s="8" t="s">
        <v>1403</v>
      </c>
      <c r="M1061" s="18" t="s">
        <v>2183</v>
      </c>
      <c r="N1061" s="16">
        <v>69.0</v>
      </c>
      <c r="O1061" s="8" t="s">
        <v>4990</v>
      </c>
      <c r="P1061" s="8" t="s">
        <v>65</v>
      </c>
      <c r="Q1061" s="14" t="s">
        <v>1070</v>
      </c>
      <c r="R1061" s="8" t="s">
        <v>2560</v>
      </c>
      <c r="S1061" s="14" t="s">
        <v>2608</v>
      </c>
    </row>
    <row r="1062">
      <c r="A1062" s="8" t="s">
        <v>45</v>
      </c>
      <c r="B1062" s="8" t="s">
        <v>3891</v>
      </c>
      <c r="C1062" s="8" t="s">
        <v>46</v>
      </c>
      <c r="D1062" s="18" t="s">
        <v>2605</v>
      </c>
      <c r="E1062" s="16">
        <v>65.0</v>
      </c>
      <c r="F1062" s="8" t="s">
        <v>1227</v>
      </c>
      <c r="G1062" s="8" t="s">
        <v>284</v>
      </c>
      <c r="H1062" s="8" t="s">
        <v>59</v>
      </c>
      <c r="I1062" s="18" t="s">
        <v>2589</v>
      </c>
      <c r="J1062" s="16">
        <v>76.0</v>
      </c>
      <c r="K1062" s="8" t="s">
        <v>1470</v>
      </c>
      <c r="L1062" s="8" t="s">
        <v>1187</v>
      </c>
      <c r="M1062" s="18" t="s">
        <v>2577</v>
      </c>
      <c r="N1062" s="16">
        <v>70.0</v>
      </c>
      <c r="O1062" s="8" t="s">
        <v>4991</v>
      </c>
      <c r="P1062" s="8" t="s">
        <v>122</v>
      </c>
      <c r="Q1062" s="14" t="s">
        <v>1679</v>
      </c>
      <c r="R1062" s="8" t="s">
        <v>2581</v>
      </c>
      <c r="S1062" s="14" t="s">
        <v>2609</v>
      </c>
    </row>
    <row r="1063">
      <c r="A1063" s="8" t="s">
        <v>45</v>
      </c>
      <c r="B1063" s="8" t="s">
        <v>56</v>
      </c>
      <c r="C1063" s="8" t="s">
        <v>24</v>
      </c>
      <c r="D1063" s="18" t="s">
        <v>2614</v>
      </c>
      <c r="E1063" s="16">
        <v>87.0</v>
      </c>
      <c r="F1063" s="8" t="s">
        <v>1227</v>
      </c>
      <c r="G1063" s="8" t="s">
        <v>377</v>
      </c>
      <c r="H1063" s="8" t="s">
        <v>132</v>
      </c>
      <c r="I1063" s="18" t="s">
        <v>2592</v>
      </c>
      <c r="J1063" s="16">
        <v>66.0</v>
      </c>
      <c r="K1063" s="8" t="s">
        <v>1072</v>
      </c>
      <c r="L1063" s="8" t="s">
        <v>835</v>
      </c>
      <c r="M1063" s="18" t="s">
        <v>2566</v>
      </c>
      <c r="N1063" s="16">
        <v>68.0</v>
      </c>
      <c r="O1063" s="8" t="s">
        <v>4992</v>
      </c>
      <c r="P1063" s="8" t="s">
        <v>261</v>
      </c>
      <c r="Q1063" s="14" t="s">
        <v>338</v>
      </c>
      <c r="R1063" s="8" t="s">
        <v>2614</v>
      </c>
      <c r="S1063" s="14" t="s">
        <v>2557</v>
      </c>
    </row>
    <row r="1064">
      <c r="A1064" s="8" t="s">
        <v>3564</v>
      </c>
      <c r="B1064" s="8" t="s">
        <v>478</v>
      </c>
      <c r="C1064" s="8" t="s">
        <v>186</v>
      </c>
      <c r="D1064" s="18" t="s">
        <v>2566</v>
      </c>
      <c r="E1064" s="16">
        <v>72.0</v>
      </c>
      <c r="F1064" s="8" t="s">
        <v>1227</v>
      </c>
      <c r="G1064" s="8" t="s">
        <v>1226</v>
      </c>
      <c r="H1064" s="8" t="s">
        <v>65</v>
      </c>
      <c r="I1064" s="18" t="s">
        <v>2581</v>
      </c>
      <c r="J1064" s="16">
        <v>88.0</v>
      </c>
      <c r="K1064" s="8" t="s">
        <v>798</v>
      </c>
      <c r="L1064" s="8" t="s">
        <v>546</v>
      </c>
      <c r="M1064" s="18" t="s">
        <v>2567</v>
      </c>
      <c r="N1064" s="16">
        <v>65.0</v>
      </c>
      <c r="O1064" s="8" t="s">
        <v>4993</v>
      </c>
      <c r="P1064" s="8" t="s">
        <v>132</v>
      </c>
      <c r="Q1064" s="14" t="s">
        <v>1070</v>
      </c>
      <c r="R1064" s="8" t="s">
        <v>2598</v>
      </c>
      <c r="S1064" s="14" t="s">
        <v>2622</v>
      </c>
    </row>
    <row r="1065">
      <c r="A1065" s="8" t="s">
        <v>1385</v>
      </c>
      <c r="B1065" s="8" t="s">
        <v>106</v>
      </c>
      <c r="C1065" s="8" t="s">
        <v>53</v>
      </c>
      <c r="D1065" s="18" t="s">
        <v>2572</v>
      </c>
      <c r="E1065" s="16">
        <v>65.0</v>
      </c>
      <c r="F1065" s="8" t="s">
        <v>45</v>
      </c>
      <c r="G1065" s="8" t="s">
        <v>1419</v>
      </c>
      <c r="H1065" s="8" t="s">
        <v>24</v>
      </c>
      <c r="I1065" s="18" t="s">
        <v>2587</v>
      </c>
      <c r="J1065" s="16">
        <v>66.0</v>
      </c>
      <c r="K1065" s="8" t="s">
        <v>798</v>
      </c>
      <c r="L1065" s="8" t="s">
        <v>1076</v>
      </c>
      <c r="M1065" s="18" t="s">
        <v>2585</v>
      </c>
      <c r="N1065" s="16">
        <v>73.0</v>
      </c>
      <c r="O1065" s="8" t="s">
        <v>4994</v>
      </c>
      <c r="P1065" s="8" t="s">
        <v>93</v>
      </c>
      <c r="Q1065" s="14" t="s">
        <v>338</v>
      </c>
      <c r="R1065" s="8" t="s">
        <v>2566</v>
      </c>
      <c r="S1065" s="14" t="s">
        <v>2607</v>
      </c>
    </row>
    <row r="1066">
      <c r="A1066" s="8" t="s">
        <v>3528</v>
      </c>
      <c r="B1066" s="8" t="s">
        <v>3527</v>
      </c>
      <c r="C1066" s="8" t="s">
        <v>93</v>
      </c>
      <c r="D1066" s="18" t="s">
        <v>2587</v>
      </c>
      <c r="E1066" s="16">
        <v>73.0</v>
      </c>
      <c r="F1066" s="8" t="s">
        <v>45</v>
      </c>
      <c r="G1066" s="8" t="s">
        <v>769</v>
      </c>
      <c r="H1066" s="8" t="s">
        <v>12</v>
      </c>
      <c r="I1066" s="18" t="s">
        <v>2584</v>
      </c>
      <c r="J1066" s="16">
        <v>78.0</v>
      </c>
      <c r="K1066" s="8" t="s">
        <v>798</v>
      </c>
      <c r="L1066" s="8" t="s">
        <v>3000</v>
      </c>
      <c r="M1066" s="18" t="s">
        <v>2620</v>
      </c>
      <c r="N1066" s="16">
        <v>71.0</v>
      </c>
      <c r="O1066" s="8" t="s">
        <v>4995</v>
      </c>
      <c r="P1066" s="8" t="s">
        <v>80</v>
      </c>
      <c r="Q1066" s="14" t="s">
        <v>2033</v>
      </c>
      <c r="R1066" s="8" t="s">
        <v>2587</v>
      </c>
      <c r="S1066" s="14" t="s">
        <v>2579</v>
      </c>
    </row>
    <row r="1067">
      <c r="A1067" s="8" t="s">
        <v>1186</v>
      </c>
      <c r="B1067" s="8" t="s">
        <v>1185</v>
      </c>
      <c r="C1067" s="8" t="s">
        <v>122</v>
      </c>
      <c r="D1067" s="18" t="s">
        <v>2577</v>
      </c>
      <c r="E1067" s="16">
        <v>68.0</v>
      </c>
      <c r="F1067" s="8" t="s">
        <v>45</v>
      </c>
      <c r="G1067" s="8" t="s">
        <v>820</v>
      </c>
      <c r="H1067" s="8" t="s">
        <v>93</v>
      </c>
      <c r="I1067" s="18" t="s">
        <v>2572</v>
      </c>
      <c r="J1067" s="16">
        <v>86.0</v>
      </c>
      <c r="K1067" s="8" t="s">
        <v>798</v>
      </c>
      <c r="L1067" s="8" t="s">
        <v>1510</v>
      </c>
      <c r="M1067" s="18" t="s">
        <v>2554</v>
      </c>
      <c r="N1067" s="16">
        <v>66.0</v>
      </c>
      <c r="O1067" s="8" t="s">
        <v>4996</v>
      </c>
      <c r="P1067" s="8" t="s">
        <v>192</v>
      </c>
      <c r="Q1067" s="14" t="s">
        <v>837</v>
      </c>
      <c r="R1067" s="8" t="s">
        <v>2585</v>
      </c>
      <c r="S1067" s="14" t="s">
        <v>2607</v>
      </c>
    </row>
    <row r="1068">
      <c r="A1068" s="8" t="s">
        <v>3681</v>
      </c>
      <c r="B1068" s="8" t="s">
        <v>2127</v>
      </c>
      <c r="C1068" s="8" t="s">
        <v>65</v>
      </c>
      <c r="D1068" s="18" t="s">
        <v>2572</v>
      </c>
      <c r="E1068" s="16">
        <v>67.0</v>
      </c>
      <c r="F1068" s="8" t="s">
        <v>45</v>
      </c>
      <c r="G1068" s="8" t="s">
        <v>44</v>
      </c>
      <c r="H1068" s="8" t="s">
        <v>46</v>
      </c>
      <c r="I1068" s="18" t="s">
        <v>2564</v>
      </c>
      <c r="J1068" s="16">
        <v>87.0</v>
      </c>
      <c r="K1068" s="8" t="s">
        <v>798</v>
      </c>
      <c r="L1068" s="8" t="s">
        <v>3107</v>
      </c>
      <c r="M1068" s="18" t="s">
        <v>2554</v>
      </c>
      <c r="N1068" s="16">
        <v>63.0</v>
      </c>
      <c r="O1068" s="8" t="s">
        <v>4997</v>
      </c>
      <c r="P1068" s="8" t="s">
        <v>24</v>
      </c>
      <c r="Q1068" s="14" t="s">
        <v>189</v>
      </c>
      <c r="R1068" s="8" t="s">
        <v>2595</v>
      </c>
      <c r="S1068" s="14" t="s">
        <v>2604</v>
      </c>
    </row>
    <row r="1069">
      <c r="A1069" s="8" t="s">
        <v>635</v>
      </c>
      <c r="B1069" s="8" t="s">
        <v>460</v>
      </c>
      <c r="C1069" s="8" t="s">
        <v>70</v>
      </c>
      <c r="D1069" s="18" t="s">
        <v>2575</v>
      </c>
      <c r="E1069" s="16">
        <v>74.0</v>
      </c>
      <c r="F1069" s="8" t="s">
        <v>45</v>
      </c>
      <c r="G1069" s="8" t="s">
        <v>290</v>
      </c>
      <c r="H1069" s="8" t="s">
        <v>141</v>
      </c>
      <c r="I1069" s="18" t="s">
        <v>2564</v>
      </c>
      <c r="J1069" s="16">
        <v>76.0</v>
      </c>
      <c r="K1069" s="8" t="s">
        <v>798</v>
      </c>
      <c r="L1069" s="8" t="s">
        <v>797</v>
      </c>
      <c r="M1069" s="18" t="s">
        <v>2574</v>
      </c>
      <c r="N1069" s="16">
        <v>66.0</v>
      </c>
      <c r="O1069" s="8" t="s">
        <v>4998</v>
      </c>
      <c r="P1069" s="8" t="s">
        <v>16</v>
      </c>
      <c r="Q1069" s="14" t="s">
        <v>1679</v>
      </c>
      <c r="R1069" s="8" t="s">
        <v>2593</v>
      </c>
      <c r="S1069" s="14" t="s">
        <v>2578</v>
      </c>
    </row>
    <row r="1070">
      <c r="A1070" s="8" t="s">
        <v>2651</v>
      </c>
      <c r="B1070" s="8" t="s">
        <v>2650</v>
      </c>
      <c r="C1070" s="8" t="s">
        <v>70</v>
      </c>
      <c r="D1070" s="18" t="s">
        <v>2581</v>
      </c>
      <c r="E1070" s="16">
        <v>75.0</v>
      </c>
      <c r="F1070" s="8" t="s">
        <v>45</v>
      </c>
      <c r="G1070" s="8" t="s">
        <v>216</v>
      </c>
      <c r="H1070" s="8" t="s">
        <v>93</v>
      </c>
      <c r="I1070" s="18" t="s">
        <v>2615</v>
      </c>
      <c r="J1070" s="16">
        <v>81.0</v>
      </c>
      <c r="K1070" s="8" t="s">
        <v>822</v>
      </c>
      <c r="L1070" s="8" t="s">
        <v>2876</v>
      </c>
      <c r="M1070" s="18" t="s">
        <v>2587</v>
      </c>
      <c r="N1070" s="16">
        <v>74.0</v>
      </c>
      <c r="O1070" s="8" t="s">
        <v>4999</v>
      </c>
      <c r="P1070" s="8" t="s">
        <v>186</v>
      </c>
      <c r="Q1070" s="14" t="s">
        <v>1070</v>
      </c>
      <c r="R1070" s="8" t="s">
        <v>2574</v>
      </c>
      <c r="S1070" s="14" t="s">
        <v>2594</v>
      </c>
    </row>
    <row r="1071">
      <c r="A1071" s="8" t="s">
        <v>2651</v>
      </c>
      <c r="B1071" s="8" t="s">
        <v>2704</v>
      </c>
      <c r="C1071" s="8" t="s">
        <v>122</v>
      </c>
      <c r="D1071" s="18" t="s">
        <v>2566</v>
      </c>
      <c r="E1071" s="16">
        <v>67.0</v>
      </c>
      <c r="F1071" s="8" t="s">
        <v>45</v>
      </c>
      <c r="G1071" s="8" t="s">
        <v>1622</v>
      </c>
      <c r="H1071" s="8" t="s">
        <v>46</v>
      </c>
      <c r="I1071" s="18" t="s">
        <v>2558</v>
      </c>
      <c r="J1071" s="16">
        <v>69.0</v>
      </c>
      <c r="K1071" s="8" t="s">
        <v>822</v>
      </c>
      <c r="L1071" s="8" t="s">
        <v>2697</v>
      </c>
      <c r="M1071" s="18" t="s">
        <v>2645</v>
      </c>
      <c r="N1071" s="16">
        <v>62.0</v>
      </c>
      <c r="O1071" s="8" t="s">
        <v>5000</v>
      </c>
      <c r="P1071" s="8" t="s">
        <v>65</v>
      </c>
      <c r="Q1071" s="14" t="s">
        <v>459</v>
      </c>
      <c r="R1071" s="8" t="s">
        <v>2574</v>
      </c>
      <c r="S1071" s="14" t="s">
        <v>2601</v>
      </c>
    </row>
    <row r="1072">
      <c r="A1072" s="8" t="s">
        <v>2651</v>
      </c>
      <c r="B1072" s="8" t="s">
        <v>3601</v>
      </c>
      <c r="C1072" s="8" t="s">
        <v>16</v>
      </c>
      <c r="D1072" s="18" t="s">
        <v>2605</v>
      </c>
      <c r="E1072" s="16">
        <v>80.0</v>
      </c>
      <c r="F1072" s="8" t="s">
        <v>45</v>
      </c>
      <c r="G1072" s="8" t="s">
        <v>414</v>
      </c>
      <c r="H1072" s="8" t="s">
        <v>138</v>
      </c>
      <c r="I1072" s="18" t="s">
        <v>2566</v>
      </c>
      <c r="J1072" s="16">
        <v>88.0</v>
      </c>
      <c r="K1072" s="8" t="s">
        <v>822</v>
      </c>
      <c r="L1072" s="8" t="s">
        <v>1623</v>
      </c>
      <c r="M1072" s="18" t="s">
        <v>2582</v>
      </c>
      <c r="N1072" s="16">
        <v>69.0</v>
      </c>
      <c r="O1072" s="8" t="s">
        <v>5001</v>
      </c>
      <c r="P1072" s="8" t="s">
        <v>65</v>
      </c>
      <c r="Q1072" s="14" t="s">
        <v>459</v>
      </c>
      <c r="R1072" s="8" t="s">
        <v>2603</v>
      </c>
      <c r="S1072" s="14" t="s">
        <v>2602</v>
      </c>
    </row>
    <row r="1073">
      <c r="A1073" s="8" t="s">
        <v>2651</v>
      </c>
      <c r="B1073" s="8" t="s">
        <v>42</v>
      </c>
      <c r="C1073" s="8" t="s">
        <v>65</v>
      </c>
      <c r="D1073" s="18" t="s">
        <v>2554</v>
      </c>
      <c r="E1073" s="16">
        <v>60.0</v>
      </c>
      <c r="F1073" s="8" t="s">
        <v>45</v>
      </c>
      <c r="G1073" s="8" t="s">
        <v>56</v>
      </c>
      <c r="H1073" s="8" t="s">
        <v>24</v>
      </c>
      <c r="I1073" s="18" t="s">
        <v>2614</v>
      </c>
      <c r="J1073" s="16">
        <v>90.0</v>
      </c>
      <c r="K1073" s="8" t="s">
        <v>822</v>
      </c>
      <c r="L1073" s="8" t="s">
        <v>2911</v>
      </c>
      <c r="M1073" s="18" t="s">
        <v>2645</v>
      </c>
      <c r="N1073" s="16">
        <v>61.0</v>
      </c>
      <c r="O1073" s="8" t="s">
        <v>5002</v>
      </c>
      <c r="P1073" s="8" t="s">
        <v>186</v>
      </c>
      <c r="Q1073" s="14" t="s">
        <v>2033</v>
      </c>
      <c r="R1073" s="8" t="s">
        <v>2554</v>
      </c>
      <c r="S1073" s="14" t="s">
        <v>2565</v>
      </c>
    </row>
    <row r="1074">
      <c r="A1074" s="8" t="s">
        <v>2651</v>
      </c>
      <c r="B1074" s="8" t="s">
        <v>3004</v>
      </c>
      <c r="C1074" s="8" t="s">
        <v>261</v>
      </c>
      <c r="D1074" s="18" t="s">
        <v>2562</v>
      </c>
      <c r="E1074" s="16">
        <v>81.0</v>
      </c>
      <c r="F1074" s="8" t="s">
        <v>1385</v>
      </c>
      <c r="G1074" s="8" t="s">
        <v>106</v>
      </c>
      <c r="H1074" s="8" t="s">
        <v>53</v>
      </c>
      <c r="I1074" s="18" t="s">
        <v>2572</v>
      </c>
      <c r="J1074" s="16">
        <v>80.0</v>
      </c>
      <c r="K1074" s="8" t="s">
        <v>822</v>
      </c>
      <c r="L1074" s="8" t="s">
        <v>90</v>
      </c>
      <c r="M1074" s="18" t="s">
        <v>2560</v>
      </c>
      <c r="N1074" s="16">
        <v>66.0</v>
      </c>
      <c r="O1074" s="8" t="s">
        <v>5003</v>
      </c>
      <c r="P1074" s="8" t="s">
        <v>122</v>
      </c>
      <c r="Q1074" s="14" t="s">
        <v>1352</v>
      </c>
      <c r="R1074" s="8" t="s">
        <v>2603</v>
      </c>
      <c r="S1074" s="14" t="s">
        <v>2599</v>
      </c>
    </row>
    <row r="1075">
      <c r="A1075" s="8" t="s">
        <v>3306</v>
      </c>
      <c r="B1075" s="8" t="s">
        <v>1200</v>
      </c>
      <c r="C1075" s="8" t="s">
        <v>138</v>
      </c>
      <c r="D1075" s="18" t="s">
        <v>2183</v>
      </c>
      <c r="E1075" s="16">
        <v>83.0</v>
      </c>
      <c r="F1075" s="8" t="s">
        <v>1162</v>
      </c>
      <c r="G1075" s="8" t="s">
        <v>897</v>
      </c>
      <c r="H1075" s="8" t="s">
        <v>93</v>
      </c>
      <c r="I1075" s="18" t="s">
        <v>2592</v>
      </c>
      <c r="J1075" s="16">
        <v>68.0</v>
      </c>
      <c r="K1075" s="8" t="s">
        <v>822</v>
      </c>
      <c r="L1075" s="8" t="s">
        <v>537</v>
      </c>
      <c r="M1075" s="18" t="s">
        <v>2600</v>
      </c>
      <c r="N1075" s="16">
        <v>75.0</v>
      </c>
      <c r="O1075" s="8" t="s">
        <v>5004</v>
      </c>
      <c r="P1075" s="8" t="s">
        <v>16</v>
      </c>
      <c r="Q1075" s="14" t="s">
        <v>2296</v>
      </c>
      <c r="R1075" s="8" t="s">
        <v>2600</v>
      </c>
      <c r="S1075" s="14" t="s">
        <v>2612</v>
      </c>
    </row>
    <row r="1076">
      <c r="A1076" s="8" t="s">
        <v>1051</v>
      </c>
      <c r="B1076" s="8" t="s">
        <v>1050</v>
      </c>
      <c r="C1076" s="8" t="s">
        <v>93</v>
      </c>
      <c r="D1076" s="18" t="s">
        <v>2564</v>
      </c>
      <c r="E1076" s="16">
        <v>68.0</v>
      </c>
      <c r="F1076" s="8" t="s">
        <v>1186</v>
      </c>
      <c r="G1076" s="8" t="s">
        <v>1185</v>
      </c>
      <c r="H1076" s="8" t="s">
        <v>122</v>
      </c>
      <c r="I1076" s="18" t="s">
        <v>2577</v>
      </c>
      <c r="J1076" s="16">
        <v>73.0</v>
      </c>
      <c r="K1076" s="8" t="s">
        <v>822</v>
      </c>
      <c r="L1076" s="8" t="s">
        <v>821</v>
      </c>
      <c r="M1076" s="18" t="s">
        <v>2567</v>
      </c>
      <c r="N1076" s="16">
        <v>70.0</v>
      </c>
      <c r="O1076" s="8" t="s">
        <v>5005</v>
      </c>
      <c r="P1076" s="8" t="s">
        <v>192</v>
      </c>
      <c r="Q1076" s="14" t="s">
        <v>1352</v>
      </c>
      <c r="R1076" s="8" t="s">
        <v>2584</v>
      </c>
      <c r="S1076" s="14" t="s">
        <v>2568</v>
      </c>
    </row>
    <row r="1077">
      <c r="A1077" s="8" t="s">
        <v>1971</v>
      </c>
      <c r="B1077" s="8" t="s">
        <v>99</v>
      </c>
      <c r="C1077" s="8" t="s">
        <v>186</v>
      </c>
      <c r="D1077" s="18" t="s">
        <v>2614</v>
      </c>
      <c r="E1077" s="16">
        <v>76.0</v>
      </c>
      <c r="F1077" s="8" t="s">
        <v>635</v>
      </c>
      <c r="G1077" s="8" t="s">
        <v>460</v>
      </c>
      <c r="H1077" s="8" t="s">
        <v>70</v>
      </c>
      <c r="I1077" s="18" t="s">
        <v>2575</v>
      </c>
      <c r="J1077" s="16">
        <v>72.0</v>
      </c>
      <c r="K1077" s="8" t="s">
        <v>822</v>
      </c>
      <c r="L1077" s="8" t="s">
        <v>2190</v>
      </c>
      <c r="M1077" s="18" t="s">
        <v>2585</v>
      </c>
      <c r="N1077" s="16">
        <v>69.0</v>
      </c>
      <c r="O1077" s="8" t="s">
        <v>5006</v>
      </c>
      <c r="P1077" s="8" t="s">
        <v>65</v>
      </c>
      <c r="Q1077" s="14" t="s">
        <v>1070</v>
      </c>
      <c r="R1077" s="8" t="s">
        <v>2615</v>
      </c>
      <c r="S1077" s="14" t="s">
        <v>2611</v>
      </c>
    </row>
    <row r="1078">
      <c r="A1078" s="8" t="s">
        <v>1495</v>
      </c>
      <c r="B1078" s="8" t="s">
        <v>557</v>
      </c>
      <c r="C1078" s="8" t="s">
        <v>192</v>
      </c>
      <c r="D1078" s="18" t="s">
        <v>2552</v>
      </c>
      <c r="E1078" s="16">
        <v>64.0</v>
      </c>
      <c r="F1078" s="8" t="s">
        <v>2651</v>
      </c>
      <c r="G1078" s="8" t="s">
        <v>2650</v>
      </c>
      <c r="H1078" s="8" t="s">
        <v>70</v>
      </c>
      <c r="I1078" s="18" t="s">
        <v>2581</v>
      </c>
      <c r="J1078" s="16">
        <v>87.0</v>
      </c>
      <c r="K1078" s="8" t="s">
        <v>981</v>
      </c>
      <c r="L1078" s="8" t="s">
        <v>980</v>
      </c>
      <c r="M1078" s="18" t="s">
        <v>2585</v>
      </c>
      <c r="N1078" s="16">
        <v>79.0</v>
      </c>
      <c r="O1078" s="8" t="s">
        <v>5007</v>
      </c>
      <c r="P1078" s="8" t="s">
        <v>149</v>
      </c>
      <c r="Q1078" s="14" t="s">
        <v>2033</v>
      </c>
      <c r="R1078" s="8" t="s">
        <v>2581</v>
      </c>
      <c r="S1078" s="14" t="s">
        <v>2617</v>
      </c>
    </row>
    <row r="1079">
      <c r="A1079" s="8" t="s">
        <v>898</v>
      </c>
      <c r="B1079" s="8" t="s">
        <v>897</v>
      </c>
      <c r="C1079" s="8" t="s">
        <v>53</v>
      </c>
      <c r="D1079" s="18" t="s">
        <v>2558</v>
      </c>
      <c r="E1079" s="16">
        <v>68.0</v>
      </c>
      <c r="F1079" s="8" t="s">
        <v>2651</v>
      </c>
      <c r="G1079" s="8" t="s">
        <v>3004</v>
      </c>
      <c r="H1079" s="8" t="s">
        <v>261</v>
      </c>
      <c r="I1079" s="18" t="s">
        <v>2562</v>
      </c>
      <c r="J1079" s="16">
        <v>81.0</v>
      </c>
      <c r="K1079" s="8" t="s">
        <v>558</v>
      </c>
      <c r="L1079" s="8" t="s">
        <v>1780</v>
      </c>
      <c r="M1079" s="18" t="s">
        <v>2575</v>
      </c>
      <c r="N1079" s="16">
        <v>66.0</v>
      </c>
      <c r="O1079" s="8" t="s">
        <v>5008</v>
      </c>
      <c r="P1079" s="8" t="s">
        <v>186</v>
      </c>
      <c r="Q1079" s="14" t="s">
        <v>2033</v>
      </c>
      <c r="R1079" s="18" t="s">
        <v>2556</v>
      </c>
      <c r="S1079" s="14" t="s">
        <v>2583</v>
      </c>
    </row>
    <row r="1080">
      <c r="A1080" s="8" t="s">
        <v>3608</v>
      </c>
      <c r="B1080" s="8" t="s">
        <v>3607</v>
      </c>
      <c r="C1080" s="8" t="s">
        <v>53</v>
      </c>
      <c r="D1080" s="18" t="s">
        <v>2610</v>
      </c>
      <c r="E1080" s="16">
        <v>67.0</v>
      </c>
      <c r="F1080" s="8" t="s">
        <v>2651</v>
      </c>
      <c r="G1080" s="8" t="s">
        <v>2704</v>
      </c>
      <c r="H1080" s="8" t="s">
        <v>122</v>
      </c>
      <c r="I1080" s="18" t="s">
        <v>2566</v>
      </c>
      <c r="J1080" s="16">
        <v>67.0</v>
      </c>
      <c r="K1080" s="8" t="s">
        <v>558</v>
      </c>
      <c r="L1080" s="8" t="s">
        <v>557</v>
      </c>
      <c r="M1080" s="18" t="s">
        <v>2560</v>
      </c>
      <c r="N1080" s="16">
        <v>79.0</v>
      </c>
      <c r="O1080" s="8" t="s">
        <v>5009</v>
      </c>
      <c r="P1080" s="8" t="s">
        <v>24</v>
      </c>
      <c r="Q1080" s="14" t="s">
        <v>1352</v>
      </c>
      <c r="R1080" s="8" t="s">
        <v>2587</v>
      </c>
      <c r="S1080" s="14" t="s">
        <v>2602</v>
      </c>
    </row>
    <row r="1081">
      <c r="A1081" s="8" t="s">
        <v>5010</v>
      </c>
      <c r="B1081" s="8" t="s">
        <v>3667</v>
      </c>
      <c r="C1081" s="8" t="s">
        <v>24</v>
      </c>
      <c r="D1081" s="18" t="s">
        <v>2585</v>
      </c>
      <c r="E1081" s="16">
        <v>65.0</v>
      </c>
      <c r="F1081" s="8" t="s">
        <v>3306</v>
      </c>
      <c r="G1081" s="8" t="s">
        <v>1200</v>
      </c>
      <c r="H1081" s="8" t="s">
        <v>215</v>
      </c>
      <c r="I1081" s="18" t="s">
        <v>2605</v>
      </c>
      <c r="J1081" s="16">
        <v>76.0</v>
      </c>
      <c r="K1081" s="8" t="s">
        <v>558</v>
      </c>
      <c r="L1081" s="8" t="s">
        <v>2819</v>
      </c>
      <c r="M1081" s="18" t="s">
        <v>2589</v>
      </c>
      <c r="N1081" s="16">
        <v>80.0</v>
      </c>
      <c r="O1081" s="8" t="s">
        <v>5011</v>
      </c>
      <c r="P1081" s="8" t="s">
        <v>141</v>
      </c>
      <c r="Q1081" s="14" t="s">
        <v>237</v>
      </c>
      <c r="R1081" s="8" t="s">
        <v>2564</v>
      </c>
      <c r="S1081" s="14" t="s">
        <v>2636</v>
      </c>
    </row>
    <row r="1082">
      <c r="A1082" s="8" t="s">
        <v>712</v>
      </c>
      <c r="B1082" s="8" t="s">
        <v>835</v>
      </c>
      <c r="C1082" s="8" t="s">
        <v>149</v>
      </c>
      <c r="D1082" s="18" t="s">
        <v>2562</v>
      </c>
      <c r="E1082" s="16">
        <v>73.0</v>
      </c>
      <c r="F1082" s="8" t="s">
        <v>1051</v>
      </c>
      <c r="G1082" s="8" t="s">
        <v>1050</v>
      </c>
      <c r="H1082" s="8" t="s">
        <v>192</v>
      </c>
      <c r="I1082" s="18" t="s">
        <v>2564</v>
      </c>
      <c r="J1082" s="16">
        <v>72.0</v>
      </c>
      <c r="K1082" s="8" t="s">
        <v>558</v>
      </c>
      <c r="L1082" s="8" t="s">
        <v>617</v>
      </c>
      <c r="M1082" s="18" t="s">
        <v>2558</v>
      </c>
      <c r="N1082" s="16">
        <v>62.0</v>
      </c>
      <c r="O1082" s="8" t="s">
        <v>5012</v>
      </c>
      <c r="P1082" s="8" t="s">
        <v>93</v>
      </c>
      <c r="Q1082" s="14" t="s">
        <v>189</v>
      </c>
      <c r="R1082" s="8" t="s">
        <v>2600</v>
      </c>
      <c r="S1082" s="14" t="s">
        <v>2625</v>
      </c>
    </row>
    <row r="1083">
      <c r="A1083" s="8" t="s">
        <v>712</v>
      </c>
      <c r="B1083" s="8" t="s">
        <v>460</v>
      </c>
      <c r="C1083" s="8" t="s">
        <v>132</v>
      </c>
      <c r="D1083" s="18" t="s">
        <v>2562</v>
      </c>
      <c r="E1083" s="16">
        <v>78.0</v>
      </c>
      <c r="F1083" s="8" t="s">
        <v>1971</v>
      </c>
      <c r="G1083" s="8" t="s">
        <v>99</v>
      </c>
      <c r="H1083" s="8" t="s">
        <v>186</v>
      </c>
      <c r="I1083" s="18" t="s">
        <v>2614</v>
      </c>
      <c r="J1083" s="16">
        <v>75.0</v>
      </c>
      <c r="K1083" s="8" t="s">
        <v>558</v>
      </c>
      <c r="L1083" s="8" t="s">
        <v>1458</v>
      </c>
      <c r="M1083" s="18" t="s">
        <v>2615</v>
      </c>
      <c r="N1083" s="16">
        <v>71.0</v>
      </c>
      <c r="O1083" s="8" t="s">
        <v>5013</v>
      </c>
      <c r="P1083" s="8" t="s">
        <v>12</v>
      </c>
      <c r="Q1083" s="14" t="s">
        <v>631</v>
      </c>
      <c r="R1083" s="8" t="s">
        <v>2603</v>
      </c>
      <c r="S1083" s="14" t="s">
        <v>2590</v>
      </c>
    </row>
    <row r="1084">
      <c r="A1084" s="8" t="s">
        <v>712</v>
      </c>
      <c r="B1084" s="8" t="s">
        <v>3219</v>
      </c>
      <c r="C1084" s="8" t="s">
        <v>24</v>
      </c>
      <c r="D1084" s="18" t="s">
        <v>2572</v>
      </c>
      <c r="E1084" s="16">
        <v>72.0</v>
      </c>
      <c r="F1084" s="8" t="s">
        <v>1722</v>
      </c>
      <c r="G1084" s="8" t="s">
        <v>106</v>
      </c>
      <c r="H1084" s="8" t="s">
        <v>186</v>
      </c>
      <c r="I1084" s="18" t="s">
        <v>2621</v>
      </c>
      <c r="J1084" s="16">
        <v>64.0</v>
      </c>
      <c r="K1084" s="8" t="s">
        <v>558</v>
      </c>
      <c r="L1084" s="8" t="s">
        <v>2874</v>
      </c>
      <c r="M1084" s="18" t="s">
        <v>2562</v>
      </c>
      <c r="N1084" s="16">
        <v>66.0</v>
      </c>
      <c r="O1084" s="8" t="s">
        <v>5014</v>
      </c>
      <c r="P1084" s="8" t="s">
        <v>46</v>
      </c>
      <c r="Q1084" s="14" t="s">
        <v>39</v>
      </c>
      <c r="R1084" s="8" t="s">
        <v>2564</v>
      </c>
      <c r="S1084" s="14" t="s">
        <v>2604</v>
      </c>
    </row>
    <row r="1085">
      <c r="A1085" s="8" t="s">
        <v>712</v>
      </c>
      <c r="B1085" s="8" t="s">
        <v>1157</v>
      </c>
      <c r="C1085" s="8" t="s">
        <v>16</v>
      </c>
      <c r="D1085" s="18" t="s">
        <v>2585</v>
      </c>
      <c r="E1085" s="16">
        <v>66.0</v>
      </c>
      <c r="F1085" s="8" t="s">
        <v>1495</v>
      </c>
      <c r="G1085" s="8" t="s">
        <v>557</v>
      </c>
      <c r="H1085" s="8" t="s">
        <v>192</v>
      </c>
      <c r="I1085" s="18" t="s">
        <v>2552</v>
      </c>
      <c r="J1085" s="16">
        <v>64.0</v>
      </c>
      <c r="K1085" s="8" t="s">
        <v>558</v>
      </c>
      <c r="L1085" s="8" t="s">
        <v>2722</v>
      </c>
      <c r="M1085" s="18" t="s">
        <v>2574</v>
      </c>
      <c r="N1085" s="16">
        <v>69.0</v>
      </c>
      <c r="O1085" s="8" t="s">
        <v>5015</v>
      </c>
      <c r="P1085" s="8" t="s">
        <v>59</v>
      </c>
      <c r="Q1085" s="14" t="s">
        <v>338</v>
      </c>
      <c r="R1085" s="8" t="s">
        <v>2592</v>
      </c>
      <c r="S1085" s="14" t="s">
        <v>2586</v>
      </c>
    </row>
    <row r="1086">
      <c r="A1086" s="8" t="s">
        <v>712</v>
      </c>
      <c r="B1086" s="8" t="s">
        <v>918</v>
      </c>
      <c r="C1086" s="8" t="s">
        <v>65</v>
      </c>
      <c r="D1086" s="18" t="s">
        <v>2603</v>
      </c>
      <c r="E1086" s="16">
        <v>62.0</v>
      </c>
      <c r="F1086" s="8" t="s">
        <v>898</v>
      </c>
      <c r="G1086" s="8" t="s">
        <v>897</v>
      </c>
      <c r="H1086" s="8" t="s">
        <v>53</v>
      </c>
      <c r="I1086" s="18" t="s">
        <v>2558</v>
      </c>
      <c r="J1086" s="16">
        <v>69.0</v>
      </c>
      <c r="K1086" s="8" t="s">
        <v>2987</v>
      </c>
      <c r="L1086" s="8" t="s">
        <v>2986</v>
      </c>
      <c r="M1086" s="18" t="s">
        <v>2584</v>
      </c>
      <c r="N1086" s="16">
        <v>79.0</v>
      </c>
      <c r="O1086" s="8" t="s">
        <v>5016</v>
      </c>
      <c r="P1086" s="8" t="s">
        <v>12</v>
      </c>
      <c r="Q1086" s="14" t="s">
        <v>2033</v>
      </c>
      <c r="R1086" s="8" t="s">
        <v>2581</v>
      </c>
      <c r="S1086" s="14" t="s">
        <v>2602</v>
      </c>
    </row>
    <row r="1087">
      <c r="A1087" s="8" t="s">
        <v>712</v>
      </c>
      <c r="B1087" s="8" t="s">
        <v>711</v>
      </c>
      <c r="C1087" s="8" t="s">
        <v>80</v>
      </c>
      <c r="D1087" s="18" t="s">
        <v>2614</v>
      </c>
      <c r="E1087" s="16">
        <v>73.0</v>
      </c>
      <c r="F1087" s="8" t="s">
        <v>712</v>
      </c>
      <c r="G1087" s="8" t="s">
        <v>1195</v>
      </c>
      <c r="H1087" s="8" t="s">
        <v>24</v>
      </c>
      <c r="I1087" s="18" t="s">
        <v>2620</v>
      </c>
      <c r="J1087" s="16">
        <v>74.0</v>
      </c>
      <c r="K1087" s="8" t="s">
        <v>2710</v>
      </c>
      <c r="L1087" s="8" t="s">
        <v>2709</v>
      </c>
      <c r="M1087" s="18" t="s">
        <v>2595</v>
      </c>
      <c r="N1087" s="16">
        <v>72.0</v>
      </c>
      <c r="O1087" s="8" t="s">
        <v>5017</v>
      </c>
      <c r="P1087" s="8" t="s">
        <v>149</v>
      </c>
      <c r="Q1087" s="14" t="s">
        <v>1352</v>
      </c>
      <c r="R1087" s="8" t="s">
        <v>2558</v>
      </c>
      <c r="S1087" s="14" t="s">
        <v>2594</v>
      </c>
    </row>
    <row r="1088">
      <c r="A1088" s="8" t="s">
        <v>712</v>
      </c>
      <c r="B1088" s="8" t="s">
        <v>1195</v>
      </c>
      <c r="C1088" s="8" t="s">
        <v>24</v>
      </c>
      <c r="D1088" s="18" t="s">
        <v>2620</v>
      </c>
      <c r="E1088" s="16">
        <v>71.0</v>
      </c>
      <c r="F1088" s="8" t="s">
        <v>712</v>
      </c>
      <c r="G1088" s="8" t="s">
        <v>460</v>
      </c>
      <c r="H1088" s="8" t="s">
        <v>132</v>
      </c>
      <c r="I1088" s="18" t="s">
        <v>2562</v>
      </c>
      <c r="J1088" s="16">
        <v>72.0</v>
      </c>
      <c r="K1088" s="8" t="s">
        <v>665</v>
      </c>
      <c r="L1088" s="8" t="s">
        <v>1891</v>
      </c>
      <c r="M1088" s="18" t="s">
        <v>2581</v>
      </c>
      <c r="N1088" s="16">
        <v>71.0</v>
      </c>
      <c r="O1088" s="8" t="s">
        <v>5018</v>
      </c>
      <c r="P1088" s="8" t="s">
        <v>24</v>
      </c>
      <c r="Q1088" s="14" t="s">
        <v>1070</v>
      </c>
      <c r="R1088" s="8" t="s">
        <v>2574</v>
      </c>
      <c r="S1088" s="14" t="s">
        <v>2583</v>
      </c>
    </row>
    <row r="1089">
      <c r="A1089" s="8" t="s">
        <v>712</v>
      </c>
      <c r="B1089" s="8" t="s">
        <v>2861</v>
      </c>
      <c r="C1089" s="8" t="s">
        <v>65</v>
      </c>
      <c r="D1089" s="18" t="s">
        <v>2558</v>
      </c>
      <c r="E1089" s="16">
        <v>71.0</v>
      </c>
      <c r="F1089" s="8" t="s">
        <v>712</v>
      </c>
      <c r="G1089" s="8" t="s">
        <v>3219</v>
      </c>
      <c r="H1089" s="8" t="s">
        <v>24</v>
      </c>
      <c r="I1089" s="18" t="s">
        <v>2572</v>
      </c>
      <c r="J1089" s="16">
        <v>72.0</v>
      </c>
      <c r="K1089" s="8" t="s">
        <v>2801</v>
      </c>
      <c r="L1089" s="8" t="s">
        <v>2800</v>
      </c>
      <c r="M1089" s="18" t="s">
        <v>2620</v>
      </c>
      <c r="N1089" s="16">
        <v>67.0</v>
      </c>
      <c r="O1089" s="8" t="s">
        <v>5019</v>
      </c>
      <c r="P1089" s="8" t="s">
        <v>93</v>
      </c>
      <c r="Q1089" s="14" t="s">
        <v>631</v>
      </c>
      <c r="R1089" s="8" t="s">
        <v>2585</v>
      </c>
      <c r="S1089" s="14" t="s">
        <v>2588</v>
      </c>
    </row>
    <row r="1090">
      <c r="A1090" s="8" t="s">
        <v>712</v>
      </c>
      <c r="B1090" s="8" t="s">
        <v>3727</v>
      </c>
      <c r="C1090" s="8" t="s">
        <v>75</v>
      </c>
      <c r="D1090" s="18" t="s">
        <v>2584</v>
      </c>
      <c r="E1090" s="16">
        <v>72.0</v>
      </c>
      <c r="F1090" s="8" t="s">
        <v>712</v>
      </c>
      <c r="G1090" s="8" t="s">
        <v>1157</v>
      </c>
      <c r="H1090" s="8" t="s">
        <v>16</v>
      </c>
      <c r="I1090" s="18" t="s">
        <v>2610</v>
      </c>
      <c r="J1090" s="16">
        <v>65.0</v>
      </c>
      <c r="K1090" s="8" t="s">
        <v>279</v>
      </c>
      <c r="L1090" s="8" t="s">
        <v>278</v>
      </c>
      <c r="M1090" s="18" t="s">
        <v>2587</v>
      </c>
      <c r="N1090" s="16">
        <v>80.0</v>
      </c>
      <c r="O1090" s="8" t="s">
        <v>5020</v>
      </c>
      <c r="P1090" s="8" t="s">
        <v>24</v>
      </c>
      <c r="Q1090" s="14" t="s">
        <v>39</v>
      </c>
      <c r="R1090" s="8" t="s">
        <v>2614</v>
      </c>
      <c r="S1090" s="14" t="s">
        <v>2578</v>
      </c>
    </row>
    <row r="1091">
      <c r="A1091" s="8" t="s">
        <v>712</v>
      </c>
      <c r="B1091" s="8" t="s">
        <v>2907</v>
      </c>
      <c r="C1091" s="8" t="s">
        <v>38</v>
      </c>
      <c r="D1091" s="18" t="s">
        <v>2552</v>
      </c>
      <c r="E1091" s="16">
        <v>74.0</v>
      </c>
      <c r="F1091" s="8" t="s">
        <v>712</v>
      </c>
      <c r="G1091" s="8" t="s">
        <v>711</v>
      </c>
      <c r="H1091" s="8" t="s">
        <v>80</v>
      </c>
      <c r="I1091" s="18" t="s">
        <v>2614</v>
      </c>
      <c r="J1091" s="16">
        <v>75.0</v>
      </c>
      <c r="K1091" s="8" t="s">
        <v>884</v>
      </c>
      <c r="L1091" s="8" t="s">
        <v>260</v>
      </c>
      <c r="M1091" s="18" t="s">
        <v>2577</v>
      </c>
      <c r="N1091" s="16">
        <v>77.0</v>
      </c>
      <c r="O1091" s="8" t="s">
        <v>5021</v>
      </c>
      <c r="P1091" s="8" t="s">
        <v>53</v>
      </c>
      <c r="Q1091" s="14" t="s">
        <v>1352</v>
      </c>
      <c r="R1091" s="8" t="s">
        <v>2572</v>
      </c>
      <c r="S1091" s="14" t="s">
        <v>2601</v>
      </c>
    </row>
    <row r="1092">
      <c r="A1092" s="8" t="s">
        <v>3318</v>
      </c>
      <c r="B1092" s="8" t="s">
        <v>282</v>
      </c>
      <c r="C1092" s="8" t="s">
        <v>59</v>
      </c>
      <c r="D1092" s="18" t="s">
        <v>2581</v>
      </c>
      <c r="E1092" s="16">
        <v>78.0</v>
      </c>
      <c r="F1092" s="8" t="s">
        <v>712</v>
      </c>
      <c r="G1092" s="8" t="s">
        <v>835</v>
      </c>
      <c r="H1092" s="8" t="s">
        <v>75</v>
      </c>
      <c r="I1092" s="18" t="s">
        <v>2560</v>
      </c>
      <c r="J1092" s="16">
        <v>72.0</v>
      </c>
      <c r="K1092" s="8" t="s">
        <v>884</v>
      </c>
      <c r="L1092" s="8" t="s">
        <v>61</v>
      </c>
      <c r="M1092" s="18" t="s">
        <v>2581</v>
      </c>
      <c r="N1092" s="16">
        <v>70.0</v>
      </c>
      <c r="O1092" s="8" t="s">
        <v>5022</v>
      </c>
      <c r="P1092" s="8" t="s">
        <v>93</v>
      </c>
      <c r="Q1092" s="14" t="s">
        <v>1070</v>
      </c>
      <c r="R1092" s="8" t="s">
        <v>2574</v>
      </c>
      <c r="S1092" s="14" t="s">
        <v>2563</v>
      </c>
    </row>
    <row r="1093">
      <c r="A1093" s="8" t="s">
        <v>3791</v>
      </c>
      <c r="B1093" s="8" t="s">
        <v>3790</v>
      </c>
      <c r="C1093" s="8" t="s">
        <v>215</v>
      </c>
      <c r="D1093" s="18" t="s">
        <v>2562</v>
      </c>
      <c r="E1093" s="16">
        <v>63.0</v>
      </c>
      <c r="F1093" s="8" t="s">
        <v>712</v>
      </c>
      <c r="G1093" s="8" t="s">
        <v>2861</v>
      </c>
      <c r="H1093" s="8" t="s">
        <v>65</v>
      </c>
      <c r="I1093" s="18" t="s">
        <v>2558</v>
      </c>
      <c r="J1093" s="16">
        <v>68.0</v>
      </c>
      <c r="K1093" s="8" t="s">
        <v>2311</v>
      </c>
      <c r="L1093" s="8" t="s">
        <v>2676</v>
      </c>
      <c r="M1093" s="18" t="s">
        <v>2610</v>
      </c>
      <c r="N1093" s="16">
        <v>74.0</v>
      </c>
      <c r="O1093" s="8" t="s">
        <v>5023</v>
      </c>
      <c r="P1093" s="8" t="s">
        <v>122</v>
      </c>
      <c r="Q1093" s="14" t="s">
        <v>1070</v>
      </c>
      <c r="R1093" s="8" t="s">
        <v>2577</v>
      </c>
      <c r="S1093" s="14" t="s">
        <v>2608</v>
      </c>
    </row>
    <row r="1094">
      <c r="A1094" s="8" t="s">
        <v>1470</v>
      </c>
      <c r="B1094" s="8" t="s">
        <v>1187</v>
      </c>
      <c r="C1094" s="8" t="s">
        <v>46</v>
      </c>
      <c r="D1094" s="18" t="s">
        <v>2577</v>
      </c>
      <c r="E1094" s="16">
        <v>67.0</v>
      </c>
      <c r="F1094" s="8" t="s">
        <v>712</v>
      </c>
      <c r="G1094" s="8" t="s">
        <v>2907</v>
      </c>
      <c r="H1094" s="8" t="s">
        <v>38</v>
      </c>
      <c r="I1094" s="18" t="s">
        <v>2567</v>
      </c>
      <c r="J1094" s="16">
        <v>75.0</v>
      </c>
      <c r="K1094" s="8" t="s">
        <v>1659</v>
      </c>
      <c r="L1094" s="8" t="s">
        <v>825</v>
      </c>
      <c r="M1094" s="18" t="s">
        <v>2614</v>
      </c>
      <c r="N1094" s="16">
        <v>65.0</v>
      </c>
      <c r="O1094" s="8" t="s">
        <v>5024</v>
      </c>
      <c r="P1094" s="8" t="s">
        <v>75</v>
      </c>
      <c r="Q1094" s="14" t="s">
        <v>2296</v>
      </c>
      <c r="R1094" s="8" t="s">
        <v>2567</v>
      </c>
      <c r="S1094" s="14" t="s">
        <v>2580</v>
      </c>
    </row>
    <row r="1095">
      <c r="A1095" s="8" t="s">
        <v>3549</v>
      </c>
      <c r="B1095" s="8" t="s">
        <v>646</v>
      </c>
      <c r="C1095" s="8" t="s">
        <v>192</v>
      </c>
      <c r="D1095" s="18" t="s">
        <v>2585</v>
      </c>
      <c r="E1095" s="16">
        <v>60.0</v>
      </c>
      <c r="F1095" s="8" t="s">
        <v>1404</v>
      </c>
      <c r="G1095" s="8" t="s">
        <v>1403</v>
      </c>
      <c r="H1095" s="8" t="s">
        <v>65</v>
      </c>
      <c r="I1095" s="18" t="s">
        <v>2183</v>
      </c>
      <c r="J1095" s="16">
        <v>68.0</v>
      </c>
      <c r="K1095" s="8" t="s">
        <v>826</v>
      </c>
      <c r="L1095" s="8" t="s">
        <v>825</v>
      </c>
      <c r="M1095" s="18" t="s">
        <v>2585</v>
      </c>
      <c r="N1095" s="16">
        <v>74.0</v>
      </c>
      <c r="O1095" s="8" t="s">
        <v>5025</v>
      </c>
      <c r="P1095" s="8" t="s">
        <v>65</v>
      </c>
      <c r="Q1095" s="14" t="s">
        <v>1679</v>
      </c>
      <c r="R1095" s="8" t="s">
        <v>2605</v>
      </c>
      <c r="S1095" s="14" t="s">
        <v>2622</v>
      </c>
    </row>
    <row r="1096">
      <c r="A1096" s="8" t="s">
        <v>3506</v>
      </c>
      <c r="B1096" s="8" t="s">
        <v>3505</v>
      </c>
      <c r="C1096" s="8" t="s">
        <v>122</v>
      </c>
      <c r="D1096" s="18" t="s">
        <v>2587</v>
      </c>
      <c r="E1096" s="16">
        <v>67.0</v>
      </c>
      <c r="F1096" s="8" t="s">
        <v>3318</v>
      </c>
      <c r="G1096" s="8" t="s">
        <v>282</v>
      </c>
      <c r="H1096" s="8" t="s">
        <v>53</v>
      </c>
      <c r="I1096" s="18" t="s">
        <v>2556</v>
      </c>
      <c r="J1096" s="16">
        <v>71.0</v>
      </c>
      <c r="K1096" s="8" t="s">
        <v>204</v>
      </c>
      <c r="L1096" s="8" t="s">
        <v>923</v>
      </c>
      <c r="M1096" s="18" t="s">
        <v>2585</v>
      </c>
      <c r="N1096" s="16">
        <v>82.0</v>
      </c>
      <c r="O1096" s="8" t="s">
        <v>5026</v>
      </c>
      <c r="P1096" s="8" t="s">
        <v>70</v>
      </c>
      <c r="Q1096" s="14" t="s">
        <v>631</v>
      </c>
      <c r="R1096" s="8" t="s">
        <v>2595</v>
      </c>
      <c r="S1096" s="14" t="s">
        <v>2591</v>
      </c>
    </row>
    <row r="1097">
      <c r="A1097" s="8" t="s">
        <v>1072</v>
      </c>
      <c r="B1097" s="8" t="s">
        <v>835</v>
      </c>
      <c r="C1097" s="8" t="s">
        <v>24</v>
      </c>
      <c r="D1097" s="18" t="s">
        <v>2566</v>
      </c>
      <c r="E1097" s="16">
        <v>66.0</v>
      </c>
      <c r="F1097" s="8" t="s">
        <v>1470</v>
      </c>
      <c r="G1097" s="8" t="s">
        <v>1187</v>
      </c>
      <c r="H1097" s="8" t="s">
        <v>75</v>
      </c>
      <c r="I1097" s="18" t="s">
        <v>2577</v>
      </c>
      <c r="J1097" s="16">
        <v>66.0</v>
      </c>
      <c r="K1097" s="8" t="s">
        <v>204</v>
      </c>
      <c r="L1097" s="8" t="s">
        <v>203</v>
      </c>
      <c r="M1097" s="18" t="s">
        <v>2558</v>
      </c>
      <c r="N1097" s="16">
        <v>83.0</v>
      </c>
      <c r="O1097" s="8" t="s">
        <v>5027</v>
      </c>
      <c r="P1097" s="8" t="s">
        <v>149</v>
      </c>
      <c r="Q1097" s="14" t="s">
        <v>2459</v>
      </c>
      <c r="R1097" s="8" t="s">
        <v>2584</v>
      </c>
      <c r="S1097" s="14" t="s">
        <v>2573</v>
      </c>
    </row>
    <row r="1098">
      <c r="A1098" s="8" t="s">
        <v>798</v>
      </c>
      <c r="B1098" s="8" t="s">
        <v>1076</v>
      </c>
      <c r="C1098" s="8" t="s">
        <v>53</v>
      </c>
      <c r="D1098" s="18" t="s">
        <v>2572</v>
      </c>
      <c r="E1098" s="16">
        <v>81.0</v>
      </c>
      <c r="F1098" s="8" t="s">
        <v>3506</v>
      </c>
      <c r="G1098" s="8" t="s">
        <v>3505</v>
      </c>
      <c r="H1098" s="8" t="s">
        <v>122</v>
      </c>
      <c r="I1098" s="18" t="s">
        <v>2587</v>
      </c>
      <c r="J1098" s="16">
        <v>70.0</v>
      </c>
      <c r="K1098" s="8" t="s">
        <v>204</v>
      </c>
      <c r="L1098" s="8" t="s">
        <v>99</v>
      </c>
      <c r="M1098" s="18" t="s">
        <v>2575</v>
      </c>
      <c r="N1098" s="16">
        <v>85.0</v>
      </c>
      <c r="O1098" s="8" t="s">
        <v>5028</v>
      </c>
      <c r="P1098" s="8" t="s">
        <v>65</v>
      </c>
      <c r="Q1098" s="14" t="s">
        <v>1679</v>
      </c>
      <c r="R1098" s="8" t="s">
        <v>2558</v>
      </c>
      <c r="S1098" s="14" t="s">
        <v>2555</v>
      </c>
    </row>
    <row r="1099">
      <c r="A1099" s="8" t="s">
        <v>798</v>
      </c>
      <c r="B1099" s="8" t="s">
        <v>546</v>
      </c>
      <c r="C1099" s="8" t="s">
        <v>59</v>
      </c>
      <c r="D1099" s="18" t="s">
        <v>2592</v>
      </c>
      <c r="E1099" s="16">
        <v>68.0</v>
      </c>
      <c r="F1099" s="8" t="s">
        <v>1072</v>
      </c>
      <c r="G1099" s="8" t="s">
        <v>835</v>
      </c>
      <c r="H1099" s="8" t="s">
        <v>24</v>
      </c>
      <c r="I1099" s="18" t="s">
        <v>2566</v>
      </c>
      <c r="J1099" s="16">
        <v>66.0</v>
      </c>
      <c r="K1099" s="8" t="s">
        <v>2413</v>
      </c>
      <c r="L1099" s="8" t="s">
        <v>1031</v>
      </c>
      <c r="M1099" s="18" t="s">
        <v>2558</v>
      </c>
      <c r="N1099" s="16">
        <v>78.0</v>
      </c>
      <c r="O1099" s="8" t="s">
        <v>5029</v>
      </c>
      <c r="P1099" s="8" t="s">
        <v>70</v>
      </c>
      <c r="Q1099" s="14" t="s">
        <v>2033</v>
      </c>
      <c r="R1099" s="8" t="s">
        <v>2577</v>
      </c>
      <c r="S1099" s="14" t="s">
        <v>2591</v>
      </c>
    </row>
    <row r="1100">
      <c r="A1100" s="8" t="s">
        <v>798</v>
      </c>
      <c r="B1100" s="8" t="s">
        <v>3000</v>
      </c>
      <c r="C1100" s="8" t="s">
        <v>75</v>
      </c>
      <c r="D1100" s="18" t="s">
        <v>2621</v>
      </c>
      <c r="E1100" s="16">
        <v>68.0</v>
      </c>
      <c r="F1100" s="8" t="s">
        <v>798</v>
      </c>
      <c r="G1100" s="8" t="s">
        <v>797</v>
      </c>
      <c r="H1100" s="8" t="s">
        <v>149</v>
      </c>
      <c r="I1100" s="18" t="s">
        <v>2552</v>
      </c>
      <c r="J1100" s="16">
        <v>68.0</v>
      </c>
      <c r="K1100" s="8" t="s">
        <v>102</v>
      </c>
      <c r="L1100" s="8" t="s">
        <v>78</v>
      </c>
      <c r="M1100" s="18" t="s">
        <v>2585</v>
      </c>
      <c r="N1100" s="16">
        <v>70.0</v>
      </c>
      <c r="O1100" s="8" t="s">
        <v>5030</v>
      </c>
      <c r="P1100" s="8" t="s">
        <v>65</v>
      </c>
      <c r="Q1100" s="14" t="s">
        <v>2296</v>
      </c>
      <c r="R1100" s="8" t="s">
        <v>2575</v>
      </c>
      <c r="S1100" s="14" t="s">
        <v>2594</v>
      </c>
    </row>
    <row r="1101">
      <c r="A1101" s="8" t="s">
        <v>798</v>
      </c>
      <c r="B1101" s="8" t="s">
        <v>797</v>
      </c>
      <c r="C1101" s="8" t="s">
        <v>149</v>
      </c>
      <c r="D1101" s="18" t="s">
        <v>2552</v>
      </c>
      <c r="E1101" s="16">
        <v>62.0</v>
      </c>
      <c r="F1101" s="8" t="s">
        <v>798</v>
      </c>
      <c r="G1101" s="8" t="s">
        <v>1076</v>
      </c>
      <c r="H1101" s="8" t="s">
        <v>59</v>
      </c>
      <c r="I1101" s="18" t="s">
        <v>2572</v>
      </c>
      <c r="J1101" s="16">
        <v>80.0</v>
      </c>
      <c r="K1101" s="8" t="s">
        <v>102</v>
      </c>
      <c r="L1101" s="8" t="s">
        <v>1600</v>
      </c>
      <c r="M1101" s="18" t="s">
        <v>2615</v>
      </c>
      <c r="N1101" s="16">
        <v>77.0</v>
      </c>
      <c r="O1101" s="8" t="s">
        <v>5031</v>
      </c>
      <c r="P1101" s="8" t="s">
        <v>192</v>
      </c>
      <c r="Q1101" s="14" t="s">
        <v>837</v>
      </c>
      <c r="R1101" s="8" t="s">
        <v>2572</v>
      </c>
      <c r="S1101" s="14" t="s">
        <v>2565</v>
      </c>
    </row>
    <row r="1102">
      <c r="A1102" s="8" t="s">
        <v>822</v>
      </c>
      <c r="B1102" s="8" t="s">
        <v>3198</v>
      </c>
      <c r="C1102" s="8" t="s">
        <v>186</v>
      </c>
      <c r="D1102" s="18" t="s">
        <v>2574</v>
      </c>
      <c r="E1102" s="16">
        <v>62.0</v>
      </c>
      <c r="F1102" s="8" t="s">
        <v>798</v>
      </c>
      <c r="G1102" s="8" t="s">
        <v>1510</v>
      </c>
      <c r="H1102" s="8" t="s">
        <v>122</v>
      </c>
      <c r="I1102" s="18" t="s">
        <v>2554</v>
      </c>
      <c r="J1102" s="16">
        <v>63.0</v>
      </c>
      <c r="K1102" s="8" t="s">
        <v>102</v>
      </c>
      <c r="L1102" s="8" t="s">
        <v>376</v>
      </c>
      <c r="M1102" s="18" t="s">
        <v>2577</v>
      </c>
      <c r="N1102" s="16">
        <v>83.0</v>
      </c>
      <c r="O1102" s="8" t="s">
        <v>5032</v>
      </c>
      <c r="P1102" s="8" t="s">
        <v>59</v>
      </c>
      <c r="Q1102" s="14" t="s">
        <v>2033</v>
      </c>
      <c r="R1102" s="8" t="s">
        <v>2575</v>
      </c>
      <c r="S1102" s="14" t="s">
        <v>2591</v>
      </c>
    </row>
    <row r="1103">
      <c r="A1103" s="8" t="s">
        <v>822</v>
      </c>
      <c r="B1103" s="8" t="s">
        <v>89</v>
      </c>
      <c r="C1103" s="8" t="s">
        <v>93</v>
      </c>
      <c r="D1103" s="18" t="s">
        <v>2582</v>
      </c>
      <c r="E1103" s="16">
        <v>67.0</v>
      </c>
      <c r="F1103" s="8" t="s">
        <v>798</v>
      </c>
      <c r="G1103" s="8" t="s">
        <v>3000</v>
      </c>
      <c r="H1103" s="8" t="s">
        <v>132</v>
      </c>
      <c r="I1103" s="18" t="s">
        <v>2584</v>
      </c>
      <c r="J1103" s="16">
        <v>69.0</v>
      </c>
      <c r="K1103" s="8" t="s">
        <v>102</v>
      </c>
      <c r="L1103" s="8" t="s">
        <v>62</v>
      </c>
      <c r="M1103" s="18" t="s">
        <v>2614</v>
      </c>
      <c r="N1103" s="16">
        <v>76.0</v>
      </c>
      <c r="O1103" s="8" t="s">
        <v>5033</v>
      </c>
      <c r="P1103" s="8" t="s">
        <v>186</v>
      </c>
      <c r="Q1103" s="14" t="s">
        <v>1679</v>
      </c>
      <c r="R1103" s="8" t="s">
        <v>2614</v>
      </c>
      <c r="S1103" s="14" t="s">
        <v>2625</v>
      </c>
    </row>
    <row r="1104">
      <c r="A1104" s="8" t="s">
        <v>822</v>
      </c>
      <c r="B1104" s="8" t="s">
        <v>537</v>
      </c>
      <c r="C1104" s="8" t="s">
        <v>70</v>
      </c>
      <c r="D1104" s="18" t="s">
        <v>2610</v>
      </c>
      <c r="E1104" s="16">
        <v>81.0</v>
      </c>
      <c r="F1104" s="8" t="s">
        <v>798</v>
      </c>
      <c r="G1104" s="8" t="s">
        <v>546</v>
      </c>
      <c r="H1104" s="8" t="s">
        <v>186</v>
      </c>
      <c r="I1104" s="18" t="s">
        <v>2567</v>
      </c>
      <c r="J1104" s="16">
        <v>66.0</v>
      </c>
      <c r="K1104" s="8" t="s">
        <v>102</v>
      </c>
      <c r="L1104" s="8" t="s">
        <v>870</v>
      </c>
      <c r="M1104" s="18" t="s">
        <v>2564</v>
      </c>
      <c r="N1104" s="16">
        <v>65.0</v>
      </c>
      <c r="O1104" s="8" t="s">
        <v>5034</v>
      </c>
      <c r="P1104" s="8" t="s">
        <v>186</v>
      </c>
      <c r="Q1104" s="14" t="s">
        <v>1679</v>
      </c>
      <c r="R1104" s="8" t="s">
        <v>2621</v>
      </c>
      <c r="S1104" s="14" t="s">
        <v>2601</v>
      </c>
    </row>
    <row r="1105">
      <c r="A1105" s="8" t="s">
        <v>822</v>
      </c>
      <c r="B1105" s="8" t="s">
        <v>2876</v>
      </c>
      <c r="C1105" s="8" t="s">
        <v>65</v>
      </c>
      <c r="D1105" s="18" t="s">
        <v>2554</v>
      </c>
      <c r="E1105" s="16">
        <v>72.0</v>
      </c>
      <c r="F1105" s="8" t="s">
        <v>822</v>
      </c>
      <c r="G1105" s="8" t="s">
        <v>2911</v>
      </c>
      <c r="H1105" s="8" t="s">
        <v>65</v>
      </c>
      <c r="I1105" s="18" t="s">
        <v>2575</v>
      </c>
      <c r="J1105" s="16">
        <v>83.0</v>
      </c>
      <c r="K1105" s="8" t="s">
        <v>102</v>
      </c>
      <c r="L1105" s="8" t="s">
        <v>1318</v>
      </c>
      <c r="M1105" s="18" t="s">
        <v>2600</v>
      </c>
      <c r="N1105" s="16">
        <v>80.0</v>
      </c>
      <c r="O1105" s="8" t="s">
        <v>5035</v>
      </c>
      <c r="P1105" s="8" t="s">
        <v>192</v>
      </c>
      <c r="Q1105" s="14" t="s">
        <v>1352</v>
      </c>
      <c r="R1105" s="8" t="s">
        <v>2552</v>
      </c>
      <c r="S1105" s="14" t="s">
        <v>2583</v>
      </c>
    </row>
    <row r="1106">
      <c r="A1106" s="8" t="s">
        <v>822</v>
      </c>
      <c r="B1106" s="8" t="s">
        <v>552</v>
      </c>
      <c r="C1106" s="8" t="s">
        <v>93</v>
      </c>
      <c r="D1106" s="18" t="s">
        <v>2603</v>
      </c>
      <c r="E1106" s="16">
        <v>77.0</v>
      </c>
      <c r="F1106" s="8" t="s">
        <v>822</v>
      </c>
      <c r="G1106" s="8" t="s">
        <v>3198</v>
      </c>
      <c r="H1106" s="8" t="s">
        <v>59</v>
      </c>
      <c r="I1106" s="18" t="s">
        <v>2574</v>
      </c>
      <c r="J1106" s="16">
        <v>64.0</v>
      </c>
      <c r="K1106" s="8" t="s">
        <v>102</v>
      </c>
      <c r="L1106" s="8" t="s">
        <v>104</v>
      </c>
      <c r="M1106" s="18" t="s">
        <v>2564</v>
      </c>
      <c r="N1106" s="16">
        <v>67.0</v>
      </c>
      <c r="O1106" s="8" t="s">
        <v>5036</v>
      </c>
      <c r="P1106" s="8" t="s">
        <v>59</v>
      </c>
      <c r="Q1106" s="14" t="s">
        <v>837</v>
      </c>
      <c r="R1106" s="8" t="s">
        <v>2581</v>
      </c>
      <c r="S1106" s="14" t="s">
        <v>2568</v>
      </c>
    </row>
    <row r="1107">
      <c r="A1107" s="8" t="s">
        <v>822</v>
      </c>
      <c r="B1107" s="8" t="s">
        <v>963</v>
      </c>
      <c r="C1107" s="8" t="s">
        <v>70</v>
      </c>
      <c r="D1107" s="18" t="s">
        <v>2605</v>
      </c>
      <c r="E1107" s="16">
        <v>76.0</v>
      </c>
      <c r="F1107" s="8" t="s">
        <v>822</v>
      </c>
      <c r="G1107" s="8" t="s">
        <v>90</v>
      </c>
      <c r="H1107" s="8" t="s">
        <v>93</v>
      </c>
      <c r="I1107" s="18" t="s">
        <v>2560</v>
      </c>
      <c r="J1107" s="16">
        <v>64.0</v>
      </c>
      <c r="K1107" s="8" t="s">
        <v>102</v>
      </c>
      <c r="L1107" s="8" t="s">
        <v>1180</v>
      </c>
      <c r="M1107" s="18" t="s">
        <v>2567</v>
      </c>
      <c r="N1107" s="16">
        <v>67.0</v>
      </c>
      <c r="O1107" s="8" t="s">
        <v>5037</v>
      </c>
      <c r="P1107" s="8" t="s">
        <v>93</v>
      </c>
      <c r="Q1107" s="14" t="s">
        <v>2033</v>
      </c>
      <c r="R1107" s="8" t="s">
        <v>2600</v>
      </c>
      <c r="S1107" s="14" t="s">
        <v>2601</v>
      </c>
    </row>
    <row r="1108">
      <c r="A1108" s="8" t="s">
        <v>822</v>
      </c>
      <c r="B1108" s="8" t="s">
        <v>2911</v>
      </c>
      <c r="C1108" s="8" t="s">
        <v>65</v>
      </c>
      <c r="D1108" s="18" t="s">
        <v>2183</v>
      </c>
      <c r="E1108" s="16">
        <v>86.0</v>
      </c>
      <c r="F1108" s="8" t="s">
        <v>822</v>
      </c>
      <c r="G1108" s="8" t="s">
        <v>597</v>
      </c>
      <c r="H1108" s="8" t="s">
        <v>65</v>
      </c>
      <c r="I1108" s="18" t="s">
        <v>2589</v>
      </c>
      <c r="J1108" s="16">
        <v>67.0</v>
      </c>
      <c r="K1108" s="8" t="s">
        <v>102</v>
      </c>
      <c r="L1108" s="8" t="s">
        <v>2196</v>
      </c>
      <c r="M1108" s="18" t="s">
        <v>2610</v>
      </c>
      <c r="N1108" s="16">
        <v>80.0</v>
      </c>
      <c r="O1108" s="8" t="s">
        <v>5038</v>
      </c>
      <c r="P1108" s="8" t="s">
        <v>16</v>
      </c>
      <c r="Q1108" s="14" t="s">
        <v>1070</v>
      </c>
      <c r="R1108" s="8" t="s">
        <v>2610</v>
      </c>
      <c r="S1108" s="14" t="s">
        <v>2594</v>
      </c>
    </row>
    <row r="1109">
      <c r="A1109" s="8" t="s">
        <v>822</v>
      </c>
      <c r="B1109" s="8" t="s">
        <v>597</v>
      </c>
      <c r="C1109" s="8" t="s">
        <v>65</v>
      </c>
      <c r="D1109" s="18" t="s">
        <v>2560</v>
      </c>
      <c r="E1109" s="16">
        <v>66.0</v>
      </c>
      <c r="F1109" s="8" t="s">
        <v>822</v>
      </c>
      <c r="G1109" s="8" t="s">
        <v>963</v>
      </c>
      <c r="H1109" s="8" t="s">
        <v>70</v>
      </c>
      <c r="I1109" s="18" t="s">
        <v>2605</v>
      </c>
      <c r="J1109" s="16">
        <v>74.0</v>
      </c>
      <c r="K1109" s="8" t="s">
        <v>102</v>
      </c>
      <c r="L1109" s="8" t="s">
        <v>1139</v>
      </c>
      <c r="M1109" s="18" t="s">
        <v>2554</v>
      </c>
      <c r="N1109" s="16">
        <v>71.0</v>
      </c>
      <c r="O1109" s="8" t="s">
        <v>5039</v>
      </c>
      <c r="P1109" s="8" t="s">
        <v>192</v>
      </c>
      <c r="Q1109" s="14" t="s">
        <v>631</v>
      </c>
      <c r="R1109" s="8" t="s">
        <v>2614</v>
      </c>
      <c r="S1109" s="14" t="s">
        <v>2602</v>
      </c>
    </row>
    <row r="1110">
      <c r="A1110" s="8" t="s">
        <v>822</v>
      </c>
      <c r="B1110" s="8" t="s">
        <v>821</v>
      </c>
      <c r="C1110" s="8" t="s">
        <v>132</v>
      </c>
      <c r="D1110" s="18" t="s">
        <v>2567</v>
      </c>
      <c r="E1110" s="16">
        <v>63.0</v>
      </c>
      <c r="F1110" s="8" t="s">
        <v>822</v>
      </c>
      <c r="G1110" s="8" t="s">
        <v>821</v>
      </c>
      <c r="H1110" s="8" t="s">
        <v>149</v>
      </c>
      <c r="I1110" s="18" t="s">
        <v>2567</v>
      </c>
      <c r="J1110" s="16">
        <v>64.0</v>
      </c>
      <c r="K1110" s="8" t="s">
        <v>102</v>
      </c>
      <c r="L1110" s="8" t="s">
        <v>112</v>
      </c>
      <c r="M1110" s="18" t="s">
        <v>2575</v>
      </c>
      <c r="N1110" s="16">
        <v>78.0</v>
      </c>
      <c r="O1110" s="8" t="s">
        <v>5040</v>
      </c>
      <c r="P1110" s="8" t="s">
        <v>24</v>
      </c>
      <c r="Q1110" s="14" t="s">
        <v>1070</v>
      </c>
      <c r="R1110" s="8" t="s">
        <v>2620</v>
      </c>
      <c r="S1110" s="14" t="s">
        <v>2553</v>
      </c>
    </row>
    <row r="1111">
      <c r="A1111" s="8" t="s">
        <v>822</v>
      </c>
      <c r="B1111" s="8" t="s">
        <v>3510</v>
      </c>
      <c r="C1111" s="8" t="s">
        <v>141</v>
      </c>
      <c r="D1111" s="18" t="s">
        <v>2575</v>
      </c>
      <c r="E1111" s="16">
        <v>81.0</v>
      </c>
      <c r="F1111" s="8" t="s">
        <v>822</v>
      </c>
      <c r="G1111" s="8" t="s">
        <v>486</v>
      </c>
      <c r="H1111" s="8" t="s">
        <v>65</v>
      </c>
      <c r="I1111" s="18" t="s">
        <v>2587</v>
      </c>
      <c r="J1111" s="16">
        <v>63.0</v>
      </c>
      <c r="K1111" s="8" t="s">
        <v>102</v>
      </c>
      <c r="L1111" s="8" t="s">
        <v>3124</v>
      </c>
      <c r="M1111" s="18" t="s">
        <v>2562</v>
      </c>
      <c r="N1111" s="16">
        <v>68.0</v>
      </c>
      <c r="O1111" s="8" t="s">
        <v>5041</v>
      </c>
      <c r="P1111" s="8" t="s">
        <v>53</v>
      </c>
      <c r="Q1111" s="14" t="s">
        <v>2033</v>
      </c>
      <c r="R1111" s="8" t="s">
        <v>2620</v>
      </c>
      <c r="S1111" s="14" t="s">
        <v>2594</v>
      </c>
    </row>
    <row r="1112">
      <c r="A1112" s="8" t="s">
        <v>981</v>
      </c>
      <c r="B1112" s="8" t="s">
        <v>980</v>
      </c>
      <c r="C1112" s="8" t="s">
        <v>70</v>
      </c>
      <c r="D1112" s="18" t="s">
        <v>2552</v>
      </c>
      <c r="E1112" s="16">
        <v>76.0</v>
      </c>
      <c r="F1112" s="8" t="s">
        <v>822</v>
      </c>
      <c r="G1112" s="8" t="s">
        <v>2190</v>
      </c>
      <c r="H1112" s="8" t="s">
        <v>70</v>
      </c>
      <c r="I1112" s="18" t="s">
        <v>2592</v>
      </c>
      <c r="J1112" s="16">
        <v>71.0</v>
      </c>
      <c r="K1112" s="8" t="s">
        <v>102</v>
      </c>
      <c r="L1112" s="8" t="s">
        <v>574</v>
      </c>
      <c r="M1112" s="18" t="s">
        <v>2614</v>
      </c>
      <c r="N1112" s="16">
        <v>69.0</v>
      </c>
      <c r="O1112" s="8" t="s">
        <v>5042</v>
      </c>
      <c r="P1112" s="8" t="s">
        <v>93</v>
      </c>
      <c r="Q1112" s="14" t="s">
        <v>631</v>
      </c>
      <c r="R1112" s="8" t="s">
        <v>2572</v>
      </c>
      <c r="S1112" s="14" t="s">
        <v>2570</v>
      </c>
    </row>
    <row r="1113">
      <c r="A1113" s="8" t="s">
        <v>558</v>
      </c>
      <c r="B1113" s="8" t="s">
        <v>2819</v>
      </c>
      <c r="C1113" s="8" t="s">
        <v>24</v>
      </c>
      <c r="D1113" s="18" t="s">
        <v>2589</v>
      </c>
      <c r="E1113" s="16">
        <v>84.0</v>
      </c>
      <c r="F1113" s="8" t="s">
        <v>822</v>
      </c>
      <c r="G1113" s="8" t="s">
        <v>1623</v>
      </c>
      <c r="H1113" s="8" t="s">
        <v>24</v>
      </c>
      <c r="I1113" s="18" t="s">
        <v>2582</v>
      </c>
      <c r="J1113" s="16">
        <v>71.0</v>
      </c>
      <c r="K1113" s="8" t="s">
        <v>102</v>
      </c>
      <c r="L1113" s="8" t="s">
        <v>2877</v>
      </c>
      <c r="M1113" s="18" t="s">
        <v>2558</v>
      </c>
      <c r="N1113" s="16">
        <v>67.0</v>
      </c>
      <c r="O1113" s="8" t="s">
        <v>5043</v>
      </c>
      <c r="P1113" s="8" t="s">
        <v>70</v>
      </c>
      <c r="Q1113" s="14" t="s">
        <v>2033</v>
      </c>
      <c r="R1113" s="8" t="s">
        <v>2585</v>
      </c>
      <c r="S1113" s="14" t="s">
        <v>2579</v>
      </c>
    </row>
    <row r="1114">
      <c r="A1114" s="8" t="s">
        <v>558</v>
      </c>
      <c r="B1114" s="8" t="s">
        <v>557</v>
      </c>
      <c r="C1114" s="8" t="s">
        <v>65</v>
      </c>
      <c r="D1114" s="18" t="s">
        <v>2603</v>
      </c>
      <c r="E1114" s="16">
        <v>80.0</v>
      </c>
      <c r="F1114" s="8" t="s">
        <v>822</v>
      </c>
      <c r="G1114" s="8" t="s">
        <v>2697</v>
      </c>
      <c r="H1114" s="8" t="s">
        <v>93</v>
      </c>
      <c r="I1114" s="18" t="s">
        <v>2621</v>
      </c>
      <c r="J1114" s="16">
        <v>59.0</v>
      </c>
      <c r="K1114" s="8" t="s">
        <v>102</v>
      </c>
      <c r="L1114" s="8" t="s">
        <v>2672</v>
      </c>
      <c r="M1114" s="18" t="s">
        <v>2572</v>
      </c>
      <c r="N1114" s="16">
        <v>76.0</v>
      </c>
      <c r="O1114" s="8" t="s">
        <v>5044</v>
      </c>
      <c r="P1114" s="8" t="s">
        <v>138</v>
      </c>
      <c r="Q1114" s="14" t="s">
        <v>2296</v>
      </c>
      <c r="R1114" s="8" t="s">
        <v>2621</v>
      </c>
      <c r="S1114" s="14" t="s">
        <v>2553</v>
      </c>
    </row>
    <row r="1115">
      <c r="A1115" s="8" t="s">
        <v>2987</v>
      </c>
      <c r="B1115" s="8" t="s">
        <v>2986</v>
      </c>
      <c r="C1115" s="8" t="s">
        <v>149</v>
      </c>
      <c r="D1115" s="18" t="s">
        <v>2584</v>
      </c>
      <c r="E1115" s="16">
        <v>77.0</v>
      </c>
      <c r="F1115" s="8" t="s">
        <v>822</v>
      </c>
      <c r="G1115" s="8" t="s">
        <v>2876</v>
      </c>
      <c r="H1115" s="8" t="s">
        <v>65</v>
      </c>
      <c r="I1115" s="18" t="s">
        <v>2585</v>
      </c>
      <c r="J1115" s="16">
        <v>77.0</v>
      </c>
      <c r="K1115" s="8" t="s">
        <v>102</v>
      </c>
      <c r="L1115" s="8" t="s">
        <v>101</v>
      </c>
      <c r="M1115" s="18" t="s">
        <v>2585</v>
      </c>
      <c r="N1115" s="16">
        <v>84.0</v>
      </c>
      <c r="O1115" s="8" t="s">
        <v>5045</v>
      </c>
      <c r="P1115" s="8" t="s">
        <v>65</v>
      </c>
      <c r="Q1115" s="14" t="s">
        <v>1352</v>
      </c>
      <c r="R1115" s="8" t="s">
        <v>2582</v>
      </c>
      <c r="S1115" s="14" t="s">
        <v>2579</v>
      </c>
    </row>
    <row r="1116">
      <c r="A1116" s="8" t="s">
        <v>2710</v>
      </c>
      <c r="B1116" s="8" t="s">
        <v>2709</v>
      </c>
      <c r="C1116" s="8" t="s">
        <v>75</v>
      </c>
      <c r="D1116" s="18" t="s">
        <v>2581</v>
      </c>
      <c r="E1116" s="16">
        <v>81.0</v>
      </c>
      <c r="F1116" s="8" t="s">
        <v>822</v>
      </c>
      <c r="G1116" s="8" t="s">
        <v>552</v>
      </c>
      <c r="H1116" s="8" t="s">
        <v>93</v>
      </c>
      <c r="I1116" s="18" t="s">
        <v>2603</v>
      </c>
      <c r="J1116" s="16">
        <v>76.0</v>
      </c>
      <c r="K1116" s="8" t="s">
        <v>850</v>
      </c>
      <c r="L1116" s="8" t="s">
        <v>711</v>
      </c>
      <c r="M1116" s="18" t="s">
        <v>2562</v>
      </c>
      <c r="N1116" s="16">
        <v>68.0</v>
      </c>
      <c r="O1116" s="8" t="s">
        <v>5046</v>
      </c>
      <c r="P1116" s="8" t="s">
        <v>46</v>
      </c>
      <c r="Q1116" s="14" t="s">
        <v>1352</v>
      </c>
      <c r="R1116" s="8" t="s">
        <v>2577</v>
      </c>
      <c r="S1116" s="14" t="s">
        <v>2609</v>
      </c>
    </row>
    <row r="1117">
      <c r="A1117" s="8" t="s">
        <v>665</v>
      </c>
      <c r="B1117" s="8" t="s">
        <v>502</v>
      </c>
      <c r="C1117" s="8" t="s">
        <v>24</v>
      </c>
      <c r="D1117" s="18" t="s">
        <v>2621</v>
      </c>
      <c r="E1117" s="16">
        <v>66.0</v>
      </c>
      <c r="F1117" s="8" t="s">
        <v>822</v>
      </c>
      <c r="G1117" s="8" t="s">
        <v>3510</v>
      </c>
      <c r="H1117" s="8" t="s">
        <v>141</v>
      </c>
      <c r="I1117" s="18" t="s">
        <v>2585</v>
      </c>
      <c r="J1117" s="16">
        <v>82.0</v>
      </c>
      <c r="K1117" s="8" t="s">
        <v>850</v>
      </c>
      <c r="L1117" s="8" t="s">
        <v>2145</v>
      </c>
      <c r="M1117" s="18" t="s">
        <v>2605</v>
      </c>
      <c r="N1117" s="16">
        <v>71.0</v>
      </c>
      <c r="O1117" s="8" t="s">
        <v>5047</v>
      </c>
      <c r="P1117" s="8" t="s">
        <v>24</v>
      </c>
      <c r="Q1117" s="14" t="s">
        <v>1070</v>
      </c>
      <c r="R1117" s="8" t="s">
        <v>2562</v>
      </c>
      <c r="S1117" s="14" t="s">
        <v>2563</v>
      </c>
    </row>
    <row r="1118">
      <c r="A1118" s="8" t="s">
        <v>665</v>
      </c>
      <c r="B1118" s="8" t="s">
        <v>3633</v>
      </c>
      <c r="C1118" s="8" t="s">
        <v>261</v>
      </c>
      <c r="D1118" s="18" t="s">
        <v>2587</v>
      </c>
      <c r="E1118" s="16">
        <v>73.0</v>
      </c>
      <c r="F1118" s="8" t="s">
        <v>822</v>
      </c>
      <c r="G1118" s="8" t="s">
        <v>537</v>
      </c>
      <c r="H1118" s="8" t="s">
        <v>70</v>
      </c>
      <c r="I1118" s="18" t="s">
        <v>2610</v>
      </c>
      <c r="J1118" s="16">
        <v>82.0</v>
      </c>
      <c r="K1118" s="8" t="s">
        <v>850</v>
      </c>
      <c r="L1118" s="8" t="s">
        <v>849</v>
      </c>
      <c r="M1118" s="18" t="s">
        <v>2615</v>
      </c>
      <c r="N1118" s="16">
        <v>88.0</v>
      </c>
      <c r="O1118" s="8" t="s">
        <v>5048</v>
      </c>
      <c r="P1118" s="8" t="s">
        <v>59</v>
      </c>
      <c r="Q1118" s="14" t="s">
        <v>1070</v>
      </c>
      <c r="R1118" s="8" t="s">
        <v>2183</v>
      </c>
      <c r="S1118" s="14" t="s">
        <v>2591</v>
      </c>
    </row>
    <row r="1119">
      <c r="A1119" s="8" t="s">
        <v>665</v>
      </c>
      <c r="B1119" s="8" t="s">
        <v>3844</v>
      </c>
      <c r="C1119" s="8" t="s">
        <v>65</v>
      </c>
      <c r="D1119" s="18" t="s">
        <v>2585</v>
      </c>
      <c r="E1119" s="16">
        <v>68.0</v>
      </c>
      <c r="F1119" s="8" t="s">
        <v>981</v>
      </c>
      <c r="G1119" s="8" t="s">
        <v>980</v>
      </c>
      <c r="H1119" s="8" t="s">
        <v>70</v>
      </c>
      <c r="I1119" s="18" t="s">
        <v>2552</v>
      </c>
      <c r="J1119" s="16">
        <v>80.0</v>
      </c>
      <c r="K1119" s="8" t="s">
        <v>850</v>
      </c>
      <c r="L1119" s="8" t="s">
        <v>849</v>
      </c>
      <c r="M1119" s="18" t="s">
        <v>2615</v>
      </c>
      <c r="N1119" s="16">
        <v>82.0</v>
      </c>
      <c r="O1119" s="8" t="s">
        <v>5049</v>
      </c>
      <c r="P1119" s="8" t="s">
        <v>75</v>
      </c>
      <c r="Q1119" s="14" t="s">
        <v>1679</v>
      </c>
      <c r="R1119" s="8" t="s">
        <v>2593</v>
      </c>
      <c r="S1119" s="14" t="s">
        <v>2618</v>
      </c>
    </row>
    <row r="1120">
      <c r="A1120" s="8" t="s">
        <v>3806</v>
      </c>
      <c r="B1120" s="8" t="s">
        <v>2402</v>
      </c>
      <c r="C1120" s="8" t="s">
        <v>93</v>
      </c>
      <c r="D1120" s="18" t="s">
        <v>2575</v>
      </c>
      <c r="E1120" s="16">
        <v>76.0</v>
      </c>
      <c r="F1120" s="8" t="s">
        <v>558</v>
      </c>
      <c r="G1120" s="8" t="s">
        <v>2819</v>
      </c>
      <c r="H1120" s="8" t="s">
        <v>24</v>
      </c>
      <c r="I1120" s="18" t="s">
        <v>2589</v>
      </c>
      <c r="J1120" s="16">
        <v>77.0</v>
      </c>
      <c r="K1120" s="8" t="s">
        <v>1249</v>
      </c>
      <c r="L1120" s="8" t="s">
        <v>1709</v>
      </c>
      <c r="M1120" s="18" t="s">
        <v>2572</v>
      </c>
      <c r="N1120" s="16">
        <v>85.0</v>
      </c>
      <c r="O1120" s="8" t="s">
        <v>5050</v>
      </c>
      <c r="P1120" s="8" t="s">
        <v>215</v>
      </c>
      <c r="Q1120" s="14" t="s">
        <v>1352</v>
      </c>
      <c r="R1120" s="8" t="s">
        <v>2592</v>
      </c>
      <c r="S1120" s="14" t="s">
        <v>2568</v>
      </c>
    </row>
    <row r="1121">
      <c r="A1121" s="8" t="s">
        <v>3258</v>
      </c>
      <c r="B1121" s="8" t="s">
        <v>916</v>
      </c>
      <c r="C1121" s="8" t="s">
        <v>186</v>
      </c>
      <c r="D1121" s="18" t="s">
        <v>2605</v>
      </c>
      <c r="E1121" s="16">
        <v>86.0</v>
      </c>
      <c r="F1121" s="8" t="s">
        <v>558</v>
      </c>
      <c r="G1121" s="8" t="s">
        <v>617</v>
      </c>
      <c r="H1121" s="8" t="s">
        <v>80</v>
      </c>
      <c r="I1121" s="18" t="s">
        <v>2558</v>
      </c>
      <c r="J1121" s="16">
        <v>59.0</v>
      </c>
      <c r="K1121" s="8" t="s">
        <v>1249</v>
      </c>
      <c r="L1121" s="8" t="s">
        <v>1849</v>
      </c>
      <c r="M1121" s="18" t="s">
        <v>2645</v>
      </c>
      <c r="N1121" s="16">
        <v>67.0</v>
      </c>
      <c r="O1121" s="8" t="s">
        <v>5051</v>
      </c>
      <c r="P1121" s="8" t="s">
        <v>93</v>
      </c>
      <c r="Q1121" s="14" t="s">
        <v>1070</v>
      </c>
      <c r="R1121" s="8" t="s">
        <v>2564</v>
      </c>
      <c r="S1121" s="14" t="s">
        <v>2576</v>
      </c>
    </row>
    <row r="1122">
      <c r="A1122" s="8" t="s">
        <v>3258</v>
      </c>
      <c r="B1122" s="8" t="s">
        <v>3805</v>
      </c>
      <c r="C1122" s="8" t="s">
        <v>122</v>
      </c>
      <c r="D1122" s="18" t="s">
        <v>2582</v>
      </c>
      <c r="E1122" s="16">
        <v>67.0</v>
      </c>
      <c r="F1122" s="8" t="s">
        <v>558</v>
      </c>
      <c r="G1122" s="8" t="s">
        <v>1780</v>
      </c>
      <c r="H1122" s="8" t="s">
        <v>132</v>
      </c>
      <c r="I1122" s="18" t="s">
        <v>2575</v>
      </c>
      <c r="J1122" s="16">
        <v>68.0</v>
      </c>
      <c r="K1122" s="8" t="s">
        <v>1249</v>
      </c>
      <c r="L1122" s="8" t="s">
        <v>205</v>
      </c>
      <c r="M1122" s="18" t="s">
        <v>2603</v>
      </c>
      <c r="N1122" s="16">
        <v>72.0</v>
      </c>
      <c r="O1122" s="8" t="s">
        <v>5052</v>
      </c>
      <c r="P1122" s="8" t="s">
        <v>46</v>
      </c>
      <c r="Q1122" s="14" t="s">
        <v>631</v>
      </c>
      <c r="R1122" s="8" t="s">
        <v>2587</v>
      </c>
      <c r="S1122" s="14" t="s">
        <v>2618</v>
      </c>
    </row>
    <row r="1123">
      <c r="A1123" s="8" t="s">
        <v>279</v>
      </c>
      <c r="B1123" s="8" t="s">
        <v>1796</v>
      </c>
      <c r="C1123" s="8" t="s">
        <v>186</v>
      </c>
      <c r="D1123" s="18" t="s">
        <v>2554</v>
      </c>
      <c r="E1123" s="16">
        <v>63.0</v>
      </c>
      <c r="F1123" s="8" t="s">
        <v>558</v>
      </c>
      <c r="G1123" s="8" t="s">
        <v>557</v>
      </c>
      <c r="H1123" s="8" t="s">
        <v>65</v>
      </c>
      <c r="I1123" s="18" t="s">
        <v>2603</v>
      </c>
      <c r="J1123" s="16">
        <v>80.0</v>
      </c>
      <c r="K1123" s="8" t="s">
        <v>23</v>
      </c>
      <c r="L1123" s="8" t="s">
        <v>601</v>
      </c>
      <c r="M1123" s="18" t="s">
        <v>2567</v>
      </c>
      <c r="N1123" s="16">
        <v>79.0</v>
      </c>
      <c r="O1123" s="8" t="s">
        <v>5053</v>
      </c>
      <c r="P1123" s="8" t="s">
        <v>93</v>
      </c>
      <c r="Q1123" s="14" t="s">
        <v>1352</v>
      </c>
      <c r="R1123" s="8" t="s">
        <v>2560</v>
      </c>
      <c r="S1123" s="14" t="s">
        <v>2580</v>
      </c>
    </row>
    <row r="1124">
      <c r="A1124" s="8" t="s">
        <v>279</v>
      </c>
      <c r="B1124" s="8" t="s">
        <v>278</v>
      </c>
      <c r="C1124" s="8" t="s">
        <v>215</v>
      </c>
      <c r="D1124" s="18" t="s">
        <v>2587</v>
      </c>
      <c r="E1124" s="16">
        <v>88.0</v>
      </c>
      <c r="F1124" s="8" t="s">
        <v>2987</v>
      </c>
      <c r="G1124" s="8" t="s">
        <v>2986</v>
      </c>
      <c r="H1124" s="8" t="s">
        <v>149</v>
      </c>
      <c r="I1124" s="18" t="s">
        <v>2584</v>
      </c>
      <c r="J1124" s="16">
        <v>77.0</v>
      </c>
      <c r="K1124" s="8" t="s">
        <v>23</v>
      </c>
      <c r="L1124" s="8" t="s">
        <v>597</v>
      </c>
      <c r="M1124" s="18" t="s">
        <v>2610</v>
      </c>
      <c r="N1124" s="16">
        <v>74.0</v>
      </c>
      <c r="O1124" s="8" t="s">
        <v>5054</v>
      </c>
      <c r="P1124" s="8" t="s">
        <v>70</v>
      </c>
      <c r="Q1124" s="14" t="s">
        <v>837</v>
      </c>
      <c r="R1124" s="8" t="s">
        <v>2598</v>
      </c>
      <c r="S1124" s="14" t="s">
        <v>2594</v>
      </c>
    </row>
    <row r="1125">
      <c r="A1125" s="8" t="s">
        <v>884</v>
      </c>
      <c r="B1125" s="8" t="s">
        <v>260</v>
      </c>
      <c r="C1125" s="8" t="s">
        <v>24</v>
      </c>
      <c r="D1125" s="18" t="s">
        <v>2577</v>
      </c>
      <c r="E1125" s="16">
        <v>67.0</v>
      </c>
      <c r="F1125" s="8" t="s">
        <v>2710</v>
      </c>
      <c r="G1125" s="8" t="s">
        <v>2709</v>
      </c>
      <c r="H1125" s="8" t="s">
        <v>132</v>
      </c>
      <c r="I1125" s="18" t="s">
        <v>2581</v>
      </c>
      <c r="J1125" s="16">
        <v>72.0</v>
      </c>
      <c r="K1125" s="8" t="s">
        <v>23</v>
      </c>
      <c r="L1125" s="8" t="s">
        <v>829</v>
      </c>
      <c r="M1125" s="18" t="s">
        <v>2589</v>
      </c>
      <c r="N1125" s="16">
        <v>67.0</v>
      </c>
      <c r="O1125" s="8" t="s">
        <v>5055</v>
      </c>
      <c r="P1125" s="8" t="s">
        <v>70</v>
      </c>
      <c r="Q1125" s="14" t="s">
        <v>2033</v>
      </c>
      <c r="R1125" s="8" t="s">
        <v>2621</v>
      </c>
      <c r="S1125" s="14" t="s">
        <v>2609</v>
      </c>
    </row>
    <row r="1126">
      <c r="A1126" s="8" t="s">
        <v>3808</v>
      </c>
      <c r="B1126" s="8" t="s">
        <v>3807</v>
      </c>
      <c r="C1126" s="8" t="s">
        <v>70</v>
      </c>
      <c r="D1126" s="18" t="s">
        <v>2552</v>
      </c>
      <c r="E1126" s="16">
        <v>65.0</v>
      </c>
      <c r="F1126" s="8" t="s">
        <v>665</v>
      </c>
      <c r="G1126" s="8" t="s">
        <v>502</v>
      </c>
      <c r="H1126" s="8" t="s">
        <v>24</v>
      </c>
      <c r="I1126" s="18" t="s">
        <v>2621</v>
      </c>
      <c r="J1126" s="16">
        <v>66.0</v>
      </c>
      <c r="K1126" s="8" t="s">
        <v>23</v>
      </c>
      <c r="L1126" s="8" t="s">
        <v>2797</v>
      </c>
      <c r="M1126" s="18" t="s">
        <v>2595</v>
      </c>
      <c r="N1126" s="16">
        <v>63.0</v>
      </c>
      <c r="O1126" s="8" t="s">
        <v>5056</v>
      </c>
      <c r="P1126" s="8" t="s">
        <v>192</v>
      </c>
      <c r="Q1126" s="14" t="s">
        <v>2033</v>
      </c>
      <c r="R1126" s="8" t="s">
        <v>2582</v>
      </c>
      <c r="S1126" s="14" t="s">
        <v>2606</v>
      </c>
    </row>
    <row r="1127">
      <c r="A1127" s="8" t="s">
        <v>1659</v>
      </c>
      <c r="B1127" s="8" t="s">
        <v>825</v>
      </c>
      <c r="C1127" s="8" t="s">
        <v>138</v>
      </c>
      <c r="D1127" s="18" t="s">
        <v>2556</v>
      </c>
      <c r="E1127" s="16">
        <v>71.0</v>
      </c>
      <c r="F1127" s="8" t="s">
        <v>3258</v>
      </c>
      <c r="G1127" s="8" t="s">
        <v>916</v>
      </c>
      <c r="H1127" s="8" t="s">
        <v>186</v>
      </c>
      <c r="I1127" s="18" t="s">
        <v>2605</v>
      </c>
      <c r="J1127" s="16">
        <v>88.0</v>
      </c>
      <c r="K1127" s="8" t="s">
        <v>23</v>
      </c>
      <c r="L1127" s="8" t="s">
        <v>2886</v>
      </c>
      <c r="M1127" s="18" t="s">
        <v>2645</v>
      </c>
      <c r="N1127" s="16">
        <v>61.0</v>
      </c>
      <c r="O1127" s="8" t="s">
        <v>5057</v>
      </c>
      <c r="P1127" s="8" t="s">
        <v>24</v>
      </c>
      <c r="Q1127" s="14" t="s">
        <v>1352</v>
      </c>
      <c r="R1127" s="8" t="s">
        <v>2582</v>
      </c>
      <c r="S1127" s="14" t="s">
        <v>2557</v>
      </c>
    </row>
    <row r="1128">
      <c r="A1128" s="8" t="s">
        <v>3616</v>
      </c>
      <c r="B1128" s="8" t="s">
        <v>3615</v>
      </c>
      <c r="C1128" s="8" t="s">
        <v>24</v>
      </c>
      <c r="D1128" s="18" t="s">
        <v>2587</v>
      </c>
      <c r="E1128" s="16">
        <v>70.0</v>
      </c>
      <c r="F1128" s="8" t="s">
        <v>279</v>
      </c>
      <c r="G1128" s="8" t="s">
        <v>278</v>
      </c>
      <c r="H1128" s="8" t="s">
        <v>215</v>
      </c>
      <c r="I1128" s="18" t="s">
        <v>2587</v>
      </c>
      <c r="J1128" s="16">
        <v>81.0</v>
      </c>
      <c r="K1128" s="8" t="s">
        <v>23</v>
      </c>
      <c r="L1128" s="8" t="s">
        <v>282</v>
      </c>
      <c r="M1128" s="18" t="s">
        <v>2605</v>
      </c>
      <c r="N1128" s="16">
        <v>72.0</v>
      </c>
      <c r="O1128" s="8" t="s">
        <v>5058</v>
      </c>
      <c r="P1128" s="8" t="s">
        <v>75</v>
      </c>
      <c r="Q1128" s="14" t="s">
        <v>631</v>
      </c>
      <c r="R1128" s="18" t="s">
        <v>2589</v>
      </c>
      <c r="S1128" s="14" t="s">
        <v>2609</v>
      </c>
    </row>
    <row r="1129">
      <c r="A1129" s="8" t="s">
        <v>826</v>
      </c>
      <c r="B1129" s="8" t="s">
        <v>825</v>
      </c>
      <c r="C1129" s="8" t="s">
        <v>93</v>
      </c>
      <c r="D1129" s="18" t="s">
        <v>2585</v>
      </c>
      <c r="E1129" s="16">
        <v>75.0</v>
      </c>
      <c r="F1129" s="8" t="s">
        <v>279</v>
      </c>
      <c r="G1129" s="8" t="s">
        <v>3487</v>
      </c>
      <c r="H1129" s="8" t="s">
        <v>149</v>
      </c>
      <c r="I1129" s="18" t="s">
        <v>2567</v>
      </c>
      <c r="J1129" s="16">
        <v>62.0</v>
      </c>
      <c r="K1129" s="8" t="s">
        <v>23</v>
      </c>
      <c r="L1129" s="8" t="s">
        <v>2865</v>
      </c>
      <c r="M1129" s="18" t="s">
        <v>2593</v>
      </c>
      <c r="N1129" s="16">
        <v>82.0</v>
      </c>
      <c r="O1129" s="8" t="s">
        <v>5059</v>
      </c>
      <c r="P1129" s="8" t="s">
        <v>70</v>
      </c>
      <c r="Q1129" s="14" t="s">
        <v>837</v>
      </c>
      <c r="R1129" s="8" t="s">
        <v>2585</v>
      </c>
      <c r="S1129" s="14" t="s">
        <v>2588</v>
      </c>
    </row>
    <row r="1130">
      <c r="A1130" s="8" t="s">
        <v>204</v>
      </c>
      <c r="B1130" s="8" t="s">
        <v>923</v>
      </c>
      <c r="C1130" s="8" t="s">
        <v>16</v>
      </c>
      <c r="D1130" s="18" t="s">
        <v>2600</v>
      </c>
      <c r="E1130" s="16">
        <v>72.0</v>
      </c>
      <c r="F1130" s="8" t="s">
        <v>3235</v>
      </c>
      <c r="G1130" s="8" t="s">
        <v>3234</v>
      </c>
      <c r="H1130" s="8" t="s">
        <v>132</v>
      </c>
      <c r="I1130" s="18" t="s">
        <v>2566</v>
      </c>
      <c r="J1130" s="16">
        <v>61.0</v>
      </c>
      <c r="K1130" s="8" t="s">
        <v>23</v>
      </c>
      <c r="L1130" s="8" t="s">
        <v>402</v>
      </c>
      <c r="M1130" s="18" t="s">
        <v>2587</v>
      </c>
      <c r="N1130" s="16">
        <v>70.0</v>
      </c>
      <c r="O1130" s="8" t="s">
        <v>5060</v>
      </c>
      <c r="P1130" s="8" t="s">
        <v>186</v>
      </c>
      <c r="Q1130" s="14" t="s">
        <v>1679</v>
      </c>
      <c r="R1130" s="8" t="s">
        <v>2574</v>
      </c>
      <c r="S1130" s="14" t="s">
        <v>2583</v>
      </c>
    </row>
    <row r="1131">
      <c r="A1131" s="8" t="s">
        <v>204</v>
      </c>
      <c r="B1131" s="8" t="s">
        <v>203</v>
      </c>
      <c r="C1131" s="8" t="s">
        <v>24</v>
      </c>
      <c r="D1131" s="18" t="s">
        <v>2603</v>
      </c>
      <c r="E1131" s="16">
        <v>89.0</v>
      </c>
      <c r="F1131" s="8" t="s">
        <v>884</v>
      </c>
      <c r="G1131" s="8" t="s">
        <v>260</v>
      </c>
      <c r="H1131" s="8" t="s">
        <v>24</v>
      </c>
      <c r="I1131" s="18" t="s">
        <v>2577</v>
      </c>
      <c r="J1131" s="16">
        <v>78.0</v>
      </c>
      <c r="K1131" s="8" t="s">
        <v>23</v>
      </c>
      <c r="L1131" s="8" t="s">
        <v>279</v>
      </c>
      <c r="M1131" s="18" t="s">
        <v>2566</v>
      </c>
      <c r="N1131" s="16">
        <v>77.0</v>
      </c>
      <c r="O1131" s="8" t="s">
        <v>5061</v>
      </c>
      <c r="P1131" s="8" t="s">
        <v>132</v>
      </c>
      <c r="Q1131" s="14" t="s">
        <v>1679</v>
      </c>
      <c r="R1131" s="8" t="s">
        <v>2575</v>
      </c>
      <c r="S1131" s="14" t="s">
        <v>2580</v>
      </c>
    </row>
    <row r="1132">
      <c r="A1132" s="8" t="s">
        <v>204</v>
      </c>
      <c r="B1132" s="8" t="s">
        <v>3712</v>
      </c>
      <c r="C1132" s="8" t="s">
        <v>24</v>
      </c>
      <c r="D1132" s="18" t="s">
        <v>2554</v>
      </c>
      <c r="E1132" s="16">
        <v>46.0</v>
      </c>
      <c r="F1132" s="8" t="s">
        <v>1659</v>
      </c>
      <c r="G1132" s="8" t="s">
        <v>825</v>
      </c>
      <c r="H1132" s="8" t="s">
        <v>138</v>
      </c>
      <c r="I1132" s="18" t="s">
        <v>2556</v>
      </c>
      <c r="J1132" s="16">
        <v>72.0</v>
      </c>
      <c r="K1132" s="8" t="s">
        <v>23</v>
      </c>
      <c r="L1132" s="8" t="s">
        <v>106</v>
      </c>
      <c r="M1132" s="18" t="s">
        <v>2575</v>
      </c>
      <c r="N1132" s="16">
        <v>76.0</v>
      </c>
      <c r="O1132" s="8" t="s">
        <v>5062</v>
      </c>
      <c r="P1132" s="8" t="s">
        <v>59</v>
      </c>
      <c r="Q1132" s="14" t="s">
        <v>1352</v>
      </c>
      <c r="R1132" s="8" t="s">
        <v>2598</v>
      </c>
      <c r="S1132" s="14" t="s">
        <v>2583</v>
      </c>
    </row>
    <row r="1133">
      <c r="A1133" s="8" t="s">
        <v>204</v>
      </c>
      <c r="B1133" s="8" t="s">
        <v>99</v>
      </c>
      <c r="C1133" s="8" t="s">
        <v>93</v>
      </c>
      <c r="D1133" s="18" t="s">
        <v>2575</v>
      </c>
      <c r="E1133" s="16">
        <v>81.0</v>
      </c>
      <c r="F1133" s="8" t="s">
        <v>826</v>
      </c>
      <c r="G1133" s="8" t="s">
        <v>825</v>
      </c>
      <c r="H1133" s="8" t="s">
        <v>80</v>
      </c>
      <c r="I1133" s="18" t="s">
        <v>2585</v>
      </c>
      <c r="J1133" s="16">
        <v>80.0</v>
      </c>
      <c r="K1133" s="8" t="s">
        <v>23</v>
      </c>
      <c r="L1133" s="8" t="s">
        <v>2816</v>
      </c>
      <c r="M1133" s="18" t="s">
        <v>2566</v>
      </c>
      <c r="N1133" s="16">
        <v>73.0</v>
      </c>
      <c r="O1133" s="8" t="s">
        <v>5063</v>
      </c>
      <c r="P1133" s="8" t="s">
        <v>65</v>
      </c>
      <c r="Q1133" s="14" t="s">
        <v>459</v>
      </c>
      <c r="R1133" s="8" t="s">
        <v>2554</v>
      </c>
      <c r="S1133" s="14" t="s">
        <v>2586</v>
      </c>
    </row>
    <row r="1134">
      <c r="A1134" s="8" t="s">
        <v>204</v>
      </c>
      <c r="B1134" s="8" t="s">
        <v>3854</v>
      </c>
      <c r="C1134" s="8" t="s">
        <v>215</v>
      </c>
      <c r="D1134" s="18" t="s">
        <v>2183</v>
      </c>
      <c r="E1134" s="16">
        <v>56.0</v>
      </c>
      <c r="F1134" s="8" t="s">
        <v>204</v>
      </c>
      <c r="G1134" s="8" t="s">
        <v>99</v>
      </c>
      <c r="H1134" s="8" t="s">
        <v>93</v>
      </c>
      <c r="I1134" s="18" t="s">
        <v>2575</v>
      </c>
      <c r="J1134" s="16">
        <v>86.0</v>
      </c>
      <c r="K1134" s="8" t="s">
        <v>23</v>
      </c>
      <c r="L1134" s="8" t="s">
        <v>3092</v>
      </c>
      <c r="M1134" s="18" t="s">
        <v>2605</v>
      </c>
      <c r="N1134" s="16">
        <v>75.0</v>
      </c>
      <c r="O1134" s="8" t="s">
        <v>5064</v>
      </c>
      <c r="P1134" s="8" t="s">
        <v>93</v>
      </c>
      <c r="Q1134" s="14" t="s">
        <v>1679</v>
      </c>
      <c r="R1134" s="8" t="s">
        <v>2562</v>
      </c>
      <c r="S1134" s="14" t="s">
        <v>2576</v>
      </c>
    </row>
    <row r="1135">
      <c r="A1135" s="8" t="s">
        <v>204</v>
      </c>
      <c r="B1135" s="8" t="s">
        <v>451</v>
      </c>
      <c r="C1135" s="8" t="s">
        <v>80</v>
      </c>
      <c r="D1135" s="18" t="s">
        <v>2610</v>
      </c>
      <c r="E1135" s="16">
        <v>72.0</v>
      </c>
      <c r="F1135" s="8" t="s">
        <v>204</v>
      </c>
      <c r="G1135" s="8" t="s">
        <v>3446</v>
      </c>
      <c r="H1135" s="8" t="s">
        <v>215</v>
      </c>
      <c r="I1135" s="18" t="s">
        <v>2621</v>
      </c>
      <c r="J1135" s="16">
        <v>58.0</v>
      </c>
      <c r="K1135" s="8" t="s">
        <v>23</v>
      </c>
      <c r="L1135" s="8" t="s">
        <v>2343</v>
      </c>
      <c r="M1135" s="18" t="s">
        <v>2593</v>
      </c>
      <c r="N1135" s="16">
        <v>65.0</v>
      </c>
      <c r="O1135" s="8" t="s">
        <v>5065</v>
      </c>
      <c r="P1135" s="8" t="s">
        <v>192</v>
      </c>
      <c r="Q1135" s="14" t="s">
        <v>1070</v>
      </c>
      <c r="R1135" s="8" t="s">
        <v>2615</v>
      </c>
      <c r="S1135" s="14" t="s">
        <v>2563</v>
      </c>
    </row>
    <row r="1136">
      <c r="A1136" s="8" t="s">
        <v>102</v>
      </c>
      <c r="B1136" s="8" t="s">
        <v>2672</v>
      </c>
      <c r="C1136" s="8" t="s">
        <v>149</v>
      </c>
      <c r="D1136" s="18" t="s">
        <v>2572</v>
      </c>
      <c r="E1136" s="16">
        <v>80.0</v>
      </c>
      <c r="F1136" s="8" t="s">
        <v>204</v>
      </c>
      <c r="G1136" s="8" t="s">
        <v>203</v>
      </c>
      <c r="H1136" s="8" t="s">
        <v>24</v>
      </c>
      <c r="I1136" s="18" t="s">
        <v>2603</v>
      </c>
      <c r="J1136" s="16">
        <v>93.0</v>
      </c>
      <c r="K1136" s="8" t="s">
        <v>23</v>
      </c>
      <c r="L1136" s="8" t="s">
        <v>1632</v>
      </c>
      <c r="M1136" s="18" t="s">
        <v>2593</v>
      </c>
      <c r="N1136" s="16">
        <v>79.0</v>
      </c>
      <c r="O1136" s="8" t="s">
        <v>5066</v>
      </c>
      <c r="P1136" s="8" t="s">
        <v>53</v>
      </c>
      <c r="Q1136" s="14" t="s">
        <v>2296</v>
      </c>
      <c r="R1136" s="8" t="s">
        <v>2581</v>
      </c>
      <c r="S1136" s="14" t="s">
        <v>2571</v>
      </c>
    </row>
    <row r="1137">
      <c r="A1137" s="8" t="s">
        <v>102</v>
      </c>
      <c r="B1137" s="8" t="s">
        <v>3172</v>
      </c>
      <c r="C1137" s="8" t="s">
        <v>141</v>
      </c>
      <c r="D1137" s="18" t="s">
        <v>2552</v>
      </c>
      <c r="E1137" s="16">
        <v>83.0</v>
      </c>
      <c r="F1137" s="8" t="s">
        <v>204</v>
      </c>
      <c r="G1137" s="8" t="s">
        <v>923</v>
      </c>
      <c r="H1137" s="8" t="s">
        <v>16</v>
      </c>
      <c r="I1137" s="18" t="s">
        <v>2600</v>
      </c>
      <c r="J1137" s="16">
        <v>77.0</v>
      </c>
      <c r="K1137" s="8" t="s">
        <v>23</v>
      </c>
      <c r="L1137" s="8" t="s">
        <v>561</v>
      </c>
      <c r="M1137" s="18" t="s">
        <v>2593</v>
      </c>
      <c r="N1137" s="16">
        <v>73.0</v>
      </c>
      <c r="O1137" s="8" t="s">
        <v>5067</v>
      </c>
      <c r="P1137" s="8" t="s">
        <v>24</v>
      </c>
      <c r="Q1137" s="14" t="s">
        <v>631</v>
      </c>
      <c r="R1137" s="8" t="s">
        <v>2554</v>
      </c>
      <c r="S1137" s="14" t="s">
        <v>2579</v>
      </c>
    </row>
    <row r="1138">
      <c r="A1138" s="8" t="s">
        <v>102</v>
      </c>
      <c r="B1138" s="8" t="s">
        <v>870</v>
      </c>
      <c r="C1138" s="8" t="s">
        <v>16</v>
      </c>
      <c r="D1138" s="18" t="s">
        <v>2558</v>
      </c>
      <c r="E1138" s="16">
        <v>62.0</v>
      </c>
      <c r="F1138" s="8" t="s">
        <v>102</v>
      </c>
      <c r="G1138" s="8" t="s">
        <v>574</v>
      </c>
      <c r="H1138" s="8" t="s">
        <v>141</v>
      </c>
      <c r="I1138" s="18" t="s">
        <v>2614</v>
      </c>
      <c r="J1138" s="16">
        <v>66.0</v>
      </c>
      <c r="K1138" s="8" t="s">
        <v>92</v>
      </c>
      <c r="L1138" s="8" t="s">
        <v>91</v>
      </c>
      <c r="M1138" s="18" t="s">
        <v>2562</v>
      </c>
      <c r="N1138" s="16">
        <v>81.0</v>
      </c>
      <c r="O1138" s="8" t="s">
        <v>5068</v>
      </c>
      <c r="P1138" s="8" t="s">
        <v>215</v>
      </c>
      <c r="Q1138" s="14" t="s">
        <v>237</v>
      </c>
      <c r="R1138" s="8" t="s">
        <v>2587</v>
      </c>
      <c r="S1138" s="14" t="s">
        <v>2578</v>
      </c>
    </row>
    <row r="1139">
      <c r="A1139" s="8" t="s">
        <v>102</v>
      </c>
      <c r="B1139" s="8" t="s">
        <v>873</v>
      </c>
      <c r="C1139" s="8" t="s">
        <v>24</v>
      </c>
      <c r="D1139" s="18" t="s">
        <v>2600</v>
      </c>
      <c r="E1139" s="16">
        <v>40.0</v>
      </c>
      <c r="F1139" s="8" t="s">
        <v>102</v>
      </c>
      <c r="G1139" s="8" t="s">
        <v>232</v>
      </c>
      <c r="H1139" s="8" t="s">
        <v>16</v>
      </c>
      <c r="I1139" s="18" t="s">
        <v>2574</v>
      </c>
      <c r="J1139" s="16">
        <v>64.0</v>
      </c>
      <c r="K1139" s="8" t="s">
        <v>92</v>
      </c>
      <c r="L1139" s="8" t="s">
        <v>2751</v>
      </c>
      <c r="M1139" s="18" t="s">
        <v>2621</v>
      </c>
      <c r="N1139" s="16">
        <v>78.0</v>
      </c>
      <c r="O1139" s="8" t="s">
        <v>5069</v>
      </c>
      <c r="P1139" s="8" t="s">
        <v>122</v>
      </c>
      <c r="Q1139" s="14" t="s">
        <v>2296</v>
      </c>
      <c r="R1139" s="8" t="s">
        <v>2572</v>
      </c>
      <c r="S1139" s="14" t="s">
        <v>2553</v>
      </c>
    </row>
    <row r="1140">
      <c r="A1140" s="8" t="s">
        <v>102</v>
      </c>
      <c r="B1140" s="8" t="s">
        <v>1139</v>
      </c>
      <c r="C1140" s="8" t="s">
        <v>75</v>
      </c>
      <c r="D1140" s="18" t="s">
        <v>2554</v>
      </c>
      <c r="E1140" s="16">
        <v>65.0</v>
      </c>
      <c r="F1140" s="8" t="s">
        <v>102</v>
      </c>
      <c r="G1140" s="8" t="s">
        <v>870</v>
      </c>
      <c r="H1140" s="8" t="s">
        <v>16</v>
      </c>
      <c r="I1140" s="18" t="s">
        <v>2558</v>
      </c>
      <c r="J1140" s="16">
        <v>62.0</v>
      </c>
      <c r="K1140" s="8" t="s">
        <v>92</v>
      </c>
      <c r="L1140" s="8" t="s">
        <v>933</v>
      </c>
      <c r="M1140" s="18" t="s">
        <v>2645</v>
      </c>
      <c r="N1140" s="16">
        <v>61.0</v>
      </c>
      <c r="O1140" s="8" t="s">
        <v>5070</v>
      </c>
      <c r="P1140" s="8" t="s">
        <v>132</v>
      </c>
      <c r="Q1140" s="14" t="s">
        <v>837</v>
      </c>
      <c r="R1140" s="8" t="s">
        <v>2581</v>
      </c>
      <c r="S1140" s="14" t="s">
        <v>2563</v>
      </c>
    </row>
    <row r="1141">
      <c r="A1141" s="8" t="s">
        <v>102</v>
      </c>
      <c r="B1141" s="8" t="s">
        <v>112</v>
      </c>
      <c r="C1141" s="8" t="s">
        <v>16</v>
      </c>
      <c r="D1141" s="18" t="s">
        <v>2575</v>
      </c>
      <c r="E1141" s="16">
        <v>81.0</v>
      </c>
      <c r="F1141" s="8" t="s">
        <v>102</v>
      </c>
      <c r="G1141" s="8" t="s">
        <v>3172</v>
      </c>
      <c r="H1141" s="8" t="s">
        <v>132</v>
      </c>
      <c r="I1141" s="18" t="s">
        <v>2552</v>
      </c>
      <c r="J1141" s="16">
        <v>83.0</v>
      </c>
      <c r="K1141" s="8" t="s">
        <v>92</v>
      </c>
      <c r="L1141" s="8" t="s">
        <v>1915</v>
      </c>
      <c r="M1141" s="18" t="s">
        <v>2645</v>
      </c>
      <c r="N1141" s="16">
        <v>64.0</v>
      </c>
      <c r="O1141" s="8" t="s">
        <v>5071</v>
      </c>
      <c r="P1141" s="8" t="s">
        <v>24</v>
      </c>
      <c r="Q1141" s="14" t="s">
        <v>1352</v>
      </c>
      <c r="R1141" s="8" t="s">
        <v>2554</v>
      </c>
      <c r="S1141" s="14" t="s">
        <v>2586</v>
      </c>
    </row>
    <row r="1142">
      <c r="A1142" s="8" t="s">
        <v>102</v>
      </c>
      <c r="B1142" s="8" t="s">
        <v>376</v>
      </c>
      <c r="C1142" s="8" t="s">
        <v>93</v>
      </c>
      <c r="D1142" s="18" t="s">
        <v>2615</v>
      </c>
      <c r="E1142" s="16">
        <v>86.0</v>
      </c>
      <c r="F1142" s="8" t="s">
        <v>102</v>
      </c>
      <c r="G1142" s="8" t="s">
        <v>101</v>
      </c>
      <c r="H1142" s="8" t="s">
        <v>46</v>
      </c>
      <c r="I1142" s="18" t="s">
        <v>2585</v>
      </c>
      <c r="J1142" s="16">
        <v>81.0</v>
      </c>
      <c r="K1142" s="8" t="s">
        <v>532</v>
      </c>
      <c r="L1142" s="8" t="s">
        <v>1913</v>
      </c>
      <c r="M1142" s="18" t="s">
        <v>2593</v>
      </c>
      <c r="N1142" s="16">
        <v>65.0</v>
      </c>
      <c r="O1142" s="8" t="s">
        <v>5072</v>
      </c>
      <c r="P1142" s="8" t="s">
        <v>80</v>
      </c>
      <c r="Q1142" s="14" t="s">
        <v>2296</v>
      </c>
      <c r="R1142" s="8" t="s">
        <v>2610</v>
      </c>
      <c r="S1142" s="14" t="s">
        <v>2599</v>
      </c>
    </row>
    <row r="1143">
      <c r="A1143" s="8" t="s">
        <v>102</v>
      </c>
      <c r="B1143" s="8" t="s">
        <v>1180</v>
      </c>
      <c r="C1143" s="8" t="s">
        <v>149</v>
      </c>
      <c r="D1143" s="18" t="s">
        <v>2567</v>
      </c>
      <c r="E1143" s="16">
        <v>69.0</v>
      </c>
      <c r="F1143" s="8" t="s">
        <v>102</v>
      </c>
      <c r="G1143" s="8" t="s">
        <v>3298</v>
      </c>
      <c r="H1143" s="8" t="s">
        <v>141</v>
      </c>
      <c r="I1143" s="18" t="s">
        <v>2592</v>
      </c>
      <c r="J1143" s="16">
        <v>74.0</v>
      </c>
      <c r="K1143" s="8" t="s">
        <v>532</v>
      </c>
      <c r="L1143" s="8" t="s">
        <v>714</v>
      </c>
      <c r="M1143" s="18" t="s">
        <v>2556</v>
      </c>
      <c r="N1143" s="16">
        <v>71.0</v>
      </c>
      <c r="O1143" s="8" t="s">
        <v>5073</v>
      </c>
      <c r="P1143" s="8" t="s">
        <v>122</v>
      </c>
      <c r="Q1143" s="14" t="s">
        <v>1352</v>
      </c>
      <c r="R1143" s="8" t="s">
        <v>2567</v>
      </c>
      <c r="S1143" s="14" t="s">
        <v>2555</v>
      </c>
    </row>
    <row r="1144">
      <c r="A1144" s="8" t="s">
        <v>102</v>
      </c>
      <c r="B1144" s="8" t="s">
        <v>3298</v>
      </c>
      <c r="C1144" s="8" t="s">
        <v>141</v>
      </c>
      <c r="D1144" s="18" t="s">
        <v>2592</v>
      </c>
      <c r="E1144" s="16">
        <v>67.0</v>
      </c>
      <c r="F1144" s="8" t="s">
        <v>102</v>
      </c>
      <c r="G1144" s="8" t="s">
        <v>2672</v>
      </c>
      <c r="H1144" s="8" t="s">
        <v>149</v>
      </c>
      <c r="I1144" s="18" t="s">
        <v>2572</v>
      </c>
      <c r="J1144" s="16">
        <v>72.0</v>
      </c>
      <c r="K1144" s="8" t="s">
        <v>532</v>
      </c>
      <c r="L1144" s="8" t="s">
        <v>1997</v>
      </c>
      <c r="M1144" s="18" t="s">
        <v>2556</v>
      </c>
      <c r="N1144" s="16">
        <v>77.0</v>
      </c>
      <c r="O1144" s="8" t="s">
        <v>5074</v>
      </c>
      <c r="P1144" s="8" t="s">
        <v>93</v>
      </c>
      <c r="Q1144" s="14" t="s">
        <v>631</v>
      </c>
      <c r="R1144" s="8" t="s">
        <v>2585</v>
      </c>
      <c r="S1144" s="14" t="s">
        <v>2601</v>
      </c>
    </row>
    <row r="1145">
      <c r="A1145" s="8" t="s">
        <v>102</v>
      </c>
      <c r="B1145" s="8" t="s">
        <v>3724</v>
      </c>
      <c r="C1145" s="8" t="s">
        <v>16</v>
      </c>
      <c r="D1145" s="18" t="s">
        <v>2610</v>
      </c>
      <c r="E1145" s="16">
        <v>61.0</v>
      </c>
      <c r="F1145" s="8" t="s">
        <v>102</v>
      </c>
      <c r="G1145" s="8" t="s">
        <v>62</v>
      </c>
      <c r="H1145" s="8" t="s">
        <v>186</v>
      </c>
      <c r="I1145" s="18" t="s">
        <v>2558</v>
      </c>
      <c r="J1145" s="16">
        <v>71.0</v>
      </c>
      <c r="K1145" s="8" t="s">
        <v>532</v>
      </c>
      <c r="L1145" s="8" t="s">
        <v>531</v>
      </c>
      <c r="M1145" s="18" t="s">
        <v>2593</v>
      </c>
      <c r="N1145" s="16">
        <v>89.0</v>
      </c>
      <c r="O1145" s="8" t="s">
        <v>5075</v>
      </c>
      <c r="P1145" s="8" t="s">
        <v>16</v>
      </c>
      <c r="Q1145" s="14" t="s">
        <v>837</v>
      </c>
      <c r="R1145" s="8" t="s">
        <v>2585</v>
      </c>
      <c r="S1145" s="14" t="s">
        <v>2586</v>
      </c>
    </row>
    <row r="1146">
      <c r="A1146" s="8" t="s">
        <v>102</v>
      </c>
      <c r="B1146" s="8" t="s">
        <v>574</v>
      </c>
      <c r="C1146" s="8" t="s">
        <v>141</v>
      </c>
      <c r="D1146" s="18" t="s">
        <v>2614</v>
      </c>
      <c r="E1146" s="16">
        <v>64.0</v>
      </c>
      <c r="F1146" s="8" t="s">
        <v>102</v>
      </c>
      <c r="G1146" s="8" t="s">
        <v>1139</v>
      </c>
      <c r="H1146" s="8" t="s">
        <v>132</v>
      </c>
      <c r="I1146" s="18" t="s">
        <v>2554</v>
      </c>
      <c r="J1146" s="16">
        <v>66.0</v>
      </c>
      <c r="K1146" s="8" t="s">
        <v>389</v>
      </c>
      <c r="L1146" s="8" t="s">
        <v>468</v>
      </c>
      <c r="M1146" s="18" t="s">
        <v>2562</v>
      </c>
      <c r="N1146" s="16">
        <v>71.0</v>
      </c>
      <c r="O1146" s="8" t="s">
        <v>5076</v>
      </c>
      <c r="P1146" s="8" t="s">
        <v>24</v>
      </c>
      <c r="Q1146" s="14" t="s">
        <v>189</v>
      </c>
      <c r="R1146" s="8" t="s">
        <v>2558</v>
      </c>
      <c r="S1146" s="14" t="s">
        <v>2578</v>
      </c>
    </row>
    <row r="1147">
      <c r="A1147" s="8" t="s">
        <v>102</v>
      </c>
      <c r="B1147" s="8" t="s">
        <v>3814</v>
      </c>
      <c r="C1147" s="8" t="s">
        <v>149</v>
      </c>
      <c r="D1147" s="18" t="s">
        <v>2567</v>
      </c>
      <c r="E1147" s="16">
        <v>79.0</v>
      </c>
      <c r="F1147" s="8" t="s">
        <v>102</v>
      </c>
      <c r="G1147" s="8" t="s">
        <v>2877</v>
      </c>
      <c r="H1147" s="8" t="s">
        <v>261</v>
      </c>
      <c r="I1147" s="18" t="s">
        <v>2558</v>
      </c>
      <c r="J1147" s="16">
        <v>63.0</v>
      </c>
      <c r="K1147" s="8" t="s">
        <v>181</v>
      </c>
      <c r="L1147" s="8" t="s">
        <v>651</v>
      </c>
      <c r="M1147" s="18" t="s">
        <v>2577</v>
      </c>
      <c r="N1147" s="16">
        <v>74.0</v>
      </c>
      <c r="O1147" s="8" t="s">
        <v>5077</v>
      </c>
      <c r="P1147" s="8" t="s">
        <v>93</v>
      </c>
      <c r="Q1147" s="14" t="s">
        <v>1679</v>
      </c>
      <c r="R1147" s="8" t="s">
        <v>2582</v>
      </c>
      <c r="S1147" s="14" t="s">
        <v>2583</v>
      </c>
    </row>
    <row r="1148">
      <c r="A1148" s="8" t="s">
        <v>102</v>
      </c>
      <c r="B1148" s="8" t="s">
        <v>1600</v>
      </c>
      <c r="C1148" s="8" t="s">
        <v>59</v>
      </c>
      <c r="D1148" s="18" t="s">
        <v>2615</v>
      </c>
      <c r="E1148" s="16">
        <v>65.0</v>
      </c>
      <c r="F1148" s="8" t="s">
        <v>102</v>
      </c>
      <c r="G1148" s="8" t="s">
        <v>104</v>
      </c>
      <c r="H1148" s="8" t="s">
        <v>186</v>
      </c>
      <c r="I1148" s="18" t="s">
        <v>2564</v>
      </c>
      <c r="J1148" s="16">
        <v>60.0</v>
      </c>
      <c r="K1148" s="8" t="s">
        <v>181</v>
      </c>
      <c r="L1148" s="8" t="s">
        <v>67</v>
      </c>
      <c r="M1148" s="18" t="s">
        <v>2603</v>
      </c>
      <c r="N1148" s="16">
        <v>76.0</v>
      </c>
      <c r="O1148" s="8" t="s">
        <v>5078</v>
      </c>
      <c r="P1148" s="8" t="s">
        <v>141</v>
      </c>
      <c r="Q1148" s="14" t="s">
        <v>1679</v>
      </c>
      <c r="R1148" s="8" t="s">
        <v>2183</v>
      </c>
      <c r="S1148" s="14" t="s">
        <v>2617</v>
      </c>
    </row>
    <row r="1149">
      <c r="A1149" s="8" t="s">
        <v>102</v>
      </c>
      <c r="B1149" s="8" t="s">
        <v>3851</v>
      </c>
      <c r="C1149" s="8" t="s">
        <v>24</v>
      </c>
      <c r="D1149" s="18" t="s">
        <v>2605</v>
      </c>
      <c r="E1149" s="16">
        <v>63.0</v>
      </c>
      <c r="F1149" s="8" t="s">
        <v>102</v>
      </c>
      <c r="G1149" s="8" t="s">
        <v>1600</v>
      </c>
      <c r="H1149" s="8" t="s">
        <v>59</v>
      </c>
      <c r="I1149" s="18" t="s">
        <v>2615</v>
      </c>
      <c r="J1149" s="16">
        <v>69.0</v>
      </c>
      <c r="K1149" s="8" t="s">
        <v>181</v>
      </c>
      <c r="L1149" s="8" t="s">
        <v>705</v>
      </c>
      <c r="M1149" s="18" t="s">
        <v>2566</v>
      </c>
      <c r="N1149" s="16">
        <v>64.0</v>
      </c>
      <c r="O1149" s="8" t="s">
        <v>5079</v>
      </c>
      <c r="P1149" s="8" t="s">
        <v>93</v>
      </c>
      <c r="Q1149" s="14" t="s">
        <v>237</v>
      </c>
      <c r="R1149" s="8" t="s">
        <v>2575</v>
      </c>
      <c r="S1149" s="14" t="s">
        <v>2611</v>
      </c>
    </row>
    <row r="1150">
      <c r="A1150" s="8" t="s">
        <v>102</v>
      </c>
      <c r="B1150" s="8" t="s">
        <v>101</v>
      </c>
      <c r="C1150" s="8" t="s">
        <v>46</v>
      </c>
      <c r="D1150" s="18" t="s">
        <v>2585</v>
      </c>
      <c r="E1150" s="16">
        <v>89.0</v>
      </c>
      <c r="F1150" s="8" t="s">
        <v>102</v>
      </c>
      <c r="G1150" s="8" t="s">
        <v>873</v>
      </c>
      <c r="H1150" s="8" t="s">
        <v>24</v>
      </c>
      <c r="I1150" s="18" t="s">
        <v>2600</v>
      </c>
      <c r="J1150" s="16">
        <v>41.0</v>
      </c>
      <c r="K1150" s="8" t="s">
        <v>181</v>
      </c>
      <c r="L1150" s="8" t="s">
        <v>910</v>
      </c>
      <c r="M1150" s="18" t="s">
        <v>2556</v>
      </c>
      <c r="N1150" s="16">
        <v>70.0</v>
      </c>
      <c r="O1150" s="8" t="s">
        <v>5080</v>
      </c>
      <c r="P1150" s="8" t="s">
        <v>38</v>
      </c>
      <c r="Q1150" s="14" t="s">
        <v>2296</v>
      </c>
      <c r="R1150" s="8" t="s">
        <v>2558</v>
      </c>
      <c r="S1150" s="14" t="s">
        <v>2553</v>
      </c>
    </row>
    <row r="1151">
      <c r="A1151" s="8" t="s">
        <v>102</v>
      </c>
      <c r="B1151" s="8" t="s">
        <v>62</v>
      </c>
      <c r="C1151" s="8" t="s">
        <v>46</v>
      </c>
      <c r="D1151" s="18" t="s">
        <v>2615</v>
      </c>
      <c r="E1151" s="16">
        <v>97.0</v>
      </c>
      <c r="F1151" s="8" t="s">
        <v>102</v>
      </c>
      <c r="G1151" s="8" t="s">
        <v>1318</v>
      </c>
      <c r="H1151" s="8" t="s">
        <v>75</v>
      </c>
      <c r="I1151" s="18" t="s">
        <v>2600</v>
      </c>
      <c r="J1151" s="16">
        <v>76.0</v>
      </c>
      <c r="K1151" s="8" t="s">
        <v>842</v>
      </c>
      <c r="L1151" s="8" t="s">
        <v>636</v>
      </c>
      <c r="M1151" s="18" t="s">
        <v>2605</v>
      </c>
      <c r="N1151" s="16">
        <v>64.0</v>
      </c>
      <c r="O1151" s="8" t="s">
        <v>5081</v>
      </c>
      <c r="P1151" s="8" t="s">
        <v>24</v>
      </c>
      <c r="Q1151" s="14" t="s">
        <v>837</v>
      </c>
      <c r="R1151" s="8" t="s">
        <v>2600</v>
      </c>
      <c r="S1151" s="14" t="s">
        <v>27</v>
      </c>
    </row>
    <row r="1152">
      <c r="A1152" s="8" t="s">
        <v>102</v>
      </c>
      <c r="B1152" s="8" t="s">
        <v>62</v>
      </c>
      <c r="C1152" s="8" t="s">
        <v>186</v>
      </c>
      <c r="D1152" s="18" t="s">
        <v>2558</v>
      </c>
      <c r="E1152" s="16">
        <v>70.0</v>
      </c>
      <c r="F1152" s="8" t="s">
        <v>102</v>
      </c>
      <c r="G1152" s="8" t="s">
        <v>1180</v>
      </c>
      <c r="H1152" s="8" t="s">
        <v>149</v>
      </c>
      <c r="I1152" s="18" t="s">
        <v>2567</v>
      </c>
      <c r="J1152" s="16">
        <v>72.0</v>
      </c>
      <c r="K1152" s="8" t="s">
        <v>842</v>
      </c>
      <c r="L1152" s="8" t="s">
        <v>1625</v>
      </c>
      <c r="M1152" s="18" t="s">
        <v>2566</v>
      </c>
      <c r="N1152" s="16">
        <v>80.0</v>
      </c>
      <c r="O1152" s="8" t="s">
        <v>5082</v>
      </c>
      <c r="P1152" s="8" t="s">
        <v>75</v>
      </c>
      <c r="Q1152" s="14" t="s">
        <v>1070</v>
      </c>
      <c r="R1152" s="8" t="s">
        <v>2554</v>
      </c>
      <c r="S1152" s="14" t="s">
        <v>2618</v>
      </c>
    </row>
    <row r="1153">
      <c r="A1153" s="8" t="s">
        <v>102</v>
      </c>
      <c r="B1153" s="8" t="s">
        <v>1318</v>
      </c>
      <c r="C1153" s="8" t="s">
        <v>75</v>
      </c>
      <c r="D1153" s="18" t="s">
        <v>2600</v>
      </c>
      <c r="E1153" s="16">
        <v>70.0</v>
      </c>
      <c r="F1153" s="8" t="s">
        <v>102</v>
      </c>
      <c r="G1153" s="8" t="s">
        <v>3161</v>
      </c>
      <c r="H1153" s="8" t="s">
        <v>70</v>
      </c>
      <c r="I1153" s="18" t="s">
        <v>2587</v>
      </c>
      <c r="J1153" s="16">
        <v>69.0</v>
      </c>
      <c r="K1153" s="8" t="s">
        <v>842</v>
      </c>
      <c r="L1153" s="8" t="s">
        <v>460</v>
      </c>
      <c r="M1153" s="18" t="s">
        <v>2582</v>
      </c>
      <c r="N1153" s="16">
        <v>77.0</v>
      </c>
      <c r="O1153" s="8" t="s">
        <v>5083</v>
      </c>
      <c r="P1153" s="8" t="s">
        <v>16</v>
      </c>
      <c r="Q1153" s="14" t="s">
        <v>108</v>
      </c>
      <c r="R1153" s="8" t="s">
        <v>2620</v>
      </c>
      <c r="S1153" s="14" t="s">
        <v>2553</v>
      </c>
    </row>
    <row r="1154">
      <c r="A1154" s="8" t="s">
        <v>102</v>
      </c>
      <c r="B1154" s="8" t="s">
        <v>3494</v>
      </c>
      <c r="C1154" s="8" t="s">
        <v>122</v>
      </c>
      <c r="D1154" s="18" t="s">
        <v>2600</v>
      </c>
      <c r="E1154" s="16">
        <v>70.0</v>
      </c>
      <c r="F1154" s="8" t="s">
        <v>102</v>
      </c>
      <c r="G1154" s="8" t="s">
        <v>2196</v>
      </c>
      <c r="H1154" s="8" t="s">
        <v>70</v>
      </c>
      <c r="I1154" s="18" t="s">
        <v>2610</v>
      </c>
      <c r="J1154" s="16">
        <v>79.0</v>
      </c>
      <c r="K1154" s="8" t="s">
        <v>842</v>
      </c>
      <c r="L1154" s="8" t="s">
        <v>78</v>
      </c>
      <c r="M1154" s="18" t="s">
        <v>2645</v>
      </c>
      <c r="N1154" s="16">
        <v>64.0</v>
      </c>
      <c r="O1154" s="8" t="s">
        <v>5084</v>
      </c>
      <c r="P1154" s="8" t="s">
        <v>186</v>
      </c>
      <c r="Q1154" s="14" t="s">
        <v>2296</v>
      </c>
      <c r="R1154" s="8" t="s">
        <v>2584</v>
      </c>
      <c r="S1154" s="14" t="s">
        <v>2609</v>
      </c>
    </row>
    <row r="1155">
      <c r="A1155" s="8" t="s">
        <v>102</v>
      </c>
      <c r="B1155" s="8" t="s">
        <v>104</v>
      </c>
      <c r="C1155" s="8" t="s">
        <v>186</v>
      </c>
      <c r="D1155" s="18" t="s">
        <v>2564</v>
      </c>
      <c r="E1155" s="16">
        <v>60.0</v>
      </c>
      <c r="F1155" s="8" t="s">
        <v>102</v>
      </c>
      <c r="G1155" s="8" t="s">
        <v>3494</v>
      </c>
      <c r="H1155" s="8" t="s">
        <v>122</v>
      </c>
      <c r="I1155" s="18" t="s">
        <v>2598</v>
      </c>
      <c r="J1155" s="16">
        <v>68.0</v>
      </c>
      <c r="K1155" s="8" t="s">
        <v>842</v>
      </c>
      <c r="L1155" s="8" t="s">
        <v>500</v>
      </c>
      <c r="M1155" s="18" t="s">
        <v>2585</v>
      </c>
      <c r="N1155" s="16">
        <v>77.0</v>
      </c>
      <c r="O1155" s="8" t="s">
        <v>5085</v>
      </c>
      <c r="P1155" s="8" t="s">
        <v>93</v>
      </c>
      <c r="Q1155" s="14" t="s">
        <v>338</v>
      </c>
      <c r="R1155" s="8" t="s">
        <v>2577</v>
      </c>
      <c r="S1155" s="14" t="s">
        <v>2611</v>
      </c>
    </row>
    <row r="1156">
      <c r="A1156" s="8" t="s">
        <v>102</v>
      </c>
      <c r="B1156" s="8" t="s">
        <v>232</v>
      </c>
      <c r="C1156" s="8" t="s">
        <v>16</v>
      </c>
      <c r="D1156" s="18" t="s">
        <v>2574</v>
      </c>
      <c r="E1156" s="16">
        <v>65.0</v>
      </c>
      <c r="F1156" s="8" t="s">
        <v>102</v>
      </c>
      <c r="G1156" s="8" t="s">
        <v>78</v>
      </c>
      <c r="H1156" s="8" t="s">
        <v>70</v>
      </c>
      <c r="I1156" s="18" t="s">
        <v>2585</v>
      </c>
      <c r="J1156" s="16">
        <v>72.0</v>
      </c>
      <c r="K1156" s="8" t="s">
        <v>842</v>
      </c>
      <c r="L1156" s="8" t="s">
        <v>2795</v>
      </c>
      <c r="M1156" s="18" t="s">
        <v>2554</v>
      </c>
      <c r="N1156" s="16">
        <v>68.0</v>
      </c>
      <c r="O1156" s="8" t="s">
        <v>5086</v>
      </c>
      <c r="P1156" s="8" t="s">
        <v>149</v>
      </c>
      <c r="Q1156" s="14" t="s">
        <v>1070</v>
      </c>
      <c r="R1156" s="8" t="s">
        <v>2567</v>
      </c>
      <c r="S1156" s="14" t="s">
        <v>2555</v>
      </c>
    </row>
    <row r="1157">
      <c r="A1157" s="8" t="s">
        <v>850</v>
      </c>
      <c r="B1157" s="8" t="s">
        <v>849</v>
      </c>
      <c r="C1157" s="8" t="s">
        <v>75</v>
      </c>
      <c r="D1157" s="18" t="s">
        <v>2615</v>
      </c>
      <c r="E1157" s="16">
        <v>83.0</v>
      </c>
      <c r="F1157" s="8" t="s">
        <v>102</v>
      </c>
      <c r="G1157" s="8" t="s">
        <v>112</v>
      </c>
      <c r="H1157" s="8" t="s">
        <v>16</v>
      </c>
      <c r="I1157" s="18" t="s">
        <v>2575</v>
      </c>
      <c r="J1157" s="16">
        <v>81.0</v>
      </c>
      <c r="K1157" s="8" t="s">
        <v>842</v>
      </c>
      <c r="L1157" s="8" t="s">
        <v>1673</v>
      </c>
      <c r="M1157" s="18" t="s">
        <v>2581</v>
      </c>
      <c r="N1157" s="16">
        <v>70.0</v>
      </c>
      <c r="O1157" s="8" t="s">
        <v>5087</v>
      </c>
      <c r="P1157" s="8" t="s">
        <v>215</v>
      </c>
      <c r="Q1157" s="14" t="s">
        <v>2296</v>
      </c>
      <c r="R1157" s="8" t="s">
        <v>2614</v>
      </c>
      <c r="S1157" s="14" t="s">
        <v>2583</v>
      </c>
    </row>
    <row r="1158">
      <c r="A1158" s="8" t="s">
        <v>850</v>
      </c>
      <c r="B1158" s="8" t="s">
        <v>711</v>
      </c>
      <c r="C1158" s="8" t="s">
        <v>138</v>
      </c>
      <c r="D1158" s="18" t="s">
        <v>2562</v>
      </c>
      <c r="E1158" s="16">
        <v>57.0</v>
      </c>
      <c r="F1158" s="8" t="s">
        <v>102</v>
      </c>
      <c r="G1158" s="8" t="s">
        <v>376</v>
      </c>
      <c r="H1158" s="8" t="s">
        <v>93</v>
      </c>
      <c r="I1158" s="18" t="s">
        <v>2615</v>
      </c>
      <c r="J1158" s="16">
        <v>81.0</v>
      </c>
      <c r="K1158" s="8" t="s">
        <v>842</v>
      </c>
      <c r="L1158" s="8" t="s">
        <v>284</v>
      </c>
      <c r="M1158" s="18" t="s">
        <v>2600</v>
      </c>
      <c r="N1158" s="16">
        <v>75.0</v>
      </c>
      <c r="O1158" s="8" t="s">
        <v>5088</v>
      </c>
      <c r="P1158" s="8" t="s">
        <v>141</v>
      </c>
      <c r="Q1158" s="14" t="s">
        <v>459</v>
      </c>
      <c r="R1158" s="8" t="s">
        <v>2614</v>
      </c>
      <c r="S1158" s="14" t="s">
        <v>2557</v>
      </c>
    </row>
    <row r="1159">
      <c r="A1159" s="8" t="s">
        <v>850</v>
      </c>
      <c r="B1159" s="8" t="s">
        <v>3447</v>
      </c>
      <c r="C1159" s="8" t="s">
        <v>16</v>
      </c>
      <c r="D1159" s="18" t="s">
        <v>2552</v>
      </c>
      <c r="E1159" s="16">
        <v>63.0</v>
      </c>
      <c r="F1159" s="8" t="s">
        <v>102</v>
      </c>
      <c r="G1159" s="8" t="s">
        <v>62</v>
      </c>
      <c r="H1159" s="8" t="s">
        <v>46</v>
      </c>
      <c r="I1159" s="18" t="s">
        <v>2615</v>
      </c>
      <c r="J1159" s="16">
        <v>92.0</v>
      </c>
      <c r="K1159" s="8" t="s">
        <v>842</v>
      </c>
      <c r="L1159" s="8" t="s">
        <v>1390</v>
      </c>
      <c r="M1159" s="18" t="s">
        <v>2605</v>
      </c>
      <c r="N1159" s="16">
        <v>72.0</v>
      </c>
      <c r="O1159" s="8" t="s">
        <v>5089</v>
      </c>
      <c r="P1159" s="8" t="s">
        <v>70</v>
      </c>
      <c r="Q1159" s="14" t="s">
        <v>2033</v>
      </c>
      <c r="R1159" s="8" t="s">
        <v>2610</v>
      </c>
      <c r="S1159" s="14" t="s">
        <v>2613</v>
      </c>
    </row>
    <row r="1160">
      <c r="A1160" s="8" t="s">
        <v>1249</v>
      </c>
      <c r="B1160" s="8" t="s">
        <v>1709</v>
      </c>
      <c r="C1160" s="8" t="s">
        <v>138</v>
      </c>
      <c r="D1160" s="18" t="s">
        <v>2572</v>
      </c>
      <c r="E1160" s="16">
        <v>79.0</v>
      </c>
      <c r="F1160" s="8" t="s">
        <v>850</v>
      </c>
      <c r="G1160" s="8" t="s">
        <v>3447</v>
      </c>
      <c r="H1160" s="8" t="s">
        <v>16</v>
      </c>
      <c r="I1160" s="18" t="s">
        <v>2183</v>
      </c>
      <c r="J1160" s="16">
        <v>62.0</v>
      </c>
      <c r="K1160" s="8" t="s">
        <v>1975</v>
      </c>
      <c r="L1160" s="8" t="s">
        <v>99</v>
      </c>
      <c r="M1160" s="18" t="s">
        <v>2621</v>
      </c>
      <c r="N1160" s="16">
        <v>73.0</v>
      </c>
      <c r="O1160" s="8" t="s">
        <v>5090</v>
      </c>
      <c r="P1160" s="8" t="s">
        <v>138</v>
      </c>
      <c r="Q1160" s="14" t="s">
        <v>1679</v>
      </c>
      <c r="R1160" s="8" t="s">
        <v>2564</v>
      </c>
      <c r="S1160" s="14" t="s">
        <v>2576</v>
      </c>
    </row>
    <row r="1161">
      <c r="A1161" s="8" t="s">
        <v>1249</v>
      </c>
      <c r="B1161" s="8" t="s">
        <v>205</v>
      </c>
      <c r="C1161" s="8" t="s">
        <v>141</v>
      </c>
      <c r="D1161" s="18" t="s">
        <v>2603</v>
      </c>
      <c r="E1161" s="16">
        <v>67.0</v>
      </c>
      <c r="F1161" s="8" t="s">
        <v>850</v>
      </c>
      <c r="G1161" s="8" t="s">
        <v>711</v>
      </c>
      <c r="H1161" s="8" t="s">
        <v>138</v>
      </c>
      <c r="I1161" s="18" t="s">
        <v>2562</v>
      </c>
      <c r="J1161" s="16">
        <v>65.0</v>
      </c>
      <c r="K1161" s="8" t="s">
        <v>710</v>
      </c>
      <c r="L1161" s="8" t="s">
        <v>377</v>
      </c>
      <c r="M1161" s="18" t="s">
        <v>2560</v>
      </c>
      <c r="N1161" s="16">
        <v>71.0</v>
      </c>
      <c r="O1161" s="8" t="s">
        <v>5091</v>
      </c>
      <c r="P1161" s="8" t="s">
        <v>186</v>
      </c>
      <c r="Q1161" s="14" t="s">
        <v>1352</v>
      </c>
      <c r="R1161" s="8" t="s">
        <v>2615</v>
      </c>
      <c r="S1161" s="14" t="s">
        <v>2608</v>
      </c>
    </row>
    <row r="1162">
      <c r="A1162" s="8" t="s">
        <v>1249</v>
      </c>
      <c r="B1162" s="8" t="s">
        <v>1248</v>
      </c>
      <c r="C1162" s="8" t="s">
        <v>122</v>
      </c>
      <c r="D1162" s="18" t="s">
        <v>2598</v>
      </c>
      <c r="E1162" s="16">
        <v>59.0</v>
      </c>
      <c r="F1162" s="8" t="s">
        <v>850</v>
      </c>
      <c r="G1162" s="8" t="s">
        <v>849</v>
      </c>
      <c r="H1162" s="8" t="s">
        <v>75</v>
      </c>
      <c r="I1162" s="18" t="s">
        <v>2615</v>
      </c>
      <c r="J1162" s="16">
        <v>84.0</v>
      </c>
      <c r="K1162" s="8" t="s">
        <v>263</v>
      </c>
      <c r="L1162" s="8" t="s">
        <v>282</v>
      </c>
      <c r="M1162" s="18" t="s">
        <v>2560</v>
      </c>
      <c r="N1162" s="16">
        <v>80.0</v>
      </c>
      <c r="O1162" s="8" t="s">
        <v>5092</v>
      </c>
      <c r="P1162" s="8" t="s">
        <v>46</v>
      </c>
      <c r="Q1162" s="14" t="s">
        <v>83</v>
      </c>
      <c r="R1162" s="8" t="s">
        <v>2585</v>
      </c>
      <c r="S1162" s="14" t="s">
        <v>2561</v>
      </c>
    </row>
    <row r="1163">
      <c r="A1163" s="8" t="s">
        <v>23</v>
      </c>
      <c r="B1163" s="8" t="s">
        <v>106</v>
      </c>
      <c r="C1163" s="8" t="s">
        <v>65</v>
      </c>
      <c r="D1163" s="18" t="s">
        <v>2589</v>
      </c>
      <c r="E1163" s="16">
        <v>86.0</v>
      </c>
      <c r="F1163" s="8" t="s">
        <v>1249</v>
      </c>
      <c r="G1163" s="8" t="s">
        <v>3312</v>
      </c>
      <c r="H1163" s="8" t="s">
        <v>122</v>
      </c>
      <c r="I1163" s="18" t="s">
        <v>2614</v>
      </c>
      <c r="J1163" s="16">
        <v>64.0</v>
      </c>
      <c r="K1163" s="8" t="s">
        <v>263</v>
      </c>
      <c r="L1163" s="8" t="s">
        <v>778</v>
      </c>
      <c r="M1163" s="18" t="s">
        <v>2587</v>
      </c>
      <c r="N1163" s="16">
        <v>83.0</v>
      </c>
      <c r="O1163" s="8" t="s">
        <v>5093</v>
      </c>
      <c r="P1163" s="8" t="s">
        <v>186</v>
      </c>
      <c r="Q1163" s="14" t="s">
        <v>631</v>
      </c>
      <c r="R1163" s="8" t="s">
        <v>2614</v>
      </c>
      <c r="S1163" s="14" t="s">
        <v>2622</v>
      </c>
    </row>
    <row r="1164">
      <c r="A1164" s="8" t="s">
        <v>23</v>
      </c>
      <c r="B1164" s="8" t="s">
        <v>2745</v>
      </c>
      <c r="C1164" s="8" t="s">
        <v>70</v>
      </c>
      <c r="D1164" s="18" t="s">
        <v>2558</v>
      </c>
      <c r="E1164" s="16">
        <v>67.0</v>
      </c>
      <c r="F1164" s="8" t="s">
        <v>1249</v>
      </c>
      <c r="G1164" s="8" t="s">
        <v>205</v>
      </c>
      <c r="H1164" s="8" t="s">
        <v>141</v>
      </c>
      <c r="I1164" s="18" t="s">
        <v>2603</v>
      </c>
      <c r="J1164" s="16">
        <v>70.0</v>
      </c>
      <c r="K1164" s="8" t="s">
        <v>263</v>
      </c>
      <c r="L1164" s="8" t="s">
        <v>1200</v>
      </c>
      <c r="M1164" s="18" t="s">
        <v>2605</v>
      </c>
      <c r="N1164" s="16">
        <v>84.0</v>
      </c>
      <c r="O1164" s="8" t="s">
        <v>5094</v>
      </c>
      <c r="P1164" s="8" t="s">
        <v>75</v>
      </c>
      <c r="Q1164" s="14" t="s">
        <v>1070</v>
      </c>
      <c r="R1164" s="8" t="s">
        <v>2600</v>
      </c>
      <c r="S1164" s="14" t="s">
        <v>2611</v>
      </c>
    </row>
    <row r="1165">
      <c r="A1165" s="8" t="s">
        <v>23</v>
      </c>
      <c r="B1165" s="8" t="s">
        <v>22</v>
      </c>
      <c r="C1165" s="8" t="s">
        <v>24</v>
      </c>
      <c r="D1165" s="18" t="s">
        <v>2581</v>
      </c>
      <c r="E1165" s="16">
        <v>48.0</v>
      </c>
      <c r="F1165" s="8" t="s">
        <v>1249</v>
      </c>
      <c r="G1165" s="8" t="s">
        <v>1709</v>
      </c>
      <c r="H1165" s="8" t="s">
        <v>138</v>
      </c>
      <c r="I1165" s="18" t="s">
        <v>2572</v>
      </c>
      <c r="J1165" s="16">
        <v>88.0</v>
      </c>
      <c r="K1165" s="8" t="s">
        <v>263</v>
      </c>
      <c r="L1165" s="8" t="s">
        <v>1302</v>
      </c>
      <c r="M1165" s="18" t="s">
        <v>2603</v>
      </c>
      <c r="N1165" s="16">
        <v>69.0</v>
      </c>
      <c r="O1165" s="8" t="s">
        <v>5095</v>
      </c>
      <c r="P1165" s="8" t="s">
        <v>186</v>
      </c>
      <c r="Q1165" s="14" t="s">
        <v>1070</v>
      </c>
      <c r="R1165" s="18" t="s">
        <v>2589</v>
      </c>
      <c r="S1165" s="14" t="s">
        <v>2555</v>
      </c>
    </row>
    <row r="1166">
      <c r="A1166" s="8" t="s">
        <v>23</v>
      </c>
      <c r="B1166" s="8" t="s">
        <v>3606</v>
      </c>
      <c r="C1166" s="8" t="s">
        <v>24</v>
      </c>
      <c r="D1166" s="18" t="s">
        <v>2564</v>
      </c>
      <c r="E1166" s="16">
        <v>43.0</v>
      </c>
      <c r="F1166" s="8" t="s">
        <v>1249</v>
      </c>
      <c r="G1166" s="8" t="s">
        <v>1248</v>
      </c>
      <c r="H1166" s="8" t="s">
        <v>122</v>
      </c>
      <c r="I1166" s="18" t="s">
        <v>2582</v>
      </c>
      <c r="J1166" s="16">
        <v>60.0</v>
      </c>
      <c r="K1166" s="8" t="s">
        <v>263</v>
      </c>
      <c r="L1166" s="8" t="s">
        <v>1005</v>
      </c>
      <c r="M1166" s="18" t="s">
        <v>2581</v>
      </c>
      <c r="N1166" s="16">
        <v>73.0</v>
      </c>
      <c r="O1166" s="8" t="s">
        <v>5096</v>
      </c>
      <c r="P1166" s="8" t="s">
        <v>16</v>
      </c>
      <c r="Q1166" s="14" t="s">
        <v>189</v>
      </c>
      <c r="R1166" s="8" t="s">
        <v>2562</v>
      </c>
      <c r="S1166" s="14" t="s">
        <v>2569</v>
      </c>
    </row>
    <row r="1167">
      <c r="A1167" s="8" t="s">
        <v>23</v>
      </c>
      <c r="B1167" s="8" t="s">
        <v>2816</v>
      </c>
      <c r="C1167" s="8" t="s">
        <v>132</v>
      </c>
      <c r="D1167" s="18" t="s">
        <v>2615</v>
      </c>
      <c r="E1167" s="16">
        <v>77.0</v>
      </c>
      <c r="F1167" s="8" t="s">
        <v>23</v>
      </c>
      <c r="G1167" s="8" t="s">
        <v>279</v>
      </c>
      <c r="H1167" s="8" t="s">
        <v>132</v>
      </c>
      <c r="I1167" s="18" t="s">
        <v>2566</v>
      </c>
      <c r="J1167" s="16">
        <v>77.0</v>
      </c>
      <c r="K1167" s="8" t="s">
        <v>263</v>
      </c>
      <c r="L1167" s="8" t="s">
        <v>2899</v>
      </c>
      <c r="M1167" s="18" t="s">
        <v>2620</v>
      </c>
      <c r="N1167" s="16">
        <v>68.0</v>
      </c>
      <c r="O1167" s="8" t="s">
        <v>5097</v>
      </c>
      <c r="P1167" s="8" t="s">
        <v>93</v>
      </c>
      <c r="Q1167" s="14" t="s">
        <v>2459</v>
      </c>
      <c r="R1167" s="8" t="s">
        <v>2600</v>
      </c>
      <c r="S1167" s="14" t="s">
        <v>2591</v>
      </c>
    </row>
    <row r="1168">
      <c r="A1168" s="8" t="s">
        <v>23</v>
      </c>
      <c r="B1168" s="8" t="s">
        <v>3690</v>
      </c>
      <c r="C1168" s="8" t="s">
        <v>215</v>
      </c>
      <c r="D1168" s="18" t="s">
        <v>2615</v>
      </c>
      <c r="E1168" s="16">
        <v>70.0</v>
      </c>
      <c r="F1168" s="8" t="s">
        <v>23</v>
      </c>
      <c r="G1168" s="8" t="s">
        <v>829</v>
      </c>
      <c r="H1168" s="8" t="s">
        <v>149</v>
      </c>
      <c r="I1168" s="18" t="s">
        <v>2589</v>
      </c>
      <c r="J1168" s="16">
        <v>68.0</v>
      </c>
      <c r="K1168" s="8" t="s">
        <v>263</v>
      </c>
      <c r="L1168" s="8" t="s">
        <v>648</v>
      </c>
      <c r="M1168" s="18" t="s">
        <v>2577</v>
      </c>
      <c r="N1168" s="16">
        <v>79.0</v>
      </c>
      <c r="O1168" s="8" t="s">
        <v>5098</v>
      </c>
      <c r="P1168" s="8" t="s">
        <v>75</v>
      </c>
      <c r="Q1168" s="14" t="s">
        <v>837</v>
      </c>
      <c r="R1168" s="8" t="s">
        <v>2615</v>
      </c>
      <c r="S1168" s="14" t="s">
        <v>2604</v>
      </c>
    </row>
    <row r="1169">
      <c r="A1169" s="8" t="s">
        <v>23</v>
      </c>
      <c r="B1169" s="8" t="s">
        <v>282</v>
      </c>
      <c r="C1169" s="8" t="s">
        <v>122</v>
      </c>
      <c r="D1169" s="18" t="s">
        <v>2595</v>
      </c>
      <c r="E1169" s="16">
        <v>78.0</v>
      </c>
      <c r="F1169" s="8" t="s">
        <v>23</v>
      </c>
      <c r="G1169" s="8" t="s">
        <v>402</v>
      </c>
      <c r="H1169" s="8" t="s">
        <v>132</v>
      </c>
      <c r="I1169" s="18" t="s">
        <v>2587</v>
      </c>
      <c r="J1169" s="16">
        <v>76.0</v>
      </c>
      <c r="K1169" s="8" t="s">
        <v>263</v>
      </c>
      <c r="L1169" s="8" t="s">
        <v>762</v>
      </c>
      <c r="M1169" s="18" t="s">
        <v>2587</v>
      </c>
      <c r="N1169" s="16">
        <v>77.0</v>
      </c>
      <c r="O1169" s="8" t="s">
        <v>5099</v>
      </c>
      <c r="P1169" s="8" t="s">
        <v>215</v>
      </c>
      <c r="Q1169" s="14" t="s">
        <v>1070</v>
      </c>
      <c r="R1169" s="8" t="s">
        <v>2562</v>
      </c>
      <c r="S1169" s="14" t="s">
        <v>2563</v>
      </c>
    </row>
    <row r="1170">
      <c r="A1170" s="8" t="s">
        <v>23</v>
      </c>
      <c r="B1170" s="8" t="s">
        <v>279</v>
      </c>
      <c r="C1170" s="8" t="s">
        <v>132</v>
      </c>
      <c r="D1170" s="18" t="s">
        <v>2566</v>
      </c>
      <c r="E1170" s="16">
        <v>73.0</v>
      </c>
      <c r="F1170" s="8" t="s">
        <v>23</v>
      </c>
      <c r="G1170" s="8" t="s">
        <v>601</v>
      </c>
      <c r="H1170" s="8" t="s">
        <v>59</v>
      </c>
      <c r="I1170" s="18" t="s">
        <v>2567</v>
      </c>
      <c r="J1170" s="16">
        <v>79.0</v>
      </c>
      <c r="K1170" s="8" t="s">
        <v>263</v>
      </c>
      <c r="L1170" s="8" t="s">
        <v>1164</v>
      </c>
      <c r="M1170" s="18" t="s">
        <v>2610</v>
      </c>
      <c r="N1170" s="16">
        <v>66.0</v>
      </c>
      <c r="O1170" s="8" t="s">
        <v>5100</v>
      </c>
      <c r="P1170" s="8" t="s">
        <v>186</v>
      </c>
      <c r="Q1170" s="14" t="s">
        <v>2033</v>
      </c>
      <c r="R1170" s="8" t="s">
        <v>2605</v>
      </c>
      <c r="S1170" s="14" t="s">
        <v>2579</v>
      </c>
    </row>
    <row r="1171">
      <c r="A1171" s="8" t="s">
        <v>23</v>
      </c>
      <c r="B1171" s="8" t="s">
        <v>575</v>
      </c>
      <c r="C1171" s="8" t="s">
        <v>59</v>
      </c>
      <c r="D1171" s="18" t="s">
        <v>2556</v>
      </c>
      <c r="E1171" s="16">
        <v>65.0</v>
      </c>
      <c r="F1171" s="8" t="s">
        <v>23</v>
      </c>
      <c r="G1171" s="8" t="s">
        <v>106</v>
      </c>
      <c r="H1171" s="8" t="s">
        <v>65</v>
      </c>
      <c r="I1171" s="18" t="s">
        <v>2589</v>
      </c>
      <c r="J1171" s="16">
        <v>84.0</v>
      </c>
      <c r="K1171" s="8" t="s">
        <v>263</v>
      </c>
      <c r="L1171" s="8" t="s">
        <v>1877</v>
      </c>
      <c r="M1171" s="18" t="s">
        <v>2560</v>
      </c>
      <c r="N1171" s="16">
        <v>69.0</v>
      </c>
      <c r="O1171" s="8" t="s">
        <v>5101</v>
      </c>
      <c r="P1171" s="8" t="s">
        <v>138</v>
      </c>
      <c r="Q1171" s="14" t="s">
        <v>1679</v>
      </c>
      <c r="R1171" s="8" t="s">
        <v>2572</v>
      </c>
      <c r="S1171" s="14" t="s">
        <v>2613</v>
      </c>
    </row>
    <row r="1172">
      <c r="A1172" s="8" t="s">
        <v>23</v>
      </c>
      <c r="B1172" s="8" t="s">
        <v>402</v>
      </c>
      <c r="C1172" s="8" t="s">
        <v>132</v>
      </c>
      <c r="D1172" s="18" t="s">
        <v>2587</v>
      </c>
      <c r="E1172" s="16">
        <v>69.0</v>
      </c>
      <c r="F1172" s="8" t="s">
        <v>23</v>
      </c>
      <c r="G1172" s="8" t="s">
        <v>597</v>
      </c>
      <c r="H1172" s="8" t="s">
        <v>65</v>
      </c>
      <c r="I1172" s="18" t="s">
        <v>2610</v>
      </c>
      <c r="J1172" s="16">
        <v>77.0</v>
      </c>
      <c r="K1172" s="8" t="s">
        <v>263</v>
      </c>
      <c r="L1172" s="8" t="s">
        <v>666</v>
      </c>
      <c r="M1172" s="18" t="s">
        <v>2577</v>
      </c>
      <c r="N1172" s="16">
        <v>73.0</v>
      </c>
      <c r="O1172" s="8" t="s">
        <v>5102</v>
      </c>
      <c r="P1172" s="8" t="s">
        <v>141</v>
      </c>
      <c r="Q1172" s="14" t="s">
        <v>1352</v>
      </c>
      <c r="R1172" s="8" t="s">
        <v>2603</v>
      </c>
      <c r="S1172" s="14" t="s">
        <v>2570</v>
      </c>
    </row>
    <row r="1173">
      <c r="A1173" s="8" t="s">
        <v>23</v>
      </c>
      <c r="B1173" s="8" t="s">
        <v>601</v>
      </c>
      <c r="C1173" s="8" t="s">
        <v>59</v>
      </c>
      <c r="D1173" s="18" t="s">
        <v>2562</v>
      </c>
      <c r="E1173" s="16">
        <v>74.0</v>
      </c>
      <c r="F1173" s="8" t="s">
        <v>23</v>
      </c>
      <c r="G1173" s="8" t="s">
        <v>575</v>
      </c>
      <c r="H1173" s="8" t="s">
        <v>59</v>
      </c>
      <c r="I1173" s="18" t="s">
        <v>2614</v>
      </c>
      <c r="J1173" s="16">
        <v>65.0</v>
      </c>
      <c r="K1173" s="8" t="s">
        <v>263</v>
      </c>
      <c r="L1173" s="8" t="s">
        <v>747</v>
      </c>
      <c r="M1173" s="18" t="s">
        <v>2581</v>
      </c>
      <c r="N1173" s="16">
        <v>68.0</v>
      </c>
      <c r="O1173" s="8" t="s">
        <v>5103</v>
      </c>
      <c r="P1173" s="8" t="s">
        <v>122</v>
      </c>
      <c r="Q1173" s="14" t="s">
        <v>1679</v>
      </c>
      <c r="R1173" s="8" t="s">
        <v>2183</v>
      </c>
      <c r="S1173" s="14" t="s">
        <v>2555</v>
      </c>
    </row>
    <row r="1174">
      <c r="A1174" s="8" t="s">
        <v>23</v>
      </c>
      <c r="B1174" s="8" t="s">
        <v>1632</v>
      </c>
      <c r="C1174" s="8" t="s">
        <v>141</v>
      </c>
      <c r="D1174" s="18" t="s">
        <v>2552</v>
      </c>
      <c r="E1174" s="16">
        <v>86.0</v>
      </c>
      <c r="F1174" s="8" t="s">
        <v>23</v>
      </c>
      <c r="G1174" s="8" t="s">
        <v>3092</v>
      </c>
      <c r="H1174" s="8" t="s">
        <v>186</v>
      </c>
      <c r="I1174" s="18" t="s">
        <v>2605</v>
      </c>
      <c r="J1174" s="16">
        <v>65.0</v>
      </c>
      <c r="K1174" s="8" t="s">
        <v>263</v>
      </c>
      <c r="L1174" s="8" t="s">
        <v>2024</v>
      </c>
      <c r="M1174" s="18" t="s">
        <v>2610</v>
      </c>
      <c r="N1174" s="16">
        <v>76.0</v>
      </c>
      <c r="O1174" s="8" t="s">
        <v>5104</v>
      </c>
      <c r="P1174" s="8" t="s">
        <v>122</v>
      </c>
      <c r="Q1174" s="14" t="s">
        <v>1070</v>
      </c>
      <c r="R1174" s="8" t="s">
        <v>2581</v>
      </c>
      <c r="S1174" s="14" t="s">
        <v>2576</v>
      </c>
    </row>
    <row r="1175">
      <c r="A1175" s="8" t="s">
        <v>23</v>
      </c>
      <c r="B1175" s="8" t="s">
        <v>3467</v>
      </c>
      <c r="C1175" s="8" t="s">
        <v>46</v>
      </c>
      <c r="D1175" s="18" t="s">
        <v>2585</v>
      </c>
      <c r="E1175" s="16">
        <v>63.0</v>
      </c>
      <c r="F1175" s="8" t="s">
        <v>23</v>
      </c>
      <c r="G1175" s="8" t="s">
        <v>282</v>
      </c>
      <c r="H1175" s="8" t="s">
        <v>138</v>
      </c>
      <c r="I1175" s="18" t="s">
        <v>2605</v>
      </c>
      <c r="J1175" s="16">
        <v>65.0</v>
      </c>
      <c r="K1175" s="8" t="s">
        <v>263</v>
      </c>
      <c r="L1175" s="8" t="s">
        <v>146</v>
      </c>
      <c r="M1175" s="18" t="s">
        <v>2605</v>
      </c>
      <c r="N1175" s="16">
        <v>72.0</v>
      </c>
      <c r="O1175" s="8" t="s">
        <v>5105</v>
      </c>
      <c r="P1175" s="8" t="s">
        <v>122</v>
      </c>
      <c r="Q1175" s="14" t="s">
        <v>1070</v>
      </c>
      <c r="R1175" s="8" t="s">
        <v>2554</v>
      </c>
      <c r="S1175" s="14" t="s">
        <v>2617</v>
      </c>
    </row>
    <row r="1176">
      <c r="A1176" s="8" t="s">
        <v>23</v>
      </c>
      <c r="B1176" s="8" t="s">
        <v>3092</v>
      </c>
      <c r="C1176" s="8" t="s">
        <v>186</v>
      </c>
      <c r="D1176" s="18" t="s">
        <v>2605</v>
      </c>
      <c r="E1176" s="16">
        <v>66.0</v>
      </c>
      <c r="F1176" s="8" t="s">
        <v>23</v>
      </c>
      <c r="G1176" s="8" t="s">
        <v>2886</v>
      </c>
      <c r="H1176" s="8" t="s">
        <v>261</v>
      </c>
      <c r="I1176" s="18" t="s">
        <v>2595</v>
      </c>
      <c r="J1176" s="16">
        <v>80.0</v>
      </c>
      <c r="K1176" s="8" t="s">
        <v>263</v>
      </c>
      <c r="L1176" s="8" t="s">
        <v>164</v>
      </c>
      <c r="M1176" s="18" t="s">
        <v>2600</v>
      </c>
      <c r="N1176" s="16">
        <v>76.0</v>
      </c>
      <c r="O1176" s="8" t="s">
        <v>5106</v>
      </c>
      <c r="P1176" s="8" t="s">
        <v>65</v>
      </c>
      <c r="Q1176" s="14" t="s">
        <v>459</v>
      </c>
      <c r="R1176" s="8" t="s">
        <v>2587</v>
      </c>
      <c r="S1176" s="14" t="s">
        <v>2608</v>
      </c>
    </row>
    <row r="1177">
      <c r="A1177" s="8" t="s">
        <v>23</v>
      </c>
      <c r="B1177" s="8" t="s">
        <v>3492</v>
      </c>
      <c r="C1177" s="8" t="s">
        <v>75</v>
      </c>
      <c r="D1177" s="18" t="s">
        <v>2575</v>
      </c>
      <c r="E1177" s="16">
        <v>70.0</v>
      </c>
      <c r="F1177" s="8" t="s">
        <v>23</v>
      </c>
      <c r="G1177" s="8" t="s">
        <v>22</v>
      </c>
      <c r="H1177" s="8" t="s">
        <v>24</v>
      </c>
      <c r="I1177" s="18" t="s">
        <v>2581</v>
      </c>
      <c r="J1177" s="16">
        <v>48.0</v>
      </c>
      <c r="K1177" s="8" t="s">
        <v>263</v>
      </c>
      <c r="L1177" s="8" t="s">
        <v>262</v>
      </c>
      <c r="M1177" s="18" t="s">
        <v>2183</v>
      </c>
      <c r="N1177" s="16">
        <v>68.0</v>
      </c>
      <c r="O1177" s="8" t="s">
        <v>5107</v>
      </c>
      <c r="P1177" s="8" t="s">
        <v>138</v>
      </c>
      <c r="Q1177" s="14" t="s">
        <v>2033</v>
      </c>
      <c r="R1177" s="8" t="s">
        <v>2598</v>
      </c>
      <c r="S1177" s="14" t="s">
        <v>2568</v>
      </c>
    </row>
    <row r="1178">
      <c r="A1178" s="8" t="s">
        <v>92</v>
      </c>
      <c r="B1178" s="8" t="s">
        <v>2751</v>
      </c>
      <c r="C1178" s="8" t="s">
        <v>192</v>
      </c>
      <c r="D1178" s="18" t="s">
        <v>2584</v>
      </c>
      <c r="E1178" s="16">
        <v>76.0</v>
      </c>
      <c r="F1178" s="8" t="s">
        <v>23</v>
      </c>
      <c r="G1178" s="8" t="s">
        <v>2816</v>
      </c>
      <c r="H1178" s="8" t="s">
        <v>132</v>
      </c>
      <c r="I1178" s="18" t="s">
        <v>2615</v>
      </c>
      <c r="J1178" s="16">
        <v>82.0</v>
      </c>
      <c r="K1178" s="8" t="s">
        <v>263</v>
      </c>
      <c r="L1178" s="8" t="s">
        <v>785</v>
      </c>
      <c r="M1178" s="18" t="s">
        <v>2600</v>
      </c>
      <c r="N1178" s="16">
        <v>71.0</v>
      </c>
      <c r="O1178" s="8" t="s">
        <v>5108</v>
      </c>
      <c r="P1178" s="8" t="s">
        <v>24</v>
      </c>
      <c r="Q1178" s="14" t="s">
        <v>21</v>
      </c>
      <c r="R1178" s="8" t="s">
        <v>2581</v>
      </c>
      <c r="S1178" s="14" t="s">
        <v>2624</v>
      </c>
    </row>
    <row r="1179">
      <c r="A1179" s="8" t="s">
        <v>92</v>
      </c>
      <c r="B1179" s="8" t="s">
        <v>933</v>
      </c>
      <c r="C1179" s="8" t="s">
        <v>122</v>
      </c>
      <c r="D1179" s="18" t="s">
        <v>2566</v>
      </c>
      <c r="E1179" s="16">
        <v>81.0</v>
      </c>
      <c r="F1179" s="8" t="s">
        <v>23</v>
      </c>
      <c r="G1179" s="8" t="s">
        <v>1005</v>
      </c>
      <c r="H1179" s="8" t="s">
        <v>24</v>
      </c>
      <c r="I1179" s="18" t="s">
        <v>2595</v>
      </c>
      <c r="J1179" s="16">
        <v>71.0</v>
      </c>
      <c r="K1179" s="8" t="s">
        <v>263</v>
      </c>
      <c r="L1179" s="8" t="s">
        <v>441</v>
      </c>
      <c r="M1179" s="18" t="s">
        <v>2620</v>
      </c>
      <c r="N1179" s="16">
        <v>71.0</v>
      </c>
      <c r="O1179" s="8" t="s">
        <v>5109</v>
      </c>
      <c r="P1179" s="8" t="s">
        <v>93</v>
      </c>
      <c r="Q1179" s="14" t="s">
        <v>1679</v>
      </c>
      <c r="R1179" s="8" t="s">
        <v>2605</v>
      </c>
      <c r="S1179" s="14" t="s">
        <v>2570</v>
      </c>
    </row>
    <row r="1180">
      <c r="A1180" s="8" t="s">
        <v>92</v>
      </c>
      <c r="B1180" s="8" t="s">
        <v>91</v>
      </c>
      <c r="C1180" s="8" t="s">
        <v>93</v>
      </c>
      <c r="D1180" s="18" t="s">
        <v>2562</v>
      </c>
      <c r="E1180" s="16">
        <v>91.0</v>
      </c>
      <c r="F1180" s="8" t="s">
        <v>23</v>
      </c>
      <c r="G1180" s="8" t="s">
        <v>3467</v>
      </c>
      <c r="H1180" s="8" t="s">
        <v>149</v>
      </c>
      <c r="I1180" s="18" t="s">
        <v>2585</v>
      </c>
      <c r="J1180" s="16">
        <v>64.0</v>
      </c>
      <c r="K1180" s="8" t="s">
        <v>263</v>
      </c>
      <c r="L1180" s="8" t="s">
        <v>78</v>
      </c>
      <c r="M1180" s="18" t="s">
        <v>2566</v>
      </c>
      <c r="N1180" s="16">
        <v>62.0</v>
      </c>
      <c r="O1180" s="8" t="s">
        <v>5110</v>
      </c>
      <c r="P1180" s="8" t="s">
        <v>138</v>
      </c>
      <c r="Q1180" s="14" t="s">
        <v>2296</v>
      </c>
      <c r="R1180" s="8" t="s">
        <v>2593</v>
      </c>
      <c r="S1180" s="14" t="s">
        <v>2568</v>
      </c>
    </row>
    <row r="1181">
      <c r="A1181" s="8" t="s">
        <v>532</v>
      </c>
      <c r="B1181" s="8" t="s">
        <v>531</v>
      </c>
      <c r="C1181" s="8" t="s">
        <v>38</v>
      </c>
      <c r="D1181" s="18" t="s">
        <v>2593</v>
      </c>
      <c r="E1181" s="16">
        <v>82.0</v>
      </c>
      <c r="F1181" s="8" t="s">
        <v>23</v>
      </c>
      <c r="G1181" s="8" t="s">
        <v>389</v>
      </c>
      <c r="H1181" s="8" t="s">
        <v>80</v>
      </c>
      <c r="I1181" s="18" t="s">
        <v>2593</v>
      </c>
      <c r="J1181" s="16">
        <v>74.0</v>
      </c>
      <c r="K1181" s="8" t="s">
        <v>263</v>
      </c>
      <c r="L1181" s="8" t="s">
        <v>533</v>
      </c>
      <c r="M1181" s="18" t="s">
        <v>2564</v>
      </c>
      <c r="N1181" s="16">
        <v>82.0</v>
      </c>
      <c r="O1181" s="8" t="s">
        <v>5111</v>
      </c>
      <c r="P1181" s="8" t="s">
        <v>122</v>
      </c>
      <c r="Q1181" s="14" t="s">
        <v>338</v>
      </c>
      <c r="R1181" s="8" t="s">
        <v>2566</v>
      </c>
      <c r="S1181" s="14" t="s">
        <v>2568</v>
      </c>
    </row>
    <row r="1182">
      <c r="A1182" s="8" t="s">
        <v>532</v>
      </c>
      <c r="B1182" s="8" t="s">
        <v>714</v>
      </c>
      <c r="C1182" s="8" t="s">
        <v>65</v>
      </c>
      <c r="D1182" s="18" t="s">
        <v>2556</v>
      </c>
      <c r="E1182" s="16">
        <v>63.0</v>
      </c>
      <c r="F1182" s="8" t="s">
        <v>23</v>
      </c>
      <c r="G1182" s="8" t="s">
        <v>1632</v>
      </c>
      <c r="H1182" s="8" t="s">
        <v>141</v>
      </c>
      <c r="I1182" s="18" t="s">
        <v>2593</v>
      </c>
      <c r="J1182" s="16">
        <v>76.0</v>
      </c>
      <c r="K1182" s="8" t="s">
        <v>263</v>
      </c>
      <c r="L1182" s="8" t="s">
        <v>1664</v>
      </c>
      <c r="M1182" s="18" t="s">
        <v>2567</v>
      </c>
      <c r="N1182" s="16">
        <v>72.0</v>
      </c>
      <c r="O1182" s="8" t="s">
        <v>5112</v>
      </c>
      <c r="P1182" s="8" t="s">
        <v>192</v>
      </c>
      <c r="Q1182" s="14" t="s">
        <v>2033</v>
      </c>
      <c r="R1182" s="8" t="s">
        <v>2593</v>
      </c>
      <c r="S1182" s="14" t="s">
        <v>2625</v>
      </c>
    </row>
    <row r="1183">
      <c r="A1183" s="8" t="s">
        <v>532</v>
      </c>
      <c r="B1183" s="8" t="s">
        <v>3349</v>
      </c>
      <c r="C1183" s="8" t="s">
        <v>215</v>
      </c>
      <c r="D1183" s="18" t="s">
        <v>2577</v>
      </c>
      <c r="E1183" s="16">
        <v>57.0</v>
      </c>
      <c r="F1183" s="8" t="s">
        <v>23</v>
      </c>
      <c r="G1183" s="8" t="s">
        <v>3492</v>
      </c>
      <c r="H1183" s="8" t="s">
        <v>141</v>
      </c>
      <c r="I1183" s="18" t="s">
        <v>2575</v>
      </c>
      <c r="J1183" s="16">
        <v>72.0</v>
      </c>
      <c r="K1183" s="8" t="s">
        <v>263</v>
      </c>
      <c r="L1183" s="8" t="s">
        <v>617</v>
      </c>
      <c r="M1183" s="18" t="s">
        <v>2592</v>
      </c>
      <c r="N1183" s="16">
        <v>70.0</v>
      </c>
      <c r="O1183" s="8" t="s">
        <v>5113</v>
      </c>
      <c r="P1183" s="8" t="s">
        <v>70</v>
      </c>
      <c r="Q1183" s="14" t="s">
        <v>2296</v>
      </c>
      <c r="R1183" s="8" t="s">
        <v>2593</v>
      </c>
      <c r="S1183" s="14" t="s">
        <v>2563</v>
      </c>
    </row>
    <row r="1184">
      <c r="A1184" s="8" t="s">
        <v>389</v>
      </c>
      <c r="B1184" s="8" t="s">
        <v>468</v>
      </c>
      <c r="C1184" s="8" t="s">
        <v>80</v>
      </c>
      <c r="D1184" s="18" t="s">
        <v>2554</v>
      </c>
      <c r="E1184" s="16">
        <v>74.0</v>
      </c>
      <c r="F1184" s="8" t="s">
        <v>92</v>
      </c>
      <c r="G1184" s="8" t="s">
        <v>91</v>
      </c>
      <c r="H1184" s="8" t="s">
        <v>93</v>
      </c>
      <c r="I1184" s="18" t="s">
        <v>2562</v>
      </c>
      <c r="J1184" s="16">
        <v>83.0</v>
      </c>
      <c r="K1184" s="8" t="s">
        <v>263</v>
      </c>
      <c r="L1184" s="8" t="s">
        <v>838</v>
      </c>
      <c r="M1184" s="18" t="s">
        <v>2562</v>
      </c>
      <c r="N1184" s="16">
        <v>71.0</v>
      </c>
      <c r="O1184" s="8" t="s">
        <v>5114</v>
      </c>
      <c r="P1184" s="8" t="s">
        <v>132</v>
      </c>
      <c r="Q1184" s="14" t="s">
        <v>1070</v>
      </c>
      <c r="R1184" s="8" t="s">
        <v>2610</v>
      </c>
      <c r="S1184" s="14" t="s">
        <v>2591</v>
      </c>
    </row>
    <row r="1185">
      <c r="A1185" s="8" t="s">
        <v>3160</v>
      </c>
      <c r="B1185" s="8" t="s">
        <v>3159</v>
      </c>
      <c r="C1185" s="8" t="s">
        <v>93</v>
      </c>
      <c r="D1185" s="18" t="s">
        <v>2592</v>
      </c>
      <c r="E1185" s="16">
        <v>71.0</v>
      </c>
      <c r="F1185" s="8" t="s">
        <v>92</v>
      </c>
      <c r="G1185" s="8" t="s">
        <v>1915</v>
      </c>
      <c r="H1185" s="8" t="s">
        <v>138</v>
      </c>
      <c r="I1185" s="18" t="s">
        <v>2558</v>
      </c>
      <c r="J1185" s="16">
        <v>61.0</v>
      </c>
      <c r="K1185" s="8" t="s">
        <v>263</v>
      </c>
      <c r="L1185" s="8" t="s">
        <v>62</v>
      </c>
      <c r="M1185" s="18" t="s">
        <v>2562</v>
      </c>
      <c r="N1185" s="16">
        <v>66.0</v>
      </c>
      <c r="O1185" s="8" t="s">
        <v>5115</v>
      </c>
      <c r="P1185" s="8" t="s">
        <v>65</v>
      </c>
      <c r="Q1185" s="14" t="s">
        <v>2033</v>
      </c>
      <c r="R1185" s="8" t="s">
        <v>2610</v>
      </c>
      <c r="S1185" s="14" t="s">
        <v>2553</v>
      </c>
    </row>
    <row r="1186">
      <c r="A1186" s="8" t="s">
        <v>181</v>
      </c>
      <c r="B1186" s="8" t="s">
        <v>651</v>
      </c>
      <c r="C1186" s="8" t="s">
        <v>186</v>
      </c>
      <c r="D1186" s="18" t="s">
        <v>2554</v>
      </c>
      <c r="E1186" s="16">
        <v>68.0</v>
      </c>
      <c r="F1186" s="8" t="s">
        <v>92</v>
      </c>
      <c r="G1186" s="8" t="s">
        <v>933</v>
      </c>
      <c r="H1186" s="8" t="s">
        <v>122</v>
      </c>
      <c r="I1186" s="18" t="s">
        <v>2567</v>
      </c>
      <c r="J1186" s="16">
        <v>76.0</v>
      </c>
      <c r="K1186" s="8" t="s">
        <v>263</v>
      </c>
      <c r="L1186" s="8" t="s">
        <v>2370</v>
      </c>
      <c r="M1186" s="18" t="s">
        <v>2575</v>
      </c>
      <c r="N1186" s="16">
        <v>69.0</v>
      </c>
      <c r="O1186" s="8" t="s">
        <v>5116</v>
      </c>
      <c r="P1186" s="8" t="s">
        <v>138</v>
      </c>
      <c r="Q1186" s="14" t="s">
        <v>631</v>
      </c>
      <c r="R1186" s="8" t="s">
        <v>2600</v>
      </c>
      <c r="S1186" s="14" t="s">
        <v>2553</v>
      </c>
    </row>
    <row r="1187">
      <c r="A1187" s="8" t="s">
        <v>181</v>
      </c>
      <c r="B1187" s="8" t="s">
        <v>3212</v>
      </c>
      <c r="C1187" s="8" t="s">
        <v>24</v>
      </c>
      <c r="D1187" s="18" t="s">
        <v>2556</v>
      </c>
      <c r="E1187" s="16">
        <v>42.0</v>
      </c>
      <c r="F1187" s="8" t="s">
        <v>92</v>
      </c>
      <c r="G1187" s="8" t="s">
        <v>2751</v>
      </c>
      <c r="H1187" s="8" t="s">
        <v>80</v>
      </c>
      <c r="I1187" s="18" t="s">
        <v>2621</v>
      </c>
      <c r="J1187" s="16">
        <v>84.0</v>
      </c>
      <c r="K1187" s="8" t="s">
        <v>263</v>
      </c>
      <c r="L1187" s="8" t="s">
        <v>223</v>
      </c>
      <c r="M1187" s="18" t="s">
        <v>2582</v>
      </c>
      <c r="N1187" s="16">
        <v>85.0</v>
      </c>
      <c r="O1187" s="8" t="s">
        <v>5117</v>
      </c>
      <c r="P1187" s="8" t="s">
        <v>65</v>
      </c>
      <c r="Q1187" s="14" t="s">
        <v>1352</v>
      </c>
      <c r="R1187" s="8" t="s">
        <v>2603</v>
      </c>
      <c r="S1187" s="14" t="s">
        <v>2579</v>
      </c>
    </row>
    <row r="1188">
      <c r="A1188" s="8" t="s">
        <v>181</v>
      </c>
      <c r="B1188" s="8" t="s">
        <v>3229</v>
      </c>
      <c r="C1188" s="8" t="s">
        <v>24</v>
      </c>
      <c r="D1188" s="18" t="s">
        <v>2564</v>
      </c>
      <c r="E1188" s="16">
        <v>44.0</v>
      </c>
      <c r="F1188" s="8" t="s">
        <v>532</v>
      </c>
      <c r="G1188" s="8" t="s">
        <v>714</v>
      </c>
      <c r="H1188" s="8" t="s">
        <v>65</v>
      </c>
      <c r="I1188" s="18" t="s">
        <v>2556</v>
      </c>
      <c r="J1188" s="16">
        <v>64.0</v>
      </c>
      <c r="K1188" s="8" t="s">
        <v>263</v>
      </c>
      <c r="L1188" s="8" t="s">
        <v>2379</v>
      </c>
      <c r="M1188" s="18" t="s">
        <v>2564</v>
      </c>
      <c r="N1188" s="16">
        <v>66.0</v>
      </c>
      <c r="O1188" s="8" t="s">
        <v>5118</v>
      </c>
      <c r="P1188" s="8" t="s">
        <v>46</v>
      </c>
      <c r="Q1188" s="14" t="s">
        <v>631</v>
      </c>
      <c r="R1188" s="8" t="s">
        <v>2598</v>
      </c>
      <c r="S1188" s="14" t="s">
        <v>2609</v>
      </c>
    </row>
    <row r="1189">
      <c r="A1189" s="8" t="s">
        <v>181</v>
      </c>
      <c r="B1189" s="8" t="s">
        <v>910</v>
      </c>
      <c r="C1189" s="8" t="s">
        <v>75</v>
      </c>
      <c r="D1189" s="18" t="s">
        <v>2556</v>
      </c>
      <c r="E1189" s="16">
        <v>64.0</v>
      </c>
      <c r="F1189" s="8" t="s">
        <v>532</v>
      </c>
      <c r="G1189" s="8" t="s">
        <v>3349</v>
      </c>
      <c r="H1189" s="8" t="s">
        <v>122</v>
      </c>
      <c r="I1189" s="18" t="s">
        <v>2577</v>
      </c>
      <c r="J1189" s="16">
        <v>61.0</v>
      </c>
      <c r="K1189" s="8" t="s">
        <v>2961</v>
      </c>
      <c r="L1189" s="8" t="s">
        <v>220</v>
      </c>
      <c r="M1189" s="18" t="s">
        <v>2556</v>
      </c>
      <c r="N1189" s="16">
        <v>83.0</v>
      </c>
      <c r="O1189" s="8" t="s">
        <v>5119</v>
      </c>
      <c r="P1189" s="8" t="s">
        <v>192</v>
      </c>
      <c r="Q1189" s="14" t="s">
        <v>2296</v>
      </c>
      <c r="R1189" s="18" t="s">
        <v>2556</v>
      </c>
      <c r="S1189" s="14" t="s">
        <v>2557</v>
      </c>
    </row>
    <row r="1190">
      <c r="A1190" s="8" t="s">
        <v>181</v>
      </c>
      <c r="B1190" s="8" t="s">
        <v>67</v>
      </c>
      <c r="C1190" s="8" t="s">
        <v>38</v>
      </c>
      <c r="D1190" s="18" t="s">
        <v>2603</v>
      </c>
      <c r="E1190" s="16">
        <v>81.0</v>
      </c>
      <c r="F1190" s="8" t="s">
        <v>532</v>
      </c>
      <c r="G1190" s="8" t="s">
        <v>531</v>
      </c>
      <c r="H1190" s="8" t="s">
        <v>38</v>
      </c>
      <c r="I1190" s="18" t="s">
        <v>2593</v>
      </c>
      <c r="J1190" s="16">
        <v>86.0</v>
      </c>
      <c r="K1190" s="8" t="s">
        <v>91</v>
      </c>
      <c r="L1190" s="8" t="s">
        <v>2727</v>
      </c>
      <c r="M1190" s="18" t="s">
        <v>2577</v>
      </c>
      <c r="N1190" s="16">
        <v>62.0</v>
      </c>
      <c r="O1190" s="8" t="s">
        <v>5120</v>
      </c>
      <c r="P1190" s="8" t="s">
        <v>122</v>
      </c>
      <c r="Q1190" s="14" t="s">
        <v>837</v>
      </c>
      <c r="R1190" s="18" t="s">
        <v>2556</v>
      </c>
      <c r="S1190" s="14" t="s">
        <v>2571</v>
      </c>
    </row>
    <row r="1191">
      <c r="A1191" s="8" t="s">
        <v>181</v>
      </c>
      <c r="B1191" s="8" t="s">
        <v>180</v>
      </c>
      <c r="C1191" s="8" t="s">
        <v>24</v>
      </c>
      <c r="D1191" s="18" t="s">
        <v>2562</v>
      </c>
      <c r="E1191" s="16">
        <v>42.0</v>
      </c>
      <c r="F1191" s="8" t="s">
        <v>389</v>
      </c>
      <c r="G1191" s="8" t="s">
        <v>468</v>
      </c>
      <c r="H1191" s="8" t="s">
        <v>93</v>
      </c>
      <c r="I1191" s="18" t="s">
        <v>2554</v>
      </c>
      <c r="J1191" s="16">
        <v>69.0</v>
      </c>
      <c r="K1191" s="8" t="s">
        <v>91</v>
      </c>
      <c r="L1191" s="8" t="s">
        <v>1923</v>
      </c>
      <c r="M1191" s="18" t="s">
        <v>2593</v>
      </c>
      <c r="N1191" s="16">
        <v>69.0</v>
      </c>
      <c r="O1191" s="8" t="s">
        <v>5121</v>
      </c>
      <c r="P1191" s="8" t="s">
        <v>93</v>
      </c>
      <c r="Q1191" s="14" t="s">
        <v>83</v>
      </c>
      <c r="R1191" s="8" t="s">
        <v>2562</v>
      </c>
      <c r="S1191" s="14" t="s">
        <v>2578</v>
      </c>
    </row>
    <row r="1192">
      <c r="A1192" s="8" t="s">
        <v>842</v>
      </c>
      <c r="B1192" s="8" t="s">
        <v>636</v>
      </c>
      <c r="C1192" s="8" t="s">
        <v>186</v>
      </c>
      <c r="D1192" s="18" t="s">
        <v>2605</v>
      </c>
      <c r="E1192" s="16">
        <v>66.0</v>
      </c>
      <c r="F1192" s="8" t="s">
        <v>3160</v>
      </c>
      <c r="G1192" s="8" t="s">
        <v>3159</v>
      </c>
      <c r="H1192" s="8" t="s">
        <v>93</v>
      </c>
      <c r="I1192" s="18" t="s">
        <v>2605</v>
      </c>
      <c r="J1192" s="16">
        <v>67.0</v>
      </c>
      <c r="K1192" s="8" t="s">
        <v>1852</v>
      </c>
      <c r="L1192" s="8" t="s">
        <v>1851</v>
      </c>
      <c r="M1192" s="18" t="s">
        <v>2620</v>
      </c>
      <c r="N1192" s="16">
        <v>70.0</v>
      </c>
      <c r="O1192" s="8" t="s">
        <v>5122</v>
      </c>
      <c r="P1192" s="8" t="s">
        <v>65</v>
      </c>
      <c r="Q1192" s="14" t="s">
        <v>1679</v>
      </c>
      <c r="R1192" s="8" t="s">
        <v>2562</v>
      </c>
      <c r="S1192" s="14" t="s">
        <v>2563</v>
      </c>
    </row>
    <row r="1193">
      <c r="A1193" s="8" t="s">
        <v>842</v>
      </c>
      <c r="B1193" s="8" t="s">
        <v>3534</v>
      </c>
      <c r="C1193" s="8" t="s">
        <v>122</v>
      </c>
      <c r="D1193" s="18" t="s">
        <v>2598</v>
      </c>
      <c r="E1193" s="16">
        <v>81.0</v>
      </c>
      <c r="F1193" s="8" t="s">
        <v>1544</v>
      </c>
      <c r="G1193" s="8" t="s">
        <v>1543</v>
      </c>
      <c r="H1193" s="8" t="s">
        <v>65</v>
      </c>
      <c r="I1193" s="18" t="s">
        <v>2567</v>
      </c>
      <c r="J1193" s="16">
        <v>59.0</v>
      </c>
      <c r="K1193" s="8" t="s">
        <v>301</v>
      </c>
      <c r="L1193" s="8" t="s">
        <v>284</v>
      </c>
      <c r="M1193" s="18" t="s">
        <v>2558</v>
      </c>
      <c r="N1193" s="16">
        <v>73.0</v>
      </c>
      <c r="O1193" s="8" t="s">
        <v>5123</v>
      </c>
      <c r="P1193" s="8" t="s">
        <v>38</v>
      </c>
      <c r="Q1193" s="14" t="s">
        <v>459</v>
      </c>
      <c r="R1193" s="8" t="s">
        <v>2593</v>
      </c>
      <c r="S1193" s="14" t="s">
        <v>2633</v>
      </c>
    </row>
    <row r="1194">
      <c r="A1194" s="8" t="s">
        <v>842</v>
      </c>
      <c r="B1194" s="8" t="s">
        <v>1390</v>
      </c>
      <c r="C1194" s="8" t="s">
        <v>215</v>
      </c>
      <c r="D1194" s="18" t="s">
        <v>2605</v>
      </c>
      <c r="E1194" s="16">
        <v>68.0</v>
      </c>
      <c r="F1194" s="8" t="s">
        <v>181</v>
      </c>
      <c r="G1194" s="8" t="s">
        <v>705</v>
      </c>
      <c r="H1194" s="8" t="s">
        <v>132</v>
      </c>
      <c r="I1194" s="18" t="s">
        <v>2566</v>
      </c>
      <c r="J1194" s="16">
        <v>62.0</v>
      </c>
      <c r="K1194" s="8" t="s">
        <v>301</v>
      </c>
      <c r="L1194" s="8" t="s">
        <v>350</v>
      </c>
      <c r="M1194" s="18" t="s">
        <v>2605</v>
      </c>
      <c r="N1194" s="16">
        <v>73.0</v>
      </c>
      <c r="O1194" s="8" t="s">
        <v>5124</v>
      </c>
      <c r="P1194" s="8" t="s">
        <v>65</v>
      </c>
      <c r="Q1194" s="14" t="s">
        <v>631</v>
      </c>
      <c r="R1194" s="8" t="s">
        <v>2577</v>
      </c>
      <c r="S1194" s="14" t="s">
        <v>2622</v>
      </c>
    </row>
    <row r="1195">
      <c r="A1195" s="8" t="s">
        <v>842</v>
      </c>
      <c r="B1195" s="8" t="s">
        <v>3200</v>
      </c>
      <c r="C1195" s="8" t="s">
        <v>59</v>
      </c>
      <c r="D1195" s="18" t="s">
        <v>2566</v>
      </c>
      <c r="E1195" s="16">
        <v>71.0</v>
      </c>
      <c r="F1195" s="8" t="s">
        <v>181</v>
      </c>
      <c r="G1195" s="8" t="s">
        <v>651</v>
      </c>
      <c r="H1195" s="8" t="s">
        <v>186</v>
      </c>
      <c r="I1195" s="18" t="s">
        <v>2567</v>
      </c>
      <c r="J1195" s="16">
        <v>68.0</v>
      </c>
      <c r="K1195" s="8" t="s">
        <v>301</v>
      </c>
      <c r="L1195" s="8" t="s">
        <v>2930</v>
      </c>
      <c r="M1195" s="18" t="s">
        <v>2560</v>
      </c>
      <c r="N1195" s="16">
        <v>77.0</v>
      </c>
      <c r="O1195" s="8" t="s">
        <v>5125</v>
      </c>
      <c r="P1195" s="8" t="s">
        <v>24</v>
      </c>
      <c r="Q1195" s="14" t="s">
        <v>1679</v>
      </c>
      <c r="R1195" s="8" t="s">
        <v>2593</v>
      </c>
      <c r="S1195" s="14" t="s">
        <v>2579</v>
      </c>
    </row>
    <row r="1196">
      <c r="A1196" s="8" t="s">
        <v>842</v>
      </c>
      <c r="B1196" s="8" t="s">
        <v>500</v>
      </c>
      <c r="C1196" s="8" t="s">
        <v>132</v>
      </c>
      <c r="D1196" s="18" t="s">
        <v>2600</v>
      </c>
      <c r="E1196" s="16">
        <v>76.0</v>
      </c>
      <c r="F1196" s="8" t="s">
        <v>181</v>
      </c>
      <c r="G1196" s="8" t="s">
        <v>67</v>
      </c>
      <c r="H1196" s="8" t="s">
        <v>38</v>
      </c>
      <c r="I1196" s="18" t="s">
        <v>2603</v>
      </c>
      <c r="J1196" s="16">
        <v>77.0</v>
      </c>
      <c r="K1196" s="8" t="s">
        <v>301</v>
      </c>
      <c r="L1196" s="8" t="s">
        <v>566</v>
      </c>
      <c r="M1196" s="18" t="s">
        <v>2621</v>
      </c>
      <c r="N1196" s="16">
        <v>79.0</v>
      </c>
      <c r="O1196" s="8" t="s">
        <v>5126</v>
      </c>
      <c r="P1196" s="8" t="s">
        <v>38</v>
      </c>
      <c r="Q1196" s="14" t="s">
        <v>1679</v>
      </c>
      <c r="R1196" s="18" t="s">
        <v>2556</v>
      </c>
      <c r="S1196" s="14" t="s">
        <v>2568</v>
      </c>
    </row>
    <row r="1197">
      <c r="A1197" s="8" t="s">
        <v>842</v>
      </c>
      <c r="B1197" s="8" t="s">
        <v>3614</v>
      </c>
      <c r="C1197" s="8" t="s">
        <v>80</v>
      </c>
      <c r="D1197" s="18" t="s">
        <v>2587</v>
      </c>
      <c r="E1197" s="16">
        <v>66.0</v>
      </c>
      <c r="F1197" s="8" t="s">
        <v>181</v>
      </c>
      <c r="G1197" s="8" t="s">
        <v>3229</v>
      </c>
      <c r="H1197" s="8" t="s">
        <v>24</v>
      </c>
      <c r="I1197" s="18" t="s">
        <v>2564</v>
      </c>
      <c r="J1197" s="16">
        <v>44.0</v>
      </c>
      <c r="K1197" s="8" t="s">
        <v>301</v>
      </c>
      <c r="L1197" s="8" t="s">
        <v>1170</v>
      </c>
      <c r="M1197" s="18" t="s">
        <v>2567</v>
      </c>
      <c r="N1197" s="16">
        <v>65.0</v>
      </c>
      <c r="O1197" s="8" t="s">
        <v>5127</v>
      </c>
      <c r="P1197" s="8" t="s">
        <v>93</v>
      </c>
      <c r="Q1197" s="14" t="s">
        <v>459</v>
      </c>
      <c r="R1197" s="8" t="s">
        <v>2562</v>
      </c>
      <c r="S1197" s="14" t="s">
        <v>2557</v>
      </c>
    </row>
    <row r="1198">
      <c r="A1198" s="8" t="s">
        <v>842</v>
      </c>
      <c r="B1198" s="8" t="s">
        <v>2795</v>
      </c>
      <c r="C1198" s="8" t="s">
        <v>186</v>
      </c>
      <c r="D1198" s="18" t="s">
        <v>2600</v>
      </c>
      <c r="E1198" s="16">
        <v>69.0</v>
      </c>
      <c r="F1198" s="8" t="s">
        <v>181</v>
      </c>
      <c r="G1198" s="8" t="s">
        <v>910</v>
      </c>
      <c r="H1198" s="8" t="s">
        <v>141</v>
      </c>
      <c r="I1198" s="18" t="s">
        <v>2556</v>
      </c>
      <c r="J1198" s="16">
        <v>63.0</v>
      </c>
      <c r="K1198" s="8" t="s">
        <v>301</v>
      </c>
      <c r="L1198" s="8" t="s">
        <v>740</v>
      </c>
      <c r="M1198" s="18" t="s">
        <v>2584</v>
      </c>
      <c r="N1198" s="16">
        <v>79.0</v>
      </c>
      <c r="O1198" s="8" t="s">
        <v>5128</v>
      </c>
      <c r="P1198" s="8" t="s">
        <v>65</v>
      </c>
      <c r="Q1198" s="14" t="s">
        <v>1352</v>
      </c>
      <c r="R1198" s="8" t="s">
        <v>2593</v>
      </c>
      <c r="S1198" s="14" t="s">
        <v>2570</v>
      </c>
    </row>
    <row r="1199">
      <c r="A1199" s="8" t="s">
        <v>842</v>
      </c>
      <c r="B1199" s="8" t="s">
        <v>2822</v>
      </c>
      <c r="C1199" s="8" t="s">
        <v>70</v>
      </c>
      <c r="D1199" s="18" t="s">
        <v>2562</v>
      </c>
      <c r="E1199" s="16">
        <v>73.0</v>
      </c>
      <c r="F1199" s="8" t="s">
        <v>181</v>
      </c>
      <c r="G1199" s="8" t="s">
        <v>3212</v>
      </c>
      <c r="H1199" s="8" t="s">
        <v>24</v>
      </c>
      <c r="I1199" s="18" t="s">
        <v>2556</v>
      </c>
      <c r="J1199" s="16">
        <v>42.0</v>
      </c>
      <c r="K1199" s="8" t="s">
        <v>301</v>
      </c>
      <c r="L1199" s="8" t="s">
        <v>537</v>
      </c>
      <c r="M1199" s="18" t="s">
        <v>2595</v>
      </c>
      <c r="N1199" s="16">
        <v>78.0</v>
      </c>
      <c r="O1199" s="8" t="s">
        <v>5129</v>
      </c>
      <c r="P1199" s="8" t="s">
        <v>122</v>
      </c>
      <c r="Q1199" s="14" t="s">
        <v>2033</v>
      </c>
      <c r="R1199" s="8" t="s">
        <v>2582</v>
      </c>
      <c r="S1199" s="14" t="s">
        <v>2612</v>
      </c>
    </row>
    <row r="1200">
      <c r="A1200" s="8" t="s">
        <v>842</v>
      </c>
      <c r="B1200" s="8" t="s">
        <v>284</v>
      </c>
      <c r="C1200" s="8" t="s">
        <v>93</v>
      </c>
      <c r="D1200" s="18" t="s">
        <v>2600</v>
      </c>
      <c r="E1200" s="16">
        <v>62.0</v>
      </c>
      <c r="F1200" s="8" t="s">
        <v>181</v>
      </c>
      <c r="G1200" s="8" t="s">
        <v>180</v>
      </c>
      <c r="H1200" s="8" t="s">
        <v>24</v>
      </c>
      <c r="I1200" s="18" t="s">
        <v>2562</v>
      </c>
      <c r="J1200" s="16">
        <v>42.0</v>
      </c>
      <c r="K1200" s="8" t="s">
        <v>301</v>
      </c>
      <c r="L1200" s="8" t="s">
        <v>1400</v>
      </c>
      <c r="M1200" s="18" t="s">
        <v>2621</v>
      </c>
      <c r="N1200" s="16">
        <v>63.0</v>
      </c>
      <c r="O1200" s="8" t="s">
        <v>5130</v>
      </c>
      <c r="P1200" s="8" t="s">
        <v>186</v>
      </c>
      <c r="Q1200" s="14" t="s">
        <v>631</v>
      </c>
      <c r="R1200" s="8" t="s">
        <v>2582</v>
      </c>
      <c r="S1200" s="14" t="s">
        <v>2591</v>
      </c>
    </row>
    <row r="1201">
      <c r="A1201" s="8" t="s">
        <v>842</v>
      </c>
      <c r="B1201" s="8" t="s">
        <v>3745</v>
      </c>
      <c r="C1201" s="8" t="s">
        <v>59</v>
      </c>
      <c r="D1201" s="18" t="s">
        <v>2183</v>
      </c>
      <c r="E1201" s="16">
        <v>72.0</v>
      </c>
      <c r="F1201" s="8" t="s">
        <v>842</v>
      </c>
      <c r="G1201" s="8" t="s">
        <v>3200</v>
      </c>
      <c r="H1201" s="8" t="s">
        <v>59</v>
      </c>
      <c r="I1201" s="18" t="s">
        <v>2566</v>
      </c>
      <c r="J1201" s="16">
        <v>74.0</v>
      </c>
      <c r="K1201" s="8" t="s">
        <v>301</v>
      </c>
      <c r="L1201" s="8" t="s">
        <v>1651</v>
      </c>
      <c r="M1201" s="18" t="s">
        <v>2610</v>
      </c>
      <c r="N1201" s="16">
        <v>62.0</v>
      </c>
      <c r="O1201" s="8" t="s">
        <v>5131</v>
      </c>
      <c r="P1201" s="8" t="s">
        <v>132</v>
      </c>
      <c r="Q1201" s="14" t="s">
        <v>837</v>
      </c>
      <c r="R1201" s="8" t="s">
        <v>2587</v>
      </c>
      <c r="S1201" s="14" t="s">
        <v>2594</v>
      </c>
    </row>
    <row r="1202">
      <c r="A1202" s="8" t="s">
        <v>842</v>
      </c>
      <c r="B1202" s="8" t="s">
        <v>2383</v>
      </c>
      <c r="C1202" s="8" t="s">
        <v>192</v>
      </c>
      <c r="D1202" s="18" t="s">
        <v>2587</v>
      </c>
      <c r="E1202" s="16">
        <v>64.0</v>
      </c>
      <c r="F1202" s="8" t="s">
        <v>842</v>
      </c>
      <c r="G1202" s="8" t="s">
        <v>284</v>
      </c>
      <c r="H1202" s="8" t="s">
        <v>93</v>
      </c>
      <c r="I1202" s="18" t="s">
        <v>2600</v>
      </c>
      <c r="J1202" s="16">
        <v>62.0</v>
      </c>
      <c r="K1202" s="8" t="s">
        <v>301</v>
      </c>
      <c r="L1202" s="8" t="s">
        <v>2851</v>
      </c>
      <c r="M1202" s="18" t="s">
        <v>2595</v>
      </c>
      <c r="N1202" s="16">
        <v>71.0</v>
      </c>
      <c r="O1202" s="8" t="s">
        <v>5132</v>
      </c>
      <c r="P1202" s="8" t="s">
        <v>141</v>
      </c>
      <c r="Q1202" s="14" t="s">
        <v>631</v>
      </c>
      <c r="R1202" s="8" t="s">
        <v>2566</v>
      </c>
      <c r="S1202" s="14" t="s">
        <v>2563</v>
      </c>
    </row>
    <row r="1203">
      <c r="A1203" s="8" t="s">
        <v>842</v>
      </c>
      <c r="B1203" s="8" t="s">
        <v>1625</v>
      </c>
      <c r="C1203" s="8" t="s">
        <v>70</v>
      </c>
      <c r="D1203" s="18" t="s">
        <v>2574</v>
      </c>
      <c r="E1203" s="16">
        <v>87.0</v>
      </c>
      <c r="F1203" s="8" t="s">
        <v>842</v>
      </c>
      <c r="G1203" s="8" t="s">
        <v>500</v>
      </c>
      <c r="H1203" s="8" t="s">
        <v>75</v>
      </c>
      <c r="I1203" s="18" t="s">
        <v>2614</v>
      </c>
      <c r="J1203" s="16">
        <v>77.0</v>
      </c>
      <c r="K1203" s="8" t="s">
        <v>301</v>
      </c>
      <c r="L1203" s="8" t="s">
        <v>260</v>
      </c>
      <c r="M1203" s="18" t="s">
        <v>2587</v>
      </c>
      <c r="N1203" s="16">
        <v>62.0</v>
      </c>
      <c r="O1203" s="8" t="s">
        <v>5133</v>
      </c>
      <c r="P1203" s="8" t="s">
        <v>141</v>
      </c>
      <c r="Q1203" s="14" t="s">
        <v>1352</v>
      </c>
      <c r="R1203" s="8" t="s">
        <v>2560</v>
      </c>
      <c r="S1203" s="14" t="s">
        <v>2597</v>
      </c>
    </row>
    <row r="1204">
      <c r="A1204" s="8" t="s">
        <v>842</v>
      </c>
      <c r="B1204" s="8" t="s">
        <v>78</v>
      </c>
      <c r="C1204" s="8" t="s">
        <v>70</v>
      </c>
      <c r="D1204" s="18" t="s">
        <v>2587</v>
      </c>
      <c r="E1204" s="16">
        <v>67.0</v>
      </c>
      <c r="F1204" s="8" t="s">
        <v>842</v>
      </c>
      <c r="G1204" s="8" t="s">
        <v>1625</v>
      </c>
      <c r="H1204" s="8" t="s">
        <v>70</v>
      </c>
      <c r="I1204" s="18" t="s">
        <v>2574</v>
      </c>
      <c r="J1204" s="16">
        <v>84.0</v>
      </c>
      <c r="K1204" s="8" t="s">
        <v>301</v>
      </c>
      <c r="L1204" s="8" t="s">
        <v>2878</v>
      </c>
      <c r="M1204" s="18" t="s">
        <v>2562</v>
      </c>
      <c r="N1204" s="16">
        <v>64.0</v>
      </c>
      <c r="O1204" s="8" t="s">
        <v>5134</v>
      </c>
      <c r="P1204" s="8" t="s">
        <v>24</v>
      </c>
      <c r="Q1204" s="14" t="s">
        <v>135</v>
      </c>
      <c r="R1204" s="8" t="s">
        <v>2562</v>
      </c>
      <c r="S1204" s="14" t="s">
        <v>2629</v>
      </c>
    </row>
    <row r="1205">
      <c r="A1205" s="8" t="s">
        <v>842</v>
      </c>
      <c r="B1205" s="8" t="s">
        <v>1673</v>
      </c>
      <c r="C1205" s="8" t="s">
        <v>138</v>
      </c>
      <c r="D1205" s="18" t="s">
        <v>2584</v>
      </c>
      <c r="E1205" s="16">
        <v>63.0</v>
      </c>
      <c r="F1205" s="8" t="s">
        <v>842</v>
      </c>
      <c r="G1205" s="8" t="s">
        <v>460</v>
      </c>
      <c r="H1205" s="8" t="s">
        <v>138</v>
      </c>
      <c r="I1205" s="18" t="s">
        <v>2582</v>
      </c>
      <c r="J1205" s="16">
        <v>73.0</v>
      </c>
      <c r="K1205" s="8" t="s">
        <v>301</v>
      </c>
      <c r="L1205" s="8" t="s">
        <v>638</v>
      </c>
      <c r="M1205" s="18" t="s">
        <v>2552</v>
      </c>
      <c r="N1205" s="16">
        <v>67.0</v>
      </c>
      <c r="O1205" s="8" t="s">
        <v>5135</v>
      </c>
      <c r="P1205" s="8" t="s">
        <v>46</v>
      </c>
      <c r="Q1205" s="14" t="s">
        <v>2459</v>
      </c>
      <c r="R1205" s="8" t="s">
        <v>2610</v>
      </c>
      <c r="S1205" s="14" t="s">
        <v>2565</v>
      </c>
    </row>
    <row r="1206">
      <c r="A1206" s="8" t="s">
        <v>710</v>
      </c>
      <c r="B1206" s="8" t="s">
        <v>377</v>
      </c>
      <c r="C1206" s="8" t="s">
        <v>132</v>
      </c>
      <c r="D1206" s="18" t="s">
        <v>2567</v>
      </c>
      <c r="E1206" s="16">
        <v>73.0</v>
      </c>
      <c r="F1206" s="8" t="s">
        <v>842</v>
      </c>
      <c r="G1206" s="8" t="s">
        <v>78</v>
      </c>
      <c r="H1206" s="8" t="s">
        <v>70</v>
      </c>
      <c r="I1206" s="18" t="s">
        <v>2587</v>
      </c>
      <c r="J1206" s="16">
        <v>64.0</v>
      </c>
      <c r="K1206" s="8" t="s">
        <v>301</v>
      </c>
      <c r="L1206" s="8" t="s">
        <v>698</v>
      </c>
      <c r="M1206" s="18" t="s">
        <v>2615</v>
      </c>
      <c r="N1206" s="16">
        <v>78.0</v>
      </c>
      <c r="O1206" s="8" t="s">
        <v>5136</v>
      </c>
      <c r="P1206" s="8" t="s">
        <v>215</v>
      </c>
      <c r="Q1206" s="14" t="s">
        <v>1679</v>
      </c>
      <c r="R1206" s="8" t="s">
        <v>2582</v>
      </c>
      <c r="S1206" s="14" t="s">
        <v>2588</v>
      </c>
    </row>
    <row r="1207">
      <c r="A1207" s="8" t="s">
        <v>3545</v>
      </c>
      <c r="B1207" s="8" t="s">
        <v>3544</v>
      </c>
      <c r="C1207" s="8" t="s">
        <v>186</v>
      </c>
      <c r="D1207" s="18" t="s">
        <v>2584</v>
      </c>
      <c r="E1207" s="16">
        <v>73.0</v>
      </c>
      <c r="F1207" s="8" t="s">
        <v>842</v>
      </c>
      <c r="G1207" s="8" t="s">
        <v>2795</v>
      </c>
      <c r="H1207" s="8" t="s">
        <v>59</v>
      </c>
      <c r="I1207" s="18" t="s">
        <v>2600</v>
      </c>
      <c r="J1207" s="16">
        <v>73.0</v>
      </c>
      <c r="K1207" s="8" t="s">
        <v>301</v>
      </c>
      <c r="L1207" s="8" t="s">
        <v>1469</v>
      </c>
      <c r="M1207" s="18" t="s">
        <v>2582</v>
      </c>
      <c r="N1207" s="16">
        <v>66.0</v>
      </c>
      <c r="O1207" s="8" t="s">
        <v>5137</v>
      </c>
      <c r="P1207" s="8" t="s">
        <v>186</v>
      </c>
      <c r="Q1207" s="14" t="s">
        <v>837</v>
      </c>
      <c r="R1207" s="8" t="s">
        <v>2566</v>
      </c>
      <c r="S1207" s="14" t="s">
        <v>2609</v>
      </c>
    </row>
    <row r="1208">
      <c r="A1208" s="8" t="s">
        <v>263</v>
      </c>
      <c r="B1208" s="8" t="s">
        <v>648</v>
      </c>
      <c r="C1208" s="8" t="s">
        <v>38</v>
      </c>
      <c r="D1208" s="18" t="s">
        <v>2577</v>
      </c>
      <c r="E1208" s="16">
        <v>79.0</v>
      </c>
      <c r="F1208" s="8" t="s">
        <v>842</v>
      </c>
      <c r="G1208" s="8" t="s">
        <v>1390</v>
      </c>
      <c r="H1208" s="8" t="s">
        <v>215</v>
      </c>
      <c r="I1208" s="18" t="s">
        <v>2605</v>
      </c>
      <c r="J1208" s="16">
        <v>69.0</v>
      </c>
      <c r="K1208" s="8" t="s">
        <v>301</v>
      </c>
      <c r="L1208" s="8" t="s">
        <v>2179</v>
      </c>
      <c r="M1208" s="18" t="s">
        <v>2610</v>
      </c>
      <c r="N1208" s="16">
        <v>70.0</v>
      </c>
      <c r="O1208" s="8" t="s">
        <v>5138</v>
      </c>
      <c r="P1208" s="8" t="s">
        <v>12</v>
      </c>
      <c r="Q1208" s="14" t="s">
        <v>1070</v>
      </c>
      <c r="R1208" s="8" t="s">
        <v>2585</v>
      </c>
      <c r="S1208" s="14" t="s">
        <v>2563</v>
      </c>
    </row>
    <row r="1209">
      <c r="A1209" s="8" t="s">
        <v>263</v>
      </c>
      <c r="B1209" s="8" t="s">
        <v>52</v>
      </c>
      <c r="C1209" s="8" t="s">
        <v>24</v>
      </c>
      <c r="D1209" s="18" t="s">
        <v>2581</v>
      </c>
      <c r="E1209" s="16">
        <v>81.0</v>
      </c>
      <c r="F1209" s="8" t="s">
        <v>842</v>
      </c>
      <c r="G1209" s="8" t="s">
        <v>1673</v>
      </c>
      <c r="H1209" s="8" t="s">
        <v>215</v>
      </c>
      <c r="I1209" s="18" t="s">
        <v>2584</v>
      </c>
      <c r="J1209" s="16">
        <v>63.0</v>
      </c>
      <c r="K1209" s="8" t="s">
        <v>301</v>
      </c>
      <c r="L1209" s="8" t="s">
        <v>1023</v>
      </c>
      <c r="M1209" s="18" t="s">
        <v>2610</v>
      </c>
      <c r="N1209" s="16">
        <v>65.0</v>
      </c>
      <c r="O1209" s="8" t="s">
        <v>5139</v>
      </c>
      <c r="P1209" s="8" t="s">
        <v>215</v>
      </c>
      <c r="Q1209" s="14" t="s">
        <v>1352</v>
      </c>
      <c r="R1209" s="8" t="s">
        <v>2605</v>
      </c>
      <c r="S1209" s="14" t="s">
        <v>2622</v>
      </c>
    </row>
    <row r="1210">
      <c r="A1210" s="8" t="s">
        <v>263</v>
      </c>
      <c r="B1210" s="8" t="s">
        <v>262</v>
      </c>
      <c r="C1210" s="8" t="s">
        <v>132</v>
      </c>
      <c r="D1210" s="18" t="s">
        <v>2183</v>
      </c>
      <c r="E1210" s="16">
        <v>65.0</v>
      </c>
      <c r="F1210" s="8" t="s">
        <v>842</v>
      </c>
      <c r="G1210" s="8" t="s">
        <v>3326</v>
      </c>
      <c r="H1210" s="8" t="s">
        <v>65</v>
      </c>
      <c r="I1210" s="18" t="s">
        <v>2621</v>
      </c>
      <c r="J1210" s="16">
        <v>58.0</v>
      </c>
      <c r="K1210" s="8" t="s">
        <v>301</v>
      </c>
      <c r="L1210" s="8" t="s">
        <v>1344</v>
      </c>
      <c r="M1210" s="18" t="s">
        <v>2575</v>
      </c>
      <c r="N1210" s="16">
        <v>64.0</v>
      </c>
      <c r="O1210" s="8" t="s">
        <v>5140</v>
      </c>
      <c r="P1210" s="8" t="s">
        <v>93</v>
      </c>
      <c r="Q1210" s="14" t="s">
        <v>1352</v>
      </c>
      <c r="R1210" s="8" t="s">
        <v>2600</v>
      </c>
      <c r="S1210" s="14" t="s">
        <v>2571</v>
      </c>
    </row>
    <row r="1211">
      <c r="A1211" s="8" t="s">
        <v>263</v>
      </c>
      <c r="B1211" s="8" t="s">
        <v>1453</v>
      </c>
      <c r="C1211" s="8" t="s">
        <v>12</v>
      </c>
      <c r="D1211" s="18" t="s">
        <v>2587</v>
      </c>
      <c r="E1211" s="16">
        <v>71.0</v>
      </c>
      <c r="F1211" s="8" t="s">
        <v>842</v>
      </c>
      <c r="G1211" s="8" t="s">
        <v>636</v>
      </c>
      <c r="H1211" s="8" t="s">
        <v>186</v>
      </c>
      <c r="I1211" s="18" t="s">
        <v>2605</v>
      </c>
      <c r="J1211" s="16">
        <v>66.0</v>
      </c>
      <c r="K1211" s="8" t="s">
        <v>301</v>
      </c>
      <c r="L1211" s="8" t="s">
        <v>460</v>
      </c>
      <c r="M1211" s="18" t="s">
        <v>2589</v>
      </c>
      <c r="N1211" s="16">
        <v>63.0</v>
      </c>
      <c r="O1211" s="8" t="s">
        <v>5141</v>
      </c>
      <c r="P1211" s="8" t="s">
        <v>138</v>
      </c>
      <c r="Q1211" s="14" t="s">
        <v>2459</v>
      </c>
      <c r="R1211" s="8" t="s">
        <v>2581</v>
      </c>
      <c r="S1211" s="14" t="s">
        <v>2555</v>
      </c>
    </row>
    <row r="1212">
      <c r="A1212" s="8" t="s">
        <v>263</v>
      </c>
      <c r="B1212" s="8" t="s">
        <v>533</v>
      </c>
      <c r="C1212" s="8" t="s">
        <v>186</v>
      </c>
      <c r="D1212" s="18" t="s">
        <v>2564</v>
      </c>
      <c r="E1212" s="16">
        <v>74.0</v>
      </c>
      <c r="F1212" s="8" t="s">
        <v>1975</v>
      </c>
      <c r="G1212" s="8" t="s">
        <v>99</v>
      </c>
      <c r="H1212" s="8" t="s">
        <v>24</v>
      </c>
      <c r="I1212" s="18" t="s">
        <v>2621</v>
      </c>
      <c r="J1212" s="16">
        <v>74.0</v>
      </c>
      <c r="K1212" s="8" t="s">
        <v>301</v>
      </c>
      <c r="L1212" s="8" t="s">
        <v>396</v>
      </c>
      <c r="M1212" s="18" t="s">
        <v>2560</v>
      </c>
      <c r="N1212" s="16">
        <v>74.0</v>
      </c>
      <c r="O1212" s="8" t="s">
        <v>5142</v>
      </c>
      <c r="P1212" s="8" t="s">
        <v>70</v>
      </c>
      <c r="Q1212" s="14" t="s">
        <v>1352</v>
      </c>
      <c r="R1212" s="8" t="s">
        <v>2567</v>
      </c>
      <c r="S1212" s="14" t="s">
        <v>2580</v>
      </c>
    </row>
    <row r="1213">
      <c r="A1213" s="8" t="s">
        <v>263</v>
      </c>
      <c r="B1213" s="8" t="s">
        <v>537</v>
      </c>
      <c r="C1213" s="8" t="s">
        <v>122</v>
      </c>
      <c r="D1213" s="18" t="s">
        <v>2603</v>
      </c>
      <c r="E1213" s="16">
        <v>72.0</v>
      </c>
      <c r="F1213" s="8" t="s">
        <v>710</v>
      </c>
      <c r="G1213" s="8" t="s">
        <v>377</v>
      </c>
      <c r="H1213" s="8" t="s">
        <v>141</v>
      </c>
      <c r="I1213" s="18" t="s">
        <v>2560</v>
      </c>
      <c r="J1213" s="16">
        <v>69.0</v>
      </c>
      <c r="K1213" s="8" t="s">
        <v>301</v>
      </c>
      <c r="L1213" s="8" t="s">
        <v>828</v>
      </c>
      <c r="M1213" s="18" t="s">
        <v>2584</v>
      </c>
      <c r="N1213" s="16">
        <v>70.0</v>
      </c>
      <c r="O1213" s="8" t="s">
        <v>5143</v>
      </c>
      <c r="P1213" s="8" t="s">
        <v>215</v>
      </c>
      <c r="Q1213" s="14" t="s">
        <v>1352</v>
      </c>
      <c r="R1213" s="8" t="s">
        <v>2581</v>
      </c>
      <c r="S1213" s="14" t="s">
        <v>2579</v>
      </c>
    </row>
    <row r="1214">
      <c r="A1214" s="8" t="s">
        <v>263</v>
      </c>
      <c r="B1214" s="8" t="s">
        <v>1200</v>
      </c>
      <c r="C1214" s="8" t="s">
        <v>70</v>
      </c>
      <c r="D1214" s="18" t="s">
        <v>2605</v>
      </c>
      <c r="E1214" s="16">
        <v>66.0</v>
      </c>
      <c r="F1214" s="8" t="s">
        <v>263</v>
      </c>
      <c r="G1214" s="8" t="s">
        <v>1005</v>
      </c>
      <c r="H1214" s="8" t="s">
        <v>122</v>
      </c>
      <c r="I1214" s="18" t="s">
        <v>2581</v>
      </c>
      <c r="J1214" s="16">
        <v>76.0</v>
      </c>
      <c r="K1214" s="8" t="s">
        <v>301</v>
      </c>
      <c r="L1214" s="8" t="s">
        <v>751</v>
      </c>
      <c r="M1214" s="18" t="s">
        <v>2566</v>
      </c>
      <c r="N1214" s="16">
        <v>65.0</v>
      </c>
      <c r="O1214" s="8" t="s">
        <v>5144</v>
      </c>
      <c r="P1214" s="8" t="s">
        <v>93</v>
      </c>
      <c r="Q1214" s="14" t="s">
        <v>1352</v>
      </c>
      <c r="R1214" s="8" t="s">
        <v>2605</v>
      </c>
      <c r="S1214" s="14" t="s">
        <v>2580</v>
      </c>
    </row>
    <row r="1215">
      <c r="A1215" s="8" t="s">
        <v>263</v>
      </c>
      <c r="B1215" s="8" t="s">
        <v>282</v>
      </c>
      <c r="C1215" s="8" t="s">
        <v>53</v>
      </c>
      <c r="D1215" s="18" t="s">
        <v>2560</v>
      </c>
      <c r="E1215" s="16">
        <v>69.0</v>
      </c>
      <c r="F1215" s="8" t="s">
        <v>263</v>
      </c>
      <c r="G1215" s="8" t="s">
        <v>533</v>
      </c>
      <c r="H1215" s="8" t="s">
        <v>186</v>
      </c>
      <c r="I1215" s="18" t="s">
        <v>2564</v>
      </c>
      <c r="J1215" s="16">
        <v>85.0</v>
      </c>
      <c r="K1215" s="8" t="s">
        <v>301</v>
      </c>
      <c r="L1215" s="8" t="s">
        <v>1187</v>
      </c>
      <c r="M1215" s="18" t="s">
        <v>2558</v>
      </c>
      <c r="N1215" s="16">
        <v>70.0</v>
      </c>
      <c r="O1215" s="8" t="s">
        <v>5145</v>
      </c>
      <c r="P1215" s="8" t="s">
        <v>24</v>
      </c>
      <c r="Q1215" s="14" t="s">
        <v>1679</v>
      </c>
      <c r="R1215" s="8" t="s">
        <v>2621</v>
      </c>
      <c r="S1215" s="14" t="s">
        <v>2553</v>
      </c>
    </row>
    <row r="1216">
      <c r="A1216" s="8" t="s">
        <v>263</v>
      </c>
      <c r="B1216" s="8" t="s">
        <v>3729</v>
      </c>
      <c r="C1216" s="8" t="s">
        <v>80</v>
      </c>
      <c r="D1216" s="18" t="s">
        <v>2593</v>
      </c>
      <c r="E1216" s="16">
        <v>60.0</v>
      </c>
      <c r="F1216" s="8" t="s">
        <v>263</v>
      </c>
      <c r="G1216" s="8" t="s">
        <v>223</v>
      </c>
      <c r="H1216" s="8" t="s">
        <v>24</v>
      </c>
      <c r="I1216" s="18" t="s">
        <v>2582</v>
      </c>
      <c r="J1216" s="16">
        <v>91.0</v>
      </c>
      <c r="K1216" s="8" t="s">
        <v>301</v>
      </c>
      <c r="L1216" s="8" t="s">
        <v>783</v>
      </c>
      <c r="M1216" s="18" t="s">
        <v>2593</v>
      </c>
      <c r="N1216" s="16">
        <v>72.0</v>
      </c>
      <c r="O1216" s="8" t="s">
        <v>5146</v>
      </c>
      <c r="P1216" s="8" t="s">
        <v>141</v>
      </c>
      <c r="Q1216" s="14" t="s">
        <v>631</v>
      </c>
      <c r="R1216" s="8" t="s">
        <v>2560</v>
      </c>
      <c r="S1216" s="14" t="s">
        <v>2579</v>
      </c>
    </row>
    <row r="1217">
      <c r="A1217" s="8" t="s">
        <v>263</v>
      </c>
      <c r="B1217" s="8" t="s">
        <v>747</v>
      </c>
      <c r="C1217" s="8" t="s">
        <v>93</v>
      </c>
      <c r="D1217" s="18" t="s">
        <v>2581</v>
      </c>
      <c r="E1217" s="16">
        <v>64.0</v>
      </c>
      <c r="F1217" s="8" t="s">
        <v>263</v>
      </c>
      <c r="G1217" s="8" t="s">
        <v>389</v>
      </c>
      <c r="H1217" s="8" t="s">
        <v>70</v>
      </c>
      <c r="I1217" s="18" t="s">
        <v>2587</v>
      </c>
      <c r="J1217" s="16">
        <v>64.0</v>
      </c>
      <c r="K1217" s="8" t="s">
        <v>301</v>
      </c>
      <c r="L1217" s="8" t="s">
        <v>2712</v>
      </c>
      <c r="M1217" s="18" t="s">
        <v>2589</v>
      </c>
      <c r="N1217" s="16">
        <v>76.0</v>
      </c>
      <c r="O1217" s="8" t="s">
        <v>5147</v>
      </c>
      <c r="P1217" s="8" t="s">
        <v>24</v>
      </c>
      <c r="Q1217" s="14" t="s">
        <v>837</v>
      </c>
      <c r="R1217" s="8" t="s">
        <v>2562</v>
      </c>
      <c r="S1217" s="14" t="s">
        <v>2573</v>
      </c>
    </row>
    <row r="1218">
      <c r="A1218" s="8" t="s">
        <v>263</v>
      </c>
      <c r="B1218" s="8" t="s">
        <v>164</v>
      </c>
      <c r="C1218" s="8" t="s">
        <v>65</v>
      </c>
      <c r="D1218" s="18" t="s">
        <v>2564</v>
      </c>
      <c r="E1218" s="16">
        <v>78.0</v>
      </c>
      <c r="F1218" s="8" t="s">
        <v>263</v>
      </c>
      <c r="G1218" s="8" t="s">
        <v>3475</v>
      </c>
      <c r="H1218" s="8" t="s">
        <v>70</v>
      </c>
      <c r="I1218" s="18" t="s">
        <v>2560</v>
      </c>
      <c r="J1218" s="16">
        <v>68.0</v>
      </c>
      <c r="K1218" s="8" t="s">
        <v>301</v>
      </c>
      <c r="L1218" s="8" t="s">
        <v>300</v>
      </c>
      <c r="M1218" s="18" t="s">
        <v>2582</v>
      </c>
      <c r="N1218" s="16">
        <v>84.0</v>
      </c>
      <c r="O1218" s="8" t="s">
        <v>5148</v>
      </c>
      <c r="P1218" s="8" t="s">
        <v>38</v>
      </c>
      <c r="Q1218" s="14" t="s">
        <v>631</v>
      </c>
      <c r="R1218" s="8" t="s">
        <v>2577</v>
      </c>
      <c r="S1218" s="14" t="s">
        <v>2601</v>
      </c>
    </row>
    <row r="1219">
      <c r="A1219" s="8" t="s">
        <v>263</v>
      </c>
      <c r="B1219" s="8" t="s">
        <v>762</v>
      </c>
      <c r="C1219" s="8" t="s">
        <v>149</v>
      </c>
      <c r="D1219" s="18" t="s">
        <v>2587</v>
      </c>
      <c r="E1219" s="16">
        <v>73.0</v>
      </c>
      <c r="F1219" s="8" t="s">
        <v>263</v>
      </c>
      <c r="G1219" s="8" t="s">
        <v>282</v>
      </c>
      <c r="H1219" s="8" t="s">
        <v>53</v>
      </c>
      <c r="I1219" s="18" t="s">
        <v>2560</v>
      </c>
      <c r="J1219" s="16">
        <v>69.0</v>
      </c>
      <c r="K1219" s="8" t="s">
        <v>301</v>
      </c>
      <c r="L1219" s="8" t="s">
        <v>208</v>
      </c>
      <c r="M1219" s="18" t="s">
        <v>2558</v>
      </c>
      <c r="N1219" s="16">
        <v>75.0</v>
      </c>
      <c r="O1219" s="8" t="s">
        <v>5149</v>
      </c>
      <c r="P1219" s="8" t="s">
        <v>53</v>
      </c>
      <c r="Q1219" s="14" t="s">
        <v>2033</v>
      </c>
      <c r="R1219" s="8" t="s">
        <v>2582</v>
      </c>
      <c r="S1219" s="14" t="s">
        <v>2576</v>
      </c>
    </row>
    <row r="1220">
      <c r="A1220" s="8" t="s">
        <v>263</v>
      </c>
      <c r="B1220" s="8" t="s">
        <v>3378</v>
      </c>
      <c r="C1220" s="8" t="s">
        <v>65</v>
      </c>
      <c r="D1220" s="18" t="s">
        <v>2620</v>
      </c>
      <c r="E1220" s="16">
        <v>70.0</v>
      </c>
      <c r="F1220" s="8" t="s">
        <v>263</v>
      </c>
      <c r="G1220" s="8" t="s">
        <v>441</v>
      </c>
      <c r="H1220" s="8" t="s">
        <v>65</v>
      </c>
      <c r="I1220" s="18" t="s">
        <v>2620</v>
      </c>
      <c r="J1220" s="16">
        <v>65.0</v>
      </c>
      <c r="K1220" s="8" t="s">
        <v>301</v>
      </c>
      <c r="L1220" s="8" t="s">
        <v>460</v>
      </c>
      <c r="M1220" s="18" t="s">
        <v>2587</v>
      </c>
      <c r="N1220" s="16">
        <v>76.0</v>
      </c>
      <c r="O1220" s="8" t="s">
        <v>5150</v>
      </c>
      <c r="P1220" s="8" t="s">
        <v>93</v>
      </c>
      <c r="Q1220" s="14" t="s">
        <v>2033</v>
      </c>
      <c r="R1220" s="8" t="s">
        <v>2610</v>
      </c>
      <c r="S1220" s="14" t="s">
        <v>2576</v>
      </c>
    </row>
    <row r="1221">
      <c r="A1221" s="8" t="s">
        <v>263</v>
      </c>
      <c r="B1221" s="8" t="s">
        <v>3392</v>
      </c>
      <c r="C1221" s="8" t="s">
        <v>65</v>
      </c>
      <c r="D1221" s="18" t="s">
        <v>2615</v>
      </c>
      <c r="E1221" s="16">
        <v>64.0</v>
      </c>
      <c r="F1221" s="8" t="s">
        <v>263</v>
      </c>
      <c r="G1221" s="8" t="s">
        <v>1302</v>
      </c>
      <c r="H1221" s="8" t="s">
        <v>75</v>
      </c>
      <c r="I1221" s="18" t="s">
        <v>2603</v>
      </c>
      <c r="J1221" s="16">
        <v>64.0</v>
      </c>
      <c r="K1221" s="8" t="s">
        <v>301</v>
      </c>
      <c r="L1221" s="8" t="s">
        <v>2428</v>
      </c>
      <c r="M1221" s="18" t="s">
        <v>2564</v>
      </c>
      <c r="N1221" s="16">
        <v>67.0</v>
      </c>
      <c r="O1221" s="8" t="s">
        <v>5151</v>
      </c>
      <c r="P1221" s="8" t="s">
        <v>80</v>
      </c>
      <c r="Q1221" s="14" t="s">
        <v>631</v>
      </c>
      <c r="R1221" s="8" t="s">
        <v>2577</v>
      </c>
      <c r="S1221" s="14" t="s">
        <v>2568</v>
      </c>
    </row>
    <row r="1222">
      <c r="A1222" s="8" t="s">
        <v>263</v>
      </c>
      <c r="B1222" s="8" t="s">
        <v>1005</v>
      </c>
      <c r="C1222" s="8" t="s">
        <v>122</v>
      </c>
      <c r="D1222" s="18" t="s">
        <v>2581</v>
      </c>
      <c r="E1222" s="16">
        <v>63.0</v>
      </c>
      <c r="F1222" s="8" t="s">
        <v>263</v>
      </c>
      <c r="G1222" s="8" t="s">
        <v>1200</v>
      </c>
      <c r="H1222" s="8" t="s">
        <v>70</v>
      </c>
      <c r="I1222" s="18" t="s">
        <v>2605</v>
      </c>
      <c r="J1222" s="16">
        <v>85.0</v>
      </c>
      <c r="K1222" s="8" t="s">
        <v>301</v>
      </c>
      <c r="L1222" s="8" t="s">
        <v>2407</v>
      </c>
      <c r="M1222" s="18" t="s">
        <v>2589</v>
      </c>
      <c r="N1222" s="16">
        <v>78.0</v>
      </c>
      <c r="O1222" s="8" t="s">
        <v>5152</v>
      </c>
      <c r="P1222" s="8" t="s">
        <v>141</v>
      </c>
      <c r="Q1222" s="14" t="s">
        <v>237</v>
      </c>
      <c r="R1222" s="18" t="s">
        <v>2556</v>
      </c>
      <c r="S1222" s="14" t="s">
        <v>2580</v>
      </c>
    </row>
    <row r="1223">
      <c r="A1223" s="8" t="s">
        <v>263</v>
      </c>
      <c r="B1223" s="8" t="s">
        <v>778</v>
      </c>
      <c r="C1223" s="8" t="s">
        <v>80</v>
      </c>
      <c r="D1223" s="18" t="s">
        <v>2615</v>
      </c>
      <c r="E1223" s="16">
        <v>70.0</v>
      </c>
      <c r="F1223" s="8" t="s">
        <v>263</v>
      </c>
      <c r="G1223" s="8" t="s">
        <v>778</v>
      </c>
      <c r="H1223" s="8" t="s">
        <v>80</v>
      </c>
      <c r="I1223" s="18" t="s">
        <v>2587</v>
      </c>
      <c r="J1223" s="16">
        <v>70.0</v>
      </c>
      <c r="K1223" s="8" t="s">
        <v>301</v>
      </c>
      <c r="L1223" s="8" t="s">
        <v>1150</v>
      </c>
      <c r="M1223" s="18" t="s">
        <v>2582</v>
      </c>
      <c r="N1223" s="16">
        <v>77.0</v>
      </c>
      <c r="O1223" s="8" t="s">
        <v>5153</v>
      </c>
      <c r="P1223" s="8" t="s">
        <v>59</v>
      </c>
      <c r="Q1223" s="14" t="s">
        <v>1679</v>
      </c>
      <c r="R1223" s="8" t="s">
        <v>2610</v>
      </c>
      <c r="S1223" s="14" t="s">
        <v>2568</v>
      </c>
    </row>
    <row r="1224">
      <c r="A1224" s="8" t="s">
        <v>263</v>
      </c>
      <c r="B1224" s="8" t="s">
        <v>223</v>
      </c>
      <c r="C1224" s="8" t="s">
        <v>24</v>
      </c>
      <c r="D1224" s="18" t="s">
        <v>2582</v>
      </c>
      <c r="E1224" s="16">
        <v>89.0</v>
      </c>
      <c r="F1224" s="8" t="s">
        <v>263</v>
      </c>
      <c r="G1224" s="8" t="s">
        <v>666</v>
      </c>
      <c r="H1224" s="8" t="s">
        <v>80</v>
      </c>
      <c r="I1224" s="18" t="s">
        <v>2577</v>
      </c>
      <c r="J1224" s="16">
        <v>70.0</v>
      </c>
      <c r="K1224" s="8" t="s">
        <v>301</v>
      </c>
      <c r="L1224" s="8" t="s">
        <v>308</v>
      </c>
      <c r="M1224" s="18" t="s">
        <v>2592</v>
      </c>
      <c r="N1224" s="16">
        <v>65.0</v>
      </c>
      <c r="O1224" s="8" t="s">
        <v>5154</v>
      </c>
      <c r="P1224" s="8" t="s">
        <v>24</v>
      </c>
      <c r="Q1224" s="14" t="s">
        <v>2033</v>
      </c>
      <c r="R1224" s="8" t="s">
        <v>2610</v>
      </c>
      <c r="S1224" s="14" t="s">
        <v>2579</v>
      </c>
    </row>
    <row r="1225">
      <c r="A1225" s="8" t="s">
        <v>263</v>
      </c>
      <c r="B1225" s="8" t="s">
        <v>785</v>
      </c>
      <c r="C1225" s="8" t="s">
        <v>80</v>
      </c>
      <c r="D1225" s="18" t="s">
        <v>2600</v>
      </c>
      <c r="E1225" s="16">
        <v>69.0</v>
      </c>
      <c r="F1225" s="8" t="s">
        <v>263</v>
      </c>
      <c r="G1225" s="8" t="s">
        <v>262</v>
      </c>
      <c r="H1225" s="8" t="s">
        <v>46</v>
      </c>
      <c r="I1225" s="18" t="s">
        <v>2183</v>
      </c>
      <c r="J1225" s="16">
        <v>64.0</v>
      </c>
      <c r="K1225" s="8" t="s">
        <v>301</v>
      </c>
      <c r="L1225" s="8" t="s">
        <v>2930</v>
      </c>
      <c r="M1225" s="18" t="s">
        <v>2560</v>
      </c>
      <c r="N1225" s="16">
        <v>85.0</v>
      </c>
      <c r="O1225" s="8" t="s">
        <v>5155</v>
      </c>
      <c r="P1225" s="8" t="s">
        <v>186</v>
      </c>
      <c r="Q1225" s="14" t="s">
        <v>837</v>
      </c>
      <c r="R1225" s="18" t="s">
        <v>2589</v>
      </c>
      <c r="S1225" s="14" t="s">
        <v>2607</v>
      </c>
    </row>
    <row r="1226">
      <c r="A1226" s="8" t="s">
        <v>263</v>
      </c>
      <c r="B1226" s="8" t="s">
        <v>3475</v>
      </c>
      <c r="C1226" s="8" t="s">
        <v>70</v>
      </c>
      <c r="D1226" s="18" t="s">
        <v>2567</v>
      </c>
      <c r="E1226" s="16">
        <v>70.0</v>
      </c>
      <c r="F1226" s="8" t="s">
        <v>263</v>
      </c>
      <c r="G1226" s="8" t="s">
        <v>747</v>
      </c>
      <c r="H1226" s="8" t="s">
        <v>93</v>
      </c>
      <c r="I1226" s="18" t="s">
        <v>2581</v>
      </c>
      <c r="J1226" s="16">
        <v>63.0</v>
      </c>
      <c r="K1226" s="8" t="s">
        <v>301</v>
      </c>
      <c r="L1226" s="8" t="s">
        <v>3053</v>
      </c>
      <c r="M1226" s="18" t="s">
        <v>2581</v>
      </c>
      <c r="N1226" s="16">
        <v>86.0</v>
      </c>
      <c r="O1226" s="8" t="s">
        <v>5156</v>
      </c>
      <c r="P1226" s="8" t="s">
        <v>70</v>
      </c>
      <c r="Q1226" s="14" t="s">
        <v>1679</v>
      </c>
      <c r="R1226" s="8" t="s">
        <v>2564</v>
      </c>
      <c r="S1226" s="14" t="s">
        <v>2607</v>
      </c>
    </row>
    <row r="1227">
      <c r="A1227" s="8" t="s">
        <v>263</v>
      </c>
      <c r="B1227" s="8" t="s">
        <v>3485</v>
      </c>
      <c r="C1227" s="8" t="s">
        <v>53</v>
      </c>
      <c r="D1227" s="18" t="s">
        <v>2584</v>
      </c>
      <c r="E1227" s="16">
        <v>65.0</v>
      </c>
      <c r="F1227" s="8" t="s">
        <v>263</v>
      </c>
      <c r="G1227" s="8" t="s">
        <v>648</v>
      </c>
      <c r="H1227" s="8" t="s">
        <v>38</v>
      </c>
      <c r="I1227" s="18" t="s">
        <v>2577</v>
      </c>
      <c r="J1227" s="16">
        <v>78.0</v>
      </c>
      <c r="K1227" s="8" t="s">
        <v>1283</v>
      </c>
      <c r="L1227" s="8" t="s">
        <v>2992</v>
      </c>
      <c r="M1227" s="18" t="s">
        <v>2645</v>
      </c>
      <c r="N1227" s="16">
        <v>73.0</v>
      </c>
      <c r="O1227" s="8" t="s">
        <v>5157</v>
      </c>
      <c r="P1227" s="8" t="s">
        <v>53</v>
      </c>
      <c r="Q1227" s="14" t="s">
        <v>1352</v>
      </c>
      <c r="R1227" s="8" t="s">
        <v>2560</v>
      </c>
      <c r="S1227" s="14" t="s">
        <v>2601</v>
      </c>
    </row>
    <row r="1228">
      <c r="A1228" s="8" t="s">
        <v>263</v>
      </c>
      <c r="B1228" s="8" t="s">
        <v>78</v>
      </c>
      <c r="C1228" s="8" t="s">
        <v>122</v>
      </c>
      <c r="D1228" s="18" t="s">
        <v>2581</v>
      </c>
      <c r="E1228" s="16">
        <v>59.0</v>
      </c>
      <c r="F1228" s="8" t="s">
        <v>263</v>
      </c>
      <c r="G1228" s="8" t="s">
        <v>1877</v>
      </c>
      <c r="H1228" s="8" t="s">
        <v>24</v>
      </c>
      <c r="I1228" s="18" t="s">
        <v>2560</v>
      </c>
      <c r="J1228" s="16">
        <v>72.0</v>
      </c>
      <c r="K1228" s="8" t="s">
        <v>1283</v>
      </c>
      <c r="L1228" s="8" t="s">
        <v>2847</v>
      </c>
      <c r="M1228" s="18" t="s">
        <v>2582</v>
      </c>
      <c r="N1228" s="16">
        <v>68.0</v>
      </c>
      <c r="O1228" s="8" t="s">
        <v>5158</v>
      </c>
      <c r="P1228" s="8" t="s">
        <v>65</v>
      </c>
      <c r="Q1228" s="14" t="s">
        <v>2296</v>
      </c>
      <c r="R1228" s="8" t="s">
        <v>2575</v>
      </c>
      <c r="S1228" s="14" t="s">
        <v>2563</v>
      </c>
    </row>
    <row r="1229">
      <c r="A1229" s="8" t="s">
        <v>263</v>
      </c>
      <c r="B1229" s="8" t="s">
        <v>3908</v>
      </c>
      <c r="C1229" s="8" t="s">
        <v>59</v>
      </c>
      <c r="D1229" s="18" t="s">
        <v>2577</v>
      </c>
      <c r="E1229" s="16">
        <v>65.0</v>
      </c>
      <c r="F1229" s="8" t="s">
        <v>263</v>
      </c>
      <c r="G1229" s="8" t="s">
        <v>78</v>
      </c>
      <c r="H1229" s="8" t="s">
        <v>122</v>
      </c>
      <c r="I1229" s="18" t="s">
        <v>2566</v>
      </c>
      <c r="J1229" s="16">
        <v>60.0</v>
      </c>
      <c r="K1229" s="8" t="s">
        <v>1283</v>
      </c>
      <c r="L1229" s="8" t="s">
        <v>1450</v>
      </c>
      <c r="M1229" s="18" t="s">
        <v>2585</v>
      </c>
      <c r="N1229" s="16">
        <v>73.0</v>
      </c>
      <c r="O1229" s="8" t="s">
        <v>5159</v>
      </c>
      <c r="P1229" s="8" t="s">
        <v>24</v>
      </c>
      <c r="Q1229" s="14" t="s">
        <v>1679</v>
      </c>
      <c r="R1229" s="8" t="s">
        <v>2592</v>
      </c>
      <c r="S1229" s="14" t="s">
        <v>2591</v>
      </c>
    </row>
    <row r="1230">
      <c r="A1230" s="8" t="s">
        <v>2961</v>
      </c>
      <c r="B1230" s="8" t="s">
        <v>220</v>
      </c>
      <c r="C1230" s="8" t="s">
        <v>65</v>
      </c>
      <c r="D1230" s="18" t="s">
        <v>2558</v>
      </c>
      <c r="E1230" s="16">
        <v>89.0</v>
      </c>
      <c r="F1230" s="8" t="s">
        <v>263</v>
      </c>
      <c r="G1230" s="8" t="s">
        <v>1453</v>
      </c>
      <c r="H1230" s="8" t="s">
        <v>12</v>
      </c>
      <c r="I1230" s="18" t="s">
        <v>2621</v>
      </c>
      <c r="J1230" s="16">
        <v>70.0</v>
      </c>
      <c r="K1230" s="8" t="s">
        <v>1283</v>
      </c>
      <c r="L1230" s="8" t="s">
        <v>1766</v>
      </c>
      <c r="M1230" s="18" t="s">
        <v>2577</v>
      </c>
      <c r="N1230" s="16">
        <v>73.0</v>
      </c>
      <c r="O1230" s="8" t="s">
        <v>5160</v>
      </c>
      <c r="P1230" s="8" t="s">
        <v>80</v>
      </c>
      <c r="Q1230" s="14" t="s">
        <v>1070</v>
      </c>
      <c r="R1230" s="8" t="s">
        <v>2183</v>
      </c>
      <c r="S1230" s="14" t="s">
        <v>2557</v>
      </c>
    </row>
    <row r="1231">
      <c r="A1231" s="8" t="s">
        <v>301</v>
      </c>
      <c r="B1231" s="8" t="s">
        <v>460</v>
      </c>
      <c r="C1231" s="8" t="s">
        <v>141</v>
      </c>
      <c r="D1231" s="18" t="s">
        <v>2592</v>
      </c>
      <c r="E1231" s="16">
        <v>62.0</v>
      </c>
      <c r="F1231" s="8" t="s">
        <v>263</v>
      </c>
      <c r="G1231" s="8" t="s">
        <v>3485</v>
      </c>
      <c r="H1231" s="8" t="s">
        <v>186</v>
      </c>
      <c r="I1231" s="18" t="s">
        <v>2558</v>
      </c>
      <c r="J1231" s="16">
        <v>62.0</v>
      </c>
      <c r="K1231" s="8" t="s">
        <v>1283</v>
      </c>
      <c r="L1231" s="8" t="s">
        <v>1282</v>
      </c>
      <c r="M1231" s="18" t="s">
        <v>2564</v>
      </c>
      <c r="N1231" s="16">
        <v>63.0</v>
      </c>
      <c r="O1231" s="8" t="s">
        <v>5161</v>
      </c>
      <c r="P1231" s="8" t="s">
        <v>46</v>
      </c>
      <c r="Q1231" s="14" t="s">
        <v>2296</v>
      </c>
      <c r="R1231" s="8" t="s">
        <v>2564</v>
      </c>
      <c r="S1231" s="14" t="s">
        <v>2580</v>
      </c>
    </row>
    <row r="1232">
      <c r="A1232" s="8" t="s">
        <v>301</v>
      </c>
      <c r="B1232" s="8" t="s">
        <v>638</v>
      </c>
      <c r="C1232" s="8" t="s">
        <v>141</v>
      </c>
      <c r="D1232" s="18" t="s">
        <v>2564</v>
      </c>
      <c r="E1232" s="16">
        <v>60.0</v>
      </c>
      <c r="F1232" s="8" t="s">
        <v>263</v>
      </c>
      <c r="G1232" s="8" t="s">
        <v>146</v>
      </c>
      <c r="H1232" s="8" t="s">
        <v>75</v>
      </c>
      <c r="I1232" s="18" t="s">
        <v>2605</v>
      </c>
      <c r="J1232" s="16">
        <v>68.0</v>
      </c>
      <c r="K1232" s="8" t="s">
        <v>1283</v>
      </c>
      <c r="L1232" s="8" t="s">
        <v>1446</v>
      </c>
      <c r="M1232" s="18" t="s">
        <v>2577</v>
      </c>
      <c r="N1232" s="16">
        <v>65.0</v>
      </c>
      <c r="O1232" s="8" t="s">
        <v>5162</v>
      </c>
      <c r="P1232" s="8" t="s">
        <v>65</v>
      </c>
      <c r="Q1232" s="14" t="s">
        <v>837</v>
      </c>
      <c r="R1232" s="8" t="s">
        <v>2585</v>
      </c>
      <c r="S1232" s="14" t="s">
        <v>2601</v>
      </c>
    </row>
    <row r="1233">
      <c r="A1233" s="8" t="s">
        <v>301</v>
      </c>
      <c r="B1233" s="8" t="s">
        <v>3531</v>
      </c>
      <c r="C1233" s="8" t="s">
        <v>192</v>
      </c>
      <c r="D1233" s="18" t="s">
        <v>2621</v>
      </c>
      <c r="E1233" s="16">
        <v>67.0</v>
      </c>
      <c r="F1233" s="8" t="s">
        <v>263</v>
      </c>
      <c r="G1233" s="8" t="s">
        <v>1164</v>
      </c>
      <c r="H1233" s="8" t="s">
        <v>186</v>
      </c>
      <c r="I1233" s="18" t="s">
        <v>2610</v>
      </c>
      <c r="J1233" s="16">
        <v>61.0</v>
      </c>
      <c r="K1233" s="8" t="s">
        <v>1880</v>
      </c>
      <c r="L1233" s="8" t="s">
        <v>94</v>
      </c>
      <c r="M1233" s="18" t="s">
        <v>2614</v>
      </c>
      <c r="N1233" s="16">
        <v>76.0</v>
      </c>
      <c r="O1233" s="8" t="s">
        <v>5163</v>
      </c>
      <c r="P1233" s="8" t="s">
        <v>93</v>
      </c>
      <c r="Q1233" s="14" t="s">
        <v>2296</v>
      </c>
      <c r="R1233" s="8" t="s">
        <v>2598</v>
      </c>
      <c r="S1233" s="14" t="s">
        <v>2579</v>
      </c>
    </row>
    <row r="1234">
      <c r="A1234" s="8" t="s">
        <v>301</v>
      </c>
      <c r="B1234" s="8" t="s">
        <v>3181</v>
      </c>
      <c r="C1234" s="8" t="s">
        <v>65</v>
      </c>
      <c r="D1234" s="18" t="s">
        <v>2567</v>
      </c>
      <c r="E1234" s="16">
        <v>64.0</v>
      </c>
      <c r="F1234" s="8" t="s">
        <v>263</v>
      </c>
      <c r="G1234" s="8" t="s">
        <v>3392</v>
      </c>
      <c r="H1234" s="8" t="s">
        <v>65</v>
      </c>
      <c r="I1234" s="18" t="s">
        <v>2615</v>
      </c>
      <c r="J1234" s="16">
        <v>64.0</v>
      </c>
      <c r="K1234" s="8" t="s">
        <v>2421</v>
      </c>
      <c r="L1234" s="8" t="s">
        <v>2420</v>
      </c>
      <c r="M1234" s="18" t="s">
        <v>2577</v>
      </c>
      <c r="N1234" s="16">
        <v>80.0</v>
      </c>
      <c r="O1234" s="8" t="s">
        <v>5164</v>
      </c>
      <c r="P1234" s="8" t="s">
        <v>149</v>
      </c>
      <c r="Q1234" s="14" t="s">
        <v>631</v>
      </c>
      <c r="R1234" s="8" t="s">
        <v>2581</v>
      </c>
      <c r="S1234" s="14" t="s">
        <v>2579</v>
      </c>
    </row>
    <row r="1235">
      <c r="A1235" s="8" t="s">
        <v>301</v>
      </c>
      <c r="B1235" s="8" t="s">
        <v>106</v>
      </c>
      <c r="C1235" s="8" t="s">
        <v>12</v>
      </c>
      <c r="D1235" s="18" t="s">
        <v>2566</v>
      </c>
      <c r="E1235" s="16">
        <v>83.0</v>
      </c>
      <c r="F1235" s="8" t="s">
        <v>263</v>
      </c>
      <c r="G1235" s="8" t="s">
        <v>3194</v>
      </c>
      <c r="H1235" s="8" t="s">
        <v>122</v>
      </c>
      <c r="I1235" s="18" t="s">
        <v>2614</v>
      </c>
      <c r="J1235" s="16">
        <v>62.0</v>
      </c>
      <c r="K1235" s="8" t="s">
        <v>151</v>
      </c>
      <c r="L1235" s="8" t="s">
        <v>150</v>
      </c>
      <c r="M1235" s="18" t="s">
        <v>2600</v>
      </c>
      <c r="N1235" s="16">
        <v>84.0</v>
      </c>
      <c r="O1235" s="8" t="s">
        <v>5165</v>
      </c>
      <c r="P1235" s="8" t="s">
        <v>75</v>
      </c>
      <c r="Q1235" s="14" t="s">
        <v>1352</v>
      </c>
      <c r="R1235" s="8" t="s">
        <v>2560</v>
      </c>
      <c r="S1235" s="14" t="s">
        <v>2580</v>
      </c>
    </row>
    <row r="1236">
      <c r="A1236" s="8" t="s">
        <v>301</v>
      </c>
      <c r="B1236" s="8" t="s">
        <v>2712</v>
      </c>
      <c r="C1236" s="8" t="s">
        <v>59</v>
      </c>
      <c r="D1236" s="18" t="s">
        <v>2554</v>
      </c>
      <c r="E1236" s="16">
        <v>79.0</v>
      </c>
      <c r="F1236" s="8" t="s">
        <v>263</v>
      </c>
      <c r="G1236" s="8" t="s">
        <v>2024</v>
      </c>
      <c r="H1236" s="8" t="s">
        <v>215</v>
      </c>
      <c r="I1236" s="18" t="s">
        <v>2610</v>
      </c>
      <c r="J1236" s="16">
        <v>76.0</v>
      </c>
      <c r="K1236" s="8" t="s">
        <v>151</v>
      </c>
      <c r="L1236" s="8" t="s">
        <v>805</v>
      </c>
      <c r="M1236" s="18" t="s">
        <v>2587</v>
      </c>
      <c r="N1236" s="16">
        <v>69.0</v>
      </c>
      <c r="O1236" s="8" t="s">
        <v>5166</v>
      </c>
      <c r="P1236" s="8" t="s">
        <v>122</v>
      </c>
      <c r="Q1236" s="14" t="s">
        <v>1070</v>
      </c>
      <c r="R1236" s="8" t="s">
        <v>2587</v>
      </c>
      <c r="S1236" s="14" t="s">
        <v>2579</v>
      </c>
    </row>
    <row r="1237">
      <c r="A1237" s="8" t="s">
        <v>301</v>
      </c>
      <c r="B1237" s="8" t="s">
        <v>1150</v>
      </c>
      <c r="C1237" s="8" t="s">
        <v>65</v>
      </c>
      <c r="D1237" s="18" t="s">
        <v>2582</v>
      </c>
      <c r="E1237" s="16">
        <v>77.0</v>
      </c>
      <c r="F1237" s="8" t="s">
        <v>263</v>
      </c>
      <c r="G1237" s="8" t="s">
        <v>762</v>
      </c>
      <c r="H1237" s="8" t="s">
        <v>149</v>
      </c>
      <c r="I1237" s="18" t="s">
        <v>2587</v>
      </c>
      <c r="J1237" s="16">
        <v>72.0</v>
      </c>
      <c r="K1237" s="8" t="s">
        <v>5167</v>
      </c>
      <c r="L1237" s="8" t="s">
        <v>1757</v>
      </c>
      <c r="M1237" s="18" t="s">
        <v>2562</v>
      </c>
      <c r="N1237" s="16">
        <v>66.0</v>
      </c>
      <c r="O1237" s="8" t="s">
        <v>5168</v>
      </c>
      <c r="P1237" s="8" t="s">
        <v>192</v>
      </c>
      <c r="Q1237" s="14" t="s">
        <v>631</v>
      </c>
      <c r="R1237" s="8" t="s">
        <v>2587</v>
      </c>
      <c r="S1237" s="14" t="s">
        <v>2607</v>
      </c>
    </row>
    <row r="1238">
      <c r="A1238" s="8" t="s">
        <v>301</v>
      </c>
      <c r="B1238" s="8" t="s">
        <v>1164</v>
      </c>
      <c r="C1238" s="8" t="s">
        <v>192</v>
      </c>
      <c r="D1238" s="18" t="s">
        <v>2584</v>
      </c>
      <c r="E1238" s="16">
        <v>71.0</v>
      </c>
      <c r="F1238" s="8" t="s">
        <v>263</v>
      </c>
      <c r="G1238" s="8" t="s">
        <v>537</v>
      </c>
      <c r="H1238" s="8" t="s">
        <v>122</v>
      </c>
      <c r="I1238" s="18" t="s">
        <v>2554</v>
      </c>
      <c r="J1238" s="16">
        <v>72.0</v>
      </c>
      <c r="K1238" s="8" t="s">
        <v>390</v>
      </c>
      <c r="L1238" s="8" t="s">
        <v>284</v>
      </c>
      <c r="M1238" s="18" t="s">
        <v>2598</v>
      </c>
      <c r="N1238" s="16">
        <v>91.0</v>
      </c>
      <c r="O1238" s="8" t="s">
        <v>5169</v>
      </c>
      <c r="P1238" s="8" t="s">
        <v>24</v>
      </c>
      <c r="Q1238" s="14" t="s">
        <v>459</v>
      </c>
      <c r="R1238" s="8" t="s">
        <v>2582</v>
      </c>
      <c r="S1238" s="14" t="s">
        <v>2613</v>
      </c>
    </row>
    <row r="1239">
      <c r="A1239" s="8" t="s">
        <v>301</v>
      </c>
      <c r="B1239" s="8" t="s">
        <v>1170</v>
      </c>
      <c r="C1239" s="8" t="s">
        <v>70</v>
      </c>
      <c r="D1239" s="18" t="s">
        <v>2567</v>
      </c>
      <c r="E1239" s="16">
        <v>63.0</v>
      </c>
      <c r="F1239" s="8" t="s">
        <v>263</v>
      </c>
      <c r="G1239" s="8" t="s">
        <v>785</v>
      </c>
      <c r="H1239" s="8" t="s">
        <v>192</v>
      </c>
      <c r="I1239" s="18" t="s">
        <v>2600</v>
      </c>
      <c r="J1239" s="16">
        <v>67.0</v>
      </c>
      <c r="K1239" s="8" t="s">
        <v>390</v>
      </c>
      <c r="L1239" s="8" t="s">
        <v>284</v>
      </c>
      <c r="M1239" s="18" t="s">
        <v>2598</v>
      </c>
      <c r="N1239" s="16">
        <v>88.0</v>
      </c>
      <c r="O1239" s="8" t="s">
        <v>5170</v>
      </c>
      <c r="P1239" s="8" t="s">
        <v>192</v>
      </c>
      <c r="Q1239" s="14" t="s">
        <v>1070</v>
      </c>
      <c r="R1239" s="18" t="s">
        <v>2556</v>
      </c>
      <c r="S1239" s="14" t="s">
        <v>2557</v>
      </c>
    </row>
    <row r="1240">
      <c r="A1240" s="8" t="s">
        <v>301</v>
      </c>
      <c r="B1240" s="8" t="s">
        <v>1505</v>
      </c>
      <c r="C1240" s="8" t="s">
        <v>53</v>
      </c>
      <c r="D1240" s="18" t="s">
        <v>2593</v>
      </c>
      <c r="E1240" s="16">
        <v>63.0</v>
      </c>
      <c r="F1240" s="8" t="s">
        <v>263</v>
      </c>
      <c r="G1240" s="8" t="s">
        <v>164</v>
      </c>
      <c r="H1240" s="8" t="s">
        <v>65</v>
      </c>
      <c r="I1240" s="18" t="s">
        <v>2564</v>
      </c>
      <c r="J1240" s="16">
        <v>81.0</v>
      </c>
      <c r="K1240" s="8" t="s">
        <v>2991</v>
      </c>
      <c r="L1240" s="8" t="s">
        <v>62</v>
      </c>
      <c r="M1240" s="18" t="s">
        <v>2645</v>
      </c>
      <c r="N1240" s="16">
        <v>60.0</v>
      </c>
      <c r="O1240" s="8" t="s">
        <v>5171</v>
      </c>
      <c r="P1240" s="8" t="s">
        <v>132</v>
      </c>
      <c r="Q1240" s="14" t="s">
        <v>1070</v>
      </c>
      <c r="R1240" s="8" t="s">
        <v>2603</v>
      </c>
      <c r="S1240" s="14" t="s">
        <v>2612</v>
      </c>
    </row>
    <row r="1241">
      <c r="A1241" s="8" t="s">
        <v>301</v>
      </c>
      <c r="B1241" s="8" t="s">
        <v>698</v>
      </c>
      <c r="C1241" s="8" t="s">
        <v>65</v>
      </c>
      <c r="D1241" s="18" t="s">
        <v>2615</v>
      </c>
      <c r="E1241" s="16">
        <v>76.0</v>
      </c>
      <c r="F1241" s="8" t="s">
        <v>2961</v>
      </c>
      <c r="G1241" s="8" t="s">
        <v>220</v>
      </c>
      <c r="H1241" s="8" t="s">
        <v>65</v>
      </c>
      <c r="I1241" s="18" t="s">
        <v>2558</v>
      </c>
      <c r="J1241" s="16">
        <v>91.0</v>
      </c>
      <c r="K1241" s="8" t="s">
        <v>2991</v>
      </c>
      <c r="L1241" s="8" t="s">
        <v>3122</v>
      </c>
      <c r="M1241" s="18" t="s">
        <v>2621</v>
      </c>
      <c r="N1241" s="16">
        <v>65.0</v>
      </c>
      <c r="O1241" s="8" t="s">
        <v>5172</v>
      </c>
      <c r="P1241" s="8" t="s">
        <v>70</v>
      </c>
      <c r="Q1241" s="14" t="s">
        <v>2033</v>
      </c>
      <c r="R1241" s="8" t="s">
        <v>2574</v>
      </c>
      <c r="S1241" s="14" t="s">
        <v>2583</v>
      </c>
    </row>
    <row r="1242">
      <c r="A1242" s="8" t="s">
        <v>301</v>
      </c>
      <c r="B1242" s="8" t="s">
        <v>89</v>
      </c>
      <c r="C1242" s="8" t="s">
        <v>24</v>
      </c>
      <c r="D1242" s="18" t="s">
        <v>2598</v>
      </c>
      <c r="E1242" s="16">
        <v>54.0</v>
      </c>
      <c r="F1242" s="8" t="s">
        <v>91</v>
      </c>
      <c r="G1242" s="8" t="s">
        <v>2727</v>
      </c>
      <c r="H1242" s="8" t="s">
        <v>75</v>
      </c>
      <c r="I1242" s="18" t="s">
        <v>2183</v>
      </c>
      <c r="J1242" s="16">
        <v>58.0</v>
      </c>
      <c r="K1242" s="8" t="s">
        <v>2991</v>
      </c>
      <c r="L1242" s="8" t="s">
        <v>2213</v>
      </c>
      <c r="M1242" s="18" t="s">
        <v>2574</v>
      </c>
      <c r="N1242" s="16">
        <v>80.0</v>
      </c>
      <c r="O1242" s="8" t="s">
        <v>5173</v>
      </c>
      <c r="P1242" s="8" t="s">
        <v>132</v>
      </c>
      <c r="Q1242" s="14" t="s">
        <v>1352</v>
      </c>
      <c r="R1242" s="8" t="s">
        <v>2603</v>
      </c>
      <c r="S1242" s="14" t="s">
        <v>2612</v>
      </c>
    </row>
    <row r="1243">
      <c r="A1243" s="8" t="s">
        <v>301</v>
      </c>
      <c r="B1243" s="8" t="s">
        <v>1187</v>
      </c>
      <c r="C1243" s="8" t="s">
        <v>93</v>
      </c>
      <c r="D1243" s="18" t="s">
        <v>2558</v>
      </c>
      <c r="E1243" s="16">
        <v>62.0</v>
      </c>
      <c r="F1243" s="8" t="s">
        <v>301</v>
      </c>
      <c r="G1243" s="8" t="s">
        <v>2930</v>
      </c>
      <c r="H1243" s="8" t="s">
        <v>16</v>
      </c>
      <c r="I1243" s="18" t="s">
        <v>2560</v>
      </c>
      <c r="J1243" s="16">
        <v>73.0</v>
      </c>
      <c r="K1243" s="8" t="s">
        <v>1993</v>
      </c>
      <c r="L1243" s="8" t="s">
        <v>441</v>
      </c>
      <c r="M1243" s="18" t="s">
        <v>2585</v>
      </c>
      <c r="N1243" s="16">
        <v>69.0</v>
      </c>
      <c r="O1243" s="8" t="s">
        <v>5174</v>
      </c>
      <c r="P1243" s="8" t="s">
        <v>65</v>
      </c>
      <c r="Q1243" s="14" t="s">
        <v>837</v>
      </c>
      <c r="R1243" s="8" t="s">
        <v>2552</v>
      </c>
      <c r="S1243" s="14" t="s">
        <v>2622</v>
      </c>
    </row>
    <row r="1244">
      <c r="A1244" s="8" t="s">
        <v>301</v>
      </c>
      <c r="B1244" s="8" t="s">
        <v>537</v>
      </c>
      <c r="C1244" s="8" t="s">
        <v>24</v>
      </c>
      <c r="D1244" s="18" t="s">
        <v>2595</v>
      </c>
      <c r="E1244" s="16">
        <v>78.0</v>
      </c>
      <c r="F1244" s="8" t="s">
        <v>301</v>
      </c>
      <c r="G1244" s="8" t="s">
        <v>3348</v>
      </c>
      <c r="H1244" s="8" t="s">
        <v>186</v>
      </c>
      <c r="I1244" s="18" t="s">
        <v>2183</v>
      </c>
      <c r="J1244" s="16">
        <v>73.0</v>
      </c>
      <c r="K1244" s="8" t="s">
        <v>495</v>
      </c>
      <c r="L1244" s="8" t="s">
        <v>494</v>
      </c>
      <c r="M1244" s="18" t="s">
        <v>2621</v>
      </c>
      <c r="N1244" s="16">
        <v>85.0</v>
      </c>
      <c r="O1244" s="8" t="s">
        <v>5175</v>
      </c>
      <c r="P1244" s="8" t="s">
        <v>24</v>
      </c>
      <c r="Q1244" s="14" t="s">
        <v>2033</v>
      </c>
      <c r="R1244" s="8" t="s">
        <v>2562</v>
      </c>
      <c r="S1244" s="14" t="s">
        <v>2565</v>
      </c>
    </row>
    <row r="1245">
      <c r="A1245" s="8" t="s">
        <v>301</v>
      </c>
      <c r="B1245" s="8" t="s">
        <v>2851</v>
      </c>
      <c r="C1245" s="8" t="s">
        <v>65</v>
      </c>
      <c r="D1245" s="18" t="s">
        <v>2564</v>
      </c>
      <c r="E1245" s="16">
        <v>70.0</v>
      </c>
      <c r="F1245" s="8" t="s">
        <v>301</v>
      </c>
      <c r="G1245" s="8" t="s">
        <v>1023</v>
      </c>
      <c r="H1245" s="8" t="s">
        <v>93</v>
      </c>
      <c r="I1245" s="18" t="s">
        <v>2610</v>
      </c>
      <c r="J1245" s="16">
        <v>72.0</v>
      </c>
      <c r="K1245" s="8" t="s">
        <v>381</v>
      </c>
      <c r="L1245" s="8" t="s">
        <v>1380</v>
      </c>
      <c r="M1245" s="18" t="s">
        <v>2577</v>
      </c>
      <c r="N1245" s="16">
        <v>72.0</v>
      </c>
      <c r="O1245" s="8" t="s">
        <v>5176</v>
      </c>
      <c r="P1245" s="8" t="s">
        <v>192</v>
      </c>
      <c r="Q1245" s="14" t="s">
        <v>2296</v>
      </c>
      <c r="R1245" s="8" t="s">
        <v>2592</v>
      </c>
      <c r="S1245" s="14" t="s">
        <v>2579</v>
      </c>
    </row>
    <row r="1246">
      <c r="A1246" s="8" t="s">
        <v>301</v>
      </c>
      <c r="B1246" s="8" t="s">
        <v>260</v>
      </c>
      <c r="C1246" s="8" t="s">
        <v>46</v>
      </c>
      <c r="D1246" s="18" t="s">
        <v>2558</v>
      </c>
      <c r="E1246" s="16">
        <v>59.0</v>
      </c>
      <c r="F1246" s="8" t="s">
        <v>301</v>
      </c>
      <c r="G1246" s="8" t="s">
        <v>3053</v>
      </c>
      <c r="H1246" s="8" t="s">
        <v>75</v>
      </c>
      <c r="I1246" s="18" t="s">
        <v>2605</v>
      </c>
      <c r="J1246" s="16">
        <v>89.0</v>
      </c>
      <c r="K1246" s="8" t="s">
        <v>381</v>
      </c>
      <c r="L1246" s="8" t="s">
        <v>1420</v>
      </c>
      <c r="M1246" s="18" t="s">
        <v>2615</v>
      </c>
      <c r="N1246" s="16">
        <v>68.0</v>
      </c>
      <c r="O1246" s="8" t="s">
        <v>5177</v>
      </c>
      <c r="P1246" s="8" t="s">
        <v>70</v>
      </c>
      <c r="Q1246" s="14" t="s">
        <v>1352</v>
      </c>
      <c r="R1246" s="8" t="s">
        <v>2567</v>
      </c>
      <c r="S1246" s="14" t="s">
        <v>2573</v>
      </c>
    </row>
    <row r="1247">
      <c r="A1247" s="8" t="s">
        <v>301</v>
      </c>
      <c r="B1247" s="8" t="s">
        <v>389</v>
      </c>
      <c r="C1247" s="8" t="s">
        <v>16</v>
      </c>
      <c r="D1247" s="18" t="s">
        <v>2575</v>
      </c>
      <c r="E1247" s="16">
        <v>65.0</v>
      </c>
      <c r="F1247" s="8" t="s">
        <v>301</v>
      </c>
      <c r="G1247" s="8" t="s">
        <v>2913</v>
      </c>
      <c r="H1247" s="8" t="s">
        <v>65</v>
      </c>
      <c r="I1247" s="18" t="s">
        <v>2598</v>
      </c>
      <c r="J1247" s="16">
        <v>57.0</v>
      </c>
      <c r="K1247" s="8" t="s">
        <v>381</v>
      </c>
      <c r="L1247" s="8" t="s">
        <v>655</v>
      </c>
      <c r="M1247" s="18" t="s">
        <v>2603</v>
      </c>
      <c r="N1247" s="16">
        <v>78.0</v>
      </c>
      <c r="O1247" s="8" t="s">
        <v>5178</v>
      </c>
      <c r="P1247" s="8" t="s">
        <v>65</v>
      </c>
      <c r="Q1247" s="14" t="s">
        <v>1352</v>
      </c>
      <c r="R1247" s="8" t="s">
        <v>2605</v>
      </c>
      <c r="S1247" s="14" t="s">
        <v>2594</v>
      </c>
    </row>
    <row r="1248">
      <c r="A1248" s="8" t="s">
        <v>301</v>
      </c>
      <c r="B1248" s="8" t="s">
        <v>2878</v>
      </c>
      <c r="C1248" s="8" t="s">
        <v>53</v>
      </c>
      <c r="D1248" s="18" t="s">
        <v>2592</v>
      </c>
      <c r="E1248" s="16">
        <v>59.0</v>
      </c>
      <c r="F1248" s="8" t="s">
        <v>301</v>
      </c>
      <c r="G1248" s="8" t="s">
        <v>1187</v>
      </c>
      <c r="H1248" s="8" t="s">
        <v>93</v>
      </c>
      <c r="I1248" s="18" t="s">
        <v>2558</v>
      </c>
      <c r="J1248" s="16">
        <v>61.0</v>
      </c>
      <c r="K1248" s="8" t="s">
        <v>381</v>
      </c>
      <c r="L1248" s="8" t="s">
        <v>767</v>
      </c>
      <c r="M1248" s="18" t="s">
        <v>2610</v>
      </c>
      <c r="N1248" s="16">
        <v>63.0</v>
      </c>
      <c r="O1248" s="8" t="s">
        <v>5179</v>
      </c>
      <c r="P1248" s="8" t="s">
        <v>138</v>
      </c>
      <c r="Q1248" s="14" t="s">
        <v>1679</v>
      </c>
      <c r="R1248" s="8" t="s">
        <v>2610</v>
      </c>
      <c r="S1248" s="14" t="s">
        <v>2602</v>
      </c>
    </row>
    <row r="1249">
      <c r="A1249" s="8" t="s">
        <v>301</v>
      </c>
      <c r="B1249" s="8" t="s">
        <v>566</v>
      </c>
      <c r="C1249" s="8" t="s">
        <v>141</v>
      </c>
      <c r="D1249" s="18" t="s">
        <v>2600</v>
      </c>
      <c r="E1249" s="16">
        <v>72.0</v>
      </c>
      <c r="F1249" s="8" t="s">
        <v>301</v>
      </c>
      <c r="G1249" s="8" t="s">
        <v>1150</v>
      </c>
      <c r="H1249" s="8" t="s">
        <v>65</v>
      </c>
      <c r="I1249" s="18" t="s">
        <v>2582</v>
      </c>
      <c r="J1249" s="16">
        <v>75.0</v>
      </c>
      <c r="K1249" s="8" t="s">
        <v>381</v>
      </c>
      <c r="L1249" s="8" t="s">
        <v>1615</v>
      </c>
      <c r="M1249" s="18" t="s">
        <v>2620</v>
      </c>
      <c r="N1249" s="16">
        <v>79.0</v>
      </c>
      <c r="O1249" s="8" t="s">
        <v>5180</v>
      </c>
      <c r="P1249" s="8" t="s">
        <v>186</v>
      </c>
      <c r="Q1249" s="14" t="s">
        <v>1352</v>
      </c>
      <c r="R1249" s="8" t="s">
        <v>2620</v>
      </c>
      <c r="S1249" s="14" t="s">
        <v>2576</v>
      </c>
    </row>
    <row r="1250">
      <c r="A1250" s="8" t="s">
        <v>301</v>
      </c>
      <c r="B1250" s="8" t="s">
        <v>740</v>
      </c>
      <c r="C1250" s="8" t="s">
        <v>12</v>
      </c>
      <c r="D1250" s="18" t="s">
        <v>2572</v>
      </c>
      <c r="E1250" s="16">
        <v>76.0</v>
      </c>
      <c r="F1250" s="8" t="s">
        <v>301</v>
      </c>
      <c r="G1250" s="8" t="s">
        <v>783</v>
      </c>
      <c r="H1250" s="8" t="s">
        <v>65</v>
      </c>
      <c r="I1250" s="18" t="s">
        <v>2593</v>
      </c>
      <c r="J1250" s="16">
        <v>72.0</v>
      </c>
      <c r="K1250" s="8" t="s">
        <v>381</v>
      </c>
      <c r="L1250" s="8" t="s">
        <v>1466</v>
      </c>
      <c r="M1250" s="18" t="s">
        <v>2595</v>
      </c>
      <c r="N1250" s="16">
        <v>69.0</v>
      </c>
      <c r="O1250" s="8" t="s">
        <v>5181</v>
      </c>
      <c r="P1250" s="8" t="s">
        <v>75</v>
      </c>
      <c r="Q1250" s="14" t="s">
        <v>1679</v>
      </c>
      <c r="R1250" s="8" t="s">
        <v>2593</v>
      </c>
      <c r="S1250" s="14" t="s">
        <v>2579</v>
      </c>
    </row>
    <row r="1251">
      <c r="A1251" s="8" t="s">
        <v>301</v>
      </c>
      <c r="B1251" s="8" t="s">
        <v>3719</v>
      </c>
      <c r="C1251" s="8" t="s">
        <v>65</v>
      </c>
      <c r="D1251" s="18" t="s">
        <v>2562</v>
      </c>
      <c r="E1251" s="16">
        <v>58.0</v>
      </c>
      <c r="F1251" s="8" t="s">
        <v>301</v>
      </c>
      <c r="G1251" s="8" t="s">
        <v>2851</v>
      </c>
      <c r="H1251" s="8" t="s">
        <v>65</v>
      </c>
      <c r="I1251" s="18" t="s">
        <v>2592</v>
      </c>
      <c r="J1251" s="16">
        <v>71.0</v>
      </c>
      <c r="K1251" s="8" t="s">
        <v>381</v>
      </c>
      <c r="L1251" s="8" t="s">
        <v>3116</v>
      </c>
      <c r="M1251" s="18" t="s">
        <v>2615</v>
      </c>
      <c r="N1251" s="16">
        <v>77.0</v>
      </c>
      <c r="O1251" s="8" t="s">
        <v>5182</v>
      </c>
      <c r="P1251" s="8" t="s">
        <v>186</v>
      </c>
      <c r="Q1251" s="14" t="s">
        <v>1679</v>
      </c>
      <c r="R1251" s="8" t="s">
        <v>2620</v>
      </c>
      <c r="S1251" s="14" t="s">
        <v>2573</v>
      </c>
    </row>
    <row r="1252">
      <c r="A1252" s="8" t="s">
        <v>301</v>
      </c>
      <c r="B1252" s="8" t="s">
        <v>3334</v>
      </c>
      <c r="C1252" s="8" t="s">
        <v>141</v>
      </c>
      <c r="D1252" s="18" t="s">
        <v>2582</v>
      </c>
      <c r="E1252" s="16">
        <v>67.0</v>
      </c>
      <c r="F1252" s="8" t="s">
        <v>301</v>
      </c>
      <c r="G1252" s="8" t="s">
        <v>3334</v>
      </c>
      <c r="H1252" s="8" t="s">
        <v>75</v>
      </c>
      <c r="I1252" s="18" t="s">
        <v>2595</v>
      </c>
      <c r="J1252" s="16">
        <v>69.0</v>
      </c>
      <c r="K1252" s="8" t="s">
        <v>381</v>
      </c>
      <c r="L1252" s="8" t="s">
        <v>61</v>
      </c>
      <c r="M1252" s="18" t="s">
        <v>2593</v>
      </c>
      <c r="N1252" s="16">
        <v>66.0</v>
      </c>
      <c r="O1252" s="8" t="s">
        <v>5183</v>
      </c>
      <c r="P1252" s="8" t="s">
        <v>70</v>
      </c>
      <c r="Q1252" s="14" t="s">
        <v>2296</v>
      </c>
      <c r="R1252" s="8" t="s">
        <v>2564</v>
      </c>
      <c r="S1252" s="14" t="s">
        <v>2565</v>
      </c>
    </row>
    <row r="1253">
      <c r="A1253" s="8" t="s">
        <v>301</v>
      </c>
      <c r="B1253" s="8" t="s">
        <v>396</v>
      </c>
      <c r="C1253" s="8" t="s">
        <v>59</v>
      </c>
      <c r="D1253" s="18" t="s">
        <v>2560</v>
      </c>
      <c r="E1253" s="16">
        <v>67.0</v>
      </c>
      <c r="F1253" s="8" t="s">
        <v>301</v>
      </c>
      <c r="G1253" s="8" t="s">
        <v>284</v>
      </c>
      <c r="H1253" s="8" t="s">
        <v>80</v>
      </c>
      <c r="I1253" s="18" t="s">
        <v>2558</v>
      </c>
      <c r="J1253" s="16">
        <v>74.0</v>
      </c>
      <c r="K1253" s="8" t="s">
        <v>381</v>
      </c>
      <c r="L1253" s="8" t="s">
        <v>1164</v>
      </c>
      <c r="M1253" s="18" t="s">
        <v>2592</v>
      </c>
      <c r="N1253" s="16">
        <v>71.0</v>
      </c>
      <c r="O1253" s="8" t="s">
        <v>5184</v>
      </c>
      <c r="P1253" s="8" t="s">
        <v>138</v>
      </c>
      <c r="Q1253" s="14" t="s">
        <v>2296</v>
      </c>
      <c r="R1253" s="8" t="s">
        <v>2584</v>
      </c>
      <c r="S1253" s="14" t="s">
        <v>2590</v>
      </c>
    </row>
    <row r="1254">
      <c r="A1254" s="8" t="s">
        <v>301</v>
      </c>
      <c r="B1254" s="8" t="s">
        <v>3348</v>
      </c>
      <c r="C1254" s="8" t="s">
        <v>186</v>
      </c>
      <c r="D1254" s="18" t="s">
        <v>2183</v>
      </c>
      <c r="E1254" s="16">
        <v>77.0</v>
      </c>
      <c r="F1254" s="8" t="s">
        <v>301</v>
      </c>
      <c r="G1254" s="8" t="s">
        <v>1469</v>
      </c>
      <c r="H1254" s="8" t="s">
        <v>186</v>
      </c>
      <c r="I1254" s="18" t="s">
        <v>2582</v>
      </c>
      <c r="J1254" s="16">
        <v>64.0</v>
      </c>
      <c r="K1254" s="8" t="s">
        <v>381</v>
      </c>
      <c r="L1254" s="8" t="s">
        <v>1238</v>
      </c>
      <c r="M1254" s="18" t="s">
        <v>2614</v>
      </c>
      <c r="N1254" s="16">
        <v>76.0</v>
      </c>
      <c r="O1254" s="8" t="s">
        <v>5184</v>
      </c>
      <c r="P1254" s="8" t="s">
        <v>16</v>
      </c>
      <c r="Q1254" s="14" t="s">
        <v>2033</v>
      </c>
      <c r="R1254" s="8" t="s">
        <v>2587</v>
      </c>
      <c r="S1254" s="14" t="s">
        <v>2553</v>
      </c>
    </row>
    <row r="1255">
      <c r="A1255" s="8" t="s">
        <v>301</v>
      </c>
      <c r="B1255" s="8" t="s">
        <v>751</v>
      </c>
      <c r="C1255" s="8" t="s">
        <v>215</v>
      </c>
      <c r="D1255" s="18" t="s">
        <v>2589</v>
      </c>
      <c r="E1255" s="16">
        <v>61.0</v>
      </c>
      <c r="F1255" s="8" t="s">
        <v>301</v>
      </c>
      <c r="G1255" s="8" t="s">
        <v>1170</v>
      </c>
      <c r="H1255" s="8" t="s">
        <v>70</v>
      </c>
      <c r="I1255" s="18" t="s">
        <v>2567</v>
      </c>
      <c r="J1255" s="16">
        <v>61.0</v>
      </c>
      <c r="K1255" s="8" t="s">
        <v>381</v>
      </c>
      <c r="L1255" s="8" t="s">
        <v>877</v>
      </c>
      <c r="M1255" s="18" t="s">
        <v>2603</v>
      </c>
      <c r="N1255" s="16">
        <v>75.0</v>
      </c>
      <c r="O1255" s="8" t="s">
        <v>5185</v>
      </c>
      <c r="P1255" s="8" t="s">
        <v>141</v>
      </c>
      <c r="Q1255" s="14" t="s">
        <v>631</v>
      </c>
      <c r="R1255" s="8" t="s">
        <v>2567</v>
      </c>
      <c r="S1255" s="14" t="s">
        <v>2612</v>
      </c>
    </row>
    <row r="1256">
      <c r="A1256" s="8" t="s">
        <v>301</v>
      </c>
      <c r="B1256" s="8" t="s">
        <v>2930</v>
      </c>
      <c r="C1256" s="8" t="s">
        <v>16</v>
      </c>
      <c r="D1256" s="18" t="s">
        <v>2615</v>
      </c>
      <c r="E1256" s="16">
        <v>71.0</v>
      </c>
      <c r="F1256" s="8" t="s">
        <v>301</v>
      </c>
      <c r="G1256" s="8" t="s">
        <v>537</v>
      </c>
      <c r="H1256" s="8" t="s">
        <v>24</v>
      </c>
      <c r="I1256" s="18" t="s">
        <v>2595</v>
      </c>
      <c r="J1256" s="16">
        <v>74.0</v>
      </c>
      <c r="K1256" s="8" t="s">
        <v>381</v>
      </c>
      <c r="L1256" s="8" t="s">
        <v>592</v>
      </c>
      <c r="M1256" s="18" t="s">
        <v>2589</v>
      </c>
      <c r="N1256" s="16">
        <v>80.0</v>
      </c>
      <c r="O1256" s="8" t="s">
        <v>5186</v>
      </c>
      <c r="P1256" s="8" t="s">
        <v>65</v>
      </c>
      <c r="Q1256" s="14" t="s">
        <v>338</v>
      </c>
      <c r="R1256" s="8" t="s">
        <v>2560</v>
      </c>
      <c r="S1256" s="14" t="s">
        <v>2565</v>
      </c>
    </row>
    <row r="1257">
      <c r="A1257" s="8" t="s">
        <v>301</v>
      </c>
      <c r="B1257" s="8" t="s">
        <v>3362</v>
      </c>
      <c r="C1257" s="8" t="s">
        <v>59</v>
      </c>
      <c r="D1257" s="18" t="s">
        <v>2567</v>
      </c>
      <c r="E1257" s="16">
        <v>71.0</v>
      </c>
      <c r="F1257" s="8" t="s">
        <v>301</v>
      </c>
      <c r="G1257" s="8" t="s">
        <v>2179</v>
      </c>
      <c r="H1257" s="8" t="s">
        <v>65</v>
      </c>
      <c r="I1257" s="18" t="s">
        <v>2610</v>
      </c>
      <c r="J1257" s="16">
        <v>68.0</v>
      </c>
      <c r="K1257" s="8" t="s">
        <v>381</v>
      </c>
      <c r="L1257" s="8" t="s">
        <v>677</v>
      </c>
      <c r="M1257" s="18" t="s">
        <v>2556</v>
      </c>
      <c r="N1257" s="16">
        <v>76.0</v>
      </c>
      <c r="O1257" s="8" t="s">
        <v>5187</v>
      </c>
      <c r="P1257" s="8" t="s">
        <v>59</v>
      </c>
      <c r="Q1257" s="14" t="s">
        <v>1352</v>
      </c>
      <c r="R1257" s="8" t="s">
        <v>2593</v>
      </c>
      <c r="S1257" s="14" t="s">
        <v>2583</v>
      </c>
    </row>
    <row r="1258">
      <c r="A1258" s="8" t="s">
        <v>301</v>
      </c>
      <c r="B1258" s="8" t="s">
        <v>300</v>
      </c>
      <c r="C1258" s="8" t="s">
        <v>93</v>
      </c>
      <c r="D1258" s="18" t="s">
        <v>2582</v>
      </c>
      <c r="E1258" s="16">
        <v>94.0</v>
      </c>
      <c r="F1258" s="8" t="s">
        <v>301</v>
      </c>
      <c r="G1258" s="8" t="s">
        <v>1164</v>
      </c>
      <c r="H1258" s="8" t="s">
        <v>192</v>
      </c>
      <c r="I1258" s="18" t="s">
        <v>2582</v>
      </c>
      <c r="J1258" s="16">
        <v>67.0</v>
      </c>
      <c r="K1258" s="8" t="s">
        <v>381</v>
      </c>
      <c r="L1258" s="8" t="s">
        <v>473</v>
      </c>
      <c r="M1258" s="18" t="s">
        <v>2598</v>
      </c>
      <c r="N1258" s="16">
        <v>74.0</v>
      </c>
      <c r="O1258" s="8" t="s">
        <v>5188</v>
      </c>
      <c r="P1258" s="8" t="s">
        <v>65</v>
      </c>
      <c r="Q1258" s="14" t="s">
        <v>1070</v>
      </c>
      <c r="R1258" s="8" t="s">
        <v>2582</v>
      </c>
      <c r="S1258" s="14" t="s">
        <v>2590</v>
      </c>
    </row>
    <row r="1259">
      <c r="A1259" s="8" t="s">
        <v>301</v>
      </c>
      <c r="B1259" s="8" t="s">
        <v>308</v>
      </c>
      <c r="C1259" s="8" t="s">
        <v>93</v>
      </c>
      <c r="D1259" s="18" t="s">
        <v>2592</v>
      </c>
      <c r="E1259" s="16">
        <v>75.0</v>
      </c>
      <c r="F1259" s="8" t="s">
        <v>301</v>
      </c>
      <c r="G1259" s="8" t="s">
        <v>1400</v>
      </c>
      <c r="H1259" s="8" t="s">
        <v>59</v>
      </c>
      <c r="I1259" s="18" t="s">
        <v>2621</v>
      </c>
      <c r="J1259" s="16">
        <v>64.0</v>
      </c>
      <c r="K1259" s="8" t="s">
        <v>381</v>
      </c>
      <c r="L1259" s="8" t="s">
        <v>1181</v>
      </c>
      <c r="M1259" s="18" t="s">
        <v>2183</v>
      </c>
      <c r="N1259" s="16">
        <v>67.0</v>
      </c>
      <c r="O1259" s="8" t="s">
        <v>5189</v>
      </c>
      <c r="P1259" s="8" t="s">
        <v>70</v>
      </c>
      <c r="Q1259" s="14" t="s">
        <v>1070</v>
      </c>
      <c r="R1259" s="8" t="s">
        <v>2562</v>
      </c>
      <c r="S1259" s="14" t="s">
        <v>2594</v>
      </c>
    </row>
    <row r="1260">
      <c r="A1260" s="8" t="s">
        <v>301</v>
      </c>
      <c r="B1260" s="8" t="s">
        <v>1023</v>
      </c>
      <c r="C1260" s="8" t="s">
        <v>93</v>
      </c>
      <c r="D1260" s="18" t="s">
        <v>2610</v>
      </c>
      <c r="E1260" s="16">
        <v>70.0</v>
      </c>
      <c r="F1260" s="8" t="s">
        <v>301</v>
      </c>
      <c r="G1260" s="8" t="s">
        <v>2878</v>
      </c>
      <c r="H1260" s="8" t="s">
        <v>59</v>
      </c>
      <c r="I1260" s="18" t="s">
        <v>2598</v>
      </c>
      <c r="J1260" s="16">
        <v>62.0</v>
      </c>
      <c r="K1260" s="8" t="s">
        <v>381</v>
      </c>
      <c r="L1260" s="8" t="s">
        <v>579</v>
      </c>
      <c r="M1260" s="18" t="s">
        <v>2558</v>
      </c>
      <c r="N1260" s="16">
        <v>70.0</v>
      </c>
      <c r="O1260" s="8" t="s">
        <v>5190</v>
      </c>
      <c r="P1260" s="8" t="s">
        <v>65</v>
      </c>
      <c r="Q1260" s="14" t="s">
        <v>631</v>
      </c>
      <c r="R1260" s="8" t="s">
        <v>2600</v>
      </c>
      <c r="S1260" s="14" t="s">
        <v>2578</v>
      </c>
    </row>
    <row r="1261">
      <c r="A1261" s="8" t="s">
        <v>301</v>
      </c>
      <c r="B1261" s="8" t="s">
        <v>3053</v>
      </c>
      <c r="C1261" s="8" t="s">
        <v>75</v>
      </c>
      <c r="D1261" s="18" t="s">
        <v>2558</v>
      </c>
      <c r="E1261" s="16">
        <v>91.0</v>
      </c>
      <c r="F1261" s="8" t="s">
        <v>301</v>
      </c>
      <c r="G1261" s="8" t="s">
        <v>566</v>
      </c>
      <c r="H1261" s="8" t="s">
        <v>132</v>
      </c>
      <c r="I1261" s="18" t="s">
        <v>2621</v>
      </c>
      <c r="J1261" s="16">
        <v>80.0</v>
      </c>
      <c r="K1261" s="8" t="s">
        <v>381</v>
      </c>
      <c r="L1261" s="8" t="s">
        <v>1874</v>
      </c>
      <c r="M1261" s="18" t="s">
        <v>2593</v>
      </c>
      <c r="N1261" s="16">
        <v>66.0</v>
      </c>
      <c r="O1261" s="8" t="s">
        <v>5191</v>
      </c>
      <c r="P1261" s="8" t="s">
        <v>24</v>
      </c>
      <c r="Q1261" s="14" t="s">
        <v>338</v>
      </c>
      <c r="R1261" s="8" t="s">
        <v>2598</v>
      </c>
      <c r="S1261" s="14" t="s">
        <v>2627</v>
      </c>
    </row>
    <row r="1262">
      <c r="A1262" s="8" t="s">
        <v>301</v>
      </c>
      <c r="B1262" s="8" t="s">
        <v>62</v>
      </c>
      <c r="C1262" s="8" t="s">
        <v>93</v>
      </c>
      <c r="D1262" s="18" t="s">
        <v>2614</v>
      </c>
      <c r="E1262" s="16">
        <v>66.0</v>
      </c>
      <c r="F1262" s="8" t="s">
        <v>301</v>
      </c>
      <c r="G1262" s="8" t="s">
        <v>698</v>
      </c>
      <c r="H1262" s="8" t="s">
        <v>65</v>
      </c>
      <c r="I1262" s="18" t="s">
        <v>2615</v>
      </c>
      <c r="J1262" s="16">
        <v>78.0</v>
      </c>
      <c r="K1262" s="8" t="s">
        <v>381</v>
      </c>
      <c r="L1262" s="8" t="s">
        <v>380</v>
      </c>
      <c r="M1262" s="18" t="s">
        <v>2183</v>
      </c>
      <c r="N1262" s="16">
        <v>87.0</v>
      </c>
      <c r="O1262" s="8" t="s">
        <v>5192</v>
      </c>
      <c r="P1262" s="8" t="s">
        <v>186</v>
      </c>
      <c r="Q1262" s="14" t="s">
        <v>1352</v>
      </c>
      <c r="R1262" s="8" t="s">
        <v>2582</v>
      </c>
      <c r="S1262" s="14" t="s">
        <v>2609</v>
      </c>
    </row>
    <row r="1263">
      <c r="A1263" s="8" t="s">
        <v>301</v>
      </c>
      <c r="B1263" s="8" t="s">
        <v>104</v>
      </c>
      <c r="C1263" s="8" t="s">
        <v>132</v>
      </c>
      <c r="D1263" s="18" t="s">
        <v>2558</v>
      </c>
      <c r="E1263" s="16">
        <v>62.0</v>
      </c>
      <c r="F1263" s="8" t="s">
        <v>301</v>
      </c>
      <c r="G1263" s="8" t="s">
        <v>828</v>
      </c>
      <c r="H1263" s="8" t="s">
        <v>149</v>
      </c>
      <c r="I1263" s="18" t="s">
        <v>2584</v>
      </c>
      <c r="J1263" s="16">
        <v>70.0</v>
      </c>
      <c r="K1263" s="8" t="s">
        <v>381</v>
      </c>
      <c r="L1263" s="8" t="s">
        <v>284</v>
      </c>
      <c r="M1263" s="18" t="s">
        <v>2572</v>
      </c>
      <c r="N1263" s="16">
        <v>70.0</v>
      </c>
      <c r="O1263" s="8" t="s">
        <v>5193</v>
      </c>
      <c r="P1263" s="8" t="s">
        <v>93</v>
      </c>
      <c r="Q1263" s="14" t="s">
        <v>1070</v>
      </c>
      <c r="R1263" s="8" t="s">
        <v>2564</v>
      </c>
      <c r="S1263" s="14" t="s">
        <v>2563</v>
      </c>
    </row>
    <row r="1264">
      <c r="A1264" s="8" t="s">
        <v>301</v>
      </c>
      <c r="B1264" s="8" t="s">
        <v>828</v>
      </c>
      <c r="C1264" s="8" t="s">
        <v>149</v>
      </c>
      <c r="D1264" s="18" t="s">
        <v>2584</v>
      </c>
      <c r="E1264" s="16">
        <v>71.0</v>
      </c>
      <c r="F1264" s="8" t="s">
        <v>301</v>
      </c>
      <c r="G1264" s="8" t="s">
        <v>396</v>
      </c>
      <c r="H1264" s="8" t="s">
        <v>59</v>
      </c>
      <c r="I1264" s="18" t="s">
        <v>2560</v>
      </c>
      <c r="J1264" s="16">
        <v>68.0</v>
      </c>
      <c r="K1264" s="8" t="s">
        <v>381</v>
      </c>
      <c r="L1264" s="8" t="s">
        <v>208</v>
      </c>
      <c r="M1264" s="18" t="s">
        <v>2572</v>
      </c>
      <c r="N1264" s="16">
        <v>69.0</v>
      </c>
      <c r="O1264" s="8" t="s">
        <v>5194</v>
      </c>
      <c r="P1264" s="8" t="s">
        <v>24</v>
      </c>
      <c r="Q1264" s="14" t="s">
        <v>459</v>
      </c>
      <c r="R1264" s="8" t="s">
        <v>2595</v>
      </c>
      <c r="S1264" s="14" t="s">
        <v>2586</v>
      </c>
    </row>
    <row r="1265">
      <c r="A1265" s="8" t="s">
        <v>1283</v>
      </c>
      <c r="B1265" s="8" t="s">
        <v>350</v>
      </c>
      <c r="C1265" s="8" t="s">
        <v>65</v>
      </c>
      <c r="D1265" s="18" t="s">
        <v>2605</v>
      </c>
      <c r="E1265" s="16">
        <v>68.0</v>
      </c>
      <c r="F1265" s="8" t="s">
        <v>301</v>
      </c>
      <c r="G1265" s="8" t="s">
        <v>3181</v>
      </c>
      <c r="H1265" s="8" t="s">
        <v>65</v>
      </c>
      <c r="I1265" s="18" t="s">
        <v>2615</v>
      </c>
      <c r="J1265" s="16">
        <v>64.0</v>
      </c>
      <c r="K1265" s="8" t="s">
        <v>381</v>
      </c>
      <c r="L1265" s="8" t="s">
        <v>34</v>
      </c>
      <c r="M1265" s="18" t="s">
        <v>2592</v>
      </c>
      <c r="N1265" s="16">
        <v>72.0</v>
      </c>
      <c r="O1265" s="8" t="s">
        <v>5195</v>
      </c>
      <c r="P1265" s="8" t="s">
        <v>93</v>
      </c>
      <c r="Q1265" s="14" t="s">
        <v>2033</v>
      </c>
      <c r="R1265" s="8" t="s">
        <v>2558</v>
      </c>
      <c r="S1265" s="14" t="s">
        <v>2601</v>
      </c>
    </row>
    <row r="1266">
      <c r="A1266" s="8" t="s">
        <v>1283</v>
      </c>
      <c r="B1266" s="8" t="s">
        <v>1450</v>
      </c>
      <c r="C1266" s="8" t="s">
        <v>132</v>
      </c>
      <c r="D1266" s="18" t="s">
        <v>2585</v>
      </c>
      <c r="E1266" s="16">
        <v>74.0</v>
      </c>
      <c r="F1266" s="8" t="s">
        <v>301</v>
      </c>
      <c r="G1266" s="8" t="s">
        <v>104</v>
      </c>
      <c r="H1266" s="8" t="s">
        <v>132</v>
      </c>
      <c r="I1266" s="18" t="s">
        <v>2562</v>
      </c>
      <c r="J1266" s="16">
        <v>62.0</v>
      </c>
      <c r="K1266" s="8" t="s">
        <v>381</v>
      </c>
      <c r="L1266" s="8" t="s">
        <v>609</v>
      </c>
      <c r="M1266" s="18" t="s">
        <v>2575</v>
      </c>
      <c r="N1266" s="16">
        <v>89.0</v>
      </c>
      <c r="O1266" s="8" t="s">
        <v>5196</v>
      </c>
      <c r="P1266" s="8" t="s">
        <v>70</v>
      </c>
      <c r="Q1266" s="14" t="s">
        <v>2459</v>
      </c>
      <c r="R1266" s="18" t="s">
        <v>2556</v>
      </c>
      <c r="S1266" s="14" t="s">
        <v>2553</v>
      </c>
    </row>
    <row r="1267">
      <c r="A1267" s="8" t="s">
        <v>1283</v>
      </c>
      <c r="B1267" s="8" t="s">
        <v>2992</v>
      </c>
      <c r="C1267" s="8" t="s">
        <v>186</v>
      </c>
      <c r="D1267" s="18" t="s">
        <v>2572</v>
      </c>
      <c r="E1267" s="16">
        <v>66.0</v>
      </c>
      <c r="F1267" s="8" t="s">
        <v>301</v>
      </c>
      <c r="G1267" s="8" t="s">
        <v>460</v>
      </c>
      <c r="H1267" s="8" t="s">
        <v>141</v>
      </c>
      <c r="I1267" s="18" t="s">
        <v>2592</v>
      </c>
      <c r="J1267" s="16">
        <v>61.0</v>
      </c>
      <c r="K1267" s="8" t="s">
        <v>381</v>
      </c>
      <c r="L1267" s="8" t="s">
        <v>1012</v>
      </c>
      <c r="M1267" s="18" t="s">
        <v>2562</v>
      </c>
      <c r="N1267" s="16">
        <v>73.0</v>
      </c>
      <c r="O1267" s="8" t="s">
        <v>5197</v>
      </c>
      <c r="P1267" s="8" t="s">
        <v>80</v>
      </c>
      <c r="Q1267" s="14" t="s">
        <v>1679</v>
      </c>
      <c r="R1267" s="8" t="s">
        <v>2558</v>
      </c>
      <c r="S1267" s="14" t="s">
        <v>2573</v>
      </c>
    </row>
    <row r="1268">
      <c r="A1268" s="8" t="s">
        <v>3347</v>
      </c>
      <c r="B1268" s="8" t="s">
        <v>3346</v>
      </c>
      <c r="C1268" s="8" t="s">
        <v>132</v>
      </c>
      <c r="D1268" s="18" t="s">
        <v>2621</v>
      </c>
      <c r="E1268" s="16">
        <v>63.0</v>
      </c>
      <c r="F1268" s="8" t="s">
        <v>301</v>
      </c>
      <c r="G1268" s="8" t="s">
        <v>1505</v>
      </c>
      <c r="H1268" s="8" t="s">
        <v>53</v>
      </c>
      <c r="I1268" s="18" t="s">
        <v>2593</v>
      </c>
      <c r="J1268" s="16">
        <v>63.0</v>
      </c>
      <c r="K1268" s="8" t="s">
        <v>1110</v>
      </c>
      <c r="L1268" s="8" t="s">
        <v>1109</v>
      </c>
      <c r="M1268" s="18" t="s">
        <v>2560</v>
      </c>
      <c r="N1268" s="16">
        <v>67.0</v>
      </c>
      <c r="O1268" s="8" t="s">
        <v>5198</v>
      </c>
      <c r="P1268" s="8" t="s">
        <v>132</v>
      </c>
      <c r="Q1268" s="14" t="s">
        <v>459</v>
      </c>
      <c r="R1268" s="8" t="s">
        <v>2552</v>
      </c>
      <c r="S1268" s="14" t="s">
        <v>2565</v>
      </c>
    </row>
    <row r="1269">
      <c r="A1269" s="8" t="s">
        <v>3156</v>
      </c>
      <c r="B1269" s="8" t="s">
        <v>3155</v>
      </c>
      <c r="C1269" s="8" t="s">
        <v>93</v>
      </c>
      <c r="D1269" s="18" t="s">
        <v>2592</v>
      </c>
      <c r="E1269" s="16">
        <v>69.0</v>
      </c>
      <c r="F1269" s="8" t="s">
        <v>301</v>
      </c>
      <c r="G1269" s="8" t="s">
        <v>740</v>
      </c>
      <c r="H1269" s="8" t="s">
        <v>12</v>
      </c>
      <c r="I1269" s="18" t="s">
        <v>2572</v>
      </c>
      <c r="J1269" s="16">
        <v>76.0</v>
      </c>
      <c r="K1269" s="8" t="s">
        <v>3119</v>
      </c>
      <c r="L1269" s="8" t="s">
        <v>1049</v>
      </c>
      <c r="M1269" s="18" t="s">
        <v>2556</v>
      </c>
      <c r="N1269" s="16">
        <v>68.0</v>
      </c>
      <c r="O1269" s="8" t="s">
        <v>5199</v>
      </c>
      <c r="P1269" s="8" t="s">
        <v>12</v>
      </c>
      <c r="Q1269" s="14" t="s">
        <v>631</v>
      </c>
      <c r="R1269" s="8" t="s">
        <v>2584</v>
      </c>
      <c r="S1269" s="14" t="s">
        <v>2608</v>
      </c>
    </row>
    <row r="1270">
      <c r="A1270" s="8" t="s">
        <v>151</v>
      </c>
      <c r="B1270" s="8" t="s">
        <v>150</v>
      </c>
      <c r="C1270" s="8" t="s">
        <v>65</v>
      </c>
      <c r="D1270" s="18" t="s">
        <v>2600</v>
      </c>
      <c r="E1270" s="16">
        <v>89.0</v>
      </c>
      <c r="F1270" s="8" t="s">
        <v>301</v>
      </c>
      <c r="G1270" s="8" t="s">
        <v>389</v>
      </c>
      <c r="H1270" s="8" t="s">
        <v>93</v>
      </c>
      <c r="I1270" s="18" t="s">
        <v>2584</v>
      </c>
      <c r="J1270" s="16">
        <v>66.0</v>
      </c>
      <c r="K1270" s="18" t="s">
        <v>2717</v>
      </c>
      <c r="L1270" s="8" t="s">
        <v>246</v>
      </c>
      <c r="M1270" s="18" t="s">
        <v>2614</v>
      </c>
      <c r="N1270" s="16">
        <v>68.0</v>
      </c>
      <c r="O1270" s="8" t="s">
        <v>5200</v>
      </c>
      <c r="P1270" s="8" t="s">
        <v>65</v>
      </c>
      <c r="Q1270" s="14" t="s">
        <v>2033</v>
      </c>
      <c r="R1270" s="8" t="s">
        <v>2610</v>
      </c>
      <c r="S1270" s="14" t="s">
        <v>2568</v>
      </c>
    </row>
    <row r="1271">
      <c r="A1271" s="8" t="s">
        <v>151</v>
      </c>
      <c r="B1271" s="8" t="s">
        <v>805</v>
      </c>
      <c r="C1271" s="8" t="s">
        <v>59</v>
      </c>
      <c r="D1271" s="18" t="s">
        <v>2560</v>
      </c>
      <c r="E1271" s="16">
        <v>69.0</v>
      </c>
      <c r="F1271" s="8" t="s">
        <v>301</v>
      </c>
      <c r="G1271" s="8" t="s">
        <v>389</v>
      </c>
      <c r="H1271" s="8" t="s">
        <v>16</v>
      </c>
      <c r="I1271" s="18" t="s">
        <v>2566</v>
      </c>
      <c r="J1271" s="16">
        <v>63.0</v>
      </c>
      <c r="K1271" s="18" t="s">
        <v>456</v>
      </c>
      <c r="L1271" s="8" t="s">
        <v>455</v>
      </c>
      <c r="M1271" s="18" t="s">
        <v>2603</v>
      </c>
      <c r="N1271" s="16">
        <v>81.0</v>
      </c>
      <c r="O1271" s="8" t="s">
        <v>5201</v>
      </c>
      <c r="P1271" s="8" t="s">
        <v>138</v>
      </c>
      <c r="Q1271" s="14" t="s">
        <v>631</v>
      </c>
      <c r="R1271" s="18" t="s">
        <v>2556</v>
      </c>
      <c r="S1271" s="14" t="s">
        <v>2573</v>
      </c>
    </row>
    <row r="1272">
      <c r="A1272" s="8" t="s">
        <v>390</v>
      </c>
      <c r="B1272" s="8" t="s">
        <v>284</v>
      </c>
      <c r="C1272" s="8" t="s">
        <v>65</v>
      </c>
      <c r="D1272" s="18" t="s">
        <v>2598</v>
      </c>
      <c r="E1272" s="16">
        <v>96.0</v>
      </c>
      <c r="F1272" s="8" t="s">
        <v>301</v>
      </c>
      <c r="G1272" s="8" t="s">
        <v>638</v>
      </c>
      <c r="H1272" s="8" t="s">
        <v>141</v>
      </c>
      <c r="I1272" s="18" t="s">
        <v>2564</v>
      </c>
      <c r="J1272" s="16">
        <v>61.0</v>
      </c>
      <c r="K1272" s="18" t="s">
        <v>456</v>
      </c>
      <c r="L1272" s="8" t="s">
        <v>780</v>
      </c>
      <c r="M1272" s="18" t="s">
        <v>2567</v>
      </c>
      <c r="N1272" s="16">
        <v>66.0</v>
      </c>
      <c r="O1272" s="8" t="s">
        <v>5202</v>
      </c>
      <c r="P1272" s="8" t="s">
        <v>93</v>
      </c>
      <c r="Q1272" s="14" t="s">
        <v>237</v>
      </c>
      <c r="R1272" s="8" t="s">
        <v>2582</v>
      </c>
      <c r="S1272" s="14" t="s">
        <v>2599</v>
      </c>
    </row>
    <row r="1273">
      <c r="A1273" s="8" t="s">
        <v>2991</v>
      </c>
      <c r="B1273" s="8" t="s">
        <v>2213</v>
      </c>
      <c r="C1273" s="8" t="s">
        <v>59</v>
      </c>
      <c r="D1273" s="18" t="s">
        <v>2558</v>
      </c>
      <c r="E1273" s="16">
        <v>86.0</v>
      </c>
      <c r="F1273" s="8" t="s">
        <v>301</v>
      </c>
      <c r="G1273" s="8" t="s">
        <v>308</v>
      </c>
      <c r="H1273" s="8" t="s">
        <v>93</v>
      </c>
      <c r="I1273" s="18" t="s">
        <v>2592</v>
      </c>
      <c r="J1273" s="16">
        <v>72.0</v>
      </c>
      <c r="K1273" s="8" t="s">
        <v>5203</v>
      </c>
      <c r="L1273" s="8" t="s">
        <v>78</v>
      </c>
      <c r="M1273" s="18" t="s">
        <v>2585</v>
      </c>
      <c r="N1273" s="16">
        <v>74.0</v>
      </c>
      <c r="O1273" s="8" t="s">
        <v>5204</v>
      </c>
      <c r="P1273" s="8" t="s">
        <v>24</v>
      </c>
      <c r="Q1273" s="14" t="s">
        <v>2296</v>
      </c>
      <c r="R1273" s="8" t="s">
        <v>2584</v>
      </c>
      <c r="S1273" s="14" t="s">
        <v>2573</v>
      </c>
    </row>
    <row r="1274">
      <c r="A1274" s="8" t="s">
        <v>2991</v>
      </c>
      <c r="B1274" s="8" t="s">
        <v>62</v>
      </c>
      <c r="C1274" s="8" t="s">
        <v>24</v>
      </c>
      <c r="D1274" s="18" t="s">
        <v>2584</v>
      </c>
      <c r="E1274" s="16">
        <v>83.0</v>
      </c>
      <c r="F1274" s="8" t="s">
        <v>301</v>
      </c>
      <c r="G1274" s="8" t="s">
        <v>1716</v>
      </c>
      <c r="H1274" s="8" t="s">
        <v>122</v>
      </c>
      <c r="I1274" s="18" t="s">
        <v>2567</v>
      </c>
      <c r="J1274" s="16">
        <v>71.0</v>
      </c>
      <c r="K1274" s="8" t="s">
        <v>5205</v>
      </c>
      <c r="L1274" s="8" t="s">
        <v>1440</v>
      </c>
      <c r="M1274" s="18" t="s">
        <v>2562</v>
      </c>
      <c r="N1274" s="16">
        <v>76.0</v>
      </c>
      <c r="O1274" s="8" t="s">
        <v>5206</v>
      </c>
      <c r="P1274" s="8" t="s">
        <v>65</v>
      </c>
      <c r="Q1274" s="14" t="s">
        <v>1679</v>
      </c>
      <c r="R1274" s="8" t="s">
        <v>2593</v>
      </c>
      <c r="S1274" s="14" t="s">
        <v>2601</v>
      </c>
    </row>
    <row r="1275">
      <c r="A1275" s="8" t="s">
        <v>3420</v>
      </c>
      <c r="B1275" s="8" t="s">
        <v>3419</v>
      </c>
      <c r="C1275" s="8" t="s">
        <v>93</v>
      </c>
      <c r="D1275" s="18" t="s">
        <v>2575</v>
      </c>
      <c r="E1275" s="16">
        <v>67.0</v>
      </c>
      <c r="F1275" s="8" t="s">
        <v>301</v>
      </c>
      <c r="G1275" s="8" t="s">
        <v>3362</v>
      </c>
      <c r="H1275" s="8" t="s">
        <v>59</v>
      </c>
      <c r="I1275" s="18" t="s">
        <v>2584</v>
      </c>
      <c r="J1275" s="16">
        <v>69.0</v>
      </c>
      <c r="K1275" s="8" t="s">
        <v>2775</v>
      </c>
      <c r="L1275" s="8" t="s">
        <v>895</v>
      </c>
      <c r="M1275" s="18" t="s">
        <v>2614</v>
      </c>
      <c r="N1275" s="16">
        <v>67.0</v>
      </c>
      <c r="O1275" s="8" t="s">
        <v>5207</v>
      </c>
      <c r="P1275" s="8" t="s">
        <v>16</v>
      </c>
      <c r="Q1275" s="14" t="s">
        <v>2296</v>
      </c>
      <c r="R1275" s="8" t="s">
        <v>2581</v>
      </c>
      <c r="S1275" s="14" t="s">
        <v>2591</v>
      </c>
    </row>
    <row r="1276">
      <c r="A1276" s="8" t="s">
        <v>3264</v>
      </c>
      <c r="B1276" s="8" t="s">
        <v>3263</v>
      </c>
      <c r="C1276" s="8" t="s">
        <v>53</v>
      </c>
      <c r="D1276" s="18" t="s">
        <v>2582</v>
      </c>
      <c r="E1276" s="16">
        <v>80.0</v>
      </c>
      <c r="F1276" s="8" t="s">
        <v>301</v>
      </c>
      <c r="G1276" s="8" t="s">
        <v>751</v>
      </c>
      <c r="H1276" s="8" t="s">
        <v>215</v>
      </c>
      <c r="I1276" s="18" t="s">
        <v>2589</v>
      </c>
      <c r="J1276" s="16">
        <v>66.0</v>
      </c>
      <c r="K1276" s="8" t="s">
        <v>2734</v>
      </c>
      <c r="L1276" s="8" t="s">
        <v>165</v>
      </c>
      <c r="M1276" s="18" t="s">
        <v>2587</v>
      </c>
      <c r="N1276" s="16">
        <v>64.0</v>
      </c>
      <c r="O1276" s="8" t="s">
        <v>5208</v>
      </c>
      <c r="P1276" s="8" t="s">
        <v>80</v>
      </c>
      <c r="Q1276" s="14" t="s">
        <v>837</v>
      </c>
      <c r="R1276" s="18" t="s">
        <v>2589</v>
      </c>
      <c r="S1276" s="14" t="s">
        <v>2579</v>
      </c>
    </row>
    <row r="1277">
      <c r="A1277" s="8" t="s">
        <v>495</v>
      </c>
      <c r="B1277" s="8" t="s">
        <v>494</v>
      </c>
      <c r="C1277" s="8" t="s">
        <v>215</v>
      </c>
      <c r="D1277" s="18" t="s">
        <v>2621</v>
      </c>
      <c r="E1277" s="16">
        <v>93.0</v>
      </c>
      <c r="F1277" s="8" t="s">
        <v>301</v>
      </c>
      <c r="G1277" s="8" t="s">
        <v>89</v>
      </c>
      <c r="H1277" s="8" t="s">
        <v>24</v>
      </c>
      <c r="I1277" s="18" t="s">
        <v>2598</v>
      </c>
      <c r="J1277" s="16">
        <v>54.0</v>
      </c>
      <c r="K1277" s="8" t="s">
        <v>2381</v>
      </c>
      <c r="L1277" s="8" t="s">
        <v>1895</v>
      </c>
      <c r="M1277" s="18" t="s">
        <v>2183</v>
      </c>
      <c r="N1277" s="16">
        <v>66.0</v>
      </c>
      <c r="O1277" s="8" t="s">
        <v>5209</v>
      </c>
      <c r="P1277" s="8" t="s">
        <v>215</v>
      </c>
      <c r="Q1277" s="14" t="s">
        <v>2296</v>
      </c>
      <c r="R1277" s="8" t="s">
        <v>2564</v>
      </c>
      <c r="S1277" s="14" t="s">
        <v>2591</v>
      </c>
    </row>
    <row r="1278">
      <c r="A1278" s="8" t="s">
        <v>1883</v>
      </c>
      <c r="B1278" s="8" t="s">
        <v>502</v>
      </c>
      <c r="C1278" s="8" t="s">
        <v>24</v>
      </c>
      <c r="D1278" s="18" t="s">
        <v>2593</v>
      </c>
      <c r="E1278" s="16">
        <v>68.0</v>
      </c>
      <c r="F1278" s="8" t="s">
        <v>301</v>
      </c>
      <c r="G1278" s="8" t="s">
        <v>300</v>
      </c>
      <c r="H1278" s="8" t="s">
        <v>93</v>
      </c>
      <c r="I1278" s="18" t="s">
        <v>2582</v>
      </c>
      <c r="J1278" s="16">
        <v>90.0</v>
      </c>
      <c r="K1278" s="8" t="s">
        <v>1917</v>
      </c>
      <c r="L1278" s="8" t="s">
        <v>2789</v>
      </c>
      <c r="M1278" s="18" t="s">
        <v>2552</v>
      </c>
      <c r="N1278" s="16">
        <v>76.0</v>
      </c>
      <c r="O1278" s="8" t="s">
        <v>5210</v>
      </c>
      <c r="P1278" s="8" t="s">
        <v>122</v>
      </c>
      <c r="Q1278" s="14" t="s">
        <v>1352</v>
      </c>
      <c r="R1278" s="8" t="s">
        <v>2610</v>
      </c>
      <c r="S1278" s="14" t="s">
        <v>2594</v>
      </c>
    </row>
    <row r="1279">
      <c r="A1279" s="8" t="s">
        <v>381</v>
      </c>
      <c r="B1279" s="8" t="s">
        <v>473</v>
      </c>
      <c r="C1279" s="8" t="s">
        <v>93</v>
      </c>
      <c r="D1279" s="18" t="s">
        <v>2589</v>
      </c>
      <c r="E1279" s="16">
        <v>74.0</v>
      </c>
      <c r="F1279" s="8" t="s">
        <v>1283</v>
      </c>
      <c r="G1279" s="8" t="s">
        <v>2847</v>
      </c>
      <c r="H1279" s="8" t="s">
        <v>93</v>
      </c>
      <c r="I1279" s="18" t="s">
        <v>2582</v>
      </c>
      <c r="J1279" s="16">
        <v>64.0</v>
      </c>
      <c r="K1279" s="8" t="s">
        <v>1917</v>
      </c>
      <c r="L1279" s="8" t="s">
        <v>1916</v>
      </c>
      <c r="M1279" s="18" t="s">
        <v>2575</v>
      </c>
      <c r="N1279" s="16">
        <v>69.0</v>
      </c>
      <c r="O1279" s="8" t="s">
        <v>5211</v>
      </c>
      <c r="P1279" s="8" t="s">
        <v>46</v>
      </c>
      <c r="Q1279" s="14" t="s">
        <v>631</v>
      </c>
      <c r="R1279" s="8" t="s">
        <v>2584</v>
      </c>
      <c r="S1279" s="14" t="s">
        <v>2579</v>
      </c>
    </row>
    <row r="1280">
      <c r="A1280" s="8" t="s">
        <v>381</v>
      </c>
      <c r="B1280" s="8" t="s">
        <v>3177</v>
      </c>
      <c r="C1280" s="8" t="s">
        <v>65</v>
      </c>
      <c r="D1280" s="18" t="s">
        <v>2584</v>
      </c>
      <c r="E1280" s="16">
        <v>68.0</v>
      </c>
      <c r="F1280" s="8" t="s">
        <v>1283</v>
      </c>
      <c r="G1280" s="8" t="s">
        <v>1766</v>
      </c>
      <c r="H1280" s="8" t="s">
        <v>16</v>
      </c>
      <c r="I1280" s="18" t="s">
        <v>2577</v>
      </c>
      <c r="J1280" s="16">
        <v>72.0</v>
      </c>
      <c r="K1280" s="8" t="s">
        <v>1589</v>
      </c>
      <c r="L1280" s="8" t="s">
        <v>223</v>
      </c>
      <c r="M1280" s="18" t="s">
        <v>2621</v>
      </c>
      <c r="N1280" s="16">
        <v>68.0</v>
      </c>
      <c r="O1280" s="8" t="s">
        <v>5212</v>
      </c>
      <c r="P1280" s="8" t="s">
        <v>16</v>
      </c>
      <c r="Q1280" s="14" t="s">
        <v>1070</v>
      </c>
      <c r="R1280" s="8" t="s">
        <v>2582</v>
      </c>
      <c r="S1280" s="14" t="s">
        <v>2631</v>
      </c>
    </row>
    <row r="1281">
      <c r="A1281" s="8" t="s">
        <v>381</v>
      </c>
      <c r="B1281" s="8" t="s">
        <v>655</v>
      </c>
      <c r="C1281" s="8" t="s">
        <v>141</v>
      </c>
      <c r="D1281" s="18" t="s">
        <v>2603</v>
      </c>
      <c r="E1281" s="16">
        <v>71.0</v>
      </c>
      <c r="F1281" s="8" t="s">
        <v>1283</v>
      </c>
      <c r="G1281" s="8" t="s">
        <v>1282</v>
      </c>
      <c r="H1281" s="8" t="s">
        <v>24</v>
      </c>
      <c r="I1281" s="18" t="s">
        <v>2598</v>
      </c>
      <c r="J1281" s="16">
        <v>64.0</v>
      </c>
      <c r="K1281" s="8" t="s">
        <v>2039</v>
      </c>
      <c r="L1281" s="8" t="s">
        <v>2038</v>
      </c>
      <c r="M1281" s="18" t="s">
        <v>2581</v>
      </c>
      <c r="N1281" s="16">
        <v>74.0</v>
      </c>
      <c r="O1281" s="8" t="s">
        <v>5213</v>
      </c>
      <c r="P1281" s="8" t="s">
        <v>186</v>
      </c>
      <c r="Q1281" s="14" t="s">
        <v>2033</v>
      </c>
      <c r="R1281" s="8" t="s">
        <v>2605</v>
      </c>
      <c r="S1281" s="14" t="s">
        <v>2618</v>
      </c>
    </row>
    <row r="1282">
      <c r="A1282" s="8" t="s">
        <v>381</v>
      </c>
      <c r="B1282" s="8" t="s">
        <v>877</v>
      </c>
      <c r="C1282" s="8" t="s">
        <v>93</v>
      </c>
      <c r="D1282" s="18" t="s">
        <v>2600</v>
      </c>
      <c r="E1282" s="16">
        <v>67.0</v>
      </c>
      <c r="F1282" s="8" t="s">
        <v>1283</v>
      </c>
      <c r="G1282" s="8" t="s">
        <v>1450</v>
      </c>
      <c r="H1282" s="8" t="s">
        <v>132</v>
      </c>
      <c r="I1282" s="18" t="s">
        <v>2585</v>
      </c>
      <c r="J1282" s="16">
        <v>69.0</v>
      </c>
      <c r="K1282" s="8" t="s">
        <v>1586</v>
      </c>
      <c r="L1282" s="8" t="s">
        <v>1585</v>
      </c>
      <c r="M1282" s="18" t="s">
        <v>2566</v>
      </c>
      <c r="N1282" s="16">
        <v>68.0</v>
      </c>
      <c r="O1282" s="8" t="s">
        <v>5214</v>
      </c>
      <c r="P1282" s="8" t="s">
        <v>16</v>
      </c>
      <c r="Q1282" s="14" t="s">
        <v>1679</v>
      </c>
      <c r="R1282" s="8" t="s">
        <v>2577</v>
      </c>
      <c r="S1282" s="14" t="s">
        <v>2555</v>
      </c>
    </row>
    <row r="1283">
      <c r="A1283" s="8" t="s">
        <v>381</v>
      </c>
      <c r="B1283" s="8" t="s">
        <v>3617</v>
      </c>
      <c r="C1283" s="8" t="s">
        <v>24</v>
      </c>
      <c r="D1283" s="18" t="s">
        <v>2595</v>
      </c>
      <c r="E1283" s="16">
        <v>42.0</v>
      </c>
      <c r="F1283" s="8" t="s">
        <v>1283</v>
      </c>
      <c r="G1283" s="8" t="s">
        <v>2992</v>
      </c>
      <c r="H1283" s="8" t="s">
        <v>59</v>
      </c>
      <c r="I1283" s="18" t="s">
        <v>2572</v>
      </c>
      <c r="J1283" s="16">
        <v>68.0</v>
      </c>
      <c r="K1283" s="8" t="s">
        <v>2725</v>
      </c>
      <c r="L1283" s="8" t="s">
        <v>2724</v>
      </c>
      <c r="M1283" s="18" t="s">
        <v>2603</v>
      </c>
      <c r="N1283" s="16">
        <v>85.0</v>
      </c>
      <c r="O1283" s="8" t="s">
        <v>5215</v>
      </c>
      <c r="P1283" s="8" t="s">
        <v>132</v>
      </c>
      <c r="Q1283" s="14" t="s">
        <v>1352</v>
      </c>
      <c r="R1283" s="8" t="s">
        <v>2585</v>
      </c>
      <c r="S1283" s="14" t="s">
        <v>2555</v>
      </c>
    </row>
    <row r="1284">
      <c r="A1284" s="8" t="s">
        <v>381</v>
      </c>
      <c r="B1284" s="8" t="s">
        <v>3619</v>
      </c>
      <c r="C1284" s="8" t="s">
        <v>53</v>
      </c>
      <c r="D1284" s="18" t="s">
        <v>2614</v>
      </c>
      <c r="E1284" s="16">
        <v>77.0</v>
      </c>
      <c r="F1284" s="8" t="s">
        <v>1283</v>
      </c>
      <c r="G1284" s="8" t="s">
        <v>350</v>
      </c>
      <c r="H1284" s="8" t="s">
        <v>65</v>
      </c>
      <c r="I1284" s="18" t="s">
        <v>2605</v>
      </c>
      <c r="J1284" s="16">
        <v>70.0</v>
      </c>
      <c r="K1284" s="8" t="s">
        <v>1416</v>
      </c>
      <c r="L1284" s="8" t="s">
        <v>1415</v>
      </c>
      <c r="M1284" s="18" t="s">
        <v>2575</v>
      </c>
      <c r="N1284" s="16">
        <v>71.0</v>
      </c>
      <c r="O1284" s="8" t="s">
        <v>5216</v>
      </c>
      <c r="P1284" s="8" t="s">
        <v>93</v>
      </c>
      <c r="Q1284" s="14" t="s">
        <v>1679</v>
      </c>
      <c r="R1284" s="8" t="s">
        <v>2621</v>
      </c>
      <c r="S1284" s="14" t="s">
        <v>2609</v>
      </c>
    </row>
    <row r="1285">
      <c r="A1285" s="8" t="s">
        <v>381</v>
      </c>
      <c r="B1285" s="8" t="s">
        <v>677</v>
      </c>
      <c r="C1285" s="8" t="s">
        <v>122</v>
      </c>
      <c r="D1285" s="18" t="s">
        <v>2556</v>
      </c>
      <c r="E1285" s="16">
        <v>71.0</v>
      </c>
      <c r="F1285" s="8" t="s">
        <v>3347</v>
      </c>
      <c r="G1285" s="8" t="s">
        <v>3346</v>
      </c>
      <c r="H1285" s="8" t="s">
        <v>132</v>
      </c>
      <c r="I1285" s="18" t="s">
        <v>2621</v>
      </c>
      <c r="J1285" s="16">
        <v>61.0</v>
      </c>
      <c r="K1285" s="8" t="s">
        <v>2649</v>
      </c>
      <c r="L1285" s="8" t="s">
        <v>2648</v>
      </c>
      <c r="M1285" s="18" t="s">
        <v>2645</v>
      </c>
      <c r="N1285" s="16">
        <v>61.0</v>
      </c>
      <c r="O1285" s="8" t="s">
        <v>5217</v>
      </c>
      <c r="P1285" s="8" t="s">
        <v>149</v>
      </c>
      <c r="Q1285" s="14" t="s">
        <v>2033</v>
      </c>
      <c r="R1285" s="18" t="s">
        <v>2589</v>
      </c>
      <c r="S1285" s="14" t="s">
        <v>2618</v>
      </c>
    </row>
    <row r="1286">
      <c r="A1286" s="8" t="s">
        <v>381</v>
      </c>
      <c r="B1286" s="8" t="s">
        <v>3638</v>
      </c>
      <c r="C1286" s="8" t="s">
        <v>70</v>
      </c>
      <c r="D1286" s="18" t="s">
        <v>2575</v>
      </c>
      <c r="E1286" s="16">
        <v>82.0</v>
      </c>
      <c r="F1286" s="8" t="s">
        <v>1880</v>
      </c>
      <c r="G1286" s="8" t="s">
        <v>94</v>
      </c>
      <c r="H1286" s="8" t="s">
        <v>93</v>
      </c>
      <c r="I1286" s="18" t="s">
        <v>2614</v>
      </c>
      <c r="J1286" s="16">
        <v>75.0</v>
      </c>
      <c r="K1286" s="8" t="s">
        <v>2385</v>
      </c>
      <c r="L1286" s="8" t="s">
        <v>1264</v>
      </c>
      <c r="M1286" s="18" t="s">
        <v>2595</v>
      </c>
      <c r="N1286" s="16">
        <v>68.0</v>
      </c>
      <c r="O1286" s="8" t="s">
        <v>5218</v>
      </c>
      <c r="P1286" s="8" t="s">
        <v>24</v>
      </c>
      <c r="Q1286" s="14" t="s">
        <v>1070</v>
      </c>
      <c r="R1286" s="8" t="s">
        <v>2564</v>
      </c>
      <c r="S1286" s="14" t="s">
        <v>2573</v>
      </c>
    </row>
    <row r="1287">
      <c r="A1287" s="8" t="s">
        <v>381</v>
      </c>
      <c r="B1287" s="8" t="s">
        <v>267</v>
      </c>
      <c r="C1287" s="8" t="s">
        <v>93</v>
      </c>
      <c r="D1287" s="18" t="s">
        <v>2615</v>
      </c>
      <c r="E1287" s="16">
        <v>74.0</v>
      </c>
      <c r="F1287" s="8" t="s">
        <v>3156</v>
      </c>
      <c r="G1287" s="8" t="s">
        <v>3155</v>
      </c>
      <c r="H1287" s="8" t="s">
        <v>93</v>
      </c>
      <c r="I1287" s="18" t="s">
        <v>2592</v>
      </c>
      <c r="J1287" s="16">
        <v>72.0</v>
      </c>
      <c r="K1287" s="8" t="s">
        <v>1461</v>
      </c>
      <c r="L1287" s="8" t="s">
        <v>1460</v>
      </c>
      <c r="M1287" s="18" t="s">
        <v>2564</v>
      </c>
      <c r="N1287" s="16">
        <v>71.0</v>
      </c>
      <c r="O1287" s="8" t="s">
        <v>5219</v>
      </c>
      <c r="P1287" s="8" t="s">
        <v>93</v>
      </c>
      <c r="Q1287" s="14" t="s">
        <v>1679</v>
      </c>
      <c r="R1287" s="8" t="s">
        <v>2614</v>
      </c>
      <c r="S1287" s="14" t="s">
        <v>2553</v>
      </c>
    </row>
    <row r="1288">
      <c r="A1288" s="8" t="s">
        <v>381</v>
      </c>
      <c r="B1288" s="8" t="s">
        <v>1181</v>
      </c>
      <c r="C1288" s="8" t="s">
        <v>122</v>
      </c>
      <c r="D1288" s="18" t="s">
        <v>2603</v>
      </c>
      <c r="E1288" s="16">
        <v>63.0</v>
      </c>
      <c r="F1288" s="8" t="s">
        <v>2421</v>
      </c>
      <c r="G1288" s="8" t="s">
        <v>2420</v>
      </c>
      <c r="H1288" s="8" t="s">
        <v>65</v>
      </c>
      <c r="I1288" s="18" t="s">
        <v>2577</v>
      </c>
      <c r="J1288" s="16">
        <v>73.0</v>
      </c>
      <c r="K1288" s="8" t="s">
        <v>1086</v>
      </c>
      <c r="L1288" s="8" t="s">
        <v>1085</v>
      </c>
      <c r="M1288" s="18" t="s">
        <v>2582</v>
      </c>
      <c r="N1288" s="16">
        <v>70.0</v>
      </c>
      <c r="O1288" s="8" t="s">
        <v>5220</v>
      </c>
      <c r="P1288" s="8" t="s">
        <v>80</v>
      </c>
      <c r="Q1288" s="14" t="s">
        <v>2033</v>
      </c>
      <c r="R1288" s="8" t="s">
        <v>2183</v>
      </c>
      <c r="S1288" s="14" t="s">
        <v>2557</v>
      </c>
    </row>
    <row r="1289">
      <c r="A1289" s="8" t="s">
        <v>381</v>
      </c>
      <c r="B1289" s="8" t="s">
        <v>934</v>
      </c>
      <c r="C1289" s="8" t="s">
        <v>65</v>
      </c>
      <c r="D1289" s="18" t="s">
        <v>2598</v>
      </c>
      <c r="E1289" s="16">
        <v>69.0</v>
      </c>
      <c r="F1289" s="8" t="s">
        <v>151</v>
      </c>
      <c r="G1289" s="8" t="s">
        <v>805</v>
      </c>
      <c r="H1289" s="8" t="s">
        <v>186</v>
      </c>
      <c r="I1289" s="18" t="s">
        <v>2560</v>
      </c>
      <c r="J1289" s="16">
        <v>63.0</v>
      </c>
      <c r="K1289" s="8" t="s">
        <v>572</v>
      </c>
      <c r="L1289" s="8" t="s">
        <v>571</v>
      </c>
      <c r="M1289" s="18" t="s">
        <v>2584</v>
      </c>
      <c r="N1289" s="16">
        <v>67.0</v>
      </c>
      <c r="O1289" s="8" t="s">
        <v>5221</v>
      </c>
      <c r="P1289" s="8" t="s">
        <v>65</v>
      </c>
      <c r="Q1289" s="14" t="s">
        <v>2296</v>
      </c>
      <c r="R1289" s="8" t="s">
        <v>2577</v>
      </c>
      <c r="S1289" s="14" t="s">
        <v>2613</v>
      </c>
    </row>
    <row r="1290">
      <c r="A1290" s="8" t="s">
        <v>381</v>
      </c>
      <c r="B1290" s="8" t="s">
        <v>380</v>
      </c>
      <c r="C1290" s="8" t="s">
        <v>53</v>
      </c>
      <c r="D1290" s="18" t="s">
        <v>2183</v>
      </c>
      <c r="E1290" s="16">
        <v>97.0</v>
      </c>
      <c r="F1290" s="8" t="s">
        <v>151</v>
      </c>
      <c r="G1290" s="8" t="s">
        <v>150</v>
      </c>
      <c r="H1290" s="8" t="s">
        <v>65</v>
      </c>
      <c r="I1290" s="18" t="s">
        <v>2600</v>
      </c>
      <c r="J1290" s="16">
        <v>89.0</v>
      </c>
      <c r="K1290" s="8" t="s">
        <v>281</v>
      </c>
      <c r="L1290" s="8" t="s">
        <v>205</v>
      </c>
      <c r="M1290" s="18" t="s">
        <v>2183</v>
      </c>
      <c r="N1290" s="16">
        <v>85.0</v>
      </c>
      <c r="O1290" s="8" t="s">
        <v>5222</v>
      </c>
      <c r="P1290" s="8" t="s">
        <v>65</v>
      </c>
      <c r="Q1290" s="14" t="s">
        <v>135</v>
      </c>
      <c r="R1290" s="8" t="s">
        <v>2600</v>
      </c>
      <c r="S1290" s="14" t="s">
        <v>2596</v>
      </c>
    </row>
    <row r="1291">
      <c r="A1291" s="8" t="s">
        <v>381</v>
      </c>
      <c r="B1291" s="8" t="s">
        <v>1380</v>
      </c>
      <c r="C1291" s="8" t="s">
        <v>65</v>
      </c>
      <c r="D1291" s="18" t="s">
        <v>2621</v>
      </c>
      <c r="E1291" s="16">
        <v>71.0</v>
      </c>
      <c r="F1291" s="8" t="s">
        <v>151</v>
      </c>
      <c r="G1291" s="8" t="s">
        <v>3307</v>
      </c>
      <c r="H1291" s="8" t="s">
        <v>261</v>
      </c>
      <c r="I1291" s="18" t="s">
        <v>2560</v>
      </c>
      <c r="J1291" s="16">
        <v>63.0</v>
      </c>
      <c r="K1291" s="8" t="s">
        <v>281</v>
      </c>
      <c r="L1291" s="8" t="s">
        <v>208</v>
      </c>
      <c r="M1291" s="18" t="s">
        <v>2562</v>
      </c>
      <c r="N1291" s="16">
        <v>78.0</v>
      </c>
      <c r="O1291" s="8" t="s">
        <v>5223</v>
      </c>
      <c r="P1291" s="8" t="s">
        <v>93</v>
      </c>
      <c r="Q1291" s="14" t="s">
        <v>2459</v>
      </c>
      <c r="R1291" s="8" t="s">
        <v>2566</v>
      </c>
      <c r="S1291" s="14" t="s">
        <v>2557</v>
      </c>
    </row>
    <row r="1292">
      <c r="A1292" s="8" t="s">
        <v>381</v>
      </c>
      <c r="B1292" s="8" t="s">
        <v>767</v>
      </c>
      <c r="C1292" s="8" t="s">
        <v>75</v>
      </c>
      <c r="D1292" s="18" t="s">
        <v>2620</v>
      </c>
      <c r="E1292" s="16">
        <v>60.0</v>
      </c>
      <c r="F1292" s="8" t="s">
        <v>5167</v>
      </c>
      <c r="G1292" s="8" t="s">
        <v>1757</v>
      </c>
      <c r="H1292" s="8" t="s">
        <v>149</v>
      </c>
      <c r="I1292" s="18" t="s">
        <v>2562</v>
      </c>
      <c r="J1292" s="16">
        <v>70.0</v>
      </c>
      <c r="K1292" s="8" t="s">
        <v>281</v>
      </c>
      <c r="L1292" s="8" t="s">
        <v>396</v>
      </c>
      <c r="M1292" s="18" t="s">
        <v>2566</v>
      </c>
      <c r="N1292" s="16">
        <v>75.0</v>
      </c>
      <c r="O1292" s="8" t="s">
        <v>5224</v>
      </c>
      <c r="P1292" s="8" t="s">
        <v>186</v>
      </c>
      <c r="Q1292" s="14" t="s">
        <v>631</v>
      </c>
      <c r="R1292" s="8" t="s">
        <v>2587</v>
      </c>
      <c r="S1292" s="14" t="s">
        <v>2555</v>
      </c>
    </row>
    <row r="1293">
      <c r="A1293" s="8" t="s">
        <v>381</v>
      </c>
      <c r="B1293" s="8" t="s">
        <v>3794</v>
      </c>
      <c r="C1293" s="8" t="s">
        <v>24</v>
      </c>
      <c r="D1293" s="18" t="s">
        <v>2558</v>
      </c>
      <c r="E1293" s="16">
        <v>68.0</v>
      </c>
      <c r="F1293" s="8" t="s">
        <v>390</v>
      </c>
      <c r="G1293" s="8" t="s">
        <v>284</v>
      </c>
      <c r="H1293" s="8" t="s">
        <v>65</v>
      </c>
      <c r="I1293" s="18" t="s">
        <v>2598</v>
      </c>
      <c r="J1293" s="16">
        <v>98.0</v>
      </c>
      <c r="K1293" s="8" t="s">
        <v>1493</v>
      </c>
      <c r="L1293" s="8" t="s">
        <v>91</v>
      </c>
      <c r="M1293" s="18" t="s">
        <v>2556</v>
      </c>
      <c r="N1293" s="16">
        <v>78.0</v>
      </c>
      <c r="O1293" s="8" t="s">
        <v>5225</v>
      </c>
      <c r="P1293" s="8" t="s">
        <v>46</v>
      </c>
      <c r="Q1293" s="14" t="s">
        <v>1679</v>
      </c>
      <c r="R1293" s="8" t="s">
        <v>2562</v>
      </c>
      <c r="S1293" s="14" t="s">
        <v>2576</v>
      </c>
    </row>
    <row r="1294">
      <c r="A1294" s="8" t="s">
        <v>381</v>
      </c>
      <c r="B1294" s="8" t="s">
        <v>592</v>
      </c>
      <c r="C1294" s="8" t="s">
        <v>75</v>
      </c>
      <c r="D1294" s="18" t="s">
        <v>2566</v>
      </c>
      <c r="E1294" s="16">
        <v>84.0</v>
      </c>
      <c r="F1294" s="8" t="s">
        <v>2991</v>
      </c>
      <c r="G1294" s="8" t="s">
        <v>62</v>
      </c>
      <c r="H1294" s="8" t="s">
        <v>24</v>
      </c>
      <c r="I1294" s="18" t="s">
        <v>2581</v>
      </c>
      <c r="J1294" s="16">
        <v>81.0</v>
      </c>
      <c r="K1294" s="8" t="s">
        <v>2754</v>
      </c>
      <c r="L1294" s="8" t="s">
        <v>2753</v>
      </c>
      <c r="M1294" s="18" t="s">
        <v>2645</v>
      </c>
      <c r="N1294" s="16">
        <v>85.0</v>
      </c>
      <c r="O1294" s="8" t="s">
        <v>5226</v>
      </c>
      <c r="P1294" s="8" t="s">
        <v>65</v>
      </c>
      <c r="Q1294" s="14" t="s">
        <v>338</v>
      </c>
      <c r="R1294" s="8" t="s">
        <v>2598</v>
      </c>
      <c r="S1294" s="14" t="s">
        <v>2632</v>
      </c>
    </row>
    <row r="1295">
      <c r="A1295" s="8" t="s">
        <v>381</v>
      </c>
      <c r="B1295" s="8" t="s">
        <v>1615</v>
      </c>
      <c r="C1295" s="8" t="s">
        <v>80</v>
      </c>
      <c r="D1295" s="18" t="s">
        <v>2620</v>
      </c>
      <c r="E1295" s="16">
        <v>70.0</v>
      </c>
      <c r="F1295" s="8" t="s">
        <v>2991</v>
      </c>
      <c r="G1295" s="8" t="s">
        <v>3122</v>
      </c>
      <c r="H1295" s="8" t="s">
        <v>122</v>
      </c>
      <c r="I1295" s="18" t="s">
        <v>2581</v>
      </c>
      <c r="J1295" s="16">
        <v>65.0</v>
      </c>
      <c r="K1295" s="8" t="s">
        <v>2754</v>
      </c>
      <c r="L1295" s="8" t="s">
        <v>2753</v>
      </c>
      <c r="M1295" s="18" t="s">
        <v>2645</v>
      </c>
      <c r="N1295" s="16">
        <v>75.0</v>
      </c>
      <c r="O1295" s="8" t="s">
        <v>5227</v>
      </c>
      <c r="P1295" s="8" t="s">
        <v>138</v>
      </c>
      <c r="Q1295" s="14" t="s">
        <v>1679</v>
      </c>
      <c r="R1295" s="8" t="s">
        <v>2585</v>
      </c>
      <c r="S1295" s="14" t="s">
        <v>2563</v>
      </c>
    </row>
    <row r="1296">
      <c r="A1296" s="8" t="s">
        <v>381</v>
      </c>
      <c r="B1296" s="8" t="s">
        <v>3445</v>
      </c>
      <c r="C1296" s="8" t="s">
        <v>53</v>
      </c>
      <c r="D1296" s="18" t="s">
        <v>2621</v>
      </c>
      <c r="E1296" s="16">
        <v>58.0</v>
      </c>
      <c r="F1296" s="8" t="s">
        <v>2991</v>
      </c>
      <c r="G1296" s="8" t="s">
        <v>2213</v>
      </c>
      <c r="H1296" s="8" t="s">
        <v>215</v>
      </c>
      <c r="I1296" s="18" t="s">
        <v>2574</v>
      </c>
      <c r="J1296" s="16">
        <v>83.0</v>
      </c>
      <c r="K1296" s="8" t="s">
        <v>1447</v>
      </c>
      <c r="L1296" s="8" t="s">
        <v>1446</v>
      </c>
      <c r="M1296" s="18" t="s">
        <v>2614</v>
      </c>
      <c r="N1296" s="16">
        <v>72.0</v>
      </c>
      <c r="O1296" s="8" t="s">
        <v>5228</v>
      </c>
      <c r="P1296" s="8" t="s">
        <v>215</v>
      </c>
      <c r="Q1296" s="14" t="s">
        <v>459</v>
      </c>
      <c r="R1296" s="8" t="s">
        <v>2621</v>
      </c>
      <c r="S1296" s="14" t="s">
        <v>2633</v>
      </c>
    </row>
    <row r="1297">
      <c r="A1297" s="8" t="s">
        <v>381</v>
      </c>
      <c r="B1297" s="8" t="s">
        <v>3871</v>
      </c>
      <c r="C1297" s="8" t="s">
        <v>138</v>
      </c>
      <c r="D1297" s="18" t="s">
        <v>2552</v>
      </c>
      <c r="E1297" s="16">
        <v>65.0</v>
      </c>
      <c r="F1297" s="8" t="s">
        <v>3420</v>
      </c>
      <c r="G1297" s="8" t="s">
        <v>3419</v>
      </c>
      <c r="H1297" s="8" t="s">
        <v>93</v>
      </c>
      <c r="I1297" s="18" t="s">
        <v>2589</v>
      </c>
      <c r="J1297" s="16">
        <v>68.0</v>
      </c>
      <c r="K1297" s="8" t="s">
        <v>431</v>
      </c>
      <c r="L1297" s="8" t="s">
        <v>430</v>
      </c>
      <c r="M1297" s="18" t="s">
        <v>2574</v>
      </c>
      <c r="N1297" s="16">
        <v>85.0</v>
      </c>
      <c r="O1297" s="8" t="s">
        <v>5229</v>
      </c>
      <c r="P1297" s="8" t="s">
        <v>70</v>
      </c>
      <c r="Q1297" s="14" t="s">
        <v>2459</v>
      </c>
      <c r="R1297" s="8" t="s">
        <v>2575</v>
      </c>
      <c r="S1297" s="14" t="s">
        <v>2591</v>
      </c>
    </row>
    <row r="1298">
      <c r="A1298" s="8" t="s">
        <v>381</v>
      </c>
      <c r="B1298" s="8" t="s">
        <v>609</v>
      </c>
      <c r="C1298" s="8" t="s">
        <v>12</v>
      </c>
      <c r="D1298" s="18" t="s">
        <v>2575</v>
      </c>
      <c r="E1298" s="16">
        <v>83.0</v>
      </c>
      <c r="F1298" s="8" t="s">
        <v>3264</v>
      </c>
      <c r="G1298" s="8" t="s">
        <v>3263</v>
      </c>
      <c r="H1298" s="8" t="s">
        <v>53</v>
      </c>
      <c r="I1298" s="18" t="s">
        <v>2582</v>
      </c>
      <c r="J1298" s="16">
        <v>76.0</v>
      </c>
      <c r="K1298" s="8" t="s">
        <v>3125</v>
      </c>
      <c r="L1298" s="8" t="s">
        <v>2280</v>
      </c>
      <c r="M1298" s="18" t="s">
        <v>2645</v>
      </c>
      <c r="N1298" s="16">
        <v>61.0</v>
      </c>
      <c r="O1298" s="8" t="s">
        <v>5230</v>
      </c>
      <c r="P1298" s="8" t="s">
        <v>65</v>
      </c>
      <c r="Q1298" s="14" t="s">
        <v>1679</v>
      </c>
      <c r="R1298" s="8" t="s">
        <v>2572</v>
      </c>
      <c r="S1298" s="14" t="s">
        <v>2609</v>
      </c>
    </row>
    <row r="1299">
      <c r="A1299" s="8" t="s">
        <v>381</v>
      </c>
      <c r="B1299" s="8" t="s">
        <v>3873</v>
      </c>
      <c r="C1299" s="8" t="s">
        <v>186</v>
      </c>
      <c r="D1299" s="18" t="s">
        <v>2615</v>
      </c>
      <c r="E1299" s="16">
        <v>70.0</v>
      </c>
      <c r="F1299" s="8" t="s">
        <v>495</v>
      </c>
      <c r="G1299" s="8" t="s">
        <v>494</v>
      </c>
      <c r="H1299" s="8" t="s">
        <v>215</v>
      </c>
      <c r="I1299" s="18" t="s">
        <v>2621</v>
      </c>
      <c r="J1299" s="16">
        <v>86.0</v>
      </c>
      <c r="K1299" s="8" t="s">
        <v>1918</v>
      </c>
      <c r="L1299" s="8" t="s">
        <v>1036</v>
      </c>
      <c r="M1299" s="18" t="s">
        <v>2598</v>
      </c>
      <c r="N1299" s="16">
        <v>83.0</v>
      </c>
      <c r="O1299" s="8" t="s">
        <v>5231</v>
      </c>
      <c r="P1299" s="8" t="s">
        <v>93</v>
      </c>
      <c r="Q1299" s="14" t="s">
        <v>459</v>
      </c>
      <c r="R1299" s="8" t="s">
        <v>2575</v>
      </c>
      <c r="S1299" s="14" t="s">
        <v>2568</v>
      </c>
    </row>
    <row r="1300">
      <c r="A1300" s="8" t="s">
        <v>1110</v>
      </c>
      <c r="B1300" s="8" t="s">
        <v>1109</v>
      </c>
      <c r="C1300" s="8" t="s">
        <v>93</v>
      </c>
      <c r="D1300" s="18" t="s">
        <v>2560</v>
      </c>
      <c r="E1300" s="16">
        <v>68.0</v>
      </c>
      <c r="F1300" s="8" t="s">
        <v>381</v>
      </c>
      <c r="G1300" s="8" t="s">
        <v>1238</v>
      </c>
      <c r="H1300" s="8" t="s">
        <v>186</v>
      </c>
      <c r="I1300" s="18" t="s">
        <v>2183</v>
      </c>
      <c r="J1300" s="16">
        <v>72.0</v>
      </c>
      <c r="K1300" s="8" t="s">
        <v>1125</v>
      </c>
      <c r="L1300" s="8" t="s">
        <v>349</v>
      </c>
      <c r="M1300" s="18" t="s">
        <v>2584</v>
      </c>
      <c r="N1300" s="16">
        <v>75.0</v>
      </c>
      <c r="O1300" s="8" t="s">
        <v>5232</v>
      </c>
      <c r="P1300" s="8" t="s">
        <v>141</v>
      </c>
      <c r="Q1300" s="14" t="s">
        <v>631</v>
      </c>
      <c r="R1300" s="8" t="s">
        <v>2603</v>
      </c>
      <c r="S1300" s="14" t="s">
        <v>2571</v>
      </c>
    </row>
    <row r="1301">
      <c r="A1301" s="8" t="s">
        <v>3468</v>
      </c>
      <c r="B1301" s="8" t="s">
        <v>444</v>
      </c>
      <c r="C1301" s="8" t="s">
        <v>70</v>
      </c>
      <c r="D1301" s="18" t="s">
        <v>2620</v>
      </c>
      <c r="E1301" s="16">
        <v>71.0</v>
      </c>
      <c r="F1301" s="8" t="s">
        <v>381</v>
      </c>
      <c r="G1301" s="8" t="s">
        <v>1380</v>
      </c>
      <c r="H1301" s="8" t="s">
        <v>65</v>
      </c>
      <c r="I1301" s="18" t="s">
        <v>2577</v>
      </c>
      <c r="J1301" s="16">
        <v>71.0</v>
      </c>
      <c r="K1301" s="8" t="s">
        <v>839</v>
      </c>
      <c r="L1301" s="8" t="s">
        <v>460</v>
      </c>
      <c r="M1301" s="18" t="s">
        <v>2572</v>
      </c>
      <c r="N1301" s="16">
        <v>86.0</v>
      </c>
      <c r="O1301" s="8" t="s">
        <v>5233</v>
      </c>
      <c r="P1301" s="8" t="s">
        <v>93</v>
      </c>
      <c r="Q1301" s="14" t="s">
        <v>1070</v>
      </c>
      <c r="R1301" s="8" t="s">
        <v>2554</v>
      </c>
      <c r="S1301" s="14" t="s">
        <v>2590</v>
      </c>
    </row>
    <row r="1302">
      <c r="A1302" s="18" t="s">
        <v>456</v>
      </c>
      <c r="B1302" s="8" t="s">
        <v>780</v>
      </c>
      <c r="C1302" s="8" t="s">
        <v>65</v>
      </c>
      <c r="D1302" s="18" t="s">
        <v>2556</v>
      </c>
      <c r="E1302" s="16">
        <v>62.0</v>
      </c>
      <c r="F1302" s="8" t="s">
        <v>381</v>
      </c>
      <c r="G1302" s="8" t="s">
        <v>655</v>
      </c>
      <c r="H1302" s="8" t="s">
        <v>141</v>
      </c>
      <c r="I1302" s="18" t="s">
        <v>2603</v>
      </c>
      <c r="J1302" s="16">
        <v>80.0</v>
      </c>
      <c r="K1302" s="8" t="s">
        <v>1680</v>
      </c>
      <c r="L1302" s="8" t="s">
        <v>835</v>
      </c>
      <c r="M1302" s="18" t="s">
        <v>2577</v>
      </c>
      <c r="N1302" s="16">
        <v>62.0</v>
      </c>
      <c r="O1302" s="8" t="s">
        <v>5234</v>
      </c>
      <c r="P1302" s="8" t="s">
        <v>186</v>
      </c>
      <c r="Q1302" s="14" t="s">
        <v>1352</v>
      </c>
      <c r="R1302" s="8" t="s">
        <v>2603</v>
      </c>
      <c r="S1302" s="14" t="s">
        <v>2580</v>
      </c>
    </row>
    <row r="1303">
      <c r="A1303" s="18" t="s">
        <v>456</v>
      </c>
      <c r="B1303" s="8" t="s">
        <v>1457</v>
      </c>
      <c r="C1303" s="8" t="s">
        <v>192</v>
      </c>
      <c r="D1303" s="18" t="s">
        <v>2562</v>
      </c>
      <c r="E1303" s="16">
        <v>67.0</v>
      </c>
      <c r="F1303" s="8" t="s">
        <v>381</v>
      </c>
      <c r="G1303" s="8" t="s">
        <v>3116</v>
      </c>
      <c r="H1303" s="8" t="s">
        <v>38</v>
      </c>
      <c r="I1303" s="18" t="s">
        <v>2558</v>
      </c>
      <c r="J1303" s="16">
        <v>75.0</v>
      </c>
      <c r="K1303" s="8" t="s">
        <v>1680</v>
      </c>
      <c r="L1303" s="8" t="s">
        <v>2078</v>
      </c>
      <c r="M1303" s="18" t="s">
        <v>2600</v>
      </c>
      <c r="N1303" s="16">
        <v>71.0</v>
      </c>
      <c r="O1303" s="8" t="s">
        <v>5235</v>
      </c>
      <c r="P1303" s="8" t="s">
        <v>70</v>
      </c>
      <c r="Q1303" s="14" t="s">
        <v>2033</v>
      </c>
      <c r="R1303" s="8" t="s">
        <v>2593</v>
      </c>
      <c r="S1303" s="14" t="s">
        <v>2568</v>
      </c>
    </row>
    <row r="1304">
      <c r="A1304" s="18" t="s">
        <v>456</v>
      </c>
      <c r="B1304" s="8" t="s">
        <v>1246</v>
      </c>
      <c r="C1304" s="8" t="s">
        <v>65</v>
      </c>
      <c r="D1304" s="18" t="s">
        <v>2566</v>
      </c>
      <c r="E1304" s="16">
        <v>61.0</v>
      </c>
      <c r="F1304" s="8" t="s">
        <v>381</v>
      </c>
      <c r="G1304" s="8" t="s">
        <v>1164</v>
      </c>
      <c r="H1304" s="8" t="s">
        <v>80</v>
      </c>
      <c r="I1304" s="18" t="s">
        <v>2592</v>
      </c>
      <c r="J1304" s="16">
        <v>73.0</v>
      </c>
      <c r="K1304" s="8" t="s">
        <v>1701</v>
      </c>
      <c r="L1304" s="8" t="s">
        <v>1700</v>
      </c>
      <c r="M1304" s="18" t="s">
        <v>2620</v>
      </c>
      <c r="N1304" s="16">
        <v>64.0</v>
      </c>
      <c r="O1304" s="8" t="s">
        <v>5236</v>
      </c>
      <c r="P1304" s="8" t="s">
        <v>122</v>
      </c>
      <c r="Q1304" s="14" t="s">
        <v>631</v>
      </c>
      <c r="R1304" s="18" t="s">
        <v>2556</v>
      </c>
      <c r="S1304" s="14" t="s">
        <v>2565</v>
      </c>
    </row>
    <row r="1305">
      <c r="A1305" s="18" t="s">
        <v>456</v>
      </c>
      <c r="B1305" s="8" t="s">
        <v>455</v>
      </c>
      <c r="C1305" s="8" t="s">
        <v>59</v>
      </c>
      <c r="D1305" s="18" t="s">
        <v>2603</v>
      </c>
      <c r="E1305" s="16">
        <v>88.0</v>
      </c>
      <c r="F1305" s="8" t="s">
        <v>381</v>
      </c>
      <c r="G1305" s="8" t="s">
        <v>1181</v>
      </c>
      <c r="H1305" s="8" t="s">
        <v>122</v>
      </c>
      <c r="I1305" s="18" t="s">
        <v>2564</v>
      </c>
      <c r="J1305" s="16">
        <v>64.0</v>
      </c>
      <c r="K1305" s="8" t="s">
        <v>782</v>
      </c>
      <c r="L1305" s="8" t="s">
        <v>781</v>
      </c>
      <c r="M1305" s="18" t="s">
        <v>2183</v>
      </c>
      <c r="N1305" s="16">
        <v>68.0</v>
      </c>
      <c r="O1305" s="8" t="s">
        <v>5237</v>
      </c>
      <c r="P1305" s="8" t="s">
        <v>80</v>
      </c>
      <c r="Q1305" s="14" t="s">
        <v>1679</v>
      </c>
      <c r="R1305" s="8" t="s">
        <v>2592</v>
      </c>
      <c r="S1305" s="14" t="s">
        <v>2601</v>
      </c>
    </row>
    <row r="1306">
      <c r="A1306" s="8" t="s">
        <v>5203</v>
      </c>
      <c r="B1306" s="8" t="s">
        <v>78</v>
      </c>
      <c r="C1306" s="8" t="s">
        <v>93</v>
      </c>
      <c r="D1306" s="18" t="s">
        <v>2615</v>
      </c>
      <c r="E1306" s="16">
        <v>77.0</v>
      </c>
      <c r="F1306" s="8" t="s">
        <v>381</v>
      </c>
      <c r="G1306" s="8" t="s">
        <v>767</v>
      </c>
      <c r="H1306" s="8" t="s">
        <v>149</v>
      </c>
      <c r="I1306" s="18" t="s">
        <v>2620</v>
      </c>
      <c r="J1306" s="16">
        <v>62.0</v>
      </c>
      <c r="K1306" s="8" t="s">
        <v>782</v>
      </c>
      <c r="L1306" s="8" t="s">
        <v>99</v>
      </c>
      <c r="M1306" s="18" t="s">
        <v>2556</v>
      </c>
      <c r="N1306" s="16">
        <v>66.0</v>
      </c>
      <c r="O1306" s="8" t="s">
        <v>5238</v>
      </c>
      <c r="P1306" s="8" t="s">
        <v>122</v>
      </c>
      <c r="Q1306" s="14" t="s">
        <v>1070</v>
      </c>
      <c r="R1306" s="8" t="s">
        <v>2183</v>
      </c>
      <c r="S1306" s="14" t="s">
        <v>2555</v>
      </c>
    </row>
    <row r="1307">
      <c r="A1307" s="8" t="s">
        <v>5239</v>
      </c>
      <c r="B1307" s="8" t="s">
        <v>2719</v>
      </c>
      <c r="C1307" s="8" t="s">
        <v>70</v>
      </c>
      <c r="D1307" s="18" t="s">
        <v>2605</v>
      </c>
      <c r="E1307" s="16">
        <v>73.0</v>
      </c>
      <c r="F1307" s="8" t="s">
        <v>381</v>
      </c>
      <c r="G1307" s="8" t="s">
        <v>3445</v>
      </c>
      <c r="H1307" s="8" t="s">
        <v>53</v>
      </c>
      <c r="I1307" s="18" t="s">
        <v>2621</v>
      </c>
      <c r="J1307" s="16">
        <v>58.0</v>
      </c>
      <c r="K1307" s="8" t="s">
        <v>782</v>
      </c>
      <c r="L1307" s="8" t="s">
        <v>2875</v>
      </c>
      <c r="M1307" s="18" t="s">
        <v>2577</v>
      </c>
      <c r="N1307" s="16">
        <v>63.0</v>
      </c>
      <c r="O1307" s="8" t="s">
        <v>5240</v>
      </c>
      <c r="P1307" s="8" t="s">
        <v>93</v>
      </c>
      <c r="Q1307" s="14" t="s">
        <v>1352</v>
      </c>
      <c r="R1307" s="8" t="s">
        <v>2595</v>
      </c>
      <c r="S1307" s="14" t="s">
        <v>2579</v>
      </c>
    </row>
    <row r="1308">
      <c r="A1308" s="8" t="s">
        <v>5205</v>
      </c>
      <c r="B1308" s="8" t="s">
        <v>1440</v>
      </c>
      <c r="C1308" s="8" t="s">
        <v>12</v>
      </c>
      <c r="D1308" s="18" t="s">
        <v>2562</v>
      </c>
      <c r="E1308" s="16">
        <v>71.0</v>
      </c>
      <c r="F1308" s="8" t="s">
        <v>381</v>
      </c>
      <c r="G1308" s="8" t="s">
        <v>380</v>
      </c>
      <c r="H1308" s="8" t="s">
        <v>53</v>
      </c>
      <c r="I1308" s="18" t="s">
        <v>2183</v>
      </c>
      <c r="J1308" s="16">
        <v>93.0</v>
      </c>
      <c r="K1308" s="8" t="s">
        <v>782</v>
      </c>
      <c r="L1308" s="8" t="s">
        <v>405</v>
      </c>
      <c r="M1308" s="18" t="s">
        <v>2582</v>
      </c>
      <c r="N1308" s="16">
        <v>69.0</v>
      </c>
      <c r="O1308" s="8" t="s">
        <v>5241</v>
      </c>
      <c r="P1308" s="8" t="s">
        <v>65</v>
      </c>
      <c r="Q1308" s="14" t="s">
        <v>837</v>
      </c>
      <c r="R1308" s="8" t="s">
        <v>2598</v>
      </c>
      <c r="S1308" s="14" t="s">
        <v>2602</v>
      </c>
    </row>
    <row r="1309">
      <c r="A1309" s="8" t="s">
        <v>2775</v>
      </c>
      <c r="B1309" s="8" t="s">
        <v>895</v>
      </c>
      <c r="C1309" s="8" t="s">
        <v>75</v>
      </c>
      <c r="D1309" s="18" t="s">
        <v>2584</v>
      </c>
      <c r="E1309" s="16">
        <v>64.0</v>
      </c>
      <c r="F1309" s="8" t="s">
        <v>381</v>
      </c>
      <c r="G1309" s="8" t="s">
        <v>1615</v>
      </c>
      <c r="H1309" s="8" t="s">
        <v>80</v>
      </c>
      <c r="I1309" s="18" t="s">
        <v>2620</v>
      </c>
      <c r="J1309" s="16">
        <v>72.0</v>
      </c>
      <c r="K1309" s="8" t="s">
        <v>782</v>
      </c>
      <c r="L1309" s="8" t="s">
        <v>1998</v>
      </c>
      <c r="M1309" s="18" t="s">
        <v>2587</v>
      </c>
      <c r="N1309" s="16">
        <v>68.0</v>
      </c>
      <c r="O1309" s="8" t="s">
        <v>5242</v>
      </c>
      <c r="P1309" s="8" t="s">
        <v>53</v>
      </c>
      <c r="Q1309" s="14" t="s">
        <v>2033</v>
      </c>
      <c r="R1309" s="8" t="s">
        <v>2620</v>
      </c>
      <c r="S1309" s="14" t="s">
        <v>2563</v>
      </c>
    </row>
    <row r="1310">
      <c r="A1310" s="8" t="s">
        <v>2734</v>
      </c>
      <c r="B1310" s="8" t="s">
        <v>165</v>
      </c>
      <c r="C1310" s="8" t="s">
        <v>65</v>
      </c>
      <c r="D1310" s="18" t="s">
        <v>2575</v>
      </c>
      <c r="E1310" s="16">
        <v>58.0</v>
      </c>
      <c r="F1310" s="8" t="s">
        <v>381</v>
      </c>
      <c r="G1310" s="8" t="s">
        <v>677</v>
      </c>
      <c r="H1310" s="8" t="s">
        <v>122</v>
      </c>
      <c r="I1310" s="18" t="s">
        <v>2556</v>
      </c>
      <c r="J1310" s="16">
        <v>70.0</v>
      </c>
      <c r="K1310" s="8" t="s">
        <v>782</v>
      </c>
      <c r="L1310" s="8" t="s">
        <v>3083</v>
      </c>
      <c r="M1310" s="18" t="s">
        <v>2592</v>
      </c>
      <c r="N1310" s="16">
        <v>71.0</v>
      </c>
      <c r="O1310" s="8" t="s">
        <v>5243</v>
      </c>
      <c r="P1310" s="8" t="s">
        <v>215</v>
      </c>
      <c r="Q1310" s="14" t="s">
        <v>338</v>
      </c>
      <c r="R1310" s="8" t="s">
        <v>2567</v>
      </c>
      <c r="S1310" s="14" t="s">
        <v>2604</v>
      </c>
    </row>
    <row r="1311">
      <c r="A1311" s="8" t="s">
        <v>1917</v>
      </c>
      <c r="B1311" s="8" t="s">
        <v>2789</v>
      </c>
      <c r="C1311" s="8" t="s">
        <v>12</v>
      </c>
      <c r="D1311" s="18" t="s">
        <v>2595</v>
      </c>
      <c r="E1311" s="16">
        <v>75.0</v>
      </c>
      <c r="F1311" s="8" t="s">
        <v>381</v>
      </c>
      <c r="G1311" s="8" t="s">
        <v>579</v>
      </c>
      <c r="H1311" s="8" t="s">
        <v>132</v>
      </c>
      <c r="I1311" s="18" t="s">
        <v>2558</v>
      </c>
      <c r="J1311" s="16">
        <v>67.0</v>
      </c>
      <c r="K1311" s="8" t="s">
        <v>1596</v>
      </c>
      <c r="L1311" s="8" t="s">
        <v>409</v>
      </c>
      <c r="M1311" s="18" t="s">
        <v>2610</v>
      </c>
      <c r="N1311" s="16">
        <v>70.0</v>
      </c>
      <c r="O1311" s="8" t="s">
        <v>5244</v>
      </c>
      <c r="P1311" s="8" t="s">
        <v>70</v>
      </c>
      <c r="Q1311" s="14" t="s">
        <v>2033</v>
      </c>
      <c r="R1311" s="8" t="s">
        <v>2572</v>
      </c>
      <c r="S1311" s="14" t="s">
        <v>2602</v>
      </c>
    </row>
    <row r="1312">
      <c r="A1312" s="8" t="s">
        <v>1589</v>
      </c>
      <c r="B1312" s="8" t="s">
        <v>223</v>
      </c>
      <c r="C1312" s="8" t="s">
        <v>93</v>
      </c>
      <c r="D1312" s="18" t="s">
        <v>2621</v>
      </c>
      <c r="E1312" s="16">
        <v>61.0</v>
      </c>
      <c r="F1312" s="8" t="s">
        <v>381</v>
      </c>
      <c r="G1312" s="8" t="s">
        <v>61</v>
      </c>
      <c r="H1312" s="8" t="s">
        <v>70</v>
      </c>
      <c r="I1312" s="18" t="s">
        <v>2593</v>
      </c>
      <c r="J1312" s="16">
        <v>64.0</v>
      </c>
      <c r="K1312" s="8" t="s">
        <v>2323</v>
      </c>
      <c r="L1312" s="8" t="s">
        <v>2322</v>
      </c>
      <c r="M1312" s="18" t="s">
        <v>2562</v>
      </c>
      <c r="N1312" s="16">
        <v>73.0</v>
      </c>
      <c r="O1312" s="8" t="s">
        <v>5245</v>
      </c>
      <c r="P1312" s="8" t="s">
        <v>122</v>
      </c>
      <c r="Q1312" s="14" t="s">
        <v>2033</v>
      </c>
      <c r="R1312" s="8" t="s">
        <v>2572</v>
      </c>
      <c r="S1312" s="14" t="s">
        <v>2563</v>
      </c>
    </row>
    <row r="1313">
      <c r="A1313" s="8" t="s">
        <v>1893</v>
      </c>
      <c r="B1313" s="8" t="s">
        <v>3245</v>
      </c>
      <c r="C1313" s="8" t="s">
        <v>75</v>
      </c>
      <c r="D1313" s="18" t="s">
        <v>2595</v>
      </c>
      <c r="E1313" s="16">
        <v>62.0</v>
      </c>
      <c r="F1313" s="8" t="s">
        <v>381</v>
      </c>
      <c r="G1313" s="8" t="s">
        <v>877</v>
      </c>
      <c r="H1313" s="8" t="s">
        <v>93</v>
      </c>
      <c r="I1313" s="18" t="s">
        <v>2600</v>
      </c>
      <c r="J1313" s="16">
        <v>73.0</v>
      </c>
      <c r="K1313" s="8" t="s">
        <v>2931</v>
      </c>
      <c r="L1313" s="8" t="s">
        <v>579</v>
      </c>
      <c r="M1313" s="18" t="s">
        <v>2587</v>
      </c>
      <c r="N1313" s="16">
        <v>72.0</v>
      </c>
      <c r="O1313" s="8" t="s">
        <v>5246</v>
      </c>
      <c r="P1313" s="8" t="s">
        <v>53</v>
      </c>
      <c r="Q1313" s="14" t="s">
        <v>1679</v>
      </c>
      <c r="R1313" s="8" t="s">
        <v>2593</v>
      </c>
      <c r="S1313" s="14" t="s">
        <v>2579</v>
      </c>
    </row>
    <row r="1314">
      <c r="A1314" s="8" t="s">
        <v>1893</v>
      </c>
      <c r="B1314" s="8" t="s">
        <v>389</v>
      </c>
      <c r="C1314" s="8" t="s">
        <v>75</v>
      </c>
      <c r="D1314" s="18" t="s">
        <v>2615</v>
      </c>
      <c r="E1314" s="16">
        <v>67.0</v>
      </c>
      <c r="F1314" s="8" t="s">
        <v>381</v>
      </c>
      <c r="G1314" s="8" t="s">
        <v>1607</v>
      </c>
      <c r="H1314" s="8" t="s">
        <v>46</v>
      </c>
      <c r="I1314" s="18" t="s">
        <v>2603</v>
      </c>
      <c r="J1314" s="16">
        <v>64.0</v>
      </c>
      <c r="K1314" s="8" t="s">
        <v>413</v>
      </c>
      <c r="L1314" s="8" t="s">
        <v>412</v>
      </c>
      <c r="M1314" s="18" t="s">
        <v>2556</v>
      </c>
      <c r="N1314" s="16">
        <v>84.0</v>
      </c>
      <c r="O1314" s="8" t="s">
        <v>5247</v>
      </c>
      <c r="P1314" s="8" t="s">
        <v>93</v>
      </c>
      <c r="Q1314" s="14" t="s">
        <v>2459</v>
      </c>
      <c r="R1314" s="8" t="s">
        <v>2577</v>
      </c>
      <c r="S1314" s="14" t="s">
        <v>2557</v>
      </c>
    </row>
    <row r="1315">
      <c r="A1315" s="8" t="s">
        <v>2725</v>
      </c>
      <c r="B1315" s="8" t="s">
        <v>2724</v>
      </c>
      <c r="C1315" s="8" t="s">
        <v>192</v>
      </c>
      <c r="D1315" s="18" t="s">
        <v>2603</v>
      </c>
      <c r="E1315" s="16">
        <v>91.0</v>
      </c>
      <c r="F1315" s="8" t="s">
        <v>381</v>
      </c>
      <c r="G1315" s="8" t="s">
        <v>592</v>
      </c>
      <c r="H1315" s="8" t="s">
        <v>75</v>
      </c>
      <c r="I1315" s="18" t="s">
        <v>2566</v>
      </c>
      <c r="J1315" s="16">
        <v>86.0</v>
      </c>
      <c r="K1315" s="8" t="s">
        <v>413</v>
      </c>
      <c r="L1315" s="8" t="s">
        <v>412</v>
      </c>
      <c r="M1315" s="18" t="s">
        <v>2556</v>
      </c>
      <c r="N1315" s="16">
        <v>90.0</v>
      </c>
      <c r="O1315" s="8" t="s">
        <v>5248</v>
      </c>
      <c r="P1315" s="8" t="s">
        <v>53</v>
      </c>
      <c r="Q1315" s="14" t="s">
        <v>1070</v>
      </c>
      <c r="R1315" s="8" t="s">
        <v>2614</v>
      </c>
      <c r="S1315" s="14" t="s">
        <v>2557</v>
      </c>
    </row>
    <row r="1316">
      <c r="A1316" s="8" t="s">
        <v>1416</v>
      </c>
      <c r="B1316" s="8" t="s">
        <v>1415</v>
      </c>
      <c r="C1316" s="8" t="s">
        <v>53</v>
      </c>
      <c r="D1316" s="18" t="s">
        <v>2575</v>
      </c>
      <c r="E1316" s="16">
        <v>72.0</v>
      </c>
      <c r="F1316" s="8" t="s">
        <v>381</v>
      </c>
      <c r="G1316" s="8" t="s">
        <v>934</v>
      </c>
      <c r="H1316" s="8" t="s">
        <v>65</v>
      </c>
      <c r="I1316" s="18" t="s">
        <v>2598</v>
      </c>
      <c r="J1316" s="16">
        <v>73.0</v>
      </c>
      <c r="K1316" s="8" t="s">
        <v>347</v>
      </c>
      <c r="L1316" s="8" t="s">
        <v>346</v>
      </c>
      <c r="M1316" s="18" t="s">
        <v>2560</v>
      </c>
      <c r="N1316" s="16">
        <v>77.0</v>
      </c>
      <c r="O1316" s="8" t="s">
        <v>5249</v>
      </c>
      <c r="P1316" s="8" t="s">
        <v>132</v>
      </c>
      <c r="Q1316" s="14" t="s">
        <v>837</v>
      </c>
      <c r="R1316" s="8" t="s">
        <v>2558</v>
      </c>
      <c r="S1316" s="14" t="s">
        <v>2594</v>
      </c>
    </row>
    <row r="1317">
      <c r="A1317" s="8" t="s">
        <v>2649</v>
      </c>
      <c r="B1317" s="8" t="s">
        <v>2648</v>
      </c>
      <c r="C1317" s="8" t="s">
        <v>65</v>
      </c>
      <c r="D1317" s="18" t="s">
        <v>2575</v>
      </c>
      <c r="E1317" s="16">
        <v>78.0</v>
      </c>
      <c r="F1317" s="8" t="s">
        <v>381</v>
      </c>
      <c r="G1317" s="8" t="s">
        <v>473</v>
      </c>
      <c r="H1317" s="8" t="s">
        <v>93</v>
      </c>
      <c r="I1317" s="18" t="s">
        <v>2589</v>
      </c>
      <c r="J1317" s="16">
        <v>72.0</v>
      </c>
      <c r="K1317" s="8" t="s">
        <v>347</v>
      </c>
      <c r="L1317" s="8" t="s">
        <v>35</v>
      </c>
      <c r="M1317" s="18" t="s">
        <v>2587</v>
      </c>
      <c r="N1317" s="16">
        <v>81.0</v>
      </c>
      <c r="O1317" s="8" t="s">
        <v>5250</v>
      </c>
      <c r="P1317" s="8" t="s">
        <v>132</v>
      </c>
      <c r="Q1317" s="14" t="s">
        <v>459</v>
      </c>
      <c r="R1317" s="18" t="s">
        <v>2589</v>
      </c>
      <c r="S1317" s="14" t="s">
        <v>2602</v>
      </c>
    </row>
    <row r="1318">
      <c r="A1318" s="8" t="s">
        <v>1117</v>
      </c>
      <c r="B1318" s="8" t="s">
        <v>1116</v>
      </c>
      <c r="C1318" s="8" t="s">
        <v>24</v>
      </c>
      <c r="D1318" s="18" t="s">
        <v>2589</v>
      </c>
      <c r="E1318" s="16">
        <v>42.0</v>
      </c>
      <c r="F1318" s="8" t="s">
        <v>381</v>
      </c>
      <c r="G1318" s="8" t="s">
        <v>609</v>
      </c>
      <c r="H1318" s="8" t="s">
        <v>12</v>
      </c>
      <c r="I1318" s="18" t="s">
        <v>2575</v>
      </c>
      <c r="J1318" s="16">
        <v>87.0</v>
      </c>
      <c r="K1318" s="8" t="s">
        <v>723</v>
      </c>
      <c r="L1318" s="8" t="s">
        <v>722</v>
      </c>
      <c r="M1318" s="18" t="s">
        <v>2598</v>
      </c>
      <c r="N1318" s="16">
        <v>69.0</v>
      </c>
      <c r="O1318" s="8" t="s">
        <v>5251</v>
      </c>
      <c r="P1318" s="8" t="s">
        <v>80</v>
      </c>
      <c r="Q1318" s="14" t="s">
        <v>2296</v>
      </c>
      <c r="R1318" s="8" t="s">
        <v>2562</v>
      </c>
      <c r="S1318" s="14" t="s">
        <v>2611</v>
      </c>
    </row>
    <row r="1319">
      <c r="A1319" s="8" t="s">
        <v>1461</v>
      </c>
      <c r="B1319" s="8" t="s">
        <v>1460</v>
      </c>
      <c r="C1319" s="8" t="s">
        <v>192</v>
      </c>
      <c r="D1319" s="18" t="s">
        <v>2600</v>
      </c>
      <c r="E1319" s="16">
        <v>61.0</v>
      </c>
      <c r="F1319" s="8" t="s">
        <v>1110</v>
      </c>
      <c r="G1319" s="8" t="s">
        <v>1109</v>
      </c>
      <c r="H1319" s="8" t="s">
        <v>93</v>
      </c>
      <c r="I1319" s="18" t="s">
        <v>2560</v>
      </c>
      <c r="J1319" s="16">
        <v>69.0</v>
      </c>
      <c r="K1319" s="8" t="s">
        <v>2004</v>
      </c>
      <c r="L1319" s="8" t="s">
        <v>2003</v>
      </c>
      <c r="M1319" s="18" t="s">
        <v>2567</v>
      </c>
      <c r="N1319" s="16">
        <v>72.0</v>
      </c>
      <c r="O1319" s="8" t="s">
        <v>5252</v>
      </c>
      <c r="P1319" s="8" t="s">
        <v>46</v>
      </c>
      <c r="Q1319" s="14" t="s">
        <v>1352</v>
      </c>
      <c r="R1319" s="8" t="s">
        <v>2183</v>
      </c>
      <c r="S1319" s="14" t="s">
        <v>2612</v>
      </c>
    </row>
    <row r="1320">
      <c r="A1320" s="8" t="s">
        <v>1086</v>
      </c>
      <c r="B1320" s="8" t="s">
        <v>1085</v>
      </c>
      <c r="C1320" s="8" t="s">
        <v>70</v>
      </c>
      <c r="D1320" s="18" t="s">
        <v>2620</v>
      </c>
      <c r="E1320" s="16">
        <v>64.0</v>
      </c>
      <c r="F1320" s="8" t="s">
        <v>3468</v>
      </c>
      <c r="G1320" s="8" t="s">
        <v>444</v>
      </c>
      <c r="H1320" s="8" t="s">
        <v>70</v>
      </c>
      <c r="I1320" s="18" t="s">
        <v>2620</v>
      </c>
      <c r="J1320" s="16">
        <v>69.0</v>
      </c>
      <c r="K1320" s="8" t="s">
        <v>1134</v>
      </c>
      <c r="L1320" s="8" t="s">
        <v>1133</v>
      </c>
      <c r="M1320" s="18" t="s">
        <v>2595</v>
      </c>
      <c r="N1320" s="16">
        <v>81.0</v>
      </c>
      <c r="O1320" s="8" t="s">
        <v>5253</v>
      </c>
      <c r="P1320" s="8" t="s">
        <v>80</v>
      </c>
      <c r="Q1320" s="14" t="s">
        <v>1352</v>
      </c>
      <c r="R1320" s="8" t="s">
        <v>2620</v>
      </c>
      <c r="S1320" s="14" t="s">
        <v>2607</v>
      </c>
    </row>
    <row r="1321">
      <c r="A1321" s="8" t="s">
        <v>572</v>
      </c>
      <c r="B1321" s="8" t="s">
        <v>571</v>
      </c>
      <c r="C1321" s="8" t="s">
        <v>138</v>
      </c>
      <c r="D1321" s="18" t="s">
        <v>2575</v>
      </c>
      <c r="E1321" s="16">
        <v>60.0</v>
      </c>
      <c r="F1321" s="8" t="s">
        <v>3119</v>
      </c>
      <c r="G1321" s="8" t="s">
        <v>1049</v>
      </c>
      <c r="H1321" s="8" t="s">
        <v>149</v>
      </c>
      <c r="I1321" s="18" t="s">
        <v>2556</v>
      </c>
      <c r="J1321" s="16">
        <v>66.0</v>
      </c>
      <c r="K1321" s="8" t="s">
        <v>961</v>
      </c>
      <c r="L1321" s="8" t="s">
        <v>455</v>
      </c>
      <c r="M1321" s="18" t="s">
        <v>2552</v>
      </c>
      <c r="N1321" s="16">
        <v>76.0</v>
      </c>
      <c r="O1321" s="8" t="s">
        <v>5254</v>
      </c>
      <c r="P1321" s="8" t="s">
        <v>46</v>
      </c>
      <c r="Q1321" s="14" t="s">
        <v>2296</v>
      </c>
      <c r="R1321" s="8" t="s">
        <v>2585</v>
      </c>
      <c r="S1321" s="14" t="s">
        <v>2612</v>
      </c>
    </row>
    <row r="1322">
      <c r="A1322" s="8" t="s">
        <v>281</v>
      </c>
      <c r="B1322" s="8" t="s">
        <v>208</v>
      </c>
      <c r="C1322" s="8" t="s">
        <v>93</v>
      </c>
      <c r="D1322" s="18" t="s">
        <v>2562</v>
      </c>
      <c r="E1322" s="16">
        <v>78.0</v>
      </c>
      <c r="F1322" s="18" t="s">
        <v>2717</v>
      </c>
      <c r="G1322" s="8" t="s">
        <v>246</v>
      </c>
      <c r="H1322" s="8" t="s">
        <v>65</v>
      </c>
      <c r="I1322" s="18" t="s">
        <v>2560</v>
      </c>
      <c r="J1322" s="16">
        <v>65.0</v>
      </c>
      <c r="K1322" s="8" t="s">
        <v>961</v>
      </c>
      <c r="L1322" s="8" t="s">
        <v>918</v>
      </c>
      <c r="M1322" s="18" t="s">
        <v>2183</v>
      </c>
      <c r="N1322" s="16">
        <v>82.0</v>
      </c>
      <c r="O1322" s="8" t="s">
        <v>5255</v>
      </c>
      <c r="P1322" s="8" t="s">
        <v>12</v>
      </c>
      <c r="Q1322" s="14" t="s">
        <v>459</v>
      </c>
      <c r="R1322" s="8" t="s">
        <v>2575</v>
      </c>
      <c r="S1322" s="14" t="s">
        <v>2604</v>
      </c>
    </row>
    <row r="1323">
      <c r="A1323" s="8" t="s">
        <v>281</v>
      </c>
      <c r="B1323" s="8" t="s">
        <v>396</v>
      </c>
      <c r="C1323" s="8" t="s">
        <v>59</v>
      </c>
      <c r="D1323" s="18" t="s">
        <v>2589</v>
      </c>
      <c r="E1323" s="16">
        <v>63.0</v>
      </c>
      <c r="F1323" s="18" t="s">
        <v>456</v>
      </c>
      <c r="G1323" s="8" t="s">
        <v>780</v>
      </c>
      <c r="H1323" s="8" t="s">
        <v>65</v>
      </c>
      <c r="I1323" s="18" t="s">
        <v>2556</v>
      </c>
      <c r="J1323" s="16">
        <v>62.0</v>
      </c>
      <c r="K1323" s="8" t="s">
        <v>961</v>
      </c>
      <c r="L1323" s="8" t="s">
        <v>960</v>
      </c>
      <c r="M1323" s="18" t="s">
        <v>2562</v>
      </c>
      <c r="N1323" s="16">
        <v>74.0</v>
      </c>
      <c r="O1323" s="8" t="s">
        <v>5256</v>
      </c>
      <c r="P1323" s="8" t="s">
        <v>65</v>
      </c>
      <c r="Q1323" s="14" t="s">
        <v>1679</v>
      </c>
      <c r="R1323" s="8" t="s">
        <v>2592</v>
      </c>
      <c r="S1323" s="14" t="s">
        <v>2622</v>
      </c>
    </row>
    <row r="1324">
      <c r="A1324" s="8" t="s">
        <v>3543</v>
      </c>
      <c r="B1324" s="8" t="s">
        <v>1693</v>
      </c>
      <c r="C1324" s="8" t="s">
        <v>132</v>
      </c>
      <c r="D1324" s="18" t="s">
        <v>2562</v>
      </c>
      <c r="E1324" s="16">
        <v>60.0</v>
      </c>
      <c r="F1324" s="18" t="s">
        <v>456</v>
      </c>
      <c r="G1324" s="8" t="s">
        <v>1457</v>
      </c>
      <c r="H1324" s="8" t="s">
        <v>192</v>
      </c>
      <c r="I1324" s="18" t="s">
        <v>2562</v>
      </c>
      <c r="J1324" s="16">
        <v>65.0</v>
      </c>
      <c r="K1324" s="8" t="s">
        <v>961</v>
      </c>
      <c r="L1324" s="8" t="s">
        <v>2090</v>
      </c>
      <c r="M1324" s="18" t="s">
        <v>2558</v>
      </c>
      <c r="N1324" s="16">
        <v>64.0</v>
      </c>
      <c r="O1324" s="8" t="s">
        <v>5257</v>
      </c>
      <c r="P1324" s="8" t="s">
        <v>122</v>
      </c>
      <c r="Q1324" s="14" t="s">
        <v>1070</v>
      </c>
      <c r="R1324" s="8" t="s">
        <v>2598</v>
      </c>
      <c r="S1324" s="14" t="s">
        <v>2563</v>
      </c>
    </row>
    <row r="1325">
      <c r="A1325" s="8" t="s">
        <v>1493</v>
      </c>
      <c r="B1325" s="8" t="s">
        <v>91</v>
      </c>
      <c r="C1325" s="8" t="s">
        <v>192</v>
      </c>
      <c r="D1325" s="18" t="s">
        <v>2556</v>
      </c>
      <c r="E1325" s="16">
        <v>76.0</v>
      </c>
      <c r="F1325" s="18" t="s">
        <v>456</v>
      </c>
      <c r="G1325" s="8" t="s">
        <v>455</v>
      </c>
      <c r="H1325" s="8" t="s">
        <v>59</v>
      </c>
      <c r="I1325" s="18" t="s">
        <v>2603</v>
      </c>
      <c r="J1325" s="16">
        <v>87.0</v>
      </c>
      <c r="K1325" s="8" t="s">
        <v>1696</v>
      </c>
      <c r="L1325" s="8" t="s">
        <v>1695</v>
      </c>
      <c r="M1325" s="18" t="s">
        <v>2592</v>
      </c>
      <c r="N1325" s="16">
        <v>78.0</v>
      </c>
      <c r="O1325" s="8" t="s">
        <v>5258</v>
      </c>
      <c r="P1325" s="8" t="s">
        <v>93</v>
      </c>
      <c r="Q1325" s="14" t="s">
        <v>1070</v>
      </c>
      <c r="R1325" s="8" t="s">
        <v>2615</v>
      </c>
      <c r="S1325" s="14" t="s">
        <v>2594</v>
      </c>
    </row>
    <row r="1326">
      <c r="A1326" s="8" t="s">
        <v>1493</v>
      </c>
      <c r="B1326" s="8" t="s">
        <v>3325</v>
      </c>
      <c r="C1326" s="8" t="s">
        <v>215</v>
      </c>
      <c r="D1326" s="18" t="s">
        <v>2621</v>
      </c>
      <c r="E1326" s="16">
        <v>73.0</v>
      </c>
      <c r="F1326" s="8" t="s">
        <v>5203</v>
      </c>
      <c r="G1326" s="8" t="s">
        <v>78</v>
      </c>
      <c r="H1326" s="8" t="s">
        <v>93</v>
      </c>
      <c r="I1326" s="18" t="s">
        <v>2585</v>
      </c>
      <c r="J1326" s="16">
        <v>74.0</v>
      </c>
      <c r="K1326" s="8" t="s">
        <v>1711</v>
      </c>
      <c r="L1326" s="8" t="s">
        <v>94</v>
      </c>
      <c r="M1326" s="18" t="s">
        <v>2621</v>
      </c>
      <c r="N1326" s="16">
        <v>72.0</v>
      </c>
      <c r="O1326" s="8" t="s">
        <v>5259</v>
      </c>
      <c r="P1326" s="8" t="s">
        <v>65</v>
      </c>
      <c r="Q1326" s="14" t="s">
        <v>2296</v>
      </c>
      <c r="R1326" s="8" t="s">
        <v>2620</v>
      </c>
      <c r="S1326" s="14" t="s">
        <v>2579</v>
      </c>
    </row>
    <row r="1327">
      <c r="A1327" s="8" t="s">
        <v>2754</v>
      </c>
      <c r="B1327" s="8" t="s">
        <v>2753</v>
      </c>
      <c r="C1327" s="8" t="s">
        <v>53</v>
      </c>
      <c r="D1327" s="18" t="s">
        <v>2610</v>
      </c>
      <c r="E1327" s="16">
        <v>83.0</v>
      </c>
      <c r="F1327" s="8" t="s">
        <v>5239</v>
      </c>
      <c r="G1327" s="8" t="s">
        <v>2719</v>
      </c>
      <c r="H1327" s="8" t="s">
        <v>70</v>
      </c>
      <c r="I1327" s="18" t="s">
        <v>2605</v>
      </c>
      <c r="J1327" s="16">
        <v>72.0</v>
      </c>
      <c r="K1327" s="8" t="s">
        <v>1711</v>
      </c>
      <c r="L1327" s="8" t="s">
        <v>1710</v>
      </c>
      <c r="M1327" s="18" t="s">
        <v>2585</v>
      </c>
      <c r="N1327" s="16">
        <v>70.0</v>
      </c>
      <c r="O1327" s="18" t="s">
        <v>5260</v>
      </c>
      <c r="P1327" s="8" t="s">
        <v>65</v>
      </c>
      <c r="Q1327" s="14" t="s">
        <v>1070</v>
      </c>
      <c r="R1327" s="8" t="s">
        <v>2592</v>
      </c>
      <c r="S1327" s="14" t="s">
        <v>2594</v>
      </c>
    </row>
    <row r="1328">
      <c r="A1328" s="8" t="s">
        <v>2754</v>
      </c>
      <c r="B1328" s="8" t="s">
        <v>3903</v>
      </c>
      <c r="C1328" s="8" t="s">
        <v>70</v>
      </c>
      <c r="D1328" s="18" t="s">
        <v>2587</v>
      </c>
      <c r="E1328" s="16">
        <v>79.0</v>
      </c>
      <c r="F1328" s="8" t="s">
        <v>5205</v>
      </c>
      <c r="G1328" s="8" t="s">
        <v>1440</v>
      </c>
      <c r="H1328" s="8" t="s">
        <v>12</v>
      </c>
      <c r="I1328" s="18" t="s">
        <v>2562</v>
      </c>
      <c r="J1328" s="16">
        <v>71.0</v>
      </c>
      <c r="K1328" s="8" t="s">
        <v>1711</v>
      </c>
      <c r="L1328" s="8" t="s">
        <v>1551</v>
      </c>
      <c r="M1328" s="18" t="s">
        <v>2574</v>
      </c>
      <c r="N1328" s="16">
        <v>67.0</v>
      </c>
      <c r="O1328" s="18" t="s">
        <v>5261</v>
      </c>
      <c r="P1328" s="8" t="s">
        <v>59</v>
      </c>
      <c r="Q1328" s="14" t="s">
        <v>338</v>
      </c>
      <c r="R1328" s="8" t="s">
        <v>2603</v>
      </c>
      <c r="S1328" s="14" t="s">
        <v>2599</v>
      </c>
    </row>
    <row r="1329">
      <c r="A1329" s="8" t="s">
        <v>3500</v>
      </c>
      <c r="B1329" s="8" t="s">
        <v>78</v>
      </c>
      <c r="C1329" s="8" t="s">
        <v>65</v>
      </c>
      <c r="D1329" s="18" t="s">
        <v>2603</v>
      </c>
      <c r="E1329" s="16">
        <v>63.0</v>
      </c>
      <c r="F1329" s="8" t="s">
        <v>2775</v>
      </c>
      <c r="G1329" s="8" t="s">
        <v>895</v>
      </c>
      <c r="H1329" s="8" t="s">
        <v>75</v>
      </c>
      <c r="I1329" s="18" t="s">
        <v>2614</v>
      </c>
      <c r="J1329" s="16">
        <v>64.0</v>
      </c>
      <c r="K1329" s="8" t="s">
        <v>345</v>
      </c>
      <c r="L1329" s="8" t="s">
        <v>344</v>
      </c>
      <c r="M1329" s="18" t="s">
        <v>2574</v>
      </c>
      <c r="N1329" s="16">
        <v>70.0</v>
      </c>
      <c r="O1329" s="8" t="s">
        <v>5262</v>
      </c>
      <c r="P1329" s="8" t="s">
        <v>93</v>
      </c>
      <c r="Q1329" s="14" t="s">
        <v>631</v>
      </c>
      <c r="R1329" s="8" t="s">
        <v>2585</v>
      </c>
      <c r="S1329" s="14" t="s">
        <v>2602</v>
      </c>
    </row>
    <row r="1330">
      <c r="A1330" s="8" t="s">
        <v>3240</v>
      </c>
      <c r="B1330" s="8" t="s">
        <v>3239</v>
      </c>
      <c r="C1330" s="8" t="s">
        <v>53</v>
      </c>
      <c r="D1330" s="18" t="s">
        <v>2595</v>
      </c>
      <c r="E1330" s="16">
        <v>67.0</v>
      </c>
      <c r="F1330" s="8" t="s">
        <v>2734</v>
      </c>
      <c r="G1330" s="8" t="s">
        <v>165</v>
      </c>
      <c r="H1330" s="8" t="s">
        <v>65</v>
      </c>
      <c r="I1330" s="18" t="s">
        <v>2574</v>
      </c>
      <c r="J1330" s="16">
        <v>58.0</v>
      </c>
      <c r="K1330" s="8" t="s">
        <v>892</v>
      </c>
      <c r="L1330" s="8" t="s">
        <v>1149</v>
      </c>
      <c r="M1330" s="18" t="s">
        <v>2575</v>
      </c>
      <c r="N1330" s="16">
        <v>74.0</v>
      </c>
      <c r="O1330" s="8" t="s">
        <v>5263</v>
      </c>
      <c r="P1330" s="8" t="s">
        <v>93</v>
      </c>
      <c r="Q1330" s="14" t="s">
        <v>1679</v>
      </c>
      <c r="R1330" s="8" t="s">
        <v>2558</v>
      </c>
      <c r="S1330" s="14" t="s">
        <v>2563</v>
      </c>
    </row>
    <row r="1331">
      <c r="A1331" s="8" t="s">
        <v>3594</v>
      </c>
      <c r="B1331" s="8" t="s">
        <v>1744</v>
      </c>
      <c r="C1331" s="8" t="s">
        <v>186</v>
      </c>
      <c r="D1331" s="18" t="s">
        <v>2575</v>
      </c>
      <c r="E1331" s="16">
        <v>73.0</v>
      </c>
      <c r="F1331" s="8" t="s">
        <v>1917</v>
      </c>
      <c r="G1331" s="8" t="s">
        <v>2789</v>
      </c>
      <c r="H1331" s="8" t="s">
        <v>12</v>
      </c>
      <c r="I1331" s="18" t="s">
        <v>2552</v>
      </c>
      <c r="J1331" s="16">
        <v>77.0</v>
      </c>
      <c r="K1331" s="8" t="s">
        <v>892</v>
      </c>
      <c r="L1331" s="8" t="s">
        <v>2644</v>
      </c>
      <c r="M1331" s="18" t="s">
        <v>2645</v>
      </c>
      <c r="N1331" s="16">
        <v>70.0</v>
      </c>
      <c r="O1331" s="8" t="s">
        <v>5264</v>
      </c>
      <c r="P1331" s="8" t="s">
        <v>12</v>
      </c>
      <c r="Q1331" s="14" t="s">
        <v>1352</v>
      </c>
      <c r="R1331" s="8" t="s">
        <v>2562</v>
      </c>
      <c r="S1331" s="14" t="s">
        <v>2553</v>
      </c>
    </row>
    <row r="1332">
      <c r="A1332" s="8" t="s">
        <v>1447</v>
      </c>
      <c r="B1332" s="8" t="s">
        <v>1446</v>
      </c>
      <c r="C1332" s="8" t="s">
        <v>192</v>
      </c>
      <c r="D1332" s="18" t="s">
        <v>2614</v>
      </c>
      <c r="E1332" s="16">
        <v>66.0</v>
      </c>
      <c r="F1332" s="8" t="s">
        <v>1589</v>
      </c>
      <c r="G1332" s="8" t="s">
        <v>223</v>
      </c>
      <c r="H1332" s="8" t="s">
        <v>93</v>
      </c>
      <c r="I1332" s="18" t="s">
        <v>2621</v>
      </c>
      <c r="J1332" s="16">
        <v>64.0</v>
      </c>
      <c r="K1332" s="8" t="s">
        <v>333</v>
      </c>
      <c r="L1332" s="8" t="s">
        <v>818</v>
      </c>
      <c r="M1332" s="18" t="s">
        <v>2645</v>
      </c>
      <c r="N1332" s="16">
        <v>79.0</v>
      </c>
      <c r="O1332" s="8" t="s">
        <v>5265</v>
      </c>
      <c r="P1332" s="8" t="s">
        <v>38</v>
      </c>
      <c r="Q1332" s="14" t="s">
        <v>1352</v>
      </c>
      <c r="R1332" s="8" t="s">
        <v>2575</v>
      </c>
      <c r="S1332" s="14" t="s">
        <v>2555</v>
      </c>
    </row>
    <row r="1333">
      <c r="A1333" s="8" t="s">
        <v>431</v>
      </c>
      <c r="B1333" s="8" t="s">
        <v>430</v>
      </c>
      <c r="C1333" s="8" t="s">
        <v>122</v>
      </c>
      <c r="D1333" s="18" t="s">
        <v>2574</v>
      </c>
      <c r="E1333" s="16">
        <v>92.0</v>
      </c>
      <c r="F1333" s="8" t="s">
        <v>1893</v>
      </c>
      <c r="G1333" s="8" t="s">
        <v>3245</v>
      </c>
      <c r="H1333" s="8" t="s">
        <v>122</v>
      </c>
      <c r="I1333" s="18" t="s">
        <v>2572</v>
      </c>
      <c r="J1333" s="16">
        <v>64.0</v>
      </c>
      <c r="K1333" s="8" t="s">
        <v>333</v>
      </c>
      <c r="L1333" s="8" t="s">
        <v>1456</v>
      </c>
      <c r="M1333" s="18" t="s">
        <v>2554</v>
      </c>
      <c r="N1333" s="16">
        <v>76.0</v>
      </c>
      <c r="O1333" s="8" t="s">
        <v>5266</v>
      </c>
      <c r="P1333" s="8" t="s">
        <v>59</v>
      </c>
      <c r="Q1333" s="14" t="s">
        <v>1679</v>
      </c>
      <c r="R1333" s="8" t="s">
        <v>2595</v>
      </c>
      <c r="S1333" s="14" t="s">
        <v>2576</v>
      </c>
    </row>
    <row r="1334">
      <c r="A1334" s="8" t="s">
        <v>3125</v>
      </c>
      <c r="B1334" s="8" t="s">
        <v>2280</v>
      </c>
      <c r="C1334" s="8" t="s">
        <v>93</v>
      </c>
      <c r="D1334" s="18" t="s">
        <v>2620</v>
      </c>
      <c r="E1334" s="16">
        <v>71.0</v>
      </c>
      <c r="F1334" s="8" t="s">
        <v>1893</v>
      </c>
      <c r="G1334" s="8" t="s">
        <v>389</v>
      </c>
      <c r="H1334" s="8" t="s">
        <v>132</v>
      </c>
      <c r="I1334" s="18" t="s">
        <v>2589</v>
      </c>
      <c r="J1334" s="16">
        <v>67.0</v>
      </c>
      <c r="K1334" s="8" t="s">
        <v>333</v>
      </c>
      <c r="L1334" s="8" t="s">
        <v>2951</v>
      </c>
      <c r="M1334" s="18" t="s">
        <v>2567</v>
      </c>
      <c r="N1334" s="16">
        <v>68.0</v>
      </c>
      <c r="O1334" s="8" t="s">
        <v>5267</v>
      </c>
      <c r="P1334" s="8" t="s">
        <v>24</v>
      </c>
      <c r="Q1334" s="14" t="s">
        <v>2296</v>
      </c>
      <c r="R1334" s="8" t="s">
        <v>2585</v>
      </c>
      <c r="S1334" s="14" t="s">
        <v>2579</v>
      </c>
    </row>
    <row r="1335">
      <c r="A1335" s="8" t="s">
        <v>1918</v>
      </c>
      <c r="B1335" s="8" t="s">
        <v>1036</v>
      </c>
      <c r="C1335" s="8" t="s">
        <v>192</v>
      </c>
      <c r="D1335" s="18" t="s">
        <v>2598</v>
      </c>
      <c r="E1335" s="16">
        <v>77.0</v>
      </c>
      <c r="F1335" s="8" t="s">
        <v>1586</v>
      </c>
      <c r="G1335" s="8" t="s">
        <v>1585</v>
      </c>
      <c r="H1335" s="8" t="s">
        <v>65</v>
      </c>
      <c r="I1335" s="18" t="s">
        <v>2620</v>
      </c>
      <c r="J1335" s="16">
        <v>64.0</v>
      </c>
      <c r="K1335" s="8" t="s">
        <v>333</v>
      </c>
      <c r="L1335" s="8" t="s">
        <v>655</v>
      </c>
      <c r="M1335" s="18" t="s">
        <v>2600</v>
      </c>
      <c r="N1335" s="16">
        <v>73.0</v>
      </c>
      <c r="O1335" s="8" t="s">
        <v>5268</v>
      </c>
      <c r="P1335" s="8" t="s">
        <v>24</v>
      </c>
      <c r="Q1335" s="14" t="s">
        <v>2296</v>
      </c>
      <c r="R1335" s="8" t="s">
        <v>2562</v>
      </c>
      <c r="S1335" s="14" t="s">
        <v>2591</v>
      </c>
    </row>
    <row r="1336">
      <c r="A1336" s="8" t="s">
        <v>3364</v>
      </c>
      <c r="B1336" s="8" t="s">
        <v>1263</v>
      </c>
      <c r="C1336" s="8" t="s">
        <v>149</v>
      </c>
      <c r="D1336" s="18" t="s">
        <v>2600</v>
      </c>
      <c r="E1336" s="16">
        <v>64.0</v>
      </c>
      <c r="F1336" s="8" t="s">
        <v>2725</v>
      </c>
      <c r="G1336" s="8" t="s">
        <v>2724</v>
      </c>
      <c r="H1336" s="8" t="s">
        <v>192</v>
      </c>
      <c r="I1336" s="18" t="s">
        <v>2603</v>
      </c>
      <c r="J1336" s="16">
        <v>95.0</v>
      </c>
      <c r="K1336" s="8" t="s">
        <v>333</v>
      </c>
      <c r="L1336" s="8" t="s">
        <v>646</v>
      </c>
      <c r="M1336" s="18" t="s">
        <v>2620</v>
      </c>
      <c r="N1336" s="16">
        <v>66.0</v>
      </c>
      <c r="O1336" s="8" t="s">
        <v>5269</v>
      </c>
      <c r="P1336" s="8" t="s">
        <v>75</v>
      </c>
      <c r="Q1336" s="14" t="s">
        <v>2296</v>
      </c>
      <c r="R1336" s="8" t="s">
        <v>2183</v>
      </c>
      <c r="S1336" s="14" t="s">
        <v>2627</v>
      </c>
    </row>
    <row r="1337">
      <c r="A1337" s="8" t="s">
        <v>3655</v>
      </c>
      <c r="B1337" s="8" t="s">
        <v>3654</v>
      </c>
      <c r="C1337" s="8" t="s">
        <v>122</v>
      </c>
      <c r="D1337" s="18" t="s">
        <v>2582</v>
      </c>
      <c r="E1337" s="16">
        <v>71.0</v>
      </c>
      <c r="F1337" s="8" t="s">
        <v>1416</v>
      </c>
      <c r="G1337" s="8" t="s">
        <v>1415</v>
      </c>
      <c r="H1337" s="8" t="s">
        <v>186</v>
      </c>
      <c r="I1337" s="18" t="s">
        <v>2575</v>
      </c>
      <c r="J1337" s="16">
        <v>71.0</v>
      </c>
      <c r="K1337" s="8" t="s">
        <v>333</v>
      </c>
      <c r="L1337" s="8" t="s">
        <v>332</v>
      </c>
      <c r="M1337" s="18" t="s">
        <v>2554</v>
      </c>
      <c r="N1337" s="16">
        <v>69.0</v>
      </c>
      <c r="O1337" s="8" t="s">
        <v>5270</v>
      </c>
      <c r="P1337" s="8" t="s">
        <v>80</v>
      </c>
      <c r="Q1337" s="14" t="s">
        <v>1679</v>
      </c>
      <c r="R1337" s="8" t="s">
        <v>2574</v>
      </c>
      <c r="S1337" s="14" t="s">
        <v>2579</v>
      </c>
    </row>
    <row r="1338">
      <c r="A1338" s="8" t="s">
        <v>839</v>
      </c>
      <c r="B1338" s="8" t="s">
        <v>460</v>
      </c>
      <c r="C1338" s="8" t="s">
        <v>65</v>
      </c>
      <c r="D1338" s="18" t="s">
        <v>2572</v>
      </c>
      <c r="E1338" s="16">
        <v>88.0</v>
      </c>
      <c r="F1338" s="8" t="s">
        <v>2649</v>
      </c>
      <c r="G1338" s="8" t="s">
        <v>2648</v>
      </c>
      <c r="H1338" s="8" t="s">
        <v>65</v>
      </c>
      <c r="I1338" s="18" t="s">
        <v>2567</v>
      </c>
      <c r="J1338" s="16">
        <v>78.0</v>
      </c>
      <c r="K1338" s="8" t="s">
        <v>333</v>
      </c>
      <c r="L1338" s="8" t="s">
        <v>1038</v>
      </c>
      <c r="M1338" s="18" t="s">
        <v>2581</v>
      </c>
      <c r="N1338" s="16">
        <v>79.0</v>
      </c>
      <c r="O1338" s="8" t="s">
        <v>5271</v>
      </c>
      <c r="P1338" s="8" t="s">
        <v>93</v>
      </c>
      <c r="Q1338" s="14" t="s">
        <v>1352</v>
      </c>
      <c r="R1338" s="8" t="s">
        <v>2603</v>
      </c>
      <c r="S1338" s="14" t="s">
        <v>2594</v>
      </c>
    </row>
    <row r="1339">
      <c r="A1339" s="8" t="s">
        <v>839</v>
      </c>
      <c r="B1339" s="8" t="s">
        <v>94</v>
      </c>
      <c r="C1339" s="8" t="s">
        <v>93</v>
      </c>
      <c r="D1339" s="18" t="s">
        <v>2595</v>
      </c>
      <c r="E1339" s="16">
        <v>75.0</v>
      </c>
      <c r="F1339" s="8" t="s">
        <v>1117</v>
      </c>
      <c r="G1339" s="8" t="s">
        <v>1116</v>
      </c>
      <c r="H1339" s="8" t="s">
        <v>24</v>
      </c>
      <c r="I1339" s="18" t="s">
        <v>2577</v>
      </c>
      <c r="J1339" s="16">
        <v>42.0</v>
      </c>
      <c r="K1339" s="8" t="s">
        <v>333</v>
      </c>
      <c r="L1339" s="8" t="s">
        <v>90</v>
      </c>
      <c r="M1339" s="18" t="s">
        <v>2558</v>
      </c>
      <c r="N1339" s="16">
        <v>84.0</v>
      </c>
      <c r="O1339" s="8" t="s">
        <v>5272</v>
      </c>
      <c r="P1339" s="8" t="s">
        <v>149</v>
      </c>
      <c r="Q1339" s="14" t="s">
        <v>1679</v>
      </c>
      <c r="R1339" s="8" t="s">
        <v>2598</v>
      </c>
      <c r="S1339" s="14" t="s">
        <v>2568</v>
      </c>
    </row>
    <row r="1340">
      <c r="A1340" s="8" t="s">
        <v>839</v>
      </c>
      <c r="B1340" s="8" t="s">
        <v>783</v>
      </c>
      <c r="C1340" s="8" t="s">
        <v>70</v>
      </c>
      <c r="D1340" s="18" t="s">
        <v>2575</v>
      </c>
      <c r="E1340" s="16">
        <v>62.0</v>
      </c>
      <c r="F1340" s="8" t="s">
        <v>1461</v>
      </c>
      <c r="G1340" s="8" t="s">
        <v>1460</v>
      </c>
      <c r="H1340" s="8" t="s">
        <v>59</v>
      </c>
      <c r="I1340" s="18" t="s">
        <v>2564</v>
      </c>
      <c r="J1340" s="16">
        <v>63.0</v>
      </c>
      <c r="K1340" s="8" t="s">
        <v>333</v>
      </c>
      <c r="L1340" s="8" t="s">
        <v>1675</v>
      </c>
      <c r="M1340" s="18" t="s">
        <v>2575</v>
      </c>
      <c r="N1340" s="16">
        <v>73.0</v>
      </c>
      <c r="O1340" s="8" t="s">
        <v>5273</v>
      </c>
      <c r="P1340" s="8" t="s">
        <v>70</v>
      </c>
      <c r="Q1340" s="14" t="s">
        <v>2033</v>
      </c>
      <c r="R1340" s="8" t="s">
        <v>2581</v>
      </c>
      <c r="S1340" s="14" t="s">
        <v>2591</v>
      </c>
    </row>
    <row r="1341">
      <c r="A1341" s="8" t="s">
        <v>839</v>
      </c>
      <c r="B1341" s="8" t="s">
        <v>308</v>
      </c>
      <c r="C1341" s="8" t="s">
        <v>186</v>
      </c>
      <c r="D1341" s="18" t="s">
        <v>2566</v>
      </c>
      <c r="E1341" s="16">
        <v>75.0</v>
      </c>
      <c r="F1341" s="8" t="s">
        <v>1086</v>
      </c>
      <c r="G1341" s="8" t="s">
        <v>1085</v>
      </c>
      <c r="H1341" s="8" t="s">
        <v>70</v>
      </c>
      <c r="I1341" s="18" t="s">
        <v>2585</v>
      </c>
      <c r="J1341" s="16">
        <v>68.0</v>
      </c>
      <c r="K1341" s="8" t="s">
        <v>2256</v>
      </c>
      <c r="L1341" s="8" t="s">
        <v>2255</v>
      </c>
      <c r="M1341" s="18" t="s">
        <v>2585</v>
      </c>
      <c r="N1341" s="16">
        <v>69.0</v>
      </c>
      <c r="O1341" s="8" t="s">
        <v>5274</v>
      </c>
      <c r="P1341" s="8" t="s">
        <v>65</v>
      </c>
      <c r="Q1341" s="14" t="s">
        <v>1352</v>
      </c>
      <c r="R1341" s="8" t="s">
        <v>2621</v>
      </c>
      <c r="S1341" s="14" t="s">
        <v>2583</v>
      </c>
    </row>
    <row r="1342">
      <c r="A1342" s="8" t="s">
        <v>782</v>
      </c>
      <c r="B1342" s="8" t="s">
        <v>405</v>
      </c>
      <c r="C1342" s="8" t="s">
        <v>70</v>
      </c>
      <c r="D1342" s="18" t="s">
        <v>2582</v>
      </c>
      <c r="E1342" s="16">
        <v>69.0</v>
      </c>
      <c r="F1342" s="8" t="s">
        <v>572</v>
      </c>
      <c r="G1342" s="8" t="s">
        <v>571</v>
      </c>
      <c r="H1342" s="8" t="s">
        <v>138</v>
      </c>
      <c r="I1342" s="18" t="s">
        <v>2605</v>
      </c>
      <c r="J1342" s="16">
        <v>61.0</v>
      </c>
      <c r="K1342" s="8" t="s">
        <v>1105</v>
      </c>
      <c r="L1342" s="8" t="s">
        <v>487</v>
      </c>
      <c r="M1342" s="18" t="s">
        <v>2558</v>
      </c>
      <c r="N1342" s="16">
        <v>69.0</v>
      </c>
      <c r="O1342" s="8" t="s">
        <v>5275</v>
      </c>
      <c r="P1342" s="8" t="s">
        <v>59</v>
      </c>
      <c r="Q1342" s="14" t="s">
        <v>1352</v>
      </c>
      <c r="R1342" s="8" t="s">
        <v>2621</v>
      </c>
      <c r="S1342" s="14" t="s">
        <v>2573</v>
      </c>
    </row>
    <row r="1343">
      <c r="A1343" s="8" t="s">
        <v>782</v>
      </c>
      <c r="B1343" s="8" t="s">
        <v>1252</v>
      </c>
      <c r="C1343" s="8" t="s">
        <v>93</v>
      </c>
      <c r="D1343" s="18" t="s">
        <v>2556</v>
      </c>
      <c r="E1343" s="16">
        <v>66.0</v>
      </c>
      <c r="F1343" s="8" t="s">
        <v>281</v>
      </c>
      <c r="G1343" s="8" t="s">
        <v>205</v>
      </c>
      <c r="H1343" s="8" t="s">
        <v>70</v>
      </c>
      <c r="I1343" s="18" t="s">
        <v>2183</v>
      </c>
      <c r="J1343" s="16">
        <v>75.0</v>
      </c>
      <c r="K1343" s="8" t="s">
        <v>1105</v>
      </c>
      <c r="L1343" s="8" t="s">
        <v>1104</v>
      </c>
      <c r="M1343" s="18" t="s">
        <v>2552</v>
      </c>
      <c r="N1343" s="16">
        <v>70.0</v>
      </c>
      <c r="O1343" s="8" t="s">
        <v>5276</v>
      </c>
      <c r="P1343" s="8" t="s">
        <v>24</v>
      </c>
      <c r="Q1343" s="14" t="s">
        <v>1070</v>
      </c>
      <c r="R1343" s="8" t="s">
        <v>2577</v>
      </c>
      <c r="S1343" s="14" t="s">
        <v>39</v>
      </c>
    </row>
    <row r="1344">
      <c r="A1344" s="8" t="s">
        <v>782</v>
      </c>
      <c r="B1344" s="8" t="s">
        <v>3778</v>
      </c>
      <c r="C1344" s="8" t="s">
        <v>65</v>
      </c>
      <c r="D1344" s="18" t="s">
        <v>2562</v>
      </c>
      <c r="E1344" s="16">
        <v>63.0</v>
      </c>
      <c r="F1344" s="8" t="s">
        <v>281</v>
      </c>
      <c r="G1344" s="8" t="s">
        <v>208</v>
      </c>
      <c r="H1344" s="8" t="s">
        <v>93</v>
      </c>
      <c r="I1344" s="18" t="s">
        <v>2562</v>
      </c>
      <c r="J1344" s="16">
        <v>78.0</v>
      </c>
      <c r="K1344" s="8" t="s">
        <v>1432</v>
      </c>
      <c r="L1344" s="8" t="s">
        <v>1431</v>
      </c>
      <c r="M1344" s="18" t="s">
        <v>2581</v>
      </c>
      <c r="N1344" s="16">
        <v>77.0</v>
      </c>
      <c r="O1344" s="8" t="s">
        <v>5277</v>
      </c>
      <c r="P1344" s="8" t="s">
        <v>192</v>
      </c>
      <c r="Q1344" s="14" t="s">
        <v>2033</v>
      </c>
      <c r="R1344" s="8" t="s">
        <v>2577</v>
      </c>
      <c r="S1344" s="14" t="s">
        <v>2580</v>
      </c>
    </row>
    <row r="1345">
      <c r="A1345" s="8" t="s">
        <v>782</v>
      </c>
      <c r="B1345" s="8" t="s">
        <v>781</v>
      </c>
      <c r="C1345" s="8" t="s">
        <v>93</v>
      </c>
      <c r="D1345" s="18" t="s">
        <v>2585</v>
      </c>
      <c r="E1345" s="16">
        <v>66.0</v>
      </c>
      <c r="F1345" s="8" t="s">
        <v>281</v>
      </c>
      <c r="G1345" s="8" t="s">
        <v>396</v>
      </c>
      <c r="H1345" s="8" t="s">
        <v>53</v>
      </c>
      <c r="I1345" s="18" t="s">
        <v>2589</v>
      </c>
      <c r="J1345" s="16">
        <v>63.0</v>
      </c>
      <c r="K1345" s="8" t="s">
        <v>1830</v>
      </c>
      <c r="L1345" s="8" t="s">
        <v>1829</v>
      </c>
      <c r="M1345" s="18" t="s">
        <v>2556</v>
      </c>
      <c r="N1345" s="16">
        <v>63.0</v>
      </c>
      <c r="O1345" s="8" t="s">
        <v>5278</v>
      </c>
      <c r="P1345" s="8" t="s">
        <v>80</v>
      </c>
      <c r="Q1345" s="14" t="s">
        <v>2296</v>
      </c>
      <c r="R1345" s="8" t="s">
        <v>2566</v>
      </c>
      <c r="S1345" s="14" t="s">
        <v>2555</v>
      </c>
    </row>
    <row r="1346">
      <c r="A1346" s="8" t="s">
        <v>782</v>
      </c>
      <c r="B1346" s="8" t="s">
        <v>99</v>
      </c>
      <c r="C1346" s="8" t="s">
        <v>261</v>
      </c>
      <c r="D1346" s="18" t="s">
        <v>2614</v>
      </c>
      <c r="E1346" s="16">
        <v>54.0</v>
      </c>
      <c r="F1346" s="8" t="s">
        <v>1493</v>
      </c>
      <c r="G1346" s="8" t="s">
        <v>91</v>
      </c>
      <c r="H1346" s="8" t="s">
        <v>192</v>
      </c>
      <c r="I1346" s="18" t="s">
        <v>2556</v>
      </c>
      <c r="J1346" s="16">
        <v>81.0</v>
      </c>
      <c r="K1346" s="8" t="s">
        <v>721</v>
      </c>
      <c r="L1346" s="8" t="s">
        <v>2856</v>
      </c>
      <c r="M1346" s="18" t="s">
        <v>2554</v>
      </c>
      <c r="N1346" s="16">
        <v>76.0</v>
      </c>
      <c r="O1346" s="8" t="s">
        <v>5279</v>
      </c>
      <c r="P1346" s="8" t="s">
        <v>53</v>
      </c>
      <c r="Q1346" s="14" t="s">
        <v>1352</v>
      </c>
      <c r="R1346" s="8" t="s">
        <v>2564</v>
      </c>
      <c r="S1346" s="14" t="s">
        <v>2602</v>
      </c>
    </row>
    <row r="1347">
      <c r="A1347" s="8" t="s">
        <v>782</v>
      </c>
      <c r="B1347" s="8" t="s">
        <v>3083</v>
      </c>
      <c r="C1347" s="8" t="s">
        <v>192</v>
      </c>
      <c r="D1347" s="18" t="s">
        <v>2592</v>
      </c>
      <c r="E1347" s="16">
        <v>71.0</v>
      </c>
      <c r="F1347" s="8" t="s">
        <v>1493</v>
      </c>
      <c r="G1347" s="8" t="s">
        <v>3325</v>
      </c>
      <c r="H1347" s="8" t="s">
        <v>215</v>
      </c>
      <c r="I1347" s="18" t="s">
        <v>2621</v>
      </c>
      <c r="J1347" s="16">
        <v>80.0</v>
      </c>
      <c r="K1347" s="8" t="s">
        <v>721</v>
      </c>
      <c r="L1347" s="8" t="s">
        <v>834</v>
      </c>
      <c r="M1347" s="18" t="s">
        <v>2566</v>
      </c>
      <c r="N1347" s="16">
        <v>69.0</v>
      </c>
      <c r="O1347" s="8" t="s">
        <v>5280</v>
      </c>
      <c r="P1347" s="8" t="s">
        <v>70</v>
      </c>
      <c r="Q1347" s="14" t="s">
        <v>1070</v>
      </c>
      <c r="R1347" s="8" t="s">
        <v>2558</v>
      </c>
      <c r="S1347" s="14" t="s">
        <v>2563</v>
      </c>
    </row>
    <row r="1348">
      <c r="A1348" s="8" t="s">
        <v>782</v>
      </c>
      <c r="B1348" s="8" t="s">
        <v>3894</v>
      </c>
      <c r="C1348" s="8" t="s">
        <v>16</v>
      </c>
      <c r="D1348" s="18" t="s">
        <v>2610</v>
      </c>
      <c r="E1348" s="16">
        <v>63.0</v>
      </c>
      <c r="F1348" s="8" t="s">
        <v>2754</v>
      </c>
      <c r="G1348" s="8" t="s">
        <v>2753</v>
      </c>
      <c r="H1348" s="8" t="s">
        <v>186</v>
      </c>
      <c r="I1348" s="18" t="s">
        <v>2589</v>
      </c>
      <c r="J1348" s="16">
        <v>76.0</v>
      </c>
      <c r="K1348" s="8" t="s">
        <v>2362</v>
      </c>
      <c r="L1348" s="8" t="s">
        <v>389</v>
      </c>
      <c r="M1348" s="18" t="s">
        <v>2554</v>
      </c>
      <c r="N1348" s="16">
        <v>75.0</v>
      </c>
      <c r="O1348" s="8" t="s">
        <v>5281</v>
      </c>
      <c r="P1348" s="8" t="s">
        <v>138</v>
      </c>
      <c r="Q1348" s="14" t="s">
        <v>459</v>
      </c>
      <c r="R1348" s="8" t="s">
        <v>2585</v>
      </c>
      <c r="S1348" s="14" t="s">
        <v>2579</v>
      </c>
    </row>
    <row r="1349">
      <c r="A1349" s="8" t="s">
        <v>1596</v>
      </c>
      <c r="B1349" s="8" t="s">
        <v>409</v>
      </c>
      <c r="C1349" s="8" t="s">
        <v>93</v>
      </c>
      <c r="D1349" s="18" t="s">
        <v>2183</v>
      </c>
      <c r="E1349" s="16">
        <v>70.0</v>
      </c>
      <c r="F1349" s="8" t="s">
        <v>3500</v>
      </c>
      <c r="G1349" s="8" t="s">
        <v>78</v>
      </c>
      <c r="H1349" s="8" t="s">
        <v>65</v>
      </c>
      <c r="I1349" s="18" t="s">
        <v>2603</v>
      </c>
      <c r="J1349" s="16">
        <v>63.0</v>
      </c>
      <c r="K1349" s="8" t="s">
        <v>3139</v>
      </c>
      <c r="L1349" s="8" t="s">
        <v>78</v>
      </c>
      <c r="M1349" s="18" t="s">
        <v>2183</v>
      </c>
      <c r="N1349" s="16">
        <v>73.0</v>
      </c>
      <c r="O1349" s="8" t="s">
        <v>5282</v>
      </c>
      <c r="P1349" s="8" t="s">
        <v>70</v>
      </c>
      <c r="Q1349" s="14" t="s">
        <v>1679</v>
      </c>
      <c r="R1349" s="8" t="s">
        <v>2615</v>
      </c>
      <c r="S1349" s="14" t="s">
        <v>2561</v>
      </c>
    </row>
    <row r="1350">
      <c r="A1350" s="8" t="s">
        <v>2931</v>
      </c>
      <c r="B1350" s="8" t="s">
        <v>579</v>
      </c>
      <c r="C1350" s="8" t="s">
        <v>192</v>
      </c>
      <c r="D1350" s="18" t="s">
        <v>2603</v>
      </c>
      <c r="E1350" s="16">
        <v>66.0</v>
      </c>
      <c r="F1350" s="8" t="s">
        <v>1011</v>
      </c>
      <c r="G1350" s="8" t="s">
        <v>1010</v>
      </c>
      <c r="H1350" s="8" t="s">
        <v>38</v>
      </c>
      <c r="I1350" s="18" t="s">
        <v>2554</v>
      </c>
      <c r="J1350" s="16">
        <v>69.0</v>
      </c>
      <c r="K1350" s="8" t="s">
        <v>119</v>
      </c>
      <c r="L1350" s="8" t="s">
        <v>1006</v>
      </c>
      <c r="M1350" s="18" t="s">
        <v>2560</v>
      </c>
      <c r="N1350" s="16">
        <v>74.0</v>
      </c>
      <c r="O1350" s="8" t="s">
        <v>5283</v>
      </c>
      <c r="P1350" s="8" t="s">
        <v>93</v>
      </c>
      <c r="Q1350" s="14" t="s">
        <v>237</v>
      </c>
      <c r="R1350" s="8" t="s">
        <v>2620</v>
      </c>
      <c r="S1350" s="14" t="s">
        <v>2633</v>
      </c>
    </row>
    <row r="1351">
      <c r="A1351" s="8" t="s">
        <v>3810</v>
      </c>
      <c r="B1351" s="8" t="s">
        <v>3809</v>
      </c>
      <c r="C1351" s="8" t="s">
        <v>215</v>
      </c>
      <c r="D1351" s="18" t="s">
        <v>2567</v>
      </c>
      <c r="E1351" s="16">
        <v>59.0</v>
      </c>
      <c r="F1351" s="8" t="s">
        <v>3240</v>
      </c>
      <c r="G1351" s="8" t="s">
        <v>3239</v>
      </c>
      <c r="H1351" s="8" t="s">
        <v>59</v>
      </c>
      <c r="I1351" s="18" t="s">
        <v>2620</v>
      </c>
      <c r="J1351" s="16">
        <v>63.0</v>
      </c>
      <c r="K1351" s="8" t="s">
        <v>119</v>
      </c>
      <c r="L1351" s="8" t="s">
        <v>626</v>
      </c>
      <c r="M1351" s="18" t="s">
        <v>2615</v>
      </c>
      <c r="N1351" s="16">
        <v>83.0</v>
      </c>
      <c r="O1351" s="8" t="s">
        <v>5284</v>
      </c>
      <c r="P1351" s="8" t="s">
        <v>59</v>
      </c>
      <c r="Q1351" s="14" t="s">
        <v>837</v>
      </c>
      <c r="R1351" s="8" t="s">
        <v>2566</v>
      </c>
      <c r="S1351" s="14" t="s">
        <v>2573</v>
      </c>
    </row>
    <row r="1352">
      <c r="A1352" s="8" t="s">
        <v>413</v>
      </c>
      <c r="B1352" s="8" t="s">
        <v>412</v>
      </c>
      <c r="C1352" s="8" t="s">
        <v>132</v>
      </c>
      <c r="D1352" s="18" t="s">
        <v>2556</v>
      </c>
      <c r="E1352" s="16">
        <v>89.0</v>
      </c>
      <c r="F1352" s="8" t="s">
        <v>1447</v>
      </c>
      <c r="G1352" s="8" t="s">
        <v>1446</v>
      </c>
      <c r="H1352" s="8" t="s">
        <v>192</v>
      </c>
      <c r="I1352" s="18" t="s">
        <v>2614</v>
      </c>
      <c r="J1352" s="16">
        <v>65.0</v>
      </c>
      <c r="K1352" s="8" t="s">
        <v>119</v>
      </c>
      <c r="L1352" s="8" t="s">
        <v>1055</v>
      </c>
      <c r="M1352" s="18" t="s">
        <v>2605</v>
      </c>
      <c r="N1352" s="16">
        <v>72.0</v>
      </c>
      <c r="O1352" s="8" t="s">
        <v>5285</v>
      </c>
      <c r="P1352" s="8" t="s">
        <v>192</v>
      </c>
      <c r="Q1352" s="14" t="s">
        <v>1352</v>
      </c>
      <c r="R1352" s="18" t="s">
        <v>2556</v>
      </c>
      <c r="S1352" s="14" t="s">
        <v>2586</v>
      </c>
    </row>
    <row r="1353">
      <c r="A1353" s="8" t="s">
        <v>3207</v>
      </c>
      <c r="B1353" s="8" t="s">
        <v>3206</v>
      </c>
      <c r="C1353" s="8" t="s">
        <v>16</v>
      </c>
      <c r="D1353" s="18" t="s">
        <v>2572</v>
      </c>
      <c r="E1353" s="16">
        <v>68.0</v>
      </c>
      <c r="F1353" s="8" t="s">
        <v>431</v>
      </c>
      <c r="G1353" s="8" t="s">
        <v>430</v>
      </c>
      <c r="H1353" s="8" t="s">
        <v>122</v>
      </c>
      <c r="I1353" s="18" t="s">
        <v>2574</v>
      </c>
      <c r="J1353" s="16">
        <v>88.0</v>
      </c>
      <c r="K1353" s="8" t="s">
        <v>119</v>
      </c>
      <c r="L1353" s="8" t="s">
        <v>274</v>
      </c>
      <c r="M1353" s="18" t="s">
        <v>2582</v>
      </c>
      <c r="N1353" s="16">
        <v>70.0</v>
      </c>
      <c r="O1353" s="8" t="s">
        <v>5286</v>
      </c>
      <c r="P1353" s="8" t="s">
        <v>38</v>
      </c>
      <c r="Q1353" s="14" t="s">
        <v>837</v>
      </c>
      <c r="R1353" s="8" t="s">
        <v>2614</v>
      </c>
      <c r="S1353" s="14" t="s">
        <v>2555</v>
      </c>
    </row>
    <row r="1354">
      <c r="A1354" s="8" t="s">
        <v>3207</v>
      </c>
      <c r="B1354" s="8" t="s">
        <v>61</v>
      </c>
      <c r="C1354" s="8" t="s">
        <v>24</v>
      </c>
      <c r="D1354" s="18" t="s">
        <v>2560</v>
      </c>
      <c r="E1354" s="16">
        <v>69.0</v>
      </c>
      <c r="F1354" s="8" t="s">
        <v>3125</v>
      </c>
      <c r="G1354" s="8" t="s">
        <v>2280</v>
      </c>
      <c r="H1354" s="8" t="s">
        <v>93</v>
      </c>
      <c r="I1354" s="18" t="s">
        <v>2593</v>
      </c>
      <c r="J1354" s="16">
        <v>73.0</v>
      </c>
      <c r="K1354" s="8" t="s">
        <v>119</v>
      </c>
      <c r="L1354" s="8" t="s">
        <v>389</v>
      </c>
      <c r="M1354" s="18" t="s">
        <v>2562</v>
      </c>
      <c r="N1354" s="16">
        <v>73.0</v>
      </c>
      <c r="O1354" s="8" t="s">
        <v>5287</v>
      </c>
      <c r="P1354" s="8" t="s">
        <v>192</v>
      </c>
      <c r="Q1354" s="14" t="s">
        <v>1352</v>
      </c>
      <c r="R1354" s="8" t="s">
        <v>2614</v>
      </c>
      <c r="S1354" s="14" t="s">
        <v>2557</v>
      </c>
    </row>
    <row r="1355">
      <c r="A1355" s="8" t="s">
        <v>3207</v>
      </c>
      <c r="B1355" s="8" t="s">
        <v>1264</v>
      </c>
      <c r="C1355" s="8" t="s">
        <v>16</v>
      </c>
      <c r="D1355" s="18" t="s">
        <v>2614</v>
      </c>
      <c r="E1355" s="16">
        <v>69.0</v>
      </c>
      <c r="F1355" s="8" t="s">
        <v>1918</v>
      </c>
      <c r="G1355" s="8" t="s">
        <v>1036</v>
      </c>
      <c r="H1355" s="8" t="s">
        <v>192</v>
      </c>
      <c r="I1355" s="18" t="s">
        <v>2598</v>
      </c>
      <c r="J1355" s="16">
        <v>83.0</v>
      </c>
      <c r="K1355" s="8" t="s">
        <v>119</v>
      </c>
      <c r="L1355" s="8" t="s">
        <v>2764</v>
      </c>
      <c r="M1355" s="18" t="s">
        <v>2621</v>
      </c>
      <c r="N1355" s="16">
        <v>75.0</v>
      </c>
      <c r="O1355" s="8" t="s">
        <v>5288</v>
      </c>
      <c r="P1355" s="8" t="s">
        <v>138</v>
      </c>
      <c r="Q1355" s="14" t="s">
        <v>338</v>
      </c>
      <c r="R1355" s="8" t="s">
        <v>2574</v>
      </c>
      <c r="S1355" s="14" t="s">
        <v>2625</v>
      </c>
    </row>
    <row r="1356">
      <c r="A1356" s="8" t="s">
        <v>347</v>
      </c>
      <c r="B1356" s="8" t="s">
        <v>346</v>
      </c>
      <c r="C1356" s="8" t="s">
        <v>46</v>
      </c>
      <c r="D1356" s="18" t="s">
        <v>2584</v>
      </c>
      <c r="E1356" s="16">
        <v>82.0</v>
      </c>
      <c r="F1356" s="8" t="s">
        <v>3364</v>
      </c>
      <c r="G1356" s="8" t="s">
        <v>1263</v>
      </c>
      <c r="H1356" s="8" t="s">
        <v>149</v>
      </c>
      <c r="I1356" s="18" t="s">
        <v>2577</v>
      </c>
      <c r="J1356" s="16">
        <v>64.0</v>
      </c>
      <c r="K1356" s="8" t="s">
        <v>119</v>
      </c>
      <c r="L1356" s="8" t="s">
        <v>118</v>
      </c>
      <c r="M1356" s="18" t="s">
        <v>2610</v>
      </c>
      <c r="N1356" s="16">
        <v>75.0</v>
      </c>
      <c r="O1356" s="8" t="s">
        <v>5289</v>
      </c>
      <c r="P1356" s="8" t="s">
        <v>75</v>
      </c>
      <c r="Q1356" s="14" t="s">
        <v>2033</v>
      </c>
      <c r="R1356" s="8" t="s">
        <v>2584</v>
      </c>
      <c r="S1356" s="14" t="s">
        <v>2617</v>
      </c>
    </row>
    <row r="1357">
      <c r="A1357" s="8" t="s">
        <v>347</v>
      </c>
      <c r="B1357" s="8" t="s">
        <v>35</v>
      </c>
      <c r="C1357" s="8" t="s">
        <v>65</v>
      </c>
      <c r="D1357" s="18" t="s">
        <v>2574</v>
      </c>
      <c r="E1357" s="16">
        <v>83.0</v>
      </c>
      <c r="F1357" s="8" t="s">
        <v>839</v>
      </c>
      <c r="G1357" s="8" t="s">
        <v>460</v>
      </c>
      <c r="H1357" s="8" t="s">
        <v>65</v>
      </c>
      <c r="I1357" s="18" t="s">
        <v>2572</v>
      </c>
      <c r="J1357" s="16">
        <v>89.0</v>
      </c>
      <c r="K1357" s="8" t="s">
        <v>119</v>
      </c>
      <c r="L1357" s="8" t="s">
        <v>2950</v>
      </c>
      <c r="M1357" s="18" t="s">
        <v>2560</v>
      </c>
      <c r="N1357" s="16">
        <v>74.0</v>
      </c>
      <c r="O1357" s="8" t="s">
        <v>5290</v>
      </c>
      <c r="P1357" s="8" t="s">
        <v>192</v>
      </c>
      <c r="Q1357" s="14" t="s">
        <v>1679</v>
      </c>
      <c r="R1357" s="8" t="s">
        <v>2598</v>
      </c>
      <c r="S1357" s="14" t="s">
        <v>2613</v>
      </c>
    </row>
    <row r="1358">
      <c r="A1358" s="8" t="s">
        <v>347</v>
      </c>
      <c r="B1358" s="8" t="s">
        <v>3837</v>
      </c>
      <c r="C1358" s="8" t="s">
        <v>186</v>
      </c>
      <c r="D1358" s="18" t="s">
        <v>2566</v>
      </c>
      <c r="E1358" s="16">
        <v>68.0</v>
      </c>
      <c r="F1358" s="8" t="s">
        <v>839</v>
      </c>
      <c r="G1358" s="8" t="s">
        <v>308</v>
      </c>
      <c r="H1358" s="8" t="s">
        <v>186</v>
      </c>
      <c r="I1358" s="18" t="s">
        <v>2566</v>
      </c>
      <c r="J1358" s="16">
        <v>72.0</v>
      </c>
      <c r="K1358" s="8" t="s">
        <v>119</v>
      </c>
      <c r="L1358" s="8" t="s">
        <v>773</v>
      </c>
      <c r="M1358" s="18" t="s">
        <v>2621</v>
      </c>
      <c r="N1358" s="16">
        <v>73.0</v>
      </c>
      <c r="O1358" s="8" t="s">
        <v>5291</v>
      </c>
      <c r="P1358" s="8" t="s">
        <v>65</v>
      </c>
      <c r="Q1358" s="14" t="s">
        <v>1070</v>
      </c>
      <c r="R1358" s="8" t="s">
        <v>2584</v>
      </c>
      <c r="S1358" s="14" t="s">
        <v>2590</v>
      </c>
    </row>
    <row r="1359">
      <c r="A1359" s="8" t="s">
        <v>347</v>
      </c>
      <c r="B1359" s="8" t="s">
        <v>441</v>
      </c>
      <c r="C1359" s="8" t="s">
        <v>70</v>
      </c>
      <c r="D1359" s="18" t="s">
        <v>2585</v>
      </c>
      <c r="E1359" s="16">
        <v>67.0</v>
      </c>
      <c r="F1359" s="8" t="s">
        <v>839</v>
      </c>
      <c r="G1359" s="8" t="s">
        <v>783</v>
      </c>
      <c r="H1359" s="8" t="s">
        <v>65</v>
      </c>
      <c r="I1359" s="18" t="s">
        <v>2575</v>
      </c>
      <c r="J1359" s="16">
        <v>61.0</v>
      </c>
      <c r="K1359" s="8" t="s">
        <v>119</v>
      </c>
      <c r="L1359" s="8" t="s">
        <v>126</v>
      </c>
      <c r="M1359" s="18" t="s">
        <v>2593</v>
      </c>
      <c r="N1359" s="16">
        <v>64.0</v>
      </c>
      <c r="O1359" s="8" t="s">
        <v>5292</v>
      </c>
      <c r="P1359" s="8" t="s">
        <v>65</v>
      </c>
      <c r="Q1359" s="14" t="s">
        <v>837</v>
      </c>
      <c r="R1359" s="8" t="s">
        <v>2572</v>
      </c>
      <c r="S1359" s="14" t="s">
        <v>2596</v>
      </c>
    </row>
    <row r="1360">
      <c r="A1360" s="8" t="s">
        <v>723</v>
      </c>
      <c r="B1360" s="8" t="s">
        <v>722</v>
      </c>
      <c r="C1360" s="8" t="s">
        <v>192</v>
      </c>
      <c r="D1360" s="18" t="s">
        <v>2598</v>
      </c>
      <c r="E1360" s="16">
        <v>76.0</v>
      </c>
      <c r="F1360" s="8" t="s">
        <v>1680</v>
      </c>
      <c r="G1360" s="8" t="s">
        <v>835</v>
      </c>
      <c r="H1360" s="8" t="s">
        <v>59</v>
      </c>
      <c r="I1360" s="18" t="s">
        <v>2577</v>
      </c>
      <c r="J1360" s="16">
        <v>64.0</v>
      </c>
      <c r="K1360" s="8" t="s">
        <v>119</v>
      </c>
      <c r="L1360" s="8" t="s">
        <v>956</v>
      </c>
      <c r="M1360" s="18" t="s">
        <v>2558</v>
      </c>
      <c r="N1360" s="16">
        <v>76.0</v>
      </c>
      <c r="O1360" s="8" t="s">
        <v>5293</v>
      </c>
      <c r="P1360" s="8" t="s">
        <v>65</v>
      </c>
      <c r="Q1360" s="14" t="s">
        <v>1679</v>
      </c>
      <c r="R1360" s="8" t="s">
        <v>2603</v>
      </c>
      <c r="S1360" s="14" t="s">
        <v>2618</v>
      </c>
    </row>
    <row r="1361">
      <c r="A1361" s="8" t="s">
        <v>3868</v>
      </c>
      <c r="B1361" s="8" t="s">
        <v>3867</v>
      </c>
      <c r="C1361" s="8" t="s">
        <v>65</v>
      </c>
      <c r="D1361" s="18" t="s">
        <v>2560</v>
      </c>
      <c r="E1361" s="16">
        <v>67.0</v>
      </c>
      <c r="F1361" s="8" t="s">
        <v>782</v>
      </c>
      <c r="G1361" s="8" t="s">
        <v>781</v>
      </c>
      <c r="H1361" s="8" t="s">
        <v>93</v>
      </c>
      <c r="I1361" s="18" t="s">
        <v>2585</v>
      </c>
      <c r="J1361" s="16">
        <v>71.0</v>
      </c>
      <c r="K1361" s="8" t="s">
        <v>119</v>
      </c>
      <c r="L1361" s="8" t="s">
        <v>1111</v>
      </c>
      <c r="M1361" s="18" t="s">
        <v>2621</v>
      </c>
      <c r="N1361" s="16">
        <v>84.0</v>
      </c>
      <c r="O1361" s="8" t="s">
        <v>5294</v>
      </c>
      <c r="P1361" s="8" t="s">
        <v>65</v>
      </c>
      <c r="Q1361" s="14" t="s">
        <v>2296</v>
      </c>
      <c r="R1361" s="18" t="s">
        <v>2589</v>
      </c>
      <c r="S1361" s="14" t="s">
        <v>2568</v>
      </c>
    </row>
    <row r="1362">
      <c r="A1362" s="8" t="s">
        <v>961</v>
      </c>
      <c r="B1362" s="8" t="s">
        <v>918</v>
      </c>
      <c r="C1362" s="8" t="s">
        <v>93</v>
      </c>
      <c r="D1362" s="18" t="s">
        <v>2582</v>
      </c>
      <c r="E1362" s="16">
        <v>70.0</v>
      </c>
      <c r="F1362" s="8" t="s">
        <v>782</v>
      </c>
      <c r="G1362" s="8" t="s">
        <v>405</v>
      </c>
      <c r="H1362" s="8" t="s">
        <v>70</v>
      </c>
      <c r="I1362" s="18" t="s">
        <v>2582</v>
      </c>
      <c r="J1362" s="16">
        <v>67.0</v>
      </c>
      <c r="K1362" s="8" t="s">
        <v>1609</v>
      </c>
      <c r="L1362" s="8" t="s">
        <v>1608</v>
      </c>
      <c r="M1362" s="18" t="s">
        <v>2574</v>
      </c>
      <c r="N1362" s="16">
        <v>72.0</v>
      </c>
      <c r="O1362" s="8" t="s">
        <v>5295</v>
      </c>
      <c r="P1362" s="8" t="s">
        <v>53</v>
      </c>
      <c r="Q1362" s="14" t="s">
        <v>1679</v>
      </c>
      <c r="R1362" s="8" t="s">
        <v>2566</v>
      </c>
      <c r="S1362" s="14" t="s">
        <v>2555</v>
      </c>
    </row>
    <row r="1363">
      <c r="A1363" s="8" t="s">
        <v>961</v>
      </c>
      <c r="B1363" s="8" t="s">
        <v>260</v>
      </c>
      <c r="C1363" s="8" t="s">
        <v>93</v>
      </c>
      <c r="D1363" s="18" t="s">
        <v>2560</v>
      </c>
      <c r="E1363" s="16">
        <v>67.0</v>
      </c>
      <c r="F1363" s="8" t="s">
        <v>782</v>
      </c>
      <c r="G1363" s="8" t="s">
        <v>3360</v>
      </c>
      <c r="H1363" s="8" t="s">
        <v>192</v>
      </c>
      <c r="I1363" s="18" t="s">
        <v>2556</v>
      </c>
      <c r="J1363" s="16">
        <v>66.0</v>
      </c>
      <c r="K1363" s="8" t="s">
        <v>749</v>
      </c>
      <c r="L1363" s="8" t="s">
        <v>163</v>
      </c>
      <c r="M1363" s="18" t="s">
        <v>2556</v>
      </c>
      <c r="N1363" s="16">
        <v>88.0</v>
      </c>
      <c r="O1363" s="8" t="s">
        <v>5296</v>
      </c>
      <c r="P1363" s="8" t="s">
        <v>93</v>
      </c>
      <c r="Q1363" s="14" t="s">
        <v>2033</v>
      </c>
      <c r="R1363" s="8" t="s">
        <v>2600</v>
      </c>
      <c r="S1363" s="14" t="s">
        <v>2622</v>
      </c>
    </row>
    <row r="1364">
      <c r="A1364" s="8" t="s">
        <v>961</v>
      </c>
      <c r="B1364" s="8" t="s">
        <v>960</v>
      </c>
      <c r="C1364" s="8" t="s">
        <v>149</v>
      </c>
      <c r="D1364" s="18" t="s">
        <v>2562</v>
      </c>
      <c r="E1364" s="16">
        <v>66.0</v>
      </c>
      <c r="F1364" s="8" t="s">
        <v>782</v>
      </c>
      <c r="G1364" s="8" t="s">
        <v>1998</v>
      </c>
      <c r="H1364" s="8" t="s">
        <v>24</v>
      </c>
      <c r="I1364" s="18" t="s">
        <v>2587</v>
      </c>
      <c r="J1364" s="16">
        <v>68.0</v>
      </c>
      <c r="K1364" s="8" t="s">
        <v>2286</v>
      </c>
      <c r="L1364" s="8" t="s">
        <v>42</v>
      </c>
      <c r="M1364" s="18" t="s">
        <v>2587</v>
      </c>
      <c r="N1364" s="16">
        <v>70.0</v>
      </c>
      <c r="O1364" s="8" t="s">
        <v>5297</v>
      </c>
      <c r="P1364" s="8" t="s">
        <v>215</v>
      </c>
      <c r="Q1364" s="14" t="s">
        <v>1352</v>
      </c>
      <c r="R1364" s="8" t="s">
        <v>2600</v>
      </c>
      <c r="S1364" s="14" t="s">
        <v>2563</v>
      </c>
    </row>
    <row r="1365">
      <c r="A1365" s="8" t="s">
        <v>961</v>
      </c>
      <c r="B1365" s="8" t="s">
        <v>963</v>
      </c>
      <c r="C1365" s="8" t="s">
        <v>138</v>
      </c>
      <c r="D1365" s="18" t="s">
        <v>2567</v>
      </c>
      <c r="E1365" s="16">
        <v>80.0</v>
      </c>
      <c r="F1365" s="8" t="s">
        <v>782</v>
      </c>
      <c r="G1365" s="8" t="s">
        <v>99</v>
      </c>
      <c r="H1365" s="8" t="s">
        <v>261</v>
      </c>
      <c r="I1365" s="18" t="s">
        <v>2614</v>
      </c>
      <c r="J1365" s="16">
        <v>77.0</v>
      </c>
      <c r="K1365" s="8" t="s">
        <v>462</v>
      </c>
      <c r="L1365" s="8" t="s">
        <v>461</v>
      </c>
      <c r="M1365" s="18" t="s">
        <v>2581</v>
      </c>
      <c r="N1365" s="16">
        <v>73.0</v>
      </c>
      <c r="O1365" s="8" t="s">
        <v>5298</v>
      </c>
      <c r="P1365" s="8" t="s">
        <v>186</v>
      </c>
      <c r="Q1365" s="14" t="s">
        <v>1679</v>
      </c>
      <c r="R1365" s="8" t="s">
        <v>2620</v>
      </c>
      <c r="S1365" s="14" t="s">
        <v>2580</v>
      </c>
    </row>
    <row r="1366">
      <c r="A1366" s="8" t="s">
        <v>961</v>
      </c>
      <c r="B1366" s="8" t="s">
        <v>3818</v>
      </c>
      <c r="C1366" s="8" t="s">
        <v>215</v>
      </c>
      <c r="D1366" s="18" t="s">
        <v>2582</v>
      </c>
      <c r="E1366" s="16">
        <v>69.0</v>
      </c>
      <c r="F1366" s="8" t="s">
        <v>782</v>
      </c>
      <c r="G1366" s="8" t="s">
        <v>3083</v>
      </c>
      <c r="H1366" s="8" t="s">
        <v>192</v>
      </c>
      <c r="I1366" s="18" t="s">
        <v>2592</v>
      </c>
      <c r="J1366" s="16">
        <v>76.0</v>
      </c>
      <c r="K1366" s="8" t="s">
        <v>255</v>
      </c>
      <c r="L1366" s="8" t="s">
        <v>254</v>
      </c>
      <c r="M1366" s="18" t="s">
        <v>2552</v>
      </c>
      <c r="N1366" s="16">
        <v>81.0</v>
      </c>
      <c r="O1366" s="8" t="s">
        <v>5299</v>
      </c>
      <c r="P1366" s="8" t="s">
        <v>65</v>
      </c>
      <c r="Q1366" s="14" t="s">
        <v>1679</v>
      </c>
      <c r="R1366" s="8" t="s">
        <v>2595</v>
      </c>
      <c r="S1366" s="14" t="s">
        <v>2557</v>
      </c>
    </row>
    <row r="1367">
      <c r="A1367" s="8" t="s">
        <v>961</v>
      </c>
      <c r="B1367" s="8" t="s">
        <v>455</v>
      </c>
      <c r="C1367" s="8" t="s">
        <v>65</v>
      </c>
      <c r="D1367" s="18" t="s">
        <v>2621</v>
      </c>
      <c r="E1367" s="16">
        <v>79.0</v>
      </c>
      <c r="F1367" s="8" t="s">
        <v>782</v>
      </c>
      <c r="G1367" s="8" t="s">
        <v>2875</v>
      </c>
      <c r="H1367" s="8" t="s">
        <v>186</v>
      </c>
      <c r="I1367" s="18" t="s">
        <v>2577</v>
      </c>
      <c r="J1367" s="16">
        <v>60.0</v>
      </c>
      <c r="K1367" s="8" t="s">
        <v>1360</v>
      </c>
      <c r="L1367" s="8" t="s">
        <v>1359</v>
      </c>
      <c r="M1367" s="18" t="s">
        <v>2558</v>
      </c>
      <c r="N1367" s="16">
        <v>70.0</v>
      </c>
      <c r="O1367" s="8" t="s">
        <v>5300</v>
      </c>
      <c r="P1367" s="8" t="s">
        <v>93</v>
      </c>
      <c r="Q1367" s="14" t="s">
        <v>631</v>
      </c>
      <c r="R1367" s="8" t="s">
        <v>2183</v>
      </c>
      <c r="S1367" s="14" t="s">
        <v>2579</v>
      </c>
    </row>
    <row r="1368">
      <c r="A1368" s="8" t="s">
        <v>1711</v>
      </c>
      <c r="B1368" s="8" t="s">
        <v>94</v>
      </c>
      <c r="C1368" s="8" t="s">
        <v>80</v>
      </c>
      <c r="D1368" s="18" t="s">
        <v>2575</v>
      </c>
      <c r="E1368" s="16">
        <v>79.0</v>
      </c>
      <c r="F1368" s="8" t="s">
        <v>1596</v>
      </c>
      <c r="G1368" s="8" t="s">
        <v>409</v>
      </c>
      <c r="H1368" s="8" t="s">
        <v>93</v>
      </c>
      <c r="I1368" s="18" t="s">
        <v>2610</v>
      </c>
      <c r="J1368" s="16">
        <v>69.0</v>
      </c>
      <c r="K1368" s="8" t="s">
        <v>2905</v>
      </c>
      <c r="L1368" s="8" t="s">
        <v>2904</v>
      </c>
      <c r="M1368" s="18" t="s">
        <v>2645</v>
      </c>
      <c r="N1368" s="16">
        <v>69.0</v>
      </c>
      <c r="O1368" s="8" t="s">
        <v>5301</v>
      </c>
      <c r="P1368" s="8" t="s">
        <v>261</v>
      </c>
      <c r="Q1368" s="14" t="s">
        <v>837</v>
      </c>
      <c r="R1368" s="18" t="s">
        <v>2556</v>
      </c>
      <c r="S1368" s="14" t="s">
        <v>2576</v>
      </c>
    </row>
    <row r="1369">
      <c r="A1369" s="8" t="s">
        <v>345</v>
      </c>
      <c r="B1369" s="8" t="s">
        <v>344</v>
      </c>
      <c r="C1369" s="8" t="s">
        <v>70</v>
      </c>
      <c r="D1369" s="18" t="s">
        <v>2564</v>
      </c>
      <c r="E1369" s="16">
        <v>69.0</v>
      </c>
      <c r="F1369" s="8" t="s">
        <v>413</v>
      </c>
      <c r="G1369" s="8" t="s">
        <v>412</v>
      </c>
      <c r="H1369" s="8" t="s">
        <v>75</v>
      </c>
      <c r="I1369" s="18" t="s">
        <v>2556</v>
      </c>
      <c r="J1369" s="16">
        <v>92.0</v>
      </c>
      <c r="K1369" s="8" t="s">
        <v>2193</v>
      </c>
      <c r="L1369" s="8" t="s">
        <v>402</v>
      </c>
      <c r="M1369" s="18" t="s">
        <v>2556</v>
      </c>
      <c r="N1369" s="16">
        <v>78.0</v>
      </c>
      <c r="O1369" s="8" t="s">
        <v>5302</v>
      </c>
      <c r="P1369" s="8" t="s">
        <v>24</v>
      </c>
      <c r="Q1369" s="14" t="s">
        <v>1679</v>
      </c>
      <c r="R1369" s="8" t="s">
        <v>2621</v>
      </c>
      <c r="S1369" s="14" t="s">
        <v>2568</v>
      </c>
    </row>
    <row r="1370">
      <c r="A1370" s="8" t="s">
        <v>734</v>
      </c>
      <c r="B1370" s="8" t="s">
        <v>3535</v>
      </c>
      <c r="C1370" s="8" t="s">
        <v>24</v>
      </c>
      <c r="D1370" s="18" t="s">
        <v>2558</v>
      </c>
      <c r="E1370" s="16">
        <v>65.0</v>
      </c>
      <c r="F1370" s="8" t="s">
        <v>3207</v>
      </c>
      <c r="G1370" s="8" t="s">
        <v>3206</v>
      </c>
      <c r="H1370" s="8" t="s">
        <v>16</v>
      </c>
      <c r="I1370" s="18" t="s">
        <v>2572</v>
      </c>
      <c r="J1370" s="16">
        <v>67.0</v>
      </c>
      <c r="K1370" s="8" t="s">
        <v>2772</v>
      </c>
      <c r="L1370" s="8" t="s">
        <v>2771</v>
      </c>
      <c r="M1370" s="18" t="s">
        <v>2614</v>
      </c>
      <c r="N1370" s="16">
        <v>75.0</v>
      </c>
      <c r="O1370" s="8" t="s">
        <v>5303</v>
      </c>
      <c r="P1370" s="8" t="s">
        <v>93</v>
      </c>
      <c r="Q1370" s="14" t="s">
        <v>1352</v>
      </c>
      <c r="R1370" s="8" t="s">
        <v>2610</v>
      </c>
      <c r="S1370" s="14" t="s">
        <v>2622</v>
      </c>
    </row>
    <row r="1371">
      <c r="A1371" s="8" t="s">
        <v>892</v>
      </c>
      <c r="B1371" s="8" t="s">
        <v>2644</v>
      </c>
      <c r="C1371" s="8" t="s">
        <v>93</v>
      </c>
      <c r="D1371" s="18" t="s">
        <v>2585</v>
      </c>
      <c r="E1371" s="16">
        <v>75.0</v>
      </c>
      <c r="F1371" s="8" t="s">
        <v>3207</v>
      </c>
      <c r="G1371" s="8" t="s">
        <v>1264</v>
      </c>
      <c r="H1371" s="8" t="s">
        <v>16</v>
      </c>
      <c r="I1371" s="18" t="s">
        <v>2614</v>
      </c>
      <c r="J1371" s="16">
        <v>67.0</v>
      </c>
      <c r="K1371" s="8" t="s">
        <v>1756</v>
      </c>
      <c r="L1371" s="8" t="s">
        <v>3095</v>
      </c>
      <c r="M1371" s="18" t="s">
        <v>2585</v>
      </c>
      <c r="N1371" s="16">
        <v>79.0</v>
      </c>
      <c r="O1371" s="8" t="s">
        <v>5304</v>
      </c>
      <c r="P1371" s="8" t="s">
        <v>65</v>
      </c>
      <c r="Q1371" s="14" t="s">
        <v>2296</v>
      </c>
      <c r="R1371" s="8" t="s">
        <v>2562</v>
      </c>
      <c r="S1371" s="14" t="s">
        <v>2602</v>
      </c>
    </row>
    <row r="1372">
      <c r="A1372" s="8" t="s">
        <v>892</v>
      </c>
      <c r="B1372" s="8" t="s">
        <v>1149</v>
      </c>
      <c r="C1372" s="8" t="s">
        <v>70</v>
      </c>
      <c r="D1372" s="18" t="s">
        <v>2575</v>
      </c>
      <c r="E1372" s="16">
        <v>72.0</v>
      </c>
      <c r="F1372" s="8" t="s">
        <v>347</v>
      </c>
      <c r="G1372" s="8" t="s">
        <v>35</v>
      </c>
      <c r="H1372" s="8" t="s">
        <v>65</v>
      </c>
      <c r="I1372" s="18" t="s">
        <v>2574</v>
      </c>
      <c r="J1372" s="16">
        <v>85.0</v>
      </c>
      <c r="K1372" s="8" t="s">
        <v>1756</v>
      </c>
      <c r="L1372" s="8" t="s">
        <v>502</v>
      </c>
      <c r="M1372" s="18" t="s">
        <v>2589</v>
      </c>
      <c r="N1372" s="16">
        <v>67.0</v>
      </c>
      <c r="O1372" s="8" t="s">
        <v>5305</v>
      </c>
      <c r="P1372" s="8" t="s">
        <v>75</v>
      </c>
      <c r="Q1372" s="14" t="s">
        <v>338</v>
      </c>
      <c r="R1372" s="8" t="s">
        <v>2560</v>
      </c>
      <c r="S1372" s="14" t="s">
        <v>2588</v>
      </c>
    </row>
    <row r="1373">
      <c r="A1373" s="8" t="s">
        <v>892</v>
      </c>
      <c r="B1373" s="8" t="s">
        <v>891</v>
      </c>
      <c r="C1373" s="8" t="s">
        <v>93</v>
      </c>
      <c r="D1373" s="18" t="s">
        <v>2556</v>
      </c>
      <c r="E1373" s="16">
        <v>61.0</v>
      </c>
      <c r="F1373" s="8" t="s">
        <v>347</v>
      </c>
      <c r="G1373" s="8" t="s">
        <v>346</v>
      </c>
      <c r="H1373" s="8" t="s">
        <v>149</v>
      </c>
      <c r="I1373" s="18" t="s">
        <v>2560</v>
      </c>
      <c r="J1373" s="16">
        <v>75.0</v>
      </c>
      <c r="K1373" s="8" t="s">
        <v>2846</v>
      </c>
      <c r="L1373" s="8" t="s">
        <v>274</v>
      </c>
      <c r="M1373" s="18" t="s">
        <v>2567</v>
      </c>
      <c r="N1373" s="16">
        <v>62.0</v>
      </c>
      <c r="O1373" s="8" t="s">
        <v>5306</v>
      </c>
      <c r="P1373" s="8" t="s">
        <v>46</v>
      </c>
      <c r="Q1373" s="14" t="s">
        <v>338</v>
      </c>
      <c r="R1373" s="8" t="s">
        <v>2560</v>
      </c>
      <c r="S1373" s="14" t="s">
        <v>2553</v>
      </c>
    </row>
    <row r="1374">
      <c r="A1374" s="8" t="s">
        <v>892</v>
      </c>
      <c r="B1374" s="8" t="s">
        <v>1167</v>
      </c>
      <c r="C1374" s="8" t="s">
        <v>70</v>
      </c>
      <c r="D1374" s="18" t="s">
        <v>2572</v>
      </c>
      <c r="E1374" s="16">
        <v>61.0</v>
      </c>
      <c r="F1374" s="8" t="s">
        <v>723</v>
      </c>
      <c r="G1374" s="8" t="s">
        <v>722</v>
      </c>
      <c r="H1374" s="8" t="s">
        <v>192</v>
      </c>
      <c r="I1374" s="18" t="s">
        <v>2598</v>
      </c>
      <c r="J1374" s="16">
        <v>75.0</v>
      </c>
      <c r="K1374" s="8" t="s">
        <v>3066</v>
      </c>
      <c r="L1374" s="8" t="s">
        <v>3065</v>
      </c>
      <c r="M1374" s="18" t="s">
        <v>2566</v>
      </c>
      <c r="N1374" s="16">
        <v>67.0</v>
      </c>
      <c r="O1374" s="8" t="s">
        <v>5307</v>
      </c>
      <c r="P1374" s="8" t="s">
        <v>65</v>
      </c>
      <c r="Q1374" s="14" t="s">
        <v>2296</v>
      </c>
      <c r="R1374" s="8" t="s">
        <v>2582</v>
      </c>
      <c r="S1374" s="14" t="s">
        <v>2568</v>
      </c>
    </row>
    <row r="1375">
      <c r="A1375" s="8" t="s">
        <v>333</v>
      </c>
      <c r="B1375" s="8" t="s">
        <v>3526</v>
      </c>
      <c r="C1375" s="8" t="s">
        <v>59</v>
      </c>
      <c r="D1375" s="18" t="s">
        <v>2620</v>
      </c>
      <c r="E1375" s="16">
        <v>57.0</v>
      </c>
      <c r="F1375" s="8" t="s">
        <v>1134</v>
      </c>
      <c r="G1375" s="8" t="s">
        <v>1133</v>
      </c>
      <c r="H1375" s="8" t="s">
        <v>93</v>
      </c>
      <c r="I1375" s="18" t="s">
        <v>2595</v>
      </c>
      <c r="J1375" s="16">
        <v>71.0</v>
      </c>
      <c r="K1375" s="8" t="s">
        <v>1699</v>
      </c>
      <c r="L1375" s="8" t="s">
        <v>877</v>
      </c>
      <c r="M1375" s="18" t="s">
        <v>2595</v>
      </c>
      <c r="N1375" s="16">
        <v>73.0</v>
      </c>
      <c r="O1375" s="8" t="s">
        <v>5308</v>
      </c>
      <c r="P1375" s="8" t="s">
        <v>53</v>
      </c>
      <c r="Q1375" s="14" t="s">
        <v>631</v>
      </c>
      <c r="R1375" s="8" t="s">
        <v>2598</v>
      </c>
      <c r="S1375" s="14" t="s">
        <v>2579</v>
      </c>
    </row>
    <row r="1376">
      <c r="A1376" s="8" t="s">
        <v>333</v>
      </c>
      <c r="B1376" s="8" t="s">
        <v>646</v>
      </c>
      <c r="C1376" s="8" t="s">
        <v>65</v>
      </c>
      <c r="D1376" s="18" t="s">
        <v>2592</v>
      </c>
      <c r="E1376" s="16">
        <v>63.0</v>
      </c>
      <c r="F1376" s="8" t="s">
        <v>961</v>
      </c>
      <c r="G1376" s="8" t="s">
        <v>918</v>
      </c>
      <c r="H1376" s="8" t="s">
        <v>93</v>
      </c>
      <c r="I1376" s="18" t="s">
        <v>2582</v>
      </c>
      <c r="J1376" s="16">
        <v>73.0</v>
      </c>
      <c r="K1376" s="8" t="s">
        <v>2767</v>
      </c>
      <c r="L1376" s="8" t="s">
        <v>2766</v>
      </c>
      <c r="M1376" s="18" t="s">
        <v>2562</v>
      </c>
      <c r="N1376" s="16">
        <v>64.0</v>
      </c>
      <c r="O1376" s="8" t="s">
        <v>5309</v>
      </c>
      <c r="P1376" s="8" t="s">
        <v>215</v>
      </c>
      <c r="Q1376" s="14" t="s">
        <v>1679</v>
      </c>
      <c r="R1376" s="8" t="s">
        <v>2567</v>
      </c>
      <c r="S1376" s="14" t="s">
        <v>2601</v>
      </c>
    </row>
    <row r="1377">
      <c r="A1377" s="8" t="s">
        <v>333</v>
      </c>
      <c r="B1377" s="8" t="s">
        <v>655</v>
      </c>
      <c r="C1377" s="8" t="s">
        <v>65</v>
      </c>
      <c r="D1377" s="18" t="s">
        <v>2593</v>
      </c>
      <c r="E1377" s="16">
        <v>80.0</v>
      </c>
      <c r="F1377" s="8" t="s">
        <v>961</v>
      </c>
      <c r="G1377" s="8" t="s">
        <v>963</v>
      </c>
      <c r="H1377" s="8" t="s">
        <v>138</v>
      </c>
      <c r="I1377" s="18" t="s">
        <v>2567</v>
      </c>
      <c r="J1377" s="16">
        <v>74.0</v>
      </c>
      <c r="K1377" s="8" t="s">
        <v>1354</v>
      </c>
      <c r="L1377" s="8" t="s">
        <v>57</v>
      </c>
      <c r="M1377" s="18" t="s">
        <v>2592</v>
      </c>
      <c r="N1377" s="16">
        <v>82.0</v>
      </c>
      <c r="O1377" s="8" t="s">
        <v>5310</v>
      </c>
      <c r="P1377" s="8" t="s">
        <v>93</v>
      </c>
      <c r="Q1377" s="14" t="s">
        <v>1070</v>
      </c>
      <c r="R1377" s="8" t="s">
        <v>2595</v>
      </c>
      <c r="S1377" s="14" t="s">
        <v>2601</v>
      </c>
    </row>
    <row r="1378">
      <c r="A1378" s="8" t="s">
        <v>333</v>
      </c>
      <c r="B1378" s="8" t="s">
        <v>90</v>
      </c>
      <c r="C1378" s="8" t="s">
        <v>122</v>
      </c>
      <c r="D1378" s="18" t="s">
        <v>2558</v>
      </c>
      <c r="E1378" s="16">
        <v>73.0</v>
      </c>
      <c r="F1378" s="8" t="s">
        <v>961</v>
      </c>
      <c r="G1378" s="8" t="s">
        <v>960</v>
      </c>
      <c r="H1378" s="8" t="s">
        <v>46</v>
      </c>
      <c r="I1378" s="18" t="s">
        <v>2562</v>
      </c>
      <c r="J1378" s="16">
        <v>66.0</v>
      </c>
      <c r="K1378" s="8" t="s">
        <v>214</v>
      </c>
      <c r="L1378" s="8" t="s">
        <v>449</v>
      </c>
      <c r="M1378" s="18" t="s">
        <v>2556</v>
      </c>
      <c r="N1378" s="16">
        <v>69.0</v>
      </c>
      <c r="O1378" s="8" t="s">
        <v>5311</v>
      </c>
      <c r="P1378" s="8" t="s">
        <v>93</v>
      </c>
      <c r="Q1378" s="14" t="s">
        <v>2033</v>
      </c>
      <c r="R1378" s="8" t="s">
        <v>2600</v>
      </c>
      <c r="S1378" s="14" t="s">
        <v>2555</v>
      </c>
    </row>
    <row r="1379">
      <c r="A1379" s="8" t="s">
        <v>333</v>
      </c>
      <c r="B1379" s="8" t="s">
        <v>1837</v>
      </c>
      <c r="C1379" s="8" t="s">
        <v>70</v>
      </c>
      <c r="D1379" s="18" t="s">
        <v>2562</v>
      </c>
      <c r="E1379" s="16">
        <v>62.0</v>
      </c>
      <c r="F1379" s="8" t="s">
        <v>961</v>
      </c>
      <c r="G1379" s="8" t="s">
        <v>455</v>
      </c>
      <c r="H1379" s="8" t="s">
        <v>65</v>
      </c>
      <c r="I1379" s="18" t="s">
        <v>2605</v>
      </c>
      <c r="J1379" s="16">
        <v>77.0</v>
      </c>
      <c r="K1379" s="8" t="s">
        <v>214</v>
      </c>
      <c r="L1379" s="8" t="s">
        <v>78</v>
      </c>
      <c r="M1379" s="18" t="s">
        <v>2587</v>
      </c>
      <c r="N1379" s="16">
        <v>79.0</v>
      </c>
      <c r="O1379" s="8" t="s">
        <v>5312</v>
      </c>
      <c r="P1379" s="8" t="s">
        <v>24</v>
      </c>
      <c r="Q1379" s="14" t="s">
        <v>2033</v>
      </c>
      <c r="R1379" s="8" t="s">
        <v>2593</v>
      </c>
      <c r="S1379" s="14" t="s">
        <v>2576</v>
      </c>
    </row>
    <row r="1380">
      <c r="A1380" s="8" t="s">
        <v>333</v>
      </c>
      <c r="B1380" s="8" t="s">
        <v>1874</v>
      </c>
      <c r="C1380" s="8" t="s">
        <v>65</v>
      </c>
      <c r="D1380" s="18" t="s">
        <v>2603</v>
      </c>
      <c r="E1380" s="16">
        <v>64.0</v>
      </c>
      <c r="F1380" s="8" t="s">
        <v>1696</v>
      </c>
      <c r="G1380" s="8" t="s">
        <v>1695</v>
      </c>
      <c r="H1380" s="8" t="s">
        <v>186</v>
      </c>
      <c r="I1380" s="18" t="s">
        <v>2592</v>
      </c>
      <c r="J1380" s="16">
        <v>69.0</v>
      </c>
      <c r="K1380" s="8" t="s">
        <v>214</v>
      </c>
      <c r="L1380" s="8" t="s">
        <v>918</v>
      </c>
      <c r="M1380" s="18" t="s">
        <v>2562</v>
      </c>
      <c r="N1380" s="16">
        <v>66.0</v>
      </c>
      <c r="O1380" s="8" t="s">
        <v>5313</v>
      </c>
      <c r="P1380" s="8" t="s">
        <v>59</v>
      </c>
      <c r="Q1380" s="14" t="s">
        <v>2033</v>
      </c>
      <c r="R1380" s="8" t="s">
        <v>2558</v>
      </c>
      <c r="S1380" s="14" t="s">
        <v>2594</v>
      </c>
    </row>
    <row r="1381">
      <c r="A1381" s="8" t="s">
        <v>333</v>
      </c>
      <c r="B1381" s="8" t="s">
        <v>1038</v>
      </c>
      <c r="C1381" s="8" t="s">
        <v>65</v>
      </c>
      <c r="D1381" s="18" t="s">
        <v>2581</v>
      </c>
      <c r="E1381" s="16">
        <v>74.0</v>
      </c>
      <c r="F1381" s="8" t="s">
        <v>345</v>
      </c>
      <c r="G1381" s="8" t="s">
        <v>344</v>
      </c>
      <c r="H1381" s="8" t="s">
        <v>70</v>
      </c>
      <c r="I1381" s="18" t="s">
        <v>2572</v>
      </c>
      <c r="J1381" s="16">
        <v>69.0</v>
      </c>
      <c r="K1381" s="8" t="s">
        <v>214</v>
      </c>
      <c r="L1381" s="8" t="s">
        <v>1494</v>
      </c>
      <c r="M1381" s="18" t="s">
        <v>2582</v>
      </c>
      <c r="N1381" s="16">
        <v>63.0</v>
      </c>
      <c r="O1381" s="8" t="s">
        <v>5314</v>
      </c>
      <c r="P1381" s="8" t="s">
        <v>93</v>
      </c>
      <c r="Q1381" s="14" t="s">
        <v>1679</v>
      </c>
      <c r="R1381" s="8" t="s">
        <v>2183</v>
      </c>
      <c r="S1381" s="14" t="s">
        <v>2604</v>
      </c>
    </row>
    <row r="1382">
      <c r="A1382" s="8" t="s">
        <v>333</v>
      </c>
      <c r="B1382" s="8" t="s">
        <v>818</v>
      </c>
      <c r="C1382" s="8" t="s">
        <v>192</v>
      </c>
      <c r="D1382" s="18" t="s">
        <v>2595</v>
      </c>
      <c r="E1382" s="16">
        <v>80.0</v>
      </c>
      <c r="F1382" s="8" t="s">
        <v>892</v>
      </c>
      <c r="G1382" s="8" t="s">
        <v>1149</v>
      </c>
      <c r="H1382" s="8" t="s">
        <v>70</v>
      </c>
      <c r="I1382" s="18" t="s">
        <v>2575</v>
      </c>
      <c r="J1382" s="16">
        <v>76.0</v>
      </c>
      <c r="K1382" s="8" t="s">
        <v>214</v>
      </c>
      <c r="L1382" s="8" t="s">
        <v>599</v>
      </c>
      <c r="M1382" s="18" t="s">
        <v>2552</v>
      </c>
      <c r="N1382" s="16">
        <v>83.0</v>
      </c>
      <c r="O1382" s="8" t="s">
        <v>5315</v>
      </c>
      <c r="P1382" s="8" t="s">
        <v>149</v>
      </c>
      <c r="Q1382" s="14" t="s">
        <v>837</v>
      </c>
      <c r="R1382" s="8" t="s">
        <v>2615</v>
      </c>
      <c r="S1382" s="14" t="s">
        <v>2568</v>
      </c>
    </row>
    <row r="1383">
      <c r="A1383" s="8" t="s">
        <v>333</v>
      </c>
      <c r="B1383" s="8" t="s">
        <v>332</v>
      </c>
      <c r="C1383" s="8" t="s">
        <v>75</v>
      </c>
      <c r="D1383" s="18" t="s">
        <v>2572</v>
      </c>
      <c r="E1383" s="16">
        <v>66.0</v>
      </c>
      <c r="F1383" s="8" t="s">
        <v>892</v>
      </c>
      <c r="G1383" s="8" t="s">
        <v>1167</v>
      </c>
      <c r="H1383" s="8" t="s">
        <v>70</v>
      </c>
      <c r="I1383" s="18" t="s">
        <v>2572</v>
      </c>
      <c r="J1383" s="16">
        <v>57.0</v>
      </c>
      <c r="K1383" s="8" t="s">
        <v>214</v>
      </c>
      <c r="L1383" s="8" t="s">
        <v>766</v>
      </c>
      <c r="M1383" s="18" t="s">
        <v>2558</v>
      </c>
      <c r="N1383" s="16">
        <v>68.0</v>
      </c>
      <c r="O1383" s="8" t="s">
        <v>5316</v>
      </c>
      <c r="P1383" s="8" t="s">
        <v>93</v>
      </c>
      <c r="Q1383" s="14" t="s">
        <v>2033</v>
      </c>
      <c r="R1383" s="8" t="s">
        <v>2598</v>
      </c>
      <c r="S1383" s="14" t="s">
        <v>2622</v>
      </c>
    </row>
    <row r="1384">
      <c r="A1384" s="8" t="s">
        <v>3625</v>
      </c>
      <c r="B1384" s="8" t="s">
        <v>677</v>
      </c>
      <c r="C1384" s="8" t="s">
        <v>122</v>
      </c>
      <c r="D1384" s="18" t="s">
        <v>2552</v>
      </c>
      <c r="E1384" s="16">
        <v>71.0</v>
      </c>
      <c r="F1384" s="8" t="s">
        <v>892</v>
      </c>
      <c r="G1384" s="8" t="s">
        <v>2644</v>
      </c>
      <c r="H1384" s="8" t="s">
        <v>93</v>
      </c>
      <c r="I1384" s="18" t="s">
        <v>2183</v>
      </c>
      <c r="J1384" s="16">
        <v>67.0</v>
      </c>
      <c r="K1384" s="8" t="s">
        <v>214</v>
      </c>
      <c r="L1384" s="8" t="s">
        <v>213</v>
      </c>
      <c r="M1384" s="18" t="s">
        <v>2574</v>
      </c>
      <c r="N1384" s="16">
        <v>70.0</v>
      </c>
      <c r="O1384" s="8" t="s">
        <v>5317</v>
      </c>
      <c r="P1384" s="8" t="s">
        <v>186</v>
      </c>
      <c r="Q1384" s="14" t="s">
        <v>1679</v>
      </c>
      <c r="R1384" s="8" t="s">
        <v>2592</v>
      </c>
      <c r="S1384" s="14" t="s">
        <v>2573</v>
      </c>
    </row>
    <row r="1385">
      <c r="A1385" s="8" t="s">
        <v>3515</v>
      </c>
      <c r="B1385" s="8" t="s">
        <v>3514</v>
      </c>
      <c r="C1385" s="8" t="s">
        <v>122</v>
      </c>
      <c r="D1385" s="18" t="s">
        <v>2605</v>
      </c>
      <c r="E1385" s="16">
        <v>60.0</v>
      </c>
      <c r="F1385" s="8" t="s">
        <v>333</v>
      </c>
      <c r="G1385" s="8" t="s">
        <v>655</v>
      </c>
      <c r="H1385" s="8" t="s">
        <v>65</v>
      </c>
      <c r="I1385" s="18" t="s">
        <v>2615</v>
      </c>
      <c r="J1385" s="16">
        <v>82.0</v>
      </c>
      <c r="K1385" s="8" t="s">
        <v>214</v>
      </c>
      <c r="L1385" s="8" t="s">
        <v>1616</v>
      </c>
      <c r="M1385" s="18" t="s">
        <v>2552</v>
      </c>
      <c r="N1385" s="16">
        <v>69.0</v>
      </c>
      <c r="O1385" s="8" t="s">
        <v>5318</v>
      </c>
      <c r="P1385" s="8" t="s">
        <v>65</v>
      </c>
      <c r="Q1385" s="14" t="s">
        <v>1679</v>
      </c>
      <c r="R1385" s="8" t="s">
        <v>2585</v>
      </c>
      <c r="S1385" s="14" t="s">
        <v>2601</v>
      </c>
    </row>
    <row r="1386">
      <c r="A1386" s="8" t="s">
        <v>1105</v>
      </c>
      <c r="B1386" s="8" t="s">
        <v>487</v>
      </c>
      <c r="C1386" s="8" t="s">
        <v>192</v>
      </c>
      <c r="D1386" s="18" t="s">
        <v>2558</v>
      </c>
      <c r="E1386" s="16">
        <v>63.0</v>
      </c>
      <c r="F1386" s="8" t="s">
        <v>333</v>
      </c>
      <c r="G1386" s="8" t="s">
        <v>646</v>
      </c>
      <c r="H1386" s="8" t="s">
        <v>65</v>
      </c>
      <c r="I1386" s="18" t="s">
        <v>2575</v>
      </c>
      <c r="J1386" s="16">
        <v>63.0</v>
      </c>
      <c r="K1386" s="8" t="s">
        <v>214</v>
      </c>
      <c r="L1386" s="8" t="s">
        <v>729</v>
      </c>
      <c r="M1386" s="18" t="s">
        <v>2585</v>
      </c>
      <c r="N1386" s="16">
        <v>84.0</v>
      </c>
      <c r="O1386" s="8" t="s">
        <v>5319</v>
      </c>
      <c r="P1386" s="8" t="s">
        <v>122</v>
      </c>
      <c r="Q1386" s="14" t="s">
        <v>2296</v>
      </c>
      <c r="R1386" s="8" t="s">
        <v>2581</v>
      </c>
      <c r="S1386" s="14" t="s">
        <v>2576</v>
      </c>
    </row>
    <row r="1387">
      <c r="A1387" s="8" t="s">
        <v>1105</v>
      </c>
      <c r="B1387" s="8" t="s">
        <v>1104</v>
      </c>
      <c r="C1387" s="8" t="s">
        <v>186</v>
      </c>
      <c r="D1387" s="18" t="s">
        <v>2552</v>
      </c>
      <c r="E1387" s="16">
        <v>66.0</v>
      </c>
      <c r="F1387" s="8" t="s">
        <v>333</v>
      </c>
      <c r="G1387" s="8" t="s">
        <v>1456</v>
      </c>
      <c r="H1387" s="8" t="s">
        <v>65</v>
      </c>
      <c r="I1387" s="18" t="s">
        <v>2554</v>
      </c>
      <c r="J1387" s="16">
        <v>74.0</v>
      </c>
      <c r="K1387" s="8" t="s">
        <v>214</v>
      </c>
      <c r="L1387" s="8" t="s">
        <v>918</v>
      </c>
      <c r="M1387" s="18" t="s">
        <v>2605</v>
      </c>
      <c r="N1387" s="16">
        <v>80.0</v>
      </c>
      <c r="O1387" s="8" t="s">
        <v>5320</v>
      </c>
      <c r="P1387" s="8" t="s">
        <v>70</v>
      </c>
      <c r="Q1387" s="14" t="s">
        <v>338</v>
      </c>
      <c r="R1387" s="8" t="s">
        <v>2598</v>
      </c>
      <c r="S1387" s="14" t="s">
        <v>2573</v>
      </c>
    </row>
    <row r="1388">
      <c r="A1388" s="8" t="s">
        <v>1432</v>
      </c>
      <c r="B1388" s="8" t="s">
        <v>1431</v>
      </c>
      <c r="C1388" s="8" t="s">
        <v>70</v>
      </c>
      <c r="D1388" s="18" t="s">
        <v>2581</v>
      </c>
      <c r="E1388" s="16">
        <v>70.0</v>
      </c>
      <c r="F1388" s="8" t="s">
        <v>333</v>
      </c>
      <c r="G1388" s="8" t="s">
        <v>1874</v>
      </c>
      <c r="H1388" s="8" t="s">
        <v>65</v>
      </c>
      <c r="I1388" s="18" t="s">
        <v>2603</v>
      </c>
      <c r="J1388" s="16">
        <v>66.0</v>
      </c>
      <c r="K1388" s="8" t="s">
        <v>214</v>
      </c>
      <c r="L1388" s="8" t="s">
        <v>3108</v>
      </c>
      <c r="M1388" s="18" t="s">
        <v>2600</v>
      </c>
      <c r="N1388" s="16">
        <v>78.0</v>
      </c>
      <c r="O1388" s="8" t="s">
        <v>5321</v>
      </c>
      <c r="P1388" s="8" t="s">
        <v>70</v>
      </c>
      <c r="Q1388" s="14" t="s">
        <v>1352</v>
      </c>
      <c r="R1388" s="8" t="s">
        <v>2575</v>
      </c>
      <c r="S1388" s="14" t="s">
        <v>2571</v>
      </c>
    </row>
    <row r="1389">
      <c r="A1389" s="8" t="s">
        <v>721</v>
      </c>
      <c r="B1389" s="8" t="s">
        <v>834</v>
      </c>
      <c r="C1389" s="8" t="s">
        <v>138</v>
      </c>
      <c r="D1389" s="18" t="s">
        <v>2566</v>
      </c>
      <c r="E1389" s="16">
        <v>65.0</v>
      </c>
      <c r="F1389" s="8" t="s">
        <v>333</v>
      </c>
      <c r="G1389" s="8" t="s">
        <v>90</v>
      </c>
      <c r="H1389" s="8" t="s">
        <v>138</v>
      </c>
      <c r="I1389" s="18" t="s">
        <v>2558</v>
      </c>
      <c r="J1389" s="16">
        <v>75.0</v>
      </c>
      <c r="K1389" s="8" t="s">
        <v>214</v>
      </c>
      <c r="L1389" s="8" t="s">
        <v>1279</v>
      </c>
      <c r="M1389" s="18" t="s">
        <v>2620</v>
      </c>
      <c r="N1389" s="16">
        <v>64.0</v>
      </c>
      <c r="O1389" s="8" t="s">
        <v>5322</v>
      </c>
      <c r="P1389" s="8" t="s">
        <v>93</v>
      </c>
      <c r="Q1389" s="14" t="s">
        <v>837</v>
      </c>
      <c r="R1389" s="8" t="s">
        <v>2621</v>
      </c>
      <c r="S1389" s="14" t="s">
        <v>2618</v>
      </c>
    </row>
    <row r="1390">
      <c r="A1390" s="8" t="s">
        <v>3139</v>
      </c>
      <c r="B1390" s="8" t="s">
        <v>78</v>
      </c>
      <c r="C1390" s="8" t="s">
        <v>70</v>
      </c>
      <c r="D1390" s="18" t="s">
        <v>2589</v>
      </c>
      <c r="E1390" s="16">
        <v>71.0</v>
      </c>
      <c r="F1390" s="8" t="s">
        <v>333</v>
      </c>
      <c r="G1390" s="8" t="s">
        <v>818</v>
      </c>
      <c r="H1390" s="8" t="s">
        <v>192</v>
      </c>
      <c r="I1390" s="18" t="s">
        <v>2595</v>
      </c>
      <c r="J1390" s="16">
        <v>82.0</v>
      </c>
      <c r="K1390" s="8" t="s">
        <v>214</v>
      </c>
      <c r="L1390" s="8" t="s">
        <v>2351</v>
      </c>
      <c r="M1390" s="18" t="s">
        <v>2572</v>
      </c>
      <c r="N1390" s="16">
        <v>78.0</v>
      </c>
      <c r="O1390" s="8" t="s">
        <v>5323</v>
      </c>
      <c r="P1390" s="8" t="s">
        <v>70</v>
      </c>
      <c r="Q1390" s="14" t="s">
        <v>1070</v>
      </c>
      <c r="R1390" s="8" t="s">
        <v>2581</v>
      </c>
      <c r="S1390" s="14" t="s">
        <v>2569</v>
      </c>
    </row>
    <row r="1391">
      <c r="A1391" s="8" t="s">
        <v>3344</v>
      </c>
      <c r="B1391" s="8" t="s">
        <v>396</v>
      </c>
      <c r="C1391" s="8" t="s">
        <v>65</v>
      </c>
      <c r="D1391" s="18" t="s">
        <v>2600</v>
      </c>
      <c r="E1391" s="16">
        <v>68.0</v>
      </c>
      <c r="F1391" s="8" t="s">
        <v>333</v>
      </c>
      <c r="G1391" s="8" t="s">
        <v>1038</v>
      </c>
      <c r="H1391" s="8" t="s">
        <v>65</v>
      </c>
      <c r="I1391" s="18" t="s">
        <v>2581</v>
      </c>
      <c r="J1391" s="16">
        <v>80.0</v>
      </c>
      <c r="K1391" s="8" t="s">
        <v>214</v>
      </c>
      <c r="L1391" s="8" t="s">
        <v>395</v>
      </c>
      <c r="M1391" s="18" t="s">
        <v>2605</v>
      </c>
      <c r="N1391" s="16">
        <v>81.0</v>
      </c>
      <c r="O1391" s="8" t="s">
        <v>5324</v>
      </c>
      <c r="P1391" s="8" t="s">
        <v>122</v>
      </c>
      <c r="Q1391" s="14" t="s">
        <v>2033</v>
      </c>
      <c r="R1391" s="8" t="s">
        <v>2558</v>
      </c>
      <c r="S1391" s="14" t="s">
        <v>2561</v>
      </c>
    </row>
    <row r="1392">
      <c r="A1392" s="8" t="s">
        <v>119</v>
      </c>
      <c r="B1392" s="8" t="s">
        <v>1111</v>
      </c>
      <c r="C1392" s="8" t="s">
        <v>192</v>
      </c>
      <c r="D1392" s="18" t="s">
        <v>2621</v>
      </c>
      <c r="E1392" s="16">
        <v>71.0</v>
      </c>
      <c r="F1392" s="8" t="s">
        <v>333</v>
      </c>
      <c r="G1392" s="8" t="s">
        <v>332</v>
      </c>
      <c r="H1392" s="8" t="s">
        <v>75</v>
      </c>
      <c r="I1392" s="18" t="s">
        <v>2572</v>
      </c>
      <c r="J1392" s="16">
        <v>66.0</v>
      </c>
      <c r="K1392" s="8" t="s">
        <v>214</v>
      </c>
      <c r="L1392" s="8" t="s">
        <v>1875</v>
      </c>
      <c r="M1392" s="18" t="s">
        <v>2566</v>
      </c>
      <c r="N1392" s="16">
        <v>72.0</v>
      </c>
      <c r="O1392" s="8" t="s">
        <v>5325</v>
      </c>
      <c r="P1392" s="8" t="s">
        <v>65</v>
      </c>
      <c r="Q1392" s="14" t="s">
        <v>1352</v>
      </c>
      <c r="R1392" s="8" t="s">
        <v>2554</v>
      </c>
      <c r="S1392" s="14" t="s">
        <v>2578</v>
      </c>
    </row>
    <row r="1393">
      <c r="A1393" s="8" t="s">
        <v>119</v>
      </c>
      <c r="B1393" s="8" t="s">
        <v>2764</v>
      </c>
      <c r="C1393" s="8" t="s">
        <v>59</v>
      </c>
      <c r="D1393" s="18" t="s">
        <v>2621</v>
      </c>
      <c r="E1393" s="16">
        <v>73.0</v>
      </c>
      <c r="F1393" s="8" t="s">
        <v>1105</v>
      </c>
      <c r="G1393" s="8" t="s">
        <v>487</v>
      </c>
      <c r="H1393" s="8" t="s">
        <v>80</v>
      </c>
      <c r="I1393" s="18" t="s">
        <v>2558</v>
      </c>
      <c r="J1393" s="16">
        <v>68.0</v>
      </c>
      <c r="K1393" s="8" t="s">
        <v>905</v>
      </c>
      <c r="L1393" s="8" t="s">
        <v>904</v>
      </c>
      <c r="M1393" s="18" t="s">
        <v>2558</v>
      </c>
      <c r="N1393" s="16">
        <v>76.0</v>
      </c>
      <c r="O1393" s="8" t="s">
        <v>5326</v>
      </c>
      <c r="P1393" s="8" t="s">
        <v>192</v>
      </c>
      <c r="Q1393" s="14" t="s">
        <v>837</v>
      </c>
      <c r="R1393" s="8" t="s">
        <v>2566</v>
      </c>
      <c r="S1393" s="14" t="s">
        <v>2580</v>
      </c>
    </row>
    <row r="1394">
      <c r="A1394" s="8" t="s">
        <v>119</v>
      </c>
      <c r="B1394" s="8" t="s">
        <v>3282</v>
      </c>
      <c r="C1394" s="8" t="s">
        <v>46</v>
      </c>
      <c r="D1394" s="18" t="s">
        <v>2567</v>
      </c>
      <c r="E1394" s="16">
        <v>64.0</v>
      </c>
      <c r="F1394" s="8" t="s">
        <v>1105</v>
      </c>
      <c r="G1394" s="8" t="s">
        <v>1104</v>
      </c>
      <c r="H1394" s="8" t="s">
        <v>59</v>
      </c>
      <c r="I1394" s="18" t="s">
        <v>2552</v>
      </c>
      <c r="J1394" s="16">
        <v>66.0</v>
      </c>
      <c r="K1394" s="8" t="s">
        <v>1791</v>
      </c>
      <c r="L1394" s="8" t="s">
        <v>1790</v>
      </c>
      <c r="M1394" s="18" t="s">
        <v>2605</v>
      </c>
      <c r="N1394" s="16">
        <v>66.0</v>
      </c>
      <c r="O1394" s="8" t="s">
        <v>5327</v>
      </c>
      <c r="P1394" s="8" t="s">
        <v>93</v>
      </c>
      <c r="Q1394" s="14" t="s">
        <v>1679</v>
      </c>
      <c r="R1394" s="8" t="s">
        <v>2567</v>
      </c>
      <c r="S1394" s="14" t="s">
        <v>2608</v>
      </c>
    </row>
    <row r="1395">
      <c r="A1395" s="8" t="s">
        <v>119</v>
      </c>
      <c r="B1395" s="8" t="s">
        <v>274</v>
      </c>
      <c r="C1395" s="8" t="s">
        <v>16</v>
      </c>
      <c r="D1395" s="18" t="s">
        <v>2183</v>
      </c>
      <c r="E1395" s="16">
        <v>67.0</v>
      </c>
      <c r="F1395" s="8" t="s">
        <v>1432</v>
      </c>
      <c r="G1395" s="8" t="s">
        <v>1431</v>
      </c>
      <c r="H1395" s="8" t="s">
        <v>70</v>
      </c>
      <c r="I1395" s="18" t="s">
        <v>2581</v>
      </c>
      <c r="J1395" s="16">
        <v>69.0</v>
      </c>
      <c r="K1395" s="8" t="s">
        <v>2282</v>
      </c>
      <c r="L1395" s="8" t="s">
        <v>1055</v>
      </c>
      <c r="M1395" s="18" t="s">
        <v>2572</v>
      </c>
      <c r="N1395" s="16">
        <v>70.0</v>
      </c>
      <c r="O1395" s="8" t="s">
        <v>5328</v>
      </c>
      <c r="P1395" s="8" t="s">
        <v>65</v>
      </c>
      <c r="Q1395" s="14" t="s">
        <v>837</v>
      </c>
      <c r="R1395" s="8" t="s">
        <v>2581</v>
      </c>
      <c r="S1395" s="14" t="s">
        <v>2611</v>
      </c>
    </row>
    <row r="1396">
      <c r="A1396" s="8" t="s">
        <v>119</v>
      </c>
      <c r="B1396" s="8" t="s">
        <v>118</v>
      </c>
      <c r="C1396" s="8" t="s">
        <v>38</v>
      </c>
      <c r="D1396" s="18" t="s">
        <v>2610</v>
      </c>
      <c r="E1396" s="16">
        <v>77.0</v>
      </c>
      <c r="F1396" s="8" t="s">
        <v>1830</v>
      </c>
      <c r="G1396" s="8" t="s">
        <v>1829</v>
      </c>
      <c r="H1396" s="8" t="s">
        <v>65</v>
      </c>
      <c r="I1396" s="18" t="s">
        <v>2556</v>
      </c>
      <c r="J1396" s="16">
        <v>62.0</v>
      </c>
      <c r="K1396" s="18" t="s">
        <v>512</v>
      </c>
      <c r="L1396" s="8" t="s">
        <v>2932</v>
      </c>
      <c r="M1396" s="18" t="s">
        <v>2587</v>
      </c>
      <c r="N1396" s="16">
        <v>70.0</v>
      </c>
      <c r="O1396" s="8" t="s">
        <v>5329</v>
      </c>
      <c r="P1396" s="8" t="s">
        <v>192</v>
      </c>
      <c r="Q1396" s="14" t="s">
        <v>631</v>
      </c>
      <c r="R1396" s="8" t="s">
        <v>2621</v>
      </c>
      <c r="S1396" s="14" t="s">
        <v>2599</v>
      </c>
    </row>
    <row r="1397">
      <c r="A1397" s="8" t="s">
        <v>119</v>
      </c>
      <c r="B1397" s="8" t="s">
        <v>389</v>
      </c>
      <c r="C1397" s="8" t="s">
        <v>93</v>
      </c>
      <c r="D1397" s="18" t="s">
        <v>2562</v>
      </c>
      <c r="E1397" s="16">
        <v>74.0</v>
      </c>
      <c r="F1397" s="8" t="s">
        <v>721</v>
      </c>
      <c r="G1397" s="8" t="s">
        <v>2856</v>
      </c>
      <c r="H1397" s="8" t="s">
        <v>138</v>
      </c>
      <c r="I1397" s="18" t="s">
        <v>2554</v>
      </c>
      <c r="J1397" s="16">
        <v>78.0</v>
      </c>
      <c r="K1397" s="18" t="s">
        <v>512</v>
      </c>
      <c r="L1397" s="8" t="s">
        <v>511</v>
      </c>
      <c r="M1397" s="18" t="s">
        <v>2577</v>
      </c>
      <c r="N1397" s="16">
        <v>73.0</v>
      </c>
      <c r="O1397" s="8" t="s">
        <v>5330</v>
      </c>
      <c r="P1397" s="8" t="s">
        <v>132</v>
      </c>
      <c r="Q1397" s="14" t="s">
        <v>237</v>
      </c>
      <c r="R1397" s="8" t="s">
        <v>2554</v>
      </c>
      <c r="S1397" s="14" t="s">
        <v>2555</v>
      </c>
    </row>
    <row r="1398">
      <c r="A1398" s="8" t="s">
        <v>119</v>
      </c>
      <c r="B1398" s="8" t="s">
        <v>581</v>
      </c>
      <c r="C1398" s="8" t="s">
        <v>24</v>
      </c>
      <c r="D1398" s="18" t="s">
        <v>2552</v>
      </c>
      <c r="E1398" s="16">
        <v>50.0</v>
      </c>
      <c r="F1398" s="8" t="s">
        <v>721</v>
      </c>
      <c r="G1398" s="8" t="s">
        <v>834</v>
      </c>
      <c r="H1398" s="8" t="s">
        <v>138</v>
      </c>
      <c r="I1398" s="18" t="s">
        <v>2566</v>
      </c>
      <c r="J1398" s="16">
        <v>65.0</v>
      </c>
      <c r="K1398" s="18" t="s">
        <v>46</v>
      </c>
      <c r="L1398" s="8" t="s">
        <v>2443</v>
      </c>
      <c r="M1398" s="18" t="s">
        <v>2577</v>
      </c>
      <c r="N1398" s="16">
        <v>68.0</v>
      </c>
      <c r="O1398" s="8" t="s">
        <v>5331</v>
      </c>
      <c r="P1398" s="8" t="s">
        <v>186</v>
      </c>
      <c r="Q1398" s="14" t="s">
        <v>2033</v>
      </c>
      <c r="R1398" s="8" t="s">
        <v>2575</v>
      </c>
      <c r="S1398" s="14" t="s">
        <v>2573</v>
      </c>
    </row>
    <row r="1399">
      <c r="A1399" s="8" t="s">
        <v>119</v>
      </c>
      <c r="B1399" s="8" t="s">
        <v>2950</v>
      </c>
      <c r="C1399" s="8" t="s">
        <v>186</v>
      </c>
      <c r="D1399" s="18" t="s">
        <v>2589</v>
      </c>
      <c r="E1399" s="16">
        <v>74.0</v>
      </c>
      <c r="F1399" s="8" t="s">
        <v>3139</v>
      </c>
      <c r="G1399" s="8" t="s">
        <v>78</v>
      </c>
      <c r="H1399" s="8" t="s">
        <v>70</v>
      </c>
      <c r="I1399" s="18" t="s">
        <v>2589</v>
      </c>
      <c r="J1399" s="16">
        <v>73.0</v>
      </c>
      <c r="K1399" s="8" t="s">
        <v>5332</v>
      </c>
      <c r="L1399" s="8" t="s">
        <v>498</v>
      </c>
      <c r="M1399" s="18" t="s">
        <v>2614</v>
      </c>
      <c r="N1399" s="16">
        <v>76.0</v>
      </c>
      <c r="O1399" s="8" t="s">
        <v>5333</v>
      </c>
      <c r="P1399" s="8" t="s">
        <v>46</v>
      </c>
      <c r="Q1399" s="14" t="s">
        <v>1679</v>
      </c>
      <c r="R1399" s="8" t="s">
        <v>2610</v>
      </c>
      <c r="S1399" s="14" t="s">
        <v>2606</v>
      </c>
    </row>
    <row r="1400">
      <c r="A1400" s="8" t="s">
        <v>119</v>
      </c>
      <c r="B1400" s="8" t="s">
        <v>3378</v>
      </c>
      <c r="C1400" s="8" t="s">
        <v>65</v>
      </c>
      <c r="D1400" s="18" t="s">
        <v>2574</v>
      </c>
      <c r="E1400" s="16">
        <v>68.0</v>
      </c>
      <c r="F1400" s="8" t="s">
        <v>3344</v>
      </c>
      <c r="G1400" s="8" t="s">
        <v>396</v>
      </c>
      <c r="H1400" s="8" t="s">
        <v>65</v>
      </c>
      <c r="I1400" s="18" t="s">
        <v>2554</v>
      </c>
      <c r="J1400" s="16">
        <v>66.0</v>
      </c>
      <c r="K1400" s="8" t="s">
        <v>824</v>
      </c>
      <c r="L1400" s="8" t="s">
        <v>823</v>
      </c>
      <c r="M1400" s="18" t="s">
        <v>2600</v>
      </c>
      <c r="N1400" s="16">
        <v>73.0</v>
      </c>
      <c r="O1400" s="8" t="s">
        <v>5334</v>
      </c>
      <c r="P1400" s="8" t="s">
        <v>138</v>
      </c>
      <c r="Q1400" s="14" t="s">
        <v>2033</v>
      </c>
      <c r="R1400" s="8" t="s">
        <v>2585</v>
      </c>
      <c r="S1400" s="14" t="s">
        <v>2579</v>
      </c>
    </row>
    <row r="1401">
      <c r="A1401" s="8" t="s">
        <v>119</v>
      </c>
      <c r="B1401" s="8" t="s">
        <v>773</v>
      </c>
      <c r="C1401" s="8" t="s">
        <v>46</v>
      </c>
      <c r="D1401" s="18" t="s">
        <v>2592</v>
      </c>
      <c r="E1401" s="16">
        <v>71.0</v>
      </c>
      <c r="F1401" s="8" t="s">
        <v>119</v>
      </c>
      <c r="G1401" s="8" t="s">
        <v>1055</v>
      </c>
      <c r="H1401" s="8" t="s">
        <v>65</v>
      </c>
      <c r="I1401" s="18" t="s">
        <v>2605</v>
      </c>
      <c r="J1401" s="16">
        <v>72.0</v>
      </c>
      <c r="K1401" s="8" t="s">
        <v>896</v>
      </c>
      <c r="L1401" s="8" t="s">
        <v>895</v>
      </c>
      <c r="M1401" s="18" t="s">
        <v>2560</v>
      </c>
      <c r="N1401" s="16">
        <v>77.0</v>
      </c>
      <c r="O1401" s="8" t="s">
        <v>5335</v>
      </c>
      <c r="P1401" s="8" t="s">
        <v>192</v>
      </c>
      <c r="Q1401" s="14" t="s">
        <v>1352</v>
      </c>
      <c r="R1401" s="8" t="s">
        <v>2592</v>
      </c>
      <c r="S1401" s="14" t="s">
        <v>2579</v>
      </c>
    </row>
    <row r="1402">
      <c r="A1402" s="8" t="s">
        <v>119</v>
      </c>
      <c r="B1402" s="8" t="s">
        <v>126</v>
      </c>
      <c r="C1402" s="8" t="s">
        <v>93</v>
      </c>
      <c r="D1402" s="18" t="s">
        <v>2605</v>
      </c>
      <c r="E1402" s="16">
        <v>61.0</v>
      </c>
      <c r="F1402" s="8" t="s">
        <v>119</v>
      </c>
      <c r="G1402" s="8" t="s">
        <v>2950</v>
      </c>
      <c r="H1402" s="8" t="s">
        <v>186</v>
      </c>
      <c r="I1402" s="18" t="s">
        <v>2610</v>
      </c>
      <c r="J1402" s="16">
        <v>78.0</v>
      </c>
      <c r="K1402" s="8" t="s">
        <v>2823</v>
      </c>
      <c r="L1402" s="8" t="s">
        <v>931</v>
      </c>
      <c r="M1402" s="18" t="s">
        <v>2574</v>
      </c>
      <c r="N1402" s="16">
        <v>72.0</v>
      </c>
      <c r="O1402" s="8" t="s">
        <v>5336</v>
      </c>
      <c r="P1402" s="8" t="s">
        <v>186</v>
      </c>
      <c r="Q1402" s="14" t="s">
        <v>1070</v>
      </c>
      <c r="R1402" s="8" t="s">
        <v>2552</v>
      </c>
      <c r="S1402" s="14" t="s">
        <v>2579</v>
      </c>
    </row>
    <row r="1403">
      <c r="A1403" s="8" t="s">
        <v>119</v>
      </c>
      <c r="B1403" s="8" t="s">
        <v>1006</v>
      </c>
      <c r="C1403" s="8" t="s">
        <v>59</v>
      </c>
      <c r="D1403" s="18" t="s">
        <v>2603</v>
      </c>
      <c r="E1403" s="16">
        <v>70.0</v>
      </c>
      <c r="F1403" s="8" t="s">
        <v>119</v>
      </c>
      <c r="G1403" s="8" t="s">
        <v>1006</v>
      </c>
      <c r="H1403" s="8" t="s">
        <v>59</v>
      </c>
      <c r="I1403" s="18" t="s">
        <v>2603</v>
      </c>
      <c r="J1403" s="16">
        <v>70.0</v>
      </c>
      <c r="K1403" s="8" t="s">
        <v>2997</v>
      </c>
      <c r="L1403" s="8" t="s">
        <v>2996</v>
      </c>
      <c r="M1403" s="18" t="s">
        <v>2587</v>
      </c>
      <c r="N1403" s="16">
        <v>66.0</v>
      </c>
      <c r="O1403" s="8" t="s">
        <v>5337</v>
      </c>
      <c r="P1403" s="8" t="s">
        <v>70</v>
      </c>
      <c r="Q1403" s="14" t="s">
        <v>1352</v>
      </c>
      <c r="R1403" s="8" t="s">
        <v>2581</v>
      </c>
      <c r="S1403" s="14" t="s">
        <v>2608</v>
      </c>
    </row>
    <row r="1404">
      <c r="A1404" s="8" t="s">
        <v>119</v>
      </c>
      <c r="B1404" s="8" t="s">
        <v>1950</v>
      </c>
      <c r="C1404" s="8" t="s">
        <v>186</v>
      </c>
      <c r="D1404" s="18" t="s">
        <v>2587</v>
      </c>
      <c r="E1404" s="16">
        <v>67.0</v>
      </c>
      <c r="F1404" s="8" t="s">
        <v>119</v>
      </c>
      <c r="G1404" s="8" t="s">
        <v>3378</v>
      </c>
      <c r="H1404" s="8" t="s">
        <v>65</v>
      </c>
      <c r="I1404" s="18" t="s">
        <v>2566</v>
      </c>
      <c r="J1404" s="16">
        <v>68.0</v>
      </c>
      <c r="K1404" s="8" t="s">
        <v>1042</v>
      </c>
      <c r="L1404" s="8" t="s">
        <v>1041</v>
      </c>
      <c r="M1404" s="18" t="s">
        <v>2585</v>
      </c>
      <c r="N1404" s="16">
        <v>76.0</v>
      </c>
      <c r="O1404" s="8" t="s">
        <v>5338</v>
      </c>
      <c r="P1404" s="8" t="s">
        <v>65</v>
      </c>
      <c r="Q1404" s="14" t="s">
        <v>1679</v>
      </c>
      <c r="R1404" s="18" t="s">
        <v>2556</v>
      </c>
      <c r="S1404" s="14" t="s">
        <v>2576</v>
      </c>
    </row>
    <row r="1405">
      <c r="A1405" s="8" t="s">
        <v>119</v>
      </c>
      <c r="B1405" s="8" t="s">
        <v>99</v>
      </c>
      <c r="C1405" s="8" t="s">
        <v>65</v>
      </c>
      <c r="D1405" s="18" t="s">
        <v>2603</v>
      </c>
      <c r="E1405" s="16">
        <v>64.0</v>
      </c>
      <c r="F1405" s="8" t="s">
        <v>119</v>
      </c>
      <c r="G1405" s="8" t="s">
        <v>956</v>
      </c>
      <c r="H1405" s="8" t="s">
        <v>93</v>
      </c>
      <c r="I1405" s="18" t="s">
        <v>2558</v>
      </c>
      <c r="J1405" s="16">
        <v>71.0</v>
      </c>
      <c r="K1405" s="8" t="s">
        <v>761</v>
      </c>
      <c r="L1405" s="8" t="s">
        <v>402</v>
      </c>
      <c r="M1405" s="18" t="s">
        <v>2562</v>
      </c>
      <c r="N1405" s="16">
        <v>81.0</v>
      </c>
      <c r="O1405" s="8" t="s">
        <v>5339</v>
      </c>
      <c r="P1405" s="8" t="s">
        <v>70</v>
      </c>
      <c r="Q1405" s="14" t="s">
        <v>2296</v>
      </c>
      <c r="R1405" s="8" t="s">
        <v>2605</v>
      </c>
      <c r="S1405" s="14" t="s">
        <v>2555</v>
      </c>
    </row>
    <row r="1406">
      <c r="A1406" s="8" t="s">
        <v>119</v>
      </c>
      <c r="B1406" s="8" t="s">
        <v>1055</v>
      </c>
      <c r="C1406" s="8" t="s">
        <v>65</v>
      </c>
      <c r="D1406" s="18" t="s">
        <v>2605</v>
      </c>
      <c r="E1406" s="16">
        <v>74.0</v>
      </c>
      <c r="F1406" s="8" t="s">
        <v>119</v>
      </c>
      <c r="G1406" s="8" t="s">
        <v>61</v>
      </c>
      <c r="H1406" s="8" t="s">
        <v>186</v>
      </c>
      <c r="I1406" s="18" t="s">
        <v>2593</v>
      </c>
      <c r="J1406" s="16">
        <v>59.0</v>
      </c>
      <c r="K1406" s="8" t="s">
        <v>761</v>
      </c>
      <c r="L1406" s="8" t="s">
        <v>208</v>
      </c>
      <c r="M1406" s="18" t="s">
        <v>2575</v>
      </c>
      <c r="N1406" s="16">
        <v>75.0</v>
      </c>
      <c r="O1406" s="8" t="s">
        <v>5340</v>
      </c>
      <c r="P1406" s="8" t="s">
        <v>138</v>
      </c>
      <c r="Q1406" s="14" t="s">
        <v>631</v>
      </c>
      <c r="R1406" s="8" t="s">
        <v>2614</v>
      </c>
      <c r="S1406" s="14" t="s">
        <v>2591</v>
      </c>
    </row>
    <row r="1407">
      <c r="A1407" s="8" t="s">
        <v>119</v>
      </c>
      <c r="B1407" s="8" t="s">
        <v>626</v>
      </c>
      <c r="C1407" s="8" t="s">
        <v>132</v>
      </c>
      <c r="D1407" s="18" t="s">
        <v>2610</v>
      </c>
      <c r="E1407" s="16">
        <v>89.0</v>
      </c>
      <c r="F1407" s="8" t="s">
        <v>119</v>
      </c>
      <c r="G1407" s="8" t="s">
        <v>2764</v>
      </c>
      <c r="H1407" s="8" t="s">
        <v>59</v>
      </c>
      <c r="I1407" s="18" t="s">
        <v>2621</v>
      </c>
      <c r="J1407" s="16">
        <v>73.0</v>
      </c>
      <c r="K1407" s="8" t="s">
        <v>761</v>
      </c>
      <c r="L1407" s="8" t="s">
        <v>402</v>
      </c>
      <c r="M1407" s="18" t="s">
        <v>2581</v>
      </c>
      <c r="N1407" s="16">
        <v>87.0</v>
      </c>
      <c r="O1407" s="8" t="s">
        <v>5341</v>
      </c>
      <c r="P1407" s="8" t="s">
        <v>138</v>
      </c>
      <c r="Q1407" s="14" t="s">
        <v>631</v>
      </c>
      <c r="R1407" s="8" t="s">
        <v>2610</v>
      </c>
      <c r="S1407" s="14" t="s">
        <v>2557</v>
      </c>
    </row>
    <row r="1408">
      <c r="A1408" s="8" t="s">
        <v>1609</v>
      </c>
      <c r="B1408" s="8" t="s">
        <v>1608</v>
      </c>
      <c r="C1408" s="8" t="s">
        <v>93</v>
      </c>
      <c r="D1408" s="18" t="s">
        <v>2587</v>
      </c>
      <c r="E1408" s="16">
        <v>63.0</v>
      </c>
      <c r="F1408" s="8" t="s">
        <v>119</v>
      </c>
      <c r="G1408" s="8" t="s">
        <v>389</v>
      </c>
      <c r="H1408" s="8" t="s">
        <v>93</v>
      </c>
      <c r="I1408" s="18" t="s">
        <v>2562</v>
      </c>
      <c r="J1408" s="16">
        <v>80.0</v>
      </c>
      <c r="K1408" s="8" t="s">
        <v>728</v>
      </c>
      <c r="L1408" s="8" t="s">
        <v>727</v>
      </c>
      <c r="M1408" s="18" t="s">
        <v>2593</v>
      </c>
      <c r="N1408" s="16">
        <v>85.0</v>
      </c>
      <c r="O1408" s="8" t="s">
        <v>5342</v>
      </c>
      <c r="P1408" s="8" t="s">
        <v>70</v>
      </c>
      <c r="Q1408" s="14" t="s">
        <v>2296</v>
      </c>
      <c r="R1408" s="8" t="s">
        <v>2554</v>
      </c>
      <c r="S1408" s="14" t="s">
        <v>2599</v>
      </c>
    </row>
    <row r="1409">
      <c r="A1409" s="8" t="s">
        <v>749</v>
      </c>
      <c r="B1409" s="8" t="s">
        <v>163</v>
      </c>
      <c r="C1409" s="8" t="s">
        <v>53</v>
      </c>
      <c r="D1409" s="18" t="s">
        <v>2556</v>
      </c>
      <c r="E1409" s="16">
        <v>94.0</v>
      </c>
      <c r="F1409" s="8" t="s">
        <v>119</v>
      </c>
      <c r="G1409" s="8" t="s">
        <v>1111</v>
      </c>
      <c r="H1409" s="8" t="s">
        <v>80</v>
      </c>
      <c r="I1409" s="18" t="s">
        <v>2621</v>
      </c>
      <c r="J1409" s="16">
        <v>76.0</v>
      </c>
      <c r="K1409" s="8" t="s">
        <v>728</v>
      </c>
      <c r="L1409" s="8" t="s">
        <v>727</v>
      </c>
      <c r="M1409" s="18" t="s">
        <v>2593</v>
      </c>
      <c r="N1409" s="16">
        <v>88.0</v>
      </c>
      <c r="O1409" s="8" t="s">
        <v>5343</v>
      </c>
      <c r="P1409" s="8" t="s">
        <v>186</v>
      </c>
      <c r="Q1409" s="14" t="s">
        <v>2296</v>
      </c>
      <c r="R1409" s="8" t="s">
        <v>2593</v>
      </c>
      <c r="S1409" s="14" t="s">
        <v>2612</v>
      </c>
    </row>
    <row r="1410">
      <c r="A1410" s="8" t="s">
        <v>2286</v>
      </c>
      <c r="B1410" s="8" t="s">
        <v>42</v>
      </c>
      <c r="C1410" s="8" t="s">
        <v>24</v>
      </c>
      <c r="D1410" s="18" t="s">
        <v>2605</v>
      </c>
      <c r="E1410" s="16">
        <v>67.0</v>
      </c>
      <c r="F1410" s="8" t="s">
        <v>119</v>
      </c>
      <c r="G1410" s="8" t="s">
        <v>626</v>
      </c>
      <c r="H1410" s="8" t="s">
        <v>132</v>
      </c>
      <c r="I1410" s="18" t="s">
        <v>2615</v>
      </c>
      <c r="J1410" s="16">
        <v>88.0</v>
      </c>
      <c r="K1410" s="8" t="s">
        <v>1879</v>
      </c>
      <c r="L1410" s="8" t="s">
        <v>732</v>
      </c>
      <c r="M1410" s="18" t="s">
        <v>2558</v>
      </c>
      <c r="N1410" s="16">
        <v>75.0</v>
      </c>
      <c r="O1410" s="8" t="s">
        <v>5344</v>
      </c>
      <c r="P1410" s="8" t="s">
        <v>80</v>
      </c>
      <c r="Q1410" s="14" t="s">
        <v>1070</v>
      </c>
      <c r="R1410" s="8" t="s">
        <v>2621</v>
      </c>
      <c r="S1410" s="14" t="s">
        <v>2596</v>
      </c>
    </row>
    <row r="1411">
      <c r="A1411" s="8" t="s">
        <v>3663</v>
      </c>
      <c r="B1411" s="8" t="s">
        <v>1818</v>
      </c>
      <c r="C1411" s="8" t="s">
        <v>59</v>
      </c>
      <c r="D1411" s="18" t="s">
        <v>2554</v>
      </c>
      <c r="E1411" s="16">
        <v>71.0</v>
      </c>
      <c r="F1411" s="8" t="s">
        <v>119</v>
      </c>
      <c r="G1411" s="8" t="s">
        <v>274</v>
      </c>
      <c r="H1411" s="8" t="s">
        <v>16</v>
      </c>
      <c r="I1411" s="18" t="s">
        <v>2615</v>
      </c>
      <c r="J1411" s="16">
        <v>66.0</v>
      </c>
      <c r="K1411" s="8" t="s">
        <v>1409</v>
      </c>
      <c r="L1411" s="8" t="s">
        <v>498</v>
      </c>
      <c r="M1411" s="18" t="s">
        <v>2566</v>
      </c>
      <c r="N1411" s="16">
        <v>87.0</v>
      </c>
      <c r="O1411" s="8" t="s">
        <v>5345</v>
      </c>
      <c r="P1411" s="8" t="s">
        <v>16</v>
      </c>
      <c r="Q1411" s="14" t="s">
        <v>1070</v>
      </c>
      <c r="R1411" s="8" t="s">
        <v>2620</v>
      </c>
      <c r="S1411" s="14" t="s">
        <v>2606</v>
      </c>
    </row>
    <row r="1412">
      <c r="A1412" s="8" t="s">
        <v>3822</v>
      </c>
      <c r="B1412" s="8" t="s">
        <v>308</v>
      </c>
      <c r="C1412" s="8" t="s">
        <v>70</v>
      </c>
      <c r="D1412" s="18" t="s">
        <v>2560</v>
      </c>
      <c r="E1412" s="16">
        <v>74.0</v>
      </c>
      <c r="F1412" s="8" t="s">
        <v>119</v>
      </c>
      <c r="G1412" s="8" t="s">
        <v>3282</v>
      </c>
      <c r="H1412" s="8" t="s">
        <v>46</v>
      </c>
      <c r="I1412" s="18" t="s">
        <v>2598</v>
      </c>
      <c r="J1412" s="16">
        <v>64.0</v>
      </c>
      <c r="K1412" s="8" t="s">
        <v>1409</v>
      </c>
      <c r="L1412" s="8" t="s">
        <v>498</v>
      </c>
      <c r="M1412" s="18" t="s">
        <v>2566</v>
      </c>
      <c r="N1412" s="16">
        <v>82.0</v>
      </c>
      <c r="O1412" s="8" t="s">
        <v>5346</v>
      </c>
      <c r="P1412" s="8" t="s">
        <v>38</v>
      </c>
      <c r="Q1412" s="14" t="s">
        <v>108</v>
      </c>
      <c r="R1412" s="8" t="s">
        <v>2610</v>
      </c>
      <c r="S1412" s="14" t="s">
        <v>2568</v>
      </c>
    </row>
    <row r="1413">
      <c r="A1413" s="8" t="s">
        <v>462</v>
      </c>
      <c r="B1413" s="8" t="s">
        <v>461</v>
      </c>
      <c r="C1413" s="8" t="s">
        <v>186</v>
      </c>
      <c r="D1413" s="18" t="s">
        <v>2581</v>
      </c>
      <c r="E1413" s="16">
        <v>76.0</v>
      </c>
      <c r="F1413" s="8" t="s">
        <v>119</v>
      </c>
      <c r="G1413" s="8" t="s">
        <v>581</v>
      </c>
      <c r="H1413" s="8" t="s">
        <v>24</v>
      </c>
      <c r="I1413" s="18" t="s">
        <v>2552</v>
      </c>
      <c r="J1413" s="16">
        <v>50.0</v>
      </c>
      <c r="K1413" s="8" t="s">
        <v>1226</v>
      </c>
      <c r="L1413" s="8" t="s">
        <v>284</v>
      </c>
      <c r="M1413" s="18" t="s">
        <v>2577</v>
      </c>
      <c r="N1413" s="16">
        <v>69.0</v>
      </c>
      <c r="O1413" s="8" t="s">
        <v>5347</v>
      </c>
      <c r="P1413" s="8" t="s">
        <v>93</v>
      </c>
      <c r="Q1413" s="14" t="s">
        <v>837</v>
      </c>
      <c r="R1413" s="8" t="s">
        <v>2587</v>
      </c>
      <c r="S1413" s="14" t="s">
        <v>2565</v>
      </c>
    </row>
    <row r="1414">
      <c r="A1414" s="8" t="s">
        <v>3759</v>
      </c>
      <c r="B1414" s="8" t="s">
        <v>2937</v>
      </c>
      <c r="C1414" s="8" t="s">
        <v>192</v>
      </c>
      <c r="D1414" s="18" t="s">
        <v>2592</v>
      </c>
      <c r="E1414" s="16">
        <v>63.0</v>
      </c>
      <c r="F1414" s="8" t="s">
        <v>119</v>
      </c>
      <c r="G1414" s="8" t="s">
        <v>773</v>
      </c>
      <c r="H1414" s="8" t="s">
        <v>75</v>
      </c>
      <c r="I1414" s="18" t="s">
        <v>2592</v>
      </c>
      <c r="J1414" s="16">
        <v>70.0</v>
      </c>
      <c r="K1414" s="8" t="s">
        <v>552</v>
      </c>
      <c r="L1414" s="8" t="s">
        <v>441</v>
      </c>
      <c r="M1414" s="18" t="s">
        <v>2558</v>
      </c>
      <c r="N1414" s="16">
        <v>76.0</v>
      </c>
      <c r="O1414" s="8" t="s">
        <v>5348</v>
      </c>
      <c r="P1414" s="8" t="s">
        <v>93</v>
      </c>
      <c r="Q1414" s="14" t="s">
        <v>1679</v>
      </c>
      <c r="R1414" s="8" t="s">
        <v>2558</v>
      </c>
      <c r="S1414" s="14" t="s">
        <v>2571</v>
      </c>
    </row>
    <row r="1415">
      <c r="A1415" s="8" t="s">
        <v>956</v>
      </c>
      <c r="B1415" s="8" t="s">
        <v>365</v>
      </c>
      <c r="C1415" s="8" t="s">
        <v>46</v>
      </c>
      <c r="D1415" s="18" t="s">
        <v>2572</v>
      </c>
      <c r="E1415" s="16">
        <v>82.0</v>
      </c>
      <c r="F1415" s="8" t="s">
        <v>119</v>
      </c>
      <c r="G1415" s="8" t="s">
        <v>118</v>
      </c>
      <c r="H1415" s="8" t="s">
        <v>38</v>
      </c>
      <c r="I1415" s="18" t="s">
        <v>2610</v>
      </c>
      <c r="J1415" s="16">
        <v>72.0</v>
      </c>
      <c r="K1415" s="8" t="s">
        <v>552</v>
      </c>
      <c r="L1415" s="8" t="s">
        <v>389</v>
      </c>
      <c r="M1415" s="18" t="s">
        <v>2564</v>
      </c>
      <c r="N1415" s="16">
        <v>87.0</v>
      </c>
      <c r="O1415" s="8" t="s">
        <v>5349</v>
      </c>
      <c r="P1415" s="8" t="s">
        <v>24</v>
      </c>
      <c r="Q1415" s="14" t="s">
        <v>459</v>
      </c>
      <c r="R1415" s="8" t="s">
        <v>2552</v>
      </c>
      <c r="S1415" s="14" t="s">
        <v>2627</v>
      </c>
    </row>
    <row r="1416">
      <c r="A1416" s="8" t="s">
        <v>255</v>
      </c>
      <c r="B1416" s="8" t="s">
        <v>254</v>
      </c>
      <c r="C1416" s="8" t="s">
        <v>16</v>
      </c>
      <c r="D1416" s="18" t="s">
        <v>2582</v>
      </c>
      <c r="E1416" s="16">
        <v>83.0</v>
      </c>
      <c r="F1416" s="8" t="s">
        <v>1609</v>
      </c>
      <c r="G1416" s="8" t="s">
        <v>1608</v>
      </c>
      <c r="H1416" s="8" t="s">
        <v>93</v>
      </c>
      <c r="I1416" s="18" t="s">
        <v>2587</v>
      </c>
      <c r="J1416" s="16">
        <v>66.0</v>
      </c>
      <c r="K1416" s="8" t="s">
        <v>2002</v>
      </c>
      <c r="L1416" s="8" t="s">
        <v>2001</v>
      </c>
      <c r="M1416" s="18" t="s">
        <v>2552</v>
      </c>
      <c r="N1416" s="16">
        <v>73.0</v>
      </c>
      <c r="O1416" s="8" t="s">
        <v>5350</v>
      </c>
      <c r="P1416" s="8" t="s">
        <v>149</v>
      </c>
      <c r="Q1416" s="14" t="s">
        <v>631</v>
      </c>
      <c r="R1416" s="8" t="s">
        <v>2621</v>
      </c>
      <c r="S1416" s="14" t="s">
        <v>2580</v>
      </c>
    </row>
    <row r="1417">
      <c r="A1417" s="8" t="s">
        <v>3581</v>
      </c>
      <c r="B1417" s="8" t="s">
        <v>3580</v>
      </c>
      <c r="C1417" s="8" t="s">
        <v>24</v>
      </c>
      <c r="D1417" s="18" t="s">
        <v>2592</v>
      </c>
      <c r="E1417" s="16">
        <v>63.0</v>
      </c>
      <c r="F1417" s="8" t="s">
        <v>3265</v>
      </c>
      <c r="G1417" s="8" t="s">
        <v>252</v>
      </c>
      <c r="H1417" s="8" t="s">
        <v>65</v>
      </c>
      <c r="I1417" s="18" t="s">
        <v>2574</v>
      </c>
      <c r="J1417" s="16">
        <v>60.0</v>
      </c>
      <c r="K1417" s="8" t="s">
        <v>1650</v>
      </c>
      <c r="L1417" s="8" t="s">
        <v>1649</v>
      </c>
      <c r="M1417" s="18" t="s">
        <v>2581</v>
      </c>
      <c r="N1417" s="16">
        <v>77.0</v>
      </c>
      <c r="O1417" s="8" t="s">
        <v>5351</v>
      </c>
      <c r="P1417" s="8" t="s">
        <v>93</v>
      </c>
      <c r="Q1417" s="14" t="s">
        <v>1352</v>
      </c>
      <c r="R1417" s="8" t="s">
        <v>2593</v>
      </c>
      <c r="S1417" s="14" t="s">
        <v>2594</v>
      </c>
    </row>
    <row r="1418">
      <c r="A1418" s="8" t="s">
        <v>3222</v>
      </c>
      <c r="B1418" s="8" t="s">
        <v>61</v>
      </c>
      <c r="C1418" s="8" t="s">
        <v>70</v>
      </c>
      <c r="D1418" s="18" t="s">
        <v>2183</v>
      </c>
      <c r="E1418" s="16">
        <v>73.0</v>
      </c>
      <c r="F1418" s="8" t="s">
        <v>1909</v>
      </c>
      <c r="G1418" s="8" t="s">
        <v>1908</v>
      </c>
      <c r="H1418" s="8" t="s">
        <v>70</v>
      </c>
      <c r="I1418" s="18" t="s">
        <v>2621</v>
      </c>
      <c r="J1418" s="16">
        <v>67.0</v>
      </c>
      <c r="K1418" s="8" t="s">
        <v>64</v>
      </c>
      <c r="L1418" s="8" t="s">
        <v>1560</v>
      </c>
      <c r="M1418" s="18" t="s">
        <v>2615</v>
      </c>
      <c r="N1418" s="16">
        <v>77.0</v>
      </c>
      <c r="O1418" s="8" t="s">
        <v>5352</v>
      </c>
      <c r="P1418" s="8" t="s">
        <v>186</v>
      </c>
      <c r="Q1418" s="14" t="s">
        <v>837</v>
      </c>
      <c r="R1418" s="8" t="s">
        <v>2605</v>
      </c>
      <c r="S1418" s="14" t="s">
        <v>2557</v>
      </c>
    </row>
    <row r="1419">
      <c r="A1419" s="8" t="s">
        <v>3366</v>
      </c>
      <c r="B1419" s="8" t="s">
        <v>3365</v>
      </c>
      <c r="C1419" s="8" t="s">
        <v>53</v>
      </c>
      <c r="D1419" s="18" t="s">
        <v>2581</v>
      </c>
      <c r="E1419" s="16">
        <v>85.0</v>
      </c>
      <c r="F1419" s="8" t="s">
        <v>749</v>
      </c>
      <c r="G1419" s="8" t="s">
        <v>163</v>
      </c>
      <c r="H1419" s="8" t="s">
        <v>53</v>
      </c>
      <c r="I1419" s="18" t="s">
        <v>2556</v>
      </c>
      <c r="J1419" s="16">
        <v>97.0</v>
      </c>
      <c r="K1419" s="8" t="s">
        <v>64</v>
      </c>
      <c r="L1419" s="8" t="s">
        <v>827</v>
      </c>
      <c r="M1419" s="18" t="s">
        <v>2595</v>
      </c>
      <c r="N1419" s="16">
        <v>78.0</v>
      </c>
      <c r="O1419" s="8" t="s">
        <v>5353</v>
      </c>
      <c r="P1419" s="8" t="s">
        <v>93</v>
      </c>
      <c r="Q1419" s="14" t="s">
        <v>2033</v>
      </c>
      <c r="R1419" s="8" t="s">
        <v>2605</v>
      </c>
      <c r="S1419" s="14" t="s">
        <v>2579</v>
      </c>
    </row>
    <row r="1420">
      <c r="A1420" s="8" t="s">
        <v>2905</v>
      </c>
      <c r="B1420" s="8" t="s">
        <v>2904</v>
      </c>
      <c r="C1420" s="8" t="s">
        <v>65</v>
      </c>
      <c r="D1420" s="18" t="s">
        <v>2587</v>
      </c>
      <c r="E1420" s="16">
        <v>66.0</v>
      </c>
      <c r="F1420" s="8" t="s">
        <v>2286</v>
      </c>
      <c r="G1420" s="8" t="s">
        <v>42</v>
      </c>
      <c r="H1420" s="8" t="s">
        <v>24</v>
      </c>
      <c r="I1420" s="18" t="s">
        <v>2554</v>
      </c>
      <c r="J1420" s="16">
        <v>72.0</v>
      </c>
      <c r="K1420" s="8" t="s">
        <v>64</v>
      </c>
      <c r="L1420" s="8" t="s">
        <v>63</v>
      </c>
      <c r="M1420" s="18" t="s">
        <v>2589</v>
      </c>
      <c r="N1420" s="16">
        <v>86.0</v>
      </c>
      <c r="O1420" s="8" t="s">
        <v>5354</v>
      </c>
      <c r="P1420" s="8" t="s">
        <v>65</v>
      </c>
      <c r="Q1420" s="14" t="s">
        <v>837</v>
      </c>
      <c r="R1420" s="18" t="s">
        <v>2589</v>
      </c>
      <c r="S1420" s="14" t="s">
        <v>2565</v>
      </c>
    </row>
    <row r="1421">
      <c r="A1421" s="8" t="s">
        <v>2772</v>
      </c>
      <c r="B1421" s="8" t="s">
        <v>2771</v>
      </c>
      <c r="C1421" s="8" t="s">
        <v>215</v>
      </c>
      <c r="D1421" s="18" t="s">
        <v>2574</v>
      </c>
      <c r="E1421" s="16">
        <v>79.0</v>
      </c>
      <c r="F1421" s="8" t="s">
        <v>3471</v>
      </c>
      <c r="G1421" s="8" t="s">
        <v>328</v>
      </c>
      <c r="H1421" s="8" t="s">
        <v>122</v>
      </c>
      <c r="I1421" s="18" t="s">
        <v>2554</v>
      </c>
      <c r="J1421" s="16">
        <v>65.0</v>
      </c>
      <c r="K1421" s="8" t="s">
        <v>768</v>
      </c>
      <c r="L1421" s="8" t="s">
        <v>767</v>
      </c>
      <c r="M1421" s="18" t="s">
        <v>2552</v>
      </c>
      <c r="N1421" s="16">
        <v>80.0</v>
      </c>
      <c r="O1421" s="8" t="s">
        <v>5355</v>
      </c>
      <c r="P1421" s="8" t="s">
        <v>132</v>
      </c>
      <c r="Q1421" s="14" t="s">
        <v>459</v>
      </c>
      <c r="R1421" s="8" t="s">
        <v>2566</v>
      </c>
      <c r="S1421" s="14" t="s">
        <v>2596</v>
      </c>
    </row>
    <row r="1422">
      <c r="A1422" s="8" t="s">
        <v>1756</v>
      </c>
      <c r="B1422" s="8" t="s">
        <v>3095</v>
      </c>
      <c r="C1422" s="8" t="s">
        <v>59</v>
      </c>
      <c r="D1422" s="18" t="s">
        <v>2556</v>
      </c>
      <c r="E1422" s="16">
        <v>63.0</v>
      </c>
      <c r="F1422" s="8" t="s">
        <v>462</v>
      </c>
      <c r="G1422" s="8" t="s">
        <v>461</v>
      </c>
      <c r="H1422" s="8" t="s">
        <v>186</v>
      </c>
      <c r="I1422" s="18" t="s">
        <v>2581</v>
      </c>
      <c r="J1422" s="16">
        <v>76.0</v>
      </c>
      <c r="K1422" s="8" t="s">
        <v>1512</v>
      </c>
      <c r="L1422" s="8" t="s">
        <v>94</v>
      </c>
      <c r="M1422" s="18" t="s">
        <v>2562</v>
      </c>
      <c r="N1422" s="16">
        <v>63.0</v>
      </c>
      <c r="O1422" s="8" t="s">
        <v>5356</v>
      </c>
      <c r="P1422" s="8" t="s">
        <v>93</v>
      </c>
      <c r="Q1422" s="14" t="s">
        <v>1352</v>
      </c>
      <c r="R1422" s="8" t="s">
        <v>2574</v>
      </c>
      <c r="S1422" s="14" t="s">
        <v>2591</v>
      </c>
    </row>
    <row r="1423">
      <c r="A1423" s="8" t="s">
        <v>3726</v>
      </c>
      <c r="B1423" s="8" t="s">
        <v>3725</v>
      </c>
      <c r="C1423" s="8" t="s">
        <v>141</v>
      </c>
      <c r="D1423" s="18" t="s">
        <v>2582</v>
      </c>
      <c r="E1423" s="16">
        <v>71.0</v>
      </c>
      <c r="F1423" s="8" t="s">
        <v>255</v>
      </c>
      <c r="G1423" s="8" t="s">
        <v>254</v>
      </c>
      <c r="H1423" s="8" t="s">
        <v>16</v>
      </c>
      <c r="I1423" s="18" t="s">
        <v>2582</v>
      </c>
      <c r="J1423" s="16">
        <v>85.0</v>
      </c>
      <c r="K1423" s="8" t="s">
        <v>673</v>
      </c>
      <c r="L1423" s="8" t="s">
        <v>672</v>
      </c>
      <c r="M1423" s="18" t="s">
        <v>2183</v>
      </c>
      <c r="N1423" s="16">
        <v>79.0</v>
      </c>
      <c r="O1423" s="8" t="s">
        <v>5357</v>
      </c>
      <c r="P1423" s="8" t="s">
        <v>65</v>
      </c>
      <c r="Q1423" s="14" t="s">
        <v>1679</v>
      </c>
      <c r="R1423" s="8" t="s">
        <v>2593</v>
      </c>
      <c r="S1423" s="14" t="s">
        <v>2579</v>
      </c>
    </row>
    <row r="1424">
      <c r="A1424" s="8" t="s">
        <v>3570</v>
      </c>
      <c r="B1424" s="8" t="s">
        <v>106</v>
      </c>
      <c r="C1424" s="8" t="s">
        <v>138</v>
      </c>
      <c r="D1424" s="18" t="s">
        <v>2592</v>
      </c>
      <c r="E1424" s="16">
        <v>61.0</v>
      </c>
      <c r="F1424" s="8" t="s">
        <v>3222</v>
      </c>
      <c r="G1424" s="8" t="s">
        <v>61</v>
      </c>
      <c r="H1424" s="8" t="s">
        <v>70</v>
      </c>
      <c r="I1424" s="18" t="s">
        <v>2577</v>
      </c>
      <c r="J1424" s="16">
        <v>71.0</v>
      </c>
      <c r="K1424" s="8" t="s">
        <v>942</v>
      </c>
      <c r="L1424" s="8" t="s">
        <v>941</v>
      </c>
      <c r="M1424" s="18" t="s">
        <v>2577</v>
      </c>
      <c r="N1424" s="16">
        <v>62.0</v>
      </c>
      <c r="O1424" s="8" t="s">
        <v>5358</v>
      </c>
      <c r="P1424" s="8" t="s">
        <v>122</v>
      </c>
      <c r="Q1424" s="14" t="s">
        <v>2033</v>
      </c>
      <c r="R1424" s="8" t="s">
        <v>2183</v>
      </c>
      <c r="S1424" s="14" t="s">
        <v>2591</v>
      </c>
    </row>
    <row r="1425">
      <c r="A1425" s="8" t="s">
        <v>3491</v>
      </c>
      <c r="B1425" s="8" t="s">
        <v>3490</v>
      </c>
      <c r="C1425" s="8" t="s">
        <v>132</v>
      </c>
      <c r="D1425" s="18" t="s">
        <v>2581</v>
      </c>
      <c r="E1425" s="16">
        <v>72.0</v>
      </c>
      <c r="F1425" s="8" t="s">
        <v>3366</v>
      </c>
      <c r="G1425" s="8" t="s">
        <v>3365</v>
      </c>
      <c r="H1425" s="8" t="s">
        <v>53</v>
      </c>
      <c r="I1425" s="18" t="s">
        <v>2581</v>
      </c>
      <c r="J1425" s="16">
        <v>82.0</v>
      </c>
      <c r="K1425" s="8" t="s">
        <v>507</v>
      </c>
      <c r="L1425" s="8" t="s">
        <v>506</v>
      </c>
      <c r="M1425" s="18" t="s">
        <v>2592</v>
      </c>
      <c r="N1425" s="16">
        <v>88.0</v>
      </c>
      <c r="O1425" s="8" t="s">
        <v>5359</v>
      </c>
      <c r="P1425" s="8" t="s">
        <v>70</v>
      </c>
      <c r="Q1425" s="14" t="s">
        <v>1679</v>
      </c>
      <c r="R1425" s="8" t="s">
        <v>2620</v>
      </c>
      <c r="S1425" s="14" t="s">
        <v>2555</v>
      </c>
    </row>
    <row r="1426">
      <c r="A1426" s="8" t="s">
        <v>3066</v>
      </c>
      <c r="B1426" s="8" t="s">
        <v>3065</v>
      </c>
      <c r="C1426" s="8" t="s">
        <v>75</v>
      </c>
      <c r="D1426" s="18" t="s">
        <v>2603</v>
      </c>
      <c r="E1426" s="16">
        <v>62.0</v>
      </c>
      <c r="F1426" s="8" t="s">
        <v>1360</v>
      </c>
      <c r="G1426" s="8" t="s">
        <v>1359</v>
      </c>
      <c r="H1426" s="8" t="s">
        <v>141</v>
      </c>
      <c r="I1426" s="18" t="s">
        <v>2558</v>
      </c>
      <c r="J1426" s="16">
        <v>66.0</v>
      </c>
      <c r="K1426" s="8" t="s">
        <v>524</v>
      </c>
      <c r="L1426" s="8" t="s">
        <v>523</v>
      </c>
      <c r="M1426" s="18" t="s">
        <v>2600</v>
      </c>
      <c r="N1426" s="16">
        <v>73.0</v>
      </c>
      <c r="O1426" s="8" t="s">
        <v>5360</v>
      </c>
      <c r="P1426" s="8" t="s">
        <v>53</v>
      </c>
      <c r="Q1426" s="14" t="s">
        <v>631</v>
      </c>
      <c r="R1426" s="8" t="s">
        <v>2605</v>
      </c>
      <c r="S1426" s="14" t="s">
        <v>2635</v>
      </c>
    </row>
    <row r="1427">
      <c r="A1427" s="8" t="s">
        <v>1699</v>
      </c>
      <c r="B1427" s="8" t="s">
        <v>877</v>
      </c>
      <c r="C1427" s="8" t="s">
        <v>80</v>
      </c>
      <c r="D1427" s="18" t="s">
        <v>2574</v>
      </c>
      <c r="E1427" s="16">
        <v>87.0</v>
      </c>
      <c r="F1427" s="8" t="s">
        <v>2772</v>
      </c>
      <c r="G1427" s="8" t="s">
        <v>2771</v>
      </c>
      <c r="H1427" s="8" t="s">
        <v>138</v>
      </c>
      <c r="I1427" s="18" t="s">
        <v>2600</v>
      </c>
      <c r="J1427" s="16">
        <v>77.0</v>
      </c>
      <c r="K1427" s="8" t="s">
        <v>524</v>
      </c>
      <c r="L1427" s="8" t="s">
        <v>62</v>
      </c>
      <c r="M1427" s="18" t="s">
        <v>2560</v>
      </c>
      <c r="N1427" s="16">
        <v>62.0</v>
      </c>
      <c r="O1427" s="8" t="s">
        <v>5361</v>
      </c>
      <c r="P1427" s="8" t="s">
        <v>80</v>
      </c>
      <c r="Q1427" s="14" t="s">
        <v>2033</v>
      </c>
      <c r="R1427" s="8" t="s">
        <v>2567</v>
      </c>
      <c r="S1427" s="14" t="s">
        <v>2563</v>
      </c>
    </row>
    <row r="1428">
      <c r="A1428" s="8" t="s">
        <v>2767</v>
      </c>
      <c r="B1428" s="8" t="s">
        <v>2766</v>
      </c>
      <c r="C1428" s="8" t="s">
        <v>192</v>
      </c>
      <c r="D1428" s="18" t="s">
        <v>2562</v>
      </c>
      <c r="E1428" s="16">
        <v>67.0</v>
      </c>
      <c r="F1428" s="8" t="s">
        <v>1756</v>
      </c>
      <c r="G1428" s="8" t="s">
        <v>3095</v>
      </c>
      <c r="H1428" s="8" t="s">
        <v>186</v>
      </c>
      <c r="I1428" s="18" t="s">
        <v>2572</v>
      </c>
      <c r="J1428" s="16">
        <v>75.0</v>
      </c>
      <c r="K1428" s="8" t="s">
        <v>524</v>
      </c>
      <c r="L1428" s="8" t="s">
        <v>3091</v>
      </c>
      <c r="M1428" s="18" t="s">
        <v>2645</v>
      </c>
      <c r="N1428" s="16">
        <v>61.0</v>
      </c>
      <c r="O1428" s="8" t="s">
        <v>5362</v>
      </c>
      <c r="P1428" s="8" t="s">
        <v>59</v>
      </c>
      <c r="Q1428" s="14" t="s">
        <v>459</v>
      </c>
      <c r="R1428" s="8" t="s">
        <v>2581</v>
      </c>
      <c r="S1428" s="14" t="s">
        <v>2602</v>
      </c>
    </row>
    <row r="1429">
      <c r="A1429" s="8" t="s">
        <v>1354</v>
      </c>
      <c r="B1429" s="8" t="s">
        <v>57</v>
      </c>
      <c r="C1429" s="8" t="s">
        <v>186</v>
      </c>
      <c r="D1429" s="18" t="s">
        <v>2592</v>
      </c>
      <c r="E1429" s="16">
        <v>76.0</v>
      </c>
      <c r="F1429" s="8" t="s">
        <v>3491</v>
      </c>
      <c r="G1429" s="8" t="s">
        <v>3490</v>
      </c>
      <c r="H1429" s="8" t="s">
        <v>132</v>
      </c>
      <c r="I1429" s="18" t="s">
        <v>2581</v>
      </c>
      <c r="J1429" s="16">
        <v>69.0</v>
      </c>
      <c r="K1429" s="8" t="s">
        <v>5363</v>
      </c>
      <c r="L1429" s="8" t="s">
        <v>90</v>
      </c>
      <c r="M1429" s="18" t="s">
        <v>2567</v>
      </c>
      <c r="N1429" s="16">
        <v>64.0</v>
      </c>
      <c r="O1429" s="8" t="s">
        <v>5364</v>
      </c>
      <c r="P1429" s="8" t="s">
        <v>215</v>
      </c>
      <c r="Q1429" s="14" t="s">
        <v>2296</v>
      </c>
      <c r="R1429" s="8" t="s">
        <v>2558</v>
      </c>
      <c r="S1429" s="14" t="s">
        <v>2579</v>
      </c>
    </row>
    <row r="1430">
      <c r="A1430" s="8" t="s">
        <v>214</v>
      </c>
      <c r="B1430" s="8" t="s">
        <v>3530</v>
      </c>
      <c r="C1430" s="8" t="s">
        <v>93</v>
      </c>
      <c r="D1430" s="18" t="s">
        <v>2575</v>
      </c>
      <c r="E1430" s="16">
        <v>74.0</v>
      </c>
      <c r="F1430" s="8" t="s">
        <v>2846</v>
      </c>
      <c r="G1430" s="8" t="s">
        <v>274</v>
      </c>
      <c r="H1430" s="8" t="s">
        <v>65</v>
      </c>
      <c r="I1430" s="18" t="s">
        <v>2589</v>
      </c>
      <c r="J1430" s="16">
        <v>61.0</v>
      </c>
      <c r="K1430" s="8" t="s">
        <v>5365</v>
      </c>
      <c r="L1430" s="8" t="s">
        <v>646</v>
      </c>
      <c r="M1430" s="18" t="s">
        <v>2577</v>
      </c>
      <c r="N1430" s="16">
        <v>88.0</v>
      </c>
      <c r="O1430" s="8" t="s">
        <v>5366</v>
      </c>
      <c r="P1430" s="8" t="s">
        <v>16</v>
      </c>
      <c r="Q1430" s="14" t="s">
        <v>237</v>
      </c>
      <c r="R1430" s="8" t="s">
        <v>2552</v>
      </c>
      <c r="S1430" s="14" t="s">
        <v>2599</v>
      </c>
    </row>
    <row r="1431">
      <c r="A1431" s="8" t="s">
        <v>214</v>
      </c>
      <c r="B1431" s="8" t="s">
        <v>248</v>
      </c>
      <c r="C1431" s="8" t="s">
        <v>24</v>
      </c>
      <c r="D1431" s="18" t="s">
        <v>2552</v>
      </c>
      <c r="E1431" s="16">
        <v>58.0</v>
      </c>
      <c r="F1431" s="8" t="s">
        <v>1699</v>
      </c>
      <c r="G1431" s="8" t="s">
        <v>877</v>
      </c>
      <c r="H1431" s="8" t="s">
        <v>192</v>
      </c>
      <c r="I1431" s="18" t="s">
        <v>2574</v>
      </c>
      <c r="J1431" s="16">
        <v>78.0</v>
      </c>
      <c r="K1431" s="8" t="s">
        <v>5365</v>
      </c>
      <c r="L1431" s="8" t="s">
        <v>646</v>
      </c>
      <c r="M1431" s="18" t="s">
        <v>2577</v>
      </c>
      <c r="N1431" s="16">
        <v>92.0</v>
      </c>
      <c r="O1431" s="8" t="s">
        <v>5367</v>
      </c>
      <c r="P1431" s="8" t="s">
        <v>75</v>
      </c>
      <c r="Q1431" s="14" t="s">
        <v>1352</v>
      </c>
      <c r="R1431" s="8" t="s">
        <v>2574</v>
      </c>
      <c r="S1431" s="14" t="s">
        <v>2570</v>
      </c>
    </row>
    <row r="1432">
      <c r="A1432" s="8" t="s">
        <v>214</v>
      </c>
      <c r="B1432" s="8" t="s">
        <v>2351</v>
      </c>
      <c r="C1432" s="8" t="s">
        <v>59</v>
      </c>
      <c r="D1432" s="18" t="s">
        <v>2572</v>
      </c>
      <c r="E1432" s="16">
        <v>69.0</v>
      </c>
      <c r="F1432" s="8" t="s">
        <v>2767</v>
      </c>
      <c r="G1432" s="8" t="s">
        <v>2766</v>
      </c>
      <c r="H1432" s="8" t="s">
        <v>80</v>
      </c>
      <c r="I1432" s="18" t="s">
        <v>2562</v>
      </c>
      <c r="J1432" s="16">
        <v>68.0</v>
      </c>
      <c r="K1432" s="8" t="s">
        <v>42</v>
      </c>
      <c r="L1432" s="8" t="s">
        <v>99</v>
      </c>
      <c r="M1432" s="18" t="s">
        <v>2556</v>
      </c>
      <c r="N1432" s="16">
        <v>67.0</v>
      </c>
      <c r="O1432" s="8" t="s">
        <v>5368</v>
      </c>
      <c r="P1432" s="8" t="s">
        <v>46</v>
      </c>
      <c r="Q1432" s="14" t="s">
        <v>2033</v>
      </c>
      <c r="R1432" s="18" t="s">
        <v>2556</v>
      </c>
      <c r="S1432" s="14" t="s">
        <v>2573</v>
      </c>
    </row>
    <row r="1433">
      <c r="A1433" s="8" t="s">
        <v>214</v>
      </c>
      <c r="B1433" s="8" t="s">
        <v>3260</v>
      </c>
      <c r="C1433" s="8" t="s">
        <v>141</v>
      </c>
      <c r="D1433" s="18" t="s">
        <v>2560</v>
      </c>
      <c r="E1433" s="16">
        <v>62.0</v>
      </c>
      <c r="F1433" s="8" t="s">
        <v>1354</v>
      </c>
      <c r="G1433" s="8" t="s">
        <v>57</v>
      </c>
      <c r="H1433" s="8" t="s">
        <v>186</v>
      </c>
      <c r="I1433" s="18" t="s">
        <v>2592</v>
      </c>
      <c r="J1433" s="16">
        <v>80.0</v>
      </c>
      <c r="K1433" s="8" t="s">
        <v>2690</v>
      </c>
      <c r="L1433" s="8" t="s">
        <v>2689</v>
      </c>
      <c r="M1433" s="18" t="s">
        <v>2554</v>
      </c>
      <c r="N1433" s="16">
        <v>81.0</v>
      </c>
      <c r="O1433" s="8" t="s">
        <v>5369</v>
      </c>
      <c r="P1433" s="8" t="s">
        <v>46</v>
      </c>
      <c r="Q1433" s="14" t="s">
        <v>1679</v>
      </c>
      <c r="R1433" s="18" t="s">
        <v>2589</v>
      </c>
      <c r="S1433" s="14" t="s">
        <v>2606</v>
      </c>
    </row>
    <row r="1434">
      <c r="A1434" s="8" t="s">
        <v>214</v>
      </c>
      <c r="B1434" s="8" t="s">
        <v>918</v>
      </c>
      <c r="C1434" s="8" t="s">
        <v>93</v>
      </c>
      <c r="D1434" s="18" t="s">
        <v>2605</v>
      </c>
      <c r="E1434" s="16">
        <v>80.0</v>
      </c>
      <c r="F1434" s="8" t="s">
        <v>214</v>
      </c>
      <c r="G1434" s="8" t="s">
        <v>78</v>
      </c>
      <c r="H1434" s="8" t="s">
        <v>122</v>
      </c>
      <c r="I1434" s="18" t="s">
        <v>2587</v>
      </c>
      <c r="J1434" s="16">
        <v>87.0</v>
      </c>
      <c r="K1434" s="8" t="s">
        <v>2273</v>
      </c>
      <c r="L1434" s="8" t="s">
        <v>3110</v>
      </c>
      <c r="M1434" s="18" t="s">
        <v>2614</v>
      </c>
      <c r="N1434" s="16">
        <v>76.0</v>
      </c>
      <c r="O1434" s="8" t="s">
        <v>5370</v>
      </c>
      <c r="P1434" s="8" t="s">
        <v>93</v>
      </c>
      <c r="Q1434" s="14" t="s">
        <v>2296</v>
      </c>
      <c r="R1434" s="8" t="s">
        <v>2552</v>
      </c>
      <c r="S1434" s="14" t="s">
        <v>2594</v>
      </c>
    </row>
    <row r="1435">
      <c r="A1435" s="8" t="s">
        <v>214</v>
      </c>
      <c r="B1435" s="8" t="s">
        <v>729</v>
      </c>
      <c r="C1435" s="8" t="s">
        <v>261</v>
      </c>
      <c r="D1435" s="18" t="s">
        <v>2575</v>
      </c>
      <c r="E1435" s="16">
        <v>83.0</v>
      </c>
      <c r="F1435" s="8" t="s">
        <v>214</v>
      </c>
      <c r="G1435" s="8" t="s">
        <v>213</v>
      </c>
      <c r="H1435" s="8" t="s">
        <v>122</v>
      </c>
      <c r="I1435" s="18" t="s">
        <v>2574</v>
      </c>
      <c r="J1435" s="16">
        <v>72.0</v>
      </c>
      <c r="K1435" s="8" t="s">
        <v>1574</v>
      </c>
      <c r="L1435" s="8" t="s">
        <v>1573</v>
      </c>
      <c r="M1435" s="18" t="s">
        <v>2558</v>
      </c>
      <c r="N1435" s="16">
        <v>71.0</v>
      </c>
      <c r="O1435" s="8" t="s">
        <v>5371</v>
      </c>
      <c r="P1435" s="8" t="s">
        <v>16</v>
      </c>
      <c r="Q1435" s="14" t="s">
        <v>1679</v>
      </c>
      <c r="R1435" s="8" t="s">
        <v>2598</v>
      </c>
      <c r="S1435" s="14" t="s">
        <v>2624</v>
      </c>
    </row>
    <row r="1436">
      <c r="A1436" s="8" t="s">
        <v>214</v>
      </c>
      <c r="B1436" s="8" t="s">
        <v>395</v>
      </c>
      <c r="C1436" s="8" t="s">
        <v>132</v>
      </c>
      <c r="D1436" s="18" t="s">
        <v>2605</v>
      </c>
      <c r="E1436" s="16">
        <v>79.0</v>
      </c>
      <c r="F1436" s="8" t="s">
        <v>214</v>
      </c>
      <c r="G1436" s="8" t="s">
        <v>599</v>
      </c>
      <c r="H1436" s="8" t="s">
        <v>24</v>
      </c>
      <c r="I1436" s="18" t="s">
        <v>2552</v>
      </c>
      <c r="J1436" s="16">
        <v>85.0</v>
      </c>
      <c r="K1436" s="8" t="s">
        <v>2151</v>
      </c>
      <c r="L1436" s="8" t="s">
        <v>2937</v>
      </c>
      <c r="M1436" s="18" t="s">
        <v>2598</v>
      </c>
      <c r="N1436" s="16">
        <v>69.0</v>
      </c>
      <c r="O1436" s="8" t="s">
        <v>5372</v>
      </c>
      <c r="P1436" s="8" t="s">
        <v>186</v>
      </c>
      <c r="Q1436" s="14" t="s">
        <v>1352</v>
      </c>
      <c r="R1436" s="8" t="s">
        <v>2585</v>
      </c>
      <c r="S1436" s="14" t="s">
        <v>2586</v>
      </c>
    </row>
    <row r="1437">
      <c r="A1437" s="8" t="s">
        <v>214</v>
      </c>
      <c r="B1437" s="8" t="s">
        <v>213</v>
      </c>
      <c r="C1437" s="8" t="s">
        <v>122</v>
      </c>
      <c r="D1437" s="18" t="s">
        <v>2574</v>
      </c>
      <c r="E1437" s="16">
        <v>72.0</v>
      </c>
      <c r="F1437" s="8" t="s">
        <v>214</v>
      </c>
      <c r="G1437" s="8" t="s">
        <v>3108</v>
      </c>
      <c r="H1437" s="8" t="s">
        <v>186</v>
      </c>
      <c r="I1437" s="18" t="s">
        <v>2600</v>
      </c>
      <c r="J1437" s="16">
        <v>71.0</v>
      </c>
      <c r="K1437" s="8" t="s">
        <v>2151</v>
      </c>
      <c r="L1437" s="8" t="s">
        <v>2943</v>
      </c>
      <c r="M1437" s="18" t="s">
        <v>2183</v>
      </c>
      <c r="N1437" s="16">
        <v>67.0</v>
      </c>
      <c r="O1437" s="8" t="s">
        <v>5373</v>
      </c>
      <c r="P1437" s="8" t="s">
        <v>16</v>
      </c>
      <c r="Q1437" s="14" t="s">
        <v>2033</v>
      </c>
      <c r="R1437" s="8" t="s">
        <v>2574</v>
      </c>
      <c r="S1437" s="14" t="s">
        <v>2597</v>
      </c>
    </row>
    <row r="1438">
      <c r="A1438" s="8" t="s">
        <v>214</v>
      </c>
      <c r="B1438" s="8" t="s">
        <v>766</v>
      </c>
      <c r="C1438" s="8" t="s">
        <v>149</v>
      </c>
      <c r="D1438" s="18" t="s">
        <v>2558</v>
      </c>
      <c r="E1438" s="16">
        <v>66.0</v>
      </c>
      <c r="F1438" s="8" t="s">
        <v>214</v>
      </c>
      <c r="G1438" s="8" t="s">
        <v>248</v>
      </c>
      <c r="H1438" s="8" t="s">
        <v>24</v>
      </c>
      <c r="I1438" s="18" t="s">
        <v>2552</v>
      </c>
      <c r="J1438" s="16">
        <v>57.0</v>
      </c>
      <c r="K1438" s="8" t="s">
        <v>2151</v>
      </c>
      <c r="L1438" s="8" t="s">
        <v>1183</v>
      </c>
      <c r="M1438" s="18" t="s">
        <v>2556</v>
      </c>
      <c r="N1438" s="16">
        <v>71.0</v>
      </c>
      <c r="O1438" s="8" t="s">
        <v>5374</v>
      </c>
      <c r="P1438" s="8" t="s">
        <v>93</v>
      </c>
      <c r="Q1438" s="14" t="s">
        <v>837</v>
      </c>
      <c r="R1438" s="8" t="s">
        <v>2605</v>
      </c>
      <c r="S1438" s="14" t="s">
        <v>2596</v>
      </c>
    </row>
    <row r="1439">
      <c r="A1439" s="8" t="s">
        <v>214</v>
      </c>
      <c r="B1439" s="8" t="s">
        <v>220</v>
      </c>
      <c r="C1439" s="8" t="s">
        <v>24</v>
      </c>
      <c r="D1439" s="18" t="s">
        <v>2585</v>
      </c>
      <c r="E1439" s="16">
        <v>44.0</v>
      </c>
      <c r="F1439" s="8" t="s">
        <v>214</v>
      </c>
      <c r="G1439" s="8" t="s">
        <v>395</v>
      </c>
      <c r="H1439" s="8" t="s">
        <v>132</v>
      </c>
      <c r="I1439" s="18" t="s">
        <v>2605</v>
      </c>
      <c r="J1439" s="16">
        <v>80.0</v>
      </c>
      <c r="K1439" s="8" t="s">
        <v>2151</v>
      </c>
      <c r="L1439" s="8" t="s">
        <v>2150</v>
      </c>
      <c r="M1439" s="18" t="s">
        <v>2584</v>
      </c>
      <c r="N1439" s="16">
        <v>67.0</v>
      </c>
      <c r="O1439" s="8" t="s">
        <v>5374</v>
      </c>
      <c r="P1439" s="8" t="s">
        <v>132</v>
      </c>
      <c r="Q1439" s="14" t="s">
        <v>1352</v>
      </c>
      <c r="R1439" s="8" t="s">
        <v>2581</v>
      </c>
      <c r="S1439" s="14" t="s">
        <v>2606</v>
      </c>
    </row>
    <row r="1440">
      <c r="A1440" s="8" t="s">
        <v>214</v>
      </c>
      <c r="B1440" s="8" t="s">
        <v>599</v>
      </c>
      <c r="C1440" s="8" t="s">
        <v>24</v>
      </c>
      <c r="D1440" s="18" t="s">
        <v>2552</v>
      </c>
      <c r="E1440" s="16">
        <v>81.0</v>
      </c>
      <c r="F1440" s="8" t="s">
        <v>214</v>
      </c>
      <c r="G1440" s="8" t="s">
        <v>449</v>
      </c>
      <c r="H1440" s="8" t="s">
        <v>53</v>
      </c>
      <c r="I1440" s="18" t="s">
        <v>2614</v>
      </c>
      <c r="J1440" s="16">
        <v>73.0</v>
      </c>
      <c r="K1440" s="8" t="s">
        <v>1172</v>
      </c>
      <c r="L1440" s="8" t="s">
        <v>510</v>
      </c>
      <c r="M1440" s="18" t="s">
        <v>2605</v>
      </c>
      <c r="N1440" s="16">
        <v>79.0</v>
      </c>
      <c r="O1440" s="8" t="s">
        <v>5375</v>
      </c>
      <c r="P1440" s="8" t="s">
        <v>261</v>
      </c>
      <c r="Q1440" s="14" t="s">
        <v>631</v>
      </c>
      <c r="R1440" s="8" t="s">
        <v>2585</v>
      </c>
      <c r="S1440" s="14" t="s">
        <v>2625</v>
      </c>
    </row>
    <row r="1441">
      <c r="A1441" s="8" t="s">
        <v>214</v>
      </c>
      <c r="B1441" s="8" t="s">
        <v>3108</v>
      </c>
      <c r="C1441" s="8" t="s">
        <v>53</v>
      </c>
      <c r="D1441" s="18" t="s">
        <v>2554</v>
      </c>
      <c r="E1441" s="16">
        <v>72.0</v>
      </c>
      <c r="F1441" s="8" t="s">
        <v>214</v>
      </c>
      <c r="G1441" s="8" t="s">
        <v>1279</v>
      </c>
      <c r="H1441" s="8" t="s">
        <v>122</v>
      </c>
      <c r="I1441" s="18" t="s">
        <v>2620</v>
      </c>
      <c r="J1441" s="16">
        <v>64.0</v>
      </c>
      <c r="K1441" s="8" t="s">
        <v>1172</v>
      </c>
      <c r="L1441" s="8" t="s">
        <v>1794</v>
      </c>
      <c r="M1441" s="18" t="s">
        <v>2584</v>
      </c>
      <c r="N1441" s="16">
        <v>84.0</v>
      </c>
      <c r="O1441" s="8" t="s">
        <v>5376</v>
      </c>
      <c r="P1441" s="8" t="s">
        <v>132</v>
      </c>
      <c r="Q1441" s="14" t="s">
        <v>1352</v>
      </c>
      <c r="R1441" s="8" t="s">
        <v>2615</v>
      </c>
      <c r="S1441" s="14" t="s">
        <v>2618</v>
      </c>
    </row>
    <row r="1442">
      <c r="A1442" s="8" t="s">
        <v>214</v>
      </c>
      <c r="B1442" s="8" t="s">
        <v>449</v>
      </c>
      <c r="C1442" s="8" t="s">
        <v>53</v>
      </c>
      <c r="D1442" s="18" t="s">
        <v>2614</v>
      </c>
      <c r="E1442" s="16">
        <v>73.0</v>
      </c>
      <c r="F1442" s="8" t="s">
        <v>214</v>
      </c>
      <c r="G1442" s="8" t="s">
        <v>918</v>
      </c>
      <c r="H1442" s="8" t="s">
        <v>93</v>
      </c>
      <c r="I1442" s="18" t="s">
        <v>2605</v>
      </c>
      <c r="J1442" s="16">
        <v>80.0</v>
      </c>
      <c r="K1442" s="8" t="s">
        <v>1172</v>
      </c>
      <c r="L1442" s="8" t="s">
        <v>1336</v>
      </c>
      <c r="M1442" s="18" t="s">
        <v>2592</v>
      </c>
      <c r="N1442" s="16">
        <v>65.0</v>
      </c>
      <c r="O1442" s="8" t="s">
        <v>5377</v>
      </c>
      <c r="P1442" s="8" t="s">
        <v>16</v>
      </c>
      <c r="Q1442" s="14" t="s">
        <v>1679</v>
      </c>
      <c r="R1442" s="8" t="s">
        <v>2566</v>
      </c>
      <c r="S1442" s="14" t="s">
        <v>2576</v>
      </c>
    </row>
    <row r="1443">
      <c r="A1443" s="8" t="s">
        <v>214</v>
      </c>
      <c r="B1443" s="8" t="s">
        <v>78</v>
      </c>
      <c r="C1443" s="8" t="s">
        <v>122</v>
      </c>
      <c r="D1443" s="18" t="s">
        <v>2587</v>
      </c>
      <c r="E1443" s="16">
        <v>82.0</v>
      </c>
      <c r="F1443" s="8" t="s">
        <v>214</v>
      </c>
      <c r="G1443" s="8" t="s">
        <v>3260</v>
      </c>
      <c r="H1443" s="8" t="s">
        <v>141</v>
      </c>
      <c r="I1443" s="18" t="s">
        <v>2577</v>
      </c>
      <c r="J1443" s="16">
        <v>62.0</v>
      </c>
      <c r="K1443" s="8" t="s">
        <v>1172</v>
      </c>
      <c r="L1443" s="8" t="s">
        <v>78</v>
      </c>
      <c r="M1443" s="18" t="s">
        <v>2560</v>
      </c>
      <c r="N1443" s="16">
        <v>81.0</v>
      </c>
      <c r="O1443" s="8" t="s">
        <v>5378</v>
      </c>
      <c r="P1443" s="8" t="s">
        <v>132</v>
      </c>
      <c r="Q1443" s="14" t="s">
        <v>338</v>
      </c>
      <c r="R1443" s="8" t="s">
        <v>2605</v>
      </c>
      <c r="S1443" s="14" t="s">
        <v>2608</v>
      </c>
    </row>
    <row r="1444">
      <c r="A1444" s="8" t="s">
        <v>214</v>
      </c>
      <c r="B1444" s="8" t="s">
        <v>78</v>
      </c>
      <c r="C1444" s="8" t="s">
        <v>65</v>
      </c>
      <c r="D1444" s="18" t="s">
        <v>2560</v>
      </c>
      <c r="E1444" s="16">
        <v>65.0</v>
      </c>
      <c r="F1444" s="8" t="s">
        <v>214</v>
      </c>
      <c r="G1444" s="8" t="s">
        <v>766</v>
      </c>
      <c r="H1444" s="8" t="s">
        <v>149</v>
      </c>
      <c r="I1444" s="18" t="s">
        <v>2558</v>
      </c>
      <c r="J1444" s="16">
        <v>66.0</v>
      </c>
      <c r="K1444" s="8" t="s">
        <v>2721</v>
      </c>
      <c r="L1444" s="8" t="s">
        <v>2720</v>
      </c>
      <c r="M1444" s="18" t="s">
        <v>2581</v>
      </c>
      <c r="N1444" s="16">
        <v>71.0</v>
      </c>
      <c r="O1444" s="8" t="s">
        <v>5379</v>
      </c>
      <c r="P1444" s="8" t="s">
        <v>215</v>
      </c>
      <c r="Q1444" s="14" t="s">
        <v>189</v>
      </c>
      <c r="R1444" s="8" t="s">
        <v>2574</v>
      </c>
      <c r="S1444" s="14" t="s">
        <v>2622</v>
      </c>
    </row>
    <row r="1445">
      <c r="A1445" s="8" t="s">
        <v>214</v>
      </c>
      <c r="B1445" s="8" t="s">
        <v>451</v>
      </c>
      <c r="C1445" s="8" t="s">
        <v>93</v>
      </c>
      <c r="D1445" s="18" t="s">
        <v>2595</v>
      </c>
      <c r="E1445" s="16">
        <v>74.0</v>
      </c>
      <c r="F1445" s="8" t="s">
        <v>214</v>
      </c>
      <c r="G1445" s="8" t="s">
        <v>918</v>
      </c>
      <c r="H1445" s="8" t="s">
        <v>141</v>
      </c>
      <c r="I1445" s="18" t="s">
        <v>2562</v>
      </c>
      <c r="J1445" s="16">
        <v>62.0</v>
      </c>
      <c r="K1445" s="8" t="s">
        <v>580</v>
      </c>
      <c r="L1445" s="8" t="s">
        <v>579</v>
      </c>
      <c r="M1445" s="18" t="s">
        <v>2584</v>
      </c>
      <c r="N1445" s="16">
        <v>69.0</v>
      </c>
      <c r="O1445" s="8" t="s">
        <v>5380</v>
      </c>
      <c r="P1445" s="8" t="s">
        <v>24</v>
      </c>
      <c r="Q1445" s="14" t="s">
        <v>189</v>
      </c>
      <c r="R1445" s="8" t="s">
        <v>2585</v>
      </c>
      <c r="S1445" s="14" t="s">
        <v>2630</v>
      </c>
    </row>
    <row r="1446">
      <c r="A1446" s="8" t="s">
        <v>905</v>
      </c>
      <c r="B1446" s="8" t="s">
        <v>904</v>
      </c>
      <c r="C1446" s="8" t="s">
        <v>53</v>
      </c>
      <c r="D1446" s="18" t="s">
        <v>2558</v>
      </c>
      <c r="E1446" s="16">
        <v>68.0</v>
      </c>
      <c r="F1446" s="8" t="s">
        <v>214</v>
      </c>
      <c r="G1446" s="8" t="s">
        <v>2351</v>
      </c>
      <c r="H1446" s="8" t="s">
        <v>53</v>
      </c>
      <c r="I1446" s="18" t="s">
        <v>2572</v>
      </c>
      <c r="J1446" s="16">
        <v>74.0</v>
      </c>
      <c r="K1446" s="8" t="s">
        <v>295</v>
      </c>
      <c r="L1446" s="8" t="s">
        <v>218</v>
      </c>
      <c r="M1446" s="18" t="s">
        <v>2587</v>
      </c>
      <c r="N1446" s="16">
        <v>83.0</v>
      </c>
      <c r="O1446" s="8" t="s">
        <v>5381</v>
      </c>
      <c r="P1446" s="8" t="s">
        <v>122</v>
      </c>
      <c r="Q1446" s="14" t="s">
        <v>1070</v>
      </c>
      <c r="R1446" s="8" t="s">
        <v>2587</v>
      </c>
      <c r="S1446" s="14" t="s">
        <v>2594</v>
      </c>
    </row>
    <row r="1447">
      <c r="A1447" s="8" t="s">
        <v>3904</v>
      </c>
      <c r="B1447" s="8" t="s">
        <v>451</v>
      </c>
      <c r="C1447" s="8" t="s">
        <v>53</v>
      </c>
      <c r="D1447" s="18" t="s">
        <v>2556</v>
      </c>
      <c r="E1447" s="16">
        <v>60.0</v>
      </c>
      <c r="F1447" s="8" t="s">
        <v>214</v>
      </c>
      <c r="G1447" s="8" t="s">
        <v>220</v>
      </c>
      <c r="H1447" s="8" t="s">
        <v>24</v>
      </c>
      <c r="I1447" s="18" t="s">
        <v>2585</v>
      </c>
      <c r="J1447" s="16">
        <v>44.0</v>
      </c>
      <c r="K1447" s="8" t="s">
        <v>1620</v>
      </c>
      <c r="L1447" s="8" t="s">
        <v>1619</v>
      </c>
      <c r="M1447" s="18" t="s">
        <v>2621</v>
      </c>
      <c r="N1447" s="16">
        <v>71.0</v>
      </c>
      <c r="O1447" s="8" t="s">
        <v>5382</v>
      </c>
      <c r="P1447" s="8" t="s">
        <v>59</v>
      </c>
      <c r="Q1447" s="14" t="s">
        <v>1679</v>
      </c>
      <c r="R1447" s="8" t="s">
        <v>2614</v>
      </c>
      <c r="S1447" s="14" t="s">
        <v>2609</v>
      </c>
    </row>
    <row r="1448">
      <c r="A1448" s="8" t="s">
        <v>3694</v>
      </c>
      <c r="B1448" s="8" t="s">
        <v>1205</v>
      </c>
      <c r="C1448" s="8" t="s">
        <v>80</v>
      </c>
      <c r="D1448" s="18" t="s">
        <v>2582</v>
      </c>
      <c r="E1448" s="16">
        <v>74.0</v>
      </c>
      <c r="F1448" s="8" t="s">
        <v>214</v>
      </c>
      <c r="G1448" s="8" t="s">
        <v>729</v>
      </c>
      <c r="H1448" s="8" t="s">
        <v>261</v>
      </c>
      <c r="I1448" s="18" t="s">
        <v>2585</v>
      </c>
      <c r="J1448" s="16">
        <v>91.0</v>
      </c>
      <c r="K1448" s="8" t="s">
        <v>2752</v>
      </c>
      <c r="L1448" s="8" t="s">
        <v>361</v>
      </c>
      <c r="M1448" s="18" t="s">
        <v>2645</v>
      </c>
      <c r="N1448" s="16">
        <v>66.0</v>
      </c>
      <c r="O1448" s="8" t="s">
        <v>5383</v>
      </c>
      <c r="P1448" s="8" t="s">
        <v>24</v>
      </c>
      <c r="Q1448" s="14" t="s">
        <v>459</v>
      </c>
      <c r="R1448" s="8" t="s">
        <v>2552</v>
      </c>
      <c r="S1448" s="14" t="s">
        <v>2625</v>
      </c>
    </row>
    <row r="1449">
      <c r="A1449" s="18" t="s">
        <v>512</v>
      </c>
      <c r="B1449" s="8" t="s">
        <v>511</v>
      </c>
      <c r="C1449" s="8" t="s">
        <v>53</v>
      </c>
      <c r="D1449" s="18" t="s">
        <v>2577</v>
      </c>
      <c r="E1449" s="16">
        <v>68.0</v>
      </c>
      <c r="F1449" s="8" t="s">
        <v>905</v>
      </c>
      <c r="G1449" s="8" t="s">
        <v>904</v>
      </c>
      <c r="H1449" s="8" t="s">
        <v>59</v>
      </c>
      <c r="I1449" s="18" t="s">
        <v>2558</v>
      </c>
      <c r="J1449" s="16">
        <v>71.0</v>
      </c>
      <c r="K1449" s="8" t="s">
        <v>211</v>
      </c>
      <c r="L1449" s="8" t="s">
        <v>812</v>
      </c>
      <c r="M1449" s="18" t="s">
        <v>2554</v>
      </c>
      <c r="N1449" s="16">
        <v>75.0</v>
      </c>
      <c r="O1449" s="8" t="s">
        <v>5384</v>
      </c>
      <c r="P1449" s="8" t="s">
        <v>16</v>
      </c>
      <c r="Q1449" s="14" t="s">
        <v>2296</v>
      </c>
      <c r="R1449" s="8" t="s">
        <v>2183</v>
      </c>
      <c r="S1449" s="14" t="s">
        <v>2628</v>
      </c>
    </row>
    <row r="1450">
      <c r="A1450" s="18" t="s">
        <v>512</v>
      </c>
      <c r="B1450" s="8" t="s">
        <v>2932</v>
      </c>
      <c r="C1450" s="8" t="s">
        <v>80</v>
      </c>
      <c r="D1450" s="18" t="s">
        <v>2585</v>
      </c>
      <c r="E1450" s="16">
        <v>65.0</v>
      </c>
      <c r="F1450" s="18" t="s">
        <v>512</v>
      </c>
      <c r="G1450" s="8" t="s">
        <v>511</v>
      </c>
      <c r="H1450" s="8" t="s">
        <v>186</v>
      </c>
      <c r="I1450" s="18" t="s">
        <v>2577</v>
      </c>
      <c r="J1450" s="16">
        <v>66.0</v>
      </c>
      <c r="K1450" s="8" t="s">
        <v>94</v>
      </c>
      <c r="L1450" s="8" t="s">
        <v>1036</v>
      </c>
      <c r="M1450" s="18" t="s">
        <v>2614</v>
      </c>
      <c r="N1450" s="16">
        <v>62.0</v>
      </c>
      <c r="O1450" s="8" t="s">
        <v>5385</v>
      </c>
      <c r="P1450" s="8" t="s">
        <v>16</v>
      </c>
      <c r="Q1450" s="14" t="s">
        <v>1352</v>
      </c>
      <c r="R1450" s="8" t="s">
        <v>2552</v>
      </c>
      <c r="S1450" s="14" t="s">
        <v>2606</v>
      </c>
    </row>
    <row r="1451">
      <c r="A1451" s="18" t="s">
        <v>26</v>
      </c>
      <c r="B1451" s="8" t="s">
        <v>25</v>
      </c>
      <c r="C1451" s="8" t="s">
        <v>24</v>
      </c>
      <c r="D1451" s="18" t="s">
        <v>2614</v>
      </c>
      <c r="E1451" s="16">
        <v>48.0</v>
      </c>
      <c r="F1451" s="18" t="s">
        <v>26</v>
      </c>
      <c r="G1451" s="8" t="s">
        <v>25</v>
      </c>
      <c r="H1451" s="8" t="s">
        <v>24</v>
      </c>
      <c r="I1451" s="18" t="s">
        <v>2614</v>
      </c>
      <c r="J1451" s="16">
        <v>48.0</v>
      </c>
      <c r="K1451" s="8" t="s">
        <v>391</v>
      </c>
      <c r="L1451" s="8" t="s">
        <v>91</v>
      </c>
      <c r="M1451" s="18" t="s">
        <v>2552</v>
      </c>
      <c r="N1451" s="16">
        <v>84.0</v>
      </c>
      <c r="O1451" s="8" t="s">
        <v>5386</v>
      </c>
      <c r="P1451" s="8" t="s">
        <v>53</v>
      </c>
      <c r="Q1451" s="14" t="s">
        <v>631</v>
      </c>
      <c r="R1451" s="8" t="s">
        <v>2600</v>
      </c>
      <c r="S1451" s="14" t="s">
        <v>2590</v>
      </c>
    </row>
    <row r="1452">
      <c r="A1452" s="18" t="s">
        <v>46</v>
      </c>
      <c r="B1452" s="8" t="s">
        <v>2443</v>
      </c>
      <c r="C1452" s="8" t="s">
        <v>215</v>
      </c>
      <c r="D1452" s="18" t="s">
        <v>2577</v>
      </c>
      <c r="E1452" s="16">
        <v>59.0</v>
      </c>
      <c r="F1452" s="18" t="s">
        <v>46</v>
      </c>
      <c r="G1452" s="8" t="s">
        <v>2443</v>
      </c>
      <c r="H1452" s="8" t="s">
        <v>215</v>
      </c>
      <c r="I1452" s="18" t="s">
        <v>2577</v>
      </c>
      <c r="J1452" s="16">
        <v>61.0</v>
      </c>
      <c r="K1452" s="8" t="s">
        <v>391</v>
      </c>
      <c r="L1452" s="8" t="s">
        <v>91</v>
      </c>
      <c r="M1452" s="18" t="s">
        <v>2552</v>
      </c>
      <c r="N1452" s="16">
        <v>88.0</v>
      </c>
      <c r="O1452" s="8" t="s">
        <v>5387</v>
      </c>
      <c r="P1452" s="8" t="s">
        <v>53</v>
      </c>
      <c r="Q1452" s="14" t="s">
        <v>338</v>
      </c>
      <c r="R1452" s="18" t="s">
        <v>2556</v>
      </c>
      <c r="S1452" s="14" t="s">
        <v>2568</v>
      </c>
    </row>
    <row r="1453">
      <c r="A1453" s="8" t="s">
        <v>5332</v>
      </c>
      <c r="B1453" s="8" t="s">
        <v>498</v>
      </c>
      <c r="C1453" s="8" t="s">
        <v>75</v>
      </c>
      <c r="D1453" s="18" t="s">
        <v>2614</v>
      </c>
      <c r="E1453" s="16">
        <v>78.0</v>
      </c>
      <c r="F1453" s="8" t="s">
        <v>5332</v>
      </c>
      <c r="G1453" s="8" t="s">
        <v>498</v>
      </c>
      <c r="H1453" s="8" t="s">
        <v>149</v>
      </c>
      <c r="I1453" s="18" t="s">
        <v>2614</v>
      </c>
      <c r="J1453" s="16">
        <v>79.0</v>
      </c>
      <c r="K1453" s="8" t="s">
        <v>222</v>
      </c>
      <c r="L1453" s="8" t="s">
        <v>62</v>
      </c>
      <c r="M1453" s="18" t="s">
        <v>2587</v>
      </c>
      <c r="N1453" s="16">
        <v>71.0</v>
      </c>
      <c r="O1453" s="8" t="s">
        <v>5388</v>
      </c>
      <c r="P1453" s="8" t="s">
        <v>186</v>
      </c>
      <c r="Q1453" s="14" t="s">
        <v>2033</v>
      </c>
      <c r="R1453" s="8" t="s">
        <v>2572</v>
      </c>
      <c r="S1453" s="14" t="s">
        <v>2594</v>
      </c>
    </row>
    <row r="1454">
      <c r="A1454" s="8" t="s">
        <v>824</v>
      </c>
      <c r="B1454" s="8" t="s">
        <v>823</v>
      </c>
      <c r="C1454" s="8" t="s">
        <v>149</v>
      </c>
      <c r="D1454" s="18" t="s">
        <v>2600</v>
      </c>
      <c r="E1454" s="16">
        <v>70.0</v>
      </c>
      <c r="F1454" s="8" t="s">
        <v>824</v>
      </c>
      <c r="G1454" s="8" t="s">
        <v>823</v>
      </c>
      <c r="H1454" s="8" t="s">
        <v>46</v>
      </c>
      <c r="I1454" s="18" t="s">
        <v>2600</v>
      </c>
      <c r="J1454" s="16">
        <v>68.0</v>
      </c>
      <c r="K1454" s="8" t="s">
        <v>222</v>
      </c>
      <c r="L1454" s="8" t="s">
        <v>67</v>
      </c>
      <c r="M1454" s="18" t="s">
        <v>2621</v>
      </c>
      <c r="N1454" s="16">
        <v>81.0</v>
      </c>
      <c r="O1454" s="8" t="s">
        <v>5389</v>
      </c>
      <c r="P1454" s="8" t="s">
        <v>59</v>
      </c>
      <c r="Q1454" s="14" t="s">
        <v>837</v>
      </c>
      <c r="R1454" s="8" t="s">
        <v>2558</v>
      </c>
      <c r="S1454" s="14" t="s">
        <v>2601</v>
      </c>
    </row>
    <row r="1455">
      <c r="A1455" s="8" t="s">
        <v>3241</v>
      </c>
      <c r="B1455" s="8" t="s">
        <v>895</v>
      </c>
      <c r="C1455" s="8" t="s">
        <v>38</v>
      </c>
      <c r="D1455" s="18" t="s">
        <v>2560</v>
      </c>
      <c r="E1455" s="16">
        <v>72.0</v>
      </c>
      <c r="F1455" s="8" t="s">
        <v>3241</v>
      </c>
      <c r="G1455" s="8" t="s">
        <v>895</v>
      </c>
      <c r="H1455" s="8" t="s">
        <v>38</v>
      </c>
      <c r="I1455" s="18" t="s">
        <v>2560</v>
      </c>
      <c r="J1455" s="16">
        <v>72.0</v>
      </c>
      <c r="K1455" s="8" t="s">
        <v>222</v>
      </c>
      <c r="L1455" s="8" t="s">
        <v>221</v>
      </c>
      <c r="M1455" s="18" t="s">
        <v>2598</v>
      </c>
      <c r="N1455" s="16">
        <v>65.0</v>
      </c>
      <c r="O1455" s="8" t="s">
        <v>5390</v>
      </c>
      <c r="P1455" s="8" t="s">
        <v>16</v>
      </c>
      <c r="Q1455" s="14" t="s">
        <v>2296</v>
      </c>
      <c r="R1455" s="18" t="s">
        <v>2589</v>
      </c>
      <c r="S1455" s="14" t="s">
        <v>2602</v>
      </c>
    </row>
    <row r="1456">
      <c r="A1456" s="8" t="s">
        <v>3660</v>
      </c>
      <c r="B1456" s="8" t="s">
        <v>268</v>
      </c>
      <c r="C1456" s="8" t="s">
        <v>24</v>
      </c>
      <c r="D1456" s="18" t="s">
        <v>2577</v>
      </c>
      <c r="E1456" s="16">
        <v>81.0</v>
      </c>
      <c r="F1456" s="8" t="s">
        <v>2823</v>
      </c>
      <c r="G1456" s="8" t="s">
        <v>931</v>
      </c>
      <c r="H1456" s="8" t="s">
        <v>93</v>
      </c>
      <c r="I1456" s="18" t="s">
        <v>2558</v>
      </c>
      <c r="J1456" s="16">
        <v>72.0</v>
      </c>
      <c r="K1456" s="8" t="s">
        <v>222</v>
      </c>
      <c r="L1456" s="8" t="s">
        <v>1745</v>
      </c>
      <c r="M1456" s="18" t="s">
        <v>2584</v>
      </c>
      <c r="N1456" s="16">
        <v>76.0</v>
      </c>
      <c r="O1456" s="8" t="s">
        <v>5391</v>
      </c>
      <c r="P1456" s="8" t="s">
        <v>53</v>
      </c>
      <c r="Q1456" s="14" t="s">
        <v>1679</v>
      </c>
      <c r="R1456" s="8" t="s">
        <v>2605</v>
      </c>
      <c r="S1456" s="14" t="s">
        <v>2579</v>
      </c>
    </row>
    <row r="1457">
      <c r="A1457" s="8" t="s">
        <v>2823</v>
      </c>
      <c r="B1457" s="8" t="s">
        <v>931</v>
      </c>
      <c r="C1457" s="8" t="s">
        <v>93</v>
      </c>
      <c r="D1457" s="18" t="s">
        <v>2558</v>
      </c>
      <c r="E1457" s="16">
        <v>64.0</v>
      </c>
      <c r="F1457" s="8" t="s">
        <v>2997</v>
      </c>
      <c r="G1457" s="8" t="s">
        <v>2996</v>
      </c>
      <c r="H1457" s="8" t="s">
        <v>93</v>
      </c>
      <c r="I1457" s="18" t="s">
        <v>2581</v>
      </c>
      <c r="J1457" s="16">
        <v>62.0</v>
      </c>
      <c r="K1457" s="8" t="s">
        <v>222</v>
      </c>
      <c r="L1457" s="8" t="s">
        <v>2029</v>
      </c>
      <c r="M1457" s="18" t="s">
        <v>2610</v>
      </c>
      <c r="N1457" s="16">
        <v>68.0</v>
      </c>
      <c r="O1457" s="8" t="s">
        <v>5392</v>
      </c>
      <c r="P1457" s="8" t="s">
        <v>59</v>
      </c>
      <c r="Q1457" s="14" t="s">
        <v>2033</v>
      </c>
      <c r="R1457" s="8" t="s">
        <v>2572</v>
      </c>
      <c r="S1457" s="14" t="s">
        <v>2557</v>
      </c>
    </row>
    <row r="1458">
      <c r="A1458" s="8" t="s">
        <v>1042</v>
      </c>
      <c r="B1458" s="8" t="s">
        <v>1041</v>
      </c>
      <c r="C1458" s="8" t="s">
        <v>75</v>
      </c>
      <c r="D1458" s="18" t="s">
        <v>2554</v>
      </c>
      <c r="E1458" s="16">
        <v>69.0</v>
      </c>
      <c r="F1458" s="8" t="s">
        <v>1042</v>
      </c>
      <c r="G1458" s="8" t="s">
        <v>1041</v>
      </c>
      <c r="H1458" s="8" t="s">
        <v>75</v>
      </c>
      <c r="I1458" s="18" t="s">
        <v>2554</v>
      </c>
      <c r="J1458" s="16">
        <v>71.0</v>
      </c>
      <c r="K1458" s="8" t="s">
        <v>58</v>
      </c>
      <c r="L1458" s="8" t="s">
        <v>2925</v>
      </c>
      <c r="M1458" s="18" t="s">
        <v>2560</v>
      </c>
      <c r="N1458" s="16">
        <v>71.0</v>
      </c>
      <c r="O1458" s="18" t="s">
        <v>5393</v>
      </c>
      <c r="P1458" s="8" t="s">
        <v>215</v>
      </c>
      <c r="Q1458" s="14" t="s">
        <v>2033</v>
      </c>
      <c r="R1458" s="8" t="s">
        <v>2603</v>
      </c>
      <c r="S1458" s="14" t="s">
        <v>2557</v>
      </c>
    </row>
    <row r="1459">
      <c r="A1459" s="8" t="s">
        <v>761</v>
      </c>
      <c r="B1459" s="8" t="s">
        <v>1516</v>
      </c>
      <c r="C1459" s="8" t="s">
        <v>186</v>
      </c>
      <c r="D1459" s="18" t="s">
        <v>2589</v>
      </c>
      <c r="E1459" s="16">
        <v>50.0</v>
      </c>
      <c r="F1459" s="8" t="s">
        <v>761</v>
      </c>
      <c r="G1459" s="8" t="s">
        <v>1516</v>
      </c>
      <c r="H1459" s="8" t="s">
        <v>186</v>
      </c>
      <c r="I1459" s="18" t="s">
        <v>2575</v>
      </c>
      <c r="J1459" s="16">
        <v>54.0</v>
      </c>
      <c r="K1459" s="8" t="s">
        <v>58</v>
      </c>
      <c r="L1459" s="8" t="s">
        <v>1430</v>
      </c>
      <c r="M1459" s="18" t="s">
        <v>2574</v>
      </c>
      <c r="N1459" s="16">
        <v>64.0</v>
      </c>
      <c r="O1459" s="18" t="s">
        <v>5394</v>
      </c>
      <c r="P1459" s="8" t="s">
        <v>186</v>
      </c>
      <c r="Q1459" s="14" t="s">
        <v>459</v>
      </c>
      <c r="R1459" s="8" t="s">
        <v>2564</v>
      </c>
      <c r="S1459" s="14" t="s">
        <v>2563</v>
      </c>
    </row>
    <row r="1460">
      <c r="A1460" s="8" t="s">
        <v>761</v>
      </c>
      <c r="B1460" s="8" t="s">
        <v>402</v>
      </c>
      <c r="C1460" s="8" t="s">
        <v>70</v>
      </c>
      <c r="D1460" s="18" t="s">
        <v>2562</v>
      </c>
      <c r="E1460" s="16">
        <v>88.0</v>
      </c>
      <c r="F1460" s="8" t="s">
        <v>761</v>
      </c>
      <c r="G1460" s="8" t="s">
        <v>402</v>
      </c>
      <c r="H1460" s="8" t="s">
        <v>70</v>
      </c>
      <c r="I1460" s="18" t="s">
        <v>2562</v>
      </c>
      <c r="J1460" s="16">
        <v>85.0</v>
      </c>
      <c r="K1460" s="8" t="s">
        <v>58</v>
      </c>
      <c r="L1460" s="8" t="s">
        <v>57</v>
      </c>
      <c r="M1460" s="18" t="s">
        <v>2587</v>
      </c>
      <c r="N1460" s="16">
        <v>77.0</v>
      </c>
      <c r="O1460" s="18" t="s">
        <v>5395</v>
      </c>
      <c r="P1460" s="8" t="s">
        <v>24</v>
      </c>
      <c r="Q1460" s="14" t="s">
        <v>27</v>
      </c>
      <c r="R1460" s="8" t="s">
        <v>2614</v>
      </c>
      <c r="S1460" s="14" t="s">
        <v>2624</v>
      </c>
    </row>
    <row r="1461">
      <c r="A1461" s="8" t="s">
        <v>728</v>
      </c>
      <c r="B1461" s="8" t="s">
        <v>3573</v>
      </c>
      <c r="C1461" s="8" t="s">
        <v>192</v>
      </c>
      <c r="D1461" s="18" t="s">
        <v>2621</v>
      </c>
      <c r="E1461" s="16">
        <v>61.0</v>
      </c>
      <c r="F1461" s="8" t="s">
        <v>728</v>
      </c>
      <c r="G1461" s="8" t="s">
        <v>727</v>
      </c>
      <c r="H1461" s="8" t="s">
        <v>80</v>
      </c>
      <c r="I1461" s="18" t="s">
        <v>2593</v>
      </c>
      <c r="J1461" s="16">
        <v>82.0</v>
      </c>
      <c r="K1461" s="8" t="s">
        <v>58</v>
      </c>
      <c r="L1461" s="8" t="s">
        <v>1036</v>
      </c>
      <c r="M1461" s="18" t="s">
        <v>2572</v>
      </c>
      <c r="N1461" s="16">
        <v>88.0</v>
      </c>
      <c r="O1461" s="8" t="s">
        <v>5396</v>
      </c>
      <c r="P1461" s="8" t="s">
        <v>149</v>
      </c>
      <c r="Q1461" s="14" t="s">
        <v>1070</v>
      </c>
      <c r="R1461" s="8" t="s">
        <v>2614</v>
      </c>
      <c r="S1461" s="14" t="s">
        <v>2571</v>
      </c>
    </row>
    <row r="1462">
      <c r="A1462" s="8" t="s">
        <v>728</v>
      </c>
      <c r="B1462" s="8" t="s">
        <v>727</v>
      </c>
      <c r="C1462" s="8" t="s">
        <v>93</v>
      </c>
      <c r="D1462" s="18" t="s">
        <v>2593</v>
      </c>
      <c r="E1462" s="16">
        <v>75.0</v>
      </c>
      <c r="F1462" s="8" t="s">
        <v>3305</v>
      </c>
      <c r="G1462" s="8" t="s">
        <v>380</v>
      </c>
      <c r="H1462" s="8" t="s">
        <v>59</v>
      </c>
      <c r="I1462" s="18" t="s">
        <v>2605</v>
      </c>
      <c r="J1462" s="16">
        <v>80.0</v>
      </c>
      <c r="K1462" s="8" t="s">
        <v>58</v>
      </c>
      <c r="L1462" s="8" t="s">
        <v>1036</v>
      </c>
      <c r="M1462" s="18" t="s">
        <v>2595</v>
      </c>
      <c r="N1462" s="16">
        <v>83.0</v>
      </c>
      <c r="O1462" s="8" t="s">
        <v>5397</v>
      </c>
      <c r="P1462" s="8" t="s">
        <v>46</v>
      </c>
      <c r="Q1462" s="14" t="s">
        <v>631</v>
      </c>
      <c r="R1462" s="8" t="s">
        <v>2587</v>
      </c>
      <c r="S1462" s="14" t="s">
        <v>2555</v>
      </c>
    </row>
    <row r="1463">
      <c r="A1463" s="8" t="s">
        <v>3305</v>
      </c>
      <c r="B1463" s="8" t="s">
        <v>380</v>
      </c>
      <c r="C1463" s="8" t="s">
        <v>59</v>
      </c>
      <c r="D1463" s="18" t="s">
        <v>2605</v>
      </c>
      <c r="E1463" s="16">
        <v>81.0</v>
      </c>
      <c r="F1463" s="8" t="s">
        <v>3165</v>
      </c>
      <c r="G1463" s="8" t="s">
        <v>3164</v>
      </c>
      <c r="H1463" s="8" t="s">
        <v>186</v>
      </c>
      <c r="I1463" s="18" t="s">
        <v>2581</v>
      </c>
      <c r="J1463" s="16">
        <v>64.0</v>
      </c>
      <c r="K1463" s="8" t="s">
        <v>58</v>
      </c>
      <c r="L1463" s="8" t="s">
        <v>1036</v>
      </c>
      <c r="M1463" s="18" t="s">
        <v>2575</v>
      </c>
      <c r="N1463" s="16">
        <v>82.0</v>
      </c>
      <c r="O1463" s="8" t="s">
        <v>5398</v>
      </c>
      <c r="P1463" s="8" t="s">
        <v>38</v>
      </c>
      <c r="Q1463" s="14" t="s">
        <v>837</v>
      </c>
      <c r="R1463" s="8" t="s">
        <v>2560</v>
      </c>
      <c r="S1463" s="14" t="s">
        <v>2602</v>
      </c>
    </row>
    <row r="1464">
      <c r="A1464" s="8" t="s">
        <v>3165</v>
      </c>
      <c r="B1464" s="8" t="s">
        <v>3164</v>
      </c>
      <c r="C1464" s="8" t="s">
        <v>186</v>
      </c>
      <c r="D1464" s="18" t="s">
        <v>2605</v>
      </c>
      <c r="E1464" s="16">
        <v>64.0</v>
      </c>
      <c r="F1464" s="8" t="s">
        <v>1879</v>
      </c>
      <c r="G1464" s="8" t="s">
        <v>890</v>
      </c>
      <c r="H1464" s="8" t="s">
        <v>70</v>
      </c>
      <c r="I1464" s="18" t="s">
        <v>2593</v>
      </c>
      <c r="J1464" s="16">
        <v>77.0</v>
      </c>
      <c r="K1464" s="8" t="s">
        <v>58</v>
      </c>
      <c r="L1464" s="8" t="s">
        <v>1036</v>
      </c>
      <c r="M1464" s="18" t="s">
        <v>2572</v>
      </c>
      <c r="N1464" s="16">
        <v>84.0</v>
      </c>
      <c r="O1464" s="8" t="s">
        <v>5399</v>
      </c>
      <c r="P1464" s="8" t="s">
        <v>75</v>
      </c>
      <c r="Q1464" s="14" t="s">
        <v>837</v>
      </c>
      <c r="R1464" s="8" t="s">
        <v>2585</v>
      </c>
      <c r="S1464" s="14" t="s">
        <v>2601</v>
      </c>
    </row>
    <row r="1465">
      <c r="A1465" s="8" t="s">
        <v>1879</v>
      </c>
      <c r="B1465" s="8" t="s">
        <v>890</v>
      </c>
      <c r="C1465" s="8" t="s">
        <v>70</v>
      </c>
      <c r="D1465" s="18" t="s">
        <v>2614</v>
      </c>
      <c r="E1465" s="16">
        <v>76.0</v>
      </c>
      <c r="F1465" s="8" t="s">
        <v>1879</v>
      </c>
      <c r="G1465" s="8" t="s">
        <v>732</v>
      </c>
      <c r="H1465" s="8" t="s">
        <v>24</v>
      </c>
      <c r="I1465" s="18" t="s">
        <v>2558</v>
      </c>
      <c r="J1465" s="16">
        <v>74.0</v>
      </c>
      <c r="K1465" s="8" t="s">
        <v>58</v>
      </c>
      <c r="L1465" s="8" t="s">
        <v>248</v>
      </c>
      <c r="M1465" s="18" t="s">
        <v>2566</v>
      </c>
      <c r="N1465" s="16">
        <v>73.0</v>
      </c>
      <c r="O1465" s="8" t="s">
        <v>5400</v>
      </c>
      <c r="P1465" s="8" t="s">
        <v>16</v>
      </c>
      <c r="Q1465" s="14" t="s">
        <v>2296</v>
      </c>
      <c r="R1465" s="8" t="s">
        <v>2575</v>
      </c>
      <c r="S1465" s="14" t="s">
        <v>2571</v>
      </c>
    </row>
    <row r="1466">
      <c r="A1466" s="8" t="s">
        <v>1879</v>
      </c>
      <c r="B1466" s="8" t="s">
        <v>732</v>
      </c>
      <c r="C1466" s="8" t="s">
        <v>24</v>
      </c>
      <c r="D1466" s="18" t="s">
        <v>2593</v>
      </c>
      <c r="E1466" s="16">
        <v>75.0</v>
      </c>
      <c r="F1466" s="8" t="s">
        <v>1409</v>
      </c>
      <c r="G1466" s="8" t="s">
        <v>498</v>
      </c>
      <c r="H1466" s="8" t="s">
        <v>192</v>
      </c>
      <c r="I1466" s="18" t="s">
        <v>2566</v>
      </c>
      <c r="J1466" s="16">
        <v>92.0</v>
      </c>
      <c r="K1466" s="8" t="s">
        <v>58</v>
      </c>
      <c r="L1466" s="8" t="s">
        <v>1036</v>
      </c>
      <c r="M1466" s="18" t="s">
        <v>2572</v>
      </c>
      <c r="N1466" s="16">
        <v>86.0</v>
      </c>
      <c r="O1466" s="8" t="s">
        <v>5401</v>
      </c>
      <c r="P1466" s="8" t="s">
        <v>70</v>
      </c>
      <c r="Q1466" s="14" t="s">
        <v>631</v>
      </c>
      <c r="R1466" s="8" t="s">
        <v>2562</v>
      </c>
      <c r="S1466" s="14" t="s">
        <v>2625</v>
      </c>
    </row>
    <row r="1467">
      <c r="A1467" s="8" t="s">
        <v>1409</v>
      </c>
      <c r="B1467" s="8" t="s">
        <v>498</v>
      </c>
      <c r="C1467" s="8" t="s">
        <v>80</v>
      </c>
      <c r="D1467" s="18" t="s">
        <v>2566</v>
      </c>
      <c r="E1467" s="16">
        <v>75.0</v>
      </c>
      <c r="F1467" s="8" t="s">
        <v>1409</v>
      </c>
      <c r="G1467" s="8" t="s">
        <v>1043</v>
      </c>
      <c r="H1467" s="8" t="s">
        <v>132</v>
      </c>
      <c r="I1467" s="18" t="s">
        <v>2595</v>
      </c>
      <c r="J1467" s="16">
        <v>60.0</v>
      </c>
      <c r="K1467" s="8" t="s">
        <v>58</v>
      </c>
      <c r="L1467" s="8" t="s">
        <v>1036</v>
      </c>
      <c r="M1467" s="18" t="s">
        <v>2572</v>
      </c>
      <c r="N1467" s="16">
        <v>90.0</v>
      </c>
      <c r="O1467" s="8" t="s">
        <v>5402</v>
      </c>
      <c r="P1467" s="8" t="s">
        <v>80</v>
      </c>
      <c r="Q1467" s="14" t="s">
        <v>631</v>
      </c>
      <c r="R1467" s="18" t="s">
        <v>2556</v>
      </c>
      <c r="S1467" s="14" t="s">
        <v>2625</v>
      </c>
    </row>
    <row r="1468">
      <c r="A1468" s="8" t="s">
        <v>1409</v>
      </c>
      <c r="B1468" s="8" t="s">
        <v>1043</v>
      </c>
      <c r="C1468" s="8" t="s">
        <v>132</v>
      </c>
      <c r="D1468" s="18" t="s">
        <v>2595</v>
      </c>
      <c r="E1468" s="16">
        <v>58.0</v>
      </c>
      <c r="F1468" s="8" t="s">
        <v>1226</v>
      </c>
      <c r="G1468" s="8" t="s">
        <v>284</v>
      </c>
      <c r="H1468" s="8" t="s">
        <v>16</v>
      </c>
      <c r="I1468" s="18" t="s">
        <v>2577</v>
      </c>
      <c r="J1468" s="16">
        <v>66.0</v>
      </c>
      <c r="K1468" s="8" t="s">
        <v>3150</v>
      </c>
      <c r="L1468" s="8" t="s">
        <v>1675</v>
      </c>
      <c r="M1468" s="18" t="s">
        <v>2589</v>
      </c>
      <c r="N1468" s="16">
        <v>63.0</v>
      </c>
      <c r="O1468" s="8" t="s">
        <v>5403</v>
      </c>
      <c r="P1468" s="8" t="s">
        <v>141</v>
      </c>
      <c r="Q1468" s="14" t="s">
        <v>2033</v>
      </c>
      <c r="R1468" s="18" t="s">
        <v>2589</v>
      </c>
      <c r="S1468" s="14" t="s">
        <v>2563</v>
      </c>
    </row>
    <row r="1469">
      <c r="A1469" s="8" t="s">
        <v>1226</v>
      </c>
      <c r="B1469" s="8" t="s">
        <v>284</v>
      </c>
      <c r="C1469" s="8" t="s">
        <v>16</v>
      </c>
      <c r="D1469" s="18" t="s">
        <v>2577</v>
      </c>
      <c r="E1469" s="16">
        <v>66.0</v>
      </c>
      <c r="F1469" s="8" t="s">
        <v>552</v>
      </c>
      <c r="G1469" s="8" t="s">
        <v>441</v>
      </c>
      <c r="H1469" s="8" t="s">
        <v>75</v>
      </c>
      <c r="I1469" s="18" t="s">
        <v>2558</v>
      </c>
      <c r="J1469" s="16">
        <v>75.0</v>
      </c>
      <c r="K1469" s="8" t="s">
        <v>747</v>
      </c>
      <c r="L1469" s="8" t="s">
        <v>194</v>
      </c>
      <c r="M1469" s="18" t="s">
        <v>2558</v>
      </c>
      <c r="N1469" s="16">
        <v>69.0</v>
      </c>
      <c r="O1469" s="8" t="s">
        <v>5404</v>
      </c>
      <c r="P1469" s="8" t="s">
        <v>65</v>
      </c>
      <c r="Q1469" s="14" t="s">
        <v>1679</v>
      </c>
      <c r="R1469" s="8" t="s">
        <v>2614</v>
      </c>
      <c r="S1469" s="14" t="s">
        <v>2555</v>
      </c>
    </row>
    <row r="1470">
      <c r="A1470" s="8" t="s">
        <v>552</v>
      </c>
      <c r="B1470" s="8" t="s">
        <v>389</v>
      </c>
      <c r="C1470" s="8" t="s">
        <v>149</v>
      </c>
      <c r="D1470" s="18" t="s">
        <v>2564</v>
      </c>
      <c r="E1470" s="16">
        <v>86.0</v>
      </c>
      <c r="F1470" s="8" t="s">
        <v>552</v>
      </c>
      <c r="G1470" s="8" t="s">
        <v>389</v>
      </c>
      <c r="H1470" s="8" t="s">
        <v>149</v>
      </c>
      <c r="I1470" s="18" t="s">
        <v>2564</v>
      </c>
      <c r="J1470" s="16">
        <v>90.0</v>
      </c>
      <c r="K1470" s="8" t="s">
        <v>3131</v>
      </c>
      <c r="L1470" s="8" t="s">
        <v>617</v>
      </c>
      <c r="M1470" s="18" t="s">
        <v>2560</v>
      </c>
      <c r="N1470" s="16">
        <v>70.0</v>
      </c>
      <c r="O1470" s="8" t="s">
        <v>5405</v>
      </c>
      <c r="P1470" s="8" t="s">
        <v>192</v>
      </c>
      <c r="Q1470" s="14" t="s">
        <v>1352</v>
      </c>
      <c r="R1470" s="8" t="s">
        <v>2582</v>
      </c>
      <c r="S1470" s="14" t="s">
        <v>2578</v>
      </c>
    </row>
    <row r="1471">
      <c r="A1471" s="8" t="s">
        <v>552</v>
      </c>
      <c r="B1471" s="8" t="s">
        <v>441</v>
      </c>
      <c r="C1471" s="8" t="s">
        <v>75</v>
      </c>
      <c r="D1471" s="18" t="s">
        <v>2558</v>
      </c>
      <c r="E1471" s="16">
        <v>67.0</v>
      </c>
      <c r="F1471" s="8" t="s">
        <v>2002</v>
      </c>
      <c r="G1471" s="8" t="s">
        <v>2001</v>
      </c>
      <c r="H1471" s="8" t="s">
        <v>65</v>
      </c>
      <c r="I1471" s="18" t="s">
        <v>2552</v>
      </c>
      <c r="J1471" s="16">
        <v>73.0</v>
      </c>
      <c r="K1471" s="8" t="s">
        <v>320</v>
      </c>
      <c r="L1471" s="8" t="s">
        <v>620</v>
      </c>
      <c r="M1471" s="18" t="s">
        <v>2554</v>
      </c>
      <c r="N1471" s="16">
        <v>77.0</v>
      </c>
      <c r="O1471" s="8" t="s">
        <v>5406</v>
      </c>
      <c r="P1471" s="8" t="s">
        <v>149</v>
      </c>
      <c r="Q1471" s="14" t="s">
        <v>459</v>
      </c>
      <c r="R1471" s="8" t="s">
        <v>2564</v>
      </c>
      <c r="S1471" s="14" t="s">
        <v>2596</v>
      </c>
    </row>
    <row r="1472">
      <c r="A1472" s="8" t="s">
        <v>2002</v>
      </c>
      <c r="B1472" s="8" t="s">
        <v>2001</v>
      </c>
      <c r="C1472" s="8" t="s">
        <v>65</v>
      </c>
      <c r="D1472" s="18" t="s">
        <v>2552</v>
      </c>
      <c r="E1472" s="16">
        <v>75.0</v>
      </c>
      <c r="F1472" s="8" t="s">
        <v>3497</v>
      </c>
      <c r="G1472" s="8" t="s">
        <v>232</v>
      </c>
      <c r="H1472" s="8" t="s">
        <v>80</v>
      </c>
      <c r="I1472" s="18" t="s">
        <v>2575</v>
      </c>
      <c r="J1472" s="16">
        <v>82.0</v>
      </c>
      <c r="K1472" s="8" t="s">
        <v>320</v>
      </c>
      <c r="L1472" s="8" t="s">
        <v>2862</v>
      </c>
      <c r="M1472" s="18" t="s">
        <v>2645</v>
      </c>
      <c r="N1472" s="16">
        <v>60.0</v>
      </c>
      <c r="O1472" s="8" t="s">
        <v>5407</v>
      </c>
      <c r="P1472" s="8" t="s">
        <v>75</v>
      </c>
      <c r="Q1472" s="14" t="s">
        <v>459</v>
      </c>
      <c r="R1472" s="8" t="s">
        <v>2558</v>
      </c>
      <c r="S1472" s="14" t="s">
        <v>2573</v>
      </c>
    </row>
    <row r="1473">
      <c r="A1473" s="8" t="s">
        <v>3497</v>
      </c>
      <c r="B1473" s="8" t="s">
        <v>232</v>
      </c>
      <c r="C1473" s="8" t="s">
        <v>93</v>
      </c>
      <c r="D1473" s="18" t="s">
        <v>2575</v>
      </c>
      <c r="E1473" s="16">
        <v>79.0</v>
      </c>
      <c r="F1473" s="8" t="s">
        <v>1650</v>
      </c>
      <c r="G1473" s="8" t="s">
        <v>1649</v>
      </c>
      <c r="H1473" s="8" t="s">
        <v>46</v>
      </c>
      <c r="I1473" s="18" t="s">
        <v>2581</v>
      </c>
      <c r="J1473" s="16">
        <v>78.0</v>
      </c>
      <c r="K1473" s="8" t="s">
        <v>320</v>
      </c>
      <c r="L1473" s="8" t="s">
        <v>319</v>
      </c>
      <c r="M1473" s="18" t="s">
        <v>2621</v>
      </c>
      <c r="N1473" s="16">
        <v>72.0</v>
      </c>
      <c r="O1473" s="8" t="s">
        <v>5408</v>
      </c>
      <c r="P1473" s="8" t="s">
        <v>65</v>
      </c>
      <c r="Q1473" s="14" t="s">
        <v>1679</v>
      </c>
      <c r="R1473" s="8" t="s">
        <v>2552</v>
      </c>
      <c r="S1473" s="14" t="s">
        <v>2565</v>
      </c>
    </row>
    <row r="1474">
      <c r="A1474" s="8" t="s">
        <v>1650</v>
      </c>
      <c r="B1474" s="8" t="s">
        <v>1649</v>
      </c>
      <c r="C1474" s="8" t="s">
        <v>75</v>
      </c>
      <c r="D1474" s="18" t="s">
        <v>2581</v>
      </c>
      <c r="E1474" s="16">
        <v>78.0</v>
      </c>
      <c r="F1474" s="8" t="s">
        <v>784</v>
      </c>
      <c r="G1474" s="8" t="s">
        <v>783</v>
      </c>
      <c r="H1474" s="8" t="s">
        <v>186</v>
      </c>
      <c r="I1474" s="18" t="s">
        <v>2598</v>
      </c>
      <c r="J1474" s="16">
        <v>67.0</v>
      </c>
      <c r="K1474" s="8" t="s">
        <v>320</v>
      </c>
      <c r="L1474" s="8" t="s">
        <v>739</v>
      </c>
      <c r="M1474" s="18" t="s">
        <v>2574</v>
      </c>
      <c r="N1474" s="16">
        <v>89.0</v>
      </c>
      <c r="O1474" s="8" t="s">
        <v>5409</v>
      </c>
      <c r="P1474" s="8" t="s">
        <v>46</v>
      </c>
      <c r="Q1474" s="14" t="s">
        <v>1352</v>
      </c>
      <c r="R1474" s="8" t="s">
        <v>2581</v>
      </c>
      <c r="S1474" s="14" t="s">
        <v>2611</v>
      </c>
    </row>
    <row r="1475">
      <c r="A1475" s="8" t="s">
        <v>784</v>
      </c>
      <c r="B1475" s="8" t="s">
        <v>783</v>
      </c>
      <c r="C1475" s="8" t="s">
        <v>186</v>
      </c>
      <c r="D1475" s="18" t="s">
        <v>2598</v>
      </c>
      <c r="E1475" s="16">
        <v>67.0</v>
      </c>
      <c r="F1475" s="8" t="s">
        <v>64</v>
      </c>
      <c r="G1475" s="8" t="s">
        <v>3498</v>
      </c>
      <c r="H1475" s="8" t="s">
        <v>138</v>
      </c>
      <c r="I1475" s="18" t="s">
        <v>2574</v>
      </c>
      <c r="J1475" s="16">
        <v>65.0</v>
      </c>
      <c r="K1475" s="8" t="s">
        <v>320</v>
      </c>
      <c r="L1475" s="8" t="s">
        <v>2694</v>
      </c>
      <c r="M1475" s="18" t="s">
        <v>2600</v>
      </c>
      <c r="N1475" s="16">
        <v>70.0</v>
      </c>
      <c r="O1475" s="8" t="s">
        <v>5410</v>
      </c>
      <c r="P1475" s="8" t="s">
        <v>59</v>
      </c>
      <c r="Q1475" s="14" t="s">
        <v>631</v>
      </c>
      <c r="R1475" s="8" t="s">
        <v>2585</v>
      </c>
      <c r="S1475" s="14" t="s">
        <v>2563</v>
      </c>
    </row>
    <row r="1476">
      <c r="A1476" s="8" t="s">
        <v>64</v>
      </c>
      <c r="B1476" s="8" t="s">
        <v>2118</v>
      </c>
      <c r="C1476" s="8" t="s">
        <v>24</v>
      </c>
      <c r="D1476" s="18" t="s">
        <v>2566</v>
      </c>
      <c r="E1476" s="16">
        <v>76.0</v>
      </c>
      <c r="F1476" s="8" t="s">
        <v>64</v>
      </c>
      <c r="G1476" s="8" t="s">
        <v>1560</v>
      </c>
      <c r="H1476" s="8" t="s">
        <v>122</v>
      </c>
      <c r="I1476" s="18" t="s">
        <v>2615</v>
      </c>
      <c r="J1476" s="16">
        <v>69.0</v>
      </c>
      <c r="K1476" s="8" t="s">
        <v>320</v>
      </c>
      <c r="L1476" s="8" t="s">
        <v>1785</v>
      </c>
      <c r="M1476" s="18" t="s">
        <v>2621</v>
      </c>
      <c r="N1476" s="16">
        <v>70.0</v>
      </c>
      <c r="O1476" s="8" t="s">
        <v>5411</v>
      </c>
      <c r="P1476" s="8" t="s">
        <v>65</v>
      </c>
      <c r="Q1476" s="14" t="s">
        <v>60</v>
      </c>
      <c r="R1476" s="18" t="s">
        <v>2589</v>
      </c>
      <c r="S1476" s="14" t="s">
        <v>2611</v>
      </c>
    </row>
    <row r="1477">
      <c r="A1477" s="8" t="s">
        <v>64</v>
      </c>
      <c r="B1477" s="8" t="s">
        <v>63</v>
      </c>
      <c r="C1477" s="8" t="s">
        <v>65</v>
      </c>
      <c r="D1477" s="18" t="s">
        <v>2589</v>
      </c>
      <c r="E1477" s="16">
        <v>91.0</v>
      </c>
      <c r="F1477" s="8" t="s">
        <v>64</v>
      </c>
      <c r="G1477" s="8" t="s">
        <v>63</v>
      </c>
      <c r="H1477" s="8" t="s">
        <v>65</v>
      </c>
      <c r="I1477" s="18" t="s">
        <v>2589</v>
      </c>
      <c r="J1477" s="16">
        <v>90.0</v>
      </c>
      <c r="K1477" s="18" t="s">
        <v>2254</v>
      </c>
      <c r="L1477" s="8" t="s">
        <v>3076</v>
      </c>
      <c r="M1477" s="18" t="s">
        <v>2592</v>
      </c>
      <c r="N1477" s="16">
        <v>74.0</v>
      </c>
      <c r="O1477" s="8" t="s">
        <v>5412</v>
      </c>
      <c r="P1477" s="8" t="s">
        <v>122</v>
      </c>
      <c r="Q1477" s="14" t="s">
        <v>1352</v>
      </c>
      <c r="R1477" s="8" t="s">
        <v>2615</v>
      </c>
      <c r="S1477" s="14" t="s">
        <v>2590</v>
      </c>
    </row>
    <row r="1478">
      <c r="A1478" s="8" t="s">
        <v>64</v>
      </c>
      <c r="B1478" s="8" t="s">
        <v>1031</v>
      </c>
      <c r="C1478" s="8" t="s">
        <v>93</v>
      </c>
      <c r="D1478" s="18" t="s">
        <v>2572</v>
      </c>
      <c r="E1478" s="16">
        <v>59.0</v>
      </c>
      <c r="F1478" s="8" t="s">
        <v>64</v>
      </c>
      <c r="G1478" s="8" t="s">
        <v>827</v>
      </c>
      <c r="H1478" s="8" t="s">
        <v>132</v>
      </c>
      <c r="I1478" s="18" t="s">
        <v>2595</v>
      </c>
      <c r="J1478" s="16">
        <v>81.0</v>
      </c>
      <c r="K1478" s="8" t="s">
        <v>163</v>
      </c>
      <c r="L1478" s="8" t="s">
        <v>106</v>
      </c>
      <c r="M1478" s="18" t="s">
        <v>2552</v>
      </c>
      <c r="N1478" s="16">
        <v>69.0</v>
      </c>
      <c r="O1478" s="8" t="s">
        <v>5413</v>
      </c>
      <c r="P1478" s="8" t="s">
        <v>132</v>
      </c>
      <c r="Q1478" s="14" t="s">
        <v>631</v>
      </c>
      <c r="R1478" s="8" t="s">
        <v>2595</v>
      </c>
      <c r="S1478" s="14" t="s">
        <v>2607</v>
      </c>
    </row>
    <row r="1479">
      <c r="A1479" s="8" t="s">
        <v>64</v>
      </c>
      <c r="B1479" s="8" t="s">
        <v>827</v>
      </c>
      <c r="C1479" s="8" t="s">
        <v>132</v>
      </c>
      <c r="D1479" s="18" t="s">
        <v>2554</v>
      </c>
      <c r="E1479" s="16">
        <v>74.0</v>
      </c>
      <c r="F1479" s="8" t="s">
        <v>768</v>
      </c>
      <c r="G1479" s="8" t="s">
        <v>767</v>
      </c>
      <c r="H1479" s="8" t="s">
        <v>70</v>
      </c>
      <c r="I1479" s="18" t="s">
        <v>2552</v>
      </c>
      <c r="J1479" s="16">
        <v>84.0</v>
      </c>
      <c r="K1479" s="8" t="s">
        <v>163</v>
      </c>
      <c r="L1479" s="8" t="s">
        <v>1477</v>
      </c>
      <c r="M1479" s="18" t="s">
        <v>2564</v>
      </c>
      <c r="N1479" s="16">
        <v>72.0</v>
      </c>
      <c r="O1479" s="8" t="s">
        <v>5414</v>
      </c>
      <c r="P1479" s="8" t="s">
        <v>70</v>
      </c>
      <c r="Q1479" s="14" t="s">
        <v>631</v>
      </c>
      <c r="R1479" s="8" t="s">
        <v>2595</v>
      </c>
      <c r="S1479" s="14" t="s">
        <v>2608</v>
      </c>
    </row>
    <row r="1480">
      <c r="A1480" s="8" t="s">
        <v>64</v>
      </c>
      <c r="B1480" s="8" t="s">
        <v>3498</v>
      </c>
      <c r="C1480" s="8" t="s">
        <v>138</v>
      </c>
      <c r="D1480" s="18" t="s">
        <v>2574</v>
      </c>
      <c r="E1480" s="16">
        <v>63.0</v>
      </c>
      <c r="F1480" s="8" t="s">
        <v>1512</v>
      </c>
      <c r="G1480" s="8" t="s">
        <v>94</v>
      </c>
      <c r="H1480" s="8" t="s">
        <v>53</v>
      </c>
      <c r="I1480" s="18" t="s">
        <v>2556</v>
      </c>
      <c r="J1480" s="16">
        <v>62.0</v>
      </c>
      <c r="K1480" s="8" t="s">
        <v>1353</v>
      </c>
      <c r="L1480" s="8" t="s">
        <v>57</v>
      </c>
      <c r="M1480" s="18" t="s">
        <v>2552</v>
      </c>
      <c r="N1480" s="16">
        <v>70.0</v>
      </c>
      <c r="O1480" s="8" t="s">
        <v>5415</v>
      </c>
      <c r="P1480" s="8" t="s">
        <v>53</v>
      </c>
      <c r="Q1480" s="14" t="s">
        <v>1352</v>
      </c>
      <c r="R1480" s="8" t="s">
        <v>2621</v>
      </c>
      <c r="S1480" s="14" t="s">
        <v>2594</v>
      </c>
    </row>
    <row r="1481">
      <c r="A1481" s="8" t="s">
        <v>3671</v>
      </c>
      <c r="B1481" s="8" t="s">
        <v>3670</v>
      </c>
      <c r="C1481" s="8" t="s">
        <v>46</v>
      </c>
      <c r="D1481" s="18" t="s">
        <v>2620</v>
      </c>
      <c r="E1481" s="16">
        <v>62.0</v>
      </c>
      <c r="F1481" s="8" t="s">
        <v>3270</v>
      </c>
      <c r="G1481" s="8" t="s">
        <v>1454</v>
      </c>
      <c r="H1481" s="8" t="s">
        <v>46</v>
      </c>
      <c r="I1481" s="18" t="s">
        <v>2562</v>
      </c>
      <c r="J1481" s="16">
        <v>64.0</v>
      </c>
      <c r="K1481" s="8" t="s">
        <v>2770</v>
      </c>
      <c r="L1481" s="8" t="s">
        <v>2769</v>
      </c>
      <c r="M1481" s="18" t="s">
        <v>2587</v>
      </c>
      <c r="N1481" s="16">
        <v>68.0</v>
      </c>
      <c r="O1481" s="8" t="s">
        <v>5416</v>
      </c>
      <c r="P1481" s="8" t="s">
        <v>132</v>
      </c>
      <c r="Q1481" s="14" t="s">
        <v>631</v>
      </c>
      <c r="R1481" s="8" t="s">
        <v>2183</v>
      </c>
      <c r="S1481" s="14" t="s">
        <v>2586</v>
      </c>
    </row>
    <row r="1482">
      <c r="A1482" s="8" t="s">
        <v>768</v>
      </c>
      <c r="B1482" s="8" t="s">
        <v>767</v>
      </c>
      <c r="C1482" s="8" t="s">
        <v>70</v>
      </c>
      <c r="D1482" s="18" t="s">
        <v>2556</v>
      </c>
      <c r="E1482" s="16">
        <v>81.0</v>
      </c>
      <c r="F1482" s="8" t="s">
        <v>673</v>
      </c>
      <c r="G1482" s="8" t="s">
        <v>672</v>
      </c>
      <c r="H1482" s="8" t="s">
        <v>132</v>
      </c>
      <c r="I1482" s="18" t="s">
        <v>2183</v>
      </c>
      <c r="J1482" s="16">
        <v>78.0</v>
      </c>
      <c r="K1482" s="8" t="s">
        <v>283</v>
      </c>
      <c r="L1482" s="8" t="s">
        <v>106</v>
      </c>
      <c r="M1482" s="18" t="s">
        <v>2593</v>
      </c>
      <c r="N1482" s="16">
        <v>71.0</v>
      </c>
      <c r="O1482" s="8" t="s">
        <v>5417</v>
      </c>
      <c r="P1482" s="8" t="s">
        <v>138</v>
      </c>
      <c r="Q1482" s="14" t="s">
        <v>837</v>
      </c>
      <c r="R1482" s="8" t="s">
        <v>2577</v>
      </c>
      <c r="S1482" s="14" t="s">
        <v>2594</v>
      </c>
    </row>
    <row r="1483">
      <c r="A1483" s="8" t="s">
        <v>3270</v>
      </c>
      <c r="B1483" s="8" t="s">
        <v>1454</v>
      </c>
      <c r="C1483" s="8" t="s">
        <v>46</v>
      </c>
      <c r="D1483" s="18" t="s">
        <v>2598</v>
      </c>
      <c r="E1483" s="16">
        <v>64.0</v>
      </c>
      <c r="F1483" s="8" t="s">
        <v>3242</v>
      </c>
      <c r="G1483" s="8" t="s">
        <v>895</v>
      </c>
      <c r="H1483" s="8" t="s">
        <v>59</v>
      </c>
      <c r="I1483" s="18" t="s">
        <v>2567</v>
      </c>
      <c r="J1483" s="16">
        <v>64.0</v>
      </c>
      <c r="K1483" s="8" t="s">
        <v>283</v>
      </c>
      <c r="L1483" s="8" t="s">
        <v>427</v>
      </c>
      <c r="M1483" s="18" t="s">
        <v>2600</v>
      </c>
      <c r="N1483" s="16">
        <v>75.0</v>
      </c>
      <c r="O1483" s="8" t="s">
        <v>5418</v>
      </c>
      <c r="P1483" s="8" t="s">
        <v>186</v>
      </c>
      <c r="Q1483" s="14" t="s">
        <v>459</v>
      </c>
      <c r="R1483" s="8" t="s">
        <v>2592</v>
      </c>
      <c r="S1483" s="14" t="s">
        <v>2561</v>
      </c>
    </row>
    <row r="1484">
      <c r="A1484" s="8" t="s">
        <v>673</v>
      </c>
      <c r="B1484" s="8" t="s">
        <v>672</v>
      </c>
      <c r="C1484" s="8" t="s">
        <v>132</v>
      </c>
      <c r="D1484" s="18" t="s">
        <v>2183</v>
      </c>
      <c r="E1484" s="16">
        <v>73.0</v>
      </c>
      <c r="F1484" s="8" t="s">
        <v>942</v>
      </c>
      <c r="G1484" s="8" t="s">
        <v>941</v>
      </c>
      <c r="H1484" s="8" t="s">
        <v>138</v>
      </c>
      <c r="I1484" s="18" t="s">
        <v>2577</v>
      </c>
      <c r="J1484" s="16">
        <v>60.0</v>
      </c>
      <c r="K1484" s="8" t="s">
        <v>283</v>
      </c>
      <c r="L1484" s="8" t="s">
        <v>486</v>
      </c>
      <c r="M1484" s="18" t="s">
        <v>2621</v>
      </c>
      <c r="N1484" s="16">
        <v>84.0</v>
      </c>
      <c r="O1484" s="8" t="s">
        <v>5419</v>
      </c>
      <c r="P1484" s="8" t="s">
        <v>122</v>
      </c>
      <c r="Q1484" s="14" t="s">
        <v>459</v>
      </c>
      <c r="R1484" s="8" t="s">
        <v>2600</v>
      </c>
      <c r="S1484" s="14" t="s">
        <v>2588</v>
      </c>
    </row>
    <row r="1485">
      <c r="A1485" s="8" t="s">
        <v>3242</v>
      </c>
      <c r="B1485" s="8" t="s">
        <v>895</v>
      </c>
      <c r="C1485" s="8" t="s">
        <v>138</v>
      </c>
      <c r="D1485" s="18" t="s">
        <v>2587</v>
      </c>
      <c r="E1485" s="16">
        <v>66.0</v>
      </c>
      <c r="F1485" s="8" t="s">
        <v>507</v>
      </c>
      <c r="G1485" s="8" t="s">
        <v>506</v>
      </c>
      <c r="H1485" s="8" t="s">
        <v>59</v>
      </c>
      <c r="I1485" s="18" t="s">
        <v>2592</v>
      </c>
      <c r="J1485" s="16">
        <v>84.0</v>
      </c>
      <c r="K1485" s="8" t="s">
        <v>283</v>
      </c>
      <c r="L1485" s="8" t="s">
        <v>99</v>
      </c>
      <c r="M1485" s="18" t="s">
        <v>2585</v>
      </c>
      <c r="N1485" s="16">
        <v>73.0</v>
      </c>
      <c r="O1485" s="8" t="s">
        <v>5420</v>
      </c>
      <c r="P1485" s="8" t="s">
        <v>46</v>
      </c>
      <c r="Q1485" s="14" t="s">
        <v>1070</v>
      </c>
      <c r="R1485" s="8" t="s">
        <v>2567</v>
      </c>
      <c r="S1485" s="14" t="s">
        <v>2618</v>
      </c>
    </row>
    <row r="1486">
      <c r="A1486" s="8" t="s">
        <v>942</v>
      </c>
      <c r="B1486" s="8" t="s">
        <v>941</v>
      </c>
      <c r="C1486" s="8" t="s">
        <v>122</v>
      </c>
      <c r="D1486" s="18" t="s">
        <v>2577</v>
      </c>
      <c r="E1486" s="16">
        <v>60.0</v>
      </c>
      <c r="F1486" s="8" t="s">
        <v>524</v>
      </c>
      <c r="G1486" s="8" t="s">
        <v>62</v>
      </c>
      <c r="H1486" s="8" t="s">
        <v>138</v>
      </c>
      <c r="I1486" s="18" t="s">
        <v>2560</v>
      </c>
      <c r="J1486" s="16">
        <v>62.0</v>
      </c>
      <c r="K1486" s="8" t="s">
        <v>283</v>
      </c>
      <c r="L1486" s="8" t="s">
        <v>282</v>
      </c>
      <c r="M1486" s="18" t="s">
        <v>2564</v>
      </c>
      <c r="N1486" s="16">
        <v>86.0</v>
      </c>
      <c r="O1486" s="8" t="s">
        <v>5421</v>
      </c>
      <c r="P1486" s="8" t="s">
        <v>70</v>
      </c>
      <c r="Q1486" s="14" t="s">
        <v>837</v>
      </c>
      <c r="R1486" s="8" t="s">
        <v>2560</v>
      </c>
      <c r="S1486" s="14" t="s">
        <v>2559</v>
      </c>
    </row>
    <row r="1487">
      <c r="A1487" s="8" t="s">
        <v>507</v>
      </c>
      <c r="B1487" s="8" t="s">
        <v>506</v>
      </c>
      <c r="C1487" s="8" t="s">
        <v>59</v>
      </c>
      <c r="D1487" s="18" t="s">
        <v>2592</v>
      </c>
      <c r="E1487" s="16">
        <v>86.0</v>
      </c>
      <c r="F1487" s="8" t="s">
        <v>524</v>
      </c>
      <c r="G1487" s="8" t="s">
        <v>3384</v>
      </c>
      <c r="H1487" s="8" t="s">
        <v>215</v>
      </c>
      <c r="I1487" s="18" t="s">
        <v>2581</v>
      </c>
      <c r="J1487" s="16">
        <v>56.0</v>
      </c>
      <c r="K1487" s="8" t="s">
        <v>1386</v>
      </c>
      <c r="L1487" s="8" t="s">
        <v>106</v>
      </c>
      <c r="M1487" s="18" t="s">
        <v>2600</v>
      </c>
      <c r="N1487" s="16">
        <v>79.0</v>
      </c>
      <c r="O1487" s="8" t="s">
        <v>5422</v>
      </c>
      <c r="P1487" s="8" t="s">
        <v>24</v>
      </c>
      <c r="Q1487" s="14" t="s">
        <v>237</v>
      </c>
      <c r="R1487" s="8" t="s">
        <v>2587</v>
      </c>
      <c r="S1487" s="14" t="s">
        <v>2601</v>
      </c>
    </row>
    <row r="1488">
      <c r="A1488" s="8" t="s">
        <v>524</v>
      </c>
      <c r="B1488" s="8" t="s">
        <v>523</v>
      </c>
      <c r="C1488" s="8" t="s">
        <v>215</v>
      </c>
      <c r="D1488" s="18" t="s">
        <v>2575</v>
      </c>
      <c r="E1488" s="16">
        <v>71.0</v>
      </c>
      <c r="F1488" s="8" t="s">
        <v>524</v>
      </c>
      <c r="G1488" s="8" t="s">
        <v>3091</v>
      </c>
      <c r="H1488" s="8" t="s">
        <v>186</v>
      </c>
      <c r="I1488" s="18" t="s">
        <v>2581</v>
      </c>
      <c r="J1488" s="16">
        <v>80.0</v>
      </c>
      <c r="K1488" s="8" t="s">
        <v>1742</v>
      </c>
      <c r="L1488" s="8" t="s">
        <v>498</v>
      </c>
      <c r="M1488" s="18" t="s">
        <v>2614</v>
      </c>
      <c r="N1488" s="16">
        <v>70.0</v>
      </c>
      <c r="O1488" s="8" t="s">
        <v>5423</v>
      </c>
      <c r="P1488" s="8" t="s">
        <v>59</v>
      </c>
      <c r="Q1488" s="14" t="s">
        <v>2033</v>
      </c>
      <c r="R1488" s="8" t="s">
        <v>2614</v>
      </c>
      <c r="S1488" s="14" t="s">
        <v>2633</v>
      </c>
    </row>
    <row r="1489">
      <c r="A1489" s="8" t="s">
        <v>524</v>
      </c>
      <c r="B1489" s="8" t="s">
        <v>3384</v>
      </c>
      <c r="C1489" s="8" t="s">
        <v>215</v>
      </c>
      <c r="D1489" s="18" t="s">
        <v>2614</v>
      </c>
      <c r="E1489" s="16">
        <v>54.0</v>
      </c>
      <c r="F1489" s="8" t="s">
        <v>524</v>
      </c>
      <c r="G1489" s="8" t="s">
        <v>523</v>
      </c>
      <c r="H1489" s="8" t="s">
        <v>215</v>
      </c>
      <c r="I1489" s="18" t="s">
        <v>2600</v>
      </c>
      <c r="J1489" s="16">
        <v>75.0</v>
      </c>
      <c r="K1489" s="8" t="s">
        <v>549</v>
      </c>
      <c r="L1489" s="8" t="s">
        <v>2136</v>
      </c>
      <c r="M1489" s="18" t="s">
        <v>2567</v>
      </c>
      <c r="N1489" s="16">
        <v>76.0</v>
      </c>
      <c r="O1489" s="8" t="s">
        <v>5424</v>
      </c>
      <c r="P1489" s="8" t="s">
        <v>93</v>
      </c>
      <c r="Q1489" s="14" t="s">
        <v>1352</v>
      </c>
      <c r="R1489" s="8" t="s">
        <v>2615</v>
      </c>
      <c r="S1489" s="14" t="s">
        <v>2563</v>
      </c>
    </row>
    <row r="1490">
      <c r="A1490" s="8" t="s">
        <v>524</v>
      </c>
      <c r="B1490" s="8" t="s">
        <v>3091</v>
      </c>
      <c r="C1490" s="8" t="s">
        <v>186</v>
      </c>
      <c r="D1490" s="18" t="s">
        <v>2577</v>
      </c>
      <c r="E1490" s="16">
        <v>78.0</v>
      </c>
      <c r="F1490" s="8" t="s">
        <v>5363</v>
      </c>
      <c r="G1490" s="8" t="s">
        <v>90</v>
      </c>
      <c r="H1490" s="8" t="s">
        <v>46</v>
      </c>
      <c r="I1490" s="18" t="s">
        <v>2567</v>
      </c>
      <c r="J1490" s="16">
        <v>66.0</v>
      </c>
      <c r="K1490" s="8" t="s">
        <v>549</v>
      </c>
      <c r="L1490" s="8" t="s">
        <v>2935</v>
      </c>
      <c r="M1490" s="18" t="s">
        <v>2603</v>
      </c>
      <c r="N1490" s="16">
        <v>76.0</v>
      </c>
      <c r="O1490" s="8" t="s">
        <v>5425</v>
      </c>
      <c r="P1490" s="8" t="s">
        <v>141</v>
      </c>
      <c r="Q1490" s="14" t="s">
        <v>1352</v>
      </c>
      <c r="R1490" s="8" t="s">
        <v>2554</v>
      </c>
      <c r="S1490" s="14" t="s">
        <v>2617</v>
      </c>
    </row>
    <row r="1491">
      <c r="A1491" s="8" t="s">
        <v>5363</v>
      </c>
      <c r="B1491" s="8" t="s">
        <v>90</v>
      </c>
      <c r="C1491" s="8" t="s">
        <v>46</v>
      </c>
      <c r="D1491" s="18" t="s">
        <v>2567</v>
      </c>
      <c r="E1491" s="16">
        <v>69.0</v>
      </c>
      <c r="F1491" s="8" t="s">
        <v>5365</v>
      </c>
      <c r="G1491" s="8" t="s">
        <v>646</v>
      </c>
      <c r="H1491" s="8" t="s">
        <v>70</v>
      </c>
      <c r="I1491" s="18" t="s">
        <v>2577</v>
      </c>
      <c r="J1491" s="16">
        <v>97.0</v>
      </c>
      <c r="K1491" s="8" t="s">
        <v>549</v>
      </c>
      <c r="L1491" s="8" t="s">
        <v>946</v>
      </c>
      <c r="M1491" s="18" t="s">
        <v>2610</v>
      </c>
      <c r="N1491" s="16">
        <v>68.0</v>
      </c>
      <c r="O1491" s="8" t="s">
        <v>5426</v>
      </c>
      <c r="P1491" s="8" t="s">
        <v>53</v>
      </c>
      <c r="Q1491" s="14" t="s">
        <v>2033</v>
      </c>
      <c r="R1491" s="8" t="s">
        <v>2584</v>
      </c>
      <c r="S1491" s="14" t="s">
        <v>2557</v>
      </c>
    </row>
    <row r="1492">
      <c r="A1492" s="8" t="s">
        <v>5365</v>
      </c>
      <c r="B1492" s="8" t="s">
        <v>646</v>
      </c>
      <c r="C1492" s="8" t="s">
        <v>70</v>
      </c>
      <c r="D1492" s="18" t="s">
        <v>2577</v>
      </c>
      <c r="E1492" s="16">
        <v>94.0</v>
      </c>
      <c r="F1492" s="8" t="s">
        <v>42</v>
      </c>
      <c r="G1492" s="8" t="s">
        <v>99</v>
      </c>
      <c r="H1492" s="8" t="s">
        <v>24</v>
      </c>
      <c r="I1492" s="18" t="s">
        <v>2556</v>
      </c>
      <c r="J1492" s="16">
        <v>74.0</v>
      </c>
      <c r="K1492" s="8" t="s">
        <v>549</v>
      </c>
      <c r="L1492" s="8" t="s">
        <v>208</v>
      </c>
      <c r="M1492" s="18" t="s">
        <v>2584</v>
      </c>
      <c r="N1492" s="16">
        <v>82.0</v>
      </c>
      <c r="O1492" s="8" t="s">
        <v>5427</v>
      </c>
      <c r="P1492" s="8" t="s">
        <v>59</v>
      </c>
      <c r="Q1492" s="14" t="s">
        <v>1070</v>
      </c>
      <c r="R1492" s="8" t="s">
        <v>2605</v>
      </c>
      <c r="S1492" s="14" t="s">
        <v>2590</v>
      </c>
    </row>
    <row r="1493">
      <c r="A1493" s="8" t="s">
        <v>42</v>
      </c>
      <c r="B1493" s="8" t="s">
        <v>99</v>
      </c>
      <c r="C1493" s="8" t="s">
        <v>24</v>
      </c>
      <c r="D1493" s="18" t="s">
        <v>2556</v>
      </c>
      <c r="E1493" s="16">
        <v>75.0</v>
      </c>
      <c r="F1493" s="8" t="s">
        <v>2690</v>
      </c>
      <c r="G1493" s="8" t="s">
        <v>2689</v>
      </c>
      <c r="H1493" s="8" t="s">
        <v>70</v>
      </c>
      <c r="I1493" s="18" t="s">
        <v>2564</v>
      </c>
      <c r="J1493" s="16">
        <v>85.0</v>
      </c>
      <c r="K1493" s="8" t="s">
        <v>3088</v>
      </c>
      <c r="L1493" s="8" t="s">
        <v>5428</v>
      </c>
      <c r="M1493" s="18" t="s">
        <v>2595</v>
      </c>
      <c r="N1493" s="16">
        <v>80.0</v>
      </c>
      <c r="O1493" s="8" t="s">
        <v>5429</v>
      </c>
      <c r="P1493" s="8" t="s">
        <v>70</v>
      </c>
      <c r="Q1493" s="14" t="s">
        <v>1679</v>
      </c>
      <c r="R1493" s="8" t="s">
        <v>2584</v>
      </c>
      <c r="S1493" s="14" t="s">
        <v>2599</v>
      </c>
    </row>
    <row r="1494">
      <c r="A1494" s="8" t="s">
        <v>2690</v>
      </c>
      <c r="B1494" s="8" t="s">
        <v>2689</v>
      </c>
      <c r="C1494" s="8" t="s">
        <v>70</v>
      </c>
      <c r="D1494" s="18" t="s">
        <v>2600</v>
      </c>
      <c r="E1494" s="16">
        <v>81.0</v>
      </c>
      <c r="F1494" s="8" t="s">
        <v>2151</v>
      </c>
      <c r="G1494" s="8" t="s">
        <v>2943</v>
      </c>
      <c r="H1494" s="8" t="s">
        <v>192</v>
      </c>
      <c r="I1494" s="18" t="s">
        <v>2183</v>
      </c>
      <c r="J1494" s="16">
        <v>61.0</v>
      </c>
      <c r="K1494" s="8" t="s">
        <v>95</v>
      </c>
      <c r="L1494" s="8" t="s">
        <v>94</v>
      </c>
      <c r="M1494" s="18" t="s">
        <v>2558</v>
      </c>
      <c r="N1494" s="16">
        <v>78.0</v>
      </c>
      <c r="O1494" s="8" t="s">
        <v>5430</v>
      </c>
      <c r="P1494" s="8" t="s">
        <v>46</v>
      </c>
      <c r="Q1494" s="14" t="s">
        <v>1070</v>
      </c>
      <c r="R1494" s="8" t="s">
        <v>2584</v>
      </c>
      <c r="S1494" s="14" t="s">
        <v>2617</v>
      </c>
    </row>
    <row r="1495">
      <c r="A1495" s="8" t="s">
        <v>3613</v>
      </c>
      <c r="B1495" s="8" t="s">
        <v>3612</v>
      </c>
      <c r="C1495" s="8" t="s">
        <v>215</v>
      </c>
      <c r="D1495" s="18" t="s">
        <v>2587</v>
      </c>
      <c r="E1495" s="16">
        <v>68.0</v>
      </c>
      <c r="F1495" s="8" t="s">
        <v>2151</v>
      </c>
      <c r="G1495" s="8" t="s">
        <v>2937</v>
      </c>
      <c r="H1495" s="8" t="s">
        <v>93</v>
      </c>
      <c r="I1495" s="18" t="s">
        <v>2614</v>
      </c>
      <c r="J1495" s="16">
        <v>70.0</v>
      </c>
      <c r="K1495" s="8" t="s">
        <v>505</v>
      </c>
      <c r="L1495" s="8" t="s">
        <v>504</v>
      </c>
      <c r="M1495" s="18" t="s">
        <v>2584</v>
      </c>
      <c r="N1495" s="16">
        <v>80.0</v>
      </c>
      <c r="O1495" s="8" t="s">
        <v>5431</v>
      </c>
      <c r="P1495" s="8" t="s">
        <v>138</v>
      </c>
      <c r="Q1495" s="14" t="s">
        <v>1352</v>
      </c>
      <c r="R1495" s="8" t="s">
        <v>2560</v>
      </c>
      <c r="S1495" s="14" t="s">
        <v>2611</v>
      </c>
    </row>
    <row r="1496">
      <c r="A1496" s="8" t="s">
        <v>3736</v>
      </c>
      <c r="B1496" s="8" t="s">
        <v>3735</v>
      </c>
      <c r="C1496" s="8" t="s">
        <v>149</v>
      </c>
      <c r="D1496" s="18" t="s">
        <v>2603</v>
      </c>
      <c r="E1496" s="16">
        <v>63.0</v>
      </c>
      <c r="F1496" s="8" t="s">
        <v>1172</v>
      </c>
      <c r="G1496" s="8" t="s">
        <v>78</v>
      </c>
      <c r="H1496" s="8" t="s">
        <v>138</v>
      </c>
      <c r="I1496" s="18" t="s">
        <v>2560</v>
      </c>
      <c r="J1496" s="16">
        <v>85.0</v>
      </c>
      <c r="K1496" s="8" t="s">
        <v>505</v>
      </c>
      <c r="L1496" s="8" t="s">
        <v>1687</v>
      </c>
      <c r="M1496" s="18" t="s">
        <v>2556</v>
      </c>
      <c r="N1496" s="16">
        <v>70.0</v>
      </c>
      <c r="O1496" s="8" t="s">
        <v>5432</v>
      </c>
      <c r="P1496" s="8" t="s">
        <v>215</v>
      </c>
      <c r="Q1496" s="14" t="s">
        <v>459</v>
      </c>
      <c r="R1496" s="8" t="s">
        <v>2584</v>
      </c>
      <c r="S1496" s="14" t="s">
        <v>2563</v>
      </c>
    </row>
    <row r="1497">
      <c r="A1497" s="8" t="s">
        <v>3761</v>
      </c>
      <c r="B1497" s="8" t="s">
        <v>3760</v>
      </c>
      <c r="C1497" s="8" t="s">
        <v>93</v>
      </c>
      <c r="D1497" s="18" t="s">
        <v>2564</v>
      </c>
      <c r="E1497" s="16">
        <v>73.0</v>
      </c>
      <c r="F1497" s="8" t="s">
        <v>1172</v>
      </c>
      <c r="G1497" s="8" t="s">
        <v>1794</v>
      </c>
      <c r="H1497" s="8" t="s">
        <v>70</v>
      </c>
      <c r="I1497" s="18" t="s">
        <v>2584</v>
      </c>
      <c r="J1497" s="16">
        <v>81.0</v>
      </c>
      <c r="K1497" s="8" t="s">
        <v>505</v>
      </c>
      <c r="L1497" s="8" t="s">
        <v>89</v>
      </c>
      <c r="M1497" s="18" t="s">
        <v>2585</v>
      </c>
      <c r="N1497" s="16">
        <v>65.0</v>
      </c>
      <c r="O1497" s="8" t="s">
        <v>5433</v>
      </c>
      <c r="P1497" s="8" t="s">
        <v>70</v>
      </c>
      <c r="Q1497" s="14" t="s">
        <v>237</v>
      </c>
      <c r="R1497" s="8" t="s">
        <v>2587</v>
      </c>
      <c r="S1497" s="14" t="s">
        <v>2588</v>
      </c>
    </row>
    <row r="1498">
      <c r="A1498" s="8" t="s">
        <v>2151</v>
      </c>
      <c r="B1498" s="8" t="s">
        <v>2937</v>
      </c>
      <c r="C1498" s="8" t="s">
        <v>93</v>
      </c>
      <c r="D1498" s="18" t="s">
        <v>2566</v>
      </c>
      <c r="E1498" s="16">
        <v>71.0</v>
      </c>
      <c r="F1498" s="8" t="s">
        <v>1172</v>
      </c>
      <c r="G1498" s="8" t="s">
        <v>1336</v>
      </c>
      <c r="H1498" s="8" t="s">
        <v>46</v>
      </c>
      <c r="I1498" s="18" t="s">
        <v>2592</v>
      </c>
      <c r="J1498" s="16">
        <v>63.0</v>
      </c>
      <c r="K1498" s="8" t="s">
        <v>247</v>
      </c>
      <c r="L1498" s="8" t="s">
        <v>389</v>
      </c>
      <c r="M1498" s="18" t="s">
        <v>2603</v>
      </c>
      <c r="N1498" s="16">
        <v>69.0</v>
      </c>
      <c r="O1498" s="8" t="s">
        <v>5434</v>
      </c>
      <c r="P1498" s="8" t="s">
        <v>93</v>
      </c>
      <c r="Q1498" s="14" t="s">
        <v>1352</v>
      </c>
      <c r="R1498" s="8" t="s">
        <v>2621</v>
      </c>
      <c r="S1498" s="14" t="s">
        <v>2591</v>
      </c>
    </row>
    <row r="1499">
      <c r="A1499" s="8" t="s">
        <v>2151</v>
      </c>
      <c r="B1499" s="8" t="s">
        <v>3788</v>
      </c>
      <c r="C1499" s="8" t="s">
        <v>122</v>
      </c>
      <c r="D1499" s="18" t="s">
        <v>2556</v>
      </c>
      <c r="E1499" s="16">
        <v>60.0</v>
      </c>
      <c r="F1499" s="8" t="s">
        <v>1172</v>
      </c>
      <c r="G1499" s="8" t="s">
        <v>389</v>
      </c>
      <c r="H1499" s="8" t="s">
        <v>93</v>
      </c>
      <c r="I1499" s="18" t="s">
        <v>2587</v>
      </c>
      <c r="J1499" s="16">
        <v>71.0</v>
      </c>
      <c r="K1499" s="8" t="s">
        <v>247</v>
      </c>
      <c r="L1499" s="8" t="s">
        <v>609</v>
      </c>
      <c r="M1499" s="18" t="s">
        <v>2577</v>
      </c>
      <c r="N1499" s="16">
        <v>63.0</v>
      </c>
      <c r="O1499" s="8" t="s">
        <v>5435</v>
      </c>
      <c r="P1499" s="8" t="s">
        <v>93</v>
      </c>
      <c r="Q1499" s="14" t="s">
        <v>1679</v>
      </c>
      <c r="R1499" s="8" t="s">
        <v>2587</v>
      </c>
      <c r="S1499" s="14" t="s">
        <v>2553</v>
      </c>
    </row>
    <row r="1500">
      <c r="A1500" s="8" t="s">
        <v>1172</v>
      </c>
      <c r="B1500" s="8" t="s">
        <v>510</v>
      </c>
      <c r="C1500" s="8" t="s">
        <v>59</v>
      </c>
      <c r="D1500" s="18" t="s">
        <v>2605</v>
      </c>
      <c r="E1500" s="16">
        <v>76.0</v>
      </c>
      <c r="F1500" s="8" t="s">
        <v>1172</v>
      </c>
      <c r="G1500" s="8" t="s">
        <v>510</v>
      </c>
      <c r="H1500" s="8" t="s">
        <v>53</v>
      </c>
      <c r="I1500" s="18" t="s">
        <v>2605</v>
      </c>
      <c r="J1500" s="16">
        <v>77.0</v>
      </c>
      <c r="K1500" s="8" t="s">
        <v>247</v>
      </c>
      <c r="L1500" s="8" t="s">
        <v>2807</v>
      </c>
      <c r="M1500" s="18" t="s">
        <v>2556</v>
      </c>
      <c r="N1500" s="16">
        <v>78.0</v>
      </c>
      <c r="O1500" s="8" t="s">
        <v>5436</v>
      </c>
      <c r="P1500" s="8" t="s">
        <v>24</v>
      </c>
      <c r="Q1500" s="14" t="s">
        <v>631</v>
      </c>
      <c r="R1500" s="8" t="s">
        <v>2585</v>
      </c>
      <c r="S1500" s="14" t="s">
        <v>2573</v>
      </c>
    </row>
    <row r="1501">
      <c r="A1501" s="8" t="s">
        <v>1172</v>
      </c>
      <c r="B1501" s="8" t="s">
        <v>3669</v>
      </c>
      <c r="C1501" s="8" t="s">
        <v>65</v>
      </c>
      <c r="D1501" s="18" t="s">
        <v>2587</v>
      </c>
      <c r="E1501" s="16">
        <v>70.0</v>
      </c>
      <c r="F1501" s="8" t="s">
        <v>2721</v>
      </c>
      <c r="G1501" s="8" t="s">
        <v>2720</v>
      </c>
      <c r="H1501" s="8" t="s">
        <v>65</v>
      </c>
      <c r="I1501" s="18" t="s">
        <v>2581</v>
      </c>
      <c r="J1501" s="16">
        <v>69.0</v>
      </c>
      <c r="K1501" s="8" t="s">
        <v>247</v>
      </c>
      <c r="L1501" s="8" t="s">
        <v>44</v>
      </c>
      <c r="M1501" s="18" t="s">
        <v>2593</v>
      </c>
      <c r="N1501" s="16">
        <v>85.0</v>
      </c>
      <c r="O1501" s="8" t="s">
        <v>5437</v>
      </c>
      <c r="P1501" s="8" t="s">
        <v>65</v>
      </c>
      <c r="Q1501" s="14" t="s">
        <v>2459</v>
      </c>
      <c r="R1501" s="8" t="s">
        <v>2595</v>
      </c>
      <c r="S1501" s="14" t="s">
        <v>2583</v>
      </c>
    </row>
    <row r="1502">
      <c r="A1502" s="8" t="s">
        <v>1172</v>
      </c>
      <c r="B1502" s="8" t="s">
        <v>389</v>
      </c>
      <c r="C1502" s="8" t="s">
        <v>93</v>
      </c>
      <c r="D1502" s="18" t="s">
        <v>2574</v>
      </c>
      <c r="E1502" s="16">
        <v>71.0</v>
      </c>
      <c r="F1502" s="8" t="s">
        <v>580</v>
      </c>
      <c r="G1502" s="8" t="s">
        <v>579</v>
      </c>
      <c r="H1502" s="8" t="s">
        <v>59</v>
      </c>
      <c r="I1502" s="18" t="s">
        <v>2584</v>
      </c>
      <c r="J1502" s="16">
        <v>72.0</v>
      </c>
      <c r="K1502" s="8" t="s">
        <v>247</v>
      </c>
      <c r="L1502" s="8" t="s">
        <v>2833</v>
      </c>
      <c r="M1502" s="18" t="s">
        <v>2562</v>
      </c>
      <c r="N1502" s="16">
        <v>62.0</v>
      </c>
      <c r="O1502" s="8" t="s">
        <v>5438</v>
      </c>
      <c r="P1502" s="8" t="s">
        <v>93</v>
      </c>
      <c r="Q1502" s="14" t="s">
        <v>2033</v>
      </c>
      <c r="R1502" s="8" t="s">
        <v>2620</v>
      </c>
      <c r="S1502" s="14" t="s">
        <v>2612</v>
      </c>
    </row>
    <row r="1503">
      <c r="A1503" s="8" t="s">
        <v>1172</v>
      </c>
      <c r="B1503" s="8" t="s">
        <v>78</v>
      </c>
      <c r="C1503" s="8" t="s">
        <v>215</v>
      </c>
      <c r="D1503" s="18" t="s">
        <v>2560</v>
      </c>
      <c r="E1503" s="16">
        <v>81.0</v>
      </c>
      <c r="F1503" s="8" t="s">
        <v>295</v>
      </c>
      <c r="G1503" s="8" t="s">
        <v>218</v>
      </c>
      <c r="H1503" s="8" t="s">
        <v>70</v>
      </c>
      <c r="I1503" s="18" t="s">
        <v>2587</v>
      </c>
      <c r="J1503" s="16">
        <v>92.0</v>
      </c>
      <c r="K1503" s="8" t="s">
        <v>247</v>
      </c>
      <c r="L1503" s="8" t="s">
        <v>766</v>
      </c>
      <c r="M1503" s="18" t="s">
        <v>2587</v>
      </c>
      <c r="N1503" s="16">
        <v>67.0</v>
      </c>
      <c r="O1503" s="8" t="s">
        <v>5439</v>
      </c>
      <c r="P1503" s="8" t="s">
        <v>122</v>
      </c>
      <c r="Q1503" s="14" t="s">
        <v>338</v>
      </c>
      <c r="R1503" s="8" t="s">
        <v>2552</v>
      </c>
      <c r="S1503" s="14" t="s">
        <v>2633</v>
      </c>
    </row>
    <row r="1504">
      <c r="A1504" s="8" t="s">
        <v>2721</v>
      </c>
      <c r="B1504" s="8" t="s">
        <v>2720</v>
      </c>
      <c r="C1504" s="8" t="s">
        <v>65</v>
      </c>
      <c r="D1504" s="18" t="s">
        <v>2581</v>
      </c>
      <c r="E1504" s="16">
        <v>70.0</v>
      </c>
      <c r="F1504" s="8" t="s">
        <v>1620</v>
      </c>
      <c r="G1504" s="8" t="s">
        <v>1619</v>
      </c>
      <c r="H1504" s="8" t="s">
        <v>93</v>
      </c>
      <c r="I1504" s="18" t="s">
        <v>2621</v>
      </c>
      <c r="J1504" s="16">
        <v>68.0</v>
      </c>
      <c r="K1504" s="8" t="s">
        <v>247</v>
      </c>
      <c r="L1504" s="8" t="s">
        <v>3060</v>
      </c>
      <c r="M1504" s="18" t="s">
        <v>2603</v>
      </c>
      <c r="N1504" s="16">
        <v>70.0</v>
      </c>
      <c r="O1504" s="8" t="s">
        <v>5440</v>
      </c>
      <c r="P1504" s="8" t="s">
        <v>38</v>
      </c>
      <c r="Q1504" s="14" t="s">
        <v>1679</v>
      </c>
      <c r="R1504" s="8" t="s">
        <v>2584</v>
      </c>
      <c r="S1504" s="14" t="s">
        <v>2591</v>
      </c>
    </row>
    <row r="1505">
      <c r="A1505" s="8" t="s">
        <v>580</v>
      </c>
      <c r="B1505" s="8" t="s">
        <v>579</v>
      </c>
      <c r="C1505" s="8" t="s">
        <v>59</v>
      </c>
      <c r="D1505" s="18" t="s">
        <v>2558</v>
      </c>
      <c r="E1505" s="16">
        <v>71.0</v>
      </c>
      <c r="F1505" s="8" t="s">
        <v>3289</v>
      </c>
      <c r="G1505" s="8" t="s">
        <v>3288</v>
      </c>
      <c r="H1505" s="8" t="s">
        <v>122</v>
      </c>
      <c r="I1505" s="18" t="s">
        <v>2558</v>
      </c>
      <c r="J1505" s="16">
        <v>74.0</v>
      </c>
      <c r="K1505" s="8" t="s">
        <v>247</v>
      </c>
      <c r="L1505" s="8" t="s">
        <v>2742</v>
      </c>
      <c r="M1505" s="18" t="s">
        <v>2605</v>
      </c>
      <c r="N1505" s="16">
        <v>73.0</v>
      </c>
      <c r="O1505" s="8" t="s">
        <v>5441</v>
      </c>
      <c r="P1505" s="8" t="s">
        <v>24</v>
      </c>
      <c r="Q1505" s="14" t="s">
        <v>189</v>
      </c>
      <c r="R1505" s="8" t="s">
        <v>2598</v>
      </c>
      <c r="S1505" s="14" t="s">
        <v>2591</v>
      </c>
    </row>
    <row r="1506">
      <c r="A1506" s="8" t="s">
        <v>295</v>
      </c>
      <c r="B1506" s="8" t="s">
        <v>218</v>
      </c>
      <c r="C1506" s="8" t="s">
        <v>70</v>
      </c>
      <c r="D1506" s="18" t="s">
        <v>2587</v>
      </c>
      <c r="E1506" s="16">
        <v>86.0</v>
      </c>
      <c r="F1506" s="8" t="s">
        <v>211</v>
      </c>
      <c r="G1506" s="8" t="s">
        <v>812</v>
      </c>
      <c r="H1506" s="8" t="s">
        <v>24</v>
      </c>
      <c r="I1506" s="18" t="s">
        <v>2598</v>
      </c>
      <c r="J1506" s="16">
        <v>70.0</v>
      </c>
      <c r="K1506" s="8" t="s">
        <v>247</v>
      </c>
      <c r="L1506" s="8" t="s">
        <v>3019</v>
      </c>
      <c r="M1506" s="18" t="s">
        <v>2620</v>
      </c>
      <c r="N1506" s="16">
        <v>62.0</v>
      </c>
      <c r="O1506" s="8" t="s">
        <v>5442</v>
      </c>
      <c r="P1506" s="8" t="s">
        <v>93</v>
      </c>
      <c r="Q1506" s="14" t="s">
        <v>631</v>
      </c>
      <c r="R1506" s="8" t="s">
        <v>2621</v>
      </c>
      <c r="S1506" s="14" t="s">
        <v>2588</v>
      </c>
    </row>
    <row r="1507">
      <c r="A1507" s="8" t="s">
        <v>1620</v>
      </c>
      <c r="B1507" s="8" t="s">
        <v>1619</v>
      </c>
      <c r="C1507" s="8" t="s">
        <v>93</v>
      </c>
      <c r="D1507" s="18" t="s">
        <v>2621</v>
      </c>
      <c r="E1507" s="16">
        <v>64.0</v>
      </c>
      <c r="F1507" s="8" t="s">
        <v>94</v>
      </c>
      <c r="G1507" s="8" t="s">
        <v>1036</v>
      </c>
      <c r="H1507" s="8" t="s">
        <v>138</v>
      </c>
      <c r="I1507" s="18" t="s">
        <v>2614</v>
      </c>
      <c r="J1507" s="16">
        <v>63.0</v>
      </c>
      <c r="K1507" s="8" t="s">
        <v>247</v>
      </c>
      <c r="L1507" s="8" t="s">
        <v>396</v>
      </c>
      <c r="M1507" s="18" t="s">
        <v>2614</v>
      </c>
      <c r="N1507" s="16">
        <v>68.0</v>
      </c>
      <c r="O1507" s="8" t="s">
        <v>5443</v>
      </c>
      <c r="P1507" s="8" t="s">
        <v>24</v>
      </c>
      <c r="Q1507" s="14" t="s">
        <v>631</v>
      </c>
      <c r="R1507" s="8" t="s">
        <v>2554</v>
      </c>
      <c r="S1507" s="14" t="s">
        <v>2622</v>
      </c>
    </row>
    <row r="1508">
      <c r="A1508" s="8" t="s">
        <v>3289</v>
      </c>
      <c r="B1508" s="8" t="s">
        <v>3288</v>
      </c>
      <c r="C1508" s="8" t="s">
        <v>122</v>
      </c>
      <c r="D1508" s="18" t="s">
        <v>2558</v>
      </c>
      <c r="E1508" s="16">
        <v>73.0</v>
      </c>
      <c r="F1508" s="8" t="s">
        <v>391</v>
      </c>
      <c r="G1508" s="8" t="s">
        <v>91</v>
      </c>
      <c r="H1508" s="8" t="s">
        <v>122</v>
      </c>
      <c r="I1508" s="18" t="s">
        <v>2552</v>
      </c>
      <c r="J1508" s="16">
        <v>86.0</v>
      </c>
      <c r="K1508" s="8" t="s">
        <v>247</v>
      </c>
      <c r="L1508" s="8" t="s">
        <v>313</v>
      </c>
      <c r="M1508" s="18" t="s">
        <v>2552</v>
      </c>
      <c r="N1508" s="16">
        <v>67.0</v>
      </c>
      <c r="O1508" s="8" t="s">
        <v>5444</v>
      </c>
      <c r="P1508" s="8" t="s">
        <v>16</v>
      </c>
      <c r="Q1508" s="14" t="s">
        <v>1679</v>
      </c>
      <c r="R1508" s="8" t="s">
        <v>2621</v>
      </c>
      <c r="S1508" s="14" t="s">
        <v>2624</v>
      </c>
    </row>
    <row r="1509">
      <c r="A1509" s="8" t="s">
        <v>211</v>
      </c>
      <c r="B1509" s="8" t="s">
        <v>812</v>
      </c>
      <c r="C1509" s="8" t="s">
        <v>24</v>
      </c>
      <c r="D1509" s="18" t="s">
        <v>2598</v>
      </c>
      <c r="E1509" s="16">
        <v>71.0</v>
      </c>
      <c r="F1509" s="8" t="s">
        <v>222</v>
      </c>
      <c r="G1509" s="8" t="s">
        <v>62</v>
      </c>
      <c r="H1509" s="8" t="s">
        <v>24</v>
      </c>
      <c r="I1509" s="18" t="s">
        <v>2587</v>
      </c>
      <c r="J1509" s="16">
        <v>60.0</v>
      </c>
      <c r="K1509" s="8" t="s">
        <v>247</v>
      </c>
      <c r="L1509" s="8" t="s">
        <v>1246</v>
      </c>
      <c r="M1509" s="18" t="s">
        <v>2560</v>
      </c>
      <c r="N1509" s="16">
        <v>75.0</v>
      </c>
      <c r="O1509" s="8" t="s">
        <v>5445</v>
      </c>
      <c r="P1509" s="8" t="s">
        <v>93</v>
      </c>
      <c r="Q1509" s="14" t="s">
        <v>2033</v>
      </c>
      <c r="R1509" s="8" t="s">
        <v>2562</v>
      </c>
      <c r="S1509" s="14" t="s">
        <v>2622</v>
      </c>
    </row>
    <row r="1510">
      <c r="A1510" s="8" t="s">
        <v>391</v>
      </c>
      <c r="B1510" s="8" t="s">
        <v>91</v>
      </c>
      <c r="C1510" s="8" t="s">
        <v>122</v>
      </c>
      <c r="D1510" s="18" t="s">
        <v>2552</v>
      </c>
      <c r="E1510" s="16">
        <v>89.0</v>
      </c>
      <c r="F1510" s="8" t="s">
        <v>222</v>
      </c>
      <c r="G1510" s="8" t="s">
        <v>221</v>
      </c>
      <c r="H1510" s="8" t="s">
        <v>24</v>
      </c>
      <c r="I1510" s="18" t="s">
        <v>2585</v>
      </c>
      <c r="J1510" s="16">
        <v>70.0</v>
      </c>
      <c r="K1510" s="8" t="s">
        <v>247</v>
      </c>
      <c r="L1510" s="8" t="s">
        <v>246</v>
      </c>
      <c r="M1510" s="18" t="s">
        <v>2600</v>
      </c>
      <c r="N1510" s="16">
        <v>82.0</v>
      </c>
      <c r="O1510" s="8" t="s">
        <v>5446</v>
      </c>
      <c r="P1510" s="8" t="s">
        <v>59</v>
      </c>
      <c r="Q1510" s="14" t="s">
        <v>60</v>
      </c>
      <c r="R1510" s="8" t="s">
        <v>2587</v>
      </c>
      <c r="S1510" s="14" t="s">
        <v>2588</v>
      </c>
    </row>
    <row r="1511">
      <c r="A1511" s="8" t="s">
        <v>222</v>
      </c>
      <c r="B1511" s="8" t="s">
        <v>221</v>
      </c>
      <c r="C1511" s="8" t="s">
        <v>24</v>
      </c>
      <c r="D1511" s="18" t="s">
        <v>2582</v>
      </c>
      <c r="E1511" s="16">
        <v>70.0</v>
      </c>
      <c r="F1511" s="8" t="s">
        <v>222</v>
      </c>
      <c r="G1511" s="8" t="s">
        <v>67</v>
      </c>
      <c r="H1511" s="8" t="s">
        <v>93</v>
      </c>
      <c r="I1511" s="18" t="s">
        <v>2621</v>
      </c>
      <c r="J1511" s="16">
        <v>86.0</v>
      </c>
      <c r="K1511" s="8" t="s">
        <v>247</v>
      </c>
      <c r="L1511" s="8" t="s">
        <v>1864</v>
      </c>
      <c r="M1511" s="18" t="s">
        <v>2183</v>
      </c>
      <c r="N1511" s="16">
        <v>65.0</v>
      </c>
      <c r="O1511" s="8" t="s">
        <v>5447</v>
      </c>
      <c r="P1511" s="8" t="s">
        <v>53</v>
      </c>
      <c r="Q1511" s="14" t="s">
        <v>2033</v>
      </c>
      <c r="R1511" s="8" t="s">
        <v>2566</v>
      </c>
      <c r="S1511" s="14" t="s">
        <v>2573</v>
      </c>
    </row>
    <row r="1512">
      <c r="A1512" s="8" t="s">
        <v>222</v>
      </c>
      <c r="B1512" s="8" t="s">
        <v>67</v>
      </c>
      <c r="C1512" s="8" t="s">
        <v>93</v>
      </c>
      <c r="D1512" s="18" t="s">
        <v>2600</v>
      </c>
      <c r="E1512" s="16">
        <v>84.0</v>
      </c>
      <c r="F1512" s="8" t="s">
        <v>2155</v>
      </c>
      <c r="G1512" s="8" t="s">
        <v>2040</v>
      </c>
      <c r="H1512" s="8" t="s">
        <v>80</v>
      </c>
      <c r="I1512" s="18" t="s">
        <v>2562</v>
      </c>
      <c r="J1512" s="16">
        <v>67.0</v>
      </c>
      <c r="K1512" s="8" t="s">
        <v>247</v>
      </c>
      <c r="L1512" s="8" t="s">
        <v>267</v>
      </c>
      <c r="M1512" s="18" t="s">
        <v>2577</v>
      </c>
      <c r="N1512" s="16">
        <v>85.0</v>
      </c>
      <c r="O1512" s="8" t="s">
        <v>5448</v>
      </c>
      <c r="P1512" s="8" t="s">
        <v>93</v>
      </c>
      <c r="Q1512" s="14" t="s">
        <v>1352</v>
      </c>
      <c r="R1512" s="8" t="s">
        <v>2574</v>
      </c>
      <c r="S1512" s="14" t="s">
        <v>2583</v>
      </c>
    </row>
    <row r="1513">
      <c r="A1513" s="8" t="s">
        <v>2155</v>
      </c>
      <c r="B1513" s="8" t="s">
        <v>2040</v>
      </c>
      <c r="C1513" s="8" t="s">
        <v>80</v>
      </c>
      <c r="D1513" s="18" t="s">
        <v>2562</v>
      </c>
      <c r="E1513" s="16">
        <v>68.0</v>
      </c>
      <c r="F1513" s="8" t="s">
        <v>58</v>
      </c>
      <c r="G1513" s="8" t="s">
        <v>2925</v>
      </c>
      <c r="H1513" s="8" t="s">
        <v>59</v>
      </c>
      <c r="I1513" s="18" t="s">
        <v>2560</v>
      </c>
      <c r="J1513" s="16">
        <v>72.0</v>
      </c>
      <c r="K1513" s="8" t="s">
        <v>247</v>
      </c>
      <c r="L1513" s="8" t="s">
        <v>78</v>
      </c>
      <c r="M1513" s="18" t="s">
        <v>2595</v>
      </c>
      <c r="N1513" s="16">
        <v>81.0</v>
      </c>
      <c r="O1513" s="8" t="s">
        <v>5449</v>
      </c>
      <c r="P1513" s="8" t="s">
        <v>132</v>
      </c>
      <c r="Q1513" s="14" t="s">
        <v>1070</v>
      </c>
      <c r="R1513" s="8" t="s">
        <v>2558</v>
      </c>
      <c r="S1513" s="14" t="s">
        <v>2570</v>
      </c>
    </row>
    <row r="1514">
      <c r="A1514" s="8" t="s">
        <v>58</v>
      </c>
      <c r="B1514" s="8" t="s">
        <v>57</v>
      </c>
      <c r="C1514" s="8" t="s">
        <v>53</v>
      </c>
      <c r="D1514" s="18" t="s">
        <v>2587</v>
      </c>
      <c r="E1514" s="16">
        <v>72.0</v>
      </c>
      <c r="F1514" s="8" t="s">
        <v>58</v>
      </c>
      <c r="G1514" s="8" t="s">
        <v>3460</v>
      </c>
      <c r="H1514" s="8" t="s">
        <v>70</v>
      </c>
      <c r="I1514" s="18" t="s">
        <v>2575</v>
      </c>
      <c r="J1514" s="16">
        <v>70.0</v>
      </c>
      <c r="K1514" s="8" t="s">
        <v>247</v>
      </c>
      <c r="L1514" s="8" t="s">
        <v>78</v>
      </c>
      <c r="M1514" s="18" t="s">
        <v>2645</v>
      </c>
      <c r="N1514" s="16">
        <v>73.0</v>
      </c>
      <c r="O1514" s="8" t="s">
        <v>5450</v>
      </c>
      <c r="P1514" s="8" t="s">
        <v>80</v>
      </c>
      <c r="Q1514" s="14" t="s">
        <v>2296</v>
      </c>
      <c r="R1514" s="8" t="s">
        <v>2592</v>
      </c>
      <c r="S1514" s="14" t="s">
        <v>2570</v>
      </c>
    </row>
    <row r="1515">
      <c r="A1515" s="8" t="s">
        <v>58</v>
      </c>
      <c r="B1515" s="8" t="s">
        <v>1430</v>
      </c>
      <c r="C1515" s="8" t="s">
        <v>93</v>
      </c>
      <c r="D1515" s="18" t="s">
        <v>2620</v>
      </c>
      <c r="E1515" s="16">
        <v>67.0</v>
      </c>
      <c r="F1515" s="8" t="s">
        <v>58</v>
      </c>
      <c r="G1515" s="8" t="s">
        <v>57</v>
      </c>
      <c r="H1515" s="8" t="s">
        <v>59</v>
      </c>
      <c r="I1515" s="18" t="s">
        <v>2587</v>
      </c>
      <c r="J1515" s="16">
        <v>84.0</v>
      </c>
      <c r="K1515" s="8" t="s">
        <v>247</v>
      </c>
      <c r="L1515" s="8" t="s">
        <v>1757</v>
      </c>
      <c r="M1515" s="18" t="s">
        <v>2595</v>
      </c>
      <c r="N1515" s="16">
        <v>77.0</v>
      </c>
      <c r="O1515" s="8" t="s">
        <v>5451</v>
      </c>
      <c r="P1515" s="8" t="s">
        <v>16</v>
      </c>
      <c r="Q1515" s="14" t="s">
        <v>1679</v>
      </c>
      <c r="R1515" s="8" t="s">
        <v>2560</v>
      </c>
      <c r="S1515" s="14" t="s">
        <v>2628</v>
      </c>
    </row>
    <row r="1516">
      <c r="A1516" s="8" t="s">
        <v>58</v>
      </c>
      <c r="B1516" s="8" t="s">
        <v>2925</v>
      </c>
      <c r="C1516" s="8" t="s">
        <v>59</v>
      </c>
      <c r="D1516" s="18" t="s">
        <v>2560</v>
      </c>
      <c r="E1516" s="16">
        <v>70.0</v>
      </c>
      <c r="F1516" s="8" t="s">
        <v>58</v>
      </c>
      <c r="G1516" s="8" t="s">
        <v>1430</v>
      </c>
      <c r="H1516" s="8" t="s">
        <v>93</v>
      </c>
      <c r="I1516" s="18" t="s">
        <v>2620</v>
      </c>
      <c r="J1516" s="16">
        <v>70.0</v>
      </c>
      <c r="K1516" s="8" t="s">
        <v>247</v>
      </c>
      <c r="L1516" s="8" t="s">
        <v>1525</v>
      </c>
      <c r="M1516" s="18" t="s">
        <v>2621</v>
      </c>
      <c r="N1516" s="16">
        <v>81.0</v>
      </c>
      <c r="O1516" s="8" t="s">
        <v>5452</v>
      </c>
      <c r="P1516" s="8" t="s">
        <v>186</v>
      </c>
      <c r="Q1516" s="14" t="s">
        <v>631</v>
      </c>
      <c r="R1516" s="8" t="s">
        <v>2574</v>
      </c>
      <c r="S1516" s="14" t="s">
        <v>2632</v>
      </c>
    </row>
    <row r="1517">
      <c r="A1517" s="8" t="s">
        <v>58</v>
      </c>
      <c r="B1517" s="8" t="s">
        <v>3460</v>
      </c>
      <c r="C1517" s="8" t="s">
        <v>70</v>
      </c>
      <c r="D1517" s="18" t="s">
        <v>2575</v>
      </c>
      <c r="E1517" s="16">
        <v>73.0</v>
      </c>
      <c r="F1517" s="8" t="s">
        <v>58</v>
      </c>
      <c r="G1517" s="8" t="s">
        <v>665</v>
      </c>
      <c r="H1517" s="8" t="s">
        <v>80</v>
      </c>
      <c r="I1517" s="18" t="s">
        <v>2585</v>
      </c>
      <c r="J1517" s="16">
        <v>63.0</v>
      </c>
      <c r="K1517" s="8" t="s">
        <v>247</v>
      </c>
      <c r="L1517" s="8" t="s">
        <v>460</v>
      </c>
      <c r="M1517" s="18" t="s">
        <v>2577</v>
      </c>
      <c r="N1517" s="16">
        <v>67.0</v>
      </c>
      <c r="O1517" s="8" t="s">
        <v>5453</v>
      </c>
      <c r="P1517" s="8" t="s">
        <v>24</v>
      </c>
      <c r="Q1517" s="14" t="s">
        <v>1070</v>
      </c>
      <c r="R1517" s="8" t="s">
        <v>2567</v>
      </c>
      <c r="S1517" s="14" t="s">
        <v>39</v>
      </c>
    </row>
    <row r="1518">
      <c r="A1518" s="8" t="s">
        <v>3150</v>
      </c>
      <c r="B1518" s="8" t="s">
        <v>1675</v>
      </c>
      <c r="C1518" s="8" t="s">
        <v>93</v>
      </c>
      <c r="D1518" s="18" t="s">
        <v>2574</v>
      </c>
      <c r="E1518" s="16">
        <v>61.0</v>
      </c>
      <c r="F1518" s="8" t="s">
        <v>3150</v>
      </c>
      <c r="G1518" s="8" t="s">
        <v>1675</v>
      </c>
      <c r="H1518" s="8" t="s">
        <v>93</v>
      </c>
      <c r="I1518" s="18" t="s">
        <v>2582</v>
      </c>
      <c r="J1518" s="16">
        <v>62.0</v>
      </c>
      <c r="K1518" s="8" t="s">
        <v>206</v>
      </c>
      <c r="L1518" s="8" t="s">
        <v>205</v>
      </c>
      <c r="M1518" s="18" t="s">
        <v>2567</v>
      </c>
      <c r="N1518" s="16">
        <v>76.0</v>
      </c>
      <c r="O1518" s="8" t="s">
        <v>5454</v>
      </c>
      <c r="P1518" s="8" t="s">
        <v>24</v>
      </c>
      <c r="Q1518" s="14" t="s">
        <v>237</v>
      </c>
      <c r="R1518" s="8" t="s">
        <v>2598</v>
      </c>
      <c r="S1518" s="14" t="s">
        <v>2602</v>
      </c>
    </row>
    <row r="1519">
      <c r="A1519" s="8" t="s">
        <v>1516</v>
      </c>
      <c r="B1519" s="8" t="s">
        <v>766</v>
      </c>
      <c r="C1519" s="8" t="s">
        <v>65</v>
      </c>
      <c r="D1519" s="18" t="s">
        <v>2592</v>
      </c>
      <c r="E1519" s="16">
        <v>71.0</v>
      </c>
      <c r="F1519" s="8" t="s">
        <v>1516</v>
      </c>
      <c r="G1519" s="8" t="s">
        <v>3484</v>
      </c>
      <c r="H1519" s="8" t="s">
        <v>122</v>
      </c>
      <c r="I1519" s="18" t="s">
        <v>2593</v>
      </c>
      <c r="J1519" s="16">
        <v>58.0</v>
      </c>
      <c r="K1519" s="8" t="s">
        <v>236</v>
      </c>
      <c r="L1519" s="8" t="s">
        <v>235</v>
      </c>
      <c r="M1519" s="18" t="s">
        <v>2574</v>
      </c>
      <c r="N1519" s="16">
        <v>75.0</v>
      </c>
      <c r="O1519" s="8" t="s">
        <v>5455</v>
      </c>
      <c r="P1519" s="8" t="s">
        <v>24</v>
      </c>
      <c r="Q1519" s="14" t="s">
        <v>459</v>
      </c>
      <c r="R1519" s="18" t="s">
        <v>2556</v>
      </c>
      <c r="S1519" s="14" t="s">
        <v>2601</v>
      </c>
    </row>
    <row r="1520">
      <c r="A1520" s="8" t="s">
        <v>1516</v>
      </c>
      <c r="B1520" s="8" t="s">
        <v>3782</v>
      </c>
      <c r="C1520" s="8" t="s">
        <v>122</v>
      </c>
      <c r="D1520" s="18" t="s">
        <v>2566</v>
      </c>
      <c r="E1520" s="16">
        <v>64.0</v>
      </c>
      <c r="F1520" s="8" t="s">
        <v>3131</v>
      </c>
      <c r="G1520" s="8" t="s">
        <v>617</v>
      </c>
      <c r="H1520" s="8" t="s">
        <v>65</v>
      </c>
      <c r="I1520" s="18" t="s">
        <v>2614</v>
      </c>
      <c r="J1520" s="16">
        <v>70.0</v>
      </c>
      <c r="K1520" s="8" t="s">
        <v>236</v>
      </c>
      <c r="L1520" s="8" t="s">
        <v>2776</v>
      </c>
      <c r="M1520" s="18" t="s">
        <v>2556</v>
      </c>
      <c r="N1520" s="16">
        <v>75.0</v>
      </c>
      <c r="O1520" s="18" t="s">
        <v>5456</v>
      </c>
      <c r="P1520" s="8" t="s">
        <v>192</v>
      </c>
      <c r="Q1520" s="14" t="s">
        <v>2033</v>
      </c>
      <c r="R1520" s="8" t="s">
        <v>2592</v>
      </c>
      <c r="S1520" s="14" t="s">
        <v>2557</v>
      </c>
    </row>
    <row r="1521">
      <c r="A1521" s="8" t="s">
        <v>1516</v>
      </c>
      <c r="B1521" s="8" t="s">
        <v>3484</v>
      </c>
      <c r="C1521" s="8" t="s">
        <v>122</v>
      </c>
      <c r="D1521" s="18" t="s">
        <v>2593</v>
      </c>
      <c r="E1521" s="16">
        <v>58.0</v>
      </c>
      <c r="F1521" s="8" t="s">
        <v>320</v>
      </c>
      <c r="G1521" s="8" t="s">
        <v>620</v>
      </c>
      <c r="H1521" s="8" t="s">
        <v>24</v>
      </c>
      <c r="I1521" s="18" t="s">
        <v>2603</v>
      </c>
      <c r="J1521" s="16">
        <v>76.0</v>
      </c>
      <c r="K1521" s="8" t="s">
        <v>471</v>
      </c>
      <c r="L1521" s="8" t="s">
        <v>2843</v>
      </c>
      <c r="M1521" s="18" t="s">
        <v>2566</v>
      </c>
      <c r="N1521" s="16">
        <v>73.0</v>
      </c>
      <c r="O1521" s="8" t="s">
        <v>5457</v>
      </c>
      <c r="P1521" s="8" t="s">
        <v>65</v>
      </c>
      <c r="Q1521" s="14" t="s">
        <v>1352</v>
      </c>
      <c r="R1521" s="8" t="s">
        <v>2564</v>
      </c>
      <c r="S1521" s="14" t="s">
        <v>2573</v>
      </c>
    </row>
    <row r="1522">
      <c r="A1522" s="8" t="s">
        <v>3131</v>
      </c>
      <c r="B1522" s="8" t="s">
        <v>617</v>
      </c>
      <c r="C1522" s="8" t="s">
        <v>65</v>
      </c>
      <c r="D1522" s="18" t="s">
        <v>2614</v>
      </c>
      <c r="E1522" s="16">
        <v>71.0</v>
      </c>
      <c r="F1522" s="8" t="s">
        <v>320</v>
      </c>
      <c r="G1522" s="8" t="s">
        <v>2862</v>
      </c>
      <c r="H1522" s="8" t="s">
        <v>132</v>
      </c>
      <c r="I1522" s="18" t="s">
        <v>2603</v>
      </c>
      <c r="J1522" s="16">
        <v>75.0</v>
      </c>
      <c r="K1522" s="8" t="s">
        <v>471</v>
      </c>
      <c r="L1522" s="8" t="s">
        <v>470</v>
      </c>
      <c r="M1522" s="18" t="s">
        <v>2593</v>
      </c>
      <c r="N1522" s="16">
        <v>80.0</v>
      </c>
      <c r="O1522" s="8" t="s">
        <v>5458</v>
      </c>
      <c r="P1522" s="8" t="s">
        <v>186</v>
      </c>
      <c r="Q1522" s="14" t="s">
        <v>2459</v>
      </c>
      <c r="R1522" s="8" t="s">
        <v>2615</v>
      </c>
      <c r="S1522" s="14" t="s">
        <v>2583</v>
      </c>
    </row>
    <row r="1523">
      <c r="A1523" s="8" t="s">
        <v>320</v>
      </c>
      <c r="B1523" s="8" t="s">
        <v>2694</v>
      </c>
      <c r="C1523" s="8" t="s">
        <v>141</v>
      </c>
      <c r="D1523" s="18" t="s">
        <v>2584</v>
      </c>
      <c r="E1523" s="16">
        <v>76.0</v>
      </c>
      <c r="F1523" s="8" t="s">
        <v>320</v>
      </c>
      <c r="G1523" s="8" t="s">
        <v>319</v>
      </c>
      <c r="H1523" s="8" t="s">
        <v>24</v>
      </c>
      <c r="I1523" s="18" t="s">
        <v>2592</v>
      </c>
      <c r="J1523" s="16">
        <v>68.0</v>
      </c>
      <c r="K1523" s="8" t="s">
        <v>471</v>
      </c>
      <c r="L1523" s="8" t="s">
        <v>588</v>
      </c>
      <c r="M1523" s="18" t="s">
        <v>2585</v>
      </c>
      <c r="N1523" s="16">
        <v>71.0</v>
      </c>
      <c r="O1523" s="8" t="s">
        <v>5459</v>
      </c>
      <c r="P1523" s="8" t="s">
        <v>93</v>
      </c>
      <c r="Q1523" s="14" t="s">
        <v>1352</v>
      </c>
      <c r="R1523" s="8" t="s">
        <v>2552</v>
      </c>
      <c r="S1523" s="14" t="s">
        <v>2553</v>
      </c>
    </row>
    <row r="1524">
      <c r="A1524" s="8" t="s">
        <v>320</v>
      </c>
      <c r="B1524" s="8" t="s">
        <v>2862</v>
      </c>
      <c r="C1524" s="8" t="s">
        <v>46</v>
      </c>
      <c r="D1524" s="18" t="s">
        <v>2584</v>
      </c>
      <c r="E1524" s="16">
        <v>79.0</v>
      </c>
      <c r="F1524" s="8" t="s">
        <v>320</v>
      </c>
      <c r="G1524" s="8" t="s">
        <v>2694</v>
      </c>
      <c r="H1524" s="8" t="s">
        <v>141</v>
      </c>
      <c r="I1524" s="18" t="s">
        <v>2584</v>
      </c>
      <c r="J1524" s="16">
        <v>70.0</v>
      </c>
      <c r="K1524" s="8" t="s">
        <v>471</v>
      </c>
      <c r="L1524" s="8" t="s">
        <v>927</v>
      </c>
      <c r="M1524" s="18" t="s">
        <v>2567</v>
      </c>
      <c r="N1524" s="16">
        <v>64.0</v>
      </c>
      <c r="O1524" s="8" t="s">
        <v>5460</v>
      </c>
      <c r="P1524" s="8" t="s">
        <v>93</v>
      </c>
      <c r="Q1524" s="14" t="s">
        <v>1070</v>
      </c>
      <c r="R1524" s="18" t="s">
        <v>2556</v>
      </c>
      <c r="S1524" s="14" t="s">
        <v>2612</v>
      </c>
    </row>
    <row r="1525">
      <c r="A1525" s="8" t="s">
        <v>320</v>
      </c>
      <c r="B1525" s="8" t="s">
        <v>739</v>
      </c>
      <c r="C1525" s="8" t="s">
        <v>186</v>
      </c>
      <c r="D1525" s="18" t="s">
        <v>2574</v>
      </c>
      <c r="E1525" s="16">
        <v>99.0</v>
      </c>
      <c r="F1525" s="8" t="s">
        <v>320</v>
      </c>
      <c r="G1525" s="8" t="s">
        <v>595</v>
      </c>
      <c r="H1525" s="8" t="s">
        <v>186</v>
      </c>
      <c r="I1525" s="18" t="s">
        <v>2567</v>
      </c>
      <c r="J1525" s="16">
        <v>58.0</v>
      </c>
      <c r="K1525" s="8" t="s">
        <v>471</v>
      </c>
      <c r="L1525" s="8" t="s">
        <v>638</v>
      </c>
      <c r="M1525" s="18" t="s">
        <v>2575</v>
      </c>
      <c r="N1525" s="16">
        <v>73.0</v>
      </c>
      <c r="O1525" s="8" t="s">
        <v>5461</v>
      </c>
      <c r="P1525" s="8" t="s">
        <v>70</v>
      </c>
      <c r="Q1525" s="14" t="s">
        <v>1070</v>
      </c>
      <c r="R1525" s="8" t="s">
        <v>2593</v>
      </c>
      <c r="S1525" s="14" t="s">
        <v>2565</v>
      </c>
    </row>
    <row r="1526">
      <c r="A1526" s="8" t="s">
        <v>320</v>
      </c>
      <c r="B1526" s="8" t="s">
        <v>2930</v>
      </c>
      <c r="C1526" s="8" t="s">
        <v>16</v>
      </c>
      <c r="D1526" s="18" t="s">
        <v>2595</v>
      </c>
      <c r="E1526" s="16">
        <v>71.0</v>
      </c>
      <c r="F1526" s="8" t="s">
        <v>320</v>
      </c>
      <c r="G1526" s="8" t="s">
        <v>739</v>
      </c>
      <c r="H1526" s="8" t="s">
        <v>186</v>
      </c>
      <c r="I1526" s="18" t="s">
        <v>2574</v>
      </c>
      <c r="J1526" s="16">
        <v>98.0</v>
      </c>
      <c r="K1526" s="8" t="s">
        <v>471</v>
      </c>
      <c r="L1526" s="8" t="s">
        <v>3118</v>
      </c>
      <c r="M1526" s="18" t="s">
        <v>2610</v>
      </c>
      <c r="N1526" s="16">
        <v>71.0</v>
      </c>
      <c r="O1526" s="8" t="s">
        <v>5462</v>
      </c>
      <c r="P1526" s="8" t="s">
        <v>93</v>
      </c>
      <c r="Q1526" s="14" t="s">
        <v>459</v>
      </c>
      <c r="R1526" s="8" t="s">
        <v>2621</v>
      </c>
      <c r="S1526" s="14" t="s">
        <v>2608</v>
      </c>
    </row>
    <row r="1527">
      <c r="A1527" s="8" t="s">
        <v>320</v>
      </c>
      <c r="B1527" s="8" t="s">
        <v>319</v>
      </c>
      <c r="C1527" s="8" t="s">
        <v>24</v>
      </c>
      <c r="D1527" s="18" t="s">
        <v>2592</v>
      </c>
      <c r="E1527" s="16">
        <v>73.0</v>
      </c>
      <c r="F1527" s="8" t="s">
        <v>3481</v>
      </c>
      <c r="G1527" s="8" t="s">
        <v>3480</v>
      </c>
      <c r="H1527" s="8" t="s">
        <v>59</v>
      </c>
      <c r="I1527" s="18" t="s">
        <v>2582</v>
      </c>
      <c r="J1527" s="16">
        <v>58.0</v>
      </c>
      <c r="K1527" s="8" t="s">
        <v>471</v>
      </c>
      <c r="L1527" s="8" t="s">
        <v>2858</v>
      </c>
      <c r="M1527" s="18" t="s">
        <v>2595</v>
      </c>
      <c r="N1527" s="16">
        <v>83.0</v>
      </c>
      <c r="O1527" s="8" t="s">
        <v>5463</v>
      </c>
      <c r="P1527" s="8" t="s">
        <v>192</v>
      </c>
      <c r="Q1527" s="14" t="s">
        <v>237</v>
      </c>
      <c r="R1527" s="8" t="s">
        <v>2564</v>
      </c>
      <c r="S1527" s="14" t="s">
        <v>2559</v>
      </c>
    </row>
    <row r="1528">
      <c r="A1528" s="8" t="s">
        <v>320</v>
      </c>
      <c r="B1528" s="8" t="s">
        <v>620</v>
      </c>
      <c r="C1528" s="8" t="s">
        <v>24</v>
      </c>
      <c r="D1528" s="18" t="s">
        <v>2603</v>
      </c>
      <c r="E1528" s="16">
        <v>78.0</v>
      </c>
      <c r="F1528" s="8" t="s">
        <v>163</v>
      </c>
      <c r="G1528" s="8" t="s">
        <v>106</v>
      </c>
      <c r="H1528" s="8" t="s">
        <v>70</v>
      </c>
      <c r="I1528" s="18" t="s">
        <v>2582</v>
      </c>
      <c r="J1528" s="16">
        <v>66.0</v>
      </c>
      <c r="K1528" s="8" t="s">
        <v>695</v>
      </c>
      <c r="L1528" s="8" t="s">
        <v>3130</v>
      </c>
      <c r="M1528" s="18" t="s">
        <v>2564</v>
      </c>
      <c r="N1528" s="16">
        <v>71.0</v>
      </c>
      <c r="O1528" s="8" t="s">
        <v>5464</v>
      </c>
      <c r="P1528" s="8" t="s">
        <v>53</v>
      </c>
      <c r="Q1528" s="14" t="s">
        <v>338</v>
      </c>
      <c r="R1528" s="8" t="s">
        <v>2585</v>
      </c>
      <c r="S1528" s="14" t="s">
        <v>2602</v>
      </c>
    </row>
    <row r="1529">
      <c r="A1529" s="8" t="s">
        <v>3481</v>
      </c>
      <c r="B1529" s="8" t="s">
        <v>3480</v>
      </c>
      <c r="C1529" s="8" t="s">
        <v>53</v>
      </c>
      <c r="D1529" s="18" t="s">
        <v>2582</v>
      </c>
      <c r="E1529" s="16">
        <v>56.0</v>
      </c>
      <c r="F1529" s="8" t="s">
        <v>163</v>
      </c>
      <c r="G1529" s="8" t="s">
        <v>1477</v>
      </c>
      <c r="H1529" s="8" t="s">
        <v>65</v>
      </c>
      <c r="I1529" s="18" t="s">
        <v>2564</v>
      </c>
      <c r="J1529" s="16">
        <v>69.0</v>
      </c>
      <c r="K1529" s="8" t="s">
        <v>695</v>
      </c>
      <c r="L1529" s="8" t="s">
        <v>325</v>
      </c>
      <c r="M1529" s="18" t="s">
        <v>2589</v>
      </c>
      <c r="N1529" s="16">
        <v>74.0</v>
      </c>
      <c r="O1529" s="8" t="s">
        <v>5465</v>
      </c>
      <c r="P1529" s="8" t="s">
        <v>122</v>
      </c>
      <c r="Q1529" s="14" t="s">
        <v>1352</v>
      </c>
      <c r="R1529" s="8" t="s">
        <v>2595</v>
      </c>
      <c r="S1529" s="14" t="s">
        <v>2602</v>
      </c>
    </row>
    <row r="1530">
      <c r="A1530" s="8" t="s">
        <v>1353</v>
      </c>
      <c r="B1530" s="8" t="s">
        <v>57</v>
      </c>
      <c r="C1530" s="8" t="s">
        <v>93</v>
      </c>
      <c r="D1530" s="18" t="s">
        <v>2552</v>
      </c>
      <c r="E1530" s="16">
        <v>75.0</v>
      </c>
      <c r="F1530" s="8" t="s">
        <v>1353</v>
      </c>
      <c r="G1530" s="8" t="s">
        <v>57</v>
      </c>
      <c r="H1530" s="8" t="s">
        <v>93</v>
      </c>
      <c r="I1530" s="18" t="s">
        <v>2552</v>
      </c>
      <c r="J1530" s="16">
        <v>73.0</v>
      </c>
      <c r="K1530" s="8" t="s">
        <v>2143</v>
      </c>
      <c r="L1530" s="8" t="s">
        <v>106</v>
      </c>
      <c r="M1530" s="18" t="s">
        <v>2605</v>
      </c>
      <c r="N1530" s="16">
        <v>71.0</v>
      </c>
      <c r="O1530" s="8" t="s">
        <v>5466</v>
      </c>
      <c r="P1530" s="8" t="s">
        <v>122</v>
      </c>
      <c r="Q1530" s="14" t="s">
        <v>1679</v>
      </c>
      <c r="R1530" s="8" t="s">
        <v>2614</v>
      </c>
      <c r="S1530" s="14" t="s">
        <v>2553</v>
      </c>
    </row>
    <row r="1531">
      <c r="A1531" s="8" t="s">
        <v>3551</v>
      </c>
      <c r="B1531" s="8" t="s">
        <v>3550</v>
      </c>
      <c r="C1531" s="8" t="s">
        <v>75</v>
      </c>
      <c r="D1531" s="18" t="s">
        <v>2584</v>
      </c>
      <c r="E1531" s="16">
        <v>74.0</v>
      </c>
      <c r="F1531" s="8" t="s">
        <v>2770</v>
      </c>
      <c r="G1531" s="8" t="s">
        <v>2769</v>
      </c>
      <c r="H1531" s="8" t="s">
        <v>65</v>
      </c>
      <c r="I1531" s="18" t="s">
        <v>2558</v>
      </c>
      <c r="J1531" s="16">
        <v>66.0</v>
      </c>
      <c r="K1531" s="8" t="s">
        <v>2143</v>
      </c>
      <c r="L1531" s="8" t="s">
        <v>2142</v>
      </c>
      <c r="M1531" s="18" t="s">
        <v>2575</v>
      </c>
      <c r="N1531" s="16">
        <v>79.0</v>
      </c>
      <c r="O1531" s="8" t="s">
        <v>5467</v>
      </c>
      <c r="P1531" s="8" t="s">
        <v>215</v>
      </c>
      <c r="Q1531" s="14" t="s">
        <v>2033</v>
      </c>
      <c r="R1531" s="8" t="s">
        <v>2554</v>
      </c>
      <c r="S1531" s="14" t="s">
        <v>2555</v>
      </c>
    </row>
    <row r="1532">
      <c r="A1532" s="8" t="s">
        <v>3906</v>
      </c>
      <c r="B1532" s="8" t="s">
        <v>455</v>
      </c>
      <c r="C1532" s="8" t="s">
        <v>80</v>
      </c>
      <c r="D1532" s="18" t="s">
        <v>2592</v>
      </c>
      <c r="E1532" s="16">
        <v>74.0</v>
      </c>
      <c r="F1532" s="8" t="s">
        <v>283</v>
      </c>
      <c r="G1532" s="8" t="s">
        <v>427</v>
      </c>
      <c r="H1532" s="8" t="s">
        <v>65</v>
      </c>
      <c r="I1532" s="18" t="s">
        <v>2600</v>
      </c>
      <c r="J1532" s="16">
        <v>76.0</v>
      </c>
      <c r="K1532" s="8" t="s">
        <v>2143</v>
      </c>
      <c r="L1532" s="8" t="s">
        <v>163</v>
      </c>
      <c r="M1532" s="18" t="s">
        <v>2567</v>
      </c>
      <c r="N1532" s="16">
        <v>74.0</v>
      </c>
      <c r="O1532" s="8" t="s">
        <v>5468</v>
      </c>
      <c r="P1532" s="8" t="s">
        <v>80</v>
      </c>
      <c r="Q1532" s="14" t="s">
        <v>2033</v>
      </c>
      <c r="R1532" s="8" t="s">
        <v>2567</v>
      </c>
      <c r="S1532" s="14" t="s">
        <v>2588</v>
      </c>
    </row>
    <row r="1533">
      <c r="A1533" s="8" t="s">
        <v>1154</v>
      </c>
      <c r="B1533" s="8" t="s">
        <v>1153</v>
      </c>
      <c r="C1533" s="8" t="s">
        <v>93</v>
      </c>
      <c r="D1533" s="18" t="s">
        <v>2558</v>
      </c>
      <c r="E1533" s="16">
        <v>61.0</v>
      </c>
      <c r="F1533" s="8" t="s">
        <v>283</v>
      </c>
      <c r="G1533" s="8" t="s">
        <v>106</v>
      </c>
      <c r="H1533" s="8" t="s">
        <v>70</v>
      </c>
      <c r="I1533" s="18" t="s">
        <v>2593</v>
      </c>
      <c r="J1533" s="16">
        <v>65.0</v>
      </c>
      <c r="K1533" s="8" t="s">
        <v>965</v>
      </c>
      <c r="L1533" s="8" t="s">
        <v>42</v>
      </c>
      <c r="M1533" s="18" t="s">
        <v>2584</v>
      </c>
      <c r="N1533" s="16">
        <v>78.0</v>
      </c>
      <c r="O1533" s="8" t="s">
        <v>5469</v>
      </c>
      <c r="P1533" s="8" t="s">
        <v>122</v>
      </c>
      <c r="Q1533" s="14" t="s">
        <v>459</v>
      </c>
      <c r="R1533" s="8" t="s">
        <v>2564</v>
      </c>
      <c r="S1533" s="14" t="s">
        <v>2607</v>
      </c>
    </row>
    <row r="1534">
      <c r="A1534" s="8" t="s">
        <v>283</v>
      </c>
      <c r="B1534" s="8" t="s">
        <v>106</v>
      </c>
      <c r="C1534" s="8" t="s">
        <v>70</v>
      </c>
      <c r="D1534" s="18" t="s">
        <v>2593</v>
      </c>
      <c r="E1534" s="16">
        <v>66.0</v>
      </c>
      <c r="F1534" s="8" t="s">
        <v>283</v>
      </c>
      <c r="G1534" s="8" t="s">
        <v>99</v>
      </c>
      <c r="H1534" s="8" t="s">
        <v>59</v>
      </c>
      <c r="I1534" s="18" t="s">
        <v>2585</v>
      </c>
      <c r="J1534" s="16">
        <v>75.0</v>
      </c>
      <c r="K1534" s="8" t="s">
        <v>2814</v>
      </c>
      <c r="L1534" s="8" t="s">
        <v>703</v>
      </c>
      <c r="M1534" s="18" t="s">
        <v>2581</v>
      </c>
      <c r="N1534" s="16">
        <v>66.0</v>
      </c>
      <c r="O1534" s="8" t="s">
        <v>5470</v>
      </c>
      <c r="P1534" s="8" t="s">
        <v>59</v>
      </c>
      <c r="Q1534" s="14" t="s">
        <v>2296</v>
      </c>
      <c r="R1534" s="8" t="s">
        <v>2610</v>
      </c>
      <c r="S1534" s="14" t="s">
        <v>2622</v>
      </c>
    </row>
    <row r="1535">
      <c r="A1535" s="8" t="s">
        <v>283</v>
      </c>
      <c r="B1535" s="8" t="s">
        <v>486</v>
      </c>
      <c r="C1535" s="8" t="s">
        <v>93</v>
      </c>
      <c r="D1535" s="18" t="s">
        <v>2600</v>
      </c>
      <c r="E1535" s="16">
        <v>85.0</v>
      </c>
      <c r="F1535" s="8" t="s">
        <v>283</v>
      </c>
      <c r="G1535" s="8" t="s">
        <v>486</v>
      </c>
      <c r="H1535" s="8" t="s">
        <v>93</v>
      </c>
      <c r="I1535" s="18" t="s">
        <v>2600</v>
      </c>
      <c r="J1535" s="16">
        <v>92.0</v>
      </c>
      <c r="K1535" s="8" t="s">
        <v>2172</v>
      </c>
      <c r="L1535" s="8" t="s">
        <v>42</v>
      </c>
      <c r="M1535" s="18" t="s">
        <v>2556</v>
      </c>
      <c r="N1535" s="16">
        <v>69.0</v>
      </c>
      <c r="O1535" s="8" t="s">
        <v>5471</v>
      </c>
      <c r="P1535" s="8" t="s">
        <v>24</v>
      </c>
      <c r="Q1535" s="14" t="s">
        <v>83</v>
      </c>
      <c r="R1535" s="8" t="s">
        <v>2558</v>
      </c>
      <c r="S1535" s="14" t="s">
        <v>2590</v>
      </c>
    </row>
    <row r="1536">
      <c r="A1536" s="8" t="s">
        <v>283</v>
      </c>
      <c r="B1536" s="8" t="s">
        <v>282</v>
      </c>
      <c r="C1536" s="8" t="s">
        <v>80</v>
      </c>
      <c r="D1536" s="18" t="s">
        <v>2564</v>
      </c>
      <c r="E1536" s="16">
        <v>93.0</v>
      </c>
      <c r="F1536" s="8" t="s">
        <v>283</v>
      </c>
      <c r="G1536" s="8" t="s">
        <v>282</v>
      </c>
      <c r="H1536" s="8" t="s">
        <v>192</v>
      </c>
      <c r="I1536" s="18" t="s">
        <v>2564</v>
      </c>
      <c r="J1536" s="16">
        <v>85.0</v>
      </c>
      <c r="K1536" s="8" t="s">
        <v>3140</v>
      </c>
      <c r="L1536" s="8" t="s">
        <v>451</v>
      </c>
      <c r="M1536" s="18" t="s">
        <v>2564</v>
      </c>
      <c r="N1536" s="16">
        <v>74.0</v>
      </c>
      <c r="O1536" s="8" t="s">
        <v>5472</v>
      </c>
      <c r="P1536" s="8" t="s">
        <v>192</v>
      </c>
      <c r="Q1536" s="14" t="s">
        <v>1352</v>
      </c>
      <c r="R1536" s="8" t="s">
        <v>2577</v>
      </c>
      <c r="S1536" s="14" t="s">
        <v>2580</v>
      </c>
    </row>
    <row r="1537">
      <c r="A1537" s="8" t="s">
        <v>283</v>
      </c>
      <c r="B1537" s="8" t="s">
        <v>389</v>
      </c>
      <c r="C1537" s="8" t="s">
        <v>261</v>
      </c>
      <c r="D1537" s="18" t="s">
        <v>2615</v>
      </c>
      <c r="E1537" s="16">
        <v>61.0</v>
      </c>
      <c r="F1537" s="8" t="s">
        <v>1386</v>
      </c>
      <c r="G1537" s="8" t="s">
        <v>106</v>
      </c>
      <c r="H1537" s="8" t="s">
        <v>122</v>
      </c>
      <c r="I1537" s="18" t="s">
        <v>2600</v>
      </c>
      <c r="J1537" s="16">
        <v>78.0</v>
      </c>
      <c r="K1537" s="8" t="s">
        <v>2852</v>
      </c>
      <c r="L1537" s="8" t="s">
        <v>2851</v>
      </c>
      <c r="M1537" s="18" t="s">
        <v>2614</v>
      </c>
      <c r="N1537" s="16">
        <v>69.0</v>
      </c>
      <c r="O1537" s="8" t="s">
        <v>5473</v>
      </c>
      <c r="P1537" s="8" t="s">
        <v>65</v>
      </c>
      <c r="Q1537" s="14" t="s">
        <v>1679</v>
      </c>
      <c r="R1537" s="18" t="s">
        <v>2556</v>
      </c>
      <c r="S1537" s="14" t="s">
        <v>2557</v>
      </c>
    </row>
    <row r="1538">
      <c r="A1538" s="8" t="s">
        <v>283</v>
      </c>
      <c r="B1538" s="8" t="s">
        <v>427</v>
      </c>
      <c r="C1538" s="8" t="s">
        <v>65</v>
      </c>
      <c r="D1538" s="18" t="s">
        <v>2600</v>
      </c>
      <c r="E1538" s="16">
        <v>67.0</v>
      </c>
      <c r="F1538" s="8" t="s">
        <v>1742</v>
      </c>
      <c r="G1538" s="8" t="s">
        <v>498</v>
      </c>
      <c r="H1538" s="8" t="s">
        <v>122</v>
      </c>
      <c r="I1538" s="18" t="s">
        <v>2614</v>
      </c>
      <c r="J1538" s="16">
        <v>72.0</v>
      </c>
      <c r="K1538" s="8" t="s">
        <v>2881</v>
      </c>
      <c r="L1538" s="8" t="s">
        <v>956</v>
      </c>
      <c r="M1538" s="18" t="s">
        <v>2620</v>
      </c>
      <c r="N1538" s="16">
        <v>87.0</v>
      </c>
      <c r="O1538" s="8" t="s">
        <v>5474</v>
      </c>
      <c r="P1538" s="8" t="s">
        <v>122</v>
      </c>
      <c r="Q1538" s="14" t="s">
        <v>459</v>
      </c>
      <c r="R1538" s="8" t="s">
        <v>2584</v>
      </c>
      <c r="S1538" s="14" t="s">
        <v>2607</v>
      </c>
    </row>
    <row r="1539">
      <c r="A1539" s="8" t="s">
        <v>283</v>
      </c>
      <c r="B1539" s="8" t="s">
        <v>99</v>
      </c>
      <c r="C1539" s="8" t="s">
        <v>186</v>
      </c>
      <c r="D1539" s="18" t="s">
        <v>2556</v>
      </c>
      <c r="E1539" s="16">
        <v>71.0</v>
      </c>
      <c r="F1539" s="8" t="s">
        <v>549</v>
      </c>
      <c r="G1539" s="8" t="s">
        <v>2136</v>
      </c>
      <c r="H1539" s="8" t="s">
        <v>80</v>
      </c>
      <c r="I1539" s="18" t="s">
        <v>2567</v>
      </c>
      <c r="J1539" s="16">
        <v>76.0</v>
      </c>
      <c r="K1539" s="8" t="s">
        <v>2007</v>
      </c>
      <c r="L1539" s="8" t="s">
        <v>1055</v>
      </c>
      <c r="M1539" s="18" t="s">
        <v>2614</v>
      </c>
      <c r="N1539" s="16">
        <v>65.0</v>
      </c>
      <c r="O1539" s="8" t="s">
        <v>5475</v>
      </c>
      <c r="P1539" s="8" t="s">
        <v>192</v>
      </c>
      <c r="Q1539" s="14" t="s">
        <v>1352</v>
      </c>
      <c r="R1539" s="8" t="s">
        <v>2585</v>
      </c>
      <c r="S1539" s="14" t="s">
        <v>2563</v>
      </c>
    </row>
    <row r="1540">
      <c r="A1540" s="8" t="s">
        <v>1386</v>
      </c>
      <c r="B1540" s="8" t="s">
        <v>106</v>
      </c>
      <c r="C1540" s="8" t="s">
        <v>122</v>
      </c>
      <c r="D1540" s="18" t="s">
        <v>2600</v>
      </c>
      <c r="E1540" s="16">
        <v>71.0</v>
      </c>
      <c r="F1540" s="8" t="s">
        <v>549</v>
      </c>
      <c r="G1540" s="8" t="s">
        <v>99</v>
      </c>
      <c r="H1540" s="8" t="s">
        <v>192</v>
      </c>
      <c r="I1540" s="18" t="s">
        <v>2562</v>
      </c>
      <c r="J1540" s="16">
        <v>59.0</v>
      </c>
      <c r="K1540" s="8" t="s">
        <v>2007</v>
      </c>
      <c r="L1540" s="8" t="s">
        <v>78</v>
      </c>
      <c r="M1540" s="18" t="s">
        <v>2615</v>
      </c>
      <c r="N1540" s="16">
        <v>70.0</v>
      </c>
      <c r="O1540" s="8" t="s">
        <v>5476</v>
      </c>
      <c r="P1540" s="8" t="s">
        <v>80</v>
      </c>
      <c r="Q1540" s="14" t="s">
        <v>2033</v>
      </c>
      <c r="R1540" s="8" t="s">
        <v>2577</v>
      </c>
      <c r="S1540" s="14" t="s">
        <v>2576</v>
      </c>
    </row>
    <row r="1541">
      <c r="A1541" s="8" t="s">
        <v>1742</v>
      </c>
      <c r="B1541" s="8" t="s">
        <v>498</v>
      </c>
      <c r="C1541" s="8" t="s">
        <v>122</v>
      </c>
      <c r="D1541" s="18" t="s">
        <v>2614</v>
      </c>
      <c r="E1541" s="16">
        <v>69.0</v>
      </c>
      <c r="F1541" s="8" t="s">
        <v>549</v>
      </c>
      <c r="G1541" s="8" t="s">
        <v>208</v>
      </c>
      <c r="H1541" s="8" t="s">
        <v>122</v>
      </c>
      <c r="I1541" s="18" t="s">
        <v>2584</v>
      </c>
      <c r="J1541" s="16">
        <v>83.0</v>
      </c>
      <c r="K1541" s="8" t="s">
        <v>2007</v>
      </c>
      <c r="L1541" s="8" t="s">
        <v>2006</v>
      </c>
      <c r="M1541" s="18" t="s">
        <v>2558</v>
      </c>
      <c r="N1541" s="16">
        <v>73.0</v>
      </c>
      <c r="O1541" s="8" t="s">
        <v>5477</v>
      </c>
      <c r="P1541" s="8" t="s">
        <v>149</v>
      </c>
      <c r="Q1541" s="14" t="s">
        <v>237</v>
      </c>
      <c r="R1541" s="8" t="s">
        <v>2600</v>
      </c>
      <c r="S1541" s="14" t="s">
        <v>2607</v>
      </c>
    </row>
    <row r="1542">
      <c r="A1542" s="8" t="s">
        <v>549</v>
      </c>
      <c r="B1542" s="8" t="s">
        <v>208</v>
      </c>
      <c r="C1542" s="8" t="s">
        <v>138</v>
      </c>
      <c r="D1542" s="18" t="s">
        <v>2584</v>
      </c>
      <c r="E1542" s="16">
        <v>86.0</v>
      </c>
      <c r="F1542" s="8" t="s">
        <v>549</v>
      </c>
      <c r="G1542" s="8" t="s">
        <v>2935</v>
      </c>
      <c r="H1542" s="8" t="s">
        <v>122</v>
      </c>
      <c r="I1542" s="18" t="s">
        <v>2603</v>
      </c>
      <c r="J1542" s="16">
        <v>74.0</v>
      </c>
      <c r="K1542" s="8" t="s">
        <v>1733</v>
      </c>
      <c r="L1542" s="8" t="s">
        <v>726</v>
      </c>
      <c r="M1542" s="18" t="s">
        <v>2593</v>
      </c>
      <c r="N1542" s="16">
        <v>65.0</v>
      </c>
      <c r="O1542" s="8" t="s">
        <v>5478</v>
      </c>
      <c r="P1542" s="8" t="s">
        <v>93</v>
      </c>
      <c r="Q1542" s="14" t="s">
        <v>459</v>
      </c>
      <c r="R1542" s="8" t="s">
        <v>2554</v>
      </c>
      <c r="S1542" s="14" t="s">
        <v>2568</v>
      </c>
    </row>
    <row r="1543">
      <c r="A1543" s="8" t="s">
        <v>3279</v>
      </c>
      <c r="B1543" s="8" t="s">
        <v>3278</v>
      </c>
      <c r="C1543" s="8" t="s">
        <v>138</v>
      </c>
      <c r="D1543" s="18" t="s">
        <v>2598</v>
      </c>
      <c r="E1543" s="16">
        <v>68.0</v>
      </c>
      <c r="F1543" s="8" t="s">
        <v>3279</v>
      </c>
      <c r="G1543" s="8" t="s">
        <v>3278</v>
      </c>
      <c r="H1543" s="8" t="s">
        <v>215</v>
      </c>
      <c r="I1543" s="18" t="s">
        <v>2584</v>
      </c>
      <c r="J1543" s="16">
        <v>68.0</v>
      </c>
      <c r="K1543" s="8" t="s">
        <v>914</v>
      </c>
      <c r="L1543" s="8" t="s">
        <v>913</v>
      </c>
      <c r="M1543" s="18" t="s">
        <v>2600</v>
      </c>
      <c r="N1543" s="16">
        <v>75.0</v>
      </c>
      <c r="O1543" s="8" t="s">
        <v>5479</v>
      </c>
      <c r="P1543" s="8" t="s">
        <v>215</v>
      </c>
      <c r="Q1543" s="14" t="s">
        <v>2296</v>
      </c>
      <c r="R1543" s="8" t="s">
        <v>2595</v>
      </c>
      <c r="S1543" s="14" t="s">
        <v>2565</v>
      </c>
    </row>
    <row r="1544">
      <c r="A1544" s="8" t="s">
        <v>3716</v>
      </c>
      <c r="B1544" s="8" t="s">
        <v>741</v>
      </c>
      <c r="C1544" s="8" t="s">
        <v>53</v>
      </c>
      <c r="D1544" s="18" t="s">
        <v>2587</v>
      </c>
      <c r="E1544" s="16">
        <v>71.0</v>
      </c>
      <c r="F1544" s="8" t="s">
        <v>3088</v>
      </c>
      <c r="G1544" s="8" t="s">
        <v>5428</v>
      </c>
      <c r="H1544" s="8" t="s">
        <v>186</v>
      </c>
      <c r="I1544" s="18" t="s">
        <v>2595</v>
      </c>
      <c r="J1544" s="16">
        <v>75.0</v>
      </c>
      <c r="K1544" s="8" t="s">
        <v>914</v>
      </c>
      <c r="L1544" s="8" t="s">
        <v>1471</v>
      </c>
      <c r="M1544" s="18" t="s">
        <v>2574</v>
      </c>
      <c r="N1544" s="16">
        <v>67.0</v>
      </c>
      <c r="O1544" s="8" t="s">
        <v>5480</v>
      </c>
      <c r="P1544" s="8" t="s">
        <v>80</v>
      </c>
      <c r="Q1544" s="14" t="s">
        <v>2033</v>
      </c>
      <c r="R1544" s="8" t="s">
        <v>2552</v>
      </c>
      <c r="S1544" s="14" t="s">
        <v>2576</v>
      </c>
    </row>
    <row r="1545">
      <c r="A1545" s="8" t="s">
        <v>3088</v>
      </c>
      <c r="B1545" s="8" t="s">
        <v>5428</v>
      </c>
      <c r="C1545" s="8" t="s">
        <v>186</v>
      </c>
      <c r="D1545" s="18" t="s">
        <v>2572</v>
      </c>
      <c r="E1545" s="16">
        <v>75.0</v>
      </c>
      <c r="F1545" s="8" t="s">
        <v>95</v>
      </c>
      <c r="G1545" s="8" t="s">
        <v>94</v>
      </c>
      <c r="H1545" s="8" t="s">
        <v>24</v>
      </c>
      <c r="I1545" s="18" t="s">
        <v>2584</v>
      </c>
      <c r="J1545" s="16">
        <v>77.0</v>
      </c>
      <c r="K1545" s="8" t="s">
        <v>699</v>
      </c>
      <c r="L1545" s="8" t="s">
        <v>520</v>
      </c>
      <c r="M1545" s="18" t="s">
        <v>2585</v>
      </c>
      <c r="N1545" s="16">
        <v>79.0</v>
      </c>
      <c r="O1545" s="8" t="s">
        <v>5481</v>
      </c>
      <c r="P1545" s="8" t="s">
        <v>149</v>
      </c>
      <c r="Q1545" s="14" t="s">
        <v>237</v>
      </c>
      <c r="R1545" s="18" t="s">
        <v>2589</v>
      </c>
      <c r="S1545" s="14" t="s">
        <v>2611</v>
      </c>
    </row>
    <row r="1546">
      <c r="A1546" s="8" t="s">
        <v>3741</v>
      </c>
      <c r="B1546" s="8" t="s">
        <v>3740</v>
      </c>
      <c r="C1546" s="8" t="s">
        <v>65</v>
      </c>
      <c r="D1546" s="18" t="s">
        <v>2605</v>
      </c>
      <c r="E1546" s="16">
        <v>69.0</v>
      </c>
      <c r="F1546" s="8" t="s">
        <v>505</v>
      </c>
      <c r="G1546" s="8" t="s">
        <v>504</v>
      </c>
      <c r="H1546" s="8" t="s">
        <v>122</v>
      </c>
      <c r="I1546" s="18" t="s">
        <v>2587</v>
      </c>
      <c r="J1546" s="16">
        <v>85.0</v>
      </c>
      <c r="K1546" s="8" t="s">
        <v>131</v>
      </c>
      <c r="L1546" s="8" t="s">
        <v>130</v>
      </c>
      <c r="M1546" s="18" t="s">
        <v>2575</v>
      </c>
      <c r="N1546" s="16">
        <v>86.0</v>
      </c>
      <c r="O1546" s="8" t="s">
        <v>5482</v>
      </c>
      <c r="P1546" s="8" t="s">
        <v>70</v>
      </c>
      <c r="Q1546" s="14" t="s">
        <v>2033</v>
      </c>
      <c r="R1546" s="8" t="s">
        <v>2598</v>
      </c>
      <c r="S1546" s="14" t="s">
        <v>2579</v>
      </c>
    </row>
    <row r="1547">
      <c r="A1547" s="8" t="s">
        <v>95</v>
      </c>
      <c r="B1547" s="8" t="s">
        <v>94</v>
      </c>
      <c r="C1547" s="8" t="s">
        <v>24</v>
      </c>
      <c r="D1547" s="18" t="s">
        <v>2584</v>
      </c>
      <c r="E1547" s="16">
        <v>76.0</v>
      </c>
      <c r="F1547" s="8" t="s">
        <v>247</v>
      </c>
      <c r="G1547" s="8" t="s">
        <v>766</v>
      </c>
      <c r="H1547" s="8" t="s">
        <v>70</v>
      </c>
      <c r="I1547" s="18" t="s">
        <v>2595</v>
      </c>
      <c r="J1547" s="16">
        <v>65.0</v>
      </c>
      <c r="K1547" s="8" t="s">
        <v>131</v>
      </c>
      <c r="L1547" s="8" t="s">
        <v>130</v>
      </c>
      <c r="M1547" s="18" t="s">
        <v>2575</v>
      </c>
      <c r="N1547" s="16">
        <v>89.0</v>
      </c>
      <c r="O1547" s="8" t="s">
        <v>5483</v>
      </c>
      <c r="P1547" s="8" t="s">
        <v>65</v>
      </c>
      <c r="Q1547" s="14" t="s">
        <v>1352</v>
      </c>
      <c r="R1547" s="8" t="s">
        <v>2567</v>
      </c>
      <c r="S1547" s="14" t="s">
        <v>2568</v>
      </c>
    </row>
    <row r="1548">
      <c r="A1548" s="8" t="s">
        <v>3695</v>
      </c>
      <c r="B1548" s="8" t="s">
        <v>725</v>
      </c>
      <c r="C1548" s="8" t="s">
        <v>24</v>
      </c>
      <c r="D1548" s="18" t="s">
        <v>2582</v>
      </c>
      <c r="E1548" s="16">
        <v>66.0</v>
      </c>
      <c r="F1548" s="8" t="s">
        <v>247</v>
      </c>
      <c r="G1548" s="8" t="s">
        <v>3417</v>
      </c>
      <c r="H1548" s="8" t="s">
        <v>93</v>
      </c>
      <c r="I1548" s="18" t="s">
        <v>2562</v>
      </c>
      <c r="J1548" s="16">
        <v>68.0</v>
      </c>
      <c r="K1548" s="8" t="s">
        <v>405</v>
      </c>
      <c r="L1548" s="8" t="s">
        <v>404</v>
      </c>
      <c r="M1548" s="18" t="s">
        <v>2587</v>
      </c>
      <c r="N1548" s="16">
        <v>72.0</v>
      </c>
      <c r="O1548" s="8" t="s">
        <v>5484</v>
      </c>
      <c r="P1548" s="8" t="s">
        <v>65</v>
      </c>
      <c r="Q1548" s="14" t="s">
        <v>1679</v>
      </c>
      <c r="R1548" s="8" t="s">
        <v>2183</v>
      </c>
      <c r="S1548" s="14" t="s">
        <v>2576</v>
      </c>
    </row>
    <row r="1549">
      <c r="A1549" s="8" t="s">
        <v>3695</v>
      </c>
      <c r="B1549" s="8" t="s">
        <v>2101</v>
      </c>
      <c r="C1549" s="8" t="s">
        <v>261</v>
      </c>
      <c r="D1549" s="18" t="s">
        <v>2556</v>
      </c>
      <c r="E1549" s="16">
        <v>86.0</v>
      </c>
      <c r="F1549" s="8" t="s">
        <v>247</v>
      </c>
      <c r="G1549" s="8" t="s">
        <v>396</v>
      </c>
      <c r="H1549" s="8" t="s">
        <v>141</v>
      </c>
      <c r="I1549" s="18" t="s">
        <v>2615</v>
      </c>
      <c r="J1549" s="16">
        <v>68.0</v>
      </c>
      <c r="K1549" s="8" t="s">
        <v>2910</v>
      </c>
      <c r="L1549" s="8" t="s">
        <v>1237</v>
      </c>
      <c r="M1549" s="18" t="s">
        <v>2556</v>
      </c>
      <c r="N1549" s="16">
        <v>81.0</v>
      </c>
      <c r="O1549" s="8" t="s">
        <v>5485</v>
      </c>
      <c r="P1549" s="8" t="s">
        <v>16</v>
      </c>
      <c r="Q1549" s="14" t="s">
        <v>1352</v>
      </c>
      <c r="R1549" s="8" t="s">
        <v>2621</v>
      </c>
      <c r="S1549" s="14" t="s">
        <v>2608</v>
      </c>
    </row>
    <row r="1550">
      <c r="A1550" s="8" t="s">
        <v>505</v>
      </c>
      <c r="B1550" s="8" t="s">
        <v>504</v>
      </c>
      <c r="C1550" s="8" t="s">
        <v>122</v>
      </c>
      <c r="D1550" s="18" t="s">
        <v>2587</v>
      </c>
      <c r="E1550" s="16">
        <v>88.0</v>
      </c>
      <c r="F1550" s="8" t="s">
        <v>247</v>
      </c>
      <c r="G1550" s="8" t="s">
        <v>246</v>
      </c>
      <c r="H1550" s="8" t="s">
        <v>149</v>
      </c>
      <c r="I1550" s="18" t="s">
        <v>2600</v>
      </c>
      <c r="J1550" s="16">
        <v>88.0</v>
      </c>
      <c r="K1550" s="8" t="s">
        <v>2910</v>
      </c>
      <c r="L1550" s="8" t="s">
        <v>1237</v>
      </c>
      <c r="M1550" s="18" t="s">
        <v>2556</v>
      </c>
      <c r="N1550" s="16">
        <v>86.0</v>
      </c>
      <c r="O1550" s="8" t="s">
        <v>5486</v>
      </c>
      <c r="P1550" s="8" t="s">
        <v>80</v>
      </c>
      <c r="Q1550" s="14" t="s">
        <v>1070</v>
      </c>
      <c r="R1550" s="8" t="s">
        <v>2560</v>
      </c>
      <c r="S1550" s="14" t="s">
        <v>2586</v>
      </c>
    </row>
    <row r="1551">
      <c r="A1551" s="8" t="s">
        <v>247</v>
      </c>
      <c r="B1551" s="8" t="s">
        <v>3536</v>
      </c>
      <c r="C1551" s="8" t="s">
        <v>80</v>
      </c>
      <c r="D1551" s="18" t="s">
        <v>2574</v>
      </c>
      <c r="E1551" s="16">
        <v>65.0</v>
      </c>
      <c r="F1551" s="8" t="s">
        <v>247</v>
      </c>
      <c r="G1551" s="8" t="s">
        <v>1246</v>
      </c>
      <c r="H1551" s="8" t="s">
        <v>192</v>
      </c>
      <c r="I1551" s="18" t="s">
        <v>2560</v>
      </c>
      <c r="J1551" s="16">
        <v>74.0</v>
      </c>
      <c r="K1551" s="8" t="s">
        <v>2170</v>
      </c>
      <c r="L1551" s="8" t="s">
        <v>2169</v>
      </c>
      <c r="M1551" s="18" t="s">
        <v>2595</v>
      </c>
      <c r="N1551" s="16">
        <v>86.0</v>
      </c>
      <c r="O1551" s="8" t="s">
        <v>5487</v>
      </c>
      <c r="P1551" s="8" t="s">
        <v>93</v>
      </c>
      <c r="Q1551" s="14" t="s">
        <v>1070</v>
      </c>
      <c r="R1551" s="8" t="s">
        <v>2593</v>
      </c>
      <c r="S1551" s="14" t="s">
        <v>2588</v>
      </c>
    </row>
    <row r="1552">
      <c r="A1552" s="8" t="s">
        <v>247</v>
      </c>
      <c r="B1552" s="8" t="s">
        <v>3190</v>
      </c>
      <c r="C1552" s="8" t="s">
        <v>93</v>
      </c>
      <c r="D1552" s="18" t="s">
        <v>2603</v>
      </c>
      <c r="E1552" s="16">
        <v>71.0</v>
      </c>
      <c r="F1552" s="8" t="s">
        <v>247</v>
      </c>
      <c r="G1552" s="8" t="s">
        <v>609</v>
      </c>
      <c r="H1552" s="8" t="s">
        <v>65</v>
      </c>
      <c r="I1552" s="18" t="s">
        <v>2577</v>
      </c>
      <c r="J1552" s="16">
        <v>61.0</v>
      </c>
      <c r="K1552" s="8" t="s">
        <v>2707</v>
      </c>
      <c r="L1552" s="8" t="s">
        <v>2064</v>
      </c>
      <c r="M1552" s="18" t="s">
        <v>2556</v>
      </c>
      <c r="N1552" s="16">
        <v>78.0</v>
      </c>
      <c r="O1552" s="8" t="s">
        <v>5488</v>
      </c>
      <c r="P1552" s="8" t="s">
        <v>93</v>
      </c>
      <c r="Q1552" s="14" t="s">
        <v>237</v>
      </c>
      <c r="R1552" s="8" t="s">
        <v>2595</v>
      </c>
      <c r="S1552" s="14" t="s">
        <v>2563</v>
      </c>
    </row>
    <row r="1553">
      <c r="A1553" s="8" t="s">
        <v>247</v>
      </c>
      <c r="B1553" s="8" t="s">
        <v>246</v>
      </c>
      <c r="C1553" s="8" t="s">
        <v>46</v>
      </c>
      <c r="D1553" s="18" t="s">
        <v>2600</v>
      </c>
      <c r="E1553" s="16">
        <v>74.0</v>
      </c>
      <c r="F1553" s="8" t="s">
        <v>247</v>
      </c>
      <c r="G1553" s="8" t="s">
        <v>2833</v>
      </c>
      <c r="H1553" s="8" t="s">
        <v>122</v>
      </c>
      <c r="I1553" s="18" t="s">
        <v>2610</v>
      </c>
      <c r="J1553" s="16">
        <v>60.0</v>
      </c>
      <c r="K1553" s="8" t="s">
        <v>1948</v>
      </c>
      <c r="L1553" s="8" t="s">
        <v>1947</v>
      </c>
      <c r="M1553" s="18" t="s">
        <v>2562</v>
      </c>
      <c r="N1553" s="16">
        <v>70.0</v>
      </c>
      <c r="O1553" s="8" t="s">
        <v>5489</v>
      </c>
      <c r="P1553" s="8" t="s">
        <v>80</v>
      </c>
      <c r="Q1553" s="14" t="s">
        <v>2296</v>
      </c>
      <c r="R1553" s="8" t="s">
        <v>2595</v>
      </c>
      <c r="S1553" s="14" t="s">
        <v>2578</v>
      </c>
    </row>
    <row r="1554">
      <c r="A1554" s="8" t="s">
        <v>247</v>
      </c>
      <c r="B1554" s="8" t="s">
        <v>500</v>
      </c>
      <c r="C1554" s="8" t="s">
        <v>93</v>
      </c>
      <c r="D1554" s="18" t="s">
        <v>2183</v>
      </c>
      <c r="E1554" s="16">
        <v>71.0</v>
      </c>
      <c r="F1554" s="8" t="s">
        <v>247</v>
      </c>
      <c r="G1554" s="8" t="s">
        <v>313</v>
      </c>
      <c r="H1554" s="8" t="s">
        <v>93</v>
      </c>
      <c r="I1554" s="18" t="s">
        <v>2552</v>
      </c>
      <c r="J1554" s="16">
        <v>70.0</v>
      </c>
      <c r="K1554" s="8" t="s">
        <v>3070</v>
      </c>
      <c r="L1554" s="8" t="s">
        <v>3069</v>
      </c>
      <c r="M1554" s="18" t="s">
        <v>2582</v>
      </c>
      <c r="N1554" s="16">
        <v>72.0</v>
      </c>
      <c r="O1554" s="8" t="s">
        <v>5490</v>
      </c>
      <c r="P1554" s="8" t="s">
        <v>122</v>
      </c>
      <c r="Q1554" s="14" t="s">
        <v>189</v>
      </c>
      <c r="R1554" s="8" t="s">
        <v>2567</v>
      </c>
      <c r="S1554" s="14" t="s">
        <v>2601</v>
      </c>
    </row>
    <row r="1555">
      <c r="A1555" s="8" t="s">
        <v>247</v>
      </c>
      <c r="B1555" s="8" t="s">
        <v>3217</v>
      </c>
      <c r="C1555" s="8" t="s">
        <v>93</v>
      </c>
      <c r="D1555" s="18" t="s">
        <v>2585</v>
      </c>
      <c r="E1555" s="16">
        <v>65.0</v>
      </c>
      <c r="F1555" s="8" t="s">
        <v>247</v>
      </c>
      <c r="G1555" s="8" t="s">
        <v>1595</v>
      </c>
      <c r="H1555" s="8" t="s">
        <v>59</v>
      </c>
      <c r="I1555" s="18" t="s">
        <v>2183</v>
      </c>
      <c r="J1555" s="16">
        <v>63.0</v>
      </c>
      <c r="K1555" s="8" t="s">
        <v>556</v>
      </c>
      <c r="L1555" s="8" t="s">
        <v>2870</v>
      </c>
      <c r="M1555" s="18" t="s">
        <v>2554</v>
      </c>
      <c r="N1555" s="16">
        <v>82.0</v>
      </c>
      <c r="O1555" s="8" t="s">
        <v>5491</v>
      </c>
      <c r="P1555" s="8" t="s">
        <v>59</v>
      </c>
      <c r="Q1555" s="14" t="s">
        <v>237</v>
      </c>
      <c r="R1555" s="8" t="s">
        <v>2574</v>
      </c>
      <c r="S1555" s="14" t="s">
        <v>2571</v>
      </c>
    </row>
    <row r="1556">
      <c r="A1556" s="8" t="s">
        <v>247</v>
      </c>
      <c r="B1556" s="8" t="s">
        <v>2773</v>
      </c>
      <c r="C1556" s="8" t="s">
        <v>65</v>
      </c>
      <c r="D1556" s="18" t="s">
        <v>2587</v>
      </c>
      <c r="E1556" s="16">
        <v>67.0</v>
      </c>
      <c r="F1556" s="8" t="s">
        <v>247</v>
      </c>
      <c r="G1556" s="8" t="s">
        <v>3060</v>
      </c>
      <c r="H1556" s="8" t="s">
        <v>215</v>
      </c>
      <c r="I1556" s="18" t="s">
        <v>2564</v>
      </c>
      <c r="J1556" s="16">
        <v>72.0</v>
      </c>
      <c r="K1556" s="8" t="s">
        <v>556</v>
      </c>
      <c r="L1556" s="8" t="s">
        <v>1183</v>
      </c>
      <c r="M1556" s="18" t="s">
        <v>2598</v>
      </c>
      <c r="N1556" s="16">
        <v>71.0</v>
      </c>
      <c r="O1556" s="8" t="s">
        <v>5492</v>
      </c>
      <c r="P1556" s="8" t="s">
        <v>122</v>
      </c>
      <c r="Q1556" s="14" t="s">
        <v>1352</v>
      </c>
      <c r="R1556" s="8" t="s">
        <v>2595</v>
      </c>
      <c r="S1556" s="14" t="s">
        <v>2591</v>
      </c>
    </row>
    <row r="1557">
      <c r="A1557" s="8" t="s">
        <v>247</v>
      </c>
      <c r="B1557" s="8" t="s">
        <v>267</v>
      </c>
      <c r="C1557" s="8" t="s">
        <v>149</v>
      </c>
      <c r="D1557" s="18" t="s">
        <v>2577</v>
      </c>
      <c r="E1557" s="16">
        <v>83.0</v>
      </c>
      <c r="F1557" s="8" t="s">
        <v>247</v>
      </c>
      <c r="G1557" s="8" t="s">
        <v>78</v>
      </c>
      <c r="H1557" s="8" t="s">
        <v>80</v>
      </c>
      <c r="I1557" s="18" t="s">
        <v>2595</v>
      </c>
      <c r="J1557" s="16">
        <v>75.0</v>
      </c>
      <c r="K1557" s="8" t="s">
        <v>1165</v>
      </c>
      <c r="L1557" s="8" t="s">
        <v>1164</v>
      </c>
      <c r="M1557" s="18" t="s">
        <v>2558</v>
      </c>
      <c r="N1557" s="16">
        <v>66.0</v>
      </c>
      <c r="O1557" s="8" t="s">
        <v>5493</v>
      </c>
      <c r="P1557" s="8" t="s">
        <v>24</v>
      </c>
      <c r="Q1557" s="14" t="s">
        <v>2033</v>
      </c>
      <c r="R1557" s="8" t="s">
        <v>2575</v>
      </c>
      <c r="S1557" s="14" t="s">
        <v>2608</v>
      </c>
    </row>
    <row r="1558">
      <c r="A1558" s="8" t="s">
        <v>247</v>
      </c>
      <c r="B1558" s="8" t="s">
        <v>2807</v>
      </c>
      <c r="C1558" s="8" t="s">
        <v>80</v>
      </c>
      <c r="D1558" s="18" t="s">
        <v>2560</v>
      </c>
      <c r="E1558" s="16">
        <v>82.0</v>
      </c>
      <c r="F1558" s="8" t="s">
        <v>247</v>
      </c>
      <c r="G1558" s="8" t="s">
        <v>3217</v>
      </c>
      <c r="H1558" s="8" t="s">
        <v>80</v>
      </c>
      <c r="I1558" s="18" t="s">
        <v>2603</v>
      </c>
      <c r="J1558" s="16">
        <v>64.0</v>
      </c>
      <c r="K1558" s="8" t="s">
        <v>111</v>
      </c>
      <c r="L1558" s="8" t="s">
        <v>110</v>
      </c>
      <c r="M1558" s="18" t="s">
        <v>2558</v>
      </c>
      <c r="N1558" s="16">
        <v>78.0</v>
      </c>
      <c r="O1558" s="8" t="s">
        <v>5494</v>
      </c>
      <c r="P1558" s="8" t="s">
        <v>186</v>
      </c>
      <c r="Q1558" s="14" t="s">
        <v>459</v>
      </c>
      <c r="R1558" s="8" t="s">
        <v>2577</v>
      </c>
      <c r="S1558" s="14" t="s">
        <v>2565</v>
      </c>
    </row>
    <row r="1559">
      <c r="A1559" s="8" t="s">
        <v>247</v>
      </c>
      <c r="B1559" s="8" t="s">
        <v>2833</v>
      </c>
      <c r="C1559" s="8" t="s">
        <v>122</v>
      </c>
      <c r="D1559" s="18" t="s">
        <v>2610</v>
      </c>
      <c r="E1559" s="16">
        <v>60.0</v>
      </c>
      <c r="F1559" s="8" t="s">
        <v>247</v>
      </c>
      <c r="G1559" s="8" t="s">
        <v>1525</v>
      </c>
      <c r="H1559" s="8" t="s">
        <v>16</v>
      </c>
      <c r="I1559" s="18" t="s">
        <v>2621</v>
      </c>
      <c r="J1559" s="16">
        <v>80.0</v>
      </c>
      <c r="K1559" s="8" t="s">
        <v>111</v>
      </c>
      <c r="L1559" s="8" t="s">
        <v>154</v>
      </c>
      <c r="M1559" s="18" t="s">
        <v>2582</v>
      </c>
      <c r="N1559" s="16">
        <v>76.0</v>
      </c>
      <c r="O1559" s="8" t="s">
        <v>5495</v>
      </c>
      <c r="P1559" s="8" t="s">
        <v>93</v>
      </c>
      <c r="Q1559" s="14" t="s">
        <v>2296</v>
      </c>
      <c r="R1559" s="8" t="s">
        <v>2183</v>
      </c>
      <c r="S1559" s="14" t="s">
        <v>2570</v>
      </c>
    </row>
    <row r="1560">
      <c r="A1560" s="8" t="s">
        <v>247</v>
      </c>
      <c r="B1560" s="8" t="s">
        <v>637</v>
      </c>
      <c r="C1560" s="8" t="s">
        <v>141</v>
      </c>
      <c r="D1560" s="18" t="s">
        <v>2595</v>
      </c>
      <c r="E1560" s="16">
        <v>60.0</v>
      </c>
      <c r="F1560" s="8" t="s">
        <v>247</v>
      </c>
      <c r="G1560" s="8" t="s">
        <v>78</v>
      </c>
      <c r="H1560" s="8" t="s">
        <v>93</v>
      </c>
      <c r="I1560" s="18" t="s">
        <v>2560</v>
      </c>
      <c r="J1560" s="16">
        <v>74.0</v>
      </c>
      <c r="K1560" s="8" t="s">
        <v>111</v>
      </c>
      <c r="L1560" s="8" t="s">
        <v>1601</v>
      </c>
      <c r="M1560" s="18" t="s">
        <v>2610</v>
      </c>
      <c r="N1560" s="16">
        <v>68.0</v>
      </c>
      <c r="O1560" s="8" t="s">
        <v>5496</v>
      </c>
      <c r="P1560" s="8" t="s">
        <v>132</v>
      </c>
      <c r="Q1560" s="14" t="s">
        <v>837</v>
      </c>
      <c r="R1560" s="8" t="s">
        <v>2567</v>
      </c>
      <c r="S1560" s="14" t="s">
        <v>2553</v>
      </c>
    </row>
    <row r="1561">
      <c r="A1561" s="8" t="s">
        <v>247</v>
      </c>
      <c r="B1561" s="8" t="s">
        <v>1525</v>
      </c>
      <c r="C1561" s="8" t="s">
        <v>16</v>
      </c>
      <c r="D1561" s="18" t="s">
        <v>2621</v>
      </c>
      <c r="E1561" s="16">
        <v>79.0</v>
      </c>
      <c r="F1561" s="8" t="s">
        <v>247</v>
      </c>
      <c r="G1561" s="8" t="s">
        <v>500</v>
      </c>
      <c r="H1561" s="8" t="s">
        <v>93</v>
      </c>
      <c r="I1561" s="18" t="s">
        <v>2605</v>
      </c>
      <c r="J1561" s="16">
        <v>73.0</v>
      </c>
      <c r="K1561" s="8" t="s">
        <v>111</v>
      </c>
      <c r="L1561" s="8" t="s">
        <v>599</v>
      </c>
      <c r="M1561" s="18" t="s">
        <v>2577</v>
      </c>
      <c r="N1561" s="16">
        <v>74.0</v>
      </c>
      <c r="O1561" s="8" t="s">
        <v>5497</v>
      </c>
      <c r="P1561" s="8" t="s">
        <v>70</v>
      </c>
      <c r="Q1561" s="14" t="s">
        <v>459</v>
      </c>
      <c r="R1561" s="8" t="s">
        <v>2575</v>
      </c>
      <c r="S1561" s="14" t="s">
        <v>2633</v>
      </c>
    </row>
    <row r="1562">
      <c r="A1562" s="8" t="s">
        <v>247</v>
      </c>
      <c r="B1562" s="8" t="s">
        <v>396</v>
      </c>
      <c r="C1562" s="8" t="s">
        <v>141</v>
      </c>
      <c r="D1562" s="18" t="s">
        <v>2585</v>
      </c>
      <c r="E1562" s="16">
        <v>65.0</v>
      </c>
      <c r="F1562" s="8" t="s">
        <v>247</v>
      </c>
      <c r="G1562" s="8" t="s">
        <v>3190</v>
      </c>
      <c r="H1562" s="8" t="s">
        <v>93</v>
      </c>
      <c r="I1562" s="18" t="s">
        <v>2615</v>
      </c>
      <c r="J1562" s="16">
        <v>69.0</v>
      </c>
      <c r="K1562" s="8" t="s">
        <v>111</v>
      </c>
      <c r="L1562" s="8" t="s">
        <v>349</v>
      </c>
      <c r="M1562" s="18" t="s">
        <v>2589</v>
      </c>
      <c r="N1562" s="16">
        <v>72.0</v>
      </c>
      <c r="O1562" s="8" t="s">
        <v>5498</v>
      </c>
      <c r="P1562" s="8" t="s">
        <v>192</v>
      </c>
      <c r="Q1562" s="14" t="s">
        <v>2296</v>
      </c>
      <c r="R1562" s="8" t="s">
        <v>2566</v>
      </c>
      <c r="S1562" s="14" t="s">
        <v>2609</v>
      </c>
    </row>
    <row r="1563">
      <c r="A1563" s="8" t="s">
        <v>247</v>
      </c>
      <c r="B1563" s="8" t="s">
        <v>766</v>
      </c>
      <c r="C1563" s="8" t="s">
        <v>70</v>
      </c>
      <c r="D1563" s="18" t="s">
        <v>2595</v>
      </c>
      <c r="E1563" s="16">
        <v>67.0</v>
      </c>
      <c r="F1563" s="8" t="s">
        <v>247</v>
      </c>
      <c r="G1563" s="8" t="s">
        <v>267</v>
      </c>
      <c r="H1563" s="8" t="s">
        <v>149</v>
      </c>
      <c r="I1563" s="18" t="s">
        <v>2577</v>
      </c>
      <c r="J1563" s="16">
        <v>88.0</v>
      </c>
      <c r="K1563" s="8" t="s">
        <v>33</v>
      </c>
      <c r="L1563" s="8" t="s">
        <v>32</v>
      </c>
      <c r="M1563" s="18" t="s">
        <v>2598</v>
      </c>
      <c r="N1563" s="16">
        <v>68.0</v>
      </c>
      <c r="O1563" s="8" t="s">
        <v>5499</v>
      </c>
      <c r="P1563" s="8" t="s">
        <v>53</v>
      </c>
      <c r="Q1563" s="14" t="s">
        <v>459</v>
      </c>
      <c r="R1563" s="8" t="s">
        <v>2585</v>
      </c>
      <c r="S1563" s="14" t="s">
        <v>2563</v>
      </c>
    </row>
    <row r="1564">
      <c r="A1564" s="8" t="s">
        <v>247</v>
      </c>
      <c r="B1564" s="8" t="s">
        <v>44</v>
      </c>
      <c r="C1564" s="8" t="s">
        <v>93</v>
      </c>
      <c r="D1564" s="18" t="s">
        <v>2183</v>
      </c>
      <c r="E1564" s="16">
        <v>82.0</v>
      </c>
      <c r="F1564" s="8" t="s">
        <v>247</v>
      </c>
      <c r="G1564" s="8" t="s">
        <v>44</v>
      </c>
      <c r="H1564" s="8" t="s">
        <v>93</v>
      </c>
      <c r="I1564" s="18" t="s">
        <v>2183</v>
      </c>
      <c r="J1564" s="16">
        <v>88.0</v>
      </c>
      <c r="K1564" s="8" t="s">
        <v>33</v>
      </c>
      <c r="L1564" s="8" t="s">
        <v>1532</v>
      </c>
      <c r="M1564" s="18" t="s">
        <v>2587</v>
      </c>
      <c r="N1564" s="16">
        <v>73.0</v>
      </c>
      <c r="O1564" s="8" t="s">
        <v>5500</v>
      </c>
      <c r="P1564" s="8" t="s">
        <v>70</v>
      </c>
      <c r="Q1564" s="14" t="s">
        <v>2296</v>
      </c>
      <c r="R1564" s="8" t="s">
        <v>2581</v>
      </c>
      <c r="S1564" s="14" t="s">
        <v>2622</v>
      </c>
    </row>
    <row r="1565">
      <c r="A1565" s="8" t="s">
        <v>247</v>
      </c>
      <c r="B1565" s="8" t="s">
        <v>3417</v>
      </c>
      <c r="C1565" s="8" t="s">
        <v>93</v>
      </c>
      <c r="D1565" s="18" t="s">
        <v>2593</v>
      </c>
      <c r="E1565" s="16">
        <v>70.0</v>
      </c>
      <c r="F1565" s="8" t="s">
        <v>206</v>
      </c>
      <c r="G1565" s="8" t="s">
        <v>205</v>
      </c>
      <c r="H1565" s="8" t="s">
        <v>215</v>
      </c>
      <c r="I1565" s="18" t="s">
        <v>2567</v>
      </c>
      <c r="J1565" s="16">
        <v>70.0</v>
      </c>
      <c r="K1565" s="8" t="s">
        <v>33</v>
      </c>
      <c r="L1565" s="8" t="s">
        <v>643</v>
      </c>
      <c r="M1565" s="18" t="s">
        <v>2610</v>
      </c>
      <c r="N1565" s="16">
        <v>71.0</v>
      </c>
      <c r="O1565" s="8" t="s">
        <v>5501</v>
      </c>
      <c r="P1565" s="8" t="s">
        <v>53</v>
      </c>
      <c r="Q1565" s="14" t="s">
        <v>631</v>
      </c>
      <c r="R1565" s="8" t="s">
        <v>2566</v>
      </c>
      <c r="S1565" s="14" t="s">
        <v>2573</v>
      </c>
    </row>
    <row r="1566">
      <c r="A1566" s="8" t="s">
        <v>247</v>
      </c>
      <c r="B1566" s="8" t="s">
        <v>313</v>
      </c>
      <c r="C1566" s="8" t="s">
        <v>93</v>
      </c>
      <c r="D1566" s="18" t="s">
        <v>2552</v>
      </c>
      <c r="E1566" s="16">
        <v>69.0</v>
      </c>
      <c r="F1566" s="8" t="s">
        <v>236</v>
      </c>
      <c r="G1566" s="8" t="s">
        <v>2776</v>
      </c>
      <c r="H1566" s="8" t="s">
        <v>215</v>
      </c>
      <c r="I1566" s="18" t="s">
        <v>2556</v>
      </c>
      <c r="J1566" s="16">
        <v>76.0</v>
      </c>
      <c r="K1566" s="8" t="s">
        <v>33</v>
      </c>
      <c r="L1566" s="8" t="s">
        <v>909</v>
      </c>
      <c r="M1566" s="18" t="s">
        <v>2577</v>
      </c>
      <c r="N1566" s="16">
        <v>74.0</v>
      </c>
      <c r="O1566" s="8" t="s">
        <v>5502</v>
      </c>
      <c r="P1566" s="8" t="s">
        <v>93</v>
      </c>
      <c r="Q1566" s="14" t="s">
        <v>2033</v>
      </c>
      <c r="R1566" s="8" t="s">
        <v>2575</v>
      </c>
      <c r="S1566" s="14" t="s">
        <v>2625</v>
      </c>
    </row>
    <row r="1567">
      <c r="A1567" s="8" t="s">
        <v>247</v>
      </c>
      <c r="B1567" s="8" t="s">
        <v>3060</v>
      </c>
      <c r="C1567" s="8" t="s">
        <v>138</v>
      </c>
      <c r="D1567" s="18" t="s">
        <v>2564</v>
      </c>
      <c r="E1567" s="16">
        <v>66.0</v>
      </c>
      <c r="F1567" s="8" t="s">
        <v>236</v>
      </c>
      <c r="G1567" s="8" t="s">
        <v>235</v>
      </c>
      <c r="H1567" s="8" t="s">
        <v>215</v>
      </c>
      <c r="I1567" s="18" t="s">
        <v>2574</v>
      </c>
      <c r="J1567" s="16">
        <v>83.0</v>
      </c>
      <c r="K1567" s="8" t="s">
        <v>33</v>
      </c>
      <c r="L1567" s="8" t="s">
        <v>96</v>
      </c>
      <c r="M1567" s="18" t="s">
        <v>2554</v>
      </c>
      <c r="N1567" s="16">
        <v>85.0</v>
      </c>
      <c r="O1567" s="8" t="s">
        <v>5503</v>
      </c>
      <c r="P1567" s="8" t="s">
        <v>70</v>
      </c>
      <c r="Q1567" s="14" t="s">
        <v>2033</v>
      </c>
      <c r="R1567" s="8" t="s">
        <v>2567</v>
      </c>
      <c r="S1567" s="14" t="s">
        <v>2588</v>
      </c>
    </row>
    <row r="1568">
      <c r="A1568" s="8" t="s">
        <v>247</v>
      </c>
      <c r="B1568" s="8" t="s">
        <v>609</v>
      </c>
      <c r="C1568" s="8" t="s">
        <v>65</v>
      </c>
      <c r="D1568" s="18" t="s">
        <v>2577</v>
      </c>
      <c r="E1568" s="16">
        <v>61.0</v>
      </c>
      <c r="F1568" s="8" t="s">
        <v>236</v>
      </c>
      <c r="G1568" s="8" t="s">
        <v>336</v>
      </c>
      <c r="H1568" s="8" t="s">
        <v>65</v>
      </c>
      <c r="I1568" s="18" t="s">
        <v>2615</v>
      </c>
      <c r="J1568" s="16">
        <v>60.0</v>
      </c>
      <c r="K1568" s="8" t="s">
        <v>33</v>
      </c>
      <c r="L1568" s="8" t="s">
        <v>2897</v>
      </c>
      <c r="M1568" s="18" t="s">
        <v>2562</v>
      </c>
      <c r="N1568" s="16">
        <v>69.0</v>
      </c>
      <c r="O1568" s="8" t="s">
        <v>5504</v>
      </c>
      <c r="P1568" s="8" t="s">
        <v>65</v>
      </c>
      <c r="Q1568" s="14" t="s">
        <v>837</v>
      </c>
      <c r="R1568" s="8" t="s">
        <v>2584</v>
      </c>
      <c r="S1568" s="14" t="s">
        <v>2607</v>
      </c>
    </row>
    <row r="1569">
      <c r="A1569" s="8" t="s">
        <v>247</v>
      </c>
      <c r="B1569" s="8" t="s">
        <v>78</v>
      </c>
      <c r="C1569" s="8" t="s">
        <v>93</v>
      </c>
      <c r="D1569" s="18" t="s">
        <v>2560</v>
      </c>
      <c r="E1569" s="16">
        <v>74.0</v>
      </c>
      <c r="F1569" s="8" t="s">
        <v>471</v>
      </c>
      <c r="G1569" s="8" t="s">
        <v>588</v>
      </c>
      <c r="H1569" s="8" t="s">
        <v>186</v>
      </c>
      <c r="I1569" s="18" t="s">
        <v>2614</v>
      </c>
      <c r="J1569" s="16">
        <v>64.0</v>
      </c>
      <c r="K1569" s="8" t="s">
        <v>33</v>
      </c>
      <c r="L1569" s="8" t="s">
        <v>2908</v>
      </c>
      <c r="M1569" s="18" t="s">
        <v>2593</v>
      </c>
      <c r="N1569" s="16">
        <v>68.0</v>
      </c>
      <c r="O1569" s="8" t="s">
        <v>5505</v>
      </c>
      <c r="P1569" s="8" t="s">
        <v>59</v>
      </c>
      <c r="Q1569" s="14" t="s">
        <v>2033</v>
      </c>
      <c r="R1569" s="18" t="s">
        <v>2556</v>
      </c>
      <c r="S1569" s="14" t="s">
        <v>2565</v>
      </c>
    </row>
    <row r="1570">
      <c r="A1570" s="8" t="s">
        <v>206</v>
      </c>
      <c r="B1570" s="8" t="s">
        <v>205</v>
      </c>
      <c r="C1570" s="8" t="s">
        <v>138</v>
      </c>
      <c r="D1570" s="18" t="s">
        <v>2610</v>
      </c>
      <c r="E1570" s="16">
        <v>65.0</v>
      </c>
      <c r="F1570" s="8" t="s">
        <v>471</v>
      </c>
      <c r="G1570" s="8" t="s">
        <v>2843</v>
      </c>
      <c r="H1570" s="8" t="s">
        <v>53</v>
      </c>
      <c r="I1570" s="18" t="s">
        <v>2566</v>
      </c>
      <c r="J1570" s="16">
        <v>68.0</v>
      </c>
      <c r="K1570" s="8" t="s">
        <v>33</v>
      </c>
      <c r="L1570" s="8" t="s">
        <v>67</v>
      </c>
      <c r="M1570" s="18" t="s">
        <v>2598</v>
      </c>
      <c r="N1570" s="16">
        <v>85.0</v>
      </c>
      <c r="O1570" s="8" t="s">
        <v>5506</v>
      </c>
      <c r="P1570" s="8" t="s">
        <v>65</v>
      </c>
      <c r="Q1570" s="14" t="s">
        <v>1679</v>
      </c>
      <c r="R1570" s="8" t="s">
        <v>2558</v>
      </c>
      <c r="S1570" s="14" t="s">
        <v>2602</v>
      </c>
    </row>
    <row r="1571">
      <c r="A1571" s="8" t="s">
        <v>236</v>
      </c>
      <c r="B1571" s="8" t="s">
        <v>235</v>
      </c>
      <c r="C1571" s="8" t="s">
        <v>138</v>
      </c>
      <c r="D1571" s="18" t="s">
        <v>2574</v>
      </c>
      <c r="E1571" s="16">
        <v>76.0</v>
      </c>
      <c r="F1571" s="8" t="s">
        <v>471</v>
      </c>
      <c r="G1571" s="8" t="s">
        <v>470</v>
      </c>
      <c r="H1571" s="8" t="s">
        <v>186</v>
      </c>
      <c r="I1571" s="18" t="s">
        <v>2593</v>
      </c>
      <c r="J1571" s="16">
        <v>77.0</v>
      </c>
      <c r="K1571" s="8" t="s">
        <v>33</v>
      </c>
      <c r="L1571" s="8" t="s">
        <v>2723</v>
      </c>
      <c r="M1571" s="18" t="s">
        <v>2554</v>
      </c>
      <c r="N1571" s="16">
        <v>66.0</v>
      </c>
      <c r="O1571" s="8" t="s">
        <v>5507</v>
      </c>
      <c r="P1571" s="8" t="s">
        <v>80</v>
      </c>
      <c r="Q1571" s="14" t="s">
        <v>1679</v>
      </c>
      <c r="R1571" s="8" t="s">
        <v>2593</v>
      </c>
      <c r="S1571" s="14" t="s">
        <v>2583</v>
      </c>
    </row>
    <row r="1572">
      <c r="A1572" s="8" t="s">
        <v>236</v>
      </c>
      <c r="B1572" s="8" t="s">
        <v>336</v>
      </c>
      <c r="C1572" s="8" t="s">
        <v>65</v>
      </c>
      <c r="D1572" s="18" t="s">
        <v>2610</v>
      </c>
      <c r="E1572" s="16">
        <v>59.0</v>
      </c>
      <c r="F1572" s="8" t="s">
        <v>471</v>
      </c>
      <c r="G1572" s="8" t="s">
        <v>384</v>
      </c>
      <c r="H1572" s="8" t="s">
        <v>70</v>
      </c>
      <c r="I1572" s="18" t="s">
        <v>2595</v>
      </c>
      <c r="J1572" s="16">
        <v>84.0</v>
      </c>
      <c r="K1572" s="8" t="s">
        <v>33</v>
      </c>
      <c r="L1572" s="8" t="s">
        <v>392</v>
      </c>
      <c r="M1572" s="18" t="s">
        <v>2574</v>
      </c>
      <c r="N1572" s="16">
        <v>74.0</v>
      </c>
      <c r="O1572" s="8" t="s">
        <v>5508</v>
      </c>
      <c r="P1572" s="8" t="s">
        <v>186</v>
      </c>
      <c r="Q1572" s="14" t="s">
        <v>837</v>
      </c>
      <c r="R1572" s="8" t="s">
        <v>2582</v>
      </c>
      <c r="S1572" s="14" t="s">
        <v>2579</v>
      </c>
    </row>
    <row r="1573">
      <c r="A1573" s="8" t="s">
        <v>236</v>
      </c>
      <c r="B1573" s="8" t="s">
        <v>3621</v>
      </c>
      <c r="C1573" s="8" t="s">
        <v>215</v>
      </c>
      <c r="D1573" s="18" t="s">
        <v>2556</v>
      </c>
      <c r="E1573" s="16">
        <v>78.0</v>
      </c>
      <c r="F1573" s="8" t="s">
        <v>471</v>
      </c>
      <c r="G1573" s="8" t="s">
        <v>1960</v>
      </c>
      <c r="H1573" s="8" t="s">
        <v>16</v>
      </c>
      <c r="I1573" s="18" t="s">
        <v>2605</v>
      </c>
      <c r="J1573" s="16">
        <v>67.0</v>
      </c>
      <c r="K1573" s="8" t="s">
        <v>33</v>
      </c>
      <c r="L1573" s="8" t="s">
        <v>1313</v>
      </c>
      <c r="M1573" s="18" t="s">
        <v>2575</v>
      </c>
      <c r="N1573" s="16">
        <v>68.0</v>
      </c>
      <c r="O1573" s="8" t="s">
        <v>5509</v>
      </c>
      <c r="P1573" s="8" t="s">
        <v>215</v>
      </c>
      <c r="Q1573" s="14" t="s">
        <v>1352</v>
      </c>
      <c r="R1573" s="8" t="s">
        <v>2574</v>
      </c>
      <c r="S1573" s="14" t="s">
        <v>2563</v>
      </c>
    </row>
    <row r="1574">
      <c r="A1574" s="8" t="s">
        <v>236</v>
      </c>
      <c r="B1574" s="8" t="s">
        <v>78</v>
      </c>
      <c r="C1574" s="8" t="s">
        <v>215</v>
      </c>
      <c r="D1574" s="18" t="s">
        <v>2581</v>
      </c>
      <c r="E1574" s="16">
        <v>81.0</v>
      </c>
      <c r="F1574" s="8" t="s">
        <v>471</v>
      </c>
      <c r="G1574" s="8" t="s">
        <v>927</v>
      </c>
      <c r="H1574" s="8" t="s">
        <v>75</v>
      </c>
      <c r="I1574" s="18" t="s">
        <v>2603</v>
      </c>
      <c r="J1574" s="16">
        <v>71.0</v>
      </c>
      <c r="K1574" s="8" t="s">
        <v>33</v>
      </c>
      <c r="L1574" s="8" t="s">
        <v>1721</v>
      </c>
      <c r="M1574" s="18" t="s">
        <v>2585</v>
      </c>
      <c r="N1574" s="16">
        <v>75.0</v>
      </c>
      <c r="O1574" s="8" t="s">
        <v>5510</v>
      </c>
      <c r="P1574" s="8" t="s">
        <v>192</v>
      </c>
      <c r="Q1574" s="14" t="s">
        <v>2296</v>
      </c>
      <c r="R1574" s="8" t="s">
        <v>2603</v>
      </c>
      <c r="S1574" s="14" t="s">
        <v>2568</v>
      </c>
    </row>
    <row r="1575">
      <c r="A1575" s="8" t="s">
        <v>471</v>
      </c>
      <c r="B1575" s="8" t="s">
        <v>470</v>
      </c>
      <c r="C1575" s="8" t="s">
        <v>53</v>
      </c>
      <c r="D1575" s="18" t="s">
        <v>2593</v>
      </c>
      <c r="E1575" s="16">
        <v>75.0</v>
      </c>
      <c r="F1575" s="8" t="s">
        <v>695</v>
      </c>
      <c r="G1575" s="8" t="s">
        <v>325</v>
      </c>
      <c r="H1575" s="8" t="s">
        <v>53</v>
      </c>
      <c r="I1575" s="18" t="s">
        <v>2589</v>
      </c>
      <c r="J1575" s="16">
        <v>82.0</v>
      </c>
      <c r="K1575" s="8" t="s">
        <v>33</v>
      </c>
      <c r="L1575" s="8" t="s">
        <v>242</v>
      </c>
      <c r="M1575" s="18" t="s">
        <v>2598</v>
      </c>
      <c r="N1575" s="16">
        <v>80.0</v>
      </c>
      <c r="O1575" s="8" t="s">
        <v>5511</v>
      </c>
      <c r="P1575" s="8" t="s">
        <v>65</v>
      </c>
      <c r="Q1575" s="14" t="s">
        <v>2296</v>
      </c>
      <c r="R1575" s="8" t="s">
        <v>2575</v>
      </c>
      <c r="S1575" s="14" t="s">
        <v>2590</v>
      </c>
    </row>
    <row r="1576">
      <c r="A1576" s="8" t="s">
        <v>471</v>
      </c>
      <c r="B1576" s="8" t="s">
        <v>927</v>
      </c>
      <c r="C1576" s="8" t="s">
        <v>75</v>
      </c>
      <c r="D1576" s="18" t="s">
        <v>2603</v>
      </c>
      <c r="E1576" s="16">
        <v>69.0</v>
      </c>
      <c r="F1576" s="8" t="s">
        <v>695</v>
      </c>
      <c r="G1576" s="8" t="s">
        <v>3130</v>
      </c>
      <c r="H1576" s="8" t="s">
        <v>65</v>
      </c>
      <c r="I1576" s="18" t="s">
        <v>2605</v>
      </c>
      <c r="J1576" s="16">
        <v>75.0</v>
      </c>
      <c r="K1576" s="8" t="s">
        <v>33</v>
      </c>
      <c r="L1576" s="8" t="s">
        <v>3093</v>
      </c>
      <c r="M1576" s="18" t="s">
        <v>2600</v>
      </c>
      <c r="N1576" s="16">
        <v>71.0</v>
      </c>
      <c r="O1576" s="8" t="s">
        <v>5512</v>
      </c>
      <c r="P1576" s="8" t="s">
        <v>65</v>
      </c>
      <c r="Q1576" s="14" t="s">
        <v>631</v>
      </c>
      <c r="R1576" s="8" t="s">
        <v>2585</v>
      </c>
      <c r="S1576" s="14" t="s">
        <v>2578</v>
      </c>
    </row>
    <row r="1577">
      <c r="A1577" s="8" t="s">
        <v>471</v>
      </c>
      <c r="B1577" s="8" t="s">
        <v>2843</v>
      </c>
      <c r="C1577" s="8" t="s">
        <v>53</v>
      </c>
      <c r="D1577" s="18" t="s">
        <v>2566</v>
      </c>
      <c r="E1577" s="16">
        <v>68.0</v>
      </c>
      <c r="F1577" s="8" t="s">
        <v>2143</v>
      </c>
      <c r="G1577" s="8" t="s">
        <v>106</v>
      </c>
      <c r="H1577" s="8" t="s">
        <v>65</v>
      </c>
      <c r="I1577" s="18" t="s">
        <v>2620</v>
      </c>
      <c r="J1577" s="16">
        <v>71.0</v>
      </c>
      <c r="K1577" s="8" t="s">
        <v>33</v>
      </c>
      <c r="L1577" s="8" t="s">
        <v>1463</v>
      </c>
      <c r="M1577" s="18" t="s">
        <v>2581</v>
      </c>
      <c r="N1577" s="16">
        <v>81.0</v>
      </c>
      <c r="O1577" s="8" t="s">
        <v>5513</v>
      </c>
      <c r="P1577" s="8" t="s">
        <v>132</v>
      </c>
      <c r="Q1577" s="14" t="s">
        <v>108</v>
      </c>
      <c r="R1577" s="8" t="s">
        <v>2575</v>
      </c>
      <c r="S1577" s="14" t="s">
        <v>2616</v>
      </c>
    </row>
    <row r="1578">
      <c r="A1578" s="8" t="s">
        <v>471</v>
      </c>
      <c r="B1578" s="8" t="s">
        <v>384</v>
      </c>
      <c r="C1578" s="8" t="s">
        <v>70</v>
      </c>
      <c r="D1578" s="18" t="s">
        <v>2595</v>
      </c>
      <c r="E1578" s="16">
        <v>83.0</v>
      </c>
      <c r="F1578" s="8" t="s">
        <v>2143</v>
      </c>
      <c r="G1578" s="8" t="s">
        <v>2142</v>
      </c>
      <c r="H1578" s="8" t="s">
        <v>93</v>
      </c>
      <c r="I1578" s="18" t="s">
        <v>2575</v>
      </c>
      <c r="J1578" s="16">
        <v>75.0</v>
      </c>
      <c r="K1578" s="8" t="s">
        <v>33</v>
      </c>
      <c r="L1578" s="8" t="s">
        <v>3054</v>
      </c>
      <c r="M1578" s="18" t="s">
        <v>2567</v>
      </c>
      <c r="N1578" s="16">
        <v>77.0</v>
      </c>
      <c r="O1578" s="8" t="s">
        <v>5514</v>
      </c>
      <c r="P1578" s="8" t="s">
        <v>46</v>
      </c>
      <c r="Q1578" s="14" t="s">
        <v>338</v>
      </c>
      <c r="R1578" s="8" t="s">
        <v>2595</v>
      </c>
      <c r="S1578" s="14" t="s">
        <v>2594</v>
      </c>
    </row>
    <row r="1579">
      <c r="A1579" s="8" t="s">
        <v>471</v>
      </c>
      <c r="B1579" s="8" t="s">
        <v>588</v>
      </c>
      <c r="C1579" s="8" t="s">
        <v>59</v>
      </c>
      <c r="D1579" s="18" t="s">
        <v>2614</v>
      </c>
      <c r="E1579" s="16">
        <v>61.0</v>
      </c>
      <c r="F1579" s="8" t="s">
        <v>2143</v>
      </c>
      <c r="G1579" s="8" t="s">
        <v>163</v>
      </c>
      <c r="H1579" s="8" t="s">
        <v>70</v>
      </c>
      <c r="I1579" s="18" t="s">
        <v>2567</v>
      </c>
      <c r="J1579" s="16">
        <v>72.0</v>
      </c>
      <c r="K1579" s="8" t="s">
        <v>33</v>
      </c>
      <c r="L1579" s="8" t="s">
        <v>1264</v>
      </c>
      <c r="M1579" s="18" t="s">
        <v>2645</v>
      </c>
      <c r="N1579" s="16">
        <v>61.0</v>
      </c>
      <c r="O1579" s="8" t="s">
        <v>5515</v>
      </c>
      <c r="P1579" s="8" t="s">
        <v>93</v>
      </c>
      <c r="Q1579" s="14" t="s">
        <v>2033</v>
      </c>
      <c r="R1579" s="8" t="s">
        <v>2595</v>
      </c>
      <c r="S1579" s="14" t="s">
        <v>2604</v>
      </c>
    </row>
    <row r="1580">
      <c r="A1580" s="8" t="s">
        <v>471</v>
      </c>
      <c r="B1580" s="8" t="s">
        <v>1960</v>
      </c>
      <c r="C1580" s="8" t="s">
        <v>16</v>
      </c>
      <c r="D1580" s="18" t="s">
        <v>2620</v>
      </c>
      <c r="E1580" s="16">
        <v>72.0</v>
      </c>
      <c r="F1580" s="8" t="s">
        <v>965</v>
      </c>
      <c r="G1580" s="8" t="s">
        <v>42</v>
      </c>
      <c r="H1580" s="8" t="s">
        <v>65</v>
      </c>
      <c r="I1580" s="18" t="s">
        <v>2584</v>
      </c>
      <c r="J1580" s="16">
        <v>80.0</v>
      </c>
      <c r="K1580" s="8" t="s">
        <v>33</v>
      </c>
      <c r="L1580" s="8" t="s">
        <v>417</v>
      </c>
      <c r="M1580" s="18" t="s">
        <v>2564</v>
      </c>
      <c r="N1580" s="16">
        <v>71.0</v>
      </c>
      <c r="O1580" s="8" t="s">
        <v>5516</v>
      </c>
      <c r="P1580" s="8" t="s">
        <v>75</v>
      </c>
      <c r="Q1580" s="14" t="s">
        <v>1679</v>
      </c>
      <c r="R1580" s="8" t="s">
        <v>2562</v>
      </c>
      <c r="S1580" s="14" t="s">
        <v>2555</v>
      </c>
    </row>
    <row r="1581">
      <c r="A1581" s="8" t="s">
        <v>695</v>
      </c>
      <c r="B1581" s="8" t="s">
        <v>325</v>
      </c>
      <c r="C1581" s="8" t="s">
        <v>53</v>
      </c>
      <c r="D1581" s="18" t="s">
        <v>2589</v>
      </c>
      <c r="E1581" s="16">
        <v>69.0</v>
      </c>
      <c r="F1581" s="8" t="s">
        <v>3336</v>
      </c>
      <c r="G1581" s="8" t="s">
        <v>94</v>
      </c>
      <c r="H1581" s="8" t="s">
        <v>215</v>
      </c>
      <c r="I1581" s="18" t="s">
        <v>2587</v>
      </c>
      <c r="J1581" s="16">
        <v>61.0</v>
      </c>
      <c r="K1581" s="8" t="s">
        <v>33</v>
      </c>
      <c r="L1581" s="8" t="s">
        <v>589</v>
      </c>
      <c r="M1581" s="18" t="s">
        <v>2620</v>
      </c>
      <c r="N1581" s="16">
        <v>80.0</v>
      </c>
      <c r="O1581" s="8" t="s">
        <v>5517</v>
      </c>
      <c r="P1581" s="8" t="s">
        <v>80</v>
      </c>
      <c r="Q1581" s="14" t="s">
        <v>2033</v>
      </c>
      <c r="R1581" s="8" t="s">
        <v>2567</v>
      </c>
      <c r="S1581" s="14" t="s">
        <v>2563</v>
      </c>
    </row>
    <row r="1582">
      <c r="A1582" s="8" t="s">
        <v>695</v>
      </c>
      <c r="B1582" s="8" t="s">
        <v>2886</v>
      </c>
      <c r="C1582" s="8" t="s">
        <v>122</v>
      </c>
      <c r="D1582" s="18" t="s">
        <v>2600</v>
      </c>
      <c r="E1582" s="16">
        <v>67.0</v>
      </c>
      <c r="F1582" s="8" t="s">
        <v>2814</v>
      </c>
      <c r="G1582" s="8" t="s">
        <v>703</v>
      </c>
      <c r="H1582" s="8" t="s">
        <v>24</v>
      </c>
      <c r="I1582" s="18" t="s">
        <v>2581</v>
      </c>
      <c r="J1582" s="16">
        <v>69.0</v>
      </c>
      <c r="K1582" s="8" t="s">
        <v>33</v>
      </c>
      <c r="L1582" s="8" t="s">
        <v>2064</v>
      </c>
      <c r="M1582" s="18" t="s">
        <v>2598</v>
      </c>
      <c r="N1582" s="16">
        <v>87.0</v>
      </c>
      <c r="O1582" s="8" t="s">
        <v>5518</v>
      </c>
      <c r="P1582" s="8" t="s">
        <v>65</v>
      </c>
      <c r="Q1582" s="14" t="s">
        <v>1070</v>
      </c>
      <c r="R1582" s="8" t="s">
        <v>2605</v>
      </c>
      <c r="S1582" s="14" t="s">
        <v>2622</v>
      </c>
    </row>
    <row r="1583">
      <c r="A1583" s="8" t="s">
        <v>695</v>
      </c>
      <c r="B1583" s="8" t="s">
        <v>3130</v>
      </c>
      <c r="C1583" s="8" t="s">
        <v>65</v>
      </c>
      <c r="D1583" s="18" t="s">
        <v>2577</v>
      </c>
      <c r="E1583" s="16">
        <v>76.0</v>
      </c>
      <c r="F1583" s="8" t="s">
        <v>2172</v>
      </c>
      <c r="G1583" s="8" t="s">
        <v>42</v>
      </c>
      <c r="H1583" s="8" t="s">
        <v>186</v>
      </c>
      <c r="I1583" s="18" t="s">
        <v>2556</v>
      </c>
      <c r="J1583" s="16">
        <v>63.0</v>
      </c>
      <c r="K1583" s="8" t="s">
        <v>33</v>
      </c>
      <c r="L1583" s="8" t="s">
        <v>67</v>
      </c>
      <c r="M1583" s="18" t="s">
        <v>2598</v>
      </c>
      <c r="N1583" s="16">
        <v>88.0</v>
      </c>
      <c r="O1583" s="8" t="s">
        <v>5519</v>
      </c>
      <c r="P1583" s="8" t="s">
        <v>65</v>
      </c>
      <c r="Q1583" s="14" t="s">
        <v>459</v>
      </c>
      <c r="R1583" s="8" t="s">
        <v>2554</v>
      </c>
      <c r="S1583" s="14" t="s">
        <v>2633</v>
      </c>
    </row>
    <row r="1584">
      <c r="A1584" s="8" t="s">
        <v>2143</v>
      </c>
      <c r="B1584" s="8" t="s">
        <v>106</v>
      </c>
      <c r="C1584" s="8" t="s">
        <v>65</v>
      </c>
      <c r="D1584" s="18" t="s">
        <v>2620</v>
      </c>
      <c r="E1584" s="16">
        <v>73.0</v>
      </c>
      <c r="F1584" s="8" t="s">
        <v>2881</v>
      </c>
      <c r="G1584" s="8" t="s">
        <v>956</v>
      </c>
      <c r="H1584" s="8" t="s">
        <v>38</v>
      </c>
      <c r="I1584" s="18" t="s">
        <v>2556</v>
      </c>
      <c r="J1584" s="16">
        <v>85.0</v>
      </c>
      <c r="K1584" s="8" t="s">
        <v>176</v>
      </c>
      <c r="L1584" s="8" t="s">
        <v>318</v>
      </c>
      <c r="M1584" s="18" t="s">
        <v>2554</v>
      </c>
      <c r="N1584" s="16">
        <v>83.0</v>
      </c>
      <c r="O1584" s="8" t="s">
        <v>5520</v>
      </c>
      <c r="P1584" s="8" t="s">
        <v>192</v>
      </c>
      <c r="Q1584" s="14" t="s">
        <v>1070</v>
      </c>
      <c r="R1584" s="8" t="s">
        <v>2603</v>
      </c>
      <c r="S1584" s="14" t="s">
        <v>2555</v>
      </c>
    </row>
    <row r="1585">
      <c r="A1585" s="8" t="s">
        <v>2143</v>
      </c>
      <c r="B1585" s="8" t="s">
        <v>1264</v>
      </c>
      <c r="C1585" s="8" t="s">
        <v>65</v>
      </c>
      <c r="D1585" s="18" t="s">
        <v>2615</v>
      </c>
      <c r="E1585" s="16">
        <v>65.0</v>
      </c>
      <c r="F1585" s="8" t="s">
        <v>2007</v>
      </c>
      <c r="G1585" s="8" t="s">
        <v>78</v>
      </c>
      <c r="H1585" s="8" t="s">
        <v>261</v>
      </c>
      <c r="I1585" s="18" t="s">
        <v>2584</v>
      </c>
      <c r="J1585" s="16">
        <v>68.0</v>
      </c>
      <c r="K1585" s="8" t="s">
        <v>176</v>
      </c>
      <c r="L1585" s="8" t="s">
        <v>1482</v>
      </c>
      <c r="M1585" s="18" t="s">
        <v>2582</v>
      </c>
      <c r="N1585" s="16">
        <v>78.0</v>
      </c>
      <c r="O1585" s="8" t="s">
        <v>5521</v>
      </c>
      <c r="P1585" s="8" t="s">
        <v>141</v>
      </c>
      <c r="Q1585" s="14" t="s">
        <v>2033</v>
      </c>
      <c r="R1585" s="18" t="s">
        <v>2589</v>
      </c>
      <c r="S1585" s="14" t="s">
        <v>2576</v>
      </c>
    </row>
    <row r="1586">
      <c r="A1586" s="8" t="s">
        <v>965</v>
      </c>
      <c r="B1586" s="8" t="s">
        <v>42</v>
      </c>
      <c r="C1586" s="8" t="s">
        <v>65</v>
      </c>
      <c r="D1586" s="18" t="s">
        <v>2584</v>
      </c>
      <c r="E1586" s="16">
        <v>71.0</v>
      </c>
      <c r="F1586" s="8" t="s">
        <v>2007</v>
      </c>
      <c r="G1586" s="8" t="s">
        <v>1055</v>
      </c>
      <c r="H1586" s="8" t="s">
        <v>93</v>
      </c>
      <c r="I1586" s="18" t="s">
        <v>2614</v>
      </c>
      <c r="J1586" s="16">
        <v>65.0</v>
      </c>
      <c r="K1586" s="8" t="s">
        <v>176</v>
      </c>
      <c r="L1586" s="8" t="s">
        <v>175</v>
      </c>
      <c r="M1586" s="18" t="s">
        <v>2600</v>
      </c>
      <c r="N1586" s="16">
        <v>69.0</v>
      </c>
      <c r="O1586" s="8" t="s">
        <v>5522</v>
      </c>
      <c r="P1586" s="8" t="s">
        <v>12</v>
      </c>
      <c r="Q1586" s="14" t="s">
        <v>108</v>
      </c>
      <c r="R1586" s="8" t="s">
        <v>2558</v>
      </c>
      <c r="S1586" s="14" t="s">
        <v>2553</v>
      </c>
    </row>
    <row r="1587">
      <c r="A1587" s="8" t="s">
        <v>2814</v>
      </c>
      <c r="B1587" s="8" t="s">
        <v>703</v>
      </c>
      <c r="C1587" s="8" t="s">
        <v>24</v>
      </c>
      <c r="D1587" s="18" t="s">
        <v>2581</v>
      </c>
      <c r="E1587" s="16">
        <v>69.0</v>
      </c>
      <c r="F1587" s="8" t="s">
        <v>1733</v>
      </c>
      <c r="G1587" s="8" t="s">
        <v>726</v>
      </c>
      <c r="H1587" s="8" t="s">
        <v>93</v>
      </c>
      <c r="I1587" s="18" t="s">
        <v>2593</v>
      </c>
      <c r="J1587" s="16">
        <v>62.0</v>
      </c>
      <c r="K1587" s="8" t="s">
        <v>176</v>
      </c>
      <c r="L1587" s="8" t="s">
        <v>954</v>
      </c>
      <c r="M1587" s="18" t="s">
        <v>2575</v>
      </c>
      <c r="N1587" s="16">
        <v>80.0</v>
      </c>
      <c r="O1587" s="8" t="s">
        <v>5523</v>
      </c>
      <c r="P1587" s="8" t="s">
        <v>186</v>
      </c>
      <c r="Q1587" s="14" t="s">
        <v>338</v>
      </c>
      <c r="R1587" s="8" t="s">
        <v>2582</v>
      </c>
      <c r="S1587" s="14" t="s">
        <v>2590</v>
      </c>
    </row>
    <row r="1588">
      <c r="A1588" s="8" t="s">
        <v>3140</v>
      </c>
      <c r="B1588" s="8" t="s">
        <v>451</v>
      </c>
      <c r="C1588" s="8" t="s">
        <v>65</v>
      </c>
      <c r="D1588" s="18" t="s">
        <v>2605</v>
      </c>
      <c r="E1588" s="16">
        <v>73.0</v>
      </c>
      <c r="F1588" s="8" t="s">
        <v>914</v>
      </c>
      <c r="G1588" s="8" t="s">
        <v>3189</v>
      </c>
      <c r="H1588" s="8" t="s">
        <v>65</v>
      </c>
      <c r="I1588" s="18" t="s">
        <v>2589</v>
      </c>
      <c r="J1588" s="16">
        <v>62.0</v>
      </c>
      <c r="K1588" s="8" t="s">
        <v>176</v>
      </c>
      <c r="L1588" s="8" t="s">
        <v>1761</v>
      </c>
      <c r="M1588" s="18" t="s">
        <v>2615</v>
      </c>
      <c r="N1588" s="16">
        <v>63.0</v>
      </c>
      <c r="O1588" s="8" t="s">
        <v>5524</v>
      </c>
      <c r="P1588" s="8" t="s">
        <v>16</v>
      </c>
      <c r="Q1588" s="14" t="s">
        <v>1679</v>
      </c>
      <c r="R1588" s="8" t="s">
        <v>2577</v>
      </c>
      <c r="S1588" s="14" t="s">
        <v>2579</v>
      </c>
    </row>
    <row r="1589">
      <c r="A1589" s="8" t="s">
        <v>2852</v>
      </c>
      <c r="B1589" s="8" t="s">
        <v>2851</v>
      </c>
      <c r="C1589" s="8" t="s">
        <v>80</v>
      </c>
      <c r="D1589" s="18" t="s">
        <v>2621</v>
      </c>
      <c r="E1589" s="16">
        <v>72.0</v>
      </c>
      <c r="F1589" s="8" t="s">
        <v>914</v>
      </c>
      <c r="G1589" s="8" t="s">
        <v>913</v>
      </c>
      <c r="H1589" s="8" t="s">
        <v>53</v>
      </c>
      <c r="I1589" s="18" t="s">
        <v>2610</v>
      </c>
      <c r="J1589" s="16">
        <v>63.0</v>
      </c>
      <c r="K1589" s="8" t="s">
        <v>176</v>
      </c>
      <c r="L1589" s="8" t="s">
        <v>835</v>
      </c>
      <c r="M1589" s="18" t="s">
        <v>2567</v>
      </c>
      <c r="N1589" s="16">
        <v>66.0</v>
      </c>
      <c r="O1589" s="8" t="s">
        <v>5525</v>
      </c>
      <c r="P1589" s="8" t="s">
        <v>24</v>
      </c>
      <c r="Q1589" s="14" t="s">
        <v>1352</v>
      </c>
      <c r="R1589" s="8" t="s">
        <v>2610</v>
      </c>
      <c r="S1589" s="14" t="s">
        <v>2563</v>
      </c>
    </row>
    <row r="1590">
      <c r="A1590" s="8" t="s">
        <v>2881</v>
      </c>
      <c r="B1590" s="8" t="s">
        <v>956</v>
      </c>
      <c r="C1590" s="8" t="s">
        <v>38</v>
      </c>
      <c r="D1590" s="18" t="s">
        <v>2556</v>
      </c>
      <c r="E1590" s="16">
        <v>82.0</v>
      </c>
      <c r="F1590" s="8" t="s">
        <v>699</v>
      </c>
      <c r="G1590" s="8" t="s">
        <v>520</v>
      </c>
      <c r="H1590" s="8" t="s">
        <v>65</v>
      </c>
      <c r="I1590" s="18" t="s">
        <v>2585</v>
      </c>
      <c r="J1590" s="16">
        <v>73.0</v>
      </c>
      <c r="K1590" s="8" t="s">
        <v>176</v>
      </c>
      <c r="L1590" s="8" t="s">
        <v>318</v>
      </c>
      <c r="M1590" s="18" t="s">
        <v>2554</v>
      </c>
      <c r="N1590" s="16">
        <v>89.0</v>
      </c>
      <c r="O1590" s="8" t="s">
        <v>5526</v>
      </c>
      <c r="P1590" s="8" t="s">
        <v>16</v>
      </c>
      <c r="Q1590" s="14" t="s">
        <v>631</v>
      </c>
      <c r="R1590" s="8" t="s">
        <v>2587</v>
      </c>
      <c r="S1590" s="14" t="s">
        <v>2583</v>
      </c>
    </row>
    <row r="1591">
      <c r="A1591" s="8" t="s">
        <v>2007</v>
      </c>
      <c r="B1591" s="8" t="s">
        <v>3783</v>
      </c>
      <c r="C1591" s="8" t="s">
        <v>65</v>
      </c>
      <c r="D1591" s="18" t="s">
        <v>2593</v>
      </c>
      <c r="E1591" s="16">
        <v>63.0</v>
      </c>
      <c r="F1591" s="8" t="s">
        <v>131</v>
      </c>
      <c r="G1591" s="8" t="s">
        <v>130</v>
      </c>
      <c r="H1591" s="8" t="s">
        <v>132</v>
      </c>
      <c r="I1591" s="18" t="s">
        <v>2575</v>
      </c>
      <c r="J1591" s="16">
        <v>96.0</v>
      </c>
      <c r="K1591" s="8" t="s">
        <v>908</v>
      </c>
      <c r="L1591" s="8" t="s">
        <v>907</v>
      </c>
      <c r="M1591" s="18" t="s">
        <v>2567</v>
      </c>
      <c r="N1591" s="16">
        <v>77.0</v>
      </c>
      <c r="O1591" s="8" t="s">
        <v>5527</v>
      </c>
      <c r="P1591" s="8" t="s">
        <v>38</v>
      </c>
      <c r="Q1591" s="14" t="s">
        <v>237</v>
      </c>
      <c r="R1591" s="8" t="s">
        <v>2598</v>
      </c>
      <c r="S1591" s="14" t="s">
        <v>2586</v>
      </c>
    </row>
    <row r="1592">
      <c r="A1592" s="8" t="s">
        <v>1733</v>
      </c>
      <c r="B1592" s="8" t="s">
        <v>726</v>
      </c>
      <c r="C1592" s="8" t="s">
        <v>192</v>
      </c>
      <c r="D1592" s="18" t="s">
        <v>2589</v>
      </c>
      <c r="E1592" s="16">
        <v>64.0</v>
      </c>
      <c r="F1592" s="8" t="s">
        <v>405</v>
      </c>
      <c r="G1592" s="8" t="s">
        <v>404</v>
      </c>
      <c r="H1592" s="8" t="s">
        <v>149</v>
      </c>
      <c r="I1592" s="18" t="s">
        <v>2556</v>
      </c>
      <c r="J1592" s="16">
        <v>71.0</v>
      </c>
      <c r="K1592" s="8" t="s">
        <v>634</v>
      </c>
      <c r="L1592" s="8" t="s">
        <v>99</v>
      </c>
      <c r="M1592" s="18" t="s">
        <v>2581</v>
      </c>
      <c r="N1592" s="16">
        <v>68.0</v>
      </c>
      <c r="O1592" s="8" t="s">
        <v>5528</v>
      </c>
      <c r="P1592" s="8" t="s">
        <v>70</v>
      </c>
      <c r="Q1592" s="14" t="s">
        <v>1679</v>
      </c>
      <c r="R1592" s="8" t="s">
        <v>2585</v>
      </c>
      <c r="S1592" s="14" t="s">
        <v>2588</v>
      </c>
    </row>
    <row r="1593">
      <c r="A1593" s="8" t="s">
        <v>914</v>
      </c>
      <c r="B1593" s="8" t="s">
        <v>913</v>
      </c>
      <c r="C1593" s="8" t="s">
        <v>59</v>
      </c>
      <c r="D1593" s="18" t="s">
        <v>2610</v>
      </c>
      <c r="E1593" s="16">
        <v>63.0</v>
      </c>
      <c r="F1593" s="8" t="s">
        <v>2910</v>
      </c>
      <c r="G1593" s="8" t="s">
        <v>1237</v>
      </c>
      <c r="H1593" s="8" t="s">
        <v>70</v>
      </c>
      <c r="I1593" s="18" t="s">
        <v>2556</v>
      </c>
      <c r="J1593" s="16">
        <v>85.0</v>
      </c>
      <c r="K1593" s="8" t="s">
        <v>634</v>
      </c>
      <c r="L1593" s="8" t="s">
        <v>89</v>
      </c>
      <c r="M1593" s="18" t="s">
        <v>2582</v>
      </c>
      <c r="N1593" s="16">
        <v>66.0</v>
      </c>
      <c r="O1593" s="8" t="s">
        <v>5529</v>
      </c>
      <c r="P1593" s="8" t="s">
        <v>70</v>
      </c>
      <c r="Q1593" s="14" t="s">
        <v>2459</v>
      </c>
      <c r="R1593" s="8" t="s">
        <v>2593</v>
      </c>
      <c r="S1593" s="14" t="s">
        <v>2576</v>
      </c>
    </row>
    <row r="1594">
      <c r="A1594" s="8" t="s">
        <v>699</v>
      </c>
      <c r="B1594" s="8" t="s">
        <v>520</v>
      </c>
      <c r="C1594" s="8" t="s">
        <v>65</v>
      </c>
      <c r="D1594" s="18" t="s">
        <v>2587</v>
      </c>
      <c r="E1594" s="16">
        <v>68.0</v>
      </c>
      <c r="F1594" s="8" t="s">
        <v>2170</v>
      </c>
      <c r="G1594" s="8" t="s">
        <v>2169</v>
      </c>
      <c r="H1594" s="8" t="s">
        <v>93</v>
      </c>
      <c r="I1594" s="18" t="s">
        <v>2595</v>
      </c>
      <c r="J1594" s="16">
        <v>76.0</v>
      </c>
      <c r="K1594" s="8" t="s">
        <v>634</v>
      </c>
      <c r="L1594" s="8" t="s">
        <v>1396</v>
      </c>
      <c r="M1594" s="18" t="s">
        <v>2575</v>
      </c>
      <c r="N1594" s="16">
        <v>73.0</v>
      </c>
      <c r="O1594" s="8" t="s">
        <v>5530</v>
      </c>
      <c r="P1594" s="8" t="s">
        <v>38</v>
      </c>
      <c r="Q1594" s="14" t="s">
        <v>837</v>
      </c>
      <c r="R1594" s="8" t="s">
        <v>2560</v>
      </c>
      <c r="S1594" s="14" t="s">
        <v>2622</v>
      </c>
    </row>
    <row r="1595">
      <c r="A1595" s="8" t="s">
        <v>131</v>
      </c>
      <c r="B1595" s="8" t="s">
        <v>130</v>
      </c>
      <c r="C1595" s="8" t="s">
        <v>132</v>
      </c>
      <c r="D1595" s="18" t="s">
        <v>2575</v>
      </c>
      <c r="E1595" s="16">
        <v>97.0</v>
      </c>
      <c r="F1595" s="8" t="s">
        <v>2707</v>
      </c>
      <c r="G1595" s="8" t="s">
        <v>2064</v>
      </c>
      <c r="H1595" s="8" t="s">
        <v>65</v>
      </c>
      <c r="I1595" s="18" t="s">
        <v>2577</v>
      </c>
      <c r="J1595" s="16">
        <v>80.0</v>
      </c>
      <c r="K1595" s="8" t="s">
        <v>634</v>
      </c>
      <c r="L1595" s="8" t="s">
        <v>57</v>
      </c>
      <c r="M1595" s="18" t="s">
        <v>2603</v>
      </c>
      <c r="N1595" s="16">
        <v>74.0</v>
      </c>
      <c r="O1595" s="8" t="s">
        <v>5531</v>
      </c>
      <c r="P1595" s="8" t="s">
        <v>138</v>
      </c>
      <c r="Q1595" s="14" t="s">
        <v>2033</v>
      </c>
      <c r="R1595" s="8" t="s">
        <v>2621</v>
      </c>
      <c r="S1595" s="14" t="s">
        <v>2580</v>
      </c>
    </row>
    <row r="1596">
      <c r="A1596" s="8" t="s">
        <v>405</v>
      </c>
      <c r="B1596" s="8" t="s">
        <v>404</v>
      </c>
      <c r="C1596" s="8" t="s">
        <v>149</v>
      </c>
      <c r="D1596" s="18" t="s">
        <v>2566</v>
      </c>
      <c r="E1596" s="16">
        <v>70.0</v>
      </c>
      <c r="F1596" s="8" t="s">
        <v>3170</v>
      </c>
      <c r="G1596" s="8" t="s">
        <v>136</v>
      </c>
      <c r="H1596" s="8" t="s">
        <v>24</v>
      </c>
      <c r="I1596" s="18" t="s">
        <v>2558</v>
      </c>
      <c r="J1596" s="16">
        <v>89.0</v>
      </c>
      <c r="K1596" s="8" t="s">
        <v>634</v>
      </c>
      <c r="L1596" s="8" t="s">
        <v>944</v>
      </c>
      <c r="M1596" s="18" t="s">
        <v>2556</v>
      </c>
      <c r="N1596" s="16">
        <v>74.0</v>
      </c>
      <c r="O1596" s="8" t="s">
        <v>5532</v>
      </c>
      <c r="P1596" s="8" t="s">
        <v>149</v>
      </c>
      <c r="Q1596" s="14" t="s">
        <v>837</v>
      </c>
      <c r="R1596" s="8" t="s">
        <v>2577</v>
      </c>
      <c r="S1596" s="14" t="s">
        <v>2579</v>
      </c>
    </row>
    <row r="1597">
      <c r="A1597" s="8" t="s">
        <v>3598</v>
      </c>
      <c r="B1597" s="8" t="s">
        <v>3597</v>
      </c>
      <c r="C1597" s="8" t="s">
        <v>70</v>
      </c>
      <c r="D1597" s="18" t="s">
        <v>2566</v>
      </c>
      <c r="E1597" s="16">
        <v>63.0</v>
      </c>
      <c r="F1597" s="8" t="s">
        <v>396</v>
      </c>
      <c r="G1597" s="8" t="s">
        <v>1480</v>
      </c>
      <c r="H1597" s="8" t="s">
        <v>215</v>
      </c>
      <c r="I1597" s="18" t="s">
        <v>2598</v>
      </c>
      <c r="J1597" s="16">
        <v>60.0</v>
      </c>
      <c r="K1597" s="8" t="s">
        <v>416</v>
      </c>
      <c r="L1597" s="8" t="s">
        <v>415</v>
      </c>
      <c r="M1597" s="18" t="s">
        <v>2577</v>
      </c>
      <c r="N1597" s="16">
        <v>81.0</v>
      </c>
      <c r="O1597" s="8" t="s">
        <v>5533</v>
      </c>
      <c r="P1597" s="8" t="s">
        <v>24</v>
      </c>
      <c r="Q1597" s="14" t="s">
        <v>1679</v>
      </c>
      <c r="R1597" s="8" t="s">
        <v>2582</v>
      </c>
      <c r="S1597" s="14" t="s">
        <v>2568</v>
      </c>
    </row>
    <row r="1598">
      <c r="A1598" s="8" t="s">
        <v>2707</v>
      </c>
      <c r="B1598" s="8" t="s">
        <v>2064</v>
      </c>
      <c r="C1598" s="8" t="s">
        <v>65</v>
      </c>
      <c r="D1598" s="18" t="s">
        <v>2577</v>
      </c>
      <c r="E1598" s="16">
        <v>82.0</v>
      </c>
      <c r="F1598" s="8" t="s">
        <v>3070</v>
      </c>
      <c r="G1598" s="8" t="s">
        <v>3069</v>
      </c>
      <c r="H1598" s="8" t="s">
        <v>186</v>
      </c>
      <c r="I1598" s="18" t="s">
        <v>2582</v>
      </c>
      <c r="J1598" s="16">
        <v>62.0</v>
      </c>
      <c r="K1598" s="8" t="s">
        <v>1613</v>
      </c>
      <c r="L1598" s="8" t="s">
        <v>1612</v>
      </c>
      <c r="M1598" s="18" t="s">
        <v>2575</v>
      </c>
      <c r="N1598" s="16">
        <v>65.0</v>
      </c>
      <c r="O1598" s="8" t="s">
        <v>5534</v>
      </c>
      <c r="P1598" s="8" t="s">
        <v>12</v>
      </c>
      <c r="Q1598" s="14" t="s">
        <v>1352</v>
      </c>
      <c r="R1598" s="8" t="s">
        <v>2592</v>
      </c>
      <c r="S1598" s="14" t="s">
        <v>2591</v>
      </c>
    </row>
    <row r="1599">
      <c r="A1599" s="8" t="s">
        <v>3170</v>
      </c>
      <c r="B1599" s="8" t="s">
        <v>136</v>
      </c>
      <c r="C1599" s="8" t="s">
        <v>24</v>
      </c>
      <c r="D1599" s="18" t="s">
        <v>2600</v>
      </c>
      <c r="E1599" s="16">
        <v>85.0</v>
      </c>
      <c r="F1599" s="8" t="s">
        <v>556</v>
      </c>
      <c r="G1599" s="8" t="s">
        <v>2870</v>
      </c>
      <c r="H1599" s="8" t="s">
        <v>65</v>
      </c>
      <c r="I1599" s="18" t="s">
        <v>2554</v>
      </c>
      <c r="J1599" s="16">
        <v>84.0</v>
      </c>
      <c r="K1599" s="8" t="s">
        <v>922</v>
      </c>
      <c r="L1599" s="8" t="s">
        <v>921</v>
      </c>
      <c r="M1599" s="18" t="s">
        <v>2620</v>
      </c>
      <c r="N1599" s="16">
        <v>74.0</v>
      </c>
      <c r="O1599" s="8" t="s">
        <v>5535</v>
      </c>
      <c r="P1599" s="8" t="s">
        <v>149</v>
      </c>
      <c r="Q1599" s="14" t="s">
        <v>2033</v>
      </c>
      <c r="R1599" s="8" t="s">
        <v>2598</v>
      </c>
      <c r="S1599" s="14" t="s">
        <v>2628</v>
      </c>
    </row>
    <row r="1600">
      <c r="A1600" s="8" t="s">
        <v>396</v>
      </c>
      <c r="B1600" s="8" t="s">
        <v>1328</v>
      </c>
      <c r="C1600" s="8" t="s">
        <v>149</v>
      </c>
      <c r="D1600" s="18" t="s">
        <v>2605</v>
      </c>
      <c r="E1600" s="16">
        <v>67.0</v>
      </c>
      <c r="F1600" s="8" t="s">
        <v>1165</v>
      </c>
      <c r="G1600" s="8" t="s">
        <v>1164</v>
      </c>
      <c r="H1600" s="8" t="s">
        <v>192</v>
      </c>
      <c r="I1600" s="18" t="s">
        <v>2558</v>
      </c>
      <c r="J1600" s="16">
        <v>61.0</v>
      </c>
      <c r="K1600" s="8" t="s">
        <v>922</v>
      </c>
      <c r="L1600" s="8" t="s">
        <v>2182</v>
      </c>
      <c r="M1600" s="18" t="s">
        <v>2585</v>
      </c>
      <c r="N1600" s="16">
        <v>66.0</v>
      </c>
      <c r="O1600" s="8" t="s">
        <v>5536</v>
      </c>
      <c r="P1600" s="8" t="s">
        <v>38</v>
      </c>
      <c r="Q1600" s="14" t="s">
        <v>1352</v>
      </c>
      <c r="R1600" s="8" t="s">
        <v>2581</v>
      </c>
      <c r="S1600" s="14" t="s">
        <v>2590</v>
      </c>
    </row>
    <row r="1601">
      <c r="A1601" s="8" t="s">
        <v>3070</v>
      </c>
      <c r="B1601" s="8" t="s">
        <v>3069</v>
      </c>
      <c r="C1601" s="8" t="s">
        <v>186</v>
      </c>
      <c r="D1601" s="18" t="s">
        <v>2582</v>
      </c>
      <c r="E1601" s="16">
        <v>60.0</v>
      </c>
      <c r="F1601" s="8" t="s">
        <v>111</v>
      </c>
      <c r="G1601" s="8" t="s">
        <v>1601</v>
      </c>
      <c r="H1601" s="8" t="s">
        <v>24</v>
      </c>
      <c r="I1601" s="18" t="s">
        <v>2610</v>
      </c>
      <c r="J1601" s="16">
        <v>68.0</v>
      </c>
      <c r="K1601" s="8" t="s">
        <v>922</v>
      </c>
      <c r="L1601" s="8" t="s">
        <v>3104</v>
      </c>
      <c r="M1601" s="18" t="s">
        <v>2595</v>
      </c>
      <c r="N1601" s="16">
        <v>80.0</v>
      </c>
      <c r="O1601" s="8" t="s">
        <v>5537</v>
      </c>
      <c r="P1601" s="8" t="s">
        <v>46</v>
      </c>
      <c r="Q1601" s="14" t="s">
        <v>338</v>
      </c>
      <c r="R1601" s="8" t="s">
        <v>2562</v>
      </c>
      <c r="S1601" s="14" t="s">
        <v>2557</v>
      </c>
    </row>
    <row r="1602">
      <c r="A1602" s="8" t="s">
        <v>556</v>
      </c>
      <c r="B1602" s="8" t="s">
        <v>284</v>
      </c>
      <c r="C1602" s="8" t="s">
        <v>65</v>
      </c>
      <c r="D1602" s="18" t="s">
        <v>2554</v>
      </c>
      <c r="E1602" s="16">
        <v>82.0</v>
      </c>
      <c r="F1602" s="8" t="s">
        <v>111</v>
      </c>
      <c r="G1602" s="8" t="s">
        <v>154</v>
      </c>
      <c r="H1602" s="8" t="s">
        <v>186</v>
      </c>
      <c r="I1602" s="18" t="s">
        <v>2582</v>
      </c>
      <c r="J1602" s="16">
        <v>83.0</v>
      </c>
      <c r="K1602" s="8" t="s">
        <v>1666</v>
      </c>
      <c r="L1602" s="8" t="s">
        <v>78</v>
      </c>
      <c r="M1602" s="18" t="s">
        <v>2575</v>
      </c>
      <c r="N1602" s="16">
        <v>75.0</v>
      </c>
      <c r="O1602" s="8" t="s">
        <v>5538</v>
      </c>
      <c r="P1602" s="8" t="s">
        <v>24</v>
      </c>
      <c r="Q1602" s="14" t="s">
        <v>1070</v>
      </c>
      <c r="R1602" s="8" t="s">
        <v>2600</v>
      </c>
      <c r="S1602" s="14" t="s">
        <v>2591</v>
      </c>
    </row>
    <row r="1603">
      <c r="A1603" s="8" t="s">
        <v>1165</v>
      </c>
      <c r="B1603" s="8" t="s">
        <v>1164</v>
      </c>
      <c r="C1603" s="8" t="s">
        <v>80</v>
      </c>
      <c r="D1603" s="18" t="s">
        <v>2558</v>
      </c>
      <c r="E1603" s="16">
        <v>63.0</v>
      </c>
      <c r="F1603" s="8" t="s">
        <v>111</v>
      </c>
      <c r="G1603" s="8" t="s">
        <v>110</v>
      </c>
      <c r="H1603" s="8" t="s">
        <v>12</v>
      </c>
      <c r="I1603" s="18" t="s">
        <v>2558</v>
      </c>
      <c r="J1603" s="16">
        <v>77.0</v>
      </c>
      <c r="K1603" s="8" t="s">
        <v>2941</v>
      </c>
      <c r="L1603" s="8" t="s">
        <v>2940</v>
      </c>
      <c r="M1603" s="18" t="s">
        <v>2645</v>
      </c>
      <c r="N1603" s="16">
        <v>65.0</v>
      </c>
      <c r="O1603" s="8" t="s">
        <v>5539</v>
      </c>
      <c r="P1603" s="8" t="s">
        <v>53</v>
      </c>
      <c r="Q1603" s="14" t="s">
        <v>1352</v>
      </c>
      <c r="R1603" s="8" t="s">
        <v>2587</v>
      </c>
      <c r="S1603" s="14" t="s">
        <v>2590</v>
      </c>
    </row>
    <row r="1604">
      <c r="A1604" s="8" t="s">
        <v>111</v>
      </c>
      <c r="B1604" s="8" t="s">
        <v>110</v>
      </c>
      <c r="C1604" s="8" t="s">
        <v>12</v>
      </c>
      <c r="D1604" s="18" t="s">
        <v>2558</v>
      </c>
      <c r="E1604" s="16">
        <v>81.0</v>
      </c>
      <c r="F1604" s="8" t="s">
        <v>33</v>
      </c>
      <c r="G1604" s="8" t="s">
        <v>284</v>
      </c>
      <c r="H1604" s="8" t="s">
        <v>70</v>
      </c>
      <c r="I1604" s="18" t="s">
        <v>2582</v>
      </c>
      <c r="J1604" s="16">
        <v>69.0</v>
      </c>
      <c r="K1604" s="8" t="s">
        <v>385</v>
      </c>
      <c r="L1604" s="8" t="s">
        <v>384</v>
      </c>
      <c r="M1604" s="18" t="s">
        <v>2572</v>
      </c>
      <c r="N1604" s="16">
        <v>84.0</v>
      </c>
      <c r="O1604" s="8" t="s">
        <v>5540</v>
      </c>
      <c r="P1604" s="8" t="s">
        <v>24</v>
      </c>
      <c r="Q1604" s="14" t="s">
        <v>108</v>
      </c>
      <c r="R1604" s="8" t="s">
        <v>2584</v>
      </c>
      <c r="S1604" s="14" t="s">
        <v>2638</v>
      </c>
    </row>
    <row r="1605">
      <c r="A1605" s="8" t="s">
        <v>111</v>
      </c>
      <c r="B1605" s="8" t="s">
        <v>154</v>
      </c>
      <c r="C1605" s="8" t="s">
        <v>186</v>
      </c>
      <c r="D1605" s="18" t="s">
        <v>2582</v>
      </c>
      <c r="E1605" s="16">
        <v>72.0</v>
      </c>
      <c r="F1605" s="8" t="s">
        <v>33</v>
      </c>
      <c r="G1605" s="8" t="s">
        <v>2064</v>
      </c>
      <c r="H1605" s="8" t="s">
        <v>12</v>
      </c>
      <c r="I1605" s="18" t="s">
        <v>2598</v>
      </c>
      <c r="J1605" s="16">
        <v>85.0</v>
      </c>
      <c r="K1605" s="8" t="s">
        <v>385</v>
      </c>
      <c r="L1605" s="8" t="s">
        <v>698</v>
      </c>
      <c r="M1605" s="18" t="s">
        <v>2572</v>
      </c>
      <c r="N1605" s="16">
        <v>84.0</v>
      </c>
      <c r="O1605" s="8" t="s">
        <v>5541</v>
      </c>
      <c r="P1605" s="8" t="s">
        <v>141</v>
      </c>
      <c r="Q1605" s="14" t="s">
        <v>459</v>
      </c>
      <c r="R1605" s="8" t="s">
        <v>2574</v>
      </c>
      <c r="S1605" s="14" t="s">
        <v>2613</v>
      </c>
    </row>
    <row r="1606">
      <c r="A1606" s="8" t="s">
        <v>33</v>
      </c>
      <c r="B1606" s="8" t="s">
        <v>2664</v>
      </c>
      <c r="C1606" s="8" t="s">
        <v>70</v>
      </c>
      <c r="D1606" s="18" t="s">
        <v>2552</v>
      </c>
      <c r="E1606" s="16">
        <v>73.0</v>
      </c>
      <c r="F1606" s="8" t="s">
        <v>33</v>
      </c>
      <c r="G1606" s="8" t="s">
        <v>32</v>
      </c>
      <c r="H1606" s="8" t="s">
        <v>16</v>
      </c>
      <c r="I1606" s="18" t="s">
        <v>2598</v>
      </c>
      <c r="J1606" s="16">
        <v>69.0</v>
      </c>
      <c r="K1606" s="8" t="s">
        <v>385</v>
      </c>
      <c r="L1606" s="8" t="s">
        <v>698</v>
      </c>
      <c r="M1606" s="18" t="s">
        <v>2572</v>
      </c>
      <c r="N1606" s="16">
        <v>90.0</v>
      </c>
      <c r="O1606" s="8" t="s">
        <v>5542</v>
      </c>
      <c r="P1606" s="8" t="s">
        <v>12</v>
      </c>
      <c r="Q1606" s="14" t="s">
        <v>83</v>
      </c>
      <c r="R1606" s="8" t="s">
        <v>2554</v>
      </c>
      <c r="S1606" s="14" t="s">
        <v>2586</v>
      </c>
    </row>
    <row r="1607">
      <c r="A1607" s="8" t="s">
        <v>33</v>
      </c>
      <c r="B1607" s="8" t="s">
        <v>643</v>
      </c>
      <c r="C1607" s="8" t="s">
        <v>16</v>
      </c>
      <c r="D1607" s="18" t="s">
        <v>2589</v>
      </c>
      <c r="E1607" s="16">
        <v>64.0</v>
      </c>
      <c r="F1607" s="8" t="s">
        <v>33</v>
      </c>
      <c r="G1607" s="8" t="s">
        <v>2897</v>
      </c>
      <c r="H1607" s="8" t="s">
        <v>24</v>
      </c>
      <c r="I1607" s="18" t="s">
        <v>2600</v>
      </c>
      <c r="J1607" s="16">
        <v>69.0</v>
      </c>
      <c r="K1607" s="8" t="s">
        <v>3123</v>
      </c>
      <c r="L1607" s="8" t="s">
        <v>34</v>
      </c>
      <c r="M1607" s="18" t="s">
        <v>2620</v>
      </c>
      <c r="N1607" s="16">
        <v>71.0</v>
      </c>
      <c r="O1607" s="8" t="s">
        <v>5543</v>
      </c>
      <c r="P1607" s="8" t="s">
        <v>132</v>
      </c>
      <c r="Q1607" s="14" t="s">
        <v>1679</v>
      </c>
      <c r="R1607" s="8" t="s">
        <v>2564</v>
      </c>
      <c r="S1607" s="14" t="s">
        <v>2570</v>
      </c>
    </row>
    <row r="1608">
      <c r="A1608" s="8" t="s">
        <v>33</v>
      </c>
      <c r="B1608" s="8" t="s">
        <v>242</v>
      </c>
      <c r="C1608" s="8" t="s">
        <v>38</v>
      </c>
      <c r="D1608" s="18" t="s">
        <v>2598</v>
      </c>
      <c r="E1608" s="16">
        <v>81.0</v>
      </c>
      <c r="F1608" s="8" t="s">
        <v>33</v>
      </c>
      <c r="G1608" s="8" t="s">
        <v>1061</v>
      </c>
      <c r="H1608" s="8" t="s">
        <v>38</v>
      </c>
      <c r="I1608" s="18" t="s">
        <v>2589</v>
      </c>
      <c r="J1608" s="16">
        <v>70.0</v>
      </c>
      <c r="K1608" s="8" t="s">
        <v>719</v>
      </c>
      <c r="L1608" s="8" t="s">
        <v>718</v>
      </c>
      <c r="M1608" s="18" t="s">
        <v>2587</v>
      </c>
      <c r="N1608" s="16">
        <v>83.0</v>
      </c>
      <c r="O1608" s="8" t="s">
        <v>5544</v>
      </c>
      <c r="P1608" s="8" t="s">
        <v>16</v>
      </c>
      <c r="Q1608" s="14" t="s">
        <v>108</v>
      </c>
      <c r="R1608" s="8" t="s">
        <v>2598</v>
      </c>
      <c r="S1608" s="14" t="s">
        <v>2596</v>
      </c>
    </row>
    <row r="1609">
      <c r="A1609" s="8" t="s">
        <v>33</v>
      </c>
      <c r="B1609" s="8" t="s">
        <v>2064</v>
      </c>
      <c r="C1609" s="8" t="s">
        <v>12</v>
      </c>
      <c r="D1609" s="18" t="s">
        <v>2598</v>
      </c>
      <c r="E1609" s="16">
        <v>81.0</v>
      </c>
      <c r="F1609" s="8" t="s">
        <v>33</v>
      </c>
      <c r="G1609" s="8" t="s">
        <v>589</v>
      </c>
      <c r="H1609" s="8" t="s">
        <v>141</v>
      </c>
      <c r="I1609" s="18" t="s">
        <v>2620</v>
      </c>
      <c r="J1609" s="16">
        <v>88.0</v>
      </c>
      <c r="K1609" s="8" t="s">
        <v>719</v>
      </c>
      <c r="L1609" s="8" t="s">
        <v>1867</v>
      </c>
      <c r="M1609" s="18" t="s">
        <v>2593</v>
      </c>
      <c r="N1609" s="16">
        <v>72.0</v>
      </c>
      <c r="O1609" s="8" t="s">
        <v>5545</v>
      </c>
      <c r="P1609" s="8" t="s">
        <v>16</v>
      </c>
      <c r="Q1609" s="14" t="s">
        <v>27</v>
      </c>
      <c r="R1609" s="8" t="s">
        <v>2598</v>
      </c>
      <c r="S1609" s="14" t="s">
        <v>2618</v>
      </c>
    </row>
    <row r="1610">
      <c r="A1610" s="8" t="s">
        <v>33</v>
      </c>
      <c r="B1610" s="8" t="s">
        <v>2723</v>
      </c>
      <c r="C1610" s="8" t="s">
        <v>16</v>
      </c>
      <c r="D1610" s="18" t="s">
        <v>2621</v>
      </c>
      <c r="E1610" s="16">
        <v>70.0</v>
      </c>
      <c r="F1610" s="8" t="s">
        <v>33</v>
      </c>
      <c r="G1610" s="8" t="s">
        <v>96</v>
      </c>
      <c r="H1610" s="8" t="s">
        <v>12</v>
      </c>
      <c r="I1610" s="18" t="s">
        <v>2554</v>
      </c>
      <c r="J1610" s="16">
        <v>83.0</v>
      </c>
      <c r="K1610" s="8" t="s">
        <v>137</v>
      </c>
      <c r="L1610" s="8" t="s">
        <v>136</v>
      </c>
      <c r="M1610" s="18" t="s">
        <v>2564</v>
      </c>
      <c r="N1610" s="16">
        <v>83.0</v>
      </c>
      <c r="O1610" s="8" t="s">
        <v>5546</v>
      </c>
      <c r="P1610" s="8" t="s">
        <v>141</v>
      </c>
      <c r="Q1610" s="14" t="s">
        <v>1070</v>
      </c>
      <c r="R1610" s="8" t="s">
        <v>2575</v>
      </c>
      <c r="S1610" s="14" t="s">
        <v>2591</v>
      </c>
    </row>
    <row r="1611">
      <c r="A1611" s="8" t="s">
        <v>33</v>
      </c>
      <c r="B1611" s="8" t="s">
        <v>880</v>
      </c>
      <c r="C1611" s="8" t="s">
        <v>38</v>
      </c>
      <c r="D1611" s="18" t="s">
        <v>2581</v>
      </c>
      <c r="E1611" s="16">
        <v>76.0</v>
      </c>
      <c r="F1611" s="8" t="s">
        <v>33</v>
      </c>
      <c r="G1611" s="8" t="s">
        <v>3054</v>
      </c>
      <c r="H1611" s="8" t="s">
        <v>141</v>
      </c>
      <c r="I1611" s="18" t="s">
        <v>2572</v>
      </c>
      <c r="J1611" s="16">
        <v>80.0</v>
      </c>
      <c r="K1611" s="8" t="s">
        <v>137</v>
      </c>
      <c r="L1611" s="8" t="s">
        <v>136</v>
      </c>
      <c r="M1611" s="18" t="s">
        <v>2584</v>
      </c>
      <c r="N1611" s="16">
        <v>66.0</v>
      </c>
      <c r="O1611" s="8" t="s">
        <v>5547</v>
      </c>
      <c r="P1611" s="8" t="s">
        <v>38</v>
      </c>
      <c r="Q1611" s="14" t="s">
        <v>837</v>
      </c>
      <c r="R1611" s="8" t="s">
        <v>2552</v>
      </c>
      <c r="S1611" s="14" t="s">
        <v>2602</v>
      </c>
    </row>
    <row r="1612">
      <c r="A1612" s="8" t="s">
        <v>33</v>
      </c>
      <c r="B1612" s="8" t="s">
        <v>3624</v>
      </c>
      <c r="C1612" s="8" t="s">
        <v>192</v>
      </c>
      <c r="D1612" s="18" t="s">
        <v>2575</v>
      </c>
      <c r="E1612" s="16">
        <v>69.0</v>
      </c>
      <c r="F1612" s="8" t="s">
        <v>33</v>
      </c>
      <c r="G1612" s="8" t="s">
        <v>3433</v>
      </c>
      <c r="H1612" s="8" t="s">
        <v>16</v>
      </c>
      <c r="I1612" s="18" t="s">
        <v>2598</v>
      </c>
      <c r="J1612" s="16">
        <v>58.0</v>
      </c>
      <c r="K1612" s="8" t="s">
        <v>137</v>
      </c>
      <c r="L1612" s="8" t="s">
        <v>61</v>
      </c>
      <c r="M1612" s="18" t="s">
        <v>2572</v>
      </c>
      <c r="N1612" s="16">
        <v>66.0</v>
      </c>
      <c r="O1612" s="8" t="s">
        <v>5548</v>
      </c>
      <c r="P1612" s="8" t="s">
        <v>59</v>
      </c>
      <c r="Q1612" s="14" t="s">
        <v>2033</v>
      </c>
      <c r="R1612" s="8" t="s">
        <v>2567</v>
      </c>
      <c r="S1612" s="14" t="s">
        <v>2568</v>
      </c>
    </row>
    <row r="1613">
      <c r="A1613" s="8" t="s">
        <v>33</v>
      </c>
      <c r="B1613" s="8" t="s">
        <v>3256</v>
      </c>
      <c r="C1613" s="8" t="s">
        <v>70</v>
      </c>
      <c r="D1613" s="18" t="s">
        <v>2560</v>
      </c>
      <c r="E1613" s="16">
        <v>86.0</v>
      </c>
      <c r="F1613" s="8" t="s">
        <v>33</v>
      </c>
      <c r="G1613" s="8" t="s">
        <v>2723</v>
      </c>
      <c r="H1613" s="8" t="s">
        <v>16</v>
      </c>
      <c r="I1613" s="18" t="s">
        <v>2621</v>
      </c>
      <c r="J1613" s="16">
        <v>69.0</v>
      </c>
      <c r="K1613" s="8" t="s">
        <v>137</v>
      </c>
      <c r="L1613" s="8" t="s">
        <v>2715</v>
      </c>
      <c r="M1613" s="18" t="s">
        <v>2621</v>
      </c>
      <c r="N1613" s="16">
        <v>70.0</v>
      </c>
      <c r="O1613" s="8" t="s">
        <v>5549</v>
      </c>
      <c r="P1613" s="8" t="s">
        <v>70</v>
      </c>
      <c r="Q1613" s="14" t="s">
        <v>1679</v>
      </c>
      <c r="R1613" s="8" t="s">
        <v>2595</v>
      </c>
      <c r="S1613" s="14" t="s">
        <v>2612</v>
      </c>
    </row>
    <row r="1614">
      <c r="A1614" s="8" t="s">
        <v>33</v>
      </c>
      <c r="B1614" s="8" t="s">
        <v>3299</v>
      </c>
      <c r="C1614" s="8" t="s">
        <v>65</v>
      </c>
      <c r="D1614" s="18" t="s">
        <v>2581</v>
      </c>
      <c r="E1614" s="16">
        <v>64.0</v>
      </c>
      <c r="F1614" s="8" t="s">
        <v>33</v>
      </c>
      <c r="G1614" s="8" t="s">
        <v>643</v>
      </c>
      <c r="H1614" s="8" t="s">
        <v>16</v>
      </c>
      <c r="I1614" s="18" t="s">
        <v>2585</v>
      </c>
      <c r="J1614" s="16">
        <v>72.0</v>
      </c>
      <c r="K1614" s="8" t="s">
        <v>137</v>
      </c>
      <c r="L1614" s="8" t="s">
        <v>389</v>
      </c>
      <c r="M1614" s="18" t="s">
        <v>2610</v>
      </c>
      <c r="N1614" s="16">
        <v>74.0</v>
      </c>
      <c r="O1614" s="8" t="s">
        <v>5550</v>
      </c>
      <c r="P1614" s="8" t="s">
        <v>138</v>
      </c>
      <c r="Q1614" s="14" t="s">
        <v>1352</v>
      </c>
      <c r="R1614" s="8" t="s">
        <v>2582</v>
      </c>
      <c r="S1614" s="14" t="s">
        <v>2578</v>
      </c>
    </row>
    <row r="1615">
      <c r="A1615" s="8" t="s">
        <v>33</v>
      </c>
      <c r="B1615" s="8" t="s">
        <v>284</v>
      </c>
      <c r="C1615" s="8" t="s">
        <v>70</v>
      </c>
      <c r="D1615" s="18" t="s">
        <v>2582</v>
      </c>
      <c r="E1615" s="16">
        <v>77.0</v>
      </c>
      <c r="F1615" s="8" t="s">
        <v>33</v>
      </c>
      <c r="G1615" s="8" t="s">
        <v>909</v>
      </c>
      <c r="H1615" s="8" t="s">
        <v>46</v>
      </c>
      <c r="I1615" s="18" t="s">
        <v>2577</v>
      </c>
      <c r="J1615" s="16">
        <v>66.0</v>
      </c>
      <c r="K1615" s="8" t="s">
        <v>137</v>
      </c>
      <c r="L1615" s="8" t="s">
        <v>1003</v>
      </c>
      <c r="M1615" s="18" t="s">
        <v>2574</v>
      </c>
      <c r="N1615" s="16">
        <v>77.0</v>
      </c>
      <c r="O1615" s="8" t="s">
        <v>5551</v>
      </c>
      <c r="P1615" s="8" t="s">
        <v>53</v>
      </c>
      <c r="Q1615" s="14" t="s">
        <v>837</v>
      </c>
      <c r="R1615" s="8" t="s">
        <v>2575</v>
      </c>
      <c r="S1615" s="14" t="s">
        <v>2599</v>
      </c>
    </row>
    <row r="1616">
      <c r="A1616" s="8" t="s">
        <v>33</v>
      </c>
      <c r="B1616" s="8" t="s">
        <v>954</v>
      </c>
      <c r="C1616" s="8" t="s">
        <v>59</v>
      </c>
      <c r="D1616" s="18" t="s">
        <v>2575</v>
      </c>
      <c r="E1616" s="16">
        <v>67.0</v>
      </c>
      <c r="F1616" s="8" t="s">
        <v>33</v>
      </c>
      <c r="G1616" s="8" t="s">
        <v>2908</v>
      </c>
      <c r="H1616" s="8" t="s">
        <v>138</v>
      </c>
      <c r="I1616" s="18" t="s">
        <v>2593</v>
      </c>
      <c r="J1616" s="16">
        <v>63.0</v>
      </c>
      <c r="K1616" s="8" t="s">
        <v>137</v>
      </c>
      <c r="L1616" s="8" t="s">
        <v>90</v>
      </c>
      <c r="M1616" s="18" t="s">
        <v>2558</v>
      </c>
      <c r="N1616" s="16">
        <v>62.0</v>
      </c>
      <c r="O1616" s="8" t="s">
        <v>5552</v>
      </c>
      <c r="P1616" s="8" t="s">
        <v>65</v>
      </c>
      <c r="Q1616" s="14" t="s">
        <v>135</v>
      </c>
      <c r="R1616" s="8" t="s">
        <v>2600</v>
      </c>
      <c r="S1616" s="14" t="s">
        <v>2579</v>
      </c>
    </row>
    <row r="1617">
      <c r="A1617" s="8" t="s">
        <v>33</v>
      </c>
      <c r="B1617" s="8" t="s">
        <v>392</v>
      </c>
      <c r="C1617" s="8" t="s">
        <v>46</v>
      </c>
      <c r="D1617" s="18" t="s">
        <v>2552</v>
      </c>
      <c r="E1617" s="16">
        <v>80.0</v>
      </c>
      <c r="F1617" s="8" t="s">
        <v>33</v>
      </c>
      <c r="G1617" s="8" t="s">
        <v>3256</v>
      </c>
      <c r="H1617" s="8" t="s">
        <v>70</v>
      </c>
      <c r="I1617" s="18" t="s">
        <v>2560</v>
      </c>
      <c r="J1617" s="16">
        <v>84.0</v>
      </c>
      <c r="K1617" s="8" t="s">
        <v>137</v>
      </c>
      <c r="L1617" s="8" t="s">
        <v>864</v>
      </c>
      <c r="M1617" s="18" t="s">
        <v>2605</v>
      </c>
      <c r="N1617" s="16">
        <v>64.0</v>
      </c>
      <c r="O1617" s="8" t="s">
        <v>5553</v>
      </c>
      <c r="P1617" s="8" t="s">
        <v>16</v>
      </c>
      <c r="Q1617" s="14" t="s">
        <v>237</v>
      </c>
      <c r="R1617" s="8" t="s">
        <v>2554</v>
      </c>
      <c r="S1617" s="14" t="s">
        <v>2608</v>
      </c>
    </row>
    <row r="1618">
      <c r="A1618" s="8" t="s">
        <v>33</v>
      </c>
      <c r="B1618" s="8" t="s">
        <v>1224</v>
      </c>
      <c r="C1618" s="8" t="s">
        <v>24</v>
      </c>
      <c r="D1618" s="18" t="s">
        <v>2566</v>
      </c>
      <c r="E1618" s="16">
        <v>65.0</v>
      </c>
      <c r="F1618" s="8" t="s">
        <v>33</v>
      </c>
      <c r="G1618" s="8" t="s">
        <v>3093</v>
      </c>
      <c r="H1618" s="8" t="s">
        <v>132</v>
      </c>
      <c r="I1618" s="18" t="s">
        <v>2564</v>
      </c>
      <c r="J1618" s="16">
        <v>73.0</v>
      </c>
      <c r="K1618" s="8" t="s">
        <v>137</v>
      </c>
      <c r="L1618" s="8" t="s">
        <v>656</v>
      </c>
      <c r="M1618" s="18" t="s">
        <v>2593</v>
      </c>
      <c r="N1618" s="16">
        <v>77.0</v>
      </c>
      <c r="O1618" s="8" t="s">
        <v>5554</v>
      </c>
      <c r="P1618" s="8" t="s">
        <v>186</v>
      </c>
      <c r="Q1618" s="14" t="s">
        <v>1679</v>
      </c>
      <c r="R1618" s="8" t="s">
        <v>2575</v>
      </c>
      <c r="S1618" s="14" t="s">
        <v>2570</v>
      </c>
    </row>
    <row r="1619">
      <c r="A1619" s="8" t="s">
        <v>33</v>
      </c>
      <c r="B1619" s="8" t="s">
        <v>2908</v>
      </c>
      <c r="C1619" s="8" t="s">
        <v>215</v>
      </c>
      <c r="D1619" s="18" t="s">
        <v>2593</v>
      </c>
      <c r="E1619" s="16">
        <v>63.0</v>
      </c>
      <c r="F1619" s="8" t="s">
        <v>33</v>
      </c>
      <c r="G1619" s="8" t="s">
        <v>1224</v>
      </c>
      <c r="H1619" s="8" t="s">
        <v>24</v>
      </c>
      <c r="I1619" s="18" t="s">
        <v>2566</v>
      </c>
      <c r="J1619" s="16">
        <v>66.0</v>
      </c>
      <c r="K1619" s="8" t="s">
        <v>137</v>
      </c>
      <c r="L1619" s="8" t="s">
        <v>2744</v>
      </c>
      <c r="M1619" s="18" t="s">
        <v>2575</v>
      </c>
      <c r="N1619" s="16">
        <v>82.0</v>
      </c>
      <c r="O1619" s="8" t="s">
        <v>5555</v>
      </c>
      <c r="P1619" s="8" t="s">
        <v>192</v>
      </c>
      <c r="Q1619" s="14" t="s">
        <v>837</v>
      </c>
      <c r="R1619" s="8" t="s">
        <v>2567</v>
      </c>
      <c r="S1619" s="14" t="s">
        <v>2553</v>
      </c>
    </row>
    <row r="1620">
      <c r="A1620" s="8" t="s">
        <v>33</v>
      </c>
      <c r="B1620" s="8" t="s">
        <v>3744</v>
      </c>
      <c r="C1620" s="8" t="s">
        <v>141</v>
      </c>
      <c r="D1620" s="18" t="s">
        <v>2574</v>
      </c>
      <c r="E1620" s="16">
        <v>63.0</v>
      </c>
      <c r="F1620" s="8" t="s">
        <v>33</v>
      </c>
      <c r="G1620" s="8" t="s">
        <v>1264</v>
      </c>
      <c r="H1620" s="8" t="s">
        <v>16</v>
      </c>
      <c r="I1620" s="18" t="s">
        <v>2581</v>
      </c>
      <c r="J1620" s="16">
        <v>71.0</v>
      </c>
      <c r="K1620" s="8" t="s">
        <v>137</v>
      </c>
      <c r="L1620" s="8" t="s">
        <v>794</v>
      </c>
      <c r="M1620" s="18" t="s">
        <v>2572</v>
      </c>
      <c r="N1620" s="16">
        <v>69.0</v>
      </c>
      <c r="O1620" s="8" t="s">
        <v>5556</v>
      </c>
      <c r="P1620" s="8" t="s">
        <v>186</v>
      </c>
      <c r="Q1620" s="14" t="s">
        <v>631</v>
      </c>
      <c r="R1620" s="8" t="s">
        <v>2587</v>
      </c>
      <c r="S1620" s="14" t="s">
        <v>2563</v>
      </c>
    </row>
    <row r="1621">
      <c r="A1621" s="8" t="s">
        <v>33</v>
      </c>
      <c r="B1621" s="8" t="s">
        <v>3361</v>
      </c>
      <c r="C1621" s="8" t="s">
        <v>16</v>
      </c>
      <c r="D1621" s="18" t="s">
        <v>2556</v>
      </c>
      <c r="E1621" s="16">
        <v>64.0</v>
      </c>
      <c r="F1621" s="8" t="s">
        <v>33</v>
      </c>
      <c r="G1621" s="8" t="s">
        <v>392</v>
      </c>
      <c r="H1621" s="8" t="s">
        <v>46</v>
      </c>
      <c r="I1621" s="18" t="s">
        <v>2574</v>
      </c>
      <c r="J1621" s="16">
        <v>78.0</v>
      </c>
      <c r="K1621" s="8" t="s">
        <v>137</v>
      </c>
      <c r="L1621" s="8" t="s">
        <v>62</v>
      </c>
      <c r="M1621" s="18" t="s">
        <v>2566</v>
      </c>
      <c r="N1621" s="16">
        <v>75.0</v>
      </c>
      <c r="O1621" s="8" t="s">
        <v>5557</v>
      </c>
      <c r="P1621" s="8" t="s">
        <v>93</v>
      </c>
      <c r="Q1621" s="14" t="s">
        <v>1352</v>
      </c>
      <c r="R1621" s="8" t="s">
        <v>2575</v>
      </c>
      <c r="S1621" s="14" t="s">
        <v>2573</v>
      </c>
    </row>
    <row r="1622">
      <c r="A1622" s="8" t="s">
        <v>33</v>
      </c>
      <c r="B1622" s="8" t="s">
        <v>1264</v>
      </c>
      <c r="C1622" s="8" t="s">
        <v>16</v>
      </c>
      <c r="D1622" s="18" t="s">
        <v>2581</v>
      </c>
      <c r="E1622" s="16">
        <v>69.0</v>
      </c>
      <c r="F1622" s="8" t="s">
        <v>33</v>
      </c>
      <c r="G1622" s="8" t="s">
        <v>3299</v>
      </c>
      <c r="H1622" s="8" t="s">
        <v>65</v>
      </c>
      <c r="I1622" s="18" t="s">
        <v>2582</v>
      </c>
      <c r="J1622" s="16">
        <v>64.0</v>
      </c>
      <c r="K1622" s="8" t="s">
        <v>137</v>
      </c>
      <c r="L1622" s="8" t="s">
        <v>2849</v>
      </c>
      <c r="M1622" s="18" t="s">
        <v>2595</v>
      </c>
      <c r="N1622" s="16">
        <v>71.0</v>
      </c>
      <c r="O1622" s="8" t="s">
        <v>5558</v>
      </c>
      <c r="P1622" s="8" t="s">
        <v>65</v>
      </c>
      <c r="Q1622" s="14" t="s">
        <v>1070</v>
      </c>
      <c r="R1622" s="8" t="s">
        <v>2600</v>
      </c>
      <c r="S1622" s="14" t="s">
        <v>2573</v>
      </c>
    </row>
    <row r="1623">
      <c r="A1623" s="8" t="s">
        <v>33</v>
      </c>
      <c r="B1623" s="8" t="s">
        <v>125</v>
      </c>
      <c r="C1623" s="8" t="s">
        <v>24</v>
      </c>
      <c r="D1623" s="18" t="s">
        <v>2567</v>
      </c>
      <c r="E1623" s="16">
        <v>43.0</v>
      </c>
      <c r="F1623" s="8" t="s">
        <v>33</v>
      </c>
      <c r="G1623" s="8" t="s">
        <v>242</v>
      </c>
      <c r="H1623" s="8" t="s">
        <v>38</v>
      </c>
      <c r="I1623" s="18" t="s">
        <v>2598</v>
      </c>
      <c r="J1623" s="16">
        <v>82.0</v>
      </c>
      <c r="K1623" s="8" t="s">
        <v>137</v>
      </c>
      <c r="L1623" s="8" t="s">
        <v>1287</v>
      </c>
      <c r="M1623" s="18" t="s">
        <v>2575</v>
      </c>
      <c r="N1623" s="16">
        <v>81.0</v>
      </c>
      <c r="O1623" s="8" t="s">
        <v>5559</v>
      </c>
      <c r="P1623" s="8" t="s">
        <v>122</v>
      </c>
      <c r="Q1623" s="14" t="s">
        <v>1679</v>
      </c>
      <c r="R1623" s="18" t="s">
        <v>2556</v>
      </c>
      <c r="S1623" s="14" t="s">
        <v>2586</v>
      </c>
    </row>
    <row r="1624">
      <c r="A1624" s="8" t="s">
        <v>33</v>
      </c>
      <c r="B1624" s="8" t="s">
        <v>589</v>
      </c>
      <c r="C1624" s="8" t="s">
        <v>141</v>
      </c>
      <c r="D1624" s="18" t="s">
        <v>2620</v>
      </c>
      <c r="E1624" s="16">
        <v>71.0</v>
      </c>
      <c r="F1624" s="8" t="s">
        <v>33</v>
      </c>
      <c r="G1624" s="8" t="s">
        <v>880</v>
      </c>
      <c r="H1624" s="8" t="s">
        <v>38</v>
      </c>
      <c r="I1624" s="18" t="s">
        <v>2581</v>
      </c>
      <c r="J1624" s="16">
        <v>78.0</v>
      </c>
      <c r="K1624" s="8" t="s">
        <v>137</v>
      </c>
      <c r="L1624" s="8" t="s">
        <v>62</v>
      </c>
      <c r="M1624" s="18" t="s">
        <v>2595</v>
      </c>
      <c r="N1624" s="16">
        <v>86.0</v>
      </c>
      <c r="O1624" s="8" t="s">
        <v>5560</v>
      </c>
      <c r="P1624" s="8" t="s">
        <v>192</v>
      </c>
      <c r="Q1624" s="14" t="s">
        <v>1679</v>
      </c>
      <c r="R1624" s="8" t="s">
        <v>2581</v>
      </c>
      <c r="S1624" s="14" t="s">
        <v>2583</v>
      </c>
    </row>
    <row r="1625">
      <c r="A1625" s="8" t="s">
        <v>33</v>
      </c>
      <c r="B1625" s="8" t="s">
        <v>96</v>
      </c>
      <c r="C1625" s="8" t="s">
        <v>12</v>
      </c>
      <c r="D1625" s="18" t="s">
        <v>2554</v>
      </c>
      <c r="E1625" s="16">
        <v>81.0</v>
      </c>
      <c r="F1625" s="8" t="s">
        <v>33</v>
      </c>
      <c r="G1625" s="8" t="s">
        <v>3361</v>
      </c>
      <c r="H1625" s="8" t="s">
        <v>16</v>
      </c>
      <c r="I1625" s="18" t="s">
        <v>2564</v>
      </c>
      <c r="J1625" s="16">
        <v>67.0</v>
      </c>
      <c r="K1625" s="8" t="s">
        <v>137</v>
      </c>
      <c r="L1625" s="8" t="s">
        <v>263</v>
      </c>
      <c r="M1625" s="18" t="s">
        <v>2615</v>
      </c>
      <c r="N1625" s="16">
        <v>67.0</v>
      </c>
      <c r="O1625" s="8" t="s">
        <v>5561</v>
      </c>
      <c r="P1625" s="8" t="s">
        <v>141</v>
      </c>
      <c r="Q1625" s="14" t="s">
        <v>338</v>
      </c>
      <c r="R1625" s="8" t="s">
        <v>2577</v>
      </c>
      <c r="S1625" s="14" t="s">
        <v>2625</v>
      </c>
    </row>
    <row r="1626">
      <c r="A1626" s="8" t="s">
        <v>33</v>
      </c>
      <c r="B1626" s="8" t="s">
        <v>67</v>
      </c>
      <c r="C1626" s="8" t="s">
        <v>16</v>
      </c>
      <c r="D1626" s="18" t="s">
        <v>2598</v>
      </c>
      <c r="E1626" s="16">
        <v>84.0</v>
      </c>
      <c r="F1626" s="8" t="s">
        <v>33</v>
      </c>
      <c r="G1626" s="8" t="s">
        <v>1532</v>
      </c>
      <c r="H1626" s="8" t="s">
        <v>186</v>
      </c>
      <c r="I1626" s="18" t="s">
        <v>2587</v>
      </c>
      <c r="J1626" s="16">
        <v>65.0</v>
      </c>
      <c r="K1626" s="8" t="s">
        <v>137</v>
      </c>
      <c r="L1626" s="8" t="s">
        <v>305</v>
      </c>
      <c r="M1626" s="18" t="s">
        <v>2554</v>
      </c>
      <c r="N1626" s="16">
        <v>73.0</v>
      </c>
      <c r="O1626" s="8" t="s">
        <v>5562</v>
      </c>
      <c r="P1626" s="8" t="s">
        <v>141</v>
      </c>
      <c r="Q1626" s="14" t="s">
        <v>1352</v>
      </c>
      <c r="R1626" s="8" t="s">
        <v>2562</v>
      </c>
      <c r="S1626" s="14" t="s">
        <v>2628</v>
      </c>
    </row>
    <row r="1627">
      <c r="A1627" s="8" t="s">
        <v>33</v>
      </c>
      <c r="B1627" s="8" t="s">
        <v>32</v>
      </c>
      <c r="C1627" s="8" t="s">
        <v>16</v>
      </c>
      <c r="D1627" s="18" t="s">
        <v>2598</v>
      </c>
      <c r="E1627" s="16">
        <v>70.0</v>
      </c>
      <c r="F1627" s="8" t="s">
        <v>33</v>
      </c>
      <c r="G1627" s="8" t="s">
        <v>2664</v>
      </c>
      <c r="H1627" s="8" t="s">
        <v>70</v>
      </c>
      <c r="I1627" s="18" t="s">
        <v>2554</v>
      </c>
      <c r="J1627" s="16">
        <v>75.0</v>
      </c>
      <c r="K1627" s="8" t="s">
        <v>137</v>
      </c>
      <c r="L1627" s="8" t="s">
        <v>3135</v>
      </c>
      <c r="M1627" s="18" t="s">
        <v>2645</v>
      </c>
      <c r="N1627" s="16">
        <v>77.0</v>
      </c>
      <c r="O1627" s="8" t="s">
        <v>5563</v>
      </c>
      <c r="P1627" s="8" t="s">
        <v>75</v>
      </c>
      <c r="Q1627" s="14" t="s">
        <v>837</v>
      </c>
      <c r="R1627" s="18" t="s">
        <v>2589</v>
      </c>
      <c r="S1627" s="14" t="s">
        <v>2594</v>
      </c>
    </row>
    <row r="1628">
      <c r="A1628" s="8" t="s">
        <v>33</v>
      </c>
      <c r="B1628" s="8" t="s">
        <v>3433</v>
      </c>
      <c r="C1628" s="8" t="s">
        <v>16</v>
      </c>
      <c r="D1628" s="18" t="s">
        <v>2598</v>
      </c>
      <c r="E1628" s="16">
        <v>61.0</v>
      </c>
      <c r="F1628" s="8" t="s">
        <v>33</v>
      </c>
      <c r="G1628" s="8" t="s">
        <v>67</v>
      </c>
      <c r="H1628" s="8" t="s">
        <v>16</v>
      </c>
      <c r="I1628" s="18" t="s">
        <v>2598</v>
      </c>
      <c r="J1628" s="16">
        <v>96.0</v>
      </c>
      <c r="K1628" s="8" t="s">
        <v>137</v>
      </c>
      <c r="L1628" s="8" t="s">
        <v>2112</v>
      </c>
      <c r="M1628" s="18" t="s">
        <v>2614</v>
      </c>
      <c r="N1628" s="16">
        <v>75.0</v>
      </c>
      <c r="O1628" s="8" t="s">
        <v>5564</v>
      </c>
      <c r="P1628" s="8" t="s">
        <v>46</v>
      </c>
      <c r="Q1628" s="14" t="s">
        <v>2033</v>
      </c>
      <c r="R1628" s="8" t="s">
        <v>2562</v>
      </c>
      <c r="S1628" s="14" t="s">
        <v>2579</v>
      </c>
    </row>
    <row r="1629">
      <c r="A1629" s="8" t="s">
        <v>33</v>
      </c>
      <c r="B1629" s="8" t="s">
        <v>3054</v>
      </c>
      <c r="C1629" s="8" t="s">
        <v>141</v>
      </c>
      <c r="D1629" s="18" t="s">
        <v>2572</v>
      </c>
      <c r="E1629" s="16">
        <v>84.0</v>
      </c>
      <c r="F1629" s="8" t="s">
        <v>176</v>
      </c>
      <c r="G1629" s="8" t="s">
        <v>954</v>
      </c>
      <c r="H1629" s="8" t="s">
        <v>59</v>
      </c>
      <c r="I1629" s="18" t="s">
        <v>2575</v>
      </c>
      <c r="J1629" s="16">
        <v>70.0</v>
      </c>
      <c r="K1629" s="8" t="s">
        <v>137</v>
      </c>
      <c r="L1629" s="8" t="s">
        <v>200</v>
      </c>
      <c r="M1629" s="18" t="s">
        <v>2603</v>
      </c>
      <c r="N1629" s="16">
        <v>79.0</v>
      </c>
      <c r="O1629" s="8" t="s">
        <v>5565</v>
      </c>
      <c r="P1629" s="8" t="s">
        <v>215</v>
      </c>
      <c r="Q1629" s="14" t="s">
        <v>2296</v>
      </c>
      <c r="R1629" s="18" t="s">
        <v>2556</v>
      </c>
      <c r="S1629" s="14" t="s">
        <v>2568</v>
      </c>
    </row>
    <row r="1630">
      <c r="A1630" s="8" t="s">
        <v>33</v>
      </c>
      <c r="B1630" s="8" t="s">
        <v>3093</v>
      </c>
      <c r="C1630" s="8" t="s">
        <v>132</v>
      </c>
      <c r="D1630" s="18" t="s">
        <v>2564</v>
      </c>
      <c r="E1630" s="16">
        <v>71.0</v>
      </c>
      <c r="F1630" s="8" t="s">
        <v>176</v>
      </c>
      <c r="G1630" s="8" t="s">
        <v>1761</v>
      </c>
      <c r="H1630" s="8" t="s">
        <v>70</v>
      </c>
      <c r="I1630" s="18" t="s">
        <v>2615</v>
      </c>
      <c r="J1630" s="16">
        <v>63.0</v>
      </c>
      <c r="K1630" s="8" t="s">
        <v>183</v>
      </c>
      <c r="L1630" s="8" t="s">
        <v>967</v>
      </c>
      <c r="M1630" s="18" t="s">
        <v>2592</v>
      </c>
      <c r="N1630" s="16">
        <v>71.0</v>
      </c>
      <c r="O1630" s="8" t="s">
        <v>5566</v>
      </c>
      <c r="P1630" s="8" t="s">
        <v>24</v>
      </c>
      <c r="Q1630" s="14" t="s">
        <v>1352</v>
      </c>
      <c r="R1630" s="18" t="s">
        <v>2589</v>
      </c>
      <c r="S1630" s="14" t="s">
        <v>2571</v>
      </c>
    </row>
    <row r="1631">
      <c r="A1631" s="8" t="s">
        <v>176</v>
      </c>
      <c r="B1631" s="8" t="s">
        <v>1482</v>
      </c>
      <c r="C1631" s="8" t="s">
        <v>138</v>
      </c>
      <c r="D1631" s="18" t="s">
        <v>2582</v>
      </c>
      <c r="E1631" s="16">
        <v>66.0</v>
      </c>
      <c r="F1631" s="8" t="s">
        <v>176</v>
      </c>
      <c r="G1631" s="8" t="s">
        <v>175</v>
      </c>
      <c r="H1631" s="8" t="s">
        <v>65</v>
      </c>
      <c r="I1631" s="18" t="s">
        <v>2600</v>
      </c>
      <c r="J1631" s="16">
        <v>69.0</v>
      </c>
      <c r="K1631" s="8" t="s">
        <v>183</v>
      </c>
      <c r="L1631" s="8" t="s">
        <v>188</v>
      </c>
      <c r="M1631" s="18" t="s">
        <v>2603</v>
      </c>
      <c r="N1631" s="16">
        <v>68.0</v>
      </c>
      <c r="O1631" s="8" t="s">
        <v>5567</v>
      </c>
      <c r="P1631" s="8" t="s">
        <v>65</v>
      </c>
      <c r="Q1631" s="14" t="s">
        <v>2459</v>
      </c>
      <c r="R1631" s="8" t="s">
        <v>2183</v>
      </c>
      <c r="S1631" s="14" t="s">
        <v>2591</v>
      </c>
    </row>
    <row r="1632">
      <c r="A1632" s="8" t="s">
        <v>176</v>
      </c>
      <c r="B1632" s="8" t="s">
        <v>3352</v>
      </c>
      <c r="C1632" s="8" t="s">
        <v>46</v>
      </c>
      <c r="D1632" s="18" t="s">
        <v>2556</v>
      </c>
      <c r="E1632" s="16">
        <v>71.0</v>
      </c>
      <c r="F1632" s="8" t="s">
        <v>176</v>
      </c>
      <c r="G1632" s="8" t="s">
        <v>318</v>
      </c>
      <c r="H1632" s="8" t="s">
        <v>16</v>
      </c>
      <c r="I1632" s="18" t="s">
        <v>2554</v>
      </c>
      <c r="J1632" s="16">
        <v>87.0</v>
      </c>
      <c r="K1632" s="8" t="s">
        <v>183</v>
      </c>
      <c r="L1632" s="8" t="s">
        <v>835</v>
      </c>
      <c r="M1632" s="18" t="s">
        <v>2574</v>
      </c>
      <c r="N1632" s="16">
        <v>75.0</v>
      </c>
      <c r="O1632" s="8" t="s">
        <v>5568</v>
      </c>
      <c r="P1632" s="8" t="s">
        <v>70</v>
      </c>
      <c r="Q1632" s="14" t="s">
        <v>1070</v>
      </c>
      <c r="R1632" s="8" t="s">
        <v>2572</v>
      </c>
      <c r="S1632" s="14" t="s">
        <v>2559</v>
      </c>
    </row>
    <row r="1633">
      <c r="A1633" s="8" t="s">
        <v>176</v>
      </c>
      <c r="B1633" s="8" t="s">
        <v>175</v>
      </c>
      <c r="C1633" s="8" t="s">
        <v>65</v>
      </c>
      <c r="D1633" s="18" t="s">
        <v>2600</v>
      </c>
      <c r="E1633" s="16">
        <v>69.0</v>
      </c>
      <c r="F1633" s="8" t="s">
        <v>176</v>
      </c>
      <c r="G1633" s="8" t="s">
        <v>3352</v>
      </c>
      <c r="H1633" s="8" t="s">
        <v>46</v>
      </c>
      <c r="I1633" s="18" t="s">
        <v>2615</v>
      </c>
      <c r="J1633" s="16">
        <v>71.0</v>
      </c>
      <c r="K1633" s="8" t="s">
        <v>183</v>
      </c>
      <c r="L1633" s="8" t="s">
        <v>62</v>
      </c>
      <c r="M1633" s="18" t="s">
        <v>2593</v>
      </c>
      <c r="N1633" s="16">
        <v>67.0</v>
      </c>
      <c r="O1633" s="8" t="s">
        <v>5569</v>
      </c>
      <c r="P1633" s="8" t="s">
        <v>215</v>
      </c>
      <c r="Q1633" s="14" t="s">
        <v>338</v>
      </c>
      <c r="R1633" s="8" t="s">
        <v>2572</v>
      </c>
      <c r="S1633" s="14" t="s">
        <v>2613</v>
      </c>
    </row>
    <row r="1634">
      <c r="A1634" s="8" t="s">
        <v>176</v>
      </c>
      <c r="B1634" s="8" t="s">
        <v>318</v>
      </c>
      <c r="C1634" s="8" t="s">
        <v>16</v>
      </c>
      <c r="D1634" s="18" t="s">
        <v>2554</v>
      </c>
      <c r="E1634" s="16">
        <v>85.0</v>
      </c>
      <c r="F1634" s="8" t="s">
        <v>176</v>
      </c>
      <c r="G1634" s="8" t="s">
        <v>1482</v>
      </c>
      <c r="H1634" s="8" t="s">
        <v>215</v>
      </c>
      <c r="I1634" s="18" t="s">
        <v>2582</v>
      </c>
      <c r="J1634" s="16">
        <v>66.0</v>
      </c>
      <c r="K1634" s="8" t="s">
        <v>183</v>
      </c>
      <c r="L1634" s="8" t="s">
        <v>2810</v>
      </c>
      <c r="M1634" s="18" t="s">
        <v>2600</v>
      </c>
      <c r="N1634" s="16">
        <v>76.0</v>
      </c>
      <c r="O1634" s="8" t="s">
        <v>5570</v>
      </c>
      <c r="P1634" s="8" t="s">
        <v>80</v>
      </c>
      <c r="Q1634" s="14" t="s">
        <v>631</v>
      </c>
      <c r="R1634" s="8" t="s">
        <v>2587</v>
      </c>
      <c r="S1634" s="14" t="s">
        <v>2633</v>
      </c>
    </row>
    <row r="1635">
      <c r="A1635" s="8" t="s">
        <v>634</v>
      </c>
      <c r="B1635" s="8" t="s">
        <v>57</v>
      </c>
      <c r="C1635" s="8" t="s">
        <v>192</v>
      </c>
      <c r="D1635" s="18" t="s">
        <v>2593</v>
      </c>
      <c r="E1635" s="16">
        <v>69.0</v>
      </c>
      <c r="F1635" s="8" t="s">
        <v>908</v>
      </c>
      <c r="G1635" s="8" t="s">
        <v>907</v>
      </c>
      <c r="H1635" s="8" t="s">
        <v>192</v>
      </c>
      <c r="I1635" s="18" t="s">
        <v>2567</v>
      </c>
      <c r="J1635" s="16">
        <v>61.0</v>
      </c>
      <c r="K1635" s="8" t="s">
        <v>183</v>
      </c>
      <c r="L1635" s="8" t="s">
        <v>415</v>
      </c>
      <c r="M1635" s="18" t="s">
        <v>2572</v>
      </c>
      <c r="N1635" s="16">
        <v>78.0</v>
      </c>
      <c r="O1635" s="8" t="s">
        <v>5571</v>
      </c>
      <c r="P1635" s="8" t="s">
        <v>186</v>
      </c>
      <c r="Q1635" s="14" t="s">
        <v>1679</v>
      </c>
      <c r="R1635" s="8" t="s">
        <v>2593</v>
      </c>
      <c r="S1635" s="14" t="s">
        <v>2563</v>
      </c>
    </row>
    <row r="1636">
      <c r="A1636" s="8" t="s">
        <v>634</v>
      </c>
      <c r="B1636" s="8" t="s">
        <v>1396</v>
      </c>
      <c r="C1636" s="8" t="s">
        <v>192</v>
      </c>
      <c r="D1636" s="18" t="s">
        <v>2575</v>
      </c>
      <c r="E1636" s="16">
        <v>65.0</v>
      </c>
      <c r="F1636" s="8" t="s">
        <v>634</v>
      </c>
      <c r="G1636" s="8" t="s">
        <v>1396</v>
      </c>
      <c r="H1636" s="8" t="s">
        <v>93</v>
      </c>
      <c r="I1636" s="18" t="s">
        <v>2575</v>
      </c>
      <c r="J1636" s="16">
        <v>64.0</v>
      </c>
      <c r="K1636" s="8" t="s">
        <v>183</v>
      </c>
      <c r="L1636" s="8" t="s">
        <v>777</v>
      </c>
      <c r="M1636" s="18" t="s">
        <v>2560</v>
      </c>
      <c r="N1636" s="16">
        <v>69.0</v>
      </c>
      <c r="O1636" s="8" t="s">
        <v>5572</v>
      </c>
      <c r="P1636" s="8" t="s">
        <v>12</v>
      </c>
      <c r="Q1636" s="14" t="s">
        <v>1679</v>
      </c>
      <c r="R1636" s="8" t="s">
        <v>2572</v>
      </c>
      <c r="S1636" s="14" t="s">
        <v>2573</v>
      </c>
    </row>
    <row r="1637">
      <c r="A1637" s="8" t="s">
        <v>416</v>
      </c>
      <c r="B1637" s="8" t="s">
        <v>415</v>
      </c>
      <c r="C1637" s="8" t="s">
        <v>141</v>
      </c>
      <c r="D1637" s="18" t="s">
        <v>2577</v>
      </c>
      <c r="E1637" s="16">
        <v>88.0</v>
      </c>
      <c r="F1637" s="8" t="s">
        <v>634</v>
      </c>
      <c r="G1637" s="8" t="s">
        <v>89</v>
      </c>
      <c r="H1637" s="8" t="s">
        <v>65</v>
      </c>
      <c r="I1637" s="18" t="s">
        <v>2582</v>
      </c>
      <c r="J1637" s="16">
        <v>63.0</v>
      </c>
      <c r="K1637" s="8" t="s">
        <v>183</v>
      </c>
      <c r="L1637" s="8" t="s">
        <v>1164</v>
      </c>
      <c r="M1637" s="18" t="s">
        <v>2592</v>
      </c>
      <c r="N1637" s="16">
        <v>84.0</v>
      </c>
      <c r="O1637" s="8" t="s">
        <v>5573</v>
      </c>
      <c r="P1637" s="8" t="s">
        <v>138</v>
      </c>
      <c r="Q1637" s="14" t="s">
        <v>135</v>
      </c>
      <c r="R1637" s="8" t="s">
        <v>2600</v>
      </c>
      <c r="S1637" s="14" t="s">
        <v>2625</v>
      </c>
    </row>
    <row r="1638">
      <c r="A1638" s="8" t="s">
        <v>922</v>
      </c>
      <c r="B1638" s="8" t="s">
        <v>1391</v>
      </c>
      <c r="C1638" s="8" t="s">
        <v>186</v>
      </c>
      <c r="D1638" s="18" t="s">
        <v>2562</v>
      </c>
      <c r="E1638" s="16">
        <v>68.0</v>
      </c>
      <c r="F1638" s="8" t="s">
        <v>634</v>
      </c>
      <c r="G1638" s="8" t="s">
        <v>57</v>
      </c>
      <c r="H1638" s="8" t="s">
        <v>192</v>
      </c>
      <c r="I1638" s="18" t="s">
        <v>2593</v>
      </c>
      <c r="J1638" s="16">
        <v>84.0</v>
      </c>
      <c r="K1638" s="8" t="s">
        <v>183</v>
      </c>
      <c r="L1638" s="8" t="s">
        <v>1328</v>
      </c>
      <c r="M1638" s="18" t="s">
        <v>2564</v>
      </c>
      <c r="N1638" s="16">
        <v>79.0</v>
      </c>
      <c r="O1638" s="8" t="s">
        <v>5573</v>
      </c>
      <c r="P1638" s="8" t="s">
        <v>122</v>
      </c>
      <c r="Q1638" s="14" t="s">
        <v>1070</v>
      </c>
      <c r="R1638" s="8" t="s">
        <v>2598</v>
      </c>
      <c r="S1638" s="14" t="s">
        <v>2583</v>
      </c>
    </row>
    <row r="1639">
      <c r="A1639" s="8" t="s">
        <v>922</v>
      </c>
      <c r="B1639" s="8" t="s">
        <v>921</v>
      </c>
      <c r="C1639" s="8" t="s">
        <v>75</v>
      </c>
      <c r="D1639" s="18" t="s">
        <v>2620</v>
      </c>
      <c r="E1639" s="16">
        <v>70.0</v>
      </c>
      <c r="F1639" s="8" t="s">
        <v>416</v>
      </c>
      <c r="G1639" s="8" t="s">
        <v>415</v>
      </c>
      <c r="H1639" s="8" t="s">
        <v>141</v>
      </c>
      <c r="I1639" s="18" t="s">
        <v>2577</v>
      </c>
      <c r="J1639" s="16">
        <v>85.0</v>
      </c>
      <c r="K1639" s="8" t="s">
        <v>183</v>
      </c>
      <c r="L1639" s="8" t="s">
        <v>519</v>
      </c>
      <c r="M1639" s="18" t="s">
        <v>2589</v>
      </c>
      <c r="N1639" s="16">
        <v>76.0</v>
      </c>
      <c r="O1639" s="8" t="s">
        <v>5574</v>
      </c>
      <c r="P1639" s="8" t="s">
        <v>138</v>
      </c>
      <c r="Q1639" s="14" t="s">
        <v>631</v>
      </c>
      <c r="R1639" s="8" t="s">
        <v>2593</v>
      </c>
      <c r="S1639" s="14" t="s">
        <v>2611</v>
      </c>
    </row>
    <row r="1640">
      <c r="A1640" s="8" t="s">
        <v>922</v>
      </c>
      <c r="B1640" s="8" t="s">
        <v>2182</v>
      </c>
      <c r="C1640" s="8" t="s">
        <v>65</v>
      </c>
      <c r="D1640" s="18" t="s">
        <v>2556</v>
      </c>
      <c r="E1640" s="16">
        <v>63.0</v>
      </c>
      <c r="F1640" s="8" t="s">
        <v>922</v>
      </c>
      <c r="G1640" s="8" t="s">
        <v>3486</v>
      </c>
      <c r="H1640" s="8" t="s">
        <v>141</v>
      </c>
      <c r="I1640" s="18" t="s">
        <v>2572</v>
      </c>
      <c r="J1640" s="16">
        <v>67.0</v>
      </c>
      <c r="K1640" s="8" t="s">
        <v>183</v>
      </c>
      <c r="L1640" s="8" t="s">
        <v>361</v>
      </c>
      <c r="M1640" s="18" t="s">
        <v>2558</v>
      </c>
      <c r="N1640" s="16">
        <v>84.0</v>
      </c>
      <c r="O1640" s="8" t="s">
        <v>5575</v>
      </c>
      <c r="P1640" s="8" t="s">
        <v>261</v>
      </c>
      <c r="Q1640" s="14" t="s">
        <v>837</v>
      </c>
      <c r="R1640" s="8" t="s">
        <v>2595</v>
      </c>
      <c r="S1640" s="14" t="s">
        <v>2579</v>
      </c>
    </row>
    <row r="1641">
      <c r="A1641" s="8" t="s">
        <v>922</v>
      </c>
      <c r="B1641" s="8" t="s">
        <v>3486</v>
      </c>
      <c r="C1641" s="8" t="s">
        <v>141</v>
      </c>
      <c r="D1641" s="18" t="s">
        <v>2572</v>
      </c>
      <c r="E1641" s="16">
        <v>68.0</v>
      </c>
      <c r="F1641" s="8" t="s">
        <v>922</v>
      </c>
      <c r="G1641" s="8" t="s">
        <v>2182</v>
      </c>
      <c r="H1641" s="8" t="s">
        <v>65</v>
      </c>
      <c r="I1641" s="18" t="s">
        <v>2558</v>
      </c>
      <c r="J1641" s="16">
        <v>62.0</v>
      </c>
      <c r="K1641" s="8" t="s">
        <v>183</v>
      </c>
      <c r="L1641" s="8" t="s">
        <v>78</v>
      </c>
      <c r="M1641" s="18" t="s">
        <v>2572</v>
      </c>
      <c r="N1641" s="16">
        <v>77.0</v>
      </c>
      <c r="O1641" s="8" t="s">
        <v>5576</v>
      </c>
      <c r="P1641" s="8" t="s">
        <v>93</v>
      </c>
      <c r="Q1641" s="14" t="s">
        <v>1679</v>
      </c>
      <c r="R1641" s="8" t="s">
        <v>2572</v>
      </c>
      <c r="S1641" s="14" t="s">
        <v>2565</v>
      </c>
    </row>
    <row r="1642">
      <c r="A1642" s="8" t="s">
        <v>922</v>
      </c>
      <c r="B1642" s="8" t="s">
        <v>3104</v>
      </c>
      <c r="C1642" s="8" t="s">
        <v>141</v>
      </c>
      <c r="D1642" s="18" t="s">
        <v>2595</v>
      </c>
      <c r="E1642" s="16">
        <v>82.0</v>
      </c>
      <c r="F1642" s="8" t="s">
        <v>922</v>
      </c>
      <c r="G1642" s="8" t="s">
        <v>921</v>
      </c>
      <c r="H1642" s="8" t="s">
        <v>75</v>
      </c>
      <c r="I1642" s="18" t="s">
        <v>2620</v>
      </c>
      <c r="J1642" s="16">
        <v>74.0</v>
      </c>
      <c r="K1642" s="8" t="s">
        <v>183</v>
      </c>
      <c r="L1642" s="8" t="s">
        <v>539</v>
      </c>
      <c r="M1642" s="18" t="s">
        <v>2577</v>
      </c>
      <c r="N1642" s="16">
        <v>79.0</v>
      </c>
      <c r="O1642" s="8" t="s">
        <v>5577</v>
      </c>
      <c r="P1642" s="8" t="s">
        <v>75</v>
      </c>
      <c r="Q1642" s="14" t="s">
        <v>2296</v>
      </c>
      <c r="R1642" s="8" t="s">
        <v>2581</v>
      </c>
      <c r="S1642" s="14" t="s">
        <v>2583</v>
      </c>
    </row>
    <row r="1643">
      <c r="A1643" s="8" t="s">
        <v>922</v>
      </c>
      <c r="B1643" s="8" t="s">
        <v>3106</v>
      </c>
      <c r="C1643" s="8" t="s">
        <v>215</v>
      </c>
      <c r="D1643" s="18" t="s">
        <v>2587</v>
      </c>
      <c r="E1643" s="16">
        <v>59.0</v>
      </c>
      <c r="F1643" s="8" t="s">
        <v>922</v>
      </c>
      <c r="G1643" s="8" t="s">
        <v>3104</v>
      </c>
      <c r="H1643" s="8" t="s">
        <v>141</v>
      </c>
      <c r="I1643" s="18" t="s">
        <v>2595</v>
      </c>
      <c r="J1643" s="16">
        <v>84.0</v>
      </c>
      <c r="K1643" s="8" t="s">
        <v>183</v>
      </c>
      <c r="L1643" s="8" t="s">
        <v>61</v>
      </c>
      <c r="M1643" s="18" t="s">
        <v>2603</v>
      </c>
      <c r="N1643" s="16">
        <v>73.0</v>
      </c>
      <c r="O1643" s="8" t="s">
        <v>5578</v>
      </c>
      <c r="P1643" s="8" t="s">
        <v>38</v>
      </c>
      <c r="Q1643" s="14" t="s">
        <v>2033</v>
      </c>
      <c r="R1643" s="8" t="s">
        <v>2603</v>
      </c>
      <c r="S1643" s="14" t="s">
        <v>2578</v>
      </c>
    </row>
    <row r="1644">
      <c r="A1644" s="8" t="s">
        <v>1666</v>
      </c>
      <c r="B1644" s="8" t="s">
        <v>78</v>
      </c>
      <c r="C1644" s="8" t="s">
        <v>24</v>
      </c>
      <c r="D1644" s="18" t="s">
        <v>2575</v>
      </c>
      <c r="E1644" s="16">
        <v>78.0</v>
      </c>
      <c r="F1644" s="8" t="s">
        <v>922</v>
      </c>
      <c r="G1644" s="8" t="s">
        <v>3106</v>
      </c>
      <c r="H1644" s="8" t="s">
        <v>138</v>
      </c>
      <c r="I1644" s="18" t="s">
        <v>2587</v>
      </c>
      <c r="J1644" s="16">
        <v>63.0</v>
      </c>
      <c r="K1644" s="8" t="s">
        <v>183</v>
      </c>
      <c r="L1644" s="8" t="s">
        <v>422</v>
      </c>
      <c r="M1644" s="18" t="s">
        <v>2552</v>
      </c>
      <c r="N1644" s="16">
        <v>78.0</v>
      </c>
      <c r="O1644" s="8" t="s">
        <v>5579</v>
      </c>
      <c r="P1644" s="8" t="s">
        <v>215</v>
      </c>
      <c r="Q1644" s="14" t="s">
        <v>2033</v>
      </c>
      <c r="R1644" s="18" t="s">
        <v>2589</v>
      </c>
      <c r="S1644" s="14" t="s">
        <v>2563</v>
      </c>
    </row>
    <row r="1645">
      <c r="A1645" s="8" t="s">
        <v>584</v>
      </c>
      <c r="B1645" s="8" t="s">
        <v>3553</v>
      </c>
      <c r="C1645" s="8" t="s">
        <v>16</v>
      </c>
      <c r="D1645" s="18" t="s">
        <v>2564</v>
      </c>
      <c r="E1645" s="16">
        <v>63.0</v>
      </c>
      <c r="F1645" s="8" t="s">
        <v>1666</v>
      </c>
      <c r="G1645" s="8" t="s">
        <v>78</v>
      </c>
      <c r="H1645" s="8" t="s">
        <v>24</v>
      </c>
      <c r="I1645" s="18" t="s">
        <v>2575</v>
      </c>
      <c r="J1645" s="16">
        <v>76.0</v>
      </c>
      <c r="K1645" s="8" t="s">
        <v>183</v>
      </c>
      <c r="L1645" s="8" t="s">
        <v>207</v>
      </c>
      <c r="M1645" s="18" t="s">
        <v>2589</v>
      </c>
      <c r="N1645" s="16">
        <v>79.0</v>
      </c>
      <c r="O1645" s="8" t="s">
        <v>5580</v>
      </c>
      <c r="P1645" s="8" t="s">
        <v>132</v>
      </c>
      <c r="Q1645" s="14" t="s">
        <v>1352</v>
      </c>
      <c r="R1645" s="8" t="s">
        <v>2581</v>
      </c>
      <c r="S1645" s="14" t="s">
        <v>2570</v>
      </c>
    </row>
    <row r="1646">
      <c r="A1646" s="8" t="s">
        <v>3154</v>
      </c>
      <c r="B1646" s="8" t="s">
        <v>3153</v>
      </c>
      <c r="C1646" s="8" t="s">
        <v>138</v>
      </c>
      <c r="D1646" s="18" t="s">
        <v>2621</v>
      </c>
      <c r="E1646" s="16">
        <v>60.0</v>
      </c>
      <c r="F1646" s="8" t="s">
        <v>3154</v>
      </c>
      <c r="G1646" s="8" t="s">
        <v>3153</v>
      </c>
      <c r="H1646" s="8" t="s">
        <v>138</v>
      </c>
      <c r="I1646" s="18" t="s">
        <v>2621</v>
      </c>
      <c r="J1646" s="16">
        <v>60.0</v>
      </c>
      <c r="K1646" s="8" t="s">
        <v>183</v>
      </c>
      <c r="L1646" s="8" t="s">
        <v>717</v>
      </c>
      <c r="M1646" s="18" t="s">
        <v>2581</v>
      </c>
      <c r="N1646" s="16">
        <v>70.0</v>
      </c>
      <c r="O1646" s="8" t="s">
        <v>5581</v>
      </c>
      <c r="P1646" s="8" t="s">
        <v>65</v>
      </c>
      <c r="Q1646" s="14" t="s">
        <v>459</v>
      </c>
      <c r="R1646" s="8" t="s">
        <v>2575</v>
      </c>
      <c r="S1646" s="14" t="s">
        <v>2591</v>
      </c>
    </row>
    <row r="1647">
      <c r="A1647" s="8" t="s">
        <v>2941</v>
      </c>
      <c r="B1647" s="8" t="s">
        <v>2940</v>
      </c>
      <c r="C1647" s="8" t="s">
        <v>65</v>
      </c>
      <c r="D1647" s="18" t="s">
        <v>2567</v>
      </c>
      <c r="E1647" s="16">
        <v>63.0</v>
      </c>
      <c r="F1647" s="8" t="s">
        <v>385</v>
      </c>
      <c r="G1647" s="8" t="s">
        <v>384</v>
      </c>
      <c r="H1647" s="8" t="s">
        <v>215</v>
      </c>
      <c r="I1647" s="18" t="s">
        <v>2572</v>
      </c>
      <c r="J1647" s="16">
        <v>89.0</v>
      </c>
      <c r="K1647" s="8" t="s">
        <v>183</v>
      </c>
      <c r="L1647" s="8" t="s">
        <v>427</v>
      </c>
      <c r="M1647" s="18" t="s">
        <v>2645</v>
      </c>
      <c r="N1647" s="16">
        <v>61.0</v>
      </c>
      <c r="O1647" s="8" t="s">
        <v>5582</v>
      </c>
      <c r="P1647" s="8" t="s">
        <v>65</v>
      </c>
      <c r="Q1647" s="14" t="s">
        <v>2033</v>
      </c>
      <c r="R1647" s="8" t="s">
        <v>2614</v>
      </c>
      <c r="S1647" s="14" t="s">
        <v>2586</v>
      </c>
    </row>
    <row r="1648">
      <c r="A1648" s="8" t="s">
        <v>385</v>
      </c>
      <c r="B1648" s="8" t="s">
        <v>698</v>
      </c>
      <c r="C1648" s="8" t="s">
        <v>70</v>
      </c>
      <c r="D1648" s="18" t="s">
        <v>2572</v>
      </c>
      <c r="E1648" s="16">
        <v>76.0</v>
      </c>
      <c r="F1648" s="8" t="s">
        <v>385</v>
      </c>
      <c r="G1648" s="8" t="s">
        <v>698</v>
      </c>
      <c r="H1648" s="8" t="s">
        <v>70</v>
      </c>
      <c r="I1648" s="18" t="s">
        <v>2572</v>
      </c>
      <c r="J1648" s="16">
        <v>87.0</v>
      </c>
      <c r="K1648" s="8" t="s">
        <v>183</v>
      </c>
      <c r="L1648" s="8" t="s">
        <v>278</v>
      </c>
      <c r="M1648" s="18" t="s">
        <v>2552</v>
      </c>
      <c r="N1648" s="16">
        <v>76.0</v>
      </c>
      <c r="O1648" s="8" t="s">
        <v>5583</v>
      </c>
      <c r="P1648" s="8" t="s">
        <v>122</v>
      </c>
      <c r="Q1648" s="14" t="s">
        <v>2033</v>
      </c>
      <c r="R1648" s="8" t="s">
        <v>2584</v>
      </c>
      <c r="S1648" s="14" t="s">
        <v>2618</v>
      </c>
    </row>
    <row r="1649">
      <c r="A1649" s="8" t="s">
        <v>385</v>
      </c>
      <c r="B1649" s="8" t="s">
        <v>384</v>
      </c>
      <c r="C1649" s="8" t="s">
        <v>59</v>
      </c>
      <c r="D1649" s="18" t="s">
        <v>2572</v>
      </c>
      <c r="E1649" s="16">
        <v>86.0</v>
      </c>
      <c r="F1649" s="8" t="s">
        <v>3123</v>
      </c>
      <c r="G1649" s="8" t="s">
        <v>34</v>
      </c>
      <c r="H1649" s="8" t="s">
        <v>149</v>
      </c>
      <c r="I1649" s="18" t="s">
        <v>2620</v>
      </c>
      <c r="J1649" s="16">
        <v>73.0</v>
      </c>
      <c r="K1649" s="8" t="s">
        <v>183</v>
      </c>
      <c r="L1649" s="8" t="s">
        <v>2115</v>
      </c>
      <c r="M1649" s="18" t="s">
        <v>2581</v>
      </c>
      <c r="N1649" s="16">
        <v>75.0</v>
      </c>
      <c r="O1649" s="8" t="s">
        <v>5584</v>
      </c>
      <c r="P1649" s="8" t="s">
        <v>93</v>
      </c>
      <c r="Q1649" s="14" t="s">
        <v>2296</v>
      </c>
      <c r="R1649" s="8" t="s">
        <v>2614</v>
      </c>
      <c r="S1649" s="14" t="s">
        <v>2563</v>
      </c>
    </row>
    <row r="1650">
      <c r="A1650" s="8" t="s">
        <v>385</v>
      </c>
      <c r="B1650" s="8" t="s">
        <v>1055</v>
      </c>
      <c r="C1650" s="8" t="s">
        <v>93</v>
      </c>
      <c r="D1650" s="18" t="s">
        <v>2552</v>
      </c>
      <c r="E1650" s="16">
        <v>65.0</v>
      </c>
      <c r="F1650" s="8" t="s">
        <v>719</v>
      </c>
      <c r="G1650" s="8" t="s">
        <v>718</v>
      </c>
      <c r="H1650" s="8" t="s">
        <v>192</v>
      </c>
      <c r="I1650" s="18" t="s">
        <v>2587</v>
      </c>
      <c r="J1650" s="16">
        <v>76.0</v>
      </c>
      <c r="K1650" s="8" t="s">
        <v>183</v>
      </c>
      <c r="L1650" s="8" t="s">
        <v>1055</v>
      </c>
      <c r="M1650" s="18" t="s">
        <v>2614</v>
      </c>
      <c r="N1650" s="16">
        <v>69.0</v>
      </c>
      <c r="O1650" s="8" t="s">
        <v>5585</v>
      </c>
      <c r="P1650" s="8" t="s">
        <v>93</v>
      </c>
      <c r="Q1650" s="14" t="s">
        <v>1352</v>
      </c>
      <c r="R1650" s="8" t="s">
        <v>2621</v>
      </c>
      <c r="S1650" s="14" t="s">
        <v>2583</v>
      </c>
    </row>
    <row r="1651">
      <c r="A1651" s="8" t="s">
        <v>3123</v>
      </c>
      <c r="B1651" s="8" t="s">
        <v>34</v>
      </c>
      <c r="C1651" s="8" t="s">
        <v>149</v>
      </c>
      <c r="D1651" s="18" t="s">
        <v>2556</v>
      </c>
      <c r="E1651" s="16">
        <v>73.0</v>
      </c>
      <c r="F1651" s="8" t="s">
        <v>137</v>
      </c>
      <c r="G1651" s="8" t="s">
        <v>2715</v>
      </c>
      <c r="H1651" s="8" t="s">
        <v>65</v>
      </c>
      <c r="I1651" s="18" t="s">
        <v>2575</v>
      </c>
      <c r="J1651" s="16">
        <v>71.0</v>
      </c>
      <c r="K1651" s="8" t="s">
        <v>183</v>
      </c>
      <c r="L1651" s="8" t="s">
        <v>1894</v>
      </c>
      <c r="M1651" s="18" t="s">
        <v>2585</v>
      </c>
      <c r="N1651" s="16">
        <v>79.0</v>
      </c>
      <c r="O1651" s="8" t="s">
        <v>5585</v>
      </c>
      <c r="P1651" s="8" t="s">
        <v>141</v>
      </c>
      <c r="Q1651" s="14" t="s">
        <v>2459</v>
      </c>
      <c r="R1651" s="8" t="s">
        <v>2610</v>
      </c>
      <c r="S1651" s="14" t="s">
        <v>2580</v>
      </c>
    </row>
    <row r="1652">
      <c r="A1652" s="8" t="s">
        <v>719</v>
      </c>
      <c r="B1652" s="8" t="s">
        <v>3532</v>
      </c>
      <c r="C1652" s="8" t="s">
        <v>186</v>
      </c>
      <c r="D1652" s="18" t="s">
        <v>2592</v>
      </c>
      <c r="E1652" s="16">
        <v>59.0</v>
      </c>
      <c r="F1652" s="8" t="s">
        <v>137</v>
      </c>
      <c r="G1652" s="8" t="s">
        <v>2849</v>
      </c>
      <c r="H1652" s="8" t="s">
        <v>24</v>
      </c>
      <c r="I1652" s="18" t="s">
        <v>2595</v>
      </c>
      <c r="J1652" s="16">
        <v>74.0</v>
      </c>
      <c r="K1652" s="8" t="s">
        <v>183</v>
      </c>
      <c r="L1652" s="8" t="s">
        <v>361</v>
      </c>
      <c r="M1652" s="18" t="s">
        <v>2558</v>
      </c>
      <c r="N1652" s="16">
        <v>88.0</v>
      </c>
      <c r="O1652" s="8" t="s">
        <v>5586</v>
      </c>
      <c r="P1652" s="8" t="s">
        <v>93</v>
      </c>
      <c r="Q1652" s="14" t="s">
        <v>1679</v>
      </c>
      <c r="R1652" s="8" t="s">
        <v>2605</v>
      </c>
      <c r="S1652" s="14" t="s">
        <v>2580</v>
      </c>
    </row>
    <row r="1653">
      <c r="A1653" s="8" t="s">
        <v>719</v>
      </c>
      <c r="B1653" s="8" t="s">
        <v>718</v>
      </c>
      <c r="C1653" s="8" t="s">
        <v>80</v>
      </c>
      <c r="D1653" s="18" t="s">
        <v>2558</v>
      </c>
      <c r="E1653" s="16">
        <v>80.0</v>
      </c>
      <c r="F1653" s="8" t="s">
        <v>137</v>
      </c>
      <c r="G1653" s="8" t="s">
        <v>1003</v>
      </c>
      <c r="H1653" s="8" t="s">
        <v>38</v>
      </c>
      <c r="I1653" s="18" t="s">
        <v>2574</v>
      </c>
      <c r="J1653" s="16">
        <v>74.0</v>
      </c>
      <c r="K1653" s="8" t="s">
        <v>1219</v>
      </c>
      <c r="L1653" s="8" t="s">
        <v>1218</v>
      </c>
      <c r="M1653" s="18" t="s">
        <v>2554</v>
      </c>
      <c r="N1653" s="16">
        <v>73.0</v>
      </c>
      <c r="O1653" s="8" t="s">
        <v>5587</v>
      </c>
      <c r="P1653" s="8" t="s">
        <v>149</v>
      </c>
      <c r="Q1653" s="14" t="s">
        <v>237</v>
      </c>
      <c r="R1653" s="8" t="s">
        <v>2595</v>
      </c>
      <c r="S1653" s="14" t="s">
        <v>2580</v>
      </c>
    </row>
    <row r="1654">
      <c r="A1654" s="8" t="s">
        <v>137</v>
      </c>
      <c r="B1654" s="8" t="s">
        <v>136</v>
      </c>
      <c r="C1654" s="8" t="s">
        <v>138</v>
      </c>
      <c r="D1654" s="18" t="s">
        <v>2603</v>
      </c>
      <c r="E1654" s="16">
        <v>91.0</v>
      </c>
      <c r="F1654" s="8" t="s">
        <v>137</v>
      </c>
      <c r="G1654" s="8" t="s">
        <v>1380</v>
      </c>
      <c r="H1654" s="8" t="s">
        <v>93</v>
      </c>
      <c r="I1654" s="18" t="s">
        <v>2566</v>
      </c>
      <c r="J1654" s="16">
        <v>61.0</v>
      </c>
      <c r="K1654" s="8" t="s">
        <v>2341</v>
      </c>
      <c r="L1654" s="8" t="s">
        <v>66</v>
      </c>
      <c r="M1654" s="18" t="s">
        <v>2581</v>
      </c>
      <c r="N1654" s="16">
        <v>78.0</v>
      </c>
      <c r="O1654" s="8" t="s">
        <v>5588</v>
      </c>
      <c r="P1654" s="8" t="s">
        <v>38</v>
      </c>
      <c r="Q1654" s="14" t="s">
        <v>837</v>
      </c>
      <c r="R1654" s="8" t="s">
        <v>2574</v>
      </c>
      <c r="S1654" s="14" t="s">
        <v>2607</v>
      </c>
    </row>
    <row r="1655">
      <c r="A1655" s="8" t="s">
        <v>137</v>
      </c>
      <c r="B1655" s="8" t="s">
        <v>136</v>
      </c>
      <c r="C1655" s="8" t="s">
        <v>122</v>
      </c>
      <c r="D1655" s="18" t="s">
        <v>2584</v>
      </c>
      <c r="E1655" s="16">
        <v>66.0</v>
      </c>
      <c r="F1655" s="8" t="s">
        <v>137</v>
      </c>
      <c r="G1655" s="8" t="s">
        <v>2744</v>
      </c>
      <c r="H1655" s="8" t="s">
        <v>65</v>
      </c>
      <c r="I1655" s="18" t="s">
        <v>2556</v>
      </c>
      <c r="J1655" s="16">
        <v>85.0</v>
      </c>
      <c r="K1655" s="8" t="s">
        <v>985</v>
      </c>
      <c r="L1655" s="8" t="s">
        <v>3105</v>
      </c>
      <c r="M1655" s="18" t="s">
        <v>2592</v>
      </c>
      <c r="N1655" s="16">
        <v>78.0</v>
      </c>
      <c r="O1655" s="8" t="s">
        <v>5589</v>
      </c>
      <c r="P1655" s="8" t="s">
        <v>122</v>
      </c>
      <c r="Q1655" s="14" t="s">
        <v>1070</v>
      </c>
      <c r="R1655" s="8" t="s">
        <v>2575</v>
      </c>
      <c r="S1655" s="14" t="s">
        <v>2559</v>
      </c>
    </row>
    <row r="1656">
      <c r="A1656" s="8" t="s">
        <v>137</v>
      </c>
      <c r="B1656" s="8" t="s">
        <v>3180</v>
      </c>
      <c r="C1656" s="8" t="s">
        <v>149</v>
      </c>
      <c r="D1656" s="18" t="s">
        <v>2615</v>
      </c>
      <c r="E1656" s="16">
        <v>72.0</v>
      </c>
      <c r="F1656" s="8" t="s">
        <v>137</v>
      </c>
      <c r="G1656" s="8" t="s">
        <v>3382</v>
      </c>
      <c r="H1656" s="8" t="s">
        <v>149</v>
      </c>
      <c r="I1656" s="18" t="s">
        <v>2574</v>
      </c>
      <c r="J1656" s="16">
        <v>74.0</v>
      </c>
      <c r="K1656" s="8" t="s">
        <v>985</v>
      </c>
      <c r="L1656" s="8" t="s">
        <v>984</v>
      </c>
      <c r="M1656" s="18" t="s">
        <v>2183</v>
      </c>
      <c r="N1656" s="16">
        <v>76.0</v>
      </c>
      <c r="O1656" s="8" t="s">
        <v>5590</v>
      </c>
      <c r="P1656" s="8" t="s">
        <v>24</v>
      </c>
      <c r="Q1656" s="14" t="s">
        <v>1352</v>
      </c>
      <c r="R1656" s="8" t="s">
        <v>2554</v>
      </c>
      <c r="S1656" s="14" t="s">
        <v>2565</v>
      </c>
    </row>
    <row r="1657">
      <c r="A1657" s="8" t="s">
        <v>137</v>
      </c>
      <c r="B1657" s="8" t="s">
        <v>656</v>
      </c>
      <c r="C1657" s="8" t="s">
        <v>122</v>
      </c>
      <c r="D1657" s="18" t="s">
        <v>2593</v>
      </c>
      <c r="E1657" s="16">
        <v>79.0</v>
      </c>
      <c r="F1657" s="8" t="s">
        <v>137</v>
      </c>
      <c r="G1657" s="8" t="s">
        <v>136</v>
      </c>
      <c r="H1657" s="8" t="s">
        <v>122</v>
      </c>
      <c r="I1657" s="18" t="s">
        <v>2584</v>
      </c>
      <c r="J1657" s="16">
        <v>67.0</v>
      </c>
      <c r="K1657" s="8" t="s">
        <v>427</v>
      </c>
      <c r="L1657" s="8" t="s">
        <v>426</v>
      </c>
      <c r="M1657" s="18" t="s">
        <v>2183</v>
      </c>
      <c r="N1657" s="16">
        <v>81.0</v>
      </c>
      <c r="O1657" s="8" t="s">
        <v>5591</v>
      </c>
      <c r="P1657" s="8" t="s">
        <v>132</v>
      </c>
      <c r="Q1657" s="14" t="s">
        <v>631</v>
      </c>
      <c r="R1657" s="8" t="s">
        <v>2572</v>
      </c>
      <c r="S1657" s="14" t="s">
        <v>2622</v>
      </c>
    </row>
    <row r="1658">
      <c r="A1658" s="8" t="s">
        <v>137</v>
      </c>
      <c r="B1658" s="8" t="s">
        <v>864</v>
      </c>
      <c r="C1658" s="8" t="s">
        <v>261</v>
      </c>
      <c r="D1658" s="18" t="s">
        <v>2554</v>
      </c>
      <c r="E1658" s="16">
        <v>83.0</v>
      </c>
      <c r="F1658" s="8" t="s">
        <v>137</v>
      </c>
      <c r="G1658" s="8" t="s">
        <v>1287</v>
      </c>
      <c r="H1658" s="8" t="s">
        <v>122</v>
      </c>
      <c r="I1658" s="18" t="s">
        <v>2575</v>
      </c>
      <c r="J1658" s="16">
        <v>79.0</v>
      </c>
      <c r="K1658" s="8" t="s">
        <v>427</v>
      </c>
      <c r="L1658" s="8" t="s">
        <v>1235</v>
      </c>
      <c r="M1658" s="18" t="s">
        <v>2595</v>
      </c>
      <c r="N1658" s="16">
        <v>74.0</v>
      </c>
      <c r="O1658" s="8" t="s">
        <v>5592</v>
      </c>
      <c r="P1658" s="8" t="s">
        <v>65</v>
      </c>
      <c r="Q1658" s="14" t="s">
        <v>1070</v>
      </c>
      <c r="R1658" s="8" t="s">
        <v>2595</v>
      </c>
      <c r="S1658" s="14" t="s">
        <v>2639</v>
      </c>
    </row>
    <row r="1659">
      <c r="A1659" s="8" t="s">
        <v>137</v>
      </c>
      <c r="B1659" s="8" t="s">
        <v>2715</v>
      </c>
      <c r="C1659" s="8" t="s">
        <v>65</v>
      </c>
      <c r="D1659" s="18" t="s">
        <v>2575</v>
      </c>
      <c r="E1659" s="16">
        <v>68.0</v>
      </c>
      <c r="F1659" s="8" t="s">
        <v>137</v>
      </c>
      <c r="G1659" s="8" t="s">
        <v>510</v>
      </c>
      <c r="H1659" s="8" t="s">
        <v>65</v>
      </c>
      <c r="I1659" s="18" t="s">
        <v>2552</v>
      </c>
      <c r="J1659" s="16">
        <v>75.0</v>
      </c>
      <c r="K1659" s="8" t="s">
        <v>427</v>
      </c>
      <c r="L1659" s="8" t="s">
        <v>1648</v>
      </c>
      <c r="M1659" s="18" t="s">
        <v>2605</v>
      </c>
      <c r="N1659" s="16">
        <v>77.0</v>
      </c>
      <c r="O1659" s="8" t="s">
        <v>5592</v>
      </c>
      <c r="P1659" s="8" t="s">
        <v>192</v>
      </c>
      <c r="Q1659" s="14" t="s">
        <v>459</v>
      </c>
      <c r="R1659" s="8" t="s">
        <v>2566</v>
      </c>
      <c r="S1659" s="14" t="s">
        <v>2565</v>
      </c>
    </row>
    <row r="1660">
      <c r="A1660" s="8" t="s">
        <v>137</v>
      </c>
      <c r="B1660" s="8" t="s">
        <v>2744</v>
      </c>
      <c r="C1660" s="8" t="s">
        <v>65</v>
      </c>
      <c r="D1660" s="18" t="s">
        <v>2556</v>
      </c>
      <c r="E1660" s="16">
        <v>83.0</v>
      </c>
      <c r="F1660" s="8" t="s">
        <v>137</v>
      </c>
      <c r="G1660" s="8" t="s">
        <v>389</v>
      </c>
      <c r="H1660" s="8" t="s">
        <v>215</v>
      </c>
      <c r="I1660" s="18" t="s">
        <v>2610</v>
      </c>
      <c r="J1660" s="16">
        <v>76.0</v>
      </c>
      <c r="K1660" s="8" t="s">
        <v>425</v>
      </c>
      <c r="L1660" s="8" t="s">
        <v>3031</v>
      </c>
      <c r="M1660" s="18" t="s">
        <v>2598</v>
      </c>
      <c r="N1660" s="16">
        <v>80.0</v>
      </c>
      <c r="O1660" s="8" t="s">
        <v>5593</v>
      </c>
      <c r="P1660" s="8" t="s">
        <v>70</v>
      </c>
      <c r="Q1660" s="14" t="s">
        <v>1679</v>
      </c>
      <c r="R1660" s="8" t="s">
        <v>2552</v>
      </c>
      <c r="S1660" s="14" t="s">
        <v>2568</v>
      </c>
    </row>
    <row r="1661">
      <c r="A1661" s="8" t="s">
        <v>137</v>
      </c>
      <c r="B1661" s="8" t="s">
        <v>510</v>
      </c>
      <c r="C1661" s="8" t="s">
        <v>65</v>
      </c>
      <c r="D1661" s="18" t="s">
        <v>2589</v>
      </c>
      <c r="E1661" s="16">
        <v>85.0</v>
      </c>
      <c r="F1661" s="8" t="s">
        <v>137</v>
      </c>
      <c r="G1661" s="8" t="s">
        <v>3180</v>
      </c>
      <c r="H1661" s="8" t="s">
        <v>46</v>
      </c>
      <c r="I1661" s="18" t="s">
        <v>2566</v>
      </c>
      <c r="J1661" s="16">
        <v>67.0</v>
      </c>
      <c r="K1661" s="8" t="s">
        <v>2202</v>
      </c>
      <c r="L1661" s="8" t="s">
        <v>2201</v>
      </c>
      <c r="M1661" s="18" t="s">
        <v>2582</v>
      </c>
      <c r="N1661" s="16">
        <v>75.0</v>
      </c>
      <c r="O1661" s="8" t="s">
        <v>5594</v>
      </c>
      <c r="P1661" s="8" t="s">
        <v>215</v>
      </c>
      <c r="Q1661" s="14" t="s">
        <v>338</v>
      </c>
      <c r="R1661" s="8" t="s">
        <v>2558</v>
      </c>
      <c r="S1661" s="14" t="s">
        <v>2604</v>
      </c>
    </row>
    <row r="1662">
      <c r="A1662" s="8" t="s">
        <v>137</v>
      </c>
      <c r="B1662" s="8" t="s">
        <v>522</v>
      </c>
      <c r="C1662" s="8" t="s">
        <v>80</v>
      </c>
      <c r="D1662" s="18" t="s">
        <v>2552</v>
      </c>
      <c r="E1662" s="16">
        <v>78.0</v>
      </c>
      <c r="F1662" s="8" t="s">
        <v>137</v>
      </c>
      <c r="G1662" s="8" t="s">
        <v>62</v>
      </c>
      <c r="H1662" s="8" t="s">
        <v>65</v>
      </c>
      <c r="I1662" s="18" t="s">
        <v>2595</v>
      </c>
      <c r="J1662" s="16">
        <v>84.0</v>
      </c>
      <c r="K1662" s="8" t="s">
        <v>2746</v>
      </c>
      <c r="L1662" s="8" t="s">
        <v>2745</v>
      </c>
      <c r="M1662" s="18" t="s">
        <v>2584</v>
      </c>
      <c r="N1662" s="16">
        <v>65.0</v>
      </c>
      <c r="O1662" s="8" t="s">
        <v>5595</v>
      </c>
      <c r="P1662" s="8" t="s">
        <v>70</v>
      </c>
      <c r="Q1662" s="14" t="s">
        <v>1070</v>
      </c>
      <c r="R1662" s="8" t="s">
        <v>2605</v>
      </c>
      <c r="S1662" s="14" t="s">
        <v>2590</v>
      </c>
    </row>
    <row r="1663">
      <c r="A1663" s="8" t="s">
        <v>137</v>
      </c>
      <c r="B1663" s="8" t="s">
        <v>2849</v>
      </c>
      <c r="C1663" s="8" t="s">
        <v>24</v>
      </c>
      <c r="D1663" s="18" t="s">
        <v>2595</v>
      </c>
      <c r="E1663" s="16">
        <v>74.0</v>
      </c>
      <c r="F1663" s="8" t="s">
        <v>137</v>
      </c>
      <c r="G1663" s="8" t="s">
        <v>305</v>
      </c>
      <c r="H1663" s="8" t="s">
        <v>24</v>
      </c>
      <c r="I1663" s="18" t="s">
        <v>2554</v>
      </c>
      <c r="J1663" s="16">
        <v>71.0</v>
      </c>
      <c r="K1663" s="8" t="s">
        <v>1678</v>
      </c>
      <c r="L1663" s="8" t="s">
        <v>835</v>
      </c>
      <c r="M1663" s="18" t="s">
        <v>2558</v>
      </c>
      <c r="N1663" s="16">
        <v>68.0</v>
      </c>
      <c r="O1663" s="8" t="s">
        <v>5596</v>
      </c>
      <c r="P1663" s="8" t="s">
        <v>80</v>
      </c>
      <c r="Q1663" s="14" t="s">
        <v>2033</v>
      </c>
      <c r="R1663" s="8" t="s">
        <v>2592</v>
      </c>
      <c r="S1663" s="14" t="s">
        <v>2622</v>
      </c>
    </row>
    <row r="1664">
      <c r="A1664" s="8" t="s">
        <v>137</v>
      </c>
      <c r="B1664" s="8" t="s">
        <v>389</v>
      </c>
      <c r="C1664" s="8" t="s">
        <v>215</v>
      </c>
      <c r="D1664" s="18" t="s">
        <v>2610</v>
      </c>
      <c r="E1664" s="16">
        <v>79.0</v>
      </c>
      <c r="F1664" s="8" t="s">
        <v>137</v>
      </c>
      <c r="G1664" s="8" t="s">
        <v>3135</v>
      </c>
      <c r="H1664" s="8" t="s">
        <v>186</v>
      </c>
      <c r="I1664" s="18" t="s">
        <v>2603</v>
      </c>
      <c r="J1664" s="16">
        <v>70.0</v>
      </c>
      <c r="K1664" s="8" t="s">
        <v>146</v>
      </c>
      <c r="L1664" s="8" t="s">
        <v>765</v>
      </c>
      <c r="M1664" s="18" t="s">
        <v>2582</v>
      </c>
      <c r="N1664" s="16">
        <v>78.0</v>
      </c>
      <c r="O1664" s="8" t="s">
        <v>5597</v>
      </c>
      <c r="P1664" s="8" t="s">
        <v>65</v>
      </c>
      <c r="Q1664" s="14" t="s">
        <v>1070</v>
      </c>
      <c r="R1664" s="8" t="s">
        <v>2592</v>
      </c>
      <c r="S1664" s="14" t="s">
        <v>2616</v>
      </c>
    </row>
    <row r="1665">
      <c r="A1665" s="8" t="s">
        <v>137</v>
      </c>
      <c r="B1665" s="8" t="s">
        <v>3751</v>
      </c>
      <c r="C1665" s="8" t="s">
        <v>186</v>
      </c>
      <c r="D1665" s="18" t="s">
        <v>2595</v>
      </c>
      <c r="E1665" s="16">
        <v>68.0</v>
      </c>
      <c r="F1665" s="8" t="s">
        <v>137</v>
      </c>
      <c r="G1665" s="8" t="s">
        <v>62</v>
      </c>
      <c r="H1665" s="8" t="s">
        <v>80</v>
      </c>
      <c r="I1665" s="18" t="s">
        <v>2581</v>
      </c>
      <c r="J1665" s="16">
        <v>68.0</v>
      </c>
      <c r="K1665" s="8" t="s">
        <v>146</v>
      </c>
      <c r="L1665" s="8" t="s">
        <v>355</v>
      </c>
      <c r="M1665" s="18" t="s">
        <v>2577</v>
      </c>
      <c r="N1665" s="16">
        <v>81.0</v>
      </c>
      <c r="O1665" s="8" t="s">
        <v>5598</v>
      </c>
      <c r="P1665" s="8" t="s">
        <v>93</v>
      </c>
      <c r="Q1665" s="14" t="s">
        <v>1679</v>
      </c>
      <c r="R1665" s="8" t="s">
        <v>2554</v>
      </c>
      <c r="S1665" s="14" t="s">
        <v>2565</v>
      </c>
    </row>
    <row r="1666">
      <c r="A1666" s="8" t="s">
        <v>137</v>
      </c>
      <c r="B1666" s="8" t="s">
        <v>3382</v>
      </c>
      <c r="C1666" s="8" t="s">
        <v>46</v>
      </c>
      <c r="D1666" s="18" t="s">
        <v>2574</v>
      </c>
      <c r="E1666" s="16">
        <v>78.0</v>
      </c>
      <c r="F1666" s="8" t="s">
        <v>137</v>
      </c>
      <c r="G1666" s="8" t="s">
        <v>136</v>
      </c>
      <c r="H1666" s="8" t="s">
        <v>138</v>
      </c>
      <c r="I1666" s="18" t="s">
        <v>2603</v>
      </c>
      <c r="J1666" s="16">
        <v>90.0</v>
      </c>
      <c r="K1666" s="8" t="s">
        <v>146</v>
      </c>
      <c r="L1666" s="8" t="s">
        <v>1795</v>
      </c>
      <c r="M1666" s="18" t="s">
        <v>2593</v>
      </c>
      <c r="N1666" s="16">
        <v>70.0</v>
      </c>
      <c r="O1666" s="8" t="s">
        <v>5599</v>
      </c>
      <c r="P1666" s="8" t="s">
        <v>24</v>
      </c>
      <c r="Q1666" s="14" t="s">
        <v>2033</v>
      </c>
      <c r="R1666" s="8" t="s">
        <v>2581</v>
      </c>
      <c r="S1666" s="14" t="s">
        <v>2601</v>
      </c>
    </row>
    <row r="1667">
      <c r="A1667" s="8" t="s">
        <v>137</v>
      </c>
      <c r="B1667" s="8" t="s">
        <v>302</v>
      </c>
      <c r="C1667" s="8" t="s">
        <v>149</v>
      </c>
      <c r="D1667" s="18" t="s">
        <v>2554</v>
      </c>
      <c r="E1667" s="16">
        <v>74.0</v>
      </c>
      <c r="F1667" s="8" t="s">
        <v>137</v>
      </c>
      <c r="G1667" s="8" t="s">
        <v>302</v>
      </c>
      <c r="H1667" s="8" t="s">
        <v>132</v>
      </c>
      <c r="I1667" s="18" t="s">
        <v>2587</v>
      </c>
      <c r="J1667" s="16">
        <v>67.0</v>
      </c>
      <c r="K1667" s="8" t="s">
        <v>1378</v>
      </c>
      <c r="L1667" s="8" t="s">
        <v>1377</v>
      </c>
      <c r="M1667" s="18" t="s">
        <v>2610</v>
      </c>
      <c r="N1667" s="16">
        <v>65.0</v>
      </c>
      <c r="O1667" s="8" t="s">
        <v>5600</v>
      </c>
      <c r="P1667" s="8" t="s">
        <v>16</v>
      </c>
      <c r="Q1667" s="14" t="s">
        <v>459</v>
      </c>
      <c r="R1667" s="18" t="s">
        <v>2556</v>
      </c>
      <c r="S1667" s="14" t="s">
        <v>2594</v>
      </c>
    </row>
    <row r="1668">
      <c r="A1668" s="8" t="s">
        <v>137</v>
      </c>
      <c r="B1668" s="8" t="s">
        <v>794</v>
      </c>
      <c r="C1668" s="8" t="s">
        <v>149</v>
      </c>
      <c r="D1668" s="18" t="s">
        <v>2620</v>
      </c>
      <c r="E1668" s="16">
        <v>68.0</v>
      </c>
      <c r="F1668" s="8" t="s">
        <v>137</v>
      </c>
      <c r="G1668" s="8" t="s">
        <v>188</v>
      </c>
      <c r="H1668" s="8" t="s">
        <v>192</v>
      </c>
      <c r="I1668" s="18" t="s">
        <v>2603</v>
      </c>
      <c r="J1668" s="16">
        <v>65.0</v>
      </c>
      <c r="K1668" s="8" t="s">
        <v>1905</v>
      </c>
      <c r="L1668" s="8" t="s">
        <v>2730</v>
      </c>
      <c r="M1668" s="18" t="s">
        <v>2560</v>
      </c>
      <c r="N1668" s="16">
        <v>77.0</v>
      </c>
      <c r="O1668" s="8" t="s">
        <v>5601</v>
      </c>
      <c r="P1668" s="8" t="s">
        <v>93</v>
      </c>
      <c r="Q1668" s="14" t="s">
        <v>1352</v>
      </c>
      <c r="R1668" s="8" t="s">
        <v>2577</v>
      </c>
      <c r="S1668" s="14" t="s">
        <v>2607</v>
      </c>
    </row>
    <row r="1669">
      <c r="A1669" s="8" t="s">
        <v>137</v>
      </c>
      <c r="B1669" s="8" t="s">
        <v>62</v>
      </c>
      <c r="C1669" s="8" t="s">
        <v>80</v>
      </c>
      <c r="D1669" s="18" t="s">
        <v>2581</v>
      </c>
      <c r="E1669" s="16">
        <v>74.0</v>
      </c>
      <c r="F1669" s="8" t="s">
        <v>137</v>
      </c>
      <c r="G1669" s="8" t="s">
        <v>794</v>
      </c>
      <c r="H1669" s="8" t="s">
        <v>132</v>
      </c>
      <c r="I1669" s="18" t="s">
        <v>2620</v>
      </c>
      <c r="J1669" s="16">
        <v>72.0</v>
      </c>
      <c r="K1669" s="8" t="s">
        <v>2794</v>
      </c>
      <c r="L1669" s="8" t="s">
        <v>1446</v>
      </c>
      <c r="M1669" s="18" t="s">
        <v>2574</v>
      </c>
      <c r="N1669" s="16">
        <v>65.0</v>
      </c>
      <c r="O1669" s="8" t="s">
        <v>5602</v>
      </c>
      <c r="P1669" s="8" t="s">
        <v>93</v>
      </c>
      <c r="Q1669" s="14" t="s">
        <v>2296</v>
      </c>
      <c r="R1669" s="8" t="s">
        <v>2552</v>
      </c>
      <c r="S1669" s="14" t="s">
        <v>2591</v>
      </c>
    </row>
    <row r="1670">
      <c r="A1670" s="8" t="s">
        <v>137</v>
      </c>
      <c r="B1670" s="8" t="s">
        <v>62</v>
      </c>
      <c r="C1670" s="8" t="s">
        <v>65</v>
      </c>
      <c r="D1670" s="18" t="s">
        <v>2595</v>
      </c>
      <c r="E1670" s="16">
        <v>70.0</v>
      </c>
      <c r="F1670" s="8" t="s">
        <v>137</v>
      </c>
      <c r="G1670" s="8" t="s">
        <v>656</v>
      </c>
      <c r="H1670" s="8" t="s">
        <v>122</v>
      </c>
      <c r="I1670" s="18" t="s">
        <v>2593</v>
      </c>
      <c r="J1670" s="16">
        <v>81.0</v>
      </c>
      <c r="K1670" s="8" t="s">
        <v>1908</v>
      </c>
      <c r="L1670" s="8" t="s">
        <v>3136</v>
      </c>
      <c r="M1670" s="18" t="s">
        <v>2558</v>
      </c>
      <c r="N1670" s="16">
        <v>77.0</v>
      </c>
      <c r="O1670" s="8" t="s">
        <v>5603</v>
      </c>
      <c r="P1670" s="8" t="s">
        <v>59</v>
      </c>
      <c r="Q1670" s="14" t="s">
        <v>631</v>
      </c>
      <c r="R1670" s="8" t="s">
        <v>2581</v>
      </c>
      <c r="S1670" s="14" t="s">
        <v>2568</v>
      </c>
    </row>
    <row r="1671">
      <c r="A1671" s="8" t="s">
        <v>137</v>
      </c>
      <c r="B1671" s="8" t="s">
        <v>3135</v>
      </c>
      <c r="C1671" s="8" t="s">
        <v>186</v>
      </c>
      <c r="D1671" s="18" t="s">
        <v>2585</v>
      </c>
      <c r="E1671" s="16">
        <v>70.0</v>
      </c>
      <c r="F1671" s="8" t="s">
        <v>183</v>
      </c>
      <c r="G1671" s="8" t="s">
        <v>61</v>
      </c>
      <c r="H1671" s="8" t="s">
        <v>70</v>
      </c>
      <c r="I1671" s="18" t="s">
        <v>2603</v>
      </c>
      <c r="J1671" s="16">
        <v>72.0</v>
      </c>
      <c r="K1671" s="8" t="s">
        <v>733</v>
      </c>
      <c r="L1671" s="8" t="s">
        <v>732</v>
      </c>
      <c r="M1671" s="18" t="s">
        <v>2615</v>
      </c>
      <c r="N1671" s="16">
        <v>84.0</v>
      </c>
      <c r="O1671" s="8" t="s">
        <v>5604</v>
      </c>
      <c r="P1671" s="8" t="s">
        <v>75</v>
      </c>
      <c r="Q1671" s="14" t="s">
        <v>189</v>
      </c>
      <c r="R1671" s="8" t="s">
        <v>2603</v>
      </c>
      <c r="S1671" s="14" t="s">
        <v>2553</v>
      </c>
    </row>
    <row r="1672">
      <c r="A1672" s="8" t="s">
        <v>137</v>
      </c>
      <c r="B1672" s="8" t="s">
        <v>78</v>
      </c>
      <c r="C1672" s="8" t="s">
        <v>24</v>
      </c>
      <c r="D1672" s="18" t="s">
        <v>2600</v>
      </c>
      <c r="E1672" s="16">
        <v>71.0</v>
      </c>
      <c r="F1672" s="8" t="s">
        <v>183</v>
      </c>
      <c r="G1672" s="8" t="s">
        <v>415</v>
      </c>
      <c r="H1672" s="8" t="s">
        <v>141</v>
      </c>
      <c r="I1672" s="18" t="s">
        <v>2581</v>
      </c>
      <c r="J1672" s="16">
        <v>77.0</v>
      </c>
      <c r="K1672" s="8" t="s">
        <v>1008</v>
      </c>
      <c r="L1672" s="8" t="s">
        <v>1007</v>
      </c>
      <c r="M1672" s="18" t="s">
        <v>2562</v>
      </c>
      <c r="N1672" s="16">
        <v>67.0</v>
      </c>
      <c r="O1672" s="8" t="s">
        <v>5605</v>
      </c>
      <c r="P1672" s="8" t="s">
        <v>75</v>
      </c>
      <c r="Q1672" s="14" t="s">
        <v>837</v>
      </c>
      <c r="R1672" s="8" t="s">
        <v>2592</v>
      </c>
      <c r="S1672" s="14" t="s">
        <v>2618</v>
      </c>
    </row>
    <row r="1673">
      <c r="A1673" s="8" t="s">
        <v>183</v>
      </c>
      <c r="B1673" s="8" t="s">
        <v>835</v>
      </c>
      <c r="C1673" s="8" t="s">
        <v>192</v>
      </c>
      <c r="D1673" s="18" t="s">
        <v>2567</v>
      </c>
      <c r="E1673" s="16">
        <v>78.0</v>
      </c>
      <c r="F1673" s="8" t="s">
        <v>183</v>
      </c>
      <c r="G1673" s="8" t="s">
        <v>361</v>
      </c>
      <c r="H1673" s="8" t="s">
        <v>215</v>
      </c>
      <c r="I1673" s="18" t="s">
        <v>2558</v>
      </c>
      <c r="J1673" s="16">
        <v>87.0</v>
      </c>
      <c r="K1673" s="8" t="s">
        <v>2113</v>
      </c>
      <c r="L1673" s="8" t="s">
        <v>252</v>
      </c>
      <c r="M1673" s="18" t="s">
        <v>2615</v>
      </c>
      <c r="N1673" s="16">
        <v>83.0</v>
      </c>
      <c r="O1673" s="8" t="s">
        <v>5606</v>
      </c>
      <c r="P1673" s="8" t="s">
        <v>215</v>
      </c>
      <c r="Q1673" s="14" t="s">
        <v>1352</v>
      </c>
      <c r="R1673" s="8" t="s">
        <v>2587</v>
      </c>
      <c r="S1673" s="14" t="s">
        <v>2555</v>
      </c>
    </row>
    <row r="1674">
      <c r="A1674" s="8" t="s">
        <v>183</v>
      </c>
      <c r="B1674" s="8" t="s">
        <v>3171</v>
      </c>
      <c r="C1674" s="8" t="s">
        <v>16</v>
      </c>
      <c r="D1674" s="18" t="s">
        <v>2572</v>
      </c>
      <c r="E1674" s="16">
        <v>63.0</v>
      </c>
      <c r="F1674" s="8" t="s">
        <v>183</v>
      </c>
      <c r="G1674" s="8" t="s">
        <v>78</v>
      </c>
      <c r="H1674" s="8" t="s">
        <v>65</v>
      </c>
      <c r="I1674" s="18" t="s">
        <v>2572</v>
      </c>
      <c r="J1674" s="16">
        <v>79.0</v>
      </c>
      <c r="K1674" s="8" t="s">
        <v>2113</v>
      </c>
      <c r="L1674" s="8" t="s">
        <v>360</v>
      </c>
      <c r="M1674" s="18" t="s">
        <v>2584</v>
      </c>
      <c r="N1674" s="16">
        <v>85.0</v>
      </c>
      <c r="O1674" s="8" t="s">
        <v>5607</v>
      </c>
      <c r="P1674" s="8" t="s">
        <v>149</v>
      </c>
      <c r="Q1674" s="14" t="s">
        <v>1679</v>
      </c>
      <c r="R1674" s="8" t="s">
        <v>2585</v>
      </c>
      <c r="S1674" s="14" t="s">
        <v>2578</v>
      </c>
    </row>
    <row r="1675">
      <c r="A1675" s="8" t="s">
        <v>183</v>
      </c>
      <c r="B1675" s="8" t="s">
        <v>3582</v>
      </c>
      <c r="C1675" s="8" t="s">
        <v>138</v>
      </c>
      <c r="D1675" s="18" t="s">
        <v>2560</v>
      </c>
      <c r="E1675" s="16">
        <v>65.0</v>
      </c>
      <c r="F1675" s="8" t="s">
        <v>183</v>
      </c>
      <c r="G1675" s="8" t="s">
        <v>3405</v>
      </c>
      <c r="H1675" s="8" t="s">
        <v>122</v>
      </c>
      <c r="I1675" s="18" t="s">
        <v>2593</v>
      </c>
      <c r="J1675" s="16">
        <v>69.0</v>
      </c>
      <c r="K1675" s="8" t="s">
        <v>375</v>
      </c>
      <c r="L1675" s="8" t="s">
        <v>374</v>
      </c>
      <c r="M1675" s="18" t="s">
        <v>2567</v>
      </c>
      <c r="N1675" s="16">
        <v>65.0</v>
      </c>
      <c r="O1675" s="8" t="s">
        <v>5608</v>
      </c>
      <c r="P1675" s="8" t="s">
        <v>122</v>
      </c>
      <c r="Q1675" s="14" t="s">
        <v>631</v>
      </c>
      <c r="R1675" s="8" t="s">
        <v>2600</v>
      </c>
      <c r="S1675" s="14" t="s">
        <v>2565</v>
      </c>
    </row>
    <row r="1676">
      <c r="A1676" s="8" t="s">
        <v>183</v>
      </c>
      <c r="B1676" s="8" t="s">
        <v>361</v>
      </c>
      <c r="C1676" s="8" t="s">
        <v>215</v>
      </c>
      <c r="D1676" s="18" t="s">
        <v>2558</v>
      </c>
      <c r="E1676" s="16">
        <v>92.0</v>
      </c>
      <c r="F1676" s="8" t="s">
        <v>183</v>
      </c>
      <c r="G1676" s="8" t="s">
        <v>263</v>
      </c>
      <c r="H1676" s="8" t="s">
        <v>93</v>
      </c>
      <c r="I1676" s="18" t="s">
        <v>2593</v>
      </c>
      <c r="J1676" s="16">
        <v>66.0</v>
      </c>
      <c r="K1676" s="8" t="s">
        <v>2685</v>
      </c>
      <c r="L1676" s="8" t="s">
        <v>2684</v>
      </c>
      <c r="M1676" s="18" t="s">
        <v>2577</v>
      </c>
      <c r="N1676" s="16">
        <v>65.0</v>
      </c>
      <c r="O1676" s="8" t="s">
        <v>5609</v>
      </c>
      <c r="P1676" s="8" t="s">
        <v>132</v>
      </c>
      <c r="Q1676" s="14" t="s">
        <v>237</v>
      </c>
      <c r="R1676" s="8" t="s">
        <v>2585</v>
      </c>
      <c r="S1676" s="14" t="s">
        <v>2601</v>
      </c>
    </row>
    <row r="1677">
      <c r="A1677" s="8" t="s">
        <v>183</v>
      </c>
      <c r="B1677" s="8" t="s">
        <v>61</v>
      </c>
      <c r="C1677" s="8" t="s">
        <v>70</v>
      </c>
      <c r="D1677" s="18" t="s">
        <v>2585</v>
      </c>
      <c r="E1677" s="16">
        <v>71.0</v>
      </c>
      <c r="F1677" s="8" t="s">
        <v>183</v>
      </c>
      <c r="G1677" s="8" t="s">
        <v>967</v>
      </c>
      <c r="H1677" s="8" t="s">
        <v>75</v>
      </c>
      <c r="I1677" s="18" t="s">
        <v>2592</v>
      </c>
      <c r="J1677" s="16">
        <v>65.0</v>
      </c>
      <c r="K1677" s="8" t="s">
        <v>317</v>
      </c>
      <c r="L1677" s="8" t="s">
        <v>367</v>
      </c>
      <c r="M1677" s="18" t="s">
        <v>2600</v>
      </c>
      <c r="N1677" s="16">
        <v>69.0</v>
      </c>
      <c r="O1677" s="8" t="s">
        <v>5610</v>
      </c>
      <c r="P1677" s="8" t="s">
        <v>141</v>
      </c>
      <c r="Q1677" s="14" t="s">
        <v>338</v>
      </c>
      <c r="R1677" s="8" t="s">
        <v>2572</v>
      </c>
      <c r="S1677" s="14" t="s">
        <v>2588</v>
      </c>
    </row>
    <row r="1678">
      <c r="A1678" s="8" t="s">
        <v>183</v>
      </c>
      <c r="B1678" s="8" t="s">
        <v>1164</v>
      </c>
      <c r="C1678" s="8" t="s">
        <v>65</v>
      </c>
      <c r="D1678" s="18" t="s">
        <v>2592</v>
      </c>
      <c r="E1678" s="16">
        <v>86.0</v>
      </c>
      <c r="F1678" s="8" t="s">
        <v>183</v>
      </c>
      <c r="G1678" s="8" t="s">
        <v>2810</v>
      </c>
      <c r="H1678" s="8" t="s">
        <v>70</v>
      </c>
      <c r="I1678" s="18" t="s">
        <v>2600</v>
      </c>
      <c r="J1678" s="16">
        <v>77.0</v>
      </c>
      <c r="K1678" s="8" t="s">
        <v>317</v>
      </c>
      <c r="L1678" s="8" t="s">
        <v>1631</v>
      </c>
      <c r="M1678" s="18" t="s">
        <v>2564</v>
      </c>
      <c r="N1678" s="16">
        <v>67.0</v>
      </c>
      <c r="O1678" s="8" t="s">
        <v>5611</v>
      </c>
      <c r="P1678" s="8" t="s">
        <v>149</v>
      </c>
      <c r="Q1678" s="14" t="s">
        <v>338</v>
      </c>
      <c r="R1678" s="8" t="s">
        <v>2566</v>
      </c>
      <c r="S1678" s="14" t="s">
        <v>2622</v>
      </c>
    </row>
    <row r="1679">
      <c r="A1679" s="8" t="s">
        <v>183</v>
      </c>
      <c r="B1679" s="8" t="s">
        <v>2810</v>
      </c>
      <c r="C1679" s="8" t="s">
        <v>70</v>
      </c>
      <c r="D1679" s="18" t="s">
        <v>2587</v>
      </c>
      <c r="E1679" s="16">
        <v>70.0</v>
      </c>
      <c r="F1679" s="8" t="s">
        <v>183</v>
      </c>
      <c r="G1679" s="8" t="s">
        <v>3171</v>
      </c>
      <c r="H1679" s="8" t="s">
        <v>16</v>
      </c>
      <c r="I1679" s="18" t="s">
        <v>2572</v>
      </c>
      <c r="J1679" s="16">
        <v>61.0</v>
      </c>
      <c r="K1679" s="8" t="s">
        <v>317</v>
      </c>
      <c r="L1679" s="8" t="s">
        <v>316</v>
      </c>
      <c r="M1679" s="18" t="s">
        <v>2566</v>
      </c>
      <c r="N1679" s="16">
        <v>82.0</v>
      </c>
      <c r="O1679" s="8" t="s">
        <v>5612</v>
      </c>
      <c r="P1679" s="8" t="s">
        <v>65</v>
      </c>
      <c r="Q1679" s="14" t="s">
        <v>1352</v>
      </c>
      <c r="R1679" s="8" t="s">
        <v>2593</v>
      </c>
      <c r="S1679" s="14" t="s">
        <v>2576</v>
      </c>
    </row>
    <row r="1680">
      <c r="A1680" s="8" t="s">
        <v>183</v>
      </c>
      <c r="B1680" s="8" t="s">
        <v>519</v>
      </c>
      <c r="C1680" s="8" t="s">
        <v>16</v>
      </c>
      <c r="D1680" s="18" t="s">
        <v>2592</v>
      </c>
      <c r="E1680" s="16">
        <v>71.0</v>
      </c>
      <c r="F1680" s="8" t="s">
        <v>183</v>
      </c>
      <c r="G1680" s="8" t="s">
        <v>182</v>
      </c>
      <c r="H1680" s="8" t="s">
        <v>24</v>
      </c>
      <c r="I1680" s="18" t="s">
        <v>2572</v>
      </c>
      <c r="J1680" s="16">
        <v>47.0</v>
      </c>
      <c r="K1680" s="8" t="s">
        <v>317</v>
      </c>
      <c r="L1680" s="8" t="s">
        <v>1464</v>
      </c>
      <c r="M1680" s="18" t="s">
        <v>2567</v>
      </c>
      <c r="N1680" s="16">
        <v>72.0</v>
      </c>
      <c r="O1680" s="8" t="s">
        <v>5613</v>
      </c>
      <c r="P1680" s="8" t="s">
        <v>192</v>
      </c>
      <c r="Q1680" s="14" t="s">
        <v>1070</v>
      </c>
      <c r="R1680" s="8" t="s">
        <v>2558</v>
      </c>
      <c r="S1680" s="14" t="s">
        <v>2583</v>
      </c>
    </row>
    <row r="1681">
      <c r="A1681" s="8" t="s">
        <v>183</v>
      </c>
      <c r="B1681" s="8" t="s">
        <v>89</v>
      </c>
      <c r="C1681" s="8" t="s">
        <v>132</v>
      </c>
      <c r="D1681" s="18" t="s">
        <v>2552</v>
      </c>
      <c r="E1681" s="16">
        <v>74.0</v>
      </c>
      <c r="F1681" s="8" t="s">
        <v>183</v>
      </c>
      <c r="G1681" s="8" t="s">
        <v>422</v>
      </c>
      <c r="H1681" s="8" t="s">
        <v>149</v>
      </c>
      <c r="I1681" s="18" t="s">
        <v>2552</v>
      </c>
      <c r="J1681" s="16">
        <v>73.0</v>
      </c>
      <c r="K1681" s="8" t="s">
        <v>317</v>
      </c>
      <c r="L1681" s="8" t="s">
        <v>2983</v>
      </c>
      <c r="M1681" s="18" t="s">
        <v>2621</v>
      </c>
      <c r="N1681" s="16">
        <v>67.0</v>
      </c>
      <c r="O1681" s="8" t="s">
        <v>5614</v>
      </c>
      <c r="P1681" s="8" t="s">
        <v>70</v>
      </c>
      <c r="Q1681" s="14" t="s">
        <v>2296</v>
      </c>
      <c r="R1681" s="8" t="s">
        <v>2614</v>
      </c>
      <c r="S1681" s="14" t="s">
        <v>2583</v>
      </c>
    </row>
    <row r="1682">
      <c r="A1682" s="8" t="s">
        <v>183</v>
      </c>
      <c r="B1682" s="8" t="s">
        <v>717</v>
      </c>
      <c r="C1682" s="8" t="s">
        <v>186</v>
      </c>
      <c r="D1682" s="18" t="s">
        <v>2581</v>
      </c>
      <c r="E1682" s="16">
        <v>61.0</v>
      </c>
      <c r="F1682" s="8" t="s">
        <v>183</v>
      </c>
      <c r="G1682" s="8" t="s">
        <v>717</v>
      </c>
      <c r="H1682" s="8" t="s">
        <v>186</v>
      </c>
      <c r="I1682" s="18" t="s">
        <v>2581</v>
      </c>
      <c r="J1682" s="16">
        <v>63.0</v>
      </c>
      <c r="K1682" s="8" t="s">
        <v>317</v>
      </c>
      <c r="L1682" s="8" t="s">
        <v>1561</v>
      </c>
      <c r="M1682" s="18" t="s">
        <v>2615</v>
      </c>
      <c r="N1682" s="16">
        <v>67.0</v>
      </c>
      <c r="O1682" s="8" t="s">
        <v>5615</v>
      </c>
      <c r="P1682" s="8" t="s">
        <v>16</v>
      </c>
      <c r="Q1682" s="14" t="s">
        <v>1679</v>
      </c>
      <c r="R1682" s="8" t="s">
        <v>2614</v>
      </c>
      <c r="S1682" s="14" t="s">
        <v>2569</v>
      </c>
    </row>
    <row r="1683">
      <c r="A1683" s="8" t="s">
        <v>183</v>
      </c>
      <c r="B1683" s="8" t="s">
        <v>207</v>
      </c>
      <c r="C1683" s="8" t="s">
        <v>75</v>
      </c>
      <c r="D1683" s="18" t="s">
        <v>2589</v>
      </c>
      <c r="E1683" s="16">
        <v>86.0</v>
      </c>
      <c r="F1683" s="8" t="s">
        <v>183</v>
      </c>
      <c r="G1683" s="8" t="s">
        <v>835</v>
      </c>
      <c r="H1683" s="8" t="s">
        <v>80</v>
      </c>
      <c r="I1683" s="18" t="s">
        <v>2574</v>
      </c>
      <c r="J1683" s="16">
        <v>81.0</v>
      </c>
      <c r="K1683" s="8" t="s">
        <v>322</v>
      </c>
      <c r="L1683" s="8" t="s">
        <v>321</v>
      </c>
      <c r="M1683" s="18" t="s">
        <v>2595</v>
      </c>
      <c r="N1683" s="16">
        <v>71.0</v>
      </c>
      <c r="O1683" s="8" t="s">
        <v>5616</v>
      </c>
      <c r="P1683" s="8" t="s">
        <v>65</v>
      </c>
      <c r="Q1683" s="14" t="s">
        <v>1679</v>
      </c>
      <c r="R1683" s="8" t="s">
        <v>2572</v>
      </c>
      <c r="S1683" s="14" t="s">
        <v>2599</v>
      </c>
    </row>
    <row r="1684">
      <c r="A1684" s="8" t="s">
        <v>183</v>
      </c>
      <c r="B1684" s="8" t="s">
        <v>260</v>
      </c>
      <c r="C1684" s="8" t="s">
        <v>70</v>
      </c>
      <c r="D1684" s="18" t="s">
        <v>2592</v>
      </c>
      <c r="E1684" s="16">
        <v>71.0</v>
      </c>
      <c r="F1684" s="8" t="s">
        <v>183</v>
      </c>
      <c r="G1684" s="8" t="s">
        <v>427</v>
      </c>
      <c r="H1684" s="8" t="s">
        <v>80</v>
      </c>
      <c r="I1684" s="18" t="s">
        <v>2577</v>
      </c>
      <c r="J1684" s="16">
        <v>81.0</v>
      </c>
      <c r="K1684" s="8" t="s">
        <v>322</v>
      </c>
      <c r="L1684" s="8" t="s">
        <v>1804</v>
      </c>
      <c r="M1684" s="18" t="s">
        <v>2564</v>
      </c>
      <c r="N1684" s="16">
        <v>72.0</v>
      </c>
      <c r="O1684" s="8" t="s">
        <v>5617</v>
      </c>
      <c r="P1684" s="8" t="s">
        <v>24</v>
      </c>
      <c r="Q1684" s="14" t="s">
        <v>135</v>
      </c>
      <c r="R1684" s="8" t="s">
        <v>2572</v>
      </c>
      <c r="S1684" s="14" t="s">
        <v>13</v>
      </c>
    </row>
    <row r="1685">
      <c r="A1685" s="8" t="s">
        <v>183</v>
      </c>
      <c r="B1685" s="8" t="s">
        <v>282</v>
      </c>
      <c r="C1685" s="8" t="s">
        <v>93</v>
      </c>
      <c r="D1685" s="18" t="s">
        <v>2589</v>
      </c>
      <c r="E1685" s="16">
        <v>72.0</v>
      </c>
      <c r="F1685" s="8" t="s">
        <v>183</v>
      </c>
      <c r="G1685" s="8" t="s">
        <v>3476</v>
      </c>
      <c r="H1685" s="8" t="s">
        <v>261</v>
      </c>
      <c r="I1685" s="18" t="s">
        <v>2587</v>
      </c>
      <c r="J1685" s="16">
        <v>77.0</v>
      </c>
      <c r="K1685" s="8" t="s">
        <v>322</v>
      </c>
      <c r="L1685" s="8" t="s">
        <v>1568</v>
      </c>
      <c r="M1685" s="18" t="s">
        <v>2587</v>
      </c>
      <c r="N1685" s="16">
        <v>72.0</v>
      </c>
      <c r="O1685" s="8" t="s">
        <v>5618</v>
      </c>
      <c r="P1685" s="8" t="s">
        <v>65</v>
      </c>
      <c r="Q1685" s="14" t="s">
        <v>2296</v>
      </c>
      <c r="R1685" s="8" t="s">
        <v>2575</v>
      </c>
      <c r="S1685" s="14" t="s">
        <v>2573</v>
      </c>
    </row>
    <row r="1686">
      <c r="A1686" s="8" t="s">
        <v>183</v>
      </c>
      <c r="B1686" s="8" t="s">
        <v>263</v>
      </c>
      <c r="C1686" s="8" t="s">
        <v>93</v>
      </c>
      <c r="D1686" s="18" t="s">
        <v>2593</v>
      </c>
      <c r="E1686" s="16">
        <v>59.0</v>
      </c>
      <c r="F1686" s="8" t="s">
        <v>183</v>
      </c>
      <c r="G1686" s="8" t="s">
        <v>207</v>
      </c>
      <c r="H1686" s="8" t="s">
        <v>75</v>
      </c>
      <c r="I1686" s="18" t="s">
        <v>2589</v>
      </c>
      <c r="J1686" s="16">
        <v>77.0</v>
      </c>
      <c r="K1686" s="8" t="s">
        <v>322</v>
      </c>
      <c r="L1686" s="8" t="s">
        <v>1614</v>
      </c>
      <c r="M1686" s="18" t="s">
        <v>2560</v>
      </c>
      <c r="N1686" s="16">
        <v>71.0</v>
      </c>
      <c r="O1686" s="8" t="s">
        <v>5619</v>
      </c>
      <c r="P1686" s="8" t="s">
        <v>192</v>
      </c>
      <c r="Q1686" s="14" t="s">
        <v>1070</v>
      </c>
      <c r="R1686" s="8" t="s">
        <v>2554</v>
      </c>
      <c r="S1686" s="14" t="s">
        <v>2591</v>
      </c>
    </row>
    <row r="1687">
      <c r="A1687" s="8" t="s">
        <v>183</v>
      </c>
      <c r="B1687" s="8" t="s">
        <v>396</v>
      </c>
      <c r="C1687" s="8" t="s">
        <v>122</v>
      </c>
      <c r="D1687" s="18" t="s">
        <v>2564</v>
      </c>
      <c r="E1687" s="16">
        <v>70.0</v>
      </c>
      <c r="F1687" s="8" t="s">
        <v>183</v>
      </c>
      <c r="G1687" s="8" t="s">
        <v>303</v>
      </c>
      <c r="H1687" s="8" t="s">
        <v>75</v>
      </c>
      <c r="I1687" s="18" t="s">
        <v>2183</v>
      </c>
      <c r="J1687" s="16">
        <v>69.0</v>
      </c>
      <c r="K1687" s="8" t="s">
        <v>2149</v>
      </c>
      <c r="L1687" s="8" t="s">
        <v>2148</v>
      </c>
      <c r="M1687" s="18" t="s">
        <v>2595</v>
      </c>
      <c r="N1687" s="16">
        <v>67.0</v>
      </c>
      <c r="O1687" s="8" t="s">
        <v>5620</v>
      </c>
      <c r="P1687" s="8" t="s">
        <v>70</v>
      </c>
      <c r="Q1687" s="14" t="s">
        <v>2296</v>
      </c>
      <c r="R1687" s="8" t="s">
        <v>2564</v>
      </c>
      <c r="S1687" s="14" t="s">
        <v>2565</v>
      </c>
    </row>
    <row r="1688">
      <c r="A1688" s="8" t="s">
        <v>183</v>
      </c>
      <c r="B1688" s="8" t="s">
        <v>427</v>
      </c>
      <c r="C1688" s="8" t="s">
        <v>80</v>
      </c>
      <c r="D1688" s="18" t="s">
        <v>2577</v>
      </c>
      <c r="E1688" s="16">
        <v>84.0</v>
      </c>
      <c r="F1688" s="8" t="s">
        <v>183</v>
      </c>
      <c r="G1688" s="8" t="s">
        <v>62</v>
      </c>
      <c r="H1688" s="8" t="s">
        <v>65</v>
      </c>
      <c r="I1688" s="18" t="s">
        <v>2593</v>
      </c>
      <c r="J1688" s="16">
        <v>63.0</v>
      </c>
      <c r="K1688" s="8" t="s">
        <v>2696</v>
      </c>
      <c r="L1688" s="8" t="s">
        <v>2695</v>
      </c>
      <c r="M1688" s="18" t="s">
        <v>2645</v>
      </c>
      <c r="N1688" s="16">
        <v>61.0</v>
      </c>
      <c r="O1688" s="8" t="s">
        <v>5621</v>
      </c>
      <c r="P1688" s="8" t="s">
        <v>80</v>
      </c>
      <c r="Q1688" s="14" t="s">
        <v>2296</v>
      </c>
      <c r="R1688" s="8" t="s">
        <v>2581</v>
      </c>
      <c r="S1688" s="14" t="s">
        <v>2607</v>
      </c>
    </row>
    <row r="1689">
      <c r="A1689" s="8" t="s">
        <v>183</v>
      </c>
      <c r="B1689" s="8" t="s">
        <v>146</v>
      </c>
      <c r="C1689" s="8" t="s">
        <v>53</v>
      </c>
      <c r="D1689" s="18" t="s">
        <v>2603</v>
      </c>
      <c r="E1689" s="16">
        <v>71.0</v>
      </c>
      <c r="F1689" s="8" t="s">
        <v>183</v>
      </c>
      <c r="G1689" s="8" t="s">
        <v>1164</v>
      </c>
      <c r="H1689" s="8" t="s">
        <v>65</v>
      </c>
      <c r="I1689" s="18" t="s">
        <v>2592</v>
      </c>
      <c r="J1689" s="16">
        <v>90.0</v>
      </c>
      <c r="K1689" s="8" t="s">
        <v>1855</v>
      </c>
      <c r="L1689" s="8" t="s">
        <v>284</v>
      </c>
      <c r="M1689" s="18" t="s">
        <v>2603</v>
      </c>
      <c r="N1689" s="16">
        <v>75.0</v>
      </c>
      <c r="O1689" s="8" t="s">
        <v>5622</v>
      </c>
      <c r="P1689" s="8" t="s">
        <v>141</v>
      </c>
      <c r="Q1689" s="14" t="s">
        <v>837</v>
      </c>
      <c r="R1689" s="8" t="s">
        <v>2587</v>
      </c>
      <c r="S1689" s="14" t="s">
        <v>2599</v>
      </c>
    </row>
    <row r="1690">
      <c r="A1690" s="8" t="s">
        <v>183</v>
      </c>
      <c r="B1690" s="8" t="s">
        <v>3785</v>
      </c>
      <c r="C1690" s="8" t="s">
        <v>12</v>
      </c>
      <c r="D1690" s="18" t="s">
        <v>2610</v>
      </c>
      <c r="E1690" s="16">
        <v>80.0</v>
      </c>
      <c r="F1690" s="8" t="s">
        <v>183</v>
      </c>
      <c r="G1690" s="8" t="s">
        <v>1328</v>
      </c>
      <c r="H1690" s="8" t="s">
        <v>65</v>
      </c>
      <c r="I1690" s="18" t="s">
        <v>2575</v>
      </c>
      <c r="J1690" s="16">
        <v>82.0</v>
      </c>
      <c r="K1690" s="8" t="s">
        <v>229</v>
      </c>
      <c r="L1690" s="8" t="s">
        <v>228</v>
      </c>
      <c r="M1690" s="18" t="s">
        <v>2593</v>
      </c>
      <c r="N1690" s="16">
        <v>88.0</v>
      </c>
      <c r="O1690" s="8" t="s">
        <v>5623</v>
      </c>
      <c r="P1690" s="8" t="s">
        <v>38</v>
      </c>
      <c r="Q1690" s="14" t="s">
        <v>837</v>
      </c>
      <c r="R1690" s="8" t="s">
        <v>2585</v>
      </c>
      <c r="S1690" s="14" t="s">
        <v>2622</v>
      </c>
    </row>
    <row r="1691">
      <c r="A1691" s="8" t="s">
        <v>183</v>
      </c>
      <c r="B1691" s="8" t="s">
        <v>777</v>
      </c>
      <c r="C1691" s="8" t="s">
        <v>215</v>
      </c>
      <c r="D1691" s="18" t="s">
        <v>2558</v>
      </c>
      <c r="E1691" s="16">
        <v>66.0</v>
      </c>
      <c r="F1691" s="8" t="s">
        <v>183</v>
      </c>
      <c r="G1691" s="8" t="s">
        <v>777</v>
      </c>
      <c r="H1691" s="8" t="s">
        <v>215</v>
      </c>
      <c r="I1691" s="18" t="s">
        <v>2560</v>
      </c>
      <c r="J1691" s="16">
        <v>67.0</v>
      </c>
      <c r="K1691" s="8" t="s">
        <v>229</v>
      </c>
      <c r="L1691" s="8" t="s">
        <v>228</v>
      </c>
      <c r="M1691" s="18" t="s">
        <v>2593</v>
      </c>
      <c r="N1691" s="16">
        <v>92.0</v>
      </c>
      <c r="O1691" s="8" t="s">
        <v>5624</v>
      </c>
      <c r="P1691" s="8" t="s">
        <v>122</v>
      </c>
      <c r="Q1691" s="14" t="s">
        <v>1070</v>
      </c>
      <c r="R1691" s="8" t="s">
        <v>2554</v>
      </c>
      <c r="S1691" s="14" t="s">
        <v>2563</v>
      </c>
    </row>
    <row r="1692">
      <c r="A1692" s="8" t="s">
        <v>183</v>
      </c>
      <c r="B1692" s="8" t="s">
        <v>303</v>
      </c>
      <c r="C1692" s="8" t="s">
        <v>141</v>
      </c>
      <c r="D1692" s="18" t="s">
        <v>2598</v>
      </c>
      <c r="E1692" s="16">
        <v>70.0</v>
      </c>
      <c r="F1692" s="8" t="s">
        <v>183</v>
      </c>
      <c r="G1692" s="8" t="s">
        <v>519</v>
      </c>
      <c r="H1692" s="8" t="s">
        <v>16</v>
      </c>
      <c r="I1692" s="18" t="s">
        <v>2605</v>
      </c>
      <c r="J1692" s="16">
        <v>74.0</v>
      </c>
      <c r="K1692" s="8" t="s">
        <v>1036</v>
      </c>
      <c r="L1692" s="8" t="s">
        <v>1035</v>
      </c>
      <c r="M1692" s="18" t="s">
        <v>2645</v>
      </c>
      <c r="N1692" s="16">
        <v>71.0</v>
      </c>
      <c r="O1692" s="8" t="s">
        <v>5625</v>
      </c>
      <c r="P1692" s="8" t="s">
        <v>149</v>
      </c>
      <c r="Q1692" s="14" t="s">
        <v>338</v>
      </c>
      <c r="R1692" s="8" t="s">
        <v>2183</v>
      </c>
      <c r="S1692" s="14" t="s">
        <v>2634</v>
      </c>
    </row>
    <row r="1693">
      <c r="A1693" s="8" t="s">
        <v>183</v>
      </c>
      <c r="B1693" s="8" t="s">
        <v>415</v>
      </c>
      <c r="C1693" s="8" t="s">
        <v>141</v>
      </c>
      <c r="D1693" s="18" t="s">
        <v>2581</v>
      </c>
      <c r="E1693" s="16">
        <v>81.0</v>
      </c>
      <c r="F1693" s="8" t="s">
        <v>1219</v>
      </c>
      <c r="G1693" s="8" t="s">
        <v>1218</v>
      </c>
      <c r="H1693" s="8" t="s">
        <v>192</v>
      </c>
      <c r="I1693" s="18" t="s">
        <v>2554</v>
      </c>
      <c r="J1693" s="16">
        <v>67.0</v>
      </c>
      <c r="K1693" s="8" t="s">
        <v>607</v>
      </c>
      <c r="L1693" s="8" t="s">
        <v>606</v>
      </c>
      <c r="M1693" s="18" t="s">
        <v>2603</v>
      </c>
      <c r="N1693" s="16">
        <v>65.0</v>
      </c>
      <c r="O1693" s="8" t="s">
        <v>5626</v>
      </c>
      <c r="P1693" s="8" t="s">
        <v>16</v>
      </c>
      <c r="Q1693" s="14" t="s">
        <v>1352</v>
      </c>
      <c r="R1693" s="8" t="s">
        <v>2605</v>
      </c>
      <c r="S1693" s="14" t="s">
        <v>2601</v>
      </c>
    </row>
    <row r="1694">
      <c r="A1694" s="8" t="s">
        <v>183</v>
      </c>
      <c r="B1694" s="8" t="s">
        <v>3405</v>
      </c>
      <c r="C1694" s="8" t="s">
        <v>122</v>
      </c>
      <c r="D1694" s="18" t="s">
        <v>2585</v>
      </c>
      <c r="E1694" s="16">
        <v>64.0</v>
      </c>
      <c r="F1694" s="8" t="s">
        <v>985</v>
      </c>
      <c r="G1694" s="8" t="s">
        <v>984</v>
      </c>
      <c r="H1694" s="8" t="s">
        <v>141</v>
      </c>
      <c r="I1694" s="18" t="s">
        <v>2183</v>
      </c>
      <c r="J1694" s="16">
        <v>80.0</v>
      </c>
      <c r="K1694" s="8" t="s">
        <v>220</v>
      </c>
      <c r="L1694" s="8" t="s">
        <v>1073</v>
      </c>
      <c r="M1694" s="18" t="s">
        <v>2564</v>
      </c>
      <c r="N1694" s="16">
        <v>81.0</v>
      </c>
      <c r="O1694" s="8" t="s">
        <v>5627</v>
      </c>
      <c r="P1694" s="8" t="s">
        <v>24</v>
      </c>
      <c r="Q1694" s="14" t="s">
        <v>1352</v>
      </c>
      <c r="R1694" s="8" t="s">
        <v>2567</v>
      </c>
      <c r="S1694" s="14" t="s">
        <v>2591</v>
      </c>
    </row>
    <row r="1695">
      <c r="A1695" s="8" t="s">
        <v>183</v>
      </c>
      <c r="B1695" s="8" t="s">
        <v>422</v>
      </c>
      <c r="C1695" s="8" t="s">
        <v>149</v>
      </c>
      <c r="D1695" s="18" t="s">
        <v>2574</v>
      </c>
      <c r="E1695" s="16">
        <v>76.0</v>
      </c>
      <c r="F1695" s="8" t="s">
        <v>985</v>
      </c>
      <c r="G1695" s="8" t="s">
        <v>3105</v>
      </c>
      <c r="H1695" s="8" t="s">
        <v>215</v>
      </c>
      <c r="I1695" s="18" t="s">
        <v>2605</v>
      </c>
      <c r="J1695" s="16">
        <v>71.0</v>
      </c>
      <c r="K1695" s="8" t="s">
        <v>1197</v>
      </c>
      <c r="L1695" s="8" t="s">
        <v>1196</v>
      </c>
      <c r="M1695" s="18" t="s">
        <v>2560</v>
      </c>
      <c r="N1695" s="16">
        <v>73.0</v>
      </c>
      <c r="O1695" s="8" t="s">
        <v>5628</v>
      </c>
      <c r="P1695" s="8" t="s">
        <v>65</v>
      </c>
      <c r="Q1695" s="14" t="s">
        <v>338</v>
      </c>
      <c r="R1695" s="8" t="s">
        <v>2598</v>
      </c>
      <c r="S1695" s="14" t="s">
        <v>2588</v>
      </c>
    </row>
    <row r="1696">
      <c r="A1696" s="8" t="s">
        <v>183</v>
      </c>
      <c r="B1696" s="8" t="s">
        <v>3832</v>
      </c>
      <c r="C1696" s="8" t="s">
        <v>38</v>
      </c>
      <c r="D1696" s="18" t="s">
        <v>2574</v>
      </c>
      <c r="E1696" s="16">
        <v>77.0</v>
      </c>
      <c r="F1696" s="8" t="s">
        <v>985</v>
      </c>
      <c r="G1696" s="8" t="s">
        <v>3345</v>
      </c>
      <c r="H1696" s="8" t="s">
        <v>65</v>
      </c>
      <c r="I1696" s="18" t="s">
        <v>2581</v>
      </c>
      <c r="J1696" s="16">
        <v>60.0</v>
      </c>
      <c r="K1696" s="8" t="s">
        <v>742</v>
      </c>
      <c r="L1696" s="8" t="s">
        <v>741</v>
      </c>
      <c r="M1696" s="18" t="s">
        <v>2554</v>
      </c>
      <c r="N1696" s="16">
        <v>72.0</v>
      </c>
      <c r="O1696" s="8" t="s">
        <v>5629</v>
      </c>
      <c r="P1696" s="8" t="s">
        <v>80</v>
      </c>
      <c r="Q1696" s="14" t="s">
        <v>2033</v>
      </c>
      <c r="R1696" s="8" t="s">
        <v>2582</v>
      </c>
      <c r="S1696" s="14" t="s">
        <v>2573</v>
      </c>
    </row>
    <row r="1697">
      <c r="A1697" s="8" t="s">
        <v>183</v>
      </c>
      <c r="B1697" s="8" t="s">
        <v>62</v>
      </c>
      <c r="C1697" s="8" t="s">
        <v>65</v>
      </c>
      <c r="D1697" s="18" t="s">
        <v>2593</v>
      </c>
      <c r="E1697" s="16">
        <v>63.0</v>
      </c>
      <c r="F1697" s="8" t="s">
        <v>427</v>
      </c>
      <c r="G1697" s="8" t="s">
        <v>426</v>
      </c>
      <c r="H1697" s="8" t="s">
        <v>149</v>
      </c>
      <c r="I1697" s="18" t="s">
        <v>2183</v>
      </c>
      <c r="J1697" s="16">
        <v>81.0</v>
      </c>
      <c r="K1697" s="8" t="s">
        <v>1907</v>
      </c>
      <c r="L1697" s="8" t="s">
        <v>2821</v>
      </c>
      <c r="M1697" s="18" t="s">
        <v>2600</v>
      </c>
      <c r="N1697" s="16">
        <v>63.0</v>
      </c>
      <c r="O1697" s="8" t="s">
        <v>5630</v>
      </c>
      <c r="P1697" s="8" t="s">
        <v>59</v>
      </c>
      <c r="Q1697" s="14" t="s">
        <v>2296</v>
      </c>
      <c r="R1697" s="8" t="s">
        <v>2582</v>
      </c>
      <c r="S1697" s="14" t="s">
        <v>2602</v>
      </c>
    </row>
    <row r="1698">
      <c r="A1698" s="8" t="s">
        <v>183</v>
      </c>
      <c r="B1698" s="8" t="s">
        <v>3476</v>
      </c>
      <c r="C1698" s="8" t="s">
        <v>261</v>
      </c>
      <c r="D1698" s="18" t="s">
        <v>2574</v>
      </c>
      <c r="E1698" s="16">
        <v>78.0</v>
      </c>
      <c r="F1698" s="8" t="s">
        <v>427</v>
      </c>
      <c r="G1698" s="8" t="s">
        <v>1648</v>
      </c>
      <c r="H1698" s="8" t="s">
        <v>16</v>
      </c>
      <c r="I1698" s="18" t="s">
        <v>2605</v>
      </c>
      <c r="J1698" s="16">
        <v>77.0</v>
      </c>
      <c r="K1698" s="8" t="s">
        <v>1907</v>
      </c>
      <c r="L1698" s="8" t="s">
        <v>1906</v>
      </c>
      <c r="M1698" s="18" t="s">
        <v>2556</v>
      </c>
      <c r="N1698" s="16">
        <v>70.0</v>
      </c>
      <c r="O1698" s="8" t="s">
        <v>5631</v>
      </c>
      <c r="P1698" s="8" t="s">
        <v>215</v>
      </c>
      <c r="Q1698" s="14" t="s">
        <v>1679</v>
      </c>
      <c r="R1698" s="8" t="s">
        <v>2558</v>
      </c>
      <c r="S1698" s="14" t="s">
        <v>2563</v>
      </c>
    </row>
    <row r="1699">
      <c r="A1699" s="8" t="s">
        <v>183</v>
      </c>
      <c r="B1699" s="8" t="s">
        <v>3883</v>
      </c>
      <c r="C1699" s="8" t="s">
        <v>53</v>
      </c>
      <c r="D1699" s="18" t="s">
        <v>2582</v>
      </c>
      <c r="E1699" s="16">
        <v>61.0</v>
      </c>
      <c r="F1699" s="8" t="s">
        <v>425</v>
      </c>
      <c r="G1699" s="8" t="s">
        <v>3031</v>
      </c>
      <c r="H1699" s="8" t="s">
        <v>65</v>
      </c>
      <c r="I1699" s="18" t="s">
        <v>2598</v>
      </c>
      <c r="J1699" s="16">
        <v>82.0</v>
      </c>
      <c r="K1699" s="8" t="s">
        <v>231</v>
      </c>
      <c r="L1699" s="8" t="s">
        <v>894</v>
      </c>
      <c r="M1699" s="18" t="s">
        <v>2552</v>
      </c>
      <c r="N1699" s="16">
        <v>75.0</v>
      </c>
      <c r="O1699" s="8" t="s">
        <v>5632</v>
      </c>
      <c r="P1699" s="8" t="s">
        <v>93</v>
      </c>
      <c r="Q1699" s="14" t="s">
        <v>1679</v>
      </c>
      <c r="R1699" s="18" t="s">
        <v>2556</v>
      </c>
      <c r="S1699" s="14" t="s">
        <v>2606</v>
      </c>
    </row>
    <row r="1700">
      <c r="A1700" s="8" t="s">
        <v>183</v>
      </c>
      <c r="B1700" s="8" t="s">
        <v>1328</v>
      </c>
      <c r="C1700" s="8" t="s">
        <v>65</v>
      </c>
      <c r="D1700" s="18" t="s">
        <v>2575</v>
      </c>
      <c r="E1700" s="16">
        <v>77.0</v>
      </c>
      <c r="F1700" s="8" t="s">
        <v>2202</v>
      </c>
      <c r="G1700" s="8" t="s">
        <v>2201</v>
      </c>
      <c r="H1700" s="8" t="s">
        <v>192</v>
      </c>
      <c r="I1700" s="18" t="s">
        <v>2582</v>
      </c>
      <c r="J1700" s="16">
        <v>68.0</v>
      </c>
      <c r="K1700" s="8" t="s">
        <v>231</v>
      </c>
      <c r="L1700" s="8" t="s">
        <v>1327</v>
      </c>
      <c r="M1700" s="18" t="s">
        <v>2610</v>
      </c>
      <c r="N1700" s="16">
        <v>70.0</v>
      </c>
      <c r="O1700" s="8" t="s">
        <v>5633</v>
      </c>
      <c r="P1700" s="8" t="s">
        <v>192</v>
      </c>
      <c r="Q1700" s="14" t="s">
        <v>338</v>
      </c>
      <c r="R1700" s="8" t="s">
        <v>2615</v>
      </c>
      <c r="S1700" s="14" t="s">
        <v>2553</v>
      </c>
    </row>
    <row r="1701">
      <c r="A1701" s="8" t="s">
        <v>183</v>
      </c>
      <c r="B1701" s="8" t="s">
        <v>78</v>
      </c>
      <c r="C1701" s="8" t="s">
        <v>65</v>
      </c>
      <c r="D1701" s="18" t="s">
        <v>2183</v>
      </c>
      <c r="E1701" s="16">
        <v>71.0</v>
      </c>
      <c r="F1701" s="8" t="s">
        <v>3309</v>
      </c>
      <c r="G1701" s="8" t="s">
        <v>278</v>
      </c>
      <c r="H1701" s="8" t="s">
        <v>122</v>
      </c>
      <c r="I1701" s="18" t="s">
        <v>2183</v>
      </c>
      <c r="J1701" s="16">
        <v>65.0</v>
      </c>
      <c r="K1701" s="8" t="s">
        <v>231</v>
      </c>
      <c r="L1701" s="8" t="s">
        <v>372</v>
      </c>
      <c r="M1701" s="18" t="s">
        <v>2564</v>
      </c>
      <c r="N1701" s="16">
        <v>79.0</v>
      </c>
      <c r="O1701" s="8" t="s">
        <v>5634</v>
      </c>
      <c r="P1701" s="8" t="s">
        <v>24</v>
      </c>
      <c r="Q1701" s="14" t="s">
        <v>135</v>
      </c>
      <c r="R1701" s="8" t="s">
        <v>2575</v>
      </c>
      <c r="S1701" s="14" t="s">
        <v>2629</v>
      </c>
    </row>
    <row r="1702">
      <c r="A1702" s="8" t="s">
        <v>183</v>
      </c>
      <c r="B1702" s="8" t="s">
        <v>182</v>
      </c>
      <c r="C1702" s="8" t="s">
        <v>24</v>
      </c>
      <c r="D1702" s="18" t="s">
        <v>2572</v>
      </c>
      <c r="E1702" s="16">
        <v>46.0</v>
      </c>
      <c r="F1702" s="8" t="s">
        <v>1678</v>
      </c>
      <c r="G1702" s="8" t="s">
        <v>835</v>
      </c>
      <c r="H1702" s="8" t="s">
        <v>122</v>
      </c>
      <c r="I1702" s="18" t="s">
        <v>2558</v>
      </c>
      <c r="J1702" s="16">
        <v>72.0</v>
      </c>
      <c r="K1702" s="8" t="s">
        <v>231</v>
      </c>
      <c r="L1702" s="8" t="s">
        <v>1223</v>
      </c>
      <c r="M1702" s="18" t="s">
        <v>2605</v>
      </c>
      <c r="N1702" s="16">
        <v>79.0</v>
      </c>
      <c r="O1702" s="8" t="s">
        <v>5635</v>
      </c>
      <c r="P1702" s="8" t="s">
        <v>138</v>
      </c>
      <c r="Q1702" s="14" t="s">
        <v>1679</v>
      </c>
      <c r="R1702" s="8" t="s">
        <v>2593</v>
      </c>
      <c r="S1702" s="14" t="s">
        <v>2573</v>
      </c>
    </row>
    <row r="1703">
      <c r="A1703" s="8" t="s">
        <v>1219</v>
      </c>
      <c r="B1703" s="8" t="s">
        <v>1218</v>
      </c>
      <c r="C1703" s="8" t="s">
        <v>192</v>
      </c>
      <c r="D1703" s="18" t="s">
        <v>2554</v>
      </c>
      <c r="E1703" s="16">
        <v>68.0</v>
      </c>
      <c r="F1703" s="8" t="s">
        <v>146</v>
      </c>
      <c r="G1703" s="8" t="s">
        <v>355</v>
      </c>
      <c r="H1703" s="8" t="s">
        <v>192</v>
      </c>
      <c r="I1703" s="18" t="s">
        <v>2558</v>
      </c>
      <c r="J1703" s="16">
        <v>86.0</v>
      </c>
      <c r="K1703" s="8" t="s">
        <v>231</v>
      </c>
      <c r="L1703" s="8" t="s">
        <v>674</v>
      </c>
      <c r="M1703" s="18" t="s">
        <v>2572</v>
      </c>
      <c r="N1703" s="16">
        <v>64.0</v>
      </c>
      <c r="O1703" s="8" t="s">
        <v>5636</v>
      </c>
      <c r="P1703" s="8" t="s">
        <v>149</v>
      </c>
      <c r="Q1703" s="14" t="s">
        <v>631</v>
      </c>
      <c r="R1703" s="8" t="s">
        <v>2582</v>
      </c>
      <c r="S1703" s="14" t="s">
        <v>2601</v>
      </c>
    </row>
    <row r="1704">
      <c r="A1704" s="8" t="s">
        <v>985</v>
      </c>
      <c r="B1704" s="8" t="s">
        <v>3345</v>
      </c>
      <c r="C1704" s="8" t="s">
        <v>65</v>
      </c>
      <c r="D1704" s="18" t="s">
        <v>2183</v>
      </c>
      <c r="E1704" s="16">
        <v>60.0</v>
      </c>
      <c r="F1704" s="8" t="s">
        <v>146</v>
      </c>
      <c r="G1704" s="8" t="s">
        <v>765</v>
      </c>
      <c r="H1704" s="8" t="s">
        <v>149</v>
      </c>
      <c r="I1704" s="18" t="s">
        <v>2582</v>
      </c>
      <c r="J1704" s="16">
        <v>85.0</v>
      </c>
      <c r="K1704" s="8" t="s">
        <v>231</v>
      </c>
      <c r="L1704" s="8" t="s">
        <v>396</v>
      </c>
      <c r="M1704" s="18" t="s">
        <v>2562</v>
      </c>
      <c r="N1704" s="16">
        <v>76.0</v>
      </c>
      <c r="O1704" s="8" t="s">
        <v>5637</v>
      </c>
      <c r="P1704" s="8" t="s">
        <v>24</v>
      </c>
      <c r="Q1704" s="14" t="s">
        <v>1352</v>
      </c>
      <c r="R1704" s="8" t="s">
        <v>2610</v>
      </c>
      <c r="S1704" s="14" t="s">
        <v>2583</v>
      </c>
    </row>
    <row r="1705">
      <c r="A1705" s="8" t="s">
        <v>985</v>
      </c>
      <c r="B1705" s="8" t="s">
        <v>984</v>
      </c>
      <c r="C1705" s="8" t="s">
        <v>141</v>
      </c>
      <c r="D1705" s="18" t="s">
        <v>2183</v>
      </c>
      <c r="E1705" s="16">
        <v>73.0</v>
      </c>
      <c r="F1705" s="8" t="s">
        <v>146</v>
      </c>
      <c r="G1705" s="8" t="s">
        <v>145</v>
      </c>
      <c r="H1705" s="8" t="s">
        <v>24</v>
      </c>
      <c r="I1705" s="18" t="s">
        <v>2575</v>
      </c>
      <c r="J1705" s="16">
        <v>40.0</v>
      </c>
      <c r="K1705" s="8" t="s">
        <v>231</v>
      </c>
      <c r="L1705" s="8" t="s">
        <v>230</v>
      </c>
      <c r="M1705" s="18" t="s">
        <v>2582</v>
      </c>
      <c r="N1705" s="16">
        <v>62.0</v>
      </c>
      <c r="O1705" s="8" t="s">
        <v>5638</v>
      </c>
      <c r="P1705" s="8" t="s">
        <v>59</v>
      </c>
      <c r="Q1705" s="14" t="s">
        <v>631</v>
      </c>
      <c r="R1705" s="8" t="s">
        <v>2603</v>
      </c>
      <c r="S1705" s="14" t="s">
        <v>2599</v>
      </c>
    </row>
    <row r="1706">
      <c r="A1706" s="8" t="s">
        <v>985</v>
      </c>
      <c r="B1706" s="8" t="s">
        <v>3105</v>
      </c>
      <c r="C1706" s="8" t="s">
        <v>215</v>
      </c>
      <c r="D1706" s="18" t="s">
        <v>2605</v>
      </c>
      <c r="E1706" s="16">
        <v>68.0</v>
      </c>
      <c r="F1706" s="8" t="s">
        <v>146</v>
      </c>
      <c r="G1706" s="8" t="s">
        <v>1795</v>
      </c>
      <c r="H1706" s="8" t="s">
        <v>215</v>
      </c>
      <c r="I1706" s="18" t="s">
        <v>2593</v>
      </c>
      <c r="J1706" s="16">
        <v>66.0</v>
      </c>
      <c r="K1706" s="8" t="s">
        <v>231</v>
      </c>
      <c r="L1706" s="8" t="s">
        <v>1097</v>
      </c>
      <c r="M1706" s="18" t="s">
        <v>2575</v>
      </c>
      <c r="N1706" s="16">
        <v>74.0</v>
      </c>
      <c r="O1706" s="8" t="s">
        <v>5639</v>
      </c>
      <c r="P1706" s="8" t="s">
        <v>24</v>
      </c>
      <c r="Q1706" s="14" t="s">
        <v>837</v>
      </c>
      <c r="R1706" s="8" t="s">
        <v>2621</v>
      </c>
      <c r="S1706" s="14" t="s">
        <v>2565</v>
      </c>
    </row>
    <row r="1707">
      <c r="A1707" s="8" t="s">
        <v>427</v>
      </c>
      <c r="B1707" s="8" t="s">
        <v>637</v>
      </c>
      <c r="C1707" s="8" t="s">
        <v>24</v>
      </c>
      <c r="D1707" s="18" t="s">
        <v>2558</v>
      </c>
      <c r="E1707" s="16">
        <v>69.0</v>
      </c>
      <c r="F1707" s="8" t="s">
        <v>1378</v>
      </c>
      <c r="G1707" s="8" t="s">
        <v>1377</v>
      </c>
      <c r="H1707" s="8" t="s">
        <v>65</v>
      </c>
      <c r="I1707" s="18" t="s">
        <v>2552</v>
      </c>
      <c r="J1707" s="16">
        <v>62.0</v>
      </c>
      <c r="K1707" s="8" t="s">
        <v>231</v>
      </c>
      <c r="L1707" s="8" t="s">
        <v>2992</v>
      </c>
      <c r="M1707" s="18" t="s">
        <v>2558</v>
      </c>
      <c r="N1707" s="16">
        <v>80.0</v>
      </c>
      <c r="O1707" s="8" t="s">
        <v>5640</v>
      </c>
      <c r="P1707" s="8" t="s">
        <v>215</v>
      </c>
      <c r="Q1707" s="14" t="s">
        <v>2033</v>
      </c>
      <c r="R1707" s="8" t="s">
        <v>2615</v>
      </c>
      <c r="S1707" s="14" t="s">
        <v>2616</v>
      </c>
    </row>
    <row r="1708">
      <c r="A1708" s="8" t="s">
        <v>427</v>
      </c>
      <c r="B1708" s="8" t="s">
        <v>426</v>
      </c>
      <c r="C1708" s="8" t="s">
        <v>149</v>
      </c>
      <c r="D1708" s="18" t="s">
        <v>2183</v>
      </c>
      <c r="E1708" s="16">
        <v>86.0</v>
      </c>
      <c r="F1708" s="8" t="s">
        <v>1905</v>
      </c>
      <c r="G1708" s="8" t="s">
        <v>2730</v>
      </c>
      <c r="H1708" s="8" t="s">
        <v>93</v>
      </c>
      <c r="I1708" s="18" t="s">
        <v>2560</v>
      </c>
      <c r="J1708" s="16">
        <v>79.0</v>
      </c>
      <c r="K1708" s="8" t="s">
        <v>231</v>
      </c>
      <c r="L1708" s="8" t="s">
        <v>5641</v>
      </c>
      <c r="M1708" s="18" t="s">
        <v>2587</v>
      </c>
      <c r="N1708" s="16">
        <v>71.0</v>
      </c>
      <c r="O1708" s="8" t="s">
        <v>5642</v>
      </c>
      <c r="P1708" s="8" t="s">
        <v>70</v>
      </c>
      <c r="Q1708" s="14" t="s">
        <v>2459</v>
      </c>
      <c r="R1708" s="8" t="s">
        <v>2581</v>
      </c>
      <c r="S1708" s="14" t="s">
        <v>2579</v>
      </c>
    </row>
    <row r="1709">
      <c r="A1709" s="8" t="s">
        <v>427</v>
      </c>
      <c r="B1709" s="8" t="s">
        <v>3876</v>
      </c>
      <c r="C1709" s="8" t="s">
        <v>149</v>
      </c>
      <c r="D1709" s="18" t="s">
        <v>2567</v>
      </c>
      <c r="E1709" s="16">
        <v>65.0</v>
      </c>
      <c r="F1709" s="8" t="s">
        <v>2794</v>
      </c>
      <c r="G1709" s="8" t="s">
        <v>1446</v>
      </c>
      <c r="H1709" s="8" t="s">
        <v>65</v>
      </c>
      <c r="I1709" s="18" t="s">
        <v>2574</v>
      </c>
      <c r="J1709" s="16">
        <v>63.0</v>
      </c>
      <c r="K1709" s="8" t="s">
        <v>231</v>
      </c>
      <c r="L1709" s="8" t="s">
        <v>2681</v>
      </c>
      <c r="M1709" s="18" t="s">
        <v>2554</v>
      </c>
      <c r="N1709" s="16">
        <v>75.0</v>
      </c>
      <c r="O1709" s="8" t="s">
        <v>5643</v>
      </c>
      <c r="P1709" s="8" t="s">
        <v>186</v>
      </c>
      <c r="Q1709" s="14" t="s">
        <v>2033</v>
      </c>
      <c r="R1709" s="8" t="s">
        <v>2584</v>
      </c>
      <c r="S1709" s="14" t="s">
        <v>2578</v>
      </c>
    </row>
    <row r="1710">
      <c r="A1710" s="8" t="s">
        <v>425</v>
      </c>
      <c r="B1710" s="8" t="s">
        <v>3829</v>
      </c>
      <c r="C1710" s="8" t="s">
        <v>65</v>
      </c>
      <c r="D1710" s="18" t="s">
        <v>2598</v>
      </c>
      <c r="E1710" s="16">
        <v>77.0</v>
      </c>
      <c r="F1710" s="8" t="s">
        <v>1908</v>
      </c>
      <c r="G1710" s="8" t="s">
        <v>3136</v>
      </c>
      <c r="H1710" s="8" t="s">
        <v>215</v>
      </c>
      <c r="I1710" s="18" t="s">
        <v>2560</v>
      </c>
      <c r="J1710" s="16">
        <v>79.0</v>
      </c>
      <c r="K1710" s="8" t="s">
        <v>231</v>
      </c>
      <c r="L1710" s="8" t="s">
        <v>1325</v>
      </c>
      <c r="M1710" s="18" t="s">
        <v>2603</v>
      </c>
      <c r="N1710" s="16">
        <v>70.0</v>
      </c>
      <c r="O1710" s="8" t="s">
        <v>5644</v>
      </c>
      <c r="P1710" s="8" t="s">
        <v>65</v>
      </c>
      <c r="Q1710" s="14" t="s">
        <v>2459</v>
      </c>
      <c r="R1710" s="8" t="s">
        <v>2600</v>
      </c>
      <c r="S1710" s="14" t="s">
        <v>2553</v>
      </c>
    </row>
    <row r="1711">
      <c r="A1711" s="8" t="s">
        <v>3309</v>
      </c>
      <c r="B1711" s="8" t="s">
        <v>278</v>
      </c>
      <c r="C1711" s="8" t="s">
        <v>122</v>
      </c>
      <c r="D1711" s="18" t="s">
        <v>2566</v>
      </c>
      <c r="E1711" s="16">
        <v>65.0</v>
      </c>
      <c r="F1711" s="8" t="s">
        <v>733</v>
      </c>
      <c r="G1711" s="8" t="s">
        <v>732</v>
      </c>
      <c r="H1711" s="8" t="s">
        <v>59</v>
      </c>
      <c r="I1711" s="18" t="s">
        <v>2564</v>
      </c>
      <c r="J1711" s="16">
        <v>77.0</v>
      </c>
      <c r="K1711" s="8" t="s">
        <v>231</v>
      </c>
      <c r="L1711" s="8" t="s">
        <v>2045</v>
      </c>
      <c r="M1711" s="18" t="s">
        <v>2554</v>
      </c>
      <c r="N1711" s="16">
        <v>72.0</v>
      </c>
      <c r="O1711" s="8" t="s">
        <v>5645</v>
      </c>
      <c r="P1711" s="8" t="s">
        <v>186</v>
      </c>
      <c r="Q1711" s="14" t="s">
        <v>338</v>
      </c>
      <c r="R1711" s="8" t="s">
        <v>2584</v>
      </c>
      <c r="S1711" s="14" t="s">
        <v>2555</v>
      </c>
    </row>
    <row r="1712">
      <c r="A1712" s="8" t="s">
        <v>146</v>
      </c>
      <c r="B1712" s="8" t="s">
        <v>355</v>
      </c>
      <c r="C1712" s="8" t="s">
        <v>192</v>
      </c>
      <c r="D1712" s="18" t="s">
        <v>2558</v>
      </c>
      <c r="E1712" s="16">
        <v>85.0</v>
      </c>
      <c r="F1712" s="8" t="s">
        <v>733</v>
      </c>
      <c r="G1712" s="8" t="s">
        <v>3416</v>
      </c>
      <c r="H1712" s="8" t="s">
        <v>24</v>
      </c>
      <c r="I1712" s="18" t="s">
        <v>2584</v>
      </c>
      <c r="J1712" s="16">
        <v>73.0</v>
      </c>
      <c r="K1712" s="8" t="s">
        <v>231</v>
      </c>
      <c r="L1712" s="8" t="s">
        <v>220</v>
      </c>
      <c r="M1712" s="18" t="s">
        <v>2556</v>
      </c>
      <c r="N1712" s="16">
        <v>69.0</v>
      </c>
      <c r="O1712" s="8" t="s">
        <v>5646</v>
      </c>
      <c r="P1712" s="8" t="s">
        <v>132</v>
      </c>
      <c r="Q1712" s="14" t="s">
        <v>2033</v>
      </c>
      <c r="R1712" s="8" t="s">
        <v>2585</v>
      </c>
      <c r="S1712" s="14" t="s">
        <v>2569</v>
      </c>
    </row>
    <row r="1713">
      <c r="A1713" s="8" t="s">
        <v>146</v>
      </c>
      <c r="B1713" s="8" t="s">
        <v>145</v>
      </c>
      <c r="C1713" s="8" t="s">
        <v>24</v>
      </c>
      <c r="D1713" s="18" t="s">
        <v>2575</v>
      </c>
      <c r="E1713" s="16">
        <v>40.0</v>
      </c>
      <c r="F1713" s="8" t="s">
        <v>1008</v>
      </c>
      <c r="G1713" s="8" t="s">
        <v>1007</v>
      </c>
      <c r="H1713" s="8" t="s">
        <v>24</v>
      </c>
      <c r="I1713" s="18" t="s">
        <v>2605</v>
      </c>
      <c r="J1713" s="16">
        <v>71.0</v>
      </c>
      <c r="K1713" s="8" t="s">
        <v>231</v>
      </c>
      <c r="L1713" s="8" t="s">
        <v>1405</v>
      </c>
      <c r="M1713" s="18" t="s">
        <v>2615</v>
      </c>
      <c r="N1713" s="16">
        <v>76.0</v>
      </c>
      <c r="O1713" s="8" t="s">
        <v>5647</v>
      </c>
      <c r="P1713" s="8" t="s">
        <v>80</v>
      </c>
      <c r="Q1713" s="14" t="s">
        <v>2296</v>
      </c>
      <c r="R1713" s="8" t="s">
        <v>2572</v>
      </c>
      <c r="S1713" s="14" t="s">
        <v>2573</v>
      </c>
    </row>
    <row r="1714">
      <c r="A1714" s="8" t="s">
        <v>146</v>
      </c>
      <c r="B1714" s="8" t="s">
        <v>765</v>
      </c>
      <c r="C1714" s="8" t="s">
        <v>149</v>
      </c>
      <c r="D1714" s="18" t="s">
        <v>2582</v>
      </c>
      <c r="E1714" s="16">
        <v>78.0</v>
      </c>
      <c r="F1714" s="8" t="s">
        <v>3469</v>
      </c>
      <c r="G1714" s="8" t="s">
        <v>444</v>
      </c>
      <c r="H1714" s="8" t="s">
        <v>80</v>
      </c>
      <c r="I1714" s="18" t="s">
        <v>2566</v>
      </c>
      <c r="J1714" s="16">
        <v>64.0</v>
      </c>
      <c r="K1714" s="8" t="s">
        <v>1017</v>
      </c>
      <c r="L1714" s="8" t="s">
        <v>1016</v>
      </c>
      <c r="M1714" s="18" t="s">
        <v>2593</v>
      </c>
      <c r="N1714" s="16">
        <v>80.0</v>
      </c>
      <c r="O1714" s="8" t="s">
        <v>5648</v>
      </c>
      <c r="P1714" s="8" t="s">
        <v>132</v>
      </c>
      <c r="Q1714" s="14" t="s">
        <v>2296</v>
      </c>
      <c r="R1714" s="8" t="s">
        <v>2621</v>
      </c>
      <c r="S1714" s="14" t="s">
        <v>2579</v>
      </c>
    </row>
    <row r="1715">
      <c r="A1715" s="8" t="s">
        <v>1378</v>
      </c>
      <c r="B1715" s="8" t="s">
        <v>1377</v>
      </c>
      <c r="C1715" s="8" t="s">
        <v>65</v>
      </c>
      <c r="D1715" s="18" t="s">
        <v>2552</v>
      </c>
      <c r="E1715" s="16">
        <v>62.0</v>
      </c>
      <c r="F1715" s="8" t="s">
        <v>2113</v>
      </c>
      <c r="G1715" s="8" t="s">
        <v>360</v>
      </c>
      <c r="H1715" s="8" t="s">
        <v>186</v>
      </c>
      <c r="I1715" s="18" t="s">
        <v>2584</v>
      </c>
      <c r="J1715" s="16">
        <v>75.0</v>
      </c>
      <c r="K1715" s="8" t="s">
        <v>1784</v>
      </c>
      <c r="L1715" s="8" t="s">
        <v>3052</v>
      </c>
      <c r="M1715" s="18" t="s">
        <v>2575</v>
      </c>
      <c r="N1715" s="16">
        <v>76.0</v>
      </c>
      <c r="O1715" s="8" t="s">
        <v>5649</v>
      </c>
      <c r="P1715" s="8" t="s">
        <v>80</v>
      </c>
      <c r="Q1715" s="14" t="s">
        <v>338</v>
      </c>
      <c r="R1715" s="8" t="s">
        <v>2600</v>
      </c>
      <c r="S1715" s="14" t="s">
        <v>2563</v>
      </c>
    </row>
    <row r="1716">
      <c r="A1716" s="8" t="s">
        <v>1905</v>
      </c>
      <c r="B1716" s="8" t="s">
        <v>2730</v>
      </c>
      <c r="C1716" s="8" t="s">
        <v>93</v>
      </c>
      <c r="D1716" s="18" t="s">
        <v>2614</v>
      </c>
      <c r="E1716" s="16">
        <v>70.0</v>
      </c>
      <c r="F1716" s="8" t="s">
        <v>2113</v>
      </c>
      <c r="G1716" s="8" t="s">
        <v>252</v>
      </c>
      <c r="H1716" s="8" t="s">
        <v>215</v>
      </c>
      <c r="I1716" s="18" t="s">
        <v>2615</v>
      </c>
      <c r="J1716" s="16">
        <v>83.0</v>
      </c>
      <c r="K1716" s="8" t="s">
        <v>476</v>
      </c>
      <c r="L1716" s="8" t="s">
        <v>89</v>
      </c>
      <c r="M1716" s="18" t="s">
        <v>2592</v>
      </c>
      <c r="N1716" s="16">
        <v>68.0</v>
      </c>
      <c r="O1716" s="8" t="s">
        <v>5650</v>
      </c>
      <c r="P1716" s="8" t="s">
        <v>93</v>
      </c>
      <c r="Q1716" s="14" t="s">
        <v>1352</v>
      </c>
      <c r="R1716" s="8" t="s">
        <v>2567</v>
      </c>
      <c r="S1716" s="14" t="s">
        <v>2557</v>
      </c>
    </row>
    <row r="1717">
      <c r="A1717" s="8" t="s">
        <v>2794</v>
      </c>
      <c r="B1717" s="8" t="s">
        <v>1446</v>
      </c>
      <c r="C1717" s="8" t="s">
        <v>65</v>
      </c>
      <c r="D1717" s="18" t="s">
        <v>2620</v>
      </c>
      <c r="E1717" s="16">
        <v>63.0</v>
      </c>
      <c r="F1717" s="8" t="s">
        <v>2113</v>
      </c>
      <c r="G1717" s="8" t="s">
        <v>1055</v>
      </c>
      <c r="H1717" s="8" t="s">
        <v>65</v>
      </c>
      <c r="I1717" s="18" t="s">
        <v>2560</v>
      </c>
      <c r="J1717" s="16">
        <v>63.0</v>
      </c>
      <c r="K1717" s="8" t="s">
        <v>476</v>
      </c>
      <c r="L1717" s="8" t="s">
        <v>475</v>
      </c>
      <c r="M1717" s="18" t="s">
        <v>2564</v>
      </c>
      <c r="N1717" s="16">
        <v>84.0</v>
      </c>
      <c r="O1717" s="8" t="s">
        <v>5651</v>
      </c>
      <c r="P1717" s="8" t="s">
        <v>53</v>
      </c>
      <c r="Q1717" s="14" t="s">
        <v>1352</v>
      </c>
      <c r="R1717" s="8" t="s">
        <v>2581</v>
      </c>
      <c r="S1717" s="14" t="s">
        <v>2557</v>
      </c>
    </row>
    <row r="1718">
      <c r="A1718" s="8" t="s">
        <v>1908</v>
      </c>
      <c r="B1718" s="8" t="s">
        <v>3136</v>
      </c>
      <c r="C1718" s="8" t="s">
        <v>138</v>
      </c>
      <c r="D1718" s="18" t="s">
        <v>2560</v>
      </c>
      <c r="E1718" s="16">
        <v>89.0</v>
      </c>
      <c r="F1718" s="8" t="s">
        <v>375</v>
      </c>
      <c r="G1718" s="8" t="s">
        <v>374</v>
      </c>
      <c r="H1718" s="8" t="s">
        <v>53</v>
      </c>
      <c r="I1718" s="18" t="s">
        <v>2564</v>
      </c>
      <c r="J1718" s="16">
        <v>66.0</v>
      </c>
      <c r="K1718" s="8" t="s">
        <v>2239</v>
      </c>
      <c r="L1718" s="8" t="s">
        <v>628</v>
      </c>
      <c r="M1718" s="18" t="s">
        <v>2584</v>
      </c>
      <c r="N1718" s="16">
        <v>71.0</v>
      </c>
      <c r="O1718" s="8" t="s">
        <v>5652</v>
      </c>
      <c r="P1718" s="8" t="s">
        <v>46</v>
      </c>
      <c r="Q1718" s="14" t="s">
        <v>237</v>
      </c>
      <c r="R1718" s="8" t="s">
        <v>2566</v>
      </c>
      <c r="S1718" s="14" t="s">
        <v>2601</v>
      </c>
    </row>
    <row r="1719">
      <c r="A1719" s="8" t="s">
        <v>733</v>
      </c>
      <c r="B1719" s="8" t="s">
        <v>732</v>
      </c>
      <c r="C1719" s="8" t="s">
        <v>53</v>
      </c>
      <c r="D1719" s="18" t="s">
        <v>2564</v>
      </c>
      <c r="E1719" s="16">
        <v>85.0</v>
      </c>
      <c r="F1719" s="8" t="s">
        <v>375</v>
      </c>
      <c r="G1719" s="8" t="s">
        <v>89</v>
      </c>
      <c r="H1719" s="8" t="s">
        <v>186</v>
      </c>
      <c r="I1719" s="18" t="s">
        <v>2556</v>
      </c>
      <c r="J1719" s="16">
        <v>60.0</v>
      </c>
      <c r="K1719" s="8" t="s">
        <v>1621</v>
      </c>
      <c r="L1719" s="8" t="s">
        <v>106</v>
      </c>
      <c r="M1719" s="18" t="s">
        <v>2614</v>
      </c>
      <c r="N1719" s="16">
        <v>69.0</v>
      </c>
      <c r="O1719" s="8" t="s">
        <v>5653</v>
      </c>
      <c r="P1719" s="8" t="s">
        <v>16</v>
      </c>
      <c r="Q1719" s="14" t="s">
        <v>1352</v>
      </c>
      <c r="R1719" s="8" t="s">
        <v>2564</v>
      </c>
      <c r="S1719" s="14" t="s">
        <v>2612</v>
      </c>
    </row>
    <row r="1720">
      <c r="A1720" s="8" t="s">
        <v>733</v>
      </c>
      <c r="B1720" s="8" t="s">
        <v>3416</v>
      </c>
      <c r="C1720" s="8" t="s">
        <v>24</v>
      </c>
      <c r="D1720" s="18" t="s">
        <v>2556</v>
      </c>
      <c r="E1720" s="16">
        <v>73.0</v>
      </c>
      <c r="F1720" s="8" t="s">
        <v>2685</v>
      </c>
      <c r="G1720" s="8" t="s">
        <v>2684</v>
      </c>
      <c r="H1720" s="8" t="s">
        <v>192</v>
      </c>
      <c r="I1720" s="18" t="s">
        <v>2566</v>
      </c>
      <c r="J1720" s="16">
        <v>65.0</v>
      </c>
      <c r="K1720" s="8" t="s">
        <v>1621</v>
      </c>
      <c r="L1720" s="8" t="s">
        <v>1034</v>
      </c>
      <c r="M1720" s="18" t="s">
        <v>2592</v>
      </c>
      <c r="N1720" s="16">
        <v>74.0</v>
      </c>
      <c r="O1720" s="8" t="s">
        <v>5654</v>
      </c>
      <c r="P1720" s="8" t="s">
        <v>53</v>
      </c>
      <c r="Q1720" s="14" t="s">
        <v>1679</v>
      </c>
      <c r="R1720" s="8" t="s">
        <v>2564</v>
      </c>
      <c r="S1720" s="14" t="s">
        <v>2568</v>
      </c>
    </row>
    <row r="1721">
      <c r="A1721" s="8" t="s">
        <v>1008</v>
      </c>
      <c r="B1721" s="8" t="s">
        <v>1007</v>
      </c>
      <c r="C1721" s="8" t="s">
        <v>24</v>
      </c>
      <c r="D1721" s="18" t="s">
        <v>2552</v>
      </c>
      <c r="E1721" s="16">
        <v>74.0</v>
      </c>
      <c r="F1721" s="8" t="s">
        <v>317</v>
      </c>
      <c r="G1721" s="8" t="s">
        <v>460</v>
      </c>
      <c r="H1721" s="8" t="s">
        <v>80</v>
      </c>
      <c r="I1721" s="18" t="s">
        <v>2581</v>
      </c>
      <c r="J1721" s="16">
        <v>72.0</v>
      </c>
      <c r="K1721" s="8" t="s">
        <v>2972</v>
      </c>
      <c r="L1721" s="8" t="s">
        <v>2971</v>
      </c>
      <c r="M1721" s="18" t="s">
        <v>2645</v>
      </c>
      <c r="N1721" s="16">
        <v>63.0</v>
      </c>
      <c r="O1721" s="8" t="s">
        <v>5655</v>
      </c>
      <c r="P1721" s="8" t="s">
        <v>16</v>
      </c>
      <c r="Q1721" s="14" t="s">
        <v>1352</v>
      </c>
      <c r="R1721" s="18" t="s">
        <v>2556</v>
      </c>
      <c r="S1721" s="14" t="s">
        <v>2637</v>
      </c>
    </row>
    <row r="1722">
      <c r="A1722" s="8" t="s">
        <v>3469</v>
      </c>
      <c r="B1722" s="8" t="s">
        <v>444</v>
      </c>
      <c r="C1722" s="8" t="s">
        <v>80</v>
      </c>
      <c r="D1722" s="18" t="s">
        <v>2566</v>
      </c>
      <c r="E1722" s="16">
        <v>66.0</v>
      </c>
      <c r="F1722" s="8" t="s">
        <v>317</v>
      </c>
      <c r="G1722" s="8" t="s">
        <v>316</v>
      </c>
      <c r="H1722" s="8" t="s">
        <v>46</v>
      </c>
      <c r="I1722" s="18" t="s">
        <v>2600</v>
      </c>
      <c r="J1722" s="16">
        <v>87.0</v>
      </c>
      <c r="K1722" s="8" t="s">
        <v>2357</v>
      </c>
      <c r="L1722" s="8" t="s">
        <v>2356</v>
      </c>
      <c r="M1722" s="18" t="s">
        <v>2567</v>
      </c>
      <c r="N1722" s="16">
        <v>73.0</v>
      </c>
      <c r="O1722" s="8" t="s">
        <v>5656</v>
      </c>
      <c r="P1722" s="8" t="s">
        <v>138</v>
      </c>
      <c r="Q1722" s="14" t="s">
        <v>1352</v>
      </c>
      <c r="R1722" s="8" t="s">
        <v>2560</v>
      </c>
      <c r="S1722" s="14" t="s">
        <v>2602</v>
      </c>
    </row>
    <row r="1723">
      <c r="A1723" s="8" t="s">
        <v>2113</v>
      </c>
      <c r="B1723" s="8" t="s">
        <v>360</v>
      </c>
      <c r="C1723" s="8" t="s">
        <v>59</v>
      </c>
      <c r="D1723" s="18" t="s">
        <v>2584</v>
      </c>
      <c r="E1723" s="16">
        <v>76.0</v>
      </c>
      <c r="F1723" s="8" t="s">
        <v>317</v>
      </c>
      <c r="G1723" s="8" t="s">
        <v>2983</v>
      </c>
      <c r="H1723" s="8" t="s">
        <v>186</v>
      </c>
      <c r="I1723" s="18" t="s">
        <v>2621</v>
      </c>
      <c r="J1723" s="16">
        <v>66.0</v>
      </c>
      <c r="K1723" s="18" t="s">
        <v>1845</v>
      </c>
      <c r="L1723" s="8" t="s">
        <v>1200</v>
      </c>
      <c r="M1723" s="18" t="s">
        <v>2592</v>
      </c>
      <c r="N1723" s="16">
        <v>78.0</v>
      </c>
      <c r="O1723" s="8" t="s">
        <v>5657</v>
      </c>
      <c r="P1723" s="8" t="s">
        <v>186</v>
      </c>
      <c r="Q1723" s="14" t="s">
        <v>237</v>
      </c>
      <c r="R1723" s="8" t="s">
        <v>2566</v>
      </c>
      <c r="S1723" s="14" t="s">
        <v>2555</v>
      </c>
    </row>
    <row r="1724">
      <c r="A1724" s="8" t="s">
        <v>2113</v>
      </c>
      <c r="B1724" s="8" t="s">
        <v>1055</v>
      </c>
      <c r="C1724" s="8" t="s">
        <v>65</v>
      </c>
      <c r="D1724" s="18" t="s">
        <v>2566</v>
      </c>
      <c r="E1724" s="16">
        <v>63.0</v>
      </c>
      <c r="F1724" s="8" t="s">
        <v>317</v>
      </c>
      <c r="G1724" s="8" t="s">
        <v>1561</v>
      </c>
      <c r="H1724" s="8" t="s">
        <v>138</v>
      </c>
      <c r="I1724" s="18" t="s">
        <v>2615</v>
      </c>
      <c r="J1724" s="16">
        <v>69.0</v>
      </c>
      <c r="K1724" s="8" t="s">
        <v>1530</v>
      </c>
      <c r="L1724" s="8" t="s">
        <v>1529</v>
      </c>
      <c r="M1724" s="18" t="s">
        <v>2556</v>
      </c>
      <c r="N1724" s="16">
        <v>74.0</v>
      </c>
      <c r="O1724" s="8" t="s">
        <v>5658</v>
      </c>
      <c r="P1724" s="8" t="s">
        <v>93</v>
      </c>
      <c r="Q1724" s="14" t="s">
        <v>2033</v>
      </c>
      <c r="R1724" s="8" t="s">
        <v>2558</v>
      </c>
      <c r="S1724" s="14" t="s">
        <v>2583</v>
      </c>
    </row>
    <row r="1725">
      <c r="A1725" s="8" t="s">
        <v>375</v>
      </c>
      <c r="B1725" s="8" t="s">
        <v>374</v>
      </c>
      <c r="C1725" s="8" t="s">
        <v>186</v>
      </c>
      <c r="D1725" s="18" t="s">
        <v>2564</v>
      </c>
      <c r="E1725" s="16">
        <v>64.0</v>
      </c>
      <c r="F1725" s="8" t="s">
        <v>317</v>
      </c>
      <c r="G1725" s="8" t="s">
        <v>1464</v>
      </c>
      <c r="H1725" s="8" t="s">
        <v>93</v>
      </c>
      <c r="I1725" s="18" t="s">
        <v>2567</v>
      </c>
      <c r="J1725" s="16">
        <v>64.0</v>
      </c>
      <c r="K1725" s="8" t="s">
        <v>2826</v>
      </c>
      <c r="L1725" s="8" t="s">
        <v>2825</v>
      </c>
      <c r="M1725" s="18" t="s">
        <v>2560</v>
      </c>
      <c r="N1725" s="16">
        <v>63.0</v>
      </c>
      <c r="O1725" s="8" t="s">
        <v>5659</v>
      </c>
      <c r="P1725" s="8" t="s">
        <v>122</v>
      </c>
      <c r="Q1725" s="14" t="s">
        <v>1679</v>
      </c>
      <c r="R1725" s="8" t="s">
        <v>2603</v>
      </c>
      <c r="S1725" s="14" t="s">
        <v>2557</v>
      </c>
    </row>
    <row r="1726">
      <c r="A1726" s="8" t="s">
        <v>2685</v>
      </c>
      <c r="B1726" s="8" t="s">
        <v>2684</v>
      </c>
      <c r="C1726" s="8" t="s">
        <v>192</v>
      </c>
      <c r="D1726" s="18" t="s">
        <v>2566</v>
      </c>
      <c r="E1726" s="16">
        <v>66.0</v>
      </c>
      <c r="F1726" s="8" t="s">
        <v>317</v>
      </c>
      <c r="G1726" s="8" t="s">
        <v>1631</v>
      </c>
      <c r="H1726" s="8" t="s">
        <v>16</v>
      </c>
      <c r="I1726" s="18" t="s">
        <v>2582</v>
      </c>
      <c r="J1726" s="16">
        <v>64.0</v>
      </c>
      <c r="K1726" s="8" t="s">
        <v>1084</v>
      </c>
      <c r="L1726" s="8" t="s">
        <v>2679</v>
      </c>
      <c r="M1726" s="18" t="s">
        <v>2566</v>
      </c>
      <c r="N1726" s="16">
        <v>89.0</v>
      </c>
      <c r="O1726" s="8" t="s">
        <v>5660</v>
      </c>
      <c r="P1726" s="8" t="s">
        <v>215</v>
      </c>
      <c r="Q1726" s="14" t="s">
        <v>189</v>
      </c>
      <c r="R1726" s="8" t="s">
        <v>2592</v>
      </c>
      <c r="S1726" s="14" t="s">
        <v>2625</v>
      </c>
    </row>
    <row r="1727">
      <c r="A1727" s="8" t="s">
        <v>317</v>
      </c>
      <c r="B1727" s="8" t="s">
        <v>460</v>
      </c>
      <c r="C1727" s="8" t="s">
        <v>192</v>
      </c>
      <c r="D1727" s="18" t="s">
        <v>2556</v>
      </c>
      <c r="E1727" s="16">
        <v>77.0</v>
      </c>
      <c r="F1727" s="8" t="s">
        <v>317</v>
      </c>
      <c r="G1727" s="8" t="s">
        <v>367</v>
      </c>
      <c r="H1727" s="8" t="s">
        <v>80</v>
      </c>
      <c r="I1727" s="18" t="s">
        <v>2600</v>
      </c>
      <c r="J1727" s="16">
        <v>65.0</v>
      </c>
      <c r="K1727" s="8" t="s">
        <v>1084</v>
      </c>
      <c r="L1727" s="8" t="s">
        <v>2679</v>
      </c>
      <c r="M1727" s="18" t="s">
        <v>2566</v>
      </c>
      <c r="N1727" s="16">
        <v>87.0</v>
      </c>
      <c r="O1727" s="8" t="s">
        <v>5661</v>
      </c>
      <c r="P1727" s="8" t="s">
        <v>24</v>
      </c>
      <c r="Q1727" s="14" t="s">
        <v>837</v>
      </c>
      <c r="R1727" s="8" t="s">
        <v>2560</v>
      </c>
      <c r="S1727" s="14" t="s">
        <v>2591</v>
      </c>
    </row>
    <row r="1728">
      <c r="A1728" s="8" t="s">
        <v>317</v>
      </c>
      <c r="B1728" s="8" t="s">
        <v>367</v>
      </c>
      <c r="C1728" s="8" t="s">
        <v>192</v>
      </c>
      <c r="D1728" s="18" t="s">
        <v>2600</v>
      </c>
      <c r="E1728" s="16">
        <v>65.0</v>
      </c>
      <c r="F1728" s="8" t="s">
        <v>322</v>
      </c>
      <c r="G1728" s="8" t="s">
        <v>1804</v>
      </c>
      <c r="H1728" s="8" t="s">
        <v>59</v>
      </c>
      <c r="I1728" s="18" t="s">
        <v>2564</v>
      </c>
      <c r="J1728" s="16">
        <v>61.0</v>
      </c>
      <c r="K1728" s="8" t="s">
        <v>1927</v>
      </c>
      <c r="L1728" s="8" t="s">
        <v>1926</v>
      </c>
      <c r="M1728" s="18" t="s">
        <v>2593</v>
      </c>
      <c r="N1728" s="16">
        <v>67.0</v>
      </c>
      <c r="O1728" s="8" t="s">
        <v>5662</v>
      </c>
      <c r="P1728" s="8" t="s">
        <v>93</v>
      </c>
      <c r="Q1728" s="14" t="s">
        <v>459</v>
      </c>
      <c r="R1728" s="8" t="s">
        <v>2603</v>
      </c>
      <c r="S1728" s="14" t="s">
        <v>2583</v>
      </c>
    </row>
    <row r="1729">
      <c r="A1729" s="8" t="s">
        <v>317</v>
      </c>
      <c r="B1729" s="8" t="s">
        <v>1483</v>
      </c>
      <c r="C1729" s="8" t="s">
        <v>186</v>
      </c>
      <c r="D1729" s="18" t="s">
        <v>2567</v>
      </c>
      <c r="E1729" s="16">
        <v>76.0</v>
      </c>
      <c r="F1729" s="8" t="s">
        <v>322</v>
      </c>
      <c r="G1729" s="8" t="s">
        <v>1568</v>
      </c>
      <c r="H1729" s="8" t="s">
        <v>16</v>
      </c>
      <c r="I1729" s="18" t="s">
        <v>2587</v>
      </c>
      <c r="J1729" s="16">
        <v>72.0</v>
      </c>
      <c r="K1729" s="8" t="s">
        <v>819</v>
      </c>
      <c r="L1729" s="8" t="s">
        <v>84</v>
      </c>
      <c r="M1729" s="18" t="s">
        <v>2566</v>
      </c>
      <c r="N1729" s="16">
        <v>80.0</v>
      </c>
      <c r="O1729" s="8" t="s">
        <v>5663</v>
      </c>
      <c r="P1729" s="8" t="s">
        <v>65</v>
      </c>
      <c r="Q1729" s="14" t="s">
        <v>1070</v>
      </c>
      <c r="R1729" s="8" t="s">
        <v>2564</v>
      </c>
      <c r="S1729" s="14" t="s">
        <v>2578</v>
      </c>
    </row>
    <row r="1730">
      <c r="A1730" s="8" t="s">
        <v>317</v>
      </c>
      <c r="B1730" s="8" t="s">
        <v>1561</v>
      </c>
      <c r="C1730" s="8" t="s">
        <v>53</v>
      </c>
      <c r="D1730" s="18" t="s">
        <v>2615</v>
      </c>
      <c r="E1730" s="16">
        <v>67.0</v>
      </c>
      <c r="F1730" s="8" t="s">
        <v>322</v>
      </c>
      <c r="G1730" s="8" t="s">
        <v>321</v>
      </c>
      <c r="H1730" s="8" t="s">
        <v>53</v>
      </c>
      <c r="I1730" s="18" t="s">
        <v>2595</v>
      </c>
      <c r="J1730" s="16">
        <v>72.0</v>
      </c>
      <c r="K1730" s="8" t="s">
        <v>123</v>
      </c>
      <c r="L1730" s="8" t="s">
        <v>668</v>
      </c>
      <c r="M1730" s="18" t="s">
        <v>2589</v>
      </c>
      <c r="N1730" s="16">
        <v>71.0</v>
      </c>
      <c r="O1730" s="8" t="s">
        <v>5664</v>
      </c>
      <c r="P1730" s="8" t="s">
        <v>186</v>
      </c>
      <c r="Q1730" s="14" t="s">
        <v>1070</v>
      </c>
      <c r="R1730" s="8" t="s">
        <v>2560</v>
      </c>
      <c r="S1730" s="14" t="s">
        <v>2583</v>
      </c>
    </row>
    <row r="1731">
      <c r="A1731" s="8" t="s">
        <v>317</v>
      </c>
      <c r="B1731" s="8" t="s">
        <v>2983</v>
      </c>
      <c r="C1731" s="8" t="s">
        <v>186</v>
      </c>
      <c r="D1731" s="18" t="s">
        <v>2621</v>
      </c>
      <c r="E1731" s="16">
        <v>65.0</v>
      </c>
      <c r="F1731" s="8" t="s">
        <v>2696</v>
      </c>
      <c r="G1731" s="8" t="s">
        <v>2695</v>
      </c>
      <c r="H1731" s="8" t="s">
        <v>186</v>
      </c>
      <c r="I1731" s="18" t="s">
        <v>2585</v>
      </c>
      <c r="J1731" s="16">
        <v>88.0</v>
      </c>
      <c r="K1731" s="8" t="s">
        <v>1724</v>
      </c>
      <c r="L1731" s="8" t="s">
        <v>1723</v>
      </c>
      <c r="M1731" s="18" t="s">
        <v>2558</v>
      </c>
      <c r="N1731" s="16">
        <v>72.0</v>
      </c>
      <c r="O1731" s="8" t="s">
        <v>5665</v>
      </c>
      <c r="P1731" s="8" t="s">
        <v>93</v>
      </c>
      <c r="Q1731" s="14" t="s">
        <v>631</v>
      </c>
      <c r="R1731" s="18" t="s">
        <v>2556</v>
      </c>
      <c r="S1731" s="14" t="s">
        <v>2601</v>
      </c>
    </row>
    <row r="1732">
      <c r="A1732" s="8" t="s">
        <v>317</v>
      </c>
      <c r="B1732" s="8" t="s">
        <v>316</v>
      </c>
      <c r="C1732" s="8" t="s">
        <v>46</v>
      </c>
      <c r="D1732" s="18" t="s">
        <v>2600</v>
      </c>
      <c r="E1732" s="16">
        <v>84.0</v>
      </c>
      <c r="F1732" s="8" t="s">
        <v>1855</v>
      </c>
      <c r="G1732" s="8" t="s">
        <v>284</v>
      </c>
      <c r="H1732" s="8" t="s">
        <v>122</v>
      </c>
      <c r="I1732" s="18" t="s">
        <v>2603</v>
      </c>
      <c r="J1732" s="16">
        <v>71.0</v>
      </c>
      <c r="K1732" s="8" t="s">
        <v>1627</v>
      </c>
      <c r="L1732" s="8" t="s">
        <v>1625</v>
      </c>
      <c r="M1732" s="18" t="s">
        <v>2566</v>
      </c>
      <c r="N1732" s="16">
        <v>65.0</v>
      </c>
      <c r="O1732" s="8" t="s">
        <v>5666</v>
      </c>
      <c r="P1732" s="8" t="s">
        <v>186</v>
      </c>
      <c r="Q1732" s="14" t="s">
        <v>1679</v>
      </c>
      <c r="R1732" s="18" t="s">
        <v>2556</v>
      </c>
      <c r="S1732" s="14" t="s">
        <v>2568</v>
      </c>
    </row>
    <row r="1733">
      <c r="A1733" s="8" t="s">
        <v>317</v>
      </c>
      <c r="B1733" s="8" t="s">
        <v>1631</v>
      </c>
      <c r="C1733" s="8" t="s">
        <v>16</v>
      </c>
      <c r="D1733" s="18" t="s">
        <v>2582</v>
      </c>
      <c r="E1733" s="16">
        <v>65.0</v>
      </c>
      <c r="F1733" s="8" t="s">
        <v>229</v>
      </c>
      <c r="G1733" s="8" t="s">
        <v>228</v>
      </c>
      <c r="H1733" s="8" t="s">
        <v>122</v>
      </c>
      <c r="I1733" s="18" t="s">
        <v>2581</v>
      </c>
      <c r="J1733" s="16">
        <v>93.0</v>
      </c>
      <c r="K1733" s="8" t="s">
        <v>2062</v>
      </c>
      <c r="L1733" s="8" t="s">
        <v>3032</v>
      </c>
      <c r="M1733" s="18" t="s">
        <v>2582</v>
      </c>
      <c r="N1733" s="16">
        <v>76.0</v>
      </c>
      <c r="O1733" s="8" t="s">
        <v>5667</v>
      </c>
      <c r="P1733" s="8" t="s">
        <v>141</v>
      </c>
      <c r="Q1733" s="14" t="s">
        <v>2033</v>
      </c>
      <c r="R1733" s="8" t="s">
        <v>2183</v>
      </c>
      <c r="S1733" s="14" t="s">
        <v>2580</v>
      </c>
    </row>
    <row r="1734">
      <c r="A1734" s="8" t="s">
        <v>317</v>
      </c>
      <c r="B1734" s="8" t="s">
        <v>1330</v>
      </c>
      <c r="C1734" s="8" t="s">
        <v>65</v>
      </c>
      <c r="D1734" s="18" t="s">
        <v>2600</v>
      </c>
      <c r="E1734" s="16">
        <v>73.0</v>
      </c>
      <c r="F1734" s="8" t="s">
        <v>1036</v>
      </c>
      <c r="G1734" s="8" t="s">
        <v>1035</v>
      </c>
      <c r="H1734" s="8" t="s">
        <v>24</v>
      </c>
      <c r="I1734" s="18" t="s">
        <v>2584</v>
      </c>
      <c r="J1734" s="16">
        <v>66.0</v>
      </c>
      <c r="K1734" s="8" t="s">
        <v>2062</v>
      </c>
      <c r="L1734" s="8" t="s">
        <v>106</v>
      </c>
      <c r="M1734" s="18" t="s">
        <v>2575</v>
      </c>
      <c r="N1734" s="16">
        <v>75.0</v>
      </c>
      <c r="O1734" s="8" t="s">
        <v>5668</v>
      </c>
      <c r="P1734" s="8" t="s">
        <v>261</v>
      </c>
      <c r="Q1734" s="14" t="s">
        <v>2033</v>
      </c>
      <c r="R1734" s="8" t="s">
        <v>2554</v>
      </c>
      <c r="S1734" s="14" t="s">
        <v>2568</v>
      </c>
    </row>
    <row r="1735">
      <c r="A1735" s="8" t="s">
        <v>322</v>
      </c>
      <c r="B1735" s="8" t="s">
        <v>2983</v>
      </c>
      <c r="C1735" s="8" t="s">
        <v>65</v>
      </c>
      <c r="D1735" s="18" t="s">
        <v>2556</v>
      </c>
      <c r="E1735" s="16">
        <v>60.0</v>
      </c>
      <c r="F1735" s="8" t="s">
        <v>607</v>
      </c>
      <c r="G1735" s="8" t="s">
        <v>606</v>
      </c>
      <c r="H1735" s="8" t="s">
        <v>93</v>
      </c>
      <c r="I1735" s="18" t="s">
        <v>2603</v>
      </c>
      <c r="J1735" s="16">
        <v>64.0</v>
      </c>
      <c r="K1735" s="8" t="s">
        <v>2758</v>
      </c>
      <c r="L1735" s="8" t="s">
        <v>2757</v>
      </c>
      <c r="M1735" s="18" t="s">
        <v>2645</v>
      </c>
      <c r="N1735" s="16">
        <v>61.0</v>
      </c>
      <c r="O1735" s="8" t="s">
        <v>5669</v>
      </c>
      <c r="P1735" s="8" t="s">
        <v>215</v>
      </c>
      <c r="Q1735" s="14" t="s">
        <v>2459</v>
      </c>
      <c r="R1735" s="8" t="s">
        <v>2585</v>
      </c>
      <c r="S1735" s="14" t="s">
        <v>2586</v>
      </c>
    </row>
    <row r="1736">
      <c r="A1736" s="8" t="s">
        <v>322</v>
      </c>
      <c r="B1736" s="8" t="s">
        <v>321</v>
      </c>
      <c r="C1736" s="8" t="s">
        <v>186</v>
      </c>
      <c r="D1736" s="18" t="s">
        <v>2595</v>
      </c>
      <c r="E1736" s="16">
        <v>71.0</v>
      </c>
      <c r="F1736" s="8" t="s">
        <v>220</v>
      </c>
      <c r="G1736" s="8" t="s">
        <v>3443</v>
      </c>
      <c r="H1736" s="8" t="s">
        <v>65</v>
      </c>
      <c r="I1736" s="18" t="s">
        <v>2593</v>
      </c>
      <c r="J1736" s="16">
        <v>64.0</v>
      </c>
      <c r="K1736" s="8" t="s">
        <v>2974</v>
      </c>
      <c r="L1736" s="8" t="s">
        <v>2973</v>
      </c>
      <c r="M1736" s="18" t="s">
        <v>2587</v>
      </c>
      <c r="N1736" s="16">
        <v>67.0</v>
      </c>
      <c r="O1736" s="8" t="s">
        <v>5670</v>
      </c>
      <c r="P1736" s="8" t="s">
        <v>24</v>
      </c>
      <c r="Q1736" s="14" t="s">
        <v>1070</v>
      </c>
      <c r="R1736" s="8" t="s">
        <v>2575</v>
      </c>
      <c r="S1736" s="14" t="s">
        <v>2590</v>
      </c>
    </row>
    <row r="1737">
      <c r="A1737" s="8" t="s">
        <v>2696</v>
      </c>
      <c r="B1737" s="8" t="s">
        <v>2695</v>
      </c>
      <c r="C1737" s="8" t="s">
        <v>186</v>
      </c>
      <c r="D1737" s="18" t="s">
        <v>2585</v>
      </c>
      <c r="E1737" s="16">
        <v>88.0</v>
      </c>
      <c r="F1737" s="8" t="s">
        <v>220</v>
      </c>
      <c r="G1737" s="8" t="s">
        <v>1073</v>
      </c>
      <c r="H1737" s="8" t="s">
        <v>65</v>
      </c>
      <c r="I1737" s="18" t="s">
        <v>2564</v>
      </c>
      <c r="J1737" s="16">
        <v>71.0</v>
      </c>
      <c r="K1737" s="18" t="s">
        <v>1341</v>
      </c>
      <c r="L1737" s="8" t="s">
        <v>78</v>
      </c>
      <c r="M1737" s="18" t="s">
        <v>2595</v>
      </c>
      <c r="N1737" s="16">
        <v>77.0</v>
      </c>
      <c r="O1737" s="8" t="s">
        <v>5671</v>
      </c>
      <c r="P1737" s="8" t="s">
        <v>70</v>
      </c>
      <c r="Q1737" s="14" t="s">
        <v>2033</v>
      </c>
      <c r="R1737" s="8" t="s">
        <v>2615</v>
      </c>
      <c r="S1737" s="14" t="s">
        <v>2625</v>
      </c>
    </row>
    <row r="1738">
      <c r="A1738" s="8" t="s">
        <v>229</v>
      </c>
      <c r="B1738" s="8" t="s">
        <v>228</v>
      </c>
      <c r="C1738" s="8" t="s">
        <v>122</v>
      </c>
      <c r="D1738" s="18" t="s">
        <v>2581</v>
      </c>
      <c r="E1738" s="16">
        <v>93.0</v>
      </c>
      <c r="F1738" s="8" t="s">
        <v>1197</v>
      </c>
      <c r="G1738" s="8" t="s">
        <v>1196</v>
      </c>
      <c r="H1738" s="8" t="s">
        <v>59</v>
      </c>
      <c r="I1738" s="18" t="s">
        <v>2581</v>
      </c>
      <c r="J1738" s="16">
        <v>70.0</v>
      </c>
      <c r="K1738" s="18" t="s">
        <v>1341</v>
      </c>
      <c r="L1738" s="8" t="s">
        <v>1183</v>
      </c>
      <c r="M1738" s="18" t="s">
        <v>2556</v>
      </c>
      <c r="N1738" s="16">
        <v>73.0</v>
      </c>
      <c r="O1738" s="8" t="s">
        <v>5672</v>
      </c>
      <c r="P1738" s="8" t="s">
        <v>53</v>
      </c>
      <c r="Q1738" s="14" t="s">
        <v>1679</v>
      </c>
      <c r="R1738" s="8" t="s">
        <v>2584</v>
      </c>
      <c r="S1738" s="14" t="s">
        <v>2618</v>
      </c>
    </row>
    <row r="1739">
      <c r="A1739" s="8" t="s">
        <v>1036</v>
      </c>
      <c r="B1739" s="8" t="s">
        <v>1035</v>
      </c>
      <c r="C1739" s="8" t="s">
        <v>65</v>
      </c>
      <c r="D1739" s="18" t="s">
        <v>2584</v>
      </c>
      <c r="E1739" s="16">
        <v>57.0</v>
      </c>
      <c r="F1739" s="8" t="s">
        <v>742</v>
      </c>
      <c r="G1739" s="8" t="s">
        <v>741</v>
      </c>
      <c r="H1739" s="8" t="s">
        <v>93</v>
      </c>
      <c r="I1739" s="18" t="s">
        <v>2554</v>
      </c>
      <c r="J1739" s="16">
        <v>80.0</v>
      </c>
      <c r="K1739" s="8" t="s">
        <v>1542</v>
      </c>
      <c r="L1739" s="8" t="s">
        <v>766</v>
      </c>
      <c r="M1739" s="18" t="s">
        <v>2585</v>
      </c>
      <c r="N1739" s="16">
        <v>68.0</v>
      </c>
      <c r="O1739" s="8" t="s">
        <v>5673</v>
      </c>
      <c r="P1739" s="8" t="s">
        <v>186</v>
      </c>
      <c r="Q1739" s="14" t="s">
        <v>631</v>
      </c>
      <c r="R1739" s="8" t="s">
        <v>2572</v>
      </c>
      <c r="S1739" s="14" t="s">
        <v>2594</v>
      </c>
    </row>
    <row r="1740">
      <c r="A1740" s="8" t="s">
        <v>607</v>
      </c>
      <c r="B1740" s="8" t="s">
        <v>606</v>
      </c>
      <c r="C1740" s="8" t="s">
        <v>93</v>
      </c>
      <c r="D1740" s="18" t="s">
        <v>2556</v>
      </c>
      <c r="E1740" s="16">
        <v>68.0</v>
      </c>
      <c r="F1740" s="8" t="s">
        <v>3285</v>
      </c>
      <c r="G1740" s="8" t="s">
        <v>2821</v>
      </c>
      <c r="H1740" s="8" t="s">
        <v>53</v>
      </c>
      <c r="I1740" s="18" t="s">
        <v>2593</v>
      </c>
      <c r="J1740" s="16">
        <v>62.0</v>
      </c>
      <c r="K1740" s="8" t="s">
        <v>1276</v>
      </c>
      <c r="L1740" s="8" t="s">
        <v>2777</v>
      </c>
      <c r="M1740" s="18" t="s">
        <v>2183</v>
      </c>
      <c r="N1740" s="16">
        <v>68.0</v>
      </c>
      <c r="O1740" s="8" t="s">
        <v>5674</v>
      </c>
      <c r="P1740" s="8" t="s">
        <v>141</v>
      </c>
      <c r="Q1740" s="14" t="s">
        <v>837</v>
      </c>
      <c r="R1740" s="8" t="s">
        <v>2595</v>
      </c>
      <c r="S1740" s="14" t="s">
        <v>2576</v>
      </c>
    </row>
    <row r="1741">
      <c r="A1741" s="8" t="s">
        <v>3537</v>
      </c>
      <c r="B1741" s="8" t="s">
        <v>3536</v>
      </c>
      <c r="C1741" s="8" t="s">
        <v>53</v>
      </c>
      <c r="D1741" s="18" t="s">
        <v>2556</v>
      </c>
      <c r="E1741" s="16">
        <v>65.0</v>
      </c>
      <c r="F1741" s="8" t="s">
        <v>231</v>
      </c>
      <c r="G1741" s="8" t="s">
        <v>3255</v>
      </c>
      <c r="H1741" s="8" t="s">
        <v>12</v>
      </c>
      <c r="I1741" s="18" t="s">
        <v>2592</v>
      </c>
      <c r="J1741" s="16">
        <v>78.0</v>
      </c>
      <c r="K1741" s="8" t="s">
        <v>1004</v>
      </c>
      <c r="L1741" s="8" t="s">
        <v>1550</v>
      </c>
      <c r="M1741" s="18" t="s">
        <v>2560</v>
      </c>
      <c r="N1741" s="16">
        <v>71.0</v>
      </c>
      <c r="O1741" s="8" t="s">
        <v>5675</v>
      </c>
      <c r="P1741" s="8" t="s">
        <v>16</v>
      </c>
      <c r="Q1741" s="14" t="s">
        <v>2296</v>
      </c>
      <c r="R1741" s="8" t="s">
        <v>2592</v>
      </c>
      <c r="S1741" s="14" t="s">
        <v>2617</v>
      </c>
    </row>
    <row r="1742">
      <c r="A1742" s="8" t="s">
        <v>220</v>
      </c>
      <c r="B1742" s="8" t="s">
        <v>1073</v>
      </c>
      <c r="C1742" s="8" t="s">
        <v>65</v>
      </c>
      <c r="D1742" s="18" t="s">
        <v>2564</v>
      </c>
      <c r="E1742" s="16">
        <v>72.0</v>
      </c>
      <c r="F1742" s="8" t="s">
        <v>231</v>
      </c>
      <c r="G1742" s="8" t="s">
        <v>396</v>
      </c>
      <c r="H1742" s="8" t="s">
        <v>141</v>
      </c>
      <c r="I1742" s="18" t="s">
        <v>2562</v>
      </c>
      <c r="J1742" s="16">
        <v>74.0</v>
      </c>
      <c r="K1742" s="8" t="s">
        <v>771</v>
      </c>
      <c r="L1742" s="8" t="s">
        <v>5676</v>
      </c>
      <c r="M1742" s="18" t="s">
        <v>2605</v>
      </c>
      <c r="N1742" s="16">
        <v>77.0</v>
      </c>
      <c r="O1742" s="8" t="s">
        <v>5677</v>
      </c>
      <c r="P1742" s="8" t="s">
        <v>16</v>
      </c>
      <c r="Q1742" s="14" t="s">
        <v>338</v>
      </c>
      <c r="R1742" s="8" t="s">
        <v>2584</v>
      </c>
      <c r="S1742" s="14" t="s">
        <v>2590</v>
      </c>
    </row>
    <row r="1743">
      <c r="A1743" s="8" t="s">
        <v>1197</v>
      </c>
      <c r="B1743" s="8" t="s">
        <v>1196</v>
      </c>
      <c r="C1743" s="8" t="s">
        <v>59</v>
      </c>
      <c r="D1743" s="18" t="s">
        <v>2581</v>
      </c>
      <c r="E1743" s="16">
        <v>66.0</v>
      </c>
      <c r="F1743" s="8" t="s">
        <v>231</v>
      </c>
      <c r="G1743" s="8" t="s">
        <v>372</v>
      </c>
      <c r="H1743" s="8" t="s">
        <v>16</v>
      </c>
      <c r="I1743" s="18" t="s">
        <v>2564</v>
      </c>
      <c r="J1743" s="16">
        <v>71.0</v>
      </c>
      <c r="K1743" s="8" t="s">
        <v>771</v>
      </c>
      <c r="L1743" s="8" t="s">
        <v>5678</v>
      </c>
      <c r="M1743" s="18" t="s">
        <v>2592</v>
      </c>
      <c r="N1743" s="16">
        <v>69.0</v>
      </c>
      <c r="O1743" s="8" t="s">
        <v>5679</v>
      </c>
      <c r="P1743" s="8" t="s">
        <v>46</v>
      </c>
      <c r="Q1743" s="14" t="s">
        <v>2033</v>
      </c>
      <c r="R1743" s="8" t="s">
        <v>2566</v>
      </c>
      <c r="S1743" s="14" t="s">
        <v>2597</v>
      </c>
    </row>
    <row r="1744">
      <c r="A1744" s="8" t="s">
        <v>742</v>
      </c>
      <c r="B1744" s="8" t="s">
        <v>741</v>
      </c>
      <c r="C1744" s="8" t="s">
        <v>93</v>
      </c>
      <c r="D1744" s="18" t="s">
        <v>2554</v>
      </c>
      <c r="E1744" s="16">
        <v>70.0</v>
      </c>
      <c r="F1744" s="8" t="s">
        <v>231</v>
      </c>
      <c r="G1744" s="8" t="s">
        <v>230</v>
      </c>
      <c r="H1744" s="8" t="s">
        <v>141</v>
      </c>
      <c r="I1744" s="18" t="s">
        <v>2582</v>
      </c>
      <c r="J1744" s="16">
        <v>55.0</v>
      </c>
      <c r="K1744" s="8" t="s">
        <v>771</v>
      </c>
      <c r="L1744" s="8" t="s">
        <v>1437</v>
      </c>
      <c r="M1744" s="18" t="s">
        <v>2552</v>
      </c>
      <c r="N1744" s="16">
        <v>75.0</v>
      </c>
      <c r="O1744" s="8" t="s">
        <v>5680</v>
      </c>
      <c r="P1744" s="8" t="s">
        <v>186</v>
      </c>
      <c r="Q1744" s="14" t="s">
        <v>1070</v>
      </c>
      <c r="R1744" s="8" t="s">
        <v>2605</v>
      </c>
      <c r="S1744" s="14" t="s">
        <v>2571</v>
      </c>
    </row>
    <row r="1745">
      <c r="A1745" s="8" t="s">
        <v>3285</v>
      </c>
      <c r="B1745" s="8" t="s">
        <v>2150</v>
      </c>
      <c r="C1745" s="8" t="s">
        <v>24</v>
      </c>
      <c r="D1745" s="18" t="s">
        <v>2584</v>
      </c>
      <c r="E1745" s="16">
        <v>71.0</v>
      </c>
      <c r="F1745" s="8" t="s">
        <v>231</v>
      </c>
      <c r="G1745" s="8" t="s">
        <v>1325</v>
      </c>
      <c r="H1745" s="8" t="s">
        <v>24</v>
      </c>
      <c r="I1745" s="18" t="s">
        <v>2603</v>
      </c>
      <c r="J1745" s="16">
        <v>70.0</v>
      </c>
      <c r="K1745" s="8" t="s">
        <v>194</v>
      </c>
      <c r="L1745" s="8" t="s">
        <v>193</v>
      </c>
      <c r="M1745" s="18" t="s">
        <v>2600</v>
      </c>
      <c r="N1745" s="16">
        <v>79.0</v>
      </c>
      <c r="O1745" s="8" t="s">
        <v>5681</v>
      </c>
      <c r="P1745" s="8" t="s">
        <v>141</v>
      </c>
      <c r="Q1745" s="14" t="s">
        <v>1070</v>
      </c>
      <c r="R1745" s="8" t="s">
        <v>2562</v>
      </c>
      <c r="S1745" s="14" t="s">
        <v>2591</v>
      </c>
    </row>
    <row r="1746">
      <c r="A1746" s="8" t="s">
        <v>231</v>
      </c>
      <c r="B1746" s="8" t="s">
        <v>3548</v>
      </c>
      <c r="C1746" s="8" t="s">
        <v>149</v>
      </c>
      <c r="D1746" s="18" t="s">
        <v>2605</v>
      </c>
      <c r="E1746" s="16">
        <v>65.0</v>
      </c>
      <c r="F1746" s="8" t="s">
        <v>231</v>
      </c>
      <c r="G1746" s="8" t="s">
        <v>3247</v>
      </c>
      <c r="H1746" s="8" t="s">
        <v>122</v>
      </c>
      <c r="I1746" s="18" t="s">
        <v>2595</v>
      </c>
      <c r="J1746" s="16">
        <v>79.0</v>
      </c>
      <c r="K1746" s="8" t="s">
        <v>194</v>
      </c>
      <c r="L1746" s="8" t="s">
        <v>3018</v>
      </c>
      <c r="M1746" s="18" t="s">
        <v>2575</v>
      </c>
      <c r="N1746" s="16">
        <v>81.0</v>
      </c>
      <c r="O1746" s="8" t="s">
        <v>5682</v>
      </c>
      <c r="P1746" s="8" t="s">
        <v>16</v>
      </c>
      <c r="Q1746" s="14" t="s">
        <v>1679</v>
      </c>
      <c r="R1746" s="8" t="s">
        <v>2585</v>
      </c>
      <c r="S1746" s="14" t="s">
        <v>2622</v>
      </c>
    </row>
    <row r="1747">
      <c r="A1747" s="8" t="s">
        <v>231</v>
      </c>
      <c r="B1747" s="8" t="s">
        <v>2681</v>
      </c>
      <c r="C1747" s="8" t="s">
        <v>186</v>
      </c>
      <c r="D1747" s="18" t="s">
        <v>2585</v>
      </c>
      <c r="E1747" s="16">
        <v>66.0</v>
      </c>
      <c r="F1747" s="8" t="s">
        <v>231</v>
      </c>
      <c r="G1747" s="8" t="s">
        <v>2681</v>
      </c>
      <c r="H1747" s="8" t="s">
        <v>186</v>
      </c>
      <c r="I1747" s="18" t="s">
        <v>2554</v>
      </c>
      <c r="J1747" s="16">
        <v>69.0</v>
      </c>
      <c r="K1747" s="8" t="s">
        <v>194</v>
      </c>
      <c r="L1747" s="8" t="s">
        <v>2915</v>
      </c>
      <c r="M1747" s="18" t="s">
        <v>2183</v>
      </c>
      <c r="N1747" s="16">
        <v>78.0</v>
      </c>
      <c r="O1747" s="8" t="s">
        <v>5683</v>
      </c>
      <c r="P1747" s="8" t="s">
        <v>93</v>
      </c>
      <c r="Q1747" s="14" t="s">
        <v>2296</v>
      </c>
      <c r="R1747" s="18" t="s">
        <v>2556</v>
      </c>
      <c r="S1747" s="14" t="s">
        <v>2557</v>
      </c>
    </row>
    <row r="1748">
      <c r="A1748" s="8" t="s">
        <v>231</v>
      </c>
      <c r="B1748" s="8" t="s">
        <v>1097</v>
      </c>
      <c r="C1748" s="8" t="s">
        <v>24</v>
      </c>
      <c r="D1748" s="18" t="s">
        <v>2575</v>
      </c>
      <c r="E1748" s="16">
        <v>76.0</v>
      </c>
      <c r="F1748" s="8" t="s">
        <v>231</v>
      </c>
      <c r="G1748" s="8" t="s">
        <v>674</v>
      </c>
      <c r="H1748" s="8" t="s">
        <v>186</v>
      </c>
      <c r="I1748" s="18" t="s">
        <v>2572</v>
      </c>
      <c r="J1748" s="16">
        <v>62.0</v>
      </c>
      <c r="K1748" s="8" t="s">
        <v>194</v>
      </c>
      <c r="L1748" s="8" t="s">
        <v>1000</v>
      </c>
      <c r="M1748" s="18" t="s">
        <v>2575</v>
      </c>
      <c r="N1748" s="16">
        <v>76.0</v>
      </c>
      <c r="O1748" s="8" t="s">
        <v>5684</v>
      </c>
      <c r="P1748" s="8" t="s">
        <v>24</v>
      </c>
      <c r="Q1748" s="14" t="s">
        <v>837</v>
      </c>
      <c r="R1748" s="8" t="s">
        <v>2581</v>
      </c>
      <c r="S1748" s="14" t="s">
        <v>2565</v>
      </c>
    </row>
    <row r="1749">
      <c r="A1749" s="8" t="s">
        <v>231</v>
      </c>
      <c r="B1749" s="8" t="s">
        <v>674</v>
      </c>
      <c r="C1749" s="8" t="s">
        <v>186</v>
      </c>
      <c r="D1749" s="18" t="s">
        <v>2572</v>
      </c>
      <c r="E1749" s="16">
        <v>62.0</v>
      </c>
      <c r="F1749" s="8" t="s">
        <v>231</v>
      </c>
      <c r="G1749" s="8" t="s">
        <v>5641</v>
      </c>
      <c r="H1749" s="8" t="s">
        <v>24</v>
      </c>
      <c r="I1749" s="18" t="s">
        <v>2587</v>
      </c>
      <c r="J1749" s="16">
        <v>76.0</v>
      </c>
      <c r="K1749" s="8" t="s">
        <v>194</v>
      </c>
      <c r="L1749" s="8" t="s">
        <v>364</v>
      </c>
      <c r="M1749" s="18" t="s">
        <v>2587</v>
      </c>
      <c r="N1749" s="16">
        <v>73.0</v>
      </c>
      <c r="O1749" s="8" t="s">
        <v>5685</v>
      </c>
      <c r="P1749" s="8" t="s">
        <v>192</v>
      </c>
      <c r="Q1749" s="14" t="s">
        <v>1679</v>
      </c>
      <c r="R1749" s="8" t="s">
        <v>2593</v>
      </c>
      <c r="S1749" s="14" t="s">
        <v>2609</v>
      </c>
    </row>
    <row r="1750">
      <c r="A1750" s="8" t="s">
        <v>231</v>
      </c>
      <c r="B1750" s="8" t="s">
        <v>894</v>
      </c>
      <c r="C1750" s="8" t="s">
        <v>141</v>
      </c>
      <c r="D1750" s="18" t="s">
        <v>2552</v>
      </c>
      <c r="E1750" s="16">
        <v>60.0</v>
      </c>
      <c r="F1750" s="8" t="s">
        <v>231</v>
      </c>
      <c r="G1750" s="8" t="s">
        <v>1223</v>
      </c>
      <c r="H1750" s="8" t="s">
        <v>186</v>
      </c>
      <c r="I1750" s="18" t="s">
        <v>2605</v>
      </c>
      <c r="J1750" s="16">
        <v>75.0</v>
      </c>
      <c r="K1750" s="8" t="s">
        <v>194</v>
      </c>
      <c r="L1750" s="8" t="s">
        <v>2976</v>
      </c>
      <c r="M1750" s="18" t="s">
        <v>2566</v>
      </c>
      <c r="N1750" s="16">
        <v>75.0</v>
      </c>
      <c r="O1750" s="8" t="s">
        <v>5686</v>
      </c>
      <c r="P1750" s="8" t="s">
        <v>141</v>
      </c>
      <c r="Q1750" s="14" t="s">
        <v>189</v>
      </c>
      <c r="R1750" s="8" t="s">
        <v>2582</v>
      </c>
      <c r="S1750" s="14" t="s">
        <v>2626</v>
      </c>
    </row>
    <row r="1751">
      <c r="A1751" s="8" t="s">
        <v>231</v>
      </c>
      <c r="B1751" s="8" t="s">
        <v>3247</v>
      </c>
      <c r="C1751" s="8" t="s">
        <v>122</v>
      </c>
      <c r="D1751" s="18" t="s">
        <v>2595</v>
      </c>
      <c r="E1751" s="16">
        <v>79.0</v>
      </c>
      <c r="F1751" s="8" t="s">
        <v>231</v>
      </c>
      <c r="G1751" s="8" t="s">
        <v>1327</v>
      </c>
      <c r="H1751" s="8" t="s">
        <v>59</v>
      </c>
      <c r="I1751" s="18" t="s">
        <v>2610</v>
      </c>
      <c r="J1751" s="16">
        <v>67.0</v>
      </c>
      <c r="K1751" s="8" t="s">
        <v>194</v>
      </c>
      <c r="L1751" s="8" t="s">
        <v>308</v>
      </c>
      <c r="M1751" s="18" t="s">
        <v>2595</v>
      </c>
      <c r="N1751" s="16">
        <v>82.0</v>
      </c>
      <c r="O1751" s="8" t="s">
        <v>5687</v>
      </c>
      <c r="P1751" s="8" t="s">
        <v>24</v>
      </c>
      <c r="Q1751" s="14" t="s">
        <v>1070</v>
      </c>
      <c r="R1751" s="8" t="s">
        <v>2603</v>
      </c>
      <c r="S1751" s="14" t="s">
        <v>2601</v>
      </c>
    </row>
    <row r="1752">
      <c r="A1752" s="8" t="s">
        <v>231</v>
      </c>
      <c r="B1752" s="8" t="s">
        <v>3255</v>
      </c>
      <c r="C1752" s="8" t="s">
        <v>12</v>
      </c>
      <c r="D1752" s="18" t="s">
        <v>2560</v>
      </c>
      <c r="E1752" s="16">
        <v>79.0</v>
      </c>
      <c r="F1752" s="8" t="s">
        <v>231</v>
      </c>
      <c r="G1752" s="8" t="s">
        <v>894</v>
      </c>
      <c r="H1752" s="8" t="s">
        <v>141</v>
      </c>
      <c r="I1752" s="18" t="s">
        <v>2552</v>
      </c>
      <c r="J1752" s="16">
        <v>62.0</v>
      </c>
      <c r="K1752" s="8" t="s">
        <v>194</v>
      </c>
      <c r="L1752" s="8" t="s">
        <v>126</v>
      </c>
      <c r="M1752" s="18" t="s">
        <v>2589</v>
      </c>
      <c r="N1752" s="16">
        <v>88.0</v>
      </c>
      <c r="O1752" s="8" t="s">
        <v>5688</v>
      </c>
      <c r="P1752" s="8" t="s">
        <v>53</v>
      </c>
      <c r="Q1752" s="14" t="s">
        <v>1070</v>
      </c>
      <c r="R1752" s="8" t="s">
        <v>2610</v>
      </c>
      <c r="S1752" s="14" t="s">
        <v>2565</v>
      </c>
    </row>
    <row r="1753">
      <c r="A1753" s="8" t="s">
        <v>231</v>
      </c>
      <c r="B1753" s="8" t="s">
        <v>528</v>
      </c>
      <c r="C1753" s="8" t="s">
        <v>138</v>
      </c>
      <c r="D1753" s="18" t="s">
        <v>2615</v>
      </c>
      <c r="E1753" s="16">
        <v>62.0</v>
      </c>
      <c r="F1753" s="8" t="s">
        <v>231</v>
      </c>
      <c r="G1753" s="8" t="s">
        <v>3379</v>
      </c>
      <c r="H1753" s="8" t="s">
        <v>12</v>
      </c>
      <c r="I1753" s="18" t="s">
        <v>2562</v>
      </c>
      <c r="J1753" s="16">
        <v>79.0</v>
      </c>
      <c r="K1753" s="8" t="s">
        <v>194</v>
      </c>
      <c r="L1753" s="8" t="s">
        <v>193</v>
      </c>
      <c r="M1753" s="18" t="s">
        <v>2600</v>
      </c>
      <c r="N1753" s="16">
        <v>85.0</v>
      </c>
      <c r="O1753" s="8" t="s">
        <v>5689</v>
      </c>
      <c r="P1753" s="8" t="s">
        <v>215</v>
      </c>
      <c r="Q1753" s="14" t="s">
        <v>459</v>
      </c>
      <c r="R1753" s="8" t="s">
        <v>2605</v>
      </c>
      <c r="S1753" s="14" t="s">
        <v>2579</v>
      </c>
    </row>
    <row r="1754">
      <c r="A1754" s="8" t="s">
        <v>231</v>
      </c>
      <c r="B1754" s="8" t="s">
        <v>1223</v>
      </c>
      <c r="C1754" s="8" t="s">
        <v>186</v>
      </c>
      <c r="D1754" s="18" t="s">
        <v>2605</v>
      </c>
      <c r="E1754" s="16">
        <v>64.0</v>
      </c>
      <c r="F1754" s="8" t="s">
        <v>231</v>
      </c>
      <c r="G1754" s="8" t="s">
        <v>1097</v>
      </c>
      <c r="H1754" s="8" t="s">
        <v>24</v>
      </c>
      <c r="I1754" s="18" t="s">
        <v>2575</v>
      </c>
      <c r="J1754" s="16">
        <v>75.0</v>
      </c>
      <c r="K1754" s="8" t="s">
        <v>628</v>
      </c>
      <c r="L1754" s="8" t="s">
        <v>1282</v>
      </c>
      <c r="M1754" s="18" t="s">
        <v>2645</v>
      </c>
      <c r="N1754" s="16">
        <v>72.0</v>
      </c>
      <c r="O1754" s="8" t="s">
        <v>5690</v>
      </c>
      <c r="P1754" s="8" t="s">
        <v>93</v>
      </c>
      <c r="Q1754" s="14" t="s">
        <v>837</v>
      </c>
      <c r="R1754" s="8" t="s">
        <v>2593</v>
      </c>
      <c r="S1754" s="14" t="s">
        <v>2611</v>
      </c>
    </row>
    <row r="1755">
      <c r="A1755" s="8" t="s">
        <v>231</v>
      </c>
      <c r="B1755" s="8" t="s">
        <v>3737</v>
      </c>
      <c r="C1755" s="8" t="s">
        <v>141</v>
      </c>
      <c r="D1755" s="18" t="s">
        <v>2560</v>
      </c>
      <c r="E1755" s="16">
        <v>83.0</v>
      </c>
      <c r="F1755" s="8" t="s">
        <v>231</v>
      </c>
      <c r="G1755" s="8" t="s">
        <v>78</v>
      </c>
      <c r="H1755" s="8" t="s">
        <v>65</v>
      </c>
      <c r="I1755" s="18" t="s">
        <v>2598</v>
      </c>
      <c r="J1755" s="16">
        <v>70.0</v>
      </c>
      <c r="K1755" s="8" t="s">
        <v>628</v>
      </c>
      <c r="L1755" s="8" t="s">
        <v>627</v>
      </c>
      <c r="M1755" s="18" t="s">
        <v>2564</v>
      </c>
      <c r="N1755" s="16">
        <v>73.0</v>
      </c>
      <c r="O1755" s="8" t="s">
        <v>5691</v>
      </c>
      <c r="P1755" s="8" t="s">
        <v>141</v>
      </c>
      <c r="Q1755" s="14" t="s">
        <v>1679</v>
      </c>
      <c r="R1755" s="8" t="s">
        <v>2620</v>
      </c>
      <c r="S1755" s="14" t="s">
        <v>2597</v>
      </c>
    </row>
    <row r="1756">
      <c r="A1756" s="8" t="s">
        <v>231</v>
      </c>
      <c r="B1756" s="8" t="s">
        <v>405</v>
      </c>
      <c r="C1756" s="8" t="s">
        <v>93</v>
      </c>
      <c r="D1756" s="18" t="s">
        <v>2584</v>
      </c>
      <c r="E1756" s="16">
        <v>62.0</v>
      </c>
      <c r="F1756" s="8" t="s">
        <v>231</v>
      </c>
      <c r="G1756" s="8" t="s">
        <v>78</v>
      </c>
      <c r="H1756" s="8" t="s">
        <v>138</v>
      </c>
      <c r="I1756" s="18" t="s">
        <v>2581</v>
      </c>
      <c r="J1756" s="16">
        <v>68.0</v>
      </c>
      <c r="K1756" s="8" t="s">
        <v>628</v>
      </c>
      <c r="L1756" s="8" t="s">
        <v>3016</v>
      </c>
      <c r="M1756" s="18" t="s">
        <v>2582</v>
      </c>
      <c r="N1756" s="16">
        <v>79.0</v>
      </c>
      <c r="O1756" s="8" t="s">
        <v>5692</v>
      </c>
      <c r="P1756" s="8" t="s">
        <v>59</v>
      </c>
      <c r="Q1756" s="14" t="s">
        <v>459</v>
      </c>
      <c r="R1756" s="8" t="s">
        <v>2564</v>
      </c>
      <c r="S1756" s="14" t="s">
        <v>2586</v>
      </c>
    </row>
    <row r="1757">
      <c r="A1757" s="8" t="s">
        <v>231</v>
      </c>
      <c r="B1757" s="8" t="s">
        <v>396</v>
      </c>
      <c r="C1757" s="8" t="s">
        <v>141</v>
      </c>
      <c r="D1757" s="18" t="s">
        <v>2562</v>
      </c>
      <c r="E1757" s="16">
        <v>73.0</v>
      </c>
      <c r="F1757" s="8" t="s">
        <v>231</v>
      </c>
      <c r="G1757" s="8" t="s">
        <v>2992</v>
      </c>
      <c r="H1757" s="8" t="s">
        <v>53</v>
      </c>
      <c r="I1757" s="18" t="s">
        <v>2558</v>
      </c>
      <c r="J1757" s="16">
        <v>84.0</v>
      </c>
      <c r="K1757" s="8" t="s">
        <v>1522</v>
      </c>
      <c r="L1757" s="8" t="s">
        <v>1237</v>
      </c>
      <c r="M1757" s="18" t="s">
        <v>2620</v>
      </c>
      <c r="N1757" s="16">
        <v>74.0</v>
      </c>
      <c r="O1757" s="8" t="s">
        <v>5693</v>
      </c>
      <c r="P1757" s="8" t="s">
        <v>186</v>
      </c>
      <c r="Q1757" s="14" t="s">
        <v>1679</v>
      </c>
      <c r="R1757" s="8" t="s">
        <v>2621</v>
      </c>
      <c r="S1757" s="14" t="s">
        <v>2570</v>
      </c>
    </row>
    <row r="1758">
      <c r="A1758" s="8" t="s">
        <v>231</v>
      </c>
      <c r="B1758" s="8" t="s">
        <v>3379</v>
      </c>
      <c r="C1758" s="8" t="s">
        <v>12</v>
      </c>
      <c r="D1758" s="18" t="s">
        <v>2562</v>
      </c>
      <c r="E1758" s="16">
        <v>81.0</v>
      </c>
      <c r="F1758" s="8" t="s">
        <v>1017</v>
      </c>
      <c r="G1758" s="8" t="s">
        <v>1016</v>
      </c>
      <c r="H1758" s="8" t="s">
        <v>93</v>
      </c>
      <c r="I1758" s="18" t="s">
        <v>2593</v>
      </c>
      <c r="J1758" s="16">
        <v>79.0</v>
      </c>
      <c r="K1758" s="8" t="s">
        <v>401</v>
      </c>
      <c r="L1758" s="8" t="s">
        <v>400</v>
      </c>
      <c r="M1758" s="18" t="s">
        <v>2582</v>
      </c>
      <c r="N1758" s="16">
        <v>81.0</v>
      </c>
      <c r="O1758" s="8" t="s">
        <v>5694</v>
      </c>
      <c r="P1758" s="8" t="s">
        <v>122</v>
      </c>
      <c r="Q1758" s="14" t="s">
        <v>2033</v>
      </c>
      <c r="R1758" s="8" t="s">
        <v>2610</v>
      </c>
      <c r="S1758" s="14" t="s">
        <v>2609</v>
      </c>
    </row>
    <row r="1759">
      <c r="A1759" s="8" t="s">
        <v>231</v>
      </c>
      <c r="B1759" s="8" t="s">
        <v>5641</v>
      </c>
      <c r="C1759" s="8" t="s">
        <v>24</v>
      </c>
      <c r="D1759" s="18" t="s">
        <v>2587</v>
      </c>
      <c r="E1759" s="16">
        <v>69.0</v>
      </c>
      <c r="F1759" s="8" t="s">
        <v>1784</v>
      </c>
      <c r="G1759" s="8" t="s">
        <v>3052</v>
      </c>
      <c r="H1759" s="8" t="s">
        <v>75</v>
      </c>
      <c r="I1759" s="18" t="s">
        <v>2575</v>
      </c>
      <c r="J1759" s="16">
        <v>71.0</v>
      </c>
      <c r="K1759" s="8" t="s">
        <v>1298</v>
      </c>
      <c r="L1759" s="8" t="s">
        <v>306</v>
      </c>
      <c r="M1759" s="18" t="s">
        <v>2582</v>
      </c>
      <c r="N1759" s="16">
        <v>62.0</v>
      </c>
      <c r="O1759" s="8" t="s">
        <v>5695</v>
      </c>
      <c r="P1759" s="8" t="s">
        <v>65</v>
      </c>
      <c r="Q1759" s="14" t="s">
        <v>2033</v>
      </c>
      <c r="R1759" s="8" t="s">
        <v>2614</v>
      </c>
      <c r="S1759" s="14" t="s">
        <v>2591</v>
      </c>
    </row>
    <row r="1760">
      <c r="A1760" s="8" t="s">
        <v>231</v>
      </c>
      <c r="B1760" s="8" t="s">
        <v>2992</v>
      </c>
      <c r="C1760" s="8" t="s">
        <v>59</v>
      </c>
      <c r="D1760" s="18" t="s">
        <v>2558</v>
      </c>
      <c r="E1760" s="16">
        <v>81.0</v>
      </c>
      <c r="F1760" s="8" t="s">
        <v>476</v>
      </c>
      <c r="G1760" s="8" t="s">
        <v>475</v>
      </c>
      <c r="H1760" s="8" t="s">
        <v>53</v>
      </c>
      <c r="I1760" s="18" t="s">
        <v>2564</v>
      </c>
      <c r="J1760" s="16">
        <v>84.0</v>
      </c>
      <c r="K1760" s="8" t="s">
        <v>1860</v>
      </c>
      <c r="L1760" s="8" t="s">
        <v>1859</v>
      </c>
      <c r="M1760" s="18" t="s">
        <v>2562</v>
      </c>
      <c r="N1760" s="16">
        <v>66.0</v>
      </c>
      <c r="O1760" s="8" t="s">
        <v>5696</v>
      </c>
      <c r="P1760" s="8" t="s">
        <v>24</v>
      </c>
      <c r="Q1760" s="14" t="s">
        <v>2459</v>
      </c>
      <c r="R1760" s="8" t="s">
        <v>2620</v>
      </c>
      <c r="S1760" s="14" t="s">
        <v>2553</v>
      </c>
    </row>
    <row r="1761">
      <c r="A1761" s="8" t="s">
        <v>231</v>
      </c>
      <c r="B1761" s="8" t="s">
        <v>230</v>
      </c>
      <c r="C1761" s="8" t="s">
        <v>141</v>
      </c>
      <c r="D1761" s="18" t="s">
        <v>2582</v>
      </c>
      <c r="E1761" s="16">
        <v>54.0</v>
      </c>
      <c r="F1761" s="8" t="s">
        <v>3330</v>
      </c>
      <c r="G1761" s="8" t="s">
        <v>3329</v>
      </c>
      <c r="H1761" s="8" t="s">
        <v>122</v>
      </c>
      <c r="I1761" s="18" t="s">
        <v>2615</v>
      </c>
      <c r="J1761" s="16">
        <v>70.0</v>
      </c>
      <c r="K1761" s="8" t="s">
        <v>1368</v>
      </c>
      <c r="L1761" s="8" t="s">
        <v>1367</v>
      </c>
      <c r="M1761" s="18" t="s">
        <v>2592</v>
      </c>
      <c r="N1761" s="16">
        <v>72.0</v>
      </c>
      <c r="O1761" s="8" t="s">
        <v>5697</v>
      </c>
      <c r="P1761" s="8" t="s">
        <v>59</v>
      </c>
      <c r="Q1761" s="14" t="s">
        <v>1352</v>
      </c>
      <c r="R1761" s="8" t="s">
        <v>2592</v>
      </c>
      <c r="S1761" s="14" t="s">
        <v>2565</v>
      </c>
    </row>
    <row r="1762">
      <c r="A1762" s="8" t="s">
        <v>231</v>
      </c>
      <c r="B1762" s="8" t="s">
        <v>1325</v>
      </c>
      <c r="C1762" s="8" t="s">
        <v>24</v>
      </c>
      <c r="D1762" s="18" t="s">
        <v>2603</v>
      </c>
      <c r="E1762" s="16">
        <v>70.0</v>
      </c>
      <c r="F1762" s="8" t="s">
        <v>2239</v>
      </c>
      <c r="G1762" s="8" t="s">
        <v>628</v>
      </c>
      <c r="H1762" s="8" t="s">
        <v>24</v>
      </c>
      <c r="I1762" s="18" t="s">
        <v>2582</v>
      </c>
      <c r="J1762" s="16">
        <v>75.0</v>
      </c>
      <c r="K1762" s="8" t="s">
        <v>1384</v>
      </c>
      <c r="L1762" s="8" t="s">
        <v>106</v>
      </c>
      <c r="M1762" s="18" t="s">
        <v>2556</v>
      </c>
      <c r="N1762" s="16">
        <v>68.0</v>
      </c>
      <c r="O1762" s="8" t="s">
        <v>5698</v>
      </c>
      <c r="P1762" s="8" t="s">
        <v>70</v>
      </c>
      <c r="Q1762" s="14" t="s">
        <v>2296</v>
      </c>
      <c r="R1762" s="8" t="s">
        <v>2567</v>
      </c>
      <c r="S1762" s="14" t="s">
        <v>2590</v>
      </c>
    </row>
    <row r="1763">
      <c r="A1763" s="8" t="s">
        <v>231</v>
      </c>
      <c r="B1763" s="8" t="s">
        <v>1327</v>
      </c>
      <c r="C1763" s="8" t="s">
        <v>186</v>
      </c>
      <c r="D1763" s="18" t="s">
        <v>2610</v>
      </c>
      <c r="E1763" s="16">
        <v>65.0</v>
      </c>
      <c r="F1763" s="8" t="s">
        <v>1621</v>
      </c>
      <c r="G1763" s="8" t="s">
        <v>106</v>
      </c>
      <c r="H1763" s="8" t="s">
        <v>65</v>
      </c>
      <c r="I1763" s="18" t="s">
        <v>2614</v>
      </c>
      <c r="J1763" s="16">
        <v>67.0</v>
      </c>
      <c r="K1763" s="8" t="s">
        <v>1746</v>
      </c>
      <c r="L1763" s="8" t="s">
        <v>500</v>
      </c>
      <c r="M1763" s="18" t="s">
        <v>2593</v>
      </c>
      <c r="N1763" s="16">
        <v>67.0</v>
      </c>
      <c r="O1763" s="18" t="s">
        <v>5699</v>
      </c>
      <c r="P1763" s="8" t="s">
        <v>24</v>
      </c>
      <c r="Q1763" s="14" t="s">
        <v>1679</v>
      </c>
      <c r="R1763" s="8" t="s">
        <v>2592</v>
      </c>
      <c r="S1763" s="14" t="s">
        <v>2611</v>
      </c>
    </row>
    <row r="1764">
      <c r="A1764" s="8" t="s">
        <v>231</v>
      </c>
      <c r="B1764" s="8" t="s">
        <v>78</v>
      </c>
      <c r="C1764" s="8" t="s">
        <v>65</v>
      </c>
      <c r="D1764" s="18" t="s">
        <v>2598</v>
      </c>
      <c r="E1764" s="16">
        <v>69.0</v>
      </c>
      <c r="F1764" s="8" t="s">
        <v>1621</v>
      </c>
      <c r="G1764" s="8" t="s">
        <v>1034</v>
      </c>
      <c r="H1764" s="8" t="s">
        <v>215</v>
      </c>
      <c r="I1764" s="18" t="s">
        <v>2592</v>
      </c>
      <c r="J1764" s="16">
        <v>75.0</v>
      </c>
      <c r="K1764" s="8" t="s">
        <v>2124</v>
      </c>
      <c r="L1764" s="8" t="s">
        <v>3086</v>
      </c>
      <c r="M1764" s="18" t="s">
        <v>2582</v>
      </c>
      <c r="N1764" s="16">
        <v>74.0</v>
      </c>
      <c r="O1764" s="8" t="s">
        <v>5700</v>
      </c>
      <c r="P1764" s="8" t="s">
        <v>192</v>
      </c>
      <c r="Q1764" s="14" t="s">
        <v>1352</v>
      </c>
      <c r="R1764" s="8" t="s">
        <v>2600</v>
      </c>
      <c r="S1764" s="14" t="s">
        <v>2565</v>
      </c>
    </row>
    <row r="1765">
      <c r="A1765" s="8" t="s">
        <v>231</v>
      </c>
      <c r="B1765" s="8" t="s">
        <v>78</v>
      </c>
      <c r="C1765" s="8" t="s">
        <v>215</v>
      </c>
      <c r="D1765" s="18" t="s">
        <v>2183</v>
      </c>
      <c r="E1765" s="16">
        <v>68.0</v>
      </c>
      <c r="F1765" s="8" t="s">
        <v>2972</v>
      </c>
      <c r="G1765" s="8" t="s">
        <v>2971</v>
      </c>
      <c r="H1765" s="8" t="s">
        <v>215</v>
      </c>
      <c r="I1765" s="18" t="s">
        <v>2585</v>
      </c>
      <c r="J1765" s="16">
        <v>62.0</v>
      </c>
      <c r="K1765" s="8" t="s">
        <v>2124</v>
      </c>
      <c r="L1765" s="8" t="s">
        <v>2081</v>
      </c>
      <c r="M1765" s="18" t="s">
        <v>2589</v>
      </c>
      <c r="N1765" s="16">
        <v>78.0</v>
      </c>
      <c r="O1765" s="8" t="s">
        <v>5701</v>
      </c>
      <c r="P1765" s="8" t="s">
        <v>132</v>
      </c>
      <c r="Q1765" s="14" t="s">
        <v>631</v>
      </c>
      <c r="R1765" s="8" t="s">
        <v>2554</v>
      </c>
      <c r="S1765" s="14" t="s">
        <v>2555</v>
      </c>
    </row>
    <row r="1766">
      <c r="A1766" s="8" t="s">
        <v>1017</v>
      </c>
      <c r="B1766" s="8" t="s">
        <v>1016</v>
      </c>
      <c r="C1766" s="8" t="s">
        <v>93</v>
      </c>
      <c r="D1766" s="18" t="s">
        <v>2587</v>
      </c>
      <c r="E1766" s="16">
        <v>74.0</v>
      </c>
      <c r="F1766" s="8" t="s">
        <v>3197</v>
      </c>
      <c r="G1766" s="8" t="s">
        <v>3196</v>
      </c>
      <c r="H1766" s="8" t="s">
        <v>93</v>
      </c>
      <c r="I1766" s="18" t="s">
        <v>2614</v>
      </c>
      <c r="J1766" s="16">
        <v>76.0</v>
      </c>
      <c r="K1766" s="8" t="s">
        <v>48</v>
      </c>
      <c r="L1766" s="8" t="s">
        <v>47</v>
      </c>
      <c r="M1766" s="18" t="s">
        <v>2572</v>
      </c>
      <c r="N1766" s="16">
        <v>82.0</v>
      </c>
      <c r="O1766" s="8" t="s">
        <v>5702</v>
      </c>
      <c r="P1766" s="8" t="s">
        <v>65</v>
      </c>
      <c r="Q1766" s="14" t="s">
        <v>1070</v>
      </c>
      <c r="R1766" s="8" t="s">
        <v>2615</v>
      </c>
      <c r="S1766" s="14" t="s">
        <v>2623</v>
      </c>
    </row>
    <row r="1767">
      <c r="A1767" s="8" t="s">
        <v>476</v>
      </c>
      <c r="B1767" s="8" t="s">
        <v>475</v>
      </c>
      <c r="C1767" s="8" t="s">
        <v>59</v>
      </c>
      <c r="D1767" s="18" t="s">
        <v>2564</v>
      </c>
      <c r="E1767" s="16">
        <v>76.0</v>
      </c>
      <c r="F1767" s="8" t="s">
        <v>3197</v>
      </c>
      <c r="G1767" s="8" t="s">
        <v>3259</v>
      </c>
      <c r="H1767" s="8" t="s">
        <v>24</v>
      </c>
      <c r="I1767" s="18" t="s">
        <v>2603</v>
      </c>
      <c r="J1767" s="16">
        <v>39.0</v>
      </c>
      <c r="K1767" s="8" t="s">
        <v>690</v>
      </c>
      <c r="L1767" s="8" t="s">
        <v>3081</v>
      </c>
      <c r="M1767" s="18" t="s">
        <v>2621</v>
      </c>
      <c r="N1767" s="16">
        <v>67.0</v>
      </c>
      <c r="O1767" s="8" t="s">
        <v>5703</v>
      </c>
      <c r="P1767" s="8" t="s">
        <v>59</v>
      </c>
      <c r="Q1767" s="14" t="s">
        <v>1679</v>
      </c>
      <c r="R1767" s="8" t="s">
        <v>2593</v>
      </c>
      <c r="S1767" s="14" t="s">
        <v>2622</v>
      </c>
    </row>
    <row r="1768">
      <c r="A1768" s="8" t="s">
        <v>3900</v>
      </c>
      <c r="B1768" s="8" t="s">
        <v>3899</v>
      </c>
      <c r="C1768" s="8" t="s">
        <v>261</v>
      </c>
      <c r="D1768" s="18" t="s">
        <v>2566</v>
      </c>
      <c r="E1768" s="16">
        <v>76.0</v>
      </c>
      <c r="F1768" s="18" t="s">
        <v>1845</v>
      </c>
      <c r="G1768" s="8" t="s">
        <v>1200</v>
      </c>
      <c r="H1768" s="8" t="s">
        <v>24</v>
      </c>
      <c r="I1768" s="18" t="s">
        <v>2592</v>
      </c>
      <c r="J1768" s="16">
        <v>82.0</v>
      </c>
      <c r="K1768" s="8" t="s">
        <v>690</v>
      </c>
      <c r="L1768" s="8" t="s">
        <v>1155</v>
      </c>
      <c r="M1768" s="18" t="s">
        <v>2600</v>
      </c>
      <c r="N1768" s="16">
        <v>75.0</v>
      </c>
      <c r="O1768" s="8" t="s">
        <v>5704</v>
      </c>
      <c r="P1768" s="8" t="s">
        <v>65</v>
      </c>
      <c r="Q1768" s="14" t="s">
        <v>2296</v>
      </c>
      <c r="R1768" s="8" t="s">
        <v>2552</v>
      </c>
      <c r="S1768" s="14" t="s">
        <v>2583</v>
      </c>
    </row>
    <row r="1769">
      <c r="A1769" s="8" t="s">
        <v>3706</v>
      </c>
      <c r="B1769" s="8" t="s">
        <v>3705</v>
      </c>
      <c r="C1769" s="8" t="s">
        <v>132</v>
      </c>
      <c r="D1769" s="18" t="s">
        <v>2582</v>
      </c>
      <c r="E1769" s="16">
        <v>61.0</v>
      </c>
      <c r="F1769" s="8" t="s">
        <v>1530</v>
      </c>
      <c r="G1769" s="8" t="s">
        <v>1529</v>
      </c>
      <c r="H1769" s="8" t="s">
        <v>80</v>
      </c>
      <c r="I1769" s="18" t="s">
        <v>2556</v>
      </c>
      <c r="J1769" s="16">
        <v>75.0</v>
      </c>
      <c r="K1769" s="8" t="s">
        <v>668</v>
      </c>
      <c r="L1769" s="8" t="s">
        <v>2802</v>
      </c>
      <c r="M1769" s="18" t="s">
        <v>2585</v>
      </c>
      <c r="N1769" s="16">
        <v>82.0</v>
      </c>
      <c r="O1769" s="8" t="s">
        <v>5705</v>
      </c>
      <c r="P1769" s="8" t="s">
        <v>59</v>
      </c>
      <c r="Q1769" s="14" t="s">
        <v>2459</v>
      </c>
      <c r="R1769" s="8" t="s">
        <v>2577</v>
      </c>
      <c r="S1769" s="14" t="s">
        <v>2576</v>
      </c>
    </row>
    <row r="1770">
      <c r="A1770" s="8" t="s">
        <v>2239</v>
      </c>
      <c r="B1770" s="8" t="s">
        <v>628</v>
      </c>
      <c r="C1770" s="8" t="s">
        <v>24</v>
      </c>
      <c r="D1770" s="18" t="s">
        <v>2582</v>
      </c>
      <c r="E1770" s="16">
        <v>73.0</v>
      </c>
      <c r="F1770" s="8" t="s">
        <v>2826</v>
      </c>
      <c r="G1770" s="8" t="s">
        <v>2825</v>
      </c>
      <c r="H1770" s="8" t="s">
        <v>138</v>
      </c>
      <c r="I1770" s="18" t="s">
        <v>2595</v>
      </c>
      <c r="J1770" s="16">
        <v>62.0</v>
      </c>
      <c r="K1770" s="8" t="s">
        <v>668</v>
      </c>
      <c r="L1770" s="8" t="s">
        <v>667</v>
      </c>
      <c r="M1770" s="18" t="s">
        <v>2567</v>
      </c>
      <c r="N1770" s="16">
        <v>75.0</v>
      </c>
      <c r="O1770" s="8" t="s">
        <v>5706</v>
      </c>
      <c r="P1770" s="8" t="s">
        <v>149</v>
      </c>
      <c r="Q1770" s="14" t="s">
        <v>2296</v>
      </c>
      <c r="R1770" s="8" t="s">
        <v>2552</v>
      </c>
      <c r="S1770" s="14" t="s">
        <v>2609</v>
      </c>
    </row>
    <row r="1771">
      <c r="A1771" s="8" t="s">
        <v>1621</v>
      </c>
      <c r="B1771" s="8" t="s">
        <v>1034</v>
      </c>
      <c r="C1771" s="8" t="s">
        <v>138</v>
      </c>
      <c r="D1771" s="18" t="s">
        <v>2592</v>
      </c>
      <c r="E1771" s="16">
        <v>71.0</v>
      </c>
      <c r="F1771" s="8" t="s">
        <v>630</v>
      </c>
      <c r="G1771" s="8" t="s">
        <v>629</v>
      </c>
      <c r="H1771" s="8" t="s">
        <v>149</v>
      </c>
      <c r="I1771" s="18" t="s">
        <v>2603</v>
      </c>
      <c r="J1771" s="16">
        <v>74.0</v>
      </c>
      <c r="K1771" s="8" t="s">
        <v>668</v>
      </c>
      <c r="L1771" s="8" t="s">
        <v>2802</v>
      </c>
      <c r="M1771" s="18" t="s">
        <v>2585</v>
      </c>
      <c r="N1771" s="16">
        <v>87.0</v>
      </c>
      <c r="O1771" s="8" t="s">
        <v>5707</v>
      </c>
      <c r="P1771" s="8" t="s">
        <v>138</v>
      </c>
      <c r="Q1771" s="14" t="s">
        <v>631</v>
      </c>
      <c r="R1771" s="8" t="s">
        <v>2615</v>
      </c>
      <c r="S1771" s="14" t="s">
        <v>2588</v>
      </c>
    </row>
    <row r="1772">
      <c r="A1772" s="8" t="s">
        <v>3197</v>
      </c>
      <c r="B1772" s="8" t="s">
        <v>3196</v>
      </c>
      <c r="C1772" s="8" t="s">
        <v>93</v>
      </c>
      <c r="D1772" s="18" t="s">
        <v>2564</v>
      </c>
      <c r="E1772" s="16">
        <v>76.0</v>
      </c>
      <c r="F1772" s="8" t="s">
        <v>1084</v>
      </c>
      <c r="G1772" s="8" t="s">
        <v>2679</v>
      </c>
      <c r="H1772" s="8" t="s">
        <v>65</v>
      </c>
      <c r="I1772" s="18" t="s">
        <v>2566</v>
      </c>
      <c r="J1772" s="16">
        <v>93.0</v>
      </c>
      <c r="K1772" s="8" t="s">
        <v>1639</v>
      </c>
      <c r="L1772" s="8" t="s">
        <v>1638</v>
      </c>
      <c r="M1772" s="18" t="s">
        <v>2585</v>
      </c>
      <c r="N1772" s="16">
        <v>62.0</v>
      </c>
      <c r="O1772" s="8" t="s">
        <v>5708</v>
      </c>
      <c r="P1772" s="8" t="s">
        <v>138</v>
      </c>
      <c r="Q1772" s="14" t="s">
        <v>631</v>
      </c>
      <c r="R1772" s="8" t="s">
        <v>2566</v>
      </c>
      <c r="S1772" s="14" t="s">
        <v>2622</v>
      </c>
    </row>
    <row r="1773">
      <c r="A1773" s="8" t="s">
        <v>2826</v>
      </c>
      <c r="B1773" s="8" t="s">
        <v>2825</v>
      </c>
      <c r="C1773" s="8" t="s">
        <v>138</v>
      </c>
      <c r="D1773" s="18" t="s">
        <v>2595</v>
      </c>
      <c r="E1773" s="16">
        <v>57.0</v>
      </c>
      <c r="F1773" s="8" t="s">
        <v>819</v>
      </c>
      <c r="G1773" s="8" t="s">
        <v>84</v>
      </c>
      <c r="H1773" s="8" t="s">
        <v>215</v>
      </c>
      <c r="I1773" s="18" t="s">
        <v>2566</v>
      </c>
      <c r="J1773" s="16">
        <v>88.0</v>
      </c>
      <c r="K1773" s="8" t="s">
        <v>1107</v>
      </c>
      <c r="L1773" s="8" t="s">
        <v>99</v>
      </c>
      <c r="M1773" s="18" t="s">
        <v>2582</v>
      </c>
      <c r="N1773" s="16">
        <v>77.0</v>
      </c>
      <c r="O1773" s="8" t="s">
        <v>5709</v>
      </c>
      <c r="P1773" s="8" t="s">
        <v>186</v>
      </c>
      <c r="Q1773" s="14" t="s">
        <v>1679</v>
      </c>
      <c r="R1773" s="8" t="s">
        <v>2558</v>
      </c>
      <c r="S1773" s="14" t="s">
        <v>2579</v>
      </c>
    </row>
    <row r="1774">
      <c r="A1774" s="8" t="s">
        <v>630</v>
      </c>
      <c r="B1774" s="8" t="s">
        <v>629</v>
      </c>
      <c r="C1774" s="8" t="s">
        <v>132</v>
      </c>
      <c r="D1774" s="18" t="s">
        <v>2562</v>
      </c>
      <c r="E1774" s="16">
        <v>68.0</v>
      </c>
      <c r="F1774" s="8" t="s">
        <v>123</v>
      </c>
      <c r="G1774" s="8" t="s">
        <v>668</v>
      </c>
      <c r="H1774" s="8" t="s">
        <v>122</v>
      </c>
      <c r="I1774" s="18" t="s">
        <v>2589</v>
      </c>
      <c r="J1774" s="16">
        <v>59.0</v>
      </c>
      <c r="K1774" s="8" t="s">
        <v>1107</v>
      </c>
      <c r="L1774" s="8" t="s">
        <v>106</v>
      </c>
      <c r="M1774" s="18" t="s">
        <v>2610</v>
      </c>
      <c r="N1774" s="16">
        <v>78.0</v>
      </c>
      <c r="O1774" s="8" t="s">
        <v>5710</v>
      </c>
      <c r="P1774" s="8" t="s">
        <v>192</v>
      </c>
      <c r="Q1774" s="14" t="s">
        <v>1352</v>
      </c>
      <c r="R1774" s="8" t="s">
        <v>2592</v>
      </c>
      <c r="S1774" s="14" t="s">
        <v>2594</v>
      </c>
    </row>
    <row r="1775">
      <c r="A1775" s="8" t="s">
        <v>1084</v>
      </c>
      <c r="B1775" s="8" t="s">
        <v>3547</v>
      </c>
      <c r="C1775" s="8" t="s">
        <v>65</v>
      </c>
      <c r="D1775" s="18" t="s">
        <v>2566</v>
      </c>
      <c r="E1775" s="16">
        <v>93.0</v>
      </c>
      <c r="F1775" s="8" t="s">
        <v>1627</v>
      </c>
      <c r="G1775" s="8" t="s">
        <v>1625</v>
      </c>
      <c r="H1775" s="8" t="s">
        <v>192</v>
      </c>
      <c r="I1775" s="18" t="s">
        <v>2620</v>
      </c>
      <c r="J1775" s="16">
        <v>63.0</v>
      </c>
      <c r="K1775" s="8" t="s">
        <v>340</v>
      </c>
      <c r="L1775" s="8" t="s">
        <v>339</v>
      </c>
      <c r="M1775" s="18" t="s">
        <v>2605</v>
      </c>
      <c r="N1775" s="16">
        <v>78.0</v>
      </c>
      <c r="O1775" s="8" t="s">
        <v>5711</v>
      </c>
      <c r="P1775" s="8" t="s">
        <v>149</v>
      </c>
      <c r="Q1775" s="14" t="s">
        <v>2033</v>
      </c>
      <c r="R1775" s="8" t="s">
        <v>2575</v>
      </c>
      <c r="S1775" s="14" t="s">
        <v>2608</v>
      </c>
    </row>
    <row r="1776">
      <c r="A1776" s="8" t="s">
        <v>819</v>
      </c>
      <c r="B1776" s="8" t="s">
        <v>84</v>
      </c>
      <c r="C1776" s="8" t="s">
        <v>215</v>
      </c>
      <c r="D1776" s="18" t="s">
        <v>2566</v>
      </c>
      <c r="E1776" s="16">
        <v>91.0</v>
      </c>
      <c r="F1776" s="8" t="s">
        <v>2062</v>
      </c>
      <c r="G1776" s="8" t="s">
        <v>3032</v>
      </c>
      <c r="H1776" s="8" t="s">
        <v>93</v>
      </c>
      <c r="I1776" s="18" t="s">
        <v>2614</v>
      </c>
      <c r="J1776" s="16">
        <v>83.0</v>
      </c>
      <c r="K1776" s="8" t="s">
        <v>2700</v>
      </c>
      <c r="L1776" s="8" t="s">
        <v>858</v>
      </c>
      <c r="M1776" s="18" t="s">
        <v>2587</v>
      </c>
      <c r="N1776" s="16">
        <v>67.0</v>
      </c>
      <c r="O1776" s="8" t="s">
        <v>5712</v>
      </c>
      <c r="P1776" s="8" t="s">
        <v>24</v>
      </c>
      <c r="Q1776" s="14" t="s">
        <v>631</v>
      </c>
      <c r="R1776" s="8" t="s">
        <v>2615</v>
      </c>
      <c r="S1776" s="14" t="s">
        <v>2568</v>
      </c>
    </row>
    <row r="1777">
      <c r="A1777" s="8" t="s">
        <v>123</v>
      </c>
      <c r="B1777" s="8" t="s">
        <v>668</v>
      </c>
      <c r="C1777" s="8" t="s">
        <v>122</v>
      </c>
      <c r="D1777" s="18" t="s">
        <v>2589</v>
      </c>
      <c r="E1777" s="16">
        <v>59.0</v>
      </c>
      <c r="F1777" s="8" t="s">
        <v>2758</v>
      </c>
      <c r="G1777" s="8" t="s">
        <v>2757</v>
      </c>
      <c r="H1777" s="8" t="s">
        <v>70</v>
      </c>
      <c r="I1777" s="18" t="s">
        <v>2566</v>
      </c>
      <c r="J1777" s="16">
        <v>74.0</v>
      </c>
      <c r="K1777" s="8" t="s">
        <v>1148</v>
      </c>
      <c r="L1777" s="8" t="s">
        <v>1147</v>
      </c>
      <c r="M1777" s="18" t="s">
        <v>2554</v>
      </c>
      <c r="N1777" s="16">
        <v>76.0</v>
      </c>
      <c r="O1777" s="8" t="s">
        <v>5713</v>
      </c>
      <c r="P1777" s="8" t="s">
        <v>59</v>
      </c>
      <c r="Q1777" s="14" t="s">
        <v>2296</v>
      </c>
      <c r="R1777" s="8" t="s">
        <v>2566</v>
      </c>
      <c r="S1777" s="14" t="s">
        <v>2622</v>
      </c>
    </row>
    <row r="1778">
      <c r="A1778" s="8" t="s">
        <v>2062</v>
      </c>
      <c r="B1778" s="8" t="s">
        <v>1796</v>
      </c>
      <c r="C1778" s="8" t="s">
        <v>75</v>
      </c>
      <c r="D1778" s="18" t="s">
        <v>2572</v>
      </c>
      <c r="E1778" s="16">
        <v>72.0</v>
      </c>
      <c r="F1778" s="8" t="s">
        <v>2974</v>
      </c>
      <c r="G1778" s="8" t="s">
        <v>2973</v>
      </c>
      <c r="H1778" s="8" t="s">
        <v>215</v>
      </c>
      <c r="I1778" s="18" t="s">
        <v>2566</v>
      </c>
      <c r="J1778" s="16">
        <v>67.0</v>
      </c>
      <c r="K1778" s="8" t="s">
        <v>1576</v>
      </c>
      <c r="L1778" s="8" t="s">
        <v>1575</v>
      </c>
      <c r="M1778" s="18" t="s">
        <v>2581</v>
      </c>
      <c r="N1778" s="16">
        <v>64.0</v>
      </c>
      <c r="O1778" s="18" t="s">
        <v>5714</v>
      </c>
      <c r="P1778" s="8" t="s">
        <v>122</v>
      </c>
      <c r="Q1778" s="14" t="s">
        <v>1679</v>
      </c>
      <c r="R1778" s="18" t="s">
        <v>2556</v>
      </c>
      <c r="S1778" s="14" t="s">
        <v>2573</v>
      </c>
    </row>
    <row r="1779">
      <c r="A1779" s="8" t="s">
        <v>2062</v>
      </c>
      <c r="B1779" s="8" t="s">
        <v>3032</v>
      </c>
      <c r="C1779" s="8" t="s">
        <v>93</v>
      </c>
      <c r="D1779" s="18" t="s">
        <v>2614</v>
      </c>
      <c r="E1779" s="16">
        <v>87.0</v>
      </c>
      <c r="F1779" s="18" t="s">
        <v>1341</v>
      </c>
      <c r="G1779" s="8" t="s">
        <v>78</v>
      </c>
      <c r="H1779" s="8" t="s">
        <v>93</v>
      </c>
      <c r="I1779" s="18" t="s">
        <v>2595</v>
      </c>
      <c r="J1779" s="16">
        <v>74.0</v>
      </c>
      <c r="K1779" s="8" t="s">
        <v>2200</v>
      </c>
      <c r="L1779" s="8" t="s">
        <v>220</v>
      </c>
      <c r="M1779" s="18" t="s">
        <v>2567</v>
      </c>
      <c r="N1779" s="16">
        <v>79.0</v>
      </c>
      <c r="O1779" s="18" t="s">
        <v>5715</v>
      </c>
      <c r="P1779" s="8" t="s">
        <v>93</v>
      </c>
      <c r="Q1779" s="14" t="s">
        <v>1070</v>
      </c>
      <c r="R1779" s="8" t="s">
        <v>2595</v>
      </c>
      <c r="S1779" s="14" t="s">
        <v>2601</v>
      </c>
    </row>
    <row r="1780">
      <c r="A1780" s="8" t="s">
        <v>2758</v>
      </c>
      <c r="B1780" s="8" t="s">
        <v>2757</v>
      </c>
      <c r="C1780" s="8" t="s">
        <v>70</v>
      </c>
      <c r="D1780" s="18" t="s">
        <v>2566</v>
      </c>
      <c r="E1780" s="16">
        <v>73.0</v>
      </c>
      <c r="F1780" s="18" t="s">
        <v>1341</v>
      </c>
      <c r="G1780" s="8" t="s">
        <v>2081</v>
      </c>
      <c r="H1780" s="8" t="s">
        <v>59</v>
      </c>
      <c r="I1780" s="18" t="s">
        <v>2610</v>
      </c>
      <c r="J1780" s="16">
        <v>71.0</v>
      </c>
      <c r="K1780" s="8" t="s">
        <v>900</v>
      </c>
      <c r="L1780" s="8" t="s">
        <v>899</v>
      </c>
      <c r="M1780" s="18" t="s">
        <v>2560</v>
      </c>
      <c r="N1780" s="16">
        <v>77.0</v>
      </c>
      <c r="O1780" s="8" t="s">
        <v>5716</v>
      </c>
      <c r="P1780" s="8" t="s">
        <v>46</v>
      </c>
      <c r="Q1780" s="14" t="s">
        <v>1352</v>
      </c>
      <c r="R1780" s="8" t="s">
        <v>2183</v>
      </c>
      <c r="S1780" s="14" t="s">
        <v>2609</v>
      </c>
    </row>
    <row r="1781">
      <c r="A1781" s="8" t="s">
        <v>2974</v>
      </c>
      <c r="B1781" s="8" t="s">
        <v>2973</v>
      </c>
      <c r="C1781" s="8" t="s">
        <v>215</v>
      </c>
      <c r="D1781" s="18" t="s">
        <v>2566</v>
      </c>
      <c r="E1781" s="16">
        <v>65.0</v>
      </c>
      <c r="F1781" s="8" t="s">
        <v>1542</v>
      </c>
      <c r="G1781" s="8" t="s">
        <v>766</v>
      </c>
      <c r="H1781" s="8" t="s">
        <v>46</v>
      </c>
      <c r="I1781" s="18" t="s">
        <v>2593</v>
      </c>
      <c r="J1781" s="16">
        <v>62.0</v>
      </c>
      <c r="K1781" s="8" t="s">
        <v>900</v>
      </c>
      <c r="L1781" s="8" t="s">
        <v>2924</v>
      </c>
      <c r="M1781" s="18" t="s">
        <v>2645</v>
      </c>
      <c r="N1781" s="16">
        <v>68.0</v>
      </c>
      <c r="O1781" s="8" t="s">
        <v>5717</v>
      </c>
      <c r="P1781" s="8" t="s">
        <v>65</v>
      </c>
      <c r="Q1781" s="14" t="s">
        <v>2033</v>
      </c>
      <c r="R1781" s="8" t="s">
        <v>2567</v>
      </c>
      <c r="S1781" s="14" t="s">
        <v>2573</v>
      </c>
    </row>
    <row r="1782">
      <c r="A1782" s="18" t="s">
        <v>1341</v>
      </c>
      <c r="B1782" s="8" t="s">
        <v>2081</v>
      </c>
      <c r="C1782" s="8" t="s">
        <v>59</v>
      </c>
      <c r="D1782" s="18" t="s">
        <v>2610</v>
      </c>
      <c r="E1782" s="16">
        <v>71.0</v>
      </c>
      <c r="F1782" s="8" t="s">
        <v>1276</v>
      </c>
      <c r="G1782" s="8" t="s">
        <v>2777</v>
      </c>
      <c r="H1782" s="8" t="s">
        <v>75</v>
      </c>
      <c r="I1782" s="18" t="s">
        <v>2183</v>
      </c>
      <c r="J1782" s="16">
        <v>69.0</v>
      </c>
      <c r="K1782" s="8" t="s">
        <v>900</v>
      </c>
      <c r="L1782" s="8" t="s">
        <v>451</v>
      </c>
      <c r="M1782" s="18" t="s">
        <v>2567</v>
      </c>
      <c r="N1782" s="16">
        <v>74.0</v>
      </c>
      <c r="O1782" s="8" t="s">
        <v>5718</v>
      </c>
      <c r="P1782" s="8" t="s">
        <v>93</v>
      </c>
      <c r="Q1782" s="14" t="s">
        <v>1679</v>
      </c>
      <c r="R1782" s="8" t="s">
        <v>2560</v>
      </c>
      <c r="S1782" s="14" t="s">
        <v>2557</v>
      </c>
    </row>
    <row r="1783">
      <c r="A1783" s="18" t="s">
        <v>1341</v>
      </c>
      <c r="B1783" s="8" t="s">
        <v>78</v>
      </c>
      <c r="C1783" s="8" t="s">
        <v>93</v>
      </c>
      <c r="D1783" s="18" t="s">
        <v>2595</v>
      </c>
      <c r="E1783" s="16">
        <v>70.0</v>
      </c>
      <c r="F1783" s="8" t="s">
        <v>771</v>
      </c>
      <c r="G1783" s="8" t="s">
        <v>5676</v>
      </c>
      <c r="H1783" s="8" t="s">
        <v>38</v>
      </c>
      <c r="I1783" s="18" t="s">
        <v>2605</v>
      </c>
      <c r="J1783" s="16">
        <v>79.0</v>
      </c>
      <c r="K1783" s="8" t="s">
        <v>900</v>
      </c>
      <c r="L1783" s="8" t="s">
        <v>1681</v>
      </c>
      <c r="M1783" s="18" t="s">
        <v>2575</v>
      </c>
      <c r="N1783" s="16">
        <v>65.0</v>
      </c>
      <c r="O1783" s="8" t="s">
        <v>5719</v>
      </c>
      <c r="P1783" s="8" t="s">
        <v>75</v>
      </c>
      <c r="Q1783" s="14" t="s">
        <v>1352</v>
      </c>
      <c r="R1783" s="8" t="s">
        <v>2552</v>
      </c>
      <c r="S1783" s="14" t="s">
        <v>2553</v>
      </c>
    </row>
    <row r="1784">
      <c r="A1784" s="8" t="s">
        <v>1276</v>
      </c>
      <c r="B1784" s="8" t="s">
        <v>2777</v>
      </c>
      <c r="C1784" s="8" t="s">
        <v>75</v>
      </c>
      <c r="D1784" s="18" t="s">
        <v>2183</v>
      </c>
      <c r="E1784" s="16">
        <v>66.0</v>
      </c>
      <c r="F1784" s="8" t="s">
        <v>771</v>
      </c>
      <c r="G1784" s="8" t="s">
        <v>1619</v>
      </c>
      <c r="H1784" s="8" t="s">
        <v>122</v>
      </c>
      <c r="I1784" s="18" t="s">
        <v>2610</v>
      </c>
      <c r="J1784" s="16">
        <v>72.0</v>
      </c>
      <c r="K1784" s="8" t="s">
        <v>3026</v>
      </c>
      <c r="L1784" s="8" t="s">
        <v>3025</v>
      </c>
      <c r="M1784" s="18" t="s">
        <v>2558</v>
      </c>
      <c r="N1784" s="16">
        <v>73.0</v>
      </c>
      <c r="O1784" s="8" t="s">
        <v>5720</v>
      </c>
      <c r="P1784" s="8" t="s">
        <v>59</v>
      </c>
      <c r="Q1784" s="14" t="s">
        <v>1352</v>
      </c>
      <c r="R1784" s="8" t="s">
        <v>2592</v>
      </c>
      <c r="S1784" s="14" t="s">
        <v>2570</v>
      </c>
    </row>
    <row r="1785">
      <c r="A1785" s="8" t="s">
        <v>771</v>
      </c>
      <c r="B1785" s="8" t="s">
        <v>3753</v>
      </c>
      <c r="C1785" s="8" t="s">
        <v>38</v>
      </c>
      <c r="D1785" s="18" t="s">
        <v>2567</v>
      </c>
      <c r="E1785" s="16">
        <v>86.0</v>
      </c>
      <c r="F1785" s="8" t="s">
        <v>771</v>
      </c>
      <c r="G1785" s="8" t="s">
        <v>5678</v>
      </c>
      <c r="H1785" s="8" t="s">
        <v>138</v>
      </c>
      <c r="I1785" s="18" t="s">
        <v>2554</v>
      </c>
      <c r="J1785" s="16">
        <v>64.0</v>
      </c>
      <c r="K1785" s="8" t="s">
        <v>804</v>
      </c>
      <c r="L1785" s="8" t="s">
        <v>946</v>
      </c>
      <c r="M1785" s="18" t="s">
        <v>2603</v>
      </c>
      <c r="N1785" s="16">
        <v>64.0</v>
      </c>
      <c r="O1785" s="8" t="s">
        <v>5721</v>
      </c>
      <c r="P1785" s="8" t="s">
        <v>38</v>
      </c>
      <c r="Q1785" s="14" t="s">
        <v>631</v>
      </c>
      <c r="R1785" s="8" t="s">
        <v>2605</v>
      </c>
      <c r="S1785" s="14" t="s">
        <v>2565</v>
      </c>
    </row>
    <row r="1786">
      <c r="A1786" s="8" t="s">
        <v>771</v>
      </c>
      <c r="B1786" s="8" t="s">
        <v>5676</v>
      </c>
      <c r="C1786" s="8" t="s">
        <v>38</v>
      </c>
      <c r="D1786" s="18" t="s">
        <v>2605</v>
      </c>
      <c r="E1786" s="16">
        <v>80.0</v>
      </c>
      <c r="F1786" s="8" t="s">
        <v>771</v>
      </c>
      <c r="G1786" s="8" t="s">
        <v>1437</v>
      </c>
      <c r="H1786" s="8" t="s">
        <v>141</v>
      </c>
      <c r="I1786" s="18" t="s">
        <v>2552</v>
      </c>
      <c r="J1786" s="16">
        <v>73.0</v>
      </c>
      <c r="K1786" s="8" t="s">
        <v>804</v>
      </c>
      <c r="L1786" s="8" t="s">
        <v>890</v>
      </c>
      <c r="M1786" s="18" t="s">
        <v>2582</v>
      </c>
      <c r="N1786" s="16">
        <v>78.0</v>
      </c>
      <c r="O1786" s="8" t="s">
        <v>5722</v>
      </c>
      <c r="P1786" s="8" t="s">
        <v>215</v>
      </c>
      <c r="Q1786" s="14" t="s">
        <v>2296</v>
      </c>
      <c r="R1786" s="8" t="s">
        <v>2572</v>
      </c>
      <c r="S1786" s="14" t="s">
        <v>2555</v>
      </c>
    </row>
    <row r="1787">
      <c r="A1787" s="8" t="s">
        <v>771</v>
      </c>
      <c r="B1787" s="8" t="s">
        <v>1619</v>
      </c>
      <c r="C1787" s="8" t="s">
        <v>122</v>
      </c>
      <c r="D1787" s="18" t="s">
        <v>2610</v>
      </c>
      <c r="E1787" s="16">
        <v>72.0</v>
      </c>
      <c r="F1787" s="8" t="s">
        <v>194</v>
      </c>
      <c r="G1787" s="8" t="s">
        <v>308</v>
      </c>
      <c r="H1787" s="8" t="s">
        <v>93</v>
      </c>
      <c r="I1787" s="18" t="s">
        <v>2564</v>
      </c>
      <c r="J1787" s="16">
        <v>77.0</v>
      </c>
      <c r="K1787" s="8" t="s">
        <v>804</v>
      </c>
      <c r="L1787" s="8" t="s">
        <v>803</v>
      </c>
      <c r="M1787" s="18" t="s">
        <v>2621</v>
      </c>
      <c r="N1787" s="16">
        <v>78.0</v>
      </c>
      <c r="O1787" s="8" t="s">
        <v>5723</v>
      </c>
      <c r="P1787" s="8" t="s">
        <v>192</v>
      </c>
      <c r="Q1787" s="14" t="s">
        <v>189</v>
      </c>
      <c r="R1787" s="8" t="s">
        <v>2600</v>
      </c>
      <c r="S1787" s="14" t="s">
        <v>2588</v>
      </c>
    </row>
    <row r="1788">
      <c r="A1788" s="8" t="s">
        <v>194</v>
      </c>
      <c r="B1788" s="8" t="s">
        <v>193</v>
      </c>
      <c r="C1788" s="8" t="s">
        <v>192</v>
      </c>
      <c r="D1788" s="18" t="s">
        <v>2600</v>
      </c>
      <c r="E1788" s="16">
        <v>86.0</v>
      </c>
      <c r="F1788" s="8" t="s">
        <v>194</v>
      </c>
      <c r="G1788" s="8" t="s">
        <v>1000</v>
      </c>
      <c r="H1788" s="8" t="s">
        <v>186</v>
      </c>
      <c r="I1788" s="18" t="s">
        <v>2575</v>
      </c>
      <c r="J1788" s="16">
        <v>60.0</v>
      </c>
      <c r="K1788" s="8" t="s">
        <v>2189</v>
      </c>
      <c r="L1788" s="8" t="s">
        <v>2188</v>
      </c>
      <c r="M1788" s="18" t="s">
        <v>2581</v>
      </c>
      <c r="N1788" s="16">
        <v>78.0</v>
      </c>
      <c r="O1788" s="8" t="s">
        <v>5724</v>
      </c>
      <c r="P1788" s="8" t="s">
        <v>261</v>
      </c>
      <c r="Q1788" s="14" t="s">
        <v>338</v>
      </c>
      <c r="R1788" s="8" t="s">
        <v>2587</v>
      </c>
      <c r="S1788" s="14" t="s">
        <v>2568</v>
      </c>
    </row>
    <row r="1789">
      <c r="A1789" s="8" t="s">
        <v>194</v>
      </c>
      <c r="B1789" s="8" t="s">
        <v>364</v>
      </c>
      <c r="C1789" s="8" t="s">
        <v>261</v>
      </c>
      <c r="D1789" s="18" t="s">
        <v>2598</v>
      </c>
      <c r="E1789" s="16">
        <v>91.0</v>
      </c>
      <c r="F1789" s="8" t="s">
        <v>194</v>
      </c>
      <c r="G1789" s="8" t="s">
        <v>311</v>
      </c>
      <c r="H1789" s="8" t="s">
        <v>24</v>
      </c>
      <c r="I1789" s="18" t="s">
        <v>2605</v>
      </c>
      <c r="J1789" s="16">
        <v>41.0</v>
      </c>
      <c r="K1789" s="8" t="s">
        <v>191</v>
      </c>
      <c r="L1789" s="8" t="s">
        <v>190</v>
      </c>
      <c r="M1789" s="18" t="s">
        <v>2587</v>
      </c>
      <c r="N1789" s="16">
        <v>70.0</v>
      </c>
      <c r="O1789" s="8" t="s">
        <v>5725</v>
      </c>
      <c r="P1789" s="8" t="s">
        <v>16</v>
      </c>
      <c r="Q1789" s="14" t="s">
        <v>2033</v>
      </c>
      <c r="R1789" s="8" t="s">
        <v>2183</v>
      </c>
      <c r="S1789" s="14" t="s">
        <v>2619</v>
      </c>
    </row>
    <row r="1790">
      <c r="A1790" s="8" t="s">
        <v>194</v>
      </c>
      <c r="B1790" s="8" t="s">
        <v>94</v>
      </c>
      <c r="C1790" s="8" t="s">
        <v>141</v>
      </c>
      <c r="D1790" s="18" t="s">
        <v>2603</v>
      </c>
      <c r="E1790" s="16">
        <v>70.0</v>
      </c>
      <c r="F1790" s="8" t="s">
        <v>194</v>
      </c>
      <c r="G1790" s="8" t="s">
        <v>364</v>
      </c>
      <c r="H1790" s="8" t="s">
        <v>261</v>
      </c>
      <c r="I1790" s="18" t="s">
        <v>2587</v>
      </c>
      <c r="J1790" s="16">
        <v>84.0</v>
      </c>
      <c r="K1790" s="8" t="s">
        <v>988</v>
      </c>
      <c r="L1790" s="8" t="s">
        <v>987</v>
      </c>
      <c r="M1790" s="18" t="s">
        <v>2585</v>
      </c>
      <c r="N1790" s="16">
        <v>65.0</v>
      </c>
      <c r="O1790" s="8" t="s">
        <v>5726</v>
      </c>
      <c r="P1790" s="8" t="s">
        <v>141</v>
      </c>
      <c r="Q1790" s="14" t="s">
        <v>1679</v>
      </c>
      <c r="R1790" s="8" t="s">
        <v>2577</v>
      </c>
      <c r="S1790" s="14" t="s">
        <v>2570</v>
      </c>
    </row>
    <row r="1791">
      <c r="A1791" s="8" t="s">
        <v>194</v>
      </c>
      <c r="B1791" s="8" t="s">
        <v>767</v>
      </c>
      <c r="C1791" s="8" t="s">
        <v>12</v>
      </c>
      <c r="D1791" s="18" t="s">
        <v>2615</v>
      </c>
      <c r="E1791" s="16">
        <v>72.0</v>
      </c>
      <c r="F1791" s="8" t="s">
        <v>194</v>
      </c>
      <c r="G1791" s="8" t="s">
        <v>2976</v>
      </c>
      <c r="H1791" s="8" t="s">
        <v>75</v>
      </c>
      <c r="I1791" s="18" t="s">
        <v>2584</v>
      </c>
      <c r="J1791" s="16">
        <v>76.0</v>
      </c>
      <c r="K1791" s="8" t="s">
        <v>1065</v>
      </c>
      <c r="L1791" s="8" t="s">
        <v>451</v>
      </c>
      <c r="M1791" s="18" t="s">
        <v>2593</v>
      </c>
      <c r="N1791" s="16">
        <v>77.0</v>
      </c>
      <c r="O1791" s="8" t="s">
        <v>5727</v>
      </c>
      <c r="P1791" s="8" t="s">
        <v>186</v>
      </c>
      <c r="Q1791" s="14" t="s">
        <v>837</v>
      </c>
      <c r="R1791" s="8" t="s">
        <v>2575</v>
      </c>
      <c r="S1791" s="14" t="s">
        <v>2553</v>
      </c>
    </row>
    <row r="1792">
      <c r="A1792" s="8" t="s">
        <v>194</v>
      </c>
      <c r="B1792" s="8" t="s">
        <v>2976</v>
      </c>
      <c r="C1792" s="8" t="s">
        <v>132</v>
      </c>
      <c r="D1792" s="18" t="s">
        <v>2584</v>
      </c>
      <c r="E1792" s="16">
        <v>74.0</v>
      </c>
      <c r="F1792" s="8" t="s">
        <v>194</v>
      </c>
      <c r="G1792" s="8" t="s">
        <v>193</v>
      </c>
      <c r="H1792" s="8" t="s">
        <v>192</v>
      </c>
      <c r="I1792" s="18" t="s">
        <v>2600</v>
      </c>
      <c r="J1792" s="16">
        <v>77.0</v>
      </c>
      <c r="K1792" s="8" t="s">
        <v>155</v>
      </c>
      <c r="L1792" s="8" t="s">
        <v>2853</v>
      </c>
      <c r="M1792" s="18" t="s">
        <v>2587</v>
      </c>
      <c r="N1792" s="16">
        <v>67.0</v>
      </c>
      <c r="O1792" s="8" t="s">
        <v>5728</v>
      </c>
      <c r="P1792" s="8" t="s">
        <v>93</v>
      </c>
      <c r="Q1792" s="14" t="s">
        <v>459</v>
      </c>
      <c r="R1792" s="18" t="s">
        <v>2589</v>
      </c>
      <c r="S1792" s="14" t="s">
        <v>2559</v>
      </c>
    </row>
    <row r="1793">
      <c r="A1793" s="8" t="s">
        <v>194</v>
      </c>
      <c r="B1793" s="8" t="s">
        <v>126</v>
      </c>
      <c r="C1793" s="8" t="s">
        <v>93</v>
      </c>
      <c r="D1793" s="18" t="s">
        <v>2589</v>
      </c>
      <c r="E1793" s="16">
        <v>91.0</v>
      </c>
      <c r="F1793" s="8" t="s">
        <v>194</v>
      </c>
      <c r="G1793" s="8" t="s">
        <v>2915</v>
      </c>
      <c r="H1793" s="8" t="s">
        <v>16</v>
      </c>
      <c r="I1793" s="18" t="s">
        <v>2183</v>
      </c>
      <c r="J1793" s="16">
        <v>76.0</v>
      </c>
      <c r="K1793" s="8" t="s">
        <v>155</v>
      </c>
      <c r="L1793" s="8" t="s">
        <v>154</v>
      </c>
      <c r="M1793" s="18" t="s">
        <v>2577</v>
      </c>
      <c r="N1793" s="16">
        <v>78.0</v>
      </c>
      <c r="O1793" s="8" t="s">
        <v>5729</v>
      </c>
      <c r="P1793" s="8" t="s">
        <v>261</v>
      </c>
      <c r="Q1793" s="14" t="s">
        <v>1352</v>
      </c>
      <c r="R1793" s="8" t="s">
        <v>2575</v>
      </c>
      <c r="S1793" s="14" t="s">
        <v>2608</v>
      </c>
    </row>
    <row r="1794">
      <c r="A1794" s="8" t="s">
        <v>194</v>
      </c>
      <c r="B1794" s="8" t="s">
        <v>308</v>
      </c>
      <c r="C1794" s="8" t="s">
        <v>93</v>
      </c>
      <c r="D1794" s="18" t="s">
        <v>2567</v>
      </c>
      <c r="E1794" s="16">
        <v>78.0</v>
      </c>
      <c r="F1794" s="8" t="s">
        <v>194</v>
      </c>
      <c r="G1794" s="8" t="s">
        <v>94</v>
      </c>
      <c r="H1794" s="8" t="s">
        <v>141</v>
      </c>
      <c r="I1794" s="18" t="s">
        <v>2587</v>
      </c>
      <c r="J1794" s="16">
        <v>70.0</v>
      </c>
      <c r="K1794" s="8" t="s">
        <v>497</v>
      </c>
      <c r="L1794" s="8" t="s">
        <v>496</v>
      </c>
      <c r="M1794" s="18" t="s">
        <v>2558</v>
      </c>
      <c r="N1794" s="16">
        <v>81.0</v>
      </c>
      <c r="O1794" s="8" t="s">
        <v>5730</v>
      </c>
      <c r="P1794" s="8" t="s">
        <v>93</v>
      </c>
      <c r="Q1794" s="14" t="s">
        <v>237</v>
      </c>
      <c r="R1794" s="8" t="s">
        <v>2595</v>
      </c>
      <c r="S1794" s="14" t="s">
        <v>2588</v>
      </c>
    </row>
    <row r="1795">
      <c r="A1795" s="8" t="s">
        <v>194</v>
      </c>
      <c r="B1795" s="8" t="s">
        <v>311</v>
      </c>
      <c r="C1795" s="8" t="s">
        <v>24</v>
      </c>
      <c r="D1795" s="18" t="s">
        <v>2605</v>
      </c>
      <c r="E1795" s="16">
        <v>40.0</v>
      </c>
      <c r="F1795" s="8" t="s">
        <v>194</v>
      </c>
      <c r="G1795" s="8" t="s">
        <v>126</v>
      </c>
      <c r="H1795" s="8" t="s">
        <v>93</v>
      </c>
      <c r="I1795" s="18" t="s">
        <v>2589</v>
      </c>
      <c r="J1795" s="16">
        <v>91.0</v>
      </c>
      <c r="K1795" s="8" t="s">
        <v>483</v>
      </c>
      <c r="L1795" s="8" t="s">
        <v>1177</v>
      </c>
      <c r="M1795" s="18" t="s">
        <v>2614</v>
      </c>
      <c r="N1795" s="16">
        <v>74.0</v>
      </c>
      <c r="O1795" s="8" t="s">
        <v>5731</v>
      </c>
      <c r="P1795" s="8" t="s">
        <v>24</v>
      </c>
      <c r="Q1795" s="14" t="s">
        <v>237</v>
      </c>
      <c r="R1795" s="8" t="s">
        <v>2605</v>
      </c>
      <c r="S1795" s="14" t="s">
        <v>18</v>
      </c>
    </row>
    <row r="1796">
      <c r="A1796" s="8" t="s">
        <v>628</v>
      </c>
      <c r="B1796" s="8" t="s">
        <v>3710</v>
      </c>
      <c r="C1796" s="8" t="s">
        <v>59</v>
      </c>
      <c r="D1796" s="18" t="s">
        <v>2615</v>
      </c>
      <c r="E1796" s="16">
        <v>85.0</v>
      </c>
      <c r="F1796" s="8" t="s">
        <v>628</v>
      </c>
      <c r="G1796" s="8" t="s">
        <v>1282</v>
      </c>
      <c r="H1796" s="8" t="s">
        <v>70</v>
      </c>
      <c r="I1796" s="18" t="s">
        <v>2566</v>
      </c>
      <c r="J1796" s="16">
        <v>77.0</v>
      </c>
      <c r="K1796" s="8" t="s">
        <v>483</v>
      </c>
      <c r="L1796" s="8" t="s">
        <v>482</v>
      </c>
      <c r="M1796" s="18" t="s">
        <v>2610</v>
      </c>
      <c r="N1796" s="16">
        <v>78.0</v>
      </c>
      <c r="O1796" s="8" t="s">
        <v>5732</v>
      </c>
      <c r="P1796" s="8" t="s">
        <v>46</v>
      </c>
      <c r="Q1796" s="14" t="s">
        <v>1679</v>
      </c>
      <c r="R1796" s="8" t="s">
        <v>2566</v>
      </c>
      <c r="S1796" s="14" t="s">
        <v>2569</v>
      </c>
    </row>
    <row r="1797">
      <c r="A1797" s="8" t="s">
        <v>628</v>
      </c>
      <c r="B1797" s="8" t="s">
        <v>3713</v>
      </c>
      <c r="C1797" s="8" t="s">
        <v>261</v>
      </c>
      <c r="D1797" s="18" t="s">
        <v>2605</v>
      </c>
      <c r="E1797" s="16">
        <v>66.0</v>
      </c>
      <c r="F1797" s="8" t="s">
        <v>628</v>
      </c>
      <c r="G1797" s="8" t="s">
        <v>786</v>
      </c>
      <c r="H1797" s="8" t="s">
        <v>65</v>
      </c>
      <c r="I1797" s="18" t="s">
        <v>2603</v>
      </c>
      <c r="J1797" s="16">
        <v>75.0</v>
      </c>
      <c r="K1797" s="8" t="s">
        <v>483</v>
      </c>
      <c r="L1797" s="8" t="s">
        <v>1911</v>
      </c>
      <c r="M1797" s="18" t="s">
        <v>2556</v>
      </c>
      <c r="N1797" s="16">
        <v>84.0</v>
      </c>
      <c r="O1797" s="8" t="s">
        <v>5733</v>
      </c>
      <c r="P1797" s="8" t="s">
        <v>24</v>
      </c>
      <c r="Q1797" s="14" t="s">
        <v>1070</v>
      </c>
      <c r="R1797" s="18" t="s">
        <v>2556</v>
      </c>
      <c r="S1797" s="14" t="s">
        <v>2555</v>
      </c>
    </row>
    <row r="1798">
      <c r="A1798" s="8" t="s">
        <v>628</v>
      </c>
      <c r="B1798" s="8" t="s">
        <v>3363</v>
      </c>
      <c r="C1798" s="8" t="s">
        <v>65</v>
      </c>
      <c r="D1798" s="18" t="s">
        <v>2593</v>
      </c>
      <c r="E1798" s="16">
        <v>62.0</v>
      </c>
      <c r="F1798" s="8" t="s">
        <v>628</v>
      </c>
      <c r="G1798" s="8" t="s">
        <v>1043</v>
      </c>
      <c r="H1798" s="8" t="s">
        <v>65</v>
      </c>
      <c r="I1798" s="18" t="s">
        <v>2564</v>
      </c>
      <c r="J1798" s="16">
        <v>66.0</v>
      </c>
      <c r="K1798" s="8" t="s">
        <v>483</v>
      </c>
      <c r="L1798" s="8" t="s">
        <v>1911</v>
      </c>
      <c r="M1798" s="18" t="s">
        <v>2552</v>
      </c>
      <c r="N1798" s="16">
        <v>85.0</v>
      </c>
      <c r="O1798" s="8" t="s">
        <v>5734</v>
      </c>
      <c r="P1798" s="8" t="s">
        <v>70</v>
      </c>
      <c r="Q1798" s="14" t="s">
        <v>1679</v>
      </c>
      <c r="R1798" s="8" t="s">
        <v>2566</v>
      </c>
      <c r="S1798" s="14" t="s">
        <v>2563</v>
      </c>
    </row>
    <row r="1799">
      <c r="A1799" s="8" t="s">
        <v>628</v>
      </c>
      <c r="B1799" s="8" t="s">
        <v>1282</v>
      </c>
      <c r="C1799" s="8" t="s">
        <v>70</v>
      </c>
      <c r="D1799" s="18" t="s">
        <v>2566</v>
      </c>
      <c r="E1799" s="16">
        <v>72.0</v>
      </c>
      <c r="F1799" s="8" t="s">
        <v>628</v>
      </c>
      <c r="G1799" s="8" t="s">
        <v>3398</v>
      </c>
      <c r="H1799" s="8" t="s">
        <v>53</v>
      </c>
      <c r="I1799" s="18" t="s">
        <v>2584</v>
      </c>
      <c r="J1799" s="16">
        <v>87.0</v>
      </c>
      <c r="K1799" s="8" t="s">
        <v>483</v>
      </c>
      <c r="L1799" s="8" t="s">
        <v>1911</v>
      </c>
      <c r="M1799" s="18" t="s">
        <v>2600</v>
      </c>
      <c r="N1799" s="16">
        <v>83.0</v>
      </c>
      <c r="O1799" s="8" t="s">
        <v>5735</v>
      </c>
      <c r="P1799" s="8" t="s">
        <v>65</v>
      </c>
      <c r="Q1799" s="14" t="s">
        <v>837</v>
      </c>
      <c r="R1799" s="8" t="s">
        <v>2582</v>
      </c>
      <c r="S1799" s="14" t="s">
        <v>2599</v>
      </c>
    </row>
    <row r="1800">
      <c r="A1800" s="8" t="s">
        <v>628</v>
      </c>
      <c r="B1800" s="8" t="s">
        <v>3398</v>
      </c>
      <c r="C1800" s="8" t="s">
        <v>186</v>
      </c>
      <c r="D1800" s="18" t="s">
        <v>2584</v>
      </c>
      <c r="E1800" s="16">
        <v>78.0</v>
      </c>
      <c r="F1800" s="8" t="s">
        <v>628</v>
      </c>
      <c r="G1800" s="8" t="s">
        <v>3363</v>
      </c>
      <c r="H1800" s="8" t="s">
        <v>65</v>
      </c>
      <c r="I1800" s="18" t="s">
        <v>2593</v>
      </c>
      <c r="J1800" s="16">
        <v>62.0</v>
      </c>
      <c r="K1800" s="8" t="s">
        <v>483</v>
      </c>
      <c r="L1800" s="8" t="s">
        <v>1911</v>
      </c>
      <c r="M1800" s="18" t="s">
        <v>2600</v>
      </c>
      <c r="N1800" s="16">
        <v>87.0</v>
      </c>
      <c r="O1800" s="8" t="s">
        <v>5736</v>
      </c>
      <c r="P1800" s="8" t="s">
        <v>53</v>
      </c>
      <c r="Q1800" s="14" t="s">
        <v>459</v>
      </c>
      <c r="R1800" s="8" t="s">
        <v>2564</v>
      </c>
      <c r="S1800" s="14" t="s">
        <v>2591</v>
      </c>
    </row>
    <row r="1801">
      <c r="A1801" s="8" t="s">
        <v>628</v>
      </c>
      <c r="B1801" s="8" t="s">
        <v>786</v>
      </c>
      <c r="C1801" s="8" t="s">
        <v>65</v>
      </c>
      <c r="D1801" s="18" t="s">
        <v>2603</v>
      </c>
      <c r="E1801" s="16">
        <v>71.0</v>
      </c>
      <c r="F1801" s="8" t="s">
        <v>628</v>
      </c>
      <c r="G1801" s="8" t="s">
        <v>627</v>
      </c>
      <c r="H1801" s="8" t="s">
        <v>53</v>
      </c>
      <c r="I1801" s="18" t="s">
        <v>2554</v>
      </c>
      <c r="J1801" s="16">
        <v>75.0</v>
      </c>
      <c r="K1801" s="8" t="s">
        <v>483</v>
      </c>
      <c r="L1801" s="8" t="s">
        <v>1911</v>
      </c>
      <c r="M1801" s="18" t="s">
        <v>2552</v>
      </c>
      <c r="N1801" s="16">
        <v>91.0</v>
      </c>
      <c r="O1801" s="8" t="s">
        <v>5737</v>
      </c>
      <c r="P1801" s="8" t="s">
        <v>16</v>
      </c>
      <c r="Q1801" s="14" t="s">
        <v>1352</v>
      </c>
      <c r="R1801" s="8" t="s">
        <v>2603</v>
      </c>
      <c r="S1801" s="14" t="s">
        <v>2612</v>
      </c>
    </row>
    <row r="1802">
      <c r="A1802" s="8" t="s">
        <v>628</v>
      </c>
      <c r="B1802" s="8" t="s">
        <v>3850</v>
      </c>
      <c r="C1802" s="8" t="s">
        <v>122</v>
      </c>
      <c r="D1802" s="18" t="s">
        <v>2574</v>
      </c>
      <c r="E1802" s="16">
        <v>80.0</v>
      </c>
      <c r="F1802" s="8" t="s">
        <v>1522</v>
      </c>
      <c r="G1802" s="8" t="s">
        <v>1237</v>
      </c>
      <c r="H1802" s="8" t="s">
        <v>16</v>
      </c>
      <c r="I1802" s="18" t="s">
        <v>2620</v>
      </c>
      <c r="J1802" s="16">
        <v>72.0</v>
      </c>
      <c r="K1802" s="8" t="s">
        <v>1749</v>
      </c>
      <c r="L1802" s="8" t="s">
        <v>1748</v>
      </c>
      <c r="M1802" s="18" t="s">
        <v>2605</v>
      </c>
      <c r="N1802" s="16">
        <v>62.0</v>
      </c>
      <c r="O1802" s="8" t="s">
        <v>5738</v>
      </c>
      <c r="P1802" s="8" t="s">
        <v>59</v>
      </c>
      <c r="Q1802" s="14" t="s">
        <v>338</v>
      </c>
      <c r="R1802" s="8" t="s">
        <v>2575</v>
      </c>
      <c r="S1802" s="14" t="s">
        <v>2608</v>
      </c>
    </row>
    <row r="1803">
      <c r="A1803" s="8" t="s">
        <v>628</v>
      </c>
      <c r="B1803" s="8" t="s">
        <v>627</v>
      </c>
      <c r="C1803" s="8" t="s">
        <v>186</v>
      </c>
      <c r="D1803" s="18" t="s">
        <v>2598</v>
      </c>
      <c r="E1803" s="16">
        <v>74.0</v>
      </c>
      <c r="F1803" s="8" t="s">
        <v>401</v>
      </c>
      <c r="G1803" s="8" t="s">
        <v>400</v>
      </c>
      <c r="H1803" s="8" t="s">
        <v>53</v>
      </c>
      <c r="I1803" s="18" t="s">
        <v>2605</v>
      </c>
      <c r="J1803" s="16">
        <v>84.0</v>
      </c>
      <c r="K1803" s="8" t="s">
        <v>1749</v>
      </c>
      <c r="L1803" s="8" t="s">
        <v>1280</v>
      </c>
      <c r="M1803" s="18" t="s">
        <v>2603</v>
      </c>
      <c r="N1803" s="16">
        <v>75.0</v>
      </c>
      <c r="O1803" s="8" t="s">
        <v>5739</v>
      </c>
      <c r="P1803" s="8" t="s">
        <v>53</v>
      </c>
      <c r="Q1803" s="14" t="s">
        <v>1070</v>
      </c>
      <c r="R1803" s="18" t="s">
        <v>2589</v>
      </c>
      <c r="S1803" s="14" t="s">
        <v>2580</v>
      </c>
    </row>
    <row r="1804">
      <c r="A1804" s="8" t="s">
        <v>1522</v>
      </c>
      <c r="B1804" s="8" t="s">
        <v>1237</v>
      </c>
      <c r="C1804" s="8" t="s">
        <v>16</v>
      </c>
      <c r="D1804" s="18" t="s">
        <v>2620</v>
      </c>
      <c r="E1804" s="16">
        <v>74.0</v>
      </c>
      <c r="F1804" s="8" t="s">
        <v>1368</v>
      </c>
      <c r="G1804" s="8" t="s">
        <v>1367</v>
      </c>
      <c r="H1804" s="8" t="s">
        <v>70</v>
      </c>
      <c r="I1804" s="18" t="s">
        <v>2592</v>
      </c>
      <c r="J1804" s="16">
        <v>61.0</v>
      </c>
      <c r="K1804" s="8" t="s">
        <v>585</v>
      </c>
      <c r="L1804" s="8" t="s">
        <v>385</v>
      </c>
      <c r="M1804" s="18" t="s">
        <v>2556</v>
      </c>
      <c r="N1804" s="16">
        <v>83.0</v>
      </c>
      <c r="O1804" s="8" t="s">
        <v>5740</v>
      </c>
      <c r="P1804" s="8" t="s">
        <v>53</v>
      </c>
      <c r="Q1804" s="14" t="s">
        <v>1679</v>
      </c>
      <c r="R1804" s="8" t="s">
        <v>2562</v>
      </c>
      <c r="S1804" s="14" t="s">
        <v>2579</v>
      </c>
    </row>
    <row r="1805">
      <c r="A1805" s="8" t="s">
        <v>401</v>
      </c>
      <c r="B1805" s="8" t="s">
        <v>400</v>
      </c>
      <c r="C1805" s="8" t="s">
        <v>53</v>
      </c>
      <c r="D1805" s="18" t="s">
        <v>2605</v>
      </c>
      <c r="E1805" s="16">
        <v>92.0</v>
      </c>
      <c r="F1805" s="8" t="s">
        <v>1368</v>
      </c>
      <c r="G1805" s="8" t="s">
        <v>444</v>
      </c>
      <c r="H1805" s="8" t="s">
        <v>80</v>
      </c>
      <c r="I1805" s="18" t="s">
        <v>2584</v>
      </c>
      <c r="J1805" s="16">
        <v>62.0</v>
      </c>
      <c r="K1805" s="8" t="s">
        <v>585</v>
      </c>
      <c r="L1805" s="8" t="s">
        <v>1800</v>
      </c>
      <c r="M1805" s="18" t="s">
        <v>2574</v>
      </c>
      <c r="N1805" s="16">
        <v>69.0</v>
      </c>
      <c r="O1805" s="8" t="s">
        <v>5741</v>
      </c>
      <c r="P1805" s="8" t="s">
        <v>70</v>
      </c>
      <c r="Q1805" s="14" t="s">
        <v>1352</v>
      </c>
      <c r="R1805" s="8" t="s">
        <v>2592</v>
      </c>
      <c r="S1805" s="14" t="s">
        <v>2590</v>
      </c>
    </row>
    <row r="1806">
      <c r="A1806" s="8" t="s">
        <v>3599</v>
      </c>
      <c r="B1806" s="8" t="s">
        <v>145</v>
      </c>
      <c r="C1806" s="8" t="s">
        <v>93</v>
      </c>
      <c r="D1806" s="18" t="s">
        <v>2621</v>
      </c>
      <c r="E1806" s="16">
        <v>78.0</v>
      </c>
      <c r="F1806" s="8" t="s">
        <v>1384</v>
      </c>
      <c r="G1806" s="8" t="s">
        <v>106</v>
      </c>
      <c r="H1806" s="8" t="s">
        <v>24</v>
      </c>
      <c r="I1806" s="18" t="s">
        <v>2556</v>
      </c>
      <c r="J1806" s="16">
        <v>68.0</v>
      </c>
      <c r="K1806" s="8" t="s">
        <v>585</v>
      </c>
      <c r="L1806" s="8" t="s">
        <v>1164</v>
      </c>
      <c r="M1806" s="18" t="s">
        <v>2621</v>
      </c>
      <c r="N1806" s="16">
        <v>77.0</v>
      </c>
      <c r="O1806" s="8" t="s">
        <v>5742</v>
      </c>
      <c r="P1806" s="8" t="s">
        <v>24</v>
      </c>
      <c r="Q1806" s="14" t="s">
        <v>1352</v>
      </c>
      <c r="R1806" s="8" t="s">
        <v>2615</v>
      </c>
      <c r="S1806" s="14" t="s">
        <v>2622</v>
      </c>
    </row>
    <row r="1807">
      <c r="A1807" s="8" t="s">
        <v>2992</v>
      </c>
      <c r="B1807" s="8" t="s">
        <v>3819</v>
      </c>
      <c r="C1807" s="8" t="s">
        <v>186</v>
      </c>
      <c r="D1807" s="18" t="s">
        <v>2582</v>
      </c>
      <c r="E1807" s="16">
        <v>74.0</v>
      </c>
      <c r="F1807" s="8" t="s">
        <v>1746</v>
      </c>
      <c r="G1807" s="8" t="s">
        <v>500</v>
      </c>
      <c r="H1807" s="8" t="s">
        <v>65</v>
      </c>
      <c r="I1807" s="18" t="s">
        <v>2593</v>
      </c>
      <c r="J1807" s="16">
        <v>64.0</v>
      </c>
      <c r="K1807" s="8" t="s">
        <v>585</v>
      </c>
      <c r="L1807" s="8" t="s">
        <v>1164</v>
      </c>
      <c r="M1807" s="18" t="s">
        <v>2621</v>
      </c>
      <c r="N1807" s="16">
        <v>87.0</v>
      </c>
      <c r="O1807" s="8" t="s">
        <v>5743</v>
      </c>
      <c r="P1807" s="8" t="s">
        <v>65</v>
      </c>
      <c r="Q1807" s="14" t="s">
        <v>1679</v>
      </c>
      <c r="R1807" s="18" t="s">
        <v>2589</v>
      </c>
      <c r="S1807" s="14" t="s">
        <v>2583</v>
      </c>
    </row>
    <row r="1808">
      <c r="A1808" s="8" t="s">
        <v>1368</v>
      </c>
      <c r="B1808" s="8" t="s">
        <v>1367</v>
      </c>
      <c r="C1808" s="8" t="s">
        <v>70</v>
      </c>
      <c r="D1808" s="18" t="s">
        <v>2592</v>
      </c>
      <c r="E1808" s="16">
        <v>62.0</v>
      </c>
      <c r="F1808" s="8" t="s">
        <v>2124</v>
      </c>
      <c r="G1808" s="8" t="s">
        <v>3086</v>
      </c>
      <c r="H1808" s="8" t="s">
        <v>122</v>
      </c>
      <c r="I1808" s="18" t="s">
        <v>2582</v>
      </c>
      <c r="J1808" s="16">
        <v>71.0</v>
      </c>
      <c r="K1808" s="8" t="s">
        <v>598</v>
      </c>
      <c r="L1808" s="8" t="s">
        <v>597</v>
      </c>
      <c r="M1808" s="18" t="s">
        <v>2589</v>
      </c>
      <c r="N1808" s="16">
        <v>67.0</v>
      </c>
      <c r="O1808" s="8" t="s">
        <v>5744</v>
      </c>
      <c r="P1808" s="8" t="s">
        <v>75</v>
      </c>
      <c r="Q1808" s="14" t="s">
        <v>2033</v>
      </c>
      <c r="R1808" s="8" t="s">
        <v>2603</v>
      </c>
      <c r="S1808" s="14" t="s">
        <v>2579</v>
      </c>
    </row>
    <row r="1809">
      <c r="A1809" s="8" t="s">
        <v>1368</v>
      </c>
      <c r="B1809" s="8" t="s">
        <v>444</v>
      </c>
      <c r="C1809" s="8" t="s">
        <v>80</v>
      </c>
      <c r="D1809" s="18" t="s">
        <v>2584</v>
      </c>
      <c r="E1809" s="16">
        <v>62.0</v>
      </c>
      <c r="F1809" s="8" t="s">
        <v>2124</v>
      </c>
      <c r="G1809" s="8" t="s">
        <v>2081</v>
      </c>
      <c r="H1809" s="8" t="s">
        <v>12</v>
      </c>
      <c r="I1809" s="18" t="s">
        <v>2589</v>
      </c>
      <c r="J1809" s="16">
        <v>80.0</v>
      </c>
      <c r="K1809" s="8" t="s">
        <v>598</v>
      </c>
      <c r="L1809" s="8" t="s">
        <v>2818</v>
      </c>
      <c r="M1809" s="18" t="s">
        <v>2584</v>
      </c>
      <c r="N1809" s="16">
        <v>70.0</v>
      </c>
      <c r="O1809" s="8" t="s">
        <v>5745</v>
      </c>
      <c r="P1809" s="8" t="s">
        <v>16</v>
      </c>
      <c r="Q1809" s="14" t="s">
        <v>39</v>
      </c>
      <c r="R1809" s="8" t="s">
        <v>2572</v>
      </c>
      <c r="S1809" s="14" t="s">
        <v>2636</v>
      </c>
    </row>
    <row r="1810">
      <c r="A1810" s="8" t="s">
        <v>1746</v>
      </c>
      <c r="B1810" s="8" t="s">
        <v>500</v>
      </c>
      <c r="C1810" s="8" t="s">
        <v>65</v>
      </c>
      <c r="D1810" s="18" t="s">
        <v>2593</v>
      </c>
      <c r="E1810" s="16">
        <v>63.0</v>
      </c>
      <c r="F1810" s="8" t="s">
        <v>48</v>
      </c>
      <c r="G1810" s="8" t="s">
        <v>47</v>
      </c>
      <c r="H1810" s="8" t="s">
        <v>16</v>
      </c>
      <c r="I1810" s="18" t="s">
        <v>2572</v>
      </c>
      <c r="J1810" s="16">
        <v>84.0</v>
      </c>
      <c r="K1810" s="8" t="s">
        <v>1786</v>
      </c>
      <c r="L1810" s="8" t="s">
        <v>1835</v>
      </c>
      <c r="M1810" s="18" t="s">
        <v>2615</v>
      </c>
      <c r="N1810" s="16">
        <v>70.0</v>
      </c>
      <c r="O1810" s="8" t="s">
        <v>5746</v>
      </c>
      <c r="P1810" s="8" t="s">
        <v>65</v>
      </c>
      <c r="Q1810" s="14" t="s">
        <v>1070</v>
      </c>
      <c r="R1810" s="8" t="s">
        <v>2600</v>
      </c>
      <c r="S1810" s="14" t="s">
        <v>2590</v>
      </c>
    </row>
    <row r="1811">
      <c r="A1811" s="8" t="s">
        <v>2124</v>
      </c>
      <c r="B1811" s="8" t="s">
        <v>2081</v>
      </c>
      <c r="C1811" s="8" t="s">
        <v>12</v>
      </c>
      <c r="D1811" s="18" t="s">
        <v>2585</v>
      </c>
      <c r="E1811" s="16">
        <v>80.0</v>
      </c>
      <c r="F1811" s="8" t="s">
        <v>690</v>
      </c>
      <c r="G1811" s="8" t="s">
        <v>1155</v>
      </c>
      <c r="H1811" s="8" t="s">
        <v>65</v>
      </c>
      <c r="I1811" s="18" t="s">
        <v>2567</v>
      </c>
      <c r="J1811" s="16">
        <v>73.0</v>
      </c>
      <c r="K1811" s="8" t="s">
        <v>1786</v>
      </c>
      <c r="L1811" s="8" t="s">
        <v>308</v>
      </c>
      <c r="M1811" s="18" t="s">
        <v>2560</v>
      </c>
      <c r="N1811" s="16">
        <v>68.0</v>
      </c>
      <c r="O1811" s="8" t="s">
        <v>5747</v>
      </c>
      <c r="P1811" s="8" t="s">
        <v>93</v>
      </c>
      <c r="Q1811" s="14" t="s">
        <v>631</v>
      </c>
      <c r="R1811" s="8" t="s">
        <v>2615</v>
      </c>
      <c r="S1811" s="14" t="s">
        <v>2557</v>
      </c>
    </row>
    <row r="1812">
      <c r="A1812" s="8" t="s">
        <v>48</v>
      </c>
      <c r="B1812" s="8" t="s">
        <v>47</v>
      </c>
      <c r="C1812" s="8" t="s">
        <v>16</v>
      </c>
      <c r="D1812" s="18" t="s">
        <v>2572</v>
      </c>
      <c r="E1812" s="16">
        <v>84.0</v>
      </c>
      <c r="F1812" s="8" t="s">
        <v>690</v>
      </c>
      <c r="G1812" s="8" t="s">
        <v>689</v>
      </c>
      <c r="H1812" s="8" t="s">
        <v>93</v>
      </c>
      <c r="I1812" s="18" t="s">
        <v>2183</v>
      </c>
      <c r="J1812" s="16">
        <v>71.0</v>
      </c>
      <c r="K1812" s="8" t="s">
        <v>3036</v>
      </c>
      <c r="L1812" s="8" t="s">
        <v>1031</v>
      </c>
      <c r="M1812" s="18" t="s">
        <v>2581</v>
      </c>
      <c r="N1812" s="16">
        <v>63.0</v>
      </c>
      <c r="O1812" s="8" t="s">
        <v>5748</v>
      </c>
      <c r="P1812" s="8" t="s">
        <v>70</v>
      </c>
      <c r="Q1812" s="14" t="s">
        <v>1352</v>
      </c>
      <c r="R1812" s="8" t="s">
        <v>2620</v>
      </c>
      <c r="S1812" s="14" t="s">
        <v>2633</v>
      </c>
    </row>
    <row r="1813">
      <c r="A1813" s="8" t="s">
        <v>48</v>
      </c>
      <c r="B1813" s="8" t="s">
        <v>1663</v>
      </c>
      <c r="C1813" s="8" t="s">
        <v>59</v>
      </c>
      <c r="D1813" s="18" t="s">
        <v>2598</v>
      </c>
      <c r="E1813" s="16">
        <v>74.0</v>
      </c>
      <c r="F1813" s="8" t="s">
        <v>690</v>
      </c>
      <c r="G1813" s="8" t="s">
        <v>3081</v>
      </c>
      <c r="H1813" s="8" t="s">
        <v>24</v>
      </c>
      <c r="I1813" s="18" t="s">
        <v>2621</v>
      </c>
      <c r="J1813" s="16">
        <v>71.0</v>
      </c>
      <c r="K1813" s="8" t="s">
        <v>2347</v>
      </c>
      <c r="L1813" s="8" t="s">
        <v>268</v>
      </c>
      <c r="M1813" s="18" t="s">
        <v>2603</v>
      </c>
      <c r="N1813" s="16">
        <v>70.0</v>
      </c>
      <c r="O1813" s="8" t="s">
        <v>5749</v>
      </c>
      <c r="P1813" s="8" t="s">
        <v>16</v>
      </c>
      <c r="Q1813" s="14" t="s">
        <v>2033</v>
      </c>
      <c r="R1813" s="8" t="s">
        <v>2567</v>
      </c>
      <c r="S1813" s="14" t="s">
        <v>2618</v>
      </c>
    </row>
    <row r="1814">
      <c r="A1814" s="8" t="s">
        <v>690</v>
      </c>
      <c r="B1814" s="8" t="s">
        <v>1155</v>
      </c>
      <c r="C1814" s="8" t="s">
        <v>65</v>
      </c>
      <c r="D1814" s="18" t="s">
        <v>2567</v>
      </c>
      <c r="E1814" s="16">
        <v>72.0</v>
      </c>
      <c r="F1814" s="8" t="s">
        <v>3186</v>
      </c>
      <c r="G1814" s="8" t="s">
        <v>106</v>
      </c>
      <c r="H1814" s="8" t="s">
        <v>65</v>
      </c>
      <c r="I1814" s="18" t="s">
        <v>2587</v>
      </c>
      <c r="J1814" s="16">
        <v>77.0</v>
      </c>
      <c r="K1814" s="8" t="s">
        <v>939</v>
      </c>
      <c r="L1814" s="8" t="s">
        <v>537</v>
      </c>
      <c r="M1814" s="18" t="s">
        <v>2552</v>
      </c>
      <c r="N1814" s="16">
        <v>65.0</v>
      </c>
      <c r="O1814" s="8" t="s">
        <v>5750</v>
      </c>
      <c r="P1814" s="8" t="s">
        <v>93</v>
      </c>
      <c r="Q1814" s="14" t="s">
        <v>631</v>
      </c>
      <c r="R1814" s="8" t="s">
        <v>2567</v>
      </c>
      <c r="S1814" s="14" t="s">
        <v>2607</v>
      </c>
    </row>
    <row r="1815">
      <c r="A1815" s="8" t="s">
        <v>690</v>
      </c>
      <c r="B1815" s="8" t="s">
        <v>689</v>
      </c>
      <c r="C1815" s="8" t="s">
        <v>93</v>
      </c>
      <c r="D1815" s="18" t="s">
        <v>2183</v>
      </c>
      <c r="E1815" s="16">
        <v>75.0</v>
      </c>
      <c r="F1815" s="8" t="s">
        <v>668</v>
      </c>
      <c r="G1815" s="8" t="s">
        <v>2802</v>
      </c>
      <c r="H1815" s="8" t="s">
        <v>65</v>
      </c>
      <c r="I1815" s="18" t="s">
        <v>2585</v>
      </c>
      <c r="J1815" s="16">
        <v>85.0</v>
      </c>
      <c r="K1815" s="8" t="s">
        <v>1769</v>
      </c>
      <c r="L1815" s="8" t="s">
        <v>888</v>
      </c>
      <c r="M1815" s="18" t="s">
        <v>2564</v>
      </c>
      <c r="N1815" s="16">
        <v>74.0</v>
      </c>
      <c r="O1815" s="8" t="s">
        <v>5751</v>
      </c>
      <c r="P1815" s="8" t="s">
        <v>53</v>
      </c>
      <c r="Q1815" s="14" t="s">
        <v>1352</v>
      </c>
      <c r="R1815" s="18" t="s">
        <v>2589</v>
      </c>
      <c r="S1815" s="14" t="s">
        <v>2583</v>
      </c>
    </row>
    <row r="1816">
      <c r="A1816" s="8" t="s">
        <v>690</v>
      </c>
      <c r="B1816" s="8" t="s">
        <v>3081</v>
      </c>
      <c r="C1816" s="8" t="s">
        <v>24</v>
      </c>
      <c r="D1816" s="18" t="s">
        <v>2621</v>
      </c>
      <c r="E1816" s="16">
        <v>72.0</v>
      </c>
      <c r="F1816" s="8" t="s">
        <v>668</v>
      </c>
      <c r="G1816" s="8" t="s">
        <v>667</v>
      </c>
      <c r="H1816" s="8" t="s">
        <v>93</v>
      </c>
      <c r="I1816" s="18" t="s">
        <v>2603</v>
      </c>
      <c r="J1816" s="16">
        <v>70.0</v>
      </c>
      <c r="K1816" s="8" t="s">
        <v>642</v>
      </c>
      <c r="L1816" s="8" t="s">
        <v>641</v>
      </c>
      <c r="M1816" s="18" t="s">
        <v>2566</v>
      </c>
      <c r="N1816" s="16">
        <v>72.0</v>
      </c>
      <c r="O1816" s="8" t="s">
        <v>5752</v>
      </c>
      <c r="P1816" s="8" t="s">
        <v>122</v>
      </c>
      <c r="Q1816" s="14" t="s">
        <v>2033</v>
      </c>
      <c r="R1816" s="8" t="s">
        <v>2554</v>
      </c>
      <c r="S1816" s="14" t="s">
        <v>2576</v>
      </c>
    </row>
    <row r="1817">
      <c r="A1817" s="8" t="s">
        <v>690</v>
      </c>
      <c r="B1817" s="8" t="s">
        <v>62</v>
      </c>
      <c r="C1817" s="8" t="s">
        <v>192</v>
      </c>
      <c r="D1817" s="18" t="s">
        <v>2587</v>
      </c>
      <c r="E1817" s="16">
        <v>68.0</v>
      </c>
      <c r="F1817" s="8" t="s">
        <v>1639</v>
      </c>
      <c r="G1817" s="8" t="s">
        <v>1638</v>
      </c>
      <c r="H1817" s="8" t="s">
        <v>59</v>
      </c>
      <c r="I1817" s="18" t="s">
        <v>2585</v>
      </c>
      <c r="J1817" s="16">
        <v>63.0</v>
      </c>
      <c r="K1817" s="8" t="s">
        <v>642</v>
      </c>
      <c r="L1817" s="8" t="s">
        <v>2380</v>
      </c>
      <c r="M1817" s="18" t="s">
        <v>2587</v>
      </c>
      <c r="N1817" s="16">
        <v>68.0</v>
      </c>
      <c r="O1817" s="8" t="s">
        <v>5753</v>
      </c>
      <c r="P1817" s="8" t="s">
        <v>122</v>
      </c>
      <c r="Q1817" s="14" t="s">
        <v>2033</v>
      </c>
      <c r="R1817" s="8" t="s">
        <v>2603</v>
      </c>
      <c r="S1817" s="14" t="s">
        <v>2573</v>
      </c>
    </row>
    <row r="1818">
      <c r="A1818" s="8" t="s">
        <v>3186</v>
      </c>
      <c r="B1818" s="8" t="s">
        <v>106</v>
      </c>
      <c r="C1818" s="8" t="s">
        <v>65</v>
      </c>
      <c r="D1818" s="18" t="s">
        <v>2574</v>
      </c>
      <c r="E1818" s="16">
        <v>76.0</v>
      </c>
      <c r="F1818" s="8" t="s">
        <v>1107</v>
      </c>
      <c r="G1818" s="8" t="s">
        <v>99</v>
      </c>
      <c r="H1818" s="8" t="s">
        <v>59</v>
      </c>
      <c r="I1818" s="18" t="s">
        <v>2582</v>
      </c>
      <c r="J1818" s="16">
        <v>76.0</v>
      </c>
      <c r="K1818" s="8" t="s">
        <v>1487</v>
      </c>
      <c r="L1818" s="8" t="s">
        <v>282</v>
      </c>
      <c r="M1818" s="18" t="s">
        <v>2572</v>
      </c>
      <c r="N1818" s="16">
        <v>70.0</v>
      </c>
      <c r="O1818" s="8" t="s">
        <v>5754</v>
      </c>
      <c r="P1818" s="8" t="s">
        <v>186</v>
      </c>
      <c r="Q1818" s="14" t="s">
        <v>1070</v>
      </c>
      <c r="R1818" s="8" t="s">
        <v>2610</v>
      </c>
      <c r="S1818" s="14" t="s">
        <v>2601</v>
      </c>
    </row>
    <row r="1819">
      <c r="A1819" s="8" t="s">
        <v>668</v>
      </c>
      <c r="B1819" s="8" t="s">
        <v>667</v>
      </c>
      <c r="C1819" s="8" t="s">
        <v>93</v>
      </c>
      <c r="D1819" s="18" t="s">
        <v>2615</v>
      </c>
      <c r="E1819" s="16">
        <v>69.0</v>
      </c>
      <c r="F1819" s="8" t="s">
        <v>1107</v>
      </c>
      <c r="G1819" s="8" t="s">
        <v>106</v>
      </c>
      <c r="H1819" s="8" t="s">
        <v>186</v>
      </c>
      <c r="I1819" s="18" t="s">
        <v>2587</v>
      </c>
      <c r="J1819" s="16">
        <v>74.0</v>
      </c>
      <c r="K1819" s="8" t="s">
        <v>2101</v>
      </c>
      <c r="L1819" s="8" t="s">
        <v>2100</v>
      </c>
      <c r="M1819" s="18" t="s">
        <v>2567</v>
      </c>
      <c r="N1819" s="16">
        <v>72.0</v>
      </c>
      <c r="O1819" s="8" t="s">
        <v>5755</v>
      </c>
      <c r="P1819" s="8" t="s">
        <v>59</v>
      </c>
      <c r="Q1819" s="14" t="s">
        <v>1070</v>
      </c>
      <c r="R1819" s="8" t="s">
        <v>2558</v>
      </c>
      <c r="S1819" s="14" t="s">
        <v>2607</v>
      </c>
    </row>
    <row r="1820">
      <c r="A1820" s="8" t="s">
        <v>668</v>
      </c>
      <c r="B1820" s="8" t="s">
        <v>2802</v>
      </c>
      <c r="C1820" s="8" t="s">
        <v>65</v>
      </c>
      <c r="D1820" s="18" t="s">
        <v>2582</v>
      </c>
      <c r="E1820" s="16">
        <v>81.0</v>
      </c>
      <c r="F1820" s="8" t="s">
        <v>340</v>
      </c>
      <c r="G1820" s="8" t="s">
        <v>339</v>
      </c>
      <c r="H1820" s="8" t="s">
        <v>93</v>
      </c>
      <c r="I1820" s="18" t="s">
        <v>2605</v>
      </c>
      <c r="J1820" s="16">
        <v>81.0</v>
      </c>
      <c r="K1820" s="8" t="s">
        <v>1274</v>
      </c>
      <c r="L1820" s="8" t="s">
        <v>1273</v>
      </c>
      <c r="M1820" s="18" t="s">
        <v>2603</v>
      </c>
      <c r="N1820" s="16">
        <v>69.0</v>
      </c>
      <c r="O1820" s="8" t="s">
        <v>5756</v>
      </c>
      <c r="P1820" s="8" t="s">
        <v>93</v>
      </c>
      <c r="Q1820" s="14" t="s">
        <v>338</v>
      </c>
      <c r="R1820" s="8" t="s">
        <v>2605</v>
      </c>
      <c r="S1820" s="14" t="s">
        <v>2599</v>
      </c>
    </row>
    <row r="1821">
      <c r="A1821" s="8" t="s">
        <v>1107</v>
      </c>
      <c r="B1821" s="8" t="s">
        <v>106</v>
      </c>
      <c r="C1821" s="8" t="s">
        <v>186</v>
      </c>
      <c r="D1821" s="18" t="s">
        <v>2587</v>
      </c>
      <c r="E1821" s="16">
        <v>73.0</v>
      </c>
      <c r="F1821" s="8" t="s">
        <v>340</v>
      </c>
      <c r="G1821" s="8" t="s">
        <v>3313</v>
      </c>
      <c r="H1821" s="8" t="s">
        <v>93</v>
      </c>
      <c r="I1821" s="18" t="s">
        <v>2585</v>
      </c>
      <c r="J1821" s="16">
        <v>62.0</v>
      </c>
      <c r="K1821" s="8" t="s">
        <v>1173</v>
      </c>
      <c r="L1821" s="8" t="s">
        <v>61</v>
      </c>
      <c r="M1821" s="18" t="s">
        <v>2598</v>
      </c>
      <c r="N1821" s="16">
        <v>64.0</v>
      </c>
      <c r="O1821" s="8" t="s">
        <v>5757</v>
      </c>
      <c r="P1821" s="8" t="s">
        <v>70</v>
      </c>
      <c r="Q1821" s="14" t="s">
        <v>2296</v>
      </c>
      <c r="R1821" s="8" t="s">
        <v>2598</v>
      </c>
      <c r="S1821" s="14" t="s">
        <v>2583</v>
      </c>
    </row>
    <row r="1822">
      <c r="A1822" s="8" t="s">
        <v>1107</v>
      </c>
      <c r="B1822" s="8" t="s">
        <v>99</v>
      </c>
      <c r="C1822" s="8" t="s">
        <v>59</v>
      </c>
      <c r="D1822" s="18" t="s">
        <v>2582</v>
      </c>
      <c r="E1822" s="16">
        <v>77.0</v>
      </c>
      <c r="F1822" s="8" t="s">
        <v>2700</v>
      </c>
      <c r="G1822" s="8" t="s">
        <v>858</v>
      </c>
      <c r="H1822" s="8" t="s">
        <v>65</v>
      </c>
      <c r="I1822" s="18" t="s">
        <v>2567</v>
      </c>
      <c r="J1822" s="16">
        <v>65.0</v>
      </c>
      <c r="K1822" s="8" t="s">
        <v>1173</v>
      </c>
      <c r="L1822" s="8" t="s">
        <v>1582</v>
      </c>
      <c r="M1822" s="18" t="s">
        <v>2183</v>
      </c>
      <c r="N1822" s="16">
        <v>78.0</v>
      </c>
      <c r="O1822" s="8" t="s">
        <v>5758</v>
      </c>
      <c r="P1822" s="8" t="s">
        <v>65</v>
      </c>
      <c r="Q1822" s="14" t="s">
        <v>2296</v>
      </c>
      <c r="R1822" s="8" t="s">
        <v>2560</v>
      </c>
      <c r="S1822" s="14" t="s">
        <v>2594</v>
      </c>
    </row>
    <row r="1823">
      <c r="A1823" s="8" t="s">
        <v>340</v>
      </c>
      <c r="B1823" s="8" t="s">
        <v>339</v>
      </c>
      <c r="C1823" s="8" t="s">
        <v>93</v>
      </c>
      <c r="D1823" s="18" t="s">
        <v>2584</v>
      </c>
      <c r="E1823" s="16">
        <v>83.0</v>
      </c>
      <c r="F1823" s="8" t="s">
        <v>1148</v>
      </c>
      <c r="G1823" s="8" t="s">
        <v>1147</v>
      </c>
      <c r="H1823" s="8" t="s">
        <v>93</v>
      </c>
      <c r="I1823" s="18" t="s">
        <v>2554</v>
      </c>
      <c r="J1823" s="16">
        <v>71.0</v>
      </c>
      <c r="K1823" s="8" t="s">
        <v>1173</v>
      </c>
      <c r="L1823" s="8" t="s">
        <v>267</v>
      </c>
      <c r="M1823" s="18" t="s">
        <v>2558</v>
      </c>
      <c r="N1823" s="16">
        <v>62.0</v>
      </c>
      <c r="O1823" s="8" t="s">
        <v>5759</v>
      </c>
      <c r="P1823" s="8" t="s">
        <v>192</v>
      </c>
      <c r="Q1823" s="14" t="s">
        <v>1070</v>
      </c>
      <c r="R1823" s="8" t="s">
        <v>2554</v>
      </c>
      <c r="S1823" s="14" t="s">
        <v>2590</v>
      </c>
    </row>
    <row r="1824">
      <c r="A1824" s="8" t="s">
        <v>340</v>
      </c>
      <c r="B1824" s="8" t="s">
        <v>3313</v>
      </c>
      <c r="C1824" s="8" t="s">
        <v>93</v>
      </c>
      <c r="D1824" s="18" t="s">
        <v>2585</v>
      </c>
      <c r="E1824" s="16">
        <v>63.0</v>
      </c>
      <c r="F1824" s="8" t="s">
        <v>1576</v>
      </c>
      <c r="G1824" s="8" t="s">
        <v>3268</v>
      </c>
      <c r="H1824" s="8" t="s">
        <v>59</v>
      </c>
      <c r="I1824" s="18" t="s">
        <v>2620</v>
      </c>
      <c r="J1824" s="16">
        <v>57.0</v>
      </c>
      <c r="K1824" s="8" t="s">
        <v>286</v>
      </c>
      <c r="L1824" s="8" t="s">
        <v>284</v>
      </c>
      <c r="M1824" s="18" t="s">
        <v>2581</v>
      </c>
      <c r="N1824" s="16">
        <v>85.0</v>
      </c>
      <c r="O1824" s="8" t="s">
        <v>5760</v>
      </c>
      <c r="P1824" s="8" t="s">
        <v>186</v>
      </c>
      <c r="Q1824" s="14" t="s">
        <v>1352</v>
      </c>
      <c r="R1824" s="8" t="s">
        <v>2581</v>
      </c>
      <c r="S1824" s="14" t="s">
        <v>2618</v>
      </c>
    </row>
    <row r="1825">
      <c r="A1825" s="8" t="s">
        <v>2700</v>
      </c>
      <c r="B1825" s="8" t="s">
        <v>858</v>
      </c>
      <c r="C1825" s="8" t="s">
        <v>65</v>
      </c>
      <c r="D1825" s="18" t="s">
        <v>2567</v>
      </c>
      <c r="E1825" s="16">
        <v>64.0</v>
      </c>
      <c r="F1825" s="8" t="s">
        <v>900</v>
      </c>
      <c r="G1825" s="8" t="s">
        <v>451</v>
      </c>
      <c r="H1825" s="8" t="s">
        <v>93</v>
      </c>
      <c r="I1825" s="18" t="s">
        <v>2567</v>
      </c>
      <c r="J1825" s="16">
        <v>74.0</v>
      </c>
      <c r="K1825" s="8" t="s">
        <v>286</v>
      </c>
      <c r="L1825" s="8" t="s">
        <v>284</v>
      </c>
      <c r="M1825" s="18" t="s">
        <v>2581</v>
      </c>
      <c r="N1825" s="16">
        <v>88.0</v>
      </c>
      <c r="O1825" s="8" t="s">
        <v>5761</v>
      </c>
      <c r="P1825" s="8" t="s">
        <v>93</v>
      </c>
      <c r="Q1825" s="14" t="s">
        <v>2296</v>
      </c>
      <c r="R1825" s="8" t="s">
        <v>2584</v>
      </c>
      <c r="S1825" s="14" t="s">
        <v>2594</v>
      </c>
    </row>
    <row r="1826">
      <c r="A1826" s="8" t="s">
        <v>1148</v>
      </c>
      <c r="B1826" s="8" t="s">
        <v>1147</v>
      </c>
      <c r="C1826" s="8" t="s">
        <v>93</v>
      </c>
      <c r="D1826" s="18" t="s">
        <v>2554</v>
      </c>
      <c r="E1826" s="16">
        <v>74.0</v>
      </c>
      <c r="F1826" s="8" t="s">
        <v>900</v>
      </c>
      <c r="G1826" s="8" t="s">
        <v>1681</v>
      </c>
      <c r="H1826" s="8" t="s">
        <v>65</v>
      </c>
      <c r="I1826" s="18" t="s">
        <v>2575</v>
      </c>
      <c r="J1826" s="16">
        <v>62.0</v>
      </c>
      <c r="K1826" s="8" t="s">
        <v>1444</v>
      </c>
      <c r="L1826" s="8" t="s">
        <v>154</v>
      </c>
      <c r="M1826" s="18" t="s">
        <v>2585</v>
      </c>
      <c r="N1826" s="16">
        <v>90.0</v>
      </c>
      <c r="O1826" s="8" t="s">
        <v>5762</v>
      </c>
      <c r="P1826" s="8" t="s">
        <v>75</v>
      </c>
      <c r="Q1826" s="14" t="s">
        <v>2033</v>
      </c>
      <c r="R1826" s="8" t="s">
        <v>2567</v>
      </c>
      <c r="S1826" s="14" t="s">
        <v>2604</v>
      </c>
    </row>
    <row r="1827">
      <c r="A1827" s="8" t="s">
        <v>1576</v>
      </c>
      <c r="B1827" s="8" t="s">
        <v>3268</v>
      </c>
      <c r="C1827" s="8" t="s">
        <v>59</v>
      </c>
      <c r="D1827" s="18" t="s">
        <v>2564</v>
      </c>
      <c r="E1827" s="16">
        <v>57.0</v>
      </c>
      <c r="F1827" s="8" t="s">
        <v>900</v>
      </c>
      <c r="G1827" s="8" t="s">
        <v>2924</v>
      </c>
      <c r="H1827" s="8" t="s">
        <v>192</v>
      </c>
      <c r="I1827" s="18" t="s">
        <v>2598</v>
      </c>
      <c r="J1827" s="16">
        <v>60.0</v>
      </c>
      <c r="K1827" s="8" t="s">
        <v>1444</v>
      </c>
      <c r="L1827" s="8" t="s">
        <v>154</v>
      </c>
      <c r="M1827" s="18" t="s">
        <v>2585</v>
      </c>
      <c r="N1827" s="16">
        <v>85.0</v>
      </c>
      <c r="O1827" s="8" t="s">
        <v>5763</v>
      </c>
      <c r="P1827" s="8" t="s">
        <v>80</v>
      </c>
      <c r="Q1827" s="14" t="s">
        <v>2033</v>
      </c>
      <c r="R1827" s="8" t="s">
        <v>2574</v>
      </c>
      <c r="S1827" s="14" t="s">
        <v>2612</v>
      </c>
    </row>
    <row r="1828">
      <c r="A1828" s="8" t="s">
        <v>900</v>
      </c>
      <c r="B1828" s="8" t="s">
        <v>899</v>
      </c>
      <c r="C1828" s="8" t="s">
        <v>65</v>
      </c>
      <c r="D1828" s="18" t="s">
        <v>2560</v>
      </c>
      <c r="E1828" s="16">
        <v>63.0</v>
      </c>
      <c r="F1828" s="8" t="s">
        <v>900</v>
      </c>
      <c r="G1828" s="8" t="s">
        <v>899</v>
      </c>
      <c r="H1828" s="8" t="s">
        <v>65</v>
      </c>
      <c r="I1828" s="18" t="s">
        <v>2560</v>
      </c>
      <c r="J1828" s="16">
        <v>79.0</v>
      </c>
      <c r="K1828" s="8" t="s">
        <v>485</v>
      </c>
      <c r="L1828" s="8" t="s">
        <v>484</v>
      </c>
      <c r="M1828" s="18" t="s">
        <v>2600</v>
      </c>
      <c r="N1828" s="16">
        <v>77.0</v>
      </c>
      <c r="O1828" s="8" t="s">
        <v>5764</v>
      </c>
      <c r="P1828" s="8" t="s">
        <v>65</v>
      </c>
      <c r="Q1828" s="14" t="s">
        <v>1679</v>
      </c>
      <c r="R1828" s="8" t="s">
        <v>2575</v>
      </c>
      <c r="S1828" s="14" t="s">
        <v>2576</v>
      </c>
    </row>
    <row r="1829">
      <c r="A1829" s="8" t="s">
        <v>3026</v>
      </c>
      <c r="B1829" s="8" t="s">
        <v>3025</v>
      </c>
      <c r="C1829" s="8" t="s">
        <v>93</v>
      </c>
      <c r="D1829" s="18" t="s">
        <v>2558</v>
      </c>
      <c r="E1829" s="16">
        <v>72.0</v>
      </c>
      <c r="F1829" s="8" t="s">
        <v>3026</v>
      </c>
      <c r="G1829" s="8" t="s">
        <v>3025</v>
      </c>
      <c r="H1829" s="8" t="s">
        <v>93</v>
      </c>
      <c r="I1829" s="18" t="s">
        <v>2558</v>
      </c>
      <c r="J1829" s="16">
        <v>73.0</v>
      </c>
      <c r="K1829" s="8" t="s">
        <v>370</v>
      </c>
      <c r="L1829" s="8" t="s">
        <v>369</v>
      </c>
      <c r="M1829" s="18" t="s">
        <v>2566</v>
      </c>
      <c r="N1829" s="16">
        <v>76.0</v>
      </c>
      <c r="O1829" s="8" t="s">
        <v>5765</v>
      </c>
      <c r="P1829" s="8" t="s">
        <v>65</v>
      </c>
      <c r="Q1829" s="14" t="s">
        <v>837</v>
      </c>
      <c r="R1829" s="8" t="s">
        <v>2560</v>
      </c>
      <c r="S1829" s="14" t="s">
        <v>2608</v>
      </c>
    </row>
    <row r="1830">
      <c r="A1830" s="8" t="s">
        <v>3226</v>
      </c>
      <c r="B1830" s="8" t="s">
        <v>3225</v>
      </c>
      <c r="C1830" s="8" t="s">
        <v>192</v>
      </c>
      <c r="D1830" s="18" t="s">
        <v>2562</v>
      </c>
      <c r="E1830" s="16">
        <v>75.0</v>
      </c>
      <c r="F1830" s="8" t="s">
        <v>3226</v>
      </c>
      <c r="G1830" s="8" t="s">
        <v>3225</v>
      </c>
      <c r="H1830" s="8" t="s">
        <v>192</v>
      </c>
      <c r="I1830" s="18" t="s">
        <v>2605</v>
      </c>
      <c r="J1830" s="16">
        <v>80.0</v>
      </c>
      <c r="K1830" s="8" t="s">
        <v>315</v>
      </c>
      <c r="L1830" s="8" t="s">
        <v>2663</v>
      </c>
      <c r="M1830" s="18" t="s">
        <v>2614</v>
      </c>
      <c r="N1830" s="16">
        <v>63.0</v>
      </c>
      <c r="O1830" s="8" t="s">
        <v>5766</v>
      </c>
      <c r="P1830" s="8" t="s">
        <v>59</v>
      </c>
      <c r="Q1830" s="14" t="s">
        <v>2033</v>
      </c>
      <c r="R1830" s="8" t="s">
        <v>2584</v>
      </c>
      <c r="S1830" s="14" t="s">
        <v>2579</v>
      </c>
    </row>
    <row r="1831">
      <c r="A1831" s="8" t="s">
        <v>804</v>
      </c>
      <c r="B1831" s="8" t="s">
        <v>3596</v>
      </c>
      <c r="C1831" s="8" t="s">
        <v>138</v>
      </c>
      <c r="D1831" s="18" t="s">
        <v>2593</v>
      </c>
      <c r="E1831" s="16">
        <v>76.0</v>
      </c>
      <c r="F1831" s="8" t="s">
        <v>804</v>
      </c>
      <c r="G1831" s="8" t="s">
        <v>3227</v>
      </c>
      <c r="H1831" s="8" t="s">
        <v>122</v>
      </c>
      <c r="I1831" s="18" t="s">
        <v>2585</v>
      </c>
      <c r="J1831" s="16">
        <v>76.0</v>
      </c>
      <c r="K1831" s="8" t="s">
        <v>315</v>
      </c>
      <c r="L1831" s="8" t="s">
        <v>97</v>
      </c>
      <c r="M1831" s="18" t="s">
        <v>2564</v>
      </c>
      <c r="N1831" s="16">
        <v>74.0</v>
      </c>
      <c r="O1831" s="8" t="s">
        <v>5767</v>
      </c>
      <c r="P1831" s="8" t="s">
        <v>93</v>
      </c>
      <c r="Q1831" s="14" t="s">
        <v>2033</v>
      </c>
      <c r="R1831" s="8" t="s">
        <v>2567</v>
      </c>
      <c r="S1831" s="14" t="s">
        <v>2553</v>
      </c>
    </row>
    <row r="1832">
      <c r="A1832" s="8" t="s">
        <v>804</v>
      </c>
      <c r="B1832" s="8" t="s">
        <v>3227</v>
      </c>
      <c r="C1832" s="8" t="s">
        <v>215</v>
      </c>
      <c r="D1832" s="18" t="s">
        <v>2585</v>
      </c>
      <c r="E1832" s="16">
        <v>70.0</v>
      </c>
      <c r="F1832" s="8" t="s">
        <v>804</v>
      </c>
      <c r="G1832" s="8" t="s">
        <v>946</v>
      </c>
      <c r="H1832" s="8" t="s">
        <v>138</v>
      </c>
      <c r="I1832" s="18" t="s">
        <v>2603</v>
      </c>
      <c r="J1832" s="16">
        <v>65.0</v>
      </c>
      <c r="K1832" s="8" t="s">
        <v>315</v>
      </c>
      <c r="L1832" s="8" t="s">
        <v>314</v>
      </c>
      <c r="M1832" s="18" t="s">
        <v>2585</v>
      </c>
      <c r="N1832" s="16">
        <v>87.0</v>
      </c>
      <c r="O1832" s="8" t="s">
        <v>5768</v>
      </c>
      <c r="P1832" s="8" t="s">
        <v>122</v>
      </c>
      <c r="Q1832" s="14" t="s">
        <v>2459</v>
      </c>
      <c r="R1832" s="8" t="s">
        <v>2560</v>
      </c>
      <c r="S1832" s="14" t="s">
        <v>2607</v>
      </c>
    </row>
    <row r="1833">
      <c r="A1833" s="8" t="s">
        <v>804</v>
      </c>
      <c r="B1833" s="8" t="s">
        <v>890</v>
      </c>
      <c r="C1833" s="8" t="s">
        <v>93</v>
      </c>
      <c r="D1833" s="18" t="s">
        <v>2582</v>
      </c>
      <c r="E1833" s="16">
        <v>72.0</v>
      </c>
      <c r="F1833" s="8" t="s">
        <v>804</v>
      </c>
      <c r="G1833" s="8" t="s">
        <v>890</v>
      </c>
      <c r="H1833" s="8" t="s">
        <v>93</v>
      </c>
      <c r="I1833" s="18" t="s">
        <v>2582</v>
      </c>
      <c r="J1833" s="16">
        <v>71.0</v>
      </c>
      <c r="K1833" s="8" t="s">
        <v>74</v>
      </c>
      <c r="L1833" s="8" t="s">
        <v>260</v>
      </c>
      <c r="M1833" s="18" t="s">
        <v>2585</v>
      </c>
      <c r="N1833" s="16">
        <v>68.0</v>
      </c>
      <c r="O1833" s="8" t="s">
        <v>5769</v>
      </c>
      <c r="P1833" s="8" t="s">
        <v>215</v>
      </c>
      <c r="Q1833" s="14" t="s">
        <v>2033</v>
      </c>
      <c r="R1833" s="18" t="s">
        <v>2556</v>
      </c>
      <c r="S1833" s="14" t="s">
        <v>2594</v>
      </c>
    </row>
    <row r="1834">
      <c r="A1834" s="8" t="s">
        <v>804</v>
      </c>
      <c r="B1834" s="8" t="s">
        <v>946</v>
      </c>
      <c r="C1834" s="8" t="s">
        <v>122</v>
      </c>
      <c r="D1834" s="18" t="s">
        <v>2603</v>
      </c>
      <c r="E1834" s="16">
        <v>65.0</v>
      </c>
      <c r="F1834" s="8" t="s">
        <v>804</v>
      </c>
      <c r="G1834" s="8" t="s">
        <v>803</v>
      </c>
      <c r="H1834" s="8" t="s">
        <v>75</v>
      </c>
      <c r="I1834" s="18" t="s">
        <v>2621</v>
      </c>
      <c r="J1834" s="16">
        <v>81.0</v>
      </c>
      <c r="K1834" s="8" t="s">
        <v>612</v>
      </c>
      <c r="L1834" s="8" t="s">
        <v>611</v>
      </c>
      <c r="M1834" s="18" t="s">
        <v>2554</v>
      </c>
      <c r="N1834" s="16">
        <v>83.0</v>
      </c>
      <c r="O1834" s="8" t="s">
        <v>5770</v>
      </c>
      <c r="P1834" s="8" t="s">
        <v>93</v>
      </c>
      <c r="Q1834" s="14" t="s">
        <v>837</v>
      </c>
      <c r="R1834" s="8" t="s">
        <v>2582</v>
      </c>
      <c r="S1834" s="14" t="s">
        <v>2590</v>
      </c>
    </row>
    <row r="1835">
      <c r="A1835" s="8" t="s">
        <v>804</v>
      </c>
      <c r="B1835" s="8" t="s">
        <v>1565</v>
      </c>
      <c r="C1835" s="8" t="s">
        <v>65</v>
      </c>
      <c r="D1835" s="18" t="s">
        <v>2585</v>
      </c>
      <c r="E1835" s="16">
        <v>70.0</v>
      </c>
      <c r="F1835" s="18" t="s">
        <v>1941</v>
      </c>
      <c r="G1835" s="8" t="s">
        <v>1310</v>
      </c>
      <c r="H1835" s="8" t="s">
        <v>65</v>
      </c>
      <c r="I1835" s="18" t="s">
        <v>2552</v>
      </c>
      <c r="J1835" s="16">
        <v>61.0</v>
      </c>
      <c r="K1835" s="8" t="s">
        <v>612</v>
      </c>
      <c r="L1835" s="8" t="s">
        <v>1172</v>
      </c>
      <c r="M1835" s="18" t="s">
        <v>2595</v>
      </c>
      <c r="N1835" s="16">
        <v>68.0</v>
      </c>
      <c r="O1835" s="8" t="s">
        <v>5771</v>
      </c>
      <c r="P1835" s="8" t="s">
        <v>70</v>
      </c>
      <c r="Q1835" s="14" t="s">
        <v>1679</v>
      </c>
      <c r="R1835" s="8" t="s">
        <v>2610</v>
      </c>
      <c r="S1835" s="14" t="s">
        <v>2594</v>
      </c>
    </row>
    <row r="1836">
      <c r="A1836" s="8" t="s">
        <v>804</v>
      </c>
      <c r="B1836" s="8" t="s">
        <v>3830</v>
      </c>
      <c r="C1836" s="8" t="s">
        <v>141</v>
      </c>
      <c r="D1836" s="18" t="s">
        <v>2577</v>
      </c>
      <c r="E1836" s="16">
        <v>59.0</v>
      </c>
      <c r="F1836" s="8" t="s">
        <v>5772</v>
      </c>
      <c r="G1836" s="8" t="s">
        <v>525</v>
      </c>
      <c r="H1836" s="8" t="s">
        <v>215</v>
      </c>
      <c r="I1836" s="18" t="s">
        <v>2598</v>
      </c>
      <c r="J1836" s="16">
        <v>75.0</v>
      </c>
      <c r="K1836" s="8" t="s">
        <v>2838</v>
      </c>
      <c r="L1836" s="8" t="s">
        <v>2837</v>
      </c>
      <c r="M1836" s="18" t="s">
        <v>2587</v>
      </c>
      <c r="N1836" s="16">
        <v>66.0</v>
      </c>
      <c r="O1836" s="8" t="s">
        <v>5773</v>
      </c>
      <c r="P1836" s="8" t="s">
        <v>138</v>
      </c>
      <c r="Q1836" s="14" t="s">
        <v>1070</v>
      </c>
      <c r="R1836" s="8" t="s">
        <v>2603</v>
      </c>
      <c r="S1836" s="14" t="s">
        <v>2622</v>
      </c>
    </row>
    <row r="1837">
      <c r="A1837" s="8" t="s">
        <v>804</v>
      </c>
      <c r="B1837" s="8" t="s">
        <v>803</v>
      </c>
      <c r="C1837" s="8" t="s">
        <v>75</v>
      </c>
      <c r="D1837" s="18" t="s">
        <v>2621</v>
      </c>
      <c r="E1837" s="16">
        <v>68.0</v>
      </c>
      <c r="F1837" s="8" t="s">
        <v>2189</v>
      </c>
      <c r="G1837" s="8" t="s">
        <v>2188</v>
      </c>
      <c r="H1837" s="8" t="s">
        <v>59</v>
      </c>
      <c r="I1837" s="18" t="s">
        <v>2581</v>
      </c>
      <c r="J1837" s="16">
        <v>72.0</v>
      </c>
      <c r="K1837" s="8" t="s">
        <v>1563</v>
      </c>
      <c r="L1837" s="8" t="s">
        <v>1967</v>
      </c>
      <c r="M1837" s="18" t="s">
        <v>2589</v>
      </c>
      <c r="N1837" s="16">
        <v>72.0</v>
      </c>
      <c r="O1837" s="8" t="s">
        <v>5774</v>
      </c>
      <c r="P1837" s="8" t="s">
        <v>75</v>
      </c>
      <c r="Q1837" s="14" t="s">
        <v>631</v>
      </c>
      <c r="R1837" s="8" t="s">
        <v>2587</v>
      </c>
      <c r="S1837" s="14" t="s">
        <v>2586</v>
      </c>
    </row>
    <row r="1838">
      <c r="A1838" s="8" t="s">
        <v>5772</v>
      </c>
      <c r="B1838" s="8" t="s">
        <v>525</v>
      </c>
      <c r="C1838" s="8" t="s">
        <v>215</v>
      </c>
      <c r="D1838" s="18" t="s">
        <v>2598</v>
      </c>
      <c r="E1838" s="16">
        <v>74.0</v>
      </c>
      <c r="F1838" s="8" t="s">
        <v>191</v>
      </c>
      <c r="G1838" s="8" t="s">
        <v>190</v>
      </c>
      <c r="H1838" s="8" t="s">
        <v>80</v>
      </c>
      <c r="I1838" s="18" t="s">
        <v>2595</v>
      </c>
      <c r="J1838" s="16">
        <v>75.0</v>
      </c>
      <c r="K1838" s="8" t="s">
        <v>1452</v>
      </c>
      <c r="L1838" s="8" t="s">
        <v>1451</v>
      </c>
      <c r="M1838" s="18" t="s">
        <v>2614</v>
      </c>
      <c r="N1838" s="16">
        <v>67.0</v>
      </c>
      <c r="O1838" s="18" t="s">
        <v>5775</v>
      </c>
      <c r="P1838" s="8" t="s">
        <v>132</v>
      </c>
      <c r="Q1838" s="14" t="s">
        <v>1679</v>
      </c>
      <c r="R1838" s="8" t="s">
        <v>2575</v>
      </c>
      <c r="S1838" s="14" t="s">
        <v>2612</v>
      </c>
    </row>
    <row r="1839">
      <c r="A1839" s="8" t="s">
        <v>191</v>
      </c>
      <c r="B1839" s="8" t="s">
        <v>190</v>
      </c>
      <c r="C1839" s="8" t="s">
        <v>80</v>
      </c>
      <c r="D1839" s="18" t="s">
        <v>2554</v>
      </c>
      <c r="E1839" s="16">
        <v>77.0</v>
      </c>
      <c r="F1839" s="8" t="s">
        <v>988</v>
      </c>
      <c r="G1839" s="8" t="s">
        <v>987</v>
      </c>
      <c r="H1839" s="8" t="s">
        <v>70</v>
      </c>
      <c r="I1839" s="18" t="s">
        <v>2585</v>
      </c>
      <c r="J1839" s="16">
        <v>60.0</v>
      </c>
      <c r="K1839" s="8" t="s">
        <v>1961</v>
      </c>
      <c r="L1839" s="8" t="s">
        <v>1960</v>
      </c>
      <c r="M1839" s="18" t="s">
        <v>2567</v>
      </c>
      <c r="N1839" s="16">
        <v>78.0</v>
      </c>
      <c r="O1839" s="8" t="s">
        <v>5776</v>
      </c>
      <c r="P1839" s="8" t="s">
        <v>122</v>
      </c>
      <c r="Q1839" s="14" t="s">
        <v>459</v>
      </c>
      <c r="R1839" s="8" t="s">
        <v>2598</v>
      </c>
      <c r="S1839" s="14" t="s">
        <v>2622</v>
      </c>
    </row>
    <row r="1840">
      <c r="A1840" s="8" t="s">
        <v>988</v>
      </c>
      <c r="B1840" s="8" t="s">
        <v>987</v>
      </c>
      <c r="C1840" s="8" t="s">
        <v>70</v>
      </c>
      <c r="D1840" s="18" t="s">
        <v>2615</v>
      </c>
      <c r="E1840" s="16">
        <v>67.0</v>
      </c>
      <c r="F1840" s="8" t="s">
        <v>1272</v>
      </c>
      <c r="G1840" s="8" t="s">
        <v>1271</v>
      </c>
      <c r="H1840" s="8" t="s">
        <v>138</v>
      </c>
      <c r="I1840" s="18" t="s">
        <v>2183</v>
      </c>
      <c r="J1840" s="16">
        <v>65.0</v>
      </c>
      <c r="K1840" s="8" t="s">
        <v>2655</v>
      </c>
      <c r="L1840" s="8" t="s">
        <v>460</v>
      </c>
      <c r="M1840" s="18" t="s">
        <v>2598</v>
      </c>
      <c r="N1840" s="16">
        <v>80.0</v>
      </c>
      <c r="O1840" s="8" t="s">
        <v>5777</v>
      </c>
      <c r="P1840" s="8" t="s">
        <v>186</v>
      </c>
      <c r="Q1840" s="14" t="s">
        <v>2033</v>
      </c>
      <c r="R1840" s="8" t="s">
        <v>2581</v>
      </c>
      <c r="S1840" s="14" t="s">
        <v>2553</v>
      </c>
    </row>
    <row r="1841">
      <c r="A1841" s="8" t="s">
        <v>3775</v>
      </c>
      <c r="B1841" s="8" t="s">
        <v>3774</v>
      </c>
      <c r="C1841" s="8" t="s">
        <v>80</v>
      </c>
      <c r="D1841" s="18" t="s">
        <v>2615</v>
      </c>
      <c r="E1841" s="16">
        <v>79.0</v>
      </c>
      <c r="F1841" s="8" t="s">
        <v>1065</v>
      </c>
      <c r="G1841" s="8" t="s">
        <v>451</v>
      </c>
      <c r="H1841" s="8" t="s">
        <v>186</v>
      </c>
      <c r="I1841" s="18" t="s">
        <v>2183</v>
      </c>
      <c r="J1841" s="16">
        <v>79.0</v>
      </c>
      <c r="K1841" s="8" t="s">
        <v>2655</v>
      </c>
      <c r="L1841" s="8" t="s">
        <v>1516</v>
      </c>
      <c r="M1841" s="18" t="s">
        <v>2615</v>
      </c>
      <c r="N1841" s="16">
        <v>71.0</v>
      </c>
      <c r="O1841" s="8" t="s">
        <v>5778</v>
      </c>
      <c r="P1841" s="8" t="s">
        <v>192</v>
      </c>
      <c r="Q1841" s="14" t="s">
        <v>189</v>
      </c>
      <c r="R1841" s="8" t="s">
        <v>2587</v>
      </c>
      <c r="S1841" s="14" t="s">
        <v>2573</v>
      </c>
    </row>
    <row r="1842">
      <c r="A1842" s="8" t="s">
        <v>1272</v>
      </c>
      <c r="B1842" s="8" t="s">
        <v>1271</v>
      </c>
      <c r="C1842" s="8" t="s">
        <v>138</v>
      </c>
      <c r="D1842" s="18" t="s">
        <v>2183</v>
      </c>
      <c r="E1842" s="16">
        <v>60.0</v>
      </c>
      <c r="F1842" s="8" t="s">
        <v>155</v>
      </c>
      <c r="G1842" s="8" t="s">
        <v>154</v>
      </c>
      <c r="H1842" s="8" t="s">
        <v>75</v>
      </c>
      <c r="I1842" s="18" t="s">
        <v>2577</v>
      </c>
      <c r="J1842" s="16">
        <v>88.0</v>
      </c>
      <c r="K1842" s="8" t="s">
        <v>421</v>
      </c>
      <c r="L1842" s="8" t="s">
        <v>1149</v>
      </c>
      <c r="M1842" s="18" t="s">
        <v>2566</v>
      </c>
      <c r="N1842" s="16">
        <v>75.0</v>
      </c>
      <c r="O1842" s="8" t="s">
        <v>5779</v>
      </c>
      <c r="P1842" s="8" t="s">
        <v>70</v>
      </c>
      <c r="Q1842" s="14" t="s">
        <v>837</v>
      </c>
      <c r="R1842" s="8" t="s">
        <v>2585</v>
      </c>
      <c r="S1842" s="14" t="s">
        <v>2553</v>
      </c>
    </row>
    <row r="1843">
      <c r="A1843" s="8" t="s">
        <v>1065</v>
      </c>
      <c r="B1843" s="8" t="s">
        <v>451</v>
      </c>
      <c r="C1843" s="8" t="s">
        <v>186</v>
      </c>
      <c r="D1843" s="18" t="s">
        <v>2183</v>
      </c>
      <c r="E1843" s="16">
        <v>65.0</v>
      </c>
      <c r="F1843" s="8" t="s">
        <v>155</v>
      </c>
      <c r="G1843" s="8" t="s">
        <v>2853</v>
      </c>
      <c r="H1843" s="8" t="s">
        <v>53</v>
      </c>
      <c r="I1843" s="18" t="s">
        <v>2587</v>
      </c>
      <c r="J1843" s="16">
        <v>69.0</v>
      </c>
      <c r="K1843" s="8" t="s">
        <v>421</v>
      </c>
      <c r="L1843" s="8" t="s">
        <v>1391</v>
      </c>
      <c r="M1843" s="18" t="s">
        <v>2592</v>
      </c>
      <c r="N1843" s="16">
        <v>69.0</v>
      </c>
      <c r="O1843" s="8" t="s">
        <v>5780</v>
      </c>
      <c r="P1843" s="8" t="s">
        <v>138</v>
      </c>
      <c r="Q1843" s="14" t="s">
        <v>1070</v>
      </c>
      <c r="R1843" s="8" t="s">
        <v>2592</v>
      </c>
      <c r="S1843" s="14" t="s">
        <v>2579</v>
      </c>
    </row>
    <row r="1844">
      <c r="A1844" s="8" t="s">
        <v>155</v>
      </c>
      <c r="B1844" s="8" t="s">
        <v>154</v>
      </c>
      <c r="C1844" s="8" t="s">
        <v>75</v>
      </c>
      <c r="D1844" s="18" t="s">
        <v>2577</v>
      </c>
      <c r="E1844" s="16">
        <v>82.0</v>
      </c>
      <c r="F1844" s="8" t="s">
        <v>497</v>
      </c>
      <c r="G1844" s="8" t="s">
        <v>3464</v>
      </c>
      <c r="H1844" s="8" t="s">
        <v>24</v>
      </c>
      <c r="I1844" s="18" t="s">
        <v>2615</v>
      </c>
      <c r="J1844" s="16">
        <v>65.0</v>
      </c>
      <c r="K1844" s="8" t="s">
        <v>421</v>
      </c>
      <c r="L1844" s="8" t="s">
        <v>420</v>
      </c>
      <c r="M1844" s="18" t="s">
        <v>2552</v>
      </c>
      <c r="N1844" s="16">
        <v>76.0</v>
      </c>
      <c r="O1844" s="8" t="s">
        <v>5781</v>
      </c>
      <c r="P1844" s="8" t="s">
        <v>186</v>
      </c>
      <c r="Q1844" s="14" t="s">
        <v>837</v>
      </c>
      <c r="R1844" s="8" t="s">
        <v>2584</v>
      </c>
      <c r="S1844" s="14" t="s">
        <v>2563</v>
      </c>
    </row>
    <row r="1845">
      <c r="A1845" s="8" t="s">
        <v>155</v>
      </c>
      <c r="B1845" s="8" t="s">
        <v>2853</v>
      </c>
      <c r="C1845" s="8" t="s">
        <v>186</v>
      </c>
      <c r="D1845" s="18" t="s">
        <v>2600</v>
      </c>
      <c r="E1845" s="16">
        <v>68.0</v>
      </c>
      <c r="F1845" s="8" t="s">
        <v>497</v>
      </c>
      <c r="G1845" s="8" t="s">
        <v>496</v>
      </c>
      <c r="H1845" s="8" t="s">
        <v>65</v>
      </c>
      <c r="I1845" s="18" t="s">
        <v>2558</v>
      </c>
      <c r="J1845" s="16">
        <v>87.0</v>
      </c>
      <c r="K1845" s="8" t="s">
        <v>2923</v>
      </c>
      <c r="L1845" s="8" t="s">
        <v>164</v>
      </c>
      <c r="M1845" s="18" t="s">
        <v>2621</v>
      </c>
      <c r="N1845" s="16">
        <v>80.0</v>
      </c>
      <c r="O1845" s="8" t="s">
        <v>5782</v>
      </c>
      <c r="P1845" s="8" t="s">
        <v>75</v>
      </c>
      <c r="Q1845" s="14" t="s">
        <v>135</v>
      </c>
      <c r="R1845" s="8" t="s">
        <v>2577</v>
      </c>
      <c r="S1845" s="14" t="s">
        <v>2588</v>
      </c>
    </row>
    <row r="1846">
      <c r="A1846" s="8" t="s">
        <v>497</v>
      </c>
      <c r="B1846" s="8" t="s">
        <v>496</v>
      </c>
      <c r="C1846" s="8" t="s">
        <v>65</v>
      </c>
      <c r="D1846" s="18" t="s">
        <v>2558</v>
      </c>
      <c r="E1846" s="16">
        <v>86.0</v>
      </c>
      <c r="F1846" s="8" t="s">
        <v>497</v>
      </c>
      <c r="G1846" s="8" t="s">
        <v>1164</v>
      </c>
      <c r="H1846" s="8" t="s">
        <v>93</v>
      </c>
      <c r="I1846" s="18" t="s">
        <v>2572</v>
      </c>
      <c r="J1846" s="16">
        <v>65.0</v>
      </c>
      <c r="K1846" s="8" t="s">
        <v>1941</v>
      </c>
      <c r="L1846" s="8" t="s">
        <v>2185</v>
      </c>
      <c r="M1846" s="18" t="s">
        <v>2566</v>
      </c>
      <c r="N1846" s="16">
        <v>67.0</v>
      </c>
      <c r="O1846" s="8" t="s">
        <v>5783</v>
      </c>
      <c r="P1846" s="8" t="s">
        <v>93</v>
      </c>
      <c r="Q1846" s="14" t="s">
        <v>2296</v>
      </c>
      <c r="R1846" s="8" t="s">
        <v>2593</v>
      </c>
      <c r="S1846" s="14" t="s">
        <v>2580</v>
      </c>
    </row>
    <row r="1847">
      <c r="A1847" s="8" t="s">
        <v>497</v>
      </c>
      <c r="B1847" s="8" t="s">
        <v>1164</v>
      </c>
      <c r="C1847" s="8" t="s">
        <v>93</v>
      </c>
      <c r="D1847" s="18" t="s">
        <v>2564</v>
      </c>
      <c r="E1847" s="16">
        <v>68.0</v>
      </c>
      <c r="F1847" s="8" t="s">
        <v>483</v>
      </c>
      <c r="G1847" s="8" t="s">
        <v>1177</v>
      </c>
      <c r="H1847" s="8" t="s">
        <v>215</v>
      </c>
      <c r="I1847" s="18" t="s">
        <v>2614</v>
      </c>
      <c r="J1847" s="16">
        <v>74.0</v>
      </c>
      <c r="K1847" s="8" t="s">
        <v>936</v>
      </c>
      <c r="L1847" s="8" t="s">
        <v>935</v>
      </c>
      <c r="M1847" s="18" t="s">
        <v>2593</v>
      </c>
      <c r="N1847" s="16">
        <v>80.0</v>
      </c>
      <c r="O1847" s="8" t="s">
        <v>5784</v>
      </c>
      <c r="P1847" s="8" t="s">
        <v>65</v>
      </c>
      <c r="Q1847" s="14" t="s">
        <v>459</v>
      </c>
      <c r="R1847" s="8" t="s">
        <v>2614</v>
      </c>
      <c r="S1847" s="14" t="s">
        <v>2607</v>
      </c>
    </row>
    <row r="1848">
      <c r="A1848" s="8" t="s">
        <v>497</v>
      </c>
      <c r="B1848" s="8" t="s">
        <v>3464</v>
      </c>
      <c r="C1848" s="8" t="s">
        <v>24</v>
      </c>
      <c r="D1848" s="18" t="s">
        <v>2615</v>
      </c>
      <c r="E1848" s="16">
        <v>66.0</v>
      </c>
      <c r="F1848" s="8" t="s">
        <v>483</v>
      </c>
      <c r="G1848" s="8" t="s">
        <v>482</v>
      </c>
      <c r="H1848" s="8" t="s">
        <v>12</v>
      </c>
      <c r="I1848" s="18" t="s">
        <v>2610</v>
      </c>
      <c r="J1848" s="16">
        <v>74.0</v>
      </c>
      <c r="K1848" s="8" t="s">
        <v>72</v>
      </c>
      <c r="L1848" s="8" t="s">
        <v>71</v>
      </c>
      <c r="M1848" s="18" t="s">
        <v>2585</v>
      </c>
      <c r="N1848" s="16">
        <v>83.0</v>
      </c>
      <c r="O1848" s="8" t="s">
        <v>5785</v>
      </c>
      <c r="P1848" s="8" t="s">
        <v>12</v>
      </c>
      <c r="Q1848" s="14" t="s">
        <v>459</v>
      </c>
      <c r="R1848" s="8" t="s">
        <v>2610</v>
      </c>
      <c r="S1848" s="14" t="s">
        <v>2602</v>
      </c>
    </row>
    <row r="1849">
      <c r="A1849" s="8" t="s">
        <v>3700</v>
      </c>
      <c r="B1849" s="8" t="s">
        <v>389</v>
      </c>
      <c r="C1849" s="8" t="s">
        <v>53</v>
      </c>
      <c r="D1849" s="18" t="s">
        <v>2587</v>
      </c>
      <c r="E1849" s="16">
        <v>67.0</v>
      </c>
      <c r="F1849" s="8" t="s">
        <v>3292</v>
      </c>
      <c r="G1849" s="8" t="s">
        <v>1183</v>
      </c>
      <c r="H1849" s="8" t="s">
        <v>65</v>
      </c>
      <c r="I1849" s="18" t="s">
        <v>2615</v>
      </c>
      <c r="J1849" s="16">
        <v>62.0</v>
      </c>
      <c r="K1849" s="8" t="s">
        <v>1075</v>
      </c>
      <c r="L1849" s="8" t="s">
        <v>636</v>
      </c>
      <c r="M1849" s="18" t="s">
        <v>2560</v>
      </c>
      <c r="N1849" s="16">
        <v>80.0</v>
      </c>
      <c r="O1849" s="8" t="s">
        <v>5786</v>
      </c>
      <c r="P1849" s="8" t="s">
        <v>215</v>
      </c>
      <c r="Q1849" s="14" t="s">
        <v>1070</v>
      </c>
      <c r="R1849" s="8" t="s">
        <v>2614</v>
      </c>
      <c r="S1849" s="14" t="s">
        <v>2571</v>
      </c>
    </row>
    <row r="1850">
      <c r="A1850" s="8" t="s">
        <v>483</v>
      </c>
      <c r="B1850" s="8" t="s">
        <v>1177</v>
      </c>
      <c r="C1850" s="8" t="s">
        <v>215</v>
      </c>
      <c r="D1850" s="18" t="s">
        <v>2614</v>
      </c>
      <c r="E1850" s="16">
        <v>75.0</v>
      </c>
      <c r="F1850" s="8" t="s">
        <v>585</v>
      </c>
      <c r="G1850" s="8" t="s">
        <v>385</v>
      </c>
      <c r="H1850" s="8" t="s">
        <v>93</v>
      </c>
      <c r="I1850" s="18" t="s">
        <v>2567</v>
      </c>
      <c r="J1850" s="16">
        <v>72.0</v>
      </c>
      <c r="K1850" s="8" t="s">
        <v>337</v>
      </c>
      <c r="L1850" s="8" t="s">
        <v>325</v>
      </c>
      <c r="M1850" s="18" t="s">
        <v>2183</v>
      </c>
      <c r="N1850" s="16">
        <v>71.0</v>
      </c>
      <c r="O1850" s="8" t="s">
        <v>5787</v>
      </c>
      <c r="P1850" s="8" t="s">
        <v>149</v>
      </c>
      <c r="Q1850" s="14" t="s">
        <v>1679</v>
      </c>
      <c r="R1850" s="8" t="s">
        <v>2605</v>
      </c>
      <c r="S1850" s="14" t="s">
        <v>2606</v>
      </c>
    </row>
    <row r="1851">
      <c r="A1851" s="8" t="s">
        <v>3292</v>
      </c>
      <c r="B1851" s="8" t="s">
        <v>1183</v>
      </c>
      <c r="C1851" s="8" t="s">
        <v>65</v>
      </c>
      <c r="D1851" s="18" t="s">
        <v>2615</v>
      </c>
      <c r="E1851" s="16">
        <v>62.0</v>
      </c>
      <c r="F1851" s="8" t="s">
        <v>598</v>
      </c>
      <c r="G1851" s="8" t="s">
        <v>2818</v>
      </c>
      <c r="H1851" s="8" t="s">
        <v>65</v>
      </c>
      <c r="I1851" s="18" t="s">
        <v>2584</v>
      </c>
      <c r="J1851" s="16">
        <v>71.0</v>
      </c>
      <c r="K1851" s="8" t="s">
        <v>337</v>
      </c>
      <c r="L1851" s="8" t="s">
        <v>1922</v>
      </c>
      <c r="M1851" s="18" t="s">
        <v>2589</v>
      </c>
      <c r="N1851" s="16">
        <v>73.0</v>
      </c>
      <c r="O1851" s="8" t="s">
        <v>5788</v>
      </c>
      <c r="P1851" s="8" t="s">
        <v>70</v>
      </c>
      <c r="Q1851" s="14" t="s">
        <v>2033</v>
      </c>
      <c r="R1851" s="8" t="s">
        <v>2603</v>
      </c>
      <c r="S1851" s="14" t="s">
        <v>2586</v>
      </c>
    </row>
    <row r="1852">
      <c r="A1852" s="8" t="s">
        <v>585</v>
      </c>
      <c r="B1852" s="8" t="s">
        <v>385</v>
      </c>
      <c r="C1852" s="8" t="s">
        <v>93</v>
      </c>
      <c r="D1852" s="18" t="s">
        <v>2581</v>
      </c>
      <c r="E1852" s="16">
        <v>69.0</v>
      </c>
      <c r="F1852" s="8" t="s">
        <v>598</v>
      </c>
      <c r="G1852" s="8" t="s">
        <v>597</v>
      </c>
      <c r="H1852" s="8" t="s">
        <v>65</v>
      </c>
      <c r="I1852" s="18" t="s">
        <v>2587</v>
      </c>
      <c r="J1852" s="16">
        <v>66.0</v>
      </c>
      <c r="K1852" s="8" t="s">
        <v>337</v>
      </c>
      <c r="L1852" s="8" t="s">
        <v>2873</v>
      </c>
      <c r="M1852" s="18" t="s">
        <v>2582</v>
      </c>
      <c r="N1852" s="16">
        <v>75.0</v>
      </c>
      <c r="O1852" s="8" t="s">
        <v>5789</v>
      </c>
      <c r="P1852" s="8" t="s">
        <v>186</v>
      </c>
      <c r="Q1852" s="14" t="s">
        <v>2033</v>
      </c>
      <c r="R1852" s="8" t="s">
        <v>2621</v>
      </c>
      <c r="S1852" s="14" t="s">
        <v>2590</v>
      </c>
    </row>
    <row r="1853">
      <c r="A1853" s="8" t="s">
        <v>598</v>
      </c>
      <c r="B1853" s="8" t="s">
        <v>1818</v>
      </c>
      <c r="C1853" s="8" t="s">
        <v>65</v>
      </c>
      <c r="D1853" s="18" t="s">
        <v>2584</v>
      </c>
      <c r="E1853" s="16">
        <v>70.0</v>
      </c>
      <c r="F1853" s="8" t="s">
        <v>1786</v>
      </c>
      <c r="G1853" s="8" t="s">
        <v>308</v>
      </c>
      <c r="H1853" s="8" t="s">
        <v>93</v>
      </c>
      <c r="I1853" s="18" t="s">
        <v>2585</v>
      </c>
      <c r="J1853" s="16">
        <v>76.0</v>
      </c>
      <c r="K1853" s="8" t="s">
        <v>337</v>
      </c>
      <c r="L1853" s="8" t="s">
        <v>2668</v>
      </c>
      <c r="M1853" s="18" t="s">
        <v>2645</v>
      </c>
      <c r="N1853" s="16">
        <v>61.0</v>
      </c>
      <c r="O1853" s="8" t="s">
        <v>5790</v>
      </c>
      <c r="P1853" s="8" t="s">
        <v>80</v>
      </c>
      <c r="Q1853" s="14" t="s">
        <v>1679</v>
      </c>
      <c r="R1853" s="8" t="s">
        <v>2574</v>
      </c>
      <c r="S1853" s="14" t="s">
        <v>2568</v>
      </c>
    </row>
    <row r="1854">
      <c r="A1854" s="8" t="s">
        <v>598</v>
      </c>
      <c r="B1854" s="8" t="s">
        <v>950</v>
      </c>
      <c r="C1854" s="8" t="s">
        <v>70</v>
      </c>
      <c r="D1854" s="18" t="s">
        <v>2566</v>
      </c>
      <c r="E1854" s="16">
        <v>80.0</v>
      </c>
      <c r="F1854" s="8" t="s">
        <v>1786</v>
      </c>
      <c r="G1854" s="8" t="s">
        <v>1835</v>
      </c>
      <c r="H1854" s="8" t="s">
        <v>65</v>
      </c>
      <c r="I1854" s="18" t="s">
        <v>2615</v>
      </c>
      <c r="J1854" s="16">
        <v>65.0</v>
      </c>
      <c r="K1854" s="8" t="s">
        <v>337</v>
      </c>
      <c r="L1854" s="8" t="s">
        <v>3103</v>
      </c>
      <c r="M1854" s="18" t="s">
        <v>2567</v>
      </c>
      <c r="N1854" s="16">
        <v>73.0</v>
      </c>
      <c r="O1854" s="8" t="s">
        <v>5791</v>
      </c>
      <c r="P1854" s="8" t="s">
        <v>93</v>
      </c>
      <c r="Q1854" s="14" t="s">
        <v>459</v>
      </c>
      <c r="R1854" s="8" t="s">
        <v>2554</v>
      </c>
      <c r="S1854" s="14" t="s">
        <v>2586</v>
      </c>
    </row>
    <row r="1855">
      <c r="A1855" s="8" t="s">
        <v>598</v>
      </c>
      <c r="B1855" s="8" t="s">
        <v>389</v>
      </c>
      <c r="C1855" s="8" t="s">
        <v>80</v>
      </c>
      <c r="D1855" s="18" t="s">
        <v>2621</v>
      </c>
      <c r="E1855" s="16">
        <v>82.0</v>
      </c>
      <c r="F1855" s="8" t="s">
        <v>3036</v>
      </c>
      <c r="G1855" s="8" t="s">
        <v>1031</v>
      </c>
      <c r="H1855" s="8" t="s">
        <v>65</v>
      </c>
      <c r="I1855" s="18" t="s">
        <v>2581</v>
      </c>
      <c r="J1855" s="16">
        <v>63.0</v>
      </c>
      <c r="K1855" s="8" t="s">
        <v>337</v>
      </c>
      <c r="L1855" s="8" t="s">
        <v>2962</v>
      </c>
      <c r="M1855" s="18" t="s">
        <v>2645</v>
      </c>
      <c r="N1855" s="16">
        <v>72.0</v>
      </c>
      <c r="O1855" s="8" t="s">
        <v>5792</v>
      </c>
      <c r="P1855" s="8" t="s">
        <v>93</v>
      </c>
      <c r="Q1855" s="14" t="s">
        <v>2296</v>
      </c>
      <c r="R1855" s="8" t="s">
        <v>2183</v>
      </c>
      <c r="S1855" s="14" t="s">
        <v>2576</v>
      </c>
    </row>
    <row r="1856">
      <c r="A1856" s="8" t="s">
        <v>598</v>
      </c>
      <c r="B1856" s="8" t="s">
        <v>524</v>
      </c>
      <c r="C1856" s="8" t="s">
        <v>65</v>
      </c>
      <c r="D1856" s="18" t="s">
        <v>2584</v>
      </c>
      <c r="E1856" s="16">
        <v>59.0</v>
      </c>
      <c r="F1856" s="8" t="s">
        <v>939</v>
      </c>
      <c r="G1856" s="8" t="s">
        <v>537</v>
      </c>
      <c r="H1856" s="8" t="s">
        <v>46</v>
      </c>
      <c r="I1856" s="18" t="s">
        <v>2552</v>
      </c>
      <c r="J1856" s="16">
        <v>64.0</v>
      </c>
      <c r="K1856" s="8" t="s">
        <v>337</v>
      </c>
      <c r="L1856" s="8" t="s">
        <v>336</v>
      </c>
      <c r="M1856" s="18" t="s">
        <v>2598</v>
      </c>
      <c r="N1856" s="16">
        <v>82.0</v>
      </c>
      <c r="O1856" s="8" t="s">
        <v>5793</v>
      </c>
      <c r="P1856" s="8" t="s">
        <v>65</v>
      </c>
      <c r="Q1856" s="14" t="s">
        <v>459</v>
      </c>
      <c r="R1856" s="8" t="s">
        <v>2574</v>
      </c>
      <c r="S1856" s="14" t="s">
        <v>2583</v>
      </c>
    </row>
    <row r="1857">
      <c r="A1857" s="8" t="s">
        <v>598</v>
      </c>
      <c r="B1857" s="8" t="s">
        <v>597</v>
      </c>
      <c r="C1857" s="8" t="s">
        <v>65</v>
      </c>
      <c r="D1857" s="18" t="s">
        <v>2582</v>
      </c>
      <c r="E1857" s="16">
        <v>63.0</v>
      </c>
      <c r="F1857" s="8" t="s">
        <v>1769</v>
      </c>
      <c r="G1857" s="8" t="s">
        <v>888</v>
      </c>
      <c r="H1857" s="8" t="s">
        <v>93</v>
      </c>
      <c r="I1857" s="18" t="s">
        <v>2564</v>
      </c>
      <c r="J1857" s="16">
        <v>68.0</v>
      </c>
      <c r="K1857" s="8" t="s">
        <v>337</v>
      </c>
      <c r="L1857" s="8" t="s">
        <v>2820</v>
      </c>
      <c r="M1857" s="18" t="s">
        <v>2575</v>
      </c>
      <c r="N1857" s="16">
        <v>75.0</v>
      </c>
      <c r="O1857" s="8" t="s">
        <v>5794</v>
      </c>
      <c r="P1857" s="8" t="s">
        <v>138</v>
      </c>
      <c r="Q1857" s="14" t="s">
        <v>2459</v>
      </c>
      <c r="R1857" s="8" t="s">
        <v>2558</v>
      </c>
      <c r="S1857" s="14" t="s">
        <v>2602</v>
      </c>
    </row>
    <row r="1858">
      <c r="A1858" s="8" t="s">
        <v>1786</v>
      </c>
      <c r="B1858" s="8" t="s">
        <v>1835</v>
      </c>
      <c r="C1858" s="8" t="s">
        <v>65</v>
      </c>
      <c r="D1858" s="18" t="s">
        <v>2615</v>
      </c>
      <c r="E1858" s="16">
        <v>63.0</v>
      </c>
      <c r="F1858" s="8" t="s">
        <v>642</v>
      </c>
      <c r="G1858" s="8" t="s">
        <v>641</v>
      </c>
      <c r="H1858" s="8" t="s">
        <v>53</v>
      </c>
      <c r="I1858" s="18" t="s">
        <v>2585</v>
      </c>
      <c r="J1858" s="16">
        <v>73.0</v>
      </c>
      <c r="K1858" s="8" t="s">
        <v>337</v>
      </c>
      <c r="L1858" s="8" t="s">
        <v>61</v>
      </c>
      <c r="M1858" s="18" t="s">
        <v>2582</v>
      </c>
      <c r="N1858" s="16">
        <v>68.0</v>
      </c>
      <c r="O1858" s="8" t="s">
        <v>5795</v>
      </c>
      <c r="P1858" s="8" t="s">
        <v>93</v>
      </c>
      <c r="Q1858" s="14" t="s">
        <v>1679</v>
      </c>
      <c r="R1858" s="8" t="s">
        <v>2605</v>
      </c>
      <c r="S1858" s="14" t="s">
        <v>2570</v>
      </c>
    </row>
    <row r="1859">
      <c r="A1859" s="8" t="s">
        <v>1786</v>
      </c>
      <c r="B1859" s="8" t="s">
        <v>308</v>
      </c>
      <c r="C1859" s="8" t="s">
        <v>93</v>
      </c>
      <c r="D1859" s="18" t="s">
        <v>2585</v>
      </c>
      <c r="E1859" s="16">
        <v>64.0</v>
      </c>
      <c r="F1859" s="8" t="s">
        <v>1487</v>
      </c>
      <c r="G1859" s="8" t="s">
        <v>282</v>
      </c>
      <c r="H1859" s="8" t="s">
        <v>80</v>
      </c>
      <c r="I1859" s="18" t="s">
        <v>2572</v>
      </c>
      <c r="J1859" s="16">
        <v>70.0</v>
      </c>
      <c r="K1859" s="8" t="s">
        <v>337</v>
      </c>
      <c r="L1859" s="8" t="s">
        <v>594</v>
      </c>
      <c r="M1859" s="18" t="s">
        <v>2581</v>
      </c>
      <c r="N1859" s="16">
        <v>77.0</v>
      </c>
      <c r="O1859" s="8" t="s">
        <v>5796</v>
      </c>
      <c r="P1859" s="8" t="s">
        <v>65</v>
      </c>
      <c r="Q1859" s="14" t="s">
        <v>1679</v>
      </c>
      <c r="R1859" s="8" t="s">
        <v>2615</v>
      </c>
      <c r="S1859" s="14" t="s">
        <v>2602</v>
      </c>
    </row>
    <row r="1860">
      <c r="A1860" s="8" t="s">
        <v>3520</v>
      </c>
      <c r="B1860" s="8" t="s">
        <v>460</v>
      </c>
      <c r="C1860" s="8" t="s">
        <v>24</v>
      </c>
      <c r="D1860" s="18" t="s">
        <v>2595</v>
      </c>
      <c r="E1860" s="16">
        <v>62.0</v>
      </c>
      <c r="F1860" s="8" t="s">
        <v>1274</v>
      </c>
      <c r="G1860" s="8" t="s">
        <v>1273</v>
      </c>
      <c r="H1860" s="8" t="s">
        <v>132</v>
      </c>
      <c r="I1860" s="18" t="s">
        <v>2603</v>
      </c>
      <c r="J1860" s="16">
        <v>66.0</v>
      </c>
      <c r="K1860" s="8" t="s">
        <v>337</v>
      </c>
      <c r="L1860" s="8" t="s">
        <v>62</v>
      </c>
      <c r="M1860" s="18" t="s">
        <v>2566</v>
      </c>
      <c r="N1860" s="16">
        <v>66.0</v>
      </c>
      <c r="O1860" s="8" t="s">
        <v>5797</v>
      </c>
      <c r="P1860" s="8" t="s">
        <v>215</v>
      </c>
      <c r="Q1860" s="14" t="s">
        <v>2296</v>
      </c>
      <c r="R1860" s="8" t="s">
        <v>2603</v>
      </c>
      <c r="S1860" s="14" t="s">
        <v>2622</v>
      </c>
    </row>
    <row r="1861">
      <c r="A1861" s="8" t="s">
        <v>642</v>
      </c>
      <c r="B1861" s="8" t="s">
        <v>641</v>
      </c>
      <c r="C1861" s="8" t="s">
        <v>59</v>
      </c>
      <c r="D1861" s="18" t="s">
        <v>2585</v>
      </c>
      <c r="E1861" s="16">
        <v>71.0</v>
      </c>
      <c r="F1861" s="8" t="s">
        <v>1173</v>
      </c>
      <c r="G1861" s="8" t="s">
        <v>1582</v>
      </c>
      <c r="H1861" s="8" t="s">
        <v>186</v>
      </c>
      <c r="I1861" s="18" t="s">
        <v>2587</v>
      </c>
      <c r="J1861" s="16">
        <v>73.0</v>
      </c>
      <c r="K1861" s="8" t="s">
        <v>337</v>
      </c>
      <c r="L1861" s="8" t="s">
        <v>233</v>
      </c>
      <c r="M1861" s="18" t="s">
        <v>2593</v>
      </c>
      <c r="N1861" s="16">
        <v>81.0</v>
      </c>
      <c r="O1861" s="8" t="s">
        <v>5798</v>
      </c>
      <c r="P1861" s="8" t="s">
        <v>149</v>
      </c>
      <c r="Q1861" s="14" t="s">
        <v>837</v>
      </c>
      <c r="R1861" s="8" t="s">
        <v>2552</v>
      </c>
      <c r="S1861" s="14" t="s">
        <v>2576</v>
      </c>
    </row>
    <row r="1862">
      <c r="A1862" s="8" t="s">
        <v>3574</v>
      </c>
      <c r="B1862" s="8" t="s">
        <v>2064</v>
      </c>
      <c r="C1862" s="8" t="s">
        <v>138</v>
      </c>
      <c r="D1862" s="18" t="s">
        <v>2589</v>
      </c>
      <c r="E1862" s="16">
        <v>73.0</v>
      </c>
      <c r="F1862" s="8" t="s">
        <v>1173</v>
      </c>
      <c r="G1862" s="8" t="s">
        <v>267</v>
      </c>
      <c r="H1862" s="8" t="s">
        <v>138</v>
      </c>
      <c r="I1862" s="18" t="s">
        <v>2558</v>
      </c>
      <c r="J1862" s="16">
        <v>61.0</v>
      </c>
      <c r="K1862" s="8" t="s">
        <v>2647</v>
      </c>
      <c r="L1862" s="8" t="s">
        <v>2646</v>
      </c>
      <c r="M1862" s="18" t="s">
        <v>2572</v>
      </c>
      <c r="N1862" s="16">
        <v>75.0</v>
      </c>
      <c r="O1862" s="8" t="s">
        <v>5799</v>
      </c>
      <c r="P1862" s="8" t="s">
        <v>93</v>
      </c>
      <c r="Q1862" s="14" t="s">
        <v>1679</v>
      </c>
      <c r="R1862" s="8" t="s">
        <v>2564</v>
      </c>
      <c r="S1862" s="14" t="s">
        <v>2565</v>
      </c>
    </row>
    <row r="1863">
      <c r="A1863" s="8" t="s">
        <v>1274</v>
      </c>
      <c r="B1863" s="8" t="s">
        <v>1273</v>
      </c>
      <c r="C1863" s="8" t="s">
        <v>132</v>
      </c>
      <c r="D1863" s="18" t="s">
        <v>2603</v>
      </c>
      <c r="E1863" s="16">
        <v>68.0</v>
      </c>
      <c r="F1863" s="8" t="s">
        <v>1173</v>
      </c>
      <c r="G1863" s="8" t="s">
        <v>220</v>
      </c>
      <c r="H1863" s="8" t="s">
        <v>80</v>
      </c>
      <c r="I1863" s="18" t="s">
        <v>2556</v>
      </c>
      <c r="J1863" s="16">
        <v>79.0</v>
      </c>
      <c r="K1863" s="8" t="s">
        <v>1033</v>
      </c>
      <c r="L1863" s="8" t="s">
        <v>389</v>
      </c>
      <c r="M1863" s="18" t="s">
        <v>2615</v>
      </c>
      <c r="N1863" s="16">
        <v>73.0</v>
      </c>
      <c r="O1863" s="8" t="s">
        <v>5800</v>
      </c>
      <c r="P1863" s="8" t="s">
        <v>80</v>
      </c>
      <c r="Q1863" s="14" t="s">
        <v>1679</v>
      </c>
      <c r="R1863" s="8" t="s">
        <v>2558</v>
      </c>
      <c r="S1863" s="14" t="s">
        <v>2617</v>
      </c>
    </row>
    <row r="1864">
      <c r="A1864" s="8" t="s">
        <v>3610</v>
      </c>
      <c r="B1864" s="8" t="s">
        <v>3609</v>
      </c>
      <c r="C1864" s="8" t="s">
        <v>132</v>
      </c>
      <c r="D1864" s="18" t="s">
        <v>2574</v>
      </c>
      <c r="E1864" s="16">
        <v>67.0</v>
      </c>
      <c r="F1864" s="8" t="s">
        <v>286</v>
      </c>
      <c r="G1864" s="8" t="s">
        <v>284</v>
      </c>
      <c r="H1864" s="8" t="s">
        <v>192</v>
      </c>
      <c r="I1864" s="18" t="s">
        <v>2581</v>
      </c>
      <c r="J1864" s="16">
        <v>91.0</v>
      </c>
      <c r="K1864" s="8" t="s">
        <v>1033</v>
      </c>
      <c r="L1864" s="8" t="s">
        <v>3077</v>
      </c>
      <c r="M1864" s="18" t="s">
        <v>2587</v>
      </c>
      <c r="N1864" s="16">
        <v>71.0</v>
      </c>
      <c r="O1864" s="8" t="s">
        <v>5801</v>
      </c>
      <c r="P1864" s="8" t="s">
        <v>59</v>
      </c>
      <c r="Q1864" s="14" t="s">
        <v>631</v>
      </c>
      <c r="R1864" s="8" t="s">
        <v>2615</v>
      </c>
      <c r="S1864" s="14" t="s">
        <v>2579</v>
      </c>
    </row>
    <row r="1865">
      <c r="A1865" s="8" t="s">
        <v>1173</v>
      </c>
      <c r="B1865" s="8" t="s">
        <v>190</v>
      </c>
      <c r="C1865" s="8" t="s">
        <v>70</v>
      </c>
      <c r="D1865" s="18" t="s">
        <v>2587</v>
      </c>
      <c r="E1865" s="16">
        <v>74.0</v>
      </c>
      <c r="F1865" s="8" t="s">
        <v>876</v>
      </c>
      <c r="G1865" s="8" t="s">
        <v>875</v>
      </c>
      <c r="H1865" s="8" t="s">
        <v>186</v>
      </c>
      <c r="I1865" s="18" t="s">
        <v>2183</v>
      </c>
      <c r="J1865" s="16">
        <v>55.0</v>
      </c>
      <c r="K1865" s="8" t="s">
        <v>1033</v>
      </c>
      <c r="L1865" s="8" t="s">
        <v>99</v>
      </c>
      <c r="M1865" s="18" t="s">
        <v>2614</v>
      </c>
      <c r="N1865" s="16">
        <v>71.0</v>
      </c>
      <c r="O1865" s="8" t="s">
        <v>5802</v>
      </c>
      <c r="P1865" s="8" t="s">
        <v>65</v>
      </c>
      <c r="Q1865" s="14" t="s">
        <v>2296</v>
      </c>
      <c r="R1865" s="8" t="s">
        <v>2587</v>
      </c>
      <c r="S1865" s="14" t="s">
        <v>2568</v>
      </c>
    </row>
    <row r="1866">
      <c r="A1866" s="8" t="s">
        <v>1173</v>
      </c>
      <c r="B1866" s="8" t="s">
        <v>1147</v>
      </c>
      <c r="C1866" s="8" t="s">
        <v>65</v>
      </c>
      <c r="D1866" s="18" t="s">
        <v>2582</v>
      </c>
      <c r="E1866" s="16">
        <v>60.0</v>
      </c>
      <c r="F1866" s="8" t="s">
        <v>1444</v>
      </c>
      <c r="G1866" s="8" t="s">
        <v>154</v>
      </c>
      <c r="H1866" s="8" t="s">
        <v>186</v>
      </c>
      <c r="I1866" s="18" t="s">
        <v>2585</v>
      </c>
      <c r="J1866" s="16">
        <v>76.0</v>
      </c>
      <c r="K1866" s="8" t="s">
        <v>1033</v>
      </c>
      <c r="L1866" s="8" t="s">
        <v>441</v>
      </c>
      <c r="M1866" s="18" t="s">
        <v>2610</v>
      </c>
      <c r="N1866" s="16">
        <v>67.0</v>
      </c>
      <c r="O1866" s="8" t="s">
        <v>5803</v>
      </c>
      <c r="P1866" s="8" t="s">
        <v>80</v>
      </c>
      <c r="Q1866" s="14" t="s">
        <v>1352</v>
      </c>
      <c r="R1866" s="8" t="s">
        <v>2572</v>
      </c>
      <c r="S1866" s="14" t="s">
        <v>2579</v>
      </c>
    </row>
    <row r="1867">
      <c r="A1867" s="8" t="s">
        <v>1173</v>
      </c>
      <c r="B1867" s="8" t="s">
        <v>267</v>
      </c>
      <c r="C1867" s="8" t="s">
        <v>59</v>
      </c>
      <c r="D1867" s="18" t="s">
        <v>2558</v>
      </c>
      <c r="E1867" s="16">
        <v>57.0</v>
      </c>
      <c r="F1867" s="8" t="s">
        <v>485</v>
      </c>
      <c r="G1867" s="8" t="s">
        <v>484</v>
      </c>
      <c r="H1867" s="8" t="s">
        <v>70</v>
      </c>
      <c r="I1867" s="18" t="s">
        <v>2600</v>
      </c>
      <c r="J1867" s="16">
        <v>76.0</v>
      </c>
      <c r="K1867" s="8" t="s">
        <v>310</v>
      </c>
      <c r="L1867" s="8" t="s">
        <v>3029</v>
      </c>
      <c r="M1867" s="18" t="s">
        <v>2593</v>
      </c>
      <c r="N1867" s="16">
        <v>83.0</v>
      </c>
      <c r="O1867" s="8" t="s">
        <v>5804</v>
      </c>
      <c r="P1867" s="8" t="s">
        <v>65</v>
      </c>
      <c r="Q1867" s="14" t="s">
        <v>2033</v>
      </c>
      <c r="R1867" s="8" t="s">
        <v>2567</v>
      </c>
      <c r="S1867" s="14" t="s">
        <v>2568</v>
      </c>
    </row>
    <row r="1868">
      <c r="A1868" s="8" t="s">
        <v>1173</v>
      </c>
      <c r="B1868" s="8" t="s">
        <v>220</v>
      </c>
      <c r="C1868" s="8" t="s">
        <v>80</v>
      </c>
      <c r="D1868" s="18" t="s">
        <v>2556</v>
      </c>
      <c r="E1868" s="16">
        <v>87.0</v>
      </c>
      <c r="F1868" s="8" t="s">
        <v>370</v>
      </c>
      <c r="G1868" s="8" t="s">
        <v>369</v>
      </c>
      <c r="H1868" s="8" t="s">
        <v>261</v>
      </c>
      <c r="I1868" s="18" t="s">
        <v>2566</v>
      </c>
      <c r="J1868" s="16">
        <v>79.0</v>
      </c>
      <c r="K1868" s="8" t="s">
        <v>383</v>
      </c>
      <c r="L1868" s="8" t="s">
        <v>2942</v>
      </c>
      <c r="M1868" s="18" t="s">
        <v>2564</v>
      </c>
      <c r="N1868" s="16">
        <v>79.0</v>
      </c>
      <c r="O1868" s="8" t="s">
        <v>5805</v>
      </c>
      <c r="P1868" s="8" t="s">
        <v>132</v>
      </c>
      <c r="Q1868" s="14" t="s">
        <v>1070</v>
      </c>
      <c r="R1868" s="18" t="s">
        <v>2589</v>
      </c>
      <c r="S1868" s="14" t="s">
        <v>2580</v>
      </c>
    </row>
    <row r="1869">
      <c r="A1869" s="8" t="s">
        <v>1173</v>
      </c>
      <c r="B1869" s="8" t="s">
        <v>1582</v>
      </c>
      <c r="C1869" s="8" t="s">
        <v>59</v>
      </c>
      <c r="D1869" s="18" t="s">
        <v>2587</v>
      </c>
      <c r="E1869" s="16">
        <v>74.0</v>
      </c>
      <c r="F1869" s="8" t="s">
        <v>840</v>
      </c>
      <c r="G1869" s="8" t="s">
        <v>1516</v>
      </c>
      <c r="H1869" s="8" t="s">
        <v>65</v>
      </c>
      <c r="I1869" s="18" t="s">
        <v>2615</v>
      </c>
      <c r="J1869" s="16">
        <v>66.0</v>
      </c>
      <c r="K1869" s="8" t="s">
        <v>383</v>
      </c>
      <c r="L1869" s="8" t="s">
        <v>931</v>
      </c>
      <c r="M1869" s="18" t="s">
        <v>2589</v>
      </c>
      <c r="N1869" s="16">
        <v>66.0</v>
      </c>
      <c r="O1869" s="8" t="s">
        <v>5806</v>
      </c>
      <c r="P1869" s="8" t="s">
        <v>65</v>
      </c>
      <c r="Q1869" s="14" t="s">
        <v>2033</v>
      </c>
      <c r="R1869" s="8" t="s">
        <v>2614</v>
      </c>
      <c r="S1869" s="14" t="s">
        <v>2594</v>
      </c>
    </row>
    <row r="1870">
      <c r="A1870" s="8" t="s">
        <v>1012</v>
      </c>
      <c r="B1870" s="8" t="s">
        <v>3642</v>
      </c>
      <c r="C1870" s="8" t="s">
        <v>149</v>
      </c>
      <c r="D1870" s="18" t="s">
        <v>2183</v>
      </c>
      <c r="E1870" s="16">
        <v>69.0</v>
      </c>
      <c r="F1870" s="8" t="s">
        <v>840</v>
      </c>
      <c r="G1870" s="8" t="s">
        <v>460</v>
      </c>
      <c r="H1870" s="8" t="s">
        <v>80</v>
      </c>
      <c r="I1870" s="18" t="s">
        <v>2598</v>
      </c>
      <c r="J1870" s="16">
        <v>81.0</v>
      </c>
      <c r="K1870" s="8" t="s">
        <v>383</v>
      </c>
      <c r="L1870" s="8" t="s">
        <v>382</v>
      </c>
      <c r="M1870" s="18" t="s">
        <v>2556</v>
      </c>
      <c r="N1870" s="16">
        <v>85.0</v>
      </c>
      <c r="O1870" s="8" t="s">
        <v>5807</v>
      </c>
      <c r="P1870" s="8" t="s">
        <v>53</v>
      </c>
      <c r="Q1870" s="14" t="s">
        <v>1070</v>
      </c>
      <c r="R1870" s="8" t="s">
        <v>2558</v>
      </c>
      <c r="S1870" s="14" t="s">
        <v>2557</v>
      </c>
    </row>
    <row r="1871">
      <c r="A1871" s="8" t="s">
        <v>286</v>
      </c>
      <c r="B1871" s="8" t="s">
        <v>284</v>
      </c>
      <c r="C1871" s="8" t="s">
        <v>192</v>
      </c>
      <c r="D1871" s="18" t="s">
        <v>2581</v>
      </c>
      <c r="E1871" s="16">
        <v>93.0</v>
      </c>
      <c r="F1871" s="8" t="s">
        <v>315</v>
      </c>
      <c r="G1871" s="8" t="s">
        <v>97</v>
      </c>
      <c r="H1871" s="8" t="s">
        <v>24</v>
      </c>
      <c r="I1871" s="18" t="s">
        <v>2558</v>
      </c>
      <c r="J1871" s="16">
        <v>78.0</v>
      </c>
      <c r="K1871" s="8" t="s">
        <v>2903</v>
      </c>
      <c r="L1871" s="8" t="s">
        <v>2902</v>
      </c>
      <c r="M1871" s="18" t="s">
        <v>2566</v>
      </c>
      <c r="N1871" s="16">
        <v>72.0</v>
      </c>
      <c r="O1871" s="8" t="s">
        <v>5808</v>
      </c>
      <c r="P1871" s="8" t="s">
        <v>186</v>
      </c>
      <c r="Q1871" s="14" t="s">
        <v>1352</v>
      </c>
      <c r="R1871" s="8" t="s">
        <v>2183</v>
      </c>
      <c r="S1871" s="14" t="s">
        <v>2602</v>
      </c>
    </row>
    <row r="1872">
      <c r="A1872" s="8" t="s">
        <v>876</v>
      </c>
      <c r="B1872" s="8" t="s">
        <v>875</v>
      </c>
      <c r="C1872" s="8" t="s">
        <v>186</v>
      </c>
      <c r="D1872" s="18" t="s">
        <v>2562</v>
      </c>
      <c r="E1872" s="16">
        <v>54.0</v>
      </c>
      <c r="F1872" s="8" t="s">
        <v>315</v>
      </c>
      <c r="G1872" s="8" t="s">
        <v>2663</v>
      </c>
      <c r="H1872" s="8" t="s">
        <v>122</v>
      </c>
      <c r="I1872" s="18" t="s">
        <v>2614</v>
      </c>
      <c r="J1872" s="16">
        <v>63.0</v>
      </c>
      <c r="K1872" s="8" t="s">
        <v>1534</v>
      </c>
      <c r="L1872" s="8" t="s">
        <v>1533</v>
      </c>
      <c r="M1872" s="18" t="s">
        <v>2554</v>
      </c>
      <c r="N1872" s="16">
        <v>62.0</v>
      </c>
      <c r="O1872" s="8" t="s">
        <v>5809</v>
      </c>
      <c r="P1872" s="8" t="s">
        <v>24</v>
      </c>
      <c r="Q1872" s="14" t="s">
        <v>1352</v>
      </c>
      <c r="R1872" s="8" t="s">
        <v>2587</v>
      </c>
      <c r="S1872" s="14" t="s">
        <v>2638</v>
      </c>
    </row>
    <row r="1873">
      <c r="A1873" s="8" t="s">
        <v>485</v>
      </c>
      <c r="B1873" s="8" t="s">
        <v>484</v>
      </c>
      <c r="C1873" s="8" t="s">
        <v>70</v>
      </c>
      <c r="D1873" s="18" t="s">
        <v>2610</v>
      </c>
      <c r="E1873" s="16">
        <v>71.0</v>
      </c>
      <c r="F1873" s="8" t="s">
        <v>315</v>
      </c>
      <c r="G1873" s="8" t="s">
        <v>314</v>
      </c>
      <c r="H1873" s="8" t="s">
        <v>93</v>
      </c>
      <c r="I1873" s="18" t="s">
        <v>2603</v>
      </c>
      <c r="J1873" s="16">
        <v>90.0</v>
      </c>
      <c r="K1873" s="8" t="s">
        <v>1929</v>
      </c>
      <c r="L1873" s="8" t="s">
        <v>1928</v>
      </c>
      <c r="M1873" s="18" t="s">
        <v>2566</v>
      </c>
      <c r="N1873" s="16">
        <v>62.0</v>
      </c>
      <c r="O1873" s="8" t="s">
        <v>5810</v>
      </c>
      <c r="P1873" s="8" t="s">
        <v>122</v>
      </c>
      <c r="Q1873" s="14" t="s">
        <v>2033</v>
      </c>
      <c r="R1873" s="8" t="s">
        <v>2610</v>
      </c>
      <c r="S1873" s="14" t="s">
        <v>2622</v>
      </c>
    </row>
    <row r="1874">
      <c r="A1874" s="8" t="s">
        <v>3013</v>
      </c>
      <c r="B1874" s="8" t="s">
        <v>3750</v>
      </c>
      <c r="C1874" s="8" t="s">
        <v>186</v>
      </c>
      <c r="D1874" s="18" t="s">
        <v>2610</v>
      </c>
      <c r="E1874" s="16">
        <v>84.0</v>
      </c>
      <c r="F1874" s="8" t="s">
        <v>74</v>
      </c>
      <c r="G1874" s="8" t="s">
        <v>73</v>
      </c>
      <c r="H1874" s="8" t="s">
        <v>75</v>
      </c>
      <c r="I1874" s="18" t="s">
        <v>2587</v>
      </c>
      <c r="J1874" s="16">
        <v>88.0</v>
      </c>
      <c r="K1874" s="8" t="s">
        <v>394</v>
      </c>
      <c r="L1874" s="8" t="s">
        <v>1276</v>
      </c>
      <c r="M1874" s="18" t="s">
        <v>2645</v>
      </c>
      <c r="N1874" s="16">
        <v>61.0</v>
      </c>
      <c r="O1874" s="8" t="s">
        <v>5811</v>
      </c>
      <c r="P1874" s="8" t="s">
        <v>192</v>
      </c>
      <c r="Q1874" s="14" t="s">
        <v>237</v>
      </c>
      <c r="R1874" s="8" t="s">
        <v>2581</v>
      </c>
      <c r="S1874" s="14" t="s">
        <v>2578</v>
      </c>
    </row>
    <row r="1875">
      <c r="A1875" s="8" t="s">
        <v>370</v>
      </c>
      <c r="B1875" s="8" t="s">
        <v>369</v>
      </c>
      <c r="C1875" s="8" t="s">
        <v>24</v>
      </c>
      <c r="D1875" s="18" t="s">
        <v>2552</v>
      </c>
      <c r="E1875" s="16">
        <v>72.0</v>
      </c>
      <c r="F1875" s="8" t="s">
        <v>612</v>
      </c>
      <c r="G1875" s="8" t="s">
        <v>611</v>
      </c>
      <c r="H1875" s="8" t="s">
        <v>149</v>
      </c>
      <c r="I1875" s="18" t="s">
        <v>2554</v>
      </c>
      <c r="J1875" s="16">
        <v>83.0</v>
      </c>
      <c r="K1875" s="8" t="s">
        <v>394</v>
      </c>
      <c r="L1875" s="8" t="s">
        <v>393</v>
      </c>
      <c r="M1875" s="18" t="s">
        <v>2620</v>
      </c>
      <c r="N1875" s="16">
        <v>81.0</v>
      </c>
      <c r="O1875" s="8" t="s">
        <v>5812</v>
      </c>
      <c r="P1875" s="8" t="s">
        <v>59</v>
      </c>
      <c r="Q1875" s="14" t="s">
        <v>837</v>
      </c>
      <c r="R1875" s="8" t="s">
        <v>2552</v>
      </c>
      <c r="S1875" s="14" t="s">
        <v>2576</v>
      </c>
    </row>
    <row r="1876">
      <c r="A1876" s="8" t="s">
        <v>840</v>
      </c>
      <c r="B1876" s="8" t="s">
        <v>460</v>
      </c>
      <c r="C1876" s="8" t="s">
        <v>80</v>
      </c>
      <c r="D1876" s="18" t="s">
        <v>2598</v>
      </c>
      <c r="E1876" s="16">
        <v>75.0</v>
      </c>
      <c r="F1876" s="8" t="s">
        <v>612</v>
      </c>
      <c r="G1876" s="8" t="s">
        <v>1236</v>
      </c>
      <c r="H1876" s="8" t="s">
        <v>24</v>
      </c>
      <c r="I1876" s="18" t="s">
        <v>2564</v>
      </c>
      <c r="J1876" s="16">
        <v>42.0</v>
      </c>
      <c r="K1876" s="8" t="s">
        <v>1091</v>
      </c>
      <c r="L1876" s="8" t="s">
        <v>2688</v>
      </c>
      <c r="M1876" s="18" t="s">
        <v>2585</v>
      </c>
      <c r="N1876" s="16">
        <v>71.0</v>
      </c>
      <c r="O1876" s="8" t="s">
        <v>5813</v>
      </c>
      <c r="P1876" s="8" t="s">
        <v>186</v>
      </c>
      <c r="Q1876" s="14" t="s">
        <v>1352</v>
      </c>
      <c r="R1876" s="8" t="s">
        <v>2582</v>
      </c>
      <c r="S1876" s="14" t="s">
        <v>2601</v>
      </c>
    </row>
    <row r="1877">
      <c r="A1877" s="8" t="s">
        <v>840</v>
      </c>
      <c r="B1877" s="8" t="s">
        <v>1516</v>
      </c>
      <c r="C1877" s="8" t="s">
        <v>65</v>
      </c>
      <c r="D1877" s="18" t="s">
        <v>2615</v>
      </c>
      <c r="E1877" s="16">
        <v>64.0</v>
      </c>
      <c r="F1877" s="8" t="s">
        <v>1563</v>
      </c>
      <c r="G1877" s="8" t="s">
        <v>3317</v>
      </c>
      <c r="H1877" s="8" t="s">
        <v>215</v>
      </c>
      <c r="I1877" s="18" t="s">
        <v>2558</v>
      </c>
      <c r="J1877" s="16">
        <v>73.0</v>
      </c>
      <c r="K1877" s="8" t="s">
        <v>1091</v>
      </c>
      <c r="L1877" s="8" t="s">
        <v>2920</v>
      </c>
      <c r="M1877" s="18" t="s">
        <v>2567</v>
      </c>
      <c r="N1877" s="16">
        <v>66.0</v>
      </c>
      <c r="O1877" s="8" t="s">
        <v>5814</v>
      </c>
      <c r="P1877" s="8" t="s">
        <v>70</v>
      </c>
      <c r="Q1877" s="14" t="s">
        <v>459</v>
      </c>
      <c r="R1877" s="8" t="s">
        <v>2600</v>
      </c>
      <c r="S1877" s="14" t="s">
        <v>2571</v>
      </c>
    </row>
    <row r="1878">
      <c r="A1878" s="8" t="s">
        <v>840</v>
      </c>
      <c r="B1878" s="8" t="s">
        <v>3345</v>
      </c>
      <c r="C1878" s="8" t="s">
        <v>122</v>
      </c>
      <c r="D1878" s="18" t="s">
        <v>2577</v>
      </c>
      <c r="E1878" s="16">
        <v>69.0</v>
      </c>
      <c r="F1878" s="8" t="s">
        <v>1563</v>
      </c>
      <c r="G1878" s="8" t="s">
        <v>1562</v>
      </c>
      <c r="H1878" s="8" t="s">
        <v>261</v>
      </c>
      <c r="I1878" s="18" t="s">
        <v>2575</v>
      </c>
      <c r="J1878" s="16">
        <v>69.0</v>
      </c>
      <c r="K1878" s="8" t="s">
        <v>1091</v>
      </c>
      <c r="L1878" s="8" t="s">
        <v>1421</v>
      </c>
      <c r="M1878" s="18" t="s">
        <v>2564</v>
      </c>
      <c r="N1878" s="16">
        <v>82.0</v>
      </c>
      <c r="O1878" s="8" t="s">
        <v>5815</v>
      </c>
      <c r="P1878" s="8" t="s">
        <v>24</v>
      </c>
      <c r="Q1878" s="14" t="s">
        <v>338</v>
      </c>
      <c r="R1878" s="8" t="s">
        <v>2566</v>
      </c>
      <c r="S1878" s="14" t="s">
        <v>2571</v>
      </c>
    </row>
    <row r="1879">
      <c r="A1879" s="8" t="s">
        <v>315</v>
      </c>
      <c r="B1879" s="8" t="s">
        <v>97</v>
      </c>
      <c r="C1879" s="8" t="s">
        <v>24</v>
      </c>
      <c r="D1879" s="18" t="s">
        <v>2558</v>
      </c>
      <c r="E1879" s="16">
        <v>79.0</v>
      </c>
      <c r="F1879" s="8" t="s">
        <v>1563</v>
      </c>
      <c r="G1879" s="8" t="s">
        <v>1967</v>
      </c>
      <c r="H1879" s="8" t="s">
        <v>24</v>
      </c>
      <c r="I1879" s="18" t="s">
        <v>2589</v>
      </c>
      <c r="J1879" s="16">
        <v>64.0</v>
      </c>
      <c r="K1879" s="8" t="s">
        <v>1091</v>
      </c>
      <c r="L1879" s="8" t="s">
        <v>2868</v>
      </c>
      <c r="M1879" s="18" t="s">
        <v>2592</v>
      </c>
      <c r="N1879" s="16">
        <v>76.0</v>
      </c>
      <c r="O1879" s="8" t="s">
        <v>5816</v>
      </c>
      <c r="P1879" s="8" t="s">
        <v>80</v>
      </c>
      <c r="Q1879" s="14" t="s">
        <v>837</v>
      </c>
      <c r="R1879" s="8" t="s">
        <v>2598</v>
      </c>
      <c r="S1879" s="14" t="s">
        <v>2599</v>
      </c>
    </row>
    <row r="1880">
      <c r="A1880" s="8" t="s">
        <v>315</v>
      </c>
      <c r="B1880" s="8" t="s">
        <v>314</v>
      </c>
      <c r="C1880" s="8" t="s">
        <v>93</v>
      </c>
      <c r="D1880" s="18" t="s">
        <v>2603</v>
      </c>
      <c r="E1880" s="16">
        <v>92.0</v>
      </c>
      <c r="F1880" s="8" t="s">
        <v>1452</v>
      </c>
      <c r="G1880" s="8" t="s">
        <v>1451</v>
      </c>
      <c r="H1880" s="8" t="s">
        <v>24</v>
      </c>
      <c r="I1880" s="18" t="s">
        <v>2614</v>
      </c>
      <c r="J1880" s="16">
        <v>67.0</v>
      </c>
      <c r="K1880" s="8" t="s">
        <v>1624</v>
      </c>
      <c r="L1880" s="8" t="s">
        <v>548</v>
      </c>
      <c r="M1880" s="18" t="s">
        <v>2575</v>
      </c>
      <c r="N1880" s="16">
        <v>79.0</v>
      </c>
      <c r="O1880" s="8" t="s">
        <v>5817</v>
      </c>
      <c r="P1880" s="8" t="s">
        <v>65</v>
      </c>
      <c r="Q1880" s="14" t="s">
        <v>1352</v>
      </c>
      <c r="R1880" s="8" t="s">
        <v>2581</v>
      </c>
      <c r="S1880" s="14" t="s">
        <v>2591</v>
      </c>
    </row>
    <row r="1881">
      <c r="A1881" s="8" t="s">
        <v>74</v>
      </c>
      <c r="B1881" s="8" t="s">
        <v>73</v>
      </c>
      <c r="C1881" s="8" t="s">
        <v>75</v>
      </c>
      <c r="D1881" s="18" t="s">
        <v>2587</v>
      </c>
      <c r="E1881" s="16">
        <v>90.0</v>
      </c>
      <c r="F1881" s="8" t="s">
        <v>421</v>
      </c>
      <c r="G1881" s="8" t="s">
        <v>755</v>
      </c>
      <c r="H1881" s="8" t="s">
        <v>65</v>
      </c>
      <c r="I1881" s="18" t="s">
        <v>2562</v>
      </c>
      <c r="J1881" s="16">
        <v>64.0</v>
      </c>
      <c r="K1881" s="8" t="s">
        <v>1624</v>
      </c>
      <c r="L1881" s="8" t="s">
        <v>2909</v>
      </c>
      <c r="M1881" s="18" t="s">
        <v>2585</v>
      </c>
      <c r="N1881" s="16">
        <v>94.0</v>
      </c>
      <c r="O1881" s="8" t="s">
        <v>5818</v>
      </c>
      <c r="P1881" s="8" t="s">
        <v>24</v>
      </c>
      <c r="Q1881" s="14" t="s">
        <v>837</v>
      </c>
      <c r="R1881" s="8" t="s">
        <v>2564</v>
      </c>
      <c r="S1881" s="14" t="s">
        <v>2553</v>
      </c>
    </row>
    <row r="1882">
      <c r="A1882" s="8" t="s">
        <v>612</v>
      </c>
      <c r="B1882" s="8" t="s">
        <v>1236</v>
      </c>
      <c r="C1882" s="8" t="s">
        <v>24</v>
      </c>
      <c r="D1882" s="18" t="s">
        <v>2558</v>
      </c>
      <c r="E1882" s="16">
        <v>42.0</v>
      </c>
      <c r="F1882" s="8" t="s">
        <v>421</v>
      </c>
      <c r="G1882" s="8" t="s">
        <v>1149</v>
      </c>
      <c r="H1882" s="8" t="s">
        <v>38</v>
      </c>
      <c r="I1882" s="18" t="s">
        <v>2620</v>
      </c>
      <c r="J1882" s="16">
        <v>74.0</v>
      </c>
      <c r="K1882" s="8" t="s">
        <v>1624</v>
      </c>
      <c r="L1882" s="8" t="s">
        <v>377</v>
      </c>
      <c r="M1882" s="18" t="s">
        <v>2584</v>
      </c>
      <c r="N1882" s="16">
        <v>72.0</v>
      </c>
      <c r="O1882" s="8" t="s">
        <v>5819</v>
      </c>
      <c r="P1882" s="8" t="s">
        <v>93</v>
      </c>
      <c r="Q1882" s="14" t="s">
        <v>237</v>
      </c>
      <c r="R1882" s="8" t="s">
        <v>2585</v>
      </c>
      <c r="S1882" s="14" t="s">
        <v>2634</v>
      </c>
    </row>
    <row r="1883">
      <c r="A1883" s="8" t="s">
        <v>612</v>
      </c>
      <c r="B1883" s="8" t="s">
        <v>611</v>
      </c>
      <c r="C1883" s="8" t="s">
        <v>149</v>
      </c>
      <c r="D1883" s="18" t="s">
        <v>2575</v>
      </c>
      <c r="E1883" s="16">
        <v>76.0</v>
      </c>
      <c r="F1883" s="8" t="s">
        <v>421</v>
      </c>
      <c r="G1883" s="8" t="s">
        <v>1391</v>
      </c>
      <c r="H1883" s="8" t="s">
        <v>186</v>
      </c>
      <c r="I1883" s="18" t="s">
        <v>2592</v>
      </c>
      <c r="J1883" s="16">
        <v>61.0</v>
      </c>
      <c r="K1883" s="8" t="s">
        <v>2948</v>
      </c>
      <c r="L1883" s="8" t="s">
        <v>1219</v>
      </c>
      <c r="M1883" s="18" t="s">
        <v>2560</v>
      </c>
      <c r="N1883" s="16">
        <v>72.0</v>
      </c>
      <c r="O1883" s="8" t="s">
        <v>5820</v>
      </c>
      <c r="P1883" s="8" t="s">
        <v>75</v>
      </c>
      <c r="Q1883" s="14" t="s">
        <v>60</v>
      </c>
      <c r="R1883" s="18" t="s">
        <v>2556</v>
      </c>
      <c r="S1883" s="14" t="s">
        <v>2571</v>
      </c>
    </row>
    <row r="1884">
      <c r="A1884" s="8" t="s">
        <v>1563</v>
      </c>
      <c r="B1884" s="8" t="s">
        <v>3317</v>
      </c>
      <c r="C1884" s="8" t="s">
        <v>215</v>
      </c>
      <c r="D1884" s="18" t="s">
        <v>2582</v>
      </c>
      <c r="E1884" s="16">
        <v>74.0</v>
      </c>
      <c r="F1884" s="8" t="s">
        <v>421</v>
      </c>
      <c r="G1884" s="8" t="s">
        <v>420</v>
      </c>
      <c r="H1884" s="8" t="s">
        <v>46</v>
      </c>
      <c r="I1884" s="18" t="s">
        <v>2552</v>
      </c>
      <c r="J1884" s="16">
        <v>71.0</v>
      </c>
      <c r="K1884" s="8" t="s">
        <v>992</v>
      </c>
      <c r="L1884" s="8" t="s">
        <v>991</v>
      </c>
      <c r="M1884" s="18" t="s">
        <v>2577</v>
      </c>
      <c r="N1884" s="16">
        <v>72.0</v>
      </c>
      <c r="O1884" s="8" t="s">
        <v>5821</v>
      </c>
      <c r="P1884" s="8" t="s">
        <v>65</v>
      </c>
      <c r="Q1884" s="14" t="s">
        <v>2033</v>
      </c>
      <c r="R1884" s="8" t="s">
        <v>2585</v>
      </c>
      <c r="S1884" s="14" t="s">
        <v>2557</v>
      </c>
    </row>
    <row r="1885">
      <c r="A1885" s="8" t="s">
        <v>1563</v>
      </c>
      <c r="B1885" s="8" t="s">
        <v>3730</v>
      </c>
      <c r="C1885" s="8" t="s">
        <v>122</v>
      </c>
      <c r="D1885" s="18" t="s">
        <v>2567</v>
      </c>
      <c r="E1885" s="16">
        <v>66.0</v>
      </c>
      <c r="F1885" s="8" t="s">
        <v>2923</v>
      </c>
      <c r="G1885" s="8" t="s">
        <v>164</v>
      </c>
      <c r="H1885" s="8" t="s">
        <v>65</v>
      </c>
      <c r="I1885" s="18" t="s">
        <v>2621</v>
      </c>
      <c r="J1885" s="16">
        <v>82.0</v>
      </c>
      <c r="K1885" s="8" t="s">
        <v>2419</v>
      </c>
      <c r="L1885" s="8" t="s">
        <v>99</v>
      </c>
      <c r="M1885" s="18" t="s">
        <v>2605</v>
      </c>
      <c r="N1885" s="16">
        <v>79.0</v>
      </c>
      <c r="O1885" s="8" t="s">
        <v>5822</v>
      </c>
      <c r="P1885" s="8" t="s">
        <v>149</v>
      </c>
      <c r="Q1885" s="14" t="s">
        <v>2296</v>
      </c>
      <c r="R1885" s="8" t="s">
        <v>2562</v>
      </c>
      <c r="S1885" s="14" t="s">
        <v>2606</v>
      </c>
    </row>
    <row r="1886">
      <c r="A1886" s="8" t="s">
        <v>1452</v>
      </c>
      <c r="B1886" s="8" t="s">
        <v>1451</v>
      </c>
      <c r="C1886" s="8" t="s">
        <v>24</v>
      </c>
      <c r="D1886" s="18" t="s">
        <v>2614</v>
      </c>
      <c r="E1886" s="16">
        <v>60.0</v>
      </c>
      <c r="F1886" s="8" t="s">
        <v>936</v>
      </c>
      <c r="G1886" s="8" t="s">
        <v>3286</v>
      </c>
      <c r="H1886" s="8" t="s">
        <v>24</v>
      </c>
      <c r="I1886" s="18" t="s">
        <v>2600</v>
      </c>
      <c r="J1886" s="16">
        <v>98.0</v>
      </c>
      <c r="K1886" s="8" t="s">
        <v>597</v>
      </c>
      <c r="L1886" s="8" t="s">
        <v>661</v>
      </c>
      <c r="M1886" s="18" t="s">
        <v>2574</v>
      </c>
      <c r="N1886" s="16">
        <v>75.0</v>
      </c>
      <c r="O1886" s="8" t="s">
        <v>5823</v>
      </c>
      <c r="P1886" s="8" t="s">
        <v>24</v>
      </c>
      <c r="Q1886" s="14" t="s">
        <v>1070</v>
      </c>
      <c r="R1886" s="8" t="s">
        <v>2564</v>
      </c>
      <c r="S1886" s="14" t="s">
        <v>2640</v>
      </c>
    </row>
    <row r="1887">
      <c r="A1887" s="8" t="s">
        <v>421</v>
      </c>
      <c r="B1887" s="8" t="s">
        <v>1149</v>
      </c>
      <c r="C1887" s="8" t="s">
        <v>38</v>
      </c>
      <c r="D1887" s="18" t="s">
        <v>2620</v>
      </c>
      <c r="E1887" s="16">
        <v>72.0</v>
      </c>
      <c r="F1887" s="8" t="s">
        <v>936</v>
      </c>
      <c r="G1887" s="8" t="s">
        <v>935</v>
      </c>
      <c r="H1887" s="8" t="s">
        <v>149</v>
      </c>
      <c r="I1887" s="18" t="s">
        <v>2593</v>
      </c>
      <c r="J1887" s="16">
        <v>77.0</v>
      </c>
      <c r="K1887" s="8" t="s">
        <v>597</v>
      </c>
      <c r="L1887" s="8" t="s">
        <v>472</v>
      </c>
      <c r="M1887" s="18" t="s">
        <v>2567</v>
      </c>
      <c r="N1887" s="16">
        <v>68.0</v>
      </c>
      <c r="O1887" s="8" t="s">
        <v>5824</v>
      </c>
      <c r="P1887" s="8" t="s">
        <v>149</v>
      </c>
      <c r="Q1887" s="14" t="s">
        <v>459</v>
      </c>
      <c r="R1887" s="8" t="s">
        <v>2554</v>
      </c>
      <c r="S1887" s="14" t="s">
        <v>2590</v>
      </c>
    </row>
    <row r="1888">
      <c r="A1888" s="8" t="s">
        <v>421</v>
      </c>
      <c r="B1888" s="8" t="s">
        <v>420</v>
      </c>
      <c r="C1888" s="8" t="s">
        <v>149</v>
      </c>
      <c r="D1888" s="18" t="s">
        <v>2554</v>
      </c>
      <c r="E1888" s="16">
        <v>83.0</v>
      </c>
      <c r="F1888" s="8" t="s">
        <v>936</v>
      </c>
      <c r="G1888" s="8" t="s">
        <v>3376</v>
      </c>
      <c r="H1888" s="8" t="s">
        <v>59</v>
      </c>
      <c r="I1888" s="18" t="s">
        <v>2600</v>
      </c>
      <c r="J1888" s="16">
        <v>78.0</v>
      </c>
      <c r="K1888" s="8" t="s">
        <v>1300</v>
      </c>
      <c r="L1888" s="8" t="s">
        <v>1299</v>
      </c>
      <c r="M1888" s="18" t="s">
        <v>2605</v>
      </c>
      <c r="N1888" s="16">
        <v>69.0</v>
      </c>
      <c r="O1888" s="8" t="s">
        <v>5825</v>
      </c>
      <c r="P1888" s="8" t="s">
        <v>261</v>
      </c>
      <c r="Q1888" s="14" t="s">
        <v>1352</v>
      </c>
      <c r="R1888" s="8" t="s">
        <v>2598</v>
      </c>
      <c r="S1888" s="14" t="s">
        <v>2555</v>
      </c>
    </row>
    <row r="1889">
      <c r="A1889" s="8" t="s">
        <v>2923</v>
      </c>
      <c r="B1889" s="8" t="s">
        <v>164</v>
      </c>
      <c r="C1889" s="8" t="s">
        <v>65</v>
      </c>
      <c r="D1889" s="18" t="s">
        <v>2621</v>
      </c>
      <c r="E1889" s="16">
        <v>79.0</v>
      </c>
      <c r="F1889" s="8" t="s">
        <v>72</v>
      </c>
      <c r="G1889" s="8" t="s">
        <v>71</v>
      </c>
      <c r="H1889" s="8" t="s">
        <v>12</v>
      </c>
      <c r="I1889" s="18" t="s">
        <v>2585</v>
      </c>
      <c r="J1889" s="16">
        <v>76.0</v>
      </c>
      <c r="K1889" s="8" t="s">
        <v>2104</v>
      </c>
      <c r="L1889" s="8" t="s">
        <v>916</v>
      </c>
      <c r="M1889" s="18" t="s">
        <v>2620</v>
      </c>
      <c r="N1889" s="16">
        <v>74.0</v>
      </c>
      <c r="O1889" s="8" t="s">
        <v>5826</v>
      </c>
      <c r="P1889" s="8" t="s">
        <v>24</v>
      </c>
      <c r="Q1889" s="14" t="s">
        <v>1679</v>
      </c>
      <c r="R1889" s="18" t="s">
        <v>2589</v>
      </c>
      <c r="S1889" s="14" t="s">
        <v>2571</v>
      </c>
    </row>
    <row r="1890">
      <c r="A1890" s="8" t="s">
        <v>936</v>
      </c>
      <c r="B1890" s="8" t="s">
        <v>3286</v>
      </c>
      <c r="C1890" s="8" t="s">
        <v>24</v>
      </c>
      <c r="D1890" s="18" t="s">
        <v>2600</v>
      </c>
      <c r="E1890" s="16">
        <v>99.0</v>
      </c>
      <c r="F1890" s="8" t="s">
        <v>1075</v>
      </c>
      <c r="G1890" s="8" t="s">
        <v>636</v>
      </c>
      <c r="H1890" s="8" t="s">
        <v>65</v>
      </c>
      <c r="I1890" s="18" t="s">
        <v>2560</v>
      </c>
      <c r="J1890" s="16">
        <v>74.0</v>
      </c>
      <c r="K1890" s="8" t="s">
        <v>1793</v>
      </c>
      <c r="L1890" s="8" t="s">
        <v>683</v>
      </c>
      <c r="M1890" s="18" t="s">
        <v>2589</v>
      </c>
      <c r="N1890" s="16">
        <v>73.0</v>
      </c>
      <c r="O1890" s="8" t="s">
        <v>5827</v>
      </c>
      <c r="P1890" s="8" t="s">
        <v>65</v>
      </c>
      <c r="Q1890" s="14" t="s">
        <v>2033</v>
      </c>
      <c r="R1890" s="18" t="s">
        <v>2556</v>
      </c>
      <c r="S1890" s="14" t="s">
        <v>2627</v>
      </c>
    </row>
    <row r="1891">
      <c r="A1891" s="8" t="s">
        <v>936</v>
      </c>
      <c r="B1891" s="8" t="s">
        <v>935</v>
      </c>
      <c r="C1891" s="8" t="s">
        <v>149</v>
      </c>
      <c r="D1891" s="18" t="s">
        <v>2593</v>
      </c>
      <c r="E1891" s="16">
        <v>72.0</v>
      </c>
      <c r="F1891" s="8" t="s">
        <v>3466</v>
      </c>
      <c r="G1891" s="8" t="s">
        <v>3465</v>
      </c>
      <c r="H1891" s="8" t="s">
        <v>80</v>
      </c>
      <c r="I1891" s="18" t="s">
        <v>2595</v>
      </c>
      <c r="J1891" s="16">
        <v>67.0</v>
      </c>
      <c r="K1891" s="8" t="s">
        <v>409</v>
      </c>
      <c r="L1891" s="8" t="s">
        <v>796</v>
      </c>
      <c r="M1891" s="18" t="s">
        <v>2566</v>
      </c>
      <c r="N1891" s="16">
        <v>72.0</v>
      </c>
      <c r="O1891" s="8" t="s">
        <v>5828</v>
      </c>
      <c r="P1891" s="8" t="s">
        <v>24</v>
      </c>
      <c r="Q1891" s="14" t="s">
        <v>1352</v>
      </c>
      <c r="R1891" s="8" t="s">
        <v>2614</v>
      </c>
      <c r="S1891" s="14" t="s">
        <v>2557</v>
      </c>
    </row>
    <row r="1892">
      <c r="A1892" s="8" t="s">
        <v>936</v>
      </c>
      <c r="B1892" s="8" t="s">
        <v>3689</v>
      </c>
      <c r="C1892" s="8" t="s">
        <v>24</v>
      </c>
      <c r="D1892" s="18" t="s">
        <v>2605</v>
      </c>
      <c r="E1892" s="16">
        <v>68.0</v>
      </c>
      <c r="F1892" s="8" t="s">
        <v>337</v>
      </c>
      <c r="G1892" s="8" t="s">
        <v>3103</v>
      </c>
      <c r="H1892" s="8" t="s">
        <v>70</v>
      </c>
      <c r="I1892" s="18" t="s">
        <v>2567</v>
      </c>
      <c r="J1892" s="16">
        <v>76.0</v>
      </c>
      <c r="K1892" s="8" t="s">
        <v>409</v>
      </c>
      <c r="L1892" s="8" t="s">
        <v>2831</v>
      </c>
      <c r="M1892" s="18" t="s">
        <v>2572</v>
      </c>
      <c r="N1892" s="16">
        <v>63.0</v>
      </c>
      <c r="O1892" s="8" t="s">
        <v>5829</v>
      </c>
      <c r="P1892" s="8" t="s">
        <v>38</v>
      </c>
      <c r="Q1892" s="14" t="s">
        <v>1679</v>
      </c>
      <c r="R1892" s="8" t="s">
        <v>2567</v>
      </c>
      <c r="S1892" s="14" t="s">
        <v>2553</v>
      </c>
    </row>
    <row r="1893">
      <c r="A1893" s="8" t="s">
        <v>936</v>
      </c>
      <c r="B1893" s="8" t="s">
        <v>3376</v>
      </c>
      <c r="C1893" s="8" t="s">
        <v>53</v>
      </c>
      <c r="D1893" s="18" t="s">
        <v>2600</v>
      </c>
      <c r="E1893" s="16">
        <v>82.0</v>
      </c>
      <c r="F1893" s="8" t="s">
        <v>337</v>
      </c>
      <c r="G1893" s="8" t="s">
        <v>62</v>
      </c>
      <c r="H1893" s="8" t="s">
        <v>122</v>
      </c>
      <c r="I1893" s="18" t="s">
        <v>2566</v>
      </c>
      <c r="J1893" s="16">
        <v>63.0</v>
      </c>
      <c r="K1893" s="8" t="s">
        <v>409</v>
      </c>
      <c r="L1893" s="8" t="s">
        <v>451</v>
      </c>
      <c r="M1893" s="18" t="s">
        <v>2603</v>
      </c>
      <c r="N1893" s="16">
        <v>87.0</v>
      </c>
      <c r="O1893" s="8" t="s">
        <v>5830</v>
      </c>
      <c r="P1893" s="8" t="s">
        <v>186</v>
      </c>
      <c r="Q1893" s="14" t="s">
        <v>1352</v>
      </c>
      <c r="R1893" s="8" t="s">
        <v>2621</v>
      </c>
      <c r="S1893" s="14" t="s">
        <v>2594</v>
      </c>
    </row>
    <row r="1894">
      <c r="A1894" s="8" t="s">
        <v>72</v>
      </c>
      <c r="B1894" s="8" t="s">
        <v>71</v>
      </c>
      <c r="C1894" s="8" t="s">
        <v>12</v>
      </c>
      <c r="D1894" s="18" t="s">
        <v>2605</v>
      </c>
      <c r="E1894" s="16">
        <v>79.0</v>
      </c>
      <c r="F1894" s="8" t="s">
        <v>337</v>
      </c>
      <c r="G1894" s="8" t="s">
        <v>2873</v>
      </c>
      <c r="H1894" s="8" t="s">
        <v>70</v>
      </c>
      <c r="I1894" s="18" t="s">
        <v>2582</v>
      </c>
      <c r="J1894" s="16">
        <v>78.0</v>
      </c>
      <c r="K1894" s="8" t="s">
        <v>409</v>
      </c>
      <c r="L1894" s="8" t="s">
        <v>408</v>
      </c>
      <c r="M1894" s="18" t="s">
        <v>2572</v>
      </c>
      <c r="N1894" s="16">
        <v>79.0</v>
      </c>
      <c r="O1894" s="8" t="s">
        <v>5831</v>
      </c>
      <c r="P1894" s="8" t="s">
        <v>38</v>
      </c>
      <c r="Q1894" s="14" t="s">
        <v>1070</v>
      </c>
      <c r="R1894" s="8" t="s">
        <v>2566</v>
      </c>
      <c r="S1894" s="14" t="s">
        <v>2557</v>
      </c>
    </row>
    <row r="1895">
      <c r="A1895" s="8" t="s">
        <v>1075</v>
      </c>
      <c r="B1895" s="8" t="s">
        <v>636</v>
      </c>
      <c r="C1895" s="8" t="s">
        <v>65</v>
      </c>
      <c r="D1895" s="18" t="s">
        <v>2560</v>
      </c>
      <c r="E1895" s="16">
        <v>63.0</v>
      </c>
      <c r="F1895" s="8" t="s">
        <v>337</v>
      </c>
      <c r="G1895" s="8" t="s">
        <v>336</v>
      </c>
      <c r="H1895" s="8" t="s">
        <v>93</v>
      </c>
      <c r="I1895" s="18" t="s">
        <v>2598</v>
      </c>
      <c r="J1895" s="16">
        <v>80.0</v>
      </c>
      <c r="K1895" s="8" t="s">
        <v>409</v>
      </c>
      <c r="L1895" s="8" t="s">
        <v>852</v>
      </c>
      <c r="M1895" s="18" t="s">
        <v>2587</v>
      </c>
      <c r="N1895" s="16">
        <v>74.0</v>
      </c>
      <c r="O1895" s="8" t="s">
        <v>5832</v>
      </c>
      <c r="P1895" s="8" t="s">
        <v>46</v>
      </c>
      <c r="Q1895" s="14" t="s">
        <v>338</v>
      </c>
      <c r="R1895" s="8" t="s">
        <v>2552</v>
      </c>
      <c r="S1895" s="14" t="s">
        <v>2568</v>
      </c>
    </row>
    <row r="1896">
      <c r="A1896" s="8" t="s">
        <v>3466</v>
      </c>
      <c r="B1896" s="8" t="s">
        <v>3465</v>
      </c>
      <c r="C1896" s="8" t="s">
        <v>80</v>
      </c>
      <c r="D1896" s="18" t="s">
        <v>2598</v>
      </c>
      <c r="E1896" s="16">
        <v>68.0</v>
      </c>
      <c r="F1896" s="8" t="s">
        <v>337</v>
      </c>
      <c r="G1896" s="8" t="s">
        <v>3373</v>
      </c>
      <c r="H1896" s="8" t="s">
        <v>46</v>
      </c>
      <c r="I1896" s="18" t="s">
        <v>2603</v>
      </c>
      <c r="J1896" s="16">
        <v>61.0</v>
      </c>
      <c r="K1896" s="8" t="s">
        <v>409</v>
      </c>
      <c r="L1896" s="8" t="s">
        <v>2109</v>
      </c>
      <c r="M1896" s="18" t="s">
        <v>2598</v>
      </c>
      <c r="N1896" s="16">
        <v>66.0</v>
      </c>
      <c r="O1896" s="8" t="s">
        <v>5833</v>
      </c>
      <c r="P1896" s="8" t="s">
        <v>65</v>
      </c>
      <c r="Q1896" s="14" t="s">
        <v>2033</v>
      </c>
      <c r="R1896" s="8" t="s">
        <v>2605</v>
      </c>
      <c r="S1896" s="14" t="s">
        <v>2557</v>
      </c>
    </row>
    <row r="1897">
      <c r="A1897" s="8" t="s">
        <v>337</v>
      </c>
      <c r="B1897" s="8" t="s">
        <v>336</v>
      </c>
      <c r="C1897" s="8" t="s">
        <v>93</v>
      </c>
      <c r="D1897" s="18" t="s">
        <v>2598</v>
      </c>
      <c r="E1897" s="16">
        <v>77.0</v>
      </c>
      <c r="F1897" s="8" t="s">
        <v>337</v>
      </c>
      <c r="G1897" s="8" t="s">
        <v>2668</v>
      </c>
      <c r="H1897" s="8" t="s">
        <v>215</v>
      </c>
      <c r="I1897" s="18" t="s">
        <v>2592</v>
      </c>
      <c r="J1897" s="16">
        <v>80.0</v>
      </c>
      <c r="K1897" s="8" t="s">
        <v>409</v>
      </c>
      <c r="L1897" s="8" t="s">
        <v>408</v>
      </c>
      <c r="M1897" s="18" t="s">
        <v>2572</v>
      </c>
      <c r="N1897" s="16">
        <v>87.0</v>
      </c>
      <c r="O1897" s="8" t="s">
        <v>5834</v>
      </c>
      <c r="P1897" s="8" t="s">
        <v>65</v>
      </c>
      <c r="Q1897" s="14" t="s">
        <v>1679</v>
      </c>
      <c r="R1897" s="8" t="s">
        <v>2620</v>
      </c>
      <c r="S1897" s="14" t="s">
        <v>2563</v>
      </c>
    </row>
    <row r="1898">
      <c r="A1898" s="8" t="s">
        <v>337</v>
      </c>
      <c r="B1898" s="8" t="s">
        <v>3533</v>
      </c>
      <c r="C1898" s="8" t="s">
        <v>138</v>
      </c>
      <c r="D1898" s="18" t="s">
        <v>2592</v>
      </c>
      <c r="E1898" s="16">
        <v>84.0</v>
      </c>
      <c r="F1898" s="8" t="s">
        <v>337</v>
      </c>
      <c r="G1898" s="8" t="s">
        <v>3331</v>
      </c>
      <c r="H1898" s="8" t="s">
        <v>149</v>
      </c>
      <c r="I1898" s="18" t="s">
        <v>2558</v>
      </c>
      <c r="J1898" s="16">
        <v>63.0</v>
      </c>
      <c r="K1898" s="8" t="s">
        <v>67</v>
      </c>
      <c r="L1898" s="8" t="s">
        <v>392</v>
      </c>
      <c r="M1898" s="18" t="s">
        <v>2574</v>
      </c>
      <c r="N1898" s="16">
        <v>76.0</v>
      </c>
      <c r="O1898" s="8" t="s">
        <v>5835</v>
      </c>
      <c r="P1898" s="8" t="s">
        <v>215</v>
      </c>
      <c r="Q1898" s="14" t="s">
        <v>2033</v>
      </c>
      <c r="R1898" s="8" t="s">
        <v>2566</v>
      </c>
      <c r="S1898" s="14" t="s">
        <v>2555</v>
      </c>
    </row>
    <row r="1899">
      <c r="A1899" s="8" t="s">
        <v>337</v>
      </c>
      <c r="B1899" s="8" t="s">
        <v>2055</v>
      </c>
      <c r="C1899" s="8" t="s">
        <v>192</v>
      </c>
      <c r="D1899" s="18" t="s">
        <v>2587</v>
      </c>
      <c r="E1899" s="16">
        <v>76.0</v>
      </c>
      <c r="F1899" s="8" t="s">
        <v>337</v>
      </c>
      <c r="G1899" s="8" t="s">
        <v>1922</v>
      </c>
      <c r="H1899" s="8" t="s">
        <v>138</v>
      </c>
      <c r="I1899" s="18" t="s">
        <v>2589</v>
      </c>
      <c r="J1899" s="16">
        <v>76.0</v>
      </c>
      <c r="K1899" s="8" t="s">
        <v>67</v>
      </c>
      <c r="L1899" s="8" t="s">
        <v>460</v>
      </c>
      <c r="M1899" s="18" t="s">
        <v>2600</v>
      </c>
      <c r="N1899" s="16">
        <v>79.0</v>
      </c>
      <c r="O1899" s="8" t="s">
        <v>5836</v>
      </c>
      <c r="P1899" s="8" t="s">
        <v>149</v>
      </c>
      <c r="Q1899" s="14" t="s">
        <v>837</v>
      </c>
      <c r="R1899" s="8" t="s">
        <v>2593</v>
      </c>
      <c r="S1899" s="14" t="s">
        <v>2588</v>
      </c>
    </row>
    <row r="1900">
      <c r="A1900" s="8" t="s">
        <v>337</v>
      </c>
      <c r="B1900" s="8" t="s">
        <v>325</v>
      </c>
      <c r="C1900" s="8" t="s">
        <v>80</v>
      </c>
      <c r="D1900" s="18" t="s">
        <v>2577</v>
      </c>
      <c r="E1900" s="16">
        <v>74.0</v>
      </c>
      <c r="F1900" s="8" t="s">
        <v>337</v>
      </c>
      <c r="G1900" s="8" t="s">
        <v>293</v>
      </c>
      <c r="H1900" s="8" t="s">
        <v>93</v>
      </c>
      <c r="I1900" s="18" t="s">
        <v>2592</v>
      </c>
      <c r="J1900" s="16">
        <v>69.0</v>
      </c>
      <c r="K1900" s="8" t="s">
        <v>67</v>
      </c>
      <c r="L1900" s="8" t="s">
        <v>326</v>
      </c>
      <c r="M1900" s="18" t="s">
        <v>2581</v>
      </c>
      <c r="N1900" s="16">
        <v>79.0</v>
      </c>
      <c r="O1900" s="8" t="s">
        <v>5837</v>
      </c>
      <c r="P1900" s="8" t="s">
        <v>12</v>
      </c>
      <c r="Q1900" s="14" t="s">
        <v>60</v>
      </c>
      <c r="R1900" s="8" t="s">
        <v>2585</v>
      </c>
      <c r="S1900" s="14" t="s">
        <v>2625</v>
      </c>
    </row>
    <row r="1901">
      <c r="A1901" s="8" t="s">
        <v>337</v>
      </c>
      <c r="B1901" s="8" t="s">
        <v>2820</v>
      </c>
      <c r="C1901" s="8" t="s">
        <v>16</v>
      </c>
      <c r="D1901" s="18" t="s">
        <v>2615</v>
      </c>
      <c r="E1901" s="16">
        <v>73.0</v>
      </c>
      <c r="F1901" s="8" t="s">
        <v>337</v>
      </c>
      <c r="G1901" s="8" t="s">
        <v>2962</v>
      </c>
      <c r="H1901" s="8" t="s">
        <v>93</v>
      </c>
      <c r="I1901" s="18" t="s">
        <v>2562</v>
      </c>
      <c r="J1901" s="16">
        <v>69.0</v>
      </c>
      <c r="K1901" s="8" t="s">
        <v>67</v>
      </c>
      <c r="L1901" s="8" t="s">
        <v>522</v>
      </c>
      <c r="M1901" s="18" t="s">
        <v>2592</v>
      </c>
      <c r="N1901" s="16">
        <v>63.0</v>
      </c>
      <c r="O1901" s="8" t="s">
        <v>5838</v>
      </c>
      <c r="P1901" s="8" t="s">
        <v>65</v>
      </c>
      <c r="Q1901" s="14" t="s">
        <v>1070</v>
      </c>
      <c r="R1901" s="8" t="s">
        <v>2560</v>
      </c>
      <c r="S1901" s="14" t="s">
        <v>2588</v>
      </c>
    </row>
    <row r="1902">
      <c r="A1902" s="8" t="s">
        <v>337</v>
      </c>
      <c r="B1902" s="8" t="s">
        <v>3747</v>
      </c>
      <c r="C1902" s="8" t="s">
        <v>59</v>
      </c>
      <c r="D1902" s="18" t="s">
        <v>2567</v>
      </c>
      <c r="E1902" s="16">
        <v>83.0</v>
      </c>
      <c r="F1902" s="8" t="s">
        <v>337</v>
      </c>
      <c r="G1902" s="8" t="s">
        <v>594</v>
      </c>
      <c r="H1902" s="8" t="s">
        <v>59</v>
      </c>
      <c r="I1902" s="18" t="s">
        <v>2593</v>
      </c>
      <c r="J1902" s="16">
        <v>81.0</v>
      </c>
      <c r="K1902" s="8" t="s">
        <v>67</v>
      </c>
      <c r="L1902" s="8" t="s">
        <v>99</v>
      </c>
      <c r="M1902" s="18" t="s">
        <v>2592</v>
      </c>
      <c r="N1902" s="16">
        <v>69.0</v>
      </c>
      <c r="O1902" s="8" t="s">
        <v>5839</v>
      </c>
      <c r="P1902" s="8" t="s">
        <v>93</v>
      </c>
      <c r="Q1902" s="14" t="s">
        <v>338</v>
      </c>
      <c r="R1902" s="18" t="s">
        <v>2589</v>
      </c>
      <c r="S1902" s="14" t="s">
        <v>2590</v>
      </c>
    </row>
    <row r="1903">
      <c r="A1903" s="8" t="s">
        <v>337</v>
      </c>
      <c r="B1903" s="8" t="s">
        <v>293</v>
      </c>
      <c r="C1903" s="8" t="s">
        <v>93</v>
      </c>
      <c r="D1903" s="18" t="s">
        <v>2574</v>
      </c>
      <c r="E1903" s="16">
        <v>71.0</v>
      </c>
      <c r="F1903" s="8" t="s">
        <v>337</v>
      </c>
      <c r="G1903" s="8" t="s">
        <v>2055</v>
      </c>
      <c r="H1903" s="8" t="s">
        <v>192</v>
      </c>
      <c r="I1903" s="18" t="s">
        <v>2614</v>
      </c>
      <c r="J1903" s="16">
        <v>72.0</v>
      </c>
      <c r="K1903" s="8" t="s">
        <v>67</v>
      </c>
      <c r="L1903" s="8" t="s">
        <v>926</v>
      </c>
      <c r="M1903" s="18" t="s">
        <v>2610</v>
      </c>
      <c r="N1903" s="16">
        <v>72.0</v>
      </c>
      <c r="O1903" s="8" t="s">
        <v>5840</v>
      </c>
      <c r="P1903" s="8" t="s">
        <v>65</v>
      </c>
      <c r="Q1903" s="14" t="s">
        <v>1679</v>
      </c>
      <c r="R1903" s="8" t="s">
        <v>2582</v>
      </c>
      <c r="S1903" s="14" t="s">
        <v>2555</v>
      </c>
    </row>
    <row r="1904">
      <c r="A1904" s="8" t="s">
        <v>337</v>
      </c>
      <c r="B1904" s="8" t="s">
        <v>3779</v>
      </c>
      <c r="C1904" s="8" t="s">
        <v>132</v>
      </c>
      <c r="D1904" s="18" t="s">
        <v>2620</v>
      </c>
      <c r="E1904" s="16">
        <v>59.0</v>
      </c>
      <c r="F1904" s="8" t="s">
        <v>337</v>
      </c>
      <c r="G1904" s="8" t="s">
        <v>325</v>
      </c>
      <c r="H1904" s="8" t="s">
        <v>80</v>
      </c>
      <c r="I1904" s="18" t="s">
        <v>2577</v>
      </c>
      <c r="J1904" s="16">
        <v>70.0</v>
      </c>
      <c r="K1904" s="8" t="s">
        <v>67</v>
      </c>
      <c r="L1904" s="8" t="s">
        <v>61</v>
      </c>
      <c r="M1904" s="18" t="s">
        <v>2645</v>
      </c>
      <c r="N1904" s="16">
        <v>69.0</v>
      </c>
      <c r="O1904" s="8" t="s">
        <v>5841</v>
      </c>
      <c r="P1904" s="8" t="s">
        <v>65</v>
      </c>
      <c r="Q1904" s="14" t="s">
        <v>1352</v>
      </c>
      <c r="R1904" s="8" t="s">
        <v>2587</v>
      </c>
      <c r="S1904" s="14" t="s">
        <v>2565</v>
      </c>
    </row>
    <row r="1905">
      <c r="A1905" s="8" t="s">
        <v>337</v>
      </c>
      <c r="B1905" s="8" t="s">
        <v>220</v>
      </c>
      <c r="C1905" s="8" t="s">
        <v>93</v>
      </c>
      <c r="D1905" s="18" t="s">
        <v>2562</v>
      </c>
      <c r="E1905" s="16">
        <v>67.0</v>
      </c>
      <c r="F1905" s="8" t="s">
        <v>337</v>
      </c>
      <c r="G1905" s="8" t="s">
        <v>61</v>
      </c>
      <c r="H1905" s="8" t="s">
        <v>65</v>
      </c>
      <c r="I1905" s="18" t="s">
        <v>2582</v>
      </c>
      <c r="J1905" s="16">
        <v>65.0</v>
      </c>
      <c r="K1905" s="8" t="s">
        <v>67</v>
      </c>
      <c r="L1905" s="8" t="s">
        <v>5842</v>
      </c>
      <c r="M1905" s="18" t="s">
        <v>2566</v>
      </c>
      <c r="N1905" s="16">
        <v>65.0</v>
      </c>
      <c r="O1905" s="8" t="s">
        <v>5843</v>
      </c>
      <c r="P1905" s="8" t="s">
        <v>16</v>
      </c>
      <c r="Q1905" s="14" t="s">
        <v>459</v>
      </c>
      <c r="R1905" s="8" t="s">
        <v>2575</v>
      </c>
      <c r="S1905" s="14" t="s">
        <v>2563</v>
      </c>
    </row>
    <row r="1906">
      <c r="A1906" s="8" t="s">
        <v>337</v>
      </c>
      <c r="B1906" s="8" t="s">
        <v>1922</v>
      </c>
      <c r="C1906" s="8" t="s">
        <v>138</v>
      </c>
      <c r="D1906" s="18" t="s">
        <v>2589</v>
      </c>
      <c r="E1906" s="16">
        <v>75.0</v>
      </c>
      <c r="F1906" s="8" t="s">
        <v>337</v>
      </c>
      <c r="G1906" s="8" t="s">
        <v>233</v>
      </c>
      <c r="H1906" s="8" t="s">
        <v>65</v>
      </c>
      <c r="I1906" s="18" t="s">
        <v>2593</v>
      </c>
      <c r="J1906" s="16">
        <v>78.0</v>
      </c>
      <c r="K1906" s="8" t="s">
        <v>67</v>
      </c>
      <c r="L1906" s="8" t="s">
        <v>704</v>
      </c>
      <c r="M1906" s="18" t="s">
        <v>2587</v>
      </c>
      <c r="N1906" s="16">
        <v>75.0</v>
      </c>
      <c r="O1906" s="8" t="s">
        <v>5844</v>
      </c>
      <c r="P1906" s="8" t="s">
        <v>93</v>
      </c>
      <c r="Q1906" s="14" t="s">
        <v>2459</v>
      </c>
      <c r="R1906" s="8" t="s">
        <v>2615</v>
      </c>
      <c r="S1906" s="14" t="s">
        <v>2570</v>
      </c>
    </row>
    <row r="1907">
      <c r="A1907" s="8" t="s">
        <v>337</v>
      </c>
      <c r="B1907" s="8" t="s">
        <v>594</v>
      </c>
      <c r="C1907" s="8" t="s">
        <v>215</v>
      </c>
      <c r="D1907" s="18" t="s">
        <v>2593</v>
      </c>
      <c r="E1907" s="16">
        <v>89.0</v>
      </c>
      <c r="F1907" s="8" t="s">
        <v>2647</v>
      </c>
      <c r="G1907" s="8" t="s">
        <v>2646</v>
      </c>
      <c r="H1907" s="8" t="s">
        <v>12</v>
      </c>
      <c r="I1907" s="18" t="s">
        <v>2592</v>
      </c>
      <c r="J1907" s="16">
        <v>73.0</v>
      </c>
      <c r="K1907" s="8" t="s">
        <v>67</v>
      </c>
      <c r="L1907" s="8" t="s">
        <v>522</v>
      </c>
      <c r="M1907" s="18" t="s">
        <v>2562</v>
      </c>
      <c r="N1907" s="16">
        <v>74.0</v>
      </c>
      <c r="O1907" s="8" t="s">
        <v>5845</v>
      </c>
      <c r="P1907" s="8" t="s">
        <v>138</v>
      </c>
      <c r="Q1907" s="14" t="s">
        <v>1679</v>
      </c>
      <c r="R1907" s="18" t="s">
        <v>2589</v>
      </c>
      <c r="S1907" s="14" t="s">
        <v>2601</v>
      </c>
    </row>
    <row r="1908">
      <c r="A1908" s="8" t="s">
        <v>337</v>
      </c>
      <c r="B1908" s="8" t="s">
        <v>62</v>
      </c>
      <c r="C1908" s="8" t="s">
        <v>215</v>
      </c>
      <c r="D1908" s="18" t="s">
        <v>2574</v>
      </c>
      <c r="E1908" s="16">
        <v>51.0</v>
      </c>
      <c r="F1908" s="8" t="s">
        <v>306</v>
      </c>
      <c r="G1908" s="8" t="s">
        <v>197</v>
      </c>
      <c r="H1908" s="8" t="s">
        <v>93</v>
      </c>
      <c r="I1908" s="18" t="s">
        <v>2575</v>
      </c>
      <c r="J1908" s="16">
        <v>61.0</v>
      </c>
      <c r="K1908" s="8" t="s">
        <v>67</v>
      </c>
      <c r="L1908" s="8" t="s">
        <v>725</v>
      </c>
      <c r="M1908" s="18" t="s">
        <v>2592</v>
      </c>
      <c r="N1908" s="16">
        <v>78.0</v>
      </c>
      <c r="O1908" s="8" t="s">
        <v>5846</v>
      </c>
      <c r="P1908" s="8" t="s">
        <v>215</v>
      </c>
      <c r="Q1908" s="14" t="s">
        <v>459</v>
      </c>
      <c r="R1908" s="8" t="s">
        <v>2614</v>
      </c>
      <c r="S1908" s="14" t="s">
        <v>2586</v>
      </c>
    </row>
    <row r="1909">
      <c r="A1909" s="8" t="s">
        <v>337</v>
      </c>
      <c r="B1909" s="8" t="s">
        <v>3103</v>
      </c>
      <c r="C1909" s="8" t="s">
        <v>70</v>
      </c>
      <c r="D1909" s="18" t="s">
        <v>2567</v>
      </c>
      <c r="E1909" s="16">
        <v>75.0</v>
      </c>
      <c r="F1909" s="8" t="s">
        <v>1033</v>
      </c>
      <c r="G1909" s="8" t="s">
        <v>99</v>
      </c>
      <c r="H1909" s="8" t="s">
        <v>70</v>
      </c>
      <c r="I1909" s="18" t="s">
        <v>2614</v>
      </c>
      <c r="J1909" s="16">
        <v>63.0</v>
      </c>
      <c r="K1909" s="8" t="s">
        <v>67</v>
      </c>
      <c r="L1909" s="8" t="s">
        <v>66</v>
      </c>
      <c r="M1909" s="18" t="s">
        <v>2592</v>
      </c>
      <c r="N1909" s="16">
        <v>76.0</v>
      </c>
      <c r="O1909" s="8" t="s">
        <v>5847</v>
      </c>
      <c r="P1909" s="8" t="s">
        <v>186</v>
      </c>
      <c r="Q1909" s="14" t="s">
        <v>2033</v>
      </c>
      <c r="R1909" s="8" t="s">
        <v>2577</v>
      </c>
      <c r="S1909" s="14" t="s">
        <v>2609</v>
      </c>
    </row>
    <row r="1910">
      <c r="A1910" s="8" t="s">
        <v>337</v>
      </c>
      <c r="B1910" s="8" t="s">
        <v>233</v>
      </c>
      <c r="C1910" s="8" t="s">
        <v>65</v>
      </c>
      <c r="D1910" s="18" t="s">
        <v>2587</v>
      </c>
      <c r="E1910" s="16">
        <v>73.0</v>
      </c>
      <c r="F1910" s="8" t="s">
        <v>1033</v>
      </c>
      <c r="G1910" s="8" t="s">
        <v>3077</v>
      </c>
      <c r="H1910" s="8" t="s">
        <v>65</v>
      </c>
      <c r="I1910" s="18" t="s">
        <v>2587</v>
      </c>
      <c r="J1910" s="16">
        <v>71.0</v>
      </c>
      <c r="K1910" s="8" t="s">
        <v>67</v>
      </c>
      <c r="L1910" s="8" t="s">
        <v>3008</v>
      </c>
      <c r="M1910" s="18" t="s">
        <v>2552</v>
      </c>
      <c r="N1910" s="16">
        <v>79.0</v>
      </c>
      <c r="O1910" s="8" t="s">
        <v>5848</v>
      </c>
      <c r="P1910" s="8" t="s">
        <v>24</v>
      </c>
      <c r="Q1910" s="14" t="s">
        <v>1352</v>
      </c>
      <c r="R1910" s="8" t="s">
        <v>2558</v>
      </c>
      <c r="S1910" s="14" t="s">
        <v>2563</v>
      </c>
    </row>
    <row r="1911">
      <c r="A1911" s="8" t="s">
        <v>2647</v>
      </c>
      <c r="B1911" s="8" t="s">
        <v>2646</v>
      </c>
      <c r="C1911" s="8" t="s">
        <v>12</v>
      </c>
      <c r="D1911" s="18" t="s">
        <v>2592</v>
      </c>
      <c r="E1911" s="16">
        <v>79.0</v>
      </c>
      <c r="F1911" s="8" t="s">
        <v>1033</v>
      </c>
      <c r="G1911" s="8" t="s">
        <v>389</v>
      </c>
      <c r="H1911" s="8" t="s">
        <v>46</v>
      </c>
      <c r="I1911" s="18" t="s">
        <v>2615</v>
      </c>
      <c r="J1911" s="16">
        <v>70.0</v>
      </c>
      <c r="K1911" s="8" t="s">
        <v>67</v>
      </c>
      <c r="L1911" s="8" t="s">
        <v>700</v>
      </c>
      <c r="M1911" s="18" t="s">
        <v>2567</v>
      </c>
      <c r="N1911" s="16">
        <v>75.0</v>
      </c>
      <c r="O1911" s="8" t="s">
        <v>5849</v>
      </c>
      <c r="P1911" s="8" t="s">
        <v>65</v>
      </c>
      <c r="Q1911" s="14" t="s">
        <v>837</v>
      </c>
      <c r="R1911" s="8" t="s">
        <v>2593</v>
      </c>
      <c r="S1911" s="14" t="s">
        <v>2604</v>
      </c>
    </row>
    <row r="1912">
      <c r="A1912" s="8" t="s">
        <v>1033</v>
      </c>
      <c r="B1912" s="8" t="s">
        <v>99</v>
      </c>
      <c r="C1912" s="8" t="s">
        <v>70</v>
      </c>
      <c r="D1912" s="18" t="s">
        <v>2614</v>
      </c>
      <c r="E1912" s="16">
        <v>66.0</v>
      </c>
      <c r="F1912" s="8" t="s">
        <v>310</v>
      </c>
      <c r="G1912" s="8" t="s">
        <v>3029</v>
      </c>
      <c r="H1912" s="8" t="s">
        <v>75</v>
      </c>
      <c r="I1912" s="18" t="s">
        <v>2593</v>
      </c>
      <c r="J1912" s="16">
        <v>79.0</v>
      </c>
      <c r="K1912" s="8" t="s">
        <v>67</v>
      </c>
      <c r="L1912" s="8" t="s">
        <v>1196</v>
      </c>
      <c r="M1912" s="18" t="s">
        <v>2610</v>
      </c>
      <c r="N1912" s="16">
        <v>66.0</v>
      </c>
      <c r="O1912" s="8" t="s">
        <v>5850</v>
      </c>
      <c r="P1912" s="8" t="s">
        <v>70</v>
      </c>
      <c r="Q1912" s="14" t="s">
        <v>2033</v>
      </c>
      <c r="R1912" s="8" t="s">
        <v>2552</v>
      </c>
      <c r="S1912" s="14" t="s">
        <v>2583</v>
      </c>
    </row>
    <row r="1913">
      <c r="A1913" s="8" t="s">
        <v>1033</v>
      </c>
      <c r="B1913" s="8" t="s">
        <v>3077</v>
      </c>
      <c r="C1913" s="8" t="s">
        <v>65</v>
      </c>
      <c r="D1913" s="18" t="s">
        <v>2183</v>
      </c>
      <c r="E1913" s="16">
        <v>72.0</v>
      </c>
      <c r="F1913" s="8" t="s">
        <v>383</v>
      </c>
      <c r="G1913" s="8" t="s">
        <v>835</v>
      </c>
      <c r="H1913" s="8" t="s">
        <v>65</v>
      </c>
      <c r="I1913" s="18" t="s">
        <v>2552</v>
      </c>
      <c r="J1913" s="16">
        <v>68.0</v>
      </c>
      <c r="K1913" s="8" t="s">
        <v>67</v>
      </c>
      <c r="L1913" s="8" t="s">
        <v>227</v>
      </c>
      <c r="M1913" s="18" t="s">
        <v>2621</v>
      </c>
      <c r="N1913" s="16">
        <v>77.0</v>
      </c>
      <c r="O1913" s="8" t="s">
        <v>5851</v>
      </c>
      <c r="P1913" s="8" t="s">
        <v>93</v>
      </c>
      <c r="Q1913" s="14" t="s">
        <v>2033</v>
      </c>
      <c r="R1913" s="8" t="s">
        <v>2567</v>
      </c>
      <c r="S1913" s="14" t="s">
        <v>2591</v>
      </c>
    </row>
    <row r="1914">
      <c r="A1914" s="8" t="s">
        <v>310</v>
      </c>
      <c r="B1914" s="8" t="s">
        <v>3029</v>
      </c>
      <c r="C1914" s="8" t="s">
        <v>75</v>
      </c>
      <c r="D1914" s="18" t="s">
        <v>2593</v>
      </c>
      <c r="E1914" s="16">
        <v>73.0</v>
      </c>
      <c r="F1914" s="8" t="s">
        <v>383</v>
      </c>
      <c r="G1914" s="8" t="s">
        <v>931</v>
      </c>
      <c r="H1914" s="8" t="s">
        <v>215</v>
      </c>
      <c r="I1914" s="18" t="s">
        <v>2589</v>
      </c>
      <c r="J1914" s="16">
        <v>65.0</v>
      </c>
      <c r="K1914" s="8" t="s">
        <v>67</v>
      </c>
      <c r="L1914" s="8" t="s">
        <v>291</v>
      </c>
      <c r="M1914" s="18" t="s">
        <v>2582</v>
      </c>
      <c r="N1914" s="16">
        <v>84.0</v>
      </c>
      <c r="O1914" s="8" t="s">
        <v>5852</v>
      </c>
      <c r="P1914" s="8" t="s">
        <v>70</v>
      </c>
      <c r="Q1914" s="14" t="s">
        <v>837</v>
      </c>
      <c r="R1914" s="8" t="s">
        <v>2566</v>
      </c>
      <c r="S1914" s="14" t="s">
        <v>2557</v>
      </c>
    </row>
    <row r="1915">
      <c r="A1915" s="8" t="s">
        <v>383</v>
      </c>
      <c r="B1915" s="8" t="s">
        <v>931</v>
      </c>
      <c r="C1915" s="8" t="s">
        <v>122</v>
      </c>
      <c r="D1915" s="18" t="s">
        <v>2589</v>
      </c>
      <c r="E1915" s="16">
        <v>66.0</v>
      </c>
      <c r="F1915" s="8" t="s">
        <v>383</v>
      </c>
      <c r="G1915" s="8" t="s">
        <v>382</v>
      </c>
      <c r="H1915" s="8" t="s">
        <v>141</v>
      </c>
      <c r="I1915" s="18" t="s">
        <v>2556</v>
      </c>
      <c r="J1915" s="16">
        <v>90.0</v>
      </c>
      <c r="K1915" s="8" t="s">
        <v>67</v>
      </c>
      <c r="L1915" s="8" t="s">
        <v>1987</v>
      </c>
      <c r="M1915" s="18" t="s">
        <v>2556</v>
      </c>
      <c r="N1915" s="16">
        <v>73.0</v>
      </c>
      <c r="O1915" s="8" t="s">
        <v>5853</v>
      </c>
      <c r="P1915" s="8" t="s">
        <v>132</v>
      </c>
      <c r="Q1915" s="14" t="s">
        <v>1679</v>
      </c>
      <c r="R1915" s="8" t="s">
        <v>2610</v>
      </c>
      <c r="S1915" s="14" t="s">
        <v>2606</v>
      </c>
    </row>
    <row r="1916">
      <c r="A1916" s="8" t="s">
        <v>383</v>
      </c>
      <c r="B1916" s="8" t="s">
        <v>382</v>
      </c>
      <c r="C1916" s="8" t="s">
        <v>141</v>
      </c>
      <c r="D1916" s="18" t="s">
        <v>2556</v>
      </c>
      <c r="E1916" s="16">
        <v>85.0</v>
      </c>
      <c r="F1916" s="8" t="s">
        <v>383</v>
      </c>
      <c r="G1916" s="8" t="s">
        <v>2942</v>
      </c>
      <c r="H1916" s="8" t="s">
        <v>80</v>
      </c>
      <c r="I1916" s="18" t="s">
        <v>2564</v>
      </c>
      <c r="J1916" s="16">
        <v>80.0</v>
      </c>
      <c r="K1916" s="8" t="s">
        <v>67</v>
      </c>
      <c r="L1916" s="8" t="s">
        <v>636</v>
      </c>
      <c r="M1916" s="18" t="s">
        <v>2582</v>
      </c>
      <c r="N1916" s="16">
        <v>75.0</v>
      </c>
      <c r="O1916" s="8" t="s">
        <v>5854</v>
      </c>
      <c r="P1916" s="8" t="s">
        <v>149</v>
      </c>
      <c r="Q1916" s="14" t="s">
        <v>2033</v>
      </c>
      <c r="R1916" s="8" t="s">
        <v>2562</v>
      </c>
      <c r="S1916" s="14" t="s">
        <v>2609</v>
      </c>
    </row>
    <row r="1917">
      <c r="A1917" s="8" t="s">
        <v>383</v>
      </c>
      <c r="B1917" s="8" t="s">
        <v>3764</v>
      </c>
      <c r="C1917" s="8" t="s">
        <v>192</v>
      </c>
      <c r="D1917" s="18" t="s">
        <v>2564</v>
      </c>
      <c r="E1917" s="16">
        <v>81.0</v>
      </c>
      <c r="F1917" s="8" t="s">
        <v>2903</v>
      </c>
      <c r="G1917" s="8" t="s">
        <v>2902</v>
      </c>
      <c r="H1917" s="8" t="s">
        <v>65</v>
      </c>
      <c r="I1917" s="18" t="s">
        <v>2566</v>
      </c>
      <c r="J1917" s="16">
        <v>67.0</v>
      </c>
      <c r="K1917" s="8" t="s">
        <v>67</v>
      </c>
      <c r="L1917" s="8" t="s">
        <v>3035</v>
      </c>
      <c r="M1917" s="18" t="s">
        <v>2598</v>
      </c>
      <c r="N1917" s="16">
        <v>81.0</v>
      </c>
      <c r="O1917" s="8" t="s">
        <v>5855</v>
      </c>
      <c r="P1917" s="8" t="s">
        <v>75</v>
      </c>
      <c r="Q1917" s="14" t="s">
        <v>237</v>
      </c>
      <c r="R1917" s="8" t="s">
        <v>2621</v>
      </c>
      <c r="S1917" s="14" t="s">
        <v>2578</v>
      </c>
    </row>
    <row r="1918">
      <c r="A1918" s="8" t="s">
        <v>383</v>
      </c>
      <c r="B1918" s="8" t="s">
        <v>99</v>
      </c>
      <c r="C1918" s="8" t="s">
        <v>65</v>
      </c>
      <c r="D1918" s="18" t="s">
        <v>2614</v>
      </c>
      <c r="E1918" s="16">
        <v>59.0</v>
      </c>
      <c r="F1918" s="8" t="s">
        <v>1929</v>
      </c>
      <c r="G1918" s="8" t="s">
        <v>1928</v>
      </c>
      <c r="H1918" s="8" t="s">
        <v>138</v>
      </c>
      <c r="I1918" s="18" t="s">
        <v>2566</v>
      </c>
      <c r="J1918" s="16">
        <v>70.0</v>
      </c>
      <c r="K1918" s="8" t="s">
        <v>67</v>
      </c>
      <c r="L1918" s="8" t="s">
        <v>1583</v>
      </c>
      <c r="M1918" s="18" t="s">
        <v>2595</v>
      </c>
      <c r="N1918" s="16">
        <v>85.0</v>
      </c>
      <c r="O1918" s="8" t="s">
        <v>5856</v>
      </c>
      <c r="P1918" s="8" t="s">
        <v>70</v>
      </c>
      <c r="Q1918" s="14" t="s">
        <v>2296</v>
      </c>
      <c r="R1918" s="8" t="s">
        <v>2610</v>
      </c>
      <c r="S1918" s="14" t="s">
        <v>2568</v>
      </c>
    </row>
    <row r="1919">
      <c r="A1919" s="8" t="s">
        <v>2903</v>
      </c>
      <c r="B1919" s="8" t="s">
        <v>94</v>
      </c>
      <c r="C1919" s="8" t="s">
        <v>65</v>
      </c>
      <c r="D1919" s="18" t="s">
        <v>2566</v>
      </c>
      <c r="E1919" s="16">
        <v>62.0</v>
      </c>
      <c r="F1919" s="8" t="s">
        <v>394</v>
      </c>
      <c r="G1919" s="8" t="s">
        <v>224</v>
      </c>
      <c r="H1919" s="8" t="s">
        <v>93</v>
      </c>
      <c r="I1919" s="18" t="s">
        <v>2564</v>
      </c>
      <c r="J1919" s="16">
        <v>70.0</v>
      </c>
      <c r="K1919" s="8" t="s">
        <v>67</v>
      </c>
      <c r="L1919" s="8" t="s">
        <v>561</v>
      </c>
      <c r="M1919" s="18" t="s">
        <v>2567</v>
      </c>
      <c r="N1919" s="16">
        <v>73.0</v>
      </c>
      <c r="O1919" s="8" t="s">
        <v>5857</v>
      </c>
      <c r="P1919" s="8" t="s">
        <v>138</v>
      </c>
      <c r="Q1919" s="14" t="s">
        <v>837</v>
      </c>
      <c r="R1919" s="18" t="s">
        <v>2589</v>
      </c>
      <c r="S1919" s="14" t="s">
        <v>2557</v>
      </c>
    </row>
    <row r="1920">
      <c r="A1920" s="8" t="s">
        <v>3754</v>
      </c>
      <c r="B1920" s="8" t="s">
        <v>293</v>
      </c>
      <c r="C1920" s="8" t="s">
        <v>186</v>
      </c>
      <c r="D1920" s="18" t="s">
        <v>2614</v>
      </c>
      <c r="E1920" s="16">
        <v>81.0</v>
      </c>
      <c r="F1920" s="8" t="s">
        <v>394</v>
      </c>
      <c r="G1920" s="8" t="s">
        <v>1276</v>
      </c>
      <c r="H1920" s="8" t="s">
        <v>80</v>
      </c>
      <c r="I1920" s="18" t="s">
        <v>2183</v>
      </c>
      <c r="J1920" s="16">
        <v>85.0</v>
      </c>
      <c r="K1920" s="8" t="s">
        <v>67</v>
      </c>
      <c r="L1920" s="8" t="s">
        <v>2146</v>
      </c>
      <c r="M1920" s="18" t="s">
        <v>2600</v>
      </c>
      <c r="N1920" s="16">
        <v>68.0</v>
      </c>
      <c r="O1920" s="8" t="s">
        <v>5858</v>
      </c>
      <c r="P1920" s="8" t="s">
        <v>141</v>
      </c>
      <c r="Q1920" s="14" t="s">
        <v>338</v>
      </c>
      <c r="R1920" s="18" t="s">
        <v>2556</v>
      </c>
      <c r="S1920" s="14" t="s">
        <v>2634</v>
      </c>
    </row>
    <row r="1921">
      <c r="A1921" s="8" t="s">
        <v>3674</v>
      </c>
      <c r="B1921" s="8" t="s">
        <v>3673</v>
      </c>
      <c r="C1921" s="8" t="s">
        <v>192</v>
      </c>
      <c r="D1921" s="18" t="s">
        <v>2595</v>
      </c>
      <c r="E1921" s="16">
        <v>74.0</v>
      </c>
      <c r="F1921" s="8" t="s">
        <v>1091</v>
      </c>
      <c r="G1921" s="8" t="s">
        <v>2220</v>
      </c>
      <c r="H1921" s="8" t="s">
        <v>53</v>
      </c>
      <c r="I1921" s="18" t="s">
        <v>2603</v>
      </c>
      <c r="J1921" s="16">
        <v>62.0</v>
      </c>
      <c r="K1921" s="8" t="s">
        <v>67</v>
      </c>
      <c r="L1921" s="8" t="s">
        <v>291</v>
      </c>
      <c r="M1921" s="18" t="s">
        <v>2582</v>
      </c>
      <c r="N1921" s="16">
        <v>90.0</v>
      </c>
      <c r="O1921" s="8" t="s">
        <v>5859</v>
      </c>
      <c r="P1921" s="8" t="s">
        <v>80</v>
      </c>
      <c r="Q1921" s="14" t="s">
        <v>459</v>
      </c>
      <c r="R1921" s="8" t="s">
        <v>2564</v>
      </c>
      <c r="S1921" s="14" t="s">
        <v>2608</v>
      </c>
    </row>
    <row r="1922">
      <c r="A1922" s="8" t="s">
        <v>1929</v>
      </c>
      <c r="B1922" s="8" t="s">
        <v>1928</v>
      </c>
      <c r="C1922" s="8" t="s">
        <v>53</v>
      </c>
      <c r="D1922" s="18" t="s">
        <v>2566</v>
      </c>
      <c r="E1922" s="16">
        <v>58.0</v>
      </c>
      <c r="F1922" s="8" t="s">
        <v>1091</v>
      </c>
      <c r="G1922" s="8" t="s">
        <v>2920</v>
      </c>
      <c r="H1922" s="8" t="s">
        <v>80</v>
      </c>
      <c r="I1922" s="18" t="s">
        <v>2560</v>
      </c>
      <c r="J1922" s="16">
        <v>63.0</v>
      </c>
      <c r="K1922" s="8" t="s">
        <v>41</v>
      </c>
      <c r="L1922" s="8" t="s">
        <v>396</v>
      </c>
      <c r="M1922" s="18" t="s">
        <v>2554</v>
      </c>
      <c r="N1922" s="16">
        <v>82.0</v>
      </c>
      <c r="O1922" s="8" t="s">
        <v>5860</v>
      </c>
      <c r="P1922" s="8" t="s">
        <v>192</v>
      </c>
      <c r="Q1922" s="14" t="s">
        <v>1352</v>
      </c>
      <c r="R1922" s="8" t="s">
        <v>2567</v>
      </c>
      <c r="S1922" s="14" t="s">
        <v>2580</v>
      </c>
    </row>
    <row r="1923">
      <c r="A1923" s="8" t="s">
        <v>394</v>
      </c>
      <c r="B1923" s="8" t="s">
        <v>224</v>
      </c>
      <c r="C1923" s="8" t="s">
        <v>93</v>
      </c>
      <c r="D1923" s="18" t="s">
        <v>2564</v>
      </c>
      <c r="E1923" s="16">
        <v>68.0</v>
      </c>
      <c r="F1923" s="8" t="s">
        <v>1091</v>
      </c>
      <c r="G1923" s="8" t="s">
        <v>1421</v>
      </c>
      <c r="H1923" s="8" t="s">
        <v>93</v>
      </c>
      <c r="I1923" s="18" t="s">
        <v>2587</v>
      </c>
      <c r="J1923" s="16">
        <v>79.0</v>
      </c>
      <c r="K1923" s="8" t="s">
        <v>41</v>
      </c>
      <c r="L1923" s="8" t="s">
        <v>1301</v>
      </c>
      <c r="M1923" s="18" t="s">
        <v>2645</v>
      </c>
      <c r="N1923" s="16">
        <v>70.0</v>
      </c>
      <c r="O1923" s="8" t="s">
        <v>5861</v>
      </c>
      <c r="P1923" s="8" t="s">
        <v>215</v>
      </c>
      <c r="Q1923" s="14" t="s">
        <v>1679</v>
      </c>
      <c r="R1923" s="8" t="s">
        <v>2554</v>
      </c>
      <c r="S1923" s="14" t="s">
        <v>2573</v>
      </c>
    </row>
    <row r="1924">
      <c r="A1924" s="8" t="s">
        <v>394</v>
      </c>
      <c r="B1924" s="8" t="s">
        <v>1276</v>
      </c>
      <c r="C1924" s="8" t="s">
        <v>192</v>
      </c>
      <c r="D1924" s="18" t="s">
        <v>2183</v>
      </c>
      <c r="E1924" s="16">
        <v>81.0</v>
      </c>
      <c r="F1924" s="8" t="s">
        <v>1091</v>
      </c>
      <c r="G1924" s="8" t="s">
        <v>393</v>
      </c>
      <c r="H1924" s="8" t="s">
        <v>132</v>
      </c>
      <c r="I1924" s="18" t="s">
        <v>2620</v>
      </c>
      <c r="J1924" s="16">
        <v>83.0</v>
      </c>
      <c r="K1924" s="8" t="s">
        <v>41</v>
      </c>
      <c r="L1924" s="8" t="s">
        <v>1169</v>
      </c>
      <c r="M1924" s="18" t="s">
        <v>2593</v>
      </c>
      <c r="N1924" s="16">
        <v>75.0</v>
      </c>
      <c r="O1924" s="8" t="s">
        <v>5862</v>
      </c>
      <c r="P1924" s="8" t="s">
        <v>75</v>
      </c>
      <c r="Q1924" s="14" t="s">
        <v>338</v>
      </c>
      <c r="R1924" s="8" t="s">
        <v>2620</v>
      </c>
      <c r="S1924" s="14" t="s">
        <v>2607</v>
      </c>
    </row>
    <row r="1925">
      <c r="A1925" s="8" t="s">
        <v>394</v>
      </c>
      <c r="B1925" s="8" t="s">
        <v>444</v>
      </c>
      <c r="C1925" s="8" t="s">
        <v>53</v>
      </c>
      <c r="D1925" s="18" t="s">
        <v>2567</v>
      </c>
      <c r="E1925" s="16">
        <v>58.0</v>
      </c>
      <c r="F1925" s="8" t="s">
        <v>1091</v>
      </c>
      <c r="G1925" s="8" t="s">
        <v>194</v>
      </c>
      <c r="H1925" s="8" t="s">
        <v>141</v>
      </c>
      <c r="I1925" s="18" t="s">
        <v>2582</v>
      </c>
      <c r="J1925" s="16">
        <v>62.0</v>
      </c>
      <c r="K1925" s="8" t="s">
        <v>41</v>
      </c>
      <c r="L1925" s="8" t="s">
        <v>1992</v>
      </c>
      <c r="M1925" s="18" t="s">
        <v>2572</v>
      </c>
      <c r="N1925" s="16">
        <v>66.0</v>
      </c>
      <c r="O1925" s="8" t="s">
        <v>5863</v>
      </c>
      <c r="P1925" s="8" t="s">
        <v>215</v>
      </c>
      <c r="Q1925" s="14" t="s">
        <v>1070</v>
      </c>
      <c r="R1925" s="8" t="s">
        <v>2585</v>
      </c>
      <c r="S1925" s="14" t="s">
        <v>2602</v>
      </c>
    </row>
    <row r="1926">
      <c r="A1926" s="8" t="s">
        <v>1091</v>
      </c>
      <c r="B1926" s="8" t="s">
        <v>2688</v>
      </c>
      <c r="C1926" s="8" t="s">
        <v>215</v>
      </c>
      <c r="D1926" s="18" t="s">
        <v>2585</v>
      </c>
      <c r="E1926" s="16">
        <v>62.0</v>
      </c>
      <c r="F1926" s="8" t="s">
        <v>1091</v>
      </c>
      <c r="G1926" s="8" t="s">
        <v>2688</v>
      </c>
      <c r="H1926" s="8" t="s">
        <v>138</v>
      </c>
      <c r="I1926" s="18" t="s">
        <v>2585</v>
      </c>
      <c r="J1926" s="16">
        <v>67.0</v>
      </c>
      <c r="K1926" s="8" t="s">
        <v>41</v>
      </c>
      <c r="L1926" s="8" t="s">
        <v>2698</v>
      </c>
      <c r="M1926" s="18" t="s">
        <v>2589</v>
      </c>
      <c r="N1926" s="16">
        <v>78.0</v>
      </c>
      <c r="O1926" s="8" t="s">
        <v>5864</v>
      </c>
      <c r="P1926" s="8" t="s">
        <v>93</v>
      </c>
      <c r="Q1926" s="14" t="s">
        <v>1352</v>
      </c>
      <c r="R1926" s="8" t="s">
        <v>2564</v>
      </c>
      <c r="S1926" s="14" t="s">
        <v>2588</v>
      </c>
    </row>
    <row r="1927">
      <c r="A1927" s="8" t="s">
        <v>1091</v>
      </c>
      <c r="B1927" s="8" t="s">
        <v>1421</v>
      </c>
      <c r="C1927" s="8" t="s">
        <v>93</v>
      </c>
      <c r="D1927" s="18" t="s">
        <v>2587</v>
      </c>
      <c r="E1927" s="16">
        <v>83.0</v>
      </c>
      <c r="F1927" s="8" t="s">
        <v>1624</v>
      </c>
      <c r="G1927" s="8" t="s">
        <v>548</v>
      </c>
      <c r="H1927" s="8" t="s">
        <v>46</v>
      </c>
      <c r="I1927" s="18" t="s">
        <v>2575</v>
      </c>
      <c r="J1927" s="16">
        <v>80.0</v>
      </c>
      <c r="K1927" s="8" t="s">
        <v>41</v>
      </c>
      <c r="L1927" s="8" t="s">
        <v>1675</v>
      </c>
      <c r="M1927" s="18" t="s">
        <v>2581</v>
      </c>
      <c r="N1927" s="16">
        <v>72.0</v>
      </c>
      <c r="O1927" s="8" t="s">
        <v>5865</v>
      </c>
      <c r="P1927" s="8" t="s">
        <v>70</v>
      </c>
      <c r="Q1927" s="14" t="s">
        <v>2296</v>
      </c>
      <c r="R1927" s="8" t="s">
        <v>2592</v>
      </c>
      <c r="S1927" s="14" t="s">
        <v>2622</v>
      </c>
    </row>
    <row r="1928">
      <c r="A1928" s="8" t="s">
        <v>1091</v>
      </c>
      <c r="B1928" s="8" t="s">
        <v>393</v>
      </c>
      <c r="C1928" s="8" t="s">
        <v>75</v>
      </c>
      <c r="D1928" s="18" t="s">
        <v>2614</v>
      </c>
      <c r="E1928" s="16">
        <v>75.0</v>
      </c>
      <c r="F1928" s="8" t="s">
        <v>2948</v>
      </c>
      <c r="G1928" s="8" t="s">
        <v>1219</v>
      </c>
      <c r="H1928" s="8" t="s">
        <v>80</v>
      </c>
      <c r="I1928" s="18" t="s">
        <v>2560</v>
      </c>
      <c r="J1928" s="16">
        <v>72.0</v>
      </c>
      <c r="K1928" s="8" t="s">
        <v>41</v>
      </c>
      <c r="L1928" s="8" t="s">
        <v>3045</v>
      </c>
      <c r="M1928" s="18" t="s">
        <v>2593</v>
      </c>
      <c r="N1928" s="16">
        <v>71.0</v>
      </c>
      <c r="O1928" s="8" t="s">
        <v>5866</v>
      </c>
      <c r="P1928" s="8" t="s">
        <v>192</v>
      </c>
      <c r="Q1928" s="14" t="s">
        <v>2296</v>
      </c>
      <c r="R1928" s="8" t="s">
        <v>2584</v>
      </c>
      <c r="S1928" s="14" t="s">
        <v>2573</v>
      </c>
    </row>
    <row r="1929">
      <c r="A1929" s="8" t="s">
        <v>1091</v>
      </c>
      <c r="B1929" s="8" t="s">
        <v>396</v>
      </c>
      <c r="C1929" s="8" t="s">
        <v>80</v>
      </c>
      <c r="D1929" s="18" t="s">
        <v>2560</v>
      </c>
      <c r="E1929" s="16">
        <v>64.0</v>
      </c>
      <c r="F1929" s="8" t="s">
        <v>992</v>
      </c>
      <c r="G1929" s="8" t="s">
        <v>991</v>
      </c>
      <c r="H1929" s="8" t="s">
        <v>261</v>
      </c>
      <c r="I1929" s="18" t="s">
        <v>2577</v>
      </c>
      <c r="J1929" s="16">
        <v>80.0</v>
      </c>
      <c r="K1929" s="8" t="s">
        <v>41</v>
      </c>
      <c r="L1929" s="8" t="s">
        <v>2643</v>
      </c>
      <c r="M1929" s="18" t="s">
        <v>2605</v>
      </c>
      <c r="N1929" s="16">
        <v>70.0</v>
      </c>
      <c r="O1929" s="8" t="s">
        <v>5867</v>
      </c>
      <c r="P1929" s="8" t="s">
        <v>46</v>
      </c>
      <c r="Q1929" s="14" t="s">
        <v>1352</v>
      </c>
      <c r="R1929" s="8" t="s">
        <v>2575</v>
      </c>
      <c r="S1929" s="14" t="s">
        <v>2625</v>
      </c>
    </row>
    <row r="1930">
      <c r="A1930" s="8" t="s">
        <v>1624</v>
      </c>
      <c r="B1930" s="8" t="s">
        <v>3685</v>
      </c>
      <c r="C1930" s="8" t="s">
        <v>70</v>
      </c>
      <c r="D1930" s="18" t="s">
        <v>2620</v>
      </c>
      <c r="E1930" s="16">
        <v>76.0</v>
      </c>
      <c r="F1930" s="8" t="s">
        <v>597</v>
      </c>
      <c r="G1930" s="8" t="s">
        <v>472</v>
      </c>
      <c r="H1930" s="8" t="s">
        <v>24</v>
      </c>
      <c r="I1930" s="18" t="s">
        <v>2183</v>
      </c>
      <c r="J1930" s="16">
        <v>58.0</v>
      </c>
      <c r="K1930" s="8" t="s">
        <v>41</v>
      </c>
      <c r="L1930" s="8" t="s">
        <v>2326</v>
      </c>
      <c r="M1930" s="18" t="s">
        <v>2560</v>
      </c>
      <c r="N1930" s="16">
        <v>77.0</v>
      </c>
      <c r="O1930" s="8" t="s">
        <v>5868</v>
      </c>
      <c r="P1930" s="8" t="s">
        <v>261</v>
      </c>
      <c r="Q1930" s="14" t="s">
        <v>837</v>
      </c>
      <c r="R1930" s="8" t="s">
        <v>2577</v>
      </c>
      <c r="S1930" s="14" t="s">
        <v>2591</v>
      </c>
    </row>
    <row r="1931">
      <c r="A1931" s="8" t="s">
        <v>1624</v>
      </c>
      <c r="B1931" s="8" t="s">
        <v>548</v>
      </c>
      <c r="C1931" s="8" t="s">
        <v>46</v>
      </c>
      <c r="D1931" s="18" t="s">
        <v>2575</v>
      </c>
      <c r="E1931" s="16">
        <v>79.0</v>
      </c>
      <c r="F1931" s="8" t="s">
        <v>597</v>
      </c>
      <c r="G1931" s="8" t="s">
        <v>661</v>
      </c>
      <c r="H1931" s="8" t="s">
        <v>93</v>
      </c>
      <c r="I1931" s="18" t="s">
        <v>2577</v>
      </c>
      <c r="J1931" s="16">
        <v>80.0</v>
      </c>
      <c r="K1931" s="8" t="s">
        <v>41</v>
      </c>
      <c r="L1931" s="8" t="s">
        <v>716</v>
      </c>
      <c r="M1931" s="18" t="s">
        <v>2610</v>
      </c>
      <c r="N1931" s="16">
        <v>72.0</v>
      </c>
      <c r="O1931" s="8" t="s">
        <v>5869</v>
      </c>
      <c r="P1931" s="8" t="s">
        <v>186</v>
      </c>
      <c r="Q1931" s="14" t="s">
        <v>2296</v>
      </c>
      <c r="R1931" s="8" t="s">
        <v>2605</v>
      </c>
      <c r="S1931" s="14" t="s">
        <v>2599</v>
      </c>
    </row>
    <row r="1932">
      <c r="A1932" s="8" t="s">
        <v>2948</v>
      </c>
      <c r="B1932" s="8" t="s">
        <v>1219</v>
      </c>
      <c r="C1932" s="8" t="s">
        <v>80</v>
      </c>
      <c r="D1932" s="18" t="s">
        <v>2560</v>
      </c>
      <c r="E1932" s="16">
        <v>73.0</v>
      </c>
      <c r="F1932" s="8" t="s">
        <v>1300</v>
      </c>
      <c r="G1932" s="8" t="s">
        <v>1299</v>
      </c>
      <c r="H1932" s="8" t="s">
        <v>53</v>
      </c>
      <c r="I1932" s="18" t="s">
        <v>2605</v>
      </c>
      <c r="J1932" s="16">
        <v>60.0</v>
      </c>
      <c r="K1932" s="8" t="s">
        <v>41</v>
      </c>
      <c r="L1932" s="8" t="s">
        <v>284</v>
      </c>
      <c r="M1932" s="18" t="s">
        <v>2620</v>
      </c>
      <c r="N1932" s="16">
        <v>68.0</v>
      </c>
      <c r="O1932" s="8" t="s">
        <v>5870</v>
      </c>
      <c r="P1932" s="8" t="s">
        <v>93</v>
      </c>
      <c r="Q1932" s="14" t="s">
        <v>631</v>
      </c>
      <c r="R1932" s="8" t="s">
        <v>2574</v>
      </c>
      <c r="S1932" s="14" t="s">
        <v>2602</v>
      </c>
    </row>
    <row r="1933">
      <c r="A1933" s="8" t="s">
        <v>992</v>
      </c>
      <c r="B1933" s="8" t="s">
        <v>991</v>
      </c>
      <c r="C1933" s="8" t="s">
        <v>261</v>
      </c>
      <c r="D1933" s="18" t="s">
        <v>2577</v>
      </c>
      <c r="E1933" s="16">
        <v>80.0</v>
      </c>
      <c r="F1933" s="8" t="s">
        <v>1793</v>
      </c>
      <c r="G1933" s="8" t="s">
        <v>683</v>
      </c>
      <c r="H1933" s="8" t="s">
        <v>192</v>
      </c>
      <c r="I1933" s="18" t="s">
        <v>2589</v>
      </c>
      <c r="J1933" s="16">
        <v>67.0</v>
      </c>
      <c r="K1933" s="8" t="s">
        <v>41</v>
      </c>
      <c r="L1933" s="8" t="s">
        <v>40</v>
      </c>
      <c r="M1933" s="18" t="s">
        <v>2575</v>
      </c>
      <c r="N1933" s="16">
        <v>84.0</v>
      </c>
      <c r="O1933" s="8" t="s">
        <v>5871</v>
      </c>
      <c r="P1933" s="8" t="s">
        <v>141</v>
      </c>
      <c r="Q1933" s="14" t="s">
        <v>1679</v>
      </c>
      <c r="R1933" s="8" t="s">
        <v>2582</v>
      </c>
      <c r="S1933" s="14" t="s">
        <v>2576</v>
      </c>
    </row>
    <row r="1934">
      <c r="A1934" s="8" t="s">
        <v>3799</v>
      </c>
      <c r="B1934" s="8" t="s">
        <v>3798</v>
      </c>
      <c r="C1934" s="8" t="s">
        <v>138</v>
      </c>
      <c r="D1934" s="18" t="s">
        <v>2621</v>
      </c>
      <c r="E1934" s="16">
        <v>67.0</v>
      </c>
      <c r="F1934" s="8" t="s">
        <v>3409</v>
      </c>
      <c r="G1934" s="8" t="s">
        <v>3408</v>
      </c>
      <c r="H1934" s="8" t="s">
        <v>65</v>
      </c>
      <c r="I1934" s="18" t="s">
        <v>2605</v>
      </c>
      <c r="J1934" s="16">
        <v>71.0</v>
      </c>
      <c r="K1934" s="8" t="s">
        <v>2216</v>
      </c>
      <c r="L1934" s="8" t="s">
        <v>2215</v>
      </c>
      <c r="M1934" s="18" t="s">
        <v>2582</v>
      </c>
      <c r="N1934" s="16">
        <v>74.0</v>
      </c>
      <c r="O1934" s="8" t="s">
        <v>5872</v>
      </c>
      <c r="P1934" s="8" t="s">
        <v>215</v>
      </c>
      <c r="Q1934" s="14" t="s">
        <v>1070</v>
      </c>
      <c r="R1934" s="8" t="s">
        <v>2605</v>
      </c>
      <c r="S1934" s="14" t="s">
        <v>2622</v>
      </c>
    </row>
    <row r="1935">
      <c r="A1935" s="8" t="s">
        <v>597</v>
      </c>
      <c r="B1935" s="8" t="s">
        <v>661</v>
      </c>
      <c r="C1935" s="8" t="s">
        <v>93</v>
      </c>
      <c r="D1935" s="18" t="s">
        <v>2577</v>
      </c>
      <c r="E1935" s="16">
        <v>73.0</v>
      </c>
      <c r="F1935" s="8" t="s">
        <v>409</v>
      </c>
      <c r="G1935" s="8" t="s">
        <v>408</v>
      </c>
      <c r="H1935" s="8" t="s">
        <v>46</v>
      </c>
      <c r="I1935" s="18" t="s">
        <v>2572</v>
      </c>
      <c r="J1935" s="16">
        <v>73.0</v>
      </c>
      <c r="K1935" s="8" t="s">
        <v>2738</v>
      </c>
      <c r="L1935" s="8" t="s">
        <v>2737</v>
      </c>
      <c r="M1935" s="18" t="s">
        <v>2562</v>
      </c>
      <c r="N1935" s="16">
        <v>70.0</v>
      </c>
      <c r="O1935" s="8" t="s">
        <v>5873</v>
      </c>
      <c r="P1935" s="8" t="s">
        <v>70</v>
      </c>
      <c r="Q1935" s="14" t="s">
        <v>2033</v>
      </c>
      <c r="R1935" s="8" t="s">
        <v>2620</v>
      </c>
      <c r="S1935" s="14" t="s">
        <v>2601</v>
      </c>
    </row>
    <row r="1936">
      <c r="A1936" s="8" t="s">
        <v>597</v>
      </c>
      <c r="B1936" s="8" t="s">
        <v>3880</v>
      </c>
      <c r="C1936" s="8" t="s">
        <v>192</v>
      </c>
      <c r="D1936" s="18" t="s">
        <v>2577</v>
      </c>
      <c r="E1936" s="16">
        <v>64.0</v>
      </c>
      <c r="F1936" s="8" t="s">
        <v>409</v>
      </c>
      <c r="G1936" s="8" t="s">
        <v>852</v>
      </c>
      <c r="H1936" s="8" t="s">
        <v>141</v>
      </c>
      <c r="I1936" s="18" t="s">
        <v>2610</v>
      </c>
      <c r="J1936" s="16">
        <v>78.0</v>
      </c>
      <c r="K1936" s="8" t="s">
        <v>1334</v>
      </c>
      <c r="L1936" s="8" t="s">
        <v>3037</v>
      </c>
      <c r="M1936" s="18" t="s">
        <v>2584</v>
      </c>
      <c r="N1936" s="16">
        <v>66.0</v>
      </c>
      <c r="O1936" s="8" t="s">
        <v>5874</v>
      </c>
      <c r="P1936" s="8" t="s">
        <v>192</v>
      </c>
      <c r="Q1936" s="14" t="s">
        <v>1679</v>
      </c>
      <c r="R1936" s="18" t="s">
        <v>2589</v>
      </c>
      <c r="S1936" s="14" t="s">
        <v>2568</v>
      </c>
    </row>
    <row r="1937">
      <c r="A1937" s="8" t="s">
        <v>1300</v>
      </c>
      <c r="B1937" s="8" t="s">
        <v>3768</v>
      </c>
      <c r="C1937" s="8" t="s">
        <v>122</v>
      </c>
      <c r="D1937" s="18" t="s">
        <v>2584</v>
      </c>
      <c r="E1937" s="16">
        <v>78.0</v>
      </c>
      <c r="F1937" s="8" t="s">
        <v>409</v>
      </c>
      <c r="G1937" s="8" t="s">
        <v>796</v>
      </c>
      <c r="H1937" s="8" t="s">
        <v>65</v>
      </c>
      <c r="I1937" s="18" t="s">
        <v>2574</v>
      </c>
      <c r="J1937" s="16">
        <v>71.0</v>
      </c>
      <c r="K1937" s="8" t="s">
        <v>1334</v>
      </c>
      <c r="L1937" s="8" t="s">
        <v>1050</v>
      </c>
      <c r="M1937" s="18" t="s">
        <v>2183</v>
      </c>
      <c r="N1937" s="16">
        <v>81.0</v>
      </c>
      <c r="O1937" s="8" t="s">
        <v>5875</v>
      </c>
      <c r="P1937" s="8" t="s">
        <v>141</v>
      </c>
      <c r="Q1937" s="14" t="s">
        <v>837</v>
      </c>
      <c r="R1937" s="8" t="s">
        <v>2587</v>
      </c>
      <c r="S1937" s="14" t="s">
        <v>2568</v>
      </c>
    </row>
    <row r="1938">
      <c r="A1938" s="8" t="s">
        <v>1300</v>
      </c>
      <c r="B1938" s="8" t="s">
        <v>1299</v>
      </c>
      <c r="C1938" s="8" t="s">
        <v>138</v>
      </c>
      <c r="D1938" s="18" t="s">
        <v>2605</v>
      </c>
      <c r="E1938" s="16">
        <v>61.0</v>
      </c>
      <c r="F1938" s="8" t="s">
        <v>409</v>
      </c>
      <c r="G1938" s="8" t="s">
        <v>451</v>
      </c>
      <c r="H1938" s="8" t="s">
        <v>16</v>
      </c>
      <c r="I1938" s="18" t="s">
        <v>2603</v>
      </c>
      <c r="J1938" s="16">
        <v>90.0</v>
      </c>
      <c r="K1938" s="8" t="s">
        <v>1771</v>
      </c>
      <c r="L1938" s="8" t="s">
        <v>1770</v>
      </c>
      <c r="M1938" s="18" t="s">
        <v>2593</v>
      </c>
      <c r="N1938" s="16">
        <v>77.0</v>
      </c>
      <c r="O1938" s="8" t="s">
        <v>5876</v>
      </c>
      <c r="P1938" s="8" t="s">
        <v>65</v>
      </c>
      <c r="Q1938" s="14" t="s">
        <v>2033</v>
      </c>
      <c r="R1938" s="8" t="s">
        <v>2598</v>
      </c>
      <c r="S1938" s="14" t="s">
        <v>2570</v>
      </c>
    </row>
    <row r="1939">
      <c r="A1939" s="8" t="s">
        <v>3409</v>
      </c>
      <c r="B1939" s="8" t="s">
        <v>3408</v>
      </c>
      <c r="C1939" s="8" t="s">
        <v>65</v>
      </c>
      <c r="D1939" s="18" t="s">
        <v>2564</v>
      </c>
      <c r="E1939" s="16">
        <v>78.0</v>
      </c>
      <c r="F1939" s="8" t="s">
        <v>67</v>
      </c>
      <c r="G1939" s="8" t="s">
        <v>3345</v>
      </c>
      <c r="H1939" s="8" t="s">
        <v>70</v>
      </c>
      <c r="I1939" s="18" t="s">
        <v>2564</v>
      </c>
      <c r="J1939" s="16">
        <v>82.0</v>
      </c>
      <c r="K1939" s="8" t="s">
        <v>2309</v>
      </c>
      <c r="L1939" s="8" t="s">
        <v>643</v>
      </c>
      <c r="M1939" s="18" t="s">
        <v>2566</v>
      </c>
      <c r="N1939" s="16">
        <v>79.0</v>
      </c>
      <c r="O1939" s="8" t="s">
        <v>5877</v>
      </c>
      <c r="P1939" s="8" t="s">
        <v>46</v>
      </c>
      <c r="Q1939" s="14" t="s">
        <v>338</v>
      </c>
      <c r="R1939" s="8" t="s">
        <v>2572</v>
      </c>
      <c r="S1939" s="14" t="s">
        <v>2571</v>
      </c>
    </row>
    <row r="1940">
      <c r="A1940" s="8" t="s">
        <v>3701</v>
      </c>
      <c r="B1940" s="8" t="s">
        <v>389</v>
      </c>
      <c r="C1940" s="8" t="s">
        <v>59</v>
      </c>
      <c r="D1940" s="18" t="s">
        <v>2600</v>
      </c>
      <c r="E1940" s="16">
        <v>65.0</v>
      </c>
      <c r="F1940" s="8" t="s">
        <v>67</v>
      </c>
      <c r="G1940" s="8" t="s">
        <v>1309</v>
      </c>
      <c r="H1940" s="8" t="s">
        <v>186</v>
      </c>
      <c r="I1940" s="18" t="s">
        <v>2577</v>
      </c>
      <c r="J1940" s="16">
        <v>81.0</v>
      </c>
      <c r="K1940" s="8" t="s">
        <v>3148</v>
      </c>
      <c r="L1940" s="8" t="s">
        <v>3147</v>
      </c>
      <c r="M1940" s="18" t="s">
        <v>2589</v>
      </c>
      <c r="N1940" s="16">
        <v>73.0</v>
      </c>
      <c r="O1940" s="8" t="s">
        <v>5878</v>
      </c>
      <c r="P1940" s="8" t="s">
        <v>65</v>
      </c>
      <c r="Q1940" s="14" t="s">
        <v>631</v>
      </c>
      <c r="R1940" s="8" t="s">
        <v>2566</v>
      </c>
      <c r="S1940" s="14" t="s">
        <v>2565</v>
      </c>
    </row>
    <row r="1941">
      <c r="A1941" s="8" t="s">
        <v>409</v>
      </c>
      <c r="B1941" s="8" t="s">
        <v>852</v>
      </c>
      <c r="C1941" s="8" t="s">
        <v>141</v>
      </c>
      <c r="D1941" s="18" t="s">
        <v>2610</v>
      </c>
      <c r="E1941" s="16">
        <v>69.0</v>
      </c>
      <c r="F1941" s="8" t="s">
        <v>67</v>
      </c>
      <c r="G1941" s="8" t="s">
        <v>409</v>
      </c>
      <c r="H1941" s="8" t="s">
        <v>215</v>
      </c>
      <c r="I1941" s="18" t="s">
        <v>2592</v>
      </c>
      <c r="J1941" s="16">
        <v>65.0</v>
      </c>
      <c r="K1941" s="8" t="s">
        <v>1031</v>
      </c>
      <c r="L1941" s="8" t="s">
        <v>593</v>
      </c>
      <c r="M1941" s="18" t="s">
        <v>2572</v>
      </c>
      <c r="N1941" s="16">
        <v>70.0</v>
      </c>
      <c r="O1941" s="8" t="s">
        <v>5879</v>
      </c>
      <c r="P1941" s="8" t="s">
        <v>16</v>
      </c>
      <c r="Q1941" s="14" t="s">
        <v>338</v>
      </c>
      <c r="R1941" s="8" t="s">
        <v>2603</v>
      </c>
      <c r="S1941" s="14" t="s">
        <v>2616</v>
      </c>
    </row>
    <row r="1942">
      <c r="A1942" s="8" t="s">
        <v>409</v>
      </c>
      <c r="B1942" s="8" t="s">
        <v>408</v>
      </c>
      <c r="C1942" s="8" t="s">
        <v>46</v>
      </c>
      <c r="D1942" s="18" t="s">
        <v>2620</v>
      </c>
      <c r="E1942" s="16">
        <v>82.0</v>
      </c>
      <c r="F1942" s="8" t="s">
        <v>67</v>
      </c>
      <c r="G1942" s="8" t="s">
        <v>3343</v>
      </c>
      <c r="H1942" s="8" t="s">
        <v>16</v>
      </c>
      <c r="I1942" s="18" t="s">
        <v>2575</v>
      </c>
      <c r="J1942" s="16">
        <v>66.0</v>
      </c>
      <c r="K1942" s="8" t="s">
        <v>162</v>
      </c>
      <c r="L1942" s="8" t="s">
        <v>1138</v>
      </c>
      <c r="M1942" s="18" t="s">
        <v>2572</v>
      </c>
      <c r="N1942" s="16">
        <v>67.0</v>
      </c>
      <c r="O1942" s="8" t="s">
        <v>5880</v>
      </c>
      <c r="P1942" s="8" t="s">
        <v>38</v>
      </c>
      <c r="Q1942" s="14" t="s">
        <v>459</v>
      </c>
      <c r="R1942" s="8" t="s">
        <v>2600</v>
      </c>
      <c r="S1942" s="14" t="s">
        <v>2601</v>
      </c>
    </row>
    <row r="1943">
      <c r="A1943" s="8" t="s">
        <v>409</v>
      </c>
      <c r="B1943" s="8" t="s">
        <v>796</v>
      </c>
      <c r="C1943" s="8" t="s">
        <v>65</v>
      </c>
      <c r="D1943" s="18" t="s">
        <v>2592</v>
      </c>
      <c r="E1943" s="16">
        <v>65.0</v>
      </c>
      <c r="F1943" s="8" t="s">
        <v>67</v>
      </c>
      <c r="G1943" s="8" t="s">
        <v>926</v>
      </c>
      <c r="H1943" s="8" t="s">
        <v>122</v>
      </c>
      <c r="I1943" s="18" t="s">
        <v>2610</v>
      </c>
      <c r="J1943" s="16">
        <v>68.0</v>
      </c>
      <c r="K1943" s="8" t="s">
        <v>162</v>
      </c>
      <c r="L1943" s="8" t="s">
        <v>61</v>
      </c>
      <c r="M1943" s="18" t="s">
        <v>2577</v>
      </c>
      <c r="N1943" s="16">
        <v>73.0</v>
      </c>
      <c r="O1943" s="8" t="s">
        <v>5881</v>
      </c>
      <c r="P1943" s="8" t="s">
        <v>53</v>
      </c>
      <c r="Q1943" s="14" t="s">
        <v>1352</v>
      </c>
      <c r="R1943" s="8" t="s">
        <v>2582</v>
      </c>
      <c r="S1943" s="14" t="s">
        <v>2591</v>
      </c>
    </row>
    <row r="1944">
      <c r="A1944" s="8" t="s">
        <v>409</v>
      </c>
      <c r="B1944" s="8" t="s">
        <v>451</v>
      </c>
      <c r="C1944" s="8" t="s">
        <v>16</v>
      </c>
      <c r="D1944" s="18" t="s">
        <v>2603</v>
      </c>
      <c r="E1944" s="16">
        <v>91.0</v>
      </c>
      <c r="F1944" s="8" t="s">
        <v>67</v>
      </c>
      <c r="G1944" s="8" t="s">
        <v>700</v>
      </c>
      <c r="H1944" s="8" t="s">
        <v>65</v>
      </c>
      <c r="I1944" s="18" t="s">
        <v>2582</v>
      </c>
      <c r="J1944" s="16">
        <v>67.0</v>
      </c>
      <c r="K1944" s="8" t="s">
        <v>162</v>
      </c>
      <c r="L1944" s="8" t="s">
        <v>42</v>
      </c>
      <c r="M1944" s="18" t="s">
        <v>2614</v>
      </c>
      <c r="N1944" s="16">
        <v>86.0</v>
      </c>
      <c r="O1944" s="8" t="s">
        <v>5882</v>
      </c>
      <c r="P1944" s="8" t="s">
        <v>186</v>
      </c>
      <c r="Q1944" s="14" t="s">
        <v>2033</v>
      </c>
      <c r="R1944" s="8" t="s">
        <v>2566</v>
      </c>
      <c r="S1944" s="14" t="s">
        <v>2579</v>
      </c>
    </row>
    <row r="1945">
      <c r="A1945" s="8" t="s">
        <v>67</v>
      </c>
      <c r="B1945" s="8" t="s">
        <v>460</v>
      </c>
      <c r="C1945" s="8" t="s">
        <v>38</v>
      </c>
      <c r="D1945" s="18" t="s">
        <v>2600</v>
      </c>
      <c r="E1945" s="16">
        <v>78.0</v>
      </c>
      <c r="F1945" s="8" t="s">
        <v>67</v>
      </c>
      <c r="G1945" s="8" t="s">
        <v>3224</v>
      </c>
      <c r="H1945" s="8" t="s">
        <v>215</v>
      </c>
      <c r="I1945" s="18" t="s">
        <v>2574</v>
      </c>
      <c r="J1945" s="16">
        <v>67.0</v>
      </c>
      <c r="K1945" s="8" t="s">
        <v>162</v>
      </c>
      <c r="L1945" s="8" t="s">
        <v>972</v>
      </c>
      <c r="M1945" s="18" t="s">
        <v>2593</v>
      </c>
      <c r="N1945" s="16">
        <v>65.0</v>
      </c>
      <c r="O1945" s="8" t="s">
        <v>5883</v>
      </c>
      <c r="P1945" s="8" t="s">
        <v>16</v>
      </c>
      <c r="Q1945" s="14" t="s">
        <v>2033</v>
      </c>
      <c r="R1945" s="8" t="s">
        <v>2610</v>
      </c>
      <c r="S1945" s="14" t="s">
        <v>2618</v>
      </c>
    </row>
    <row r="1946">
      <c r="A1946" s="8" t="s">
        <v>67</v>
      </c>
      <c r="B1946" s="8" t="s">
        <v>106</v>
      </c>
      <c r="C1946" s="8" t="s">
        <v>138</v>
      </c>
      <c r="D1946" s="18" t="s">
        <v>2610</v>
      </c>
      <c r="E1946" s="16">
        <v>59.0</v>
      </c>
      <c r="F1946" s="8" t="s">
        <v>67</v>
      </c>
      <c r="G1946" s="8" t="s">
        <v>3342</v>
      </c>
      <c r="H1946" s="8" t="s">
        <v>24</v>
      </c>
      <c r="I1946" s="18" t="s">
        <v>2575</v>
      </c>
      <c r="J1946" s="16">
        <v>62.0</v>
      </c>
      <c r="K1946" s="8" t="s">
        <v>162</v>
      </c>
      <c r="L1946" s="8" t="s">
        <v>2939</v>
      </c>
      <c r="M1946" s="18" t="s">
        <v>2554</v>
      </c>
      <c r="N1946" s="16">
        <v>70.0</v>
      </c>
      <c r="O1946" s="8" t="s">
        <v>5884</v>
      </c>
      <c r="P1946" s="8" t="s">
        <v>16</v>
      </c>
      <c r="Q1946" s="14" t="s">
        <v>60</v>
      </c>
      <c r="R1946" s="8" t="s">
        <v>2581</v>
      </c>
      <c r="S1946" s="14" t="s">
        <v>2601</v>
      </c>
    </row>
    <row r="1947">
      <c r="A1947" s="8" t="s">
        <v>67</v>
      </c>
      <c r="B1947" s="8" t="s">
        <v>3195</v>
      </c>
      <c r="C1947" s="8" t="s">
        <v>122</v>
      </c>
      <c r="D1947" s="18" t="s">
        <v>2572</v>
      </c>
      <c r="E1947" s="16">
        <v>68.0</v>
      </c>
      <c r="F1947" s="8" t="s">
        <v>67</v>
      </c>
      <c r="G1947" s="8" t="s">
        <v>392</v>
      </c>
      <c r="H1947" s="8" t="s">
        <v>141</v>
      </c>
      <c r="I1947" s="18" t="s">
        <v>2574</v>
      </c>
      <c r="J1947" s="16">
        <v>81.0</v>
      </c>
      <c r="K1947" s="8" t="s">
        <v>162</v>
      </c>
      <c r="L1947" s="8" t="s">
        <v>1826</v>
      </c>
      <c r="M1947" s="18" t="s">
        <v>2598</v>
      </c>
      <c r="N1947" s="16">
        <v>72.0</v>
      </c>
      <c r="O1947" s="8" t="s">
        <v>5885</v>
      </c>
      <c r="P1947" s="8" t="s">
        <v>122</v>
      </c>
      <c r="Q1947" s="14" t="s">
        <v>1352</v>
      </c>
      <c r="R1947" s="8" t="s">
        <v>2610</v>
      </c>
      <c r="S1947" s="14" t="s">
        <v>2557</v>
      </c>
    </row>
    <row r="1948">
      <c r="A1948" s="8" t="s">
        <v>67</v>
      </c>
      <c r="B1948" s="8" t="s">
        <v>3588</v>
      </c>
      <c r="C1948" s="8" t="s">
        <v>46</v>
      </c>
      <c r="D1948" s="18" t="s">
        <v>2560</v>
      </c>
      <c r="E1948" s="16">
        <v>84.0</v>
      </c>
      <c r="F1948" s="8" t="s">
        <v>67</v>
      </c>
      <c r="G1948" s="8" t="s">
        <v>704</v>
      </c>
      <c r="H1948" s="8" t="s">
        <v>75</v>
      </c>
      <c r="I1948" s="18" t="s">
        <v>2587</v>
      </c>
      <c r="J1948" s="16">
        <v>72.0</v>
      </c>
      <c r="K1948" s="8" t="s">
        <v>162</v>
      </c>
      <c r="L1948" s="8" t="s">
        <v>441</v>
      </c>
      <c r="M1948" s="18" t="s">
        <v>2582</v>
      </c>
      <c r="N1948" s="16">
        <v>90.0</v>
      </c>
      <c r="O1948" s="8" t="s">
        <v>5886</v>
      </c>
      <c r="P1948" s="8" t="s">
        <v>65</v>
      </c>
      <c r="Q1948" s="14" t="s">
        <v>631</v>
      </c>
      <c r="R1948" s="18" t="s">
        <v>2556</v>
      </c>
      <c r="S1948" s="14" t="s">
        <v>2590</v>
      </c>
    </row>
    <row r="1949">
      <c r="A1949" s="8" t="s">
        <v>67</v>
      </c>
      <c r="B1949" s="8" t="s">
        <v>61</v>
      </c>
      <c r="C1949" s="8" t="s">
        <v>138</v>
      </c>
      <c r="D1949" s="18" t="s">
        <v>2584</v>
      </c>
      <c r="E1949" s="16">
        <v>72.0</v>
      </c>
      <c r="F1949" s="8" t="s">
        <v>67</v>
      </c>
      <c r="G1949" s="8" t="s">
        <v>99</v>
      </c>
      <c r="H1949" s="8" t="s">
        <v>80</v>
      </c>
      <c r="I1949" s="18" t="s">
        <v>2592</v>
      </c>
      <c r="J1949" s="16">
        <v>62.0</v>
      </c>
      <c r="K1949" s="8" t="s">
        <v>162</v>
      </c>
      <c r="L1949" s="8" t="s">
        <v>441</v>
      </c>
      <c r="M1949" s="18" t="s">
        <v>2582</v>
      </c>
      <c r="N1949" s="16">
        <v>83.0</v>
      </c>
      <c r="O1949" s="8" t="s">
        <v>5887</v>
      </c>
      <c r="P1949" s="8" t="s">
        <v>16</v>
      </c>
      <c r="Q1949" s="14" t="s">
        <v>459</v>
      </c>
      <c r="R1949" s="8" t="s">
        <v>2592</v>
      </c>
      <c r="S1949" s="14" t="s">
        <v>2617</v>
      </c>
    </row>
    <row r="1950">
      <c r="A1950" s="8" t="s">
        <v>67</v>
      </c>
      <c r="B1950" s="8" t="s">
        <v>3224</v>
      </c>
      <c r="C1950" s="8" t="s">
        <v>215</v>
      </c>
      <c r="D1950" s="18" t="s">
        <v>2574</v>
      </c>
      <c r="E1950" s="16">
        <v>65.0</v>
      </c>
      <c r="F1950" s="8" t="s">
        <v>67</v>
      </c>
      <c r="G1950" s="8" t="s">
        <v>1583</v>
      </c>
      <c r="H1950" s="8" t="s">
        <v>149</v>
      </c>
      <c r="I1950" s="18" t="s">
        <v>2595</v>
      </c>
      <c r="J1950" s="16">
        <v>78.0</v>
      </c>
      <c r="K1950" s="8" t="s">
        <v>162</v>
      </c>
      <c r="L1950" s="8" t="s">
        <v>441</v>
      </c>
      <c r="M1950" s="18" t="s">
        <v>2582</v>
      </c>
      <c r="N1950" s="16">
        <v>82.0</v>
      </c>
      <c r="O1950" s="8" t="s">
        <v>5888</v>
      </c>
      <c r="P1950" s="8" t="s">
        <v>141</v>
      </c>
      <c r="Q1950" s="14" t="s">
        <v>631</v>
      </c>
      <c r="R1950" s="8" t="s">
        <v>2595</v>
      </c>
      <c r="S1950" s="14" t="s">
        <v>2594</v>
      </c>
    </row>
    <row r="1951">
      <c r="A1951" s="8" t="s">
        <v>67</v>
      </c>
      <c r="B1951" s="8" t="s">
        <v>66</v>
      </c>
      <c r="C1951" s="8" t="s">
        <v>16</v>
      </c>
      <c r="D1951" s="18" t="s">
        <v>2560</v>
      </c>
      <c r="E1951" s="16">
        <v>79.0</v>
      </c>
      <c r="F1951" s="8" t="s">
        <v>67</v>
      </c>
      <c r="G1951" s="8" t="s">
        <v>636</v>
      </c>
      <c r="H1951" s="8" t="s">
        <v>53</v>
      </c>
      <c r="I1951" s="18" t="s">
        <v>2582</v>
      </c>
      <c r="J1951" s="16">
        <v>73.0</v>
      </c>
      <c r="K1951" s="8" t="s">
        <v>162</v>
      </c>
      <c r="L1951" s="8" t="s">
        <v>441</v>
      </c>
      <c r="M1951" s="18" t="s">
        <v>2582</v>
      </c>
      <c r="N1951" s="16">
        <v>86.0</v>
      </c>
      <c r="O1951" s="8" t="s">
        <v>5889</v>
      </c>
      <c r="P1951" s="8" t="s">
        <v>132</v>
      </c>
      <c r="Q1951" s="14" t="s">
        <v>1679</v>
      </c>
      <c r="R1951" s="8" t="s">
        <v>2183</v>
      </c>
      <c r="S1951" s="14" t="s">
        <v>2606</v>
      </c>
    </row>
    <row r="1952">
      <c r="A1952" s="8" t="s">
        <v>67</v>
      </c>
      <c r="B1952" s="8" t="s">
        <v>700</v>
      </c>
      <c r="C1952" s="8" t="s">
        <v>65</v>
      </c>
      <c r="D1952" s="18" t="s">
        <v>2582</v>
      </c>
      <c r="E1952" s="16">
        <v>69.0</v>
      </c>
      <c r="F1952" s="8" t="s">
        <v>67</v>
      </c>
      <c r="G1952" s="8" t="s">
        <v>66</v>
      </c>
      <c r="H1952" s="8" t="s">
        <v>16</v>
      </c>
      <c r="I1952" s="18" t="s">
        <v>2592</v>
      </c>
      <c r="J1952" s="16">
        <v>69.0</v>
      </c>
      <c r="K1952" s="8" t="s">
        <v>162</v>
      </c>
      <c r="L1952" s="8" t="s">
        <v>441</v>
      </c>
      <c r="M1952" s="18" t="s">
        <v>2582</v>
      </c>
      <c r="N1952" s="16">
        <v>84.0</v>
      </c>
      <c r="O1952" s="8" t="s">
        <v>5890</v>
      </c>
      <c r="P1952" s="8" t="s">
        <v>24</v>
      </c>
      <c r="Q1952" s="14" t="s">
        <v>2033</v>
      </c>
      <c r="R1952" s="8" t="s">
        <v>2600</v>
      </c>
      <c r="S1952" s="14" t="s">
        <v>2557</v>
      </c>
    </row>
    <row r="1953">
      <c r="A1953" s="8" t="s">
        <v>67</v>
      </c>
      <c r="B1953" s="8" t="s">
        <v>522</v>
      </c>
      <c r="C1953" s="8" t="s">
        <v>24</v>
      </c>
      <c r="D1953" s="18" t="s">
        <v>2562</v>
      </c>
      <c r="E1953" s="16">
        <v>72.0</v>
      </c>
      <c r="F1953" s="8" t="s">
        <v>67</v>
      </c>
      <c r="G1953" s="8" t="s">
        <v>561</v>
      </c>
      <c r="H1953" s="8" t="s">
        <v>141</v>
      </c>
      <c r="I1953" s="18" t="s">
        <v>2567</v>
      </c>
      <c r="J1953" s="16">
        <v>79.0</v>
      </c>
      <c r="K1953" s="8" t="s">
        <v>938</v>
      </c>
      <c r="L1953" s="8" t="s">
        <v>937</v>
      </c>
      <c r="M1953" s="18" t="s">
        <v>2562</v>
      </c>
      <c r="N1953" s="16">
        <v>75.0</v>
      </c>
      <c r="O1953" s="8" t="s">
        <v>5891</v>
      </c>
      <c r="P1953" s="8" t="s">
        <v>141</v>
      </c>
      <c r="Q1953" s="14" t="s">
        <v>631</v>
      </c>
      <c r="R1953" s="8" t="s">
        <v>2592</v>
      </c>
      <c r="S1953" s="14" t="s">
        <v>2571</v>
      </c>
    </row>
    <row r="1954">
      <c r="A1954" s="8" t="s">
        <v>67</v>
      </c>
      <c r="B1954" s="8" t="s">
        <v>522</v>
      </c>
      <c r="C1954" s="8" t="s">
        <v>16</v>
      </c>
      <c r="D1954" s="18" t="s">
        <v>2592</v>
      </c>
      <c r="E1954" s="16">
        <v>62.0</v>
      </c>
      <c r="F1954" s="8" t="s">
        <v>67</v>
      </c>
      <c r="G1954" s="8" t="s">
        <v>61</v>
      </c>
      <c r="H1954" s="8" t="s">
        <v>215</v>
      </c>
      <c r="I1954" s="18" t="s">
        <v>2587</v>
      </c>
      <c r="J1954" s="16">
        <v>71.0</v>
      </c>
      <c r="K1954" s="8" t="s">
        <v>1858</v>
      </c>
      <c r="L1954" s="8" t="s">
        <v>2860</v>
      </c>
      <c r="M1954" s="18" t="s">
        <v>2603</v>
      </c>
      <c r="N1954" s="16">
        <v>84.0</v>
      </c>
      <c r="O1954" s="8" t="s">
        <v>5892</v>
      </c>
      <c r="P1954" s="8" t="s">
        <v>141</v>
      </c>
      <c r="Q1954" s="14" t="s">
        <v>1070</v>
      </c>
      <c r="R1954" s="8" t="s">
        <v>2567</v>
      </c>
      <c r="S1954" s="14" t="s">
        <v>2578</v>
      </c>
    </row>
    <row r="1955">
      <c r="A1955" s="8" t="s">
        <v>67</v>
      </c>
      <c r="B1955" s="8" t="s">
        <v>704</v>
      </c>
      <c r="C1955" s="8" t="s">
        <v>132</v>
      </c>
      <c r="D1955" s="18" t="s">
        <v>2587</v>
      </c>
      <c r="E1955" s="16">
        <v>64.0</v>
      </c>
      <c r="F1955" s="8" t="s">
        <v>67</v>
      </c>
      <c r="G1955" s="8" t="s">
        <v>5842</v>
      </c>
      <c r="H1955" s="8" t="s">
        <v>24</v>
      </c>
      <c r="I1955" s="18" t="s">
        <v>2556</v>
      </c>
      <c r="J1955" s="16">
        <v>67.0</v>
      </c>
      <c r="K1955" s="8" t="s">
        <v>1858</v>
      </c>
      <c r="L1955" s="8" t="s">
        <v>1857</v>
      </c>
      <c r="M1955" s="18" t="s">
        <v>2593</v>
      </c>
      <c r="N1955" s="16">
        <v>68.0</v>
      </c>
      <c r="O1955" s="8" t="s">
        <v>5893</v>
      </c>
      <c r="P1955" s="8" t="s">
        <v>53</v>
      </c>
      <c r="Q1955" s="14" t="s">
        <v>237</v>
      </c>
      <c r="R1955" s="8" t="s">
        <v>2582</v>
      </c>
      <c r="S1955" s="14" t="s">
        <v>2604</v>
      </c>
    </row>
    <row r="1956">
      <c r="A1956" s="8" t="s">
        <v>67</v>
      </c>
      <c r="B1956" s="8" t="s">
        <v>89</v>
      </c>
      <c r="C1956" s="8" t="s">
        <v>46</v>
      </c>
      <c r="D1956" s="18" t="s">
        <v>2577</v>
      </c>
      <c r="E1956" s="16">
        <v>76.0</v>
      </c>
      <c r="F1956" s="8" t="s">
        <v>67</v>
      </c>
      <c r="G1956" s="8" t="s">
        <v>522</v>
      </c>
      <c r="H1956" s="8" t="s">
        <v>16</v>
      </c>
      <c r="I1956" s="18" t="s">
        <v>2592</v>
      </c>
      <c r="J1956" s="16">
        <v>61.0</v>
      </c>
      <c r="K1956" s="8" t="s">
        <v>560</v>
      </c>
      <c r="L1956" s="8" t="s">
        <v>559</v>
      </c>
      <c r="M1956" s="18" t="s">
        <v>2562</v>
      </c>
      <c r="N1956" s="16">
        <v>74.0</v>
      </c>
      <c r="O1956" s="8" t="s">
        <v>5894</v>
      </c>
      <c r="P1956" s="8" t="s">
        <v>93</v>
      </c>
      <c r="Q1956" s="14" t="s">
        <v>1352</v>
      </c>
      <c r="R1956" s="8" t="s">
        <v>2587</v>
      </c>
      <c r="S1956" s="14" t="s">
        <v>2568</v>
      </c>
    </row>
    <row r="1957">
      <c r="A1957" s="8" t="s">
        <v>67</v>
      </c>
      <c r="B1957" s="8" t="s">
        <v>1196</v>
      </c>
      <c r="C1957" s="8" t="s">
        <v>261</v>
      </c>
      <c r="D1957" s="18" t="s">
        <v>2610</v>
      </c>
      <c r="E1957" s="16">
        <v>74.0</v>
      </c>
      <c r="F1957" s="8" t="s">
        <v>67</v>
      </c>
      <c r="G1957" s="8" t="s">
        <v>106</v>
      </c>
      <c r="H1957" s="8" t="s">
        <v>138</v>
      </c>
      <c r="I1957" s="18" t="s">
        <v>2610</v>
      </c>
      <c r="J1957" s="16">
        <v>59.0</v>
      </c>
      <c r="K1957" s="8" t="s">
        <v>2993</v>
      </c>
      <c r="L1957" s="8" t="s">
        <v>2992</v>
      </c>
      <c r="M1957" s="18" t="s">
        <v>2581</v>
      </c>
      <c r="N1957" s="16">
        <v>64.0</v>
      </c>
      <c r="O1957" s="8" t="s">
        <v>5895</v>
      </c>
      <c r="P1957" s="8" t="s">
        <v>70</v>
      </c>
      <c r="Q1957" s="14" t="s">
        <v>2033</v>
      </c>
      <c r="R1957" s="8" t="s">
        <v>2605</v>
      </c>
      <c r="S1957" s="14" t="s">
        <v>2580</v>
      </c>
    </row>
    <row r="1958">
      <c r="A1958" s="8" t="s">
        <v>67</v>
      </c>
      <c r="B1958" s="8" t="s">
        <v>725</v>
      </c>
      <c r="C1958" s="8" t="s">
        <v>141</v>
      </c>
      <c r="D1958" s="18" t="s">
        <v>2575</v>
      </c>
      <c r="E1958" s="16">
        <v>69.0</v>
      </c>
      <c r="F1958" s="8" t="s">
        <v>67</v>
      </c>
      <c r="G1958" s="8" t="s">
        <v>766</v>
      </c>
      <c r="H1958" s="8" t="s">
        <v>192</v>
      </c>
      <c r="I1958" s="18" t="s">
        <v>2566</v>
      </c>
      <c r="J1958" s="16">
        <v>67.0</v>
      </c>
      <c r="K1958" s="8" t="s">
        <v>793</v>
      </c>
      <c r="L1958" s="8" t="s">
        <v>1144</v>
      </c>
      <c r="M1958" s="18" t="s">
        <v>2615</v>
      </c>
      <c r="N1958" s="16">
        <v>76.0</v>
      </c>
      <c r="O1958" s="8" t="s">
        <v>5896</v>
      </c>
      <c r="P1958" s="8" t="s">
        <v>93</v>
      </c>
      <c r="Q1958" s="14" t="s">
        <v>2033</v>
      </c>
      <c r="R1958" s="8" t="s">
        <v>2598</v>
      </c>
      <c r="S1958" s="14" t="s">
        <v>2576</v>
      </c>
    </row>
    <row r="1959">
      <c r="A1959" s="8" t="s">
        <v>67</v>
      </c>
      <c r="B1959" s="8" t="s">
        <v>392</v>
      </c>
      <c r="C1959" s="8" t="s">
        <v>141</v>
      </c>
      <c r="D1959" s="18" t="s">
        <v>2574</v>
      </c>
      <c r="E1959" s="16">
        <v>89.0</v>
      </c>
      <c r="F1959" s="8" t="s">
        <v>67</v>
      </c>
      <c r="G1959" s="8" t="s">
        <v>3035</v>
      </c>
      <c r="H1959" s="8" t="s">
        <v>149</v>
      </c>
      <c r="I1959" s="18" t="s">
        <v>2598</v>
      </c>
      <c r="J1959" s="16">
        <v>87.0</v>
      </c>
      <c r="K1959" s="8" t="s">
        <v>793</v>
      </c>
      <c r="L1959" s="8" t="s">
        <v>305</v>
      </c>
      <c r="M1959" s="18" t="s">
        <v>2556</v>
      </c>
      <c r="N1959" s="16">
        <v>75.0</v>
      </c>
      <c r="O1959" s="8" t="s">
        <v>5897</v>
      </c>
      <c r="P1959" s="8" t="s">
        <v>149</v>
      </c>
      <c r="Q1959" s="14" t="s">
        <v>2296</v>
      </c>
      <c r="R1959" s="8" t="s">
        <v>2554</v>
      </c>
      <c r="S1959" s="14" t="s">
        <v>2618</v>
      </c>
    </row>
    <row r="1960">
      <c r="A1960" s="8" t="s">
        <v>67</v>
      </c>
      <c r="B1960" s="8" t="s">
        <v>561</v>
      </c>
      <c r="C1960" s="8" t="s">
        <v>141</v>
      </c>
      <c r="D1960" s="18" t="s">
        <v>2567</v>
      </c>
      <c r="E1960" s="16">
        <v>76.0</v>
      </c>
      <c r="F1960" s="8" t="s">
        <v>67</v>
      </c>
      <c r="G1960" s="8" t="s">
        <v>291</v>
      </c>
      <c r="H1960" s="8" t="s">
        <v>53</v>
      </c>
      <c r="I1960" s="18" t="s">
        <v>2582</v>
      </c>
      <c r="J1960" s="16">
        <v>86.0</v>
      </c>
      <c r="K1960" s="8" t="s">
        <v>1521</v>
      </c>
      <c r="L1960" s="8" t="s">
        <v>1520</v>
      </c>
      <c r="M1960" s="18" t="s">
        <v>2556</v>
      </c>
      <c r="N1960" s="16">
        <v>66.0</v>
      </c>
      <c r="O1960" s="8" t="s">
        <v>5898</v>
      </c>
      <c r="P1960" s="8" t="s">
        <v>149</v>
      </c>
      <c r="Q1960" s="14" t="s">
        <v>1352</v>
      </c>
      <c r="R1960" s="8" t="s">
        <v>2595</v>
      </c>
      <c r="S1960" s="14" t="s">
        <v>2633</v>
      </c>
    </row>
    <row r="1961">
      <c r="A1961" s="8" t="s">
        <v>67</v>
      </c>
      <c r="B1961" s="8" t="s">
        <v>291</v>
      </c>
      <c r="C1961" s="8" t="s">
        <v>53</v>
      </c>
      <c r="D1961" s="18" t="s">
        <v>2582</v>
      </c>
      <c r="E1961" s="16">
        <v>88.0</v>
      </c>
      <c r="F1961" s="8" t="s">
        <v>67</v>
      </c>
      <c r="G1961" s="8" t="s">
        <v>1987</v>
      </c>
      <c r="H1961" s="8" t="s">
        <v>65</v>
      </c>
      <c r="I1961" s="18" t="s">
        <v>2614</v>
      </c>
      <c r="J1961" s="16">
        <v>74.0</v>
      </c>
      <c r="K1961" s="8" t="s">
        <v>1295</v>
      </c>
      <c r="L1961" s="8" t="s">
        <v>1294</v>
      </c>
      <c r="M1961" s="18" t="s">
        <v>2620</v>
      </c>
      <c r="N1961" s="16">
        <v>74.0</v>
      </c>
      <c r="O1961" s="8" t="s">
        <v>5899</v>
      </c>
      <c r="P1961" s="8" t="s">
        <v>186</v>
      </c>
      <c r="Q1961" s="14" t="s">
        <v>1070</v>
      </c>
      <c r="R1961" s="8" t="s">
        <v>2577</v>
      </c>
      <c r="S1961" s="14" t="s">
        <v>2611</v>
      </c>
    </row>
    <row r="1962">
      <c r="A1962" s="8" t="s">
        <v>67</v>
      </c>
      <c r="B1962" s="8" t="s">
        <v>3342</v>
      </c>
      <c r="C1962" s="8" t="s">
        <v>24</v>
      </c>
      <c r="D1962" s="18" t="s">
        <v>2566</v>
      </c>
      <c r="E1962" s="16">
        <v>63.0</v>
      </c>
      <c r="F1962" s="8" t="s">
        <v>67</v>
      </c>
      <c r="G1962" s="8" t="s">
        <v>522</v>
      </c>
      <c r="H1962" s="8" t="s">
        <v>24</v>
      </c>
      <c r="I1962" s="18" t="s">
        <v>2562</v>
      </c>
      <c r="J1962" s="16">
        <v>72.0</v>
      </c>
      <c r="K1962" s="8" t="s">
        <v>1295</v>
      </c>
      <c r="L1962" s="8" t="s">
        <v>99</v>
      </c>
      <c r="M1962" s="18" t="s">
        <v>2566</v>
      </c>
      <c r="N1962" s="16">
        <v>65.0</v>
      </c>
      <c r="O1962" s="8" t="s">
        <v>5900</v>
      </c>
      <c r="P1962" s="8" t="s">
        <v>93</v>
      </c>
      <c r="Q1962" s="14" t="s">
        <v>1352</v>
      </c>
      <c r="R1962" s="8" t="s">
        <v>2592</v>
      </c>
      <c r="S1962" s="14" t="s">
        <v>2622</v>
      </c>
    </row>
    <row r="1963">
      <c r="A1963" s="8" t="s">
        <v>67</v>
      </c>
      <c r="B1963" s="8" t="s">
        <v>3343</v>
      </c>
      <c r="C1963" s="8" t="s">
        <v>16</v>
      </c>
      <c r="D1963" s="18" t="s">
        <v>2575</v>
      </c>
      <c r="E1963" s="16">
        <v>67.0</v>
      </c>
      <c r="F1963" s="8" t="s">
        <v>67</v>
      </c>
      <c r="G1963" s="8" t="s">
        <v>725</v>
      </c>
      <c r="H1963" s="8" t="s">
        <v>141</v>
      </c>
      <c r="I1963" s="18" t="s">
        <v>2575</v>
      </c>
      <c r="J1963" s="16">
        <v>71.0</v>
      </c>
      <c r="K1963" s="8" t="s">
        <v>1295</v>
      </c>
      <c r="L1963" s="8" t="s">
        <v>2896</v>
      </c>
      <c r="M1963" s="18" t="s">
        <v>2562</v>
      </c>
      <c r="N1963" s="16">
        <v>78.0</v>
      </c>
      <c r="O1963" s="8" t="s">
        <v>5901</v>
      </c>
      <c r="P1963" s="8" t="s">
        <v>12</v>
      </c>
      <c r="Q1963" s="14" t="s">
        <v>189</v>
      </c>
      <c r="R1963" s="8" t="s">
        <v>2621</v>
      </c>
      <c r="S1963" s="14" t="s">
        <v>2553</v>
      </c>
    </row>
    <row r="1964">
      <c r="A1964" s="8" t="s">
        <v>67</v>
      </c>
      <c r="B1964" s="8" t="s">
        <v>3345</v>
      </c>
      <c r="C1964" s="8" t="s">
        <v>70</v>
      </c>
      <c r="D1964" s="18" t="s">
        <v>2564</v>
      </c>
      <c r="E1964" s="16">
        <v>82.0</v>
      </c>
      <c r="F1964" s="8" t="s">
        <v>67</v>
      </c>
      <c r="G1964" s="8" t="s">
        <v>3441</v>
      </c>
      <c r="H1964" s="8" t="s">
        <v>65</v>
      </c>
      <c r="I1964" s="18" t="s">
        <v>2554</v>
      </c>
      <c r="J1964" s="16">
        <v>61.0</v>
      </c>
      <c r="K1964" s="8" t="s">
        <v>1295</v>
      </c>
      <c r="L1964" s="8" t="s">
        <v>834</v>
      </c>
      <c r="M1964" s="18" t="s">
        <v>2584</v>
      </c>
      <c r="N1964" s="16">
        <v>63.0</v>
      </c>
      <c r="O1964" s="8" t="s">
        <v>5902</v>
      </c>
      <c r="P1964" s="8" t="s">
        <v>65</v>
      </c>
      <c r="Q1964" s="14" t="s">
        <v>1679</v>
      </c>
      <c r="R1964" s="8" t="s">
        <v>2577</v>
      </c>
      <c r="S1964" s="14" t="s">
        <v>2553</v>
      </c>
    </row>
    <row r="1965">
      <c r="A1965" s="8" t="s">
        <v>67</v>
      </c>
      <c r="B1965" s="8" t="s">
        <v>1268</v>
      </c>
      <c r="C1965" s="8" t="s">
        <v>16</v>
      </c>
      <c r="D1965" s="18" t="s">
        <v>2566</v>
      </c>
      <c r="E1965" s="16">
        <v>62.0</v>
      </c>
      <c r="F1965" s="8" t="s">
        <v>67</v>
      </c>
      <c r="G1965" s="8" t="s">
        <v>1196</v>
      </c>
      <c r="H1965" s="8" t="s">
        <v>261</v>
      </c>
      <c r="I1965" s="18" t="s">
        <v>2610</v>
      </c>
      <c r="J1965" s="16">
        <v>78.0</v>
      </c>
      <c r="K1965" s="8" t="s">
        <v>1241</v>
      </c>
      <c r="L1965" s="8" t="s">
        <v>741</v>
      </c>
      <c r="M1965" s="18" t="s">
        <v>2587</v>
      </c>
      <c r="N1965" s="16">
        <v>75.0</v>
      </c>
      <c r="O1965" s="8" t="s">
        <v>5903</v>
      </c>
      <c r="P1965" s="8" t="s">
        <v>16</v>
      </c>
      <c r="Q1965" s="14" t="s">
        <v>237</v>
      </c>
      <c r="R1965" s="8" t="s">
        <v>2621</v>
      </c>
      <c r="S1965" s="14" t="s">
        <v>2553</v>
      </c>
    </row>
    <row r="1966">
      <c r="A1966" s="8" t="s">
        <v>67</v>
      </c>
      <c r="B1966" s="8" t="s">
        <v>3008</v>
      </c>
      <c r="C1966" s="8" t="s">
        <v>38</v>
      </c>
      <c r="D1966" s="18" t="s">
        <v>2584</v>
      </c>
      <c r="E1966" s="16">
        <v>80.0</v>
      </c>
      <c r="F1966" s="8" t="s">
        <v>67</v>
      </c>
      <c r="G1966" s="8" t="s">
        <v>326</v>
      </c>
      <c r="H1966" s="8" t="s">
        <v>16</v>
      </c>
      <c r="I1966" s="18" t="s">
        <v>2581</v>
      </c>
      <c r="J1966" s="16">
        <v>83.0</v>
      </c>
      <c r="K1966" s="8" t="s">
        <v>1241</v>
      </c>
      <c r="L1966" s="8" t="s">
        <v>444</v>
      </c>
      <c r="M1966" s="18" t="s">
        <v>2574</v>
      </c>
      <c r="N1966" s="16">
        <v>80.0</v>
      </c>
      <c r="O1966" s="8" t="s">
        <v>5904</v>
      </c>
      <c r="P1966" s="8" t="s">
        <v>70</v>
      </c>
      <c r="Q1966" s="14" t="s">
        <v>2296</v>
      </c>
      <c r="R1966" s="8" t="s">
        <v>2584</v>
      </c>
      <c r="S1966" s="14" t="s">
        <v>2579</v>
      </c>
    </row>
    <row r="1967">
      <c r="A1967" s="8" t="s">
        <v>67</v>
      </c>
      <c r="B1967" s="8" t="s">
        <v>308</v>
      </c>
      <c r="C1967" s="8" t="s">
        <v>138</v>
      </c>
      <c r="D1967" s="18" t="s">
        <v>2603</v>
      </c>
      <c r="E1967" s="16">
        <v>58.0</v>
      </c>
      <c r="F1967" s="8" t="s">
        <v>67</v>
      </c>
      <c r="G1967" s="8" t="s">
        <v>3195</v>
      </c>
      <c r="H1967" s="8" t="s">
        <v>122</v>
      </c>
      <c r="I1967" s="18" t="s">
        <v>2572</v>
      </c>
      <c r="J1967" s="16">
        <v>68.0</v>
      </c>
      <c r="K1967" s="8" t="s">
        <v>1241</v>
      </c>
      <c r="L1967" s="8" t="s">
        <v>111</v>
      </c>
      <c r="M1967" s="18" t="s">
        <v>2600</v>
      </c>
      <c r="N1967" s="16">
        <v>82.0</v>
      </c>
      <c r="O1967" s="8" t="s">
        <v>5905</v>
      </c>
      <c r="P1967" s="8" t="s">
        <v>65</v>
      </c>
      <c r="Q1967" s="14" t="s">
        <v>2033</v>
      </c>
      <c r="R1967" s="18" t="s">
        <v>2556</v>
      </c>
      <c r="S1967" s="14" t="s">
        <v>2555</v>
      </c>
    </row>
    <row r="1968">
      <c r="A1968" s="8" t="s">
        <v>67</v>
      </c>
      <c r="B1968" s="8" t="s">
        <v>409</v>
      </c>
      <c r="C1968" s="8" t="s">
        <v>215</v>
      </c>
      <c r="D1968" s="18" t="s">
        <v>2614</v>
      </c>
      <c r="E1968" s="16">
        <v>63.0</v>
      </c>
      <c r="F1968" s="8" t="s">
        <v>67</v>
      </c>
      <c r="G1968" s="8" t="s">
        <v>3008</v>
      </c>
      <c r="H1968" s="8" t="s">
        <v>38</v>
      </c>
      <c r="I1968" s="18" t="s">
        <v>2552</v>
      </c>
      <c r="J1968" s="16">
        <v>76.0</v>
      </c>
      <c r="K1968" s="8" t="s">
        <v>1821</v>
      </c>
      <c r="L1968" s="8" t="s">
        <v>522</v>
      </c>
      <c r="M1968" s="18" t="s">
        <v>2603</v>
      </c>
      <c r="N1968" s="16">
        <v>71.0</v>
      </c>
      <c r="O1968" s="8" t="s">
        <v>5906</v>
      </c>
      <c r="P1968" s="8" t="s">
        <v>93</v>
      </c>
      <c r="Q1968" s="14" t="s">
        <v>2459</v>
      </c>
      <c r="R1968" s="8" t="s">
        <v>2584</v>
      </c>
      <c r="S1968" s="14" t="s">
        <v>2612</v>
      </c>
    </row>
    <row r="1969">
      <c r="A1969" s="8" t="s">
        <v>67</v>
      </c>
      <c r="B1969" s="8" t="s">
        <v>3035</v>
      </c>
      <c r="C1969" s="8" t="s">
        <v>149</v>
      </c>
      <c r="D1969" s="18" t="s">
        <v>2598</v>
      </c>
      <c r="E1969" s="16">
        <v>85.0</v>
      </c>
      <c r="F1969" s="8" t="s">
        <v>67</v>
      </c>
      <c r="G1969" s="8" t="s">
        <v>460</v>
      </c>
      <c r="H1969" s="8" t="s">
        <v>38</v>
      </c>
      <c r="I1969" s="18" t="s">
        <v>2600</v>
      </c>
      <c r="J1969" s="16">
        <v>75.0</v>
      </c>
      <c r="K1969" s="8" t="s">
        <v>1080</v>
      </c>
      <c r="L1969" s="8" t="s">
        <v>1079</v>
      </c>
      <c r="M1969" s="18" t="s">
        <v>2620</v>
      </c>
      <c r="N1969" s="16">
        <v>79.0</v>
      </c>
      <c r="O1969" s="8" t="s">
        <v>5907</v>
      </c>
      <c r="P1969" s="8" t="s">
        <v>93</v>
      </c>
      <c r="Q1969" s="14" t="s">
        <v>2033</v>
      </c>
      <c r="R1969" s="8" t="s">
        <v>2566</v>
      </c>
      <c r="S1969" s="14" t="s">
        <v>2563</v>
      </c>
    </row>
    <row r="1970">
      <c r="A1970" s="8" t="s">
        <v>67</v>
      </c>
      <c r="B1970" s="8" t="s">
        <v>1608</v>
      </c>
      <c r="C1970" s="8" t="s">
        <v>75</v>
      </c>
      <c r="D1970" s="18" t="s">
        <v>2566</v>
      </c>
      <c r="E1970" s="16">
        <v>68.0</v>
      </c>
      <c r="F1970" s="8" t="s">
        <v>67</v>
      </c>
      <c r="G1970" s="8" t="s">
        <v>227</v>
      </c>
      <c r="H1970" s="8" t="s">
        <v>12</v>
      </c>
      <c r="I1970" s="18" t="s">
        <v>2621</v>
      </c>
      <c r="J1970" s="16">
        <v>82.0</v>
      </c>
      <c r="K1970" s="8" t="s">
        <v>1822</v>
      </c>
      <c r="L1970" s="8" t="s">
        <v>522</v>
      </c>
      <c r="M1970" s="18" t="s">
        <v>2603</v>
      </c>
      <c r="N1970" s="16">
        <v>80.0</v>
      </c>
      <c r="O1970" s="8" t="s">
        <v>5908</v>
      </c>
      <c r="P1970" s="8" t="s">
        <v>16</v>
      </c>
      <c r="Q1970" s="14" t="s">
        <v>2296</v>
      </c>
      <c r="R1970" s="8" t="s">
        <v>2560</v>
      </c>
      <c r="S1970" s="14" t="s">
        <v>2553</v>
      </c>
    </row>
    <row r="1971">
      <c r="A1971" s="8" t="s">
        <v>67</v>
      </c>
      <c r="B1971" s="8" t="s">
        <v>1309</v>
      </c>
      <c r="C1971" s="8" t="s">
        <v>186</v>
      </c>
      <c r="D1971" s="18" t="s">
        <v>2577</v>
      </c>
      <c r="E1971" s="16">
        <v>79.0</v>
      </c>
      <c r="F1971" s="8" t="s">
        <v>3463</v>
      </c>
      <c r="G1971" s="8" t="s">
        <v>3462</v>
      </c>
      <c r="H1971" s="8" t="s">
        <v>53</v>
      </c>
      <c r="I1971" s="18" t="s">
        <v>2595</v>
      </c>
      <c r="J1971" s="16">
        <v>62.0</v>
      </c>
      <c r="K1971" s="8" t="s">
        <v>3145</v>
      </c>
      <c r="L1971" s="8" t="s">
        <v>455</v>
      </c>
      <c r="M1971" s="18" t="s">
        <v>2556</v>
      </c>
      <c r="N1971" s="16">
        <v>72.0</v>
      </c>
      <c r="O1971" s="8" t="s">
        <v>5909</v>
      </c>
      <c r="P1971" s="8" t="s">
        <v>12</v>
      </c>
      <c r="Q1971" s="14" t="s">
        <v>1070</v>
      </c>
      <c r="R1971" s="8" t="s">
        <v>2558</v>
      </c>
      <c r="S1971" s="14" t="s">
        <v>2555</v>
      </c>
    </row>
    <row r="1972">
      <c r="A1972" s="8" t="s">
        <v>67</v>
      </c>
      <c r="B1972" s="8" t="s">
        <v>99</v>
      </c>
      <c r="C1972" s="8" t="s">
        <v>93</v>
      </c>
      <c r="D1972" s="18" t="s">
        <v>2592</v>
      </c>
      <c r="E1972" s="16">
        <v>64.0</v>
      </c>
      <c r="F1972" s="8" t="s">
        <v>41</v>
      </c>
      <c r="G1972" s="8" t="s">
        <v>2698</v>
      </c>
      <c r="H1972" s="8" t="s">
        <v>16</v>
      </c>
      <c r="I1972" s="18" t="s">
        <v>2552</v>
      </c>
      <c r="J1972" s="16">
        <v>83.0</v>
      </c>
      <c r="K1972" s="8" t="s">
        <v>2830</v>
      </c>
      <c r="L1972" s="8" t="s">
        <v>1181</v>
      </c>
      <c r="M1972" s="18" t="s">
        <v>2582</v>
      </c>
      <c r="N1972" s="16">
        <v>69.0</v>
      </c>
      <c r="O1972" s="8" t="s">
        <v>5910</v>
      </c>
      <c r="P1972" s="8" t="s">
        <v>215</v>
      </c>
      <c r="Q1972" s="14" t="s">
        <v>1679</v>
      </c>
      <c r="R1972" s="8" t="s">
        <v>2610</v>
      </c>
      <c r="S1972" s="14" t="s">
        <v>2602</v>
      </c>
    </row>
    <row r="1973">
      <c r="A1973" s="8" t="s">
        <v>67</v>
      </c>
      <c r="B1973" s="8" t="s">
        <v>227</v>
      </c>
      <c r="C1973" s="8" t="s">
        <v>12</v>
      </c>
      <c r="D1973" s="18" t="s">
        <v>2621</v>
      </c>
      <c r="E1973" s="16">
        <v>81.0</v>
      </c>
      <c r="F1973" s="8" t="s">
        <v>41</v>
      </c>
      <c r="G1973" s="8" t="s">
        <v>40</v>
      </c>
      <c r="H1973" s="8" t="s">
        <v>38</v>
      </c>
      <c r="I1973" s="18" t="s">
        <v>2575</v>
      </c>
      <c r="J1973" s="16">
        <v>84.0</v>
      </c>
      <c r="K1973" s="8" t="s">
        <v>832</v>
      </c>
      <c r="L1973" s="8" t="s">
        <v>78</v>
      </c>
      <c r="M1973" s="18" t="s">
        <v>2610</v>
      </c>
      <c r="N1973" s="16">
        <v>78.0</v>
      </c>
      <c r="O1973" s="8" t="s">
        <v>5911</v>
      </c>
      <c r="P1973" s="8" t="s">
        <v>141</v>
      </c>
      <c r="Q1973" s="14" t="s">
        <v>2033</v>
      </c>
      <c r="R1973" s="8" t="s">
        <v>2620</v>
      </c>
      <c r="S1973" s="14" t="s">
        <v>2617</v>
      </c>
    </row>
    <row r="1974">
      <c r="A1974" s="8" t="s">
        <v>67</v>
      </c>
      <c r="B1974" s="8" t="s">
        <v>326</v>
      </c>
      <c r="C1974" s="8" t="s">
        <v>16</v>
      </c>
      <c r="D1974" s="18" t="s">
        <v>2581</v>
      </c>
      <c r="E1974" s="16">
        <v>79.0</v>
      </c>
      <c r="F1974" s="8" t="s">
        <v>41</v>
      </c>
      <c r="G1974" s="8" t="s">
        <v>2643</v>
      </c>
      <c r="H1974" s="8" t="s">
        <v>59</v>
      </c>
      <c r="I1974" s="18" t="s">
        <v>2605</v>
      </c>
      <c r="J1974" s="16">
        <v>74.0</v>
      </c>
      <c r="K1974" s="8" t="s">
        <v>709</v>
      </c>
      <c r="L1974" s="8" t="s">
        <v>89</v>
      </c>
      <c r="M1974" s="18" t="s">
        <v>2620</v>
      </c>
      <c r="N1974" s="16">
        <v>75.0</v>
      </c>
      <c r="O1974" s="8" t="s">
        <v>5912</v>
      </c>
      <c r="P1974" s="8" t="s">
        <v>38</v>
      </c>
      <c r="Q1974" s="14" t="s">
        <v>39</v>
      </c>
      <c r="R1974" s="8" t="s">
        <v>2575</v>
      </c>
      <c r="S1974" s="14" t="s">
        <v>2625</v>
      </c>
    </row>
    <row r="1975">
      <c r="A1975" s="8" t="s">
        <v>3861</v>
      </c>
      <c r="B1975" s="8" t="s">
        <v>3860</v>
      </c>
      <c r="C1975" s="8" t="s">
        <v>59</v>
      </c>
      <c r="D1975" s="18" t="s">
        <v>2620</v>
      </c>
      <c r="E1975" s="16">
        <v>60.0</v>
      </c>
      <c r="F1975" s="8" t="s">
        <v>41</v>
      </c>
      <c r="G1975" s="8" t="s">
        <v>3353</v>
      </c>
      <c r="H1975" s="8" t="s">
        <v>138</v>
      </c>
      <c r="I1975" s="18" t="s">
        <v>2552</v>
      </c>
      <c r="J1975" s="16">
        <v>63.0</v>
      </c>
      <c r="K1975" s="8" t="s">
        <v>787</v>
      </c>
      <c r="L1975" s="8" t="s">
        <v>786</v>
      </c>
      <c r="M1975" s="18" t="s">
        <v>2552</v>
      </c>
      <c r="N1975" s="16">
        <v>82.0</v>
      </c>
      <c r="O1975" s="8" t="s">
        <v>5913</v>
      </c>
      <c r="P1975" s="8" t="s">
        <v>38</v>
      </c>
      <c r="Q1975" s="14" t="s">
        <v>459</v>
      </c>
      <c r="R1975" s="8" t="s">
        <v>2554</v>
      </c>
      <c r="S1975" s="14" t="s">
        <v>2601</v>
      </c>
    </row>
    <row r="1976">
      <c r="A1976" s="8" t="s">
        <v>41</v>
      </c>
      <c r="B1976" s="8" t="s">
        <v>2643</v>
      </c>
      <c r="C1976" s="8" t="s">
        <v>59</v>
      </c>
      <c r="D1976" s="18" t="s">
        <v>2605</v>
      </c>
      <c r="E1976" s="16">
        <v>75.0</v>
      </c>
      <c r="F1976" s="8" t="s">
        <v>41</v>
      </c>
      <c r="G1976" s="8" t="s">
        <v>1992</v>
      </c>
      <c r="H1976" s="8" t="s">
        <v>149</v>
      </c>
      <c r="I1976" s="18" t="s">
        <v>2572</v>
      </c>
      <c r="J1976" s="16">
        <v>66.0</v>
      </c>
      <c r="K1976" s="8" t="s">
        <v>787</v>
      </c>
      <c r="L1976" s="8" t="s">
        <v>1424</v>
      </c>
      <c r="M1976" s="18" t="s">
        <v>2585</v>
      </c>
      <c r="N1976" s="16">
        <v>73.0</v>
      </c>
      <c r="O1976" s="8" t="s">
        <v>5914</v>
      </c>
      <c r="P1976" s="8" t="s">
        <v>149</v>
      </c>
      <c r="Q1976" s="14" t="s">
        <v>1679</v>
      </c>
      <c r="R1976" s="8" t="s">
        <v>2572</v>
      </c>
      <c r="S1976" s="14" t="s">
        <v>2609</v>
      </c>
    </row>
    <row r="1977">
      <c r="A1977" s="8" t="s">
        <v>41</v>
      </c>
      <c r="B1977" s="8" t="s">
        <v>3542</v>
      </c>
      <c r="C1977" s="8" t="s">
        <v>186</v>
      </c>
      <c r="D1977" s="18" t="s">
        <v>2558</v>
      </c>
      <c r="E1977" s="16">
        <v>73.0</v>
      </c>
      <c r="F1977" s="8" t="s">
        <v>41</v>
      </c>
      <c r="G1977" s="8" t="s">
        <v>396</v>
      </c>
      <c r="H1977" s="8" t="s">
        <v>38</v>
      </c>
      <c r="I1977" s="18" t="s">
        <v>2554</v>
      </c>
      <c r="J1977" s="16">
        <v>81.0</v>
      </c>
      <c r="K1977" s="8" t="s">
        <v>787</v>
      </c>
      <c r="L1977" s="8" t="s">
        <v>1584</v>
      </c>
      <c r="M1977" s="18" t="s">
        <v>2595</v>
      </c>
      <c r="N1977" s="16">
        <v>78.0</v>
      </c>
      <c r="O1977" s="8" t="s">
        <v>5915</v>
      </c>
      <c r="P1977" s="8" t="s">
        <v>70</v>
      </c>
      <c r="Q1977" s="14" t="s">
        <v>2033</v>
      </c>
      <c r="R1977" s="8" t="s">
        <v>2582</v>
      </c>
      <c r="S1977" s="14" t="s">
        <v>2573</v>
      </c>
    </row>
    <row r="1978">
      <c r="A1978" s="8" t="s">
        <v>41</v>
      </c>
      <c r="B1978" s="8" t="s">
        <v>2698</v>
      </c>
      <c r="C1978" s="8" t="s">
        <v>16</v>
      </c>
      <c r="D1978" s="18" t="s">
        <v>2564</v>
      </c>
      <c r="E1978" s="16">
        <v>78.0</v>
      </c>
      <c r="F1978" s="8" t="s">
        <v>41</v>
      </c>
      <c r="G1978" s="8" t="s">
        <v>1675</v>
      </c>
      <c r="H1978" s="8" t="s">
        <v>149</v>
      </c>
      <c r="I1978" s="18" t="s">
        <v>2581</v>
      </c>
      <c r="J1978" s="16">
        <v>70.0</v>
      </c>
      <c r="K1978" s="8" t="s">
        <v>1310</v>
      </c>
      <c r="L1978" s="8" t="s">
        <v>1454</v>
      </c>
      <c r="M1978" s="18" t="s">
        <v>2564</v>
      </c>
      <c r="N1978" s="16">
        <v>68.0</v>
      </c>
      <c r="O1978" s="8" t="s">
        <v>5916</v>
      </c>
      <c r="P1978" s="8" t="s">
        <v>65</v>
      </c>
      <c r="Q1978" s="14" t="s">
        <v>1070</v>
      </c>
      <c r="R1978" s="8" t="s">
        <v>2183</v>
      </c>
      <c r="S1978" s="14" t="s">
        <v>2588</v>
      </c>
    </row>
    <row r="1979">
      <c r="A1979" s="8" t="s">
        <v>41</v>
      </c>
      <c r="B1979" s="8" t="s">
        <v>3563</v>
      </c>
      <c r="C1979" s="8" t="s">
        <v>141</v>
      </c>
      <c r="D1979" s="18" t="s">
        <v>2620</v>
      </c>
      <c r="E1979" s="16">
        <v>68.0</v>
      </c>
      <c r="F1979" s="8" t="s">
        <v>41</v>
      </c>
      <c r="G1979" s="8" t="s">
        <v>1301</v>
      </c>
      <c r="H1979" s="8" t="s">
        <v>261</v>
      </c>
      <c r="I1979" s="18" t="s">
        <v>2593</v>
      </c>
      <c r="J1979" s="16">
        <v>68.0</v>
      </c>
      <c r="K1979" s="8" t="s">
        <v>297</v>
      </c>
      <c r="L1979" s="8" t="s">
        <v>296</v>
      </c>
      <c r="M1979" s="18" t="s">
        <v>2605</v>
      </c>
      <c r="N1979" s="16">
        <v>67.0</v>
      </c>
      <c r="O1979" s="8" t="s">
        <v>5917</v>
      </c>
      <c r="P1979" s="8" t="s">
        <v>53</v>
      </c>
      <c r="Q1979" s="14" t="s">
        <v>1679</v>
      </c>
      <c r="R1979" s="8" t="s">
        <v>2593</v>
      </c>
      <c r="S1979" s="14" t="s">
        <v>2607</v>
      </c>
    </row>
    <row r="1980">
      <c r="A1980" s="8" t="s">
        <v>41</v>
      </c>
      <c r="B1980" s="8" t="s">
        <v>40</v>
      </c>
      <c r="C1980" s="8" t="s">
        <v>38</v>
      </c>
      <c r="D1980" s="18" t="s">
        <v>2575</v>
      </c>
      <c r="E1980" s="16">
        <v>84.0</v>
      </c>
      <c r="F1980" s="8" t="s">
        <v>2216</v>
      </c>
      <c r="G1980" s="8" t="s">
        <v>2215</v>
      </c>
      <c r="H1980" s="8" t="s">
        <v>70</v>
      </c>
      <c r="I1980" s="18" t="s">
        <v>2582</v>
      </c>
      <c r="J1980" s="16">
        <v>72.0</v>
      </c>
      <c r="K1980" s="8" t="s">
        <v>869</v>
      </c>
      <c r="L1980" s="8" t="s">
        <v>868</v>
      </c>
      <c r="M1980" s="18" t="s">
        <v>2556</v>
      </c>
      <c r="N1980" s="16">
        <v>70.0</v>
      </c>
      <c r="O1980" s="8" t="s">
        <v>5918</v>
      </c>
      <c r="P1980" s="8" t="s">
        <v>192</v>
      </c>
      <c r="Q1980" s="14" t="s">
        <v>2296</v>
      </c>
      <c r="R1980" s="8" t="s">
        <v>2595</v>
      </c>
      <c r="S1980" s="14" t="s">
        <v>2594</v>
      </c>
    </row>
    <row r="1981">
      <c r="A1981" s="8" t="s">
        <v>41</v>
      </c>
      <c r="B1981" s="8" t="s">
        <v>396</v>
      </c>
      <c r="C1981" s="8" t="s">
        <v>38</v>
      </c>
      <c r="D1981" s="18" t="s">
        <v>2554</v>
      </c>
      <c r="E1981" s="16">
        <v>80.0</v>
      </c>
      <c r="F1981" s="8" t="s">
        <v>2738</v>
      </c>
      <c r="G1981" s="8" t="s">
        <v>2737</v>
      </c>
      <c r="H1981" s="8" t="s">
        <v>65</v>
      </c>
      <c r="I1981" s="18" t="s">
        <v>2577</v>
      </c>
      <c r="J1981" s="16">
        <v>75.0</v>
      </c>
      <c r="K1981" s="8" t="s">
        <v>878</v>
      </c>
      <c r="L1981" s="8" t="s">
        <v>877</v>
      </c>
      <c r="M1981" s="18" t="s">
        <v>2615</v>
      </c>
      <c r="N1981" s="16">
        <v>71.0</v>
      </c>
      <c r="O1981" s="8" t="s">
        <v>5919</v>
      </c>
      <c r="P1981" s="8" t="s">
        <v>70</v>
      </c>
      <c r="Q1981" s="14" t="s">
        <v>2296</v>
      </c>
      <c r="R1981" s="8" t="s">
        <v>2566</v>
      </c>
      <c r="S1981" s="14" t="s">
        <v>2616</v>
      </c>
    </row>
    <row r="1982">
      <c r="A1982" s="8" t="s">
        <v>41</v>
      </c>
      <c r="B1982" s="8" t="s">
        <v>3045</v>
      </c>
      <c r="C1982" s="8" t="s">
        <v>93</v>
      </c>
      <c r="D1982" s="18" t="s">
        <v>2558</v>
      </c>
      <c r="E1982" s="16">
        <v>86.0</v>
      </c>
      <c r="F1982" s="8" t="s">
        <v>1334</v>
      </c>
      <c r="G1982" s="8" t="s">
        <v>1050</v>
      </c>
      <c r="H1982" s="8" t="s">
        <v>65</v>
      </c>
      <c r="I1982" s="18" t="s">
        <v>2587</v>
      </c>
      <c r="J1982" s="16">
        <v>86.0</v>
      </c>
      <c r="K1982" s="8" t="s">
        <v>2161</v>
      </c>
      <c r="L1982" s="8" t="s">
        <v>2869</v>
      </c>
      <c r="M1982" s="18" t="s">
        <v>2564</v>
      </c>
      <c r="N1982" s="16">
        <v>77.0</v>
      </c>
      <c r="O1982" s="8" t="s">
        <v>5920</v>
      </c>
      <c r="P1982" s="8" t="s">
        <v>65</v>
      </c>
      <c r="Q1982" s="14" t="s">
        <v>2296</v>
      </c>
      <c r="R1982" s="8" t="s">
        <v>2592</v>
      </c>
      <c r="S1982" s="14" t="s">
        <v>2563</v>
      </c>
    </row>
    <row r="1983">
      <c r="A1983" s="8" t="s">
        <v>41</v>
      </c>
      <c r="B1983" s="8" t="s">
        <v>1675</v>
      </c>
      <c r="C1983" s="8" t="s">
        <v>149</v>
      </c>
      <c r="D1983" s="18" t="s">
        <v>2581</v>
      </c>
      <c r="E1983" s="16">
        <v>70.0</v>
      </c>
      <c r="F1983" s="8" t="s">
        <v>1334</v>
      </c>
      <c r="G1983" s="8" t="s">
        <v>3037</v>
      </c>
      <c r="H1983" s="8" t="s">
        <v>93</v>
      </c>
      <c r="I1983" s="18" t="s">
        <v>2614</v>
      </c>
      <c r="J1983" s="16">
        <v>64.0</v>
      </c>
      <c r="K1983" s="8" t="s">
        <v>1642</v>
      </c>
      <c r="L1983" s="8" t="s">
        <v>62</v>
      </c>
      <c r="M1983" s="18" t="s">
        <v>2615</v>
      </c>
      <c r="N1983" s="16">
        <v>66.0</v>
      </c>
      <c r="O1983" s="8" t="s">
        <v>5921</v>
      </c>
      <c r="P1983" s="8" t="s">
        <v>75</v>
      </c>
      <c r="Q1983" s="14" t="s">
        <v>1679</v>
      </c>
      <c r="R1983" s="8" t="s">
        <v>2572</v>
      </c>
      <c r="S1983" s="14" t="s">
        <v>2594</v>
      </c>
    </row>
    <row r="1984">
      <c r="A1984" s="8" t="s">
        <v>2738</v>
      </c>
      <c r="B1984" s="8" t="s">
        <v>2737</v>
      </c>
      <c r="C1984" s="8" t="s">
        <v>65</v>
      </c>
      <c r="D1984" s="18" t="s">
        <v>2577</v>
      </c>
      <c r="E1984" s="16">
        <v>70.0</v>
      </c>
      <c r="F1984" s="8" t="s">
        <v>1771</v>
      </c>
      <c r="G1984" s="8" t="s">
        <v>1770</v>
      </c>
      <c r="H1984" s="8" t="s">
        <v>59</v>
      </c>
      <c r="I1984" s="18" t="s">
        <v>2593</v>
      </c>
      <c r="J1984" s="16">
        <v>67.0</v>
      </c>
      <c r="K1984" s="8" t="s">
        <v>1545</v>
      </c>
      <c r="L1984" s="8" t="s">
        <v>1036</v>
      </c>
      <c r="M1984" s="18" t="s">
        <v>2587</v>
      </c>
      <c r="N1984" s="16">
        <v>68.0</v>
      </c>
      <c r="O1984" s="8" t="s">
        <v>5922</v>
      </c>
      <c r="P1984" s="8" t="s">
        <v>24</v>
      </c>
      <c r="Q1984" s="14" t="s">
        <v>837</v>
      </c>
      <c r="R1984" s="8" t="s">
        <v>2566</v>
      </c>
      <c r="S1984" s="14" t="s">
        <v>2555</v>
      </c>
    </row>
    <row r="1985">
      <c r="A1985" s="8" t="s">
        <v>1334</v>
      </c>
      <c r="B1985" s="8" t="s">
        <v>3037</v>
      </c>
      <c r="C1985" s="8" t="s">
        <v>93</v>
      </c>
      <c r="D1985" s="18" t="s">
        <v>2587</v>
      </c>
      <c r="E1985" s="16">
        <v>65.0</v>
      </c>
      <c r="F1985" s="8" t="s">
        <v>3148</v>
      </c>
      <c r="G1985" s="8" t="s">
        <v>3147</v>
      </c>
      <c r="H1985" s="8" t="s">
        <v>186</v>
      </c>
      <c r="I1985" s="18" t="s">
        <v>2589</v>
      </c>
      <c r="J1985" s="16">
        <v>69.0</v>
      </c>
      <c r="K1985" s="8" t="s">
        <v>1995</v>
      </c>
      <c r="L1985" s="8" t="s">
        <v>62</v>
      </c>
      <c r="M1985" s="18" t="s">
        <v>2585</v>
      </c>
      <c r="N1985" s="16">
        <v>75.0</v>
      </c>
      <c r="O1985" s="8" t="s">
        <v>5923</v>
      </c>
      <c r="P1985" s="8" t="s">
        <v>80</v>
      </c>
      <c r="Q1985" s="14" t="s">
        <v>2033</v>
      </c>
      <c r="R1985" s="8" t="s">
        <v>2566</v>
      </c>
      <c r="S1985" s="14" t="s">
        <v>2583</v>
      </c>
    </row>
    <row r="1986">
      <c r="A1986" s="8" t="s">
        <v>1334</v>
      </c>
      <c r="B1986" s="8" t="s">
        <v>1050</v>
      </c>
      <c r="C1986" s="8" t="s">
        <v>65</v>
      </c>
      <c r="D1986" s="18" t="s">
        <v>2587</v>
      </c>
      <c r="E1986" s="16">
        <v>87.0</v>
      </c>
      <c r="F1986" s="8" t="s">
        <v>1031</v>
      </c>
      <c r="G1986" s="8" t="s">
        <v>3387</v>
      </c>
      <c r="H1986" s="8" t="s">
        <v>24</v>
      </c>
      <c r="I1986" s="18" t="s">
        <v>2577</v>
      </c>
      <c r="J1986" s="16">
        <v>65.0</v>
      </c>
      <c r="K1986" s="8" t="s">
        <v>1901</v>
      </c>
      <c r="L1986" s="8" t="s">
        <v>1900</v>
      </c>
      <c r="M1986" s="18" t="s">
        <v>2600</v>
      </c>
      <c r="N1986" s="16">
        <v>77.0</v>
      </c>
      <c r="O1986" s="8" t="s">
        <v>5924</v>
      </c>
      <c r="P1986" s="8" t="s">
        <v>24</v>
      </c>
      <c r="Q1986" s="14" t="s">
        <v>1070</v>
      </c>
      <c r="R1986" s="8" t="s">
        <v>2572</v>
      </c>
      <c r="S1986" s="14" t="s">
        <v>2568</v>
      </c>
    </row>
    <row r="1987">
      <c r="A1987" s="8" t="s">
        <v>3148</v>
      </c>
      <c r="B1987" s="8" t="s">
        <v>3147</v>
      </c>
      <c r="C1987" s="8" t="s">
        <v>186</v>
      </c>
      <c r="D1987" s="18" t="s">
        <v>2615</v>
      </c>
      <c r="E1987" s="16">
        <v>68.0</v>
      </c>
      <c r="F1987" s="8" t="s">
        <v>1031</v>
      </c>
      <c r="G1987" s="8" t="s">
        <v>3477</v>
      </c>
      <c r="H1987" s="8" t="s">
        <v>16</v>
      </c>
      <c r="I1987" s="18" t="s">
        <v>2567</v>
      </c>
      <c r="J1987" s="16">
        <v>66.0</v>
      </c>
      <c r="K1987" s="8" t="s">
        <v>746</v>
      </c>
      <c r="L1987" s="8" t="s">
        <v>1293</v>
      </c>
      <c r="M1987" s="18" t="s">
        <v>2572</v>
      </c>
      <c r="N1987" s="16">
        <v>71.0</v>
      </c>
      <c r="O1987" s="8" t="s">
        <v>5925</v>
      </c>
      <c r="P1987" s="8" t="s">
        <v>80</v>
      </c>
      <c r="Q1987" s="14" t="s">
        <v>1352</v>
      </c>
      <c r="R1987" s="8" t="s">
        <v>2577</v>
      </c>
      <c r="S1987" s="14" t="s">
        <v>2565</v>
      </c>
    </row>
    <row r="1988">
      <c r="A1988" s="8" t="s">
        <v>1031</v>
      </c>
      <c r="B1988" s="8" t="s">
        <v>3600</v>
      </c>
      <c r="C1988" s="8" t="s">
        <v>122</v>
      </c>
      <c r="D1988" s="18" t="s">
        <v>2552</v>
      </c>
      <c r="E1988" s="16">
        <v>71.0</v>
      </c>
      <c r="F1988" s="8" t="s">
        <v>3432</v>
      </c>
      <c r="G1988" s="8" t="s">
        <v>3431</v>
      </c>
      <c r="H1988" s="8" t="s">
        <v>122</v>
      </c>
      <c r="I1988" s="18" t="s">
        <v>2592</v>
      </c>
      <c r="J1988" s="16">
        <v>70.0</v>
      </c>
      <c r="K1988" s="8" t="s">
        <v>746</v>
      </c>
      <c r="L1988" s="8" t="s">
        <v>395</v>
      </c>
      <c r="M1988" s="18" t="s">
        <v>2560</v>
      </c>
      <c r="N1988" s="16">
        <v>74.0</v>
      </c>
      <c r="O1988" s="8" t="s">
        <v>5926</v>
      </c>
      <c r="P1988" s="8" t="s">
        <v>75</v>
      </c>
      <c r="Q1988" s="14" t="s">
        <v>1679</v>
      </c>
      <c r="R1988" s="8" t="s">
        <v>2598</v>
      </c>
      <c r="S1988" s="14" t="s">
        <v>2612</v>
      </c>
    </row>
    <row r="1989">
      <c r="A1989" s="8" t="s">
        <v>1031</v>
      </c>
      <c r="B1989" s="8" t="s">
        <v>1030</v>
      </c>
      <c r="C1989" s="8" t="s">
        <v>24</v>
      </c>
      <c r="D1989" s="18" t="s">
        <v>2574</v>
      </c>
      <c r="E1989" s="16">
        <v>64.0</v>
      </c>
      <c r="F1989" s="8" t="s">
        <v>162</v>
      </c>
      <c r="G1989" s="8" t="s">
        <v>1034</v>
      </c>
      <c r="H1989" s="8" t="s">
        <v>186</v>
      </c>
      <c r="I1989" s="18" t="s">
        <v>2567</v>
      </c>
      <c r="J1989" s="16">
        <v>73.0</v>
      </c>
      <c r="K1989" s="8" t="s">
        <v>746</v>
      </c>
      <c r="L1989" s="8" t="s">
        <v>1049</v>
      </c>
      <c r="M1989" s="18" t="s">
        <v>2183</v>
      </c>
      <c r="N1989" s="16">
        <v>79.0</v>
      </c>
      <c r="O1989" s="8" t="s">
        <v>5927</v>
      </c>
      <c r="P1989" s="8" t="s">
        <v>53</v>
      </c>
      <c r="Q1989" s="14" t="s">
        <v>135</v>
      </c>
      <c r="R1989" s="8" t="s">
        <v>2614</v>
      </c>
      <c r="S1989" s="14" t="s">
        <v>2611</v>
      </c>
    </row>
    <row r="1990">
      <c r="A1990" s="8" t="s">
        <v>1031</v>
      </c>
      <c r="B1990" s="8" t="s">
        <v>3477</v>
      </c>
      <c r="C1990" s="8" t="s">
        <v>16</v>
      </c>
      <c r="D1990" s="18" t="s">
        <v>2567</v>
      </c>
      <c r="E1990" s="16">
        <v>67.0</v>
      </c>
      <c r="F1990" s="8" t="s">
        <v>162</v>
      </c>
      <c r="G1990" s="8" t="s">
        <v>42</v>
      </c>
      <c r="H1990" s="8" t="s">
        <v>59</v>
      </c>
      <c r="I1990" s="18" t="s">
        <v>2614</v>
      </c>
      <c r="J1990" s="16">
        <v>91.0</v>
      </c>
      <c r="K1990" s="8" t="s">
        <v>746</v>
      </c>
      <c r="L1990" s="8" t="s">
        <v>1156</v>
      </c>
      <c r="M1990" s="18" t="s">
        <v>2615</v>
      </c>
      <c r="N1990" s="16">
        <v>70.0</v>
      </c>
      <c r="O1990" s="8" t="s">
        <v>5928</v>
      </c>
      <c r="P1990" s="8" t="s">
        <v>16</v>
      </c>
      <c r="Q1990" s="14" t="s">
        <v>837</v>
      </c>
      <c r="R1990" s="8" t="s">
        <v>2552</v>
      </c>
      <c r="S1990" s="14" t="s">
        <v>2617</v>
      </c>
    </row>
    <row r="1991">
      <c r="A1991" s="8" t="s">
        <v>3432</v>
      </c>
      <c r="B1991" s="8" t="s">
        <v>3431</v>
      </c>
      <c r="C1991" s="8" t="s">
        <v>122</v>
      </c>
      <c r="D1991" s="18" t="s">
        <v>2603</v>
      </c>
      <c r="E1991" s="16">
        <v>73.0</v>
      </c>
      <c r="F1991" s="8" t="s">
        <v>162</v>
      </c>
      <c r="G1991" s="8" t="s">
        <v>1826</v>
      </c>
      <c r="H1991" s="8" t="s">
        <v>75</v>
      </c>
      <c r="I1991" s="18" t="s">
        <v>2598</v>
      </c>
      <c r="J1991" s="16">
        <v>70.0</v>
      </c>
      <c r="K1991" s="8" t="s">
        <v>2739</v>
      </c>
      <c r="L1991" s="8" t="s">
        <v>1407</v>
      </c>
      <c r="M1991" s="18" t="s">
        <v>2552</v>
      </c>
      <c r="N1991" s="16">
        <v>69.0</v>
      </c>
      <c r="O1991" s="8" t="s">
        <v>5929</v>
      </c>
      <c r="P1991" s="8" t="s">
        <v>93</v>
      </c>
      <c r="Q1991" s="14" t="s">
        <v>2296</v>
      </c>
      <c r="R1991" s="8" t="s">
        <v>2592</v>
      </c>
      <c r="S1991" s="14" t="s">
        <v>2565</v>
      </c>
    </row>
    <row r="1992">
      <c r="A1992" s="8" t="s">
        <v>162</v>
      </c>
      <c r="B1992" s="8" t="s">
        <v>1891</v>
      </c>
      <c r="C1992" s="8" t="s">
        <v>80</v>
      </c>
      <c r="D1992" s="18" t="s">
        <v>2615</v>
      </c>
      <c r="E1992" s="16">
        <v>67.0</v>
      </c>
      <c r="F1992" s="8" t="s">
        <v>162</v>
      </c>
      <c r="G1992" s="8" t="s">
        <v>972</v>
      </c>
      <c r="H1992" s="8" t="s">
        <v>16</v>
      </c>
      <c r="I1992" s="18" t="s">
        <v>2593</v>
      </c>
      <c r="J1992" s="16">
        <v>61.0</v>
      </c>
      <c r="K1992" s="8" t="s">
        <v>2739</v>
      </c>
      <c r="L1992" s="8" t="s">
        <v>2938</v>
      </c>
      <c r="M1992" s="18" t="s">
        <v>2582</v>
      </c>
      <c r="N1992" s="16">
        <v>71.0</v>
      </c>
      <c r="O1992" s="8" t="s">
        <v>5930</v>
      </c>
      <c r="P1992" s="8" t="s">
        <v>149</v>
      </c>
      <c r="Q1992" s="14" t="s">
        <v>837</v>
      </c>
      <c r="R1992" s="8" t="s">
        <v>2562</v>
      </c>
      <c r="S1992" s="14" t="s">
        <v>2555</v>
      </c>
    </row>
    <row r="1993">
      <c r="A1993" s="8" t="s">
        <v>162</v>
      </c>
      <c r="B1993" s="8" t="s">
        <v>61</v>
      </c>
      <c r="C1993" s="8" t="s">
        <v>192</v>
      </c>
      <c r="D1993" s="18" t="s">
        <v>2577</v>
      </c>
      <c r="E1993" s="16">
        <v>71.0</v>
      </c>
      <c r="F1993" s="8" t="s">
        <v>162</v>
      </c>
      <c r="G1993" s="8" t="s">
        <v>61</v>
      </c>
      <c r="H1993" s="8" t="s">
        <v>192</v>
      </c>
      <c r="I1993" s="18" t="s">
        <v>2577</v>
      </c>
      <c r="J1993" s="16">
        <v>73.0</v>
      </c>
      <c r="K1993" s="8" t="s">
        <v>548</v>
      </c>
      <c r="L1993" s="8" t="s">
        <v>547</v>
      </c>
      <c r="M1993" s="18" t="s">
        <v>2575</v>
      </c>
      <c r="N1993" s="16">
        <v>69.0</v>
      </c>
      <c r="O1993" s="8" t="s">
        <v>5931</v>
      </c>
      <c r="P1993" s="8" t="s">
        <v>122</v>
      </c>
      <c r="Q1993" s="14" t="s">
        <v>1679</v>
      </c>
      <c r="R1993" s="8" t="s">
        <v>2593</v>
      </c>
      <c r="S1993" s="14" t="s">
        <v>2555</v>
      </c>
    </row>
    <row r="1994">
      <c r="A1994" s="8" t="s">
        <v>162</v>
      </c>
      <c r="B1994" s="8" t="s">
        <v>42</v>
      </c>
      <c r="C1994" s="8" t="s">
        <v>59</v>
      </c>
      <c r="D1994" s="18" t="s">
        <v>2614</v>
      </c>
      <c r="E1994" s="16">
        <v>89.0</v>
      </c>
      <c r="F1994" s="8" t="s">
        <v>162</v>
      </c>
      <c r="G1994" s="8" t="s">
        <v>2939</v>
      </c>
      <c r="H1994" s="8" t="s">
        <v>24</v>
      </c>
      <c r="I1994" s="18" t="s">
        <v>2572</v>
      </c>
      <c r="J1994" s="16">
        <v>67.0</v>
      </c>
      <c r="K1994" s="8" t="s">
        <v>2918</v>
      </c>
      <c r="L1994" s="8" t="s">
        <v>2917</v>
      </c>
      <c r="M1994" s="18" t="s">
        <v>2620</v>
      </c>
      <c r="N1994" s="16">
        <v>70.0</v>
      </c>
      <c r="O1994" s="8" t="s">
        <v>5932</v>
      </c>
      <c r="P1994" s="8" t="s">
        <v>75</v>
      </c>
      <c r="Q1994" s="14" t="s">
        <v>459</v>
      </c>
      <c r="R1994" s="8" t="s">
        <v>2562</v>
      </c>
      <c r="S1994" s="14" t="s">
        <v>2591</v>
      </c>
    </row>
    <row r="1995">
      <c r="A1995" s="8" t="s">
        <v>162</v>
      </c>
      <c r="B1995" s="8" t="s">
        <v>3728</v>
      </c>
      <c r="C1995" s="8" t="s">
        <v>122</v>
      </c>
      <c r="D1995" s="18" t="s">
        <v>2572</v>
      </c>
      <c r="E1995" s="16">
        <v>72.0</v>
      </c>
      <c r="F1995" s="8" t="s">
        <v>162</v>
      </c>
      <c r="G1995" s="8" t="s">
        <v>99</v>
      </c>
      <c r="H1995" s="8" t="s">
        <v>93</v>
      </c>
      <c r="I1995" s="18" t="s">
        <v>2556</v>
      </c>
      <c r="J1995" s="16">
        <v>86.0</v>
      </c>
      <c r="K1995" s="8" t="s">
        <v>576</v>
      </c>
      <c r="L1995" s="8" t="s">
        <v>575</v>
      </c>
      <c r="M1995" s="18" t="s">
        <v>2587</v>
      </c>
      <c r="N1995" s="16">
        <v>73.0</v>
      </c>
      <c r="O1995" s="8" t="s">
        <v>5933</v>
      </c>
      <c r="P1995" s="8" t="s">
        <v>24</v>
      </c>
      <c r="Q1995" s="14" t="s">
        <v>1070</v>
      </c>
      <c r="R1995" s="8" t="s">
        <v>2615</v>
      </c>
      <c r="S1995" s="14" t="s">
        <v>2571</v>
      </c>
    </row>
    <row r="1996">
      <c r="A1996" s="8" t="s">
        <v>162</v>
      </c>
      <c r="B1996" s="8" t="s">
        <v>972</v>
      </c>
      <c r="C1996" s="8" t="s">
        <v>16</v>
      </c>
      <c r="D1996" s="18" t="s">
        <v>2593</v>
      </c>
      <c r="E1996" s="16">
        <v>63.0</v>
      </c>
      <c r="F1996" s="8" t="s">
        <v>3322</v>
      </c>
      <c r="G1996" s="8" t="s">
        <v>284</v>
      </c>
      <c r="H1996" s="8" t="s">
        <v>65</v>
      </c>
      <c r="I1996" s="18" t="s">
        <v>2183</v>
      </c>
      <c r="J1996" s="16">
        <v>61.0</v>
      </c>
      <c r="K1996" s="8" t="s">
        <v>2726</v>
      </c>
      <c r="L1996" s="8" t="s">
        <v>357</v>
      </c>
      <c r="M1996" s="18" t="s">
        <v>2183</v>
      </c>
      <c r="N1996" s="16">
        <v>68.0</v>
      </c>
      <c r="O1996" s="8" t="s">
        <v>5934</v>
      </c>
      <c r="P1996" s="8" t="s">
        <v>65</v>
      </c>
      <c r="Q1996" s="14" t="s">
        <v>631</v>
      </c>
      <c r="R1996" s="8" t="s">
        <v>2575</v>
      </c>
      <c r="S1996" s="14" t="s">
        <v>2590</v>
      </c>
    </row>
    <row r="1997">
      <c r="A1997" s="8" t="s">
        <v>162</v>
      </c>
      <c r="B1997" s="8" t="s">
        <v>2939</v>
      </c>
      <c r="C1997" s="8" t="s">
        <v>24</v>
      </c>
      <c r="D1997" s="18" t="s">
        <v>2572</v>
      </c>
      <c r="E1997" s="16">
        <v>70.0</v>
      </c>
      <c r="F1997" s="8" t="s">
        <v>938</v>
      </c>
      <c r="G1997" s="8" t="s">
        <v>937</v>
      </c>
      <c r="H1997" s="8" t="s">
        <v>149</v>
      </c>
      <c r="I1997" s="18" t="s">
        <v>2587</v>
      </c>
      <c r="J1997" s="16">
        <v>71.0</v>
      </c>
      <c r="K1997" s="8" t="s">
        <v>2726</v>
      </c>
      <c r="L1997" s="8" t="s">
        <v>2929</v>
      </c>
      <c r="M1997" s="18" t="s">
        <v>2554</v>
      </c>
      <c r="N1997" s="16">
        <v>63.0</v>
      </c>
      <c r="O1997" s="8" t="s">
        <v>5935</v>
      </c>
      <c r="P1997" s="8" t="s">
        <v>192</v>
      </c>
      <c r="Q1997" s="14" t="s">
        <v>1352</v>
      </c>
      <c r="R1997" s="8" t="s">
        <v>2603</v>
      </c>
      <c r="S1997" s="14" t="s">
        <v>2576</v>
      </c>
    </row>
    <row r="1998">
      <c r="A1998" s="8" t="s">
        <v>162</v>
      </c>
      <c r="B1998" s="8" t="s">
        <v>3802</v>
      </c>
      <c r="C1998" s="8" t="s">
        <v>59</v>
      </c>
      <c r="D1998" s="18" t="s">
        <v>2584</v>
      </c>
      <c r="E1998" s="16">
        <v>71.0</v>
      </c>
      <c r="F1998" s="8" t="s">
        <v>1858</v>
      </c>
      <c r="G1998" s="8" t="s">
        <v>2860</v>
      </c>
      <c r="H1998" s="8" t="s">
        <v>12</v>
      </c>
      <c r="I1998" s="18" t="s">
        <v>2556</v>
      </c>
      <c r="J1998" s="16">
        <v>80.0</v>
      </c>
      <c r="K1998" s="8" t="s">
        <v>454</v>
      </c>
      <c r="L1998" s="8" t="s">
        <v>453</v>
      </c>
      <c r="M1998" s="18" t="s">
        <v>2564</v>
      </c>
      <c r="N1998" s="16">
        <v>79.0</v>
      </c>
      <c r="O1998" s="8" t="s">
        <v>5936</v>
      </c>
      <c r="P1998" s="8" t="s">
        <v>122</v>
      </c>
      <c r="Q1998" s="14" t="s">
        <v>631</v>
      </c>
      <c r="R1998" s="8" t="s">
        <v>2552</v>
      </c>
      <c r="S1998" s="14" t="s">
        <v>2557</v>
      </c>
    </row>
    <row r="1999">
      <c r="A1999" s="8" t="s">
        <v>162</v>
      </c>
      <c r="B1999" s="8" t="s">
        <v>3815</v>
      </c>
      <c r="C1999" s="8" t="s">
        <v>16</v>
      </c>
      <c r="D1999" s="18" t="s">
        <v>2598</v>
      </c>
      <c r="E1999" s="16">
        <v>64.0</v>
      </c>
      <c r="F1999" s="8" t="s">
        <v>1858</v>
      </c>
      <c r="G1999" s="8" t="s">
        <v>3483</v>
      </c>
      <c r="H1999" s="8" t="s">
        <v>75</v>
      </c>
      <c r="I1999" s="18" t="s">
        <v>2621</v>
      </c>
      <c r="J1999" s="16">
        <v>64.0</v>
      </c>
      <c r="K1999" s="8" t="s">
        <v>1429</v>
      </c>
      <c r="L1999" s="8" t="s">
        <v>1147</v>
      </c>
      <c r="M1999" s="18" t="s">
        <v>2552</v>
      </c>
      <c r="N1999" s="16">
        <v>85.0</v>
      </c>
      <c r="O1999" s="8" t="s">
        <v>5937</v>
      </c>
      <c r="P1999" s="8" t="s">
        <v>192</v>
      </c>
      <c r="Q1999" s="14" t="s">
        <v>631</v>
      </c>
      <c r="R1999" s="8" t="s">
        <v>2620</v>
      </c>
      <c r="S1999" s="14" t="s">
        <v>2622</v>
      </c>
    </row>
    <row r="2000">
      <c r="A2000" s="8" t="s">
        <v>162</v>
      </c>
      <c r="B2000" s="8" t="s">
        <v>99</v>
      </c>
      <c r="C2000" s="8" t="s">
        <v>93</v>
      </c>
      <c r="D2000" s="18" t="s">
        <v>2556</v>
      </c>
      <c r="E2000" s="16">
        <v>88.0</v>
      </c>
      <c r="F2000" s="8" t="s">
        <v>560</v>
      </c>
      <c r="G2000" s="8" t="s">
        <v>559</v>
      </c>
      <c r="H2000" s="8" t="s">
        <v>141</v>
      </c>
      <c r="I2000" s="18" t="s">
        <v>2595</v>
      </c>
      <c r="J2000" s="16">
        <v>69.0</v>
      </c>
      <c r="K2000" s="8" t="s">
        <v>88</v>
      </c>
      <c r="L2000" s="8" t="s">
        <v>1905</v>
      </c>
      <c r="M2000" s="18" t="s">
        <v>2562</v>
      </c>
      <c r="N2000" s="16">
        <v>65.0</v>
      </c>
      <c r="O2000" s="8" t="s">
        <v>5938</v>
      </c>
      <c r="P2000" s="8" t="s">
        <v>53</v>
      </c>
      <c r="Q2000" s="14" t="s">
        <v>1070</v>
      </c>
      <c r="R2000" s="8" t="s">
        <v>2575</v>
      </c>
      <c r="S2000" s="14" t="s">
        <v>2602</v>
      </c>
    </row>
    <row r="2001">
      <c r="A2001" s="8" t="s">
        <v>162</v>
      </c>
      <c r="B2001" s="8" t="s">
        <v>1034</v>
      </c>
      <c r="C2001" s="8" t="s">
        <v>186</v>
      </c>
      <c r="D2001" s="18" t="s">
        <v>2621</v>
      </c>
      <c r="E2001" s="16">
        <v>72.0</v>
      </c>
      <c r="F2001" s="8" t="s">
        <v>2993</v>
      </c>
      <c r="G2001" s="8" t="s">
        <v>2992</v>
      </c>
      <c r="H2001" s="8" t="s">
        <v>70</v>
      </c>
      <c r="I2001" s="18" t="s">
        <v>2581</v>
      </c>
      <c r="J2001" s="16">
        <v>62.0</v>
      </c>
      <c r="K2001" s="8" t="s">
        <v>88</v>
      </c>
      <c r="L2001" s="8" t="s">
        <v>87</v>
      </c>
      <c r="M2001" s="18" t="s">
        <v>2600</v>
      </c>
      <c r="N2001" s="16">
        <v>85.0</v>
      </c>
      <c r="O2001" s="8" t="s">
        <v>5939</v>
      </c>
      <c r="P2001" s="8" t="s">
        <v>75</v>
      </c>
      <c r="Q2001" s="14" t="s">
        <v>2033</v>
      </c>
      <c r="R2001" s="8" t="s">
        <v>2581</v>
      </c>
      <c r="S2001" s="14" t="s">
        <v>2570</v>
      </c>
    </row>
    <row r="2002">
      <c r="A2002" s="8" t="s">
        <v>162</v>
      </c>
      <c r="B2002" s="8" t="s">
        <v>3890</v>
      </c>
      <c r="C2002" s="8" t="s">
        <v>186</v>
      </c>
      <c r="D2002" s="18" t="s">
        <v>2598</v>
      </c>
      <c r="E2002" s="16">
        <v>73.0</v>
      </c>
      <c r="F2002" s="8" t="s">
        <v>3275</v>
      </c>
      <c r="G2002" s="8" t="s">
        <v>3274</v>
      </c>
      <c r="H2002" s="8" t="s">
        <v>93</v>
      </c>
      <c r="I2002" s="18" t="s">
        <v>2577</v>
      </c>
      <c r="J2002" s="16">
        <v>72.0</v>
      </c>
      <c r="K2002" s="8" t="s">
        <v>88</v>
      </c>
      <c r="L2002" s="8" t="s">
        <v>636</v>
      </c>
      <c r="M2002" s="18" t="s">
        <v>2562</v>
      </c>
      <c r="N2002" s="16">
        <v>71.0</v>
      </c>
      <c r="O2002" s="8" t="s">
        <v>5940</v>
      </c>
      <c r="P2002" s="8" t="s">
        <v>138</v>
      </c>
      <c r="Q2002" s="14" t="s">
        <v>1352</v>
      </c>
      <c r="R2002" s="8" t="s">
        <v>2587</v>
      </c>
      <c r="S2002" s="14" t="s">
        <v>2586</v>
      </c>
    </row>
    <row r="2003">
      <c r="A2003" s="8" t="s">
        <v>3322</v>
      </c>
      <c r="B2003" s="8" t="s">
        <v>284</v>
      </c>
      <c r="C2003" s="8" t="s">
        <v>65</v>
      </c>
      <c r="D2003" s="18" t="s">
        <v>2183</v>
      </c>
      <c r="E2003" s="16">
        <v>60.0</v>
      </c>
      <c r="F2003" s="8" t="s">
        <v>793</v>
      </c>
      <c r="G2003" s="8" t="s">
        <v>1144</v>
      </c>
      <c r="H2003" s="8" t="s">
        <v>24</v>
      </c>
      <c r="I2003" s="18" t="s">
        <v>2615</v>
      </c>
      <c r="J2003" s="16">
        <v>68.0</v>
      </c>
      <c r="K2003" s="8" t="s">
        <v>88</v>
      </c>
      <c r="L2003" s="8" t="s">
        <v>1660</v>
      </c>
      <c r="M2003" s="18" t="s">
        <v>2552</v>
      </c>
      <c r="N2003" s="16">
        <v>64.0</v>
      </c>
      <c r="O2003" s="8" t="s">
        <v>5941</v>
      </c>
      <c r="P2003" s="8" t="s">
        <v>132</v>
      </c>
      <c r="Q2003" s="14" t="s">
        <v>1070</v>
      </c>
      <c r="R2003" s="8" t="s">
        <v>2600</v>
      </c>
      <c r="S2003" s="14" t="s">
        <v>2613</v>
      </c>
    </row>
    <row r="2004">
      <c r="A2004" s="8" t="s">
        <v>938</v>
      </c>
      <c r="B2004" s="8" t="s">
        <v>937</v>
      </c>
      <c r="C2004" s="8" t="s">
        <v>46</v>
      </c>
      <c r="D2004" s="18" t="s">
        <v>2587</v>
      </c>
      <c r="E2004" s="16">
        <v>68.0</v>
      </c>
      <c r="F2004" s="8" t="s">
        <v>793</v>
      </c>
      <c r="G2004" s="8" t="s">
        <v>305</v>
      </c>
      <c r="H2004" s="8" t="s">
        <v>65</v>
      </c>
      <c r="I2004" s="18" t="s">
        <v>2556</v>
      </c>
      <c r="J2004" s="16">
        <v>73.0</v>
      </c>
      <c r="K2004" s="8" t="s">
        <v>694</v>
      </c>
      <c r="L2004" s="8" t="s">
        <v>1319</v>
      </c>
      <c r="M2004" s="18" t="s">
        <v>2577</v>
      </c>
      <c r="N2004" s="16">
        <v>81.0</v>
      </c>
      <c r="O2004" s="8" t="s">
        <v>5942</v>
      </c>
      <c r="P2004" s="8" t="s">
        <v>186</v>
      </c>
      <c r="Q2004" s="14" t="s">
        <v>1352</v>
      </c>
      <c r="R2004" s="8" t="s">
        <v>2574</v>
      </c>
      <c r="S2004" s="14" t="s">
        <v>2586</v>
      </c>
    </row>
    <row r="2005">
      <c r="A2005" s="8" t="s">
        <v>1858</v>
      </c>
      <c r="B2005" s="8" t="s">
        <v>2860</v>
      </c>
      <c r="C2005" s="8" t="s">
        <v>12</v>
      </c>
      <c r="D2005" s="18" t="s">
        <v>2556</v>
      </c>
      <c r="E2005" s="16">
        <v>79.0</v>
      </c>
      <c r="F2005" s="8" t="s">
        <v>1521</v>
      </c>
      <c r="G2005" s="8" t="s">
        <v>1520</v>
      </c>
      <c r="H2005" s="8" t="s">
        <v>192</v>
      </c>
      <c r="I2005" s="18" t="s">
        <v>2556</v>
      </c>
      <c r="J2005" s="16">
        <v>63.0</v>
      </c>
      <c r="K2005" s="8" t="s">
        <v>694</v>
      </c>
      <c r="L2005" s="8" t="s">
        <v>693</v>
      </c>
      <c r="M2005" s="18" t="s">
        <v>2600</v>
      </c>
      <c r="N2005" s="16">
        <v>84.0</v>
      </c>
      <c r="O2005" s="8" t="s">
        <v>5943</v>
      </c>
      <c r="P2005" s="8" t="s">
        <v>59</v>
      </c>
      <c r="Q2005" s="14" t="s">
        <v>1679</v>
      </c>
      <c r="R2005" s="8" t="s">
        <v>2603</v>
      </c>
      <c r="S2005" s="14" t="s">
        <v>2557</v>
      </c>
    </row>
    <row r="2006">
      <c r="A2006" s="8" t="s">
        <v>1858</v>
      </c>
      <c r="B2006" s="8" t="s">
        <v>3483</v>
      </c>
      <c r="C2006" s="8" t="s">
        <v>132</v>
      </c>
      <c r="D2006" s="18" t="s">
        <v>2621</v>
      </c>
      <c r="E2006" s="16">
        <v>64.0</v>
      </c>
      <c r="F2006" s="8" t="s">
        <v>806</v>
      </c>
      <c r="G2006" s="8" t="s">
        <v>88</v>
      </c>
      <c r="H2006" s="8" t="s">
        <v>122</v>
      </c>
      <c r="I2006" s="18" t="s">
        <v>2552</v>
      </c>
      <c r="J2006" s="16">
        <v>65.0</v>
      </c>
      <c r="K2006" s="8" t="s">
        <v>694</v>
      </c>
      <c r="L2006" s="8" t="s">
        <v>693</v>
      </c>
      <c r="M2006" s="18" t="s">
        <v>2587</v>
      </c>
      <c r="N2006" s="16">
        <v>88.0</v>
      </c>
      <c r="O2006" s="8" t="s">
        <v>5944</v>
      </c>
      <c r="P2006" s="8" t="s">
        <v>53</v>
      </c>
      <c r="Q2006" s="14" t="s">
        <v>1070</v>
      </c>
      <c r="R2006" s="8" t="s">
        <v>2592</v>
      </c>
      <c r="S2006" s="14" t="s">
        <v>2590</v>
      </c>
    </row>
    <row r="2007">
      <c r="A2007" s="8" t="s">
        <v>1858</v>
      </c>
      <c r="B2007" s="8" t="s">
        <v>3881</v>
      </c>
      <c r="C2007" s="8" t="s">
        <v>149</v>
      </c>
      <c r="D2007" s="18" t="s">
        <v>2600</v>
      </c>
      <c r="E2007" s="16">
        <v>84.0</v>
      </c>
      <c r="F2007" s="8" t="s">
        <v>811</v>
      </c>
      <c r="G2007" s="8" t="s">
        <v>62</v>
      </c>
      <c r="H2007" s="8" t="s">
        <v>80</v>
      </c>
      <c r="I2007" s="18" t="s">
        <v>2560</v>
      </c>
      <c r="J2007" s="16">
        <v>69.0</v>
      </c>
      <c r="K2007" s="8" t="s">
        <v>2659</v>
      </c>
      <c r="L2007" s="8" t="s">
        <v>212</v>
      </c>
      <c r="M2007" s="18" t="s">
        <v>2581</v>
      </c>
      <c r="N2007" s="16">
        <v>76.0</v>
      </c>
      <c r="O2007" s="8" t="s">
        <v>5945</v>
      </c>
      <c r="P2007" s="8" t="s">
        <v>93</v>
      </c>
      <c r="Q2007" s="14" t="s">
        <v>1679</v>
      </c>
      <c r="R2007" s="8" t="s">
        <v>2603</v>
      </c>
      <c r="S2007" s="14" t="s">
        <v>2607</v>
      </c>
    </row>
    <row r="2008">
      <c r="A2008" s="8" t="s">
        <v>5946</v>
      </c>
      <c r="B2008" s="8" t="s">
        <v>3742</v>
      </c>
      <c r="C2008" s="8" t="s">
        <v>122</v>
      </c>
      <c r="D2008" s="18" t="s">
        <v>2584</v>
      </c>
      <c r="E2008" s="16">
        <v>79.0</v>
      </c>
      <c r="F2008" s="8" t="s">
        <v>3266</v>
      </c>
      <c r="G2008" s="8" t="s">
        <v>2157</v>
      </c>
      <c r="H2008" s="8" t="s">
        <v>192</v>
      </c>
      <c r="I2008" s="18" t="s">
        <v>2587</v>
      </c>
      <c r="J2008" s="16">
        <v>61.0</v>
      </c>
      <c r="K2008" s="8" t="s">
        <v>1035</v>
      </c>
      <c r="L2008" s="8" t="s">
        <v>796</v>
      </c>
      <c r="M2008" s="18" t="s">
        <v>2566</v>
      </c>
      <c r="N2008" s="16">
        <v>78.0</v>
      </c>
      <c r="O2008" s="8" t="s">
        <v>5947</v>
      </c>
      <c r="P2008" s="8" t="s">
        <v>215</v>
      </c>
      <c r="Q2008" s="14" t="s">
        <v>2296</v>
      </c>
      <c r="R2008" s="8" t="s">
        <v>2564</v>
      </c>
      <c r="S2008" s="14" t="s">
        <v>2563</v>
      </c>
    </row>
    <row r="2009">
      <c r="A2009" s="8" t="s">
        <v>560</v>
      </c>
      <c r="B2009" s="8" t="s">
        <v>559</v>
      </c>
      <c r="C2009" s="8" t="s">
        <v>132</v>
      </c>
      <c r="D2009" s="18" t="s">
        <v>2595</v>
      </c>
      <c r="E2009" s="16">
        <v>71.0</v>
      </c>
      <c r="F2009" s="8" t="s">
        <v>1295</v>
      </c>
      <c r="G2009" s="8" t="s">
        <v>834</v>
      </c>
      <c r="H2009" s="8" t="s">
        <v>65</v>
      </c>
      <c r="I2009" s="18" t="s">
        <v>2584</v>
      </c>
      <c r="J2009" s="16">
        <v>57.0</v>
      </c>
      <c r="K2009" s="8" t="s">
        <v>3017</v>
      </c>
      <c r="L2009" s="8" t="s">
        <v>1955</v>
      </c>
      <c r="M2009" s="18" t="s">
        <v>2577</v>
      </c>
      <c r="N2009" s="16">
        <v>68.0</v>
      </c>
      <c r="O2009" s="8" t="s">
        <v>5948</v>
      </c>
      <c r="P2009" s="8" t="s">
        <v>53</v>
      </c>
      <c r="Q2009" s="14" t="s">
        <v>2033</v>
      </c>
      <c r="R2009" s="8" t="s">
        <v>2621</v>
      </c>
      <c r="S2009" s="14" t="s">
        <v>2583</v>
      </c>
    </row>
    <row r="2010">
      <c r="A2010" s="8" t="s">
        <v>2993</v>
      </c>
      <c r="B2010" s="8" t="s">
        <v>2992</v>
      </c>
      <c r="C2010" s="8" t="s">
        <v>70</v>
      </c>
      <c r="D2010" s="18" t="s">
        <v>2605</v>
      </c>
      <c r="E2010" s="16">
        <v>64.0</v>
      </c>
      <c r="F2010" s="8" t="s">
        <v>1295</v>
      </c>
      <c r="G2010" s="8" t="s">
        <v>2896</v>
      </c>
      <c r="H2010" s="8" t="s">
        <v>38</v>
      </c>
      <c r="I2010" s="18" t="s">
        <v>2562</v>
      </c>
      <c r="J2010" s="16">
        <v>80.0</v>
      </c>
      <c r="K2010" s="8" t="s">
        <v>167</v>
      </c>
      <c r="L2010" s="8" t="s">
        <v>1884</v>
      </c>
      <c r="M2010" s="18" t="s">
        <v>2554</v>
      </c>
      <c r="N2010" s="16">
        <v>65.0</v>
      </c>
      <c r="O2010" s="8" t="s">
        <v>5949</v>
      </c>
      <c r="P2010" s="8" t="s">
        <v>192</v>
      </c>
      <c r="Q2010" s="14" t="s">
        <v>837</v>
      </c>
      <c r="R2010" s="8" t="s">
        <v>2598</v>
      </c>
      <c r="S2010" s="14" t="s">
        <v>2579</v>
      </c>
    </row>
    <row r="2011">
      <c r="A2011" s="8" t="s">
        <v>3275</v>
      </c>
      <c r="B2011" s="8" t="s">
        <v>3274</v>
      </c>
      <c r="C2011" s="8" t="s">
        <v>93</v>
      </c>
      <c r="D2011" s="18" t="s">
        <v>2577</v>
      </c>
      <c r="E2011" s="16">
        <v>71.0</v>
      </c>
      <c r="F2011" s="8" t="s">
        <v>1295</v>
      </c>
      <c r="G2011" s="8" t="s">
        <v>3495</v>
      </c>
      <c r="H2011" s="8" t="s">
        <v>70</v>
      </c>
      <c r="I2011" s="18" t="s">
        <v>2566</v>
      </c>
      <c r="J2011" s="16">
        <v>82.0</v>
      </c>
      <c r="K2011" s="8" t="s">
        <v>167</v>
      </c>
      <c r="L2011" s="8" t="s">
        <v>166</v>
      </c>
      <c r="M2011" s="18" t="s">
        <v>2560</v>
      </c>
      <c r="N2011" s="16">
        <v>79.0</v>
      </c>
      <c r="O2011" s="8" t="s">
        <v>5950</v>
      </c>
      <c r="P2011" s="8" t="s">
        <v>186</v>
      </c>
      <c r="Q2011" s="14" t="s">
        <v>2033</v>
      </c>
      <c r="R2011" s="8" t="s">
        <v>2582</v>
      </c>
      <c r="S2011" s="14" t="s">
        <v>2591</v>
      </c>
    </row>
    <row r="2012">
      <c r="A2012" s="8" t="s">
        <v>793</v>
      </c>
      <c r="B2012" s="8" t="s">
        <v>1144</v>
      </c>
      <c r="C2012" s="8" t="s">
        <v>24</v>
      </c>
      <c r="D2012" s="18" t="s">
        <v>2615</v>
      </c>
      <c r="E2012" s="16">
        <v>64.0</v>
      </c>
      <c r="F2012" s="8" t="s">
        <v>1295</v>
      </c>
      <c r="G2012" s="8" t="s">
        <v>1294</v>
      </c>
      <c r="H2012" s="8" t="s">
        <v>59</v>
      </c>
      <c r="I2012" s="18" t="s">
        <v>2620</v>
      </c>
      <c r="J2012" s="16">
        <v>79.0</v>
      </c>
      <c r="K2012" s="8" t="s">
        <v>167</v>
      </c>
      <c r="L2012" s="8" t="s">
        <v>2855</v>
      </c>
      <c r="M2012" s="18" t="s">
        <v>2603</v>
      </c>
      <c r="N2012" s="16">
        <v>83.0</v>
      </c>
      <c r="O2012" s="8" t="s">
        <v>5951</v>
      </c>
      <c r="P2012" s="8" t="s">
        <v>70</v>
      </c>
      <c r="Q2012" s="14" t="s">
        <v>2033</v>
      </c>
      <c r="R2012" s="8" t="s">
        <v>2592</v>
      </c>
      <c r="S2012" s="14" t="s">
        <v>2583</v>
      </c>
    </row>
    <row r="2013">
      <c r="A2013" s="8" t="s">
        <v>793</v>
      </c>
      <c r="B2013" s="8" t="s">
        <v>305</v>
      </c>
      <c r="C2013" s="8" t="s">
        <v>65</v>
      </c>
      <c r="D2013" s="18" t="s">
        <v>2556</v>
      </c>
      <c r="E2013" s="16">
        <v>72.0</v>
      </c>
      <c r="F2013" s="8" t="s">
        <v>3319</v>
      </c>
      <c r="G2013" s="8" t="s">
        <v>282</v>
      </c>
      <c r="H2013" s="8" t="s">
        <v>215</v>
      </c>
      <c r="I2013" s="18" t="s">
        <v>2603</v>
      </c>
      <c r="J2013" s="16">
        <v>62.0</v>
      </c>
      <c r="K2013" s="8" t="s">
        <v>167</v>
      </c>
      <c r="L2013" s="8" t="s">
        <v>1675</v>
      </c>
      <c r="M2013" s="18" t="s">
        <v>2585</v>
      </c>
      <c r="N2013" s="16">
        <v>88.0</v>
      </c>
      <c r="O2013" s="8" t="s">
        <v>5952</v>
      </c>
      <c r="P2013" s="8" t="s">
        <v>192</v>
      </c>
      <c r="Q2013" s="14" t="s">
        <v>631</v>
      </c>
      <c r="R2013" s="8" t="s">
        <v>2610</v>
      </c>
      <c r="S2013" s="14" t="s">
        <v>2608</v>
      </c>
    </row>
    <row r="2014">
      <c r="A2014" s="8" t="s">
        <v>3517</v>
      </c>
      <c r="B2014" s="8" t="s">
        <v>3516</v>
      </c>
      <c r="C2014" s="8" t="s">
        <v>132</v>
      </c>
      <c r="D2014" s="18" t="s">
        <v>2598</v>
      </c>
      <c r="E2014" s="16">
        <v>61.0</v>
      </c>
      <c r="F2014" s="8" t="s">
        <v>1241</v>
      </c>
      <c r="G2014" s="8" t="s">
        <v>537</v>
      </c>
      <c r="H2014" s="8" t="s">
        <v>65</v>
      </c>
      <c r="I2014" s="18" t="s">
        <v>2562</v>
      </c>
      <c r="J2014" s="16">
        <v>64.0</v>
      </c>
      <c r="K2014" s="8" t="s">
        <v>167</v>
      </c>
      <c r="L2014" s="8" t="s">
        <v>2855</v>
      </c>
      <c r="M2014" s="18" t="s">
        <v>2621</v>
      </c>
      <c r="N2014" s="16">
        <v>82.0</v>
      </c>
      <c r="O2014" s="8" t="s">
        <v>5953</v>
      </c>
      <c r="P2014" s="8" t="s">
        <v>122</v>
      </c>
      <c r="Q2014" s="14" t="s">
        <v>631</v>
      </c>
      <c r="R2014" s="8" t="s">
        <v>2620</v>
      </c>
      <c r="S2014" s="14" t="s">
        <v>2553</v>
      </c>
    </row>
    <row r="2015">
      <c r="A2015" s="8" t="s">
        <v>806</v>
      </c>
      <c r="B2015" s="8" t="s">
        <v>88</v>
      </c>
      <c r="C2015" s="8" t="s">
        <v>122</v>
      </c>
      <c r="D2015" s="18" t="s">
        <v>2552</v>
      </c>
      <c r="E2015" s="16">
        <v>65.0</v>
      </c>
      <c r="F2015" s="8" t="s">
        <v>1241</v>
      </c>
      <c r="G2015" s="8" t="s">
        <v>741</v>
      </c>
      <c r="H2015" s="8" t="s">
        <v>138</v>
      </c>
      <c r="I2015" s="18" t="s">
        <v>2587</v>
      </c>
      <c r="J2015" s="16">
        <v>76.0</v>
      </c>
      <c r="K2015" s="8" t="s">
        <v>167</v>
      </c>
      <c r="L2015" s="8" t="s">
        <v>1675</v>
      </c>
      <c r="M2015" s="18" t="s">
        <v>2585</v>
      </c>
      <c r="N2015" s="16">
        <v>83.0</v>
      </c>
      <c r="O2015" s="8" t="s">
        <v>5954</v>
      </c>
      <c r="P2015" s="8" t="s">
        <v>122</v>
      </c>
      <c r="Q2015" s="14" t="s">
        <v>1352</v>
      </c>
      <c r="R2015" s="8" t="s">
        <v>2585</v>
      </c>
      <c r="S2015" s="14" t="s">
        <v>2591</v>
      </c>
    </row>
    <row r="2016">
      <c r="A2016" s="8" t="s">
        <v>811</v>
      </c>
      <c r="B2016" s="8" t="s">
        <v>62</v>
      </c>
      <c r="C2016" s="8" t="s">
        <v>192</v>
      </c>
      <c r="D2016" s="18" t="s">
        <v>2577</v>
      </c>
      <c r="E2016" s="16">
        <v>72.0</v>
      </c>
      <c r="F2016" s="8" t="s">
        <v>1241</v>
      </c>
      <c r="G2016" s="8" t="s">
        <v>111</v>
      </c>
      <c r="H2016" s="8" t="s">
        <v>132</v>
      </c>
      <c r="I2016" s="18" t="s">
        <v>2600</v>
      </c>
      <c r="J2016" s="16">
        <v>85.0</v>
      </c>
      <c r="K2016" s="8" t="s">
        <v>167</v>
      </c>
      <c r="L2016" s="8" t="s">
        <v>2855</v>
      </c>
      <c r="M2016" s="18" t="s">
        <v>2603</v>
      </c>
      <c r="N2016" s="16">
        <v>88.0</v>
      </c>
      <c r="O2016" s="8" t="s">
        <v>5955</v>
      </c>
      <c r="P2016" s="8" t="s">
        <v>122</v>
      </c>
      <c r="Q2016" s="14" t="s">
        <v>1352</v>
      </c>
      <c r="R2016" s="8" t="s">
        <v>2595</v>
      </c>
      <c r="S2016" s="14" t="s">
        <v>2578</v>
      </c>
    </row>
    <row r="2017">
      <c r="A2017" s="8" t="s">
        <v>3266</v>
      </c>
      <c r="B2017" s="8" t="s">
        <v>2157</v>
      </c>
      <c r="C2017" s="8" t="s">
        <v>192</v>
      </c>
      <c r="D2017" s="18" t="s">
        <v>2581</v>
      </c>
      <c r="E2017" s="16">
        <v>64.0</v>
      </c>
      <c r="F2017" s="8" t="s">
        <v>1241</v>
      </c>
      <c r="G2017" s="8" t="s">
        <v>444</v>
      </c>
      <c r="H2017" s="8" t="s">
        <v>53</v>
      </c>
      <c r="I2017" s="18" t="s">
        <v>2574</v>
      </c>
      <c r="J2017" s="16">
        <v>83.0</v>
      </c>
      <c r="K2017" s="8" t="s">
        <v>167</v>
      </c>
      <c r="L2017" s="8" t="s">
        <v>1675</v>
      </c>
      <c r="M2017" s="18" t="s">
        <v>2585</v>
      </c>
      <c r="N2017" s="16">
        <v>82.0</v>
      </c>
      <c r="O2017" s="8" t="s">
        <v>5956</v>
      </c>
      <c r="P2017" s="8" t="s">
        <v>122</v>
      </c>
      <c r="Q2017" s="14" t="s">
        <v>631</v>
      </c>
      <c r="R2017" s="8" t="s">
        <v>2615</v>
      </c>
      <c r="S2017" s="14" t="s">
        <v>2611</v>
      </c>
    </row>
    <row r="2018">
      <c r="A2018" s="8" t="s">
        <v>1295</v>
      </c>
      <c r="B2018" s="8" t="s">
        <v>2896</v>
      </c>
      <c r="C2018" s="8" t="s">
        <v>38</v>
      </c>
      <c r="D2018" s="18" t="s">
        <v>2562</v>
      </c>
      <c r="E2018" s="16">
        <v>77.0</v>
      </c>
      <c r="F2018" s="8" t="s">
        <v>1080</v>
      </c>
      <c r="G2018" s="8" t="s">
        <v>1079</v>
      </c>
      <c r="H2018" s="8" t="s">
        <v>53</v>
      </c>
      <c r="I2018" s="18" t="s">
        <v>2620</v>
      </c>
      <c r="J2018" s="16">
        <v>81.0</v>
      </c>
      <c r="K2018" s="8" t="s">
        <v>167</v>
      </c>
      <c r="L2018" s="8" t="s">
        <v>1675</v>
      </c>
      <c r="M2018" s="18" t="s">
        <v>2585</v>
      </c>
      <c r="N2018" s="16">
        <v>84.0</v>
      </c>
      <c r="O2018" s="8" t="s">
        <v>5957</v>
      </c>
      <c r="P2018" s="8" t="s">
        <v>80</v>
      </c>
      <c r="Q2018" s="14" t="s">
        <v>2296</v>
      </c>
      <c r="R2018" s="8" t="s">
        <v>2615</v>
      </c>
      <c r="S2018" s="14" t="s">
        <v>2563</v>
      </c>
    </row>
    <row r="2019">
      <c r="A2019" s="8" t="s">
        <v>1295</v>
      </c>
      <c r="B2019" s="8" t="s">
        <v>581</v>
      </c>
      <c r="C2019" s="8" t="s">
        <v>141</v>
      </c>
      <c r="D2019" s="18" t="s">
        <v>2566</v>
      </c>
      <c r="E2019" s="16">
        <v>62.0</v>
      </c>
      <c r="F2019" s="8" t="s">
        <v>1822</v>
      </c>
      <c r="G2019" s="8" t="s">
        <v>522</v>
      </c>
      <c r="H2019" s="8" t="s">
        <v>93</v>
      </c>
      <c r="I2019" s="18" t="s">
        <v>2603</v>
      </c>
      <c r="J2019" s="16">
        <v>70.0</v>
      </c>
      <c r="K2019" s="8" t="s">
        <v>167</v>
      </c>
      <c r="L2019" s="8" t="s">
        <v>1675</v>
      </c>
      <c r="M2019" s="18" t="s">
        <v>2585</v>
      </c>
      <c r="N2019" s="16">
        <v>86.0</v>
      </c>
      <c r="O2019" s="8" t="s">
        <v>5958</v>
      </c>
      <c r="P2019" s="8" t="s">
        <v>65</v>
      </c>
      <c r="Q2019" s="14" t="s">
        <v>1352</v>
      </c>
      <c r="R2019" s="8" t="s">
        <v>2564</v>
      </c>
      <c r="S2019" s="14" t="s">
        <v>2591</v>
      </c>
    </row>
    <row r="2020">
      <c r="A2020" s="8" t="s">
        <v>1295</v>
      </c>
      <c r="B2020" s="8" t="s">
        <v>1294</v>
      </c>
      <c r="C2020" s="8" t="s">
        <v>59</v>
      </c>
      <c r="D2020" s="18" t="s">
        <v>2620</v>
      </c>
      <c r="E2020" s="16">
        <v>73.0</v>
      </c>
      <c r="F2020" s="8" t="s">
        <v>3145</v>
      </c>
      <c r="G2020" s="8" t="s">
        <v>455</v>
      </c>
      <c r="H2020" s="8" t="s">
        <v>93</v>
      </c>
      <c r="I2020" s="18" t="s">
        <v>2587</v>
      </c>
      <c r="J2020" s="16">
        <v>75.0</v>
      </c>
      <c r="K2020" s="8" t="s">
        <v>167</v>
      </c>
      <c r="L2020" s="8" t="s">
        <v>2855</v>
      </c>
      <c r="M2020" s="18" t="s">
        <v>2603</v>
      </c>
      <c r="N2020" s="16">
        <v>90.0</v>
      </c>
      <c r="O2020" s="8" t="s">
        <v>5959</v>
      </c>
      <c r="P2020" s="8" t="s">
        <v>93</v>
      </c>
      <c r="Q2020" s="14" t="s">
        <v>237</v>
      </c>
      <c r="R2020" s="8" t="s">
        <v>2605</v>
      </c>
      <c r="S2020" s="14" t="s">
        <v>2557</v>
      </c>
    </row>
    <row r="2021">
      <c r="A2021" s="8" t="s">
        <v>1295</v>
      </c>
      <c r="B2021" s="8" t="s">
        <v>3495</v>
      </c>
      <c r="C2021" s="8" t="s">
        <v>70</v>
      </c>
      <c r="D2021" s="18" t="s">
        <v>2566</v>
      </c>
      <c r="E2021" s="16">
        <v>81.0</v>
      </c>
      <c r="F2021" s="8" t="s">
        <v>3254</v>
      </c>
      <c r="G2021" s="8" t="s">
        <v>510</v>
      </c>
      <c r="H2021" s="8" t="s">
        <v>122</v>
      </c>
      <c r="I2021" s="18" t="s">
        <v>2552</v>
      </c>
      <c r="J2021" s="16">
        <v>83.0</v>
      </c>
      <c r="K2021" s="8" t="s">
        <v>167</v>
      </c>
      <c r="L2021" s="8" t="s">
        <v>2855</v>
      </c>
      <c r="M2021" s="18" t="s">
        <v>2552</v>
      </c>
      <c r="N2021" s="16">
        <v>86.0</v>
      </c>
      <c r="O2021" s="8" t="s">
        <v>5960</v>
      </c>
      <c r="P2021" s="8" t="s">
        <v>138</v>
      </c>
      <c r="Q2021" s="14" t="s">
        <v>837</v>
      </c>
      <c r="R2021" s="8" t="s">
        <v>2600</v>
      </c>
      <c r="S2021" s="14" t="s">
        <v>2622</v>
      </c>
    </row>
    <row r="2022">
      <c r="A2022" s="8" t="s">
        <v>1295</v>
      </c>
      <c r="B2022" s="8" t="s">
        <v>834</v>
      </c>
      <c r="C2022" s="8" t="s">
        <v>65</v>
      </c>
      <c r="D2022" s="18" t="s">
        <v>2584</v>
      </c>
      <c r="E2022" s="16">
        <v>52.0</v>
      </c>
      <c r="F2022" s="8" t="s">
        <v>990</v>
      </c>
      <c r="G2022" s="8" t="s">
        <v>989</v>
      </c>
      <c r="H2022" s="8" t="s">
        <v>192</v>
      </c>
      <c r="I2022" s="18" t="s">
        <v>2598</v>
      </c>
      <c r="J2022" s="16">
        <v>61.0</v>
      </c>
      <c r="K2022" s="8" t="s">
        <v>167</v>
      </c>
      <c r="L2022" s="8" t="s">
        <v>2855</v>
      </c>
      <c r="M2022" s="18" t="s">
        <v>2552</v>
      </c>
      <c r="N2022" s="16">
        <v>84.0</v>
      </c>
      <c r="O2022" s="8" t="s">
        <v>5961</v>
      </c>
      <c r="P2022" s="8" t="s">
        <v>46</v>
      </c>
      <c r="Q2022" s="14" t="s">
        <v>837</v>
      </c>
      <c r="R2022" s="8" t="s">
        <v>2585</v>
      </c>
      <c r="S2022" s="14" t="s">
        <v>2609</v>
      </c>
    </row>
    <row r="2023">
      <c r="A2023" s="8" t="s">
        <v>3319</v>
      </c>
      <c r="B2023" s="8" t="s">
        <v>282</v>
      </c>
      <c r="C2023" s="8" t="s">
        <v>215</v>
      </c>
      <c r="D2023" s="18" t="s">
        <v>2620</v>
      </c>
      <c r="E2023" s="16">
        <v>61.0</v>
      </c>
      <c r="F2023" s="8" t="s">
        <v>2087</v>
      </c>
      <c r="G2023" s="8" t="s">
        <v>3231</v>
      </c>
      <c r="H2023" s="8" t="s">
        <v>70</v>
      </c>
      <c r="I2023" s="18" t="s">
        <v>2566</v>
      </c>
      <c r="J2023" s="16">
        <v>74.0</v>
      </c>
      <c r="K2023" s="8" t="s">
        <v>167</v>
      </c>
      <c r="L2023" s="8" t="s">
        <v>1675</v>
      </c>
      <c r="M2023" s="18" t="s">
        <v>2585</v>
      </c>
      <c r="N2023" s="16">
        <v>90.0</v>
      </c>
      <c r="O2023" s="8" t="s">
        <v>5962</v>
      </c>
      <c r="P2023" s="8" t="s">
        <v>93</v>
      </c>
      <c r="Q2023" s="14" t="s">
        <v>2033</v>
      </c>
      <c r="R2023" s="8" t="s">
        <v>2564</v>
      </c>
      <c r="S2023" s="14" t="s">
        <v>2571</v>
      </c>
    </row>
    <row r="2024">
      <c r="A2024" s="8" t="s">
        <v>1241</v>
      </c>
      <c r="B2024" s="8" t="s">
        <v>1164</v>
      </c>
      <c r="C2024" s="8" t="s">
        <v>65</v>
      </c>
      <c r="D2024" s="18" t="s">
        <v>2584</v>
      </c>
      <c r="E2024" s="16">
        <v>63.0</v>
      </c>
      <c r="F2024" s="8" t="s">
        <v>832</v>
      </c>
      <c r="G2024" s="8" t="s">
        <v>3328</v>
      </c>
      <c r="H2024" s="8" t="s">
        <v>75</v>
      </c>
      <c r="I2024" s="18" t="s">
        <v>2582</v>
      </c>
      <c r="J2024" s="16">
        <v>71.0</v>
      </c>
      <c r="K2024" s="8" t="s">
        <v>759</v>
      </c>
      <c r="L2024" s="8" t="s">
        <v>220</v>
      </c>
      <c r="M2024" s="18" t="s">
        <v>2183</v>
      </c>
      <c r="N2024" s="16">
        <v>76.0</v>
      </c>
      <c r="O2024" s="8" t="s">
        <v>5963</v>
      </c>
      <c r="P2024" s="8" t="s">
        <v>93</v>
      </c>
      <c r="Q2024" s="14" t="s">
        <v>1352</v>
      </c>
      <c r="R2024" s="8" t="s">
        <v>2603</v>
      </c>
      <c r="S2024" s="14" t="s">
        <v>2594</v>
      </c>
    </row>
    <row r="2025">
      <c r="A2025" s="8" t="s">
        <v>1241</v>
      </c>
      <c r="B2025" s="8" t="s">
        <v>741</v>
      </c>
      <c r="C2025" s="8" t="s">
        <v>138</v>
      </c>
      <c r="D2025" s="18" t="s">
        <v>2587</v>
      </c>
      <c r="E2025" s="16">
        <v>75.0</v>
      </c>
      <c r="F2025" s="8" t="s">
        <v>832</v>
      </c>
      <c r="G2025" s="8" t="s">
        <v>78</v>
      </c>
      <c r="H2025" s="8" t="s">
        <v>192</v>
      </c>
      <c r="I2025" s="18" t="s">
        <v>2610</v>
      </c>
      <c r="J2025" s="16">
        <v>80.0</v>
      </c>
      <c r="K2025" s="8" t="s">
        <v>759</v>
      </c>
      <c r="L2025" s="8" t="s">
        <v>758</v>
      </c>
      <c r="M2025" s="18" t="s">
        <v>2564</v>
      </c>
      <c r="N2025" s="16">
        <v>66.0</v>
      </c>
      <c r="O2025" s="8" t="s">
        <v>5964</v>
      </c>
      <c r="P2025" s="8" t="s">
        <v>65</v>
      </c>
      <c r="Q2025" s="14" t="s">
        <v>1679</v>
      </c>
      <c r="R2025" s="8" t="s">
        <v>2595</v>
      </c>
      <c r="S2025" s="14" t="s">
        <v>2555</v>
      </c>
    </row>
    <row r="2026">
      <c r="A2026" s="8" t="s">
        <v>1241</v>
      </c>
      <c r="B2026" s="8" t="s">
        <v>111</v>
      </c>
      <c r="C2026" s="8" t="s">
        <v>75</v>
      </c>
      <c r="D2026" s="18" t="s">
        <v>2600</v>
      </c>
      <c r="E2026" s="16">
        <v>74.0</v>
      </c>
      <c r="F2026" s="8" t="s">
        <v>3355</v>
      </c>
      <c r="G2026" s="8" t="s">
        <v>3354</v>
      </c>
      <c r="H2026" s="8" t="s">
        <v>53</v>
      </c>
      <c r="I2026" s="18" t="s">
        <v>2600</v>
      </c>
      <c r="J2026" s="16">
        <v>74.0</v>
      </c>
      <c r="K2026" s="8" t="s">
        <v>759</v>
      </c>
      <c r="L2026" s="8" t="s">
        <v>115</v>
      </c>
      <c r="M2026" s="18" t="s">
        <v>2587</v>
      </c>
      <c r="N2026" s="16">
        <v>81.0</v>
      </c>
      <c r="O2026" s="8" t="s">
        <v>5965</v>
      </c>
      <c r="P2026" s="8" t="s">
        <v>53</v>
      </c>
      <c r="Q2026" s="14" t="s">
        <v>2033</v>
      </c>
      <c r="R2026" s="8" t="s">
        <v>2615</v>
      </c>
      <c r="S2026" s="14" t="s">
        <v>2591</v>
      </c>
    </row>
    <row r="2027">
      <c r="A2027" s="8" t="s">
        <v>1241</v>
      </c>
      <c r="B2027" s="8" t="s">
        <v>3795</v>
      </c>
      <c r="C2027" s="8" t="s">
        <v>59</v>
      </c>
      <c r="D2027" s="18" t="s">
        <v>2572</v>
      </c>
      <c r="E2027" s="16">
        <v>63.0</v>
      </c>
      <c r="F2027" s="8" t="s">
        <v>709</v>
      </c>
      <c r="G2027" s="8" t="s">
        <v>89</v>
      </c>
      <c r="H2027" s="8" t="s">
        <v>215</v>
      </c>
      <c r="I2027" s="18" t="s">
        <v>2620</v>
      </c>
      <c r="J2027" s="16">
        <v>66.0</v>
      </c>
      <c r="K2027" s="8" t="s">
        <v>759</v>
      </c>
      <c r="L2027" s="8" t="s">
        <v>1264</v>
      </c>
      <c r="M2027" s="18" t="s">
        <v>2645</v>
      </c>
      <c r="N2027" s="16">
        <v>63.0</v>
      </c>
      <c r="O2027" s="8" t="s">
        <v>5966</v>
      </c>
      <c r="P2027" s="8" t="s">
        <v>192</v>
      </c>
      <c r="Q2027" s="14" t="s">
        <v>1352</v>
      </c>
      <c r="R2027" s="8" t="s">
        <v>2587</v>
      </c>
      <c r="S2027" s="14" t="s">
        <v>2583</v>
      </c>
    </row>
    <row r="2028">
      <c r="A2028" s="8" t="s">
        <v>1241</v>
      </c>
      <c r="B2028" s="8" t="s">
        <v>788</v>
      </c>
      <c r="C2028" s="8" t="s">
        <v>53</v>
      </c>
      <c r="D2028" s="18" t="s">
        <v>2589</v>
      </c>
      <c r="E2028" s="16">
        <v>59.0</v>
      </c>
      <c r="F2028" s="8" t="s">
        <v>787</v>
      </c>
      <c r="G2028" s="8" t="s">
        <v>1579</v>
      </c>
      <c r="H2028" s="8" t="s">
        <v>93</v>
      </c>
      <c r="I2028" s="18" t="s">
        <v>2575</v>
      </c>
      <c r="J2028" s="16">
        <v>61.0</v>
      </c>
      <c r="K2028" s="8" t="s">
        <v>3102</v>
      </c>
      <c r="L2028" s="8" t="s">
        <v>5967</v>
      </c>
      <c r="M2028" s="18" t="s">
        <v>2592</v>
      </c>
      <c r="N2028" s="16">
        <v>71.0</v>
      </c>
      <c r="O2028" s="8" t="s">
        <v>5968</v>
      </c>
      <c r="P2028" s="8" t="s">
        <v>186</v>
      </c>
      <c r="Q2028" s="14" t="s">
        <v>1679</v>
      </c>
      <c r="R2028" s="8" t="s">
        <v>2567</v>
      </c>
      <c r="S2028" s="14" t="s">
        <v>2576</v>
      </c>
    </row>
    <row r="2029">
      <c r="A2029" s="8" t="s">
        <v>1241</v>
      </c>
      <c r="B2029" s="8" t="s">
        <v>444</v>
      </c>
      <c r="C2029" s="8" t="s">
        <v>53</v>
      </c>
      <c r="D2029" s="18" t="s">
        <v>2574</v>
      </c>
      <c r="E2029" s="16">
        <v>75.0</v>
      </c>
      <c r="F2029" s="8" t="s">
        <v>787</v>
      </c>
      <c r="G2029" s="8" t="s">
        <v>786</v>
      </c>
      <c r="H2029" s="8" t="s">
        <v>59</v>
      </c>
      <c r="I2029" s="18" t="s">
        <v>2560</v>
      </c>
      <c r="J2029" s="16">
        <v>81.0</v>
      </c>
      <c r="K2029" s="8" t="s">
        <v>1552</v>
      </c>
      <c r="L2029" s="8" t="s">
        <v>1551</v>
      </c>
      <c r="M2029" s="18" t="s">
        <v>2552</v>
      </c>
      <c r="N2029" s="16">
        <v>64.0</v>
      </c>
      <c r="O2029" s="8" t="s">
        <v>5969</v>
      </c>
      <c r="P2029" s="8" t="s">
        <v>215</v>
      </c>
      <c r="Q2029" s="14" t="s">
        <v>1679</v>
      </c>
      <c r="R2029" s="8" t="s">
        <v>2585</v>
      </c>
      <c r="S2029" s="14" t="s">
        <v>2553</v>
      </c>
    </row>
    <row r="2030">
      <c r="A2030" s="8" t="s">
        <v>1080</v>
      </c>
      <c r="B2030" s="8" t="s">
        <v>1079</v>
      </c>
      <c r="C2030" s="8" t="s">
        <v>53</v>
      </c>
      <c r="D2030" s="18" t="s">
        <v>2620</v>
      </c>
      <c r="E2030" s="16">
        <v>80.0</v>
      </c>
      <c r="F2030" s="8" t="s">
        <v>787</v>
      </c>
      <c r="G2030" s="8" t="s">
        <v>1424</v>
      </c>
      <c r="H2030" s="8" t="s">
        <v>122</v>
      </c>
      <c r="I2030" s="18" t="s">
        <v>2584</v>
      </c>
      <c r="J2030" s="16">
        <v>69.0</v>
      </c>
      <c r="K2030" s="8" t="s">
        <v>5970</v>
      </c>
      <c r="L2030" s="8" t="s">
        <v>1752</v>
      </c>
      <c r="M2030" s="18" t="s">
        <v>2620</v>
      </c>
      <c r="N2030" s="16">
        <v>75.0</v>
      </c>
      <c r="O2030" s="8" t="s">
        <v>5971</v>
      </c>
      <c r="P2030" s="8" t="s">
        <v>70</v>
      </c>
      <c r="Q2030" s="14" t="s">
        <v>1679</v>
      </c>
      <c r="R2030" s="8" t="s">
        <v>2600</v>
      </c>
      <c r="S2030" s="14" t="s">
        <v>2611</v>
      </c>
    </row>
    <row r="2031">
      <c r="A2031" s="8" t="s">
        <v>3145</v>
      </c>
      <c r="B2031" s="8" t="s">
        <v>455</v>
      </c>
      <c r="C2031" s="8" t="s">
        <v>93</v>
      </c>
      <c r="D2031" s="18" t="s">
        <v>2575</v>
      </c>
      <c r="E2031" s="16">
        <v>72.0</v>
      </c>
      <c r="F2031" s="8" t="s">
        <v>787</v>
      </c>
      <c r="G2031" s="8" t="s">
        <v>1584</v>
      </c>
      <c r="H2031" s="8" t="s">
        <v>122</v>
      </c>
      <c r="I2031" s="18" t="s">
        <v>2595</v>
      </c>
      <c r="J2031" s="16">
        <v>78.0</v>
      </c>
      <c r="K2031" s="8" t="s">
        <v>450</v>
      </c>
      <c r="L2031" s="8" t="s">
        <v>78</v>
      </c>
      <c r="M2031" s="18" t="s">
        <v>2554</v>
      </c>
      <c r="N2031" s="16">
        <v>75.0</v>
      </c>
      <c r="O2031" s="8" t="s">
        <v>5972</v>
      </c>
      <c r="P2031" s="8" t="s">
        <v>132</v>
      </c>
      <c r="Q2031" s="14" t="s">
        <v>1070</v>
      </c>
      <c r="R2031" s="8" t="s">
        <v>2572</v>
      </c>
      <c r="S2031" s="14" t="s">
        <v>2609</v>
      </c>
    </row>
    <row r="2032">
      <c r="A2032" s="8" t="s">
        <v>3254</v>
      </c>
      <c r="B2032" s="8" t="s">
        <v>510</v>
      </c>
      <c r="C2032" s="8" t="s">
        <v>122</v>
      </c>
      <c r="D2032" s="18" t="s">
        <v>2552</v>
      </c>
      <c r="E2032" s="16">
        <v>83.0</v>
      </c>
      <c r="F2032" s="8" t="s">
        <v>1310</v>
      </c>
      <c r="G2032" s="8" t="s">
        <v>1454</v>
      </c>
      <c r="H2032" s="8" t="s">
        <v>65</v>
      </c>
      <c r="I2032" s="18" t="s">
        <v>2564</v>
      </c>
      <c r="J2032" s="16">
        <v>67.0</v>
      </c>
      <c r="K2032" s="18" t="s">
        <v>491</v>
      </c>
      <c r="L2032" s="8" t="s">
        <v>1676</v>
      </c>
      <c r="M2032" s="18" t="s">
        <v>2584</v>
      </c>
      <c r="N2032" s="16">
        <v>77.0</v>
      </c>
      <c r="O2032" s="8" t="s">
        <v>5973</v>
      </c>
      <c r="P2032" s="8" t="s">
        <v>141</v>
      </c>
      <c r="Q2032" s="14" t="s">
        <v>631</v>
      </c>
      <c r="R2032" s="8" t="s">
        <v>2587</v>
      </c>
      <c r="S2032" s="14" t="s">
        <v>2555</v>
      </c>
    </row>
    <row r="2033">
      <c r="A2033" s="8" t="s">
        <v>990</v>
      </c>
      <c r="B2033" s="8" t="s">
        <v>989</v>
      </c>
      <c r="C2033" s="8" t="s">
        <v>192</v>
      </c>
      <c r="D2033" s="18" t="s">
        <v>2598</v>
      </c>
      <c r="E2033" s="16">
        <v>62.0</v>
      </c>
      <c r="F2033" s="8" t="s">
        <v>297</v>
      </c>
      <c r="G2033" s="8" t="s">
        <v>296</v>
      </c>
      <c r="H2033" s="8" t="s">
        <v>93</v>
      </c>
      <c r="I2033" s="18" t="s">
        <v>2605</v>
      </c>
      <c r="J2033" s="16">
        <v>65.0</v>
      </c>
      <c r="K2033" s="18" t="s">
        <v>491</v>
      </c>
      <c r="L2033" s="8" t="s">
        <v>490</v>
      </c>
      <c r="M2033" s="18" t="s">
        <v>2615</v>
      </c>
      <c r="N2033" s="16">
        <v>78.0</v>
      </c>
      <c r="O2033" s="8" t="s">
        <v>5974</v>
      </c>
      <c r="P2033" s="8" t="s">
        <v>141</v>
      </c>
      <c r="Q2033" s="14" t="s">
        <v>1070</v>
      </c>
      <c r="R2033" s="8" t="s">
        <v>2566</v>
      </c>
      <c r="S2033" s="14" t="s">
        <v>2579</v>
      </c>
    </row>
    <row r="2034">
      <c r="A2034" s="8" t="s">
        <v>2087</v>
      </c>
      <c r="B2034" s="8" t="s">
        <v>3231</v>
      </c>
      <c r="C2034" s="8" t="s">
        <v>70</v>
      </c>
      <c r="D2034" s="18" t="s">
        <v>2585</v>
      </c>
      <c r="E2034" s="16">
        <v>73.0</v>
      </c>
      <c r="F2034" s="8" t="s">
        <v>869</v>
      </c>
      <c r="G2034" s="8" t="s">
        <v>868</v>
      </c>
      <c r="H2034" s="8" t="s">
        <v>59</v>
      </c>
      <c r="I2034" s="18" t="s">
        <v>2556</v>
      </c>
      <c r="J2034" s="16">
        <v>67.0</v>
      </c>
      <c r="K2034" s="18" t="s">
        <v>491</v>
      </c>
      <c r="L2034" s="8" t="s">
        <v>2892</v>
      </c>
      <c r="M2034" s="18" t="s">
        <v>2554</v>
      </c>
      <c r="N2034" s="16">
        <v>80.0</v>
      </c>
      <c r="O2034" s="8" t="s">
        <v>5975</v>
      </c>
      <c r="P2034" s="8" t="s">
        <v>70</v>
      </c>
      <c r="Q2034" s="14" t="s">
        <v>837</v>
      </c>
      <c r="R2034" s="8" t="s">
        <v>2567</v>
      </c>
      <c r="S2034" s="14" t="s">
        <v>2590</v>
      </c>
    </row>
    <row r="2035">
      <c r="A2035" s="8" t="s">
        <v>2087</v>
      </c>
      <c r="B2035" s="8" t="s">
        <v>537</v>
      </c>
      <c r="C2035" s="8" t="s">
        <v>16</v>
      </c>
      <c r="D2035" s="18" t="s">
        <v>2552</v>
      </c>
      <c r="E2035" s="16">
        <v>68.0</v>
      </c>
      <c r="F2035" s="8" t="s">
        <v>878</v>
      </c>
      <c r="G2035" s="8" t="s">
        <v>877</v>
      </c>
      <c r="H2035" s="8" t="s">
        <v>149</v>
      </c>
      <c r="I2035" s="18" t="s">
        <v>2615</v>
      </c>
      <c r="J2035" s="16">
        <v>68.0</v>
      </c>
      <c r="K2035" s="18" t="s">
        <v>491</v>
      </c>
      <c r="L2035" s="8" t="s">
        <v>825</v>
      </c>
      <c r="M2035" s="18" t="s">
        <v>2645</v>
      </c>
      <c r="N2035" s="16">
        <v>76.0</v>
      </c>
      <c r="O2035" s="8" t="s">
        <v>5976</v>
      </c>
      <c r="P2035" s="8" t="s">
        <v>93</v>
      </c>
      <c r="Q2035" s="14" t="s">
        <v>459</v>
      </c>
      <c r="R2035" s="8" t="s">
        <v>2575</v>
      </c>
      <c r="S2035" s="14" t="s">
        <v>2555</v>
      </c>
    </row>
    <row r="2036">
      <c r="A2036" s="8" t="s">
        <v>2087</v>
      </c>
      <c r="B2036" s="8" t="s">
        <v>96</v>
      </c>
      <c r="C2036" s="8" t="s">
        <v>93</v>
      </c>
      <c r="D2036" s="18" t="s">
        <v>2589</v>
      </c>
      <c r="E2036" s="16">
        <v>70.0</v>
      </c>
      <c r="F2036" s="8" t="s">
        <v>2161</v>
      </c>
      <c r="G2036" s="8" t="s">
        <v>2869</v>
      </c>
      <c r="H2036" s="8" t="s">
        <v>93</v>
      </c>
      <c r="I2036" s="18" t="s">
        <v>2564</v>
      </c>
      <c r="J2036" s="16">
        <v>74.0</v>
      </c>
      <c r="K2036" s="18" t="s">
        <v>491</v>
      </c>
      <c r="L2036" s="8" t="s">
        <v>2934</v>
      </c>
      <c r="M2036" s="18" t="s">
        <v>2581</v>
      </c>
      <c r="N2036" s="16">
        <v>73.0</v>
      </c>
      <c r="O2036" s="8" t="s">
        <v>5977</v>
      </c>
      <c r="P2036" s="8" t="s">
        <v>65</v>
      </c>
      <c r="Q2036" s="14" t="s">
        <v>2296</v>
      </c>
      <c r="R2036" s="8" t="s">
        <v>2610</v>
      </c>
      <c r="S2036" s="14" t="s">
        <v>2563</v>
      </c>
    </row>
    <row r="2037">
      <c r="A2037" s="8" t="s">
        <v>832</v>
      </c>
      <c r="B2037" s="8" t="s">
        <v>3328</v>
      </c>
      <c r="C2037" s="8" t="s">
        <v>75</v>
      </c>
      <c r="D2037" s="18" t="s">
        <v>2582</v>
      </c>
      <c r="E2037" s="16">
        <v>74.0</v>
      </c>
      <c r="F2037" s="8" t="s">
        <v>3372</v>
      </c>
      <c r="G2037" s="8" t="s">
        <v>1264</v>
      </c>
      <c r="H2037" s="8" t="s">
        <v>186</v>
      </c>
      <c r="I2037" s="18" t="s">
        <v>2562</v>
      </c>
      <c r="J2037" s="16">
        <v>75.0</v>
      </c>
      <c r="K2037" s="18" t="s">
        <v>491</v>
      </c>
      <c r="L2037" s="8" t="s">
        <v>284</v>
      </c>
      <c r="M2037" s="18" t="s">
        <v>2554</v>
      </c>
      <c r="N2037" s="16">
        <v>74.0</v>
      </c>
      <c r="O2037" s="8" t="s">
        <v>5978</v>
      </c>
      <c r="P2037" s="8" t="s">
        <v>122</v>
      </c>
      <c r="Q2037" s="14" t="s">
        <v>459</v>
      </c>
      <c r="R2037" s="8" t="s">
        <v>2587</v>
      </c>
      <c r="S2037" s="14" t="s">
        <v>2553</v>
      </c>
    </row>
    <row r="2038">
      <c r="A2038" s="8" t="s">
        <v>832</v>
      </c>
      <c r="B2038" s="8" t="s">
        <v>78</v>
      </c>
      <c r="C2038" s="8" t="s">
        <v>192</v>
      </c>
      <c r="D2038" s="18" t="s">
        <v>2610</v>
      </c>
      <c r="E2038" s="16">
        <v>75.0</v>
      </c>
      <c r="F2038" s="8" t="s">
        <v>1995</v>
      </c>
      <c r="G2038" s="8" t="s">
        <v>62</v>
      </c>
      <c r="H2038" s="8" t="s">
        <v>122</v>
      </c>
      <c r="I2038" s="18" t="s">
        <v>2585</v>
      </c>
      <c r="J2038" s="16">
        <v>79.0</v>
      </c>
      <c r="K2038" s="18" t="s">
        <v>491</v>
      </c>
      <c r="L2038" s="8" t="s">
        <v>389</v>
      </c>
      <c r="M2038" s="18" t="s">
        <v>2610</v>
      </c>
      <c r="N2038" s="16">
        <v>68.0</v>
      </c>
      <c r="O2038" s="8" t="s">
        <v>5979</v>
      </c>
      <c r="P2038" s="8" t="s">
        <v>75</v>
      </c>
      <c r="Q2038" s="14" t="s">
        <v>338</v>
      </c>
      <c r="R2038" s="8" t="s">
        <v>2564</v>
      </c>
      <c r="S2038" s="14" t="s">
        <v>2563</v>
      </c>
    </row>
    <row r="2039">
      <c r="A2039" s="8" t="s">
        <v>3847</v>
      </c>
      <c r="B2039" s="8" t="s">
        <v>3846</v>
      </c>
      <c r="C2039" s="8" t="s">
        <v>186</v>
      </c>
      <c r="D2039" s="18" t="s">
        <v>2585</v>
      </c>
      <c r="E2039" s="16">
        <v>61.0</v>
      </c>
      <c r="F2039" s="8" t="s">
        <v>746</v>
      </c>
      <c r="G2039" s="8" t="s">
        <v>395</v>
      </c>
      <c r="H2039" s="8" t="s">
        <v>141</v>
      </c>
      <c r="I2039" s="18" t="s">
        <v>2582</v>
      </c>
      <c r="J2039" s="16">
        <v>78.0</v>
      </c>
      <c r="K2039" s="18" t="s">
        <v>491</v>
      </c>
      <c r="L2039" s="8" t="s">
        <v>448</v>
      </c>
      <c r="M2039" s="18" t="s">
        <v>2577</v>
      </c>
      <c r="N2039" s="16">
        <v>80.0</v>
      </c>
      <c r="O2039" s="8" t="s">
        <v>5980</v>
      </c>
      <c r="P2039" s="8" t="s">
        <v>65</v>
      </c>
      <c r="Q2039" s="14" t="s">
        <v>1352</v>
      </c>
      <c r="R2039" s="8" t="s">
        <v>2552</v>
      </c>
      <c r="S2039" s="14" t="s">
        <v>2634</v>
      </c>
    </row>
    <row r="2040">
      <c r="A2040" s="8" t="s">
        <v>3355</v>
      </c>
      <c r="B2040" s="8" t="s">
        <v>3354</v>
      </c>
      <c r="C2040" s="8" t="s">
        <v>59</v>
      </c>
      <c r="D2040" s="18" t="s">
        <v>2600</v>
      </c>
      <c r="E2040" s="16">
        <v>77.0</v>
      </c>
      <c r="F2040" s="8" t="s">
        <v>746</v>
      </c>
      <c r="G2040" s="8" t="s">
        <v>1293</v>
      </c>
      <c r="H2040" s="8" t="s">
        <v>132</v>
      </c>
      <c r="I2040" s="18" t="s">
        <v>2572</v>
      </c>
      <c r="J2040" s="16">
        <v>62.0</v>
      </c>
      <c r="K2040" s="18" t="s">
        <v>491</v>
      </c>
      <c r="L2040" s="8" t="s">
        <v>874</v>
      </c>
      <c r="M2040" s="18" t="s">
        <v>2582</v>
      </c>
      <c r="N2040" s="16">
        <v>72.0</v>
      </c>
      <c r="O2040" s="8" t="s">
        <v>5981</v>
      </c>
      <c r="P2040" s="8" t="s">
        <v>24</v>
      </c>
      <c r="Q2040" s="14" t="s">
        <v>1070</v>
      </c>
      <c r="R2040" s="8" t="s">
        <v>2600</v>
      </c>
      <c r="S2040" s="14" t="s">
        <v>2557</v>
      </c>
    </row>
    <row r="2041">
      <c r="A2041" s="8" t="s">
        <v>709</v>
      </c>
      <c r="B2041" s="8" t="s">
        <v>89</v>
      </c>
      <c r="C2041" s="8" t="s">
        <v>215</v>
      </c>
      <c r="D2041" s="18" t="s">
        <v>2560</v>
      </c>
      <c r="E2041" s="16">
        <v>66.0</v>
      </c>
      <c r="F2041" s="8" t="s">
        <v>746</v>
      </c>
      <c r="G2041" s="8" t="s">
        <v>3391</v>
      </c>
      <c r="H2041" s="8" t="s">
        <v>186</v>
      </c>
      <c r="I2041" s="18" t="s">
        <v>2560</v>
      </c>
      <c r="J2041" s="16">
        <v>73.0</v>
      </c>
      <c r="K2041" s="18" t="s">
        <v>491</v>
      </c>
      <c r="L2041" s="8" t="s">
        <v>268</v>
      </c>
      <c r="M2041" s="18" t="s">
        <v>2567</v>
      </c>
      <c r="N2041" s="16">
        <v>76.0</v>
      </c>
      <c r="O2041" s="8" t="s">
        <v>5982</v>
      </c>
      <c r="P2041" s="8" t="s">
        <v>93</v>
      </c>
      <c r="Q2041" s="14" t="s">
        <v>2033</v>
      </c>
      <c r="R2041" s="8" t="s">
        <v>2605</v>
      </c>
      <c r="S2041" s="14" t="s">
        <v>2609</v>
      </c>
    </row>
    <row r="2042">
      <c r="A2042" s="8" t="s">
        <v>787</v>
      </c>
      <c r="B2042" s="8" t="s">
        <v>1424</v>
      </c>
      <c r="C2042" s="8" t="s">
        <v>122</v>
      </c>
      <c r="D2042" s="18" t="s">
        <v>2584</v>
      </c>
      <c r="E2042" s="16">
        <v>68.0</v>
      </c>
      <c r="F2042" s="8" t="s">
        <v>746</v>
      </c>
      <c r="G2042" s="8" t="s">
        <v>1156</v>
      </c>
      <c r="H2042" s="8" t="s">
        <v>75</v>
      </c>
      <c r="I2042" s="18" t="s">
        <v>2615</v>
      </c>
      <c r="J2042" s="16">
        <v>72.0</v>
      </c>
      <c r="K2042" s="18" t="s">
        <v>491</v>
      </c>
      <c r="L2042" s="8" t="s">
        <v>222</v>
      </c>
      <c r="M2042" s="18" t="s">
        <v>2589</v>
      </c>
      <c r="N2042" s="16">
        <v>71.0</v>
      </c>
      <c r="O2042" s="8" t="s">
        <v>5983</v>
      </c>
      <c r="P2042" s="8" t="s">
        <v>12</v>
      </c>
      <c r="Q2042" s="14" t="s">
        <v>83</v>
      </c>
      <c r="R2042" s="8" t="s">
        <v>2600</v>
      </c>
      <c r="S2042" s="14" t="s">
        <v>2607</v>
      </c>
    </row>
    <row r="2043">
      <c r="A2043" s="8" t="s">
        <v>787</v>
      </c>
      <c r="B2043" s="8" t="s">
        <v>1584</v>
      </c>
      <c r="C2043" s="8" t="s">
        <v>122</v>
      </c>
      <c r="D2043" s="18" t="s">
        <v>2595</v>
      </c>
      <c r="E2043" s="16">
        <v>77.0</v>
      </c>
      <c r="F2043" s="8" t="s">
        <v>746</v>
      </c>
      <c r="G2043" s="8" t="s">
        <v>1049</v>
      </c>
      <c r="H2043" s="8" t="s">
        <v>70</v>
      </c>
      <c r="I2043" s="18" t="s">
        <v>2183</v>
      </c>
      <c r="J2043" s="16">
        <v>82.0</v>
      </c>
      <c r="K2043" s="18" t="s">
        <v>491</v>
      </c>
      <c r="L2043" s="8" t="s">
        <v>2892</v>
      </c>
      <c r="M2043" s="18" t="s">
        <v>2554</v>
      </c>
      <c r="N2043" s="16">
        <v>86.0</v>
      </c>
      <c r="O2043" s="8" t="s">
        <v>5984</v>
      </c>
      <c r="P2043" s="8" t="s">
        <v>12</v>
      </c>
      <c r="Q2043" s="14" t="s">
        <v>108</v>
      </c>
      <c r="R2043" s="8" t="s">
        <v>2587</v>
      </c>
      <c r="S2043" s="14" t="s">
        <v>2590</v>
      </c>
    </row>
    <row r="2044">
      <c r="A2044" s="8" t="s">
        <v>787</v>
      </c>
      <c r="B2044" s="8" t="s">
        <v>786</v>
      </c>
      <c r="C2044" s="8" t="s">
        <v>215</v>
      </c>
      <c r="D2044" s="18" t="s">
        <v>2560</v>
      </c>
      <c r="E2044" s="16">
        <v>86.0</v>
      </c>
      <c r="F2044" s="8" t="s">
        <v>2739</v>
      </c>
      <c r="G2044" s="8" t="s">
        <v>2938</v>
      </c>
      <c r="H2044" s="8" t="s">
        <v>138</v>
      </c>
      <c r="I2044" s="18" t="s">
        <v>2582</v>
      </c>
      <c r="J2044" s="16">
        <v>70.0</v>
      </c>
      <c r="K2044" s="18" t="s">
        <v>540</v>
      </c>
      <c r="L2044" s="8" t="s">
        <v>1252</v>
      </c>
      <c r="M2044" s="18" t="s">
        <v>2183</v>
      </c>
      <c r="N2044" s="16">
        <v>74.0</v>
      </c>
      <c r="O2044" s="8" t="s">
        <v>5985</v>
      </c>
      <c r="P2044" s="8" t="s">
        <v>138</v>
      </c>
      <c r="Q2044" s="14" t="s">
        <v>1352</v>
      </c>
      <c r="R2044" s="8" t="s">
        <v>2552</v>
      </c>
      <c r="S2044" s="14" t="s">
        <v>2591</v>
      </c>
    </row>
    <row r="2045">
      <c r="A2045" s="8" t="s">
        <v>297</v>
      </c>
      <c r="B2045" s="8" t="s">
        <v>296</v>
      </c>
      <c r="C2045" s="8" t="s">
        <v>93</v>
      </c>
      <c r="D2045" s="18" t="s">
        <v>2605</v>
      </c>
      <c r="E2045" s="16">
        <v>69.0</v>
      </c>
      <c r="F2045" s="8" t="s">
        <v>2739</v>
      </c>
      <c r="G2045" s="8" t="s">
        <v>1407</v>
      </c>
      <c r="H2045" s="8" t="s">
        <v>65</v>
      </c>
      <c r="I2045" s="18" t="s">
        <v>2552</v>
      </c>
      <c r="J2045" s="16">
        <v>66.0</v>
      </c>
      <c r="K2045" s="18" t="s">
        <v>540</v>
      </c>
      <c r="L2045" s="8" t="s">
        <v>539</v>
      </c>
      <c r="M2045" s="18" t="s">
        <v>2567</v>
      </c>
      <c r="N2045" s="16">
        <v>84.0</v>
      </c>
      <c r="O2045" s="8" t="s">
        <v>5986</v>
      </c>
      <c r="P2045" s="8" t="s">
        <v>93</v>
      </c>
      <c r="Q2045" s="14" t="s">
        <v>631</v>
      </c>
      <c r="R2045" s="8" t="s">
        <v>2600</v>
      </c>
      <c r="S2045" s="14" t="s">
        <v>2636</v>
      </c>
    </row>
    <row r="2046">
      <c r="A2046" s="8" t="s">
        <v>869</v>
      </c>
      <c r="B2046" s="8" t="s">
        <v>868</v>
      </c>
      <c r="C2046" s="8" t="s">
        <v>59</v>
      </c>
      <c r="D2046" s="18" t="s">
        <v>2556</v>
      </c>
      <c r="E2046" s="16">
        <v>69.0</v>
      </c>
      <c r="F2046" s="8" t="s">
        <v>576</v>
      </c>
      <c r="G2046" s="8" t="s">
        <v>575</v>
      </c>
      <c r="H2046" s="8" t="s">
        <v>122</v>
      </c>
      <c r="I2046" s="18" t="s">
        <v>2574</v>
      </c>
      <c r="J2046" s="16">
        <v>75.0</v>
      </c>
      <c r="K2046" s="8" t="s">
        <v>1732</v>
      </c>
      <c r="L2046" s="8" t="s">
        <v>1731</v>
      </c>
      <c r="M2046" s="18" t="s">
        <v>2614</v>
      </c>
      <c r="N2046" s="16">
        <v>72.0</v>
      </c>
      <c r="O2046" s="8" t="s">
        <v>5987</v>
      </c>
      <c r="P2046" s="8" t="s">
        <v>138</v>
      </c>
      <c r="Q2046" s="14" t="s">
        <v>1070</v>
      </c>
      <c r="R2046" s="8" t="s">
        <v>2577</v>
      </c>
      <c r="S2046" s="14" t="s">
        <v>2625</v>
      </c>
    </row>
    <row r="2047">
      <c r="A2047" s="8" t="s">
        <v>3708</v>
      </c>
      <c r="B2047" s="8" t="s">
        <v>3707</v>
      </c>
      <c r="C2047" s="8" t="s">
        <v>192</v>
      </c>
      <c r="D2047" s="18" t="s">
        <v>2620</v>
      </c>
      <c r="E2047" s="16">
        <v>71.0</v>
      </c>
      <c r="F2047" s="8" t="s">
        <v>2726</v>
      </c>
      <c r="G2047" s="8" t="s">
        <v>357</v>
      </c>
      <c r="H2047" s="8" t="s">
        <v>122</v>
      </c>
      <c r="I2047" s="18" t="s">
        <v>2584</v>
      </c>
      <c r="J2047" s="16">
        <v>71.0</v>
      </c>
      <c r="K2047" s="8" t="s">
        <v>618</v>
      </c>
      <c r="L2047" s="8" t="s">
        <v>617</v>
      </c>
      <c r="M2047" s="18" t="s">
        <v>2556</v>
      </c>
      <c r="N2047" s="16">
        <v>78.0</v>
      </c>
      <c r="O2047" s="8" t="s">
        <v>5988</v>
      </c>
      <c r="P2047" s="8" t="s">
        <v>65</v>
      </c>
      <c r="Q2047" s="14" t="s">
        <v>1070</v>
      </c>
      <c r="R2047" s="8" t="s">
        <v>2566</v>
      </c>
      <c r="S2047" s="14" t="s">
        <v>2599</v>
      </c>
    </row>
    <row r="2048">
      <c r="A2048" s="8" t="s">
        <v>878</v>
      </c>
      <c r="B2048" s="8" t="s">
        <v>877</v>
      </c>
      <c r="C2048" s="8" t="s">
        <v>149</v>
      </c>
      <c r="D2048" s="18" t="s">
        <v>2615</v>
      </c>
      <c r="E2048" s="16">
        <v>67.0</v>
      </c>
      <c r="F2048" s="8" t="s">
        <v>454</v>
      </c>
      <c r="G2048" s="8" t="s">
        <v>453</v>
      </c>
      <c r="H2048" s="8" t="s">
        <v>141</v>
      </c>
      <c r="I2048" s="18" t="s">
        <v>2564</v>
      </c>
      <c r="J2048" s="16">
        <v>73.0</v>
      </c>
      <c r="K2048" s="8" t="s">
        <v>287</v>
      </c>
      <c r="L2048" s="8" t="s">
        <v>284</v>
      </c>
      <c r="M2048" s="18" t="s">
        <v>2587</v>
      </c>
      <c r="N2048" s="16">
        <v>69.0</v>
      </c>
      <c r="O2048" s="8" t="s">
        <v>5989</v>
      </c>
      <c r="P2048" s="8" t="s">
        <v>65</v>
      </c>
      <c r="Q2048" s="14" t="s">
        <v>1679</v>
      </c>
      <c r="R2048" s="8" t="s">
        <v>2567</v>
      </c>
      <c r="S2048" s="14" t="s">
        <v>2583</v>
      </c>
    </row>
    <row r="2049">
      <c r="A2049" s="8" t="s">
        <v>3813</v>
      </c>
      <c r="B2049" s="8" t="s">
        <v>3812</v>
      </c>
      <c r="C2049" s="8" t="s">
        <v>70</v>
      </c>
      <c r="D2049" s="18" t="s">
        <v>2582</v>
      </c>
      <c r="E2049" s="16">
        <v>69.0</v>
      </c>
      <c r="F2049" s="8" t="s">
        <v>1429</v>
      </c>
      <c r="G2049" s="8" t="s">
        <v>1147</v>
      </c>
      <c r="H2049" s="8" t="s">
        <v>65</v>
      </c>
      <c r="I2049" s="18" t="s">
        <v>2552</v>
      </c>
      <c r="J2049" s="16">
        <v>86.0</v>
      </c>
      <c r="K2049" s="8" t="s">
        <v>1970</v>
      </c>
      <c r="L2049" s="8" t="s">
        <v>1969</v>
      </c>
      <c r="M2049" s="18" t="s">
        <v>2621</v>
      </c>
      <c r="N2049" s="16">
        <v>75.0</v>
      </c>
      <c r="O2049" s="8" t="s">
        <v>5990</v>
      </c>
      <c r="P2049" s="8" t="s">
        <v>53</v>
      </c>
      <c r="Q2049" s="14" t="s">
        <v>1679</v>
      </c>
      <c r="R2049" s="8" t="s">
        <v>2554</v>
      </c>
      <c r="S2049" s="14" t="s">
        <v>2555</v>
      </c>
    </row>
    <row r="2050">
      <c r="A2050" s="8" t="s">
        <v>3372</v>
      </c>
      <c r="B2050" s="8" t="s">
        <v>1264</v>
      </c>
      <c r="C2050" s="8" t="s">
        <v>186</v>
      </c>
      <c r="D2050" s="18" t="s">
        <v>2567</v>
      </c>
      <c r="E2050" s="16">
        <v>72.0</v>
      </c>
      <c r="F2050" s="8" t="s">
        <v>3375</v>
      </c>
      <c r="G2050" s="8" t="s">
        <v>3374</v>
      </c>
      <c r="H2050" s="8" t="s">
        <v>46</v>
      </c>
      <c r="I2050" s="18" t="s">
        <v>2575</v>
      </c>
      <c r="J2050" s="16">
        <v>59.0</v>
      </c>
      <c r="K2050" s="8" t="s">
        <v>2187</v>
      </c>
      <c r="L2050" s="8" t="s">
        <v>2186</v>
      </c>
      <c r="M2050" s="18" t="s">
        <v>2598</v>
      </c>
      <c r="N2050" s="16">
        <v>77.0</v>
      </c>
      <c r="O2050" s="8" t="s">
        <v>5991</v>
      </c>
      <c r="P2050" s="8" t="s">
        <v>122</v>
      </c>
      <c r="Q2050" s="14" t="s">
        <v>135</v>
      </c>
      <c r="R2050" s="8" t="s">
        <v>2560</v>
      </c>
      <c r="S2050" s="14" t="s">
        <v>2608</v>
      </c>
    </row>
    <row r="2051">
      <c r="A2051" s="8" t="s">
        <v>2261</v>
      </c>
      <c r="B2051" s="8" t="s">
        <v>3688</v>
      </c>
      <c r="C2051" s="8" t="s">
        <v>261</v>
      </c>
      <c r="D2051" s="18" t="s">
        <v>2595</v>
      </c>
      <c r="E2051" s="16">
        <v>63.0</v>
      </c>
      <c r="F2051" s="8" t="s">
        <v>88</v>
      </c>
      <c r="G2051" s="8" t="s">
        <v>3388</v>
      </c>
      <c r="H2051" s="8" t="s">
        <v>122</v>
      </c>
      <c r="I2051" s="18" t="s">
        <v>2614</v>
      </c>
      <c r="J2051" s="16">
        <v>79.0</v>
      </c>
      <c r="K2051" s="8" t="s">
        <v>489</v>
      </c>
      <c r="L2051" s="8" t="s">
        <v>2718</v>
      </c>
      <c r="M2051" s="18" t="s">
        <v>2645</v>
      </c>
      <c r="N2051" s="16">
        <v>72.0</v>
      </c>
      <c r="O2051" s="8" t="s">
        <v>5992</v>
      </c>
      <c r="P2051" s="8" t="s">
        <v>138</v>
      </c>
      <c r="Q2051" s="14" t="s">
        <v>631</v>
      </c>
      <c r="R2051" s="8" t="s">
        <v>2598</v>
      </c>
      <c r="S2051" s="14" t="s">
        <v>2622</v>
      </c>
    </row>
    <row r="2052">
      <c r="A2052" s="8" t="s">
        <v>746</v>
      </c>
      <c r="B2052" s="8" t="s">
        <v>1156</v>
      </c>
      <c r="C2052" s="8" t="s">
        <v>132</v>
      </c>
      <c r="D2052" s="18" t="s">
        <v>2615</v>
      </c>
      <c r="E2052" s="16">
        <v>64.0</v>
      </c>
      <c r="F2052" s="8" t="s">
        <v>88</v>
      </c>
      <c r="G2052" s="8" t="s">
        <v>1905</v>
      </c>
      <c r="H2052" s="8" t="s">
        <v>16</v>
      </c>
      <c r="I2052" s="18" t="s">
        <v>2567</v>
      </c>
      <c r="J2052" s="16">
        <v>61.0</v>
      </c>
      <c r="K2052" s="8" t="s">
        <v>489</v>
      </c>
      <c r="L2052" s="8" t="s">
        <v>488</v>
      </c>
      <c r="M2052" s="18" t="s">
        <v>2556</v>
      </c>
      <c r="N2052" s="16">
        <v>76.0</v>
      </c>
      <c r="O2052" s="8" t="s">
        <v>5993</v>
      </c>
      <c r="P2052" s="8" t="s">
        <v>65</v>
      </c>
      <c r="Q2052" s="14" t="s">
        <v>1352</v>
      </c>
      <c r="R2052" s="8" t="s">
        <v>2562</v>
      </c>
      <c r="S2052" s="14" t="s">
        <v>2594</v>
      </c>
    </row>
    <row r="2053">
      <c r="A2053" s="8" t="s">
        <v>746</v>
      </c>
      <c r="B2053" s="8" t="s">
        <v>395</v>
      </c>
      <c r="C2053" s="8" t="s">
        <v>75</v>
      </c>
      <c r="D2053" s="18" t="s">
        <v>2582</v>
      </c>
      <c r="E2053" s="16">
        <v>72.0</v>
      </c>
      <c r="F2053" s="8" t="s">
        <v>88</v>
      </c>
      <c r="G2053" s="8" t="s">
        <v>636</v>
      </c>
      <c r="H2053" s="8" t="s">
        <v>24</v>
      </c>
      <c r="I2053" s="18" t="s">
        <v>2562</v>
      </c>
      <c r="J2053" s="16">
        <v>65.0</v>
      </c>
      <c r="K2053" s="8" t="s">
        <v>1803</v>
      </c>
      <c r="L2053" s="8" t="s">
        <v>2936</v>
      </c>
      <c r="M2053" s="18" t="s">
        <v>2603</v>
      </c>
      <c r="N2053" s="16">
        <v>70.0</v>
      </c>
      <c r="O2053" s="8" t="s">
        <v>5994</v>
      </c>
      <c r="P2053" s="8" t="s">
        <v>149</v>
      </c>
      <c r="Q2053" s="14" t="s">
        <v>1352</v>
      </c>
      <c r="R2053" s="8" t="s">
        <v>2575</v>
      </c>
      <c r="S2053" s="14" t="s">
        <v>2569</v>
      </c>
    </row>
    <row r="2054">
      <c r="A2054" s="8" t="s">
        <v>746</v>
      </c>
      <c r="B2054" s="8" t="s">
        <v>3391</v>
      </c>
      <c r="C2054" s="8" t="s">
        <v>53</v>
      </c>
      <c r="D2054" s="18" t="s">
        <v>2581</v>
      </c>
      <c r="E2054" s="16">
        <v>70.0</v>
      </c>
      <c r="F2054" s="8" t="s">
        <v>88</v>
      </c>
      <c r="G2054" s="8" t="s">
        <v>87</v>
      </c>
      <c r="H2054" s="8" t="s">
        <v>12</v>
      </c>
      <c r="I2054" s="18" t="s">
        <v>2600</v>
      </c>
      <c r="J2054" s="16">
        <v>76.0</v>
      </c>
      <c r="K2054" s="8" t="s">
        <v>1803</v>
      </c>
      <c r="L2054" s="8" t="s">
        <v>1802</v>
      </c>
      <c r="M2054" s="18" t="s">
        <v>2605</v>
      </c>
      <c r="N2054" s="16">
        <v>65.0</v>
      </c>
      <c r="O2054" s="8" t="s">
        <v>5995</v>
      </c>
      <c r="P2054" s="8" t="s">
        <v>93</v>
      </c>
      <c r="Q2054" s="14" t="s">
        <v>1070</v>
      </c>
      <c r="R2054" s="8" t="s">
        <v>2577</v>
      </c>
      <c r="S2054" s="14" t="s">
        <v>2571</v>
      </c>
    </row>
    <row r="2055">
      <c r="A2055" s="8" t="s">
        <v>746</v>
      </c>
      <c r="B2055" s="8" t="s">
        <v>1293</v>
      </c>
      <c r="C2055" s="8" t="s">
        <v>141</v>
      </c>
      <c r="D2055" s="18" t="s">
        <v>2572</v>
      </c>
      <c r="E2055" s="16">
        <v>58.0</v>
      </c>
      <c r="F2055" s="8" t="s">
        <v>88</v>
      </c>
      <c r="G2055" s="8" t="s">
        <v>1660</v>
      </c>
      <c r="H2055" s="8" t="s">
        <v>215</v>
      </c>
      <c r="I2055" s="18" t="s">
        <v>2552</v>
      </c>
      <c r="J2055" s="16">
        <v>64.0</v>
      </c>
      <c r="K2055" s="8" t="s">
        <v>1803</v>
      </c>
      <c r="L2055" s="8" t="s">
        <v>2008</v>
      </c>
      <c r="M2055" s="18" t="s">
        <v>2587</v>
      </c>
      <c r="N2055" s="16">
        <v>66.0</v>
      </c>
      <c r="O2055" s="8" t="s">
        <v>5996</v>
      </c>
      <c r="P2055" s="8" t="s">
        <v>80</v>
      </c>
      <c r="Q2055" s="14" t="s">
        <v>2033</v>
      </c>
      <c r="R2055" s="8" t="s">
        <v>2593</v>
      </c>
      <c r="S2055" s="14" t="s">
        <v>2570</v>
      </c>
    </row>
    <row r="2056">
      <c r="A2056" s="8" t="s">
        <v>746</v>
      </c>
      <c r="B2056" s="8" t="s">
        <v>1049</v>
      </c>
      <c r="C2056" s="8" t="s">
        <v>70</v>
      </c>
      <c r="D2056" s="18" t="s">
        <v>2183</v>
      </c>
      <c r="E2056" s="16">
        <v>75.0</v>
      </c>
      <c r="F2056" s="8" t="s">
        <v>694</v>
      </c>
      <c r="G2056" s="8" t="s">
        <v>1319</v>
      </c>
      <c r="H2056" s="8" t="s">
        <v>215</v>
      </c>
      <c r="I2056" s="18" t="s">
        <v>2577</v>
      </c>
      <c r="J2056" s="16">
        <v>83.0</v>
      </c>
      <c r="K2056" s="8" t="s">
        <v>1803</v>
      </c>
      <c r="L2056" s="8" t="s">
        <v>42</v>
      </c>
      <c r="M2056" s="18" t="s">
        <v>2584</v>
      </c>
      <c r="N2056" s="16">
        <v>66.0</v>
      </c>
      <c r="O2056" s="8" t="s">
        <v>5997</v>
      </c>
      <c r="P2056" s="8" t="s">
        <v>149</v>
      </c>
      <c r="Q2056" s="14" t="s">
        <v>1352</v>
      </c>
      <c r="R2056" s="8" t="s">
        <v>2552</v>
      </c>
      <c r="S2056" s="14" t="s">
        <v>2606</v>
      </c>
    </row>
    <row r="2057">
      <c r="A2057" s="8" t="s">
        <v>2739</v>
      </c>
      <c r="B2057" s="8" t="s">
        <v>2938</v>
      </c>
      <c r="C2057" s="8" t="s">
        <v>138</v>
      </c>
      <c r="D2057" s="18" t="s">
        <v>2556</v>
      </c>
      <c r="E2057" s="16">
        <v>63.0</v>
      </c>
      <c r="F2057" s="8" t="s">
        <v>694</v>
      </c>
      <c r="G2057" s="8" t="s">
        <v>693</v>
      </c>
      <c r="H2057" s="8" t="s">
        <v>93</v>
      </c>
      <c r="I2057" s="18" t="s">
        <v>2600</v>
      </c>
      <c r="J2057" s="16">
        <v>83.0</v>
      </c>
      <c r="K2057" s="8" t="s">
        <v>1503</v>
      </c>
      <c r="L2057" s="8" t="s">
        <v>1502</v>
      </c>
      <c r="M2057" s="18" t="s">
        <v>2183</v>
      </c>
      <c r="N2057" s="16">
        <v>67.0</v>
      </c>
      <c r="O2057" s="8" t="s">
        <v>5998</v>
      </c>
      <c r="P2057" s="8" t="s">
        <v>192</v>
      </c>
      <c r="Q2057" s="14" t="s">
        <v>1679</v>
      </c>
      <c r="R2057" s="8" t="s">
        <v>2620</v>
      </c>
      <c r="S2057" s="14" t="s">
        <v>2591</v>
      </c>
    </row>
    <row r="2058">
      <c r="A2058" s="8" t="s">
        <v>548</v>
      </c>
      <c r="B2058" s="8" t="s">
        <v>547</v>
      </c>
      <c r="C2058" s="8" t="s">
        <v>93</v>
      </c>
      <c r="D2058" s="18" t="s">
        <v>2603</v>
      </c>
      <c r="E2058" s="16">
        <v>66.0</v>
      </c>
      <c r="F2058" s="8" t="s">
        <v>2659</v>
      </c>
      <c r="G2058" s="8" t="s">
        <v>212</v>
      </c>
      <c r="H2058" s="8" t="s">
        <v>53</v>
      </c>
      <c r="I2058" s="18" t="s">
        <v>2595</v>
      </c>
      <c r="J2058" s="16">
        <v>72.0</v>
      </c>
      <c r="K2058" s="8" t="s">
        <v>1973</v>
      </c>
      <c r="L2058" s="8" t="s">
        <v>1972</v>
      </c>
      <c r="M2058" s="18" t="s">
        <v>2593</v>
      </c>
      <c r="N2058" s="16">
        <v>68.0</v>
      </c>
      <c r="O2058" s="8" t="s">
        <v>5999</v>
      </c>
      <c r="P2058" s="8" t="s">
        <v>59</v>
      </c>
      <c r="Q2058" s="14" t="s">
        <v>2033</v>
      </c>
      <c r="R2058" s="8" t="s">
        <v>2577</v>
      </c>
      <c r="S2058" s="14" t="s">
        <v>2563</v>
      </c>
    </row>
    <row r="2059">
      <c r="A2059" s="8" t="s">
        <v>2918</v>
      </c>
      <c r="B2059" s="8" t="s">
        <v>3738</v>
      </c>
      <c r="C2059" s="8" t="s">
        <v>138</v>
      </c>
      <c r="D2059" s="18" t="s">
        <v>2566</v>
      </c>
      <c r="E2059" s="16">
        <v>65.0</v>
      </c>
      <c r="F2059" s="8" t="s">
        <v>1035</v>
      </c>
      <c r="G2059" s="8" t="s">
        <v>240</v>
      </c>
      <c r="H2059" s="8" t="s">
        <v>215</v>
      </c>
      <c r="I2059" s="18" t="s">
        <v>2592</v>
      </c>
      <c r="J2059" s="16">
        <v>60.0</v>
      </c>
      <c r="K2059" s="8" t="s">
        <v>1538</v>
      </c>
      <c r="L2059" s="8" t="s">
        <v>1537</v>
      </c>
      <c r="M2059" s="18" t="s">
        <v>2605</v>
      </c>
      <c r="N2059" s="16">
        <v>64.0</v>
      </c>
      <c r="O2059" s="8" t="s">
        <v>6000</v>
      </c>
      <c r="P2059" s="8" t="s">
        <v>122</v>
      </c>
      <c r="Q2059" s="14" t="s">
        <v>338</v>
      </c>
      <c r="R2059" s="8" t="s">
        <v>2595</v>
      </c>
      <c r="S2059" s="14" t="s">
        <v>2557</v>
      </c>
    </row>
    <row r="2060">
      <c r="A2060" s="8" t="s">
        <v>576</v>
      </c>
      <c r="B2060" s="8" t="s">
        <v>575</v>
      </c>
      <c r="C2060" s="8" t="s">
        <v>122</v>
      </c>
      <c r="D2060" s="18" t="s">
        <v>2574</v>
      </c>
      <c r="E2060" s="16">
        <v>79.0</v>
      </c>
      <c r="F2060" s="8" t="s">
        <v>1035</v>
      </c>
      <c r="G2060" s="8" t="s">
        <v>796</v>
      </c>
      <c r="H2060" s="8" t="s">
        <v>65</v>
      </c>
      <c r="I2060" s="18" t="s">
        <v>2566</v>
      </c>
      <c r="J2060" s="16">
        <v>80.0</v>
      </c>
      <c r="K2060" s="8" t="s">
        <v>1370</v>
      </c>
      <c r="L2060" s="8" t="s">
        <v>1369</v>
      </c>
      <c r="M2060" s="18" t="s">
        <v>2567</v>
      </c>
      <c r="N2060" s="16">
        <v>71.0</v>
      </c>
      <c r="O2060" s="18" t="s">
        <v>6001</v>
      </c>
      <c r="P2060" s="8" t="s">
        <v>93</v>
      </c>
      <c r="Q2060" s="14" t="s">
        <v>459</v>
      </c>
      <c r="R2060" s="8" t="s">
        <v>2615</v>
      </c>
      <c r="S2060" s="14" t="s">
        <v>2553</v>
      </c>
    </row>
    <row r="2061">
      <c r="A2061" s="8" t="s">
        <v>2726</v>
      </c>
      <c r="B2061" s="8" t="s">
        <v>357</v>
      </c>
      <c r="C2061" s="8" t="s">
        <v>122</v>
      </c>
      <c r="D2061" s="18" t="s">
        <v>2554</v>
      </c>
      <c r="E2061" s="16">
        <v>68.0</v>
      </c>
      <c r="F2061" s="8" t="s">
        <v>1035</v>
      </c>
      <c r="G2061" s="8" t="s">
        <v>1264</v>
      </c>
      <c r="H2061" s="8" t="s">
        <v>93</v>
      </c>
      <c r="I2061" s="18" t="s">
        <v>2595</v>
      </c>
      <c r="J2061" s="16">
        <v>76.0</v>
      </c>
      <c r="K2061" s="8" t="s">
        <v>1741</v>
      </c>
      <c r="L2061" s="8" t="s">
        <v>1740</v>
      </c>
      <c r="M2061" s="18" t="s">
        <v>2605</v>
      </c>
      <c r="N2061" s="16">
        <v>79.0</v>
      </c>
      <c r="O2061" s="18" t="s">
        <v>6002</v>
      </c>
      <c r="P2061" s="8" t="s">
        <v>132</v>
      </c>
      <c r="Q2061" s="14" t="s">
        <v>837</v>
      </c>
      <c r="R2061" s="8" t="s">
        <v>2605</v>
      </c>
      <c r="S2061" s="14" t="s">
        <v>2594</v>
      </c>
    </row>
    <row r="2062">
      <c r="A2062" s="8" t="s">
        <v>2726</v>
      </c>
      <c r="B2062" s="8" t="s">
        <v>2929</v>
      </c>
      <c r="C2062" s="8" t="s">
        <v>192</v>
      </c>
      <c r="D2062" s="18" t="s">
        <v>2567</v>
      </c>
      <c r="E2062" s="16">
        <v>60.0</v>
      </c>
      <c r="F2062" s="8" t="s">
        <v>167</v>
      </c>
      <c r="G2062" s="8" t="s">
        <v>1884</v>
      </c>
      <c r="H2062" s="8" t="s">
        <v>59</v>
      </c>
      <c r="I2062" s="18" t="s">
        <v>2554</v>
      </c>
      <c r="J2062" s="16">
        <v>62.0</v>
      </c>
      <c r="K2062" s="8" t="s">
        <v>2159</v>
      </c>
      <c r="L2062" s="8" t="s">
        <v>389</v>
      </c>
      <c r="M2062" s="18" t="s">
        <v>2587</v>
      </c>
      <c r="N2062" s="16">
        <v>70.0</v>
      </c>
      <c r="O2062" s="18" t="s">
        <v>6003</v>
      </c>
      <c r="P2062" s="8" t="s">
        <v>24</v>
      </c>
      <c r="Q2062" s="14" t="s">
        <v>2296</v>
      </c>
      <c r="R2062" s="8" t="s">
        <v>2554</v>
      </c>
      <c r="S2062" s="14" t="s">
        <v>2590</v>
      </c>
    </row>
    <row r="2063">
      <c r="A2063" s="8" t="s">
        <v>454</v>
      </c>
      <c r="B2063" s="8" t="s">
        <v>453</v>
      </c>
      <c r="C2063" s="8" t="s">
        <v>141</v>
      </c>
      <c r="D2063" s="18" t="s">
        <v>2564</v>
      </c>
      <c r="E2063" s="16">
        <v>79.0</v>
      </c>
      <c r="F2063" s="8" t="s">
        <v>167</v>
      </c>
      <c r="G2063" s="8" t="s">
        <v>166</v>
      </c>
      <c r="H2063" s="8" t="s">
        <v>122</v>
      </c>
      <c r="I2063" s="18" t="s">
        <v>2560</v>
      </c>
      <c r="J2063" s="16">
        <v>75.0</v>
      </c>
      <c r="K2063" s="8" t="s">
        <v>2198</v>
      </c>
      <c r="L2063" s="8" t="s">
        <v>1264</v>
      </c>
      <c r="M2063" s="18" t="s">
        <v>2585</v>
      </c>
      <c r="N2063" s="16">
        <v>71.0</v>
      </c>
      <c r="O2063" s="18" t="s">
        <v>6004</v>
      </c>
      <c r="P2063" s="8" t="s">
        <v>70</v>
      </c>
      <c r="Q2063" s="14" t="s">
        <v>1679</v>
      </c>
      <c r="R2063" s="18" t="s">
        <v>2589</v>
      </c>
      <c r="S2063" s="14" t="s">
        <v>2573</v>
      </c>
    </row>
    <row r="2064">
      <c r="A2064" s="8" t="s">
        <v>1429</v>
      </c>
      <c r="B2064" s="8" t="s">
        <v>1147</v>
      </c>
      <c r="C2064" s="8" t="s">
        <v>65</v>
      </c>
      <c r="D2064" s="18" t="s">
        <v>2552</v>
      </c>
      <c r="E2064" s="16">
        <v>79.0</v>
      </c>
      <c r="F2064" s="8" t="s">
        <v>759</v>
      </c>
      <c r="G2064" s="8" t="s">
        <v>389</v>
      </c>
      <c r="H2064" s="8" t="s">
        <v>186</v>
      </c>
      <c r="I2064" s="18" t="s">
        <v>2577</v>
      </c>
      <c r="J2064" s="16">
        <v>69.0</v>
      </c>
      <c r="K2064" s="8" t="s">
        <v>516</v>
      </c>
      <c r="L2064" s="8" t="s">
        <v>515</v>
      </c>
      <c r="M2064" s="18" t="s">
        <v>2584</v>
      </c>
      <c r="N2064" s="16">
        <v>82.0</v>
      </c>
      <c r="O2064" s="18" t="s">
        <v>6005</v>
      </c>
      <c r="P2064" s="8" t="s">
        <v>80</v>
      </c>
      <c r="Q2064" s="14" t="s">
        <v>631</v>
      </c>
      <c r="R2064" s="8" t="s">
        <v>2581</v>
      </c>
      <c r="S2064" s="14" t="s">
        <v>2602</v>
      </c>
    </row>
    <row r="2065">
      <c r="A2065" s="8" t="s">
        <v>3866</v>
      </c>
      <c r="B2065" s="8" t="s">
        <v>441</v>
      </c>
      <c r="C2065" s="8" t="s">
        <v>70</v>
      </c>
      <c r="D2065" s="18" t="s">
        <v>2589</v>
      </c>
      <c r="E2065" s="16">
        <v>73.0</v>
      </c>
      <c r="F2065" s="8" t="s">
        <v>759</v>
      </c>
      <c r="G2065" s="8" t="s">
        <v>115</v>
      </c>
      <c r="H2065" s="8" t="s">
        <v>12</v>
      </c>
      <c r="I2065" s="18" t="s">
        <v>2587</v>
      </c>
      <c r="J2065" s="16">
        <v>76.0</v>
      </c>
      <c r="K2065" s="8" t="s">
        <v>1713</v>
      </c>
      <c r="L2065" s="8" t="s">
        <v>1712</v>
      </c>
      <c r="M2065" s="18" t="s">
        <v>2552</v>
      </c>
      <c r="N2065" s="16">
        <v>66.0</v>
      </c>
      <c r="O2065" s="18" t="s">
        <v>6006</v>
      </c>
      <c r="P2065" s="8" t="s">
        <v>53</v>
      </c>
      <c r="Q2065" s="14" t="s">
        <v>1679</v>
      </c>
      <c r="R2065" s="8" t="s">
        <v>2577</v>
      </c>
      <c r="S2065" s="14" t="s">
        <v>2588</v>
      </c>
    </row>
    <row r="2066">
      <c r="A2066" s="8" t="s">
        <v>3375</v>
      </c>
      <c r="B2066" s="8" t="s">
        <v>3374</v>
      </c>
      <c r="C2066" s="8" t="s">
        <v>46</v>
      </c>
      <c r="D2066" s="18" t="s">
        <v>2575</v>
      </c>
      <c r="E2066" s="16">
        <v>59.0</v>
      </c>
      <c r="F2066" s="8" t="s">
        <v>759</v>
      </c>
      <c r="G2066" s="8" t="s">
        <v>77</v>
      </c>
      <c r="H2066" s="8" t="s">
        <v>80</v>
      </c>
      <c r="I2066" s="18" t="s">
        <v>2183</v>
      </c>
      <c r="J2066" s="16">
        <v>70.0</v>
      </c>
      <c r="K2066" s="8" t="s">
        <v>2970</v>
      </c>
      <c r="L2066" s="8" t="s">
        <v>2969</v>
      </c>
      <c r="M2066" s="18" t="s">
        <v>2593</v>
      </c>
      <c r="N2066" s="16">
        <v>65.0</v>
      </c>
      <c r="O2066" s="18" t="s">
        <v>6007</v>
      </c>
      <c r="P2066" s="8" t="s">
        <v>70</v>
      </c>
      <c r="Q2066" s="14" t="s">
        <v>1352</v>
      </c>
      <c r="R2066" s="8" t="s">
        <v>2587</v>
      </c>
      <c r="S2066" s="14" t="s">
        <v>2590</v>
      </c>
    </row>
    <row r="2067">
      <c r="A2067" s="8" t="s">
        <v>88</v>
      </c>
      <c r="B2067" s="8" t="s">
        <v>636</v>
      </c>
      <c r="C2067" s="8" t="s">
        <v>24</v>
      </c>
      <c r="D2067" s="18" t="s">
        <v>2562</v>
      </c>
      <c r="E2067" s="16">
        <v>63.0</v>
      </c>
      <c r="F2067" s="8" t="s">
        <v>759</v>
      </c>
      <c r="G2067" s="8" t="s">
        <v>758</v>
      </c>
      <c r="H2067" s="8" t="s">
        <v>138</v>
      </c>
      <c r="I2067" s="18" t="s">
        <v>2564</v>
      </c>
      <c r="J2067" s="16">
        <v>68.0</v>
      </c>
      <c r="K2067" s="8" t="s">
        <v>2673</v>
      </c>
      <c r="L2067" s="8" t="s">
        <v>2310</v>
      </c>
      <c r="M2067" s="18" t="s">
        <v>2582</v>
      </c>
      <c r="N2067" s="16">
        <v>62.0</v>
      </c>
      <c r="O2067" s="18" t="s">
        <v>6008</v>
      </c>
      <c r="P2067" s="8" t="s">
        <v>65</v>
      </c>
      <c r="Q2067" s="14" t="s">
        <v>459</v>
      </c>
      <c r="R2067" s="8" t="s">
        <v>2567</v>
      </c>
      <c r="S2067" s="14" t="s">
        <v>2616</v>
      </c>
    </row>
    <row r="2068">
      <c r="A2068" s="8" t="s">
        <v>88</v>
      </c>
      <c r="B2068" s="8" t="s">
        <v>87</v>
      </c>
      <c r="C2068" s="8" t="s">
        <v>12</v>
      </c>
      <c r="D2068" s="18" t="s">
        <v>2600</v>
      </c>
      <c r="E2068" s="16">
        <v>85.0</v>
      </c>
      <c r="F2068" s="8" t="s">
        <v>759</v>
      </c>
      <c r="G2068" s="8" t="s">
        <v>220</v>
      </c>
      <c r="H2068" s="8" t="s">
        <v>93</v>
      </c>
      <c r="I2068" s="18" t="s">
        <v>2183</v>
      </c>
      <c r="J2068" s="16">
        <v>74.0</v>
      </c>
      <c r="K2068" s="8" t="s">
        <v>2882</v>
      </c>
      <c r="L2068" s="8" t="s">
        <v>956</v>
      </c>
      <c r="M2068" s="18" t="s">
        <v>2552</v>
      </c>
      <c r="N2068" s="16">
        <v>70.0</v>
      </c>
      <c r="O2068" s="18" t="s">
        <v>6009</v>
      </c>
      <c r="P2068" s="8" t="s">
        <v>122</v>
      </c>
      <c r="Q2068" s="14" t="s">
        <v>1070</v>
      </c>
      <c r="R2068" s="8" t="s">
        <v>2572</v>
      </c>
      <c r="S2068" s="14" t="s">
        <v>2583</v>
      </c>
    </row>
    <row r="2069">
      <c r="A2069" s="8" t="s">
        <v>88</v>
      </c>
      <c r="B2069" s="8" t="s">
        <v>537</v>
      </c>
      <c r="C2069" s="8" t="s">
        <v>65</v>
      </c>
      <c r="D2069" s="18" t="s">
        <v>2574</v>
      </c>
      <c r="E2069" s="16">
        <v>62.0</v>
      </c>
      <c r="F2069" s="8" t="s">
        <v>759</v>
      </c>
      <c r="G2069" s="8" t="s">
        <v>1264</v>
      </c>
      <c r="H2069" s="8" t="s">
        <v>149</v>
      </c>
      <c r="I2069" s="18" t="s">
        <v>2621</v>
      </c>
      <c r="J2069" s="16">
        <v>63.0</v>
      </c>
      <c r="K2069" s="8" t="s">
        <v>2063</v>
      </c>
      <c r="L2069" s="8" t="s">
        <v>354</v>
      </c>
      <c r="M2069" s="18" t="s">
        <v>2584</v>
      </c>
      <c r="N2069" s="16">
        <v>76.0</v>
      </c>
      <c r="O2069" s="8" t="s">
        <v>6010</v>
      </c>
      <c r="P2069" s="8" t="s">
        <v>215</v>
      </c>
      <c r="Q2069" s="14" t="s">
        <v>1679</v>
      </c>
      <c r="R2069" s="8" t="s">
        <v>2614</v>
      </c>
      <c r="S2069" s="14" t="s">
        <v>2601</v>
      </c>
    </row>
    <row r="2070">
      <c r="A2070" s="8" t="s">
        <v>88</v>
      </c>
      <c r="B2070" s="8" t="s">
        <v>1905</v>
      </c>
      <c r="C2070" s="8" t="s">
        <v>16</v>
      </c>
      <c r="D2070" s="18" t="s">
        <v>2567</v>
      </c>
      <c r="E2070" s="16">
        <v>62.0</v>
      </c>
      <c r="F2070" s="8" t="s">
        <v>3102</v>
      </c>
      <c r="G2070" s="8" t="s">
        <v>5967</v>
      </c>
      <c r="H2070" s="8" t="s">
        <v>122</v>
      </c>
      <c r="I2070" s="18" t="s">
        <v>2592</v>
      </c>
      <c r="J2070" s="16">
        <v>67.0</v>
      </c>
      <c r="K2070" s="8" t="s">
        <v>1114</v>
      </c>
      <c r="L2070" s="8" t="s">
        <v>868</v>
      </c>
      <c r="M2070" s="18" t="s">
        <v>2581</v>
      </c>
      <c r="N2070" s="16">
        <v>62.0</v>
      </c>
      <c r="O2070" s="8" t="s">
        <v>6011</v>
      </c>
      <c r="P2070" s="8" t="s">
        <v>186</v>
      </c>
      <c r="Q2070" s="14" t="s">
        <v>2033</v>
      </c>
      <c r="R2070" s="8" t="s">
        <v>2566</v>
      </c>
      <c r="S2070" s="14" t="s">
        <v>2555</v>
      </c>
    </row>
    <row r="2071">
      <c r="A2071" s="8" t="s">
        <v>88</v>
      </c>
      <c r="B2071" s="8" t="s">
        <v>3388</v>
      </c>
      <c r="C2071" s="8" t="s">
        <v>138</v>
      </c>
      <c r="D2071" s="18" t="s">
        <v>2582</v>
      </c>
      <c r="E2071" s="16">
        <v>75.0</v>
      </c>
      <c r="F2071" s="8" t="s">
        <v>1552</v>
      </c>
      <c r="G2071" s="8" t="s">
        <v>389</v>
      </c>
      <c r="H2071" s="8" t="s">
        <v>70</v>
      </c>
      <c r="I2071" s="18" t="s">
        <v>2581</v>
      </c>
      <c r="J2071" s="16">
        <v>67.0</v>
      </c>
      <c r="K2071" s="8" t="s">
        <v>465</v>
      </c>
      <c r="L2071" s="8" t="s">
        <v>3142</v>
      </c>
      <c r="M2071" s="18" t="s">
        <v>2554</v>
      </c>
      <c r="N2071" s="16">
        <v>77.0</v>
      </c>
      <c r="O2071" s="8" t="s">
        <v>6012</v>
      </c>
      <c r="P2071" s="8" t="s">
        <v>53</v>
      </c>
      <c r="Q2071" s="14" t="s">
        <v>459</v>
      </c>
      <c r="R2071" s="18" t="s">
        <v>2556</v>
      </c>
      <c r="S2071" s="14" t="s">
        <v>2571</v>
      </c>
    </row>
    <row r="2072">
      <c r="A2072" s="8" t="s">
        <v>88</v>
      </c>
      <c r="B2072" s="8" t="s">
        <v>1660</v>
      </c>
      <c r="C2072" s="8" t="s">
        <v>215</v>
      </c>
      <c r="D2072" s="18" t="s">
        <v>2552</v>
      </c>
      <c r="E2072" s="16">
        <v>63.0</v>
      </c>
      <c r="F2072" s="8" t="s">
        <v>5970</v>
      </c>
      <c r="G2072" s="8" t="s">
        <v>1752</v>
      </c>
      <c r="H2072" s="8" t="s">
        <v>192</v>
      </c>
      <c r="I2072" s="18" t="s">
        <v>2582</v>
      </c>
      <c r="J2072" s="16">
        <v>80.0</v>
      </c>
      <c r="K2072" s="8" t="s">
        <v>465</v>
      </c>
      <c r="L2072" s="8" t="s">
        <v>464</v>
      </c>
      <c r="M2072" s="18" t="s">
        <v>2614</v>
      </c>
      <c r="N2072" s="16">
        <v>72.0</v>
      </c>
      <c r="O2072" s="8" t="s">
        <v>6013</v>
      </c>
      <c r="P2072" s="8" t="s">
        <v>70</v>
      </c>
      <c r="Q2072" s="14" t="s">
        <v>237</v>
      </c>
      <c r="R2072" s="8" t="s">
        <v>2562</v>
      </c>
      <c r="S2072" s="14" t="s">
        <v>2591</v>
      </c>
    </row>
    <row r="2073">
      <c r="A2073" s="8" t="s">
        <v>694</v>
      </c>
      <c r="B2073" s="8" t="s">
        <v>693</v>
      </c>
      <c r="C2073" s="8" t="s">
        <v>93</v>
      </c>
      <c r="D2073" s="18" t="s">
        <v>2587</v>
      </c>
      <c r="E2073" s="16">
        <v>85.0</v>
      </c>
      <c r="F2073" s="8" t="s">
        <v>450</v>
      </c>
      <c r="G2073" s="8" t="s">
        <v>78</v>
      </c>
      <c r="H2073" s="8" t="s">
        <v>122</v>
      </c>
      <c r="I2073" s="18" t="s">
        <v>2621</v>
      </c>
      <c r="J2073" s="16">
        <v>72.0</v>
      </c>
      <c r="K2073" s="8" t="s">
        <v>465</v>
      </c>
      <c r="L2073" s="8" t="s">
        <v>1675</v>
      </c>
      <c r="M2073" s="18" t="s">
        <v>2575</v>
      </c>
      <c r="N2073" s="16">
        <v>80.0</v>
      </c>
      <c r="O2073" s="8" t="s">
        <v>6014</v>
      </c>
      <c r="P2073" s="8" t="s">
        <v>65</v>
      </c>
      <c r="Q2073" s="14" t="s">
        <v>1679</v>
      </c>
      <c r="R2073" s="8" t="s">
        <v>2621</v>
      </c>
      <c r="S2073" s="14" t="s">
        <v>2601</v>
      </c>
    </row>
    <row r="2074">
      <c r="A2074" s="8" t="s">
        <v>694</v>
      </c>
      <c r="B2074" s="8" t="s">
        <v>1319</v>
      </c>
      <c r="C2074" s="8" t="s">
        <v>215</v>
      </c>
      <c r="D2074" s="18" t="s">
        <v>2577</v>
      </c>
      <c r="E2074" s="16">
        <v>78.0</v>
      </c>
      <c r="F2074" s="18" t="s">
        <v>491</v>
      </c>
      <c r="G2074" s="8" t="s">
        <v>490</v>
      </c>
      <c r="H2074" s="8" t="s">
        <v>93</v>
      </c>
      <c r="I2074" s="18" t="s">
        <v>2556</v>
      </c>
      <c r="J2074" s="16">
        <v>74.0</v>
      </c>
      <c r="K2074" s="8" t="s">
        <v>441</v>
      </c>
      <c r="L2074" s="8" t="s">
        <v>743</v>
      </c>
      <c r="M2074" s="18" t="s">
        <v>2621</v>
      </c>
      <c r="N2074" s="16">
        <v>82.0</v>
      </c>
      <c r="O2074" s="8" t="s">
        <v>6015</v>
      </c>
      <c r="P2074" s="8" t="s">
        <v>215</v>
      </c>
      <c r="Q2074" s="14" t="s">
        <v>2033</v>
      </c>
      <c r="R2074" s="8" t="s">
        <v>2598</v>
      </c>
      <c r="S2074" s="14" t="s">
        <v>2586</v>
      </c>
    </row>
    <row r="2075">
      <c r="A2075" s="8" t="s">
        <v>2659</v>
      </c>
      <c r="B2075" s="8" t="s">
        <v>212</v>
      </c>
      <c r="C2075" s="8" t="s">
        <v>53</v>
      </c>
      <c r="D2075" s="18" t="s">
        <v>2595</v>
      </c>
      <c r="E2075" s="16">
        <v>74.0</v>
      </c>
      <c r="F2075" s="18" t="s">
        <v>491</v>
      </c>
      <c r="G2075" s="8" t="s">
        <v>1676</v>
      </c>
      <c r="H2075" s="8" t="s">
        <v>70</v>
      </c>
      <c r="I2075" s="18" t="s">
        <v>2584</v>
      </c>
      <c r="J2075" s="16">
        <v>79.0</v>
      </c>
      <c r="K2075" s="8" t="s">
        <v>441</v>
      </c>
      <c r="L2075" s="8" t="s">
        <v>688</v>
      </c>
      <c r="M2075" s="18" t="s">
        <v>2605</v>
      </c>
      <c r="N2075" s="16">
        <v>78.0</v>
      </c>
      <c r="O2075" s="8" t="s">
        <v>6016</v>
      </c>
      <c r="P2075" s="8" t="s">
        <v>215</v>
      </c>
      <c r="Q2075" s="14" t="s">
        <v>459</v>
      </c>
      <c r="R2075" s="8" t="s">
        <v>2581</v>
      </c>
      <c r="S2075" s="14" t="s">
        <v>2568</v>
      </c>
    </row>
    <row r="2076">
      <c r="A2076" s="8" t="s">
        <v>1035</v>
      </c>
      <c r="B2076" s="8" t="s">
        <v>240</v>
      </c>
      <c r="C2076" s="8" t="s">
        <v>215</v>
      </c>
      <c r="D2076" s="18" t="s">
        <v>2567</v>
      </c>
      <c r="E2076" s="16">
        <v>59.0</v>
      </c>
      <c r="F2076" s="18" t="s">
        <v>491</v>
      </c>
      <c r="G2076" s="8" t="s">
        <v>2934</v>
      </c>
      <c r="H2076" s="8" t="s">
        <v>192</v>
      </c>
      <c r="I2076" s="18" t="s">
        <v>2581</v>
      </c>
      <c r="J2076" s="16">
        <v>76.0</v>
      </c>
      <c r="K2076" s="8" t="s">
        <v>441</v>
      </c>
      <c r="L2076" s="8" t="s">
        <v>1541</v>
      </c>
      <c r="M2076" s="18" t="s">
        <v>2574</v>
      </c>
      <c r="N2076" s="16">
        <v>72.0</v>
      </c>
      <c r="O2076" s="8" t="s">
        <v>6017</v>
      </c>
      <c r="P2076" s="8" t="s">
        <v>65</v>
      </c>
      <c r="Q2076" s="14" t="s">
        <v>1679</v>
      </c>
      <c r="R2076" s="8" t="s">
        <v>2605</v>
      </c>
      <c r="S2076" s="14" t="s">
        <v>2570</v>
      </c>
    </row>
    <row r="2077">
      <c r="A2077" s="8" t="s">
        <v>1035</v>
      </c>
      <c r="B2077" s="8" t="s">
        <v>1264</v>
      </c>
      <c r="C2077" s="8" t="s">
        <v>93</v>
      </c>
      <c r="D2077" s="18" t="s">
        <v>2587</v>
      </c>
      <c r="E2077" s="16">
        <v>76.0</v>
      </c>
      <c r="F2077" s="18" t="s">
        <v>491</v>
      </c>
      <c r="G2077" s="8" t="s">
        <v>3508</v>
      </c>
      <c r="H2077" s="8" t="s">
        <v>16</v>
      </c>
      <c r="I2077" s="18" t="s">
        <v>2587</v>
      </c>
      <c r="J2077" s="16">
        <v>67.0</v>
      </c>
      <c r="K2077" s="8" t="s">
        <v>441</v>
      </c>
      <c r="L2077" s="8" t="s">
        <v>1188</v>
      </c>
      <c r="M2077" s="18" t="s">
        <v>2574</v>
      </c>
      <c r="N2077" s="16">
        <v>62.0</v>
      </c>
      <c r="O2077" s="8" t="s">
        <v>6018</v>
      </c>
      <c r="P2077" s="8" t="s">
        <v>24</v>
      </c>
      <c r="Q2077" s="14" t="s">
        <v>1679</v>
      </c>
      <c r="R2077" s="8" t="s">
        <v>2592</v>
      </c>
      <c r="S2077" s="14" t="s">
        <v>2583</v>
      </c>
    </row>
    <row r="2078">
      <c r="A2078" s="8" t="s">
        <v>1035</v>
      </c>
      <c r="B2078" s="8" t="s">
        <v>796</v>
      </c>
      <c r="C2078" s="8" t="s">
        <v>65</v>
      </c>
      <c r="D2078" s="18" t="s">
        <v>2566</v>
      </c>
      <c r="E2078" s="16">
        <v>74.0</v>
      </c>
      <c r="F2078" s="18" t="s">
        <v>491</v>
      </c>
      <c r="G2078" s="8" t="s">
        <v>448</v>
      </c>
      <c r="H2078" s="8" t="s">
        <v>59</v>
      </c>
      <c r="I2078" s="18" t="s">
        <v>2577</v>
      </c>
      <c r="J2078" s="16">
        <v>74.0</v>
      </c>
      <c r="K2078" s="8" t="s">
        <v>441</v>
      </c>
      <c r="L2078" s="8" t="s">
        <v>1468</v>
      </c>
      <c r="M2078" s="18" t="s">
        <v>2564</v>
      </c>
      <c r="N2078" s="16">
        <v>68.0</v>
      </c>
      <c r="O2078" s="8" t="s">
        <v>6019</v>
      </c>
      <c r="P2078" s="8" t="s">
        <v>16</v>
      </c>
      <c r="Q2078" s="14" t="s">
        <v>1679</v>
      </c>
      <c r="R2078" s="8" t="s">
        <v>2584</v>
      </c>
      <c r="S2078" s="14" t="s">
        <v>13</v>
      </c>
    </row>
    <row r="2079">
      <c r="A2079" s="8" t="s">
        <v>3017</v>
      </c>
      <c r="B2079" s="8" t="s">
        <v>1955</v>
      </c>
      <c r="C2079" s="8" t="s">
        <v>70</v>
      </c>
      <c r="D2079" s="18" t="s">
        <v>2554</v>
      </c>
      <c r="E2079" s="16">
        <v>71.0</v>
      </c>
      <c r="F2079" s="18" t="s">
        <v>491</v>
      </c>
      <c r="G2079" s="8" t="s">
        <v>268</v>
      </c>
      <c r="H2079" s="8" t="s">
        <v>80</v>
      </c>
      <c r="I2079" s="18" t="s">
        <v>2567</v>
      </c>
      <c r="J2079" s="16">
        <v>68.0</v>
      </c>
      <c r="K2079" s="8" t="s">
        <v>441</v>
      </c>
      <c r="L2079" s="8" t="s">
        <v>1428</v>
      </c>
      <c r="M2079" s="18" t="s">
        <v>2554</v>
      </c>
      <c r="N2079" s="16">
        <v>77.0</v>
      </c>
      <c r="O2079" s="8" t="s">
        <v>6020</v>
      </c>
      <c r="P2079" s="8" t="s">
        <v>186</v>
      </c>
      <c r="Q2079" s="14" t="s">
        <v>1679</v>
      </c>
      <c r="R2079" s="18" t="s">
        <v>2589</v>
      </c>
      <c r="S2079" s="14" t="s">
        <v>2563</v>
      </c>
    </row>
    <row r="2080">
      <c r="A2080" s="8" t="s">
        <v>167</v>
      </c>
      <c r="B2080" s="8" t="s">
        <v>1884</v>
      </c>
      <c r="C2080" s="8" t="s">
        <v>186</v>
      </c>
      <c r="D2080" s="18" t="s">
        <v>2603</v>
      </c>
      <c r="E2080" s="16">
        <v>58.0</v>
      </c>
      <c r="F2080" s="18" t="s">
        <v>491</v>
      </c>
      <c r="G2080" s="8" t="s">
        <v>222</v>
      </c>
      <c r="H2080" s="8" t="s">
        <v>70</v>
      </c>
      <c r="I2080" s="18" t="s">
        <v>2589</v>
      </c>
      <c r="J2080" s="16">
        <v>69.0</v>
      </c>
      <c r="K2080" s="8" t="s">
        <v>538</v>
      </c>
      <c r="L2080" s="8" t="s">
        <v>537</v>
      </c>
      <c r="M2080" s="18" t="s">
        <v>2595</v>
      </c>
      <c r="N2080" s="16">
        <v>62.0</v>
      </c>
      <c r="O2080" s="8" t="s">
        <v>6021</v>
      </c>
      <c r="P2080" s="8" t="s">
        <v>215</v>
      </c>
      <c r="Q2080" s="14" t="s">
        <v>1352</v>
      </c>
      <c r="R2080" s="8" t="s">
        <v>2183</v>
      </c>
      <c r="S2080" s="14" t="s">
        <v>2622</v>
      </c>
    </row>
    <row r="2081">
      <c r="A2081" s="8" t="s">
        <v>167</v>
      </c>
      <c r="B2081" s="8" t="s">
        <v>166</v>
      </c>
      <c r="C2081" s="8" t="s">
        <v>122</v>
      </c>
      <c r="D2081" s="18" t="s">
        <v>2560</v>
      </c>
      <c r="E2081" s="16">
        <v>78.0</v>
      </c>
      <c r="F2081" s="18" t="s">
        <v>491</v>
      </c>
      <c r="G2081" s="8" t="s">
        <v>825</v>
      </c>
      <c r="H2081" s="8" t="s">
        <v>192</v>
      </c>
      <c r="I2081" s="18" t="s">
        <v>2620</v>
      </c>
      <c r="J2081" s="16">
        <v>81.0</v>
      </c>
      <c r="K2081" s="8" t="s">
        <v>1994</v>
      </c>
      <c r="L2081" s="8" t="s">
        <v>441</v>
      </c>
      <c r="M2081" s="18" t="s">
        <v>2621</v>
      </c>
      <c r="N2081" s="16">
        <v>74.0</v>
      </c>
      <c r="O2081" s="8" t="s">
        <v>6022</v>
      </c>
      <c r="P2081" s="8" t="s">
        <v>215</v>
      </c>
      <c r="Q2081" s="14" t="s">
        <v>1679</v>
      </c>
      <c r="R2081" s="8" t="s">
        <v>2593</v>
      </c>
      <c r="S2081" s="14" t="s">
        <v>2583</v>
      </c>
    </row>
    <row r="2082">
      <c r="A2082" s="8" t="s">
        <v>167</v>
      </c>
      <c r="B2082" s="8" t="s">
        <v>3849</v>
      </c>
      <c r="C2082" s="8" t="s">
        <v>65</v>
      </c>
      <c r="D2082" s="18" t="s">
        <v>2575</v>
      </c>
      <c r="E2082" s="16">
        <v>89.0</v>
      </c>
      <c r="F2082" s="18" t="s">
        <v>491</v>
      </c>
      <c r="G2082" s="8" t="s">
        <v>2892</v>
      </c>
      <c r="H2082" s="8" t="s">
        <v>132</v>
      </c>
      <c r="I2082" s="18" t="s">
        <v>2554</v>
      </c>
      <c r="J2082" s="16">
        <v>87.0</v>
      </c>
      <c r="K2082" s="8" t="s">
        <v>114</v>
      </c>
      <c r="L2082" s="8" t="s">
        <v>1214</v>
      </c>
      <c r="M2082" s="18" t="s">
        <v>2600</v>
      </c>
      <c r="N2082" s="16">
        <v>72.0</v>
      </c>
      <c r="O2082" s="8" t="s">
        <v>6023</v>
      </c>
      <c r="P2082" s="8" t="s">
        <v>65</v>
      </c>
      <c r="Q2082" s="14" t="s">
        <v>1352</v>
      </c>
      <c r="R2082" s="8" t="s">
        <v>2605</v>
      </c>
      <c r="S2082" s="14" t="s">
        <v>2570</v>
      </c>
    </row>
    <row r="2083">
      <c r="A2083" s="8" t="s">
        <v>167</v>
      </c>
      <c r="B2083" s="8" t="s">
        <v>78</v>
      </c>
      <c r="C2083" s="8" t="s">
        <v>93</v>
      </c>
      <c r="D2083" s="18" t="s">
        <v>2572</v>
      </c>
      <c r="E2083" s="16">
        <v>71.0</v>
      </c>
      <c r="F2083" s="18" t="s">
        <v>491</v>
      </c>
      <c r="G2083" s="8" t="s">
        <v>874</v>
      </c>
      <c r="H2083" s="8" t="s">
        <v>46</v>
      </c>
      <c r="I2083" s="18" t="s">
        <v>2552</v>
      </c>
      <c r="J2083" s="16">
        <v>68.0</v>
      </c>
      <c r="K2083" s="8" t="s">
        <v>114</v>
      </c>
      <c r="L2083" s="8" t="s">
        <v>210</v>
      </c>
      <c r="M2083" s="18" t="s">
        <v>2581</v>
      </c>
      <c r="N2083" s="16">
        <v>69.0</v>
      </c>
      <c r="O2083" s="8" t="s">
        <v>6024</v>
      </c>
      <c r="P2083" s="8" t="s">
        <v>53</v>
      </c>
      <c r="Q2083" s="14" t="s">
        <v>1352</v>
      </c>
      <c r="R2083" s="8" t="s">
        <v>2560</v>
      </c>
      <c r="S2083" s="14" t="s">
        <v>2557</v>
      </c>
    </row>
    <row r="2084">
      <c r="A2084" s="8" t="s">
        <v>759</v>
      </c>
      <c r="B2084" s="8" t="s">
        <v>361</v>
      </c>
      <c r="C2084" s="8" t="s">
        <v>186</v>
      </c>
      <c r="D2084" s="18" t="s">
        <v>2582</v>
      </c>
      <c r="E2084" s="16">
        <v>61.0</v>
      </c>
      <c r="F2084" s="18" t="s">
        <v>491</v>
      </c>
      <c r="G2084" s="8" t="s">
        <v>389</v>
      </c>
      <c r="H2084" s="8" t="s">
        <v>141</v>
      </c>
      <c r="I2084" s="18" t="s">
        <v>2610</v>
      </c>
      <c r="J2084" s="16">
        <v>67.0</v>
      </c>
      <c r="K2084" s="8" t="s">
        <v>114</v>
      </c>
      <c r="L2084" s="8" t="s">
        <v>2811</v>
      </c>
      <c r="M2084" s="18" t="s">
        <v>2595</v>
      </c>
      <c r="N2084" s="16">
        <v>78.0</v>
      </c>
      <c r="O2084" s="8" t="s">
        <v>6025</v>
      </c>
      <c r="P2084" s="8" t="s">
        <v>70</v>
      </c>
      <c r="Q2084" s="14" t="s">
        <v>1679</v>
      </c>
      <c r="R2084" s="8" t="s">
        <v>2605</v>
      </c>
      <c r="S2084" s="14" t="s">
        <v>2625</v>
      </c>
    </row>
    <row r="2085">
      <c r="A2085" s="8" t="s">
        <v>759</v>
      </c>
      <c r="B2085" s="8" t="s">
        <v>115</v>
      </c>
      <c r="C2085" s="8" t="s">
        <v>12</v>
      </c>
      <c r="D2085" s="18" t="s">
        <v>2603</v>
      </c>
      <c r="E2085" s="16">
        <v>84.0</v>
      </c>
      <c r="F2085" s="18" t="s">
        <v>491</v>
      </c>
      <c r="G2085" s="8" t="s">
        <v>284</v>
      </c>
      <c r="H2085" s="8" t="s">
        <v>65</v>
      </c>
      <c r="I2085" s="18" t="s">
        <v>2554</v>
      </c>
      <c r="J2085" s="16">
        <v>69.0</v>
      </c>
      <c r="K2085" s="8" t="s">
        <v>114</v>
      </c>
      <c r="L2085" s="8" t="s">
        <v>2841</v>
      </c>
      <c r="M2085" s="18" t="s">
        <v>2558</v>
      </c>
      <c r="N2085" s="16">
        <v>84.0</v>
      </c>
      <c r="O2085" s="8" t="s">
        <v>6026</v>
      </c>
      <c r="P2085" s="8" t="s">
        <v>93</v>
      </c>
      <c r="Q2085" s="14" t="s">
        <v>2033</v>
      </c>
      <c r="R2085" s="8" t="s">
        <v>2587</v>
      </c>
      <c r="S2085" s="14" t="s">
        <v>2602</v>
      </c>
    </row>
    <row r="2086">
      <c r="A2086" s="8" t="s">
        <v>759</v>
      </c>
      <c r="B2086" s="8" t="s">
        <v>389</v>
      </c>
      <c r="C2086" s="8" t="s">
        <v>186</v>
      </c>
      <c r="D2086" s="18" t="s">
        <v>2577</v>
      </c>
      <c r="E2086" s="16">
        <v>68.0</v>
      </c>
      <c r="F2086" s="18" t="s">
        <v>540</v>
      </c>
      <c r="G2086" s="8" t="s">
        <v>539</v>
      </c>
      <c r="H2086" s="8" t="s">
        <v>65</v>
      </c>
      <c r="I2086" s="18" t="s">
        <v>2567</v>
      </c>
      <c r="J2086" s="16">
        <v>88.0</v>
      </c>
      <c r="K2086" s="8" t="s">
        <v>114</v>
      </c>
      <c r="L2086" s="8" t="s">
        <v>2841</v>
      </c>
      <c r="M2086" s="18" t="s">
        <v>2556</v>
      </c>
      <c r="N2086" s="16">
        <v>83.0</v>
      </c>
      <c r="O2086" s="8" t="s">
        <v>6027</v>
      </c>
      <c r="P2086" s="8" t="s">
        <v>80</v>
      </c>
      <c r="Q2086" s="14" t="s">
        <v>2033</v>
      </c>
      <c r="R2086" s="8" t="s">
        <v>2585</v>
      </c>
      <c r="S2086" s="14" t="s">
        <v>2579</v>
      </c>
    </row>
    <row r="2087">
      <c r="A2087" s="8" t="s">
        <v>759</v>
      </c>
      <c r="B2087" s="8" t="s">
        <v>758</v>
      </c>
      <c r="C2087" s="8" t="s">
        <v>215</v>
      </c>
      <c r="D2087" s="18" t="s">
        <v>2564</v>
      </c>
      <c r="E2087" s="16">
        <v>65.0</v>
      </c>
      <c r="F2087" s="18" t="s">
        <v>540</v>
      </c>
      <c r="G2087" s="8" t="s">
        <v>1252</v>
      </c>
      <c r="H2087" s="8" t="s">
        <v>122</v>
      </c>
      <c r="I2087" s="18" t="s">
        <v>2567</v>
      </c>
      <c r="J2087" s="16">
        <v>73.0</v>
      </c>
      <c r="K2087" s="8" t="s">
        <v>114</v>
      </c>
      <c r="L2087" s="8" t="s">
        <v>2841</v>
      </c>
      <c r="M2087" s="18" t="s">
        <v>2567</v>
      </c>
      <c r="N2087" s="16">
        <v>82.0</v>
      </c>
      <c r="O2087" s="8" t="s">
        <v>6028</v>
      </c>
      <c r="P2087" s="8" t="s">
        <v>192</v>
      </c>
      <c r="Q2087" s="14" t="s">
        <v>459</v>
      </c>
      <c r="R2087" s="8" t="s">
        <v>2562</v>
      </c>
      <c r="S2087" s="14" t="s">
        <v>2588</v>
      </c>
    </row>
    <row r="2088">
      <c r="A2088" s="8" t="s">
        <v>759</v>
      </c>
      <c r="B2088" s="8" t="s">
        <v>220</v>
      </c>
      <c r="C2088" s="8" t="s">
        <v>93</v>
      </c>
      <c r="D2088" s="18" t="s">
        <v>2183</v>
      </c>
      <c r="E2088" s="16">
        <v>70.0</v>
      </c>
      <c r="F2088" s="8" t="s">
        <v>1732</v>
      </c>
      <c r="G2088" s="8" t="s">
        <v>1731</v>
      </c>
      <c r="H2088" s="8" t="s">
        <v>215</v>
      </c>
      <c r="I2088" s="18" t="s">
        <v>2614</v>
      </c>
      <c r="J2088" s="16">
        <v>75.0</v>
      </c>
      <c r="K2088" s="8" t="s">
        <v>114</v>
      </c>
      <c r="L2088" s="8" t="s">
        <v>2841</v>
      </c>
      <c r="M2088" s="18" t="s">
        <v>2556</v>
      </c>
      <c r="N2088" s="16">
        <v>86.0</v>
      </c>
      <c r="O2088" s="8" t="s">
        <v>6029</v>
      </c>
      <c r="P2088" s="8" t="s">
        <v>138</v>
      </c>
      <c r="Q2088" s="14" t="s">
        <v>1679</v>
      </c>
      <c r="R2088" s="8" t="s">
        <v>2552</v>
      </c>
      <c r="S2088" s="14" t="s">
        <v>2583</v>
      </c>
    </row>
    <row r="2089">
      <c r="A2089" s="8" t="s">
        <v>759</v>
      </c>
      <c r="B2089" s="8" t="s">
        <v>77</v>
      </c>
      <c r="C2089" s="8" t="s">
        <v>80</v>
      </c>
      <c r="D2089" s="18" t="s">
        <v>2603</v>
      </c>
      <c r="E2089" s="16">
        <v>68.0</v>
      </c>
      <c r="F2089" s="8" t="s">
        <v>618</v>
      </c>
      <c r="G2089" s="8" t="s">
        <v>617</v>
      </c>
      <c r="H2089" s="8" t="s">
        <v>59</v>
      </c>
      <c r="I2089" s="18" t="s">
        <v>2554</v>
      </c>
      <c r="J2089" s="16">
        <v>74.0</v>
      </c>
      <c r="K2089" s="8" t="s">
        <v>114</v>
      </c>
      <c r="L2089" s="8" t="s">
        <v>2841</v>
      </c>
      <c r="M2089" s="18" t="s">
        <v>2556</v>
      </c>
      <c r="N2089" s="16">
        <v>88.0</v>
      </c>
      <c r="O2089" s="8" t="s">
        <v>6030</v>
      </c>
      <c r="P2089" s="8" t="s">
        <v>215</v>
      </c>
      <c r="Q2089" s="14" t="s">
        <v>2033</v>
      </c>
      <c r="R2089" s="8" t="s">
        <v>2584</v>
      </c>
      <c r="S2089" s="14" t="s">
        <v>2601</v>
      </c>
    </row>
    <row r="2090">
      <c r="A2090" s="8" t="s">
        <v>3102</v>
      </c>
      <c r="B2090" s="8" t="s">
        <v>106</v>
      </c>
      <c r="C2090" s="8" t="s">
        <v>192</v>
      </c>
      <c r="D2090" s="18" t="s">
        <v>2183</v>
      </c>
      <c r="E2090" s="16">
        <v>77.0</v>
      </c>
      <c r="F2090" s="8" t="s">
        <v>287</v>
      </c>
      <c r="G2090" s="8" t="s">
        <v>284</v>
      </c>
      <c r="H2090" s="8" t="s">
        <v>70</v>
      </c>
      <c r="I2090" s="18" t="s">
        <v>2556</v>
      </c>
      <c r="J2090" s="16">
        <v>72.0</v>
      </c>
      <c r="K2090" s="8" t="s">
        <v>114</v>
      </c>
      <c r="L2090" s="8" t="s">
        <v>2841</v>
      </c>
      <c r="M2090" s="18" t="s">
        <v>2556</v>
      </c>
      <c r="N2090" s="16">
        <v>90.0</v>
      </c>
      <c r="O2090" s="8" t="s">
        <v>6031</v>
      </c>
      <c r="P2090" s="8" t="s">
        <v>93</v>
      </c>
      <c r="Q2090" s="14" t="s">
        <v>1070</v>
      </c>
      <c r="R2090" s="8" t="s">
        <v>2598</v>
      </c>
      <c r="S2090" s="14" t="s">
        <v>2606</v>
      </c>
    </row>
    <row r="2091">
      <c r="A2091" s="8" t="s">
        <v>3102</v>
      </c>
      <c r="B2091" s="8" t="s">
        <v>389</v>
      </c>
      <c r="C2091" s="8" t="s">
        <v>65</v>
      </c>
      <c r="D2091" s="18" t="s">
        <v>2572</v>
      </c>
      <c r="E2091" s="16">
        <v>77.0</v>
      </c>
      <c r="F2091" s="8" t="s">
        <v>1970</v>
      </c>
      <c r="G2091" s="8" t="s">
        <v>1969</v>
      </c>
      <c r="H2091" s="8" t="s">
        <v>65</v>
      </c>
      <c r="I2091" s="18" t="s">
        <v>2621</v>
      </c>
      <c r="J2091" s="16">
        <v>76.0</v>
      </c>
      <c r="K2091" s="8" t="s">
        <v>114</v>
      </c>
      <c r="L2091" s="8" t="s">
        <v>2811</v>
      </c>
      <c r="M2091" s="18" t="s">
        <v>2595</v>
      </c>
      <c r="N2091" s="16">
        <v>85.0</v>
      </c>
      <c r="O2091" s="8" t="s">
        <v>6032</v>
      </c>
      <c r="P2091" s="8" t="s">
        <v>93</v>
      </c>
      <c r="Q2091" s="14" t="s">
        <v>2033</v>
      </c>
      <c r="R2091" s="8" t="s">
        <v>2615</v>
      </c>
      <c r="S2091" s="14" t="s">
        <v>2580</v>
      </c>
    </row>
    <row r="2092">
      <c r="A2092" s="8" t="s">
        <v>1552</v>
      </c>
      <c r="B2092" s="8" t="s">
        <v>389</v>
      </c>
      <c r="C2092" s="8" t="s">
        <v>70</v>
      </c>
      <c r="D2092" s="18" t="s">
        <v>2592</v>
      </c>
      <c r="E2092" s="16">
        <v>69.0</v>
      </c>
      <c r="F2092" s="8" t="s">
        <v>2187</v>
      </c>
      <c r="G2092" s="8" t="s">
        <v>2186</v>
      </c>
      <c r="H2092" s="8" t="s">
        <v>138</v>
      </c>
      <c r="I2092" s="18" t="s">
        <v>2598</v>
      </c>
      <c r="J2092" s="16">
        <v>75.0</v>
      </c>
      <c r="K2092" s="8" t="s">
        <v>1101</v>
      </c>
      <c r="L2092" s="8" t="s">
        <v>78</v>
      </c>
      <c r="M2092" s="18" t="s">
        <v>2566</v>
      </c>
      <c r="N2092" s="16">
        <v>63.0</v>
      </c>
      <c r="O2092" s="8" t="s">
        <v>6033</v>
      </c>
      <c r="P2092" s="8" t="s">
        <v>65</v>
      </c>
      <c r="Q2092" s="14" t="s">
        <v>459</v>
      </c>
      <c r="R2092" s="8" t="s">
        <v>2614</v>
      </c>
      <c r="S2092" s="14" t="s">
        <v>2602</v>
      </c>
    </row>
    <row r="2093">
      <c r="A2093" s="8" t="s">
        <v>5970</v>
      </c>
      <c r="B2093" s="8" t="s">
        <v>1752</v>
      </c>
      <c r="C2093" s="8" t="s">
        <v>192</v>
      </c>
      <c r="D2093" s="18" t="s">
        <v>2582</v>
      </c>
      <c r="E2093" s="16">
        <v>74.0</v>
      </c>
      <c r="F2093" s="8" t="s">
        <v>3291</v>
      </c>
      <c r="G2093" s="8" t="s">
        <v>3290</v>
      </c>
      <c r="H2093" s="8" t="s">
        <v>59</v>
      </c>
      <c r="I2093" s="18" t="s">
        <v>2183</v>
      </c>
      <c r="J2093" s="16">
        <v>82.0</v>
      </c>
      <c r="K2093" s="8" t="s">
        <v>1101</v>
      </c>
      <c r="L2093" s="8" t="s">
        <v>1100</v>
      </c>
      <c r="M2093" s="18" t="s">
        <v>2560</v>
      </c>
      <c r="N2093" s="16">
        <v>79.0</v>
      </c>
      <c r="O2093" s="8" t="s">
        <v>6034</v>
      </c>
      <c r="P2093" s="8" t="s">
        <v>192</v>
      </c>
      <c r="Q2093" s="14" t="s">
        <v>459</v>
      </c>
      <c r="R2093" s="8" t="s">
        <v>2554</v>
      </c>
      <c r="S2093" s="14" t="s">
        <v>2571</v>
      </c>
    </row>
    <row r="2094">
      <c r="A2094" s="8" t="s">
        <v>3889</v>
      </c>
      <c r="B2094" s="8" t="s">
        <v>1332</v>
      </c>
      <c r="C2094" s="8" t="s">
        <v>38</v>
      </c>
      <c r="D2094" s="18" t="s">
        <v>2574</v>
      </c>
      <c r="E2094" s="16">
        <v>69.0</v>
      </c>
      <c r="F2094" s="8" t="s">
        <v>489</v>
      </c>
      <c r="G2094" s="8" t="s">
        <v>488</v>
      </c>
      <c r="H2094" s="8" t="s">
        <v>138</v>
      </c>
      <c r="I2094" s="18" t="s">
        <v>2585</v>
      </c>
      <c r="J2094" s="16">
        <v>77.0</v>
      </c>
      <c r="K2094" s="8" t="s">
        <v>1996</v>
      </c>
      <c r="L2094" s="8" t="s">
        <v>444</v>
      </c>
      <c r="M2094" s="18" t="s">
        <v>2603</v>
      </c>
      <c r="N2094" s="16">
        <v>72.0</v>
      </c>
      <c r="O2094" s="8" t="s">
        <v>6035</v>
      </c>
      <c r="P2094" s="8" t="s">
        <v>93</v>
      </c>
      <c r="Q2094" s="14" t="s">
        <v>1352</v>
      </c>
      <c r="R2094" s="8" t="s">
        <v>2575</v>
      </c>
      <c r="S2094" s="14" t="s">
        <v>2590</v>
      </c>
    </row>
    <row r="2095">
      <c r="A2095" s="8" t="s">
        <v>450</v>
      </c>
      <c r="B2095" s="8" t="s">
        <v>78</v>
      </c>
      <c r="C2095" s="8" t="s">
        <v>122</v>
      </c>
      <c r="D2095" s="18" t="s">
        <v>2620</v>
      </c>
      <c r="E2095" s="16">
        <v>74.0</v>
      </c>
      <c r="F2095" s="8" t="s">
        <v>489</v>
      </c>
      <c r="G2095" s="8" t="s">
        <v>2718</v>
      </c>
      <c r="H2095" s="8" t="s">
        <v>186</v>
      </c>
      <c r="I2095" s="18" t="s">
        <v>2615</v>
      </c>
      <c r="J2095" s="16">
        <v>65.0</v>
      </c>
      <c r="K2095" s="8" t="s">
        <v>2433</v>
      </c>
      <c r="L2095" s="8" t="s">
        <v>2432</v>
      </c>
      <c r="M2095" s="18" t="s">
        <v>2554</v>
      </c>
      <c r="N2095" s="16">
        <v>73.0</v>
      </c>
      <c r="O2095" s="8" t="s">
        <v>6036</v>
      </c>
      <c r="P2095" s="8" t="s">
        <v>46</v>
      </c>
      <c r="Q2095" s="14" t="s">
        <v>1352</v>
      </c>
      <c r="R2095" s="8" t="s">
        <v>2554</v>
      </c>
      <c r="S2095" s="14" t="s">
        <v>2571</v>
      </c>
    </row>
    <row r="2096">
      <c r="A2096" s="18" t="s">
        <v>491</v>
      </c>
      <c r="B2096" s="8" t="s">
        <v>2310</v>
      </c>
      <c r="C2096" s="8" t="s">
        <v>122</v>
      </c>
      <c r="D2096" s="18" t="s">
        <v>2587</v>
      </c>
      <c r="E2096" s="16">
        <v>67.0</v>
      </c>
      <c r="F2096" s="8" t="s">
        <v>1803</v>
      </c>
      <c r="G2096" s="8" t="s">
        <v>2008</v>
      </c>
      <c r="H2096" s="8" t="s">
        <v>53</v>
      </c>
      <c r="I2096" s="18" t="s">
        <v>2587</v>
      </c>
      <c r="J2096" s="16">
        <v>63.0</v>
      </c>
      <c r="K2096" s="8" t="s">
        <v>801</v>
      </c>
      <c r="L2096" s="8" t="s">
        <v>99</v>
      </c>
      <c r="M2096" s="18" t="s">
        <v>2584</v>
      </c>
      <c r="N2096" s="16">
        <v>85.0</v>
      </c>
      <c r="O2096" s="8" t="s">
        <v>6037</v>
      </c>
      <c r="P2096" s="8" t="s">
        <v>65</v>
      </c>
      <c r="Q2096" s="14" t="s">
        <v>631</v>
      </c>
      <c r="R2096" s="8" t="s">
        <v>2605</v>
      </c>
      <c r="S2096" s="14" t="s">
        <v>2588</v>
      </c>
    </row>
    <row r="2097">
      <c r="A2097" s="18" t="s">
        <v>491</v>
      </c>
      <c r="B2097" s="8" t="s">
        <v>490</v>
      </c>
      <c r="C2097" s="8" t="s">
        <v>93</v>
      </c>
      <c r="D2097" s="18" t="s">
        <v>2556</v>
      </c>
      <c r="E2097" s="16">
        <v>73.0</v>
      </c>
      <c r="F2097" s="8" t="s">
        <v>1803</v>
      </c>
      <c r="G2097" s="8" t="s">
        <v>2936</v>
      </c>
      <c r="H2097" s="8" t="s">
        <v>65</v>
      </c>
      <c r="I2097" s="18" t="s">
        <v>2603</v>
      </c>
      <c r="J2097" s="16">
        <v>67.0</v>
      </c>
      <c r="K2097" s="8" t="s">
        <v>1190</v>
      </c>
      <c r="L2097" s="8" t="s">
        <v>1189</v>
      </c>
      <c r="M2097" s="18" t="s">
        <v>2593</v>
      </c>
      <c r="N2097" s="16">
        <v>62.0</v>
      </c>
      <c r="O2097" s="8" t="s">
        <v>6038</v>
      </c>
      <c r="P2097" s="8" t="s">
        <v>132</v>
      </c>
      <c r="Q2097" s="14" t="s">
        <v>2033</v>
      </c>
      <c r="R2097" s="8" t="s">
        <v>2574</v>
      </c>
      <c r="S2097" s="14" t="s">
        <v>2569</v>
      </c>
    </row>
    <row r="2098">
      <c r="A2098" s="18" t="s">
        <v>491</v>
      </c>
      <c r="B2098" s="8" t="s">
        <v>874</v>
      </c>
      <c r="C2098" s="8" t="s">
        <v>149</v>
      </c>
      <c r="D2098" s="18" t="s">
        <v>2552</v>
      </c>
      <c r="E2098" s="16">
        <v>69.0</v>
      </c>
      <c r="F2098" s="8" t="s">
        <v>1803</v>
      </c>
      <c r="G2098" s="8" t="s">
        <v>3406</v>
      </c>
      <c r="H2098" s="8" t="s">
        <v>24</v>
      </c>
      <c r="I2098" s="18" t="s">
        <v>2560</v>
      </c>
      <c r="J2098" s="16">
        <v>46.0</v>
      </c>
      <c r="K2098" s="8" t="s">
        <v>2982</v>
      </c>
      <c r="L2098" s="8" t="s">
        <v>2981</v>
      </c>
      <c r="M2098" s="18" t="s">
        <v>2587</v>
      </c>
      <c r="N2098" s="16">
        <v>73.0</v>
      </c>
      <c r="O2098" s="8" t="s">
        <v>6039</v>
      </c>
      <c r="P2098" s="8" t="s">
        <v>16</v>
      </c>
      <c r="Q2098" s="14" t="s">
        <v>1070</v>
      </c>
      <c r="R2098" s="8" t="s">
        <v>2574</v>
      </c>
      <c r="S2098" s="14" t="s">
        <v>2617</v>
      </c>
    </row>
    <row r="2099">
      <c r="A2099" s="18" t="s">
        <v>491</v>
      </c>
      <c r="B2099" s="8" t="s">
        <v>203</v>
      </c>
      <c r="C2099" s="8" t="s">
        <v>65</v>
      </c>
      <c r="D2099" s="18" t="s">
        <v>2564</v>
      </c>
      <c r="E2099" s="16">
        <v>66.0</v>
      </c>
      <c r="F2099" s="8" t="s">
        <v>1503</v>
      </c>
      <c r="G2099" s="8" t="s">
        <v>1502</v>
      </c>
      <c r="H2099" s="8" t="s">
        <v>138</v>
      </c>
      <c r="I2099" s="18" t="s">
        <v>2183</v>
      </c>
      <c r="J2099" s="16">
        <v>69.0</v>
      </c>
      <c r="K2099" s="8" t="s">
        <v>2804</v>
      </c>
      <c r="L2099" s="8" t="s">
        <v>2803</v>
      </c>
      <c r="M2099" s="18" t="s">
        <v>2581</v>
      </c>
      <c r="N2099" s="16">
        <v>65.0</v>
      </c>
      <c r="O2099" s="8" t="s">
        <v>6040</v>
      </c>
      <c r="P2099" s="8" t="s">
        <v>46</v>
      </c>
      <c r="Q2099" s="14" t="s">
        <v>631</v>
      </c>
      <c r="R2099" s="8" t="s">
        <v>2621</v>
      </c>
      <c r="S2099" s="14" t="s">
        <v>2599</v>
      </c>
    </row>
    <row r="2100">
      <c r="A2100" s="18" t="s">
        <v>491</v>
      </c>
      <c r="B2100" s="8" t="s">
        <v>268</v>
      </c>
      <c r="C2100" s="8" t="s">
        <v>80</v>
      </c>
      <c r="D2100" s="18" t="s">
        <v>2567</v>
      </c>
      <c r="E2100" s="16">
        <v>71.0</v>
      </c>
      <c r="F2100" s="8" t="s">
        <v>1973</v>
      </c>
      <c r="G2100" s="8" t="s">
        <v>1972</v>
      </c>
      <c r="H2100" s="8" t="s">
        <v>122</v>
      </c>
      <c r="I2100" s="18" t="s">
        <v>2593</v>
      </c>
      <c r="J2100" s="16">
        <v>63.0</v>
      </c>
      <c r="K2100" s="8" t="s">
        <v>2804</v>
      </c>
      <c r="L2100" s="8" t="s">
        <v>2963</v>
      </c>
      <c r="M2100" s="18" t="s">
        <v>2552</v>
      </c>
      <c r="N2100" s="16">
        <v>76.0</v>
      </c>
      <c r="O2100" s="8" t="s">
        <v>6041</v>
      </c>
      <c r="P2100" s="8" t="s">
        <v>46</v>
      </c>
      <c r="Q2100" s="14" t="s">
        <v>1352</v>
      </c>
      <c r="R2100" s="8" t="s">
        <v>2574</v>
      </c>
      <c r="S2100" s="14" t="s">
        <v>2607</v>
      </c>
    </row>
    <row r="2101">
      <c r="A2101" s="18" t="s">
        <v>491</v>
      </c>
      <c r="B2101" s="8" t="s">
        <v>389</v>
      </c>
      <c r="C2101" s="8" t="s">
        <v>141</v>
      </c>
      <c r="D2101" s="18" t="s">
        <v>2610</v>
      </c>
      <c r="E2101" s="16">
        <v>67.0</v>
      </c>
      <c r="F2101" s="8" t="s">
        <v>1538</v>
      </c>
      <c r="G2101" s="8" t="s">
        <v>1537</v>
      </c>
      <c r="H2101" s="8" t="s">
        <v>70</v>
      </c>
      <c r="I2101" s="18" t="s">
        <v>2575</v>
      </c>
      <c r="J2101" s="16">
        <v>62.0</v>
      </c>
      <c r="K2101" s="8" t="s">
        <v>983</v>
      </c>
      <c r="L2101" s="8" t="s">
        <v>99</v>
      </c>
      <c r="M2101" s="18" t="s">
        <v>2183</v>
      </c>
      <c r="N2101" s="16">
        <v>71.0</v>
      </c>
      <c r="O2101" s="8" t="s">
        <v>6042</v>
      </c>
      <c r="P2101" s="8" t="s">
        <v>192</v>
      </c>
      <c r="Q2101" s="14" t="s">
        <v>2459</v>
      </c>
      <c r="R2101" s="8" t="s">
        <v>2593</v>
      </c>
      <c r="S2101" s="14" t="s">
        <v>2622</v>
      </c>
    </row>
    <row r="2102">
      <c r="A2102" s="18" t="s">
        <v>491</v>
      </c>
      <c r="B2102" s="8" t="s">
        <v>284</v>
      </c>
      <c r="C2102" s="8" t="s">
        <v>65</v>
      </c>
      <c r="D2102" s="18" t="s">
        <v>2554</v>
      </c>
      <c r="E2102" s="16">
        <v>66.0</v>
      </c>
      <c r="F2102" s="8" t="s">
        <v>1370</v>
      </c>
      <c r="G2102" s="8" t="s">
        <v>1369</v>
      </c>
      <c r="H2102" s="8" t="s">
        <v>215</v>
      </c>
      <c r="I2102" s="18" t="s">
        <v>2567</v>
      </c>
      <c r="J2102" s="16">
        <v>70.0</v>
      </c>
      <c r="K2102" s="8" t="s">
        <v>983</v>
      </c>
      <c r="L2102" s="8" t="s">
        <v>3127</v>
      </c>
      <c r="M2102" s="18" t="s">
        <v>2595</v>
      </c>
      <c r="N2102" s="16">
        <v>73.0</v>
      </c>
      <c r="O2102" s="8" t="s">
        <v>6043</v>
      </c>
      <c r="P2102" s="8" t="s">
        <v>122</v>
      </c>
      <c r="Q2102" s="14" t="s">
        <v>1679</v>
      </c>
      <c r="R2102" s="8" t="s">
        <v>2595</v>
      </c>
      <c r="S2102" s="14" t="s">
        <v>2579</v>
      </c>
    </row>
    <row r="2103">
      <c r="A2103" s="18" t="s">
        <v>491</v>
      </c>
      <c r="B2103" s="8" t="s">
        <v>2892</v>
      </c>
      <c r="C2103" s="8" t="s">
        <v>132</v>
      </c>
      <c r="D2103" s="18" t="s">
        <v>2558</v>
      </c>
      <c r="E2103" s="16">
        <v>91.0</v>
      </c>
      <c r="F2103" s="8" t="s">
        <v>1741</v>
      </c>
      <c r="G2103" s="8" t="s">
        <v>1740</v>
      </c>
      <c r="H2103" s="8" t="s">
        <v>70</v>
      </c>
      <c r="I2103" s="18" t="s">
        <v>2605</v>
      </c>
      <c r="J2103" s="16">
        <v>72.0</v>
      </c>
      <c r="K2103" s="8" t="s">
        <v>983</v>
      </c>
      <c r="L2103" s="8" t="s">
        <v>427</v>
      </c>
      <c r="M2103" s="18" t="s">
        <v>2615</v>
      </c>
      <c r="N2103" s="16">
        <v>74.0</v>
      </c>
      <c r="O2103" s="8" t="s">
        <v>6044</v>
      </c>
      <c r="P2103" s="8" t="s">
        <v>16</v>
      </c>
      <c r="Q2103" s="14" t="s">
        <v>459</v>
      </c>
      <c r="R2103" s="8" t="s">
        <v>2595</v>
      </c>
      <c r="S2103" s="14" t="s">
        <v>2618</v>
      </c>
    </row>
    <row r="2104">
      <c r="A2104" s="18" t="s">
        <v>491</v>
      </c>
      <c r="B2104" s="8" t="s">
        <v>3758</v>
      </c>
      <c r="C2104" s="8" t="s">
        <v>192</v>
      </c>
      <c r="D2104" s="18" t="s">
        <v>2593</v>
      </c>
      <c r="E2104" s="16">
        <v>83.0</v>
      </c>
      <c r="F2104" s="8" t="s">
        <v>516</v>
      </c>
      <c r="G2104" s="8" t="s">
        <v>515</v>
      </c>
      <c r="H2104" s="8" t="s">
        <v>80</v>
      </c>
      <c r="I2104" s="18" t="s">
        <v>2584</v>
      </c>
      <c r="J2104" s="16">
        <v>75.0</v>
      </c>
      <c r="K2104" s="8" t="s">
        <v>983</v>
      </c>
      <c r="L2104" s="8" t="s">
        <v>78</v>
      </c>
      <c r="M2104" s="18" t="s">
        <v>2614</v>
      </c>
      <c r="N2104" s="16">
        <v>76.0</v>
      </c>
      <c r="O2104" s="8" t="s">
        <v>6045</v>
      </c>
      <c r="P2104" s="8" t="s">
        <v>65</v>
      </c>
      <c r="Q2104" s="14" t="s">
        <v>1679</v>
      </c>
      <c r="R2104" s="8" t="s">
        <v>2621</v>
      </c>
      <c r="S2104" s="14" t="s">
        <v>2586</v>
      </c>
    </row>
    <row r="2105">
      <c r="A2105" s="18" t="s">
        <v>491</v>
      </c>
      <c r="B2105" s="8" t="s">
        <v>825</v>
      </c>
      <c r="C2105" s="8" t="s">
        <v>192</v>
      </c>
      <c r="D2105" s="18" t="s">
        <v>2620</v>
      </c>
      <c r="E2105" s="16">
        <v>85.0</v>
      </c>
      <c r="F2105" s="8" t="s">
        <v>1713</v>
      </c>
      <c r="G2105" s="8" t="s">
        <v>1712</v>
      </c>
      <c r="H2105" s="8" t="s">
        <v>138</v>
      </c>
      <c r="I2105" s="18" t="s">
        <v>2552</v>
      </c>
      <c r="J2105" s="16">
        <v>62.0</v>
      </c>
      <c r="K2105" s="8" t="s">
        <v>77</v>
      </c>
      <c r="L2105" s="8" t="s">
        <v>76</v>
      </c>
      <c r="M2105" s="18" t="s">
        <v>2575</v>
      </c>
      <c r="N2105" s="16">
        <v>82.0</v>
      </c>
      <c r="O2105" s="8" t="s">
        <v>6046</v>
      </c>
      <c r="P2105" s="8" t="s">
        <v>65</v>
      </c>
      <c r="Q2105" s="14" t="s">
        <v>108</v>
      </c>
      <c r="R2105" s="8" t="s">
        <v>2595</v>
      </c>
      <c r="S2105" s="14" t="s">
        <v>2607</v>
      </c>
    </row>
    <row r="2106">
      <c r="A2106" s="18" t="s">
        <v>491</v>
      </c>
      <c r="B2106" s="8" t="s">
        <v>1676</v>
      </c>
      <c r="C2106" s="8" t="s">
        <v>70</v>
      </c>
      <c r="D2106" s="18" t="s">
        <v>2584</v>
      </c>
      <c r="E2106" s="16">
        <v>80.0</v>
      </c>
      <c r="F2106" s="8" t="s">
        <v>2970</v>
      </c>
      <c r="G2106" s="8" t="s">
        <v>2969</v>
      </c>
      <c r="H2106" s="8" t="s">
        <v>93</v>
      </c>
      <c r="I2106" s="18" t="s">
        <v>2584</v>
      </c>
      <c r="J2106" s="16">
        <v>61.0</v>
      </c>
      <c r="K2106" s="8" t="s">
        <v>77</v>
      </c>
      <c r="L2106" s="8" t="s">
        <v>1772</v>
      </c>
      <c r="M2106" s="18" t="s">
        <v>2577</v>
      </c>
      <c r="N2106" s="16">
        <v>75.0</v>
      </c>
      <c r="O2106" s="8" t="s">
        <v>6047</v>
      </c>
      <c r="P2106" s="8" t="s">
        <v>75</v>
      </c>
      <c r="Q2106" s="14" t="s">
        <v>1070</v>
      </c>
      <c r="R2106" s="8" t="s">
        <v>2600</v>
      </c>
      <c r="S2106" s="14" t="s">
        <v>2568</v>
      </c>
    </row>
    <row r="2107">
      <c r="A2107" s="18" t="s">
        <v>540</v>
      </c>
      <c r="B2107" s="8" t="s">
        <v>539</v>
      </c>
      <c r="C2107" s="8" t="s">
        <v>65</v>
      </c>
      <c r="D2107" s="18" t="s">
        <v>2567</v>
      </c>
      <c r="E2107" s="16">
        <v>89.0</v>
      </c>
      <c r="F2107" s="8" t="s">
        <v>2673</v>
      </c>
      <c r="G2107" s="8" t="s">
        <v>2310</v>
      </c>
      <c r="H2107" s="8" t="s">
        <v>59</v>
      </c>
      <c r="I2107" s="18" t="s">
        <v>2592</v>
      </c>
      <c r="J2107" s="16">
        <v>61.0</v>
      </c>
      <c r="K2107" s="8" t="s">
        <v>77</v>
      </c>
      <c r="L2107" s="8" t="s">
        <v>76</v>
      </c>
      <c r="M2107" s="18" t="s">
        <v>2575</v>
      </c>
      <c r="N2107" s="16">
        <v>86.0</v>
      </c>
      <c r="O2107" s="8" t="s">
        <v>6048</v>
      </c>
      <c r="P2107" s="8" t="s">
        <v>75</v>
      </c>
      <c r="Q2107" s="14" t="s">
        <v>189</v>
      </c>
      <c r="R2107" s="8" t="s">
        <v>2605</v>
      </c>
      <c r="S2107" s="14" t="s">
        <v>2580</v>
      </c>
    </row>
    <row r="2108">
      <c r="A2108" s="18" t="s">
        <v>540</v>
      </c>
      <c r="B2108" s="8" t="s">
        <v>1252</v>
      </c>
      <c r="C2108" s="8" t="s">
        <v>215</v>
      </c>
      <c r="D2108" s="18" t="s">
        <v>2567</v>
      </c>
      <c r="E2108" s="16">
        <v>61.0</v>
      </c>
      <c r="F2108" s="8" t="s">
        <v>2882</v>
      </c>
      <c r="G2108" s="8" t="s">
        <v>956</v>
      </c>
      <c r="H2108" s="8" t="s">
        <v>65</v>
      </c>
      <c r="I2108" s="18" t="s">
        <v>2566</v>
      </c>
      <c r="J2108" s="16">
        <v>67.0</v>
      </c>
      <c r="K2108" s="8" t="s">
        <v>418</v>
      </c>
      <c r="L2108" s="8" t="s">
        <v>3005</v>
      </c>
      <c r="M2108" s="18" t="s">
        <v>2560</v>
      </c>
      <c r="N2108" s="16">
        <v>75.0</v>
      </c>
      <c r="O2108" s="8" t="s">
        <v>6049</v>
      </c>
      <c r="P2108" s="8" t="s">
        <v>16</v>
      </c>
      <c r="Q2108" s="14" t="s">
        <v>1070</v>
      </c>
      <c r="R2108" s="8" t="s">
        <v>2595</v>
      </c>
      <c r="S2108" s="14" t="s">
        <v>2602</v>
      </c>
    </row>
    <row r="2109">
      <c r="A2109" s="8" t="s">
        <v>618</v>
      </c>
      <c r="B2109" s="8" t="s">
        <v>617</v>
      </c>
      <c r="C2109" s="8" t="s">
        <v>53</v>
      </c>
      <c r="D2109" s="18" t="s">
        <v>2554</v>
      </c>
      <c r="E2109" s="16">
        <v>83.0</v>
      </c>
      <c r="F2109" s="8" t="s">
        <v>1114</v>
      </c>
      <c r="G2109" s="8" t="s">
        <v>868</v>
      </c>
      <c r="H2109" s="8" t="s">
        <v>93</v>
      </c>
      <c r="I2109" s="18" t="s">
        <v>2595</v>
      </c>
      <c r="J2109" s="16">
        <v>62.0</v>
      </c>
      <c r="K2109" s="8" t="s">
        <v>861</v>
      </c>
      <c r="L2109" s="8" t="s">
        <v>224</v>
      </c>
      <c r="M2109" s="18" t="s">
        <v>2560</v>
      </c>
      <c r="N2109" s="16">
        <v>76.0</v>
      </c>
      <c r="O2109" s="8" t="s">
        <v>6050</v>
      </c>
      <c r="P2109" s="8" t="s">
        <v>80</v>
      </c>
      <c r="Q2109" s="14" t="s">
        <v>1679</v>
      </c>
      <c r="R2109" s="8" t="s">
        <v>2603</v>
      </c>
      <c r="S2109" s="14" t="s">
        <v>2553</v>
      </c>
    </row>
    <row r="2110">
      <c r="A2110" s="8" t="s">
        <v>287</v>
      </c>
      <c r="B2110" s="8" t="s">
        <v>284</v>
      </c>
      <c r="C2110" s="8" t="s">
        <v>70</v>
      </c>
      <c r="D2110" s="18" t="s">
        <v>2556</v>
      </c>
      <c r="E2110" s="16">
        <v>73.0</v>
      </c>
      <c r="F2110" s="8" t="s">
        <v>465</v>
      </c>
      <c r="G2110" s="8" t="s">
        <v>1675</v>
      </c>
      <c r="H2110" s="8" t="s">
        <v>93</v>
      </c>
      <c r="I2110" s="18" t="s">
        <v>2575</v>
      </c>
      <c r="J2110" s="16">
        <v>80.0</v>
      </c>
      <c r="K2110" s="8" t="s">
        <v>861</v>
      </c>
      <c r="L2110" s="8" t="s">
        <v>2913</v>
      </c>
      <c r="M2110" s="18" t="s">
        <v>2645</v>
      </c>
      <c r="N2110" s="16">
        <v>68.0</v>
      </c>
      <c r="O2110" s="8" t="s">
        <v>6051</v>
      </c>
      <c r="P2110" s="8" t="s">
        <v>93</v>
      </c>
      <c r="Q2110" s="14" t="s">
        <v>2296</v>
      </c>
      <c r="R2110" s="8" t="s">
        <v>2554</v>
      </c>
      <c r="S2110" s="14" t="s">
        <v>2622</v>
      </c>
    </row>
    <row r="2111">
      <c r="A2111" s="8" t="s">
        <v>287</v>
      </c>
      <c r="B2111" s="8" t="s">
        <v>284</v>
      </c>
      <c r="C2111" s="8" t="s">
        <v>186</v>
      </c>
      <c r="D2111" s="18" t="s">
        <v>2560</v>
      </c>
      <c r="E2111" s="16">
        <v>64.0</v>
      </c>
      <c r="F2111" s="8" t="s">
        <v>465</v>
      </c>
      <c r="G2111" s="8" t="s">
        <v>464</v>
      </c>
      <c r="H2111" s="8" t="s">
        <v>65</v>
      </c>
      <c r="I2111" s="18" t="s">
        <v>2593</v>
      </c>
      <c r="J2111" s="16">
        <v>81.0</v>
      </c>
      <c r="K2111" s="8" t="s">
        <v>861</v>
      </c>
      <c r="L2111" s="8" t="s">
        <v>2788</v>
      </c>
      <c r="M2111" s="18" t="s">
        <v>2587</v>
      </c>
      <c r="N2111" s="16">
        <v>66.0</v>
      </c>
      <c r="O2111" s="8" t="s">
        <v>6052</v>
      </c>
      <c r="P2111" s="8" t="s">
        <v>186</v>
      </c>
      <c r="Q2111" s="14" t="s">
        <v>2033</v>
      </c>
      <c r="R2111" s="8" t="s">
        <v>2577</v>
      </c>
      <c r="S2111" s="14" t="s">
        <v>2609</v>
      </c>
    </row>
    <row r="2112">
      <c r="A2112" s="8" t="s">
        <v>1970</v>
      </c>
      <c r="B2112" s="8" t="s">
        <v>1969</v>
      </c>
      <c r="C2112" s="8" t="s">
        <v>65</v>
      </c>
      <c r="D2112" s="18" t="s">
        <v>2621</v>
      </c>
      <c r="E2112" s="16">
        <v>69.0</v>
      </c>
      <c r="F2112" s="8" t="s">
        <v>465</v>
      </c>
      <c r="G2112" s="8" t="s">
        <v>3142</v>
      </c>
      <c r="H2112" s="8" t="s">
        <v>192</v>
      </c>
      <c r="I2112" s="18" t="s">
        <v>2554</v>
      </c>
      <c r="J2112" s="16">
        <v>82.0</v>
      </c>
      <c r="K2112" s="8" t="s">
        <v>640</v>
      </c>
      <c r="L2112" s="8" t="s">
        <v>639</v>
      </c>
      <c r="M2112" s="18" t="s">
        <v>2595</v>
      </c>
      <c r="N2112" s="16">
        <v>80.0</v>
      </c>
      <c r="O2112" s="8" t="s">
        <v>6053</v>
      </c>
      <c r="P2112" s="8" t="s">
        <v>59</v>
      </c>
      <c r="Q2112" s="14" t="s">
        <v>631</v>
      </c>
      <c r="R2112" s="8" t="s">
        <v>2584</v>
      </c>
      <c r="S2112" s="14" t="s">
        <v>2613</v>
      </c>
    </row>
    <row r="2113">
      <c r="A2113" s="8" t="s">
        <v>3592</v>
      </c>
      <c r="B2113" s="8" t="s">
        <v>3591</v>
      </c>
      <c r="C2113" s="8" t="s">
        <v>132</v>
      </c>
      <c r="D2113" s="18" t="s">
        <v>2582</v>
      </c>
      <c r="E2113" s="16">
        <v>65.0</v>
      </c>
      <c r="F2113" s="8" t="s">
        <v>441</v>
      </c>
      <c r="G2113" s="8" t="s">
        <v>688</v>
      </c>
      <c r="H2113" s="8" t="s">
        <v>65</v>
      </c>
      <c r="I2113" s="18" t="s">
        <v>2598</v>
      </c>
      <c r="J2113" s="16">
        <v>79.0</v>
      </c>
      <c r="K2113" s="8" t="s">
        <v>1126</v>
      </c>
      <c r="L2113" s="8" t="s">
        <v>877</v>
      </c>
      <c r="M2113" s="18" t="s">
        <v>2598</v>
      </c>
      <c r="N2113" s="16">
        <v>82.0</v>
      </c>
      <c r="O2113" s="8" t="s">
        <v>6054</v>
      </c>
      <c r="P2113" s="8" t="s">
        <v>24</v>
      </c>
      <c r="Q2113" s="14" t="s">
        <v>1070</v>
      </c>
      <c r="R2113" s="8" t="s">
        <v>2574</v>
      </c>
      <c r="S2113" s="14" t="s">
        <v>2555</v>
      </c>
    </row>
    <row r="2114">
      <c r="A2114" s="8" t="s">
        <v>3291</v>
      </c>
      <c r="B2114" s="8" t="s">
        <v>3290</v>
      </c>
      <c r="C2114" s="8" t="s">
        <v>59</v>
      </c>
      <c r="D2114" s="18" t="s">
        <v>2183</v>
      </c>
      <c r="E2114" s="16">
        <v>90.0</v>
      </c>
      <c r="F2114" s="8" t="s">
        <v>441</v>
      </c>
      <c r="G2114" s="8" t="s">
        <v>783</v>
      </c>
      <c r="H2114" s="8" t="s">
        <v>93</v>
      </c>
      <c r="I2114" s="18" t="s">
        <v>2598</v>
      </c>
      <c r="J2114" s="16">
        <v>58.0</v>
      </c>
      <c r="K2114" s="8" t="s">
        <v>789</v>
      </c>
      <c r="L2114" s="8" t="s">
        <v>788</v>
      </c>
      <c r="M2114" s="18" t="s">
        <v>2554</v>
      </c>
      <c r="N2114" s="16">
        <v>76.0</v>
      </c>
      <c r="O2114" s="8" t="s">
        <v>6055</v>
      </c>
      <c r="P2114" s="8" t="s">
        <v>93</v>
      </c>
      <c r="Q2114" s="14" t="s">
        <v>837</v>
      </c>
      <c r="R2114" s="8" t="s">
        <v>2615</v>
      </c>
      <c r="S2114" s="14" t="s">
        <v>2571</v>
      </c>
    </row>
    <row r="2115">
      <c r="A2115" s="8" t="s">
        <v>489</v>
      </c>
      <c r="B2115" s="8" t="s">
        <v>2718</v>
      </c>
      <c r="C2115" s="8" t="s">
        <v>186</v>
      </c>
      <c r="D2115" s="18" t="s">
        <v>2615</v>
      </c>
      <c r="E2115" s="16">
        <v>65.0</v>
      </c>
      <c r="F2115" s="8" t="s">
        <v>441</v>
      </c>
      <c r="G2115" s="8" t="s">
        <v>743</v>
      </c>
      <c r="H2115" s="8" t="s">
        <v>46</v>
      </c>
      <c r="I2115" s="18" t="s">
        <v>2621</v>
      </c>
      <c r="J2115" s="16">
        <v>88.0</v>
      </c>
      <c r="K2115" s="8" t="s">
        <v>62</v>
      </c>
      <c r="L2115" s="8" t="s">
        <v>2768</v>
      </c>
      <c r="M2115" s="18" t="s">
        <v>2581</v>
      </c>
      <c r="N2115" s="16">
        <v>64.0</v>
      </c>
      <c r="O2115" s="8" t="s">
        <v>6056</v>
      </c>
      <c r="P2115" s="8" t="s">
        <v>192</v>
      </c>
      <c r="Q2115" s="14" t="s">
        <v>2296</v>
      </c>
      <c r="R2115" s="8" t="s">
        <v>2577</v>
      </c>
      <c r="S2115" s="14" t="s">
        <v>2553</v>
      </c>
    </row>
    <row r="2116">
      <c r="A2116" s="8" t="s">
        <v>489</v>
      </c>
      <c r="B2116" s="8" t="s">
        <v>488</v>
      </c>
      <c r="C2116" s="8" t="s">
        <v>53</v>
      </c>
      <c r="D2116" s="18" t="s">
        <v>2585</v>
      </c>
      <c r="E2116" s="16">
        <v>71.0</v>
      </c>
      <c r="F2116" s="8" t="s">
        <v>441</v>
      </c>
      <c r="G2116" s="8" t="s">
        <v>1188</v>
      </c>
      <c r="H2116" s="8" t="s">
        <v>16</v>
      </c>
      <c r="I2116" s="18" t="s">
        <v>2552</v>
      </c>
      <c r="J2116" s="16">
        <v>58.0</v>
      </c>
      <c r="K2116" s="8" t="s">
        <v>62</v>
      </c>
      <c r="L2116" s="8" t="s">
        <v>168</v>
      </c>
      <c r="M2116" s="18" t="s">
        <v>2595</v>
      </c>
      <c r="N2116" s="16">
        <v>85.0</v>
      </c>
      <c r="O2116" s="8" t="s">
        <v>6057</v>
      </c>
      <c r="P2116" s="8" t="s">
        <v>122</v>
      </c>
      <c r="Q2116" s="14" t="s">
        <v>237</v>
      </c>
      <c r="R2116" s="18" t="s">
        <v>2589</v>
      </c>
      <c r="S2116" s="14" t="s">
        <v>2568</v>
      </c>
    </row>
    <row r="2117">
      <c r="A2117" s="8" t="s">
        <v>1803</v>
      </c>
      <c r="B2117" s="8" t="s">
        <v>3406</v>
      </c>
      <c r="C2117" s="8" t="s">
        <v>24</v>
      </c>
      <c r="D2117" s="18" t="s">
        <v>2560</v>
      </c>
      <c r="E2117" s="16">
        <v>46.0</v>
      </c>
      <c r="F2117" s="8" t="s">
        <v>441</v>
      </c>
      <c r="G2117" s="8" t="s">
        <v>1428</v>
      </c>
      <c r="H2117" s="8" t="s">
        <v>46</v>
      </c>
      <c r="I2117" s="18" t="s">
        <v>2554</v>
      </c>
      <c r="J2117" s="16">
        <v>82.0</v>
      </c>
      <c r="K2117" s="8" t="s">
        <v>62</v>
      </c>
      <c r="L2117" s="8" t="s">
        <v>2760</v>
      </c>
      <c r="M2117" s="18" t="s">
        <v>2574</v>
      </c>
      <c r="N2117" s="16">
        <v>83.0</v>
      </c>
      <c r="O2117" s="8" t="s">
        <v>6058</v>
      </c>
      <c r="P2117" s="8" t="s">
        <v>53</v>
      </c>
      <c r="Q2117" s="14" t="s">
        <v>60</v>
      </c>
      <c r="R2117" s="18" t="s">
        <v>2589</v>
      </c>
      <c r="S2117" s="14" t="s">
        <v>2578</v>
      </c>
    </row>
    <row r="2118">
      <c r="A2118" s="8" t="s">
        <v>3540</v>
      </c>
      <c r="B2118" s="8" t="s">
        <v>3539</v>
      </c>
      <c r="C2118" s="8" t="s">
        <v>122</v>
      </c>
      <c r="D2118" s="18" t="s">
        <v>2560</v>
      </c>
      <c r="E2118" s="16">
        <v>62.0</v>
      </c>
      <c r="F2118" s="8" t="s">
        <v>441</v>
      </c>
      <c r="G2118" s="8" t="s">
        <v>1468</v>
      </c>
      <c r="H2118" s="8" t="s">
        <v>149</v>
      </c>
      <c r="I2118" s="18" t="s">
        <v>2564</v>
      </c>
      <c r="J2118" s="16">
        <v>69.0</v>
      </c>
      <c r="K2118" s="8" t="s">
        <v>62</v>
      </c>
      <c r="L2118" s="8" t="s">
        <v>1296</v>
      </c>
      <c r="M2118" s="18" t="s">
        <v>2560</v>
      </c>
      <c r="N2118" s="16">
        <v>74.0</v>
      </c>
      <c r="O2118" s="8" t="s">
        <v>6059</v>
      </c>
      <c r="P2118" s="8" t="s">
        <v>65</v>
      </c>
      <c r="Q2118" s="14" t="s">
        <v>338</v>
      </c>
      <c r="R2118" s="8" t="s">
        <v>2584</v>
      </c>
      <c r="S2118" s="14" t="s">
        <v>2602</v>
      </c>
    </row>
    <row r="2119">
      <c r="A2119" s="8" t="s">
        <v>516</v>
      </c>
      <c r="B2119" s="8" t="s">
        <v>515</v>
      </c>
      <c r="C2119" s="8" t="s">
        <v>80</v>
      </c>
      <c r="D2119" s="18" t="s">
        <v>2584</v>
      </c>
      <c r="E2119" s="16">
        <v>77.0</v>
      </c>
      <c r="F2119" s="8" t="s">
        <v>441</v>
      </c>
      <c r="G2119" s="8" t="s">
        <v>1541</v>
      </c>
      <c r="H2119" s="8" t="s">
        <v>132</v>
      </c>
      <c r="I2119" s="18" t="s">
        <v>2574</v>
      </c>
      <c r="J2119" s="16">
        <v>73.0</v>
      </c>
      <c r="K2119" s="8" t="s">
        <v>2661</v>
      </c>
      <c r="L2119" s="8" t="s">
        <v>2660</v>
      </c>
      <c r="M2119" s="18" t="s">
        <v>2566</v>
      </c>
      <c r="N2119" s="16">
        <v>62.0</v>
      </c>
      <c r="O2119" s="8" t="s">
        <v>6060</v>
      </c>
      <c r="P2119" s="8" t="s">
        <v>192</v>
      </c>
      <c r="Q2119" s="14" t="s">
        <v>837</v>
      </c>
      <c r="R2119" s="8" t="s">
        <v>2600</v>
      </c>
      <c r="S2119" s="14" t="s">
        <v>2557</v>
      </c>
    </row>
    <row r="2120">
      <c r="A2120" s="8" t="s">
        <v>2970</v>
      </c>
      <c r="B2120" s="8" t="s">
        <v>2969</v>
      </c>
      <c r="C2120" s="8" t="s">
        <v>93</v>
      </c>
      <c r="D2120" s="18" t="s">
        <v>2620</v>
      </c>
      <c r="E2120" s="16">
        <v>61.0</v>
      </c>
      <c r="F2120" s="8" t="s">
        <v>538</v>
      </c>
      <c r="G2120" s="8" t="s">
        <v>537</v>
      </c>
      <c r="H2120" s="8" t="s">
        <v>16</v>
      </c>
      <c r="I2120" s="18" t="s">
        <v>2558</v>
      </c>
      <c r="J2120" s="16">
        <v>60.0</v>
      </c>
      <c r="K2120" s="8" t="s">
        <v>1209</v>
      </c>
      <c r="L2120" s="8" t="s">
        <v>194</v>
      </c>
      <c r="M2120" s="18" t="s">
        <v>2620</v>
      </c>
      <c r="N2120" s="16">
        <v>64.0</v>
      </c>
      <c r="O2120" s="8" t="s">
        <v>6061</v>
      </c>
      <c r="P2120" s="8" t="s">
        <v>46</v>
      </c>
      <c r="Q2120" s="14" t="s">
        <v>631</v>
      </c>
      <c r="R2120" s="8" t="s">
        <v>2595</v>
      </c>
      <c r="S2120" s="14" t="s">
        <v>2613</v>
      </c>
    </row>
    <row r="2121">
      <c r="A2121" s="8" t="s">
        <v>2673</v>
      </c>
      <c r="B2121" s="8" t="s">
        <v>2310</v>
      </c>
      <c r="C2121" s="8" t="s">
        <v>59</v>
      </c>
      <c r="D2121" s="18" t="s">
        <v>2603</v>
      </c>
      <c r="E2121" s="16">
        <v>62.0</v>
      </c>
      <c r="F2121" s="8" t="s">
        <v>1994</v>
      </c>
      <c r="G2121" s="8" t="s">
        <v>441</v>
      </c>
      <c r="H2121" s="8" t="s">
        <v>65</v>
      </c>
      <c r="I2121" s="18" t="s">
        <v>2621</v>
      </c>
      <c r="J2121" s="16">
        <v>77.0</v>
      </c>
      <c r="K2121" s="8" t="s">
        <v>1209</v>
      </c>
      <c r="L2121" s="8" t="s">
        <v>78</v>
      </c>
      <c r="M2121" s="18" t="s">
        <v>2575</v>
      </c>
      <c r="N2121" s="16">
        <v>71.0</v>
      </c>
      <c r="O2121" s="8" t="s">
        <v>6062</v>
      </c>
      <c r="P2121" s="8" t="s">
        <v>138</v>
      </c>
      <c r="Q2121" s="14" t="s">
        <v>2296</v>
      </c>
      <c r="R2121" s="8" t="s">
        <v>2592</v>
      </c>
      <c r="S2121" s="14" t="s">
        <v>2609</v>
      </c>
    </row>
    <row r="2122">
      <c r="A2122" s="8" t="s">
        <v>2882</v>
      </c>
      <c r="B2122" s="8" t="s">
        <v>956</v>
      </c>
      <c r="C2122" s="8" t="s">
        <v>65</v>
      </c>
      <c r="D2122" s="18" t="s">
        <v>2566</v>
      </c>
      <c r="E2122" s="16">
        <v>61.0</v>
      </c>
      <c r="F2122" s="8" t="s">
        <v>114</v>
      </c>
      <c r="G2122" s="8" t="s">
        <v>2811</v>
      </c>
      <c r="H2122" s="8" t="s">
        <v>65</v>
      </c>
      <c r="I2122" s="18" t="s">
        <v>2595</v>
      </c>
      <c r="J2122" s="16">
        <v>79.0</v>
      </c>
      <c r="K2122" s="8" t="s">
        <v>1209</v>
      </c>
      <c r="L2122" s="8" t="s">
        <v>1055</v>
      </c>
      <c r="M2122" s="18" t="s">
        <v>2575</v>
      </c>
      <c r="N2122" s="16">
        <v>62.0</v>
      </c>
      <c r="O2122" s="8" t="s">
        <v>6063</v>
      </c>
      <c r="P2122" s="8" t="s">
        <v>65</v>
      </c>
      <c r="Q2122" s="14" t="s">
        <v>2459</v>
      </c>
      <c r="R2122" s="8" t="s">
        <v>2574</v>
      </c>
      <c r="S2122" s="14" t="s">
        <v>2579</v>
      </c>
    </row>
    <row r="2123">
      <c r="A2123" s="8" t="s">
        <v>1114</v>
      </c>
      <c r="B2123" s="8" t="s">
        <v>868</v>
      </c>
      <c r="C2123" s="8" t="s">
        <v>93</v>
      </c>
      <c r="D2123" s="18" t="s">
        <v>2605</v>
      </c>
      <c r="E2123" s="16">
        <v>62.0</v>
      </c>
      <c r="F2123" s="8" t="s">
        <v>114</v>
      </c>
      <c r="G2123" s="8" t="s">
        <v>210</v>
      </c>
      <c r="H2123" s="8" t="s">
        <v>75</v>
      </c>
      <c r="I2123" s="18" t="s">
        <v>2581</v>
      </c>
      <c r="J2123" s="16">
        <v>69.0</v>
      </c>
      <c r="K2123" s="8" t="s">
        <v>1209</v>
      </c>
      <c r="L2123" s="8" t="s">
        <v>2415</v>
      </c>
      <c r="M2123" s="18" t="s">
        <v>2582</v>
      </c>
      <c r="N2123" s="16">
        <v>69.0</v>
      </c>
      <c r="O2123" s="8" t="s">
        <v>6064</v>
      </c>
      <c r="P2123" s="8" t="s">
        <v>65</v>
      </c>
      <c r="Q2123" s="14" t="s">
        <v>2296</v>
      </c>
      <c r="R2123" s="8" t="s">
        <v>2582</v>
      </c>
      <c r="S2123" s="14" t="s">
        <v>2591</v>
      </c>
    </row>
    <row r="2124">
      <c r="A2124" s="8" t="s">
        <v>465</v>
      </c>
      <c r="B2124" s="8" t="s">
        <v>464</v>
      </c>
      <c r="C2124" s="8" t="s">
        <v>65</v>
      </c>
      <c r="D2124" s="18" t="s">
        <v>2593</v>
      </c>
      <c r="E2124" s="16">
        <v>80.0</v>
      </c>
      <c r="F2124" s="8" t="s">
        <v>114</v>
      </c>
      <c r="G2124" s="8" t="s">
        <v>1214</v>
      </c>
      <c r="H2124" s="8" t="s">
        <v>141</v>
      </c>
      <c r="I2124" s="18" t="s">
        <v>2600</v>
      </c>
      <c r="J2124" s="16">
        <v>65.0</v>
      </c>
      <c r="K2124" s="8" t="s">
        <v>1209</v>
      </c>
      <c r="L2124" s="8" t="s">
        <v>1208</v>
      </c>
      <c r="M2124" s="18" t="s">
        <v>2564</v>
      </c>
      <c r="N2124" s="16">
        <v>81.0</v>
      </c>
      <c r="O2124" s="8" t="s">
        <v>6065</v>
      </c>
      <c r="P2124" s="8" t="s">
        <v>70</v>
      </c>
      <c r="Q2124" s="14" t="s">
        <v>1070</v>
      </c>
      <c r="R2124" s="8" t="s">
        <v>2585</v>
      </c>
      <c r="S2124" s="14" t="s">
        <v>2578</v>
      </c>
    </row>
    <row r="2125">
      <c r="A2125" s="8" t="s">
        <v>465</v>
      </c>
      <c r="B2125" s="8" t="s">
        <v>451</v>
      </c>
      <c r="C2125" s="8" t="s">
        <v>192</v>
      </c>
      <c r="D2125" s="18" t="s">
        <v>2554</v>
      </c>
      <c r="E2125" s="16">
        <v>73.0</v>
      </c>
      <c r="F2125" s="8" t="s">
        <v>1101</v>
      </c>
      <c r="G2125" s="8" t="s">
        <v>78</v>
      </c>
      <c r="H2125" s="8" t="s">
        <v>93</v>
      </c>
      <c r="I2125" s="18" t="s">
        <v>2574</v>
      </c>
      <c r="J2125" s="16">
        <v>62.0</v>
      </c>
      <c r="K2125" s="8" t="s">
        <v>3146</v>
      </c>
      <c r="L2125" s="8" t="s">
        <v>455</v>
      </c>
      <c r="M2125" s="18" t="s">
        <v>2183</v>
      </c>
      <c r="N2125" s="16">
        <v>69.0</v>
      </c>
      <c r="O2125" s="8" t="s">
        <v>6066</v>
      </c>
      <c r="P2125" s="8" t="s">
        <v>70</v>
      </c>
      <c r="Q2125" s="14" t="s">
        <v>631</v>
      </c>
      <c r="R2125" s="8" t="s">
        <v>2554</v>
      </c>
      <c r="S2125" s="14" t="s">
        <v>2590</v>
      </c>
    </row>
    <row r="2126">
      <c r="A2126" s="8" t="s">
        <v>465</v>
      </c>
      <c r="B2126" s="8" t="s">
        <v>1675</v>
      </c>
      <c r="C2126" s="8" t="s">
        <v>93</v>
      </c>
      <c r="D2126" s="18" t="s">
        <v>2575</v>
      </c>
      <c r="E2126" s="16">
        <v>67.0</v>
      </c>
      <c r="F2126" s="8" t="s">
        <v>1101</v>
      </c>
      <c r="G2126" s="8" t="s">
        <v>1100</v>
      </c>
      <c r="H2126" s="8" t="s">
        <v>16</v>
      </c>
      <c r="I2126" s="18" t="s">
        <v>2552</v>
      </c>
      <c r="J2126" s="16">
        <v>79.0</v>
      </c>
      <c r="K2126" s="8" t="s">
        <v>2817</v>
      </c>
      <c r="L2126" s="8" t="s">
        <v>268</v>
      </c>
      <c r="M2126" s="18" t="s">
        <v>2645</v>
      </c>
      <c r="N2126" s="16">
        <v>72.0</v>
      </c>
      <c r="O2126" s="8" t="s">
        <v>6067</v>
      </c>
      <c r="P2126" s="8" t="s">
        <v>59</v>
      </c>
      <c r="Q2126" s="14" t="s">
        <v>60</v>
      </c>
      <c r="R2126" s="8" t="s">
        <v>2572</v>
      </c>
      <c r="S2126" s="14" t="s">
        <v>2608</v>
      </c>
    </row>
    <row r="2127">
      <c r="A2127" s="8" t="s">
        <v>3652</v>
      </c>
      <c r="B2127" s="8" t="s">
        <v>3651</v>
      </c>
      <c r="C2127" s="8" t="s">
        <v>93</v>
      </c>
      <c r="D2127" s="18" t="s">
        <v>2567</v>
      </c>
      <c r="E2127" s="16">
        <v>67.0</v>
      </c>
      <c r="F2127" s="8" t="s">
        <v>1996</v>
      </c>
      <c r="G2127" s="8" t="s">
        <v>444</v>
      </c>
      <c r="H2127" s="8" t="s">
        <v>80</v>
      </c>
      <c r="I2127" s="18" t="s">
        <v>2603</v>
      </c>
      <c r="J2127" s="16">
        <v>72.0</v>
      </c>
      <c r="K2127" s="8" t="s">
        <v>2864</v>
      </c>
      <c r="L2127" s="8" t="s">
        <v>389</v>
      </c>
      <c r="M2127" s="18" t="s">
        <v>2554</v>
      </c>
      <c r="N2127" s="16">
        <v>66.0</v>
      </c>
      <c r="O2127" s="8" t="s">
        <v>6068</v>
      </c>
      <c r="P2127" s="8" t="s">
        <v>24</v>
      </c>
      <c r="Q2127" s="14" t="s">
        <v>1352</v>
      </c>
      <c r="R2127" s="8" t="s">
        <v>2560</v>
      </c>
      <c r="S2127" s="14" t="s">
        <v>18</v>
      </c>
    </row>
    <row r="2128">
      <c r="A2128" s="8" t="s">
        <v>441</v>
      </c>
      <c r="B2128" s="8" t="s">
        <v>3552</v>
      </c>
      <c r="C2128" s="8" t="s">
        <v>12</v>
      </c>
      <c r="D2128" s="18" t="s">
        <v>2593</v>
      </c>
      <c r="E2128" s="16">
        <v>65.0</v>
      </c>
      <c r="F2128" s="8" t="s">
        <v>2433</v>
      </c>
      <c r="G2128" s="8" t="s">
        <v>2432</v>
      </c>
      <c r="H2128" s="8" t="s">
        <v>93</v>
      </c>
      <c r="I2128" s="18" t="s">
        <v>2554</v>
      </c>
      <c r="J2128" s="16">
        <v>73.0</v>
      </c>
      <c r="K2128" s="8" t="s">
        <v>883</v>
      </c>
      <c r="L2128" s="8" t="s">
        <v>2824</v>
      </c>
      <c r="M2128" s="18" t="s">
        <v>2593</v>
      </c>
      <c r="N2128" s="16">
        <v>86.0</v>
      </c>
      <c r="O2128" s="8" t="s">
        <v>6069</v>
      </c>
      <c r="P2128" s="8" t="s">
        <v>38</v>
      </c>
      <c r="Q2128" s="14" t="s">
        <v>135</v>
      </c>
      <c r="R2128" s="8" t="s">
        <v>2595</v>
      </c>
      <c r="S2128" s="14" t="s">
        <v>2611</v>
      </c>
    </row>
    <row r="2129">
      <c r="A2129" s="8" t="s">
        <v>441</v>
      </c>
      <c r="B2129" s="8" t="s">
        <v>3556</v>
      </c>
      <c r="C2129" s="8" t="s">
        <v>141</v>
      </c>
      <c r="D2129" s="18" t="s">
        <v>2589</v>
      </c>
      <c r="E2129" s="16">
        <v>67.0</v>
      </c>
      <c r="F2129" s="8" t="s">
        <v>801</v>
      </c>
      <c r="G2129" s="8" t="s">
        <v>99</v>
      </c>
      <c r="H2129" s="8" t="s">
        <v>59</v>
      </c>
      <c r="I2129" s="18" t="s">
        <v>2584</v>
      </c>
      <c r="J2129" s="16">
        <v>82.0</v>
      </c>
      <c r="K2129" s="8" t="s">
        <v>883</v>
      </c>
      <c r="L2129" s="8" t="s">
        <v>61</v>
      </c>
      <c r="M2129" s="18" t="s">
        <v>2620</v>
      </c>
      <c r="N2129" s="16">
        <v>77.0</v>
      </c>
      <c r="O2129" s="8" t="s">
        <v>6070</v>
      </c>
      <c r="P2129" s="8" t="s">
        <v>70</v>
      </c>
      <c r="Q2129" s="14" t="s">
        <v>1070</v>
      </c>
      <c r="R2129" s="8" t="s">
        <v>2584</v>
      </c>
      <c r="S2129" s="14" t="s">
        <v>2563</v>
      </c>
    </row>
    <row r="2130">
      <c r="A2130" s="8" t="s">
        <v>441</v>
      </c>
      <c r="B2130" s="8" t="s">
        <v>1428</v>
      </c>
      <c r="C2130" s="8" t="s">
        <v>46</v>
      </c>
      <c r="D2130" s="18" t="s">
        <v>2554</v>
      </c>
      <c r="E2130" s="16">
        <v>76.0</v>
      </c>
      <c r="F2130" s="8" t="s">
        <v>1190</v>
      </c>
      <c r="G2130" s="8" t="s">
        <v>1189</v>
      </c>
      <c r="H2130" s="8" t="s">
        <v>24</v>
      </c>
      <c r="I2130" s="18" t="s">
        <v>2593</v>
      </c>
      <c r="J2130" s="16">
        <v>62.0</v>
      </c>
      <c r="K2130" s="8" t="s">
        <v>15</v>
      </c>
      <c r="L2130" s="8" t="s">
        <v>358</v>
      </c>
      <c r="M2130" s="18" t="s">
        <v>2552</v>
      </c>
      <c r="N2130" s="16">
        <v>71.0</v>
      </c>
      <c r="O2130" s="8" t="s">
        <v>6071</v>
      </c>
      <c r="P2130" s="8" t="s">
        <v>192</v>
      </c>
      <c r="Q2130" s="14" t="s">
        <v>2503</v>
      </c>
      <c r="R2130" s="8" t="s">
        <v>2615</v>
      </c>
      <c r="S2130" s="14" t="s">
        <v>2580</v>
      </c>
    </row>
    <row r="2131">
      <c r="A2131" s="8" t="s">
        <v>441</v>
      </c>
      <c r="B2131" s="8" t="s">
        <v>3629</v>
      </c>
      <c r="C2131" s="8" t="s">
        <v>149</v>
      </c>
      <c r="D2131" s="18" t="s">
        <v>2592</v>
      </c>
      <c r="E2131" s="16">
        <v>58.0</v>
      </c>
      <c r="F2131" s="8" t="s">
        <v>2982</v>
      </c>
      <c r="G2131" s="8" t="s">
        <v>2981</v>
      </c>
      <c r="H2131" s="8" t="s">
        <v>215</v>
      </c>
      <c r="I2131" s="18" t="s">
        <v>2572</v>
      </c>
      <c r="J2131" s="16">
        <v>68.0</v>
      </c>
      <c r="K2131" s="8" t="s">
        <v>15</v>
      </c>
      <c r="L2131" s="8" t="s">
        <v>389</v>
      </c>
      <c r="M2131" s="18" t="s">
        <v>2603</v>
      </c>
      <c r="N2131" s="16">
        <v>74.0</v>
      </c>
      <c r="O2131" s="8" t="s">
        <v>6072</v>
      </c>
      <c r="P2131" s="8" t="s">
        <v>16</v>
      </c>
      <c r="Q2131" s="14" t="s">
        <v>1679</v>
      </c>
      <c r="R2131" s="8" t="s">
        <v>2558</v>
      </c>
      <c r="S2131" s="14" t="s">
        <v>2606</v>
      </c>
    </row>
    <row r="2132">
      <c r="A2132" s="8" t="s">
        <v>441</v>
      </c>
      <c r="B2132" s="8" t="s">
        <v>688</v>
      </c>
      <c r="C2132" s="8" t="s">
        <v>65</v>
      </c>
      <c r="D2132" s="18" t="s">
        <v>2615</v>
      </c>
      <c r="E2132" s="16">
        <v>72.0</v>
      </c>
      <c r="F2132" s="8" t="s">
        <v>2804</v>
      </c>
      <c r="G2132" s="8" t="s">
        <v>2963</v>
      </c>
      <c r="H2132" s="8" t="s">
        <v>93</v>
      </c>
      <c r="I2132" s="18" t="s">
        <v>2552</v>
      </c>
      <c r="J2132" s="16">
        <v>85.0</v>
      </c>
      <c r="K2132" s="8" t="s">
        <v>15</v>
      </c>
      <c r="L2132" s="8" t="s">
        <v>600</v>
      </c>
      <c r="M2132" s="18" t="s">
        <v>2595</v>
      </c>
      <c r="N2132" s="16">
        <v>74.0</v>
      </c>
      <c r="O2132" s="8" t="s">
        <v>6073</v>
      </c>
      <c r="P2132" s="8" t="s">
        <v>93</v>
      </c>
      <c r="Q2132" s="14" t="s">
        <v>1679</v>
      </c>
      <c r="R2132" s="8" t="s">
        <v>2585</v>
      </c>
      <c r="S2132" s="14" t="s">
        <v>2555</v>
      </c>
    </row>
    <row r="2133">
      <c r="A2133" s="8" t="s">
        <v>441</v>
      </c>
      <c r="B2133" s="8" t="s">
        <v>1468</v>
      </c>
      <c r="C2133" s="8" t="s">
        <v>122</v>
      </c>
      <c r="D2133" s="18" t="s">
        <v>2564</v>
      </c>
      <c r="E2133" s="16">
        <v>65.0</v>
      </c>
      <c r="F2133" s="8" t="s">
        <v>2804</v>
      </c>
      <c r="G2133" s="8" t="s">
        <v>2803</v>
      </c>
      <c r="H2133" s="8" t="s">
        <v>186</v>
      </c>
      <c r="I2133" s="18" t="s">
        <v>2603</v>
      </c>
      <c r="J2133" s="16">
        <v>63.0</v>
      </c>
      <c r="K2133" s="8" t="s">
        <v>15</v>
      </c>
      <c r="L2133" s="8" t="s">
        <v>14</v>
      </c>
      <c r="M2133" s="18" t="s">
        <v>2600</v>
      </c>
      <c r="N2133" s="16">
        <v>88.0</v>
      </c>
      <c r="O2133" s="8" t="s">
        <v>6074</v>
      </c>
      <c r="P2133" s="8" t="s">
        <v>122</v>
      </c>
      <c r="Q2133" s="14" t="s">
        <v>1070</v>
      </c>
      <c r="R2133" s="8" t="s">
        <v>2564</v>
      </c>
      <c r="S2133" s="14" t="s">
        <v>2586</v>
      </c>
    </row>
    <row r="2134">
      <c r="A2134" s="8" t="s">
        <v>441</v>
      </c>
      <c r="B2134" s="8" t="s">
        <v>1188</v>
      </c>
      <c r="C2134" s="8" t="s">
        <v>16</v>
      </c>
      <c r="D2134" s="18" t="s">
        <v>2552</v>
      </c>
      <c r="E2134" s="16">
        <v>60.0</v>
      </c>
      <c r="F2134" s="8" t="s">
        <v>983</v>
      </c>
      <c r="G2134" s="8" t="s">
        <v>99</v>
      </c>
      <c r="H2134" s="8" t="s">
        <v>186</v>
      </c>
      <c r="I2134" s="18" t="s">
        <v>2183</v>
      </c>
      <c r="J2134" s="16">
        <v>60.0</v>
      </c>
      <c r="K2134" s="8" t="s">
        <v>15</v>
      </c>
      <c r="L2134" s="8" t="s">
        <v>14</v>
      </c>
      <c r="M2134" s="18" t="s">
        <v>2600</v>
      </c>
      <c r="N2134" s="16">
        <v>92.0</v>
      </c>
      <c r="O2134" s="8" t="s">
        <v>6075</v>
      </c>
      <c r="P2134" s="8" t="s">
        <v>65</v>
      </c>
      <c r="Q2134" s="14" t="s">
        <v>1352</v>
      </c>
      <c r="R2134" s="8" t="s">
        <v>2620</v>
      </c>
      <c r="S2134" s="14" t="s">
        <v>2568</v>
      </c>
    </row>
    <row r="2135">
      <c r="A2135" s="8" t="s">
        <v>441</v>
      </c>
      <c r="B2135" s="8" t="s">
        <v>743</v>
      </c>
      <c r="C2135" s="8" t="s">
        <v>46</v>
      </c>
      <c r="D2135" s="18" t="s">
        <v>2621</v>
      </c>
      <c r="E2135" s="16">
        <v>83.0</v>
      </c>
      <c r="F2135" s="8" t="s">
        <v>983</v>
      </c>
      <c r="G2135" s="8" t="s">
        <v>3127</v>
      </c>
      <c r="H2135" s="8" t="s">
        <v>70</v>
      </c>
      <c r="I2135" s="18" t="s">
        <v>2575</v>
      </c>
      <c r="J2135" s="16">
        <v>81.0</v>
      </c>
      <c r="K2135" s="8" t="s">
        <v>1986</v>
      </c>
      <c r="L2135" s="8" t="s">
        <v>2691</v>
      </c>
      <c r="M2135" s="18" t="s">
        <v>2584</v>
      </c>
      <c r="N2135" s="16">
        <v>80.0</v>
      </c>
      <c r="O2135" s="8" t="s">
        <v>6076</v>
      </c>
      <c r="P2135" s="8" t="s">
        <v>122</v>
      </c>
      <c r="Q2135" s="14" t="s">
        <v>2296</v>
      </c>
      <c r="R2135" s="8" t="s">
        <v>2582</v>
      </c>
      <c r="S2135" s="14" t="s">
        <v>2583</v>
      </c>
    </row>
    <row r="2136">
      <c r="A2136" s="8" t="s">
        <v>114</v>
      </c>
      <c r="B2136" s="8" t="s">
        <v>3650</v>
      </c>
      <c r="C2136" s="8" t="s">
        <v>65</v>
      </c>
      <c r="D2136" s="18" t="s">
        <v>2574</v>
      </c>
      <c r="E2136" s="16">
        <v>77.0</v>
      </c>
      <c r="F2136" s="8" t="s">
        <v>983</v>
      </c>
      <c r="G2136" s="8" t="s">
        <v>78</v>
      </c>
      <c r="H2136" s="8" t="s">
        <v>65</v>
      </c>
      <c r="I2136" s="18" t="s">
        <v>2614</v>
      </c>
      <c r="J2136" s="16">
        <v>80.0</v>
      </c>
      <c r="K2136" s="8" t="s">
        <v>1986</v>
      </c>
      <c r="L2136" s="8" t="s">
        <v>2691</v>
      </c>
      <c r="M2136" s="18" t="s">
        <v>2584</v>
      </c>
      <c r="N2136" s="16">
        <v>87.0</v>
      </c>
      <c r="O2136" s="8" t="s">
        <v>6077</v>
      </c>
      <c r="P2136" s="8" t="s">
        <v>65</v>
      </c>
      <c r="Q2136" s="14" t="s">
        <v>1352</v>
      </c>
      <c r="R2136" s="8" t="s">
        <v>2560</v>
      </c>
      <c r="S2136" s="14" t="s">
        <v>2583</v>
      </c>
    </row>
    <row r="2137">
      <c r="A2137" s="8" t="s">
        <v>114</v>
      </c>
      <c r="B2137" s="8" t="s">
        <v>1214</v>
      </c>
      <c r="C2137" s="8" t="s">
        <v>132</v>
      </c>
      <c r="D2137" s="18" t="s">
        <v>2600</v>
      </c>
      <c r="E2137" s="16">
        <v>66.0</v>
      </c>
      <c r="F2137" s="8" t="s">
        <v>983</v>
      </c>
      <c r="G2137" s="8" t="s">
        <v>427</v>
      </c>
      <c r="H2137" s="8" t="s">
        <v>93</v>
      </c>
      <c r="I2137" s="18" t="s">
        <v>2183</v>
      </c>
      <c r="J2137" s="16">
        <v>79.0</v>
      </c>
      <c r="K2137" s="8" t="s">
        <v>1233</v>
      </c>
      <c r="L2137" s="8" t="s">
        <v>94</v>
      </c>
      <c r="M2137" s="18" t="s">
        <v>2595</v>
      </c>
      <c r="N2137" s="16">
        <v>68.0</v>
      </c>
      <c r="O2137" s="8" t="s">
        <v>6078</v>
      </c>
      <c r="P2137" s="8" t="s">
        <v>59</v>
      </c>
      <c r="Q2137" s="14" t="s">
        <v>1352</v>
      </c>
      <c r="R2137" s="8" t="s">
        <v>2575</v>
      </c>
      <c r="S2137" s="14" t="s">
        <v>2553</v>
      </c>
    </row>
    <row r="2138">
      <c r="A2138" s="8" t="s">
        <v>114</v>
      </c>
      <c r="B2138" s="8" t="s">
        <v>210</v>
      </c>
      <c r="C2138" s="8" t="s">
        <v>75</v>
      </c>
      <c r="D2138" s="18" t="s">
        <v>2605</v>
      </c>
      <c r="E2138" s="16">
        <v>67.0</v>
      </c>
      <c r="F2138" s="8" t="s">
        <v>77</v>
      </c>
      <c r="G2138" s="8" t="s">
        <v>293</v>
      </c>
      <c r="H2138" s="8" t="s">
        <v>215</v>
      </c>
      <c r="I2138" s="18" t="s">
        <v>2582</v>
      </c>
      <c r="J2138" s="16">
        <v>73.0</v>
      </c>
      <c r="K2138" s="8" t="s">
        <v>140</v>
      </c>
      <c r="L2138" s="8" t="s">
        <v>946</v>
      </c>
      <c r="M2138" s="18" t="s">
        <v>2575</v>
      </c>
      <c r="N2138" s="16">
        <v>80.0</v>
      </c>
      <c r="O2138" s="8" t="s">
        <v>6079</v>
      </c>
      <c r="P2138" s="8" t="s">
        <v>149</v>
      </c>
      <c r="Q2138" s="14" t="s">
        <v>2033</v>
      </c>
      <c r="R2138" s="8" t="s">
        <v>2582</v>
      </c>
      <c r="S2138" s="14" t="s">
        <v>2627</v>
      </c>
    </row>
    <row r="2139">
      <c r="A2139" s="8" t="s">
        <v>1101</v>
      </c>
      <c r="B2139" s="8" t="s">
        <v>1100</v>
      </c>
      <c r="C2139" s="8" t="s">
        <v>16</v>
      </c>
      <c r="D2139" s="18" t="s">
        <v>2552</v>
      </c>
      <c r="E2139" s="16">
        <v>81.0</v>
      </c>
      <c r="F2139" s="8" t="s">
        <v>77</v>
      </c>
      <c r="G2139" s="8" t="s">
        <v>76</v>
      </c>
      <c r="H2139" s="8" t="s">
        <v>59</v>
      </c>
      <c r="I2139" s="18" t="s">
        <v>2575</v>
      </c>
      <c r="J2139" s="16">
        <v>86.0</v>
      </c>
      <c r="K2139" s="8" t="s">
        <v>140</v>
      </c>
      <c r="L2139" s="8" t="s">
        <v>921</v>
      </c>
      <c r="M2139" s="18" t="s">
        <v>2560</v>
      </c>
      <c r="N2139" s="16">
        <v>75.0</v>
      </c>
      <c r="O2139" s="8" t="s">
        <v>6080</v>
      </c>
      <c r="P2139" s="8" t="s">
        <v>186</v>
      </c>
      <c r="Q2139" s="14" t="s">
        <v>837</v>
      </c>
      <c r="R2139" s="8" t="s">
        <v>2620</v>
      </c>
      <c r="S2139" s="14" t="s">
        <v>2571</v>
      </c>
    </row>
    <row r="2140">
      <c r="A2140" s="8" t="s">
        <v>1101</v>
      </c>
      <c r="B2140" s="8" t="s">
        <v>78</v>
      </c>
      <c r="C2140" s="8" t="s">
        <v>93</v>
      </c>
      <c r="D2140" s="18" t="s">
        <v>2574</v>
      </c>
      <c r="E2140" s="16">
        <v>62.0</v>
      </c>
      <c r="F2140" s="8" t="s">
        <v>418</v>
      </c>
      <c r="G2140" s="8" t="s">
        <v>3005</v>
      </c>
      <c r="H2140" s="8" t="s">
        <v>65</v>
      </c>
      <c r="I2140" s="18" t="s">
        <v>2582</v>
      </c>
      <c r="J2140" s="16">
        <v>83.0</v>
      </c>
      <c r="K2140" s="8" t="s">
        <v>140</v>
      </c>
      <c r="L2140" s="8" t="s">
        <v>1260</v>
      </c>
      <c r="M2140" s="18" t="s">
        <v>2610</v>
      </c>
      <c r="N2140" s="16">
        <v>65.0</v>
      </c>
      <c r="O2140" s="8" t="s">
        <v>6081</v>
      </c>
      <c r="P2140" s="8" t="s">
        <v>70</v>
      </c>
      <c r="Q2140" s="14" t="s">
        <v>1352</v>
      </c>
      <c r="R2140" s="8" t="s">
        <v>2593</v>
      </c>
      <c r="S2140" s="14" t="s">
        <v>2619</v>
      </c>
    </row>
    <row r="2141">
      <c r="A2141" s="8" t="s">
        <v>801</v>
      </c>
      <c r="B2141" s="8" t="s">
        <v>99</v>
      </c>
      <c r="C2141" s="8" t="s">
        <v>53</v>
      </c>
      <c r="D2141" s="18" t="s">
        <v>2584</v>
      </c>
      <c r="E2141" s="16">
        <v>80.0</v>
      </c>
      <c r="F2141" s="8" t="s">
        <v>861</v>
      </c>
      <c r="G2141" s="8" t="s">
        <v>224</v>
      </c>
      <c r="H2141" s="8" t="s">
        <v>192</v>
      </c>
      <c r="I2141" s="18" t="s">
        <v>2564</v>
      </c>
      <c r="J2141" s="16">
        <v>70.0</v>
      </c>
      <c r="K2141" s="8" t="s">
        <v>140</v>
      </c>
      <c r="L2141" s="8" t="s">
        <v>969</v>
      </c>
      <c r="M2141" s="18" t="s">
        <v>2581</v>
      </c>
      <c r="N2141" s="16">
        <v>78.0</v>
      </c>
      <c r="O2141" s="8" t="s">
        <v>6082</v>
      </c>
      <c r="P2141" s="8" t="s">
        <v>16</v>
      </c>
      <c r="Q2141" s="14" t="s">
        <v>18</v>
      </c>
      <c r="R2141" s="8" t="s">
        <v>2600</v>
      </c>
      <c r="S2141" s="14" t="s">
        <v>2623</v>
      </c>
    </row>
    <row r="2142">
      <c r="A2142" s="8" t="s">
        <v>1190</v>
      </c>
      <c r="B2142" s="8" t="s">
        <v>1189</v>
      </c>
      <c r="C2142" s="8" t="s">
        <v>24</v>
      </c>
      <c r="D2142" s="18" t="s">
        <v>2593</v>
      </c>
      <c r="E2142" s="16">
        <v>63.0</v>
      </c>
      <c r="F2142" s="8" t="s">
        <v>861</v>
      </c>
      <c r="G2142" s="8" t="s">
        <v>2913</v>
      </c>
      <c r="H2142" s="8" t="s">
        <v>70</v>
      </c>
      <c r="I2142" s="18" t="s">
        <v>2615</v>
      </c>
      <c r="J2142" s="16">
        <v>64.0</v>
      </c>
      <c r="K2142" s="8" t="s">
        <v>140</v>
      </c>
      <c r="L2142" s="8" t="s">
        <v>139</v>
      </c>
      <c r="M2142" s="18" t="s">
        <v>2582</v>
      </c>
      <c r="N2142" s="16">
        <v>67.0</v>
      </c>
      <c r="O2142" s="8" t="s">
        <v>6083</v>
      </c>
      <c r="P2142" s="8" t="s">
        <v>75</v>
      </c>
      <c r="Q2142" s="14" t="s">
        <v>338</v>
      </c>
      <c r="R2142" s="8" t="s">
        <v>2560</v>
      </c>
      <c r="S2142" s="14" t="s">
        <v>2563</v>
      </c>
    </row>
    <row r="2143">
      <c r="A2143" s="8" t="s">
        <v>2982</v>
      </c>
      <c r="B2143" s="8" t="s">
        <v>2981</v>
      </c>
      <c r="C2143" s="8" t="s">
        <v>215</v>
      </c>
      <c r="D2143" s="18" t="s">
        <v>2572</v>
      </c>
      <c r="E2143" s="16">
        <v>65.0</v>
      </c>
      <c r="F2143" s="8" t="s">
        <v>861</v>
      </c>
      <c r="G2143" s="8" t="s">
        <v>2788</v>
      </c>
      <c r="H2143" s="8" t="s">
        <v>138</v>
      </c>
      <c r="I2143" s="18" t="s">
        <v>2581</v>
      </c>
      <c r="J2143" s="16">
        <v>67.0</v>
      </c>
      <c r="K2143" s="8" t="s">
        <v>434</v>
      </c>
      <c r="L2143" s="8" t="s">
        <v>99</v>
      </c>
      <c r="M2143" s="18" t="s">
        <v>2574</v>
      </c>
      <c r="N2143" s="16">
        <v>76.0</v>
      </c>
      <c r="O2143" s="8" t="s">
        <v>6084</v>
      </c>
      <c r="P2143" s="8" t="s">
        <v>16</v>
      </c>
      <c r="Q2143" s="14" t="s">
        <v>459</v>
      </c>
      <c r="R2143" s="8" t="s">
        <v>2554</v>
      </c>
      <c r="S2143" s="14" t="s">
        <v>2606</v>
      </c>
    </row>
    <row r="2144">
      <c r="A2144" s="8" t="s">
        <v>2804</v>
      </c>
      <c r="B2144" s="8" t="s">
        <v>2803</v>
      </c>
      <c r="C2144" s="8" t="s">
        <v>53</v>
      </c>
      <c r="D2144" s="18" t="s">
        <v>2582</v>
      </c>
      <c r="E2144" s="16">
        <v>67.0</v>
      </c>
      <c r="F2144" s="8" t="s">
        <v>640</v>
      </c>
      <c r="G2144" s="8" t="s">
        <v>639</v>
      </c>
      <c r="H2144" s="8" t="s">
        <v>46</v>
      </c>
      <c r="I2144" s="18" t="s">
        <v>2595</v>
      </c>
      <c r="J2144" s="16">
        <v>85.0</v>
      </c>
      <c r="K2144" s="8" t="s">
        <v>1897</v>
      </c>
      <c r="L2144" s="8" t="s">
        <v>1896</v>
      </c>
      <c r="M2144" s="18" t="s">
        <v>2581</v>
      </c>
      <c r="N2144" s="16">
        <v>64.0</v>
      </c>
      <c r="O2144" s="8" t="s">
        <v>6085</v>
      </c>
      <c r="P2144" s="8" t="s">
        <v>24</v>
      </c>
      <c r="Q2144" s="14" t="s">
        <v>1679</v>
      </c>
      <c r="R2144" s="8" t="s">
        <v>2587</v>
      </c>
      <c r="S2144" s="14" t="s">
        <v>2568</v>
      </c>
    </row>
    <row r="2145">
      <c r="A2145" s="8" t="s">
        <v>2804</v>
      </c>
      <c r="B2145" s="8" t="s">
        <v>2963</v>
      </c>
      <c r="C2145" s="8" t="s">
        <v>93</v>
      </c>
      <c r="D2145" s="18" t="s">
        <v>2552</v>
      </c>
      <c r="E2145" s="16">
        <v>80.0</v>
      </c>
      <c r="F2145" s="8" t="s">
        <v>640</v>
      </c>
      <c r="G2145" s="8" t="s">
        <v>825</v>
      </c>
      <c r="H2145" s="8" t="s">
        <v>70</v>
      </c>
      <c r="I2145" s="18" t="s">
        <v>2598</v>
      </c>
      <c r="J2145" s="16">
        <v>68.0</v>
      </c>
      <c r="K2145" s="8" t="s">
        <v>1119</v>
      </c>
      <c r="L2145" s="8" t="s">
        <v>1118</v>
      </c>
      <c r="M2145" s="18" t="s">
        <v>2610</v>
      </c>
      <c r="N2145" s="16">
        <v>62.0</v>
      </c>
      <c r="O2145" s="8" t="s">
        <v>6086</v>
      </c>
      <c r="P2145" s="8" t="s">
        <v>65</v>
      </c>
      <c r="Q2145" s="14" t="s">
        <v>1070</v>
      </c>
      <c r="R2145" s="8" t="s">
        <v>2554</v>
      </c>
      <c r="S2145" s="14" t="s">
        <v>2579</v>
      </c>
    </row>
    <row r="2146">
      <c r="A2146" s="8" t="s">
        <v>983</v>
      </c>
      <c r="B2146" s="8" t="s">
        <v>3709</v>
      </c>
      <c r="C2146" s="8" t="s">
        <v>122</v>
      </c>
      <c r="D2146" s="18" t="s">
        <v>2600</v>
      </c>
      <c r="E2146" s="16">
        <v>83.0</v>
      </c>
      <c r="F2146" s="8" t="s">
        <v>2313</v>
      </c>
      <c r="G2146" s="8" t="s">
        <v>1288</v>
      </c>
      <c r="H2146" s="8" t="s">
        <v>46</v>
      </c>
      <c r="I2146" s="18" t="s">
        <v>2581</v>
      </c>
      <c r="J2146" s="16">
        <v>65.0</v>
      </c>
      <c r="K2146" s="8" t="s">
        <v>2017</v>
      </c>
      <c r="L2146" s="8" t="s">
        <v>104</v>
      </c>
      <c r="M2146" s="18" t="s">
        <v>2554</v>
      </c>
      <c r="N2146" s="16">
        <v>71.0</v>
      </c>
      <c r="O2146" s="8" t="s">
        <v>6087</v>
      </c>
      <c r="P2146" s="8" t="s">
        <v>141</v>
      </c>
      <c r="Q2146" s="14" t="s">
        <v>135</v>
      </c>
      <c r="R2146" s="8" t="s">
        <v>2582</v>
      </c>
      <c r="S2146" s="14" t="s">
        <v>2609</v>
      </c>
    </row>
    <row r="2147">
      <c r="A2147" s="8" t="s">
        <v>983</v>
      </c>
      <c r="B2147" s="8" t="s">
        <v>3801</v>
      </c>
      <c r="C2147" s="8" t="s">
        <v>186</v>
      </c>
      <c r="D2147" s="18" t="s">
        <v>2552</v>
      </c>
      <c r="E2147" s="16">
        <v>57.0</v>
      </c>
      <c r="F2147" s="8" t="s">
        <v>3440</v>
      </c>
      <c r="G2147" s="8" t="s">
        <v>99</v>
      </c>
      <c r="H2147" s="8" t="s">
        <v>65</v>
      </c>
      <c r="I2147" s="18" t="s">
        <v>2567</v>
      </c>
      <c r="J2147" s="16">
        <v>63.0</v>
      </c>
      <c r="K2147" s="8" t="s">
        <v>1053</v>
      </c>
      <c r="L2147" s="8" t="s">
        <v>1052</v>
      </c>
      <c r="M2147" s="18" t="s">
        <v>2552</v>
      </c>
      <c r="N2147" s="16">
        <v>79.0</v>
      </c>
      <c r="O2147" s="8" t="s">
        <v>6088</v>
      </c>
      <c r="P2147" s="8" t="s">
        <v>93</v>
      </c>
      <c r="Q2147" s="14" t="s">
        <v>1679</v>
      </c>
      <c r="R2147" s="8" t="s">
        <v>2558</v>
      </c>
      <c r="S2147" s="14" t="s">
        <v>2568</v>
      </c>
    </row>
    <row r="2148">
      <c r="A2148" s="8" t="s">
        <v>983</v>
      </c>
      <c r="B2148" s="8" t="s">
        <v>3127</v>
      </c>
      <c r="C2148" s="8" t="s">
        <v>70</v>
      </c>
      <c r="D2148" s="18" t="s">
        <v>2575</v>
      </c>
      <c r="E2148" s="16">
        <v>73.0</v>
      </c>
      <c r="F2148" s="8" t="s">
        <v>1126</v>
      </c>
      <c r="G2148" s="8" t="s">
        <v>3367</v>
      </c>
      <c r="H2148" s="8" t="s">
        <v>93</v>
      </c>
      <c r="I2148" s="18" t="s">
        <v>2567</v>
      </c>
      <c r="J2148" s="16">
        <v>65.0</v>
      </c>
      <c r="K2148" s="8" t="s">
        <v>1053</v>
      </c>
      <c r="L2148" s="8" t="s">
        <v>2781</v>
      </c>
      <c r="M2148" s="18" t="s">
        <v>2581</v>
      </c>
      <c r="N2148" s="16">
        <v>68.0</v>
      </c>
      <c r="O2148" s="8" t="s">
        <v>6089</v>
      </c>
      <c r="P2148" s="8" t="s">
        <v>192</v>
      </c>
      <c r="Q2148" s="14" t="s">
        <v>837</v>
      </c>
      <c r="R2148" s="8" t="s">
        <v>2575</v>
      </c>
      <c r="S2148" s="14" t="s">
        <v>2611</v>
      </c>
    </row>
    <row r="2149">
      <c r="A2149" s="8" t="s">
        <v>983</v>
      </c>
      <c r="B2149" s="8" t="s">
        <v>78</v>
      </c>
      <c r="C2149" s="8" t="s">
        <v>65</v>
      </c>
      <c r="D2149" s="18" t="s">
        <v>2614</v>
      </c>
      <c r="E2149" s="16">
        <v>80.0</v>
      </c>
      <c r="F2149" s="8" t="s">
        <v>1126</v>
      </c>
      <c r="G2149" s="8" t="s">
        <v>877</v>
      </c>
      <c r="H2149" s="8" t="s">
        <v>70</v>
      </c>
      <c r="I2149" s="18" t="s">
        <v>2598</v>
      </c>
      <c r="J2149" s="16">
        <v>85.0</v>
      </c>
      <c r="K2149" s="8" t="s">
        <v>1320</v>
      </c>
      <c r="L2149" s="8" t="s">
        <v>1043</v>
      </c>
      <c r="M2149" s="18" t="s">
        <v>2574</v>
      </c>
      <c r="N2149" s="16">
        <v>82.0</v>
      </c>
      <c r="O2149" s="8" t="s">
        <v>6090</v>
      </c>
      <c r="P2149" s="8" t="s">
        <v>93</v>
      </c>
      <c r="Q2149" s="14" t="s">
        <v>837</v>
      </c>
      <c r="R2149" s="8" t="s">
        <v>2566</v>
      </c>
      <c r="S2149" s="14" t="s">
        <v>2563</v>
      </c>
    </row>
    <row r="2150">
      <c r="A2150" s="8" t="s">
        <v>77</v>
      </c>
      <c r="B2150" s="8" t="s">
        <v>3587</v>
      </c>
      <c r="C2150" s="8" t="s">
        <v>93</v>
      </c>
      <c r="D2150" s="18" t="s">
        <v>2572</v>
      </c>
      <c r="E2150" s="16">
        <v>60.0</v>
      </c>
      <c r="F2150" s="8" t="s">
        <v>789</v>
      </c>
      <c r="G2150" s="8" t="s">
        <v>788</v>
      </c>
      <c r="H2150" s="8" t="s">
        <v>70</v>
      </c>
      <c r="I2150" s="18" t="s">
        <v>2554</v>
      </c>
      <c r="J2150" s="16">
        <v>82.0</v>
      </c>
      <c r="K2150" s="8" t="s">
        <v>244</v>
      </c>
      <c r="L2150" s="8" t="s">
        <v>2703</v>
      </c>
      <c r="M2150" s="18" t="s">
        <v>2620</v>
      </c>
      <c r="N2150" s="16">
        <v>70.0</v>
      </c>
      <c r="O2150" s="8" t="s">
        <v>6091</v>
      </c>
      <c r="P2150" s="8" t="s">
        <v>93</v>
      </c>
      <c r="Q2150" s="14" t="s">
        <v>1070</v>
      </c>
      <c r="R2150" s="8" t="s">
        <v>2610</v>
      </c>
      <c r="S2150" s="14" t="s">
        <v>2576</v>
      </c>
    </row>
    <row r="2151">
      <c r="A2151" s="8" t="s">
        <v>77</v>
      </c>
      <c r="B2151" s="8" t="s">
        <v>293</v>
      </c>
      <c r="C2151" s="8" t="s">
        <v>122</v>
      </c>
      <c r="D2151" s="18" t="s">
        <v>2614</v>
      </c>
      <c r="E2151" s="16">
        <v>73.0</v>
      </c>
      <c r="F2151" s="8" t="s">
        <v>62</v>
      </c>
      <c r="G2151" s="8" t="s">
        <v>2760</v>
      </c>
      <c r="H2151" s="8" t="s">
        <v>59</v>
      </c>
      <c r="I2151" s="18" t="s">
        <v>2574</v>
      </c>
      <c r="J2151" s="16">
        <v>87.0</v>
      </c>
      <c r="K2151" s="8" t="s">
        <v>79</v>
      </c>
      <c r="L2151" s="8" t="s">
        <v>78</v>
      </c>
      <c r="M2151" s="18" t="s">
        <v>2558</v>
      </c>
      <c r="N2151" s="16">
        <v>77.0</v>
      </c>
      <c r="O2151" s="8" t="s">
        <v>6092</v>
      </c>
      <c r="P2151" s="8" t="s">
        <v>70</v>
      </c>
      <c r="Q2151" s="14" t="s">
        <v>2296</v>
      </c>
      <c r="R2151" s="8" t="s">
        <v>2614</v>
      </c>
      <c r="S2151" s="14" t="s">
        <v>2622</v>
      </c>
    </row>
    <row r="2152">
      <c r="A2152" s="8" t="s">
        <v>77</v>
      </c>
      <c r="B2152" s="8" t="s">
        <v>76</v>
      </c>
      <c r="C2152" s="8" t="s">
        <v>59</v>
      </c>
      <c r="D2152" s="18" t="s">
        <v>2575</v>
      </c>
      <c r="E2152" s="16">
        <v>90.0</v>
      </c>
      <c r="F2152" s="8" t="s">
        <v>62</v>
      </c>
      <c r="G2152" s="8" t="s">
        <v>1472</v>
      </c>
      <c r="H2152" s="8" t="s">
        <v>24</v>
      </c>
      <c r="I2152" s="18" t="s">
        <v>2567</v>
      </c>
      <c r="J2152" s="16">
        <v>43.0</v>
      </c>
      <c r="K2152" s="8" t="s">
        <v>2714</v>
      </c>
      <c r="L2152" s="8" t="s">
        <v>2713</v>
      </c>
      <c r="M2152" s="18" t="s">
        <v>2587</v>
      </c>
      <c r="N2152" s="16">
        <v>71.0</v>
      </c>
      <c r="O2152" s="8" t="s">
        <v>6093</v>
      </c>
      <c r="P2152" s="8" t="s">
        <v>65</v>
      </c>
      <c r="Q2152" s="14" t="s">
        <v>338</v>
      </c>
      <c r="R2152" s="8" t="s">
        <v>2574</v>
      </c>
      <c r="S2152" s="14" t="s">
        <v>2590</v>
      </c>
    </row>
    <row r="2153">
      <c r="A2153" s="8" t="s">
        <v>418</v>
      </c>
      <c r="B2153" s="8" t="s">
        <v>417</v>
      </c>
      <c r="C2153" s="8" t="s">
        <v>65</v>
      </c>
      <c r="D2153" s="18" t="s">
        <v>2615</v>
      </c>
      <c r="E2153" s="16">
        <v>60.0</v>
      </c>
      <c r="F2153" s="8" t="s">
        <v>62</v>
      </c>
      <c r="G2153" s="8" t="s">
        <v>1296</v>
      </c>
      <c r="H2153" s="8" t="s">
        <v>70</v>
      </c>
      <c r="I2153" s="18" t="s">
        <v>2603</v>
      </c>
      <c r="J2153" s="16">
        <v>83.0</v>
      </c>
      <c r="K2153" s="8" t="s">
        <v>1434</v>
      </c>
      <c r="L2153" s="8" t="s">
        <v>1433</v>
      </c>
      <c r="M2153" s="18" t="s">
        <v>2595</v>
      </c>
      <c r="N2153" s="16">
        <v>64.0</v>
      </c>
      <c r="O2153" s="8" t="s">
        <v>6094</v>
      </c>
      <c r="P2153" s="8" t="s">
        <v>93</v>
      </c>
      <c r="Q2153" s="14" t="s">
        <v>1679</v>
      </c>
      <c r="R2153" s="8" t="s">
        <v>2581</v>
      </c>
      <c r="S2153" s="14" t="s">
        <v>2557</v>
      </c>
    </row>
    <row r="2154">
      <c r="A2154" s="8" t="s">
        <v>861</v>
      </c>
      <c r="B2154" s="8" t="s">
        <v>224</v>
      </c>
      <c r="C2154" s="8" t="s">
        <v>80</v>
      </c>
      <c r="D2154" s="18" t="s">
        <v>2575</v>
      </c>
      <c r="E2154" s="16">
        <v>72.0</v>
      </c>
      <c r="F2154" s="8" t="s">
        <v>62</v>
      </c>
      <c r="G2154" s="8" t="s">
        <v>2768</v>
      </c>
      <c r="H2154" s="8" t="s">
        <v>24</v>
      </c>
      <c r="I2154" s="18" t="s">
        <v>2581</v>
      </c>
      <c r="J2154" s="16">
        <v>62.0</v>
      </c>
      <c r="K2154" s="8" t="s">
        <v>1434</v>
      </c>
      <c r="L2154" s="8" t="s">
        <v>1200</v>
      </c>
      <c r="M2154" s="18" t="s">
        <v>2593</v>
      </c>
      <c r="N2154" s="16">
        <v>65.0</v>
      </c>
      <c r="O2154" s="8" t="s">
        <v>6095</v>
      </c>
      <c r="P2154" s="8" t="s">
        <v>70</v>
      </c>
      <c r="Q2154" s="14" t="s">
        <v>1070</v>
      </c>
      <c r="R2154" s="8" t="s">
        <v>2558</v>
      </c>
      <c r="S2154" s="14" t="s">
        <v>2618</v>
      </c>
    </row>
    <row r="2155">
      <c r="A2155" s="8" t="s">
        <v>861</v>
      </c>
      <c r="B2155" s="8" t="s">
        <v>2788</v>
      </c>
      <c r="C2155" s="8" t="s">
        <v>138</v>
      </c>
      <c r="D2155" s="18" t="s">
        <v>2581</v>
      </c>
      <c r="E2155" s="16">
        <v>66.0</v>
      </c>
      <c r="F2155" s="8" t="s">
        <v>62</v>
      </c>
      <c r="G2155" s="8" t="s">
        <v>2108</v>
      </c>
      <c r="H2155" s="8" t="s">
        <v>24</v>
      </c>
      <c r="I2155" s="18" t="s">
        <v>2595</v>
      </c>
      <c r="J2155" s="16">
        <v>62.0</v>
      </c>
      <c r="K2155" s="8" t="s">
        <v>472</v>
      </c>
      <c r="L2155" s="8" t="s">
        <v>687</v>
      </c>
      <c r="M2155" s="18" t="s">
        <v>2614</v>
      </c>
      <c r="N2155" s="16">
        <v>87.0</v>
      </c>
      <c r="O2155" s="8" t="s">
        <v>6096</v>
      </c>
      <c r="P2155" s="8" t="s">
        <v>16</v>
      </c>
      <c r="Q2155" s="14" t="s">
        <v>2033</v>
      </c>
      <c r="R2155" s="8" t="s">
        <v>2575</v>
      </c>
      <c r="S2155" s="14" t="s">
        <v>2606</v>
      </c>
    </row>
    <row r="2156">
      <c r="A2156" s="8" t="s">
        <v>861</v>
      </c>
      <c r="B2156" s="8" t="s">
        <v>2913</v>
      </c>
      <c r="C2156" s="8" t="s">
        <v>70</v>
      </c>
      <c r="D2156" s="18" t="s">
        <v>2593</v>
      </c>
      <c r="E2156" s="16">
        <v>69.0</v>
      </c>
      <c r="F2156" s="8" t="s">
        <v>62</v>
      </c>
      <c r="G2156" s="8" t="s">
        <v>168</v>
      </c>
      <c r="H2156" s="8" t="s">
        <v>38</v>
      </c>
      <c r="I2156" s="18" t="s">
        <v>2595</v>
      </c>
      <c r="J2156" s="16">
        <v>84.0</v>
      </c>
      <c r="K2156" s="8" t="s">
        <v>472</v>
      </c>
      <c r="L2156" s="8" t="s">
        <v>35</v>
      </c>
      <c r="M2156" s="18" t="s">
        <v>2572</v>
      </c>
      <c r="N2156" s="16">
        <v>77.0</v>
      </c>
      <c r="O2156" s="8" t="s">
        <v>6097</v>
      </c>
      <c r="P2156" s="8" t="s">
        <v>80</v>
      </c>
      <c r="Q2156" s="14" t="s">
        <v>1679</v>
      </c>
      <c r="R2156" s="8" t="s">
        <v>2554</v>
      </c>
      <c r="S2156" s="14" t="s">
        <v>2565</v>
      </c>
    </row>
    <row r="2157">
      <c r="A2157" s="8" t="s">
        <v>640</v>
      </c>
      <c r="B2157" s="8" t="s">
        <v>639</v>
      </c>
      <c r="C2157" s="8" t="s">
        <v>46</v>
      </c>
      <c r="D2157" s="18" t="s">
        <v>2595</v>
      </c>
      <c r="E2157" s="16">
        <v>92.0</v>
      </c>
      <c r="F2157" s="8" t="s">
        <v>2661</v>
      </c>
      <c r="G2157" s="8" t="s">
        <v>2660</v>
      </c>
      <c r="H2157" s="8" t="s">
        <v>59</v>
      </c>
      <c r="I2157" s="18" t="s">
        <v>2554</v>
      </c>
      <c r="J2157" s="16">
        <v>61.0</v>
      </c>
      <c r="K2157" s="8" t="s">
        <v>472</v>
      </c>
      <c r="L2157" s="8" t="s">
        <v>599</v>
      </c>
      <c r="M2157" s="18" t="s">
        <v>2566</v>
      </c>
      <c r="N2157" s="16">
        <v>69.0</v>
      </c>
      <c r="O2157" s="8" t="s">
        <v>6098</v>
      </c>
      <c r="P2157" s="8" t="s">
        <v>93</v>
      </c>
      <c r="Q2157" s="14" t="s">
        <v>837</v>
      </c>
      <c r="R2157" s="8" t="s">
        <v>2552</v>
      </c>
      <c r="S2157" s="14" t="s">
        <v>2586</v>
      </c>
    </row>
    <row r="2158">
      <c r="A2158" s="8" t="s">
        <v>640</v>
      </c>
      <c r="B2158" s="8" t="s">
        <v>825</v>
      </c>
      <c r="C2158" s="8" t="s">
        <v>70</v>
      </c>
      <c r="D2158" s="18" t="s">
        <v>2598</v>
      </c>
      <c r="E2158" s="16">
        <v>69.0</v>
      </c>
      <c r="F2158" s="8" t="s">
        <v>1209</v>
      </c>
      <c r="G2158" s="8" t="s">
        <v>194</v>
      </c>
      <c r="H2158" s="8" t="s">
        <v>65</v>
      </c>
      <c r="I2158" s="18" t="s">
        <v>2575</v>
      </c>
      <c r="J2158" s="16">
        <v>63.0</v>
      </c>
      <c r="K2158" s="8" t="s">
        <v>472</v>
      </c>
      <c r="L2158" s="8" t="s">
        <v>290</v>
      </c>
      <c r="M2158" s="18" t="s">
        <v>2183</v>
      </c>
      <c r="N2158" s="16">
        <v>87.0</v>
      </c>
      <c r="O2158" s="8" t="s">
        <v>6099</v>
      </c>
      <c r="P2158" s="8" t="s">
        <v>132</v>
      </c>
      <c r="Q2158" s="14" t="s">
        <v>1070</v>
      </c>
      <c r="R2158" s="8" t="s">
        <v>2574</v>
      </c>
      <c r="S2158" s="14" t="s">
        <v>2607</v>
      </c>
    </row>
    <row r="2159">
      <c r="A2159" s="8" t="s">
        <v>2313</v>
      </c>
      <c r="B2159" s="8" t="s">
        <v>1288</v>
      </c>
      <c r="C2159" s="8" t="s">
        <v>46</v>
      </c>
      <c r="D2159" s="18" t="s">
        <v>2603</v>
      </c>
      <c r="E2159" s="16">
        <v>65.0</v>
      </c>
      <c r="F2159" s="8" t="s">
        <v>1209</v>
      </c>
      <c r="G2159" s="8" t="s">
        <v>535</v>
      </c>
      <c r="H2159" s="8" t="s">
        <v>70</v>
      </c>
      <c r="I2159" s="18" t="s">
        <v>2585</v>
      </c>
      <c r="J2159" s="16">
        <v>80.0</v>
      </c>
      <c r="K2159" s="8" t="s">
        <v>472</v>
      </c>
      <c r="L2159" s="8" t="s">
        <v>687</v>
      </c>
      <c r="M2159" s="18" t="s">
        <v>2614</v>
      </c>
      <c r="N2159" s="16">
        <v>91.0</v>
      </c>
      <c r="O2159" s="8" t="s">
        <v>6100</v>
      </c>
      <c r="P2159" s="8" t="s">
        <v>93</v>
      </c>
      <c r="Q2159" s="14" t="s">
        <v>237</v>
      </c>
      <c r="R2159" s="18" t="s">
        <v>2589</v>
      </c>
      <c r="S2159" s="14" t="s">
        <v>2573</v>
      </c>
    </row>
    <row r="2160">
      <c r="A2160" s="8" t="s">
        <v>3440</v>
      </c>
      <c r="B2160" s="8" t="s">
        <v>99</v>
      </c>
      <c r="C2160" s="8" t="s">
        <v>65</v>
      </c>
      <c r="D2160" s="18" t="s">
        <v>2567</v>
      </c>
      <c r="E2160" s="16">
        <v>63.0</v>
      </c>
      <c r="F2160" s="8" t="s">
        <v>1209</v>
      </c>
      <c r="G2160" s="8" t="s">
        <v>1055</v>
      </c>
      <c r="H2160" s="8" t="s">
        <v>65</v>
      </c>
      <c r="I2160" s="18" t="s">
        <v>2575</v>
      </c>
      <c r="J2160" s="16">
        <v>57.0</v>
      </c>
      <c r="K2160" s="8" t="s">
        <v>472</v>
      </c>
      <c r="L2160" s="8" t="s">
        <v>290</v>
      </c>
      <c r="M2160" s="18" t="s">
        <v>2183</v>
      </c>
      <c r="N2160" s="16">
        <v>91.0</v>
      </c>
      <c r="O2160" s="8" t="s">
        <v>6101</v>
      </c>
      <c r="P2160" s="8" t="s">
        <v>80</v>
      </c>
      <c r="Q2160" s="14" t="s">
        <v>60</v>
      </c>
      <c r="R2160" s="8" t="s">
        <v>2558</v>
      </c>
      <c r="S2160" s="14" t="s">
        <v>2553</v>
      </c>
    </row>
    <row r="2161">
      <c r="A2161" s="8" t="s">
        <v>1126</v>
      </c>
      <c r="B2161" s="8" t="s">
        <v>877</v>
      </c>
      <c r="C2161" s="8" t="s">
        <v>70</v>
      </c>
      <c r="D2161" s="18" t="s">
        <v>2598</v>
      </c>
      <c r="E2161" s="16">
        <v>75.0</v>
      </c>
      <c r="F2161" s="8" t="s">
        <v>1209</v>
      </c>
      <c r="G2161" s="8" t="s">
        <v>78</v>
      </c>
      <c r="H2161" s="8" t="s">
        <v>59</v>
      </c>
      <c r="I2161" s="18" t="s">
        <v>2575</v>
      </c>
      <c r="J2161" s="16">
        <v>71.0</v>
      </c>
      <c r="K2161" s="8" t="s">
        <v>1633</v>
      </c>
      <c r="L2161" s="8" t="s">
        <v>2912</v>
      </c>
      <c r="M2161" s="18" t="s">
        <v>2603</v>
      </c>
      <c r="N2161" s="16">
        <v>77.0</v>
      </c>
      <c r="O2161" s="8" t="s">
        <v>6102</v>
      </c>
      <c r="P2161" s="8" t="s">
        <v>65</v>
      </c>
      <c r="Q2161" s="14" t="s">
        <v>1352</v>
      </c>
      <c r="R2161" s="8" t="s">
        <v>2595</v>
      </c>
      <c r="S2161" s="14" t="s">
        <v>2570</v>
      </c>
    </row>
    <row r="2162">
      <c r="A2162" s="8" t="s">
        <v>1126</v>
      </c>
      <c r="B2162" s="8" t="s">
        <v>3367</v>
      </c>
      <c r="C2162" s="8" t="s">
        <v>93</v>
      </c>
      <c r="D2162" s="18" t="s">
        <v>2567</v>
      </c>
      <c r="E2162" s="16">
        <v>64.0</v>
      </c>
      <c r="F2162" s="8" t="s">
        <v>1209</v>
      </c>
      <c r="G2162" s="8" t="s">
        <v>1208</v>
      </c>
      <c r="H2162" s="8" t="s">
        <v>122</v>
      </c>
      <c r="I2162" s="18" t="s">
        <v>2564</v>
      </c>
      <c r="J2162" s="16">
        <v>81.0</v>
      </c>
      <c r="K2162" s="8" t="s">
        <v>1633</v>
      </c>
      <c r="L2162" s="8" t="s">
        <v>1965</v>
      </c>
      <c r="M2162" s="18" t="s">
        <v>2645</v>
      </c>
      <c r="N2162" s="16">
        <v>80.0</v>
      </c>
      <c r="O2162" s="8" t="s">
        <v>6103</v>
      </c>
      <c r="P2162" s="8" t="s">
        <v>186</v>
      </c>
      <c r="Q2162" s="14" t="s">
        <v>2033</v>
      </c>
      <c r="R2162" s="8" t="s">
        <v>2593</v>
      </c>
      <c r="S2162" s="14" t="s">
        <v>2580</v>
      </c>
    </row>
    <row r="2163">
      <c r="A2163" s="8" t="s">
        <v>3723</v>
      </c>
      <c r="B2163" s="8" t="s">
        <v>94</v>
      </c>
      <c r="C2163" s="8" t="s">
        <v>16</v>
      </c>
      <c r="D2163" s="18" t="s">
        <v>2585</v>
      </c>
      <c r="E2163" s="16">
        <v>65.0</v>
      </c>
      <c r="F2163" s="8" t="s">
        <v>1209</v>
      </c>
      <c r="G2163" s="8" t="s">
        <v>2310</v>
      </c>
      <c r="H2163" s="8" t="s">
        <v>141</v>
      </c>
      <c r="I2163" s="18" t="s">
        <v>2585</v>
      </c>
      <c r="J2163" s="16">
        <v>71.0</v>
      </c>
      <c r="K2163" s="8" t="s">
        <v>1633</v>
      </c>
      <c r="L2163" s="8" t="s">
        <v>913</v>
      </c>
      <c r="M2163" s="18" t="s">
        <v>2603</v>
      </c>
      <c r="N2163" s="16">
        <v>66.0</v>
      </c>
      <c r="O2163" s="8" t="s">
        <v>6104</v>
      </c>
      <c r="P2163" s="8" t="s">
        <v>65</v>
      </c>
      <c r="Q2163" s="14" t="s">
        <v>459</v>
      </c>
      <c r="R2163" s="8" t="s">
        <v>2572</v>
      </c>
      <c r="S2163" s="14" t="s">
        <v>2608</v>
      </c>
    </row>
    <row r="2164">
      <c r="A2164" s="8" t="s">
        <v>3843</v>
      </c>
      <c r="B2164" s="8" t="s">
        <v>601</v>
      </c>
      <c r="C2164" s="8" t="s">
        <v>93</v>
      </c>
      <c r="D2164" s="18" t="s">
        <v>2603</v>
      </c>
      <c r="E2164" s="16">
        <v>71.0</v>
      </c>
      <c r="F2164" s="8" t="s">
        <v>1209</v>
      </c>
      <c r="G2164" s="8" t="s">
        <v>3332</v>
      </c>
      <c r="H2164" s="8" t="s">
        <v>141</v>
      </c>
      <c r="I2164" s="18" t="s">
        <v>2621</v>
      </c>
      <c r="J2164" s="16">
        <v>70.0</v>
      </c>
      <c r="K2164" s="8" t="s">
        <v>6105</v>
      </c>
      <c r="L2164" s="8" t="s">
        <v>1055</v>
      </c>
      <c r="M2164" s="18" t="s">
        <v>2587</v>
      </c>
      <c r="N2164" s="16">
        <v>85.0</v>
      </c>
      <c r="O2164" s="8" t="s">
        <v>6106</v>
      </c>
      <c r="P2164" s="8" t="s">
        <v>141</v>
      </c>
      <c r="Q2164" s="14" t="s">
        <v>631</v>
      </c>
      <c r="R2164" s="8" t="s">
        <v>2614</v>
      </c>
      <c r="S2164" s="14" t="s">
        <v>2636</v>
      </c>
    </row>
    <row r="2165">
      <c r="A2165" s="8" t="s">
        <v>789</v>
      </c>
      <c r="B2165" s="8" t="s">
        <v>788</v>
      </c>
      <c r="C2165" s="8" t="s">
        <v>70</v>
      </c>
      <c r="D2165" s="18" t="s">
        <v>2554</v>
      </c>
      <c r="E2165" s="16">
        <v>81.0</v>
      </c>
      <c r="F2165" s="8" t="s">
        <v>883</v>
      </c>
      <c r="G2165" s="8" t="s">
        <v>2824</v>
      </c>
      <c r="H2165" s="8" t="s">
        <v>70</v>
      </c>
      <c r="I2165" s="18" t="s">
        <v>2593</v>
      </c>
      <c r="J2165" s="16">
        <v>85.0</v>
      </c>
      <c r="K2165" s="8" t="s">
        <v>6105</v>
      </c>
      <c r="L2165" s="8" t="s">
        <v>1055</v>
      </c>
      <c r="M2165" s="18" t="s">
        <v>2587</v>
      </c>
      <c r="N2165" s="16">
        <v>88.0</v>
      </c>
      <c r="O2165" s="8" t="s">
        <v>6107</v>
      </c>
      <c r="P2165" s="8" t="s">
        <v>65</v>
      </c>
      <c r="Q2165" s="14" t="s">
        <v>2033</v>
      </c>
      <c r="R2165" s="8" t="s">
        <v>2554</v>
      </c>
      <c r="S2165" s="14" t="s">
        <v>2563</v>
      </c>
    </row>
    <row r="2166">
      <c r="A2166" s="8" t="s">
        <v>62</v>
      </c>
      <c r="B2166" s="8" t="s">
        <v>3603</v>
      </c>
      <c r="C2166" s="8" t="s">
        <v>59</v>
      </c>
      <c r="D2166" s="18" t="s">
        <v>2574</v>
      </c>
      <c r="E2166" s="16">
        <v>88.0</v>
      </c>
      <c r="F2166" s="8" t="s">
        <v>883</v>
      </c>
      <c r="G2166" s="8" t="s">
        <v>61</v>
      </c>
      <c r="H2166" s="8" t="s">
        <v>186</v>
      </c>
      <c r="I2166" s="18" t="s">
        <v>2620</v>
      </c>
      <c r="J2166" s="16">
        <v>76.0</v>
      </c>
      <c r="K2166" s="8" t="s">
        <v>6108</v>
      </c>
      <c r="L2166" s="8" t="s">
        <v>99</v>
      </c>
      <c r="M2166" s="18" t="s">
        <v>2595</v>
      </c>
      <c r="N2166" s="16">
        <v>75.0</v>
      </c>
      <c r="O2166" s="8" t="s">
        <v>6109</v>
      </c>
      <c r="P2166" s="8" t="s">
        <v>70</v>
      </c>
      <c r="Q2166" s="14" t="s">
        <v>2459</v>
      </c>
      <c r="R2166" s="8" t="s">
        <v>2603</v>
      </c>
      <c r="S2166" s="14" t="s">
        <v>2555</v>
      </c>
    </row>
    <row r="2167">
      <c r="A2167" s="8" t="s">
        <v>62</v>
      </c>
      <c r="B2167" s="8" t="s">
        <v>2768</v>
      </c>
      <c r="C2167" s="8" t="s">
        <v>24</v>
      </c>
      <c r="D2167" s="18" t="s">
        <v>2581</v>
      </c>
      <c r="E2167" s="16">
        <v>63.0</v>
      </c>
      <c r="F2167" s="8" t="s">
        <v>15</v>
      </c>
      <c r="G2167" s="8" t="s">
        <v>389</v>
      </c>
      <c r="H2167" s="8" t="s">
        <v>122</v>
      </c>
      <c r="I2167" s="18" t="s">
        <v>2552</v>
      </c>
      <c r="J2167" s="16">
        <v>71.0</v>
      </c>
      <c r="K2167" s="8" t="s">
        <v>6110</v>
      </c>
      <c r="L2167" s="8" t="s">
        <v>389</v>
      </c>
      <c r="M2167" s="18" t="s">
        <v>2614</v>
      </c>
      <c r="N2167" s="16">
        <v>62.0</v>
      </c>
      <c r="O2167" s="8" t="s">
        <v>6111</v>
      </c>
      <c r="P2167" s="8" t="s">
        <v>24</v>
      </c>
      <c r="Q2167" s="14" t="s">
        <v>459</v>
      </c>
      <c r="R2167" s="8" t="s">
        <v>2183</v>
      </c>
      <c r="S2167" s="14" t="s">
        <v>2623</v>
      </c>
    </row>
    <row r="2168">
      <c r="A2168" s="8" t="s">
        <v>62</v>
      </c>
      <c r="B2168" s="8" t="s">
        <v>168</v>
      </c>
      <c r="C2168" s="8" t="s">
        <v>38</v>
      </c>
      <c r="D2168" s="18" t="s">
        <v>2595</v>
      </c>
      <c r="E2168" s="16">
        <v>83.0</v>
      </c>
      <c r="F2168" s="8" t="s">
        <v>15</v>
      </c>
      <c r="G2168" s="8" t="s">
        <v>600</v>
      </c>
      <c r="H2168" s="8" t="s">
        <v>16</v>
      </c>
      <c r="I2168" s="18" t="s">
        <v>2562</v>
      </c>
      <c r="J2168" s="16">
        <v>72.0</v>
      </c>
      <c r="K2168" s="8" t="s">
        <v>2465</v>
      </c>
      <c r="L2168" s="8" t="s">
        <v>1772</v>
      </c>
      <c r="M2168" s="18" t="s">
        <v>2587</v>
      </c>
      <c r="N2168" s="16">
        <v>76.0</v>
      </c>
      <c r="O2168" s="8" t="s">
        <v>6112</v>
      </c>
      <c r="P2168" s="8" t="s">
        <v>192</v>
      </c>
      <c r="Q2168" s="14" t="s">
        <v>1679</v>
      </c>
      <c r="R2168" s="8" t="s">
        <v>2558</v>
      </c>
      <c r="S2168" s="14" t="s">
        <v>2580</v>
      </c>
    </row>
    <row r="2169">
      <c r="A2169" s="8" t="s">
        <v>62</v>
      </c>
      <c r="B2169" s="8" t="s">
        <v>1296</v>
      </c>
      <c r="C2169" s="8" t="s">
        <v>70</v>
      </c>
      <c r="D2169" s="18" t="s">
        <v>2603</v>
      </c>
      <c r="E2169" s="16">
        <v>80.0</v>
      </c>
      <c r="F2169" s="8" t="s">
        <v>15</v>
      </c>
      <c r="G2169" s="8" t="s">
        <v>358</v>
      </c>
      <c r="H2169" s="8" t="s">
        <v>132</v>
      </c>
      <c r="I2169" s="18" t="s">
        <v>2605</v>
      </c>
      <c r="J2169" s="16">
        <v>72.0</v>
      </c>
      <c r="K2169" s="8" t="s">
        <v>2247</v>
      </c>
      <c r="L2169" s="8" t="s">
        <v>99</v>
      </c>
      <c r="M2169" s="18" t="s">
        <v>2183</v>
      </c>
      <c r="N2169" s="16">
        <v>72.0</v>
      </c>
      <c r="O2169" s="8" t="s">
        <v>6113</v>
      </c>
      <c r="P2169" s="8" t="s">
        <v>70</v>
      </c>
      <c r="Q2169" s="14" t="s">
        <v>2459</v>
      </c>
      <c r="R2169" s="8" t="s">
        <v>2610</v>
      </c>
      <c r="S2169" s="14" t="s">
        <v>2563</v>
      </c>
    </row>
    <row r="2170">
      <c r="A2170" s="8" t="s">
        <v>2661</v>
      </c>
      <c r="B2170" s="8" t="s">
        <v>2660</v>
      </c>
      <c r="C2170" s="8" t="s">
        <v>186</v>
      </c>
      <c r="D2170" s="18" t="s">
        <v>2584</v>
      </c>
      <c r="E2170" s="16">
        <v>57.0</v>
      </c>
      <c r="F2170" s="8" t="s">
        <v>15</v>
      </c>
      <c r="G2170" s="8" t="s">
        <v>14</v>
      </c>
      <c r="H2170" s="8" t="s">
        <v>16</v>
      </c>
      <c r="I2170" s="18" t="s">
        <v>2600</v>
      </c>
      <c r="J2170" s="16">
        <v>99.0</v>
      </c>
      <c r="K2170" s="8" t="s">
        <v>334</v>
      </c>
      <c r="L2170" s="8" t="s">
        <v>766</v>
      </c>
      <c r="M2170" s="18" t="s">
        <v>2587</v>
      </c>
      <c r="N2170" s="16">
        <v>79.0</v>
      </c>
      <c r="O2170" s="8" t="s">
        <v>6114</v>
      </c>
      <c r="P2170" s="8" t="s">
        <v>192</v>
      </c>
      <c r="Q2170" s="14" t="s">
        <v>1679</v>
      </c>
      <c r="R2170" s="8" t="s">
        <v>2610</v>
      </c>
      <c r="S2170" s="14" t="s">
        <v>2576</v>
      </c>
    </row>
    <row r="2171">
      <c r="A2171" s="8" t="s">
        <v>1209</v>
      </c>
      <c r="B2171" s="8" t="s">
        <v>2310</v>
      </c>
      <c r="C2171" s="8" t="s">
        <v>141</v>
      </c>
      <c r="D2171" s="18" t="s">
        <v>2593</v>
      </c>
      <c r="E2171" s="16">
        <v>69.0</v>
      </c>
      <c r="F2171" s="8" t="s">
        <v>1986</v>
      </c>
      <c r="G2171" s="8" t="s">
        <v>2691</v>
      </c>
      <c r="H2171" s="8" t="s">
        <v>261</v>
      </c>
      <c r="I2171" s="18" t="s">
        <v>2584</v>
      </c>
      <c r="J2171" s="16">
        <v>69.0</v>
      </c>
      <c r="K2171" s="8" t="s">
        <v>334</v>
      </c>
      <c r="L2171" s="8" t="s">
        <v>441</v>
      </c>
      <c r="M2171" s="18" t="s">
        <v>2585</v>
      </c>
      <c r="N2171" s="16">
        <v>73.0</v>
      </c>
      <c r="O2171" s="8" t="s">
        <v>6115</v>
      </c>
      <c r="P2171" s="8" t="s">
        <v>93</v>
      </c>
      <c r="Q2171" s="14" t="s">
        <v>2459</v>
      </c>
      <c r="R2171" s="18" t="s">
        <v>2556</v>
      </c>
      <c r="S2171" s="14" t="s">
        <v>2557</v>
      </c>
    </row>
    <row r="2172">
      <c r="A2172" s="8" t="s">
        <v>1209</v>
      </c>
      <c r="B2172" s="8" t="s">
        <v>535</v>
      </c>
      <c r="C2172" s="8" t="s">
        <v>70</v>
      </c>
      <c r="D2172" s="18" t="s">
        <v>2595</v>
      </c>
      <c r="E2172" s="16">
        <v>73.0</v>
      </c>
      <c r="F2172" s="8" t="s">
        <v>1233</v>
      </c>
      <c r="G2172" s="8" t="s">
        <v>94</v>
      </c>
      <c r="H2172" s="8" t="s">
        <v>65</v>
      </c>
      <c r="I2172" s="18" t="s">
        <v>2595</v>
      </c>
      <c r="J2172" s="16">
        <v>62.0</v>
      </c>
      <c r="K2172" s="8" t="s">
        <v>334</v>
      </c>
      <c r="L2172" s="8" t="s">
        <v>106</v>
      </c>
      <c r="M2172" s="18" t="s">
        <v>2600</v>
      </c>
      <c r="N2172" s="16">
        <v>79.0</v>
      </c>
      <c r="O2172" s="8" t="s">
        <v>6116</v>
      </c>
      <c r="P2172" s="8" t="s">
        <v>93</v>
      </c>
      <c r="Q2172" s="14" t="s">
        <v>1679</v>
      </c>
      <c r="R2172" s="8" t="s">
        <v>2603</v>
      </c>
      <c r="S2172" s="14" t="s">
        <v>2608</v>
      </c>
    </row>
    <row r="2173">
      <c r="A2173" s="8" t="s">
        <v>1209</v>
      </c>
      <c r="B2173" s="8" t="s">
        <v>3332</v>
      </c>
      <c r="C2173" s="8" t="s">
        <v>75</v>
      </c>
      <c r="D2173" s="18" t="s">
        <v>2595</v>
      </c>
      <c r="E2173" s="16">
        <v>77.0</v>
      </c>
      <c r="F2173" s="8" t="s">
        <v>140</v>
      </c>
      <c r="G2173" s="8" t="s">
        <v>946</v>
      </c>
      <c r="H2173" s="8" t="s">
        <v>192</v>
      </c>
      <c r="I2173" s="18" t="s">
        <v>2575</v>
      </c>
      <c r="J2173" s="16">
        <v>88.0</v>
      </c>
      <c r="K2173" s="8" t="s">
        <v>334</v>
      </c>
      <c r="L2173" s="8" t="s">
        <v>78</v>
      </c>
      <c r="M2173" s="18" t="s">
        <v>2582</v>
      </c>
      <c r="N2173" s="16">
        <v>87.0</v>
      </c>
      <c r="O2173" s="8" t="s">
        <v>6117</v>
      </c>
      <c r="P2173" s="8" t="s">
        <v>93</v>
      </c>
      <c r="Q2173" s="14" t="s">
        <v>2033</v>
      </c>
      <c r="R2173" s="8" t="s">
        <v>2584</v>
      </c>
      <c r="S2173" s="14" t="s">
        <v>2576</v>
      </c>
    </row>
    <row r="2174">
      <c r="A2174" s="8" t="s">
        <v>1209</v>
      </c>
      <c r="B2174" s="8" t="s">
        <v>3746</v>
      </c>
      <c r="C2174" s="8" t="s">
        <v>38</v>
      </c>
      <c r="D2174" s="18" t="s">
        <v>2558</v>
      </c>
      <c r="E2174" s="16">
        <v>74.0</v>
      </c>
      <c r="F2174" s="8" t="s">
        <v>140</v>
      </c>
      <c r="G2174" s="8" t="s">
        <v>3357</v>
      </c>
      <c r="H2174" s="8" t="s">
        <v>122</v>
      </c>
      <c r="I2174" s="18" t="s">
        <v>2595</v>
      </c>
      <c r="J2174" s="16">
        <v>73.0</v>
      </c>
      <c r="K2174" s="8" t="s">
        <v>1397</v>
      </c>
      <c r="L2174" s="8" t="s">
        <v>246</v>
      </c>
      <c r="M2174" s="18" t="s">
        <v>2560</v>
      </c>
      <c r="N2174" s="16">
        <v>67.0</v>
      </c>
      <c r="O2174" s="8" t="s">
        <v>6118</v>
      </c>
      <c r="P2174" s="8" t="s">
        <v>186</v>
      </c>
      <c r="Q2174" s="14" t="s">
        <v>2459</v>
      </c>
      <c r="R2174" s="8" t="s">
        <v>2554</v>
      </c>
      <c r="S2174" s="14" t="s">
        <v>2576</v>
      </c>
    </row>
    <row r="2175">
      <c r="A2175" s="8" t="s">
        <v>3696</v>
      </c>
      <c r="B2175" s="8" t="s">
        <v>1208</v>
      </c>
      <c r="C2175" s="8" t="s">
        <v>138</v>
      </c>
      <c r="D2175" s="18" t="s">
        <v>2575</v>
      </c>
      <c r="E2175" s="16">
        <v>76.0</v>
      </c>
      <c r="F2175" s="8" t="s">
        <v>140</v>
      </c>
      <c r="G2175" s="8" t="s">
        <v>969</v>
      </c>
      <c r="H2175" s="8" t="s">
        <v>93</v>
      </c>
      <c r="I2175" s="18" t="s">
        <v>2581</v>
      </c>
      <c r="J2175" s="16">
        <v>76.0</v>
      </c>
      <c r="K2175" s="8" t="s">
        <v>1143</v>
      </c>
      <c r="L2175" s="8" t="s">
        <v>1142</v>
      </c>
      <c r="M2175" s="18" t="s">
        <v>2562</v>
      </c>
      <c r="N2175" s="16">
        <v>69.0</v>
      </c>
      <c r="O2175" s="8" t="s">
        <v>6119</v>
      </c>
      <c r="P2175" s="8" t="s">
        <v>80</v>
      </c>
      <c r="Q2175" s="14" t="s">
        <v>1352</v>
      </c>
      <c r="R2175" s="8" t="s">
        <v>2564</v>
      </c>
      <c r="S2175" s="14" t="s">
        <v>2555</v>
      </c>
    </row>
    <row r="2176">
      <c r="A2176" s="8" t="s">
        <v>3146</v>
      </c>
      <c r="B2176" s="8" t="s">
        <v>455</v>
      </c>
      <c r="C2176" s="8" t="s">
        <v>24</v>
      </c>
      <c r="D2176" s="18" t="s">
        <v>2554</v>
      </c>
      <c r="E2176" s="16">
        <v>71.0</v>
      </c>
      <c r="F2176" s="8" t="s">
        <v>140</v>
      </c>
      <c r="G2176" s="8" t="s">
        <v>139</v>
      </c>
      <c r="H2176" s="8" t="s">
        <v>141</v>
      </c>
      <c r="I2176" s="18" t="s">
        <v>2589</v>
      </c>
      <c r="J2176" s="16">
        <v>68.0</v>
      </c>
      <c r="K2176" s="8" t="s">
        <v>1408</v>
      </c>
      <c r="L2176" s="8" t="s">
        <v>1407</v>
      </c>
      <c r="M2176" s="18" t="s">
        <v>2615</v>
      </c>
      <c r="N2176" s="16">
        <v>72.0</v>
      </c>
      <c r="O2176" s="8" t="s">
        <v>6120</v>
      </c>
      <c r="P2176" s="8" t="s">
        <v>93</v>
      </c>
      <c r="Q2176" s="14" t="s">
        <v>1679</v>
      </c>
      <c r="R2176" s="8" t="s">
        <v>2587</v>
      </c>
      <c r="S2176" s="14" t="s">
        <v>2625</v>
      </c>
    </row>
    <row r="2177">
      <c r="A2177" s="8" t="s">
        <v>3602</v>
      </c>
      <c r="B2177" s="8" t="s">
        <v>61</v>
      </c>
      <c r="C2177" s="8" t="s">
        <v>65</v>
      </c>
      <c r="D2177" s="18" t="s">
        <v>2560</v>
      </c>
      <c r="E2177" s="16">
        <v>65.0</v>
      </c>
      <c r="F2177" s="8" t="s">
        <v>434</v>
      </c>
      <c r="G2177" s="8" t="s">
        <v>99</v>
      </c>
      <c r="H2177" s="8" t="s">
        <v>65</v>
      </c>
      <c r="I2177" s="18" t="s">
        <v>2564</v>
      </c>
      <c r="J2177" s="16">
        <v>78.0</v>
      </c>
      <c r="K2177" s="8" t="s">
        <v>1408</v>
      </c>
      <c r="L2177" s="8" t="s">
        <v>1675</v>
      </c>
      <c r="M2177" s="18" t="s">
        <v>2593</v>
      </c>
      <c r="N2177" s="16">
        <v>66.0</v>
      </c>
      <c r="O2177" s="8" t="s">
        <v>6121</v>
      </c>
      <c r="P2177" s="8" t="s">
        <v>65</v>
      </c>
      <c r="Q2177" s="14" t="s">
        <v>2033</v>
      </c>
      <c r="R2177" s="8" t="s">
        <v>2595</v>
      </c>
      <c r="S2177" s="14" t="s">
        <v>2553</v>
      </c>
    </row>
    <row r="2178">
      <c r="A2178" s="8" t="s">
        <v>883</v>
      </c>
      <c r="B2178" s="8" t="s">
        <v>61</v>
      </c>
      <c r="C2178" s="8" t="s">
        <v>186</v>
      </c>
      <c r="D2178" s="18" t="s">
        <v>2620</v>
      </c>
      <c r="E2178" s="16">
        <v>64.0</v>
      </c>
      <c r="F2178" s="8" t="s">
        <v>2017</v>
      </c>
      <c r="G2178" s="8" t="s">
        <v>1200</v>
      </c>
      <c r="H2178" s="8" t="s">
        <v>93</v>
      </c>
      <c r="I2178" s="18" t="s">
        <v>2584</v>
      </c>
      <c r="J2178" s="16">
        <v>63.0</v>
      </c>
      <c r="K2178" s="8" t="s">
        <v>1028</v>
      </c>
      <c r="L2178" s="8" t="s">
        <v>78</v>
      </c>
      <c r="M2178" s="18" t="s">
        <v>2572</v>
      </c>
      <c r="N2178" s="16">
        <v>80.0</v>
      </c>
      <c r="O2178" s="8" t="s">
        <v>6122</v>
      </c>
      <c r="P2178" s="8" t="s">
        <v>186</v>
      </c>
      <c r="Q2178" s="14" t="s">
        <v>1679</v>
      </c>
      <c r="R2178" s="8" t="s">
        <v>2572</v>
      </c>
      <c r="S2178" s="14" t="s">
        <v>2606</v>
      </c>
    </row>
    <row r="2179">
      <c r="A2179" s="8" t="s">
        <v>883</v>
      </c>
      <c r="B2179" s="8" t="s">
        <v>2824</v>
      </c>
      <c r="C2179" s="8" t="s">
        <v>70</v>
      </c>
      <c r="D2179" s="18" t="s">
        <v>2593</v>
      </c>
      <c r="E2179" s="16">
        <v>85.0</v>
      </c>
      <c r="F2179" s="8" t="s">
        <v>1053</v>
      </c>
      <c r="G2179" s="8" t="s">
        <v>2781</v>
      </c>
      <c r="H2179" s="8" t="s">
        <v>80</v>
      </c>
      <c r="I2179" s="18" t="s">
        <v>2587</v>
      </c>
      <c r="J2179" s="16">
        <v>62.0</v>
      </c>
      <c r="K2179" s="8" t="s">
        <v>1028</v>
      </c>
      <c r="L2179" s="8" t="s">
        <v>61</v>
      </c>
      <c r="M2179" s="18" t="s">
        <v>2558</v>
      </c>
      <c r="N2179" s="16">
        <v>70.0</v>
      </c>
      <c r="O2179" s="8" t="s">
        <v>6123</v>
      </c>
      <c r="P2179" s="8" t="s">
        <v>186</v>
      </c>
      <c r="Q2179" s="14" t="s">
        <v>2459</v>
      </c>
      <c r="R2179" s="8" t="s">
        <v>2587</v>
      </c>
      <c r="S2179" s="14" t="s">
        <v>2553</v>
      </c>
    </row>
    <row r="2180">
      <c r="A2180" s="8" t="s">
        <v>15</v>
      </c>
      <c r="B2180" s="8" t="s">
        <v>14</v>
      </c>
      <c r="C2180" s="8" t="s">
        <v>16</v>
      </c>
      <c r="D2180" s="18" t="s">
        <v>2600</v>
      </c>
      <c r="E2180" s="16">
        <v>94.0</v>
      </c>
      <c r="F2180" s="8" t="s">
        <v>1053</v>
      </c>
      <c r="G2180" s="8" t="s">
        <v>1052</v>
      </c>
      <c r="H2180" s="8" t="s">
        <v>93</v>
      </c>
      <c r="I2180" s="18" t="s">
        <v>2552</v>
      </c>
      <c r="J2180" s="16">
        <v>75.0</v>
      </c>
      <c r="K2180" s="8" t="s">
        <v>1028</v>
      </c>
      <c r="L2180" s="8" t="s">
        <v>1027</v>
      </c>
      <c r="M2180" s="18" t="s">
        <v>2552</v>
      </c>
      <c r="N2180" s="16">
        <v>75.0</v>
      </c>
      <c r="O2180" s="8" t="s">
        <v>6124</v>
      </c>
      <c r="P2180" s="8" t="s">
        <v>93</v>
      </c>
      <c r="Q2180" s="14" t="s">
        <v>2033</v>
      </c>
      <c r="R2180" s="8" t="s">
        <v>2183</v>
      </c>
      <c r="S2180" s="14" t="s">
        <v>2579</v>
      </c>
    </row>
    <row r="2181">
      <c r="A2181" s="8" t="s">
        <v>15</v>
      </c>
      <c r="B2181" s="8" t="s">
        <v>358</v>
      </c>
      <c r="C2181" s="8" t="s">
        <v>46</v>
      </c>
      <c r="D2181" s="18" t="s">
        <v>2598</v>
      </c>
      <c r="E2181" s="16">
        <v>73.0</v>
      </c>
      <c r="F2181" s="8" t="s">
        <v>1320</v>
      </c>
      <c r="G2181" s="8" t="s">
        <v>1043</v>
      </c>
      <c r="H2181" s="8" t="s">
        <v>132</v>
      </c>
      <c r="I2181" s="18" t="s">
        <v>2574</v>
      </c>
      <c r="J2181" s="16">
        <v>77.0</v>
      </c>
      <c r="K2181" s="8" t="s">
        <v>865</v>
      </c>
      <c r="L2181" s="8" t="s">
        <v>913</v>
      </c>
      <c r="M2181" s="18" t="s">
        <v>2600</v>
      </c>
      <c r="N2181" s="16">
        <v>81.0</v>
      </c>
      <c r="O2181" s="8" t="s">
        <v>6125</v>
      </c>
      <c r="P2181" s="8" t="s">
        <v>149</v>
      </c>
      <c r="Q2181" s="14" t="s">
        <v>1070</v>
      </c>
      <c r="R2181" s="18" t="s">
        <v>2556</v>
      </c>
      <c r="S2181" s="14" t="s">
        <v>2586</v>
      </c>
    </row>
    <row r="2182">
      <c r="A2182" s="8" t="s">
        <v>15</v>
      </c>
      <c r="B2182" s="8" t="s">
        <v>389</v>
      </c>
      <c r="C2182" s="8" t="s">
        <v>122</v>
      </c>
      <c r="D2182" s="18" t="s">
        <v>2552</v>
      </c>
      <c r="E2182" s="16">
        <v>72.0</v>
      </c>
      <c r="F2182" s="8" t="s">
        <v>2714</v>
      </c>
      <c r="G2182" s="8" t="s">
        <v>2713</v>
      </c>
      <c r="H2182" s="8" t="s">
        <v>70</v>
      </c>
      <c r="I2182" s="18" t="s">
        <v>2595</v>
      </c>
      <c r="J2182" s="16">
        <v>70.0</v>
      </c>
      <c r="K2182" s="8" t="s">
        <v>865</v>
      </c>
      <c r="L2182" s="8" t="s">
        <v>1772</v>
      </c>
      <c r="M2182" s="18" t="s">
        <v>2595</v>
      </c>
      <c r="N2182" s="16">
        <v>68.0</v>
      </c>
      <c r="O2182" s="8" t="s">
        <v>6126</v>
      </c>
      <c r="P2182" s="8" t="s">
        <v>138</v>
      </c>
      <c r="Q2182" s="14" t="s">
        <v>631</v>
      </c>
      <c r="R2182" s="8" t="s">
        <v>2587</v>
      </c>
      <c r="S2182" s="14" t="s">
        <v>2590</v>
      </c>
    </row>
    <row r="2183">
      <c r="A2183" s="8" t="s">
        <v>15</v>
      </c>
      <c r="B2183" s="8" t="s">
        <v>600</v>
      </c>
      <c r="C2183" s="8" t="s">
        <v>16</v>
      </c>
      <c r="D2183" s="18" t="s">
        <v>2562</v>
      </c>
      <c r="E2183" s="16">
        <v>65.0</v>
      </c>
      <c r="F2183" s="8" t="s">
        <v>1434</v>
      </c>
      <c r="G2183" s="8" t="s">
        <v>1433</v>
      </c>
      <c r="H2183" s="8" t="s">
        <v>65</v>
      </c>
      <c r="I2183" s="18" t="s">
        <v>2595</v>
      </c>
      <c r="J2183" s="16">
        <v>63.0</v>
      </c>
      <c r="K2183" s="8" t="s">
        <v>865</v>
      </c>
      <c r="L2183" s="8" t="s">
        <v>78</v>
      </c>
      <c r="M2183" s="18" t="s">
        <v>2614</v>
      </c>
      <c r="N2183" s="16">
        <v>63.0</v>
      </c>
      <c r="O2183" s="8" t="s">
        <v>6127</v>
      </c>
      <c r="P2183" s="8" t="s">
        <v>65</v>
      </c>
      <c r="Q2183" s="14" t="s">
        <v>2033</v>
      </c>
      <c r="R2183" s="18" t="s">
        <v>2589</v>
      </c>
      <c r="S2183" s="14" t="s">
        <v>2557</v>
      </c>
    </row>
    <row r="2184">
      <c r="A2184" s="8" t="s">
        <v>1986</v>
      </c>
      <c r="B2184" s="8" t="s">
        <v>2691</v>
      </c>
      <c r="C2184" s="8" t="s">
        <v>261</v>
      </c>
      <c r="D2184" s="18" t="s">
        <v>2560</v>
      </c>
      <c r="E2184" s="16">
        <v>68.0</v>
      </c>
      <c r="F2184" s="8" t="s">
        <v>472</v>
      </c>
      <c r="G2184" s="8" t="s">
        <v>290</v>
      </c>
      <c r="H2184" s="8" t="s">
        <v>24</v>
      </c>
      <c r="I2184" s="18" t="s">
        <v>2183</v>
      </c>
      <c r="J2184" s="16">
        <v>94.0</v>
      </c>
      <c r="K2184" s="8" t="s">
        <v>865</v>
      </c>
      <c r="L2184" s="8" t="s">
        <v>715</v>
      </c>
      <c r="M2184" s="18" t="s">
        <v>2610</v>
      </c>
      <c r="N2184" s="16">
        <v>72.0</v>
      </c>
      <c r="O2184" s="8" t="s">
        <v>6128</v>
      </c>
      <c r="P2184" s="8" t="s">
        <v>65</v>
      </c>
      <c r="Q2184" s="14" t="s">
        <v>1352</v>
      </c>
      <c r="R2184" s="8" t="s">
        <v>2585</v>
      </c>
      <c r="S2184" s="14" t="s">
        <v>2553</v>
      </c>
    </row>
    <row r="2185">
      <c r="A2185" s="8" t="s">
        <v>140</v>
      </c>
      <c r="B2185" s="8" t="s">
        <v>139</v>
      </c>
      <c r="C2185" s="8" t="s">
        <v>141</v>
      </c>
      <c r="D2185" s="18" t="s">
        <v>2562</v>
      </c>
      <c r="E2185" s="16">
        <v>69.0</v>
      </c>
      <c r="F2185" s="8" t="s">
        <v>472</v>
      </c>
      <c r="G2185" s="8" t="s">
        <v>35</v>
      </c>
      <c r="H2185" s="8" t="s">
        <v>65</v>
      </c>
      <c r="I2185" s="18" t="s">
        <v>2572</v>
      </c>
      <c r="J2185" s="16">
        <v>80.0</v>
      </c>
      <c r="K2185" s="8" t="s">
        <v>865</v>
      </c>
      <c r="L2185" s="8" t="s">
        <v>1834</v>
      </c>
      <c r="M2185" s="18" t="s">
        <v>2595</v>
      </c>
      <c r="N2185" s="16">
        <v>73.0</v>
      </c>
      <c r="O2185" s="8" t="s">
        <v>6129</v>
      </c>
      <c r="P2185" s="8" t="s">
        <v>46</v>
      </c>
      <c r="Q2185" s="14" t="s">
        <v>237</v>
      </c>
      <c r="R2185" s="8" t="s">
        <v>2582</v>
      </c>
      <c r="S2185" s="14" t="s">
        <v>2639</v>
      </c>
    </row>
    <row r="2186">
      <c r="A2186" s="8" t="s">
        <v>140</v>
      </c>
      <c r="B2186" s="8" t="s">
        <v>248</v>
      </c>
      <c r="C2186" s="8" t="s">
        <v>93</v>
      </c>
      <c r="D2186" s="18" t="s">
        <v>2595</v>
      </c>
      <c r="E2186" s="16">
        <v>69.0</v>
      </c>
      <c r="F2186" s="8" t="s">
        <v>472</v>
      </c>
      <c r="G2186" s="8" t="s">
        <v>599</v>
      </c>
      <c r="H2186" s="8" t="s">
        <v>65</v>
      </c>
      <c r="I2186" s="18" t="s">
        <v>2566</v>
      </c>
      <c r="J2186" s="16">
        <v>66.0</v>
      </c>
      <c r="K2186" s="8" t="s">
        <v>865</v>
      </c>
      <c r="L2186" s="8" t="s">
        <v>864</v>
      </c>
      <c r="M2186" s="18" t="s">
        <v>2605</v>
      </c>
      <c r="N2186" s="16">
        <v>79.0</v>
      </c>
      <c r="O2186" s="8" t="s">
        <v>6130</v>
      </c>
      <c r="P2186" s="8" t="s">
        <v>70</v>
      </c>
      <c r="Q2186" s="14" t="s">
        <v>1352</v>
      </c>
      <c r="R2186" s="8" t="s">
        <v>2560</v>
      </c>
      <c r="S2186" s="14" t="s">
        <v>2557</v>
      </c>
    </row>
    <row r="2187">
      <c r="A2187" s="8" t="s">
        <v>140</v>
      </c>
      <c r="B2187" s="8" t="s">
        <v>946</v>
      </c>
      <c r="C2187" s="8" t="s">
        <v>80</v>
      </c>
      <c r="D2187" s="18" t="s">
        <v>2589</v>
      </c>
      <c r="E2187" s="16">
        <v>81.0</v>
      </c>
      <c r="F2187" s="8" t="s">
        <v>472</v>
      </c>
      <c r="G2187" s="8" t="s">
        <v>3459</v>
      </c>
      <c r="H2187" s="8" t="s">
        <v>141</v>
      </c>
      <c r="I2187" s="18" t="s">
        <v>2554</v>
      </c>
      <c r="J2187" s="16">
        <v>81.0</v>
      </c>
      <c r="K2187" s="8" t="s">
        <v>865</v>
      </c>
      <c r="L2187" s="8" t="s">
        <v>594</v>
      </c>
      <c r="M2187" s="18" t="s">
        <v>2582</v>
      </c>
      <c r="N2187" s="16">
        <v>70.0</v>
      </c>
      <c r="O2187" s="8" t="s">
        <v>6131</v>
      </c>
      <c r="P2187" s="8" t="s">
        <v>149</v>
      </c>
      <c r="Q2187" s="14" t="s">
        <v>1352</v>
      </c>
      <c r="R2187" s="8" t="s">
        <v>2572</v>
      </c>
      <c r="S2187" s="14" t="s">
        <v>2628</v>
      </c>
    </row>
    <row r="2188">
      <c r="A2188" s="8" t="s">
        <v>140</v>
      </c>
      <c r="B2188" s="8" t="s">
        <v>3697</v>
      </c>
      <c r="C2188" s="8" t="s">
        <v>138</v>
      </c>
      <c r="D2188" s="18" t="s">
        <v>2585</v>
      </c>
      <c r="E2188" s="16">
        <v>68.0</v>
      </c>
      <c r="F2188" s="8" t="s">
        <v>472</v>
      </c>
      <c r="G2188" s="8" t="s">
        <v>687</v>
      </c>
      <c r="H2188" s="8" t="s">
        <v>141</v>
      </c>
      <c r="I2188" s="18" t="s">
        <v>2614</v>
      </c>
      <c r="J2188" s="16">
        <v>93.0</v>
      </c>
      <c r="K2188" s="8" t="s">
        <v>1194</v>
      </c>
      <c r="L2188" s="8" t="s">
        <v>1193</v>
      </c>
      <c r="M2188" s="18" t="s">
        <v>2556</v>
      </c>
      <c r="N2188" s="16">
        <v>72.0</v>
      </c>
      <c r="O2188" s="8" t="s">
        <v>6132</v>
      </c>
      <c r="P2188" s="8" t="s">
        <v>38</v>
      </c>
      <c r="Q2188" s="14" t="s">
        <v>459</v>
      </c>
      <c r="R2188" s="8" t="s">
        <v>2582</v>
      </c>
      <c r="S2188" s="14" t="s">
        <v>2599</v>
      </c>
    </row>
    <row r="2189">
      <c r="A2189" s="8" t="s">
        <v>140</v>
      </c>
      <c r="B2189" s="8" t="s">
        <v>969</v>
      </c>
      <c r="C2189" s="8" t="s">
        <v>93</v>
      </c>
      <c r="D2189" s="18" t="s">
        <v>2581</v>
      </c>
      <c r="E2189" s="16">
        <v>65.0</v>
      </c>
      <c r="F2189" s="8" t="s">
        <v>1633</v>
      </c>
      <c r="G2189" s="8" t="s">
        <v>3350</v>
      </c>
      <c r="H2189" s="8" t="s">
        <v>65</v>
      </c>
      <c r="I2189" s="18" t="s">
        <v>2621</v>
      </c>
      <c r="J2189" s="16">
        <v>65.0</v>
      </c>
      <c r="K2189" s="8" t="s">
        <v>3010</v>
      </c>
      <c r="L2189" s="8" t="s">
        <v>223</v>
      </c>
      <c r="M2189" s="18" t="s">
        <v>2645</v>
      </c>
      <c r="N2189" s="16">
        <v>66.0</v>
      </c>
      <c r="O2189" s="8" t="s">
        <v>6133</v>
      </c>
      <c r="P2189" s="8" t="s">
        <v>93</v>
      </c>
      <c r="Q2189" s="14" t="s">
        <v>1070</v>
      </c>
      <c r="R2189" s="8" t="s">
        <v>2614</v>
      </c>
      <c r="S2189" s="14" t="s">
        <v>2579</v>
      </c>
    </row>
    <row r="2190">
      <c r="A2190" s="8" t="s">
        <v>140</v>
      </c>
      <c r="B2190" s="8" t="s">
        <v>3772</v>
      </c>
      <c r="C2190" s="8" t="s">
        <v>24</v>
      </c>
      <c r="D2190" s="18" t="s">
        <v>2605</v>
      </c>
      <c r="E2190" s="16">
        <v>71.0</v>
      </c>
      <c r="F2190" s="8" t="s">
        <v>1633</v>
      </c>
      <c r="G2190" s="8" t="s">
        <v>1965</v>
      </c>
      <c r="H2190" s="8" t="s">
        <v>80</v>
      </c>
      <c r="I2190" s="18" t="s">
        <v>2572</v>
      </c>
      <c r="J2190" s="16">
        <v>79.0</v>
      </c>
      <c r="K2190" s="8" t="s">
        <v>713</v>
      </c>
      <c r="L2190" s="8" t="s">
        <v>2968</v>
      </c>
      <c r="M2190" s="18" t="s">
        <v>2600</v>
      </c>
      <c r="N2190" s="16">
        <v>70.0</v>
      </c>
      <c r="O2190" s="8" t="s">
        <v>6134</v>
      </c>
      <c r="P2190" s="8" t="s">
        <v>122</v>
      </c>
      <c r="Q2190" s="14" t="s">
        <v>1352</v>
      </c>
      <c r="R2190" s="8" t="s">
        <v>2615</v>
      </c>
      <c r="S2190" s="14" t="s">
        <v>2622</v>
      </c>
    </row>
    <row r="2191">
      <c r="A2191" s="8" t="s">
        <v>140</v>
      </c>
      <c r="B2191" s="8" t="s">
        <v>3823</v>
      </c>
      <c r="C2191" s="8" t="s">
        <v>16</v>
      </c>
      <c r="D2191" s="18" t="s">
        <v>2614</v>
      </c>
      <c r="E2191" s="16">
        <v>86.0</v>
      </c>
      <c r="F2191" s="8" t="s">
        <v>6105</v>
      </c>
      <c r="G2191" s="8" t="s">
        <v>1055</v>
      </c>
      <c r="H2191" s="8" t="s">
        <v>93</v>
      </c>
      <c r="I2191" s="18" t="s">
        <v>2587</v>
      </c>
      <c r="J2191" s="16">
        <v>78.0</v>
      </c>
      <c r="K2191" s="8" t="s">
        <v>713</v>
      </c>
      <c r="L2191" s="8" t="s">
        <v>537</v>
      </c>
      <c r="M2191" s="18" t="s">
        <v>2593</v>
      </c>
      <c r="N2191" s="16">
        <v>72.0</v>
      </c>
      <c r="O2191" s="8" t="s">
        <v>6135</v>
      </c>
      <c r="P2191" s="8" t="s">
        <v>24</v>
      </c>
      <c r="Q2191" s="14" t="s">
        <v>2033</v>
      </c>
      <c r="R2191" s="8" t="s">
        <v>2560</v>
      </c>
      <c r="S2191" s="14" t="s">
        <v>2557</v>
      </c>
    </row>
    <row r="2192">
      <c r="A2192" s="8" t="s">
        <v>140</v>
      </c>
      <c r="B2192" s="8" t="s">
        <v>3856</v>
      </c>
      <c r="C2192" s="8" t="s">
        <v>59</v>
      </c>
      <c r="D2192" s="18" t="s">
        <v>2595</v>
      </c>
      <c r="E2192" s="16">
        <v>65.0</v>
      </c>
      <c r="F2192" s="8" t="s">
        <v>334</v>
      </c>
      <c r="G2192" s="8" t="s">
        <v>106</v>
      </c>
      <c r="H2192" s="8" t="s">
        <v>149</v>
      </c>
      <c r="I2192" s="18" t="s">
        <v>2585</v>
      </c>
      <c r="J2192" s="16">
        <v>75.0</v>
      </c>
      <c r="K2192" s="8" t="s">
        <v>713</v>
      </c>
      <c r="L2192" s="8" t="s">
        <v>1685</v>
      </c>
      <c r="M2192" s="18" t="s">
        <v>2582</v>
      </c>
      <c r="N2192" s="16">
        <v>70.0</v>
      </c>
      <c r="O2192" s="8" t="s">
        <v>6136</v>
      </c>
      <c r="P2192" s="8" t="s">
        <v>53</v>
      </c>
      <c r="Q2192" s="14" t="s">
        <v>1679</v>
      </c>
      <c r="R2192" s="8" t="s">
        <v>2593</v>
      </c>
      <c r="S2192" s="14" t="s">
        <v>2583</v>
      </c>
    </row>
    <row r="2193">
      <c r="A2193" s="8" t="s">
        <v>3521</v>
      </c>
      <c r="B2193" s="8" t="s">
        <v>460</v>
      </c>
      <c r="C2193" s="8" t="s">
        <v>65</v>
      </c>
      <c r="D2193" s="18" t="s">
        <v>2572</v>
      </c>
      <c r="E2193" s="16">
        <v>63.0</v>
      </c>
      <c r="F2193" s="8" t="s">
        <v>334</v>
      </c>
      <c r="G2193" s="8" t="s">
        <v>441</v>
      </c>
      <c r="H2193" s="8" t="s">
        <v>65</v>
      </c>
      <c r="I2193" s="18" t="s">
        <v>2585</v>
      </c>
      <c r="J2193" s="16">
        <v>70.0</v>
      </c>
      <c r="K2193" s="8" t="s">
        <v>713</v>
      </c>
      <c r="L2193" s="8" t="s">
        <v>1797</v>
      </c>
      <c r="M2193" s="18" t="s">
        <v>2620</v>
      </c>
      <c r="N2193" s="16">
        <v>70.0</v>
      </c>
      <c r="O2193" s="8" t="s">
        <v>6137</v>
      </c>
      <c r="P2193" s="8" t="s">
        <v>38</v>
      </c>
      <c r="Q2193" s="14" t="s">
        <v>1679</v>
      </c>
      <c r="R2193" s="8" t="s">
        <v>2562</v>
      </c>
      <c r="S2193" s="14" t="s">
        <v>2583</v>
      </c>
    </row>
    <row r="2194">
      <c r="A2194" s="8" t="s">
        <v>434</v>
      </c>
      <c r="B2194" s="8" t="s">
        <v>268</v>
      </c>
      <c r="C2194" s="8" t="s">
        <v>186</v>
      </c>
      <c r="D2194" s="18" t="s">
        <v>2598</v>
      </c>
      <c r="E2194" s="16">
        <v>57.0</v>
      </c>
      <c r="F2194" s="8" t="s">
        <v>334</v>
      </c>
      <c r="G2194" s="8" t="s">
        <v>78</v>
      </c>
      <c r="H2194" s="8" t="s">
        <v>46</v>
      </c>
      <c r="I2194" s="18" t="s">
        <v>2582</v>
      </c>
      <c r="J2194" s="16">
        <v>95.0</v>
      </c>
      <c r="K2194" s="8" t="s">
        <v>553</v>
      </c>
      <c r="L2194" s="8" t="s">
        <v>389</v>
      </c>
      <c r="M2194" s="18" t="s">
        <v>2560</v>
      </c>
      <c r="N2194" s="16">
        <v>82.0</v>
      </c>
      <c r="O2194" s="8" t="s">
        <v>6138</v>
      </c>
      <c r="P2194" s="8" t="s">
        <v>65</v>
      </c>
      <c r="Q2194" s="14" t="s">
        <v>1070</v>
      </c>
      <c r="R2194" s="8" t="s">
        <v>2558</v>
      </c>
      <c r="S2194" s="14" t="s">
        <v>2622</v>
      </c>
    </row>
    <row r="2195">
      <c r="A2195" s="8" t="s">
        <v>434</v>
      </c>
      <c r="B2195" s="8" t="s">
        <v>99</v>
      </c>
      <c r="C2195" s="8" t="s">
        <v>65</v>
      </c>
      <c r="D2195" s="18" t="s">
        <v>2585</v>
      </c>
      <c r="E2195" s="16">
        <v>78.0</v>
      </c>
      <c r="F2195" s="8" t="s">
        <v>334</v>
      </c>
      <c r="G2195" s="8" t="s">
        <v>766</v>
      </c>
      <c r="H2195" s="8" t="s">
        <v>59</v>
      </c>
      <c r="I2195" s="18" t="s">
        <v>2582</v>
      </c>
      <c r="J2195" s="16">
        <v>81.0</v>
      </c>
      <c r="K2195" s="8" t="s">
        <v>170</v>
      </c>
      <c r="L2195" s="8" t="s">
        <v>169</v>
      </c>
      <c r="M2195" s="18" t="s">
        <v>2582</v>
      </c>
      <c r="N2195" s="16">
        <v>74.0</v>
      </c>
      <c r="O2195" s="8" t="s">
        <v>6139</v>
      </c>
      <c r="P2195" s="8" t="s">
        <v>16</v>
      </c>
      <c r="Q2195" s="14" t="s">
        <v>837</v>
      </c>
      <c r="R2195" s="8" t="s">
        <v>2560</v>
      </c>
      <c r="S2195" s="14" t="s">
        <v>2594</v>
      </c>
    </row>
    <row r="2196">
      <c r="A2196" s="8" t="s">
        <v>3902</v>
      </c>
      <c r="B2196" s="8" t="s">
        <v>78</v>
      </c>
      <c r="C2196" s="8" t="s">
        <v>53</v>
      </c>
      <c r="D2196" s="18" t="s">
        <v>2572</v>
      </c>
      <c r="E2196" s="16">
        <v>64.0</v>
      </c>
      <c r="F2196" s="8" t="s">
        <v>615</v>
      </c>
      <c r="G2196" s="8" t="s">
        <v>614</v>
      </c>
      <c r="H2196" s="8" t="s">
        <v>38</v>
      </c>
      <c r="I2196" s="18" t="s">
        <v>2582</v>
      </c>
      <c r="J2196" s="16">
        <v>79.0</v>
      </c>
      <c r="K2196" s="8" t="s">
        <v>170</v>
      </c>
      <c r="L2196" s="8" t="s">
        <v>1265</v>
      </c>
      <c r="M2196" s="18" t="s">
        <v>2558</v>
      </c>
      <c r="N2196" s="16">
        <v>79.0</v>
      </c>
      <c r="O2196" s="8" t="s">
        <v>6140</v>
      </c>
      <c r="P2196" s="8" t="s">
        <v>93</v>
      </c>
      <c r="Q2196" s="14" t="s">
        <v>1352</v>
      </c>
      <c r="R2196" s="8" t="s">
        <v>2572</v>
      </c>
      <c r="S2196" s="14" t="s">
        <v>2586</v>
      </c>
    </row>
    <row r="2197">
      <c r="A2197" s="8" t="s">
        <v>1119</v>
      </c>
      <c r="B2197" s="8" t="s">
        <v>1118</v>
      </c>
      <c r="C2197" s="8" t="s">
        <v>70</v>
      </c>
      <c r="D2197" s="18" t="s">
        <v>2610</v>
      </c>
      <c r="E2197" s="16">
        <v>62.0</v>
      </c>
      <c r="F2197" s="8" t="s">
        <v>1143</v>
      </c>
      <c r="G2197" s="8" t="s">
        <v>1142</v>
      </c>
      <c r="H2197" s="8" t="s">
        <v>93</v>
      </c>
      <c r="I2197" s="18" t="s">
        <v>2562</v>
      </c>
      <c r="J2197" s="16">
        <v>66.0</v>
      </c>
      <c r="K2197" s="8" t="s">
        <v>170</v>
      </c>
      <c r="L2197" s="8" t="s">
        <v>1019</v>
      </c>
      <c r="M2197" s="18" t="s">
        <v>2598</v>
      </c>
      <c r="N2197" s="16">
        <v>71.0</v>
      </c>
      <c r="O2197" s="8" t="s">
        <v>6141</v>
      </c>
      <c r="P2197" s="8" t="s">
        <v>24</v>
      </c>
      <c r="Q2197" s="14" t="s">
        <v>837</v>
      </c>
      <c r="R2197" s="8" t="s">
        <v>2605</v>
      </c>
      <c r="S2197" s="14" t="s">
        <v>2604</v>
      </c>
    </row>
    <row r="2198">
      <c r="A2198" s="8" t="s">
        <v>2017</v>
      </c>
      <c r="B2198" s="8" t="s">
        <v>3802</v>
      </c>
      <c r="C2198" s="8" t="s">
        <v>93</v>
      </c>
      <c r="D2198" s="18" t="s">
        <v>2605</v>
      </c>
      <c r="E2198" s="16">
        <v>72.0</v>
      </c>
      <c r="F2198" s="8" t="s">
        <v>3182</v>
      </c>
      <c r="G2198" s="8" t="s">
        <v>2315</v>
      </c>
      <c r="H2198" s="8" t="s">
        <v>16</v>
      </c>
      <c r="I2198" s="18" t="s">
        <v>2603</v>
      </c>
      <c r="J2198" s="16">
        <v>64.0</v>
      </c>
      <c r="K2198" s="8" t="s">
        <v>1045</v>
      </c>
      <c r="L2198" s="8" t="s">
        <v>99</v>
      </c>
      <c r="M2198" s="18" t="s">
        <v>2621</v>
      </c>
      <c r="N2198" s="16">
        <v>66.0</v>
      </c>
      <c r="O2198" s="8" t="s">
        <v>6142</v>
      </c>
      <c r="P2198" s="8" t="s">
        <v>70</v>
      </c>
      <c r="Q2198" s="14" t="s">
        <v>1679</v>
      </c>
      <c r="R2198" s="8" t="s">
        <v>2577</v>
      </c>
      <c r="S2198" s="14" t="s">
        <v>2583</v>
      </c>
    </row>
    <row r="2199">
      <c r="A2199" s="8" t="s">
        <v>1053</v>
      </c>
      <c r="B2199" s="8" t="s">
        <v>2781</v>
      </c>
      <c r="C2199" s="8" t="s">
        <v>192</v>
      </c>
      <c r="D2199" s="18" t="s">
        <v>2595</v>
      </c>
      <c r="E2199" s="16">
        <v>59.0</v>
      </c>
      <c r="F2199" s="8" t="s">
        <v>1028</v>
      </c>
      <c r="G2199" s="8" t="s">
        <v>1027</v>
      </c>
      <c r="H2199" s="8" t="s">
        <v>16</v>
      </c>
      <c r="I2199" s="18" t="s">
        <v>2620</v>
      </c>
      <c r="J2199" s="16">
        <v>76.0</v>
      </c>
      <c r="K2199" s="8" t="s">
        <v>1141</v>
      </c>
      <c r="L2199" s="8" t="s">
        <v>1140</v>
      </c>
      <c r="M2199" s="18" t="s">
        <v>2595</v>
      </c>
      <c r="N2199" s="16">
        <v>77.0</v>
      </c>
      <c r="O2199" s="8" t="s">
        <v>6143</v>
      </c>
      <c r="P2199" s="8" t="s">
        <v>215</v>
      </c>
      <c r="Q2199" s="14" t="s">
        <v>1070</v>
      </c>
      <c r="R2199" s="8" t="s">
        <v>2554</v>
      </c>
      <c r="S2199" s="14" t="s">
        <v>2604</v>
      </c>
    </row>
    <row r="2200">
      <c r="A2200" s="8" t="s">
        <v>1053</v>
      </c>
      <c r="B2200" s="8" t="s">
        <v>1052</v>
      </c>
      <c r="C2200" s="8" t="s">
        <v>93</v>
      </c>
      <c r="D2200" s="18" t="s">
        <v>2552</v>
      </c>
      <c r="E2200" s="16">
        <v>73.0</v>
      </c>
      <c r="F2200" s="8" t="s">
        <v>1028</v>
      </c>
      <c r="G2200" s="8" t="s">
        <v>3012</v>
      </c>
      <c r="H2200" s="8" t="s">
        <v>53</v>
      </c>
      <c r="I2200" s="18" t="s">
        <v>2581</v>
      </c>
      <c r="J2200" s="16">
        <v>67.0</v>
      </c>
      <c r="K2200" s="8" t="s">
        <v>676</v>
      </c>
      <c r="L2200" s="8" t="s">
        <v>675</v>
      </c>
      <c r="M2200" s="18" t="s">
        <v>2610</v>
      </c>
      <c r="N2200" s="16">
        <v>82.0</v>
      </c>
      <c r="O2200" s="8" t="s">
        <v>6144</v>
      </c>
      <c r="P2200" s="8" t="s">
        <v>65</v>
      </c>
      <c r="Q2200" s="14" t="s">
        <v>1352</v>
      </c>
      <c r="R2200" s="8" t="s">
        <v>2577</v>
      </c>
      <c r="S2200" s="14" t="s">
        <v>2609</v>
      </c>
    </row>
    <row r="2201">
      <c r="A2201" s="8" t="s">
        <v>1320</v>
      </c>
      <c r="B2201" s="8" t="s">
        <v>1043</v>
      </c>
      <c r="C2201" s="8" t="s">
        <v>132</v>
      </c>
      <c r="D2201" s="18" t="s">
        <v>2574</v>
      </c>
      <c r="E2201" s="16">
        <v>87.0</v>
      </c>
      <c r="F2201" s="8" t="s">
        <v>1028</v>
      </c>
      <c r="G2201" s="8" t="s">
        <v>61</v>
      </c>
      <c r="H2201" s="8" t="s">
        <v>65</v>
      </c>
      <c r="I2201" s="18" t="s">
        <v>2558</v>
      </c>
      <c r="J2201" s="16">
        <v>64.0</v>
      </c>
      <c r="K2201" s="8" t="s">
        <v>676</v>
      </c>
      <c r="L2201" s="8" t="s">
        <v>858</v>
      </c>
      <c r="M2201" s="18" t="s">
        <v>2605</v>
      </c>
      <c r="N2201" s="16">
        <v>63.0</v>
      </c>
      <c r="O2201" s="8" t="s">
        <v>6145</v>
      </c>
      <c r="P2201" s="8" t="s">
        <v>215</v>
      </c>
      <c r="Q2201" s="14" t="s">
        <v>1679</v>
      </c>
      <c r="R2201" s="8" t="s">
        <v>2595</v>
      </c>
      <c r="S2201" s="14" t="s">
        <v>2602</v>
      </c>
    </row>
    <row r="2202">
      <c r="A2202" s="8" t="s">
        <v>3693</v>
      </c>
      <c r="B2202" s="8" t="s">
        <v>2150</v>
      </c>
      <c r="C2202" s="8" t="s">
        <v>93</v>
      </c>
      <c r="D2202" s="18" t="s">
        <v>2566</v>
      </c>
      <c r="E2202" s="16">
        <v>62.0</v>
      </c>
      <c r="F2202" s="8" t="s">
        <v>1028</v>
      </c>
      <c r="G2202" s="8" t="s">
        <v>78</v>
      </c>
      <c r="H2202" s="8" t="s">
        <v>93</v>
      </c>
      <c r="I2202" s="18" t="s">
        <v>2572</v>
      </c>
      <c r="J2202" s="16">
        <v>66.0</v>
      </c>
      <c r="K2202" s="8" t="s">
        <v>676</v>
      </c>
      <c r="L2202" s="8" t="s">
        <v>1716</v>
      </c>
      <c r="M2202" s="18" t="s">
        <v>2610</v>
      </c>
      <c r="N2202" s="16">
        <v>74.0</v>
      </c>
      <c r="O2202" s="8" t="s">
        <v>6146</v>
      </c>
      <c r="P2202" s="8" t="s">
        <v>75</v>
      </c>
      <c r="Q2202" s="14" t="s">
        <v>837</v>
      </c>
      <c r="R2202" s="8" t="s">
        <v>2610</v>
      </c>
      <c r="S2202" s="14" t="s">
        <v>2555</v>
      </c>
    </row>
    <row r="2203">
      <c r="A2203" s="8" t="s">
        <v>244</v>
      </c>
      <c r="B2203" s="8" t="s">
        <v>243</v>
      </c>
      <c r="C2203" s="8" t="s">
        <v>93</v>
      </c>
      <c r="D2203" s="18" t="s">
        <v>2585</v>
      </c>
      <c r="E2203" s="16">
        <v>81.0</v>
      </c>
      <c r="F2203" s="8" t="s">
        <v>1028</v>
      </c>
      <c r="G2203" s="8" t="s">
        <v>308</v>
      </c>
      <c r="H2203" s="8" t="s">
        <v>141</v>
      </c>
      <c r="I2203" s="18" t="s">
        <v>2598</v>
      </c>
      <c r="J2203" s="16">
        <v>64.0</v>
      </c>
      <c r="K2203" s="8" t="s">
        <v>676</v>
      </c>
      <c r="L2203" s="8" t="s">
        <v>1243</v>
      </c>
      <c r="M2203" s="18" t="s">
        <v>2577</v>
      </c>
      <c r="N2203" s="16">
        <v>68.0</v>
      </c>
      <c r="O2203" s="8" t="s">
        <v>6147</v>
      </c>
      <c r="P2203" s="8" t="s">
        <v>192</v>
      </c>
      <c r="Q2203" s="14" t="s">
        <v>2033</v>
      </c>
      <c r="R2203" s="8" t="s">
        <v>2620</v>
      </c>
      <c r="S2203" s="14" t="s">
        <v>2576</v>
      </c>
    </row>
    <row r="2204">
      <c r="A2204" s="8" t="s">
        <v>79</v>
      </c>
      <c r="B2204" s="8" t="s">
        <v>78</v>
      </c>
      <c r="C2204" s="8" t="s">
        <v>93</v>
      </c>
      <c r="D2204" s="18" t="s">
        <v>2615</v>
      </c>
      <c r="E2204" s="16">
        <v>80.0</v>
      </c>
      <c r="F2204" s="8" t="s">
        <v>1028</v>
      </c>
      <c r="G2204" s="8" t="s">
        <v>644</v>
      </c>
      <c r="H2204" s="8" t="s">
        <v>186</v>
      </c>
      <c r="I2204" s="18" t="s">
        <v>2600</v>
      </c>
      <c r="J2204" s="16">
        <v>57.0</v>
      </c>
      <c r="K2204" s="8" t="s">
        <v>676</v>
      </c>
      <c r="L2204" s="8" t="s">
        <v>1438</v>
      </c>
      <c r="M2204" s="18" t="s">
        <v>2562</v>
      </c>
      <c r="N2204" s="16">
        <v>64.0</v>
      </c>
      <c r="O2204" s="8" t="s">
        <v>6148</v>
      </c>
      <c r="P2204" s="8" t="s">
        <v>149</v>
      </c>
      <c r="Q2204" s="14" t="s">
        <v>2296</v>
      </c>
      <c r="R2204" s="8" t="s">
        <v>2572</v>
      </c>
      <c r="S2204" s="14" t="s">
        <v>2576</v>
      </c>
    </row>
    <row r="2205">
      <c r="A2205" s="8" t="s">
        <v>2714</v>
      </c>
      <c r="B2205" s="8" t="s">
        <v>2713</v>
      </c>
      <c r="C2205" s="8" t="s">
        <v>70</v>
      </c>
      <c r="D2205" s="18" t="s">
        <v>2595</v>
      </c>
      <c r="E2205" s="16">
        <v>71.0</v>
      </c>
      <c r="F2205" s="8" t="s">
        <v>865</v>
      </c>
      <c r="G2205" s="8" t="s">
        <v>3192</v>
      </c>
      <c r="H2205" s="8" t="s">
        <v>80</v>
      </c>
      <c r="I2205" s="18" t="s">
        <v>2615</v>
      </c>
      <c r="J2205" s="16">
        <v>61.0</v>
      </c>
      <c r="K2205" s="8" t="s">
        <v>676</v>
      </c>
      <c r="L2205" s="8" t="s">
        <v>795</v>
      </c>
      <c r="M2205" s="18" t="s">
        <v>2584</v>
      </c>
      <c r="N2205" s="16">
        <v>71.0</v>
      </c>
      <c r="O2205" s="8" t="s">
        <v>6149</v>
      </c>
      <c r="P2205" s="8" t="s">
        <v>65</v>
      </c>
      <c r="Q2205" s="14" t="s">
        <v>2033</v>
      </c>
      <c r="R2205" s="8" t="s">
        <v>2582</v>
      </c>
      <c r="S2205" s="14" t="s">
        <v>2591</v>
      </c>
    </row>
    <row r="2206">
      <c r="A2206" s="8" t="s">
        <v>472</v>
      </c>
      <c r="B2206" s="8" t="s">
        <v>35</v>
      </c>
      <c r="C2206" s="8" t="s">
        <v>65</v>
      </c>
      <c r="D2206" s="18" t="s">
        <v>2572</v>
      </c>
      <c r="E2206" s="16">
        <v>78.0</v>
      </c>
      <c r="F2206" s="8" t="s">
        <v>865</v>
      </c>
      <c r="G2206" s="8" t="s">
        <v>715</v>
      </c>
      <c r="H2206" s="8" t="s">
        <v>75</v>
      </c>
      <c r="I2206" s="18" t="s">
        <v>2610</v>
      </c>
      <c r="J2206" s="16">
        <v>66.0</v>
      </c>
      <c r="K2206" s="8" t="s">
        <v>676</v>
      </c>
      <c r="L2206" s="8" t="s">
        <v>1198</v>
      </c>
      <c r="M2206" s="18" t="s">
        <v>2593</v>
      </c>
      <c r="N2206" s="16">
        <v>78.0</v>
      </c>
      <c r="O2206" s="8" t="s">
        <v>6150</v>
      </c>
      <c r="P2206" s="8" t="s">
        <v>122</v>
      </c>
      <c r="Q2206" s="14" t="s">
        <v>1070</v>
      </c>
      <c r="R2206" s="8" t="s">
        <v>2564</v>
      </c>
      <c r="S2206" s="14" t="s">
        <v>2622</v>
      </c>
    </row>
    <row r="2207">
      <c r="A2207" s="8" t="s">
        <v>472</v>
      </c>
      <c r="B2207" s="8" t="s">
        <v>3565</v>
      </c>
      <c r="C2207" s="8" t="s">
        <v>122</v>
      </c>
      <c r="D2207" s="18" t="s">
        <v>2592</v>
      </c>
      <c r="E2207" s="16">
        <v>57.0</v>
      </c>
      <c r="F2207" s="8" t="s">
        <v>865</v>
      </c>
      <c r="G2207" s="8" t="s">
        <v>1834</v>
      </c>
      <c r="H2207" s="8" t="s">
        <v>138</v>
      </c>
      <c r="I2207" s="18" t="s">
        <v>2595</v>
      </c>
      <c r="J2207" s="16">
        <v>69.0</v>
      </c>
      <c r="K2207" s="8" t="s">
        <v>676</v>
      </c>
      <c r="L2207" s="8" t="s">
        <v>1221</v>
      </c>
      <c r="M2207" s="18" t="s">
        <v>2610</v>
      </c>
      <c r="N2207" s="16">
        <v>76.0</v>
      </c>
      <c r="O2207" s="8" t="s">
        <v>6151</v>
      </c>
      <c r="P2207" s="8" t="s">
        <v>80</v>
      </c>
      <c r="Q2207" s="14" t="s">
        <v>1679</v>
      </c>
      <c r="R2207" s="8" t="s">
        <v>2582</v>
      </c>
      <c r="S2207" s="14" t="s">
        <v>2563</v>
      </c>
    </row>
    <row r="2208">
      <c r="A2208" s="8" t="s">
        <v>472</v>
      </c>
      <c r="B2208" s="8" t="s">
        <v>3595</v>
      </c>
      <c r="C2208" s="8" t="s">
        <v>12</v>
      </c>
      <c r="D2208" s="18" t="s">
        <v>2615</v>
      </c>
      <c r="E2208" s="16">
        <v>76.0</v>
      </c>
      <c r="F2208" s="8" t="s">
        <v>865</v>
      </c>
      <c r="G2208" s="8" t="s">
        <v>913</v>
      </c>
      <c r="H2208" s="8" t="s">
        <v>215</v>
      </c>
      <c r="I2208" s="18" t="s">
        <v>2600</v>
      </c>
      <c r="J2208" s="16">
        <v>82.0</v>
      </c>
      <c r="K2208" s="8" t="s">
        <v>676</v>
      </c>
      <c r="L2208" s="8" t="s">
        <v>210</v>
      </c>
      <c r="M2208" s="18" t="s">
        <v>2574</v>
      </c>
      <c r="N2208" s="16">
        <v>73.0</v>
      </c>
      <c r="O2208" s="8" t="s">
        <v>6152</v>
      </c>
      <c r="P2208" s="8" t="s">
        <v>24</v>
      </c>
      <c r="Q2208" s="14" t="s">
        <v>1679</v>
      </c>
      <c r="R2208" s="8" t="s">
        <v>2620</v>
      </c>
      <c r="S2208" s="14" t="s">
        <v>2591</v>
      </c>
    </row>
    <row r="2209">
      <c r="A2209" s="8" t="s">
        <v>472</v>
      </c>
      <c r="B2209" s="8" t="s">
        <v>1442</v>
      </c>
      <c r="C2209" s="8" t="s">
        <v>53</v>
      </c>
      <c r="D2209" s="18" t="s">
        <v>2577</v>
      </c>
      <c r="E2209" s="16">
        <v>62.0</v>
      </c>
      <c r="F2209" s="8" t="s">
        <v>865</v>
      </c>
      <c r="G2209" s="8" t="s">
        <v>864</v>
      </c>
      <c r="H2209" s="8" t="s">
        <v>24</v>
      </c>
      <c r="I2209" s="18" t="s">
        <v>2564</v>
      </c>
      <c r="J2209" s="16">
        <v>79.0</v>
      </c>
      <c r="K2209" s="8" t="s">
        <v>676</v>
      </c>
      <c r="L2209" s="8" t="s">
        <v>1242</v>
      </c>
      <c r="M2209" s="18" t="s">
        <v>2621</v>
      </c>
      <c r="N2209" s="16">
        <v>64.0</v>
      </c>
      <c r="O2209" s="8" t="s">
        <v>6153</v>
      </c>
      <c r="P2209" s="8" t="s">
        <v>93</v>
      </c>
      <c r="Q2209" s="14" t="s">
        <v>631</v>
      </c>
      <c r="R2209" s="8" t="s">
        <v>2593</v>
      </c>
      <c r="S2209" s="14" t="s">
        <v>2573</v>
      </c>
    </row>
    <row r="2210">
      <c r="A2210" s="8" t="s">
        <v>472</v>
      </c>
      <c r="B2210" s="8" t="s">
        <v>687</v>
      </c>
      <c r="C2210" s="8" t="s">
        <v>141</v>
      </c>
      <c r="D2210" s="18" t="s">
        <v>2614</v>
      </c>
      <c r="E2210" s="16">
        <v>91.0</v>
      </c>
      <c r="F2210" s="8" t="s">
        <v>1194</v>
      </c>
      <c r="G2210" s="8" t="s">
        <v>1193</v>
      </c>
      <c r="H2210" s="8" t="s">
        <v>122</v>
      </c>
      <c r="I2210" s="18" t="s">
        <v>2556</v>
      </c>
      <c r="J2210" s="16">
        <v>65.0</v>
      </c>
      <c r="K2210" s="8" t="s">
        <v>676</v>
      </c>
      <c r="L2210" s="8" t="s">
        <v>1120</v>
      </c>
      <c r="M2210" s="18" t="s">
        <v>2582</v>
      </c>
      <c r="N2210" s="16">
        <v>63.0</v>
      </c>
      <c r="O2210" s="8" t="s">
        <v>6154</v>
      </c>
      <c r="P2210" s="8" t="s">
        <v>70</v>
      </c>
      <c r="Q2210" s="14" t="s">
        <v>1352</v>
      </c>
      <c r="R2210" s="8" t="s">
        <v>2572</v>
      </c>
      <c r="S2210" s="14" t="s">
        <v>2594</v>
      </c>
    </row>
    <row r="2211">
      <c r="A2211" s="8" t="s">
        <v>472</v>
      </c>
      <c r="B2211" s="8" t="s">
        <v>290</v>
      </c>
      <c r="C2211" s="8" t="s">
        <v>24</v>
      </c>
      <c r="D2211" s="18" t="s">
        <v>2183</v>
      </c>
      <c r="E2211" s="16">
        <v>88.0</v>
      </c>
      <c r="F2211" s="8" t="s">
        <v>3010</v>
      </c>
      <c r="G2211" s="8" t="s">
        <v>223</v>
      </c>
      <c r="H2211" s="8" t="s">
        <v>93</v>
      </c>
      <c r="I2211" s="18" t="s">
        <v>2572</v>
      </c>
      <c r="J2211" s="16">
        <v>66.0</v>
      </c>
      <c r="K2211" s="8" t="s">
        <v>676</v>
      </c>
      <c r="L2211" s="8" t="s">
        <v>1234</v>
      </c>
      <c r="M2211" s="18" t="s">
        <v>2603</v>
      </c>
      <c r="N2211" s="16">
        <v>77.0</v>
      </c>
      <c r="O2211" s="8" t="s">
        <v>6155</v>
      </c>
      <c r="P2211" s="8" t="s">
        <v>93</v>
      </c>
      <c r="Q2211" s="14" t="s">
        <v>459</v>
      </c>
      <c r="R2211" s="8" t="s">
        <v>2560</v>
      </c>
      <c r="S2211" s="14" t="s">
        <v>2599</v>
      </c>
    </row>
    <row r="2212">
      <c r="A2212" s="8" t="s">
        <v>472</v>
      </c>
      <c r="B2212" s="8" t="s">
        <v>3459</v>
      </c>
      <c r="C2212" s="8" t="s">
        <v>141</v>
      </c>
      <c r="D2212" s="18" t="s">
        <v>2554</v>
      </c>
      <c r="E2212" s="16">
        <v>67.0</v>
      </c>
      <c r="F2212" s="8" t="s">
        <v>713</v>
      </c>
      <c r="G2212" s="8" t="s">
        <v>2968</v>
      </c>
      <c r="H2212" s="8" t="s">
        <v>24</v>
      </c>
      <c r="I2212" s="18" t="s">
        <v>2589</v>
      </c>
      <c r="J2212" s="16">
        <v>74.0</v>
      </c>
      <c r="K2212" s="8" t="s">
        <v>676</v>
      </c>
      <c r="L2212" s="8" t="s">
        <v>1410</v>
      </c>
      <c r="M2212" s="18" t="s">
        <v>2552</v>
      </c>
      <c r="N2212" s="16">
        <v>67.0</v>
      </c>
      <c r="O2212" s="8" t="s">
        <v>6156</v>
      </c>
      <c r="P2212" s="8" t="s">
        <v>122</v>
      </c>
      <c r="Q2212" s="14" t="s">
        <v>2459</v>
      </c>
      <c r="R2212" s="8" t="s">
        <v>2614</v>
      </c>
      <c r="S2212" s="14" t="s">
        <v>2565</v>
      </c>
    </row>
    <row r="2213">
      <c r="A2213" s="8" t="s">
        <v>1633</v>
      </c>
      <c r="B2213" s="8" t="s">
        <v>1965</v>
      </c>
      <c r="C2213" s="8" t="s">
        <v>192</v>
      </c>
      <c r="D2213" s="18" t="s">
        <v>2574</v>
      </c>
      <c r="E2213" s="16">
        <v>78.0</v>
      </c>
      <c r="F2213" s="8" t="s">
        <v>713</v>
      </c>
      <c r="G2213" s="8" t="s">
        <v>537</v>
      </c>
      <c r="H2213" s="8" t="s">
        <v>93</v>
      </c>
      <c r="I2213" s="18" t="s">
        <v>2593</v>
      </c>
      <c r="J2213" s="16">
        <v>66.0</v>
      </c>
      <c r="K2213" s="8" t="s">
        <v>676</v>
      </c>
      <c r="L2213" s="8" t="s">
        <v>675</v>
      </c>
      <c r="M2213" s="18" t="s">
        <v>2610</v>
      </c>
      <c r="N2213" s="16">
        <v>87.0</v>
      </c>
      <c r="O2213" s="8" t="s">
        <v>6157</v>
      </c>
      <c r="P2213" s="8" t="s">
        <v>70</v>
      </c>
      <c r="Q2213" s="14" t="s">
        <v>2459</v>
      </c>
      <c r="R2213" s="8" t="s">
        <v>2554</v>
      </c>
      <c r="S2213" s="14" t="s">
        <v>2563</v>
      </c>
    </row>
    <row r="2214">
      <c r="A2214" s="8" t="s">
        <v>1633</v>
      </c>
      <c r="B2214" s="8" t="s">
        <v>208</v>
      </c>
      <c r="C2214" s="8" t="s">
        <v>132</v>
      </c>
      <c r="D2214" s="18" t="s">
        <v>2600</v>
      </c>
      <c r="E2214" s="16">
        <v>71.0</v>
      </c>
      <c r="F2214" s="8" t="s">
        <v>1578</v>
      </c>
      <c r="G2214" s="8" t="s">
        <v>1577</v>
      </c>
      <c r="H2214" s="8" t="s">
        <v>70</v>
      </c>
      <c r="I2214" s="18" t="s">
        <v>2567</v>
      </c>
      <c r="J2214" s="16">
        <v>65.0</v>
      </c>
      <c r="K2214" s="8" t="s">
        <v>1881</v>
      </c>
      <c r="L2214" s="8" t="s">
        <v>94</v>
      </c>
      <c r="M2214" s="18" t="s">
        <v>2567</v>
      </c>
      <c r="N2214" s="16">
        <v>75.0</v>
      </c>
      <c r="O2214" s="8" t="s">
        <v>6158</v>
      </c>
      <c r="P2214" s="8" t="s">
        <v>38</v>
      </c>
      <c r="Q2214" s="14" t="s">
        <v>1070</v>
      </c>
      <c r="R2214" s="8" t="s">
        <v>2572</v>
      </c>
      <c r="S2214" s="14" t="s">
        <v>2583</v>
      </c>
    </row>
    <row r="2215">
      <c r="A2215" s="8" t="s">
        <v>1633</v>
      </c>
      <c r="B2215" s="8" t="s">
        <v>2912</v>
      </c>
      <c r="C2215" s="8" t="s">
        <v>70</v>
      </c>
      <c r="D2215" s="18" t="s">
        <v>2603</v>
      </c>
      <c r="E2215" s="16">
        <v>63.0</v>
      </c>
      <c r="F2215" s="8" t="s">
        <v>553</v>
      </c>
      <c r="G2215" s="8" t="s">
        <v>389</v>
      </c>
      <c r="H2215" s="8" t="s">
        <v>93</v>
      </c>
      <c r="I2215" s="18" t="s">
        <v>2593</v>
      </c>
      <c r="J2215" s="16">
        <v>82.0</v>
      </c>
      <c r="K2215" s="8" t="s">
        <v>978</v>
      </c>
      <c r="L2215" s="8" t="s">
        <v>977</v>
      </c>
      <c r="M2215" s="18" t="s">
        <v>2562</v>
      </c>
      <c r="N2215" s="16">
        <v>86.0</v>
      </c>
      <c r="O2215" s="8" t="s">
        <v>6159</v>
      </c>
      <c r="P2215" s="8" t="s">
        <v>70</v>
      </c>
      <c r="Q2215" s="14" t="s">
        <v>1070</v>
      </c>
      <c r="R2215" s="8" t="s">
        <v>2560</v>
      </c>
      <c r="S2215" s="14" t="s">
        <v>2553</v>
      </c>
    </row>
    <row r="2216">
      <c r="A2216" s="8" t="s">
        <v>1633</v>
      </c>
      <c r="B2216" s="8" t="s">
        <v>111</v>
      </c>
      <c r="C2216" s="8" t="s">
        <v>70</v>
      </c>
      <c r="D2216" s="18" t="s">
        <v>2593</v>
      </c>
      <c r="E2216" s="16">
        <v>78.0</v>
      </c>
      <c r="F2216" s="8" t="s">
        <v>170</v>
      </c>
      <c r="G2216" s="8" t="s">
        <v>1265</v>
      </c>
      <c r="H2216" s="8" t="s">
        <v>70</v>
      </c>
      <c r="I2216" s="18" t="s">
        <v>2558</v>
      </c>
      <c r="J2216" s="16">
        <v>83.0</v>
      </c>
      <c r="K2216" s="8" t="s">
        <v>867</v>
      </c>
      <c r="L2216" s="8" t="s">
        <v>866</v>
      </c>
      <c r="M2216" s="18" t="s">
        <v>2567</v>
      </c>
      <c r="N2216" s="16">
        <v>63.0</v>
      </c>
      <c r="O2216" s="8" t="s">
        <v>6160</v>
      </c>
      <c r="P2216" s="8" t="s">
        <v>149</v>
      </c>
      <c r="Q2216" s="14" t="s">
        <v>135</v>
      </c>
      <c r="R2216" s="8" t="s">
        <v>2587</v>
      </c>
      <c r="S2216" s="14" t="s">
        <v>2573</v>
      </c>
    </row>
    <row r="2217">
      <c r="A2217" s="8" t="s">
        <v>1633</v>
      </c>
      <c r="B2217" s="8" t="s">
        <v>3350</v>
      </c>
      <c r="C2217" s="8" t="s">
        <v>65</v>
      </c>
      <c r="D2217" s="18" t="s">
        <v>2621</v>
      </c>
      <c r="E2217" s="16">
        <v>65.0</v>
      </c>
      <c r="F2217" s="8" t="s">
        <v>170</v>
      </c>
      <c r="G2217" s="8" t="s">
        <v>169</v>
      </c>
      <c r="H2217" s="8" t="s">
        <v>46</v>
      </c>
      <c r="I2217" s="18" t="s">
        <v>2582</v>
      </c>
      <c r="J2217" s="16">
        <v>74.0</v>
      </c>
      <c r="K2217" s="8" t="s">
        <v>867</v>
      </c>
      <c r="L2217" s="8" t="s">
        <v>537</v>
      </c>
      <c r="M2217" s="18" t="s">
        <v>2183</v>
      </c>
      <c r="N2217" s="16">
        <v>83.0</v>
      </c>
      <c r="O2217" s="8" t="s">
        <v>6161</v>
      </c>
      <c r="P2217" s="8" t="s">
        <v>46</v>
      </c>
      <c r="Q2217" s="14" t="s">
        <v>837</v>
      </c>
      <c r="R2217" s="8" t="s">
        <v>2598</v>
      </c>
      <c r="S2217" s="14" t="s">
        <v>2583</v>
      </c>
    </row>
    <row r="2218">
      <c r="A2218" s="8" t="s">
        <v>334</v>
      </c>
      <c r="B2218" s="8" t="s">
        <v>106</v>
      </c>
      <c r="C2218" s="8" t="s">
        <v>149</v>
      </c>
      <c r="D2218" s="18" t="s">
        <v>2585</v>
      </c>
      <c r="E2218" s="16">
        <v>65.0</v>
      </c>
      <c r="F2218" s="8" t="s">
        <v>170</v>
      </c>
      <c r="G2218" s="8" t="s">
        <v>1019</v>
      </c>
      <c r="H2218" s="8" t="s">
        <v>149</v>
      </c>
      <c r="I2218" s="18" t="s">
        <v>2620</v>
      </c>
      <c r="J2218" s="16">
        <v>70.0</v>
      </c>
      <c r="K2218" s="8" t="s">
        <v>836</v>
      </c>
      <c r="L2218" s="8" t="s">
        <v>78</v>
      </c>
      <c r="M2218" s="18" t="s">
        <v>2572</v>
      </c>
      <c r="N2218" s="16">
        <v>79.0</v>
      </c>
      <c r="O2218" s="8" t="s">
        <v>6162</v>
      </c>
      <c r="P2218" s="8" t="s">
        <v>186</v>
      </c>
      <c r="Q2218" s="14" t="s">
        <v>2033</v>
      </c>
      <c r="R2218" s="8" t="s">
        <v>2558</v>
      </c>
      <c r="S2218" s="14" t="s">
        <v>2555</v>
      </c>
    </row>
    <row r="2219">
      <c r="A2219" s="8" t="s">
        <v>334</v>
      </c>
      <c r="B2219" s="8" t="s">
        <v>349</v>
      </c>
      <c r="C2219" s="8" t="s">
        <v>59</v>
      </c>
      <c r="D2219" s="18" t="s">
        <v>2567</v>
      </c>
      <c r="E2219" s="16">
        <v>82.0</v>
      </c>
      <c r="F2219" s="8" t="s">
        <v>1141</v>
      </c>
      <c r="G2219" s="8" t="s">
        <v>1140</v>
      </c>
      <c r="H2219" s="8" t="s">
        <v>122</v>
      </c>
      <c r="I2219" s="18" t="s">
        <v>2595</v>
      </c>
      <c r="J2219" s="16">
        <v>72.0</v>
      </c>
      <c r="K2219" s="8" t="s">
        <v>836</v>
      </c>
      <c r="L2219" s="8" t="s">
        <v>110</v>
      </c>
      <c r="M2219" s="18" t="s">
        <v>2554</v>
      </c>
      <c r="N2219" s="16">
        <v>71.0</v>
      </c>
      <c r="O2219" s="8" t="s">
        <v>6163</v>
      </c>
      <c r="P2219" s="8" t="s">
        <v>122</v>
      </c>
      <c r="Q2219" s="14" t="s">
        <v>1070</v>
      </c>
      <c r="R2219" s="8" t="s">
        <v>2598</v>
      </c>
      <c r="S2219" s="14" t="s">
        <v>2601</v>
      </c>
    </row>
    <row r="2220">
      <c r="A2220" s="8" t="s">
        <v>334</v>
      </c>
      <c r="B2220" s="8" t="s">
        <v>766</v>
      </c>
      <c r="C2220" s="8" t="s">
        <v>215</v>
      </c>
      <c r="D2220" s="18" t="s">
        <v>2582</v>
      </c>
      <c r="E2220" s="16">
        <v>81.0</v>
      </c>
      <c r="F2220" s="8" t="s">
        <v>676</v>
      </c>
      <c r="G2220" s="8" t="s">
        <v>675</v>
      </c>
      <c r="H2220" s="8" t="s">
        <v>24</v>
      </c>
      <c r="I2220" s="18" t="s">
        <v>2610</v>
      </c>
      <c r="J2220" s="16">
        <v>91.0</v>
      </c>
      <c r="K2220" s="8" t="s">
        <v>442</v>
      </c>
      <c r="L2220" s="8" t="s">
        <v>441</v>
      </c>
      <c r="M2220" s="18" t="s">
        <v>2615</v>
      </c>
      <c r="N2220" s="16">
        <v>80.0</v>
      </c>
      <c r="O2220" s="8" t="s">
        <v>6164</v>
      </c>
      <c r="P2220" s="8" t="s">
        <v>65</v>
      </c>
      <c r="Q2220" s="14" t="s">
        <v>1679</v>
      </c>
      <c r="R2220" s="8" t="s">
        <v>2610</v>
      </c>
      <c r="S2220" s="14" t="s">
        <v>2578</v>
      </c>
    </row>
    <row r="2221">
      <c r="A2221" s="8" t="s">
        <v>334</v>
      </c>
      <c r="B2221" s="8" t="s">
        <v>786</v>
      </c>
      <c r="C2221" s="8" t="s">
        <v>70</v>
      </c>
      <c r="D2221" s="18" t="s">
        <v>2575</v>
      </c>
      <c r="E2221" s="16">
        <v>72.0</v>
      </c>
      <c r="F2221" s="8" t="s">
        <v>676</v>
      </c>
      <c r="G2221" s="8" t="s">
        <v>1234</v>
      </c>
      <c r="H2221" s="8" t="s">
        <v>65</v>
      </c>
      <c r="I2221" s="18" t="s">
        <v>2603</v>
      </c>
      <c r="J2221" s="16">
        <v>80.0</v>
      </c>
      <c r="K2221" s="8" t="s">
        <v>802</v>
      </c>
      <c r="L2221" s="8" t="s">
        <v>99</v>
      </c>
      <c r="M2221" s="18" t="s">
        <v>2614</v>
      </c>
      <c r="N2221" s="16">
        <v>88.0</v>
      </c>
      <c r="O2221" s="8" t="s">
        <v>6165</v>
      </c>
      <c r="P2221" s="8" t="s">
        <v>16</v>
      </c>
      <c r="Q2221" s="14" t="s">
        <v>837</v>
      </c>
      <c r="R2221" s="8" t="s">
        <v>2605</v>
      </c>
      <c r="S2221" s="14" t="s">
        <v>13</v>
      </c>
    </row>
    <row r="2222">
      <c r="A2222" s="8" t="s">
        <v>334</v>
      </c>
      <c r="B2222" s="8" t="s">
        <v>78</v>
      </c>
      <c r="C2222" s="8" t="s">
        <v>46</v>
      </c>
      <c r="D2222" s="18" t="s">
        <v>2582</v>
      </c>
      <c r="E2222" s="16">
        <v>92.0</v>
      </c>
      <c r="F2222" s="8" t="s">
        <v>676</v>
      </c>
      <c r="G2222" s="8" t="s">
        <v>1221</v>
      </c>
      <c r="H2222" s="8" t="s">
        <v>24</v>
      </c>
      <c r="I2222" s="18" t="s">
        <v>2610</v>
      </c>
      <c r="J2222" s="16">
        <v>69.0</v>
      </c>
      <c r="K2222" s="8" t="s">
        <v>501</v>
      </c>
      <c r="L2222" s="8" t="s">
        <v>359</v>
      </c>
      <c r="M2222" s="18" t="s">
        <v>2614</v>
      </c>
      <c r="N2222" s="16">
        <v>78.0</v>
      </c>
      <c r="O2222" s="8" t="s">
        <v>6166</v>
      </c>
      <c r="P2222" s="8" t="s">
        <v>132</v>
      </c>
      <c r="Q2222" s="14" t="s">
        <v>1070</v>
      </c>
      <c r="R2222" s="8" t="s">
        <v>2582</v>
      </c>
      <c r="S2222" s="14" t="s">
        <v>2569</v>
      </c>
    </row>
    <row r="2223">
      <c r="A2223" s="8" t="s">
        <v>1397</v>
      </c>
      <c r="B2223" s="8" t="s">
        <v>308</v>
      </c>
      <c r="C2223" s="8" t="s">
        <v>192</v>
      </c>
      <c r="D2223" s="18" t="s">
        <v>2574</v>
      </c>
      <c r="E2223" s="16">
        <v>68.0</v>
      </c>
      <c r="F2223" s="8" t="s">
        <v>676</v>
      </c>
      <c r="G2223" s="8" t="s">
        <v>1438</v>
      </c>
      <c r="H2223" s="8" t="s">
        <v>70</v>
      </c>
      <c r="I2223" s="18" t="s">
        <v>2562</v>
      </c>
      <c r="J2223" s="16">
        <v>64.0</v>
      </c>
      <c r="K2223" s="8" t="s">
        <v>501</v>
      </c>
      <c r="L2223" s="8" t="s">
        <v>276</v>
      </c>
      <c r="M2223" s="18" t="s">
        <v>2183</v>
      </c>
      <c r="N2223" s="16">
        <v>71.0</v>
      </c>
      <c r="O2223" s="8" t="s">
        <v>6167</v>
      </c>
      <c r="P2223" s="8" t="s">
        <v>24</v>
      </c>
      <c r="Q2223" s="14" t="s">
        <v>1679</v>
      </c>
      <c r="R2223" s="8" t="s">
        <v>2552</v>
      </c>
      <c r="S2223" s="14" t="s">
        <v>2622</v>
      </c>
    </row>
    <row r="2224">
      <c r="A2224" s="8" t="s">
        <v>615</v>
      </c>
      <c r="B2224" s="8" t="s">
        <v>614</v>
      </c>
      <c r="C2224" s="8" t="s">
        <v>38</v>
      </c>
      <c r="D2224" s="18" t="s">
        <v>2582</v>
      </c>
      <c r="E2224" s="16">
        <v>83.0</v>
      </c>
      <c r="F2224" s="8" t="s">
        <v>676</v>
      </c>
      <c r="G2224" s="8" t="s">
        <v>1002</v>
      </c>
      <c r="H2224" s="8" t="s">
        <v>24</v>
      </c>
      <c r="I2224" s="18" t="s">
        <v>2603</v>
      </c>
      <c r="J2224" s="16">
        <v>47.0</v>
      </c>
      <c r="K2224" s="8" t="s">
        <v>188</v>
      </c>
      <c r="L2224" s="8" t="s">
        <v>187</v>
      </c>
      <c r="M2224" s="18" t="s">
        <v>2577</v>
      </c>
      <c r="N2224" s="16">
        <v>73.0</v>
      </c>
      <c r="O2224" s="8" t="s">
        <v>6168</v>
      </c>
      <c r="P2224" s="8" t="s">
        <v>24</v>
      </c>
      <c r="Q2224" s="14" t="s">
        <v>631</v>
      </c>
      <c r="R2224" s="8" t="s">
        <v>2610</v>
      </c>
      <c r="S2224" s="14" t="s">
        <v>2613</v>
      </c>
    </row>
    <row r="2225">
      <c r="A2225" s="8" t="s">
        <v>3882</v>
      </c>
      <c r="B2225" s="8" t="s">
        <v>2013</v>
      </c>
      <c r="C2225" s="8" t="s">
        <v>93</v>
      </c>
      <c r="D2225" s="18" t="s">
        <v>2566</v>
      </c>
      <c r="E2225" s="16">
        <v>72.0</v>
      </c>
      <c r="F2225" s="8" t="s">
        <v>676</v>
      </c>
      <c r="G2225" s="8" t="s">
        <v>1716</v>
      </c>
      <c r="H2225" s="8" t="s">
        <v>65</v>
      </c>
      <c r="I2225" s="18" t="s">
        <v>2610</v>
      </c>
      <c r="J2225" s="16">
        <v>74.0</v>
      </c>
      <c r="K2225" s="8" t="s">
        <v>1715</v>
      </c>
      <c r="L2225" s="8" t="s">
        <v>1714</v>
      </c>
      <c r="M2225" s="18" t="s">
        <v>2575</v>
      </c>
      <c r="N2225" s="16">
        <v>72.0</v>
      </c>
      <c r="O2225" s="8" t="s">
        <v>6169</v>
      </c>
      <c r="P2225" s="8" t="s">
        <v>70</v>
      </c>
      <c r="Q2225" s="14" t="s">
        <v>1352</v>
      </c>
      <c r="R2225" s="8" t="s">
        <v>2575</v>
      </c>
      <c r="S2225" s="14" t="s">
        <v>2583</v>
      </c>
    </row>
    <row r="2226">
      <c r="A2226" s="8" t="s">
        <v>3182</v>
      </c>
      <c r="B2226" s="8" t="s">
        <v>2315</v>
      </c>
      <c r="C2226" s="8" t="s">
        <v>16</v>
      </c>
      <c r="D2226" s="18" t="s">
        <v>2603</v>
      </c>
      <c r="E2226" s="16">
        <v>63.0</v>
      </c>
      <c r="F2226" s="8" t="s">
        <v>676</v>
      </c>
      <c r="G2226" s="8" t="s">
        <v>858</v>
      </c>
      <c r="H2226" s="8" t="s">
        <v>16</v>
      </c>
      <c r="I2226" s="18" t="s">
        <v>2183</v>
      </c>
      <c r="J2226" s="16">
        <v>60.0</v>
      </c>
      <c r="K2226" s="8" t="s">
        <v>3001</v>
      </c>
      <c r="L2226" s="8" t="s">
        <v>2220</v>
      </c>
      <c r="M2226" s="18" t="s">
        <v>2585</v>
      </c>
      <c r="N2226" s="16">
        <v>70.0</v>
      </c>
      <c r="O2226" s="8" t="s">
        <v>6170</v>
      </c>
      <c r="P2226" s="8" t="s">
        <v>24</v>
      </c>
      <c r="Q2226" s="14" t="s">
        <v>1070</v>
      </c>
      <c r="R2226" s="8" t="s">
        <v>2593</v>
      </c>
      <c r="S2226" s="14" t="s">
        <v>2608</v>
      </c>
    </row>
    <row r="2227">
      <c r="A2227" s="8" t="s">
        <v>1028</v>
      </c>
      <c r="B2227" s="8" t="s">
        <v>644</v>
      </c>
      <c r="C2227" s="8" t="s">
        <v>53</v>
      </c>
      <c r="D2227" s="18" t="s">
        <v>2567</v>
      </c>
      <c r="E2227" s="16">
        <v>61.0</v>
      </c>
      <c r="F2227" s="8" t="s">
        <v>676</v>
      </c>
      <c r="G2227" s="8" t="s">
        <v>1198</v>
      </c>
      <c r="H2227" s="8" t="s">
        <v>24</v>
      </c>
      <c r="I2227" s="18" t="s">
        <v>2593</v>
      </c>
      <c r="J2227" s="16">
        <v>70.0</v>
      </c>
      <c r="K2227" s="8" t="s">
        <v>2390</v>
      </c>
      <c r="L2227" s="8" t="s">
        <v>2389</v>
      </c>
      <c r="M2227" s="18" t="s">
        <v>2572</v>
      </c>
      <c r="N2227" s="16">
        <v>73.0</v>
      </c>
      <c r="O2227" s="8" t="s">
        <v>6171</v>
      </c>
      <c r="P2227" s="8" t="s">
        <v>24</v>
      </c>
      <c r="Q2227" s="14" t="s">
        <v>1070</v>
      </c>
      <c r="R2227" s="8" t="s">
        <v>2587</v>
      </c>
      <c r="S2227" s="14" t="s">
        <v>2586</v>
      </c>
    </row>
    <row r="2228">
      <c r="A2228" s="8" t="s">
        <v>1028</v>
      </c>
      <c r="B2228" s="8" t="s">
        <v>61</v>
      </c>
      <c r="C2228" s="8" t="s">
        <v>65</v>
      </c>
      <c r="D2228" s="18" t="s">
        <v>2558</v>
      </c>
      <c r="E2228" s="16">
        <v>64.0</v>
      </c>
      <c r="F2228" s="8" t="s">
        <v>676</v>
      </c>
      <c r="G2228" s="8" t="s">
        <v>3390</v>
      </c>
      <c r="H2228" s="8" t="s">
        <v>93</v>
      </c>
      <c r="I2228" s="18" t="s">
        <v>2584</v>
      </c>
      <c r="J2228" s="16">
        <v>69.0</v>
      </c>
      <c r="K2228" s="8" t="s">
        <v>1213</v>
      </c>
      <c r="L2228" s="8" t="s">
        <v>1212</v>
      </c>
      <c r="M2228" s="18" t="s">
        <v>2562</v>
      </c>
      <c r="N2228" s="16">
        <v>66.0</v>
      </c>
      <c r="O2228" s="8" t="s">
        <v>6172</v>
      </c>
      <c r="P2228" s="8" t="s">
        <v>122</v>
      </c>
      <c r="Q2228" s="14" t="s">
        <v>1679</v>
      </c>
      <c r="R2228" s="8" t="s">
        <v>2558</v>
      </c>
      <c r="S2228" s="14" t="s">
        <v>2591</v>
      </c>
    </row>
    <row r="2229">
      <c r="A2229" s="8" t="s">
        <v>1028</v>
      </c>
      <c r="B2229" s="8" t="s">
        <v>3012</v>
      </c>
      <c r="C2229" s="8" t="s">
        <v>53</v>
      </c>
      <c r="D2229" s="18" t="s">
        <v>2560</v>
      </c>
      <c r="E2229" s="16">
        <v>66.0</v>
      </c>
      <c r="F2229" s="8" t="s">
        <v>676</v>
      </c>
      <c r="G2229" s="8" t="s">
        <v>3412</v>
      </c>
      <c r="H2229" s="8" t="s">
        <v>261</v>
      </c>
      <c r="I2229" s="18" t="s">
        <v>2598</v>
      </c>
      <c r="J2229" s="16">
        <v>70.0</v>
      </c>
      <c r="K2229" s="8" t="s">
        <v>2779</v>
      </c>
      <c r="L2229" s="8" t="s">
        <v>2778</v>
      </c>
      <c r="M2229" s="18" t="s">
        <v>2183</v>
      </c>
      <c r="N2229" s="16">
        <v>67.0</v>
      </c>
      <c r="O2229" s="8" t="s">
        <v>6173</v>
      </c>
      <c r="P2229" s="8" t="s">
        <v>141</v>
      </c>
      <c r="Q2229" s="14" t="s">
        <v>631</v>
      </c>
      <c r="R2229" s="8" t="s">
        <v>2574</v>
      </c>
      <c r="S2229" s="14" t="s">
        <v>2583</v>
      </c>
    </row>
    <row r="2230">
      <c r="A2230" s="8" t="s">
        <v>1028</v>
      </c>
      <c r="B2230" s="8" t="s">
        <v>3820</v>
      </c>
      <c r="C2230" s="8" t="s">
        <v>53</v>
      </c>
      <c r="D2230" s="18" t="s">
        <v>2610</v>
      </c>
      <c r="E2230" s="16">
        <v>61.0</v>
      </c>
      <c r="F2230" s="8" t="s">
        <v>676</v>
      </c>
      <c r="G2230" s="8" t="s">
        <v>1243</v>
      </c>
      <c r="H2230" s="8" t="s">
        <v>186</v>
      </c>
      <c r="I2230" s="18" t="s">
        <v>2577</v>
      </c>
      <c r="J2230" s="16">
        <v>64.0</v>
      </c>
      <c r="K2230" s="8" t="s">
        <v>2654</v>
      </c>
      <c r="L2230" s="8" t="s">
        <v>57</v>
      </c>
      <c r="M2230" s="18" t="s">
        <v>2556</v>
      </c>
      <c r="N2230" s="16">
        <v>70.0</v>
      </c>
      <c r="O2230" s="8" t="s">
        <v>6174</v>
      </c>
      <c r="P2230" s="8" t="s">
        <v>65</v>
      </c>
      <c r="Q2230" s="14" t="s">
        <v>1070</v>
      </c>
      <c r="R2230" s="8" t="s">
        <v>2603</v>
      </c>
      <c r="S2230" s="14" t="s">
        <v>2604</v>
      </c>
    </row>
    <row r="2231">
      <c r="A2231" s="8" t="s">
        <v>1028</v>
      </c>
      <c r="B2231" s="8" t="s">
        <v>308</v>
      </c>
      <c r="C2231" s="8" t="s">
        <v>141</v>
      </c>
      <c r="D2231" s="18" t="s">
        <v>2572</v>
      </c>
      <c r="E2231" s="16">
        <v>65.0</v>
      </c>
      <c r="F2231" s="8" t="s">
        <v>676</v>
      </c>
      <c r="G2231" s="8" t="s">
        <v>795</v>
      </c>
      <c r="H2231" s="8" t="s">
        <v>75</v>
      </c>
      <c r="I2231" s="18" t="s">
        <v>2584</v>
      </c>
      <c r="J2231" s="16">
        <v>68.0</v>
      </c>
      <c r="K2231" s="8" t="s">
        <v>583</v>
      </c>
      <c r="L2231" s="8" t="s">
        <v>582</v>
      </c>
      <c r="M2231" s="18" t="s">
        <v>2577</v>
      </c>
      <c r="N2231" s="16">
        <v>77.0</v>
      </c>
      <c r="O2231" s="8" t="s">
        <v>6175</v>
      </c>
      <c r="P2231" s="8" t="s">
        <v>46</v>
      </c>
      <c r="Q2231" s="14" t="s">
        <v>1070</v>
      </c>
      <c r="R2231" s="8" t="s">
        <v>2621</v>
      </c>
      <c r="S2231" s="14" t="s">
        <v>2576</v>
      </c>
    </row>
    <row r="2232">
      <c r="A2232" s="8" t="s">
        <v>1028</v>
      </c>
      <c r="B2232" s="8" t="s">
        <v>1027</v>
      </c>
      <c r="C2232" s="8" t="s">
        <v>16</v>
      </c>
      <c r="D2232" s="18" t="s">
        <v>2620</v>
      </c>
      <c r="E2232" s="16">
        <v>60.0</v>
      </c>
      <c r="F2232" s="8" t="s">
        <v>676</v>
      </c>
      <c r="G2232" s="8" t="s">
        <v>210</v>
      </c>
      <c r="H2232" s="8" t="s">
        <v>141</v>
      </c>
      <c r="I2232" s="18" t="s">
        <v>2574</v>
      </c>
      <c r="J2232" s="16">
        <v>67.0</v>
      </c>
      <c r="K2232" s="8" t="s">
        <v>84</v>
      </c>
      <c r="L2232" s="8" t="s">
        <v>2834</v>
      </c>
      <c r="M2232" s="18" t="s">
        <v>2592</v>
      </c>
      <c r="N2232" s="16">
        <v>76.0</v>
      </c>
      <c r="O2232" s="8" t="s">
        <v>6176</v>
      </c>
      <c r="P2232" s="8" t="s">
        <v>186</v>
      </c>
      <c r="Q2232" s="14" t="s">
        <v>1070</v>
      </c>
      <c r="R2232" s="8" t="s">
        <v>2577</v>
      </c>
      <c r="S2232" s="14" t="s">
        <v>2583</v>
      </c>
    </row>
    <row r="2233">
      <c r="A2233" s="8" t="s">
        <v>865</v>
      </c>
      <c r="B2233" s="8" t="s">
        <v>864</v>
      </c>
      <c r="C2233" s="8" t="s">
        <v>24</v>
      </c>
      <c r="D2233" s="18" t="s">
        <v>2564</v>
      </c>
      <c r="E2233" s="16">
        <v>69.0</v>
      </c>
      <c r="F2233" s="8" t="s">
        <v>978</v>
      </c>
      <c r="G2233" s="8" t="s">
        <v>977</v>
      </c>
      <c r="H2233" s="8" t="s">
        <v>80</v>
      </c>
      <c r="I2233" s="18" t="s">
        <v>2589</v>
      </c>
      <c r="J2233" s="16">
        <v>87.0</v>
      </c>
      <c r="K2233" s="8" t="s">
        <v>84</v>
      </c>
      <c r="L2233" s="8" t="s">
        <v>61</v>
      </c>
      <c r="M2233" s="18" t="s">
        <v>2582</v>
      </c>
      <c r="N2233" s="16">
        <v>80.0</v>
      </c>
      <c r="O2233" s="8" t="s">
        <v>6177</v>
      </c>
      <c r="P2233" s="8" t="s">
        <v>24</v>
      </c>
      <c r="Q2233" s="14" t="s">
        <v>837</v>
      </c>
      <c r="R2233" s="8" t="s">
        <v>2603</v>
      </c>
      <c r="S2233" s="14" t="s">
        <v>2638</v>
      </c>
    </row>
    <row r="2234">
      <c r="A2234" s="8" t="s">
        <v>865</v>
      </c>
      <c r="B2234" s="8" t="s">
        <v>3192</v>
      </c>
      <c r="C2234" s="8" t="s">
        <v>93</v>
      </c>
      <c r="D2234" s="18" t="s">
        <v>2615</v>
      </c>
      <c r="E2234" s="16">
        <v>62.0</v>
      </c>
      <c r="F2234" s="8" t="s">
        <v>867</v>
      </c>
      <c r="G2234" s="8" t="s">
        <v>537</v>
      </c>
      <c r="H2234" s="8" t="s">
        <v>65</v>
      </c>
      <c r="I2234" s="18" t="s">
        <v>2183</v>
      </c>
      <c r="J2234" s="16">
        <v>83.0</v>
      </c>
      <c r="K2234" s="8" t="s">
        <v>84</v>
      </c>
      <c r="L2234" s="8" t="s">
        <v>2711</v>
      </c>
      <c r="M2234" s="18" t="s">
        <v>2574</v>
      </c>
      <c r="N2234" s="16">
        <v>74.0</v>
      </c>
      <c r="O2234" s="8" t="s">
        <v>6178</v>
      </c>
      <c r="P2234" s="8" t="s">
        <v>141</v>
      </c>
      <c r="Q2234" s="14" t="s">
        <v>631</v>
      </c>
      <c r="R2234" s="8" t="s">
        <v>2584</v>
      </c>
      <c r="S2234" s="14" t="s">
        <v>2609</v>
      </c>
    </row>
    <row r="2235">
      <c r="A2235" s="8" t="s">
        <v>865</v>
      </c>
      <c r="B2235" s="8" t="s">
        <v>913</v>
      </c>
      <c r="C2235" s="8" t="s">
        <v>215</v>
      </c>
      <c r="D2235" s="18" t="s">
        <v>2600</v>
      </c>
      <c r="E2235" s="16">
        <v>68.0</v>
      </c>
      <c r="F2235" s="8" t="s">
        <v>867</v>
      </c>
      <c r="G2235" s="8" t="s">
        <v>866</v>
      </c>
      <c r="H2235" s="8" t="s">
        <v>46</v>
      </c>
      <c r="I2235" s="18" t="s">
        <v>2572</v>
      </c>
      <c r="J2235" s="16">
        <v>62.0</v>
      </c>
      <c r="K2235" s="8" t="s">
        <v>84</v>
      </c>
      <c r="L2235" s="8" t="s">
        <v>61</v>
      </c>
      <c r="M2235" s="18" t="s">
        <v>2582</v>
      </c>
      <c r="N2235" s="16">
        <v>86.0</v>
      </c>
      <c r="O2235" s="8" t="s">
        <v>6179</v>
      </c>
      <c r="P2235" s="8" t="s">
        <v>215</v>
      </c>
      <c r="Q2235" s="14" t="s">
        <v>1679</v>
      </c>
      <c r="R2235" s="8" t="s">
        <v>2567</v>
      </c>
      <c r="S2235" s="14" t="s">
        <v>2565</v>
      </c>
    </row>
    <row r="2236">
      <c r="A2236" s="8" t="s">
        <v>865</v>
      </c>
      <c r="B2236" s="8" t="s">
        <v>715</v>
      </c>
      <c r="C2236" s="8" t="s">
        <v>132</v>
      </c>
      <c r="D2236" s="18" t="s">
        <v>2610</v>
      </c>
      <c r="E2236" s="16">
        <v>65.0</v>
      </c>
      <c r="F2236" s="8" t="s">
        <v>836</v>
      </c>
      <c r="G2236" s="8" t="s">
        <v>78</v>
      </c>
      <c r="H2236" s="8" t="s">
        <v>65</v>
      </c>
      <c r="I2236" s="18" t="s">
        <v>2572</v>
      </c>
      <c r="J2236" s="16">
        <v>80.0</v>
      </c>
      <c r="K2236" s="8" t="s">
        <v>845</v>
      </c>
      <c r="L2236" s="8" t="s">
        <v>2678</v>
      </c>
      <c r="M2236" s="18" t="s">
        <v>2598</v>
      </c>
      <c r="N2236" s="16">
        <v>78.0</v>
      </c>
      <c r="O2236" s="8" t="s">
        <v>6180</v>
      </c>
      <c r="P2236" s="8" t="s">
        <v>192</v>
      </c>
      <c r="Q2236" s="14" t="s">
        <v>837</v>
      </c>
      <c r="R2236" s="8" t="s">
        <v>2183</v>
      </c>
      <c r="S2236" s="14" t="s">
        <v>2604</v>
      </c>
    </row>
    <row r="2237">
      <c r="A2237" s="8" t="s">
        <v>865</v>
      </c>
      <c r="B2237" s="8" t="s">
        <v>3767</v>
      </c>
      <c r="C2237" s="8" t="s">
        <v>261</v>
      </c>
      <c r="D2237" s="18" t="s">
        <v>2183</v>
      </c>
      <c r="E2237" s="16">
        <v>64.0</v>
      </c>
      <c r="F2237" s="8" t="s">
        <v>836</v>
      </c>
      <c r="G2237" s="8" t="s">
        <v>835</v>
      </c>
      <c r="H2237" s="8" t="s">
        <v>53</v>
      </c>
      <c r="I2237" s="18" t="s">
        <v>2556</v>
      </c>
      <c r="J2237" s="16">
        <v>62.0</v>
      </c>
      <c r="K2237" s="8" t="s">
        <v>1598</v>
      </c>
      <c r="L2237" s="8" t="s">
        <v>2692</v>
      </c>
      <c r="M2237" s="18" t="s">
        <v>2585</v>
      </c>
      <c r="N2237" s="16">
        <v>66.0</v>
      </c>
      <c r="O2237" s="8" t="s">
        <v>6181</v>
      </c>
      <c r="P2237" s="8" t="s">
        <v>65</v>
      </c>
      <c r="Q2237" s="14" t="s">
        <v>1679</v>
      </c>
      <c r="R2237" s="8" t="s">
        <v>2584</v>
      </c>
      <c r="S2237" s="14" t="s">
        <v>2555</v>
      </c>
    </row>
    <row r="2238">
      <c r="A2238" s="8" t="s">
        <v>865</v>
      </c>
      <c r="B2238" s="8" t="s">
        <v>78</v>
      </c>
      <c r="C2238" s="8" t="s">
        <v>70</v>
      </c>
      <c r="D2238" s="18" t="s">
        <v>2567</v>
      </c>
      <c r="E2238" s="16">
        <v>60.0</v>
      </c>
      <c r="F2238" s="8" t="s">
        <v>442</v>
      </c>
      <c r="G2238" s="8" t="s">
        <v>441</v>
      </c>
      <c r="H2238" s="8" t="s">
        <v>16</v>
      </c>
      <c r="I2238" s="18" t="s">
        <v>2587</v>
      </c>
      <c r="J2238" s="16">
        <v>82.0</v>
      </c>
      <c r="K2238" s="8" t="s">
        <v>619</v>
      </c>
      <c r="L2238" s="8" t="s">
        <v>1087</v>
      </c>
      <c r="M2238" s="18" t="s">
        <v>2558</v>
      </c>
      <c r="N2238" s="16">
        <v>72.0</v>
      </c>
      <c r="O2238" s="8" t="s">
        <v>6182</v>
      </c>
      <c r="P2238" s="8" t="s">
        <v>16</v>
      </c>
      <c r="Q2238" s="14" t="s">
        <v>2459</v>
      </c>
      <c r="R2238" s="8" t="s">
        <v>2587</v>
      </c>
      <c r="S2238" s="14" t="s">
        <v>2583</v>
      </c>
    </row>
    <row r="2239">
      <c r="A2239" s="8" t="s">
        <v>713</v>
      </c>
      <c r="B2239" s="8" t="s">
        <v>537</v>
      </c>
      <c r="C2239" s="8" t="s">
        <v>93</v>
      </c>
      <c r="D2239" s="18" t="s">
        <v>2593</v>
      </c>
      <c r="E2239" s="16">
        <v>60.0</v>
      </c>
      <c r="F2239" s="8" t="s">
        <v>802</v>
      </c>
      <c r="G2239" s="8" t="s">
        <v>99</v>
      </c>
      <c r="H2239" s="8" t="s">
        <v>46</v>
      </c>
      <c r="I2239" s="18" t="s">
        <v>2614</v>
      </c>
      <c r="J2239" s="16">
        <v>94.0</v>
      </c>
      <c r="K2239" s="8" t="s">
        <v>619</v>
      </c>
      <c r="L2239" s="8" t="s">
        <v>78</v>
      </c>
      <c r="M2239" s="18" t="s">
        <v>2577</v>
      </c>
      <c r="N2239" s="16">
        <v>79.0</v>
      </c>
      <c r="O2239" s="8" t="s">
        <v>6183</v>
      </c>
      <c r="P2239" s="8" t="s">
        <v>192</v>
      </c>
      <c r="Q2239" s="14" t="s">
        <v>1352</v>
      </c>
      <c r="R2239" s="8" t="s">
        <v>2585</v>
      </c>
      <c r="S2239" s="14" t="s">
        <v>2594</v>
      </c>
    </row>
    <row r="2240">
      <c r="A2240" s="8" t="s">
        <v>713</v>
      </c>
      <c r="B2240" s="8" t="s">
        <v>2968</v>
      </c>
      <c r="C2240" s="8" t="s">
        <v>24</v>
      </c>
      <c r="D2240" s="18" t="s">
        <v>2589</v>
      </c>
      <c r="E2240" s="16">
        <v>74.0</v>
      </c>
      <c r="F2240" s="8" t="s">
        <v>501</v>
      </c>
      <c r="G2240" s="8" t="s">
        <v>359</v>
      </c>
      <c r="H2240" s="8" t="s">
        <v>138</v>
      </c>
      <c r="I2240" s="18" t="s">
        <v>2614</v>
      </c>
      <c r="J2240" s="16">
        <v>77.0</v>
      </c>
      <c r="K2240" s="8" t="s">
        <v>619</v>
      </c>
      <c r="L2240" s="8" t="s">
        <v>752</v>
      </c>
      <c r="M2240" s="18" t="s">
        <v>2575</v>
      </c>
      <c r="N2240" s="16">
        <v>70.0</v>
      </c>
      <c r="O2240" s="8" t="s">
        <v>6184</v>
      </c>
      <c r="P2240" s="8" t="s">
        <v>46</v>
      </c>
      <c r="Q2240" s="14" t="s">
        <v>837</v>
      </c>
      <c r="R2240" s="8" t="s">
        <v>2564</v>
      </c>
      <c r="S2240" s="14" t="s">
        <v>2580</v>
      </c>
    </row>
    <row r="2241">
      <c r="A2241" s="8" t="s">
        <v>553</v>
      </c>
      <c r="B2241" s="8" t="s">
        <v>389</v>
      </c>
      <c r="C2241" s="8" t="s">
        <v>93</v>
      </c>
      <c r="D2241" s="18" t="s">
        <v>2593</v>
      </c>
      <c r="E2241" s="16">
        <v>80.0</v>
      </c>
      <c r="F2241" s="8" t="s">
        <v>501</v>
      </c>
      <c r="G2241" s="8" t="s">
        <v>276</v>
      </c>
      <c r="H2241" s="8" t="s">
        <v>138</v>
      </c>
      <c r="I2241" s="18" t="s">
        <v>2615</v>
      </c>
      <c r="J2241" s="16">
        <v>69.0</v>
      </c>
      <c r="K2241" s="8" t="s">
        <v>1640</v>
      </c>
      <c r="L2241" s="8" t="s">
        <v>3013</v>
      </c>
      <c r="M2241" s="18" t="s">
        <v>2610</v>
      </c>
      <c r="N2241" s="16">
        <v>74.0</v>
      </c>
      <c r="O2241" s="8" t="s">
        <v>6185</v>
      </c>
      <c r="P2241" s="8" t="s">
        <v>65</v>
      </c>
      <c r="Q2241" s="14" t="s">
        <v>1352</v>
      </c>
      <c r="R2241" s="8" t="s">
        <v>2183</v>
      </c>
      <c r="S2241" s="14" t="s">
        <v>2636</v>
      </c>
    </row>
    <row r="2242">
      <c r="A2242" s="8" t="s">
        <v>170</v>
      </c>
      <c r="B2242" s="8" t="s">
        <v>1265</v>
      </c>
      <c r="C2242" s="8" t="s">
        <v>65</v>
      </c>
      <c r="D2242" s="18" t="s">
        <v>2558</v>
      </c>
      <c r="E2242" s="16">
        <v>71.0</v>
      </c>
      <c r="F2242" s="8" t="s">
        <v>3470</v>
      </c>
      <c r="G2242" s="8" t="s">
        <v>444</v>
      </c>
      <c r="H2242" s="8" t="s">
        <v>46</v>
      </c>
      <c r="I2242" s="18" t="s">
        <v>2574</v>
      </c>
      <c r="J2242" s="16">
        <v>66.0</v>
      </c>
      <c r="K2242" s="8" t="s">
        <v>1640</v>
      </c>
      <c r="L2242" s="8" t="s">
        <v>1655</v>
      </c>
      <c r="M2242" s="18" t="s">
        <v>2600</v>
      </c>
      <c r="N2242" s="16">
        <v>73.0</v>
      </c>
      <c r="O2242" s="8" t="s">
        <v>6186</v>
      </c>
      <c r="P2242" s="8" t="s">
        <v>186</v>
      </c>
      <c r="Q2242" s="14" t="s">
        <v>837</v>
      </c>
      <c r="R2242" s="8" t="s">
        <v>2562</v>
      </c>
      <c r="S2242" s="14" t="s">
        <v>2570</v>
      </c>
    </row>
    <row r="2243">
      <c r="A2243" s="8" t="s">
        <v>170</v>
      </c>
      <c r="B2243" s="8" t="s">
        <v>169</v>
      </c>
      <c r="C2243" s="8" t="s">
        <v>149</v>
      </c>
      <c r="D2243" s="18" t="s">
        <v>2582</v>
      </c>
      <c r="E2243" s="16">
        <v>69.0</v>
      </c>
      <c r="F2243" s="8" t="s">
        <v>188</v>
      </c>
      <c r="G2243" s="8" t="s">
        <v>187</v>
      </c>
      <c r="H2243" s="8" t="s">
        <v>138</v>
      </c>
      <c r="I2243" s="18" t="s">
        <v>2577</v>
      </c>
      <c r="J2243" s="16">
        <v>73.0</v>
      </c>
      <c r="K2243" s="8" t="s">
        <v>1640</v>
      </c>
      <c r="L2243" s="8" t="s">
        <v>441</v>
      </c>
      <c r="M2243" s="18" t="s">
        <v>2581</v>
      </c>
      <c r="N2243" s="16">
        <v>73.0</v>
      </c>
      <c r="O2243" s="8" t="s">
        <v>6187</v>
      </c>
      <c r="P2243" s="8" t="s">
        <v>46</v>
      </c>
      <c r="Q2243" s="14" t="s">
        <v>2033</v>
      </c>
      <c r="R2243" s="8" t="s">
        <v>2554</v>
      </c>
      <c r="S2243" s="14" t="s">
        <v>2563</v>
      </c>
    </row>
    <row r="2244">
      <c r="A2244" s="8" t="s">
        <v>170</v>
      </c>
      <c r="B2244" s="8" t="s">
        <v>1019</v>
      </c>
      <c r="C2244" s="8" t="s">
        <v>46</v>
      </c>
      <c r="D2244" s="18" t="s">
        <v>2620</v>
      </c>
      <c r="E2244" s="16">
        <v>70.0</v>
      </c>
      <c r="F2244" s="8" t="s">
        <v>1715</v>
      </c>
      <c r="G2244" s="8" t="s">
        <v>1714</v>
      </c>
      <c r="H2244" s="8" t="s">
        <v>53</v>
      </c>
      <c r="I2244" s="18" t="s">
        <v>2575</v>
      </c>
      <c r="J2244" s="16">
        <v>71.0</v>
      </c>
      <c r="K2244" s="8" t="s">
        <v>2980</v>
      </c>
      <c r="L2244" s="8" t="s">
        <v>2979</v>
      </c>
      <c r="M2244" s="18" t="s">
        <v>2589</v>
      </c>
      <c r="N2244" s="16">
        <v>64.0</v>
      </c>
      <c r="O2244" s="8" t="s">
        <v>6188</v>
      </c>
      <c r="P2244" s="8" t="s">
        <v>65</v>
      </c>
      <c r="Q2244" s="14" t="s">
        <v>837</v>
      </c>
      <c r="R2244" s="18" t="s">
        <v>2556</v>
      </c>
      <c r="S2244" s="14" t="s">
        <v>2578</v>
      </c>
    </row>
    <row r="2245">
      <c r="A2245" s="8" t="s">
        <v>1045</v>
      </c>
      <c r="B2245" s="8" t="s">
        <v>99</v>
      </c>
      <c r="C2245" s="8" t="s">
        <v>93</v>
      </c>
      <c r="D2245" s="18" t="s">
        <v>2603</v>
      </c>
      <c r="E2245" s="16">
        <v>62.0</v>
      </c>
      <c r="F2245" s="8" t="s">
        <v>3001</v>
      </c>
      <c r="G2245" s="8" t="s">
        <v>2220</v>
      </c>
      <c r="H2245" s="8" t="s">
        <v>192</v>
      </c>
      <c r="I2245" s="18" t="s">
        <v>2567</v>
      </c>
      <c r="J2245" s="16">
        <v>60.0</v>
      </c>
      <c r="K2245" s="8" t="s">
        <v>270</v>
      </c>
      <c r="L2245" s="8" t="s">
        <v>268</v>
      </c>
      <c r="M2245" s="18" t="s">
        <v>2572</v>
      </c>
      <c r="N2245" s="16">
        <v>75.0</v>
      </c>
      <c r="O2245" s="8" t="s">
        <v>6189</v>
      </c>
      <c r="P2245" s="8" t="s">
        <v>16</v>
      </c>
      <c r="Q2245" s="14" t="s">
        <v>338</v>
      </c>
      <c r="R2245" s="8" t="s">
        <v>2572</v>
      </c>
      <c r="S2245" s="14" t="s">
        <v>2573</v>
      </c>
    </row>
    <row r="2246">
      <c r="A2246" s="8" t="s">
        <v>1141</v>
      </c>
      <c r="B2246" s="8" t="s">
        <v>1140</v>
      </c>
      <c r="C2246" s="8" t="s">
        <v>122</v>
      </c>
      <c r="D2246" s="18" t="s">
        <v>2595</v>
      </c>
      <c r="E2246" s="16">
        <v>68.0</v>
      </c>
      <c r="F2246" s="8" t="s">
        <v>3183</v>
      </c>
      <c r="G2246" s="8" t="s">
        <v>1381</v>
      </c>
      <c r="H2246" s="8" t="s">
        <v>192</v>
      </c>
      <c r="I2246" s="18" t="s">
        <v>2589</v>
      </c>
      <c r="J2246" s="16">
        <v>77.0</v>
      </c>
      <c r="K2246" s="8" t="s">
        <v>2011</v>
      </c>
      <c r="L2246" s="8" t="s">
        <v>2010</v>
      </c>
      <c r="M2246" s="18" t="s">
        <v>2592</v>
      </c>
      <c r="N2246" s="16">
        <v>78.0</v>
      </c>
      <c r="O2246" s="8" t="s">
        <v>6190</v>
      </c>
      <c r="P2246" s="8" t="s">
        <v>46</v>
      </c>
      <c r="Q2246" s="14" t="s">
        <v>631</v>
      </c>
      <c r="R2246" s="8" t="s">
        <v>2614</v>
      </c>
      <c r="S2246" s="14" t="s">
        <v>2636</v>
      </c>
    </row>
    <row r="2247">
      <c r="A2247" s="8" t="s">
        <v>676</v>
      </c>
      <c r="B2247" s="8" t="s">
        <v>1716</v>
      </c>
      <c r="C2247" s="8" t="s">
        <v>65</v>
      </c>
      <c r="D2247" s="18" t="s">
        <v>2610</v>
      </c>
      <c r="E2247" s="16">
        <v>70.0</v>
      </c>
      <c r="F2247" s="8" t="s">
        <v>1213</v>
      </c>
      <c r="G2247" s="8" t="s">
        <v>1212</v>
      </c>
      <c r="H2247" s="8" t="s">
        <v>138</v>
      </c>
      <c r="I2247" s="18" t="s">
        <v>2562</v>
      </c>
      <c r="J2247" s="16">
        <v>61.0</v>
      </c>
      <c r="K2247" s="8" t="s">
        <v>2011</v>
      </c>
      <c r="L2247" s="8" t="s">
        <v>2010</v>
      </c>
      <c r="M2247" s="18" t="s">
        <v>2592</v>
      </c>
      <c r="N2247" s="16">
        <v>87.0</v>
      </c>
      <c r="O2247" s="8" t="s">
        <v>6191</v>
      </c>
      <c r="P2247" s="8" t="s">
        <v>215</v>
      </c>
      <c r="Q2247" s="14" t="s">
        <v>459</v>
      </c>
      <c r="R2247" s="8" t="s">
        <v>2614</v>
      </c>
      <c r="S2247" s="14" t="s">
        <v>2608</v>
      </c>
    </row>
    <row r="2248">
      <c r="A2248" s="8" t="s">
        <v>676</v>
      </c>
      <c r="B2248" s="8" t="s">
        <v>858</v>
      </c>
      <c r="C2248" s="8" t="s">
        <v>16</v>
      </c>
      <c r="D2248" s="18" t="s">
        <v>2183</v>
      </c>
      <c r="E2248" s="16">
        <v>62.0</v>
      </c>
      <c r="F2248" s="8" t="s">
        <v>2779</v>
      </c>
      <c r="G2248" s="8" t="s">
        <v>2778</v>
      </c>
      <c r="H2248" s="8" t="s">
        <v>186</v>
      </c>
      <c r="I2248" s="18" t="s">
        <v>2183</v>
      </c>
      <c r="J2248" s="16">
        <v>62.0</v>
      </c>
      <c r="K2248" s="8" t="s">
        <v>265</v>
      </c>
      <c r="L2248" s="8" t="s">
        <v>264</v>
      </c>
      <c r="M2248" s="18" t="s">
        <v>2587</v>
      </c>
      <c r="N2248" s="16">
        <v>76.0</v>
      </c>
      <c r="O2248" s="8" t="s">
        <v>6192</v>
      </c>
      <c r="P2248" s="8" t="s">
        <v>53</v>
      </c>
      <c r="Q2248" s="14" t="s">
        <v>1352</v>
      </c>
      <c r="R2248" s="8" t="s">
        <v>2581</v>
      </c>
      <c r="S2248" s="14" t="s">
        <v>2579</v>
      </c>
    </row>
    <row r="2249">
      <c r="A2249" s="8" t="s">
        <v>676</v>
      </c>
      <c r="B2249" s="8" t="s">
        <v>675</v>
      </c>
      <c r="C2249" s="8" t="s">
        <v>24</v>
      </c>
      <c r="D2249" s="18" t="s">
        <v>2610</v>
      </c>
      <c r="E2249" s="16">
        <v>90.0</v>
      </c>
      <c r="F2249" s="8" t="s">
        <v>949</v>
      </c>
      <c r="G2249" s="8" t="s">
        <v>23</v>
      </c>
      <c r="H2249" s="8" t="s">
        <v>149</v>
      </c>
      <c r="I2249" s="18" t="s">
        <v>2589</v>
      </c>
      <c r="J2249" s="16">
        <v>69.0</v>
      </c>
      <c r="K2249" s="8" t="s">
        <v>403</v>
      </c>
      <c r="L2249" s="8" t="s">
        <v>402</v>
      </c>
      <c r="M2249" s="18" t="s">
        <v>2620</v>
      </c>
      <c r="N2249" s="16">
        <v>88.0</v>
      </c>
      <c r="O2249" s="8" t="s">
        <v>6193</v>
      </c>
      <c r="P2249" s="8" t="s">
        <v>24</v>
      </c>
      <c r="Q2249" s="14" t="s">
        <v>1679</v>
      </c>
      <c r="R2249" s="8" t="s">
        <v>2603</v>
      </c>
      <c r="S2249" s="14" t="s">
        <v>2563</v>
      </c>
    </row>
    <row r="2250">
      <c r="A2250" s="8" t="s">
        <v>676</v>
      </c>
      <c r="B2250" s="8" t="s">
        <v>1438</v>
      </c>
      <c r="C2250" s="8" t="s">
        <v>70</v>
      </c>
      <c r="D2250" s="18" t="s">
        <v>2562</v>
      </c>
      <c r="E2250" s="16">
        <v>67.0</v>
      </c>
      <c r="F2250" s="8" t="s">
        <v>3380</v>
      </c>
      <c r="G2250" s="8" t="s">
        <v>2971</v>
      </c>
      <c r="H2250" s="8" t="s">
        <v>65</v>
      </c>
      <c r="I2250" s="18" t="s">
        <v>2614</v>
      </c>
      <c r="J2250" s="16">
        <v>64.0</v>
      </c>
      <c r="K2250" s="8" t="s">
        <v>1694</v>
      </c>
      <c r="L2250" s="8" t="s">
        <v>646</v>
      </c>
      <c r="M2250" s="18" t="s">
        <v>2595</v>
      </c>
      <c r="N2250" s="16">
        <v>74.0</v>
      </c>
      <c r="O2250" s="8" t="s">
        <v>6194</v>
      </c>
      <c r="P2250" s="8" t="s">
        <v>138</v>
      </c>
      <c r="Q2250" s="14" t="s">
        <v>189</v>
      </c>
      <c r="R2250" s="8" t="s">
        <v>2577</v>
      </c>
      <c r="S2250" s="14" t="s">
        <v>2565</v>
      </c>
    </row>
    <row r="2251">
      <c r="A2251" s="8" t="s">
        <v>676</v>
      </c>
      <c r="B2251" s="8" t="s">
        <v>1198</v>
      </c>
      <c r="C2251" s="8" t="s">
        <v>24</v>
      </c>
      <c r="D2251" s="18" t="s">
        <v>2593</v>
      </c>
      <c r="E2251" s="16">
        <v>70.0</v>
      </c>
      <c r="F2251" s="8" t="s">
        <v>2654</v>
      </c>
      <c r="G2251" s="8" t="s">
        <v>57</v>
      </c>
      <c r="H2251" s="8" t="s">
        <v>132</v>
      </c>
      <c r="I2251" s="18" t="s">
        <v>2556</v>
      </c>
      <c r="J2251" s="16">
        <v>67.0</v>
      </c>
      <c r="K2251" s="8" t="s">
        <v>2759</v>
      </c>
      <c r="L2251" s="8" t="s">
        <v>61</v>
      </c>
      <c r="M2251" s="18" t="s">
        <v>2587</v>
      </c>
      <c r="N2251" s="16">
        <v>78.0</v>
      </c>
      <c r="O2251" s="8" t="s">
        <v>6195</v>
      </c>
      <c r="P2251" s="8" t="s">
        <v>149</v>
      </c>
      <c r="Q2251" s="14" t="s">
        <v>2033</v>
      </c>
      <c r="R2251" s="8" t="s">
        <v>2562</v>
      </c>
      <c r="S2251" s="14" t="s">
        <v>2568</v>
      </c>
    </row>
    <row r="2252">
      <c r="A2252" s="8" t="s">
        <v>676</v>
      </c>
      <c r="B2252" s="8" t="s">
        <v>3703</v>
      </c>
      <c r="C2252" s="8" t="s">
        <v>149</v>
      </c>
      <c r="D2252" s="18" t="s">
        <v>2572</v>
      </c>
      <c r="E2252" s="16">
        <v>62.0</v>
      </c>
      <c r="F2252" s="8" t="s">
        <v>3178</v>
      </c>
      <c r="G2252" s="8" t="s">
        <v>647</v>
      </c>
      <c r="H2252" s="8" t="s">
        <v>93</v>
      </c>
      <c r="I2252" s="18" t="s">
        <v>2566</v>
      </c>
      <c r="J2252" s="16">
        <v>72.0</v>
      </c>
      <c r="K2252" s="8" t="s">
        <v>1152</v>
      </c>
      <c r="L2252" s="8" t="s">
        <v>1151</v>
      </c>
      <c r="M2252" s="18" t="s">
        <v>2589</v>
      </c>
      <c r="N2252" s="16">
        <v>62.0</v>
      </c>
      <c r="O2252" s="8" t="s">
        <v>6196</v>
      </c>
      <c r="P2252" s="8" t="s">
        <v>53</v>
      </c>
      <c r="Q2252" s="14" t="s">
        <v>1679</v>
      </c>
      <c r="R2252" s="8" t="s">
        <v>2575</v>
      </c>
      <c r="S2252" s="14" t="s">
        <v>2565</v>
      </c>
    </row>
    <row r="2253">
      <c r="A2253" s="8" t="s">
        <v>676</v>
      </c>
      <c r="B2253" s="8" t="s">
        <v>1221</v>
      </c>
      <c r="C2253" s="8" t="s">
        <v>24</v>
      </c>
      <c r="D2253" s="18" t="s">
        <v>2610</v>
      </c>
      <c r="E2253" s="16">
        <v>71.0</v>
      </c>
      <c r="F2253" s="8" t="s">
        <v>583</v>
      </c>
      <c r="G2253" s="8" t="s">
        <v>582</v>
      </c>
      <c r="H2253" s="8" t="s">
        <v>24</v>
      </c>
      <c r="I2253" s="18" t="s">
        <v>2585</v>
      </c>
      <c r="J2253" s="16">
        <v>77.0</v>
      </c>
      <c r="K2253" s="8" t="s">
        <v>658</v>
      </c>
      <c r="L2253" s="8" t="s">
        <v>657</v>
      </c>
      <c r="M2253" s="18" t="s">
        <v>2610</v>
      </c>
      <c r="N2253" s="16">
        <v>82.0</v>
      </c>
      <c r="O2253" s="8" t="s">
        <v>6197</v>
      </c>
      <c r="P2253" s="8" t="s">
        <v>53</v>
      </c>
      <c r="Q2253" s="14" t="s">
        <v>2296</v>
      </c>
      <c r="R2253" s="8" t="s">
        <v>2572</v>
      </c>
      <c r="S2253" s="14" t="s">
        <v>2586</v>
      </c>
    </row>
    <row r="2254">
      <c r="A2254" s="8" t="s">
        <v>676</v>
      </c>
      <c r="B2254" s="8" t="s">
        <v>3711</v>
      </c>
      <c r="C2254" s="8" t="s">
        <v>138</v>
      </c>
      <c r="D2254" s="18" t="s">
        <v>2558</v>
      </c>
      <c r="E2254" s="16">
        <v>58.0</v>
      </c>
      <c r="F2254" s="8" t="s">
        <v>84</v>
      </c>
      <c r="G2254" s="8" t="s">
        <v>2834</v>
      </c>
      <c r="H2254" s="8" t="s">
        <v>93</v>
      </c>
      <c r="I2254" s="18" t="s">
        <v>2592</v>
      </c>
      <c r="J2254" s="16">
        <v>75.0</v>
      </c>
      <c r="K2254" s="8" t="s">
        <v>633</v>
      </c>
      <c r="L2254" s="8" t="s">
        <v>632</v>
      </c>
      <c r="M2254" s="18" t="s">
        <v>2581</v>
      </c>
      <c r="N2254" s="16">
        <v>68.0</v>
      </c>
      <c r="O2254" s="8" t="s">
        <v>6198</v>
      </c>
      <c r="P2254" s="8" t="s">
        <v>59</v>
      </c>
      <c r="Q2254" s="14" t="s">
        <v>1070</v>
      </c>
      <c r="R2254" s="8" t="s">
        <v>2600</v>
      </c>
      <c r="S2254" s="14" t="s">
        <v>2568</v>
      </c>
    </row>
    <row r="2255">
      <c r="A2255" s="8" t="s">
        <v>676</v>
      </c>
      <c r="B2255" s="8" t="s">
        <v>210</v>
      </c>
      <c r="C2255" s="8" t="s">
        <v>75</v>
      </c>
      <c r="D2255" s="18" t="s">
        <v>2574</v>
      </c>
      <c r="E2255" s="16">
        <v>67.0</v>
      </c>
      <c r="F2255" s="8" t="s">
        <v>84</v>
      </c>
      <c r="G2255" s="8" t="s">
        <v>61</v>
      </c>
      <c r="H2255" s="8" t="s">
        <v>24</v>
      </c>
      <c r="I2255" s="18" t="s">
        <v>2582</v>
      </c>
      <c r="J2255" s="16">
        <v>80.0</v>
      </c>
      <c r="K2255" s="8" t="s">
        <v>1799</v>
      </c>
      <c r="L2255" s="8" t="s">
        <v>2799</v>
      </c>
      <c r="M2255" s="18" t="s">
        <v>2566</v>
      </c>
      <c r="N2255" s="16">
        <v>75.0</v>
      </c>
      <c r="O2255" s="8" t="s">
        <v>6199</v>
      </c>
      <c r="P2255" s="8" t="s">
        <v>80</v>
      </c>
      <c r="Q2255" s="14" t="s">
        <v>2296</v>
      </c>
      <c r="R2255" s="8" t="s">
        <v>2603</v>
      </c>
      <c r="S2255" s="14" t="s">
        <v>2568</v>
      </c>
    </row>
    <row r="2256">
      <c r="A2256" s="8" t="s">
        <v>676</v>
      </c>
      <c r="B2256" s="8" t="s">
        <v>1234</v>
      </c>
      <c r="C2256" s="8" t="s">
        <v>65</v>
      </c>
      <c r="D2256" s="18" t="s">
        <v>2603</v>
      </c>
      <c r="E2256" s="16">
        <v>80.0</v>
      </c>
      <c r="F2256" s="8" t="s">
        <v>84</v>
      </c>
      <c r="G2256" s="8" t="s">
        <v>486</v>
      </c>
      <c r="H2256" s="8" t="s">
        <v>122</v>
      </c>
      <c r="I2256" s="18" t="s">
        <v>2574</v>
      </c>
      <c r="J2256" s="16">
        <v>75.0</v>
      </c>
      <c r="K2256" s="8" t="s">
        <v>1618</v>
      </c>
      <c r="L2256" s="8" t="s">
        <v>1617</v>
      </c>
      <c r="M2256" s="18" t="s">
        <v>2564</v>
      </c>
      <c r="N2256" s="16">
        <v>72.0</v>
      </c>
      <c r="O2256" s="8" t="s">
        <v>6200</v>
      </c>
      <c r="P2256" s="8" t="s">
        <v>149</v>
      </c>
      <c r="Q2256" s="14" t="s">
        <v>837</v>
      </c>
      <c r="R2256" s="8" t="s">
        <v>2595</v>
      </c>
      <c r="S2256" s="14" t="s">
        <v>2569</v>
      </c>
    </row>
    <row r="2257">
      <c r="A2257" s="8" t="s">
        <v>676</v>
      </c>
      <c r="B2257" s="8" t="s">
        <v>3739</v>
      </c>
      <c r="C2257" s="8" t="s">
        <v>53</v>
      </c>
      <c r="D2257" s="18" t="s">
        <v>2572</v>
      </c>
      <c r="E2257" s="16">
        <v>62.0</v>
      </c>
      <c r="F2257" s="8" t="s">
        <v>845</v>
      </c>
      <c r="G2257" s="8" t="s">
        <v>2678</v>
      </c>
      <c r="H2257" s="8" t="s">
        <v>53</v>
      </c>
      <c r="I2257" s="18" t="s">
        <v>2598</v>
      </c>
      <c r="J2257" s="16">
        <v>83.0</v>
      </c>
      <c r="K2257" s="8" t="s">
        <v>542</v>
      </c>
      <c r="L2257" s="8" t="s">
        <v>1602</v>
      </c>
      <c r="M2257" s="18" t="s">
        <v>2598</v>
      </c>
      <c r="N2257" s="16">
        <v>68.0</v>
      </c>
      <c r="O2257" s="8" t="s">
        <v>6201</v>
      </c>
      <c r="P2257" s="8" t="s">
        <v>186</v>
      </c>
      <c r="Q2257" s="14" t="s">
        <v>2296</v>
      </c>
      <c r="R2257" s="8" t="s">
        <v>2577</v>
      </c>
      <c r="S2257" s="14" t="s">
        <v>2576</v>
      </c>
    </row>
    <row r="2258">
      <c r="A2258" s="8" t="s">
        <v>676</v>
      </c>
      <c r="B2258" s="8" t="s">
        <v>1243</v>
      </c>
      <c r="C2258" s="8" t="s">
        <v>186</v>
      </c>
      <c r="D2258" s="18" t="s">
        <v>2577</v>
      </c>
      <c r="E2258" s="16">
        <v>65.0</v>
      </c>
      <c r="F2258" s="8" t="s">
        <v>1598</v>
      </c>
      <c r="G2258" s="8" t="s">
        <v>3218</v>
      </c>
      <c r="H2258" s="8" t="s">
        <v>65</v>
      </c>
      <c r="I2258" s="18" t="s">
        <v>2605</v>
      </c>
      <c r="J2258" s="16">
        <v>77.0</v>
      </c>
      <c r="K2258" s="8" t="s">
        <v>542</v>
      </c>
      <c r="L2258" s="8" t="s">
        <v>541</v>
      </c>
      <c r="M2258" s="18" t="s">
        <v>2574</v>
      </c>
      <c r="N2258" s="16">
        <v>69.0</v>
      </c>
      <c r="O2258" s="8" t="s">
        <v>6202</v>
      </c>
      <c r="P2258" s="8" t="s">
        <v>24</v>
      </c>
      <c r="Q2258" s="14" t="s">
        <v>459</v>
      </c>
      <c r="R2258" s="8" t="s">
        <v>2577</v>
      </c>
      <c r="S2258" s="14" t="s">
        <v>2578</v>
      </c>
    </row>
    <row r="2259">
      <c r="A2259" s="8" t="s">
        <v>676</v>
      </c>
      <c r="B2259" s="8" t="s">
        <v>766</v>
      </c>
      <c r="C2259" s="8" t="s">
        <v>65</v>
      </c>
      <c r="D2259" s="18" t="s">
        <v>2581</v>
      </c>
      <c r="E2259" s="16">
        <v>59.0</v>
      </c>
      <c r="F2259" s="8" t="s">
        <v>1598</v>
      </c>
      <c r="G2259" s="8" t="s">
        <v>3381</v>
      </c>
      <c r="H2259" s="8" t="s">
        <v>53</v>
      </c>
      <c r="I2259" s="18" t="s">
        <v>2621</v>
      </c>
      <c r="J2259" s="16">
        <v>61.0</v>
      </c>
      <c r="K2259" s="8" t="s">
        <v>185</v>
      </c>
      <c r="L2259" s="8" t="s">
        <v>389</v>
      </c>
      <c r="M2259" s="18" t="s">
        <v>2554</v>
      </c>
      <c r="N2259" s="16">
        <v>69.0</v>
      </c>
      <c r="O2259" s="8" t="s">
        <v>6203</v>
      </c>
      <c r="P2259" s="8" t="s">
        <v>138</v>
      </c>
      <c r="Q2259" s="14" t="s">
        <v>1352</v>
      </c>
      <c r="R2259" s="8" t="s">
        <v>2574</v>
      </c>
      <c r="S2259" s="14" t="s">
        <v>2557</v>
      </c>
    </row>
    <row r="2260">
      <c r="A2260" s="8" t="s">
        <v>676</v>
      </c>
      <c r="B2260" s="8" t="s">
        <v>795</v>
      </c>
      <c r="C2260" s="8" t="s">
        <v>141</v>
      </c>
      <c r="D2260" s="18" t="s">
        <v>2584</v>
      </c>
      <c r="E2260" s="16">
        <v>66.0</v>
      </c>
      <c r="F2260" s="8" t="s">
        <v>1598</v>
      </c>
      <c r="G2260" s="8" t="s">
        <v>2692</v>
      </c>
      <c r="H2260" s="8" t="s">
        <v>65</v>
      </c>
      <c r="I2260" s="18" t="s">
        <v>2585</v>
      </c>
      <c r="J2260" s="16">
        <v>61.0</v>
      </c>
      <c r="K2260" s="8" t="s">
        <v>185</v>
      </c>
      <c r="L2260" s="8" t="s">
        <v>184</v>
      </c>
      <c r="M2260" s="18" t="s">
        <v>2621</v>
      </c>
      <c r="N2260" s="16">
        <v>79.0</v>
      </c>
      <c r="O2260" s="8" t="s">
        <v>6204</v>
      </c>
      <c r="P2260" s="8" t="s">
        <v>24</v>
      </c>
      <c r="Q2260" s="14" t="s">
        <v>83</v>
      </c>
      <c r="R2260" s="8" t="s">
        <v>2582</v>
      </c>
      <c r="S2260" s="14" t="s">
        <v>2599</v>
      </c>
    </row>
    <row r="2261">
      <c r="A2261" s="8" t="s">
        <v>676</v>
      </c>
      <c r="B2261" s="8" t="s">
        <v>3853</v>
      </c>
      <c r="C2261" s="8" t="s">
        <v>59</v>
      </c>
      <c r="D2261" s="18" t="s">
        <v>2598</v>
      </c>
      <c r="E2261" s="16">
        <v>64.0</v>
      </c>
      <c r="F2261" s="8" t="s">
        <v>619</v>
      </c>
      <c r="G2261" s="8" t="s">
        <v>78</v>
      </c>
      <c r="H2261" s="8" t="s">
        <v>186</v>
      </c>
      <c r="I2261" s="18" t="s">
        <v>2577</v>
      </c>
      <c r="J2261" s="16">
        <v>74.0</v>
      </c>
      <c r="K2261" s="8" t="s">
        <v>791</v>
      </c>
      <c r="L2261" s="8" t="s">
        <v>790</v>
      </c>
      <c r="M2261" s="18" t="s">
        <v>2585</v>
      </c>
      <c r="N2261" s="16">
        <v>79.0</v>
      </c>
      <c r="O2261" s="8" t="s">
        <v>6205</v>
      </c>
      <c r="P2261" s="8" t="s">
        <v>93</v>
      </c>
      <c r="Q2261" s="14" t="s">
        <v>1679</v>
      </c>
      <c r="R2261" s="8" t="s">
        <v>2592</v>
      </c>
      <c r="S2261" s="14" t="s">
        <v>2553</v>
      </c>
    </row>
    <row r="2262">
      <c r="A2262" s="8" t="s">
        <v>978</v>
      </c>
      <c r="B2262" s="8" t="s">
        <v>977</v>
      </c>
      <c r="C2262" s="8" t="s">
        <v>80</v>
      </c>
      <c r="D2262" s="18" t="s">
        <v>2589</v>
      </c>
      <c r="E2262" s="16">
        <v>96.0</v>
      </c>
      <c r="F2262" s="8" t="s">
        <v>619</v>
      </c>
      <c r="G2262" s="8" t="s">
        <v>1087</v>
      </c>
      <c r="H2262" s="8" t="s">
        <v>53</v>
      </c>
      <c r="I2262" s="18" t="s">
        <v>2558</v>
      </c>
      <c r="J2262" s="16">
        <v>68.0</v>
      </c>
      <c r="K2262" s="8" t="s">
        <v>587</v>
      </c>
      <c r="L2262" s="8" t="s">
        <v>586</v>
      </c>
      <c r="M2262" s="18" t="s">
        <v>2562</v>
      </c>
      <c r="N2262" s="16">
        <v>82.0</v>
      </c>
      <c r="O2262" s="8" t="s">
        <v>6206</v>
      </c>
      <c r="P2262" s="8" t="s">
        <v>138</v>
      </c>
      <c r="Q2262" s="14" t="s">
        <v>837</v>
      </c>
      <c r="R2262" s="8" t="s">
        <v>2598</v>
      </c>
      <c r="S2262" s="14" t="s">
        <v>2601</v>
      </c>
    </row>
    <row r="2263">
      <c r="A2263" s="8" t="s">
        <v>867</v>
      </c>
      <c r="B2263" s="8" t="s">
        <v>866</v>
      </c>
      <c r="C2263" s="8" t="s">
        <v>149</v>
      </c>
      <c r="D2263" s="18" t="s">
        <v>2572</v>
      </c>
      <c r="E2263" s="16">
        <v>63.0</v>
      </c>
      <c r="F2263" s="8" t="s">
        <v>619</v>
      </c>
      <c r="G2263" s="8" t="s">
        <v>752</v>
      </c>
      <c r="H2263" s="8" t="s">
        <v>65</v>
      </c>
      <c r="I2263" s="18" t="s">
        <v>2575</v>
      </c>
      <c r="J2263" s="16">
        <v>66.0</v>
      </c>
      <c r="K2263" s="8" t="s">
        <v>587</v>
      </c>
      <c r="L2263" s="8" t="s">
        <v>586</v>
      </c>
      <c r="M2263" s="18" t="s">
        <v>2562</v>
      </c>
      <c r="N2263" s="16">
        <v>87.0</v>
      </c>
      <c r="O2263" s="8" t="s">
        <v>6207</v>
      </c>
      <c r="P2263" s="8" t="s">
        <v>65</v>
      </c>
      <c r="Q2263" s="14" t="s">
        <v>1679</v>
      </c>
      <c r="R2263" s="8" t="s">
        <v>2587</v>
      </c>
      <c r="S2263" s="14" t="s">
        <v>2555</v>
      </c>
    </row>
    <row r="2264">
      <c r="A2264" s="8" t="s">
        <v>867</v>
      </c>
      <c r="B2264" s="8" t="s">
        <v>537</v>
      </c>
      <c r="C2264" s="8" t="s">
        <v>65</v>
      </c>
      <c r="D2264" s="18" t="s">
        <v>2183</v>
      </c>
      <c r="E2264" s="16">
        <v>65.0</v>
      </c>
      <c r="F2264" s="8" t="s">
        <v>1640</v>
      </c>
      <c r="G2264" s="8" t="s">
        <v>1655</v>
      </c>
      <c r="H2264" s="8" t="s">
        <v>122</v>
      </c>
      <c r="I2264" s="18" t="s">
        <v>2600</v>
      </c>
      <c r="J2264" s="16">
        <v>70.0</v>
      </c>
      <c r="K2264" s="8" t="s">
        <v>1519</v>
      </c>
      <c r="L2264" s="8" t="s">
        <v>1518</v>
      </c>
      <c r="M2264" s="18" t="s">
        <v>2595</v>
      </c>
      <c r="N2264" s="16">
        <v>80.0</v>
      </c>
      <c r="O2264" s="8" t="s">
        <v>6208</v>
      </c>
      <c r="P2264" s="8" t="s">
        <v>46</v>
      </c>
      <c r="Q2264" s="14" t="s">
        <v>1352</v>
      </c>
      <c r="R2264" s="8" t="s">
        <v>2566</v>
      </c>
      <c r="S2264" s="14" t="s">
        <v>2569</v>
      </c>
    </row>
    <row r="2265">
      <c r="A2265" s="8" t="s">
        <v>836</v>
      </c>
      <c r="B2265" s="8" t="s">
        <v>78</v>
      </c>
      <c r="C2265" s="8" t="s">
        <v>65</v>
      </c>
      <c r="D2265" s="18" t="s">
        <v>2572</v>
      </c>
      <c r="E2265" s="16">
        <v>62.0</v>
      </c>
      <c r="F2265" s="8" t="s">
        <v>1640</v>
      </c>
      <c r="G2265" s="8" t="s">
        <v>441</v>
      </c>
      <c r="H2265" s="8" t="s">
        <v>122</v>
      </c>
      <c r="I2265" s="18" t="s">
        <v>2581</v>
      </c>
      <c r="J2265" s="16">
        <v>65.0</v>
      </c>
      <c r="K2265" s="8" t="s">
        <v>1046</v>
      </c>
      <c r="L2265" s="8" t="s">
        <v>1476</v>
      </c>
      <c r="M2265" s="18" t="s">
        <v>2589</v>
      </c>
      <c r="N2265" s="16">
        <v>69.0</v>
      </c>
      <c r="O2265" s="8" t="s">
        <v>6209</v>
      </c>
      <c r="P2265" s="8" t="s">
        <v>53</v>
      </c>
      <c r="Q2265" s="14" t="s">
        <v>1070</v>
      </c>
      <c r="R2265" s="8" t="s">
        <v>2595</v>
      </c>
      <c r="S2265" s="14" t="s">
        <v>2622</v>
      </c>
    </row>
    <row r="2266">
      <c r="A2266" s="8" t="s">
        <v>442</v>
      </c>
      <c r="B2266" s="8" t="s">
        <v>441</v>
      </c>
      <c r="C2266" s="8" t="s">
        <v>16</v>
      </c>
      <c r="D2266" s="18" t="s">
        <v>2587</v>
      </c>
      <c r="E2266" s="16">
        <v>82.0</v>
      </c>
      <c r="F2266" s="8" t="s">
        <v>1640</v>
      </c>
      <c r="G2266" s="8" t="s">
        <v>3013</v>
      </c>
      <c r="H2266" s="8" t="s">
        <v>186</v>
      </c>
      <c r="I2266" s="18" t="s">
        <v>2610</v>
      </c>
      <c r="J2266" s="16">
        <v>80.0</v>
      </c>
      <c r="K2266" s="8" t="s">
        <v>1046</v>
      </c>
      <c r="L2266" s="8" t="s">
        <v>2732</v>
      </c>
      <c r="M2266" s="18" t="s">
        <v>2592</v>
      </c>
      <c r="N2266" s="16">
        <v>65.0</v>
      </c>
      <c r="O2266" s="8" t="s">
        <v>6210</v>
      </c>
      <c r="P2266" s="8" t="s">
        <v>24</v>
      </c>
      <c r="Q2266" s="14" t="s">
        <v>631</v>
      </c>
      <c r="R2266" s="8" t="s">
        <v>2572</v>
      </c>
      <c r="S2266" s="14" t="s">
        <v>2591</v>
      </c>
    </row>
    <row r="2267">
      <c r="A2267" s="8" t="s">
        <v>802</v>
      </c>
      <c r="B2267" s="8" t="s">
        <v>99</v>
      </c>
      <c r="C2267" s="8" t="s">
        <v>46</v>
      </c>
      <c r="D2267" s="18" t="s">
        <v>2614</v>
      </c>
      <c r="E2267" s="16">
        <v>97.0</v>
      </c>
      <c r="F2267" s="8" t="s">
        <v>3456</v>
      </c>
      <c r="G2267" s="8" t="s">
        <v>3455</v>
      </c>
      <c r="H2267" s="8" t="s">
        <v>80</v>
      </c>
      <c r="I2267" s="18" t="s">
        <v>2585</v>
      </c>
      <c r="J2267" s="16">
        <v>64.0</v>
      </c>
      <c r="K2267" s="8" t="s">
        <v>1046</v>
      </c>
      <c r="L2267" s="8" t="s">
        <v>1564</v>
      </c>
      <c r="M2267" s="18" t="s">
        <v>2620</v>
      </c>
      <c r="N2267" s="16">
        <v>72.0</v>
      </c>
      <c r="O2267" s="8" t="s">
        <v>6211</v>
      </c>
      <c r="P2267" s="8" t="s">
        <v>186</v>
      </c>
      <c r="Q2267" s="14" t="s">
        <v>459</v>
      </c>
      <c r="R2267" s="8" t="s">
        <v>2577</v>
      </c>
      <c r="S2267" s="14" t="s">
        <v>2571</v>
      </c>
    </row>
    <row r="2268">
      <c r="A2268" s="8" t="s">
        <v>501</v>
      </c>
      <c r="B2268" s="8" t="s">
        <v>359</v>
      </c>
      <c r="C2268" s="8" t="s">
        <v>122</v>
      </c>
      <c r="D2268" s="18" t="s">
        <v>2614</v>
      </c>
      <c r="E2268" s="16">
        <v>80.0</v>
      </c>
      <c r="F2268" s="8" t="s">
        <v>257</v>
      </c>
      <c r="G2268" s="8" t="s">
        <v>256</v>
      </c>
      <c r="H2268" s="8" t="s">
        <v>215</v>
      </c>
      <c r="I2268" s="18" t="s">
        <v>2564</v>
      </c>
      <c r="J2268" s="16">
        <v>79.0</v>
      </c>
      <c r="K2268" s="8" t="s">
        <v>1046</v>
      </c>
      <c r="L2268" s="8" t="s">
        <v>1297</v>
      </c>
      <c r="M2268" s="18" t="s">
        <v>2183</v>
      </c>
      <c r="N2268" s="16">
        <v>66.0</v>
      </c>
      <c r="O2268" s="8" t="s">
        <v>6212</v>
      </c>
      <c r="P2268" s="8" t="s">
        <v>122</v>
      </c>
      <c r="Q2268" s="14" t="s">
        <v>1352</v>
      </c>
      <c r="R2268" s="8" t="s">
        <v>2581</v>
      </c>
      <c r="S2268" s="14" t="s">
        <v>2573</v>
      </c>
    </row>
    <row r="2269">
      <c r="A2269" s="8" t="s">
        <v>501</v>
      </c>
      <c r="B2269" s="8" t="s">
        <v>276</v>
      </c>
      <c r="C2269" s="8" t="s">
        <v>53</v>
      </c>
      <c r="D2269" s="18" t="s">
        <v>2584</v>
      </c>
      <c r="E2269" s="16">
        <v>66.0</v>
      </c>
      <c r="F2269" s="8" t="s">
        <v>2980</v>
      </c>
      <c r="G2269" s="8" t="s">
        <v>2979</v>
      </c>
      <c r="H2269" s="8" t="s">
        <v>149</v>
      </c>
      <c r="I2269" s="18" t="s">
        <v>2582</v>
      </c>
      <c r="J2269" s="16">
        <v>66.0</v>
      </c>
      <c r="K2269" s="8" t="s">
        <v>1046</v>
      </c>
      <c r="L2269" s="8" t="s">
        <v>2796</v>
      </c>
      <c r="M2269" s="18" t="s">
        <v>2562</v>
      </c>
      <c r="N2269" s="16">
        <v>79.0</v>
      </c>
      <c r="O2269" s="8" t="s">
        <v>6213</v>
      </c>
      <c r="P2269" s="8" t="s">
        <v>138</v>
      </c>
      <c r="Q2269" s="14" t="s">
        <v>1352</v>
      </c>
      <c r="R2269" s="18" t="s">
        <v>2589</v>
      </c>
      <c r="S2269" s="14" t="s">
        <v>2579</v>
      </c>
    </row>
    <row r="2270">
      <c r="A2270" s="8" t="s">
        <v>3885</v>
      </c>
      <c r="B2270" s="8" t="s">
        <v>104</v>
      </c>
      <c r="C2270" s="8" t="s">
        <v>122</v>
      </c>
      <c r="D2270" s="18" t="s">
        <v>2554</v>
      </c>
      <c r="E2270" s="16">
        <v>72.0</v>
      </c>
      <c r="F2270" s="8" t="s">
        <v>270</v>
      </c>
      <c r="G2270" s="8" t="s">
        <v>268</v>
      </c>
      <c r="H2270" s="8" t="s">
        <v>24</v>
      </c>
      <c r="I2270" s="18" t="s">
        <v>2620</v>
      </c>
      <c r="J2270" s="16">
        <v>81.0</v>
      </c>
      <c r="K2270" s="8" t="s">
        <v>1046</v>
      </c>
      <c r="L2270" s="8" t="s">
        <v>1045</v>
      </c>
      <c r="M2270" s="18" t="s">
        <v>2600</v>
      </c>
      <c r="N2270" s="16">
        <v>75.0</v>
      </c>
      <c r="O2270" s="8" t="s">
        <v>6214</v>
      </c>
      <c r="P2270" s="8" t="s">
        <v>138</v>
      </c>
      <c r="Q2270" s="14" t="s">
        <v>237</v>
      </c>
      <c r="R2270" s="8" t="s">
        <v>2564</v>
      </c>
      <c r="S2270" s="14" t="s">
        <v>2601</v>
      </c>
    </row>
    <row r="2271">
      <c r="A2271" s="8" t="s">
        <v>3470</v>
      </c>
      <c r="B2271" s="8" t="s">
        <v>444</v>
      </c>
      <c r="C2271" s="8" t="s">
        <v>46</v>
      </c>
      <c r="D2271" s="18" t="s">
        <v>2595</v>
      </c>
      <c r="E2271" s="16">
        <v>65.0</v>
      </c>
      <c r="F2271" s="8" t="s">
        <v>265</v>
      </c>
      <c r="G2271" s="8" t="s">
        <v>264</v>
      </c>
      <c r="H2271" s="8" t="s">
        <v>132</v>
      </c>
      <c r="I2271" s="18" t="s">
        <v>2587</v>
      </c>
      <c r="J2271" s="16">
        <v>72.0</v>
      </c>
      <c r="K2271" s="8" t="s">
        <v>1046</v>
      </c>
      <c r="L2271" s="8" t="s">
        <v>2321</v>
      </c>
      <c r="M2271" s="18" t="s">
        <v>2595</v>
      </c>
      <c r="N2271" s="16">
        <v>66.0</v>
      </c>
      <c r="O2271" s="8" t="s">
        <v>6215</v>
      </c>
      <c r="P2271" s="8" t="s">
        <v>24</v>
      </c>
      <c r="Q2271" s="14" t="s">
        <v>237</v>
      </c>
      <c r="R2271" s="8" t="s">
        <v>2572</v>
      </c>
      <c r="S2271" s="14" t="s">
        <v>2571</v>
      </c>
    </row>
    <row r="2272">
      <c r="A2272" s="8" t="s">
        <v>188</v>
      </c>
      <c r="B2272" s="8" t="s">
        <v>187</v>
      </c>
      <c r="C2272" s="8" t="s">
        <v>122</v>
      </c>
      <c r="D2272" s="18" t="s">
        <v>2584</v>
      </c>
      <c r="E2272" s="16">
        <v>76.0</v>
      </c>
      <c r="F2272" s="8" t="s">
        <v>403</v>
      </c>
      <c r="G2272" s="8" t="s">
        <v>402</v>
      </c>
      <c r="H2272" s="8" t="s">
        <v>53</v>
      </c>
      <c r="I2272" s="18" t="s">
        <v>2620</v>
      </c>
      <c r="J2272" s="16">
        <v>99.0</v>
      </c>
      <c r="K2272" s="8" t="s">
        <v>1046</v>
      </c>
      <c r="L2272" s="8" t="s">
        <v>3016</v>
      </c>
      <c r="M2272" s="18" t="s">
        <v>2584</v>
      </c>
      <c r="N2272" s="16">
        <v>69.0</v>
      </c>
      <c r="O2272" s="8" t="s">
        <v>6216</v>
      </c>
      <c r="P2272" s="8" t="s">
        <v>122</v>
      </c>
      <c r="Q2272" s="14" t="s">
        <v>1679</v>
      </c>
      <c r="R2272" s="8" t="s">
        <v>2592</v>
      </c>
      <c r="S2272" s="14" t="s">
        <v>2607</v>
      </c>
    </row>
    <row r="2273">
      <c r="A2273" s="8" t="s">
        <v>188</v>
      </c>
      <c r="B2273" s="8" t="s">
        <v>208</v>
      </c>
      <c r="C2273" s="8" t="s">
        <v>122</v>
      </c>
      <c r="D2273" s="18" t="s">
        <v>2598</v>
      </c>
      <c r="E2273" s="16">
        <v>77.0</v>
      </c>
      <c r="F2273" s="8" t="s">
        <v>1694</v>
      </c>
      <c r="G2273" s="8" t="s">
        <v>646</v>
      </c>
      <c r="H2273" s="8" t="s">
        <v>80</v>
      </c>
      <c r="I2273" s="18" t="s">
        <v>2595</v>
      </c>
      <c r="J2273" s="16">
        <v>74.0</v>
      </c>
      <c r="K2273" s="8" t="s">
        <v>1046</v>
      </c>
      <c r="L2273" s="8" t="s">
        <v>2126</v>
      </c>
      <c r="M2273" s="18" t="s">
        <v>2566</v>
      </c>
      <c r="N2273" s="16">
        <v>77.0</v>
      </c>
      <c r="O2273" s="8" t="s">
        <v>6217</v>
      </c>
      <c r="P2273" s="8" t="s">
        <v>141</v>
      </c>
      <c r="Q2273" s="14" t="s">
        <v>2033</v>
      </c>
      <c r="R2273" s="8" t="s">
        <v>2593</v>
      </c>
      <c r="S2273" s="14" t="s">
        <v>2628</v>
      </c>
    </row>
    <row r="2274">
      <c r="A2274" s="8" t="s">
        <v>3001</v>
      </c>
      <c r="B2274" s="8" t="s">
        <v>2220</v>
      </c>
      <c r="C2274" s="8" t="s">
        <v>192</v>
      </c>
      <c r="D2274" s="18" t="s">
        <v>2603</v>
      </c>
      <c r="E2274" s="16">
        <v>61.0</v>
      </c>
      <c r="F2274" s="8" t="s">
        <v>2759</v>
      </c>
      <c r="G2274" s="8" t="s">
        <v>61</v>
      </c>
      <c r="H2274" s="8" t="s">
        <v>93</v>
      </c>
      <c r="I2274" s="18" t="s">
        <v>2567</v>
      </c>
      <c r="J2274" s="16">
        <v>86.0</v>
      </c>
      <c r="K2274" s="8" t="s">
        <v>1046</v>
      </c>
      <c r="L2274" s="8" t="s">
        <v>2088</v>
      </c>
      <c r="M2274" s="18" t="s">
        <v>2603</v>
      </c>
      <c r="N2274" s="16">
        <v>72.0</v>
      </c>
      <c r="O2274" s="8" t="s">
        <v>6218</v>
      </c>
      <c r="P2274" s="8" t="s">
        <v>75</v>
      </c>
      <c r="Q2274" s="14" t="s">
        <v>237</v>
      </c>
      <c r="R2274" s="8" t="s">
        <v>2587</v>
      </c>
      <c r="S2274" s="14" t="s">
        <v>2583</v>
      </c>
    </row>
    <row r="2275">
      <c r="A2275" s="8" t="s">
        <v>3183</v>
      </c>
      <c r="B2275" s="8" t="s">
        <v>1381</v>
      </c>
      <c r="C2275" s="8" t="s">
        <v>192</v>
      </c>
      <c r="D2275" s="18" t="s">
        <v>2589</v>
      </c>
      <c r="E2275" s="16">
        <v>81.0</v>
      </c>
      <c r="F2275" s="8" t="s">
        <v>1152</v>
      </c>
      <c r="G2275" s="8" t="s">
        <v>1151</v>
      </c>
      <c r="H2275" s="8" t="s">
        <v>59</v>
      </c>
      <c r="I2275" s="18" t="s">
        <v>2620</v>
      </c>
      <c r="J2275" s="16">
        <v>58.0</v>
      </c>
      <c r="K2275" s="8" t="s">
        <v>692</v>
      </c>
      <c r="L2275" s="8" t="s">
        <v>691</v>
      </c>
      <c r="M2275" s="18" t="s">
        <v>2592</v>
      </c>
      <c r="N2275" s="16">
        <v>71.0</v>
      </c>
      <c r="O2275" s="8" t="s">
        <v>6219</v>
      </c>
      <c r="P2275" s="8" t="s">
        <v>53</v>
      </c>
      <c r="Q2275" s="14" t="s">
        <v>338</v>
      </c>
      <c r="R2275" s="8" t="s">
        <v>2620</v>
      </c>
      <c r="S2275" s="14" t="s">
        <v>2619</v>
      </c>
    </row>
    <row r="2276">
      <c r="A2276" s="8" t="s">
        <v>1213</v>
      </c>
      <c r="B2276" s="8" t="s">
        <v>1212</v>
      </c>
      <c r="C2276" s="8" t="s">
        <v>138</v>
      </c>
      <c r="D2276" s="18" t="s">
        <v>2562</v>
      </c>
      <c r="E2276" s="16">
        <v>59.0</v>
      </c>
      <c r="F2276" s="8" t="s">
        <v>658</v>
      </c>
      <c r="G2276" s="8" t="s">
        <v>657</v>
      </c>
      <c r="H2276" s="8" t="s">
        <v>59</v>
      </c>
      <c r="I2276" s="18" t="s">
        <v>2610</v>
      </c>
      <c r="J2276" s="16">
        <v>87.0</v>
      </c>
      <c r="K2276" s="8" t="s">
        <v>692</v>
      </c>
      <c r="L2276" s="8" t="s">
        <v>2839</v>
      </c>
      <c r="M2276" s="18" t="s">
        <v>2581</v>
      </c>
      <c r="N2276" s="16">
        <v>79.0</v>
      </c>
      <c r="O2276" s="8" t="s">
        <v>6220</v>
      </c>
      <c r="P2276" s="8" t="s">
        <v>192</v>
      </c>
      <c r="Q2276" s="14" t="s">
        <v>1679</v>
      </c>
      <c r="R2276" s="8" t="s">
        <v>2595</v>
      </c>
      <c r="S2276" s="14" t="s">
        <v>2571</v>
      </c>
    </row>
    <row r="2277">
      <c r="A2277" s="8" t="s">
        <v>949</v>
      </c>
      <c r="B2277" s="8" t="s">
        <v>23</v>
      </c>
      <c r="C2277" s="8" t="s">
        <v>149</v>
      </c>
      <c r="D2277" s="18" t="s">
        <v>2581</v>
      </c>
      <c r="E2277" s="16">
        <v>71.0</v>
      </c>
      <c r="F2277" s="8" t="s">
        <v>1328</v>
      </c>
      <c r="G2277" s="8" t="s">
        <v>3271</v>
      </c>
      <c r="H2277" s="8" t="s">
        <v>215</v>
      </c>
      <c r="I2277" s="18" t="s">
        <v>2610</v>
      </c>
      <c r="J2277" s="16">
        <v>70.0</v>
      </c>
      <c r="K2277" s="8" t="s">
        <v>692</v>
      </c>
      <c r="L2277" s="8" t="s">
        <v>1453</v>
      </c>
      <c r="M2277" s="18" t="s">
        <v>2566</v>
      </c>
      <c r="N2277" s="16">
        <v>70.0</v>
      </c>
      <c r="O2277" s="8" t="s">
        <v>6221</v>
      </c>
      <c r="P2277" s="8" t="s">
        <v>59</v>
      </c>
      <c r="Q2277" s="14" t="s">
        <v>1070</v>
      </c>
      <c r="R2277" s="18" t="s">
        <v>2589</v>
      </c>
      <c r="S2277" s="14" t="s">
        <v>2618</v>
      </c>
    </row>
    <row r="2278">
      <c r="A2278" s="8" t="s">
        <v>2654</v>
      </c>
      <c r="B2278" s="8" t="s">
        <v>57</v>
      </c>
      <c r="C2278" s="8" t="s">
        <v>132</v>
      </c>
      <c r="D2278" s="18" t="s">
        <v>2556</v>
      </c>
      <c r="E2278" s="16">
        <v>66.0</v>
      </c>
      <c r="F2278" s="8" t="s">
        <v>633</v>
      </c>
      <c r="G2278" s="8" t="s">
        <v>632</v>
      </c>
      <c r="H2278" s="8" t="s">
        <v>80</v>
      </c>
      <c r="I2278" s="18" t="s">
        <v>2581</v>
      </c>
      <c r="J2278" s="16">
        <v>69.0</v>
      </c>
      <c r="K2278" s="8" t="s">
        <v>692</v>
      </c>
      <c r="L2278" s="8" t="s">
        <v>208</v>
      </c>
      <c r="M2278" s="18" t="s">
        <v>2610</v>
      </c>
      <c r="N2278" s="16">
        <v>81.0</v>
      </c>
      <c r="O2278" s="8" t="s">
        <v>6222</v>
      </c>
      <c r="P2278" s="8" t="s">
        <v>59</v>
      </c>
      <c r="Q2278" s="14" t="s">
        <v>631</v>
      </c>
      <c r="R2278" s="18" t="s">
        <v>2556</v>
      </c>
      <c r="S2278" s="14" t="s">
        <v>2571</v>
      </c>
    </row>
    <row r="2279">
      <c r="A2279" s="8" t="s">
        <v>3840</v>
      </c>
      <c r="B2279" s="8" t="s">
        <v>1025</v>
      </c>
      <c r="C2279" s="8" t="s">
        <v>65</v>
      </c>
      <c r="D2279" s="18" t="s">
        <v>2582</v>
      </c>
      <c r="E2279" s="16">
        <v>60.0</v>
      </c>
      <c r="F2279" s="8" t="s">
        <v>3399</v>
      </c>
      <c r="G2279" s="8" t="s">
        <v>2220</v>
      </c>
      <c r="H2279" s="8" t="s">
        <v>65</v>
      </c>
      <c r="I2279" s="18" t="s">
        <v>2587</v>
      </c>
      <c r="J2279" s="16">
        <v>66.0</v>
      </c>
      <c r="K2279" s="8" t="s">
        <v>692</v>
      </c>
      <c r="L2279" s="8" t="s">
        <v>2999</v>
      </c>
      <c r="M2279" s="18" t="s">
        <v>2584</v>
      </c>
      <c r="N2279" s="16">
        <v>71.0</v>
      </c>
      <c r="O2279" s="8" t="s">
        <v>6223</v>
      </c>
      <c r="P2279" s="8" t="s">
        <v>186</v>
      </c>
      <c r="Q2279" s="14" t="s">
        <v>2459</v>
      </c>
      <c r="R2279" s="8" t="s">
        <v>2587</v>
      </c>
      <c r="S2279" s="14" t="s">
        <v>2583</v>
      </c>
    </row>
    <row r="2280">
      <c r="A2280" s="8" t="s">
        <v>583</v>
      </c>
      <c r="B2280" s="8" t="s">
        <v>582</v>
      </c>
      <c r="C2280" s="8" t="s">
        <v>24</v>
      </c>
      <c r="D2280" s="18" t="s">
        <v>2585</v>
      </c>
      <c r="E2280" s="16">
        <v>78.0</v>
      </c>
      <c r="F2280" s="8" t="s">
        <v>1799</v>
      </c>
      <c r="G2280" s="8" t="s">
        <v>1798</v>
      </c>
      <c r="H2280" s="8" t="s">
        <v>70</v>
      </c>
      <c r="I2280" s="18" t="s">
        <v>2566</v>
      </c>
      <c r="J2280" s="16">
        <v>73.0</v>
      </c>
      <c r="K2280" s="8" t="s">
        <v>1317</v>
      </c>
      <c r="L2280" s="8" t="s">
        <v>1373</v>
      </c>
      <c r="M2280" s="18" t="s">
        <v>2603</v>
      </c>
      <c r="N2280" s="16">
        <v>73.0</v>
      </c>
      <c r="O2280" s="8" t="s">
        <v>6224</v>
      </c>
      <c r="P2280" s="8" t="s">
        <v>65</v>
      </c>
      <c r="Q2280" s="14" t="s">
        <v>2033</v>
      </c>
      <c r="R2280" s="8" t="s">
        <v>2562</v>
      </c>
      <c r="S2280" s="14" t="s">
        <v>2576</v>
      </c>
    </row>
    <row r="2281">
      <c r="A2281" s="8" t="s">
        <v>583</v>
      </c>
      <c r="B2281" s="8" t="s">
        <v>104</v>
      </c>
      <c r="C2281" s="8" t="s">
        <v>138</v>
      </c>
      <c r="D2281" s="18" t="s">
        <v>2620</v>
      </c>
      <c r="E2281" s="16">
        <v>74.0</v>
      </c>
      <c r="F2281" s="8" t="s">
        <v>3501</v>
      </c>
      <c r="G2281" s="8" t="s">
        <v>78</v>
      </c>
      <c r="H2281" s="8" t="s">
        <v>65</v>
      </c>
      <c r="I2281" s="18" t="s">
        <v>2562</v>
      </c>
      <c r="J2281" s="16">
        <v>62.0</v>
      </c>
      <c r="K2281" s="8" t="s">
        <v>1317</v>
      </c>
      <c r="L2281" s="8" t="s">
        <v>637</v>
      </c>
      <c r="M2281" s="18" t="s">
        <v>2575</v>
      </c>
      <c r="N2281" s="16">
        <v>76.0</v>
      </c>
      <c r="O2281" s="8" t="s">
        <v>6225</v>
      </c>
      <c r="P2281" s="8" t="s">
        <v>80</v>
      </c>
      <c r="Q2281" s="14" t="s">
        <v>631</v>
      </c>
      <c r="R2281" s="8" t="s">
        <v>2581</v>
      </c>
      <c r="S2281" s="14" t="s">
        <v>2563</v>
      </c>
    </row>
    <row r="2282">
      <c r="A2282" s="8" t="s">
        <v>84</v>
      </c>
      <c r="B2282" s="8" t="s">
        <v>486</v>
      </c>
      <c r="C2282" s="8" t="s">
        <v>122</v>
      </c>
      <c r="D2282" s="18" t="s">
        <v>2574</v>
      </c>
      <c r="E2282" s="16">
        <v>74.0</v>
      </c>
      <c r="F2282" s="8" t="s">
        <v>1618</v>
      </c>
      <c r="G2282" s="8" t="s">
        <v>1617</v>
      </c>
      <c r="H2282" s="8" t="s">
        <v>70</v>
      </c>
      <c r="I2282" s="18" t="s">
        <v>2564</v>
      </c>
      <c r="J2282" s="16">
        <v>70.0</v>
      </c>
      <c r="K2282" s="8" t="s">
        <v>1317</v>
      </c>
      <c r="L2282" s="8" t="s">
        <v>3064</v>
      </c>
      <c r="M2282" s="18" t="s">
        <v>2575</v>
      </c>
      <c r="N2282" s="16">
        <v>75.0</v>
      </c>
      <c r="O2282" s="8" t="s">
        <v>6226</v>
      </c>
      <c r="P2282" s="8" t="s">
        <v>70</v>
      </c>
      <c r="Q2282" s="14" t="s">
        <v>1679</v>
      </c>
      <c r="R2282" s="8" t="s">
        <v>2566</v>
      </c>
      <c r="S2282" s="14" t="s">
        <v>2553</v>
      </c>
    </row>
    <row r="2283">
      <c r="A2283" s="8" t="s">
        <v>84</v>
      </c>
      <c r="B2283" s="8" t="s">
        <v>61</v>
      </c>
      <c r="C2283" s="8" t="s">
        <v>24</v>
      </c>
      <c r="D2283" s="18" t="s">
        <v>2582</v>
      </c>
      <c r="E2283" s="16">
        <v>80.0</v>
      </c>
      <c r="F2283" s="8" t="s">
        <v>542</v>
      </c>
      <c r="G2283" s="8" t="s">
        <v>3424</v>
      </c>
      <c r="H2283" s="8" t="s">
        <v>24</v>
      </c>
      <c r="I2283" s="18" t="s">
        <v>2587</v>
      </c>
      <c r="J2283" s="16">
        <v>62.0</v>
      </c>
      <c r="K2283" s="8" t="s">
        <v>1317</v>
      </c>
      <c r="L2283" s="8" t="s">
        <v>3021</v>
      </c>
      <c r="M2283" s="18" t="s">
        <v>2595</v>
      </c>
      <c r="N2283" s="16">
        <v>83.0</v>
      </c>
      <c r="O2283" s="8" t="s">
        <v>6227</v>
      </c>
      <c r="P2283" s="8" t="s">
        <v>70</v>
      </c>
      <c r="Q2283" s="14" t="s">
        <v>1352</v>
      </c>
      <c r="R2283" s="8" t="s">
        <v>2564</v>
      </c>
      <c r="S2283" s="14" t="s">
        <v>2565</v>
      </c>
    </row>
    <row r="2284">
      <c r="A2284" s="8" t="s">
        <v>84</v>
      </c>
      <c r="B2284" s="8" t="s">
        <v>2834</v>
      </c>
      <c r="C2284" s="8" t="s">
        <v>93</v>
      </c>
      <c r="D2284" s="18" t="s">
        <v>2592</v>
      </c>
      <c r="E2284" s="16">
        <v>77.0</v>
      </c>
      <c r="F2284" s="8" t="s">
        <v>542</v>
      </c>
      <c r="G2284" s="8" t="s">
        <v>3341</v>
      </c>
      <c r="H2284" s="8" t="s">
        <v>16</v>
      </c>
      <c r="I2284" s="18" t="s">
        <v>2552</v>
      </c>
      <c r="J2284" s="16">
        <v>54.0</v>
      </c>
      <c r="K2284" s="8" t="s">
        <v>1317</v>
      </c>
      <c r="L2284" s="8" t="s">
        <v>3021</v>
      </c>
      <c r="M2284" s="18" t="s">
        <v>2595</v>
      </c>
      <c r="N2284" s="16">
        <v>84.0</v>
      </c>
      <c r="O2284" s="8" t="s">
        <v>6228</v>
      </c>
      <c r="P2284" s="8" t="s">
        <v>138</v>
      </c>
      <c r="Q2284" s="14" t="s">
        <v>459</v>
      </c>
      <c r="R2284" s="8" t="s">
        <v>2595</v>
      </c>
      <c r="S2284" s="14" t="s">
        <v>2591</v>
      </c>
    </row>
    <row r="2285">
      <c r="A2285" s="8" t="s">
        <v>845</v>
      </c>
      <c r="B2285" s="8" t="s">
        <v>3546</v>
      </c>
      <c r="C2285" s="8" t="s">
        <v>59</v>
      </c>
      <c r="D2285" s="18" t="s">
        <v>2598</v>
      </c>
      <c r="E2285" s="16">
        <v>79.0</v>
      </c>
      <c r="F2285" s="8" t="s">
        <v>542</v>
      </c>
      <c r="G2285" s="8" t="s">
        <v>541</v>
      </c>
      <c r="H2285" s="8" t="s">
        <v>215</v>
      </c>
      <c r="I2285" s="18" t="s">
        <v>2574</v>
      </c>
      <c r="J2285" s="16">
        <v>72.0</v>
      </c>
      <c r="K2285" s="8" t="s">
        <v>1317</v>
      </c>
      <c r="L2285" s="8" t="s">
        <v>3021</v>
      </c>
      <c r="M2285" s="18" t="s">
        <v>2595</v>
      </c>
      <c r="N2285" s="16">
        <v>82.0</v>
      </c>
      <c r="O2285" s="8" t="s">
        <v>6229</v>
      </c>
      <c r="P2285" s="8" t="s">
        <v>75</v>
      </c>
      <c r="Q2285" s="14" t="s">
        <v>2033</v>
      </c>
      <c r="R2285" s="8" t="s">
        <v>2582</v>
      </c>
      <c r="S2285" s="14" t="s">
        <v>2555</v>
      </c>
    </row>
    <row r="2286">
      <c r="A2286" s="8" t="s">
        <v>1598</v>
      </c>
      <c r="B2286" s="8" t="s">
        <v>3218</v>
      </c>
      <c r="C2286" s="8" t="s">
        <v>65</v>
      </c>
      <c r="D2286" s="18" t="s">
        <v>2566</v>
      </c>
      <c r="E2286" s="16">
        <v>81.0</v>
      </c>
      <c r="F2286" s="8" t="s">
        <v>542</v>
      </c>
      <c r="G2286" s="8" t="s">
        <v>1602</v>
      </c>
      <c r="H2286" s="8" t="s">
        <v>132</v>
      </c>
      <c r="I2286" s="18" t="s">
        <v>2598</v>
      </c>
      <c r="J2286" s="16">
        <v>64.0</v>
      </c>
      <c r="K2286" s="8" t="s">
        <v>1317</v>
      </c>
      <c r="L2286" s="8" t="s">
        <v>3021</v>
      </c>
      <c r="M2286" s="18" t="s">
        <v>2595</v>
      </c>
      <c r="N2286" s="16">
        <v>88.0</v>
      </c>
      <c r="O2286" s="8" t="s">
        <v>6230</v>
      </c>
      <c r="P2286" s="8" t="s">
        <v>75</v>
      </c>
      <c r="Q2286" s="14" t="s">
        <v>1352</v>
      </c>
      <c r="R2286" s="8" t="s">
        <v>2598</v>
      </c>
      <c r="S2286" s="14" t="s">
        <v>2563</v>
      </c>
    </row>
    <row r="2287">
      <c r="A2287" s="8" t="s">
        <v>1598</v>
      </c>
      <c r="B2287" s="8" t="s">
        <v>3381</v>
      </c>
      <c r="C2287" s="8" t="s">
        <v>59</v>
      </c>
      <c r="D2287" s="18" t="s">
        <v>2575</v>
      </c>
      <c r="E2287" s="16">
        <v>61.0</v>
      </c>
      <c r="F2287" s="8" t="s">
        <v>185</v>
      </c>
      <c r="G2287" s="8" t="s">
        <v>389</v>
      </c>
      <c r="H2287" s="8" t="s">
        <v>141</v>
      </c>
      <c r="I2287" s="18" t="s">
        <v>2560</v>
      </c>
      <c r="J2287" s="16">
        <v>70.0</v>
      </c>
      <c r="K2287" s="8" t="s">
        <v>1317</v>
      </c>
      <c r="L2287" s="8" t="s">
        <v>3021</v>
      </c>
      <c r="M2287" s="18" t="s">
        <v>2595</v>
      </c>
      <c r="N2287" s="16">
        <v>86.0</v>
      </c>
      <c r="O2287" s="8" t="s">
        <v>6231</v>
      </c>
      <c r="P2287" s="8" t="s">
        <v>186</v>
      </c>
      <c r="Q2287" s="14" t="s">
        <v>135</v>
      </c>
      <c r="R2287" s="8" t="s">
        <v>2621</v>
      </c>
      <c r="S2287" s="14" t="s">
        <v>2608</v>
      </c>
    </row>
    <row r="2288">
      <c r="A2288" s="8" t="s">
        <v>619</v>
      </c>
      <c r="B2288" s="8" t="s">
        <v>752</v>
      </c>
      <c r="C2288" s="8" t="s">
        <v>65</v>
      </c>
      <c r="D2288" s="18" t="s">
        <v>2614</v>
      </c>
      <c r="E2288" s="16">
        <v>66.0</v>
      </c>
      <c r="F2288" s="8" t="s">
        <v>185</v>
      </c>
      <c r="G2288" s="8" t="s">
        <v>184</v>
      </c>
      <c r="H2288" s="8" t="s">
        <v>186</v>
      </c>
      <c r="I2288" s="18" t="s">
        <v>2621</v>
      </c>
      <c r="J2288" s="16">
        <v>82.0</v>
      </c>
      <c r="K2288" s="8" t="s">
        <v>1317</v>
      </c>
      <c r="L2288" s="8" t="s">
        <v>3021</v>
      </c>
      <c r="M2288" s="18" t="s">
        <v>2595</v>
      </c>
      <c r="N2288" s="16">
        <v>90.0</v>
      </c>
      <c r="O2288" s="8" t="s">
        <v>6232</v>
      </c>
      <c r="P2288" s="8" t="s">
        <v>141</v>
      </c>
      <c r="Q2288" s="14" t="s">
        <v>631</v>
      </c>
      <c r="R2288" s="8" t="s">
        <v>2585</v>
      </c>
      <c r="S2288" s="14" t="s">
        <v>2591</v>
      </c>
    </row>
    <row r="2289">
      <c r="A2289" s="8" t="s">
        <v>619</v>
      </c>
      <c r="B2289" s="8" t="s">
        <v>3901</v>
      </c>
      <c r="C2289" s="8" t="s">
        <v>122</v>
      </c>
      <c r="D2289" s="18" t="s">
        <v>2562</v>
      </c>
      <c r="E2289" s="16">
        <v>84.0</v>
      </c>
      <c r="F2289" s="8" t="s">
        <v>791</v>
      </c>
      <c r="G2289" s="8" t="s">
        <v>790</v>
      </c>
      <c r="H2289" s="8" t="s">
        <v>141</v>
      </c>
      <c r="I2289" s="18" t="s">
        <v>2566</v>
      </c>
      <c r="J2289" s="16">
        <v>86.0</v>
      </c>
      <c r="K2289" s="8" t="s">
        <v>1990</v>
      </c>
      <c r="L2289" s="8" t="s">
        <v>1989</v>
      </c>
      <c r="M2289" s="18" t="s">
        <v>2587</v>
      </c>
      <c r="N2289" s="16">
        <v>73.0</v>
      </c>
      <c r="O2289" s="8" t="s">
        <v>6233</v>
      </c>
      <c r="P2289" s="8" t="s">
        <v>53</v>
      </c>
      <c r="Q2289" s="14" t="s">
        <v>459</v>
      </c>
      <c r="R2289" s="8" t="s">
        <v>2562</v>
      </c>
      <c r="S2289" s="14" t="s">
        <v>2578</v>
      </c>
    </row>
    <row r="2290">
      <c r="A2290" s="8" t="s">
        <v>619</v>
      </c>
      <c r="B2290" s="8" t="s">
        <v>78</v>
      </c>
      <c r="C2290" s="8" t="s">
        <v>186</v>
      </c>
      <c r="D2290" s="18" t="s">
        <v>2577</v>
      </c>
      <c r="E2290" s="16">
        <v>73.0</v>
      </c>
      <c r="F2290" s="8" t="s">
        <v>587</v>
      </c>
      <c r="G2290" s="8" t="s">
        <v>586</v>
      </c>
      <c r="H2290" s="8" t="s">
        <v>59</v>
      </c>
      <c r="I2290" s="18" t="s">
        <v>2562</v>
      </c>
      <c r="J2290" s="16">
        <v>87.0</v>
      </c>
      <c r="K2290" s="8" t="s">
        <v>1201</v>
      </c>
      <c r="L2290" s="8" t="s">
        <v>1200</v>
      </c>
      <c r="M2290" s="18" t="s">
        <v>2581</v>
      </c>
      <c r="N2290" s="16">
        <v>75.0</v>
      </c>
      <c r="O2290" s="8" t="s">
        <v>6234</v>
      </c>
      <c r="P2290" s="8" t="s">
        <v>12</v>
      </c>
      <c r="Q2290" s="14" t="s">
        <v>1352</v>
      </c>
      <c r="R2290" s="8" t="s">
        <v>2595</v>
      </c>
      <c r="S2290" s="14" t="s">
        <v>2590</v>
      </c>
    </row>
    <row r="2291">
      <c r="A2291" s="8" t="s">
        <v>1640</v>
      </c>
      <c r="B2291" s="8" t="s">
        <v>208</v>
      </c>
      <c r="C2291" s="8" t="s">
        <v>65</v>
      </c>
      <c r="D2291" s="18" t="s">
        <v>2592</v>
      </c>
      <c r="E2291" s="16">
        <v>82.0</v>
      </c>
      <c r="F2291" s="8" t="s">
        <v>1519</v>
      </c>
      <c r="G2291" s="8" t="s">
        <v>1518</v>
      </c>
      <c r="H2291" s="8" t="s">
        <v>12</v>
      </c>
      <c r="I2291" s="18" t="s">
        <v>2595</v>
      </c>
      <c r="J2291" s="16">
        <v>79.0</v>
      </c>
      <c r="K2291" s="8" t="s">
        <v>596</v>
      </c>
      <c r="L2291" s="8" t="s">
        <v>78</v>
      </c>
      <c r="M2291" s="18" t="s">
        <v>2183</v>
      </c>
      <c r="N2291" s="16">
        <v>76.0</v>
      </c>
      <c r="O2291" s="8" t="s">
        <v>6235</v>
      </c>
      <c r="P2291" s="8" t="s">
        <v>75</v>
      </c>
      <c r="Q2291" s="14" t="s">
        <v>2296</v>
      </c>
      <c r="R2291" s="8" t="s">
        <v>2595</v>
      </c>
      <c r="S2291" s="14" t="s">
        <v>2609</v>
      </c>
    </row>
    <row r="2292">
      <c r="A2292" s="8" t="s">
        <v>1640</v>
      </c>
      <c r="B2292" s="8" t="s">
        <v>3013</v>
      </c>
      <c r="C2292" s="8" t="s">
        <v>186</v>
      </c>
      <c r="D2292" s="18" t="s">
        <v>2610</v>
      </c>
      <c r="E2292" s="16">
        <v>75.0</v>
      </c>
      <c r="F2292" s="8" t="s">
        <v>1046</v>
      </c>
      <c r="G2292" s="8" t="s">
        <v>3177</v>
      </c>
      <c r="H2292" s="8" t="s">
        <v>80</v>
      </c>
      <c r="I2292" s="18" t="s">
        <v>2582</v>
      </c>
      <c r="J2292" s="16">
        <v>77.0</v>
      </c>
      <c r="K2292" s="8" t="s">
        <v>596</v>
      </c>
      <c r="L2292" s="8" t="s">
        <v>6236</v>
      </c>
      <c r="M2292" s="18" t="s">
        <v>2621</v>
      </c>
      <c r="N2292" s="16">
        <v>71.0</v>
      </c>
      <c r="O2292" s="8" t="s">
        <v>6237</v>
      </c>
      <c r="P2292" s="8" t="s">
        <v>24</v>
      </c>
      <c r="Q2292" s="14" t="s">
        <v>2033</v>
      </c>
      <c r="R2292" s="8" t="s">
        <v>2603</v>
      </c>
      <c r="S2292" s="14" t="s">
        <v>2602</v>
      </c>
    </row>
    <row r="2293">
      <c r="A2293" s="8" t="s">
        <v>1640</v>
      </c>
      <c r="B2293" s="8" t="s">
        <v>1655</v>
      </c>
      <c r="C2293" s="8" t="s">
        <v>122</v>
      </c>
      <c r="D2293" s="18" t="s">
        <v>2600</v>
      </c>
      <c r="E2293" s="16">
        <v>67.0</v>
      </c>
      <c r="F2293" s="8" t="s">
        <v>1046</v>
      </c>
      <c r="G2293" s="8" t="s">
        <v>61</v>
      </c>
      <c r="H2293" s="8" t="s">
        <v>93</v>
      </c>
      <c r="I2293" s="18" t="s">
        <v>2585</v>
      </c>
      <c r="J2293" s="16">
        <v>70.0</v>
      </c>
      <c r="K2293" s="8" t="s">
        <v>596</v>
      </c>
      <c r="L2293" s="8" t="s">
        <v>233</v>
      </c>
      <c r="M2293" s="18" t="s">
        <v>2614</v>
      </c>
      <c r="N2293" s="16">
        <v>77.0</v>
      </c>
      <c r="O2293" s="8" t="s">
        <v>6238</v>
      </c>
      <c r="P2293" s="8" t="s">
        <v>65</v>
      </c>
      <c r="Q2293" s="14" t="s">
        <v>1352</v>
      </c>
      <c r="R2293" s="8" t="s">
        <v>2562</v>
      </c>
      <c r="S2293" s="14" t="s">
        <v>2588</v>
      </c>
    </row>
    <row r="2294">
      <c r="A2294" s="8" t="s">
        <v>257</v>
      </c>
      <c r="B2294" s="8" t="s">
        <v>256</v>
      </c>
      <c r="C2294" s="8" t="s">
        <v>138</v>
      </c>
      <c r="D2294" s="18" t="s">
        <v>2564</v>
      </c>
      <c r="E2294" s="16">
        <v>79.0</v>
      </c>
      <c r="F2294" s="8" t="s">
        <v>1046</v>
      </c>
      <c r="G2294" s="8" t="s">
        <v>2796</v>
      </c>
      <c r="H2294" s="8" t="s">
        <v>65</v>
      </c>
      <c r="I2294" s="18" t="s">
        <v>2562</v>
      </c>
      <c r="J2294" s="16">
        <v>76.0</v>
      </c>
      <c r="K2294" s="8" t="s">
        <v>596</v>
      </c>
      <c r="L2294" s="8" t="s">
        <v>2030</v>
      </c>
      <c r="M2294" s="18" t="s">
        <v>2587</v>
      </c>
      <c r="N2294" s="16">
        <v>63.0</v>
      </c>
      <c r="O2294" s="8" t="s">
        <v>6239</v>
      </c>
      <c r="P2294" s="8" t="s">
        <v>16</v>
      </c>
      <c r="Q2294" s="14" t="s">
        <v>1679</v>
      </c>
      <c r="R2294" s="8" t="s">
        <v>2574</v>
      </c>
      <c r="S2294" s="14" t="s">
        <v>2563</v>
      </c>
    </row>
    <row r="2295">
      <c r="A2295" s="8" t="s">
        <v>2980</v>
      </c>
      <c r="B2295" s="8" t="s">
        <v>2979</v>
      </c>
      <c r="C2295" s="8" t="s">
        <v>46</v>
      </c>
      <c r="D2295" s="18" t="s">
        <v>2581</v>
      </c>
      <c r="E2295" s="16">
        <v>65.0</v>
      </c>
      <c r="F2295" s="8" t="s">
        <v>1046</v>
      </c>
      <c r="G2295" s="8" t="s">
        <v>1984</v>
      </c>
      <c r="H2295" s="8" t="s">
        <v>122</v>
      </c>
      <c r="I2295" s="18" t="s">
        <v>2552</v>
      </c>
      <c r="J2295" s="16">
        <v>70.0</v>
      </c>
      <c r="K2295" s="8" t="s">
        <v>596</v>
      </c>
      <c r="L2295" s="8" t="s">
        <v>1178</v>
      </c>
      <c r="M2295" s="18" t="s">
        <v>2577</v>
      </c>
      <c r="N2295" s="16">
        <v>72.0</v>
      </c>
      <c r="O2295" s="8" t="s">
        <v>6240</v>
      </c>
      <c r="P2295" s="8" t="s">
        <v>80</v>
      </c>
      <c r="Q2295" s="14" t="s">
        <v>2033</v>
      </c>
      <c r="R2295" s="8" t="s">
        <v>2554</v>
      </c>
      <c r="S2295" s="14" t="s">
        <v>2568</v>
      </c>
    </row>
    <row r="2296">
      <c r="A2296" s="8" t="s">
        <v>270</v>
      </c>
      <c r="B2296" s="8" t="s">
        <v>268</v>
      </c>
      <c r="C2296" s="8" t="s">
        <v>24</v>
      </c>
      <c r="D2296" s="18" t="s">
        <v>2620</v>
      </c>
      <c r="E2296" s="16">
        <v>79.0</v>
      </c>
      <c r="F2296" s="8" t="s">
        <v>1046</v>
      </c>
      <c r="G2296" s="8" t="s">
        <v>3203</v>
      </c>
      <c r="H2296" s="8" t="s">
        <v>215</v>
      </c>
      <c r="I2296" s="18" t="s">
        <v>2610</v>
      </c>
      <c r="J2296" s="16">
        <v>70.0</v>
      </c>
      <c r="K2296" s="8" t="s">
        <v>596</v>
      </c>
      <c r="L2296" s="8" t="s">
        <v>500</v>
      </c>
      <c r="M2296" s="18" t="s">
        <v>2560</v>
      </c>
      <c r="N2296" s="16">
        <v>70.0</v>
      </c>
      <c r="O2296" s="8" t="s">
        <v>6241</v>
      </c>
      <c r="P2296" s="8" t="s">
        <v>75</v>
      </c>
      <c r="Q2296" s="14" t="s">
        <v>2033</v>
      </c>
      <c r="R2296" s="8" t="s">
        <v>2566</v>
      </c>
      <c r="S2296" s="14" t="s">
        <v>2590</v>
      </c>
    </row>
    <row r="2297">
      <c r="A2297" s="8" t="s">
        <v>265</v>
      </c>
      <c r="B2297" s="8" t="s">
        <v>264</v>
      </c>
      <c r="C2297" s="8" t="s">
        <v>132</v>
      </c>
      <c r="D2297" s="18" t="s">
        <v>2575</v>
      </c>
      <c r="E2297" s="16">
        <v>74.0</v>
      </c>
      <c r="F2297" s="8" t="s">
        <v>1046</v>
      </c>
      <c r="G2297" s="8" t="s">
        <v>1297</v>
      </c>
      <c r="H2297" s="8" t="s">
        <v>93</v>
      </c>
      <c r="I2297" s="18" t="s">
        <v>2585</v>
      </c>
      <c r="J2297" s="16">
        <v>67.0</v>
      </c>
      <c r="K2297" s="8" t="s">
        <v>596</v>
      </c>
      <c r="L2297" s="8" t="s">
        <v>595</v>
      </c>
      <c r="M2297" s="18" t="s">
        <v>2552</v>
      </c>
      <c r="N2297" s="16">
        <v>88.0</v>
      </c>
      <c r="O2297" s="8" t="s">
        <v>6242</v>
      </c>
      <c r="P2297" s="8" t="s">
        <v>149</v>
      </c>
      <c r="Q2297" s="14" t="s">
        <v>1352</v>
      </c>
      <c r="R2297" s="18" t="s">
        <v>2589</v>
      </c>
      <c r="S2297" s="14" t="s">
        <v>2570</v>
      </c>
    </row>
    <row r="2298">
      <c r="A2298" s="8" t="s">
        <v>403</v>
      </c>
      <c r="B2298" s="8" t="s">
        <v>402</v>
      </c>
      <c r="C2298" s="8" t="s">
        <v>53</v>
      </c>
      <c r="D2298" s="18" t="s">
        <v>2620</v>
      </c>
      <c r="E2298" s="16">
        <v>99.0</v>
      </c>
      <c r="F2298" s="8" t="s">
        <v>1046</v>
      </c>
      <c r="G2298" s="8" t="s">
        <v>1045</v>
      </c>
      <c r="H2298" s="8" t="s">
        <v>24</v>
      </c>
      <c r="I2298" s="18" t="s">
        <v>2566</v>
      </c>
      <c r="J2298" s="16">
        <v>75.0</v>
      </c>
      <c r="K2298" s="8" t="s">
        <v>1920</v>
      </c>
      <c r="L2298" s="8" t="s">
        <v>1919</v>
      </c>
      <c r="M2298" s="18" t="s">
        <v>2584</v>
      </c>
      <c r="N2298" s="16">
        <v>81.0</v>
      </c>
      <c r="O2298" s="8" t="s">
        <v>6243</v>
      </c>
      <c r="P2298" s="8" t="s">
        <v>192</v>
      </c>
      <c r="Q2298" s="14" t="s">
        <v>1352</v>
      </c>
      <c r="R2298" s="8" t="s">
        <v>2620</v>
      </c>
      <c r="S2298" s="14" t="s">
        <v>2601</v>
      </c>
    </row>
    <row r="2299">
      <c r="A2299" s="8" t="s">
        <v>1694</v>
      </c>
      <c r="B2299" s="8" t="s">
        <v>646</v>
      </c>
      <c r="C2299" s="8" t="s">
        <v>80</v>
      </c>
      <c r="D2299" s="18" t="s">
        <v>2595</v>
      </c>
      <c r="E2299" s="16">
        <v>71.0</v>
      </c>
      <c r="F2299" s="8" t="s">
        <v>1046</v>
      </c>
      <c r="G2299" s="8" t="s">
        <v>1564</v>
      </c>
      <c r="H2299" s="8" t="s">
        <v>192</v>
      </c>
      <c r="I2299" s="18" t="s">
        <v>2620</v>
      </c>
      <c r="J2299" s="16">
        <v>69.0</v>
      </c>
      <c r="K2299" s="8" t="s">
        <v>6244</v>
      </c>
      <c r="L2299" s="8" t="s">
        <v>99</v>
      </c>
      <c r="M2299" s="18" t="s">
        <v>2575</v>
      </c>
      <c r="N2299" s="16">
        <v>70.0</v>
      </c>
      <c r="O2299" s="8" t="s">
        <v>6245</v>
      </c>
      <c r="P2299" s="8" t="s">
        <v>93</v>
      </c>
      <c r="Q2299" s="14" t="s">
        <v>1352</v>
      </c>
      <c r="R2299" s="8" t="s">
        <v>2558</v>
      </c>
      <c r="S2299" s="14" t="s">
        <v>2555</v>
      </c>
    </row>
    <row r="2300">
      <c r="A2300" s="8" t="s">
        <v>2759</v>
      </c>
      <c r="B2300" s="8" t="s">
        <v>61</v>
      </c>
      <c r="C2300" s="8" t="s">
        <v>93</v>
      </c>
      <c r="D2300" s="18" t="s">
        <v>2567</v>
      </c>
      <c r="E2300" s="16">
        <v>91.0</v>
      </c>
      <c r="F2300" s="8" t="s">
        <v>1046</v>
      </c>
      <c r="G2300" s="8" t="s">
        <v>1476</v>
      </c>
      <c r="H2300" s="8" t="s">
        <v>46</v>
      </c>
      <c r="I2300" s="18" t="s">
        <v>2589</v>
      </c>
      <c r="J2300" s="16">
        <v>68.0</v>
      </c>
      <c r="K2300" s="8" t="s">
        <v>480</v>
      </c>
      <c r="L2300" s="8" t="s">
        <v>563</v>
      </c>
      <c r="M2300" s="18" t="s">
        <v>2620</v>
      </c>
      <c r="N2300" s="16">
        <v>73.0</v>
      </c>
      <c r="O2300" s="8" t="s">
        <v>6246</v>
      </c>
      <c r="P2300" s="8" t="s">
        <v>149</v>
      </c>
      <c r="Q2300" s="14" t="s">
        <v>2033</v>
      </c>
      <c r="R2300" s="8" t="s">
        <v>2584</v>
      </c>
      <c r="S2300" s="14" t="s">
        <v>2618</v>
      </c>
    </row>
    <row r="2301">
      <c r="A2301" s="8" t="s">
        <v>1152</v>
      </c>
      <c r="B2301" s="8" t="s">
        <v>1151</v>
      </c>
      <c r="C2301" s="8" t="s">
        <v>53</v>
      </c>
      <c r="D2301" s="18" t="s">
        <v>2620</v>
      </c>
      <c r="E2301" s="16">
        <v>57.0</v>
      </c>
      <c r="F2301" s="8" t="s">
        <v>1046</v>
      </c>
      <c r="G2301" s="8" t="s">
        <v>358</v>
      </c>
      <c r="H2301" s="8" t="s">
        <v>186</v>
      </c>
      <c r="I2301" s="18" t="s">
        <v>2582</v>
      </c>
      <c r="J2301" s="16">
        <v>75.0</v>
      </c>
      <c r="K2301" s="8" t="s">
        <v>480</v>
      </c>
      <c r="L2301" s="8" t="s">
        <v>1037</v>
      </c>
      <c r="M2301" s="18" t="s">
        <v>2581</v>
      </c>
      <c r="N2301" s="16">
        <v>69.0</v>
      </c>
      <c r="O2301" s="8" t="s">
        <v>6247</v>
      </c>
      <c r="P2301" s="8" t="s">
        <v>24</v>
      </c>
      <c r="Q2301" s="14" t="s">
        <v>837</v>
      </c>
      <c r="R2301" s="8" t="s">
        <v>2564</v>
      </c>
      <c r="S2301" s="14" t="s">
        <v>2553</v>
      </c>
    </row>
    <row r="2302">
      <c r="A2302" s="8" t="s">
        <v>658</v>
      </c>
      <c r="B2302" s="8" t="s">
        <v>657</v>
      </c>
      <c r="C2302" s="8" t="s">
        <v>59</v>
      </c>
      <c r="D2302" s="18" t="s">
        <v>2610</v>
      </c>
      <c r="E2302" s="16">
        <v>88.0</v>
      </c>
      <c r="F2302" s="8" t="s">
        <v>692</v>
      </c>
      <c r="G2302" s="8" t="s">
        <v>691</v>
      </c>
      <c r="H2302" s="8" t="s">
        <v>138</v>
      </c>
      <c r="I2302" s="18" t="s">
        <v>2592</v>
      </c>
      <c r="J2302" s="16">
        <v>76.0</v>
      </c>
      <c r="K2302" s="8" t="s">
        <v>480</v>
      </c>
      <c r="L2302" s="8" t="s">
        <v>1327</v>
      </c>
      <c r="M2302" s="18" t="s">
        <v>2582</v>
      </c>
      <c r="N2302" s="16">
        <v>75.0</v>
      </c>
      <c r="O2302" s="8" t="s">
        <v>6248</v>
      </c>
      <c r="P2302" s="8" t="s">
        <v>138</v>
      </c>
      <c r="Q2302" s="14" t="s">
        <v>631</v>
      </c>
      <c r="R2302" s="8" t="s">
        <v>2592</v>
      </c>
      <c r="S2302" s="14" t="s">
        <v>2591</v>
      </c>
    </row>
    <row r="2303">
      <c r="A2303" s="8" t="s">
        <v>1328</v>
      </c>
      <c r="B2303" s="8" t="s">
        <v>3271</v>
      </c>
      <c r="C2303" s="8" t="s">
        <v>138</v>
      </c>
      <c r="D2303" s="18" t="s">
        <v>2554</v>
      </c>
      <c r="E2303" s="16">
        <v>74.0</v>
      </c>
      <c r="F2303" s="8" t="s">
        <v>692</v>
      </c>
      <c r="G2303" s="8" t="s">
        <v>3315</v>
      </c>
      <c r="H2303" s="8" t="s">
        <v>93</v>
      </c>
      <c r="I2303" s="18" t="s">
        <v>2610</v>
      </c>
      <c r="J2303" s="16">
        <v>73.0</v>
      </c>
      <c r="K2303" s="8" t="s">
        <v>480</v>
      </c>
      <c r="L2303" s="8" t="s">
        <v>1348</v>
      </c>
      <c r="M2303" s="18" t="s">
        <v>2554</v>
      </c>
      <c r="N2303" s="16">
        <v>72.0</v>
      </c>
      <c r="O2303" s="8" t="s">
        <v>6249</v>
      </c>
      <c r="P2303" s="8" t="s">
        <v>93</v>
      </c>
      <c r="Q2303" s="14" t="s">
        <v>1070</v>
      </c>
      <c r="R2303" s="8" t="s">
        <v>2610</v>
      </c>
      <c r="S2303" s="14" t="s">
        <v>2611</v>
      </c>
    </row>
    <row r="2304">
      <c r="A2304" s="8" t="s">
        <v>633</v>
      </c>
      <c r="B2304" s="8" t="s">
        <v>632</v>
      </c>
      <c r="C2304" s="8" t="s">
        <v>80</v>
      </c>
      <c r="D2304" s="18" t="s">
        <v>2581</v>
      </c>
      <c r="E2304" s="16">
        <v>71.0</v>
      </c>
      <c r="F2304" s="8" t="s">
        <v>692</v>
      </c>
      <c r="G2304" s="8" t="s">
        <v>1453</v>
      </c>
      <c r="H2304" s="8" t="s">
        <v>93</v>
      </c>
      <c r="I2304" s="18" t="s">
        <v>2577</v>
      </c>
      <c r="J2304" s="16">
        <v>84.0</v>
      </c>
      <c r="K2304" s="8" t="s">
        <v>480</v>
      </c>
      <c r="L2304" s="8" t="s">
        <v>678</v>
      </c>
      <c r="M2304" s="18" t="s">
        <v>2564</v>
      </c>
      <c r="N2304" s="16">
        <v>84.0</v>
      </c>
      <c r="O2304" s="8" t="s">
        <v>6250</v>
      </c>
      <c r="P2304" s="8" t="s">
        <v>149</v>
      </c>
      <c r="Q2304" s="14" t="s">
        <v>2296</v>
      </c>
      <c r="R2304" s="18" t="s">
        <v>2589</v>
      </c>
      <c r="S2304" s="14" t="s">
        <v>2618</v>
      </c>
    </row>
    <row r="2305">
      <c r="A2305" s="8" t="s">
        <v>3399</v>
      </c>
      <c r="B2305" s="8" t="s">
        <v>2220</v>
      </c>
      <c r="C2305" s="8" t="s">
        <v>65</v>
      </c>
      <c r="D2305" s="18" t="s">
        <v>2587</v>
      </c>
      <c r="E2305" s="16">
        <v>60.0</v>
      </c>
      <c r="F2305" s="8" t="s">
        <v>692</v>
      </c>
      <c r="G2305" s="8" t="s">
        <v>2839</v>
      </c>
      <c r="H2305" s="8" t="s">
        <v>215</v>
      </c>
      <c r="I2305" s="18" t="s">
        <v>2581</v>
      </c>
      <c r="J2305" s="16">
        <v>83.0</v>
      </c>
      <c r="K2305" s="8" t="s">
        <v>480</v>
      </c>
      <c r="L2305" s="8" t="s">
        <v>919</v>
      </c>
      <c r="M2305" s="18" t="s">
        <v>2562</v>
      </c>
      <c r="N2305" s="16">
        <v>79.0</v>
      </c>
      <c r="O2305" s="8" t="s">
        <v>6251</v>
      </c>
      <c r="P2305" s="8" t="s">
        <v>149</v>
      </c>
      <c r="Q2305" s="14" t="s">
        <v>1352</v>
      </c>
      <c r="R2305" s="8" t="s">
        <v>2585</v>
      </c>
      <c r="S2305" s="14" t="s">
        <v>2606</v>
      </c>
    </row>
    <row r="2306">
      <c r="A2306" s="8" t="s">
        <v>1618</v>
      </c>
      <c r="B2306" s="8" t="s">
        <v>1617</v>
      </c>
      <c r="C2306" s="8" t="s">
        <v>70</v>
      </c>
      <c r="D2306" s="18" t="s">
        <v>2564</v>
      </c>
      <c r="E2306" s="16">
        <v>70.0</v>
      </c>
      <c r="F2306" s="8" t="s">
        <v>1317</v>
      </c>
      <c r="G2306" s="8" t="s">
        <v>637</v>
      </c>
      <c r="H2306" s="8" t="s">
        <v>138</v>
      </c>
      <c r="I2306" s="18" t="s">
        <v>2575</v>
      </c>
      <c r="J2306" s="16">
        <v>66.0</v>
      </c>
      <c r="K2306" s="8" t="s">
        <v>480</v>
      </c>
      <c r="L2306" s="8" t="s">
        <v>502</v>
      </c>
      <c r="M2306" s="18" t="s">
        <v>2562</v>
      </c>
      <c r="N2306" s="16">
        <v>80.0</v>
      </c>
      <c r="O2306" s="8" t="s">
        <v>6252</v>
      </c>
      <c r="P2306" s="8" t="s">
        <v>215</v>
      </c>
      <c r="Q2306" s="14" t="s">
        <v>1352</v>
      </c>
      <c r="R2306" s="8" t="s">
        <v>2575</v>
      </c>
      <c r="S2306" s="14" t="s">
        <v>2601</v>
      </c>
    </row>
    <row r="2307">
      <c r="A2307" s="8" t="s">
        <v>542</v>
      </c>
      <c r="B2307" s="8" t="s">
        <v>541</v>
      </c>
      <c r="C2307" s="8" t="s">
        <v>215</v>
      </c>
      <c r="D2307" s="18" t="s">
        <v>2574</v>
      </c>
      <c r="E2307" s="16">
        <v>70.0</v>
      </c>
      <c r="F2307" s="8" t="s">
        <v>1317</v>
      </c>
      <c r="G2307" s="8" t="s">
        <v>1373</v>
      </c>
      <c r="H2307" s="8" t="s">
        <v>132</v>
      </c>
      <c r="I2307" s="18" t="s">
        <v>2552</v>
      </c>
      <c r="J2307" s="16">
        <v>69.0</v>
      </c>
      <c r="K2307" s="8" t="s">
        <v>480</v>
      </c>
      <c r="L2307" s="8" t="s">
        <v>1934</v>
      </c>
      <c r="M2307" s="18" t="s">
        <v>2645</v>
      </c>
      <c r="N2307" s="16">
        <v>67.0</v>
      </c>
      <c r="O2307" s="8" t="s">
        <v>6253</v>
      </c>
      <c r="P2307" s="8" t="s">
        <v>65</v>
      </c>
      <c r="Q2307" s="14" t="s">
        <v>1070</v>
      </c>
      <c r="R2307" s="8" t="s">
        <v>2575</v>
      </c>
      <c r="S2307" s="14" t="s">
        <v>2586</v>
      </c>
    </row>
    <row r="2308">
      <c r="A2308" s="8" t="s">
        <v>542</v>
      </c>
      <c r="B2308" s="8" t="s">
        <v>3424</v>
      </c>
      <c r="C2308" s="8" t="s">
        <v>24</v>
      </c>
      <c r="D2308" s="18" t="s">
        <v>2560</v>
      </c>
      <c r="E2308" s="16">
        <v>62.0</v>
      </c>
      <c r="F2308" s="8" t="s">
        <v>1317</v>
      </c>
      <c r="G2308" s="8" t="s">
        <v>3064</v>
      </c>
      <c r="H2308" s="8" t="s">
        <v>65</v>
      </c>
      <c r="I2308" s="18" t="s">
        <v>2595</v>
      </c>
      <c r="J2308" s="16">
        <v>81.0</v>
      </c>
      <c r="K2308" s="8" t="s">
        <v>480</v>
      </c>
      <c r="L2308" s="8" t="s">
        <v>1366</v>
      </c>
      <c r="M2308" s="18" t="s">
        <v>2574</v>
      </c>
      <c r="N2308" s="16">
        <v>60.0</v>
      </c>
      <c r="O2308" s="8" t="s">
        <v>6254</v>
      </c>
      <c r="P2308" s="8" t="s">
        <v>122</v>
      </c>
      <c r="Q2308" s="14" t="s">
        <v>1070</v>
      </c>
      <c r="R2308" s="8" t="s">
        <v>2574</v>
      </c>
      <c r="S2308" s="14" t="s">
        <v>2555</v>
      </c>
    </row>
    <row r="2309">
      <c r="A2309" s="8" t="s">
        <v>542</v>
      </c>
      <c r="B2309" s="8" t="s">
        <v>1602</v>
      </c>
      <c r="C2309" s="8" t="s">
        <v>75</v>
      </c>
      <c r="D2309" s="18" t="s">
        <v>2598</v>
      </c>
      <c r="E2309" s="16">
        <v>64.0</v>
      </c>
      <c r="F2309" s="8" t="s">
        <v>1317</v>
      </c>
      <c r="G2309" s="8" t="s">
        <v>1675</v>
      </c>
      <c r="H2309" s="8" t="s">
        <v>59</v>
      </c>
      <c r="I2309" s="18" t="s">
        <v>2605</v>
      </c>
      <c r="J2309" s="16">
        <v>79.0</v>
      </c>
      <c r="K2309" s="8" t="s">
        <v>480</v>
      </c>
      <c r="L2309" s="8" t="s">
        <v>573</v>
      </c>
      <c r="M2309" s="18" t="s">
        <v>2595</v>
      </c>
      <c r="N2309" s="16">
        <v>79.0</v>
      </c>
      <c r="O2309" s="8" t="s">
        <v>6255</v>
      </c>
      <c r="P2309" s="8" t="s">
        <v>138</v>
      </c>
      <c r="Q2309" s="14" t="s">
        <v>2296</v>
      </c>
      <c r="R2309" s="8" t="s">
        <v>2615</v>
      </c>
      <c r="S2309" s="14" t="s">
        <v>2576</v>
      </c>
    </row>
    <row r="2310">
      <c r="A2310" s="8" t="s">
        <v>185</v>
      </c>
      <c r="B2310" s="8" t="s">
        <v>389</v>
      </c>
      <c r="C2310" s="8" t="s">
        <v>141</v>
      </c>
      <c r="D2310" s="18" t="s">
        <v>2560</v>
      </c>
      <c r="E2310" s="16">
        <v>70.0</v>
      </c>
      <c r="F2310" s="8" t="s">
        <v>1182</v>
      </c>
      <c r="G2310" s="8" t="s">
        <v>1181</v>
      </c>
      <c r="H2310" s="8" t="s">
        <v>122</v>
      </c>
      <c r="I2310" s="18" t="s">
        <v>2600</v>
      </c>
      <c r="J2310" s="16">
        <v>65.0</v>
      </c>
      <c r="K2310" s="8" t="s">
        <v>480</v>
      </c>
      <c r="L2310" s="8" t="s">
        <v>1264</v>
      </c>
      <c r="M2310" s="18" t="s">
        <v>2574</v>
      </c>
      <c r="N2310" s="16">
        <v>67.0</v>
      </c>
      <c r="O2310" s="8" t="s">
        <v>6256</v>
      </c>
      <c r="P2310" s="8" t="s">
        <v>132</v>
      </c>
      <c r="Q2310" s="14" t="s">
        <v>1679</v>
      </c>
      <c r="R2310" s="8" t="s">
        <v>2587</v>
      </c>
      <c r="S2310" s="14" t="s">
        <v>2591</v>
      </c>
    </row>
    <row r="2311">
      <c r="A2311" s="8" t="s">
        <v>185</v>
      </c>
      <c r="B2311" s="8" t="s">
        <v>184</v>
      </c>
      <c r="C2311" s="8" t="s">
        <v>186</v>
      </c>
      <c r="D2311" s="18" t="s">
        <v>2621</v>
      </c>
      <c r="E2311" s="16">
        <v>87.0</v>
      </c>
      <c r="F2311" s="8" t="s">
        <v>1201</v>
      </c>
      <c r="G2311" s="8" t="s">
        <v>1200</v>
      </c>
      <c r="H2311" s="8" t="s">
        <v>93</v>
      </c>
      <c r="I2311" s="18" t="s">
        <v>2581</v>
      </c>
      <c r="J2311" s="16">
        <v>74.0</v>
      </c>
      <c r="K2311" s="8" t="s">
        <v>480</v>
      </c>
      <c r="L2311" s="8" t="s">
        <v>106</v>
      </c>
      <c r="M2311" s="18" t="s">
        <v>2582</v>
      </c>
      <c r="N2311" s="16">
        <v>83.0</v>
      </c>
      <c r="O2311" s="8" t="s">
        <v>6257</v>
      </c>
      <c r="P2311" s="8" t="s">
        <v>93</v>
      </c>
      <c r="Q2311" s="14" t="s">
        <v>1070</v>
      </c>
      <c r="R2311" s="8" t="s">
        <v>2581</v>
      </c>
      <c r="S2311" s="14" t="s">
        <v>2578</v>
      </c>
    </row>
    <row r="2312">
      <c r="A2312" s="8" t="s">
        <v>791</v>
      </c>
      <c r="B2312" s="8" t="s">
        <v>790</v>
      </c>
      <c r="C2312" s="8" t="s">
        <v>141</v>
      </c>
      <c r="D2312" s="18" t="s">
        <v>2566</v>
      </c>
      <c r="E2312" s="16">
        <v>88.0</v>
      </c>
      <c r="F2312" s="8" t="s">
        <v>596</v>
      </c>
      <c r="G2312" s="8" t="s">
        <v>78</v>
      </c>
      <c r="H2312" s="8" t="s">
        <v>122</v>
      </c>
      <c r="I2312" s="18" t="s">
        <v>2589</v>
      </c>
      <c r="J2312" s="16">
        <v>60.0</v>
      </c>
      <c r="K2312" s="8" t="s">
        <v>480</v>
      </c>
      <c r="L2312" s="8" t="s">
        <v>402</v>
      </c>
      <c r="M2312" s="18" t="s">
        <v>2605</v>
      </c>
      <c r="N2312" s="16">
        <v>82.0</v>
      </c>
      <c r="O2312" s="8" t="s">
        <v>6258</v>
      </c>
      <c r="P2312" s="8" t="s">
        <v>93</v>
      </c>
      <c r="Q2312" s="14" t="s">
        <v>2033</v>
      </c>
      <c r="R2312" s="8" t="s">
        <v>2562</v>
      </c>
      <c r="S2312" s="14" t="s">
        <v>2583</v>
      </c>
    </row>
    <row r="2313">
      <c r="A2313" s="8" t="s">
        <v>587</v>
      </c>
      <c r="B2313" s="8" t="s">
        <v>586</v>
      </c>
      <c r="C2313" s="8" t="s">
        <v>53</v>
      </c>
      <c r="D2313" s="18" t="s">
        <v>2562</v>
      </c>
      <c r="E2313" s="16">
        <v>88.0</v>
      </c>
      <c r="F2313" s="8" t="s">
        <v>596</v>
      </c>
      <c r="G2313" s="8" t="s">
        <v>595</v>
      </c>
      <c r="H2313" s="8" t="s">
        <v>93</v>
      </c>
      <c r="I2313" s="18" t="s">
        <v>2552</v>
      </c>
      <c r="J2313" s="16">
        <v>88.0</v>
      </c>
      <c r="K2313" s="8" t="s">
        <v>480</v>
      </c>
      <c r="L2313" s="8" t="s">
        <v>2243</v>
      </c>
      <c r="M2313" s="18" t="s">
        <v>2575</v>
      </c>
      <c r="N2313" s="16">
        <v>68.0</v>
      </c>
      <c r="O2313" s="8" t="s">
        <v>6259</v>
      </c>
      <c r="P2313" s="8" t="s">
        <v>24</v>
      </c>
      <c r="Q2313" s="14" t="s">
        <v>1070</v>
      </c>
      <c r="R2313" s="8" t="s">
        <v>2577</v>
      </c>
      <c r="S2313" s="14" t="s">
        <v>2622</v>
      </c>
    </row>
    <row r="2314">
      <c r="A2314" s="8" t="s">
        <v>1046</v>
      </c>
      <c r="B2314" s="8" t="s">
        <v>3177</v>
      </c>
      <c r="C2314" s="8" t="s">
        <v>93</v>
      </c>
      <c r="D2314" s="18" t="s">
        <v>2582</v>
      </c>
      <c r="E2314" s="16">
        <v>72.0</v>
      </c>
      <c r="F2314" s="8" t="s">
        <v>596</v>
      </c>
      <c r="G2314" s="8" t="s">
        <v>1178</v>
      </c>
      <c r="H2314" s="8" t="s">
        <v>24</v>
      </c>
      <c r="I2314" s="18" t="s">
        <v>2577</v>
      </c>
      <c r="J2314" s="16">
        <v>69.0</v>
      </c>
      <c r="K2314" s="8" t="s">
        <v>750</v>
      </c>
      <c r="L2314" s="8" t="s">
        <v>1960</v>
      </c>
      <c r="M2314" s="18" t="s">
        <v>2645</v>
      </c>
      <c r="N2314" s="16">
        <v>69.0</v>
      </c>
      <c r="O2314" s="8" t="s">
        <v>6260</v>
      </c>
      <c r="P2314" s="8" t="s">
        <v>93</v>
      </c>
      <c r="Q2314" s="14" t="s">
        <v>459</v>
      </c>
      <c r="R2314" s="8" t="s">
        <v>2552</v>
      </c>
      <c r="S2314" s="14" t="s">
        <v>2633</v>
      </c>
    </row>
    <row r="2315">
      <c r="A2315" s="8" t="s">
        <v>1046</v>
      </c>
      <c r="B2315" s="8" t="s">
        <v>3203</v>
      </c>
      <c r="C2315" s="8" t="s">
        <v>215</v>
      </c>
      <c r="D2315" s="18" t="s">
        <v>2610</v>
      </c>
      <c r="E2315" s="16">
        <v>67.0</v>
      </c>
      <c r="F2315" s="8" t="s">
        <v>596</v>
      </c>
      <c r="G2315" s="8" t="s">
        <v>500</v>
      </c>
      <c r="H2315" s="8" t="s">
        <v>122</v>
      </c>
      <c r="I2315" s="18" t="s">
        <v>2615</v>
      </c>
      <c r="J2315" s="16">
        <v>70.0</v>
      </c>
      <c r="K2315" s="8" t="s">
        <v>750</v>
      </c>
      <c r="L2315" s="8" t="s">
        <v>396</v>
      </c>
      <c r="M2315" s="18" t="s">
        <v>2614</v>
      </c>
      <c r="N2315" s="16">
        <v>88.0</v>
      </c>
      <c r="O2315" s="8" t="s">
        <v>6261</v>
      </c>
      <c r="P2315" s="8" t="s">
        <v>75</v>
      </c>
      <c r="Q2315" s="14" t="s">
        <v>631</v>
      </c>
      <c r="R2315" s="8" t="s">
        <v>2614</v>
      </c>
      <c r="S2315" s="14" t="s">
        <v>2622</v>
      </c>
    </row>
    <row r="2316">
      <c r="A2316" s="8" t="s">
        <v>1046</v>
      </c>
      <c r="B2316" s="8" t="s">
        <v>358</v>
      </c>
      <c r="C2316" s="8" t="s">
        <v>186</v>
      </c>
      <c r="D2316" s="18" t="s">
        <v>2582</v>
      </c>
      <c r="E2316" s="16">
        <v>70.0</v>
      </c>
      <c r="F2316" s="8" t="s">
        <v>596</v>
      </c>
      <c r="G2316" s="8" t="s">
        <v>233</v>
      </c>
      <c r="H2316" s="8" t="s">
        <v>192</v>
      </c>
      <c r="I2316" s="18" t="s">
        <v>2614</v>
      </c>
      <c r="J2316" s="16">
        <v>69.0</v>
      </c>
      <c r="K2316" s="8" t="s">
        <v>2102</v>
      </c>
      <c r="L2316" s="8" t="s">
        <v>636</v>
      </c>
      <c r="M2316" s="18" t="s">
        <v>2620</v>
      </c>
      <c r="N2316" s="16">
        <v>66.0</v>
      </c>
      <c r="O2316" s="8" t="s">
        <v>6262</v>
      </c>
      <c r="P2316" s="8" t="s">
        <v>122</v>
      </c>
      <c r="Q2316" s="14" t="s">
        <v>837</v>
      </c>
      <c r="R2316" s="8" t="s">
        <v>2183</v>
      </c>
      <c r="S2316" s="14" t="s">
        <v>2573</v>
      </c>
    </row>
    <row r="2317">
      <c r="A2317" s="8" t="s">
        <v>1046</v>
      </c>
      <c r="B2317" s="8" t="s">
        <v>61</v>
      </c>
      <c r="C2317" s="8" t="s">
        <v>93</v>
      </c>
      <c r="D2317" s="18" t="s">
        <v>2575</v>
      </c>
      <c r="E2317" s="16">
        <v>73.0</v>
      </c>
      <c r="F2317" s="8" t="s">
        <v>596</v>
      </c>
      <c r="G2317" s="8" t="s">
        <v>6236</v>
      </c>
      <c r="H2317" s="8" t="s">
        <v>75</v>
      </c>
      <c r="I2317" s="18" t="s">
        <v>2562</v>
      </c>
      <c r="J2317" s="16">
        <v>71.0</v>
      </c>
      <c r="K2317" s="8" t="s">
        <v>2102</v>
      </c>
      <c r="L2317" s="8" t="s">
        <v>1796</v>
      </c>
      <c r="M2317" s="18" t="s">
        <v>2567</v>
      </c>
      <c r="N2317" s="16">
        <v>69.0</v>
      </c>
      <c r="O2317" s="8" t="s">
        <v>6263</v>
      </c>
      <c r="P2317" s="8" t="s">
        <v>80</v>
      </c>
      <c r="Q2317" s="14" t="s">
        <v>1679</v>
      </c>
      <c r="R2317" s="8" t="s">
        <v>2614</v>
      </c>
      <c r="S2317" s="14" t="s">
        <v>2590</v>
      </c>
    </row>
    <row r="2318">
      <c r="A2318" s="8" t="s">
        <v>1046</v>
      </c>
      <c r="B2318" s="8" t="s">
        <v>2796</v>
      </c>
      <c r="C2318" s="8" t="s">
        <v>65</v>
      </c>
      <c r="D2318" s="18" t="s">
        <v>2562</v>
      </c>
      <c r="E2318" s="16">
        <v>74.0</v>
      </c>
      <c r="F2318" s="8" t="s">
        <v>1920</v>
      </c>
      <c r="G2318" s="8" t="s">
        <v>1919</v>
      </c>
      <c r="H2318" s="8" t="s">
        <v>138</v>
      </c>
      <c r="I2318" s="18" t="s">
        <v>2584</v>
      </c>
      <c r="J2318" s="16">
        <v>77.0</v>
      </c>
      <c r="K2318" s="8" t="s">
        <v>1814</v>
      </c>
      <c r="L2318" s="8" t="s">
        <v>1813</v>
      </c>
      <c r="M2318" s="18" t="s">
        <v>2615</v>
      </c>
      <c r="N2318" s="16">
        <v>77.0</v>
      </c>
      <c r="O2318" s="8" t="s">
        <v>6264</v>
      </c>
      <c r="P2318" s="8" t="s">
        <v>186</v>
      </c>
      <c r="Q2318" s="14" t="s">
        <v>1679</v>
      </c>
      <c r="R2318" s="8" t="s">
        <v>2562</v>
      </c>
      <c r="S2318" s="14" t="s">
        <v>2594</v>
      </c>
    </row>
    <row r="2319">
      <c r="A2319" s="8" t="s">
        <v>1046</v>
      </c>
      <c r="B2319" s="8" t="s">
        <v>389</v>
      </c>
      <c r="C2319" s="8" t="s">
        <v>261</v>
      </c>
      <c r="D2319" s="18" t="s">
        <v>2566</v>
      </c>
      <c r="E2319" s="16">
        <v>82.0</v>
      </c>
      <c r="F2319" s="8" t="s">
        <v>6244</v>
      </c>
      <c r="G2319" s="8" t="s">
        <v>99</v>
      </c>
      <c r="H2319" s="8" t="s">
        <v>59</v>
      </c>
      <c r="I2319" s="18" t="s">
        <v>2575</v>
      </c>
      <c r="J2319" s="16">
        <v>71.0</v>
      </c>
      <c r="K2319" s="8" t="s">
        <v>1856</v>
      </c>
      <c r="L2319" s="8" t="s">
        <v>284</v>
      </c>
      <c r="M2319" s="18" t="s">
        <v>2587</v>
      </c>
      <c r="N2319" s="16">
        <v>75.0</v>
      </c>
      <c r="O2319" s="8" t="s">
        <v>6265</v>
      </c>
      <c r="P2319" s="8" t="s">
        <v>215</v>
      </c>
      <c r="Q2319" s="14" t="s">
        <v>1679</v>
      </c>
      <c r="R2319" s="8" t="s">
        <v>2584</v>
      </c>
      <c r="S2319" s="14" t="s">
        <v>2611</v>
      </c>
    </row>
    <row r="2320">
      <c r="A2320" s="8" t="s">
        <v>1046</v>
      </c>
      <c r="B2320" s="8" t="s">
        <v>3773</v>
      </c>
      <c r="C2320" s="8" t="s">
        <v>38</v>
      </c>
      <c r="D2320" s="18" t="s">
        <v>2577</v>
      </c>
      <c r="E2320" s="16">
        <v>68.0</v>
      </c>
      <c r="F2320" s="8" t="s">
        <v>737</v>
      </c>
      <c r="G2320" s="8" t="s">
        <v>736</v>
      </c>
      <c r="H2320" s="8" t="s">
        <v>75</v>
      </c>
      <c r="I2320" s="18" t="s">
        <v>2552</v>
      </c>
      <c r="J2320" s="16">
        <v>62.0</v>
      </c>
      <c r="K2320" s="8" t="s">
        <v>2848</v>
      </c>
      <c r="L2320" s="8" t="s">
        <v>2135</v>
      </c>
      <c r="M2320" s="18" t="s">
        <v>2582</v>
      </c>
      <c r="N2320" s="16">
        <v>67.0</v>
      </c>
      <c r="O2320" s="8" t="s">
        <v>6266</v>
      </c>
      <c r="P2320" s="8" t="s">
        <v>46</v>
      </c>
      <c r="Q2320" s="14" t="s">
        <v>2296</v>
      </c>
      <c r="R2320" s="8" t="s">
        <v>2600</v>
      </c>
      <c r="S2320" s="14" t="s">
        <v>2594</v>
      </c>
    </row>
    <row r="2321">
      <c r="A2321" s="8" t="s">
        <v>1046</v>
      </c>
      <c r="B2321" s="8" t="s">
        <v>1564</v>
      </c>
      <c r="C2321" s="8" t="s">
        <v>192</v>
      </c>
      <c r="D2321" s="18" t="s">
        <v>2620</v>
      </c>
      <c r="E2321" s="16">
        <v>68.0</v>
      </c>
      <c r="F2321" s="8" t="s">
        <v>737</v>
      </c>
      <c r="G2321" s="8" t="s">
        <v>3238</v>
      </c>
      <c r="H2321" s="8" t="s">
        <v>16</v>
      </c>
      <c r="I2321" s="18" t="s">
        <v>2614</v>
      </c>
      <c r="J2321" s="16">
        <v>60.0</v>
      </c>
      <c r="K2321" s="8"/>
      <c r="L2321" s="8"/>
      <c r="M2321" s="8"/>
      <c r="N2321" s="16"/>
      <c r="O2321" s="8" t="s">
        <v>6267</v>
      </c>
      <c r="P2321" s="8" t="s">
        <v>149</v>
      </c>
      <c r="Q2321" s="14" t="s">
        <v>2033</v>
      </c>
      <c r="R2321" s="8" t="s">
        <v>2558</v>
      </c>
      <c r="S2321" s="14" t="s">
        <v>2618</v>
      </c>
    </row>
    <row r="2322">
      <c r="A2322" s="8" t="s">
        <v>1046</v>
      </c>
      <c r="B2322" s="8" t="s">
        <v>1297</v>
      </c>
      <c r="C2322" s="8" t="s">
        <v>93</v>
      </c>
      <c r="D2322" s="18" t="s">
        <v>2585</v>
      </c>
      <c r="E2322" s="16">
        <v>68.0</v>
      </c>
      <c r="F2322" s="8" t="s">
        <v>480</v>
      </c>
      <c r="G2322" s="8" t="s">
        <v>402</v>
      </c>
      <c r="H2322" s="8" t="s">
        <v>24</v>
      </c>
      <c r="I2322" s="18" t="s">
        <v>2605</v>
      </c>
      <c r="J2322" s="16">
        <v>86.0</v>
      </c>
      <c r="K2322" s="8"/>
      <c r="L2322" s="8"/>
      <c r="M2322" s="8"/>
      <c r="N2322" s="16"/>
      <c r="O2322" s="8" t="s">
        <v>6268</v>
      </c>
      <c r="P2322" s="8" t="s">
        <v>53</v>
      </c>
      <c r="Q2322" s="14" t="s">
        <v>1070</v>
      </c>
      <c r="R2322" s="8" t="s">
        <v>2558</v>
      </c>
      <c r="S2322" s="14" t="s">
        <v>2578</v>
      </c>
    </row>
    <row r="2323">
      <c r="A2323" s="8" t="s">
        <v>1046</v>
      </c>
      <c r="B2323" s="8" t="s">
        <v>1984</v>
      </c>
      <c r="C2323" s="8" t="s">
        <v>138</v>
      </c>
      <c r="D2323" s="18" t="s">
        <v>2605</v>
      </c>
      <c r="E2323" s="16">
        <v>65.0</v>
      </c>
      <c r="F2323" s="8" t="s">
        <v>480</v>
      </c>
      <c r="G2323" s="8" t="s">
        <v>563</v>
      </c>
      <c r="H2323" s="8" t="s">
        <v>138</v>
      </c>
      <c r="I2323" s="18" t="s">
        <v>2620</v>
      </c>
      <c r="J2323" s="16">
        <v>71.0</v>
      </c>
      <c r="K2323" s="8"/>
      <c r="L2323" s="8"/>
      <c r="M2323" s="8"/>
      <c r="N2323" s="16"/>
      <c r="O2323" s="8" t="s">
        <v>6269</v>
      </c>
      <c r="P2323" s="8" t="s">
        <v>132</v>
      </c>
      <c r="Q2323" s="14" t="s">
        <v>631</v>
      </c>
      <c r="R2323" s="8" t="s">
        <v>2582</v>
      </c>
      <c r="S2323" s="14" t="s">
        <v>2569</v>
      </c>
    </row>
    <row r="2324">
      <c r="A2324" s="8" t="s">
        <v>1046</v>
      </c>
      <c r="B2324" s="8" t="s">
        <v>1045</v>
      </c>
      <c r="C2324" s="8" t="s">
        <v>24</v>
      </c>
      <c r="D2324" s="18" t="s">
        <v>2566</v>
      </c>
      <c r="E2324" s="16">
        <v>72.0</v>
      </c>
      <c r="F2324" s="8" t="s">
        <v>480</v>
      </c>
      <c r="G2324" s="8" t="s">
        <v>1366</v>
      </c>
      <c r="H2324" s="8" t="s">
        <v>149</v>
      </c>
      <c r="I2324" s="18" t="s">
        <v>2567</v>
      </c>
      <c r="J2324" s="16">
        <v>71.0</v>
      </c>
      <c r="K2324" s="8"/>
      <c r="L2324" s="8"/>
      <c r="M2324" s="8"/>
      <c r="N2324" s="16"/>
      <c r="O2324" s="8" t="s">
        <v>6270</v>
      </c>
      <c r="P2324" s="8" t="s">
        <v>215</v>
      </c>
      <c r="Q2324" s="14" t="s">
        <v>2296</v>
      </c>
      <c r="R2324" s="18" t="s">
        <v>2589</v>
      </c>
      <c r="S2324" s="14" t="s">
        <v>2557</v>
      </c>
    </row>
    <row r="2325">
      <c r="A2325" s="8" t="s">
        <v>692</v>
      </c>
      <c r="B2325" s="8" t="s">
        <v>1453</v>
      </c>
      <c r="C2325" s="8" t="s">
        <v>93</v>
      </c>
      <c r="D2325" s="18" t="s">
        <v>2577</v>
      </c>
      <c r="E2325" s="16">
        <v>82.0</v>
      </c>
      <c r="F2325" s="8" t="s">
        <v>480</v>
      </c>
      <c r="G2325" s="8" t="s">
        <v>3213</v>
      </c>
      <c r="H2325" s="8" t="s">
        <v>24</v>
      </c>
      <c r="I2325" s="18" t="s">
        <v>2562</v>
      </c>
      <c r="J2325" s="16">
        <v>62.0</v>
      </c>
      <c r="K2325" s="8"/>
      <c r="L2325" s="8"/>
      <c r="M2325" s="8"/>
      <c r="N2325" s="16"/>
      <c r="O2325" s="8" t="s">
        <v>6271</v>
      </c>
      <c r="P2325" s="8" t="s">
        <v>149</v>
      </c>
      <c r="Q2325" s="14" t="s">
        <v>1352</v>
      </c>
      <c r="R2325" s="8" t="s">
        <v>2577</v>
      </c>
      <c r="S2325" s="14" t="s">
        <v>2609</v>
      </c>
    </row>
    <row r="2326">
      <c r="A2326" s="8" t="s">
        <v>692</v>
      </c>
      <c r="B2326" s="8" t="s">
        <v>691</v>
      </c>
      <c r="C2326" s="8" t="s">
        <v>215</v>
      </c>
      <c r="D2326" s="18" t="s">
        <v>2592</v>
      </c>
      <c r="E2326" s="16">
        <v>78.0</v>
      </c>
      <c r="F2326" s="8" t="s">
        <v>480</v>
      </c>
      <c r="G2326" s="8" t="s">
        <v>678</v>
      </c>
      <c r="H2326" s="8" t="s">
        <v>24</v>
      </c>
      <c r="I2326" s="18" t="s">
        <v>2564</v>
      </c>
      <c r="J2326" s="16">
        <v>85.0</v>
      </c>
      <c r="K2326" s="8"/>
      <c r="L2326" s="8"/>
      <c r="M2326" s="8"/>
      <c r="N2326" s="16"/>
      <c r="O2326" s="8" t="s">
        <v>6272</v>
      </c>
      <c r="P2326" s="8" t="s">
        <v>186</v>
      </c>
      <c r="Q2326" s="14" t="s">
        <v>459</v>
      </c>
      <c r="R2326" s="8" t="s">
        <v>2564</v>
      </c>
      <c r="S2326" s="14" t="s">
        <v>2599</v>
      </c>
    </row>
    <row r="2327">
      <c r="A2327" s="8" t="s">
        <v>692</v>
      </c>
      <c r="B2327" s="8" t="s">
        <v>2839</v>
      </c>
      <c r="C2327" s="8" t="s">
        <v>138</v>
      </c>
      <c r="D2327" s="18" t="s">
        <v>2593</v>
      </c>
      <c r="E2327" s="16">
        <v>85.0</v>
      </c>
      <c r="F2327" s="8" t="s">
        <v>480</v>
      </c>
      <c r="G2327" s="8" t="s">
        <v>1348</v>
      </c>
      <c r="H2327" s="8" t="s">
        <v>70</v>
      </c>
      <c r="I2327" s="18" t="s">
        <v>2554</v>
      </c>
      <c r="J2327" s="16">
        <v>74.0</v>
      </c>
      <c r="K2327" s="8"/>
      <c r="L2327" s="8"/>
      <c r="M2327" s="8"/>
      <c r="N2327" s="16"/>
      <c r="O2327" s="8" t="s">
        <v>6273</v>
      </c>
      <c r="P2327" s="8" t="s">
        <v>186</v>
      </c>
      <c r="Q2327" s="14" t="s">
        <v>1679</v>
      </c>
      <c r="R2327" s="8" t="s">
        <v>2562</v>
      </c>
      <c r="S2327" s="14" t="s">
        <v>2571</v>
      </c>
    </row>
    <row r="2328">
      <c r="A2328" s="8" t="s">
        <v>692</v>
      </c>
      <c r="B2328" s="8" t="s">
        <v>3315</v>
      </c>
      <c r="C2328" s="8" t="s">
        <v>93</v>
      </c>
      <c r="D2328" s="18" t="s">
        <v>2610</v>
      </c>
      <c r="E2328" s="16">
        <v>73.0</v>
      </c>
      <c r="F2328" s="8" t="s">
        <v>480</v>
      </c>
      <c r="G2328" s="8" t="s">
        <v>1037</v>
      </c>
      <c r="H2328" s="8" t="s">
        <v>46</v>
      </c>
      <c r="I2328" s="18" t="s">
        <v>2615</v>
      </c>
      <c r="J2328" s="16">
        <v>66.0</v>
      </c>
      <c r="K2328" s="8"/>
      <c r="L2328" s="8"/>
      <c r="M2328" s="8"/>
      <c r="N2328" s="16"/>
      <c r="O2328" s="8" t="s">
        <v>6274</v>
      </c>
      <c r="P2328" s="8" t="s">
        <v>24</v>
      </c>
      <c r="Q2328" s="14" t="s">
        <v>631</v>
      </c>
      <c r="R2328" s="8" t="s">
        <v>2564</v>
      </c>
      <c r="S2328" s="14" t="s">
        <v>2634</v>
      </c>
    </row>
    <row r="2329">
      <c r="A2329" s="8" t="s">
        <v>1317</v>
      </c>
      <c r="B2329" s="8" t="s">
        <v>1373</v>
      </c>
      <c r="C2329" s="8" t="s">
        <v>75</v>
      </c>
      <c r="D2329" s="18" t="s">
        <v>2552</v>
      </c>
      <c r="E2329" s="16">
        <v>69.0</v>
      </c>
      <c r="F2329" s="8" t="s">
        <v>480</v>
      </c>
      <c r="G2329" s="8" t="s">
        <v>106</v>
      </c>
      <c r="H2329" s="8" t="s">
        <v>186</v>
      </c>
      <c r="I2329" s="18" t="s">
        <v>2582</v>
      </c>
      <c r="J2329" s="16">
        <v>85.0</v>
      </c>
      <c r="K2329" s="8"/>
      <c r="L2329" s="8"/>
      <c r="M2329" s="8"/>
      <c r="N2329" s="16"/>
      <c r="O2329" s="8" t="s">
        <v>6275</v>
      </c>
      <c r="P2329" s="8" t="s">
        <v>132</v>
      </c>
      <c r="Q2329" s="14" t="s">
        <v>837</v>
      </c>
      <c r="R2329" s="8" t="s">
        <v>2562</v>
      </c>
      <c r="S2329" s="14" t="s">
        <v>2571</v>
      </c>
    </row>
    <row r="2330">
      <c r="A2330" s="8" t="s">
        <v>1317</v>
      </c>
      <c r="B2330" s="8" t="s">
        <v>637</v>
      </c>
      <c r="C2330" s="8" t="s">
        <v>122</v>
      </c>
      <c r="D2330" s="18" t="s">
        <v>2575</v>
      </c>
      <c r="E2330" s="16">
        <v>68.0</v>
      </c>
      <c r="F2330" s="8" t="s">
        <v>480</v>
      </c>
      <c r="G2330" s="8" t="s">
        <v>3451</v>
      </c>
      <c r="H2330" s="8" t="s">
        <v>149</v>
      </c>
      <c r="I2330" s="18" t="s">
        <v>2595</v>
      </c>
      <c r="J2330" s="16">
        <v>85.0</v>
      </c>
      <c r="K2330" s="8"/>
      <c r="L2330" s="8"/>
      <c r="M2330" s="8"/>
      <c r="N2330" s="16"/>
      <c r="O2330" s="8" t="s">
        <v>6276</v>
      </c>
      <c r="P2330" s="8" t="s">
        <v>24</v>
      </c>
      <c r="Q2330" s="14" t="s">
        <v>2296</v>
      </c>
      <c r="R2330" s="8" t="s">
        <v>2577</v>
      </c>
      <c r="S2330" s="14" t="s">
        <v>2555</v>
      </c>
    </row>
    <row r="2331">
      <c r="A2331" s="8" t="s">
        <v>1317</v>
      </c>
      <c r="B2331" s="8" t="s">
        <v>1316</v>
      </c>
      <c r="C2331" s="8" t="s">
        <v>65</v>
      </c>
      <c r="D2331" s="18" t="s">
        <v>2595</v>
      </c>
      <c r="E2331" s="16">
        <v>77.0</v>
      </c>
      <c r="F2331" s="8" t="s">
        <v>480</v>
      </c>
      <c r="G2331" s="8" t="s">
        <v>502</v>
      </c>
      <c r="H2331" s="8" t="s">
        <v>59</v>
      </c>
      <c r="I2331" s="18" t="s">
        <v>2562</v>
      </c>
      <c r="J2331" s="16">
        <v>71.0</v>
      </c>
      <c r="K2331" s="8"/>
      <c r="L2331" s="8"/>
      <c r="M2331" s="8"/>
      <c r="N2331" s="16"/>
      <c r="O2331" s="8" t="s">
        <v>6277</v>
      </c>
      <c r="P2331" s="8" t="s">
        <v>138</v>
      </c>
      <c r="Q2331" s="14" t="s">
        <v>459</v>
      </c>
      <c r="R2331" s="8" t="s">
        <v>2620</v>
      </c>
      <c r="S2331" s="14" t="s">
        <v>2622</v>
      </c>
    </row>
    <row r="2332">
      <c r="A2332" s="8" t="s">
        <v>1317</v>
      </c>
      <c r="B2332" s="8" t="s">
        <v>1675</v>
      </c>
      <c r="C2332" s="8" t="s">
        <v>53</v>
      </c>
      <c r="D2332" s="18" t="s">
        <v>2605</v>
      </c>
      <c r="E2332" s="16">
        <v>82.0</v>
      </c>
      <c r="F2332" s="8" t="s">
        <v>480</v>
      </c>
      <c r="G2332" s="8" t="s">
        <v>1327</v>
      </c>
      <c r="H2332" s="8" t="s">
        <v>53</v>
      </c>
      <c r="I2332" s="18" t="s">
        <v>2582</v>
      </c>
      <c r="J2332" s="16">
        <v>62.0</v>
      </c>
      <c r="K2332" s="8"/>
      <c r="L2332" s="8"/>
      <c r="M2332" s="8"/>
      <c r="N2332" s="16"/>
      <c r="O2332" s="8" t="s">
        <v>6278</v>
      </c>
      <c r="P2332" s="8" t="s">
        <v>261</v>
      </c>
      <c r="Q2332" s="14" t="s">
        <v>459</v>
      </c>
      <c r="R2332" s="8" t="s">
        <v>2595</v>
      </c>
      <c r="S2332" s="14" t="s">
        <v>2553</v>
      </c>
    </row>
    <row r="2333">
      <c r="A2333" s="8" t="s">
        <v>1669</v>
      </c>
      <c r="B2333" s="8" t="s">
        <v>3665</v>
      </c>
      <c r="C2333" s="8" t="s">
        <v>80</v>
      </c>
      <c r="D2333" s="18" t="s">
        <v>2567</v>
      </c>
      <c r="E2333" s="16">
        <v>69.0</v>
      </c>
      <c r="F2333" s="8" t="s">
        <v>480</v>
      </c>
      <c r="G2333" s="8" t="s">
        <v>919</v>
      </c>
      <c r="H2333" s="8" t="s">
        <v>141</v>
      </c>
      <c r="I2333" s="18" t="s">
        <v>2183</v>
      </c>
      <c r="J2333" s="16">
        <v>74.0</v>
      </c>
      <c r="K2333" s="8"/>
      <c r="L2333" s="8"/>
      <c r="M2333" s="8"/>
      <c r="N2333" s="16"/>
      <c r="O2333" s="8" t="s">
        <v>6279</v>
      </c>
      <c r="P2333" s="8" t="s">
        <v>65</v>
      </c>
      <c r="Q2333" s="14" t="s">
        <v>1679</v>
      </c>
      <c r="R2333" s="8" t="s">
        <v>2567</v>
      </c>
      <c r="S2333" s="14" t="s">
        <v>2622</v>
      </c>
    </row>
    <row r="2334">
      <c r="A2334" s="8" t="s">
        <v>1201</v>
      </c>
      <c r="B2334" s="8" t="s">
        <v>1200</v>
      </c>
      <c r="C2334" s="8" t="s">
        <v>93</v>
      </c>
      <c r="D2334" s="18" t="s">
        <v>2581</v>
      </c>
      <c r="E2334" s="16">
        <v>72.0</v>
      </c>
      <c r="F2334" s="8" t="s">
        <v>480</v>
      </c>
      <c r="G2334" s="8" t="s">
        <v>1264</v>
      </c>
      <c r="H2334" s="8" t="s">
        <v>138</v>
      </c>
      <c r="I2334" s="18" t="s">
        <v>2574</v>
      </c>
      <c r="J2334" s="16">
        <v>64.0</v>
      </c>
      <c r="K2334" s="8"/>
      <c r="L2334" s="8"/>
      <c r="M2334" s="8"/>
      <c r="N2334" s="16"/>
      <c r="O2334" s="8" t="s">
        <v>6280</v>
      </c>
      <c r="P2334" s="8" t="s">
        <v>138</v>
      </c>
      <c r="Q2334" s="14" t="s">
        <v>2033</v>
      </c>
      <c r="R2334" s="8" t="s">
        <v>2575</v>
      </c>
      <c r="S2334" s="14" t="s">
        <v>2583</v>
      </c>
    </row>
    <row r="2335">
      <c r="A2335" s="8" t="s">
        <v>596</v>
      </c>
      <c r="B2335" s="8" t="s">
        <v>500</v>
      </c>
      <c r="C2335" s="8" t="s">
        <v>215</v>
      </c>
      <c r="D2335" s="18" t="s">
        <v>2615</v>
      </c>
      <c r="E2335" s="16">
        <v>62.0</v>
      </c>
      <c r="F2335" s="8" t="s">
        <v>750</v>
      </c>
      <c r="G2335" s="8" t="s">
        <v>1960</v>
      </c>
      <c r="H2335" s="8" t="s">
        <v>93</v>
      </c>
      <c r="I2335" s="18" t="s">
        <v>2574</v>
      </c>
      <c r="J2335" s="16">
        <v>67.0</v>
      </c>
      <c r="K2335" s="8"/>
      <c r="L2335" s="8"/>
      <c r="M2335" s="8"/>
      <c r="N2335" s="16"/>
      <c r="O2335" s="8" t="s">
        <v>6281</v>
      </c>
      <c r="P2335" s="8" t="s">
        <v>46</v>
      </c>
      <c r="Q2335" s="14" t="s">
        <v>837</v>
      </c>
      <c r="R2335" s="8" t="s">
        <v>2581</v>
      </c>
      <c r="S2335" s="14" t="s">
        <v>2606</v>
      </c>
    </row>
    <row r="2336">
      <c r="A2336" s="8" t="s">
        <v>596</v>
      </c>
      <c r="B2336" s="8" t="s">
        <v>1178</v>
      </c>
      <c r="C2336" s="8" t="s">
        <v>24</v>
      </c>
      <c r="D2336" s="18" t="s">
        <v>2577</v>
      </c>
      <c r="E2336" s="16">
        <v>62.0</v>
      </c>
      <c r="F2336" s="8" t="s">
        <v>750</v>
      </c>
      <c r="G2336" s="8" t="s">
        <v>396</v>
      </c>
      <c r="H2336" s="8" t="s">
        <v>132</v>
      </c>
      <c r="I2336" s="18" t="s">
        <v>2614</v>
      </c>
      <c r="J2336" s="16">
        <v>95.0</v>
      </c>
      <c r="K2336" s="8"/>
      <c r="L2336" s="8"/>
      <c r="M2336" s="8"/>
      <c r="N2336" s="16"/>
      <c r="O2336" s="8" t="s">
        <v>6282</v>
      </c>
      <c r="P2336" s="8" t="s">
        <v>24</v>
      </c>
      <c r="Q2336" s="14" t="s">
        <v>1070</v>
      </c>
      <c r="R2336" s="8" t="s">
        <v>2595</v>
      </c>
      <c r="S2336" s="14" t="s">
        <v>60</v>
      </c>
    </row>
    <row r="2337">
      <c r="A2337" s="8" t="s">
        <v>596</v>
      </c>
      <c r="B2337" s="8" t="s">
        <v>595</v>
      </c>
      <c r="C2337" s="8" t="s">
        <v>93</v>
      </c>
      <c r="D2337" s="18" t="s">
        <v>2552</v>
      </c>
      <c r="E2337" s="16">
        <v>80.0</v>
      </c>
      <c r="F2337" s="8" t="s">
        <v>2102</v>
      </c>
      <c r="G2337" s="8" t="s">
        <v>636</v>
      </c>
      <c r="H2337" s="8" t="s">
        <v>186</v>
      </c>
      <c r="I2337" s="18" t="s">
        <v>2620</v>
      </c>
      <c r="J2337" s="16">
        <v>60.0</v>
      </c>
      <c r="K2337" s="8"/>
      <c r="L2337" s="8"/>
      <c r="M2337" s="8"/>
      <c r="N2337" s="16"/>
      <c r="O2337" s="8" t="s">
        <v>6283</v>
      </c>
      <c r="P2337" s="8" t="s">
        <v>70</v>
      </c>
      <c r="Q2337" s="14" t="s">
        <v>1070</v>
      </c>
      <c r="R2337" s="8" t="s">
        <v>2554</v>
      </c>
      <c r="S2337" s="14" t="s">
        <v>2591</v>
      </c>
    </row>
    <row r="2338">
      <c r="A2338" s="8" t="s">
        <v>596</v>
      </c>
      <c r="B2338" s="8" t="s">
        <v>6236</v>
      </c>
      <c r="C2338" s="8" t="s">
        <v>75</v>
      </c>
      <c r="D2338" s="18" t="s">
        <v>2562</v>
      </c>
      <c r="E2338" s="16">
        <v>71.0</v>
      </c>
      <c r="F2338" s="8" t="s">
        <v>86</v>
      </c>
      <c r="G2338" s="8" t="s">
        <v>85</v>
      </c>
      <c r="H2338" s="8" t="s">
        <v>24</v>
      </c>
      <c r="I2338" s="18" t="s">
        <v>2566</v>
      </c>
      <c r="J2338" s="16">
        <v>55.0</v>
      </c>
      <c r="K2338" s="8"/>
      <c r="L2338" s="8"/>
      <c r="M2338" s="8"/>
      <c r="N2338" s="16"/>
      <c r="O2338" s="8" t="s">
        <v>6284</v>
      </c>
      <c r="P2338" s="8" t="s">
        <v>75</v>
      </c>
      <c r="Q2338" s="14" t="s">
        <v>2033</v>
      </c>
      <c r="R2338" s="8" t="s">
        <v>2592</v>
      </c>
      <c r="S2338" s="14" t="s">
        <v>2618</v>
      </c>
    </row>
    <row r="2339">
      <c r="A2339" s="8" t="s">
        <v>596</v>
      </c>
      <c r="B2339" s="8" t="s">
        <v>78</v>
      </c>
      <c r="C2339" s="8" t="s">
        <v>122</v>
      </c>
      <c r="D2339" s="18" t="s">
        <v>2589</v>
      </c>
      <c r="E2339" s="16">
        <v>60.0</v>
      </c>
      <c r="F2339" s="8" t="s">
        <v>1814</v>
      </c>
      <c r="G2339" s="8" t="s">
        <v>1813</v>
      </c>
      <c r="H2339" s="8" t="s">
        <v>12</v>
      </c>
      <c r="I2339" s="18" t="s">
        <v>2615</v>
      </c>
      <c r="J2339" s="16">
        <v>73.0</v>
      </c>
      <c r="K2339" s="8"/>
      <c r="L2339" s="8"/>
      <c r="M2339" s="8"/>
      <c r="N2339" s="16"/>
      <c r="O2339" s="8" t="s">
        <v>6285</v>
      </c>
      <c r="P2339" s="8" t="s">
        <v>149</v>
      </c>
      <c r="Q2339" s="14" t="s">
        <v>1679</v>
      </c>
      <c r="R2339" s="8" t="s">
        <v>2183</v>
      </c>
      <c r="S2339" s="14" t="s">
        <v>2617</v>
      </c>
    </row>
    <row r="2340">
      <c r="A2340" s="8" t="s">
        <v>1920</v>
      </c>
      <c r="B2340" s="8" t="s">
        <v>1919</v>
      </c>
      <c r="C2340" s="8" t="s">
        <v>215</v>
      </c>
      <c r="D2340" s="18" t="s">
        <v>2584</v>
      </c>
      <c r="E2340" s="16">
        <v>69.0</v>
      </c>
      <c r="F2340" s="8" t="s">
        <v>1814</v>
      </c>
      <c r="G2340" s="8" t="s">
        <v>3167</v>
      </c>
      <c r="H2340" s="8" t="s">
        <v>75</v>
      </c>
      <c r="I2340" s="18" t="s">
        <v>2585</v>
      </c>
      <c r="J2340" s="16">
        <v>70.0</v>
      </c>
      <c r="K2340" s="8"/>
      <c r="L2340" s="8"/>
      <c r="M2340" s="8"/>
      <c r="N2340" s="16"/>
      <c r="O2340" s="8" t="s">
        <v>6286</v>
      </c>
      <c r="P2340" s="8" t="s">
        <v>132</v>
      </c>
      <c r="Q2340" s="14" t="s">
        <v>631</v>
      </c>
      <c r="R2340" s="8" t="s">
        <v>2614</v>
      </c>
      <c r="S2340" s="14" t="s">
        <v>2623</v>
      </c>
    </row>
    <row r="2341">
      <c r="A2341" s="8" t="s">
        <v>6244</v>
      </c>
      <c r="B2341" s="8" t="s">
        <v>99</v>
      </c>
      <c r="C2341" s="8" t="s">
        <v>59</v>
      </c>
      <c r="D2341" s="18" t="s">
        <v>2575</v>
      </c>
      <c r="E2341" s="16">
        <v>65.0</v>
      </c>
      <c r="F2341" s="8" t="s">
        <v>3277</v>
      </c>
      <c r="G2341" s="8" t="s">
        <v>3276</v>
      </c>
      <c r="H2341" s="8" t="s">
        <v>186</v>
      </c>
      <c r="I2341" s="18" t="s">
        <v>2589</v>
      </c>
      <c r="J2341" s="16">
        <v>65.0</v>
      </c>
      <c r="K2341" s="8"/>
      <c r="L2341" s="8"/>
      <c r="M2341" s="8"/>
      <c r="N2341" s="16"/>
      <c r="O2341" s="8" t="s">
        <v>6287</v>
      </c>
      <c r="P2341" s="8" t="s">
        <v>59</v>
      </c>
      <c r="Q2341" s="14" t="s">
        <v>2033</v>
      </c>
      <c r="R2341" s="8" t="s">
        <v>2567</v>
      </c>
      <c r="S2341" s="14" t="s">
        <v>2563</v>
      </c>
    </row>
    <row r="2342">
      <c r="A2342" s="8" t="s">
        <v>737</v>
      </c>
      <c r="B2342" s="8" t="s">
        <v>224</v>
      </c>
      <c r="C2342" s="8" t="s">
        <v>70</v>
      </c>
      <c r="D2342" s="18" t="s">
        <v>2603</v>
      </c>
      <c r="E2342" s="16">
        <v>70.0</v>
      </c>
      <c r="F2342" s="8" t="s">
        <v>1856</v>
      </c>
      <c r="G2342" s="8" t="s">
        <v>284</v>
      </c>
      <c r="H2342" s="8" t="s">
        <v>65</v>
      </c>
      <c r="I2342" s="18" t="s">
        <v>2587</v>
      </c>
      <c r="J2342" s="16">
        <v>74.0</v>
      </c>
      <c r="K2342" s="8"/>
      <c r="L2342" s="8"/>
      <c r="M2342" s="8"/>
      <c r="N2342" s="16"/>
      <c r="O2342" s="8" t="s">
        <v>6290</v>
      </c>
      <c r="P2342" s="8" t="s">
        <v>24</v>
      </c>
      <c r="Q2342" s="14" t="s">
        <v>83</v>
      </c>
      <c r="R2342" s="8" t="s">
        <v>2566</v>
      </c>
      <c r="S2342" s="14" t="s">
        <v>2627</v>
      </c>
    </row>
    <row r="2343">
      <c r="A2343" s="8" t="s">
        <v>737</v>
      </c>
      <c r="B2343" s="8" t="s">
        <v>3238</v>
      </c>
      <c r="C2343" s="8" t="s">
        <v>16</v>
      </c>
      <c r="D2343" s="18" t="s">
        <v>2581</v>
      </c>
      <c r="E2343" s="16">
        <v>61.0</v>
      </c>
      <c r="F2343" s="8" t="s">
        <v>2848</v>
      </c>
      <c r="G2343" s="8" t="s">
        <v>2135</v>
      </c>
      <c r="H2343" s="8" t="s">
        <v>122</v>
      </c>
      <c r="I2343" s="18" t="s">
        <v>2582</v>
      </c>
      <c r="J2343" s="16">
        <v>72.0</v>
      </c>
      <c r="K2343" s="8"/>
      <c r="L2343" s="8"/>
      <c r="M2343" s="8"/>
      <c r="N2343" s="16"/>
      <c r="O2343" s="8" t="s">
        <v>6294</v>
      </c>
      <c r="P2343" s="8" t="s">
        <v>12</v>
      </c>
      <c r="Q2343" s="14" t="s">
        <v>1679</v>
      </c>
      <c r="R2343" s="18" t="s">
        <v>2589</v>
      </c>
      <c r="S2343" s="14" t="s">
        <v>2583</v>
      </c>
    </row>
    <row r="2344">
      <c r="A2344" s="8" t="s">
        <v>737</v>
      </c>
      <c r="B2344" s="8" t="s">
        <v>736</v>
      </c>
      <c r="C2344" s="8" t="s">
        <v>75</v>
      </c>
      <c r="D2344" s="18" t="s">
        <v>2552</v>
      </c>
      <c r="E2344" s="16">
        <v>62.0</v>
      </c>
      <c r="F2344" s="8"/>
      <c r="G2344" s="8"/>
      <c r="H2344" s="8"/>
      <c r="I2344" s="8"/>
      <c r="J2344" s="16"/>
      <c r="K2344" s="8"/>
      <c r="L2344" s="8"/>
      <c r="M2344" s="8"/>
      <c r="N2344" s="16"/>
      <c r="O2344" s="8" t="s">
        <v>6297</v>
      </c>
      <c r="P2344" s="8" t="s">
        <v>65</v>
      </c>
      <c r="Q2344" s="14" t="s">
        <v>1679</v>
      </c>
      <c r="R2344" s="8" t="s">
        <v>2587</v>
      </c>
      <c r="S2344" s="14" t="s">
        <v>2586</v>
      </c>
    </row>
    <row r="2345">
      <c r="A2345" s="8" t="s">
        <v>480</v>
      </c>
      <c r="B2345" s="8" t="s">
        <v>106</v>
      </c>
      <c r="C2345" s="8" t="s">
        <v>59</v>
      </c>
      <c r="D2345" s="18" t="s">
        <v>2587</v>
      </c>
      <c r="E2345" s="16">
        <v>82.0</v>
      </c>
      <c r="J2345" s="23"/>
      <c r="K2345" s="8"/>
      <c r="L2345" s="8"/>
      <c r="M2345" s="8"/>
      <c r="N2345" s="16"/>
      <c r="O2345" s="8" t="s">
        <v>6300</v>
      </c>
      <c r="P2345" s="8" t="s">
        <v>192</v>
      </c>
      <c r="Q2345" s="14" t="s">
        <v>2296</v>
      </c>
      <c r="R2345" s="8" t="s">
        <v>2584</v>
      </c>
      <c r="S2345" s="14" t="s">
        <v>2594</v>
      </c>
    </row>
    <row r="2346">
      <c r="A2346" s="8" t="s">
        <v>480</v>
      </c>
      <c r="B2346" s="8" t="s">
        <v>678</v>
      </c>
      <c r="C2346" s="8" t="s">
        <v>24</v>
      </c>
      <c r="D2346" s="18" t="s">
        <v>2564</v>
      </c>
      <c r="E2346" s="16">
        <v>87.0</v>
      </c>
      <c r="J2346" s="23"/>
      <c r="K2346" s="8"/>
      <c r="L2346" s="8"/>
      <c r="M2346" s="8"/>
      <c r="N2346" s="16"/>
      <c r="O2346" s="8"/>
      <c r="P2346" s="8"/>
      <c r="Q2346" s="8"/>
      <c r="R2346" s="8"/>
      <c r="S2346" s="8"/>
    </row>
    <row r="2347">
      <c r="A2347" s="8" t="s">
        <v>480</v>
      </c>
      <c r="B2347" s="8" t="s">
        <v>919</v>
      </c>
      <c r="C2347" s="8" t="s">
        <v>141</v>
      </c>
      <c r="D2347" s="18" t="s">
        <v>2183</v>
      </c>
      <c r="E2347" s="16">
        <v>68.0</v>
      </c>
      <c r="J2347" s="23"/>
      <c r="K2347" s="8"/>
      <c r="L2347" s="8"/>
      <c r="M2347" s="8"/>
      <c r="N2347" s="16"/>
      <c r="O2347" s="8"/>
      <c r="P2347" s="8"/>
      <c r="Q2347" s="8"/>
      <c r="R2347" s="8"/>
      <c r="S2347" s="8"/>
    </row>
    <row r="2348">
      <c r="A2348" s="8" t="s">
        <v>480</v>
      </c>
      <c r="B2348" s="8" t="s">
        <v>3686</v>
      </c>
      <c r="C2348" s="8" t="s">
        <v>12</v>
      </c>
      <c r="D2348" s="18" t="s">
        <v>2610</v>
      </c>
      <c r="E2348" s="16">
        <v>69.0</v>
      </c>
      <c r="J2348" s="23"/>
      <c r="K2348" s="8"/>
      <c r="L2348" s="8"/>
      <c r="M2348" s="8"/>
      <c r="N2348" s="16"/>
    </row>
    <row r="2349">
      <c r="A2349" s="8" t="s">
        <v>480</v>
      </c>
      <c r="B2349" s="8" t="s">
        <v>563</v>
      </c>
      <c r="C2349" s="8" t="s">
        <v>122</v>
      </c>
      <c r="D2349" s="18" t="s">
        <v>2567</v>
      </c>
      <c r="E2349" s="16">
        <v>73.0</v>
      </c>
      <c r="J2349" s="23"/>
      <c r="K2349" s="8"/>
      <c r="L2349" s="8"/>
      <c r="M2349" s="8"/>
      <c r="N2349" s="16"/>
    </row>
    <row r="2350">
      <c r="A2350" s="8" t="s">
        <v>480</v>
      </c>
      <c r="B2350" s="8" t="s">
        <v>573</v>
      </c>
      <c r="C2350" s="8" t="s">
        <v>261</v>
      </c>
      <c r="D2350" s="18" t="s">
        <v>2552</v>
      </c>
      <c r="E2350" s="16">
        <v>72.0</v>
      </c>
      <c r="J2350" s="23"/>
      <c r="K2350" s="8"/>
      <c r="L2350" s="8"/>
      <c r="M2350" s="8"/>
      <c r="N2350" s="16"/>
    </row>
    <row r="2351">
      <c r="A2351" s="8" t="s">
        <v>480</v>
      </c>
      <c r="B2351" s="8" t="s">
        <v>3765</v>
      </c>
      <c r="C2351" s="8" t="s">
        <v>16</v>
      </c>
      <c r="D2351" s="18" t="s">
        <v>2572</v>
      </c>
      <c r="E2351" s="16">
        <v>66.0</v>
      </c>
      <c r="J2351" s="23"/>
      <c r="K2351" s="8"/>
      <c r="L2351" s="8"/>
      <c r="M2351" s="8"/>
      <c r="N2351" s="16"/>
    </row>
    <row r="2352">
      <c r="A2352" s="8" t="s">
        <v>480</v>
      </c>
      <c r="B2352" s="8" t="s">
        <v>402</v>
      </c>
      <c r="C2352" s="8" t="s">
        <v>24</v>
      </c>
      <c r="D2352" s="18" t="s">
        <v>2605</v>
      </c>
      <c r="E2352" s="16">
        <v>78.0</v>
      </c>
      <c r="J2352" s="23"/>
      <c r="K2352" s="8"/>
      <c r="L2352" s="8"/>
      <c r="M2352" s="8"/>
      <c r="N2352" s="16"/>
    </row>
    <row r="2353">
      <c r="A2353" s="8" t="s">
        <v>480</v>
      </c>
      <c r="B2353" s="8" t="s">
        <v>1264</v>
      </c>
      <c r="C2353" s="8" t="s">
        <v>138</v>
      </c>
      <c r="D2353" s="18" t="s">
        <v>2552</v>
      </c>
      <c r="E2353" s="16">
        <v>64.0</v>
      </c>
      <c r="J2353" s="23"/>
      <c r="K2353" s="8"/>
      <c r="L2353" s="8"/>
      <c r="M2353" s="8"/>
      <c r="N2353" s="16"/>
    </row>
    <row r="2354">
      <c r="A2354" s="8" t="s">
        <v>480</v>
      </c>
      <c r="B2354" s="8" t="s">
        <v>3451</v>
      </c>
      <c r="C2354" s="8" t="s">
        <v>149</v>
      </c>
      <c r="D2354" s="18" t="s">
        <v>2595</v>
      </c>
      <c r="E2354" s="16">
        <v>82.0</v>
      </c>
      <c r="J2354" s="23"/>
      <c r="K2354" s="8"/>
      <c r="L2354" s="8"/>
      <c r="M2354" s="8"/>
      <c r="N2354" s="16"/>
    </row>
    <row r="2355">
      <c r="A2355" s="8" t="s">
        <v>480</v>
      </c>
      <c r="B2355" s="8" t="s">
        <v>1631</v>
      </c>
      <c r="C2355" s="8" t="s">
        <v>24</v>
      </c>
      <c r="D2355" s="18" t="s">
        <v>2560</v>
      </c>
      <c r="E2355" s="16">
        <v>70.0</v>
      </c>
      <c r="J2355" s="23"/>
      <c r="K2355" s="8"/>
      <c r="L2355" s="8"/>
      <c r="M2355" s="8"/>
      <c r="N2355" s="16"/>
    </row>
    <row r="2356">
      <c r="A2356" s="8" t="s">
        <v>480</v>
      </c>
      <c r="B2356" s="8" t="s">
        <v>1327</v>
      </c>
      <c r="C2356" s="8" t="s">
        <v>186</v>
      </c>
      <c r="D2356" s="18" t="s">
        <v>2581</v>
      </c>
      <c r="E2356" s="16">
        <v>59.0</v>
      </c>
      <c r="J2356" s="23"/>
      <c r="K2356" s="8"/>
      <c r="L2356" s="8"/>
      <c r="M2356" s="8"/>
      <c r="N2356" s="16"/>
    </row>
    <row r="2357">
      <c r="A2357" s="8" t="s">
        <v>480</v>
      </c>
      <c r="B2357" s="8" t="s">
        <v>1348</v>
      </c>
      <c r="C2357" s="8" t="s">
        <v>70</v>
      </c>
      <c r="D2357" s="18" t="s">
        <v>2554</v>
      </c>
      <c r="E2357" s="16">
        <v>69.0</v>
      </c>
      <c r="J2357" s="23"/>
      <c r="K2357" s="8"/>
      <c r="L2357" s="8"/>
      <c r="M2357" s="8"/>
      <c r="N2357" s="16"/>
    </row>
    <row r="2358">
      <c r="A2358" s="8" t="s">
        <v>3789</v>
      </c>
      <c r="B2358" s="8" t="s">
        <v>3788</v>
      </c>
      <c r="C2358" s="8" t="s">
        <v>186</v>
      </c>
      <c r="D2358" s="18" t="s">
        <v>2575</v>
      </c>
      <c r="E2358" s="16">
        <v>65.0</v>
      </c>
      <c r="J2358" s="23"/>
      <c r="K2358" s="8"/>
      <c r="L2358" s="8"/>
      <c r="M2358" s="8"/>
      <c r="N2358" s="16"/>
    </row>
    <row r="2359">
      <c r="A2359" s="8" t="s">
        <v>750</v>
      </c>
      <c r="B2359" s="8" t="s">
        <v>396</v>
      </c>
      <c r="C2359" s="8" t="s">
        <v>132</v>
      </c>
      <c r="D2359" s="18" t="s">
        <v>2614</v>
      </c>
      <c r="E2359" s="16">
        <v>92.0</v>
      </c>
      <c r="J2359" s="23"/>
      <c r="K2359" s="8"/>
      <c r="L2359" s="8"/>
      <c r="M2359" s="8"/>
      <c r="N2359" s="16"/>
    </row>
    <row r="2360">
      <c r="A2360" s="8" t="s">
        <v>750</v>
      </c>
      <c r="B2360" s="8" t="s">
        <v>1960</v>
      </c>
      <c r="C2360" s="8" t="s">
        <v>93</v>
      </c>
      <c r="D2360" s="18" t="s">
        <v>2574</v>
      </c>
      <c r="E2360" s="16">
        <v>64.0</v>
      </c>
      <c r="J2360" s="23"/>
      <c r="K2360" s="8"/>
      <c r="L2360" s="8"/>
      <c r="M2360" s="8"/>
      <c r="N2360" s="16"/>
    </row>
    <row r="2361">
      <c r="A2361" s="8" t="s">
        <v>86</v>
      </c>
      <c r="B2361" s="8" t="s">
        <v>85</v>
      </c>
      <c r="C2361" s="8" t="s">
        <v>24</v>
      </c>
      <c r="D2361" s="18" t="s">
        <v>2566</v>
      </c>
      <c r="E2361" s="16">
        <v>55.0</v>
      </c>
      <c r="J2361" s="23"/>
      <c r="K2361" s="8"/>
      <c r="L2361" s="8"/>
      <c r="M2361" s="8"/>
      <c r="N2361" s="16"/>
    </row>
    <row r="2362">
      <c r="A2362" s="8" t="s">
        <v>1814</v>
      </c>
      <c r="B2362" s="8" t="s">
        <v>3167</v>
      </c>
      <c r="C2362" s="8" t="s">
        <v>75</v>
      </c>
      <c r="D2362" s="18" t="s">
        <v>2585</v>
      </c>
      <c r="E2362" s="16">
        <v>73.0</v>
      </c>
      <c r="J2362" s="23"/>
      <c r="K2362" s="8"/>
      <c r="L2362" s="8"/>
      <c r="M2362" s="8"/>
      <c r="N2362" s="16"/>
    </row>
    <row r="2363">
      <c r="A2363" s="8" t="s">
        <v>3277</v>
      </c>
      <c r="B2363" s="8" t="s">
        <v>3276</v>
      </c>
      <c r="C2363" s="8" t="s">
        <v>186</v>
      </c>
      <c r="D2363" s="18" t="s">
        <v>2554</v>
      </c>
      <c r="E2363" s="16">
        <v>67.0</v>
      </c>
      <c r="J2363" s="23"/>
      <c r="K2363" s="8"/>
      <c r="L2363" s="8"/>
      <c r="M2363" s="8"/>
      <c r="N2363" s="16"/>
    </row>
    <row r="2364">
      <c r="A2364" s="8" t="s">
        <v>2848</v>
      </c>
      <c r="B2364" s="8" t="s">
        <v>2135</v>
      </c>
      <c r="C2364" s="8" t="s">
        <v>122</v>
      </c>
      <c r="D2364" s="18" t="s">
        <v>2582</v>
      </c>
      <c r="E2364" s="16">
        <v>70.0</v>
      </c>
      <c r="J2364" s="23"/>
      <c r="K2364" s="8"/>
      <c r="L2364" s="8"/>
      <c r="M2364" s="8"/>
      <c r="N2364" s="16"/>
    </row>
    <row r="2365">
      <c r="A2365" s="8"/>
      <c r="B2365" s="8"/>
      <c r="C2365" s="8"/>
      <c r="D2365" s="8"/>
      <c r="E2365" s="16"/>
      <c r="J2365" s="23"/>
      <c r="K2365" s="8"/>
      <c r="L2365" s="8"/>
      <c r="M2365" s="8"/>
      <c r="N2365" s="16"/>
    </row>
    <row r="2366">
      <c r="A2366" s="8"/>
      <c r="B2366" s="8"/>
      <c r="C2366" s="8"/>
      <c r="D2366" s="8"/>
      <c r="E2366" s="16"/>
      <c r="J2366" s="23"/>
      <c r="K2366" s="8"/>
      <c r="L2366" s="8"/>
      <c r="M2366" s="8"/>
      <c r="N2366" s="16"/>
    </row>
    <row r="2367">
      <c r="A2367" s="8"/>
      <c r="B2367" s="8"/>
      <c r="C2367" s="8"/>
      <c r="D2367" s="8"/>
      <c r="E2367" s="16"/>
      <c r="J2367" s="23"/>
      <c r="K2367" s="8"/>
      <c r="L2367" s="8"/>
      <c r="M2367" s="8"/>
      <c r="N2367" s="16"/>
    </row>
    <row r="2368">
      <c r="A2368" s="8"/>
      <c r="B2368" s="8"/>
      <c r="C2368" s="8"/>
      <c r="D2368" s="8"/>
      <c r="E2368" s="16"/>
      <c r="J2368" s="23"/>
      <c r="K2368" s="8"/>
      <c r="L2368" s="8"/>
      <c r="M2368" s="8"/>
      <c r="N2368" s="16"/>
    </row>
    <row r="2369">
      <c r="A2369" s="8"/>
      <c r="B2369" s="8"/>
      <c r="C2369" s="8"/>
      <c r="D2369" s="8"/>
      <c r="E2369" s="16"/>
      <c r="J2369" s="23"/>
      <c r="K2369" s="8"/>
      <c r="L2369" s="8"/>
      <c r="M2369" s="8"/>
      <c r="N2369" s="16"/>
    </row>
    <row r="2370">
      <c r="A2370" s="8"/>
      <c r="B2370" s="8"/>
      <c r="C2370" s="8"/>
      <c r="D2370" s="8"/>
      <c r="E2370" s="16"/>
      <c r="J2370" s="23"/>
      <c r="K2370" s="8"/>
      <c r="L2370" s="8"/>
      <c r="M2370" s="8"/>
      <c r="N2370" s="16"/>
    </row>
    <row r="2371">
      <c r="A2371" s="8"/>
      <c r="B2371" s="8"/>
      <c r="C2371" s="8"/>
      <c r="D2371" s="8"/>
      <c r="E2371" s="16"/>
      <c r="J2371" s="23"/>
      <c r="K2371" s="8"/>
      <c r="L2371" s="8"/>
      <c r="M2371" s="8"/>
      <c r="N2371" s="16"/>
    </row>
    <row r="2372">
      <c r="A2372" s="8"/>
      <c r="B2372" s="8"/>
      <c r="C2372" s="8"/>
      <c r="D2372" s="8"/>
      <c r="E2372" s="16"/>
      <c r="J2372" s="23"/>
      <c r="K2372" s="8"/>
      <c r="L2372" s="8"/>
      <c r="M2372" s="8"/>
      <c r="N2372" s="16"/>
    </row>
    <row r="2373">
      <c r="A2373" s="8"/>
      <c r="B2373" s="8"/>
      <c r="C2373" s="8"/>
      <c r="D2373" s="8"/>
      <c r="E2373" s="16"/>
      <c r="J2373" s="23"/>
      <c r="K2373" s="8"/>
      <c r="L2373" s="8"/>
      <c r="M2373" s="8"/>
      <c r="N2373" s="16"/>
    </row>
    <row r="2374">
      <c r="A2374" s="8"/>
      <c r="B2374" s="8"/>
      <c r="C2374" s="8"/>
      <c r="D2374" s="8"/>
      <c r="E2374" s="16"/>
      <c r="J2374" s="23"/>
      <c r="K2374" s="8"/>
      <c r="L2374" s="8"/>
      <c r="M2374" s="8"/>
      <c r="N2374" s="16"/>
    </row>
    <row r="2375">
      <c r="A2375" s="8"/>
      <c r="B2375" s="8"/>
      <c r="C2375" s="8"/>
      <c r="D2375" s="8"/>
      <c r="E2375" s="16"/>
      <c r="J2375" s="23"/>
      <c r="K2375" s="8"/>
      <c r="L2375" s="8"/>
      <c r="M2375" s="8"/>
      <c r="N2375" s="16"/>
    </row>
    <row r="2376">
      <c r="A2376" s="8"/>
      <c r="B2376" s="8"/>
      <c r="C2376" s="8"/>
      <c r="D2376" s="8"/>
      <c r="E2376" s="16"/>
      <c r="J2376" s="23"/>
      <c r="K2376" s="8"/>
      <c r="L2376" s="8"/>
      <c r="M2376" s="8"/>
      <c r="N2376" s="16"/>
    </row>
    <row r="2377">
      <c r="A2377" s="8"/>
      <c r="B2377" s="8"/>
      <c r="C2377" s="8"/>
      <c r="D2377" s="8"/>
      <c r="E2377" s="16"/>
      <c r="J2377" s="23"/>
      <c r="K2377" s="8"/>
      <c r="L2377" s="8"/>
      <c r="M2377" s="8"/>
      <c r="N2377" s="16"/>
    </row>
    <row r="2378">
      <c r="A2378" s="8"/>
      <c r="B2378" s="8"/>
      <c r="C2378" s="8"/>
      <c r="D2378" s="8"/>
      <c r="E2378" s="16"/>
      <c r="J2378" s="23"/>
      <c r="K2378" s="8"/>
      <c r="L2378" s="8"/>
      <c r="M2378" s="8"/>
      <c r="N2378" s="16"/>
    </row>
    <row r="2379">
      <c r="A2379" s="8"/>
      <c r="B2379" s="8"/>
      <c r="C2379" s="8"/>
      <c r="D2379" s="8"/>
      <c r="E2379" s="16"/>
      <c r="J2379" s="23"/>
      <c r="K2379" s="8"/>
      <c r="L2379" s="8"/>
      <c r="M2379" s="8"/>
      <c r="N2379" s="16"/>
    </row>
    <row r="2380">
      <c r="A2380" s="8"/>
      <c r="B2380" s="8"/>
      <c r="C2380" s="8"/>
      <c r="D2380" s="8"/>
      <c r="E2380" s="16"/>
      <c r="J2380" s="23"/>
      <c r="K2380" s="8"/>
      <c r="L2380" s="8"/>
      <c r="M2380" s="8"/>
      <c r="N2380" s="16"/>
    </row>
    <row r="2381">
      <c r="A2381" s="8"/>
      <c r="B2381" s="8"/>
      <c r="C2381" s="8"/>
      <c r="D2381" s="8"/>
      <c r="E2381" s="16"/>
      <c r="J2381" s="23"/>
      <c r="K2381" s="8"/>
      <c r="L2381" s="8"/>
      <c r="M2381" s="8"/>
      <c r="N2381" s="16"/>
    </row>
    <row r="2382">
      <c r="A2382" s="8"/>
      <c r="B2382" s="8"/>
      <c r="C2382" s="8"/>
      <c r="D2382" s="8"/>
      <c r="E2382" s="16"/>
      <c r="J2382" s="23"/>
      <c r="K2382" s="8"/>
      <c r="L2382" s="8"/>
      <c r="M2382" s="8"/>
      <c r="N2382" s="16"/>
    </row>
    <row r="2383">
      <c r="A2383" s="8"/>
      <c r="B2383" s="8"/>
      <c r="C2383" s="8"/>
      <c r="D2383" s="8"/>
      <c r="E2383" s="16"/>
      <c r="J2383" s="23"/>
      <c r="K2383" s="8"/>
      <c r="L2383" s="8"/>
      <c r="M2383" s="8"/>
      <c r="N2383" s="16"/>
    </row>
    <row r="2384">
      <c r="A2384" s="8"/>
      <c r="B2384" s="8"/>
      <c r="C2384" s="8"/>
      <c r="D2384" s="8"/>
      <c r="E2384" s="16"/>
      <c r="J2384" s="23"/>
      <c r="K2384" s="8"/>
      <c r="L2384" s="8"/>
      <c r="M2384" s="8"/>
      <c r="N2384" s="16"/>
    </row>
    <row r="2385">
      <c r="A2385" s="8"/>
      <c r="B2385" s="8"/>
      <c r="C2385" s="8"/>
      <c r="D2385" s="8"/>
      <c r="E2385" s="16"/>
      <c r="J2385" s="23"/>
      <c r="K2385" s="8"/>
      <c r="L2385" s="8"/>
      <c r="M2385" s="8"/>
      <c r="N2385" s="16"/>
    </row>
    <row r="2386">
      <c r="A2386" s="8"/>
      <c r="B2386" s="8"/>
      <c r="C2386" s="8"/>
      <c r="D2386" s="8"/>
      <c r="E2386" s="16"/>
      <c r="J2386" s="23"/>
      <c r="K2386" s="8"/>
      <c r="L2386" s="8"/>
      <c r="M2386" s="8"/>
      <c r="N2386" s="16"/>
    </row>
    <row r="2387">
      <c r="A2387" s="8"/>
      <c r="B2387" s="8"/>
      <c r="C2387" s="8"/>
      <c r="D2387" s="8"/>
      <c r="E2387" s="16"/>
      <c r="J2387" s="23"/>
      <c r="K2387" s="8"/>
      <c r="L2387" s="8"/>
      <c r="M2387" s="8"/>
      <c r="N2387" s="16"/>
    </row>
    <row r="2388">
      <c r="A2388" s="8"/>
      <c r="B2388" s="8"/>
      <c r="C2388" s="8"/>
      <c r="D2388" s="8"/>
      <c r="E2388" s="16"/>
      <c r="J2388" s="23"/>
      <c r="K2388" s="8"/>
      <c r="L2388" s="8"/>
      <c r="M2388" s="8"/>
      <c r="N2388" s="16"/>
    </row>
    <row r="2389">
      <c r="A2389" s="8"/>
      <c r="B2389" s="8"/>
      <c r="C2389" s="8"/>
      <c r="D2389" s="8"/>
      <c r="E2389" s="16"/>
      <c r="J2389" s="23"/>
      <c r="K2389" s="8"/>
      <c r="L2389" s="8"/>
      <c r="M2389" s="8"/>
      <c r="N2389" s="16"/>
    </row>
    <row r="2390">
      <c r="A2390" s="8"/>
      <c r="B2390" s="8"/>
      <c r="C2390" s="8"/>
      <c r="D2390" s="8"/>
      <c r="E2390" s="16"/>
      <c r="J2390" s="23"/>
      <c r="K2390" s="8"/>
      <c r="L2390" s="8"/>
      <c r="M2390" s="8"/>
      <c r="N2390" s="16"/>
    </row>
    <row r="2391">
      <c r="A2391" s="8"/>
      <c r="B2391" s="8"/>
      <c r="C2391" s="8"/>
      <c r="D2391" s="8"/>
      <c r="E2391" s="16"/>
      <c r="J2391" s="23"/>
      <c r="K2391" s="8"/>
      <c r="L2391" s="8"/>
      <c r="M2391" s="8"/>
      <c r="N2391" s="16"/>
    </row>
    <row r="2392">
      <c r="A2392" s="8"/>
      <c r="B2392" s="8"/>
      <c r="C2392" s="8"/>
      <c r="D2392" s="8"/>
      <c r="E2392" s="16"/>
      <c r="J2392" s="23"/>
      <c r="K2392" s="8"/>
      <c r="L2392" s="8"/>
      <c r="M2392" s="8"/>
      <c r="N2392" s="16"/>
    </row>
    <row r="2393">
      <c r="A2393" s="8"/>
      <c r="B2393" s="8"/>
      <c r="C2393" s="8"/>
      <c r="D2393" s="8"/>
      <c r="E2393" s="16"/>
      <c r="J2393" s="23"/>
      <c r="K2393" s="8"/>
      <c r="L2393" s="8"/>
      <c r="M2393" s="8"/>
      <c r="N2393" s="16"/>
    </row>
    <row r="2394">
      <c r="A2394" s="8"/>
      <c r="B2394" s="8"/>
      <c r="C2394" s="8"/>
      <c r="D2394" s="8"/>
      <c r="E2394" s="16"/>
      <c r="J2394" s="23"/>
      <c r="K2394" s="8"/>
      <c r="L2394" s="8"/>
      <c r="M2394" s="8"/>
      <c r="N2394" s="16"/>
    </row>
    <row r="2395">
      <c r="A2395" s="8"/>
      <c r="B2395" s="8"/>
      <c r="C2395" s="8"/>
      <c r="D2395" s="8"/>
      <c r="E2395" s="16"/>
      <c r="J2395" s="23"/>
      <c r="K2395" s="8"/>
      <c r="L2395" s="8"/>
      <c r="M2395" s="8"/>
      <c r="N2395" s="16"/>
    </row>
    <row r="2396">
      <c r="A2396" s="8"/>
      <c r="B2396" s="8"/>
      <c r="C2396" s="8"/>
      <c r="D2396" s="8"/>
      <c r="E2396" s="16"/>
      <c r="J2396" s="23"/>
      <c r="K2396" s="8"/>
      <c r="L2396" s="8"/>
      <c r="M2396" s="8"/>
      <c r="N2396" s="16"/>
    </row>
    <row r="2397">
      <c r="A2397" s="8"/>
      <c r="B2397" s="8"/>
      <c r="C2397" s="8"/>
      <c r="D2397" s="8"/>
      <c r="E2397" s="16"/>
      <c r="J2397" s="23"/>
      <c r="K2397" s="8"/>
      <c r="L2397" s="8"/>
      <c r="M2397" s="8"/>
      <c r="N2397" s="16"/>
    </row>
    <row r="2398">
      <c r="A2398" s="8"/>
      <c r="B2398" s="8"/>
      <c r="C2398" s="8"/>
      <c r="D2398" s="8"/>
      <c r="E2398" s="16"/>
      <c r="J2398" s="23"/>
      <c r="K2398" s="8"/>
      <c r="L2398" s="8"/>
      <c r="M2398" s="8"/>
      <c r="N2398" s="16"/>
    </row>
    <row r="2399">
      <c r="A2399" s="8"/>
      <c r="B2399" s="8"/>
      <c r="C2399" s="8"/>
      <c r="D2399" s="8"/>
      <c r="E2399" s="16"/>
      <c r="J2399" s="23"/>
      <c r="K2399" s="8"/>
      <c r="L2399" s="8"/>
      <c r="M2399" s="8"/>
      <c r="N2399" s="16"/>
    </row>
    <row r="2400">
      <c r="A2400" s="8"/>
      <c r="B2400" s="8"/>
      <c r="C2400" s="8"/>
      <c r="D2400" s="8"/>
      <c r="E2400" s="16"/>
      <c r="J2400" s="23"/>
      <c r="K2400" s="8"/>
      <c r="L2400" s="8"/>
      <c r="M2400" s="8"/>
      <c r="N2400" s="16"/>
    </row>
    <row r="2401">
      <c r="A2401" s="8"/>
      <c r="B2401" s="8"/>
      <c r="C2401" s="8"/>
      <c r="D2401" s="8"/>
      <c r="E2401" s="16"/>
      <c r="J2401" s="23"/>
      <c r="K2401" s="8"/>
      <c r="L2401" s="8"/>
      <c r="M2401" s="8"/>
      <c r="N2401" s="16"/>
    </row>
    <row r="2402">
      <c r="A2402" s="8"/>
      <c r="B2402" s="8"/>
      <c r="C2402" s="8"/>
      <c r="D2402" s="8"/>
      <c r="E2402" s="16"/>
      <c r="J2402" s="23"/>
      <c r="K2402" s="8"/>
      <c r="L2402" s="8"/>
      <c r="M2402" s="8"/>
      <c r="N2402" s="16"/>
    </row>
    <row r="2403">
      <c r="A2403" s="8"/>
      <c r="B2403" s="8"/>
      <c r="C2403" s="8"/>
      <c r="D2403" s="8"/>
      <c r="E2403" s="16"/>
      <c r="J2403" s="23"/>
      <c r="K2403" s="8"/>
      <c r="L2403" s="8"/>
      <c r="M2403" s="8"/>
      <c r="N2403" s="16"/>
    </row>
    <row r="2404">
      <c r="A2404" s="8"/>
      <c r="B2404" s="8"/>
      <c r="C2404" s="8"/>
      <c r="D2404" s="8"/>
      <c r="E2404" s="16"/>
      <c r="J2404" s="23"/>
      <c r="K2404" s="8"/>
      <c r="L2404" s="8"/>
      <c r="M2404" s="8"/>
      <c r="N2404" s="16"/>
    </row>
    <row r="2405">
      <c r="A2405" s="8"/>
      <c r="B2405" s="8"/>
      <c r="C2405" s="8"/>
      <c r="D2405" s="8"/>
      <c r="E2405" s="16"/>
      <c r="J2405" s="23"/>
      <c r="K2405" s="8"/>
      <c r="L2405" s="8"/>
      <c r="M2405" s="8"/>
      <c r="N2405" s="16"/>
    </row>
    <row r="2406">
      <c r="A2406" s="8"/>
      <c r="B2406" s="8"/>
      <c r="C2406" s="8"/>
      <c r="D2406" s="8"/>
      <c r="E2406" s="16"/>
      <c r="J2406" s="23"/>
      <c r="K2406" s="8"/>
      <c r="L2406" s="8"/>
      <c r="M2406" s="8"/>
      <c r="N2406" s="16"/>
    </row>
    <row r="2407">
      <c r="A2407" s="8"/>
      <c r="B2407" s="8"/>
      <c r="C2407" s="8"/>
      <c r="D2407" s="8"/>
      <c r="E2407" s="16"/>
      <c r="J2407" s="23"/>
      <c r="K2407" s="8"/>
      <c r="L2407" s="8"/>
      <c r="M2407" s="8"/>
      <c r="N2407" s="16"/>
    </row>
    <row r="2408">
      <c r="A2408" s="8"/>
      <c r="B2408" s="8"/>
      <c r="C2408" s="8"/>
      <c r="D2408" s="8"/>
      <c r="E2408" s="16"/>
      <c r="J2408" s="23"/>
      <c r="K2408" s="8"/>
      <c r="L2408" s="8"/>
      <c r="M2408" s="8"/>
      <c r="N2408" s="16"/>
    </row>
    <row r="2409">
      <c r="A2409" s="8"/>
      <c r="B2409" s="8"/>
      <c r="C2409" s="8"/>
      <c r="D2409" s="8"/>
      <c r="E2409" s="16"/>
      <c r="J2409" s="23"/>
      <c r="K2409" s="8"/>
      <c r="L2409" s="8"/>
      <c r="M2409" s="8"/>
      <c r="N2409" s="16"/>
    </row>
    <row r="2410">
      <c r="A2410" s="8"/>
      <c r="B2410" s="8"/>
      <c r="C2410" s="8"/>
      <c r="D2410" s="8"/>
      <c r="E2410" s="16"/>
      <c r="J2410" s="23"/>
      <c r="K2410" s="8"/>
      <c r="L2410" s="8"/>
      <c r="M2410" s="8"/>
      <c r="N2410" s="16"/>
    </row>
    <row r="2411">
      <c r="A2411" s="8"/>
      <c r="B2411" s="8"/>
      <c r="C2411" s="8"/>
      <c r="D2411" s="8"/>
      <c r="E2411" s="16"/>
      <c r="J2411" s="23"/>
      <c r="K2411" s="8"/>
      <c r="L2411" s="8"/>
      <c r="M2411" s="8"/>
      <c r="N2411" s="16"/>
    </row>
    <row r="2412">
      <c r="A2412" s="8"/>
      <c r="B2412" s="8"/>
      <c r="C2412" s="8"/>
      <c r="D2412" s="8"/>
      <c r="E2412" s="16"/>
      <c r="J2412" s="23"/>
      <c r="K2412" s="8"/>
      <c r="L2412" s="8"/>
      <c r="M2412" s="8"/>
      <c r="N2412" s="16"/>
    </row>
    <row r="2413">
      <c r="A2413" s="8"/>
      <c r="B2413" s="8"/>
      <c r="C2413" s="8"/>
      <c r="D2413" s="8"/>
      <c r="E2413" s="16"/>
      <c r="J2413" s="23"/>
      <c r="K2413" s="8"/>
      <c r="L2413" s="8"/>
      <c r="M2413" s="8"/>
      <c r="N2413" s="16"/>
    </row>
    <row r="2414">
      <c r="A2414" s="8"/>
      <c r="B2414" s="8"/>
      <c r="C2414" s="8"/>
      <c r="D2414" s="8"/>
      <c r="E2414" s="16"/>
      <c r="J2414" s="23"/>
      <c r="K2414" s="8"/>
      <c r="L2414" s="8"/>
      <c r="M2414" s="8"/>
      <c r="N2414" s="16"/>
    </row>
    <row r="2415">
      <c r="A2415" s="8"/>
      <c r="B2415" s="8"/>
      <c r="C2415" s="8"/>
      <c r="D2415" s="8"/>
      <c r="E2415" s="16"/>
      <c r="J2415" s="23"/>
      <c r="K2415" s="8"/>
      <c r="L2415" s="8"/>
      <c r="M2415" s="8"/>
      <c r="N2415" s="16"/>
    </row>
    <row r="2416">
      <c r="A2416" s="8"/>
      <c r="B2416" s="8"/>
      <c r="C2416" s="8"/>
      <c r="D2416" s="8"/>
      <c r="E2416" s="16"/>
      <c r="J2416" s="23"/>
      <c r="K2416" s="8"/>
      <c r="L2416" s="8"/>
      <c r="M2416" s="8"/>
      <c r="N2416" s="16"/>
    </row>
    <row r="2417">
      <c r="A2417" s="8"/>
      <c r="B2417" s="8"/>
      <c r="C2417" s="8"/>
      <c r="D2417" s="8"/>
      <c r="E2417" s="16"/>
      <c r="J2417" s="23"/>
      <c r="K2417" s="8"/>
      <c r="L2417" s="8"/>
      <c r="M2417" s="8"/>
      <c r="N2417" s="16"/>
    </row>
    <row r="2418">
      <c r="A2418" s="8"/>
      <c r="B2418" s="8"/>
      <c r="C2418" s="8"/>
      <c r="D2418" s="8"/>
      <c r="E2418" s="16"/>
      <c r="J2418" s="23"/>
      <c r="K2418" s="8"/>
      <c r="L2418" s="8"/>
      <c r="M2418" s="8"/>
      <c r="N2418" s="16"/>
    </row>
    <row r="2419">
      <c r="A2419" s="8"/>
      <c r="B2419" s="8"/>
      <c r="C2419" s="8"/>
      <c r="D2419" s="8"/>
      <c r="E2419" s="16"/>
      <c r="J2419" s="23"/>
      <c r="K2419" s="8"/>
      <c r="L2419" s="8"/>
      <c r="M2419" s="8"/>
      <c r="N2419" s="16"/>
    </row>
    <row r="2420">
      <c r="A2420" s="8"/>
      <c r="B2420" s="8"/>
      <c r="C2420" s="8"/>
      <c r="D2420" s="8"/>
      <c r="E2420" s="16"/>
      <c r="J2420" s="23"/>
      <c r="K2420" s="8"/>
      <c r="L2420" s="8"/>
      <c r="M2420" s="8"/>
      <c r="N2420" s="16"/>
    </row>
    <row r="2421">
      <c r="A2421" s="8"/>
      <c r="B2421" s="8"/>
      <c r="C2421" s="8"/>
      <c r="D2421" s="8"/>
      <c r="E2421" s="16"/>
      <c r="J2421" s="23"/>
      <c r="K2421" s="8"/>
      <c r="L2421" s="8"/>
      <c r="M2421" s="8"/>
      <c r="N2421" s="16"/>
    </row>
    <row r="2422">
      <c r="A2422" s="8"/>
      <c r="B2422" s="8"/>
      <c r="C2422" s="8"/>
      <c r="D2422" s="8"/>
      <c r="E2422" s="16"/>
      <c r="J2422" s="23"/>
      <c r="K2422" s="8"/>
      <c r="L2422" s="8"/>
      <c r="M2422" s="8"/>
      <c r="N2422" s="16"/>
    </row>
    <row r="2423">
      <c r="A2423" s="8"/>
      <c r="B2423" s="8"/>
      <c r="C2423" s="8"/>
      <c r="D2423" s="8"/>
      <c r="E2423" s="16"/>
      <c r="J2423" s="23"/>
      <c r="K2423" s="8"/>
      <c r="L2423" s="8"/>
      <c r="M2423" s="8"/>
      <c r="N2423" s="16"/>
    </row>
    <row r="2424">
      <c r="A2424" s="8"/>
      <c r="B2424" s="8"/>
      <c r="C2424" s="8"/>
      <c r="D2424" s="8"/>
      <c r="E2424" s="16"/>
      <c r="J2424" s="23"/>
      <c r="K2424" s="8"/>
      <c r="L2424" s="8"/>
      <c r="M2424" s="8"/>
      <c r="N2424" s="16"/>
    </row>
    <row r="2425">
      <c r="A2425" s="8"/>
      <c r="B2425" s="8"/>
      <c r="C2425" s="8"/>
      <c r="D2425" s="8"/>
      <c r="E2425" s="16"/>
      <c r="J2425" s="23"/>
      <c r="K2425" s="8"/>
      <c r="L2425" s="8"/>
      <c r="M2425" s="8"/>
      <c r="N2425" s="16"/>
    </row>
    <row r="2426">
      <c r="A2426" s="8"/>
      <c r="B2426" s="8"/>
      <c r="C2426" s="8"/>
      <c r="D2426" s="8"/>
      <c r="E2426" s="16"/>
      <c r="J2426" s="23"/>
      <c r="K2426" s="8"/>
      <c r="L2426" s="8"/>
      <c r="M2426" s="8"/>
      <c r="N2426" s="16"/>
    </row>
    <row r="2427">
      <c r="A2427" s="8"/>
      <c r="B2427" s="8"/>
      <c r="C2427" s="8"/>
      <c r="D2427" s="8"/>
      <c r="E2427" s="16"/>
      <c r="J2427" s="23"/>
      <c r="K2427" s="8"/>
      <c r="L2427" s="8"/>
      <c r="M2427" s="8"/>
      <c r="N2427" s="16"/>
    </row>
    <row r="2428">
      <c r="A2428" s="8"/>
      <c r="B2428" s="8"/>
      <c r="C2428" s="8"/>
      <c r="D2428" s="8"/>
      <c r="E2428" s="16"/>
      <c r="J2428" s="23"/>
      <c r="K2428" s="8"/>
      <c r="L2428" s="8"/>
      <c r="M2428" s="8"/>
      <c r="N2428" s="16"/>
    </row>
    <row r="2429">
      <c r="A2429" s="8"/>
      <c r="B2429" s="8"/>
      <c r="C2429" s="8"/>
      <c r="D2429" s="8"/>
      <c r="E2429" s="16"/>
      <c r="J2429" s="23"/>
      <c r="K2429" s="8"/>
      <c r="L2429" s="8"/>
      <c r="M2429" s="8"/>
      <c r="N2429" s="16"/>
    </row>
    <row r="2430">
      <c r="A2430" s="8"/>
      <c r="B2430" s="8"/>
      <c r="C2430" s="8"/>
      <c r="D2430" s="8"/>
      <c r="E2430" s="16"/>
      <c r="J2430" s="23"/>
      <c r="K2430" s="8"/>
      <c r="L2430" s="8"/>
      <c r="M2430" s="8"/>
      <c r="N2430" s="16"/>
    </row>
    <row r="2431">
      <c r="A2431" s="8"/>
      <c r="B2431" s="8"/>
      <c r="C2431" s="8"/>
      <c r="D2431" s="8"/>
      <c r="E2431" s="16"/>
      <c r="J2431" s="23"/>
      <c r="K2431" s="8"/>
      <c r="L2431" s="8"/>
      <c r="M2431" s="8"/>
      <c r="N2431" s="16"/>
    </row>
    <row r="2432">
      <c r="A2432" s="8"/>
      <c r="B2432" s="8"/>
      <c r="C2432" s="8"/>
      <c r="D2432" s="8"/>
      <c r="E2432" s="16"/>
      <c r="J2432" s="23"/>
      <c r="K2432" s="8"/>
      <c r="L2432" s="8"/>
      <c r="M2432" s="8"/>
      <c r="N2432" s="16"/>
    </row>
    <row r="2433">
      <c r="A2433" s="8"/>
      <c r="B2433" s="8"/>
      <c r="C2433" s="8"/>
      <c r="D2433" s="8"/>
      <c r="E2433" s="16"/>
      <c r="J2433" s="23"/>
      <c r="K2433" s="8"/>
      <c r="L2433" s="8"/>
      <c r="M2433" s="8"/>
      <c r="N2433" s="16"/>
    </row>
    <row r="2434">
      <c r="A2434" s="8"/>
      <c r="B2434" s="8"/>
      <c r="C2434" s="8"/>
      <c r="D2434" s="8"/>
      <c r="E2434" s="16"/>
      <c r="J2434" s="23"/>
      <c r="K2434" s="8"/>
      <c r="L2434" s="8"/>
      <c r="M2434" s="8"/>
      <c r="N2434" s="16"/>
    </row>
    <row r="2435">
      <c r="A2435" s="8"/>
      <c r="B2435" s="8"/>
      <c r="C2435" s="8"/>
      <c r="D2435" s="8"/>
      <c r="E2435" s="16"/>
      <c r="J2435" s="23"/>
      <c r="K2435" s="8"/>
      <c r="L2435" s="8"/>
      <c r="M2435" s="8"/>
      <c r="N2435" s="16"/>
    </row>
    <row r="2436">
      <c r="A2436" s="8"/>
      <c r="B2436" s="8"/>
      <c r="C2436" s="8"/>
      <c r="D2436" s="8"/>
      <c r="E2436" s="16"/>
      <c r="J2436" s="23"/>
      <c r="K2436" s="8"/>
      <c r="L2436" s="8"/>
      <c r="M2436" s="8"/>
      <c r="N2436" s="16"/>
    </row>
    <row r="2437">
      <c r="A2437" s="8"/>
      <c r="B2437" s="8"/>
      <c r="C2437" s="8"/>
      <c r="D2437" s="8"/>
      <c r="E2437" s="16"/>
      <c r="J2437" s="23"/>
      <c r="K2437" s="8"/>
      <c r="L2437" s="8"/>
      <c r="M2437" s="8"/>
      <c r="N2437" s="16"/>
    </row>
    <row r="2438">
      <c r="A2438" s="8"/>
      <c r="B2438" s="8"/>
      <c r="C2438" s="8"/>
      <c r="D2438" s="8"/>
      <c r="E2438" s="16"/>
      <c r="J2438" s="23"/>
      <c r="K2438" s="8"/>
      <c r="L2438" s="8"/>
      <c r="M2438" s="8"/>
      <c r="N2438" s="16"/>
    </row>
    <row r="2439">
      <c r="A2439" s="8"/>
      <c r="B2439" s="8"/>
      <c r="C2439" s="8"/>
      <c r="D2439" s="8"/>
      <c r="E2439" s="16"/>
      <c r="J2439" s="23"/>
      <c r="K2439" s="8"/>
      <c r="L2439" s="8"/>
      <c r="M2439" s="8"/>
      <c r="N2439" s="16"/>
    </row>
    <row r="2440">
      <c r="A2440" s="8"/>
      <c r="B2440" s="8"/>
      <c r="C2440" s="8"/>
      <c r="D2440" s="8"/>
      <c r="E2440" s="16"/>
      <c r="J2440" s="23"/>
      <c r="K2440" s="8"/>
      <c r="L2440" s="8"/>
      <c r="M2440" s="8"/>
      <c r="N2440" s="16"/>
    </row>
    <row r="2441">
      <c r="A2441" s="8"/>
      <c r="B2441" s="8"/>
      <c r="C2441" s="8"/>
      <c r="D2441" s="8"/>
      <c r="E2441" s="16"/>
      <c r="J2441" s="23"/>
      <c r="K2441" s="8"/>
      <c r="L2441" s="8"/>
      <c r="M2441" s="8"/>
      <c r="N2441" s="16"/>
    </row>
    <row r="2442">
      <c r="A2442" s="8"/>
      <c r="B2442" s="8"/>
      <c r="C2442" s="8"/>
      <c r="D2442" s="8"/>
      <c r="E2442" s="16"/>
      <c r="J2442" s="23"/>
      <c r="K2442" s="8"/>
      <c r="L2442" s="8"/>
      <c r="M2442" s="8"/>
      <c r="N2442" s="16"/>
    </row>
    <row r="2443">
      <c r="A2443" s="8"/>
      <c r="B2443" s="8"/>
      <c r="C2443" s="8"/>
      <c r="D2443" s="8"/>
      <c r="E2443" s="16"/>
      <c r="J2443" s="23"/>
      <c r="K2443" s="8"/>
      <c r="L2443" s="8"/>
      <c r="M2443" s="8"/>
      <c r="N2443" s="16"/>
    </row>
    <row r="2444">
      <c r="A2444" s="8"/>
      <c r="B2444" s="8"/>
      <c r="C2444" s="8"/>
      <c r="D2444" s="8"/>
      <c r="E2444" s="16"/>
      <c r="J2444" s="23"/>
      <c r="K2444" s="8"/>
      <c r="L2444" s="8"/>
      <c r="M2444" s="8"/>
      <c r="N2444" s="16"/>
    </row>
    <row r="2445">
      <c r="A2445" s="8"/>
      <c r="B2445" s="8"/>
      <c r="C2445" s="8"/>
      <c r="D2445" s="8"/>
      <c r="E2445" s="16"/>
      <c r="J2445" s="23"/>
      <c r="K2445" s="8"/>
      <c r="L2445" s="8"/>
      <c r="M2445" s="8"/>
      <c r="N2445" s="16"/>
    </row>
    <row r="2446">
      <c r="A2446" s="8"/>
      <c r="B2446" s="8"/>
      <c r="C2446" s="8"/>
      <c r="D2446" s="8"/>
      <c r="E2446" s="16"/>
      <c r="J2446" s="23"/>
      <c r="K2446" s="8"/>
      <c r="L2446" s="8"/>
      <c r="M2446" s="8"/>
      <c r="N2446" s="16"/>
    </row>
    <row r="2447">
      <c r="A2447" s="8"/>
      <c r="B2447" s="8"/>
      <c r="C2447" s="8"/>
      <c r="D2447" s="8"/>
      <c r="E2447" s="16"/>
      <c r="J2447" s="23"/>
      <c r="K2447" s="8"/>
      <c r="L2447" s="8"/>
      <c r="M2447" s="8"/>
      <c r="N2447" s="16"/>
    </row>
    <row r="2448">
      <c r="A2448" s="8"/>
      <c r="B2448" s="8"/>
      <c r="C2448" s="8"/>
      <c r="D2448" s="8"/>
      <c r="E2448" s="16"/>
      <c r="J2448" s="23"/>
      <c r="K2448" s="8"/>
      <c r="L2448" s="8"/>
      <c r="M2448" s="8"/>
      <c r="N2448" s="16"/>
    </row>
    <row r="2449">
      <c r="A2449" s="8"/>
      <c r="B2449" s="8"/>
      <c r="C2449" s="8"/>
      <c r="D2449" s="8"/>
      <c r="E2449" s="16"/>
      <c r="J2449" s="23"/>
      <c r="K2449" s="8"/>
      <c r="L2449" s="8"/>
      <c r="M2449" s="8"/>
      <c r="N2449" s="16"/>
    </row>
    <row r="2450">
      <c r="A2450" s="8"/>
      <c r="B2450" s="8"/>
      <c r="C2450" s="8"/>
      <c r="D2450" s="8"/>
      <c r="E2450" s="16"/>
      <c r="J2450" s="23"/>
      <c r="K2450" s="8"/>
      <c r="L2450" s="8"/>
      <c r="M2450" s="8"/>
      <c r="N2450" s="16"/>
    </row>
    <row r="2451">
      <c r="A2451" s="8"/>
      <c r="B2451" s="8"/>
      <c r="C2451" s="8"/>
      <c r="D2451" s="8"/>
      <c r="E2451" s="16"/>
      <c r="J2451" s="23"/>
      <c r="K2451" s="8"/>
      <c r="L2451" s="8"/>
      <c r="M2451" s="8"/>
      <c r="N2451" s="16"/>
    </row>
    <row r="2452">
      <c r="A2452" s="8"/>
      <c r="B2452" s="8"/>
      <c r="C2452" s="8"/>
      <c r="D2452" s="8"/>
      <c r="E2452" s="16"/>
      <c r="J2452" s="23"/>
      <c r="K2452" s="8"/>
      <c r="L2452" s="8"/>
      <c r="M2452" s="8"/>
      <c r="N2452" s="16"/>
    </row>
    <row r="2453">
      <c r="A2453" s="8"/>
      <c r="B2453" s="8"/>
      <c r="C2453" s="8"/>
      <c r="D2453" s="8"/>
      <c r="E2453" s="16"/>
      <c r="J2453" s="23"/>
      <c r="K2453" s="8"/>
      <c r="L2453" s="8"/>
      <c r="M2453" s="8"/>
      <c r="N2453" s="16"/>
    </row>
    <row r="2454">
      <c r="A2454" s="8"/>
      <c r="B2454" s="8"/>
      <c r="C2454" s="8"/>
      <c r="D2454" s="8"/>
      <c r="E2454" s="16"/>
      <c r="J2454" s="23"/>
      <c r="K2454" s="8"/>
      <c r="L2454" s="8"/>
      <c r="M2454" s="8"/>
      <c r="N2454" s="16"/>
    </row>
    <row r="2455">
      <c r="A2455" s="8"/>
      <c r="B2455" s="8"/>
      <c r="C2455" s="8"/>
      <c r="D2455" s="8"/>
      <c r="E2455" s="16"/>
      <c r="J2455" s="23"/>
      <c r="K2455" s="8"/>
      <c r="L2455" s="8"/>
      <c r="M2455" s="8"/>
      <c r="N2455" s="16"/>
    </row>
    <row r="2456">
      <c r="A2456" s="8"/>
      <c r="B2456" s="8"/>
      <c r="C2456" s="8"/>
      <c r="D2456" s="8"/>
      <c r="E2456" s="16"/>
      <c r="J2456" s="23"/>
      <c r="K2456" s="8"/>
      <c r="L2456" s="8"/>
      <c r="M2456" s="8"/>
      <c r="N2456" s="16"/>
    </row>
    <row r="2457">
      <c r="A2457" s="8"/>
      <c r="B2457" s="8"/>
      <c r="C2457" s="8"/>
      <c r="D2457" s="8"/>
      <c r="E2457" s="16"/>
      <c r="J2457" s="23"/>
      <c r="K2457" s="8"/>
      <c r="L2457" s="8"/>
      <c r="M2457" s="8"/>
      <c r="N2457" s="16"/>
    </row>
    <row r="2458">
      <c r="A2458" s="8"/>
      <c r="B2458" s="8"/>
      <c r="C2458" s="8"/>
      <c r="D2458" s="8"/>
      <c r="E2458" s="16"/>
      <c r="J2458" s="23"/>
      <c r="K2458" s="8"/>
      <c r="L2458" s="8"/>
      <c r="M2458" s="8"/>
      <c r="N2458" s="16"/>
    </row>
    <row r="2459">
      <c r="A2459" s="8"/>
      <c r="B2459" s="8"/>
      <c r="C2459" s="8"/>
      <c r="D2459" s="8"/>
      <c r="E2459" s="16"/>
      <c r="J2459" s="23"/>
      <c r="K2459" s="8"/>
      <c r="L2459" s="8"/>
      <c r="M2459" s="8"/>
      <c r="N2459" s="16"/>
    </row>
    <row r="2460">
      <c r="A2460" s="8"/>
      <c r="B2460" s="8"/>
      <c r="C2460" s="8"/>
      <c r="D2460" s="8"/>
      <c r="E2460" s="16"/>
      <c r="J2460" s="23"/>
      <c r="K2460" s="8"/>
      <c r="L2460" s="8"/>
      <c r="M2460" s="8"/>
      <c r="N2460" s="16"/>
    </row>
    <row r="2461">
      <c r="A2461" s="8"/>
      <c r="B2461" s="8"/>
      <c r="C2461" s="8"/>
      <c r="D2461" s="8"/>
      <c r="E2461" s="16"/>
      <c r="J2461" s="23"/>
      <c r="K2461" s="8"/>
      <c r="L2461" s="8"/>
      <c r="M2461" s="8"/>
      <c r="N2461" s="16"/>
    </row>
    <row r="2462">
      <c r="A2462" s="8"/>
      <c r="B2462" s="8"/>
      <c r="C2462" s="8"/>
      <c r="D2462" s="8"/>
      <c r="E2462" s="16"/>
      <c r="J2462" s="23"/>
      <c r="K2462" s="8"/>
      <c r="L2462" s="8"/>
      <c r="M2462" s="8"/>
      <c r="N2462" s="16"/>
    </row>
    <row r="2463">
      <c r="A2463" s="8"/>
      <c r="B2463" s="8"/>
      <c r="C2463" s="8"/>
      <c r="D2463" s="8"/>
      <c r="E2463" s="16"/>
      <c r="J2463" s="23"/>
      <c r="K2463" s="8"/>
      <c r="L2463" s="8"/>
      <c r="M2463" s="8"/>
      <c r="N2463" s="16"/>
    </row>
    <row r="2464">
      <c r="A2464" s="8"/>
      <c r="B2464" s="8"/>
      <c r="C2464" s="8"/>
      <c r="D2464" s="8"/>
      <c r="E2464" s="16"/>
      <c r="J2464" s="23"/>
      <c r="K2464" s="8"/>
      <c r="L2464" s="8"/>
      <c r="M2464" s="8"/>
      <c r="N2464" s="16"/>
    </row>
    <row r="2465">
      <c r="A2465" s="8"/>
      <c r="B2465" s="8"/>
      <c r="C2465" s="8"/>
      <c r="D2465" s="8"/>
      <c r="E2465" s="16"/>
      <c r="J2465" s="23"/>
      <c r="K2465" s="8"/>
      <c r="L2465" s="8"/>
      <c r="M2465" s="8"/>
      <c r="N2465" s="16"/>
    </row>
    <row r="2466">
      <c r="A2466" s="8"/>
      <c r="B2466" s="8"/>
      <c r="C2466" s="8"/>
      <c r="D2466" s="8"/>
      <c r="E2466" s="16"/>
      <c r="J2466" s="23"/>
      <c r="K2466" s="8"/>
      <c r="L2466" s="8"/>
      <c r="M2466" s="8"/>
      <c r="N2466" s="16"/>
    </row>
    <row r="2467">
      <c r="A2467" s="8"/>
      <c r="B2467" s="8"/>
      <c r="C2467" s="8"/>
      <c r="D2467" s="8"/>
      <c r="E2467" s="16"/>
      <c r="J2467" s="23"/>
      <c r="K2467" s="8"/>
      <c r="L2467" s="8"/>
      <c r="M2467" s="8"/>
      <c r="N2467" s="16"/>
    </row>
    <row r="2468">
      <c r="A2468" s="8"/>
      <c r="B2468" s="8"/>
      <c r="C2468" s="8"/>
      <c r="D2468" s="8"/>
      <c r="E2468" s="16"/>
      <c r="J2468" s="23"/>
      <c r="K2468" s="8"/>
      <c r="L2468" s="8"/>
      <c r="M2468" s="8"/>
      <c r="N2468" s="16"/>
    </row>
    <row r="2469">
      <c r="A2469" s="8"/>
      <c r="B2469" s="8"/>
      <c r="C2469" s="8"/>
      <c r="D2469" s="8"/>
      <c r="E2469" s="16"/>
      <c r="J2469" s="23"/>
      <c r="K2469" s="8"/>
      <c r="L2469" s="8"/>
      <c r="M2469" s="8"/>
      <c r="N2469" s="16"/>
    </row>
    <row r="2470">
      <c r="A2470" s="8"/>
      <c r="B2470" s="8"/>
      <c r="C2470" s="8"/>
      <c r="D2470" s="8"/>
      <c r="E2470" s="16"/>
      <c r="J2470" s="23"/>
      <c r="K2470" s="8"/>
      <c r="L2470" s="8"/>
      <c r="M2470" s="8"/>
      <c r="N2470" s="16"/>
    </row>
    <row r="2471">
      <c r="A2471" s="8"/>
      <c r="B2471" s="8"/>
      <c r="C2471" s="8"/>
      <c r="D2471" s="8"/>
      <c r="E2471" s="16"/>
      <c r="J2471" s="23"/>
      <c r="K2471" s="8"/>
      <c r="L2471" s="8"/>
      <c r="M2471" s="8"/>
      <c r="N2471" s="16"/>
    </row>
    <row r="2472">
      <c r="A2472" s="8"/>
      <c r="B2472" s="8"/>
      <c r="C2472" s="8"/>
      <c r="D2472" s="8"/>
      <c r="E2472" s="16"/>
      <c r="J2472" s="23"/>
      <c r="K2472" s="8"/>
      <c r="L2472" s="8"/>
      <c r="M2472" s="8"/>
      <c r="N2472" s="16"/>
    </row>
    <row r="2473">
      <c r="A2473" s="8"/>
      <c r="B2473" s="8"/>
      <c r="C2473" s="8"/>
      <c r="D2473" s="8"/>
      <c r="E2473" s="16"/>
      <c r="J2473" s="23"/>
      <c r="K2473" s="8"/>
      <c r="L2473" s="8"/>
      <c r="M2473" s="8"/>
      <c r="N2473" s="16"/>
    </row>
    <row r="2474">
      <c r="A2474" s="8"/>
      <c r="B2474" s="8"/>
      <c r="C2474" s="8"/>
      <c r="D2474" s="8"/>
      <c r="E2474" s="16"/>
      <c r="J2474" s="23"/>
      <c r="K2474" s="8"/>
      <c r="L2474" s="8"/>
      <c r="M2474" s="8"/>
      <c r="N2474" s="16"/>
    </row>
    <row r="2475">
      <c r="A2475" s="8"/>
      <c r="B2475" s="8"/>
      <c r="C2475" s="8"/>
      <c r="D2475" s="8"/>
      <c r="E2475" s="16"/>
      <c r="J2475" s="23"/>
      <c r="K2475" s="8"/>
      <c r="L2475" s="8"/>
      <c r="M2475" s="8"/>
      <c r="N2475" s="16"/>
    </row>
    <row r="2476">
      <c r="A2476" s="8"/>
      <c r="B2476" s="8"/>
      <c r="C2476" s="8"/>
      <c r="D2476" s="8"/>
      <c r="E2476" s="16"/>
      <c r="J2476" s="23"/>
      <c r="K2476" s="8"/>
      <c r="L2476" s="8"/>
      <c r="M2476" s="8"/>
      <c r="N2476" s="16"/>
    </row>
    <row r="2477">
      <c r="A2477" s="8"/>
      <c r="B2477" s="8"/>
      <c r="C2477" s="8"/>
      <c r="D2477" s="8"/>
      <c r="E2477" s="16"/>
      <c r="J2477" s="23"/>
      <c r="K2477" s="8"/>
      <c r="L2477" s="8"/>
      <c r="M2477" s="8"/>
      <c r="N2477" s="16"/>
    </row>
    <row r="2478">
      <c r="A2478" s="8"/>
      <c r="B2478" s="8"/>
      <c r="C2478" s="8"/>
      <c r="D2478" s="8"/>
      <c r="E2478" s="16"/>
      <c r="J2478" s="23"/>
      <c r="K2478" s="8"/>
      <c r="L2478" s="8"/>
      <c r="M2478" s="8"/>
      <c r="N2478" s="16"/>
    </row>
    <row r="2479">
      <c r="A2479" s="8"/>
      <c r="B2479" s="8"/>
      <c r="C2479" s="8"/>
      <c r="D2479" s="8"/>
      <c r="E2479" s="16"/>
      <c r="J2479" s="23"/>
      <c r="K2479" s="8"/>
      <c r="L2479" s="8"/>
      <c r="M2479" s="8"/>
      <c r="N2479" s="16"/>
    </row>
    <row r="2480">
      <c r="A2480" s="8"/>
      <c r="B2480" s="8"/>
      <c r="C2480" s="8"/>
      <c r="D2480" s="8"/>
      <c r="E2480" s="16"/>
      <c r="J2480" s="23"/>
      <c r="K2480" s="8"/>
      <c r="L2480" s="8"/>
      <c r="M2480" s="8"/>
      <c r="N2480" s="16"/>
    </row>
    <row r="2481">
      <c r="A2481" s="8"/>
      <c r="B2481" s="8"/>
      <c r="C2481" s="8"/>
      <c r="D2481" s="8"/>
      <c r="E2481" s="16"/>
      <c r="J2481" s="23"/>
      <c r="K2481" s="8"/>
      <c r="L2481" s="8"/>
      <c r="M2481" s="8"/>
      <c r="N2481" s="16"/>
    </row>
    <row r="2482">
      <c r="A2482" s="8"/>
      <c r="B2482" s="8"/>
      <c r="C2482" s="8"/>
      <c r="D2482" s="8"/>
      <c r="E2482" s="16"/>
      <c r="J2482" s="23"/>
      <c r="K2482" s="8"/>
      <c r="L2482" s="8"/>
      <c r="M2482" s="8"/>
      <c r="N2482" s="16"/>
    </row>
    <row r="2483">
      <c r="A2483" s="8"/>
      <c r="B2483" s="8"/>
      <c r="C2483" s="8"/>
      <c r="D2483" s="8"/>
      <c r="E2483" s="16"/>
      <c r="J2483" s="23"/>
      <c r="K2483" s="8"/>
      <c r="L2483" s="8"/>
      <c r="M2483" s="8"/>
      <c r="N2483" s="16"/>
    </row>
    <row r="2484">
      <c r="A2484" s="8"/>
      <c r="B2484" s="8"/>
      <c r="C2484" s="8"/>
      <c r="D2484" s="8"/>
      <c r="E2484" s="16"/>
      <c r="J2484" s="23"/>
      <c r="K2484" s="8"/>
      <c r="L2484" s="8"/>
      <c r="M2484" s="8"/>
      <c r="N2484" s="16"/>
    </row>
    <row r="2485">
      <c r="A2485" s="8"/>
      <c r="B2485" s="8"/>
      <c r="C2485" s="8"/>
      <c r="D2485" s="8"/>
      <c r="E2485" s="16"/>
      <c r="J2485" s="23"/>
      <c r="K2485" s="8"/>
      <c r="L2485" s="8"/>
      <c r="M2485" s="8"/>
      <c r="N2485" s="16"/>
    </row>
    <row r="2486">
      <c r="A2486" s="8"/>
      <c r="B2486" s="8"/>
      <c r="C2486" s="8"/>
      <c r="D2486" s="8"/>
      <c r="E2486" s="16"/>
      <c r="J2486" s="23"/>
      <c r="K2486" s="8"/>
      <c r="L2486" s="8"/>
      <c r="M2486" s="8"/>
      <c r="N2486" s="16"/>
    </row>
    <row r="2487">
      <c r="A2487" s="8"/>
      <c r="B2487" s="8"/>
      <c r="C2487" s="8"/>
      <c r="D2487" s="8"/>
      <c r="E2487" s="16"/>
      <c r="J2487" s="23"/>
      <c r="K2487" s="8"/>
      <c r="L2487" s="8"/>
      <c r="M2487" s="8"/>
      <c r="N2487" s="16"/>
    </row>
    <row r="2488">
      <c r="A2488" s="8"/>
      <c r="B2488" s="8"/>
      <c r="C2488" s="8"/>
      <c r="D2488" s="8"/>
      <c r="E2488" s="16"/>
      <c r="J2488" s="23"/>
      <c r="K2488" s="8"/>
      <c r="L2488" s="8"/>
      <c r="M2488" s="8"/>
      <c r="N2488" s="16"/>
    </row>
    <row r="2489">
      <c r="A2489" s="8"/>
      <c r="B2489" s="8"/>
      <c r="C2489" s="8"/>
      <c r="D2489" s="8"/>
      <c r="E2489" s="16"/>
      <c r="J2489" s="23"/>
      <c r="K2489" s="8"/>
      <c r="L2489" s="8"/>
      <c r="M2489" s="8"/>
      <c r="N2489" s="16"/>
    </row>
    <row r="2490">
      <c r="A2490" s="8"/>
      <c r="B2490" s="8"/>
      <c r="C2490" s="8"/>
      <c r="D2490" s="8"/>
      <c r="E2490" s="16"/>
      <c r="J2490" s="23"/>
      <c r="K2490" s="8"/>
      <c r="L2490" s="8"/>
      <c r="M2490" s="8"/>
      <c r="N2490" s="16"/>
    </row>
    <row r="2491">
      <c r="A2491" s="8"/>
      <c r="B2491" s="8"/>
      <c r="C2491" s="8"/>
      <c r="D2491" s="8"/>
      <c r="E2491" s="16"/>
      <c r="J2491" s="23"/>
      <c r="K2491" s="8"/>
      <c r="L2491" s="8"/>
      <c r="M2491" s="8"/>
      <c r="N2491" s="16"/>
    </row>
    <row r="2492">
      <c r="A2492" s="8"/>
      <c r="B2492" s="8"/>
      <c r="C2492" s="8"/>
      <c r="D2492" s="8"/>
      <c r="E2492" s="16"/>
      <c r="J2492" s="23"/>
      <c r="K2492" s="8"/>
      <c r="L2492" s="8"/>
      <c r="M2492" s="8"/>
      <c r="N2492" s="16"/>
    </row>
    <row r="2493">
      <c r="A2493" s="8"/>
      <c r="B2493" s="8"/>
      <c r="C2493" s="8"/>
      <c r="D2493" s="8"/>
      <c r="E2493" s="16"/>
      <c r="J2493" s="23"/>
      <c r="K2493" s="8"/>
      <c r="L2493" s="8"/>
      <c r="M2493" s="8"/>
      <c r="N2493" s="16"/>
    </row>
    <row r="2494">
      <c r="A2494" s="8"/>
      <c r="B2494" s="8"/>
      <c r="C2494" s="8"/>
      <c r="D2494" s="8"/>
      <c r="E2494" s="16"/>
      <c r="J2494" s="23"/>
      <c r="K2494" s="8"/>
      <c r="L2494" s="8"/>
      <c r="M2494" s="8"/>
      <c r="N2494" s="16"/>
    </row>
    <row r="2495">
      <c r="A2495" s="8"/>
      <c r="B2495" s="8"/>
      <c r="C2495" s="8"/>
      <c r="D2495" s="8"/>
      <c r="E2495" s="16"/>
      <c r="J2495" s="23"/>
      <c r="K2495" s="8"/>
      <c r="L2495" s="8"/>
      <c r="M2495" s="8"/>
      <c r="N2495" s="16"/>
    </row>
    <row r="2496">
      <c r="A2496" s="8"/>
      <c r="B2496" s="8"/>
      <c r="C2496" s="8"/>
      <c r="D2496" s="8"/>
      <c r="E2496" s="16"/>
      <c r="J2496" s="23"/>
      <c r="K2496" s="8"/>
      <c r="L2496" s="8"/>
      <c r="M2496" s="8"/>
      <c r="N2496" s="16"/>
    </row>
    <row r="2497">
      <c r="A2497" s="8"/>
      <c r="B2497" s="8"/>
      <c r="C2497" s="8"/>
      <c r="D2497" s="8"/>
      <c r="E2497" s="16"/>
      <c r="J2497" s="23"/>
      <c r="K2497" s="8"/>
      <c r="L2497" s="8"/>
      <c r="M2497" s="8"/>
      <c r="N2497" s="16"/>
    </row>
    <row r="2498">
      <c r="A2498" s="8"/>
      <c r="B2498" s="8"/>
      <c r="C2498" s="8"/>
      <c r="D2498" s="8"/>
      <c r="E2498" s="16"/>
      <c r="J2498" s="23"/>
      <c r="K2498" s="8"/>
      <c r="L2498" s="8"/>
      <c r="M2498" s="8"/>
      <c r="N2498" s="16"/>
    </row>
    <row r="2499">
      <c r="A2499" s="8"/>
      <c r="B2499" s="8"/>
      <c r="C2499" s="8"/>
      <c r="D2499" s="8"/>
      <c r="E2499" s="16"/>
      <c r="J2499" s="23"/>
      <c r="K2499" s="8"/>
      <c r="L2499" s="8"/>
      <c r="M2499" s="8"/>
      <c r="N2499" s="16"/>
    </row>
    <row r="2500">
      <c r="A2500" s="8"/>
      <c r="B2500" s="8"/>
      <c r="C2500" s="8"/>
      <c r="D2500" s="8"/>
      <c r="E2500" s="16"/>
      <c r="J2500" s="23"/>
      <c r="K2500" s="8"/>
      <c r="L2500" s="8"/>
      <c r="M2500" s="8"/>
      <c r="N2500" s="16"/>
    </row>
    <row r="2501">
      <c r="A2501" s="8"/>
      <c r="B2501" s="8"/>
      <c r="C2501" s="8"/>
      <c r="D2501" s="8"/>
      <c r="E2501" s="16"/>
      <c r="J2501" s="23"/>
      <c r="K2501" s="8"/>
      <c r="L2501" s="8"/>
      <c r="M2501" s="8"/>
      <c r="N2501" s="16"/>
    </row>
    <row r="2502">
      <c r="A2502" s="8"/>
      <c r="B2502" s="8"/>
      <c r="C2502" s="8"/>
      <c r="D2502" s="8"/>
      <c r="E2502" s="16"/>
      <c r="J2502" s="23"/>
      <c r="K2502" s="8"/>
      <c r="L2502" s="8"/>
      <c r="M2502" s="8"/>
      <c r="N2502" s="16"/>
    </row>
    <row r="2503">
      <c r="A2503" s="8"/>
      <c r="B2503" s="8"/>
      <c r="C2503" s="8"/>
      <c r="D2503" s="8"/>
      <c r="E2503" s="16"/>
      <c r="J2503" s="23"/>
      <c r="K2503" s="8"/>
      <c r="L2503" s="8"/>
      <c r="M2503" s="8"/>
      <c r="N2503" s="16"/>
    </row>
    <row r="2504">
      <c r="A2504" s="8"/>
      <c r="B2504" s="8"/>
      <c r="C2504" s="8"/>
      <c r="D2504" s="8"/>
      <c r="E2504" s="16"/>
      <c r="J2504" s="23"/>
      <c r="K2504" s="8"/>
      <c r="L2504" s="8"/>
      <c r="M2504" s="8"/>
      <c r="N2504" s="16"/>
    </row>
    <row r="2505">
      <c r="A2505" s="8"/>
      <c r="B2505" s="8"/>
      <c r="C2505" s="8"/>
      <c r="D2505" s="8"/>
      <c r="E2505" s="16"/>
      <c r="J2505" s="23"/>
      <c r="K2505" s="8"/>
      <c r="L2505" s="8"/>
      <c r="M2505" s="8"/>
      <c r="N2505" s="16"/>
    </row>
    <row r="2506">
      <c r="A2506" s="8"/>
      <c r="B2506" s="8"/>
      <c r="C2506" s="8"/>
      <c r="D2506" s="8"/>
      <c r="E2506" s="16"/>
      <c r="J2506" s="23"/>
      <c r="K2506" s="8"/>
      <c r="L2506" s="8"/>
      <c r="M2506" s="8"/>
      <c r="N2506" s="16"/>
    </row>
    <row r="2507">
      <c r="A2507" s="8"/>
      <c r="B2507" s="8"/>
      <c r="C2507" s="8"/>
      <c r="D2507" s="8"/>
      <c r="E2507" s="16"/>
      <c r="J2507" s="23"/>
      <c r="K2507" s="8"/>
      <c r="L2507" s="8"/>
      <c r="M2507" s="8"/>
      <c r="N2507" s="16"/>
    </row>
    <row r="2508">
      <c r="A2508" s="8"/>
      <c r="B2508" s="8"/>
      <c r="C2508" s="8"/>
      <c r="D2508" s="8"/>
      <c r="E2508" s="16"/>
      <c r="J2508" s="23"/>
      <c r="K2508" s="8"/>
      <c r="L2508" s="8"/>
      <c r="M2508" s="8"/>
      <c r="N2508" s="16"/>
    </row>
    <row r="2509">
      <c r="A2509" s="8"/>
      <c r="B2509" s="8"/>
      <c r="C2509" s="8"/>
      <c r="D2509" s="8"/>
      <c r="E2509" s="16"/>
      <c r="J2509" s="23"/>
      <c r="K2509" s="8"/>
      <c r="L2509" s="8"/>
      <c r="M2509" s="8"/>
      <c r="N2509" s="16"/>
    </row>
    <row r="2510">
      <c r="A2510" s="8"/>
      <c r="B2510" s="8"/>
      <c r="C2510" s="8"/>
      <c r="D2510" s="8"/>
      <c r="E2510" s="16"/>
      <c r="J2510" s="23"/>
      <c r="K2510" s="8"/>
      <c r="L2510" s="8"/>
      <c r="M2510" s="8"/>
      <c r="N2510" s="16"/>
    </row>
    <row r="2511">
      <c r="A2511" s="8"/>
      <c r="B2511" s="8"/>
      <c r="C2511" s="8"/>
      <c r="D2511" s="8"/>
      <c r="E2511" s="16"/>
      <c r="J2511" s="23"/>
      <c r="K2511" s="8"/>
      <c r="L2511" s="8"/>
      <c r="M2511" s="8"/>
      <c r="N2511" s="16"/>
    </row>
    <row r="2512">
      <c r="A2512" s="8"/>
      <c r="B2512" s="8"/>
      <c r="C2512" s="8"/>
      <c r="D2512" s="8"/>
      <c r="E2512" s="16"/>
      <c r="J2512" s="23"/>
      <c r="K2512" s="8"/>
      <c r="L2512" s="8"/>
      <c r="M2512" s="8"/>
      <c r="N2512" s="16"/>
    </row>
    <row r="2513">
      <c r="A2513" s="8"/>
      <c r="B2513" s="8"/>
      <c r="C2513" s="8"/>
      <c r="D2513" s="8"/>
      <c r="E2513" s="16"/>
      <c r="J2513" s="23"/>
      <c r="K2513" s="8"/>
      <c r="L2513" s="8"/>
      <c r="M2513" s="8"/>
      <c r="N2513" s="16"/>
    </row>
    <row r="2514">
      <c r="A2514" s="8"/>
      <c r="B2514" s="8"/>
      <c r="C2514" s="8"/>
      <c r="D2514" s="8"/>
      <c r="E2514" s="16"/>
      <c r="J2514" s="23"/>
      <c r="K2514" s="8"/>
      <c r="L2514" s="8"/>
      <c r="M2514" s="8"/>
      <c r="N2514" s="16"/>
    </row>
    <row r="2515">
      <c r="A2515" s="8"/>
      <c r="B2515" s="8"/>
      <c r="C2515" s="8"/>
      <c r="D2515" s="8"/>
      <c r="E2515" s="16"/>
      <c r="J2515" s="23"/>
      <c r="K2515" s="8"/>
      <c r="L2515" s="8"/>
      <c r="M2515" s="8"/>
      <c r="N2515" s="16"/>
    </row>
    <row r="2516">
      <c r="A2516" s="8"/>
      <c r="B2516" s="8"/>
      <c r="C2516" s="8"/>
      <c r="D2516" s="8"/>
      <c r="E2516" s="16"/>
      <c r="J2516" s="23"/>
      <c r="K2516" s="8"/>
      <c r="L2516" s="8"/>
      <c r="M2516" s="8"/>
      <c r="N2516" s="16"/>
    </row>
    <row r="2517">
      <c r="A2517" s="8"/>
      <c r="B2517" s="8"/>
      <c r="C2517" s="8"/>
      <c r="D2517" s="8"/>
      <c r="E2517" s="16"/>
      <c r="J2517" s="23"/>
      <c r="K2517" s="8"/>
      <c r="L2517" s="8"/>
      <c r="M2517" s="8"/>
      <c r="N2517" s="16"/>
    </row>
    <row r="2518">
      <c r="A2518" s="8"/>
      <c r="B2518" s="8"/>
      <c r="C2518" s="8"/>
      <c r="D2518" s="8"/>
      <c r="E2518" s="16"/>
      <c r="J2518" s="23"/>
      <c r="K2518" s="8"/>
      <c r="L2518" s="8"/>
      <c r="M2518" s="8"/>
      <c r="N2518" s="16"/>
    </row>
    <row r="2519">
      <c r="A2519" s="8"/>
      <c r="B2519" s="8"/>
      <c r="C2519" s="8"/>
      <c r="D2519" s="8"/>
      <c r="E2519" s="16"/>
      <c r="J2519" s="23"/>
      <c r="K2519" s="8"/>
      <c r="L2519" s="8"/>
      <c r="M2519" s="8"/>
      <c r="N2519" s="16"/>
    </row>
    <row r="2520">
      <c r="A2520" s="8"/>
      <c r="B2520" s="8"/>
      <c r="C2520" s="8"/>
      <c r="D2520" s="8"/>
      <c r="E2520" s="16"/>
      <c r="J2520" s="23"/>
      <c r="K2520" s="8"/>
      <c r="L2520" s="8"/>
      <c r="M2520" s="8"/>
      <c r="N2520" s="16"/>
    </row>
    <row r="2521">
      <c r="A2521" s="8"/>
      <c r="B2521" s="8"/>
      <c r="C2521" s="8"/>
      <c r="D2521" s="8"/>
      <c r="E2521" s="16"/>
      <c r="J2521" s="23"/>
      <c r="K2521" s="8"/>
      <c r="L2521" s="8"/>
      <c r="M2521" s="8"/>
      <c r="N2521" s="16"/>
    </row>
    <row r="2522">
      <c r="A2522" s="8"/>
      <c r="B2522" s="8"/>
      <c r="C2522" s="8"/>
      <c r="D2522" s="8"/>
      <c r="E2522" s="16"/>
      <c r="J2522" s="23"/>
      <c r="K2522" s="8"/>
      <c r="L2522" s="8"/>
      <c r="M2522" s="8"/>
      <c r="N2522" s="16"/>
    </row>
    <row r="2523">
      <c r="A2523" s="8"/>
      <c r="B2523" s="8"/>
      <c r="C2523" s="8"/>
      <c r="D2523" s="8"/>
      <c r="E2523" s="16"/>
      <c r="J2523" s="23"/>
      <c r="K2523" s="8"/>
      <c r="L2523" s="8"/>
      <c r="M2523" s="8"/>
      <c r="N2523" s="16"/>
    </row>
    <row r="2524">
      <c r="A2524" s="8"/>
      <c r="B2524" s="8"/>
      <c r="C2524" s="8"/>
      <c r="D2524" s="8"/>
      <c r="E2524" s="16"/>
      <c r="J2524" s="23"/>
      <c r="K2524" s="8"/>
      <c r="L2524" s="8"/>
      <c r="M2524" s="8"/>
      <c r="N2524" s="16"/>
    </row>
    <row r="2525">
      <c r="A2525" s="8"/>
      <c r="B2525" s="8"/>
      <c r="C2525" s="8"/>
      <c r="D2525" s="8"/>
      <c r="E2525" s="16"/>
      <c r="J2525" s="23"/>
      <c r="K2525" s="8"/>
      <c r="L2525" s="8"/>
      <c r="M2525" s="8"/>
      <c r="N2525" s="16"/>
    </row>
    <row r="2526">
      <c r="A2526" s="8"/>
      <c r="B2526" s="8"/>
      <c r="C2526" s="8"/>
      <c r="D2526" s="8"/>
      <c r="E2526" s="16"/>
      <c r="J2526" s="23"/>
      <c r="K2526" s="8"/>
      <c r="L2526" s="8"/>
      <c r="M2526" s="8"/>
      <c r="N2526" s="16"/>
    </row>
    <row r="2527">
      <c r="A2527" s="8"/>
      <c r="B2527" s="8"/>
      <c r="C2527" s="8"/>
      <c r="D2527" s="8"/>
      <c r="E2527" s="16"/>
      <c r="J2527" s="23"/>
      <c r="K2527" s="8"/>
      <c r="L2527" s="8"/>
      <c r="M2527" s="8"/>
      <c r="N2527" s="16"/>
    </row>
    <row r="2528">
      <c r="A2528" s="8"/>
      <c r="B2528" s="8"/>
      <c r="C2528" s="8"/>
      <c r="D2528" s="8"/>
      <c r="E2528" s="16"/>
      <c r="J2528" s="23"/>
      <c r="K2528" s="8"/>
      <c r="L2528" s="8"/>
      <c r="M2528" s="8"/>
      <c r="N2528" s="16"/>
    </row>
    <row r="2529">
      <c r="A2529" s="8"/>
      <c r="B2529" s="8"/>
      <c r="C2529" s="8"/>
      <c r="D2529" s="8"/>
      <c r="E2529" s="16"/>
      <c r="J2529" s="23"/>
      <c r="K2529" s="8"/>
      <c r="L2529" s="8"/>
      <c r="M2529" s="8"/>
      <c r="N2529" s="16"/>
    </row>
    <row r="2530">
      <c r="A2530" s="8"/>
      <c r="B2530" s="8"/>
      <c r="C2530" s="8"/>
      <c r="D2530" s="8"/>
      <c r="E2530" s="16"/>
      <c r="J2530" s="23"/>
      <c r="K2530" s="8"/>
      <c r="L2530" s="8"/>
      <c r="M2530" s="8"/>
      <c r="N2530" s="16"/>
    </row>
    <row r="2531">
      <c r="A2531" s="8"/>
      <c r="B2531" s="8"/>
      <c r="C2531" s="8"/>
      <c r="D2531" s="8"/>
      <c r="E2531" s="16"/>
      <c r="J2531" s="23"/>
      <c r="K2531" s="8"/>
      <c r="L2531" s="8"/>
      <c r="M2531" s="8"/>
      <c r="N2531" s="16"/>
    </row>
    <row r="2532">
      <c r="A2532" s="8"/>
      <c r="B2532" s="8"/>
      <c r="C2532" s="8"/>
      <c r="D2532" s="8"/>
      <c r="E2532" s="16"/>
      <c r="J2532" s="23"/>
      <c r="K2532" s="8"/>
      <c r="L2532" s="8"/>
      <c r="M2532" s="8"/>
      <c r="N2532" s="16"/>
    </row>
    <row r="2533">
      <c r="A2533" s="8"/>
      <c r="B2533" s="8"/>
      <c r="C2533" s="8"/>
      <c r="D2533" s="8"/>
      <c r="E2533" s="16"/>
      <c r="J2533" s="23"/>
      <c r="K2533" s="8"/>
      <c r="L2533" s="8"/>
      <c r="M2533" s="8"/>
      <c r="N2533" s="16"/>
    </row>
    <row r="2534">
      <c r="A2534" s="8"/>
      <c r="B2534" s="8"/>
      <c r="C2534" s="8"/>
      <c r="D2534" s="8"/>
      <c r="E2534" s="16"/>
      <c r="J2534" s="23"/>
      <c r="K2534" s="8"/>
      <c r="L2534" s="8"/>
      <c r="M2534" s="8"/>
      <c r="N2534" s="16"/>
    </row>
    <row r="2535">
      <c r="A2535" s="8"/>
      <c r="B2535" s="8"/>
      <c r="C2535" s="8"/>
      <c r="D2535" s="8"/>
      <c r="E2535" s="16"/>
      <c r="J2535" s="23"/>
      <c r="K2535" s="8"/>
      <c r="L2535" s="8"/>
      <c r="M2535" s="8"/>
      <c r="N2535" s="16"/>
    </row>
    <row r="2536">
      <c r="A2536" s="8"/>
      <c r="B2536" s="8"/>
      <c r="C2536" s="8"/>
      <c r="D2536" s="8"/>
      <c r="E2536" s="16"/>
      <c r="J2536" s="23"/>
      <c r="K2536" s="8"/>
      <c r="L2536" s="8"/>
      <c r="M2536" s="8"/>
      <c r="N2536" s="16"/>
    </row>
    <row r="2537">
      <c r="A2537" s="8"/>
      <c r="B2537" s="8"/>
      <c r="C2537" s="8"/>
      <c r="D2537" s="8"/>
      <c r="E2537" s="16"/>
      <c r="J2537" s="23"/>
      <c r="K2537" s="8"/>
      <c r="L2537" s="8"/>
      <c r="M2537" s="8"/>
      <c r="N2537" s="16"/>
    </row>
    <row r="2538">
      <c r="A2538" s="8"/>
      <c r="B2538" s="8"/>
      <c r="C2538" s="8"/>
      <c r="D2538" s="8"/>
      <c r="E2538" s="16"/>
      <c r="J2538" s="23"/>
      <c r="K2538" s="8"/>
      <c r="L2538" s="8"/>
      <c r="M2538" s="8"/>
      <c r="N2538" s="16"/>
    </row>
    <row r="2539">
      <c r="A2539" s="8"/>
      <c r="B2539" s="8"/>
      <c r="C2539" s="8"/>
      <c r="D2539" s="8"/>
      <c r="E2539" s="16"/>
      <c r="J2539" s="23"/>
      <c r="K2539" s="8"/>
      <c r="L2539" s="8"/>
      <c r="M2539" s="8"/>
      <c r="N2539" s="16"/>
    </row>
    <row r="2540">
      <c r="A2540" s="8"/>
      <c r="B2540" s="8"/>
      <c r="C2540" s="8"/>
      <c r="D2540" s="8"/>
      <c r="E2540" s="16"/>
      <c r="J2540" s="23"/>
      <c r="K2540" s="8"/>
      <c r="L2540" s="8"/>
      <c r="M2540" s="8"/>
      <c r="N2540" s="16"/>
    </row>
    <row r="2541">
      <c r="A2541" s="8"/>
      <c r="B2541" s="8"/>
      <c r="C2541" s="8"/>
      <c r="D2541" s="8"/>
      <c r="E2541" s="16"/>
      <c r="J2541" s="23"/>
      <c r="K2541" s="8"/>
      <c r="L2541" s="8"/>
      <c r="M2541" s="8"/>
      <c r="N2541" s="16"/>
    </row>
    <row r="2542">
      <c r="A2542" s="8"/>
      <c r="B2542" s="8"/>
      <c r="C2542" s="8"/>
      <c r="D2542" s="8"/>
      <c r="E2542" s="16"/>
      <c r="J2542" s="23"/>
      <c r="K2542" s="8"/>
      <c r="L2542" s="8"/>
      <c r="M2542" s="8"/>
      <c r="N2542" s="16"/>
    </row>
    <row r="2543">
      <c r="A2543" s="8"/>
      <c r="B2543" s="8"/>
      <c r="C2543" s="8"/>
      <c r="D2543" s="8"/>
      <c r="E2543" s="16"/>
      <c r="J2543" s="23"/>
      <c r="K2543" s="8"/>
      <c r="L2543" s="8"/>
      <c r="M2543" s="8"/>
      <c r="N2543" s="16"/>
    </row>
    <row r="2544">
      <c r="A2544" s="8"/>
      <c r="B2544" s="8"/>
      <c r="C2544" s="8"/>
      <c r="D2544" s="8"/>
      <c r="E2544" s="16"/>
      <c r="J2544" s="23"/>
      <c r="K2544" s="8"/>
      <c r="L2544" s="8"/>
      <c r="M2544" s="8"/>
      <c r="N2544" s="16"/>
    </row>
    <row r="2545">
      <c r="A2545" s="8"/>
      <c r="B2545" s="8"/>
      <c r="C2545" s="8"/>
      <c r="D2545" s="8"/>
      <c r="E2545" s="16"/>
      <c r="J2545" s="23"/>
      <c r="K2545" s="8"/>
      <c r="L2545" s="8"/>
      <c r="M2545" s="8"/>
      <c r="N2545" s="16"/>
    </row>
    <row r="2546">
      <c r="A2546" s="8"/>
      <c r="B2546" s="8"/>
      <c r="C2546" s="8"/>
      <c r="D2546" s="8"/>
      <c r="E2546" s="16"/>
      <c r="J2546" s="23"/>
      <c r="K2546" s="8"/>
      <c r="L2546" s="8"/>
      <c r="M2546" s="8"/>
      <c r="N2546" s="16"/>
    </row>
    <row r="2547">
      <c r="A2547" s="8"/>
      <c r="B2547" s="8"/>
      <c r="C2547" s="8"/>
      <c r="D2547" s="8"/>
      <c r="E2547" s="16"/>
      <c r="J2547" s="23"/>
      <c r="K2547" s="8"/>
      <c r="L2547" s="8"/>
      <c r="M2547" s="8"/>
      <c r="N2547" s="16"/>
    </row>
    <row r="2548">
      <c r="A2548" s="8"/>
      <c r="B2548" s="8"/>
      <c r="C2548" s="8"/>
      <c r="D2548" s="8"/>
      <c r="E2548" s="16"/>
      <c r="J2548" s="23"/>
      <c r="K2548" s="8"/>
      <c r="L2548" s="8"/>
      <c r="M2548" s="8"/>
      <c r="N2548" s="16"/>
    </row>
    <row r="2549">
      <c r="A2549" s="8"/>
      <c r="B2549" s="8"/>
      <c r="C2549" s="8"/>
      <c r="D2549" s="8"/>
      <c r="E2549" s="16"/>
      <c r="J2549" s="23"/>
      <c r="K2549" s="8"/>
      <c r="L2549" s="8"/>
      <c r="M2549" s="8"/>
      <c r="N2549" s="16"/>
    </row>
    <row r="2550">
      <c r="A2550" s="8"/>
      <c r="B2550" s="8"/>
      <c r="C2550" s="8"/>
      <c r="D2550" s="8"/>
      <c r="E2550" s="16"/>
      <c r="J2550" s="23"/>
      <c r="K2550" s="8"/>
      <c r="L2550" s="8"/>
      <c r="M2550" s="8"/>
      <c r="N2550" s="16"/>
    </row>
    <row r="2551">
      <c r="A2551" s="8"/>
      <c r="B2551" s="8"/>
      <c r="C2551" s="8"/>
      <c r="D2551" s="8"/>
      <c r="E2551" s="16"/>
      <c r="J2551" s="23"/>
      <c r="K2551" s="8"/>
      <c r="L2551" s="8"/>
      <c r="M2551" s="8"/>
      <c r="N2551" s="16"/>
    </row>
    <row r="2552">
      <c r="A2552" s="8"/>
      <c r="B2552" s="8"/>
      <c r="C2552" s="8"/>
      <c r="D2552" s="8"/>
      <c r="E2552" s="16"/>
      <c r="J2552" s="23"/>
      <c r="K2552" s="8"/>
      <c r="L2552" s="8"/>
      <c r="M2552" s="8"/>
      <c r="N2552" s="16"/>
    </row>
    <row r="2553">
      <c r="A2553" s="8"/>
      <c r="B2553" s="8"/>
      <c r="C2553" s="8"/>
      <c r="D2553" s="8"/>
      <c r="E2553" s="16"/>
      <c r="J2553" s="23"/>
      <c r="K2553" s="8"/>
      <c r="L2553" s="8"/>
      <c r="M2553" s="8"/>
      <c r="N2553" s="16"/>
    </row>
    <row r="2554">
      <c r="A2554" s="8"/>
      <c r="B2554" s="8"/>
      <c r="C2554" s="8"/>
      <c r="D2554" s="8"/>
      <c r="E2554" s="16"/>
      <c r="J2554" s="23"/>
      <c r="K2554" s="8"/>
      <c r="L2554" s="8"/>
      <c r="M2554" s="8"/>
      <c r="N2554" s="16"/>
    </row>
    <row r="2555">
      <c r="A2555" s="8"/>
      <c r="B2555" s="8"/>
      <c r="C2555" s="8"/>
      <c r="D2555" s="8"/>
      <c r="E2555" s="16"/>
      <c r="J2555" s="23"/>
      <c r="K2555" s="8"/>
      <c r="L2555" s="8"/>
      <c r="M2555" s="8"/>
      <c r="N2555" s="16"/>
    </row>
    <row r="2556">
      <c r="A2556" s="8"/>
      <c r="B2556" s="8"/>
      <c r="C2556" s="8"/>
      <c r="D2556" s="8"/>
      <c r="E2556" s="16"/>
      <c r="J2556" s="23"/>
      <c r="K2556" s="8"/>
      <c r="L2556" s="8"/>
      <c r="M2556" s="8"/>
      <c r="N2556" s="16"/>
    </row>
    <row r="2557">
      <c r="A2557" s="8"/>
      <c r="B2557" s="8"/>
      <c r="C2557" s="8"/>
      <c r="D2557" s="8"/>
      <c r="E2557" s="16"/>
      <c r="J2557" s="23"/>
      <c r="K2557" s="8"/>
      <c r="L2557" s="8"/>
      <c r="M2557" s="8"/>
      <c r="N2557" s="16"/>
    </row>
    <row r="2558">
      <c r="A2558" s="8"/>
      <c r="B2558" s="8"/>
      <c r="C2558" s="8"/>
      <c r="D2558" s="8"/>
      <c r="E2558" s="16"/>
      <c r="J2558" s="23"/>
      <c r="K2558" s="8"/>
      <c r="L2558" s="8"/>
      <c r="M2558" s="8"/>
      <c r="N2558" s="16"/>
    </row>
    <row r="2559">
      <c r="A2559" s="8"/>
      <c r="B2559" s="8"/>
      <c r="C2559" s="8"/>
      <c r="D2559" s="8"/>
      <c r="E2559" s="16"/>
      <c r="J2559" s="23"/>
      <c r="K2559" s="8"/>
      <c r="L2559" s="8"/>
      <c r="M2559" s="8"/>
      <c r="N2559" s="16"/>
    </row>
    <row r="2560">
      <c r="A2560" s="8"/>
      <c r="B2560" s="8"/>
      <c r="C2560" s="8"/>
      <c r="D2560" s="8"/>
      <c r="E2560" s="16"/>
      <c r="J2560" s="23"/>
      <c r="K2560" s="8"/>
      <c r="L2560" s="8"/>
      <c r="M2560" s="8"/>
      <c r="N2560" s="16"/>
    </row>
    <row r="2561">
      <c r="A2561" s="8"/>
      <c r="B2561" s="8"/>
      <c r="C2561" s="8"/>
      <c r="D2561" s="8"/>
      <c r="E2561" s="16"/>
      <c r="J2561" s="23"/>
      <c r="K2561" s="8"/>
      <c r="L2561" s="8"/>
      <c r="M2561" s="8"/>
      <c r="N2561" s="16"/>
    </row>
    <row r="2562">
      <c r="A2562" s="8"/>
      <c r="B2562" s="8"/>
      <c r="C2562" s="8"/>
      <c r="D2562" s="8"/>
      <c r="E2562" s="16"/>
      <c r="J2562" s="23"/>
      <c r="K2562" s="8"/>
      <c r="L2562" s="8"/>
      <c r="M2562" s="8"/>
      <c r="N2562" s="16"/>
    </row>
    <row r="2563">
      <c r="A2563" s="8"/>
      <c r="B2563" s="8"/>
      <c r="C2563" s="8"/>
      <c r="D2563" s="8"/>
      <c r="E2563" s="16"/>
      <c r="J2563" s="23"/>
      <c r="K2563" s="8"/>
      <c r="L2563" s="8"/>
      <c r="M2563" s="8"/>
      <c r="N2563" s="16"/>
    </row>
    <row r="2564">
      <c r="A2564" s="8"/>
      <c r="B2564" s="8"/>
      <c r="C2564" s="8"/>
      <c r="D2564" s="8"/>
      <c r="E2564" s="16"/>
      <c r="J2564" s="23"/>
      <c r="K2564" s="8"/>
      <c r="L2564" s="8"/>
      <c r="M2564" s="8"/>
      <c r="N2564" s="16"/>
    </row>
    <row r="2565">
      <c r="A2565" s="8"/>
      <c r="B2565" s="8"/>
      <c r="C2565" s="8"/>
      <c r="D2565" s="8"/>
      <c r="E2565" s="16"/>
      <c r="J2565" s="23"/>
      <c r="K2565" s="8"/>
      <c r="L2565" s="8"/>
      <c r="M2565" s="8"/>
      <c r="N2565" s="16"/>
    </row>
    <row r="2566">
      <c r="A2566" s="8"/>
      <c r="B2566" s="8"/>
      <c r="C2566" s="8"/>
      <c r="D2566" s="8"/>
      <c r="E2566" s="16"/>
      <c r="J2566" s="23"/>
      <c r="K2566" s="8"/>
      <c r="L2566" s="8"/>
      <c r="M2566" s="8"/>
      <c r="N2566" s="16"/>
    </row>
    <row r="2567">
      <c r="A2567" s="8"/>
      <c r="B2567" s="8"/>
      <c r="C2567" s="8"/>
      <c r="D2567" s="8"/>
      <c r="E2567" s="16"/>
      <c r="J2567" s="23"/>
      <c r="K2567" s="8"/>
      <c r="L2567" s="8"/>
      <c r="M2567" s="8"/>
      <c r="N2567" s="16"/>
    </row>
    <row r="2568">
      <c r="A2568" s="8"/>
      <c r="B2568" s="8"/>
      <c r="C2568" s="8"/>
      <c r="D2568" s="8"/>
      <c r="E2568" s="16"/>
      <c r="J2568" s="23"/>
      <c r="K2568" s="8"/>
      <c r="L2568" s="8"/>
      <c r="M2568" s="8"/>
      <c r="N2568" s="16"/>
    </row>
    <row r="2569">
      <c r="A2569" s="8"/>
      <c r="B2569" s="8"/>
      <c r="C2569" s="8"/>
      <c r="D2569" s="8"/>
      <c r="E2569" s="16"/>
      <c r="J2569" s="23"/>
      <c r="K2569" s="8"/>
      <c r="L2569" s="8"/>
      <c r="M2569" s="8"/>
      <c r="N2569" s="16"/>
    </row>
    <row r="2570">
      <c r="A2570" s="8"/>
      <c r="B2570" s="8"/>
      <c r="C2570" s="8"/>
      <c r="D2570" s="8"/>
      <c r="E2570" s="16"/>
      <c r="J2570" s="23"/>
      <c r="K2570" s="8"/>
      <c r="L2570" s="8"/>
      <c r="M2570" s="8"/>
      <c r="N2570" s="16"/>
    </row>
    <row r="2571">
      <c r="A2571" s="8"/>
      <c r="B2571" s="8"/>
      <c r="C2571" s="8"/>
      <c r="D2571" s="8"/>
      <c r="E2571" s="16"/>
      <c r="J2571" s="23"/>
      <c r="K2571" s="8"/>
      <c r="L2571" s="8"/>
      <c r="M2571" s="8"/>
      <c r="N2571" s="16"/>
    </row>
    <row r="2572">
      <c r="A2572" s="8"/>
      <c r="B2572" s="8"/>
      <c r="C2572" s="8"/>
      <c r="D2572" s="8"/>
      <c r="E2572" s="16"/>
      <c r="J2572" s="23"/>
      <c r="K2572" s="8"/>
      <c r="L2572" s="8"/>
      <c r="M2572" s="8"/>
      <c r="N2572" s="16"/>
    </row>
    <row r="2573">
      <c r="A2573" s="8"/>
      <c r="B2573" s="8"/>
      <c r="C2573" s="8"/>
      <c r="D2573" s="8"/>
      <c r="E2573" s="16"/>
      <c r="J2573" s="23"/>
      <c r="K2573" s="8"/>
      <c r="L2573" s="8"/>
      <c r="M2573" s="8"/>
      <c r="N2573" s="16"/>
    </row>
    <row r="2574">
      <c r="A2574" s="8"/>
      <c r="B2574" s="8"/>
      <c r="C2574" s="8"/>
      <c r="D2574" s="8"/>
      <c r="E2574" s="16"/>
      <c r="J2574" s="23"/>
      <c r="K2574" s="8"/>
      <c r="L2574" s="8"/>
      <c r="M2574" s="8"/>
      <c r="N2574" s="16"/>
    </row>
    <row r="2575">
      <c r="A2575" s="8"/>
      <c r="B2575" s="8"/>
      <c r="C2575" s="8"/>
      <c r="D2575" s="8"/>
      <c r="E2575" s="16"/>
      <c r="J2575" s="23"/>
      <c r="K2575" s="8"/>
      <c r="L2575" s="8"/>
      <c r="M2575" s="8"/>
      <c r="N2575" s="16"/>
    </row>
    <row r="2576">
      <c r="A2576" s="8"/>
      <c r="B2576" s="8"/>
      <c r="C2576" s="8"/>
      <c r="D2576" s="8"/>
      <c r="E2576" s="16"/>
      <c r="J2576" s="23"/>
      <c r="K2576" s="8"/>
      <c r="L2576" s="8"/>
      <c r="M2576" s="8"/>
      <c r="N2576" s="16"/>
    </row>
    <row r="2577">
      <c r="A2577" s="8"/>
      <c r="B2577" s="8"/>
      <c r="C2577" s="8"/>
      <c r="D2577" s="8"/>
      <c r="E2577" s="16"/>
      <c r="J2577" s="23"/>
      <c r="K2577" s="8"/>
      <c r="L2577" s="8"/>
      <c r="M2577" s="8"/>
      <c r="N2577" s="16"/>
    </row>
    <row r="2578">
      <c r="A2578" s="8"/>
      <c r="B2578" s="8"/>
      <c r="C2578" s="8"/>
      <c r="D2578" s="8"/>
      <c r="E2578" s="16"/>
      <c r="J2578" s="23"/>
      <c r="K2578" s="8"/>
      <c r="L2578" s="8"/>
      <c r="M2578" s="8"/>
      <c r="N2578" s="16"/>
    </row>
    <row r="2579">
      <c r="A2579" s="8"/>
      <c r="B2579" s="8"/>
      <c r="C2579" s="8"/>
      <c r="D2579" s="8"/>
      <c r="E2579" s="16"/>
      <c r="J2579" s="23"/>
      <c r="K2579" s="8"/>
      <c r="L2579" s="8"/>
      <c r="M2579" s="8"/>
      <c r="N2579" s="16"/>
    </row>
    <row r="2580">
      <c r="A2580" s="8"/>
      <c r="B2580" s="8"/>
      <c r="C2580" s="8"/>
      <c r="D2580" s="8"/>
      <c r="E2580" s="16"/>
      <c r="J2580" s="23"/>
      <c r="K2580" s="8"/>
      <c r="L2580" s="8"/>
      <c r="M2580" s="8"/>
      <c r="N2580" s="16"/>
    </row>
    <row r="2581">
      <c r="A2581" s="8"/>
      <c r="B2581" s="8"/>
      <c r="C2581" s="8"/>
      <c r="D2581" s="8"/>
      <c r="E2581" s="16"/>
      <c r="J2581" s="23"/>
      <c r="K2581" s="8"/>
      <c r="L2581" s="8"/>
      <c r="M2581" s="8"/>
      <c r="N2581" s="16"/>
    </row>
    <row r="2582">
      <c r="A2582" s="8"/>
      <c r="B2582" s="8"/>
      <c r="C2582" s="8"/>
      <c r="D2582" s="8"/>
      <c r="E2582" s="16"/>
      <c r="J2582" s="23"/>
      <c r="K2582" s="8"/>
      <c r="L2582" s="8"/>
      <c r="M2582" s="8"/>
      <c r="N2582" s="16"/>
    </row>
    <row r="2583">
      <c r="A2583" s="8"/>
      <c r="B2583" s="8"/>
      <c r="C2583" s="8"/>
      <c r="D2583" s="8"/>
      <c r="E2583" s="16"/>
      <c r="J2583" s="23"/>
      <c r="K2583" s="8"/>
      <c r="L2583" s="8"/>
      <c r="M2583" s="8"/>
      <c r="N2583" s="16"/>
    </row>
    <row r="2584">
      <c r="A2584" s="8"/>
      <c r="B2584" s="8"/>
      <c r="C2584" s="8"/>
      <c r="D2584" s="8"/>
      <c r="E2584" s="16"/>
      <c r="J2584" s="23"/>
      <c r="K2584" s="8"/>
      <c r="L2584" s="8"/>
      <c r="M2584" s="8"/>
      <c r="N2584" s="16"/>
    </row>
    <row r="2585">
      <c r="A2585" s="8"/>
      <c r="B2585" s="8"/>
      <c r="C2585" s="8"/>
      <c r="D2585" s="8"/>
      <c r="E2585" s="16"/>
      <c r="J2585" s="23"/>
      <c r="K2585" s="8"/>
      <c r="L2585" s="8"/>
      <c r="M2585" s="8"/>
      <c r="N2585" s="16"/>
    </row>
    <row r="2586">
      <c r="A2586" s="8"/>
      <c r="B2586" s="8"/>
      <c r="C2586" s="8"/>
      <c r="D2586" s="8"/>
      <c r="E2586" s="16"/>
      <c r="J2586" s="23"/>
      <c r="K2586" s="8"/>
      <c r="L2586" s="8"/>
      <c r="M2586" s="8"/>
      <c r="N2586" s="16"/>
    </row>
    <row r="2587">
      <c r="A2587" s="8"/>
      <c r="B2587" s="8"/>
      <c r="C2587" s="8"/>
      <c r="D2587" s="8"/>
      <c r="E2587" s="16"/>
      <c r="J2587" s="23"/>
      <c r="K2587" s="8"/>
      <c r="L2587" s="8"/>
      <c r="M2587" s="8"/>
      <c r="N2587" s="16"/>
    </row>
    <row r="2588">
      <c r="A2588" s="8"/>
      <c r="B2588" s="8"/>
      <c r="C2588" s="8"/>
      <c r="D2588" s="8"/>
      <c r="E2588" s="16"/>
      <c r="J2588" s="23"/>
      <c r="K2588" s="8"/>
      <c r="L2588" s="8"/>
      <c r="M2588" s="8"/>
      <c r="N2588" s="16"/>
    </row>
    <row r="2589">
      <c r="A2589" s="8"/>
      <c r="B2589" s="8"/>
      <c r="C2589" s="8"/>
      <c r="D2589" s="8"/>
      <c r="E2589" s="16"/>
      <c r="J2589" s="23"/>
      <c r="K2589" s="8"/>
      <c r="L2589" s="8"/>
      <c r="M2589" s="8"/>
      <c r="N2589" s="16"/>
    </row>
    <row r="2590">
      <c r="A2590" s="8"/>
      <c r="B2590" s="8"/>
      <c r="C2590" s="8"/>
      <c r="D2590" s="8"/>
      <c r="E2590" s="16"/>
      <c r="J2590" s="23"/>
      <c r="K2590" s="8"/>
      <c r="L2590" s="8"/>
      <c r="M2590" s="8"/>
      <c r="N2590" s="16"/>
    </row>
    <row r="2591">
      <c r="A2591" s="8"/>
      <c r="B2591" s="8"/>
      <c r="C2591" s="8"/>
      <c r="D2591" s="8"/>
      <c r="E2591" s="16"/>
      <c r="J2591" s="23"/>
      <c r="K2591" s="8"/>
      <c r="L2591" s="8"/>
      <c r="M2591" s="8"/>
      <c r="N2591" s="16"/>
    </row>
    <row r="2592">
      <c r="A2592" s="8"/>
      <c r="B2592" s="8"/>
      <c r="C2592" s="8"/>
      <c r="D2592" s="8"/>
      <c r="E2592" s="16"/>
      <c r="J2592" s="23"/>
      <c r="K2592" s="8"/>
      <c r="L2592" s="8"/>
      <c r="M2592" s="8"/>
      <c r="N2592" s="16"/>
    </row>
    <row r="2593">
      <c r="A2593" s="8"/>
      <c r="B2593" s="8"/>
      <c r="C2593" s="8"/>
      <c r="D2593" s="8"/>
      <c r="E2593" s="16"/>
      <c r="J2593" s="23"/>
      <c r="K2593" s="8"/>
      <c r="L2593" s="8"/>
      <c r="M2593" s="8"/>
      <c r="N2593" s="16"/>
    </row>
    <row r="2594">
      <c r="A2594" s="8"/>
      <c r="B2594" s="8"/>
      <c r="C2594" s="8"/>
      <c r="D2594" s="8"/>
      <c r="E2594" s="16"/>
      <c r="J2594" s="23"/>
      <c r="K2594" s="8"/>
      <c r="L2594" s="8"/>
      <c r="M2594" s="8"/>
      <c r="N2594" s="16"/>
    </row>
    <row r="2595">
      <c r="A2595" s="8"/>
      <c r="B2595" s="8"/>
      <c r="C2595" s="8"/>
      <c r="D2595" s="8"/>
      <c r="E2595" s="16"/>
      <c r="J2595" s="23"/>
      <c r="K2595" s="8"/>
      <c r="L2595" s="8"/>
      <c r="M2595" s="8"/>
      <c r="N2595" s="16"/>
    </row>
    <row r="2596">
      <c r="A2596" s="8"/>
      <c r="B2596" s="8"/>
      <c r="C2596" s="8"/>
      <c r="D2596" s="8"/>
      <c r="E2596" s="16"/>
      <c r="J2596" s="23"/>
      <c r="K2596" s="8"/>
      <c r="L2596" s="8"/>
      <c r="M2596" s="8"/>
      <c r="N2596" s="16"/>
    </row>
    <row r="2597">
      <c r="A2597" s="8"/>
      <c r="B2597" s="8"/>
      <c r="C2597" s="8"/>
      <c r="D2597" s="8"/>
      <c r="E2597" s="16"/>
      <c r="J2597" s="23"/>
      <c r="K2597" s="8"/>
      <c r="L2597" s="8"/>
      <c r="M2597" s="8"/>
      <c r="N2597" s="16"/>
    </row>
    <row r="2598">
      <c r="A2598" s="8"/>
      <c r="B2598" s="8"/>
      <c r="C2598" s="8"/>
      <c r="D2598" s="8"/>
      <c r="E2598" s="16"/>
      <c r="J2598" s="23"/>
      <c r="K2598" s="8"/>
      <c r="L2598" s="8"/>
      <c r="M2598" s="8"/>
      <c r="N2598" s="16"/>
    </row>
    <row r="2599">
      <c r="A2599" s="8"/>
      <c r="B2599" s="8"/>
      <c r="C2599" s="8"/>
      <c r="D2599" s="8"/>
      <c r="E2599" s="16"/>
      <c r="J2599" s="23"/>
      <c r="K2599" s="8"/>
      <c r="L2599" s="8"/>
      <c r="M2599" s="8"/>
      <c r="N2599" s="16"/>
    </row>
    <row r="2600">
      <c r="A2600" s="8"/>
      <c r="B2600" s="8"/>
      <c r="C2600" s="8"/>
      <c r="D2600" s="8"/>
      <c r="E2600" s="16"/>
      <c r="J2600" s="23"/>
      <c r="K2600" s="8"/>
      <c r="L2600" s="8"/>
      <c r="M2600" s="8"/>
      <c r="N2600" s="16"/>
    </row>
    <row r="2601">
      <c r="A2601" s="8"/>
      <c r="B2601" s="8"/>
      <c r="C2601" s="8"/>
      <c r="D2601" s="8"/>
      <c r="E2601" s="16"/>
      <c r="J2601" s="23"/>
      <c r="K2601" s="8"/>
      <c r="L2601" s="8"/>
      <c r="M2601" s="8"/>
      <c r="N2601" s="16"/>
    </row>
    <row r="2602">
      <c r="A2602" s="8"/>
      <c r="B2602" s="8"/>
      <c r="C2602" s="8"/>
      <c r="D2602" s="8"/>
      <c r="E2602" s="16"/>
      <c r="J2602" s="23"/>
      <c r="K2602" s="8"/>
      <c r="L2602" s="8"/>
      <c r="M2602" s="8"/>
      <c r="N2602" s="16"/>
    </row>
    <row r="2603">
      <c r="A2603" s="8"/>
      <c r="B2603" s="8"/>
      <c r="C2603" s="8"/>
      <c r="D2603" s="8"/>
      <c r="E2603" s="16"/>
      <c r="J2603" s="23"/>
      <c r="K2603" s="8"/>
      <c r="L2603" s="8"/>
      <c r="M2603" s="8"/>
      <c r="N2603" s="16"/>
    </row>
    <row r="2604">
      <c r="A2604" s="8"/>
      <c r="B2604" s="8"/>
      <c r="C2604" s="8"/>
      <c r="D2604" s="8"/>
      <c r="E2604" s="16"/>
      <c r="J2604" s="23"/>
      <c r="K2604" s="8"/>
      <c r="L2604" s="8"/>
      <c r="M2604" s="8"/>
      <c r="N2604" s="16"/>
    </row>
    <row r="2605">
      <c r="A2605" s="8"/>
      <c r="B2605" s="8"/>
      <c r="C2605" s="8"/>
      <c r="D2605" s="8"/>
      <c r="E2605" s="16"/>
      <c r="J2605" s="23"/>
      <c r="K2605" s="8"/>
      <c r="L2605" s="8"/>
      <c r="M2605" s="8"/>
      <c r="N2605" s="16"/>
    </row>
    <row r="2606">
      <c r="A2606" s="8"/>
      <c r="B2606" s="8"/>
      <c r="C2606" s="8"/>
      <c r="D2606" s="8"/>
      <c r="E2606" s="16"/>
      <c r="J2606" s="23"/>
      <c r="K2606" s="8"/>
      <c r="L2606" s="8"/>
      <c r="M2606" s="8"/>
      <c r="N2606" s="16"/>
    </row>
    <row r="2607">
      <c r="A2607" s="8"/>
      <c r="B2607" s="8"/>
      <c r="C2607" s="8"/>
      <c r="D2607" s="8"/>
      <c r="E2607" s="16"/>
      <c r="J2607" s="23"/>
      <c r="K2607" s="8"/>
      <c r="L2607" s="8"/>
      <c r="M2607" s="8"/>
      <c r="N2607" s="16"/>
    </row>
    <row r="2608">
      <c r="A2608" s="8"/>
      <c r="B2608" s="8"/>
      <c r="C2608" s="8"/>
      <c r="D2608" s="8"/>
      <c r="E2608" s="16"/>
      <c r="J2608" s="23"/>
      <c r="K2608" s="8"/>
      <c r="L2608" s="8"/>
      <c r="M2608" s="8"/>
      <c r="N2608" s="16"/>
    </row>
    <row r="2609">
      <c r="A2609" s="8"/>
      <c r="B2609" s="8"/>
      <c r="C2609" s="8"/>
      <c r="D2609" s="8"/>
      <c r="E2609" s="16"/>
      <c r="J2609" s="23"/>
      <c r="K2609" s="8"/>
      <c r="L2609" s="8"/>
      <c r="M2609" s="8"/>
      <c r="N2609" s="16"/>
    </row>
    <row r="2610">
      <c r="A2610" s="8"/>
      <c r="B2610" s="8"/>
      <c r="C2610" s="8"/>
      <c r="D2610" s="8"/>
      <c r="E2610" s="16"/>
      <c r="J2610" s="23"/>
      <c r="K2610" s="8"/>
      <c r="L2610" s="8"/>
      <c r="M2610" s="8"/>
      <c r="N2610" s="16"/>
    </row>
    <row r="2611">
      <c r="A2611" s="8"/>
      <c r="B2611" s="8"/>
      <c r="C2611" s="8"/>
      <c r="D2611" s="8"/>
      <c r="E2611" s="16"/>
      <c r="J2611" s="23"/>
      <c r="K2611" s="8"/>
      <c r="L2611" s="8"/>
      <c r="M2611" s="8"/>
      <c r="N2611" s="16"/>
    </row>
    <row r="2612">
      <c r="A2612" s="8"/>
      <c r="B2612" s="8"/>
      <c r="C2612" s="8"/>
      <c r="D2612" s="8"/>
      <c r="E2612" s="16"/>
      <c r="J2612" s="23"/>
      <c r="K2612" s="8"/>
      <c r="L2612" s="8"/>
      <c r="M2612" s="8"/>
      <c r="N2612" s="16"/>
    </row>
    <row r="2613">
      <c r="A2613" s="8"/>
      <c r="B2613" s="8"/>
      <c r="C2613" s="8"/>
      <c r="D2613" s="8"/>
      <c r="E2613" s="16"/>
      <c r="J2613" s="23"/>
      <c r="K2613" s="8"/>
      <c r="L2613" s="8"/>
      <c r="M2613" s="8"/>
      <c r="N2613" s="16"/>
    </row>
    <row r="2614">
      <c r="A2614" s="8"/>
      <c r="B2614" s="8"/>
      <c r="C2614" s="8"/>
      <c r="D2614" s="8"/>
      <c r="E2614" s="16"/>
      <c r="J2614" s="23"/>
      <c r="K2614" s="8"/>
      <c r="L2614" s="8"/>
      <c r="M2614" s="8"/>
      <c r="N2614" s="16"/>
    </row>
    <row r="2615">
      <c r="A2615" s="8"/>
      <c r="B2615" s="8"/>
      <c r="C2615" s="8"/>
      <c r="D2615" s="8"/>
      <c r="E2615" s="16"/>
      <c r="J2615" s="23"/>
      <c r="K2615" s="8"/>
      <c r="L2615" s="8"/>
      <c r="M2615" s="8"/>
      <c r="N2615" s="16"/>
    </row>
    <row r="2616">
      <c r="A2616" s="8"/>
      <c r="B2616" s="8"/>
      <c r="C2616" s="8"/>
      <c r="D2616" s="8"/>
      <c r="E2616" s="16"/>
      <c r="J2616" s="23"/>
      <c r="K2616" s="8"/>
      <c r="L2616" s="8"/>
      <c r="M2616" s="8"/>
      <c r="N2616" s="16"/>
    </row>
    <row r="2617">
      <c r="A2617" s="8"/>
      <c r="B2617" s="8"/>
      <c r="C2617" s="8"/>
      <c r="D2617" s="8"/>
      <c r="E2617" s="16"/>
      <c r="J2617" s="23"/>
      <c r="K2617" s="8"/>
      <c r="L2617" s="8"/>
      <c r="M2617" s="8"/>
      <c r="N2617" s="16"/>
    </row>
    <row r="2618">
      <c r="A2618" s="8"/>
      <c r="B2618" s="8"/>
      <c r="C2618" s="8"/>
      <c r="D2618" s="8"/>
      <c r="E2618" s="16"/>
      <c r="J2618" s="23"/>
      <c r="K2618" s="8"/>
      <c r="L2618" s="8"/>
      <c r="M2618" s="8"/>
      <c r="N2618" s="16"/>
    </row>
    <row r="2619">
      <c r="A2619" s="8"/>
      <c r="B2619" s="8"/>
      <c r="C2619" s="8"/>
      <c r="D2619" s="8"/>
      <c r="E2619" s="16"/>
      <c r="J2619" s="23"/>
      <c r="K2619" s="8"/>
      <c r="L2619" s="8"/>
      <c r="M2619" s="8"/>
      <c r="N2619" s="16"/>
    </row>
    <row r="2620">
      <c r="A2620" s="8"/>
      <c r="B2620" s="8"/>
      <c r="C2620" s="8"/>
      <c r="D2620" s="8"/>
      <c r="E2620" s="16"/>
      <c r="J2620" s="23"/>
      <c r="K2620" s="8"/>
      <c r="L2620" s="8"/>
      <c r="M2620" s="8"/>
      <c r="N2620" s="16"/>
    </row>
    <row r="2621">
      <c r="A2621" s="8"/>
      <c r="B2621" s="8"/>
      <c r="C2621" s="8"/>
      <c r="D2621" s="8"/>
      <c r="E2621" s="16"/>
      <c r="J2621" s="23"/>
      <c r="K2621" s="8"/>
      <c r="L2621" s="8"/>
      <c r="M2621" s="8"/>
      <c r="N2621" s="16"/>
    </row>
    <row r="2622">
      <c r="A2622" s="8"/>
      <c r="B2622" s="8"/>
      <c r="C2622" s="8"/>
      <c r="D2622" s="8"/>
      <c r="E2622" s="16"/>
      <c r="J2622" s="23"/>
      <c r="K2622" s="8"/>
      <c r="L2622" s="8"/>
      <c r="M2622" s="8"/>
      <c r="N2622" s="16"/>
    </row>
    <row r="2623">
      <c r="A2623" s="8"/>
      <c r="B2623" s="8"/>
      <c r="C2623" s="8"/>
      <c r="D2623" s="8"/>
      <c r="E2623" s="16"/>
      <c r="J2623" s="23"/>
      <c r="K2623" s="8"/>
      <c r="L2623" s="8"/>
      <c r="M2623" s="8"/>
      <c r="N2623" s="16"/>
    </row>
    <row r="2624">
      <c r="A2624" s="8"/>
      <c r="B2624" s="8"/>
      <c r="C2624" s="8"/>
      <c r="D2624" s="8"/>
      <c r="E2624" s="16"/>
      <c r="J2624" s="23"/>
      <c r="K2624" s="8"/>
      <c r="L2624" s="8"/>
      <c r="M2624" s="8"/>
      <c r="N2624" s="16"/>
    </row>
    <row r="2625">
      <c r="A2625" s="8"/>
      <c r="B2625" s="8"/>
      <c r="C2625" s="8"/>
      <c r="D2625" s="8"/>
      <c r="E2625" s="16"/>
      <c r="J2625" s="23"/>
      <c r="K2625" s="8"/>
      <c r="L2625" s="8"/>
      <c r="M2625" s="8"/>
      <c r="N2625" s="16"/>
    </row>
    <row r="2626">
      <c r="A2626" s="8"/>
      <c r="B2626" s="8"/>
      <c r="C2626" s="8"/>
      <c r="D2626" s="8"/>
      <c r="E2626" s="16"/>
      <c r="J2626" s="23"/>
      <c r="K2626" s="8"/>
      <c r="L2626" s="8"/>
      <c r="M2626" s="8"/>
      <c r="N2626" s="16"/>
    </row>
    <row r="2627">
      <c r="A2627" s="8"/>
      <c r="B2627" s="8"/>
      <c r="C2627" s="8"/>
      <c r="D2627" s="8"/>
      <c r="E2627" s="16"/>
      <c r="J2627" s="23"/>
      <c r="K2627" s="8"/>
      <c r="L2627" s="8"/>
      <c r="M2627" s="8"/>
      <c r="N2627" s="16"/>
    </row>
    <row r="2628">
      <c r="A2628" s="8"/>
      <c r="B2628" s="8"/>
      <c r="C2628" s="8"/>
      <c r="D2628" s="8"/>
      <c r="E2628" s="16"/>
      <c r="J2628" s="23"/>
      <c r="K2628" s="8"/>
      <c r="L2628" s="8"/>
      <c r="M2628" s="8"/>
      <c r="N2628" s="16"/>
    </row>
    <row r="2629">
      <c r="A2629" s="8"/>
      <c r="B2629" s="8"/>
      <c r="C2629" s="8"/>
      <c r="D2629" s="8"/>
      <c r="E2629" s="16"/>
      <c r="J2629" s="23"/>
      <c r="K2629" s="8"/>
      <c r="L2629" s="8"/>
      <c r="M2629" s="8"/>
      <c r="N2629" s="16"/>
    </row>
    <row r="2630">
      <c r="A2630" s="8"/>
      <c r="B2630" s="8"/>
      <c r="C2630" s="8"/>
      <c r="D2630" s="8"/>
      <c r="E2630" s="16"/>
      <c r="J2630" s="23"/>
      <c r="K2630" s="8"/>
      <c r="L2630" s="8"/>
      <c r="M2630" s="8"/>
      <c r="N2630" s="16"/>
    </row>
    <row r="2631">
      <c r="A2631" s="8"/>
      <c r="B2631" s="8"/>
      <c r="C2631" s="8"/>
      <c r="D2631" s="8"/>
      <c r="E2631" s="16"/>
      <c r="J2631" s="23"/>
      <c r="K2631" s="8"/>
      <c r="L2631" s="8"/>
      <c r="M2631" s="8"/>
      <c r="N2631" s="16"/>
    </row>
    <row r="2632">
      <c r="A2632" s="8"/>
      <c r="B2632" s="8"/>
      <c r="C2632" s="8"/>
      <c r="D2632" s="8"/>
      <c r="E2632" s="16"/>
      <c r="J2632" s="23"/>
      <c r="K2632" s="8"/>
      <c r="L2632" s="8"/>
      <c r="M2632" s="8"/>
      <c r="N2632" s="16"/>
    </row>
    <row r="2633">
      <c r="A2633" s="8"/>
      <c r="B2633" s="8"/>
      <c r="C2633" s="8"/>
      <c r="D2633" s="8"/>
      <c r="E2633" s="16"/>
      <c r="J2633" s="23"/>
      <c r="K2633" s="8"/>
      <c r="L2633" s="8"/>
      <c r="M2633" s="8"/>
      <c r="N2633" s="16"/>
    </row>
    <row r="2634">
      <c r="A2634" s="8"/>
      <c r="B2634" s="8"/>
      <c r="C2634" s="8"/>
      <c r="D2634" s="8"/>
      <c r="E2634" s="16"/>
      <c r="J2634" s="23"/>
      <c r="K2634" s="8"/>
      <c r="L2634" s="8"/>
      <c r="M2634" s="8"/>
      <c r="N2634" s="16"/>
    </row>
    <row r="2635">
      <c r="A2635" s="8"/>
      <c r="B2635" s="8"/>
      <c r="C2635" s="8"/>
      <c r="D2635" s="8"/>
      <c r="E2635" s="16"/>
      <c r="J2635" s="23"/>
      <c r="K2635" s="8"/>
      <c r="L2635" s="8"/>
      <c r="M2635" s="8"/>
      <c r="N2635" s="16"/>
    </row>
    <row r="2636">
      <c r="A2636" s="8"/>
      <c r="B2636" s="8"/>
      <c r="C2636" s="8"/>
      <c r="D2636" s="8"/>
      <c r="E2636" s="16"/>
      <c r="J2636" s="23"/>
      <c r="K2636" s="8"/>
      <c r="L2636" s="8"/>
      <c r="M2636" s="8"/>
      <c r="N2636" s="16"/>
    </row>
    <row r="2637">
      <c r="A2637" s="8"/>
      <c r="B2637" s="8"/>
      <c r="C2637" s="8"/>
      <c r="D2637" s="8"/>
      <c r="E2637" s="16"/>
      <c r="J2637" s="23"/>
      <c r="K2637" s="8"/>
      <c r="L2637" s="8"/>
      <c r="M2637" s="8"/>
      <c r="N2637" s="16"/>
    </row>
    <row r="2638">
      <c r="A2638" s="8"/>
      <c r="B2638" s="8"/>
      <c r="C2638" s="8"/>
      <c r="D2638" s="8"/>
      <c r="E2638" s="16"/>
      <c r="J2638" s="23"/>
      <c r="K2638" s="8"/>
      <c r="L2638" s="8"/>
      <c r="M2638" s="8"/>
      <c r="N2638" s="16"/>
    </row>
    <row r="2639">
      <c r="A2639" s="8"/>
      <c r="B2639" s="8"/>
      <c r="C2639" s="8"/>
      <c r="D2639" s="8"/>
      <c r="E2639" s="16"/>
      <c r="J2639" s="23"/>
      <c r="K2639" s="8"/>
      <c r="L2639" s="8"/>
      <c r="M2639" s="8"/>
      <c r="N2639" s="16"/>
    </row>
    <row r="2640">
      <c r="A2640" s="8"/>
      <c r="B2640" s="8"/>
      <c r="C2640" s="8"/>
      <c r="D2640" s="8"/>
      <c r="E2640" s="16"/>
      <c r="J2640" s="23"/>
      <c r="K2640" s="8"/>
      <c r="L2640" s="8"/>
      <c r="M2640" s="8"/>
      <c r="N2640" s="16"/>
    </row>
    <row r="2641">
      <c r="A2641" s="8"/>
      <c r="B2641" s="8"/>
      <c r="C2641" s="8"/>
      <c r="D2641" s="8"/>
      <c r="E2641" s="16"/>
      <c r="J2641" s="23"/>
      <c r="K2641" s="8"/>
      <c r="L2641" s="8"/>
      <c r="M2641" s="8"/>
      <c r="N2641" s="16"/>
    </row>
    <row r="2642">
      <c r="A2642" s="8"/>
      <c r="B2642" s="8"/>
      <c r="C2642" s="8"/>
      <c r="D2642" s="8"/>
      <c r="E2642" s="16"/>
      <c r="J2642" s="23"/>
      <c r="K2642" s="8"/>
      <c r="L2642" s="8"/>
      <c r="M2642" s="8"/>
      <c r="N2642" s="16"/>
    </row>
    <row r="2643">
      <c r="A2643" s="8"/>
      <c r="B2643" s="8"/>
      <c r="C2643" s="8"/>
      <c r="D2643" s="8"/>
      <c r="E2643" s="16"/>
      <c r="J2643" s="23"/>
      <c r="K2643" s="8"/>
      <c r="L2643" s="8"/>
      <c r="M2643" s="8"/>
      <c r="N2643" s="16"/>
    </row>
    <row r="2644">
      <c r="A2644" s="8"/>
      <c r="B2644" s="8"/>
      <c r="C2644" s="8"/>
      <c r="D2644" s="8"/>
      <c r="E2644" s="16"/>
      <c r="J2644" s="23"/>
      <c r="K2644" s="8"/>
      <c r="L2644" s="8"/>
      <c r="M2644" s="8"/>
      <c r="N2644" s="16"/>
    </row>
    <row r="2645">
      <c r="A2645" s="8"/>
      <c r="B2645" s="8"/>
      <c r="C2645" s="8"/>
      <c r="D2645" s="8"/>
      <c r="E2645" s="16"/>
      <c r="J2645" s="23"/>
      <c r="K2645" s="8"/>
      <c r="L2645" s="8"/>
      <c r="M2645" s="8"/>
      <c r="N2645" s="16"/>
    </row>
    <row r="2646">
      <c r="A2646" s="8"/>
      <c r="B2646" s="8"/>
      <c r="C2646" s="8"/>
      <c r="D2646" s="8"/>
      <c r="E2646" s="16"/>
      <c r="J2646" s="23"/>
      <c r="K2646" s="8"/>
      <c r="L2646" s="8"/>
      <c r="M2646" s="8"/>
      <c r="N2646" s="16"/>
    </row>
    <row r="2647">
      <c r="A2647" s="8"/>
      <c r="B2647" s="8"/>
      <c r="C2647" s="8"/>
      <c r="D2647" s="8"/>
      <c r="E2647" s="16"/>
      <c r="J2647" s="23"/>
      <c r="K2647" s="8"/>
      <c r="L2647" s="8"/>
      <c r="M2647" s="8"/>
      <c r="N2647" s="16"/>
    </row>
    <row r="2648">
      <c r="A2648" s="8"/>
      <c r="B2648" s="8"/>
      <c r="C2648" s="8"/>
      <c r="D2648" s="8"/>
      <c r="E2648" s="16"/>
      <c r="J2648" s="23"/>
      <c r="K2648" s="8"/>
      <c r="L2648" s="8"/>
      <c r="M2648" s="8"/>
      <c r="N2648" s="16"/>
    </row>
    <row r="2649">
      <c r="A2649" s="8"/>
      <c r="B2649" s="8"/>
      <c r="C2649" s="8"/>
      <c r="D2649" s="8"/>
      <c r="E2649" s="16"/>
      <c r="J2649" s="23"/>
      <c r="K2649" s="8"/>
      <c r="L2649" s="8"/>
      <c r="M2649" s="8"/>
      <c r="N2649" s="16"/>
    </row>
    <row r="2650">
      <c r="A2650" s="8"/>
      <c r="B2650" s="8"/>
      <c r="C2650" s="8"/>
      <c r="D2650" s="8"/>
      <c r="E2650" s="16"/>
      <c r="J2650" s="23"/>
      <c r="K2650" s="8"/>
      <c r="L2650" s="8"/>
      <c r="M2650" s="8"/>
      <c r="N2650" s="16"/>
    </row>
    <row r="2651">
      <c r="A2651" s="8"/>
      <c r="B2651" s="8"/>
      <c r="C2651" s="8"/>
      <c r="D2651" s="8"/>
      <c r="E2651" s="16"/>
      <c r="J2651" s="23"/>
      <c r="K2651" s="8"/>
      <c r="L2651" s="8"/>
      <c r="M2651" s="8"/>
      <c r="N2651" s="16"/>
    </row>
    <row r="2652">
      <c r="A2652" s="8"/>
      <c r="B2652" s="8"/>
      <c r="C2652" s="8"/>
      <c r="D2652" s="8"/>
      <c r="E2652" s="16"/>
      <c r="J2652" s="23"/>
      <c r="K2652" s="8"/>
      <c r="L2652" s="8"/>
      <c r="M2652" s="8"/>
      <c r="N2652" s="16"/>
    </row>
    <row r="2653">
      <c r="A2653" s="8"/>
      <c r="B2653" s="8"/>
      <c r="C2653" s="8"/>
      <c r="D2653" s="8"/>
      <c r="E2653" s="16"/>
      <c r="J2653" s="23"/>
      <c r="K2653" s="8"/>
      <c r="L2653" s="8"/>
      <c r="M2653" s="8"/>
      <c r="N2653" s="16"/>
    </row>
    <row r="2654">
      <c r="A2654" s="8"/>
      <c r="B2654" s="8"/>
      <c r="C2654" s="8"/>
      <c r="D2654" s="8"/>
      <c r="E2654" s="16"/>
      <c r="J2654" s="23"/>
      <c r="K2654" s="8"/>
      <c r="L2654" s="8"/>
      <c r="M2654" s="8"/>
      <c r="N2654" s="16"/>
    </row>
    <row r="2655">
      <c r="A2655" s="8"/>
      <c r="B2655" s="8"/>
      <c r="C2655" s="8"/>
      <c r="D2655" s="8"/>
      <c r="E2655" s="16"/>
      <c r="J2655" s="23"/>
      <c r="K2655" s="8"/>
      <c r="L2655" s="8"/>
      <c r="M2655" s="8"/>
      <c r="N2655" s="16"/>
    </row>
    <row r="2656">
      <c r="A2656" s="8"/>
      <c r="B2656" s="8"/>
      <c r="C2656" s="8"/>
      <c r="D2656" s="8"/>
      <c r="E2656" s="16"/>
      <c r="J2656" s="23"/>
      <c r="K2656" s="8"/>
      <c r="L2656" s="8"/>
      <c r="M2656" s="8"/>
      <c r="N2656" s="16"/>
    </row>
    <row r="2657">
      <c r="A2657" s="8"/>
      <c r="B2657" s="8"/>
      <c r="C2657" s="8"/>
      <c r="D2657" s="8"/>
      <c r="E2657" s="16"/>
      <c r="J2657" s="23"/>
      <c r="K2657" s="8"/>
      <c r="L2657" s="8"/>
      <c r="M2657" s="8"/>
      <c r="N2657" s="16"/>
    </row>
    <row r="2658">
      <c r="A2658" s="8"/>
      <c r="B2658" s="8"/>
      <c r="C2658" s="8"/>
      <c r="D2658" s="8"/>
      <c r="E2658" s="16"/>
      <c r="J2658" s="23"/>
      <c r="K2658" s="8"/>
      <c r="L2658" s="8"/>
      <c r="M2658" s="8"/>
      <c r="N2658" s="16"/>
    </row>
    <row r="2659">
      <c r="A2659" s="8"/>
      <c r="B2659" s="8"/>
      <c r="C2659" s="8"/>
      <c r="D2659" s="8"/>
      <c r="E2659" s="16"/>
      <c r="J2659" s="23"/>
      <c r="K2659" s="8"/>
      <c r="L2659" s="8"/>
      <c r="M2659" s="8"/>
      <c r="N2659" s="16"/>
    </row>
    <row r="2660">
      <c r="A2660" s="8"/>
      <c r="B2660" s="8"/>
      <c r="C2660" s="8"/>
      <c r="D2660" s="8"/>
      <c r="E2660" s="16"/>
      <c r="J2660" s="23"/>
      <c r="K2660" s="8"/>
      <c r="L2660" s="8"/>
      <c r="M2660" s="8"/>
      <c r="N2660" s="16"/>
    </row>
    <row r="2661">
      <c r="A2661" s="8"/>
      <c r="B2661" s="8"/>
      <c r="C2661" s="8"/>
      <c r="D2661" s="8"/>
      <c r="E2661" s="16"/>
      <c r="J2661" s="23"/>
      <c r="K2661" s="8"/>
      <c r="L2661" s="8"/>
      <c r="M2661" s="8"/>
      <c r="N2661" s="16"/>
    </row>
    <row r="2662">
      <c r="A2662" s="8"/>
      <c r="B2662" s="8"/>
      <c r="C2662" s="8"/>
      <c r="D2662" s="8"/>
      <c r="E2662" s="16"/>
      <c r="J2662" s="23"/>
      <c r="K2662" s="8"/>
      <c r="L2662" s="8"/>
      <c r="M2662" s="8"/>
      <c r="N2662" s="16"/>
    </row>
    <row r="2663">
      <c r="A2663" s="8"/>
      <c r="B2663" s="8"/>
      <c r="C2663" s="8"/>
      <c r="D2663" s="8"/>
      <c r="E2663" s="16"/>
      <c r="J2663" s="23"/>
      <c r="K2663" s="8"/>
      <c r="L2663" s="8"/>
      <c r="M2663" s="8"/>
      <c r="N2663" s="16"/>
    </row>
    <row r="2664">
      <c r="A2664" s="8"/>
      <c r="B2664" s="8"/>
      <c r="C2664" s="8"/>
      <c r="D2664" s="8"/>
      <c r="E2664" s="16"/>
      <c r="J2664" s="23"/>
      <c r="K2664" s="8"/>
      <c r="L2664" s="8"/>
      <c r="M2664" s="8"/>
      <c r="N2664" s="16"/>
    </row>
    <row r="2665">
      <c r="A2665" s="8"/>
      <c r="B2665" s="8"/>
      <c r="C2665" s="8"/>
      <c r="D2665" s="8"/>
      <c r="E2665" s="16"/>
      <c r="J2665" s="23"/>
      <c r="K2665" s="8"/>
      <c r="L2665" s="8"/>
      <c r="M2665" s="8"/>
      <c r="N2665" s="16"/>
    </row>
    <row r="2666">
      <c r="A2666" s="8"/>
      <c r="B2666" s="8"/>
      <c r="C2666" s="8"/>
      <c r="D2666" s="8"/>
      <c r="E2666" s="16"/>
      <c r="J2666" s="23"/>
      <c r="K2666" s="8"/>
      <c r="L2666" s="8"/>
      <c r="M2666" s="8"/>
      <c r="N2666" s="16"/>
    </row>
    <row r="2667">
      <c r="A2667" s="8"/>
      <c r="B2667" s="8"/>
      <c r="C2667" s="8"/>
      <c r="D2667" s="8"/>
      <c r="E2667" s="16"/>
      <c r="J2667" s="23"/>
      <c r="K2667" s="8"/>
      <c r="L2667" s="8"/>
      <c r="M2667" s="8"/>
      <c r="N2667" s="16"/>
    </row>
    <row r="2668">
      <c r="A2668" s="8"/>
      <c r="B2668" s="8"/>
      <c r="C2668" s="8"/>
      <c r="D2668" s="8"/>
      <c r="E2668" s="16"/>
      <c r="J2668" s="23"/>
      <c r="K2668" s="8"/>
      <c r="L2668" s="8"/>
      <c r="M2668" s="8"/>
      <c r="N2668" s="16"/>
    </row>
    <row r="2669">
      <c r="A2669" s="8"/>
      <c r="B2669" s="8"/>
      <c r="C2669" s="8"/>
      <c r="D2669" s="8"/>
      <c r="E2669" s="16"/>
      <c r="J2669" s="23"/>
      <c r="K2669" s="8"/>
      <c r="L2669" s="8"/>
      <c r="M2669" s="8"/>
      <c r="N2669" s="16"/>
    </row>
    <row r="2670">
      <c r="A2670" s="8"/>
      <c r="B2670" s="8"/>
      <c r="C2670" s="8"/>
      <c r="D2670" s="8"/>
      <c r="E2670" s="16"/>
      <c r="J2670" s="23"/>
      <c r="K2670" s="8"/>
      <c r="L2670" s="8"/>
      <c r="M2670" s="8"/>
      <c r="N2670" s="16"/>
    </row>
    <row r="2671">
      <c r="A2671" s="8"/>
      <c r="B2671" s="8"/>
      <c r="C2671" s="8"/>
      <c r="D2671" s="8"/>
      <c r="E2671" s="16"/>
      <c r="J2671" s="23"/>
      <c r="K2671" s="8"/>
      <c r="L2671" s="8"/>
      <c r="M2671" s="8"/>
      <c r="N2671" s="16"/>
    </row>
    <row r="2672">
      <c r="A2672" s="8"/>
      <c r="B2672" s="8"/>
      <c r="C2672" s="8"/>
      <c r="D2672" s="8"/>
      <c r="E2672" s="16"/>
      <c r="J2672" s="23"/>
      <c r="K2672" s="8"/>
      <c r="L2672" s="8"/>
      <c r="M2672" s="8"/>
      <c r="N2672" s="16"/>
    </row>
    <row r="2673">
      <c r="A2673" s="8"/>
      <c r="B2673" s="8"/>
      <c r="C2673" s="8"/>
      <c r="D2673" s="8"/>
      <c r="E2673" s="16"/>
      <c r="J2673" s="23"/>
      <c r="K2673" s="8"/>
      <c r="L2673" s="8"/>
      <c r="M2673" s="8"/>
      <c r="N2673" s="16"/>
    </row>
    <row r="2674">
      <c r="A2674" s="8"/>
      <c r="B2674" s="8"/>
      <c r="C2674" s="8"/>
      <c r="D2674" s="8"/>
      <c r="E2674" s="16"/>
      <c r="J2674" s="23"/>
      <c r="K2674" s="8"/>
      <c r="L2674" s="8"/>
      <c r="M2674" s="8"/>
      <c r="N2674" s="16"/>
    </row>
    <row r="2675">
      <c r="A2675" s="8"/>
      <c r="B2675" s="8"/>
      <c r="C2675" s="8"/>
      <c r="D2675" s="8"/>
      <c r="E2675" s="16"/>
      <c r="J2675" s="23"/>
      <c r="K2675" s="8"/>
      <c r="L2675" s="8"/>
      <c r="M2675" s="8"/>
      <c r="N2675" s="16"/>
    </row>
    <row r="2676">
      <c r="A2676" s="8"/>
      <c r="B2676" s="8"/>
      <c r="C2676" s="8"/>
      <c r="D2676" s="8"/>
      <c r="E2676" s="16"/>
      <c r="J2676" s="23"/>
      <c r="K2676" s="8"/>
      <c r="L2676" s="8"/>
      <c r="M2676" s="8"/>
      <c r="N2676" s="16"/>
    </row>
    <row r="2677">
      <c r="A2677" s="8"/>
      <c r="B2677" s="8"/>
      <c r="C2677" s="8"/>
      <c r="D2677" s="8"/>
      <c r="E2677" s="16"/>
      <c r="J2677" s="23"/>
      <c r="K2677" s="8"/>
      <c r="L2677" s="8"/>
      <c r="M2677" s="8"/>
      <c r="N2677" s="16"/>
    </row>
    <row r="2678">
      <c r="A2678" s="8"/>
      <c r="B2678" s="8"/>
      <c r="C2678" s="8"/>
      <c r="D2678" s="8"/>
      <c r="E2678" s="16"/>
      <c r="J2678" s="23"/>
      <c r="K2678" s="8"/>
      <c r="L2678" s="8"/>
      <c r="M2678" s="8"/>
      <c r="N2678" s="16"/>
    </row>
    <row r="2679">
      <c r="A2679" s="8"/>
      <c r="B2679" s="8"/>
      <c r="C2679" s="8"/>
      <c r="D2679" s="8"/>
      <c r="E2679" s="16"/>
      <c r="J2679" s="23"/>
      <c r="K2679" s="8"/>
      <c r="L2679" s="8"/>
      <c r="M2679" s="8"/>
      <c r="N2679" s="16"/>
    </row>
    <row r="2680">
      <c r="A2680" s="8"/>
      <c r="B2680" s="8"/>
      <c r="C2680" s="8"/>
      <c r="D2680" s="8"/>
      <c r="E2680" s="16"/>
      <c r="J2680" s="23"/>
      <c r="K2680" s="8"/>
      <c r="L2680" s="8"/>
      <c r="M2680" s="8"/>
      <c r="N2680" s="16"/>
    </row>
    <row r="2681">
      <c r="A2681" s="8"/>
      <c r="B2681" s="8"/>
      <c r="C2681" s="8"/>
      <c r="D2681" s="8"/>
      <c r="E2681" s="16"/>
      <c r="J2681" s="23"/>
      <c r="K2681" s="8"/>
      <c r="L2681" s="8"/>
      <c r="M2681" s="8"/>
      <c r="N2681" s="16"/>
    </row>
    <row r="2682">
      <c r="A2682" s="8"/>
      <c r="B2682" s="8"/>
      <c r="C2682" s="8"/>
      <c r="D2682" s="8"/>
      <c r="E2682" s="16"/>
      <c r="J2682" s="23"/>
      <c r="K2682" s="8"/>
      <c r="L2682" s="8"/>
      <c r="M2682" s="8"/>
      <c r="N2682" s="16"/>
    </row>
    <row r="2683">
      <c r="A2683" s="8"/>
      <c r="B2683" s="8"/>
      <c r="C2683" s="8"/>
      <c r="D2683" s="8"/>
      <c r="E2683" s="16"/>
      <c r="J2683" s="23"/>
      <c r="K2683" s="8"/>
      <c r="L2683" s="8"/>
      <c r="M2683" s="8"/>
      <c r="N2683" s="16"/>
    </row>
    <row r="2684">
      <c r="A2684" s="8"/>
      <c r="B2684" s="8"/>
      <c r="C2684" s="8"/>
      <c r="D2684" s="8"/>
      <c r="E2684" s="16"/>
      <c r="J2684" s="23"/>
      <c r="K2684" s="8"/>
      <c r="L2684" s="8"/>
      <c r="M2684" s="8"/>
      <c r="N2684" s="16"/>
    </row>
    <row r="2685">
      <c r="A2685" s="8"/>
      <c r="B2685" s="8"/>
      <c r="C2685" s="8"/>
      <c r="D2685" s="8"/>
      <c r="E2685" s="16"/>
      <c r="J2685" s="23"/>
      <c r="K2685" s="8"/>
      <c r="L2685" s="8"/>
      <c r="M2685" s="8"/>
      <c r="N2685" s="16"/>
    </row>
    <row r="2686">
      <c r="A2686" s="8"/>
      <c r="B2686" s="8"/>
      <c r="C2686" s="8"/>
      <c r="D2686" s="8"/>
      <c r="E2686" s="16"/>
      <c r="J2686" s="23"/>
      <c r="K2686" s="8"/>
      <c r="L2686" s="8"/>
      <c r="M2686" s="8"/>
      <c r="N2686" s="16"/>
    </row>
    <row r="2687">
      <c r="A2687" s="8"/>
      <c r="B2687" s="8"/>
      <c r="C2687" s="8"/>
      <c r="D2687" s="8"/>
      <c r="E2687" s="16"/>
      <c r="J2687" s="23"/>
      <c r="K2687" s="8"/>
      <c r="L2687" s="8"/>
      <c r="M2687" s="8"/>
      <c r="N2687" s="16"/>
    </row>
    <row r="2688">
      <c r="A2688" s="8"/>
      <c r="B2688" s="8"/>
      <c r="C2688" s="8"/>
      <c r="D2688" s="8"/>
      <c r="E2688" s="16"/>
      <c r="J2688" s="23"/>
      <c r="K2688" s="8"/>
      <c r="L2688" s="8"/>
      <c r="M2688" s="8"/>
      <c r="N2688" s="16"/>
    </row>
    <row r="2689">
      <c r="A2689" s="8"/>
      <c r="B2689" s="8"/>
      <c r="C2689" s="8"/>
      <c r="D2689" s="8"/>
      <c r="E2689" s="16"/>
      <c r="J2689" s="23"/>
      <c r="K2689" s="8"/>
      <c r="L2689" s="8"/>
      <c r="M2689" s="8"/>
      <c r="N2689" s="16"/>
    </row>
    <row r="2690">
      <c r="A2690" s="8"/>
      <c r="B2690" s="8"/>
      <c r="C2690" s="8"/>
      <c r="D2690" s="8"/>
      <c r="E2690" s="16"/>
      <c r="J2690" s="23"/>
      <c r="K2690" s="8"/>
      <c r="L2690" s="8"/>
      <c r="M2690" s="8"/>
      <c r="N2690" s="16"/>
    </row>
    <row r="2691">
      <c r="A2691" s="8"/>
      <c r="B2691" s="8"/>
      <c r="C2691" s="8"/>
      <c r="D2691" s="8"/>
      <c r="E2691" s="16"/>
      <c r="J2691" s="23"/>
      <c r="K2691" s="8"/>
      <c r="L2691" s="8"/>
      <c r="M2691" s="8"/>
      <c r="N2691" s="16"/>
    </row>
    <row r="2692">
      <c r="A2692" s="8"/>
      <c r="B2692" s="8"/>
      <c r="C2692" s="8"/>
      <c r="D2692" s="8"/>
      <c r="E2692" s="16"/>
      <c r="J2692" s="23"/>
      <c r="K2692" s="8"/>
      <c r="L2692" s="8"/>
      <c r="M2692" s="8"/>
      <c r="N2692" s="16"/>
    </row>
    <row r="2693">
      <c r="A2693" s="8"/>
      <c r="B2693" s="8"/>
      <c r="C2693" s="8"/>
      <c r="D2693" s="8"/>
      <c r="E2693" s="16"/>
      <c r="J2693" s="23"/>
      <c r="K2693" s="8"/>
      <c r="L2693" s="8"/>
      <c r="M2693" s="8"/>
      <c r="N2693" s="16"/>
    </row>
    <row r="2694">
      <c r="A2694" s="8"/>
      <c r="B2694" s="8"/>
      <c r="C2694" s="8"/>
      <c r="D2694" s="8"/>
      <c r="E2694" s="16"/>
      <c r="J2694" s="23"/>
      <c r="K2694" s="8"/>
      <c r="L2694" s="8"/>
      <c r="M2694" s="8"/>
      <c r="N2694" s="16"/>
    </row>
    <row r="2695">
      <c r="A2695" s="8"/>
      <c r="B2695" s="8"/>
      <c r="C2695" s="8"/>
      <c r="D2695" s="8"/>
      <c r="E2695" s="16"/>
      <c r="J2695" s="23"/>
      <c r="K2695" s="8"/>
      <c r="L2695" s="8"/>
      <c r="M2695" s="8"/>
      <c r="N2695" s="16"/>
    </row>
    <row r="2696">
      <c r="A2696" s="8"/>
      <c r="B2696" s="8"/>
      <c r="C2696" s="8"/>
      <c r="D2696" s="8"/>
      <c r="E2696" s="16"/>
      <c r="J2696" s="23"/>
      <c r="K2696" s="8"/>
      <c r="L2696" s="8"/>
      <c r="M2696" s="8"/>
      <c r="N2696" s="16"/>
    </row>
    <row r="2697">
      <c r="A2697" s="8"/>
      <c r="B2697" s="8"/>
      <c r="C2697" s="8"/>
      <c r="D2697" s="8"/>
      <c r="E2697" s="16"/>
      <c r="J2697" s="23"/>
      <c r="K2697" s="8"/>
      <c r="L2697" s="8"/>
      <c r="M2697" s="8"/>
      <c r="N2697" s="16"/>
    </row>
    <row r="2698">
      <c r="A2698" s="8"/>
      <c r="B2698" s="8"/>
      <c r="C2698" s="8"/>
      <c r="D2698" s="8"/>
      <c r="E2698" s="16"/>
      <c r="J2698" s="23"/>
      <c r="K2698" s="8"/>
      <c r="L2698" s="8"/>
      <c r="M2698" s="8"/>
      <c r="N2698" s="16"/>
    </row>
    <row r="2699">
      <c r="A2699" s="8"/>
      <c r="B2699" s="8"/>
      <c r="C2699" s="8"/>
      <c r="D2699" s="8"/>
      <c r="E2699" s="16"/>
      <c r="J2699" s="23"/>
      <c r="K2699" s="8"/>
      <c r="L2699" s="8"/>
      <c r="M2699" s="8"/>
      <c r="N2699" s="16"/>
    </row>
    <row r="2700">
      <c r="A2700" s="8"/>
      <c r="B2700" s="8"/>
      <c r="C2700" s="8"/>
      <c r="D2700" s="8"/>
      <c r="E2700" s="16"/>
      <c r="J2700" s="23"/>
      <c r="K2700" s="8"/>
      <c r="L2700" s="8"/>
      <c r="M2700" s="8"/>
      <c r="N2700" s="16"/>
    </row>
    <row r="2701">
      <c r="A2701" s="8"/>
      <c r="B2701" s="8"/>
      <c r="C2701" s="8"/>
      <c r="D2701" s="8"/>
      <c r="E2701" s="16"/>
      <c r="J2701" s="23"/>
      <c r="K2701" s="8"/>
      <c r="L2701" s="8"/>
      <c r="M2701" s="8"/>
      <c r="N2701" s="16"/>
    </row>
    <row r="2702">
      <c r="A2702" s="8"/>
      <c r="B2702" s="8"/>
      <c r="C2702" s="8"/>
      <c r="D2702" s="8"/>
      <c r="E2702" s="16"/>
      <c r="J2702" s="23"/>
      <c r="K2702" s="8"/>
      <c r="L2702" s="8"/>
      <c r="M2702" s="8"/>
      <c r="N2702" s="16"/>
    </row>
    <row r="2703">
      <c r="A2703" s="8"/>
      <c r="B2703" s="8"/>
      <c r="C2703" s="8"/>
      <c r="D2703" s="8"/>
      <c r="E2703" s="16"/>
      <c r="J2703" s="23"/>
      <c r="K2703" s="8"/>
      <c r="L2703" s="8"/>
      <c r="M2703" s="8"/>
      <c r="N2703" s="16"/>
    </row>
    <row r="2704">
      <c r="A2704" s="8"/>
      <c r="B2704" s="8"/>
      <c r="C2704" s="8"/>
      <c r="D2704" s="8"/>
      <c r="E2704" s="16"/>
      <c r="J2704" s="23"/>
      <c r="K2704" s="8"/>
      <c r="L2704" s="8"/>
      <c r="M2704" s="8"/>
      <c r="N2704" s="16"/>
    </row>
    <row r="2705">
      <c r="A2705" s="8"/>
      <c r="B2705" s="8"/>
      <c r="C2705" s="8"/>
      <c r="D2705" s="8"/>
      <c r="E2705" s="16"/>
      <c r="J2705" s="23"/>
      <c r="K2705" s="8"/>
      <c r="L2705" s="8"/>
      <c r="M2705" s="8"/>
      <c r="N2705" s="16"/>
    </row>
    <row r="2706">
      <c r="A2706" s="8"/>
      <c r="B2706" s="8"/>
      <c r="C2706" s="8"/>
      <c r="D2706" s="8"/>
      <c r="E2706" s="16"/>
      <c r="J2706" s="23"/>
      <c r="K2706" s="8"/>
      <c r="L2706" s="8"/>
      <c r="M2706" s="8"/>
      <c r="N2706" s="16"/>
    </row>
    <row r="2707">
      <c r="A2707" s="8"/>
      <c r="B2707" s="8"/>
      <c r="C2707" s="8"/>
      <c r="D2707" s="8"/>
      <c r="E2707" s="16"/>
      <c r="J2707" s="23"/>
      <c r="K2707" s="8"/>
      <c r="L2707" s="8"/>
      <c r="M2707" s="8"/>
      <c r="N2707" s="16"/>
    </row>
    <row r="2708">
      <c r="A2708" s="8"/>
      <c r="B2708" s="8"/>
      <c r="C2708" s="8"/>
      <c r="D2708" s="8"/>
      <c r="E2708" s="16"/>
      <c r="J2708" s="23"/>
      <c r="K2708" s="8"/>
      <c r="L2708" s="8"/>
      <c r="M2708" s="8"/>
      <c r="N2708" s="16"/>
    </row>
    <row r="2709">
      <c r="A2709" s="8"/>
      <c r="B2709" s="8"/>
      <c r="C2709" s="8"/>
      <c r="D2709" s="8"/>
      <c r="E2709" s="16"/>
      <c r="J2709" s="23"/>
      <c r="K2709" s="8"/>
      <c r="L2709" s="8"/>
      <c r="M2709" s="8"/>
      <c r="N2709" s="16"/>
    </row>
    <row r="2710">
      <c r="A2710" s="8"/>
      <c r="B2710" s="8"/>
      <c r="C2710" s="8"/>
      <c r="D2710" s="8"/>
      <c r="E2710" s="16"/>
      <c r="J2710" s="23"/>
      <c r="K2710" s="8"/>
      <c r="L2710" s="8"/>
      <c r="M2710" s="8"/>
      <c r="N2710" s="16"/>
    </row>
    <row r="2711">
      <c r="A2711" s="8"/>
      <c r="B2711" s="8"/>
      <c r="C2711" s="8"/>
      <c r="D2711" s="8"/>
      <c r="E2711" s="16"/>
      <c r="J2711" s="23"/>
      <c r="K2711" s="8"/>
      <c r="L2711" s="8"/>
      <c r="M2711" s="8"/>
      <c r="N2711" s="16"/>
    </row>
    <row r="2712">
      <c r="A2712" s="8"/>
      <c r="B2712" s="8"/>
      <c r="C2712" s="8"/>
      <c r="D2712" s="8"/>
      <c r="E2712" s="16"/>
      <c r="J2712" s="23"/>
      <c r="K2712" s="8"/>
      <c r="L2712" s="8"/>
      <c r="M2712" s="8"/>
      <c r="N2712" s="16"/>
    </row>
    <row r="2713">
      <c r="A2713" s="8"/>
      <c r="B2713" s="8"/>
      <c r="C2713" s="8"/>
      <c r="D2713" s="8"/>
      <c r="E2713" s="16"/>
      <c r="J2713" s="23"/>
      <c r="K2713" s="8"/>
      <c r="L2713" s="8"/>
      <c r="M2713" s="8"/>
      <c r="N2713" s="16"/>
    </row>
    <row r="2714">
      <c r="A2714" s="8"/>
      <c r="B2714" s="8"/>
      <c r="C2714" s="8"/>
      <c r="D2714" s="8"/>
      <c r="E2714" s="16"/>
      <c r="J2714" s="23"/>
      <c r="K2714" s="8"/>
      <c r="L2714" s="8"/>
      <c r="M2714" s="8"/>
      <c r="N2714" s="16"/>
    </row>
    <row r="2715">
      <c r="A2715" s="8"/>
      <c r="B2715" s="8"/>
      <c r="C2715" s="8"/>
      <c r="D2715" s="8"/>
      <c r="E2715" s="16"/>
      <c r="J2715" s="23"/>
      <c r="K2715" s="8"/>
      <c r="L2715" s="8"/>
      <c r="M2715" s="8"/>
      <c r="N2715" s="16"/>
    </row>
    <row r="2716">
      <c r="A2716" s="8"/>
      <c r="B2716" s="8"/>
      <c r="C2716" s="8"/>
      <c r="D2716" s="8"/>
      <c r="E2716" s="16"/>
      <c r="J2716" s="23"/>
      <c r="K2716" s="8"/>
      <c r="L2716" s="8"/>
      <c r="M2716" s="8"/>
      <c r="N2716" s="16"/>
    </row>
    <row r="2717">
      <c r="A2717" s="8"/>
      <c r="B2717" s="8"/>
      <c r="C2717" s="8"/>
      <c r="D2717" s="8"/>
      <c r="E2717" s="16"/>
      <c r="J2717" s="23"/>
      <c r="K2717" s="8"/>
      <c r="L2717" s="8"/>
      <c r="M2717" s="8"/>
      <c r="N2717" s="16"/>
    </row>
    <row r="2718">
      <c r="A2718" s="8"/>
      <c r="B2718" s="8"/>
      <c r="C2718" s="8"/>
      <c r="D2718" s="8"/>
      <c r="E2718" s="16"/>
      <c r="J2718" s="23"/>
      <c r="K2718" s="8"/>
      <c r="L2718" s="8"/>
      <c r="M2718" s="8"/>
      <c r="N2718" s="16"/>
    </row>
    <row r="2719">
      <c r="A2719" s="8"/>
      <c r="B2719" s="8"/>
      <c r="C2719" s="8"/>
      <c r="D2719" s="8"/>
      <c r="E2719" s="16"/>
      <c r="J2719" s="23"/>
      <c r="K2719" s="8"/>
      <c r="L2719" s="8"/>
      <c r="M2719" s="8"/>
      <c r="N2719" s="16"/>
    </row>
    <row r="2720">
      <c r="A2720" s="8"/>
      <c r="B2720" s="8"/>
      <c r="C2720" s="8"/>
      <c r="D2720" s="8"/>
      <c r="E2720" s="16"/>
      <c r="J2720" s="23"/>
      <c r="K2720" s="8"/>
      <c r="L2720" s="8"/>
      <c r="M2720" s="8"/>
      <c r="N2720" s="16"/>
    </row>
    <row r="2721">
      <c r="A2721" s="8"/>
      <c r="B2721" s="8"/>
      <c r="C2721" s="8"/>
      <c r="D2721" s="8"/>
      <c r="E2721" s="16"/>
      <c r="J2721" s="23"/>
      <c r="K2721" s="8"/>
      <c r="L2721" s="8"/>
      <c r="M2721" s="8"/>
      <c r="N2721" s="16"/>
    </row>
    <row r="2722">
      <c r="A2722" s="8"/>
      <c r="B2722" s="8"/>
      <c r="C2722" s="8"/>
      <c r="D2722" s="8"/>
      <c r="E2722" s="16"/>
      <c r="J2722" s="23"/>
      <c r="K2722" s="8"/>
      <c r="L2722" s="8"/>
      <c r="M2722" s="8"/>
      <c r="N2722" s="16"/>
    </row>
    <row r="2723">
      <c r="A2723" s="8"/>
      <c r="B2723" s="8"/>
      <c r="C2723" s="8"/>
      <c r="D2723" s="8"/>
      <c r="E2723" s="16"/>
      <c r="J2723" s="23"/>
      <c r="K2723" s="8"/>
      <c r="L2723" s="8"/>
      <c r="M2723" s="8"/>
      <c r="N2723" s="16"/>
    </row>
    <row r="2724">
      <c r="A2724" s="8"/>
      <c r="B2724" s="8"/>
      <c r="C2724" s="8"/>
      <c r="D2724" s="8"/>
      <c r="E2724" s="16"/>
      <c r="J2724" s="23"/>
      <c r="K2724" s="8"/>
      <c r="L2724" s="8"/>
      <c r="M2724" s="8"/>
      <c r="N2724" s="16"/>
    </row>
    <row r="2725">
      <c r="A2725" s="8"/>
      <c r="B2725" s="8"/>
      <c r="C2725" s="8"/>
      <c r="D2725" s="8"/>
      <c r="E2725" s="16"/>
      <c r="J2725" s="23"/>
      <c r="K2725" s="8"/>
      <c r="L2725" s="8"/>
      <c r="M2725" s="8"/>
      <c r="N2725" s="16"/>
    </row>
    <row r="2726">
      <c r="A2726" s="8"/>
      <c r="B2726" s="8"/>
      <c r="C2726" s="8"/>
      <c r="D2726" s="8"/>
      <c r="E2726" s="16"/>
      <c r="J2726" s="23"/>
      <c r="K2726" s="8"/>
      <c r="L2726" s="8"/>
      <c r="M2726" s="8"/>
      <c r="N2726" s="16"/>
    </row>
    <row r="2727">
      <c r="A2727" s="8"/>
      <c r="B2727" s="8"/>
      <c r="C2727" s="8"/>
      <c r="D2727" s="8"/>
      <c r="E2727" s="16"/>
      <c r="J2727" s="23"/>
      <c r="K2727" s="8"/>
      <c r="L2727" s="8"/>
      <c r="M2727" s="8"/>
      <c r="N2727" s="16"/>
    </row>
    <row r="2728">
      <c r="A2728" s="8"/>
      <c r="B2728" s="8"/>
      <c r="C2728" s="8"/>
      <c r="D2728" s="8"/>
      <c r="E2728" s="16"/>
      <c r="J2728" s="23"/>
      <c r="K2728" s="8"/>
      <c r="L2728" s="8"/>
      <c r="M2728" s="8"/>
      <c r="N2728" s="16"/>
    </row>
    <row r="2729">
      <c r="A2729" s="8"/>
      <c r="B2729" s="8"/>
      <c r="C2729" s="8"/>
      <c r="D2729" s="8"/>
      <c r="E2729" s="16"/>
      <c r="J2729" s="23"/>
      <c r="K2729" s="8"/>
      <c r="L2729" s="8"/>
      <c r="M2729" s="8"/>
      <c r="N2729" s="16"/>
    </row>
    <row r="2730">
      <c r="A2730" s="8"/>
      <c r="B2730" s="8"/>
      <c r="C2730" s="8"/>
      <c r="D2730" s="8"/>
      <c r="E2730" s="16"/>
      <c r="J2730" s="23"/>
      <c r="K2730" s="8"/>
      <c r="L2730" s="8"/>
      <c r="M2730" s="8"/>
      <c r="N2730" s="16"/>
    </row>
    <row r="2731">
      <c r="A2731" s="8"/>
      <c r="B2731" s="8"/>
      <c r="C2731" s="8"/>
      <c r="D2731" s="8"/>
      <c r="E2731" s="16"/>
      <c r="J2731" s="23"/>
      <c r="K2731" s="8"/>
      <c r="L2731" s="8"/>
      <c r="M2731" s="8"/>
      <c r="N2731" s="16"/>
    </row>
    <row r="2732">
      <c r="A2732" s="8"/>
      <c r="B2732" s="8"/>
      <c r="C2732" s="8"/>
      <c r="D2732" s="8"/>
      <c r="E2732" s="16"/>
      <c r="J2732" s="23"/>
      <c r="K2732" s="8"/>
      <c r="L2732" s="8"/>
      <c r="M2732" s="8"/>
      <c r="N2732" s="16"/>
    </row>
    <row r="2733">
      <c r="A2733" s="8"/>
      <c r="B2733" s="8"/>
      <c r="C2733" s="8"/>
      <c r="D2733" s="8"/>
      <c r="E2733" s="16"/>
      <c r="J2733" s="23"/>
      <c r="K2733" s="8"/>
      <c r="L2733" s="8"/>
      <c r="M2733" s="8"/>
      <c r="N2733" s="16"/>
    </row>
    <row r="2734">
      <c r="A2734" s="8"/>
      <c r="B2734" s="8"/>
      <c r="C2734" s="8"/>
      <c r="D2734" s="8"/>
      <c r="E2734" s="16"/>
      <c r="J2734" s="23"/>
      <c r="K2734" s="8"/>
      <c r="L2734" s="8"/>
      <c r="M2734" s="8"/>
      <c r="N2734" s="16"/>
    </row>
    <row r="2735">
      <c r="A2735" s="8"/>
      <c r="B2735" s="8"/>
      <c r="C2735" s="8"/>
      <c r="D2735" s="8"/>
      <c r="E2735" s="16"/>
      <c r="J2735" s="23"/>
      <c r="K2735" s="8"/>
      <c r="L2735" s="8"/>
      <c r="M2735" s="8"/>
      <c r="N2735" s="16"/>
    </row>
    <row r="2736">
      <c r="A2736" s="8"/>
      <c r="B2736" s="8"/>
      <c r="C2736" s="8"/>
      <c r="D2736" s="8"/>
      <c r="E2736" s="16"/>
      <c r="J2736" s="23"/>
      <c r="K2736" s="8"/>
      <c r="L2736" s="8"/>
      <c r="M2736" s="8"/>
      <c r="N2736" s="16"/>
    </row>
    <row r="2737">
      <c r="A2737" s="8"/>
      <c r="B2737" s="8"/>
      <c r="C2737" s="8"/>
      <c r="D2737" s="8"/>
      <c r="E2737" s="16"/>
      <c r="J2737" s="23"/>
      <c r="K2737" s="8"/>
      <c r="L2737" s="8"/>
      <c r="M2737" s="8"/>
      <c r="N2737" s="16"/>
    </row>
    <row r="2738">
      <c r="A2738" s="8"/>
      <c r="B2738" s="8"/>
      <c r="C2738" s="8"/>
      <c r="D2738" s="8"/>
      <c r="E2738" s="16"/>
      <c r="J2738" s="23"/>
      <c r="K2738" s="8"/>
      <c r="L2738" s="8"/>
      <c r="M2738" s="8"/>
      <c r="N2738" s="16"/>
    </row>
    <row r="2739">
      <c r="A2739" s="8"/>
      <c r="B2739" s="8"/>
      <c r="C2739" s="8"/>
      <c r="D2739" s="8"/>
      <c r="E2739" s="16"/>
      <c r="J2739" s="23"/>
      <c r="K2739" s="8"/>
      <c r="L2739" s="8"/>
      <c r="M2739" s="8"/>
      <c r="N2739" s="16"/>
    </row>
    <row r="2740">
      <c r="A2740" s="8"/>
      <c r="B2740" s="8"/>
      <c r="C2740" s="8"/>
      <c r="D2740" s="8"/>
      <c r="E2740" s="16"/>
      <c r="J2740" s="23"/>
      <c r="K2740" s="8"/>
      <c r="L2740" s="8"/>
      <c r="M2740" s="8"/>
      <c r="N2740" s="16"/>
    </row>
    <row r="2741">
      <c r="A2741" s="8"/>
      <c r="B2741" s="8"/>
      <c r="C2741" s="8"/>
      <c r="D2741" s="8"/>
      <c r="E2741" s="16"/>
      <c r="J2741" s="23"/>
      <c r="K2741" s="8"/>
      <c r="L2741" s="8"/>
      <c r="M2741" s="8"/>
      <c r="N2741" s="16"/>
    </row>
    <row r="2742">
      <c r="A2742" s="8"/>
      <c r="B2742" s="8"/>
      <c r="C2742" s="8"/>
      <c r="D2742" s="8"/>
      <c r="E2742" s="16"/>
      <c r="J2742" s="23"/>
      <c r="K2742" s="8"/>
      <c r="L2742" s="8"/>
      <c r="M2742" s="8"/>
      <c r="N2742" s="16"/>
    </row>
    <row r="2743">
      <c r="A2743" s="8"/>
      <c r="B2743" s="8"/>
      <c r="C2743" s="8"/>
      <c r="D2743" s="8"/>
      <c r="E2743" s="16"/>
      <c r="J2743" s="23"/>
      <c r="K2743" s="8"/>
      <c r="L2743" s="8"/>
      <c r="M2743" s="8"/>
      <c r="N2743" s="16"/>
    </row>
    <row r="2744">
      <c r="A2744" s="8"/>
      <c r="B2744" s="8"/>
      <c r="C2744" s="8"/>
      <c r="D2744" s="8"/>
      <c r="E2744" s="16"/>
      <c r="J2744" s="23"/>
      <c r="K2744" s="8"/>
      <c r="L2744" s="8"/>
      <c r="M2744" s="8"/>
      <c r="N2744" s="16"/>
    </row>
    <row r="2745">
      <c r="A2745" s="8"/>
      <c r="B2745" s="8"/>
      <c r="C2745" s="8"/>
      <c r="D2745" s="8"/>
      <c r="E2745" s="16"/>
      <c r="J2745" s="23"/>
      <c r="K2745" s="8"/>
      <c r="L2745" s="8"/>
      <c r="M2745" s="8"/>
      <c r="N2745" s="16"/>
    </row>
    <row r="2746">
      <c r="A2746" s="8"/>
      <c r="B2746" s="8"/>
      <c r="C2746" s="8"/>
      <c r="D2746" s="8"/>
      <c r="E2746" s="16"/>
      <c r="J2746" s="23"/>
      <c r="K2746" s="8"/>
      <c r="L2746" s="8"/>
      <c r="M2746" s="8"/>
      <c r="N2746" s="16"/>
    </row>
    <row r="2747">
      <c r="A2747" s="8"/>
      <c r="B2747" s="8"/>
      <c r="C2747" s="8"/>
      <c r="D2747" s="8"/>
      <c r="E2747" s="16"/>
      <c r="J2747" s="23"/>
      <c r="K2747" s="8"/>
      <c r="L2747" s="8"/>
      <c r="M2747" s="8"/>
      <c r="N2747" s="16"/>
    </row>
    <row r="2748">
      <c r="A2748" s="8"/>
      <c r="B2748" s="8"/>
      <c r="C2748" s="8"/>
      <c r="D2748" s="8"/>
      <c r="E2748" s="16"/>
      <c r="J2748" s="23"/>
      <c r="K2748" s="8"/>
      <c r="L2748" s="8"/>
      <c r="M2748" s="8"/>
      <c r="N2748" s="16"/>
    </row>
    <row r="2749">
      <c r="A2749" s="8"/>
      <c r="B2749" s="8"/>
      <c r="C2749" s="8"/>
      <c r="D2749" s="8"/>
      <c r="E2749" s="16"/>
      <c r="J2749" s="23"/>
      <c r="K2749" s="8"/>
      <c r="L2749" s="8"/>
      <c r="M2749" s="8"/>
      <c r="N2749" s="16"/>
    </row>
    <row r="2750">
      <c r="A2750" s="8"/>
      <c r="B2750" s="8"/>
      <c r="C2750" s="8"/>
      <c r="D2750" s="8"/>
      <c r="E2750" s="16"/>
      <c r="J2750" s="23"/>
      <c r="K2750" s="8"/>
      <c r="L2750" s="8"/>
      <c r="M2750" s="8"/>
      <c r="N2750" s="16"/>
    </row>
    <row r="2751">
      <c r="A2751" s="8"/>
      <c r="B2751" s="8"/>
      <c r="C2751" s="8"/>
      <c r="D2751" s="8"/>
      <c r="E2751" s="16"/>
      <c r="J2751" s="23"/>
      <c r="K2751" s="8"/>
      <c r="L2751" s="8"/>
      <c r="M2751" s="8"/>
      <c r="N2751" s="16"/>
    </row>
    <row r="2752">
      <c r="A2752" s="8"/>
      <c r="B2752" s="8"/>
      <c r="C2752" s="8"/>
      <c r="D2752" s="8"/>
      <c r="E2752" s="16"/>
      <c r="J2752" s="23"/>
      <c r="K2752" s="8"/>
      <c r="L2752" s="8"/>
      <c r="M2752" s="8"/>
      <c r="N2752" s="16"/>
    </row>
    <row r="2753">
      <c r="A2753" s="8"/>
      <c r="B2753" s="8"/>
      <c r="C2753" s="8"/>
      <c r="D2753" s="8"/>
      <c r="E2753" s="16"/>
      <c r="J2753" s="23"/>
      <c r="K2753" s="8"/>
      <c r="L2753" s="8"/>
      <c r="M2753" s="8"/>
      <c r="N2753" s="16"/>
    </row>
    <row r="2754">
      <c r="A2754" s="8"/>
      <c r="B2754" s="8"/>
      <c r="C2754" s="8"/>
      <c r="D2754" s="8"/>
      <c r="E2754" s="16"/>
      <c r="J2754" s="23"/>
      <c r="K2754" s="8"/>
      <c r="L2754" s="8"/>
      <c r="M2754" s="8"/>
      <c r="N2754" s="16"/>
    </row>
    <row r="2755">
      <c r="A2755" s="8"/>
      <c r="B2755" s="8"/>
      <c r="C2755" s="8"/>
      <c r="D2755" s="8"/>
      <c r="E2755" s="16"/>
      <c r="J2755" s="23"/>
      <c r="K2755" s="8"/>
      <c r="L2755" s="8"/>
      <c r="M2755" s="8"/>
      <c r="N2755" s="16"/>
    </row>
    <row r="2756">
      <c r="A2756" s="8"/>
      <c r="B2756" s="8"/>
      <c r="C2756" s="8"/>
      <c r="D2756" s="8"/>
      <c r="E2756" s="16"/>
      <c r="J2756" s="23"/>
      <c r="K2756" s="8"/>
      <c r="L2756" s="8"/>
      <c r="M2756" s="8"/>
      <c r="N2756" s="16"/>
    </row>
    <row r="2757">
      <c r="A2757" s="8"/>
      <c r="B2757" s="8"/>
      <c r="C2757" s="8"/>
      <c r="D2757" s="8"/>
      <c r="E2757" s="16"/>
      <c r="J2757" s="23"/>
      <c r="K2757" s="8"/>
      <c r="L2757" s="8"/>
      <c r="M2757" s="8"/>
      <c r="N2757" s="16"/>
    </row>
    <row r="2758">
      <c r="A2758" s="8"/>
      <c r="B2758" s="8"/>
      <c r="C2758" s="8"/>
      <c r="D2758" s="8"/>
      <c r="E2758" s="16"/>
      <c r="J2758" s="23"/>
      <c r="K2758" s="8"/>
      <c r="L2758" s="8"/>
      <c r="M2758" s="8"/>
      <c r="N2758" s="16"/>
    </row>
    <row r="2759">
      <c r="A2759" s="8"/>
      <c r="B2759" s="8"/>
      <c r="C2759" s="8"/>
      <c r="D2759" s="8"/>
      <c r="E2759" s="16"/>
      <c r="J2759" s="23"/>
      <c r="K2759" s="8"/>
      <c r="L2759" s="8"/>
      <c r="M2759" s="8"/>
      <c r="N2759" s="16"/>
    </row>
    <row r="2760">
      <c r="A2760" s="8"/>
      <c r="B2760" s="8"/>
      <c r="C2760" s="8"/>
      <c r="D2760" s="8"/>
      <c r="E2760" s="16"/>
      <c r="J2760" s="23"/>
      <c r="K2760" s="8"/>
      <c r="L2760" s="8"/>
      <c r="M2760" s="8"/>
      <c r="N2760" s="16"/>
    </row>
    <row r="2761">
      <c r="A2761" s="8"/>
      <c r="B2761" s="8"/>
      <c r="C2761" s="8"/>
      <c r="D2761" s="8"/>
      <c r="E2761" s="16"/>
      <c r="J2761" s="23"/>
      <c r="K2761" s="8"/>
      <c r="L2761" s="8"/>
      <c r="M2761" s="8"/>
      <c r="N2761" s="16"/>
    </row>
    <row r="2762">
      <c r="A2762" s="8"/>
      <c r="B2762" s="8"/>
      <c r="C2762" s="8"/>
      <c r="D2762" s="8"/>
      <c r="E2762" s="16"/>
      <c r="J2762" s="23"/>
      <c r="K2762" s="8"/>
      <c r="L2762" s="8"/>
      <c r="M2762" s="8"/>
      <c r="N2762" s="16"/>
    </row>
    <row r="2763">
      <c r="A2763" s="8"/>
      <c r="B2763" s="8"/>
      <c r="C2763" s="8"/>
      <c r="D2763" s="8"/>
      <c r="E2763" s="16"/>
      <c r="J2763" s="23"/>
      <c r="K2763" s="8"/>
      <c r="L2763" s="8"/>
      <c r="M2763" s="8"/>
      <c r="N2763" s="16"/>
    </row>
    <row r="2764">
      <c r="A2764" s="8"/>
      <c r="B2764" s="8"/>
      <c r="C2764" s="8"/>
      <c r="D2764" s="8"/>
      <c r="E2764" s="16"/>
      <c r="J2764" s="23"/>
      <c r="K2764" s="8"/>
      <c r="L2764" s="8"/>
      <c r="M2764" s="8"/>
      <c r="N2764" s="16"/>
    </row>
    <row r="2765">
      <c r="A2765" s="8"/>
      <c r="B2765" s="8"/>
      <c r="C2765" s="8"/>
      <c r="D2765" s="8"/>
      <c r="E2765" s="16"/>
      <c r="J2765" s="23"/>
      <c r="K2765" s="8"/>
      <c r="L2765" s="8"/>
      <c r="M2765" s="8"/>
      <c r="N2765" s="16"/>
    </row>
    <row r="2766">
      <c r="A2766" s="8"/>
      <c r="B2766" s="8"/>
      <c r="C2766" s="8"/>
      <c r="D2766" s="8"/>
      <c r="E2766" s="16"/>
      <c r="J2766" s="23"/>
      <c r="K2766" s="8"/>
      <c r="L2766" s="8"/>
      <c r="M2766" s="8"/>
      <c r="N2766" s="16"/>
    </row>
    <row r="2767">
      <c r="A2767" s="8"/>
      <c r="B2767" s="8"/>
      <c r="C2767" s="8"/>
      <c r="D2767" s="8"/>
      <c r="E2767" s="16"/>
      <c r="J2767" s="23"/>
      <c r="K2767" s="8"/>
      <c r="L2767" s="8"/>
      <c r="M2767" s="8"/>
      <c r="N2767" s="16"/>
    </row>
    <row r="2768">
      <c r="A2768" s="8"/>
      <c r="B2768" s="8"/>
      <c r="C2768" s="8"/>
      <c r="D2768" s="8"/>
      <c r="E2768" s="16"/>
      <c r="J2768" s="23"/>
      <c r="K2768" s="8"/>
      <c r="L2768" s="8"/>
      <c r="M2768" s="8"/>
      <c r="N2768" s="16"/>
    </row>
    <row r="2769">
      <c r="A2769" s="8"/>
      <c r="B2769" s="8"/>
      <c r="C2769" s="8"/>
      <c r="D2769" s="8"/>
      <c r="E2769" s="16"/>
      <c r="J2769" s="23"/>
      <c r="K2769" s="8"/>
      <c r="L2769" s="8"/>
      <c r="M2769" s="8"/>
      <c r="N2769" s="16"/>
    </row>
    <row r="2770">
      <c r="A2770" s="8"/>
      <c r="B2770" s="8"/>
      <c r="C2770" s="8"/>
      <c r="D2770" s="8"/>
      <c r="E2770" s="16"/>
      <c r="J2770" s="23"/>
      <c r="K2770" s="8"/>
      <c r="L2770" s="8"/>
      <c r="M2770" s="8"/>
      <c r="N2770" s="16"/>
    </row>
    <row r="2771">
      <c r="A2771" s="8"/>
      <c r="B2771" s="8"/>
      <c r="C2771" s="8"/>
      <c r="D2771" s="8"/>
      <c r="E2771" s="16"/>
      <c r="J2771" s="23"/>
      <c r="K2771" s="8"/>
      <c r="L2771" s="8"/>
      <c r="M2771" s="8"/>
      <c r="N2771" s="16"/>
    </row>
    <row r="2772">
      <c r="A2772" s="8"/>
      <c r="B2772" s="8"/>
      <c r="C2772" s="8"/>
      <c r="D2772" s="8"/>
      <c r="E2772" s="16"/>
      <c r="J2772" s="23"/>
      <c r="K2772" s="8"/>
      <c r="L2772" s="8"/>
      <c r="M2772" s="8"/>
      <c r="N2772" s="16"/>
    </row>
    <row r="2773">
      <c r="A2773" s="8"/>
      <c r="B2773" s="8"/>
      <c r="C2773" s="8"/>
      <c r="D2773" s="8"/>
      <c r="E2773" s="16"/>
      <c r="J2773" s="23"/>
      <c r="K2773" s="8"/>
      <c r="L2773" s="8"/>
      <c r="M2773" s="8"/>
      <c r="N2773" s="16"/>
    </row>
    <row r="2774">
      <c r="A2774" s="8"/>
      <c r="B2774" s="8"/>
      <c r="C2774" s="8"/>
      <c r="D2774" s="8"/>
      <c r="E2774" s="16"/>
      <c r="J2774" s="23"/>
      <c r="K2774" s="8"/>
      <c r="L2774" s="8"/>
      <c r="M2774" s="8"/>
      <c r="N2774" s="16"/>
    </row>
    <row r="2775">
      <c r="A2775" s="8"/>
      <c r="B2775" s="8"/>
      <c r="C2775" s="8"/>
      <c r="D2775" s="8"/>
      <c r="E2775" s="16"/>
      <c r="J2775" s="23"/>
      <c r="K2775" s="8"/>
      <c r="L2775" s="8"/>
      <c r="M2775" s="8"/>
      <c r="N2775" s="16"/>
    </row>
    <row r="2776">
      <c r="A2776" s="8"/>
      <c r="B2776" s="8"/>
      <c r="C2776" s="8"/>
      <c r="D2776" s="8"/>
      <c r="E2776" s="16"/>
      <c r="J2776" s="23"/>
      <c r="K2776" s="8"/>
      <c r="L2776" s="8"/>
      <c r="M2776" s="8"/>
      <c r="N2776" s="16"/>
    </row>
    <row r="2777">
      <c r="A2777" s="8"/>
      <c r="B2777" s="8"/>
      <c r="C2777" s="8"/>
      <c r="D2777" s="8"/>
      <c r="E2777" s="16"/>
      <c r="J2777" s="23"/>
      <c r="K2777" s="8"/>
      <c r="L2777" s="8"/>
      <c r="M2777" s="8"/>
      <c r="N2777" s="16"/>
    </row>
    <row r="2778">
      <c r="A2778" s="8"/>
      <c r="B2778" s="8"/>
      <c r="C2778" s="8"/>
      <c r="D2778" s="8"/>
      <c r="E2778" s="16"/>
      <c r="J2778" s="23"/>
      <c r="K2778" s="8"/>
      <c r="L2778" s="8"/>
      <c r="M2778" s="8"/>
      <c r="N2778" s="16"/>
    </row>
    <row r="2779">
      <c r="A2779" s="8"/>
      <c r="B2779" s="8"/>
      <c r="C2779" s="8"/>
      <c r="D2779" s="8"/>
      <c r="E2779" s="16"/>
      <c r="J2779" s="23"/>
      <c r="K2779" s="8"/>
      <c r="L2779" s="8"/>
      <c r="M2779" s="8"/>
      <c r="N2779" s="16"/>
    </row>
    <row r="2780">
      <c r="A2780" s="8"/>
      <c r="B2780" s="8"/>
      <c r="C2780" s="8"/>
      <c r="D2780" s="8"/>
      <c r="E2780" s="16"/>
      <c r="J2780" s="23"/>
      <c r="K2780" s="8"/>
      <c r="L2780" s="8"/>
      <c r="M2780" s="8"/>
      <c r="N2780" s="16"/>
    </row>
    <row r="2781">
      <c r="A2781" s="8"/>
      <c r="B2781" s="8"/>
      <c r="C2781" s="8"/>
      <c r="D2781" s="8"/>
      <c r="E2781" s="16"/>
      <c r="J2781" s="23"/>
      <c r="K2781" s="8"/>
      <c r="L2781" s="8"/>
      <c r="M2781" s="8"/>
      <c r="N2781" s="16"/>
    </row>
    <row r="2782">
      <c r="A2782" s="8"/>
      <c r="B2782" s="8"/>
      <c r="C2782" s="8"/>
      <c r="D2782" s="8"/>
      <c r="E2782" s="16"/>
      <c r="J2782" s="23"/>
      <c r="K2782" s="8"/>
      <c r="L2782" s="8"/>
      <c r="M2782" s="8"/>
      <c r="N2782" s="16"/>
    </row>
    <row r="2783">
      <c r="A2783" s="8"/>
      <c r="B2783" s="8"/>
      <c r="C2783" s="8"/>
      <c r="D2783" s="8"/>
      <c r="E2783" s="16"/>
      <c r="J2783" s="23"/>
      <c r="K2783" s="8"/>
      <c r="L2783" s="8"/>
      <c r="M2783" s="8"/>
      <c r="N2783" s="16"/>
    </row>
    <row r="2784">
      <c r="A2784" s="8"/>
      <c r="B2784" s="8"/>
      <c r="C2784" s="8"/>
      <c r="D2784" s="8"/>
      <c r="E2784" s="16"/>
      <c r="J2784" s="23"/>
      <c r="K2784" s="8"/>
      <c r="L2784" s="8"/>
      <c r="M2784" s="8"/>
      <c r="N2784" s="16"/>
    </row>
    <row r="2785">
      <c r="A2785" s="8"/>
      <c r="B2785" s="8"/>
      <c r="C2785" s="8"/>
      <c r="D2785" s="8"/>
      <c r="E2785" s="16"/>
      <c r="J2785" s="23"/>
      <c r="K2785" s="8"/>
      <c r="L2785" s="8"/>
      <c r="M2785" s="8"/>
      <c r="N2785" s="16"/>
    </row>
    <row r="2786">
      <c r="A2786" s="8"/>
      <c r="B2786" s="8"/>
      <c r="C2786" s="8"/>
      <c r="D2786" s="8"/>
      <c r="E2786" s="16"/>
      <c r="J2786" s="23"/>
      <c r="K2786" s="8"/>
      <c r="L2786" s="8"/>
      <c r="M2786" s="8"/>
      <c r="N2786" s="16"/>
    </row>
    <row r="2787">
      <c r="A2787" s="8"/>
      <c r="B2787" s="8"/>
      <c r="C2787" s="8"/>
      <c r="D2787" s="8"/>
      <c r="E2787" s="16"/>
      <c r="J2787" s="23"/>
      <c r="K2787" s="8"/>
      <c r="L2787" s="8"/>
      <c r="M2787" s="8"/>
      <c r="N2787" s="16"/>
    </row>
    <row r="2788">
      <c r="A2788" s="8"/>
      <c r="B2788" s="8"/>
      <c r="C2788" s="8"/>
      <c r="D2788" s="8"/>
      <c r="E2788" s="16"/>
      <c r="J2788" s="23"/>
      <c r="K2788" s="8"/>
      <c r="L2788" s="8"/>
      <c r="M2788" s="8"/>
      <c r="N2788" s="16"/>
    </row>
    <row r="2789">
      <c r="A2789" s="8"/>
      <c r="B2789" s="8"/>
      <c r="C2789" s="8"/>
      <c r="D2789" s="8"/>
      <c r="E2789" s="16"/>
      <c r="J2789" s="23"/>
      <c r="K2789" s="8"/>
      <c r="L2789" s="8"/>
      <c r="M2789" s="8"/>
      <c r="N2789" s="16"/>
    </row>
    <row r="2790">
      <c r="A2790" s="8"/>
      <c r="B2790" s="8"/>
      <c r="C2790" s="8"/>
      <c r="D2790" s="8"/>
      <c r="E2790" s="16"/>
      <c r="J2790" s="23"/>
      <c r="K2790" s="8"/>
      <c r="L2790" s="8"/>
      <c r="M2790" s="8"/>
      <c r="N2790" s="16"/>
    </row>
    <row r="2791">
      <c r="A2791" s="8"/>
      <c r="B2791" s="8"/>
      <c r="C2791" s="8"/>
      <c r="D2791" s="8"/>
      <c r="E2791" s="16"/>
      <c r="J2791" s="23"/>
      <c r="K2791" s="8"/>
      <c r="L2791" s="8"/>
      <c r="M2791" s="8"/>
      <c r="N2791" s="16"/>
    </row>
    <row r="2792">
      <c r="A2792" s="8"/>
      <c r="B2792" s="8"/>
      <c r="C2792" s="8"/>
      <c r="D2792" s="8"/>
      <c r="E2792" s="16"/>
      <c r="J2792" s="23"/>
      <c r="K2792" s="8"/>
      <c r="L2792" s="8"/>
      <c r="M2792" s="8"/>
      <c r="N2792" s="16"/>
    </row>
    <row r="2793">
      <c r="A2793" s="8"/>
      <c r="B2793" s="8"/>
      <c r="C2793" s="8"/>
      <c r="D2793" s="8"/>
      <c r="E2793" s="16"/>
      <c r="J2793" s="23"/>
      <c r="K2793" s="8"/>
      <c r="L2793" s="8"/>
      <c r="M2793" s="8"/>
      <c r="N2793" s="16"/>
    </row>
    <row r="2794">
      <c r="A2794" s="8"/>
      <c r="B2794" s="8"/>
      <c r="C2794" s="8"/>
      <c r="D2794" s="8"/>
      <c r="E2794" s="16"/>
      <c r="J2794" s="23"/>
      <c r="K2794" s="8"/>
      <c r="L2794" s="8"/>
      <c r="M2794" s="8"/>
      <c r="N2794" s="16"/>
    </row>
    <row r="2795">
      <c r="A2795" s="8"/>
      <c r="B2795" s="8"/>
      <c r="C2795" s="8"/>
      <c r="D2795" s="8"/>
      <c r="E2795" s="16"/>
      <c r="J2795" s="23"/>
      <c r="K2795" s="8"/>
      <c r="L2795" s="8"/>
      <c r="M2795" s="8"/>
      <c r="N2795" s="16"/>
    </row>
    <row r="2796">
      <c r="A2796" s="8"/>
      <c r="B2796" s="8"/>
      <c r="C2796" s="8"/>
      <c r="D2796" s="8"/>
      <c r="E2796" s="16"/>
      <c r="J2796" s="23"/>
      <c r="K2796" s="8"/>
      <c r="L2796" s="8"/>
      <c r="M2796" s="8"/>
      <c r="N2796" s="16"/>
    </row>
    <row r="2797">
      <c r="A2797" s="8"/>
      <c r="B2797" s="8"/>
      <c r="C2797" s="8"/>
      <c r="D2797" s="8"/>
      <c r="E2797" s="16"/>
      <c r="J2797" s="23"/>
      <c r="K2797" s="8"/>
      <c r="L2797" s="8"/>
      <c r="M2797" s="8"/>
      <c r="N2797" s="16"/>
    </row>
    <row r="2798">
      <c r="A2798" s="8"/>
      <c r="B2798" s="8"/>
      <c r="C2798" s="8"/>
      <c r="D2798" s="8"/>
      <c r="E2798" s="16"/>
      <c r="J2798" s="23"/>
      <c r="K2798" s="8"/>
      <c r="L2798" s="8"/>
      <c r="M2798" s="8"/>
      <c r="N2798" s="16"/>
    </row>
    <row r="2799">
      <c r="A2799" s="8"/>
      <c r="B2799" s="8"/>
      <c r="C2799" s="8"/>
      <c r="D2799" s="8"/>
      <c r="E2799" s="16"/>
      <c r="J2799" s="23"/>
      <c r="K2799" s="8"/>
      <c r="L2799" s="8"/>
      <c r="M2799" s="8"/>
      <c r="N2799" s="16"/>
    </row>
    <row r="2800">
      <c r="A2800" s="8"/>
      <c r="B2800" s="8"/>
      <c r="C2800" s="8"/>
      <c r="D2800" s="8"/>
      <c r="E2800" s="16"/>
      <c r="J2800" s="23"/>
      <c r="K2800" s="8"/>
      <c r="L2800" s="8"/>
      <c r="M2800" s="8"/>
      <c r="N2800" s="16"/>
    </row>
    <row r="2801">
      <c r="A2801" s="8"/>
      <c r="B2801" s="8"/>
      <c r="C2801" s="8"/>
      <c r="D2801" s="8"/>
      <c r="E2801" s="16"/>
      <c r="J2801" s="23"/>
      <c r="K2801" s="8"/>
      <c r="L2801" s="8"/>
      <c r="M2801" s="8"/>
      <c r="N2801" s="16"/>
    </row>
    <row r="2802">
      <c r="A2802" s="8"/>
      <c r="B2802" s="8"/>
      <c r="C2802" s="8"/>
      <c r="D2802" s="8"/>
      <c r="E2802" s="16"/>
      <c r="J2802" s="23"/>
      <c r="K2802" s="8"/>
      <c r="L2802" s="8"/>
      <c r="M2802" s="8"/>
      <c r="N2802" s="16"/>
    </row>
    <row r="2803">
      <c r="A2803" s="8"/>
      <c r="B2803" s="8"/>
      <c r="C2803" s="8"/>
      <c r="D2803" s="8"/>
      <c r="E2803" s="16"/>
      <c r="J2803" s="23"/>
      <c r="K2803" s="8"/>
      <c r="L2803" s="8"/>
      <c r="M2803" s="8"/>
      <c r="N2803" s="16"/>
    </row>
    <row r="2804">
      <c r="A2804" s="8"/>
      <c r="B2804" s="8"/>
      <c r="C2804" s="8"/>
      <c r="D2804" s="8"/>
      <c r="E2804" s="16"/>
      <c r="J2804" s="23"/>
      <c r="K2804" s="8"/>
      <c r="L2804" s="8"/>
      <c r="M2804" s="8"/>
      <c r="N2804" s="16"/>
    </row>
    <row r="2805">
      <c r="A2805" s="8"/>
      <c r="B2805" s="8"/>
      <c r="C2805" s="8"/>
      <c r="D2805" s="8"/>
      <c r="E2805" s="16"/>
      <c r="J2805" s="23"/>
      <c r="K2805" s="8"/>
      <c r="L2805" s="8"/>
      <c r="M2805" s="8"/>
      <c r="N2805" s="16"/>
    </row>
    <row r="2806">
      <c r="A2806" s="8"/>
      <c r="B2806" s="8"/>
      <c r="C2806" s="8"/>
      <c r="D2806" s="8"/>
      <c r="E2806" s="16"/>
      <c r="J2806" s="23"/>
      <c r="K2806" s="8"/>
      <c r="L2806" s="8"/>
      <c r="M2806" s="8"/>
      <c r="N2806" s="16"/>
    </row>
    <row r="2807">
      <c r="A2807" s="8"/>
      <c r="B2807" s="8"/>
      <c r="C2807" s="8"/>
      <c r="D2807" s="8"/>
      <c r="E2807" s="16"/>
      <c r="J2807" s="23"/>
      <c r="K2807" s="8"/>
      <c r="L2807" s="8"/>
      <c r="M2807" s="8"/>
      <c r="N2807" s="16"/>
    </row>
    <row r="2808">
      <c r="A2808" s="8"/>
      <c r="B2808" s="8"/>
      <c r="C2808" s="8"/>
      <c r="D2808" s="8"/>
      <c r="E2808" s="16"/>
      <c r="J2808" s="23"/>
      <c r="K2808" s="8"/>
      <c r="L2808" s="8"/>
      <c r="M2808" s="8"/>
      <c r="N2808" s="16"/>
    </row>
    <row r="2809">
      <c r="A2809" s="8"/>
      <c r="B2809" s="8"/>
      <c r="C2809" s="8"/>
      <c r="D2809" s="8"/>
      <c r="E2809" s="16"/>
      <c r="J2809" s="23"/>
      <c r="K2809" s="8"/>
      <c r="L2809" s="8"/>
      <c r="M2809" s="8"/>
      <c r="N2809" s="16"/>
    </row>
    <row r="2810">
      <c r="A2810" s="8"/>
      <c r="B2810" s="8"/>
      <c r="C2810" s="8"/>
      <c r="D2810" s="8"/>
      <c r="E2810" s="16"/>
      <c r="J2810" s="23"/>
      <c r="K2810" s="8"/>
      <c r="L2810" s="8"/>
      <c r="M2810" s="8"/>
      <c r="N2810" s="16"/>
    </row>
    <row r="2811">
      <c r="A2811" s="8"/>
      <c r="B2811" s="8"/>
      <c r="C2811" s="8"/>
      <c r="D2811" s="8"/>
      <c r="E2811" s="16"/>
      <c r="J2811" s="23"/>
      <c r="K2811" s="8"/>
      <c r="L2811" s="8"/>
      <c r="M2811" s="8"/>
      <c r="N2811" s="16"/>
    </row>
    <row r="2812">
      <c r="A2812" s="8"/>
      <c r="B2812" s="8"/>
      <c r="C2812" s="8"/>
      <c r="D2812" s="8"/>
      <c r="E2812" s="16"/>
      <c r="J2812" s="23"/>
      <c r="K2812" s="8"/>
      <c r="L2812" s="8"/>
      <c r="M2812" s="8"/>
      <c r="N2812" s="16"/>
    </row>
    <row r="2813">
      <c r="A2813" s="8"/>
      <c r="B2813" s="8"/>
      <c r="C2813" s="8"/>
      <c r="D2813" s="8"/>
      <c r="E2813" s="16"/>
      <c r="J2813" s="23"/>
      <c r="K2813" s="8"/>
      <c r="L2813" s="8"/>
      <c r="M2813" s="8"/>
      <c r="N2813" s="16"/>
    </row>
    <row r="2814">
      <c r="A2814" s="8"/>
      <c r="B2814" s="8"/>
      <c r="C2814" s="8"/>
      <c r="D2814" s="8"/>
      <c r="E2814" s="16"/>
      <c r="J2814" s="23"/>
      <c r="K2814" s="8"/>
      <c r="L2814" s="8"/>
      <c r="M2814" s="8"/>
      <c r="N2814" s="16"/>
    </row>
    <row r="2815">
      <c r="A2815" s="8"/>
      <c r="B2815" s="8"/>
      <c r="C2815" s="8"/>
      <c r="D2815" s="8"/>
      <c r="E2815" s="16"/>
      <c r="J2815" s="23"/>
      <c r="K2815" s="8"/>
      <c r="L2815" s="8"/>
      <c r="M2815" s="8"/>
      <c r="N2815" s="16"/>
    </row>
    <row r="2816">
      <c r="A2816" s="8"/>
      <c r="B2816" s="8"/>
      <c r="C2816" s="8"/>
      <c r="D2816" s="8"/>
      <c r="E2816" s="16"/>
      <c r="J2816" s="23"/>
      <c r="K2816" s="8"/>
      <c r="L2816" s="8"/>
      <c r="M2816" s="8"/>
      <c r="N2816" s="16"/>
    </row>
    <row r="2817">
      <c r="A2817" s="8"/>
      <c r="B2817" s="8"/>
      <c r="C2817" s="8"/>
      <c r="D2817" s="8"/>
      <c r="E2817" s="16"/>
      <c r="J2817" s="23"/>
      <c r="K2817" s="8"/>
      <c r="L2817" s="8"/>
      <c r="M2817" s="8"/>
      <c r="N2817" s="16"/>
    </row>
    <row r="2818">
      <c r="A2818" s="8"/>
      <c r="B2818" s="8"/>
      <c r="C2818" s="8"/>
      <c r="D2818" s="8"/>
      <c r="E2818" s="16"/>
      <c r="J2818" s="23"/>
      <c r="K2818" s="8"/>
      <c r="L2818" s="8"/>
      <c r="M2818" s="8"/>
      <c r="N2818" s="16"/>
    </row>
    <row r="2819">
      <c r="A2819" s="8"/>
      <c r="B2819" s="8"/>
      <c r="C2819" s="8"/>
      <c r="D2819" s="8"/>
      <c r="E2819" s="16"/>
      <c r="J2819" s="23"/>
      <c r="K2819" s="8"/>
      <c r="L2819" s="8"/>
      <c r="M2819" s="8"/>
      <c r="N2819" s="16"/>
    </row>
    <row r="2820">
      <c r="A2820" s="8"/>
      <c r="B2820" s="8"/>
      <c r="C2820" s="8"/>
      <c r="D2820" s="8"/>
      <c r="E2820" s="16"/>
      <c r="J2820" s="23"/>
      <c r="K2820" s="8"/>
      <c r="L2820" s="8"/>
      <c r="M2820" s="8"/>
      <c r="N2820" s="16"/>
    </row>
    <row r="2821">
      <c r="A2821" s="8"/>
      <c r="B2821" s="8"/>
      <c r="C2821" s="8"/>
      <c r="D2821" s="8"/>
      <c r="E2821" s="16"/>
      <c r="J2821" s="23"/>
      <c r="K2821" s="8"/>
      <c r="L2821" s="8"/>
      <c r="M2821" s="8"/>
      <c r="N2821" s="16"/>
    </row>
    <row r="2822">
      <c r="A2822" s="8"/>
      <c r="B2822" s="8"/>
      <c r="C2822" s="8"/>
      <c r="D2822" s="8"/>
      <c r="E2822" s="16"/>
      <c r="J2822" s="23"/>
      <c r="K2822" s="8"/>
      <c r="L2822" s="8"/>
      <c r="M2822" s="8"/>
      <c r="N2822" s="16"/>
    </row>
    <row r="2823">
      <c r="A2823" s="8"/>
      <c r="B2823" s="8"/>
      <c r="C2823" s="8"/>
      <c r="D2823" s="8"/>
      <c r="E2823" s="16"/>
      <c r="J2823" s="23"/>
      <c r="K2823" s="8"/>
      <c r="L2823" s="8"/>
      <c r="M2823" s="8"/>
      <c r="N2823" s="16"/>
    </row>
    <row r="2824">
      <c r="A2824" s="8"/>
      <c r="B2824" s="8"/>
      <c r="C2824" s="8"/>
      <c r="D2824" s="8"/>
      <c r="E2824" s="16"/>
      <c r="J2824" s="23"/>
      <c r="K2824" s="8"/>
      <c r="L2824" s="8"/>
      <c r="M2824" s="8"/>
      <c r="N2824" s="16"/>
    </row>
    <row r="2825">
      <c r="A2825" s="8"/>
      <c r="B2825" s="8"/>
      <c r="C2825" s="8"/>
      <c r="D2825" s="8"/>
      <c r="E2825" s="16"/>
      <c r="J2825" s="23"/>
      <c r="K2825" s="8"/>
      <c r="L2825" s="8"/>
      <c r="M2825" s="8"/>
      <c r="N2825" s="16"/>
    </row>
    <row r="2826">
      <c r="A2826" s="8"/>
      <c r="B2826" s="8"/>
      <c r="C2826" s="8"/>
      <c r="D2826" s="8"/>
      <c r="E2826" s="16"/>
      <c r="J2826" s="23"/>
      <c r="K2826" s="8"/>
      <c r="L2826" s="8"/>
      <c r="M2826" s="8"/>
      <c r="N2826" s="16"/>
    </row>
    <row r="2827">
      <c r="A2827" s="8"/>
      <c r="B2827" s="8"/>
      <c r="C2827" s="8"/>
      <c r="D2827" s="8"/>
      <c r="E2827" s="16"/>
      <c r="J2827" s="23"/>
      <c r="K2827" s="8"/>
      <c r="L2827" s="8"/>
      <c r="M2827" s="8"/>
      <c r="N2827" s="16"/>
    </row>
    <row r="2828">
      <c r="A2828" s="8"/>
      <c r="B2828" s="8"/>
      <c r="C2828" s="8"/>
      <c r="D2828" s="8"/>
      <c r="E2828" s="16"/>
      <c r="J2828" s="23"/>
      <c r="K2828" s="8"/>
      <c r="L2828" s="8"/>
      <c r="M2828" s="8"/>
      <c r="N2828" s="16"/>
    </row>
    <row r="2829">
      <c r="A2829" s="8"/>
      <c r="B2829" s="8"/>
      <c r="C2829" s="8"/>
      <c r="D2829" s="8"/>
      <c r="E2829" s="16"/>
      <c r="J2829" s="23"/>
      <c r="K2829" s="8"/>
      <c r="L2829" s="8"/>
      <c r="M2829" s="8"/>
      <c r="N2829" s="16"/>
    </row>
    <row r="2830">
      <c r="A2830" s="8"/>
      <c r="B2830" s="8"/>
      <c r="C2830" s="8"/>
      <c r="D2830" s="8"/>
      <c r="E2830" s="16"/>
      <c r="J2830" s="23"/>
      <c r="K2830" s="8"/>
      <c r="L2830" s="8"/>
      <c r="M2830" s="8"/>
      <c r="N2830" s="16"/>
    </row>
    <row r="2831">
      <c r="A2831" s="8"/>
      <c r="B2831" s="8"/>
      <c r="C2831" s="8"/>
      <c r="D2831" s="8"/>
      <c r="E2831" s="16"/>
      <c r="J2831" s="23"/>
      <c r="K2831" s="8"/>
      <c r="L2831" s="8"/>
      <c r="M2831" s="8"/>
      <c r="N2831" s="16"/>
    </row>
    <row r="2832">
      <c r="A2832" s="8"/>
      <c r="B2832" s="8"/>
      <c r="C2832" s="8"/>
      <c r="D2832" s="8"/>
      <c r="E2832" s="16"/>
      <c r="J2832" s="23"/>
      <c r="K2832" s="8"/>
      <c r="L2832" s="8"/>
      <c r="M2832" s="8"/>
      <c r="N2832" s="16"/>
    </row>
    <row r="2833">
      <c r="A2833" s="8"/>
      <c r="B2833" s="8"/>
      <c r="C2833" s="8"/>
      <c r="D2833" s="8"/>
      <c r="E2833" s="16"/>
      <c r="J2833" s="23"/>
      <c r="K2833" s="8"/>
      <c r="L2833" s="8"/>
      <c r="M2833" s="8"/>
      <c r="N2833" s="16"/>
    </row>
    <row r="2834">
      <c r="A2834" s="8"/>
      <c r="B2834" s="8"/>
      <c r="C2834" s="8"/>
      <c r="D2834" s="8"/>
      <c r="E2834" s="16"/>
      <c r="J2834" s="23"/>
      <c r="K2834" s="8"/>
      <c r="L2834" s="8"/>
      <c r="M2834" s="8"/>
      <c r="N2834" s="16"/>
    </row>
    <row r="2835">
      <c r="A2835" s="8"/>
      <c r="B2835" s="8"/>
      <c r="C2835" s="8"/>
      <c r="D2835" s="8"/>
      <c r="E2835" s="16"/>
      <c r="J2835" s="23"/>
      <c r="K2835" s="8"/>
      <c r="L2835" s="8"/>
      <c r="M2835" s="8"/>
      <c r="N2835" s="16"/>
    </row>
    <row r="2836">
      <c r="A2836" s="8"/>
      <c r="B2836" s="8"/>
      <c r="C2836" s="8"/>
      <c r="D2836" s="8"/>
      <c r="E2836" s="16"/>
      <c r="J2836" s="23"/>
      <c r="K2836" s="8"/>
      <c r="L2836" s="8"/>
      <c r="M2836" s="8"/>
      <c r="N2836" s="16"/>
    </row>
    <row r="2837">
      <c r="A2837" s="8"/>
      <c r="B2837" s="8"/>
      <c r="C2837" s="8"/>
      <c r="D2837" s="8"/>
      <c r="E2837" s="16"/>
      <c r="J2837" s="23"/>
      <c r="K2837" s="8"/>
      <c r="L2837" s="8"/>
      <c r="M2837" s="8"/>
      <c r="N2837" s="16"/>
    </row>
    <row r="2838">
      <c r="A2838" s="8"/>
      <c r="B2838" s="8"/>
      <c r="C2838" s="8"/>
      <c r="D2838" s="8"/>
      <c r="E2838" s="16"/>
      <c r="J2838" s="23"/>
      <c r="K2838" s="8"/>
      <c r="L2838" s="8"/>
      <c r="M2838" s="8"/>
      <c r="N2838" s="16"/>
    </row>
    <row r="2839">
      <c r="A2839" s="8"/>
      <c r="B2839" s="8"/>
      <c r="C2839" s="8"/>
      <c r="D2839" s="8"/>
      <c r="E2839" s="16"/>
      <c r="J2839" s="23"/>
      <c r="K2839" s="8"/>
      <c r="L2839" s="8"/>
      <c r="M2839" s="8"/>
      <c r="N2839" s="16"/>
    </row>
    <row r="2840">
      <c r="A2840" s="8"/>
      <c r="B2840" s="8"/>
      <c r="C2840" s="8"/>
      <c r="D2840" s="8"/>
      <c r="E2840" s="16"/>
      <c r="J2840" s="23"/>
      <c r="K2840" s="8"/>
      <c r="L2840" s="8"/>
      <c r="M2840" s="8"/>
      <c r="N2840" s="16"/>
    </row>
    <row r="2841">
      <c r="A2841" s="8"/>
      <c r="B2841" s="8"/>
      <c r="C2841" s="8"/>
      <c r="D2841" s="8"/>
      <c r="E2841" s="16"/>
      <c r="J2841" s="23"/>
      <c r="K2841" s="8"/>
      <c r="L2841" s="8"/>
      <c r="M2841" s="8"/>
      <c r="N2841" s="16"/>
    </row>
    <row r="2842">
      <c r="A2842" s="8"/>
      <c r="B2842" s="8"/>
      <c r="C2842" s="8"/>
      <c r="D2842" s="8"/>
      <c r="E2842" s="16"/>
      <c r="J2842" s="23"/>
      <c r="K2842" s="8"/>
      <c r="L2842" s="8"/>
      <c r="M2842" s="8"/>
      <c r="N2842" s="16"/>
    </row>
    <row r="2843">
      <c r="A2843" s="8"/>
      <c r="B2843" s="8"/>
      <c r="C2843" s="8"/>
      <c r="D2843" s="8"/>
      <c r="E2843" s="16"/>
      <c r="J2843" s="23"/>
      <c r="K2843" s="8"/>
      <c r="L2843" s="8"/>
      <c r="M2843" s="8"/>
      <c r="N2843" s="16"/>
    </row>
    <row r="2844">
      <c r="A2844" s="8"/>
      <c r="B2844" s="8"/>
      <c r="C2844" s="8"/>
      <c r="D2844" s="8"/>
      <c r="E2844" s="16"/>
      <c r="J2844" s="23"/>
      <c r="K2844" s="8"/>
      <c r="L2844" s="8"/>
      <c r="M2844" s="8"/>
      <c r="N2844" s="16"/>
    </row>
    <row r="2845">
      <c r="A2845" s="8"/>
      <c r="B2845" s="8"/>
      <c r="C2845" s="8"/>
      <c r="D2845" s="8"/>
      <c r="E2845" s="16"/>
      <c r="J2845" s="23"/>
      <c r="K2845" s="8"/>
      <c r="L2845" s="8"/>
      <c r="M2845" s="8"/>
      <c r="N2845" s="16"/>
    </row>
    <row r="2846">
      <c r="A2846" s="8"/>
      <c r="B2846" s="8"/>
      <c r="C2846" s="8"/>
      <c r="D2846" s="8"/>
      <c r="E2846" s="16"/>
      <c r="J2846" s="23"/>
      <c r="K2846" s="8"/>
      <c r="L2846" s="8"/>
      <c r="M2846" s="8"/>
      <c r="N2846" s="16"/>
    </row>
    <row r="2847">
      <c r="A2847" s="8"/>
      <c r="B2847" s="8"/>
      <c r="C2847" s="8"/>
      <c r="D2847" s="8"/>
      <c r="E2847" s="16"/>
      <c r="J2847" s="23"/>
      <c r="K2847" s="8"/>
      <c r="L2847" s="8"/>
      <c r="M2847" s="8"/>
      <c r="N2847" s="16"/>
    </row>
    <row r="2848">
      <c r="A2848" s="8"/>
      <c r="B2848" s="8"/>
      <c r="C2848" s="8"/>
      <c r="D2848" s="8"/>
      <c r="E2848" s="16"/>
      <c r="J2848" s="23"/>
      <c r="K2848" s="8"/>
      <c r="L2848" s="8"/>
      <c r="M2848" s="8"/>
      <c r="N2848" s="16"/>
    </row>
    <row r="2849">
      <c r="A2849" s="8"/>
      <c r="B2849" s="8"/>
      <c r="C2849" s="8"/>
      <c r="D2849" s="8"/>
      <c r="E2849" s="16"/>
      <c r="J2849" s="23"/>
      <c r="K2849" s="8"/>
      <c r="L2849" s="8"/>
      <c r="M2849" s="8"/>
      <c r="N2849" s="16"/>
    </row>
    <row r="2850">
      <c r="A2850" s="8"/>
      <c r="B2850" s="8"/>
      <c r="C2850" s="8"/>
      <c r="D2850" s="8"/>
      <c r="E2850" s="16"/>
      <c r="J2850" s="23"/>
      <c r="K2850" s="8"/>
      <c r="L2850" s="8"/>
      <c r="M2850" s="8"/>
      <c r="N2850" s="16"/>
    </row>
    <row r="2851">
      <c r="A2851" s="8"/>
      <c r="B2851" s="8"/>
      <c r="C2851" s="8"/>
      <c r="D2851" s="8"/>
      <c r="E2851" s="16"/>
      <c r="J2851" s="23"/>
      <c r="K2851" s="8"/>
      <c r="L2851" s="8"/>
      <c r="M2851" s="8"/>
      <c r="N2851" s="16"/>
    </row>
    <row r="2852">
      <c r="A2852" s="8"/>
      <c r="B2852" s="8"/>
      <c r="C2852" s="8"/>
      <c r="D2852" s="8"/>
      <c r="E2852" s="16"/>
      <c r="J2852" s="23"/>
      <c r="K2852" s="8"/>
      <c r="L2852" s="8"/>
      <c r="M2852" s="8"/>
      <c r="N2852" s="16"/>
    </row>
    <row r="2853">
      <c r="A2853" s="8"/>
      <c r="B2853" s="8"/>
      <c r="C2853" s="8"/>
      <c r="D2853" s="8"/>
      <c r="E2853" s="16"/>
      <c r="J2853" s="23"/>
      <c r="K2853" s="8"/>
      <c r="L2853" s="8"/>
      <c r="M2853" s="8"/>
      <c r="N2853" s="16"/>
    </row>
    <row r="2854">
      <c r="A2854" s="8"/>
      <c r="B2854" s="8"/>
      <c r="C2854" s="8"/>
      <c r="D2854" s="8"/>
      <c r="E2854" s="16"/>
      <c r="J2854" s="23"/>
      <c r="K2854" s="8"/>
      <c r="L2854" s="8"/>
      <c r="M2854" s="8"/>
      <c r="N2854" s="16"/>
    </row>
    <row r="2855">
      <c r="A2855" s="8"/>
      <c r="B2855" s="8"/>
      <c r="C2855" s="8"/>
      <c r="D2855" s="8"/>
      <c r="E2855" s="16"/>
      <c r="J2855" s="23"/>
      <c r="K2855" s="8"/>
      <c r="L2855" s="8"/>
      <c r="M2855" s="8"/>
      <c r="N2855" s="16"/>
    </row>
    <row r="2856">
      <c r="A2856" s="8"/>
      <c r="B2856" s="8"/>
      <c r="C2856" s="8"/>
      <c r="D2856" s="8"/>
      <c r="E2856" s="16"/>
      <c r="J2856" s="23"/>
      <c r="K2856" s="8"/>
      <c r="L2856" s="8"/>
      <c r="M2856" s="8"/>
      <c r="N2856" s="16"/>
    </row>
    <row r="2857">
      <c r="A2857" s="8"/>
      <c r="B2857" s="8"/>
      <c r="C2857" s="8"/>
      <c r="D2857" s="8"/>
      <c r="E2857" s="16"/>
      <c r="J2857" s="23"/>
      <c r="K2857" s="8"/>
      <c r="L2857" s="8"/>
      <c r="M2857" s="8"/>
      <c r="N2857" s="16"/>
    </row>
    <row r="2858">
      <c r="A2858" s="8"/>
      <c r="B2858" s="8"/>
      <c r="C2858" s="8"/>
      <c r="D2858" s="8"/>
      <c r="E2858" s="16"/>
      <c r="J2858" s="23"/>
      <c r="K2858" s="8"/>
      <c r="L2858" s="8"/>
      <c r="M2858" s="8"/>
      <c r="N2858" s="16"/>
    </row>
    <row r="2859">
      <c r="A2859" s="8"/>
      <c r="B2859" s="8"/>
      <c r="C2859" s="8"/>
      <c r="D2859" s="8"/>
      <c r="E2859" s="16"/>
      <c r="J2859" s="23"/>
      <c r="K2859" s="8"/>
      <c r="L2859" s="8"/>
      <c r="M2859" s="8"/>
      <c r="N2859" s="16"/>
    </row>
    <row r="2860">
      <c r="A2860" s="8"/>
      <c r="B2860" s="8"/>
      <c r="C2860" s="8"/>
      <c r="D2860" s="8"/>
      <c r="E2860" s="16"/>
      <c r="J2860" s="23"/>
      <c r="K2860" s="8"/>
      <c r="L2860" s="8"/>
      <c r="M2860" s="8"/>
      <c r="N2860" s="16"/>
    </row>
    <row r="2861">
      <c r="A2861" s="8"/>
      <c r="B2861" s="8"/>
      <c r="C2861" s="8"/>
      <c r="D2861" s="8"/>
      <c r="E2861" s="16"/>
      <c r="J2861" s="23"/>
      <c r="K2861" s="8"/>
      <c r="L2861" s="8"/>
      <c r="M2861" s="8"/>
      <c r="N2861" s="16"/>
    </row>
    <row r="2862">
      <c r="A2862" s="8"/>
      <c r="B2862" s="8"/>
      <c r="C2862" s="8"/>
      <c r="D2862" s="8"/>
      <c r="E2862" s="16"/>
      <c r="J2862" s="23"/>
      <c r="K2862" s="8"/>
      <c r="L2862" s="8"/>
      <c r="M2862" s="8"/>
      <c r="N2862" s="16"/>
    </row>
    <row r="2863">
      <c r="A2863" s="8"/>
      <c r="B2863" s="8"/>
      <c r="C2863" s="8"/>
      <c r="D2863" s="8"/>
      <c r="E2863" s="16"/>
      <c r="J2863" s="23"/>
      <c r="K2863" s="8"/>
      <c r="L2863" s="8"/>
      <c r="M2863" s="8"/>
      <c r="N2863" s="16"/>
    </row>
    <row r="2864">
      <c r="A2864" s="8"/>
      <c r="B2864" s="8"/>
      <c r="C2864" s="8"/>
      <c r="D2864" s="8"/>
      <c r="E2864" s="16"/>
      <c r="J2864" s="23"/>
      <c r="K2864" s="8"/>
      <c r="L2864" s="8"/>
      <c r="M2864" s="8"/>
      <c r="N2864" s="16"/>
    </row>
    <row r="2865">
      <c r="A2865" s="8"/>
      <c r="B2865" s="8"/>
      <c r="C2865" s="8"/>
      <c r="D2865" s="8"/>
      <c r="E2865" s="16"/>
      <c r="J2865" s="23"/>
      <c r="K2865" s="8"/>
      <c r="L2865" s="8"/>
      <c r="M2865" s="8"/>
      <c r="N2865" s="16"/>
    </row>
    <row r="2866">
      <c r="A2866" s="8"/>
      <c r="B2866" s="8"/>
      <c r="C2866" s="8"/>
      <c r="D2866" s="8"/>
      <c r="E2866" s="16"/>
      <c r="J2866" s="23"/>
      <c r="K2866" s="8"/>
      <c r="L2866" s="8"/>
      <c r="M2866" s="8"/>
      <c r="N2866" s="16"/>
    </row>
    <row r="2867">
      <c r="A2867" s="8"/>
      <c r="B2867" s="8"/>
      <c r="C2867" s="8"/>
      <c r="D2867" s="8"/>
      <c r="E2867" s="16"/>
      <c r="J2867" s="23"/>
      <c r="K2867" s="8"/>
      <c r="L2867" s="8"/>
      <c r="M2867" s="8"/>
      <c r="N2867" s="16"/>
    </row>
    <row r="2868">
      <c r="A2868" s="8"/>
      <c r="B2868" s="8"/>
      <c r="C2868" s="8"/>
      <c r="D2868" s="8"/>
      <c r="E2868" s="16"/>
      <c r="J2868" s="23"/>
      <c r="K2868" s="8"/>
      <c r="L2868" s="8"/>
      <c r="M2868" s="8"/>
      <c r="N2868" s="16"/>
    </row>
    <row r="2869">
      <c r="A2869" s="8"/>
      <c r="B2869" s="8"/>
      <c r="C2869" s="8"/>
      <c r="D2869" s="8"/>
      <c r="E2869" s="16"/>
      <c r="J2869" s="23"/>
      <c r="K2869" s="8"/>
      <c r="L2869" s="8"/>
      <c r="M2869" s="8"/>
      <c r="N2869" s="16"/>
    </row>
    <row r="2870">
      <c r="A2870" s="8"/>
      <c r="B2870" s="8"/>
      <c r="C2870" s="8"/>
      <c r="D2870" s="8"/>
      <c r="E2870" s="16"/>
      <c r="J2870" s="23"/>
      <c r="K2870" s="8"/>
      <c r="L2870" s="8"/>
      <c r="M2870" s="8"/>
      <c r="N2870" s="16"/>
    </row>
    <row r="2871">
      <c r="A2871" s="8"/>
      <c r="B2871" s="8"/>
      <c r="C2871" s="8"/>
      <c r="D2871" s="8"/>
      <c r="E2871" s="16"/>
      <c r="J2871" s="23"/>
      <c r="K2871" s="8"/>
      <c r="L2871" s="8"/>
      <c r="M2871" s="8"/>
      <c r="N2871" s="16"/>
    </row>
    <row r="2872">
      <c r="A2872" s="8"/>
      <c r="B2872" s="8"/>
      <c r="C2872" s="8"/>
      <c r="D2872" s="8"/>
      <c r="E2872" s="16"/>
      <c r="J2872" s="23"/>
      <c r="K2872" s="8"/>
      <c r="L2872" s="8"/>
      <c r="M2872" s="8"/>
      <c r="N2872" s="16"/>
    </row>
    <row r="2873">
      <c r="A2873" s="8"/>
      <c r="B2873" s="8"/>
      <c r="C2873" s="8"/>
      <c r="D2873" s="8"/>
      <c r="E2873" s="16"/>
      <c r="J2873" s="23"/>
      <c r="K2873" s="8"/>
      <c r="L2873" s="8"/>
      <c r="M2873" s="8"/>
      <c r="N2873" s="16"/>
    </row>
    <row r="2874">
      <c r="A2874" s="8"/>
      <c r="B2874" s="8"/>
      <c r="C2874" s="8"/>
      <c r="D2874" s="8"/>
      <c r="E2874" s="16"/>
      <c r="J2874" s="23"/>
      <c r="K2874" s="8"/>
      <c r="L2874" s="8"/>
      <c r="M2874" s="8"/>
      <c r="N2874" s="16"/>
    </row>
    <row r="2875">
      <c r="A2875" s="8"/>
      <c r="B2875" s="8"/>
      <c r="C2875" s="8"/>
      <c r="D2875" s="8"/>
      <c r="E2875" s="16"/>
      <c r="J2875" s="23"/>
      <c r="K2875" s="8"/>
      <c r="L2875" s="8"/>
      <c r="M2875" s="8"/>
      <c r="N2875" s="16"/>
    </row>
    <row r="2876">
      <c r="A2876" s="8"/>
      <c r="B2876" s="8"/>
      <c r="C2876" s="8"/>
      <c r="D2876" s="8"/>
      <c r="E2876" s="16"/>
      <c r="J2876" s="23"/>
      <c r="K2876" s="8"/>
      <c r="L2876" s="8"/>
      <c r="M2876" s="8"/>
      <c r="N2876" s="16"/>
    </row>
    <row r="2877">
      <c r="A2877" s="8"/>
      <c r="B2877" s="8"/>
      <c r="C2877" s="8"/>
      <c r="D2877" s="8"/>
      <c r="E2877" s="16"/>
      <c r="J2877" s="23"/>
      <c r="K2877" s="8"/>
      <c r="L2877" s="8"/>
      <c r="M2877" s="8"/>
      <c r="N2877" s="16"/>
    </row>
    <row r="2878">
      <c r="A2878" s="8"/>
      <c r="B2878" s="8"/>
      <c r="C2878" s="8"/>
      <c r="D2878" s="8"/>
      <c r="E2878" s="16"/>
      <c r="J2878" s="23"/>
      <c r="K2878" s="8"/>
      <c r="L2878" s="8"/>
      <c r="M2878" s="8"/>
      <c r="N2878" s="16"/>
    </row>
    <row r="2879">
      <c r="A2879" s="8"/>
      <c r="B2879" s="8"/>
      <c r="C2879" s="8"/>
      <c r="D2879" s="8"/>
      <c r="E2879" s="16"/>
      <c r="J2879" s="23"/>
      <c r="K2879" s="8"/>
      <c r="L2879" s="8"/>
      <c r="M2879" s="8"/>
      <c r="N2879" s="16"/>
    </row>
    <row r="2880">
      <c r="A2880" s="8"/>
      <c r="B2880" s="8"/>
      <c r="C2880" s="8"/>
      <c r="D2880" s="8"/>
      <c r="E2880" s="16"/>
      <c r="J2880" s="23"/>
      <c r="K2880" s="8"/>
      <c r="L2880" s="8"/>
      <c r="M2880" s="8"/>
      <c r="N2880" s="16"/>
    </row>
    <row r="2881">
      <c r="A2881" s="8"/>
      <c r="B2881" s="8"/>
      <c r="C2881" s="8"/>
      <c r="D2881" s="8"/>
      <c r="E2881" s="16"/>
      <c r="J2881" s="23"/>
      <c r="K2881" s="8"/>
      <c r="L2881" s="8"/>
      <c r="M2881" s="8"/>
      <c r="N2881" s="16"/>
    </row>
    <row r="2882">
      <c r="A2882" s="8"/>
      <c r="B2882" s="8"/>
      <c r="C2882" s="8"/>
      <c r="D2882" s="8"/>
      <c r="E2882" s="16"/>
      <c r="J2882" s="23"/>
      <c r="K2882" s="8"/>
      <c r="L2882" s="8"/>
      <c r="M2882" s="8"/>
      <c r="N2882" s="16"/>
    </row>
    <row r="2883">
      <c r="A2883" s="8"/>
      <c r="B2883" s="8"/>
      <c r="C2883" s="8"/>
      <c r="D2883" s="8"/>
      <c r="E2883" s="16"/>
      <c r="J2883" s="23"/>
      <c r="K2883" s="8"/>
      <c r="L2883" s="8"/>
      <c r="M2883" s="8"/>
      <c r="N2883" s="16"/>
    </row>
    <row r="2884">
      <c r="A2884" s="8"/>
      <c r="B2884" s="8"/>
      <c r="C2884" s="8"/>
      <c r="D2884" s="8"/>
      <c r="E2884" s="16"/>
      <c r="J2884" s="23"/>
      <c r="K2884" s="8"/>
      <c r="L2884" s="8"/>
      <c r="M2884" s="8"/>
      <c r="N2884" s="16"/>
    </row>
    <row r="2885">
      <c r="A2885" s="8"/>
      <c r="B2885" s="8"/>
      <c r="C2885" s="8"/>
      <c r="D2885" s="8"/>
      <c r="E2885" s="16"/>
      <c r="J2885" s="23"/>
      <c r="K2885" s="8"/>
      <c r="L2885" s="8"/>
      <c r="M2885" s="8"/>
      <c r="N2885" s="16"/>
    </row>
    <row r="2886">
      <c r="A2886" s="8"/>
      <c r="B2886" s="8"/>
      <c r="C2886" s="8"/>
      <c r="D2886" s="8"/>
      <c r="E2886" s="16"/>
      <c r="J2886" s="23"/>
      <c r="K2886" s="8"/>
      <c r="L2886" s="8"/>
      <c r="M2886" s="8"/>
      <c r="N2886" s="16"/>
    </row>
    <row r="2887">
      <c r="A2887" s="8"/>
      <c r="B2887" s="8"/>
      <c r="C2887" s="8"/>
      <c r="D2887" s="8"/>
      <c r="E2887" s="16"/>
      <c r="J2887" s="23"/>
      <c r="K2887" s="8"/>
      <c r="L2887" s="8"/>
      <c r="M2887" s="8"/>
      <c r="N2887" s="16"/>
    </row>
    <row r="2888">
      <c r="A2888" s="8"/>
      <c r="B2888" s="8"/>
      <c r="C2888" s="8"/>
      <c r="D2888" s="8"/>
      <c r="E2888" s="16"/>
      <c r="J2888" s="23"/>
      <c r="K2888" s="8"/>
      <c r="L2888" s="8"/>
      <c r="M2888" s="8"/>
      <c r="N2888" s="16"/>
    </row>
    <row r="2889">
      <c r="A2889" s="8"/>
      <c r="B2889" s="8"/>
      <c r="C2889" s="8"/>
      <c r="D2889" s="8"/>
      <c r="E2889" s="16"/>
      <c r="J2889" s="23"/>
      <c r="K2889" s="8"/>
      <c r="L2889" s="8"/>
      <c r="M2889" s="8"/>
      <c r="N2889" s="16"/>
    </row>
    <row r="2890">
      <c r="A2890" s="8"/>
      <c r="B2890" s="8"/>
      <c r="C2890" s="8"/>
      <c r="D2890" s="8"/>
      <c r="E2890" s="16"/>
      <c r="J2890" s="23"/>
      <c r="K2890" s="8"/>
      <c r="L2890" s="8"/>
      <c r="M2890" s="8"/>
      <c r="N2890" s="16"/>
    </row>
    <row r="2891">
      <c r="A2891" s="8"/>
      <c r="B2891" s="8"/>
      <c r="C2891" s="8"/>
      <c r="D2891" s="8"/>
      <c r="E2891" s="16"/>
      <c r="J2891" s="23"/>
      <c r="K2891" s="8"/>
      <c r="L2891" s="8"/>
      <c r="M2891" s="8"/>
      <c r="N2891" s="16"/>
    </row>
    <row r="2892">
      <c r="A2892" s="8"/>
      <c r="B2892" s="8"/>
      <c r="C2892" s="8"/>
      <c r="D2892" s="8"/>
      <c r="E2892" s="16"/>
      <c r="J2892" s="23"/>
      <c r="K2892" s="8"/>
      <c r="L2892" s="8"/>
      <c r="M2892" s="8"/>
      <c r="N2892" s="16"/>
    </row>
    <row r="2893">
      <c r="A2893" s="8"/>
      <c r="B2893" s="8"/>
      <c r="C2893" s="8"/>
      <c r="D2893" s="8"/>
      <c r="E2893" s="16"/>
      <c r="J2893" s="23"/>
      <c r="K2893" s="8"/>
      <c r="L2893" s="8"/>
      <c r="M2893" s="8"/>
      <c r="N2893" s="16"/>
    </row>
    <row r="2894">
      <c r="A2894" s="8"/>
      <c r="B2894" s="8"/>
      <c r="C2894" s="8"/>
      <c r="D2894" s="8"/>
      <c r="E2894" s="16"/>
      <c r="J2894" s="23"/>
      <c r="K2894" s="8"/>
      <c r="L2894" s="8"/>
      <c r="M2894" s="8"/>
      <c r="N2894" s="16"/>
    </row>
    <row r="2895">
      <c r="A2895" s="8"/>
      <c r="B2895" s="8"/>
      <c r="C2895" s="8"/>
      <c r="D2895" s="8"/>
      <c r="E2895" s="16"/>
      <c r="J2895" s="23"/>
      <c r="K2895" s="8"/>
      <c r="L2895" s="8"/>
      <c r="M2895" s="8"/>
      <c r="N2895" s="16"/>
    </row>
    <row r="2896">
      <c r="A2896" s="8"/>
      <c r="B2896" s="8"/>
      <c r="C2896" s="8"/>
      <c r="D2896" s="8"/>
      <c r="E2896" s="16"/>
      <c r="J2896" s="23"/>
      <c r="K2896" s="8"/>
      <c r="L2896" s="8"/>
      <c r="M2896" s="8"/>
      <c r="N2896" s="16"/>
    </row>
    <row r="2897">
      <c r="A2897" s="8"/>
      <c r="B2897" s="8"/>
      <c r="C2897" s="8"/>
      <c r="D2897" s="8"/>
      <c r="E2897" s="16"/>
      <c r="J2897" s="23"/>
      <c r="K2897" s="8"/>
      <c r="L2897" s="8"/>
      <c r="M2897" s="8"/>
      <c r="N2897" s="16"/>
    </row>
    <row r="2898">
      <c r="A2898" s="8"/>
      <c r="B2898" s="8"/>
      <c r="C2898" s="8"/>
      <c r="D2898" s="8"/>
      <c r="E2898" s="16"/>
      <c r="J2898" s="23"/>
      <c r="K2898" s="8"/>
      <c r="L2898" s="8"/>
      <c r="M2898" s="8"/>
      <c r="N2898" s="16"/>
    </row>
    <row r="2899">
      <c r="A2899" s="8"/>
      <c r="B2899" s="8"/>
      <c r="C2899" s="8"/>
      <c r="D2899" s="8"/>
      <c r="E2899" s="16"/>
      <c r="J2899" s="23"/>
      <c r="K2899" s="8"/>
      <c r="L2899" s="8"/>
      <c r="M2899" s="8"/>
      <c r="N2899" s="16"/>
    </row>
    <row r="2900">
      <c r="A2900" s="8"/>
      <c r="B2900" s="8"/>
      <c r="C2900" s="8"/>
      <c r="D2900" s="8"/>
      <c r="E2900" s="16"/>
      <c r="J2900" s="23"/>
      <c r="K2900" s="8"/>
      <c r="L2900" s="8"/>
      <c r="M2900" s="8"/>
      <c r="N2900" s="16"/>
    </row>
    <row r="2901">
      <c r="A2901" s="8"/>
      <c r="B2901" s="8"/>
      <c r="C2901" s="8"/>
      <c r="D2901" s="8"/>
      <c r="E2901" s="16"/>
      <c r="J2901" s="23"/>
      <c r="K2901" s="8"/>
      <c r="L2901" s="8"/>
      <c r="M2901" s="8"/>
      <c r="N2901" s="16"/>
    </row>
    <row r="2902">
      <c r="A2902" s="8"/>
      <c r="B2902" s="8"/>
      <c r="C2902" s="8"/>
      <c r="D2902" s="8"/>
      <c r="E2902" s="16"/>
      <c r="J2902" s="23"/>
      <c r="K2902" s="8"/>
      <c r="L2902" s="8"/>
      <c r="M2902" s="8"/>
      <c r="N2902" s="16"/>
    </row>
    <row r="2903">
      <c r="A2903" s="8"/>
      <c r="B2903" s="8"/>
      <c r="C2903" s="8"/>
      <c r="D2903" s="8"/>
      <c r="E2903" s="16"/>
      <c r="J2903" s="23"/>
      <c r="K2903" s="8"/>
      <c r="L2903" s="8"/>
      <c r="M2903" s="8"/>
      <c r="N2903" s="16"/>
    </row>
    <row r="2904">
      <c r="A2904" s="8"/>
      <c r="B2904" s="8"/>
      <c r="C2904" s="8"/>
      <c r="D2904" s="8"/>
      <c r="E2904" s="16"/>
      <c r="J2904" s="23"/>
      <c r="K2904" s="8"/>
      <c r="L2904" s="8"/>
      <c r="M2904" s="8"/>
      <c r="N2904" s="16"/>
    </row>
    <row r="2905">
      <c r="A2905" s="8"/>
      <c r="B2905" s="8"/>
      <c r="C2905" s="8"/>
      <c r="D2905" s="8"/>
      <c r="E2905" s="16"/>
      <c r="J2905" s="23"/>
      <c r="K2905" s="8"/>
      <c r="L2905" s="8"/>
      <c r="M2905" s="8"/>
      <c r="N2905" s="16"/>
    </row>
    <row r="2906">
      <c r="A2906" s="8"/>
      <c r="B2906" s="8"/>
      <c r="C2906" s="8"/>
      <c r="D2906" s="8"/>
      <c r="E2906" s="16"/>
      <c r="J2906" s="23"/>
      <c r="K2906" s="8"/>
      <c r="L2906" s="8"/>
      <c r="M2906" s="8"/>
      <c r="N2906" s="16"/>
    </row>
    <row r="2907">
      <c r="A2907" s="8"/>
      <c r="B2907" s="8"/>
      <c r="C2907" s="8"/>
      <c r="D2907" s="8"/>
      <c r="E2907" s="16"/>
      <c r="J2907" s="23"/>
      <c r="K2907" s="8"/>
      <c r="L2907" s="8"/>
      <c r="M2907" s="8"/>
      <c r="N2907" s="16"/>
    </row>
    <row r="2908">
      <c r="A2908" s="8"/>
      <c r="B2908" s="8"/>
      <c r="C2908" s="8"/>
      <c r="D2908" s="8"/>
      <c r="E2908" s="16"/>
      <c r="J2908" s="23"/>
      <c r="K2908" s="8"/>
      <c r="L2908" s="8"/>
      <c r="M2908" s="8"/>
      <c r="N2908" s="16"/>
    </row>
    <row r="2909">
      <c r="A2909" s="8"/>
      <c r="B2909" s="8"/>
      <c r="C2909" s="8"/>
      <c r="D2909" s="8"/>
      <c r="E2909" s="16"/>
      <c r="J2909" s="23"/>
      <c r="K2909" s="8"/>
      <c r="L2909" s="8"/>
      <c r="M2909" s="8"/>
      <c r="N2909" s="16"/>
    </row>
    <row r="2910">
      <c r="A2910" s="8"/>
      <c r="B2910" s="8"/>
      <c r="C2910" s="8"/>
      <c r="D2910" s="8"/>
      <c r="E2910" s="16"/>
      <c r="J2910" s="23"/>
      <c r="K2910" s="8"/>
      <c r="L2910" s="8"/>
      <c r="M2910" s="8"/>
      <c r="N2910" s="16"/>
    </row>
    <row r="2911">
      <c r="A2911" s="8"/>
      <c r="B2911" s="8"/>
      <c r="C2911" s="8"/>
      <c r="D2911" s="8"/>
      <c r="E2911" s="16"/>
      <c r="J2911" s="23"/>
      <c r="K2911" s="8"/>
      <c r="L2911" s="8"/>
      <c r="M2911" s="8"/>
      <c r="N2911" s="16"/>
    </row>
    <row r="2912">
      <c r="A2912" s="8"/>
      <c r="B2912" s="8"/>
      <c r="C2912" s="8"/>
      <c r="D2912" s="8"/>
      <c r="E2912" s="16"/>
      <c r="J2912" s="23"/>
      <c r="K2912" s="8"/>
      <c r="L2912" s="8"/>
      <c r="M2912" s="8"/>
      <c r="N2912" s="16"/>
    </row>
    <row r="2913">
      <c r="A2913" s="8"/>
      <c r="B2913" s="8"/>
      <c r="C2913" s="8"/>
      <c r="D2913" s="8"/>
      <c r="E2913" s="16"/>
      <c r="J2913" s="23"/>
      <c r="K2913" s="8"/>
      <c r="L2913" s="8"/>
      <c r="M2913" s="8"/>
      <c r="N2913" s="16"/>
    </row>
    <row r="2914">
      <c r="A2914" s="8"/>
      <c r="B2914" s="8"/>
      <c r="C2914" s="8"/>
      <c r="D2914" s="8"/>
      <c r="E2914" s="16"/>
      <c r="J2914" s="23"/>
      <c r="K2914" s="8"/>
      <c r="L2914" s="8"/>
      <c r="M2914" s="8"/>
      <c r="N2914" s="16"/>
    </row>
    <row r="2915">
      <c r="A2915" s="8"/>
      <c r="B2915" s="8"/>
      <c r="C2915" s="8"/>
      <c r="D2915" s="8"/>
      <c r="E2915" s="16"/>
      <c r="J2915" s="23"/>
      <c r="K2915" s="8"/>
      <c r="L2915" s="8"/>
      <c r="M2915" s="8"/>
      <c r="N2915" s="16"/>
    </row>
    <row r="2916">
      <c r="A2916" s="8"/>
      <c r="B2916" s="8"/>
      <c r="C2916" s="8"/>
      <c r="D2916" s="8"/>
      <c r="E2916" s="16"/>
      <c r="J2916" s="23"/>
      <c r="K2916" s="8"/>
      <c r="L2916" s="8"/>
      <c r="M2916" s="8"/>
      <c r="N2916" s="16"/>
    </row>
    <row r="2917">
      <c r="A2917" s="8"/>
      <c r="B2917" s="8"/>
      <c r="C2917" s="8"/>
      <c r="D2917" s="8"/>
      <c r="E2917" s="16"/>
      <c r="J2917" s="23"/>
      <c r="K2917" s="8"/>
      <c r="L2917" s="8"/>
      <c r="M2917" s="8"/>
      <c r="N2917" s="16"/>
    </row>
    <row r="2918">
      <c r="A2918" s="8"/>
      <c r="B2918" s="8"/>
      <c r="C2918" s="8"/>
      <c r="D2918" s="8"/>
      <c r="E2918" s="16"/>
      <c r="J2918" s="23"/>
      <c r="K2918" s="8"/>
      <c r="L2918" s="8"/>
      <c r="M2918" s="8"/>
      <c r="N2918" s="16"/>
    </row>
    <row r="2919">
      <c r="A2919" s="8"/>
      <c r="B2919" s="8"/>
      <c r="C2919" s="8"/>
      <c r="D2919" s="8"/>
      <c r="E2919" s="16"/>
      <c r="J2919" s="23"/>
      <c r="K2919" s="8"/>
      <c r="L2919" s="8"/>
      <c r="M2919" s="8"/>
      <c r="N2919" s="16"/>
    </row>
    <row r="2920">
      <c r="A2920" s="8"/>
      <c r="B2920" s="8"/>
      <c r="C2920" s="8"/>
      <c r="D2920" s="8"/>
      <c r="E2920" s="16"/>
      <c r="J2920" s="23"/>
      <c r="K2920" s="8"/>
      <c r="L2920" s="8"/>
      <c r="M2920" s="8"/>
      <c r="N2920" s="16"/>
    </row>
    <row r="2921">
      <c r="A2921" s="8"/>
      <c r="B2921" s="8"/>
      <c r="C2921" s="8"/>
      <c r="D2921" s="8"/>
      <c r="E2921" s="16"/>
      <c r="J2921" s="23"/>
      <c r="K2921" s="8"/>
      <c r="L2921" s="8"/>
      <c r="M2921" s="8"/>
      <c r="N2921" s="16"/>
    </row>
    <row r="2922">
      <c r="A2922" s="8"/>
      <c r="B2922" s="8"/>
      <c r="C2922" s="8"/>
      <c r="D2922" s="8"/>
      <c r="E2922" s="16"/>
      <c r="J2922" s="23"/>
      <c r="K2922" s="8"/>
      <c r="L2922" s="8"/>
      <c r="M2922" s="8"/>
      <c r="N2922" s="16"/>
    </row>
    <row r="2923">
      <c r="A2923" s="8"/>
      <c r="B2923" s="8"/>
      <c r="C2923" s="8"/>
      <c r="D2923" s="8"/>
      <c r="E2923" s="16"/>
      <c r="J2923" s="23"/>
      <c r="K2923" s="8"/>
      <c r="L2923" s="8"/>
      <c r="M2923" s="8"/>
      <c r="N2923" s="16"/>
    </row>
    <row r="2924">
      <c r="A2924" s="8"/>
      <c r="B2924" s="8"/>
      <c r="C2924" s="8"/>
      <c r="D2924" s="8"/>
      <c r="E2924" s="16"/>
      <c r="J2924" s="23"/>
      <c r="K2924" s="8"/>
      <c r="L2924" s="8"/>
      <c r="M2924" s="8"/>
      <c r="N2924" s="16"/>
    </row>
    <row r="2925">
      <c r="A2925" s="8"/>
      <c r="B2925" s="8"/>
      <c r="C2925" s="8"/>
      <c r="D2925" s="8"/>
      <c r="E2925" s="16"/>
      <c r="J2925" s="23"/>
      <c r="K2925" s="8"/>
      <c r="L2925" s="8"/>
      <c r="M2925" s="8"/>
      <c r="N2925" s="16"/>
    </row>
    <row r="2926">
      <c r="A2926" s="8"/>
      <c r="B2926" s="8"/>
      <c r="C2926" s="8"/>
      <c r="D2926" s="8"/>
      <c r="E2926" s="16"/>
      <c r="J2926" s="23"/>
      <c r="K2926" s="8"/>
      <c r="L2926" s="8"/>
      <c r="M2926" s="8"/>
      <c r="N2926" s="16"/>
    </row>
    <row r="2927">
      <c r="A2927" s="8"/>
      <c r="B2927" s="8"/>
      <c r="C2927" s="8"/>
      <c r="D2927" s="8"/>
      <c r="E2927" s="16"/>
      <c r="J2927" s="23"/>
      <c r="K2927" s="8"/>
      <c r="L2927" s="8"/>
      <c r="M2927" s="8"/>
      <c r="N2927" s="16"/>
    </row>
    <row r="2928">
      <c r="A2928" s="8"/>
      <c r="B2928" s="8"/>
      <c r="C2928" s="8"/>
      <c r="D2928" s="8"/>
      <c r="E2928" s="16"/>
      <c r="J2928" s="23"/>
      <c r="K2928" s="8"/>
      <c r="L2928" s="8"/>
      <c r="M2928" s="8"/>
      <c r="N2928" s="16"/>
    </row>
    <row r="2929">
      <c r="A2929" s="8"/>
      <c r="B2929" s="8"/>
      <c r="C2929" s="8"/>
      <c r="D2929" s="8"/>
      <c r="E2929" s="16"/>
      <c r="J2929" s="23"/>
      <c r="K2929" s="8"/>
      <c r="L2929" s="8"/>
      <c r="M2929" s="8"/>
      <c r="N2929" s="16"/>
    </row>
    <row r="2930">
      <c r="A2930" s="8"/>
      <c r="B2930" s="8"/>
      <c r="C2930" s="8"/>
      <c r="D2930" s="8"/>
      <c r="E2930" s="16"/>
      <c r="J2930" s="23"/>
      <c r="K2930" s="8"/>
      <c r="L2930" s="8"/>
      <c r="M2930" s="8"/>
      <c r="N2930" s="16"/>
    </row>
    <row r="2931">
      <c r="A2931" s="8"/>
      <c r="B2931" s="8"/>
      <c r="C2931" s="8"/>
      <c r="D2931" s="8"/>
      <c r="E2931" s="16"/>
      <c r="J2931" s="23"/>
      <c r="K2931" s="8"/>
      <c r="L2931" s="8"/>
      <c r="M2931" s="8"/>
      <c r="N2931" s="16"/>
    </row>
    <row r="2932">
      <c r="A2932" s="8"/>
      <c r="B2932" s="8"/>
      <c r="C2932" s="8"/>
      <c r="D2932" s="8"/>
      <c r="E2932" s="16"/>
      <c r="J2932" s="23"/>
      <c r="K2932" s="8"/>
      <c r="L2932" s="8"/>
      <c r="M2932" s="8"/>
      <c r="N2932" s="16"/>
    </row>
    <row r="2933">
      <c r="A2933" s="8"/>
      <c r="B2933" s="8"/>
      <c r="C2933" s="8"/>
      <c r="D2933" s="8"/>
      <c r="E2933" s="16"/>
      <c r="J2933" s="23"/>
      <c r="K2933" s="8"/>
      <c r="L2933" s="8"/>
      <c r="M2933" s="8"/>
      <c r="N2933" s="16"/>
    </row>
    <row r="2934">
      <c r="A2934" s="8"/>
      <c r="B2934" s="8"/>
      <c r="C2934" s="8"/>
      <c r="D2934" s="8"/>
      <c r="E2934" s="16"/>
      <c r="J2934" s="23"/>
      <c r="K2934" s="8"/>
      <c r="L2934" s="8"/>
      <c r="M2934" s="8"/>
      <c r="N2934" s="16"/>
    </row>
    <row r="2935">
      <c r="A2935" s="8"/>
      <c r="B2935" s="8"/>
      <c r="C2935" s="8"/>
      <c r="D2935" s="8"/>
      <c r="E2935" s="16"/>
      <c r="J2935" s="23"/>
      <c r="K2935" s="8"/>
      <c r="L2935" s="8"/>
      <c r="M2935" s="8"/>
      <c r="N2935" s="16"/>
    </row>
    <row r="2936">
      <c r="A2936" s="8"/>
      <c r="B2936" s="8"/>
      <c r="C2936" s="8"/>
      <c r="D2936" s="8"/>
      <c r="E2936" s="16"/>
      <c r="J2936" s="23"/>
      <c r="K2936" s="8"/>
      <c r="L2936" s="8"/>
      <c r="M2936" s="8"/>
      <c r="N2936" s="16"/>
    </row>
    <row r="2937">
      <c r="A2937" s="8"/>
      <c r="B2937" s="8"/>
      <c r="C2937" s="8"/>
      <c r="D2937" s="8"/>
      <c r="E2937" s="16"/>
      <c r="J2937" s="23"/>
      <c r="K2937" s="8"/>
      <c r="L2937" s="8"/>
      <c r="M2937" s="8"/>
      <c r="N2937" s="16"/>
    </row>
    <row r="2938">
      <c r="A2938" s="8"/>
      <c r="B2938" s="8"/>
      <c r="C2938" s="8"/>
      <c r="D2938" s="8"/>
      <c r="E2938" s="16"/>
      <c r="J2938" s="23"/>
      <c r="K2938" s="8"/>
      <c r="L2938" s="8"/>
      <c r="M2938" s="8"/>
      <c r="N2938" s="16"/>
    </row>
    <row r="2939">
      <c r="A2939" s="8"/>
      <c r="B2939" s="8"/>
      <c r="C2939" s="8"/>
      <c r="D2939" s="8"/>
      <c r="E2939" s="16"/>
      <c r="J2939" s="23"/>
      <c r="K2939" s="8"/>
      <c r="L2939" s="8"/>
      <c r="M2939" s="8"/>
      <c r="N2939" s="16"/>
    </row>
    <row r="2940">
      <c r="A2940" s="8"/>
      <c r="B2940" s="8"/>
      <c r="C2940" s="8"/>
      <c r="D2940" s="8"/>
      <c r="E2940" s="16"/>
      <c r="J2940" s="23"/>
      <c r="K2940" s="8"/>
      <c r="L2940" s="8"/>
      <c r="M2940" s="8"/>
      <c r="N2940" s="16"/>
    </row>
    <row r="2941">
      <c r="A2941" s="8"/>
      <c r="B2941" s="8"/>
      <c r="C2941" s="8"/>
      <c r="D2941" s="8"/>
      <c r="E2941" s="16"/>
      <c r="J2941" s="23"/>
      <c r="K2941" s="8"/>
      <c r="L2941" s="8"/>
      <c r="M2941" s="8"/>
      <c r="N2941" s="16"/>
    </row>
    <row r="2942">
      <c r="A2942" s="8"/>
      <c r="B2942" s="8"/>
      <c r="C2942" s="8"/>
      <c r="D2942" s="8"/>
      <c r="E2942" s="16"/>
      <c r="J2942" s="23"/>
      <c r="K2942" s="8"/>
      <c r="L2942" s="8"/>
      <c r="M2942" s="8"/>
      <c r="N2942" s="16"/>
    </row>
    <row r="2943">
      <c r="A2943" s="8"/>
      <c r="B2943" s="8"/>
      <c r="C2943" s="8"/>
      <c r="D2943" s="8"/>
      <c r="E2943" s="16"/>
      <c r="J2943" s="23"/>
      <c r="K2943" s="8"/>
      <c r="L2943" s="8"/>
      <c r="M2943" s="8"/>
      <c r="N2943" s="16"/>
    </row>
    <row r="2944">
      <c r="A2944" s="8"/>
      <c r="B2944" s="8"/>
      <c r="C2944" s="8"/>
      <c r="D2944" s="8"/>
      <c r="E2944" s="16"/>
      <c r="J2944" s="23"/>
      <c r="K2944" s="8"/>
      <c r="L2944" s="8"/>
      <c r="M2944" s="8"/>
      <c r="N2944" s="16"/>
    </row>
    <row r="2945">
      <c r="A2945" s="8"/>
      <c r="B2945" s="8"/>
      <c r="C2945" s="8"/>
      <c r="D2945" s="8"/>
      <c r="E2945" s="16"/>
      <c r="J2945" s="23"/>
      <c r="K2945" s="8"/>
      <c r="L2945" s="8"/>
      <c r="M2945" s="8"/>
      <c r="N2945" s="16"/>
    </row>
    <row r="2946">
      <c r="A2946" s="8"/>
      <c r="B2946" s="8"/>
      <c r="C2946" s="8"/>
      <c r="D2946" s="8"/>
      <c r="E2946" s="16"/>
      <c r="J2946" s="23"/>
      <c r="K2946" s="8"/>
      <c r="L2946" s="8"/>
      <c r="M2946" s="8"/>
      <c r="N2946" s="16"/>
    </row>
    <row r="2947">
      <c r="A2947" s="8"/>
      <c r="B2947" s="8"/>
      <c r="C2947" s="8"/>
      <c r="D2947" s="8"/>
      <c r="E2947" s="16"/>
      <c r="J2947" s="23"/>
      <c r="K2947" s="8"/>
      <c r="L2947" s="8"/>
      <c r="M2947" s="8"/>
      <c r="N2947" s="16"/>
    </row>
    <row r="2948">
      <c r="A2948" s="8"/>
      <c r="B2948" s="8"/>
      <c r="C2948" s="8"/>
      <c r="D2948" s="8"/>
      <c r="E2948" s="16"/>
      <c r="J2948" s="23"/>
      <c r="K2948" s="8"/>
      <c r="L2948" s="8"/>
      <c r="M2948" s="8"/>
      <c r="N2948" s="16"/>
    </row>
    <row r="2949">
      <c r="A2949" s="8"/>
      <c r="B2949" s="8"/>
      <c r="C2949" s="8"/>
      <c r="D2949" s="8"/>
      <c r="E2949" s="16"/>
      <c r="J2949" s="23"/>
      <c r="K2949" s="8"/>
      <c r="L2949" s="8"/>
      <c r="M2949" s="8"/>
      <c r="N2949" s="16"/>
    </row>
    <row r="2950">
      <c r="A2950" s="8"/>
      <c r="B2950" s="8"/>
      <c r="C2950" s="8"/>
      <c r="D2950" s="8"/>
      <c r="E2950" s="16"/>
      <c r="J2950" s="23"/>
      <c r="K2950" s="8"/>
      <c r="L2950" s="8"/>
      <c r="M2950" s="8"/>
      <c r="N2950" s="16"/>
    </row>
    <row r="2951">
      <c r="A2951" s="8"/>
      <c r="B2951" s="8"/>
      <c r="C2951" s="8"/>
      <c r="D2951" s="8"/>
      <c r="E2951" s="16"/>
      <c r="J2951" s="23"/>
      <c r="K2951" s="8"/>
      <c r="L2951" s="8"/>
      <c r="M2951" s="8"/>
      <c r="N2951" s="16"/>
    </row>
    <row r="2952">
      <c r="A2952" s="8"/>
      <c r="B2952" s="8"/>
      <c r="C2952" s="8"/>
      <c r="D2952" s="8"/>
      <c r="E2952" s="16"/>
      <c r="J2952" s="23"/>
      <c r="K2952" s="8"/>
      <c r="L2952" s="8"/>
      <c r="M2952" s="8"/>
      <c r="N2952" s="16"/>
    </row>
    <row r="2953">
      <c r="A2953" s="8"/>
      <c r="B2953" s="8"/>
      <c r="C2953" s="8"/>
      <c r="D2953" s="8"/>
      <c r="E2953" s="16"/>
      <c r="J2953" s="23"/>
      <c r="K2953" s="8"/>
      <c r="L2953" s="8"/>
      <c r="M2953" s="8"/>
      <c r="N2953" s="16"/>
    </row>
    <row r="2954">
      <c r="A2954" s="8"/>
      <c r="B2954" s="8"/>
      <c r="C2954" s="8"/>
      <c r="D2954" s="8"/>
      <c r="E2954" s="16"/>
      <c r="J2954" s="23"/>
      <c r="K2954" s="8"/>
      <c r="L2954" s="8"/>
      <c r="M2954" s="8"/>
      <c r="N2954" s="16"/>
    </row>
    <row r="2955">
      <c r="A2955" s="8"/>
      <c r="B2955" s="8"/>
      <c r="C2955" s="8"/>
      <c r="D2955" s="8"/>
      <c r="E2955" s="16"/>
      <c r="J2955" s="23"/>
      <c r="K2955" s="8"/>
      <c r="L2955" s="8"/>
      <c r="M2955" s="8"/>
      <c r="N2955" s="16"/>
    </row>
    <row r="2956">
      <c r="A2956" s="8"/>
      <c r="B2956" s="8"/>
      <c r="C2956" s="8"/>
      <c r="D2956" s="8"/>
      <c r="E2956" s="16"/>
      <c r="J2956" s="23"/>
      <c r="K2956" s="8"/>
      <c r="L2956" s="8"/>
      <c r="M2956" s="8"/>
      <c r="N2956" s="16"/>
    </row>
    <row r="2957">
      <c r="A2957" s="8"/>
      <c r="B2957" s="8"/>
      <c r="C2957" s="8"/>
      <c r="D2957" s="8"/>
      <c r="E2957" s="16"/>
      <c r="J2957" s="23"/>
      <c r="K2957" s="8"/>
      <c r="L2957" s="8"/>
      <c r="M2957" s="8"/>
      <c r="N2957" s="16"/>
    </row>
    <row r="2958">
      <c r="A2958" s="8"/>
      <c r="B2958" s="8"/>
      <c r="C2958" s="8"/>
      <c r="D2958" s="8"/>
      <c r="E2958" s="16"/>
      <c r="J2958" s="23"/>
      <c r="K2958" s="8"/>
      <c r="L2958" s="8"/>
      <c r="M2958" s="8"/>
      <c r="N2958" s="16"/>
    </row>
    <row r="2959">
      <c r="A2959" s="8"/>
      <c r="B2959" s="8"/>
      <c r="C2959" s="8"/>
      <c r="D2959" s="8"/>
      <c r="E2959" s="16"/>
      <c r="J2959" s="23"/>
      <c r="K2959" s="8"/>
      <c r="L2959" s="8"/>
      <c r="M2959" s="8"/>
      <c r="N2959" s="16"/>
    </row>
    <row r="2960">
      <c r="A2960" s="8"/>
      <c r="B2960" s="8"/>
      <c r="C2960" s="8"/>
      <c r="D2960" s="8"/>
      <c r="E2960" s="16"/>
      <c r="J2960" s="23"/>
      <c r="K2960" s="8"/>
      <c r="L2960" s="8"/>
      <c r="M2960" s="8"/>
      <c r="N2960" s="16"/>
    </row>
    <row r="2961">
      <c r="A2961" s="8"/>
      <c r="B2961" s="8"/>
      <c r="C2961" s="8"/>
      <c r="D2961" s="8"/>
      <c r="E2961" s="16"/>
      <c r="J2961" s="23"/>
      <c r="K2961" s="8"/>
      <c r="L2961" s="8"/>
      <c r="M2961" s="8"/>
      <c r="N2961" s="16"/>
    </row>
    <row r="2962">
      <c r="A2962" s="8"/>
      <c r="B2962" s="8"/>
      <c r="C2962" s="8"/>
      <c r="D2962" s="8"/>
      <c r="E2962" s="16"/>
      <c r="J2962" s="23"/>
      <c r="K2962" s="8"/>
      <c r="L2962" s="8"/>
      <c r="M2962" s="8"/>
      <c r="N2962" s="16"/>
    </row>
    <row r="2963">
      <c r="A2963" s="8"/>
      <c r="B2963" s="8"/>
      <c r="C2963" s="8"/>
      <c r="D2963" s="8"/>
      <c r="E2963" s="16"/>
      <c r="J2963" s="23"/>
      <c r="K2963" s="8"/>
      <c r="L2963" s="8"/>
      <c r="M2963" s="8"/>
      <c r="N2963" s="16"/>
    </row>
    <row r="2964">
      <c r="A2964" s="8"/>
      <c r="B2964" s="8"/>
      <c r="C2964" s="8"/>
      <c r="D2964" s="8"/>
      <c r="E2964" s="16"/>
      <c r="J2964" s="23"/>
      <c r="K2964" s="8"/>
      <c r="L2964" s="8"/>
      <c r="M2964" s="8"/>
      <c r="N2964" s="16"/>
    </row>
    <row r="2965">
      <c r="A2965" s="8"/>
      <c r="B2965" s="8"/>
      <c r="C2965" s="8"/>
      <c r="D2965" s="8"/>
      <c r="E2965" s="16"/>
      <c r="J2965" s="23"/>
      <c r="K2965" s="8"/>
      <c r="L2965" s="8"/>
      <c r="M2965" s="8"/>
      <c r="N2965" s="16"/>
    </row>
    <row r="2966">
      <c r="A2966" s="8"/>
      <c r="B2966" s="8"/>
      <c r="C2966" s="8"/>
      <c r="D2966" s="8"/>
      <c r="E2966" s="16"/>
      <c r="J2966" s="23"/>
      <c r="K2966" s="8"/>
      <c r="L2966" s="8"/>
      <c r="M2966" s="8"/>
      <c r="N2966" s="16"/>
    </row>
    <row r="2967">
      <c r="A2967" s="8"/>
      <c r="B2967" s="8"/>
      <c r="C2967" s="8"/>
      <c r="D2967" s="8"/>
      <c r="E2967" s="16"/>
      <c r="J2967" s="23"/>
      <c r="K2967" s="8"/>
      <c r="L2967" s="8"/>
      <c r="M2967" s="8"/>
      <c r="N2967" s="16"/>
    </row>
    <row r="2968">
      <c r="A2968" s="8"/>
      <c r="B2968" s="8"/>
      <c r="C2968" s="8"/>
      <c r="D2968" s="8"/>
      <c r="E2968" s="16"/>
      <c r="J2968" s="23"/>
      <c r="K2968" s="8"/>
      <c r="L2968" s="8"/>
      <c r="M2968" s="8"/>
      <c r="N2968" s="16"/>
    </row>
    <row r="2969">
      <c r="A2969" s="8"/>
      <c r="B2969" s="8"/>
      <c r="C2969" s="8"/>
      <c r="D2969" s="8"/>
      <c r="E2969" s="16"/>
      <c r="J2969" s="23"/>
      <c r="K2969" s="8"/>
      <c r="L2969" s="8"/>
      <c r="M2969" s="8"/>
      <c r="N2969" s="16"/>
    </row>
    <row r="2970">
      <c r="A2970" s="8"/>
      <c r="B2970" s="8"/>
      <c r="C2970" s="8"/>
      <c r="D2970" s="8"/>
      <c r="E2970" s="16"/>
      <c r="J2970" s="23"/>
      <c r="K2970" s="8"/>
      <c r="L2970" s="8"/>
      <c r="M2970" s="8"/>
      <c r="N2970" s="16"/>
    </row>
    <row r="2971">
      <c r="A2971" s="8"/>
      <c r="B2971" s="8"/>
      <c r="C2971" s="8"/>
      <c r="D2971" s="8"/>
      <c r="E2971" s="16"/>
      <c r="J2971" s="23"/>
      <c r="K2971" s="8"/>
      <c r="L2971" s="8"/>
      <c r="M2971" s="8"/>
      <c r="N2971" s="16"/>
    </row>
    <row r="2972">
      <c r="A2972" s="8"/>
      <c r="B2972" s="8"/>
      <c r="C2972" s="8"/>
      <c r="D2972" s="8"/>
      <c r="E2972" s="16"/>
      <c r="J2972" s="23"/>
      <c r="K2972" s="8"/>
      <c r="L2972" s="8"/>
      <c r="M2972" s="8"/>
      <c r="N2972" s="16"/>
    </row>
    <row r="2973">
      <c r="A2973" s="8"/>
      <c r="B2973" s="8"/>
      <c r="C2973" s="8"/>
      <c r="D2973" s="8"/>
      <c r="E2973" s="16"/>
      <c r="J2973" s="23"/>
      <c r="K2973" s="8"/>
      <c r="L2973" s="8"/>
      <c r="M2973" s="8"/>
      <c r="N2973" s="16"/>
    </row>
    <row r="2974">
      <c r="A2974" s="8"/>
      <c r="B2974" s="8"/>
      <c r="C2974" s="8"/>
      <c r="D2974" s="8"/>
      <c r="E2974" s="16"/>
      <c r="J2974" s="23"/>
      <c r="K2974" s="8"/>
      <c r="L2974" s="8"/>
      <c r="M2974" s="8"/>
      <c r="N2974" s="16"/>
    </row>
    <row r="2975">
      <c r="A2975" s="8"/>
      <c r="B2975" s="8"/>
      <c r="C2975" s="8"/>
      <c r="D2975" s="8"/>
      <c r="E2975" s="16"/>
      <c r="J2975" s="23"/>
      <c r="K2975" s="8"/>
      <c r="L2975" s="8"/>
      <c r="M2975" s="8"/>
      <c r="N2975" s="16"/>
    </row>
    <row r="2976">
      <c r="A2976" s="8"/>
      <c r="B2976" s="8"/>
      <c r="C2976" s="8"/>
      <c r="D2976" s="8"/>
      <c r="E2976" s="16"/>
      <c r="J2976" s="23"/>
      <c r="K2976" s="8"/>
      <c r="L2976" s="8"/>
      <c r="M2976" s="8"/>
      <c r="N2976" s="16"/>
    </row>
    <row r="2977">
      <c r="A2977" s="8"/>
      <c r="B2977" s="8"/>
      <c r="C2977" s="8"/>
      <c r="D2977" s="8"/>
      <c r="E2977" s="16"/>
      <c r="J2977" s="23"/>
      <c r="K2977" s="8"/>
      <c r="L2977" s="8"/>
      <c r="M2977" s="8"/>
      <c r="N2977" s="16"/>
    </row>
    <row r="2978">
      <c r="A2978" s="8"/>
      <c r="B2978" s="8"/>
      <c r="C2978" s="8"/>
      <c r="D2978" s="8"/>
      <c r="E2978" s="16"/>
      <c r="J2978" s="23"/>
      <c r="K2978" s="8"/>
      <c r="L2978" s="8"/>
      <c r="M2978" s="8"/>
      <c r="N2978" s="16"/>
    </row>
    <row r="2979">
      <c r="A2979" s="8"/>
      <c r="B2979" s="8"/>
      <c r="C2979" s="8"/>
      <c r="D2979" s="8"/>
      <c r="E2979" s="16"/>
      <c r="J2979" s="23"/>
      <c r="K2979" s="8"/>
      <c r="L2979" s="8"/>
      <c r="M2979" s="8"/>
      <c r="N2979" s="16"/>
    </row>
    <row r="2980">
      <c r="A2980" s="8"/>
      <c r="B2980" s="8"/>
      <c r="C2980" s="8"/>
      <c r="D2980" s="8"/>
      <c r="E2980" s="16"/>
      <c r="J2980" s="23"/>
      <c r="K2980" s="8"/>
      <c r="L2980" s="8"/>
      <c r="M2980" s="8"/>
      <c r="N2980" s="16"/>
    </row>
    <row r="2981">
      <c r="A2981" s="8"/>
      <c r="B2981" s="8"/>
      <c r="C2981" s="8"/>
      <c r="D2981" s="8"/>
      <c r="E2981" s="16"/>
      <c r="J2981" s="23"/>
      <c r="K2981" s="8"/>
      <c r="L2981" s="8"/>
      <c r="M2981" s="8"/>
      <c r="N2981" s="16"/>
    </row>
    <row r="2982">
      <c r="A2982" s="8"/>
      <c r="B2982" s="8"/>
      <c r="C2982" s="8"/>
      <c r="D2982" s="8"/>
      <c r="E2982" s="16"/>
      <c r="J2982" s="23"/>
      <c r="K2982" s="8"/>
      <c r="L2982" s="8"/>
      <c r="M2982" s="8"/>
      <c r="N2982" s="16"/>
    </row>
    <row r="2983">
      <c r="A2983" s="8"/>
      <c r="B2983" s="8"/>
      <c r="C2983" s="8"/>
      <c r="D2983" s="8"/>
      <c r="E2983" s="16"/>
      <c r="J2983" s="23"/>
      <c r="K2983" s="8"/>
      <c r="L2983" s="8"/>
      <c r="M2983" s="8"/>
      <c r="N2983" s="16"/>
    </row>
    <row r="2984">
      <c r="A2984" s="8"/>
      <c r="B2984" s="8"/>
      <c r="C2984" s="8"/>
      <c r="D2984" s="8"/>
      <c r="E2984" s="16"/>
      <c r="J2984" s="23"/>
      <c r="K2984" s="8"/>
      <c r="L2984" s="8"/>
      <c r="M2984" s="8"/>
      <c r="N2984" s="16"/>
    </row>
    <row r="2985">
      <c r="A2985" s="8"/>
      <c r="B2985" s="8"/>
      <c r="C2985" s="8"/>
      <c r="D2985" s="8"/>
      <c r="E2985" s="16"/>
      <c r="J2985" s="23"/>
      <c r="K2985" s="8"/>
      <c r="L2985" s="8"/>
      <c r="M2985" s="8"/>
      <c r="N2985" s="16"/>
    </row>
    <row r="2986">
      <c r="A2986" s="8"/>
      <c r="B2986" s="8"/>
      <c r="C2986" s="8"/>
      <c r="D2986" s="8"/>
      <c r="E2986" s="16"/>
      <c r="J2986" s="23"/>
      <c r="K2986" s="8"/>
      <c r="L2986" s="8"/>
      <c r="M2986" s="8"/>
      <c r="N2986" s="16"/>
    </row>
    <row r="2987">
      <c r="A2987" s="8"/>
      <c r="B2987" s="8"/>
      <c r="C2987" s="8"/>
      <c r="D2987" s="8"/>
      <c r="E2987" s="16"/>
      <c r="J2987" s="23"/>
      <c r="K2987" s="8"/>
      <c r="L2987" s="8"/>
      <c r="M2987" s="8"/>
      <c r="N2987" s="16"/>
    </row>
    <row r="2988">
      <c r="A2988" s="8"/>
      <c r="B2988" s="8"/>
      <c r="C2988" s="8"/>
      <c r="D2988" s="8"/>
      <c r="E2988" s="16"/>
      <c r="J2988" s="23"/>
      <c r="K2988" s="8"/>
      <c r="L2988" s="8"/>
      <c r="M2988" s="8"/>
      <c r="N2988" s="16"/>
    </row>
    <row r="2989">
      <c r="A2989" s="8"/>
      <c r="B2989" s="8"/>
      <c r="C2989" s="8"/>
      <c r="D2989" s="8"/>
      <c r="E2989" s="16"/>
      <c r="J2989" s="23"/>
      <c r="K2989" s="8"/>
      <c r="L2989" s="8"/>
      <c r="M2989" s="8"/>
      <c r="N2989" s="16"/>
    </row>
    <row r="2990">
      <c r="A2990" s="8"/>
      <c r="B2990" s="8"/>
      <c r="C2990" s="8"/>
      <c r="D2990" s="8"/>
      <c r="E2990" s="16"/>
      <c r="J2990" s="23"/>
      <c r="K2990" s="8"/>
      <c r="L2990" s="8"/>
      <c r="M2990" s="8"/>
      <c r="N2990" s="16"/>
    </row>
    <row r="2991">
      <c r="A2991" s="8"/>
      <c r="B2991" s="8"/>
      <c r="C2991" s="8"/>
      <c r="D2991" s="8"/>
      <c r="E2991" s="16"/>
      <c r="J2991" s="23"/>
      <c r="K2991" s="8"/>
      <c r="L2991" s="8"/>
      <c r="M2991" s="8"/>
      <c r="N2991" s="16"/>
    </row>
    <row r="2992">
      <c r="A2992" s="8"/>
      <c r="B2992" s="8"/>
      <c r="C2992" s="8"/>
      <c r="D2992" s="8"/>
      <c r="E2992" s="16"/>
      <c r="J2992" s="23"/>
      <c r="K2992" s="8"/>
      <c r="L2992" s="8"/>
      <c r="M2992" s="8"/>
      <c r="N2992" s="16"/>
    </row>
    <row r="2993">
      <c r="A2993" s="8"/>
      <c r="B2993" s="8"/>
      <c r="C2993" s="8"/>
      <c r="D2993" s="8"/>
      <c r="E2993" s="16"/>
      <c r="J2993" s="23"/>
      <c r="K2993" s="8"/>
      <c r="L2993" s="8"/>
      <c r="M2993" s="8"/>
      <c r="N2993" s="16"/>
    </row>
    <row r="2994">
      <c r="A2994" s="8"/>
      <c r="B2994" s="8"/>
      <c r="C2994" s="8"/>
      <c r="D2994" s="8"/>
      <c r="E2994" s="16"/>
      <c r="J2994" s="23"/>
      <c r="K2994" s="8"/>
      <c r="L2994" s="8"/>
      <c r="M2994" s="8"/>
      <c r="N2994" s="16"/>
    </row>
    <row r="2995">
      <c r="A2995" s="8"/>
      <c r="B2995" s="8"/>
      <c r="C2995" s="8"/>
      <c r="D2995" s="8"/>
      <c r="E2995" s="16"/>
      <c r="J2995" s="23"/>
      <c r="K2995" s="8"/>
      <c r="L2995" s="8"/>
      <c r="M2995" s="8"/>
      <c r="N2995" s="16"/>
    </row>
    <row r="2996">
      <c r="A2996" s="8"/>
      <c r="B2996" s="8"/>
      <c r="C2996" s="8"/>
      <c r="D2996" s="8"/>
      <c r="E2996" s="16"/>
      <c r="J2996" s="23"/>
      <c r="K2996" s="8"/>
      <c r="L2996" s="8"/>
      <c r="M2996" s="8"/>
      <c r="N2996" s="16"/>
    </row>
    <row r="2997">
      <c r="A2997" s="8"/>
      <c r="B2997" s="8"/>
      <c r="C2997" s="8"/>
      <c r="D2997" s="8"/>
      <c r="E2997" s="16"/>
      <c r="J2997" s="23"/>
      <c r="K2997" s="8"/>
      <c r="L2997" s="8"/>
      <c r="M2997" s="8"/>
      <c r="N2997" s="16"/>
    </row>
    <row r="2998">
      <c r="A2998" s="8"/>
      <c r="B2998" s="8"/>
      <c r="C2998" s="8"/>
      <c r="D2998" s="8"/>
      <c r="E2998" s="16"/>
      <c r="J2998" s="23"/>
      <c r="K2998" s="8"/>
      <c r="L2998" s="8"/>
      <c r="M2998" s="8"/>
      <c r="N2998" s="16"/>
    </row>
    <row r="2999">
      <c r="A2999" s="8"/>
      <c r="B2999" s="8"/>
      <c r="C2999" s="8"/>
      <c r="D2999" s="8"/>
      <c r="E2999" s="16"/>
      <c r="J2999" s="23"/>
      <c r="K2999" s="8"/>
      <c r="L2999" s="8"/>
      <c r="M2999" s="8"/>
      <c r="N2999" s="16"/>
    </row>
    <row r="3000">
      <c r="A3000" s="8"/>
      <c r="B3000" s="8"/>
      <c r="C3000" s="8"/>
      <c r="D3000" s="8"/>
      <c r="E3000" s="16"/>
      <c r="J3000" s="23"/>
      <c r="K3000" s="8"/>
      <c r="L3000" s="8"/>
      <c r="M3000" s="8"/>
      <c r="N3000" s="16"/>
    </row>
    <row r="3001">
      <c r="A3001" s="8"/>
      <c r="B3001" s="8"/>
      <c r="C3001" s="8"/>
      <c r="D3001" s="8"/>
      <c r="E3001" s="16"/>
      <c r="J3001" s="23"/>
      <c r="K3001" s="8"/>
      <c r="L3001" s="8"/>
      <c r="M3001" s="8"/>
      <c r="N3001" s="16"/>
    </row>
    <row r="3002">
      <c r="A3002" s="8"/>
      <c r="B3002" s="8"/>
      <c r="C3002" s="8"/>
      <c r="D3002" s="8"/>
      <c r="E3002" s="16"/>
      <c r="J3002" s="23"/>
      <c r="K3002" s="8"/>
      <c r="L3002" s="8"/>
      <c r="M3002" s="8"/>
      <c r="N3002" s="16"/>
    </row>
    <row r="3003">
      <c r="A3003" s="8"/>
      <c r="B3003" s="8"/>
      <c r="C3003" s="8"/>
      <c r="D3003" s="8"/>
      <c r="E3003" s="16"/>
      <c r="J3003" s="23"/>
      <c r="K3003" s="8"/>
      <c r="L3003" s="8"/>
      <c r="M3003" s="8"/>
      <c r="N3003" s="16"/>
    </row>
    <row r="3004">
      <c r="A3004" s="8"/>
      <c r="B3004" s="8"/>
      <c r="C3004" s="8"/>
      <c r="D3004" s="8"/>
      <c r="E3004" s="16"/>
      <c r="J3004" s="23"/>
      <c r="K3004" s="8"/>
      <c r="L3004" s="8"/>
      <c r="M3004" s="8"/>
      <c r="N3004" s="16"/>
    </row>
    <row r="3005">
      <c r="A3005" s="8"/>
      <c r="B3005" s="8"/>
      <c r="C3005" s="8"/>
      <c r="D3005" s="8"/>
      <c r="E3005" s="16"/>
      <c r="J3005" s="23"/>
      <c r="K3005" s="8"/>
      <c r="L3005" s="8"/>
      <c r="M3005" s="8"/>
      <c r="N3005" s="16"/>
    </row>
    <row r="3006">
      <c r="A3006" s="8"/>
      <c r="B3006" s="8"/>
      <c r="C3006" s="8"/>
      <c r="D3006" s="8"/>
      <c r="E3006" s="16"/>
      <c r="J3006" s="23"/>
      <c r="K3006" s="8"/>
      <c r="L3006" s="8"/>
      <c r="M3006" s="8"/>
      <c r="N3006" s="16"/>
    </row>
    <row r="3007">
      <c r="A3007" s="8"/>
      <c r="B3007" s="8"/>
      <c r="C3007" s="8"/>
      <c r="D3007" s="8"/>
      <c r="E3007" s="16"/>
      <c r="J3007" s="23"/>
      <c r="K3007" s="8"/>
      <c r="L3007" s="8"/>
      <c r="M3007" s="8"/>
      <c r="N3007" s="16"/>
    </row>
    <row r="3008">
      <c r="A3008" s="8"/>
      <c r="B3008" s="8"/>
      <c r="C3008" s="8"/>
      <c r="D3008" s="8"/>
      <c r="E3008" s="16"/>
      <c r="J3008" s="23"/>
      <c r="K3008" s="8"/>
      <c r="L3008" s="8"/>
      <c r="M3008" s="8"/>
      <c r="N3008" s="16"/>
    </row>
    <row r="3009">
      <c r="A3009" s="8"/>
      <c r="B3009" s="8"/>
      <c r="C3009" s="8"/>
      <c r="D3009" s="8"/>
      <c r="E3009" s="16"/>
      <c r="J3009" s="23"/>
      <c r="K3009" s="8"/>
      <c r="L3009" s="8"/>
      <c r="M3009" s="8"/>
      <c r="N3009" s="16"/>
    </row>
    <row r="3010">
      <c r="A3010" s="8"/>
      <c r="B3010" s="8"/>
      <c r="C3010" s="8"/>
      <c r="D3010" s="8"/>
      <c r="E3010" s="16"/>
      <c r="J3010" s="23"/>
      <c r="K3010" s="8"/>
      <c r="L3010" s="8"/>
      <c r="M3010" s="8"/>
      <c r="N3010" s="16"/>
    </row>
    <row r="3011">
      <c r="A3011" s="8"/>
      <c r="B3011" s="8"/>
      <c r="C3011" s="8"/>
      <c r="D3011" s="8"/>
      <c r="E3011" s="16"/>
      <c r="J3011" s="23"/>
      <c r="K3011" s="8"/>
      <c r="L3011" s="8"/>
      <c r="M3011" s="8"/>
      <c r="N3011" s="16"/>
    </row>
    <row r="3012">
      <c r="A3012" s="8"/>
      <c r="B3012" s="8"/>
      <c r="C3012" s="8"/>
      <c r="D3012" s="8"/>
      <c r="E3012" s="16"/>
      <c r="J3012" s="23"/>
      <c r="K3012" s="8"/>
      <c r="L3012" s="8"/>
      <c r="M3012" s="8"/>
      <c r="N3012" s="16"/>
    </row>
    <row r="3013">
      <c r="A3013" s="8"/>
      <c r="B3013" s="8"/>
      <c r="C3013" s="8"/>
      <c r="D3013" s="8"/>
      <c r="E3013" s="16"/>
      <c r="J3013" s="23"/>
      <c r="K3013" s="8"/>
      <c r="L3013" s="8"/>
      <c r="M3013" s="8"/>
      <c r="N3013" s="16"/>
    </row>
    <row r="3014">
      <c r="A3014" s="8"/>
      <c r="B3014" s="8"/>
      <c r="C3014" s="8"/>
      <c r="D3014" s="8"/>
      <c r="E3014" s="16"/>
      <c r="J3014" s="23"/>
      <c r="K3014" s="8"/>
      <c r="L3014" s="8"/>
      <c r="M3014" s="8"/>
      <c r="N3014" s="16"/>
    </row>
    <row r="3015">
      <c r="A3015" s="8"/>
      <c r="B3015" s="8"/>
      <c r="C3015" s="8"/>
      <c r="D3015" s="8"/>
      <c r="E3015" s="16"/>
      <c r="J3015" s="23"/>
      <c r="K3015" s="8"/>
      <c r="L3015" s="8"/>
      <c r="M3015" s="8"/>
      <c r="N3015" s="16"/>
    </row>
    <row r="3016">
      <c r="A3016" s="8"/>
      <c r="B3016" s="8"/>
      <c r="C3016" s="8"/>
      <c r="D3016" s="8"/>
      <c r="E3016" s="16"/>
      <c r="J3016" s="23"/>
      <c r="K3016" s="8"/>
      <c r="L3016" s="8"/>
      <c r="M3016" s="8"/>
      <c r="N3016" s="16"/>
    </row>
    <row r="3017">
      <c r="A3017" s="8"/>
      <c r="B3017" s="8"/>
      <c r="C3017" s="8"/>
      <c r="D3017" s="8"/>
      <c r="E3017" s="16"/>
      <c r="J3017" s="23"/>
      <c r="K3017" s="8"/>
      <c r="L3017" s="8"/>
      <c r="M3017" s="8"/>
      <c r="N3017" s="16"/>
    </row>
    <row r="3018">
      <c r="A3018" s="8"/>
      <c r="B3018" s="8"/>
      <c r="C3018" s="8"/>
      <c r="D3018" s="8"/>
      <c r="E3018" s="16"/>
      <c r="J3018" s="23"/>
      <c r="K3018" s="8"/>
      <c r="L3018" s="8"/>
      <c r="M3018" s="8"/>
      <c r="N3018" s="16"/>
    </row>
    <row r="3019">
      <c r="A3019" s="8"/>
      <c r="B3019" s="8"/>
      <c r="C3019" s="8"/>
      <c r="D3019" s="8"/>
      <c r="E3019" s="16"/>
      <c r="J3019" s="23"/>
      <c r="K3019" s="8"/>
      <c r="L3019" s="8"/>
      <c r="M3019" s="8"/>
      <c r="N3019" s="16"/>
    </row>
    <row r="3020">
      <c r="A3020" s="8"/>
      <c r="B3020" s="8"/>
      <c r="C3020" s="8"/>
      <c r="D3020" s="8"/>
      <c r="E3020" s="16"/>
      <c r="J3020" s="23"/>
      <c r="K3020" s="8"/>
      <c r="L3020" s="8"/>
      <c r="M3020" s="8"/>
      <c r="N3020" s="16"/>
    </row>
    <row r="3021">
      <c r="A3021" s="8"/>
      <c r="B3021" s="8"/>
      <c r="C3021" s="8"/>
      <c r="D3021" s="8"/>
      <c r="E3021" s="16"/>
      <c r="J3021" s="23"/>
      <c r="K3021" s="8"/>
      <c r="L3021" s="8"/>
      <c r="M3021" s="8"/>
      <c r="N3021" s="16"/>
    </row>
    <row r="3022">
      <c r="A3022" s="8"/>
      <c r="B3022" s="8"/>
      <c r="C3022" s="8"/>
      <c r="D3022" s="8"/>
      <c r="E3022" s="16"/>
      <c r="J3022" s="23"/>
      <c r="K3022" s="8"/>
      <c r="L3022" s="8"/>
      <c r="M3022" s="8"/>
      <c r="N3022" s="16"/>
    </row>
    <row r="3023">
      <c r="A3023" s="8"/>
      <c r="B3023" s="8"/>
      <c r="C3023" s="8"/>
      <c r="D3023" s="8"/>
      <c r="E3023" s="16"/>
      <c r="J3023" s="23"/>
      <c r="K3023" s="8"/>
      <c r="L3023" s="8"/>
      <c r="M3023" s="8"/>
      <c r="N3023" s="16"/>
    </row>
    <row r="3024">
      <c r="A3024" s="8"/>
      <c r="B3024" s="8"/>
      <c r="C3024" s="8"/>
      <c r="D3024" s="8"/>
      <c r="E3024" s="16"/>
      <c r="J3024" s="23"/>
      <c r="N3024" s="23"/>
    </row>
    <row r="3025">
      <c r="A3025" s="8"/>
      <c r="B3025" s="8"/>
      <c r="C3025" s="8"/>
      <c r="D3025" s="8"/>
      <c r="E3025" s="16"/>
      <c r="J3025" s="23"/>
      <c r="N3025" s="23"/>
    </row>
    <row r="3026">
      <c r="A3026" s="8"/>
      <c r="B3026" s="8"/>
      <c r="C3026" s="8"/>
      <c r="D3026" s="8"/>
      <c r="E3026" s="16"/>
      <c r="J3026" s="23"/>
      <c r="N3026" s="23"/>
    </row>
    <row r="3027">
      <c r="A3027" s="8"/>
      <c r="B3027" s="8"/>
      <c r="C3027" s="8"/>
      <c r="D3027" s="8"/>
      <c r="E3027" s="16"/>
      <c r="J3027" s="23"/>
      <c r="N3027" s="23"/>
    </row>
    <row r="3028">
      <c r="A3028" s="8"/>
      <c r="B3028" s="8"/>
      <c r="C3028" s="8"/>
      <c r="D3028" s="8"/>
      <c r="E3028" s="16"/>
      <c r="J3028" s="23"/>
      <c r="N3028" s="23"/>
    </row>
    <row r="3029">
      <c r="A3029" s="8"/>
      <c r="B3029" s="8"/>
      <c r="C3029" s="8"/>
      <c r="D3029" s="8"/>
      <c r="E3029" s="16"/>
      <c r="J3029" s="23"/>
      <c r="N3029" s="23"/>
    </row>
    <row r="3030">
      <c r="A3030" s="8"/>
      <c r="B3030" s="8"/>
      <c r="C3030" s="8"/>
      <c r="D3030" s="8"/>
      <c r="E3030" s="16"/>
      <c r="J3030" s="23"/>
      <c r="N3030" s="23"/>
    </row>
    <row r="3031">
      <c r="A3031" s="8"/>
      <c r="B3031" s="8"/>
      <c r="C3031" s="8"/>
      <c r="D3031" s="8"/>
      <c r="E3031" s="16"/>
      <c r="J3031" s="23"/>
      <c r="N3031" s="23"/>
    </row>
    <row r="3032">
      <c r="A3032" s="8"/>
      <c r="B3032" s="8"/>
      <c r="C3032" s="8"/>
      <c r="D3032" s="8"/>
      <c r="E3032" s="16"/>
      <c r="J3032" s="23"/>
      <c r="N3032" s="23"/>
    </row>
    <row r="3033">
      <c r="A3033" s="8"/>
      <c r="B3033" s="8"/>
      <c r="C3033" s="8"/>
      <c r="D3033" s="8"/>
      <c r="E3033" s="16"/>
      <c r="J3033" s="23"/>
      <c r="N3033" s="23"/>
    </row>
    <row r="3034">
      <c r="A3034" s="8"/>
      <c r="B3034" s="8"/>
      <c r="C3034" s="8"/>
      <c r="D3034" s="8"/>
      <c r="E3034" s="16"/>
      <c r="J3034" s="23"/>
      <c r="N3034" s="23"/>
    </row>
    <row r="3035">
      <c r="A3035" s="8"/>
      <c r="B3035" s="8"/>
      <c r="C3035" s="8"/>
      <c r="D3035" s="8"/>
      <c r="E3035" s="16"/>
      <c r="J3035" s="23"/>
      <c r="N3035" s="23"/>
    </row>
    <row r="3036">
      <c r="A3036" s="8"/>
      <c r="B3036" s="8"/>
      <c r="C3036" s="8"/>
      <c r="D3036" s="8"/>
      <c r="E3036" s="16"/>
      <c r="J3036" s="23"/>
      <c r="N3036" s="23"/>
    </row>
    <row r="3037">
      <c r="A3037" s="8"/>
      <c r="B3037" s="8"/>
      <c r="C3037" s="8"/>
      <c r="D3037" s="8"/>
      <c r="E3037" s="16"/>
      <c r="J3037" s="23"/>
      <c r="N3037" s="23"/>
    </row>
    <row r="3038">
      <c r="A3038" s="8"/>
      <c r="B3038" s="8"/>
      <c r="C3038" s="8"/>
      <c r="D3038" s="8"/>
      <c r="E3038" s="16"/>
      <c r="J3038" s="23"/>
      <c r="N3038" s="23"/>
    </row>
    <row r="3039">
      <c r="A3039" s="8"/>
      <c r="B3039" s="8"/>
      <c r="C3039" s="8"/>
      <c r="D3039" s="8"/>
      <c r="E3039" s="16"/>
      <c r="J3039" s="23"/>
      <c r="N3039" s="23"/>
    </row>
    <row r="3040">
      <c r="A3040" s="8"/>
      <c r="B3040" s="8"/>
      <c r="C3040" s="8"/>
      <c r="D3040" s="8"/>
      <c r="E3040" s="16"/>
      <c r="J3040" s="23"/>
      <c r="N3040" s="23"/>
    </row>
    <row r="3041">
      <c r="A3041" s="8"/>
      <c r="B3041" s="8"/>
      <c r="C3041" s="8"/>
      <c r="D3041" s="8"/>
      <c r="E3041" s="16"/>
      <c r="J3041" s="23"/>
      <c r="N3041" s="23"/>
    </row>
    <row r="3042">
      <c r="A3042" s="8"/>
      <c r="B3042" s="8"/>
      <c r="C3042" s="8"/>
      <c r="D3042" s="8"/>
      <c r="E3042" s="16"/>
      <c r="J3042" s="23"/>
      <c r="N3042" s="23"/>
    </row>
    <row r="3043">
      <c r="A3043" s="8"/>
      <c r="B3043" s="8"/>
      <c r="C3043" s="8"/>
      <c r="D3043" s="8"/>
      <c r="E3043" s="16"/>
      <c r="J3043" s="23"/>
      <c r="N3043" s="23"/>
    </row>
    <row r="3044">
      <c r="A3044" s="8"/>
      <c r="B3044" s="8"/>
      <c r="C3044" s="8"/>
      <c r="D3044" s="8"/>
      <c r="E3044" s="16"/>
      <c r="J3044" s="23"/>
      <c r="N3044" s="23"/>
    </row>
    <row r="3045">
      <c r="A3045" s="8"/>
      <c r="B3045" s="8"/>
      <c r="C3045" s="8"/>
      <c r="D3045" s="8"/>
      <c r="E3045" s="16"/>
      <c r="J3045" s="23"/>
      <c r="N3045" s="23"/>
    </row>
    <row r="3046">
      <c r="A3046" s="8"/>
      <c r="B3046" s="8"/>
      <c r="C3046" s="8"/>
      <c r="D3046" s="8"/>
      <c r="E3046" s="16"/>
      <c r="J3046" s="23"/>
      <c r="N3046" s="23"/>
    </row>
    <row r="3047">
      <c r="A3047" s="8"/>
      <c r="B3047" s="8"/>
      <c r="C3047" s="8"/>
      <c r="D3047" s="8"/>
      <c r="E3047" s="16"/>
      <c r="J3047" s="23"/>
      <c r="N3047" s="23"/>
    </row>
    <row r="3048">
      <c r="A3048" s="8"/>
      <c r="B3048" s="8"/>
      <c r="C3048" s="8"/>
      <c r="D3048" s="8"/>
      <c r="E3048" s="16"/>
      <c r="J3048" s="23"/>
      <c r="N3048" s="23"/>
    </row>
    <row r="3049">
      <c r="A3049" s="8"/>
      <c r="B3049" s="8"/>
      <c r="C3049" s="8"/>
      <c r="D3049" s="8"/>
      <c r="E3049" s="16"/>
      <c r="J3049" s="23"/>
      <c r="N3049" s="23"/>
    </row>
    <row r="3050">
      <c r="A3050" s="8"/>
      <c r="B3050" s="8"/>
      <c r="C3050" s="8"/>
      <c r="D3050" s="8"/>
      <c r="E3050" s="16"/>
      <c r="J3050" s="23"/>
      <c r="N3050" s="23"/>
    </row>
    <row r="3051">
      <c r="A3051" s="8"/>
      <c r="B3051" s="8"/>
      <c r="C3051" s="8"/>
      <c r="D3051" s="8"/>
      <c r="E3051" s="16"/>
      <c r="J3051" s="23"/>
      <c r="N3051" s="23"/>
    </row>
    <row r="3052">
      <c r="A3052" s="8"/>
      <c r="B3052" s="8"/>
      <c r="C3052" s="8"/>
      <c r="D3052" s="8"/>
      <c r="E3052" s="16"/>
      <c r="J3052" s="23"/>
      <c r="N3052" s="23"/>
    </row>
    <row r="3053">
      <c r="A3053" s="8"/>
      <c r="B3053" s="8"/>
      <c r="C3053" s="8"/>
      <c r="D3053" s="8"/>
      <c r="E3053" s="16"/>
      <c r="J3053" s="23"/>
      <c r="N3053" s="23"/>
    </row>
    <row r="3054">
      <c r="A3054" s="8"/>
      <c r="B3054" s="8"/>
      <c r="C3054" s="8"/>
      <c r="D3054" s="8"/>
      <c r="E3054" s="16"/>
      <c r="J3054" s="23"/>
      <c r="N3054" s="23"/>
    </row>
    <row r="3055">
      <c r="A3055" s="8"/>
      <c r="B3055" s="8"/>
      <c r="C3055" s="8"/>
      <c r="D3055" s="8"/>
      <c r="E3055" s="16"/>
      <c r="J3055" s="23"/>
      <c r="N3055" s="23"/>
    </row>
    <row r="3056">
      <c r="A3056" s="8"/>
      <c r="B3056" s="8"/>
      <c r="C3056" s="8"/>
      <c r="D3056" s="8"/>
      <c r="E3056" s="16"/>
      <c r="J3056" s="23"/>
      <c r="N3056" s="23"/>
    </row>
    <row r="3057">
      <c r="A3057" s="8"/>
      <c r="B3057" s="8"/>
      <c r="C3057" s="8"/>
      <c r="D3057" s="8"/>
      <c r="E3057" s="16"/>
      <c r="J3057" s="23"/>
      <c r="N3057" s="23"/>
    </row>
    <row r="3058">
      <c r="A3058" s="8"/>
      <c r="B3058" s="8"/>
      <c r="C3058" s="8"/>
      <c r="D3058" s="8"/>
      <c r="E3058" s="16"/>
      <c r="J3058" s="23"/>
      <c r="N3058" s="23"/>
    </row>
    <row r="3059">
      <c r="A3059" s="8"/>
      <c r="B3059" s="8"/>
      <c r="C3059" s="8"/>
      <c r="D3059" s="8"/>
      <c r="E3059" s="16"/>
      <c r="J3059" s="23"/>
      <c r="N3059" s="23"/>
    </row>
    <row r="3060">
      <c r="A3060" s="8"/>
      <c r="B3060" s="8"/>
      <c r="C3060" s="8"/>
      <c r="D3060" s="8"/>
      <c r="E3060" s="16"/>
      <c r="J3060" s="23"/>
      <c r="N3060" s="23"/>
    </row>
    <row r="3061">
      <c r="A3061" s="8"/>
      <c r="B3061" s="8"/>
      <c r="C3061" s="8"/>
      <c r="D3061" s="8"/>
      <c r="E3061" s="16"/>
      <c r="J3061" s="23"/>
      <c r="N3061" s="23"/>
    </row>
    <row r="3062">
      <c r="A3062" s="8"/>
      <c r="B3062" s="8"/>
      <c r="C3062" s="8"/>
      <c r="D3062" s="8"/>
      <c r="E3062" s="16"/>
      <c r="J3062" s="23"/>
      <c r="N3062" s="23"/>
    </row>
    <row r="3063">
      <c r="A3063" s="8"/>
      <c r="B3063" s="8"/>
      <c r="C3063" s="8"/>
      <c r="D3063" s="8"/>
      <c r="E3063" s="16"/>
      <c r="J3063" s="23"/>
      <c r="N3063" s="23"/>
    </row>
    <row r="3064">
      <c r="A3064" s="8"/>
      <c r="B3064" s="8"/>
      <c r="C3064" s="8"/>
      <c r="D3064" s="8"/>
      <c r="E3064" s="16"/>
      <c r="J3064" s="23"/>
      <c r="N3064" s="23"/>
    </row>
    <row r="3065">
      <c r="A3065" s="8"/>
      <c r="B3065" s="8"/>
      <c r="C3065" s="8"/>
      <c r="D3065" s="8"/>
      <c r="E3065" s="16"/>
      <c r="J3065" s="23"/>
      <c r="N3065" s="23"/>
    </row>
    <row r="3066">
      <c r="A3066" s="8"/>
      <c r="B3066" s="8"/>
      <c r="C3066" s="8"/>
      <c r="D3066" s="8"/>
      <c r="E3066" s="16"/>
      <c r="J3066" s="23"/>
      <c r="N3066" s="23"/>
    </row>
    <row r="3067">
      <c r="A3067" s="8"/>
      <c r="B3067" s="8"/>
      <c r="C3067" s="8"/>
      <c r="D3067" s="8"/>
      <c r="E3067" s="16"/>
      <c r="J3067" s="23"/>
      <c r="N3067" s="23"/>
    </row>
    <row r="3068">
      <c r="A3068" s="8"/>
      <c r="B3068" s="8"/>
      <c r="C3068" s="8"/>
      <c r="D3068" s="8"/>
      <c r="E3068" s="16"/>
      <c r="J3068" s="23"/>
      <c r="N3068" s="23"/>
    </row>
    <row r="3069">
      <c r="A3069" s="8"/>
      <c r="B3069" s="8"/>
      <c r="C3069" s="8"/>
      <c r="D3069" s="8"/>
      <c r="E3069" s="16"/>
      <c r="J3069" s="23"/>
      <c r="N3069" s="23"/>
    </row>
    <row r="3070">
      <c r="A3070" s="8"/>
      <c r="B3070" s="8"/>
      <c r="C3070" s="8"/>
      <c r="D3070" s="8"/>
      <c r="E3070" s="16"/>
      <c r="J3070" s="23"/>
      <c r="N3070" s="23"/>
    </row>
    <row r="3071">
      <c r="A3071" s="8"/>
      <c r="B3071" s="8"/>
      <c r="C3071" s="8"/>
      <c r="D3071" s="8"/>
      <c r="E3071" s="16"/>
      <c r="J3071" s="23"/>
      <c r="N3071" s="23"/>
    </row>
    <row r="3072">
      <c r="A3072" s="8"/>
      <c r="B3072" s="8"/>
      <c r="C3072" s="8"/>
      <c r="D3072" s="8"/>
      <c r="E3072" s="16"/>
      <c r="J3072" s="23"/>
      <c r="N3072" s="23"/>
    </row>
    <row r="3073">
      <c r="A3073" s="8"/>
      <c r="B3073" s="8"/>
      <c r="C3073" s="8"/>
      <c r="D3073" s="8"/>
      <c r="E3073" s="16"/>
      <c r="J3073" s="23"/>
      <c r="N3073" s="23"/>
    </row>
    <row r="3074">
      <c r="A3074" s="8"/>
      <c r="B3074" s="8"/>
      <c r="C3074" s="8"/>
      <c r="D3074" s="8"/>
      <c r="E3074" s="16"/>
      <c r="J3074" s="23"/>
      <c r="N3074" s="23"/>
    </row>
    <row r="3075">
      <c r="A3075" s="8"/>
      <c r="B3075" s="8"/>
      <c r="C3075" s="8"/>
      <c r="D3075" s="8"/>
      <c r="E3075" s="16"/>
      <c r="J3075" s="23"/>
      <c r="N3075" s="23"/>
    </row>
    <row r="3076">
      <c r="A3076" s="8"/>
      <c r="B3076" s="8"/>
      <c r="C3076" s="8"/>
      <c r="D3076" s="8"/>
      <c r="E3076" s="16"/>
      <c r="J3076" s="23"/>
      <c r="N3076" s="23"/>
    </row>
    <row r="3077">
      <c r="A3077" s="8"/>
      <c r="B3077" s="8"/>
      <c r="C3077" s="8"/>
      <c r="D3077" s="8"/>
      <c r="E3077" s="16"/>
      <c r="J3077" s="23"/>
      <c r="N3077" s="23"/>
    </row>
    <row r="3078">
      <c r="A3078" s="8"/>
      <c r="B3078" s="8"/>
      <c r="C3078" s="8"/>
      <c r="D3078" s="8"/>
      <c r="E3078" s="16"/>
      <c r="J3078" s="23"/>
      <c r="N3078" s="23"/>
    </row>
    <row r="3079">
      <c r="A3079" s="8"/>
      <c r="B3079" s="8"/>
      <c r="C3079" s="8"/>
      <c r="D3079" s="8"/>
      <c r="E3079" s="16"/>
      <c r="J3079" s="23"/>
      <c r="N3079" s="23"/>
    </row>
    <row r="3080">
      <c r="A3080" s="8"/>
      <c r="B3080" s="8"/>
      <c r="C3080" s="8"/>
      <c r="D3080" s="8"/>
      <c r="E3080" s="16"/>
      <c r="J3080" s="23"/>
      <c r="N3080" s="23"/>
    </row>
    <row r="3081">
      <c r="A3081" s="8"/>
      <c r="B3081" s="8"/>
      <c r="C3081" s="8"/>
      <c r="D3081" s="8"/>
      <c r="E3081" s="16"/>
      <c r="J3081" s="23"/>
      <c r="N3081" s="23"/>
    </row>
    <row r="3082">
      <c r="A3082" s="8"/>
      <c r="B3082" s="8"/>
      <c r="C3082" s="8"/>
      <c r="D3082" s="8"/>
      <c r="E3082" s="16"/>
      <c r="J3082" s="23"/>
      <c r="N3082" s="23"/>
    </row>
    <row r="3083">
      <c r="A3083" s="8"/>
      <c r="B3083" s="8"/>
      <c r="C3083" s="8"/>
      <c r="D3083" s="8"/>
      <c r="E3083" s="16"/>
      <c r="J3083" s="23"/>
      <c r="N3083" s="23"/>
    </row>
    <row r="3084">
      <c r="A3084" s="8"/>
      <c r="B3084" s="8"/>
      <c r="C3084" s="8"/>
      <c r="D3084" s="8"/>
      <c r="E3084" s="16"/>
      <c r="J3084" s="23"/>
      <c r="N3084" s="23"/>
    </row>
    <row r="3085">
      <c r="A3085" s="8"/>
      <c r="B3085" s="8"/>
      <c r="C3085" s="8"/>
      <c r="D3085" s="8"/>
      <c r="E3085" s="16"/>
      <c r="J3085" s="23"/>
      <c r="N3085" s="23"/>
    </row>
    <row r="3086">
      <c r="A3086" s="8"/>
      <c r="B3086" s="8"/>
      <c r="C3086" s="8"/>
      <c r="D3086" s="8"/>
      <c r="E3086" s="16"/>
      <c r="J3086" s="23"/>
      <c r="N3086" s="23"/>
    </row>
    <row r="3087">
      <c r="A3087" s="8"/>
      <c r="B3087" s="8"/>
      <c r="C3087" s="8"/>
      <c r="D3087" s="8"/>
      <c r="E3087" s="16"/>
      <c r="J3087" s="23"/>
      <c r="N3087" s="23"/>
    </row>
    <row r="3088">
      <c r="A3088" s="8"/>
      <c r="B3088" s="8"/>
      <c r="C3088" s="8"/>
      <c r="D3088" s="8"/>
      <c r="E3088" s="16"/>
      <c r="J3088" s="23"/>
      <c r="N3088" s="23"/>
    </row>
    <row r="3089">
      <c r="A3089" s="8"/>
      <c r="B3089" s="8"/>
      <c r="C3089" s="8"/>
      <c r="D3089" s="8"/>
      <c r="E3089" s="16"/>
      <c r="J3089" s="23"/>
      <c r="N3089" s="23"/>
    </row>
    <row r="3090">
      <c r="A3090" s="8"/>
      <c r="B3090" s="8"/>
      <c r="C3090" s="8"/>
      <c r="D3090" s="8"/>
      <c r="E3090" s="16"/>
      <c r="J3090" s="23"/>
      <c r="N3090" s="23"/>
    </row>
    <row r="3091">
      <c r="A3091" s="8"/>
      <c r="B3091" s="8"/>
      <c r="C3091" s="8"/>
      <c r="D3091" s="8"/>
      <c r="E3091" s="16"/>
      <c r="J3091" s="23"/>
      <c r="N3091" s="23"/>
    </row>
    <row r="3092">
      <c r="A3092" s="8"/>
      <c r="B3092" s="8"/>
      <c r="C3092" s="8"/>
      <c r="D3092" s="8"/>
      <c r="E3092" s="16"/>
      <c r="J3092" s="23"/>
      <c r="N3092" s="23"/>
    </row>
    <row r="3093">
      <c r="A3093" s="8"/>
      <c r="B3093" s="8"/>
      <c r="C3093" s="8"/>
      <c r="D3093" s="8"/>
      <c r="E3093" s="16"/>
      <c r="J3093" s="23"/>
      <c r="N3093" s="23"/>
    </row>
    <row r="3094">
      <c r="A3094" s="8"/>
      <c r="B3094" s="8"/>
      <c r="C3094" s="8"/>
      <c r="D3094" s="8"/>
      <c r="E3094" s="16"/>
      <c r="J3094" s="23"/>
      <c r="N3094" s="23"/>
    </row>
    <row r="3095">
      <c r="A3095" s="8"/>
      <c r="B3095" s="8"/>
      <c r="C3095" s="8"/>
      <c r="D3095" s="8"/>
      <c r="E3095" s="16"/>
      <c r="J3095" s="23"/>
      <c r="N3095" s="23"/>
    </row>
    <row r="3096">
      <c r="A3096" s="8"/>
      <c r="B3096" s="8"/>
      <c r="C3096" s="8"/>
      <c r="D3096" s="8"/>
      <c r="E3096" s="16"/>
      <c r="J3096" s="23"/>
      <c r="N3096" s="23"/>
    </row>
    <row r="3097">
      <c r="A3097" s="8"/>
      <c r="B3097" s="8"/>
      <c r="C3097" s="8"/>
      <c r="D3097" s="8"/>
      <c r="E3097" s="16"/>
      <c r="J3097" s="23"/>
      <c r="N3097" s="23"/>
    </row>
    <row r="3098">
      <c r="A3098" s="8"/>
      <c r="B3098" s="8"/>
      <c r="C3098" s="8"/>
      <c r="D3098" s="8"/>
      <c r="E3098" s="16"/>
      <c r="J3098" s="23"/>
      <c r="N3098" s="23"/>
    </row>
    <row r="3099">
      <c r="A3099" s="8"/>
      <c r="B3099" s="8"/>
      <c r="C3099" s="8"/>
      <c r="D3099" s="8"/>
      <c r="E3099" s="16"/>
      <c r="J3099" s="23"/>
      <c r="N3099" s="23"/>
    </row>
    <row r="3100">
      <c r="A3100" s="8"/>
      <c r="B3100" s="8"/>
      <c r="C3100" s="8"/>
      <c r="D3100" s="8"/>
      <c r="E3100" s="16"/>
      <c r="J3100" s="23"/>
      <c r="N3100" s="23"/>
    </row>
    <row r="3101">
      <c r="A3101" s="8"/>
      <c r="B3101" s="8"/>
      <c r="C3101" s="8"/>
      <c r="D3101" s="8"/>
      <c r="E3101" s="16"/>
      <c r="J3101" s="23"/>
      <c r="N3101" s="23"/>
    </row>
    <row r="3102">
      <c r="A3102" s="8"/>
      <c r="B3102" s="8"/>
      <c r="C3102" s="8"/>
      <c r="D3102" s="8"/>
      <c r="E3102" s="16"/>
      <c r="J3102" s="23"/>
      <c r="N3102" s="23"/>
    </row>
    <row r="3103">
      <c r="A3103" s="8"/>
      <c r="B3103" s="8"/>
      <c r="C3103" s="8"/>
      <c r="D3103" s="8"/>
      <c r="E3103" s="16"/>
      <c r="J3103" s="23"/>
      <c r="N3103" s="23"/>
    </row>
    <row r="3104">
      <c r="A3104" s="8"/>
      <c r="B3104" s="8"/>
      <c r="C3104" s="8"/>
      <c r="D3104" s="8"/>
      <c r="E3104" s="16"/>
      <c r="J3104" s="23"/>
      <c r="N3104" s="23"/>
    </row>
    <row r="3105">
      <c r="A3105" s="8"/>
      <c r="B3105" s="8"/>
      <c r="C3105" s="8"/>
      <c r="D3105" s="8"/>
      <c r="E3105" s="16"/>
      <c r="J3105" s="23"/>
      <c r="N3105" s="23"/>
    </row>
    <row r="3106">
      <c r="A3106" s="8"/>
      <c r="B3106" s="8"/>
      <c r="C3106" s="8"/>
      <c r="D3106" s="8"/>
      <c r="E3106" s="16"/>
      <c r="J3106" s="23"/>
      <c r="N3106" s="23"/>
    </row>
    <row r="3107">
      <c r="A3107" s="8"/>
      <c r="B3107" s="8"/>
      <c r="C3107" s="8"/>
      <c r="D3107" s="8"/>
      <c r="E3107" s="16"/>
      <c r="J3107" s="23"/>
      <c r="N3107" s="23"/>
    </row>
    <row r="3108">
      <c r="A3108" s="8"/>
      <c r="B3108" s="8"/>
      <c r="C3108" s="8"/>
      <c r="D3108" s="8"/>
      <c r="E3108" s="16"/>
      <c r="J3108" s="23"/>
      <c r="N3108" s="23"/>
    </row>
    <row r="3109">
      <c r="A3109" s="8"/>
      <c r="B3109" s="8"/>
      <c r="C3109" s="8"/>
      <c r="D3109" s="8"/>
      <c r="E3109" s="16"/>
      <c r="J3109" s="23"/>
      <c r="N3109" s="23"/>
    </row>
    <row r="3110">
      <c r="A3110" s="8"/>
      <c r="B3110" s="8"/>
      <c r="C3110" s="8"/>
      <c r="D3110" s="8"/>
      <c r="E3110" s="16"/>
      <c r="J3110" s="23"/>
      <c r="N3110" s="23"/>
    </row>
    <row r="3111">
      <c r="A3111" s="8"/>
      <c r="B3111" s="8"/>
      <c r="C3111" s="8"/>
      <c r="D3111" s="8"/>
      <c r="E3111" s="16"/>
      <c r="J3111" s="23"/>
      <c r="N3111" s="23"/>
    </row>
    <row r="3112">
      <c r="A3112" s="8"/>
      <c r="B3112" s="8"/>
      <c r="C3112" s="8"/>
      <c r="D3112" s="8"/>
      <c r="E3112" s="16"/>
      <c r="J3112" s="23"/>
      <c r="N3112" s="23"/>
    </row>
    <row r="3113">
      <c r="A3113" s="8"/>
      <c r="B3113" s="8"/>
      <c r="C3113" s="8"/>
      <c r="D3113" s="8"/>
      <c r="E3113" s="16"/>
      <c r="J3113" s="23"/>
      <c r="N3113" s="23"/>
    </row>
    <row r="3114">
      <c r="A3114" s="8"/>
      <c r="B3114" s="8"/>
      <c r="C3114" s="8"/>
      <c r="D3114" s="8"/>
      <c r="E3114" s="16"/>
      <c r="J3114" s="23"/>
      <c r="N3114" s="23"/>
    </row>
    <row r="3115">
      <c r="A3115" s="8"/>
      <c r="B3115" s="8"/>
      <c r="C3115" s="8"/>
      <c r="D3115" s="8"/>
      <c r="E3115" s="16"/>
      <c r="J3115" s="23"/>
      <c r="N3115" s="23"/>
    </row>
    <row r="3116">
      <c r="A3116" s="8"/>
      <c r="B3116" s="8"/>
      <c r="C3116" s="8"/>
      <c r="D3116" s="8"/>
      <c r="E3116" s="16"/>
      <c r="J3116" s="23"/>
      <c r="N3116" s="23"/>
    </row>
    <row r="3117">
      <c r="A3117" s="8"/>
      <c r="B3117" s="8"/>
      <c r="C3117" s="8"/>
      <c r="D3117" s="8"/>
      <c r="E3117" s="16"/>
      <c r="J3117" s="23"/>
      <c r="N3117" s="23"/>
    </row>
    <row r="3118">
      <c r="A3118" s="8"/>
      <c r="B3118" s="8"/>
      <c r="C3118" s="8"/>
      <c r="D3118" s="8"/>
      <c r="E3118" s="16"/>
      <c r="J3118" s="23"/>
      <c r="N3118" s="23"/>
    </row>
    <row r="3119">
      <c r="A3119" s="8"/>
      <c r="B3119" s="8"/>
      <c r="C3119" s="8"/>
      <c r="D3119" s="8"/>
      <c r="E3119" s="16"/>
      <c r="J3119" s="23"/>
      <c r="N3119" s="23"/>
    </row>
    <row r="3120">
      <c r="A3120" s="8"/>
      <c r="B3120" s="8"/>
      <c r="C3120" s="8"/>
      <c r="D3120" s="8"/>
      <c r="E3120" s="16"/>
      <c r="J3120" s="23"/>
      <c r="N3120" s="23"/>
    </row>
    <row r="3121">
      <c r="A3121" s="8"/>
      <c r="B3121" s="8"/>
      <c r="C3121" s="8"/>
      <c r="D3121" s="8"/>
      <c r="E3121" s="16"/>
      <c r="J3121" s="23"/>
      <c r="N3121" s="23"/>
    </row>
    <row r="3122">
      <c r="A3122" s="8"/>
      <c r="B3122" s="8"/>
      <c r="C3122" s="8"/>
      <c r="D3122" s="8"/>
      <c r="E3122" s="16"/>
      <c r="J3122" s="23"/>
      <c r="N3122" s="23"/>
    </row>
    <row r="3123">
      <c r="A3123" s="8"/>
      <c r="B3123" s="8"/>
      <c r="C3123" s="8"/>
      <c r="D3123" s="8"/>
      <c r="E3123" s="16"/>
      <c r="J3123" s="23"/>
      <c r="N3123" s="23"/>
    </row>
    <row r="3124">
      <c r="A3124" s="8"/>
      <c r="B3124" s="8"/>
      <c r="C3124" s="8"/>
      <c r="D3124" s="8"/>
      <c r="E3124" s="16"/>
      <c r="J3124" s="23"/>
      <c r="N3124" s="23"/>
    </row>
    <row r="3125">
      <c r="A3125" s="8"/>
      <c r="B3125" s="8"/>
      <c r="C3125" s="8"/>
      <c r="D3125" s="8"/>
      <c r="E3125" s="16"/>
      <c r="J3125" s="23"/>
      <c r="N3125" s="23"/>
    </row>
    <row r="3126">
      <c r="A3126" s="8"/>
      <c r="B3126" s="8"/>
      <c r="C3126" s="8"/>
      <c r="D3126" s="8"/>
      <c r="E3126" s="16"/>
      <c r="J3126" s="23"/>
      <c r="N3126" s="23"/>
    </row>
    <row r="3127">
      <c r="A3127" s="8"/>
      <c r="B3127" s="8"/>
      <c r="C3127" s="8"/>
      <c r="D3127" s="8"/>
      <c r="E3127" s="16"/>
      <c r="J3127" s="23"/>
      <c r="N3127" s="23"/>
    </row>
    <row r="3128">
      <c r="A3128" s="8"/>
      <c r="B3128" s="8"/>
      <c r="C3128" s="8"/>
      <c r="D3128" s="8"/>
      <c r="E3128" s="16"/>
      <c r="J3128" s="23"/>
      <c r="N3128" s="23"/>
    </row>
    <row r="3129">
      <c r="A3129" s="8"/>
      <c r="B3129" s="8"/>
      <c r="C3129" s="8"/>
      <c r="D3129" s="8"/>
      <c r="E3129" s="16"/>
      <c r="J3129" s="23"/>
      <c r="N3129" s="23"/>
    </row>
    <row r="3130">
      <c r="A3130" s="8"/>
      <c r="B3130" s="8"/>
      <c r="C3130" s="8"/>
      <c r="D3130" s="8"/>
      <c r="E3130" s="16"/>
      <c r="J3130" s="23"/>
      <c r="N3130" s="23"/>
    </row>
    <row r="3131">
      <c r="A3131" s="8"/>
      <c r="B3131" s="8"/>
      <c r="C3131" s="8"/>
      <c r="D3131" s="8"/>
      <c r="E3131" s="16"/>
      <c r="J3131" s="23"/>
      <c r="N3131" s="23"/>
    </row>
    <row r="3132">
      <c r="A3132" s="8"/>
      <c r="B3132" s="8"/>
      <c r="C3132" s="8"/>
      <c r="D3132" s="8"/>
      <c r="E3132" s="16"/>
      <c r="J3132" s="23"/>
      <c r="N3132" s="23"/>
    </row>
    <row r="3133">
      <c r="A3133" s="8"/>
      <c r="B3133" s="8"/>
      <c r="C3133" s="8"/>
      <c r="D3133" s="8"/>
      <c r="E3133" s="16"/>
      <c r="J3133" s="23"/>
      <c r="N3133" s="23"/>
    </row>
    <row r="3134">
      <c r="A3134" s="8"/>
      <c r="B3134" s="8"/>
      <c r="C3134" s="8"/>
      <c r="D3134" s="8"/>
      <c r="E3134" s="16"/>
      <c r="J3134" s="23"/>
      <c r="N3134" s="23"/>
    </row>
    <row r="3135">
      <c r="A3135" s="8"/>
      <c r="B3135" s="8"/>
      <c r="C3135" s="8"/>
      <c r="D3135" s="8"/>
      <c r="E3135" s="16"/>
      <c r="J3135" s="23"/>
      <c r="N3135" s="23"/>
    </row>
    <row r="3136">
      <c r="A3136" s="8"/>
      <c r="B3136" s="8"/>
      <c r="C3136" s="8"/>
      <c r="D3136" s="8"/>
      <c r="E3136" s="16"/>
      <c r="J3136" s="23"/>
      <c r="N3136" s="23"/>
    </row>
    <row r="3137">
      <c r="A3137" s="8"/>
      <c r="B3137" s="8"/>
      <c r="C3137" s="8"/>
      <c r="D3137" s="8"/>
      <c r="E3137" s="16"/>
      <c r="J3137" s="23"/>
      <c r="N3137" s="23"/>
    </row>
    <row r="3138">
      <c r="A3138" s="8"/>
      <c r="B3138" s="8"/>
      <c r="C3138" s="8"/>
      <c r="D3138" s="8"/>
      <c r="E3138" s="16"/>
      <c r="J3138" s="23"/>
      <c r="N3138" s="23"/>
    </row>
    <row r="3139">
      <c r="A3139" s="8"/>
      <c r="B3139" s="8"/>
      <c r="C3139" s="8"/>
      <c r="D3139" s="8"/>
      <c r="E3139" s="16"/>
      <c r="J3139" s="23"/>
      <c r="N3139" s="23"/>
    </row>
    <row r="3140">
      <c r="A3140" s="8"/>
      <c r="B3140" s="8"/>
      <c r="C3140" s="8"/>
      <c r="D3140" s="8"/>
      <c r="E3140" s="16"/>
      <c r="J3140" s="23"/>
      <c r="N3140" s="23"/>
    </row>
    <row r="3141">
      <c r="A3141" s="8"/>
      <c r="B3141" s="8"/>
      <c r="C3141" s="8"/>
      <c r="D3141" s="8"/>
      <c r="E3141" s="16"/>
      <c r="J3141" s="23"/>
      <c r="N3141" s="23"/>
    </row>
    <row r="3142">
      <c r="A3142" s="8"/>
      <c r="B3142" s="8"/>
      <c r="C3142" s="8"/>
      <c r="D3142" s="8"/>
      <c r="E3142" s="16"/>
      <c r="J3142" s="23"/>
      <c r="N3142" s="23"/>
    </row>
    <row r="3143">
      <c r="A3143" s="8"/>
      <c r="B3143" s="8"/>
      <c r="C3143" s="8"/>
      <c r="D3143" s="8"/>
      <c r="E3143" s="16"/>
      <c r="J3143" s="23"/>
      <c r="N3143" s="23"/>
    </row>
    <row r="3144">
      <c r="A3144" s="8"/>
      <c r="B3144" s="8"/>
      <c r="C3144" s="8"/>
      <c r="D3144" s="8"/>
      <c r="E3144" s="16"/>
      <c r="J3144" s="23"/>
      <c r="N3144" s="23"/>
    </row>
    <row r="3145">
      <c r="A3145" s="8"/>
      <c r="B3145" s="8"/>
      <c r="C3145" s="8"/>
      <c r="D3145" s="8"/>
      <c r="E3145" s="16"/>
      <c r="J3145" s="23"/>
      <c r="N3145" s="23"/>
    </row>
    <row r="3146">
      <c r="A3146" s="8"/>
      <c r="B3146" s="8"/>
      <c r="C3146" s="8"/>
      <c r="D3146" s="8"/>
      <c r="E3146" s="16"/>
      <c r="J3146" s="23"/>
      <c r="N3146" s="23"/>
    </row>
    <row r="3147">
      <c r="A3147" s="8"/>
      <c r="B3147" s="8"/>
      <c r="C3147" s="8"/>
      <c r="D3147" s="8"/>
      <c r="E3147" s="16"/>
      <c r="J3147" s="23"/>
      <c r="N3147" s="23"/>
    </row>
    <row r="3148">
      <c r="A3148" s="8"/>
      <c r="B3148" s="8"/>
      <c r="C3148" s="8"/>
      <c r="D3148" s="8"/>
      <c r="E3148" s="16"/>
      <c r="J3148" s="23"/>
      <c r="N3148" s="23"/>
    </row>
    <row r="3149">
      <c r="A3149" s="8"/>
      <c r="B3149" s="8"/>
      <c r="C3149" s="8"/>
      <c r="D3149" s="8"/>
      <c r="E3149" s="16"/>
      <c r="J3149" s="23"/>
      <c r="N3149" s="23"/>
    </row>
    <row r="3150">
      <c r="A3150" s="8"/>
      <c r="B3150" s="8"/>
      <c r="C3150" s="8"/>
      <c r="D3150" s="8"/>
      <c r="E3150" s="16"/>
      <c r="J3150" s="23"/>
      <c r="N3150" s="23"/>
    </row>
    <row r="3151">
      <c r="A3151" s="8"/>
      <c r="B3151" s="8"/>
      <c r="C3151" s="8"/>
      <c r="D3151" s="8"/>
      <c r="E3151" s="16"/>
      <c r="J3151" s="23"/>
      <c r="N3151" s="23"/>
    </row>
    <row r="3152">
      <c r="A3152" s="8"/>
      <c r="B3152" s="8"/>
      <c r="C3152" s="8"/>
      <c r="D3152" s="8"/>
      <c r="E3152" s="16"/>
      <c r="J3152" s="23"/>
      <c r="N3152" s="23"/>
    </row>
    <row r="3153">
      <c r="A3153" s="8"/>
      <c r="B3153" s="8"/>
      <c r="C3153" s="8"/>
      <c r="D3153" s="8"/>
      <c r="E3153" s="16"/>
      <c r="J3153" s="23"/>
      <c r="N3153" s="23"/>
    </row>
    <row r="3154">
      <c r="A3154" s="8"/>
      <c r="B3154" s="8"/>
      <c r="C3154" s="8"/>
      <c r="D3154" s="8"/>
      <c r="E3154" s="16"/>
      <c r="J3154" s="23"/>
      <c r="N3154" s="23"/>
    </row>
    <row r="3155">
      <c r="A3155" s="8"/>
      <c r="B3155" s="8"/>
      <c r="C3155" s="8"/>
      <c r="D3155" s="8"/>
      <c r="E3155" s="16"/>
      <c r="J3155" s="23"/>
      <c r="N3155" s="23"/>
    </row>
    <row r="3156">
      <c r="A3156" s="8"/>
      <c r="B3156" s="8"/>
      <c r="C3156" s="8"/>
      <c r="D3156" s="8"/>
      <c r="E3156" s="16"/>
      <c r="J3156" s="23"/>
      <c r="N3156" s="23"/>
    </row>
    <row r="3157">
      <c r="A3157" s="8"/>
      <c r="B3157" s="8"/>
      <c r="C3157" s="8"/>
      <c r="D3157" s="8"/>
      <c r="E3157" s="16"/>
      <c r="J3157" s="23"/>
      <c r="N3157" s="23"/>
    </row>
    <row r="3158">
      <c r="A3158" s="8"/>
      <c r="B3158" s="8"/>
      <c r="C3158" s="8"/>
      <c r="D3158" s="8"/>
      <c r="E3158" s="16"/>
      <c r="J3158" s="23"/>
      <c r="N3158" s="23"/>
    </row>
    <row r="3159">
      <c r="A3159" s="8"/>
      <c r="B3159" s="8"/>
      <c r="C3159" s="8"/>
      <c r="D3159" s="8"/>
      <c r="E3159" s="16"/>
      <c r="J3159" s="23"/>
      <c r="N3159" s="23"/>
    </row>
    <row r="3160">
      <c r="A3160" s="8"/>
      <c r="B3160" s="8"/>
      <c r="C3160" s="8"/>
      <c r="D3160" s="8"/>
      <c r="E3160" s="16"/>
      <c r="J3160" s="23"/>
      <c r="N3160" s="23"/>
    </row>
    <row r="3161">
      <c r="A3161" s="8"/>
      <c r="B3161" s="8"/>
      <c r="C3161" s="8"/>
      <c r="D3161" s="8"/>
      <c r="E3161" s="16"/>
      <c r="J3161" s="23"/>
      <c r="N3161" s="23"/>
    </row>
    <row r="3162">
      <c r="A3162" s="8"/>
      <c r="B3162" s="8"/>
      <c r="C3162" s="8"/>
      <c r="D3162" s="8"/>
      <c r="E3162" s="16"/>
      <c r="J3162" s="23"/>
      <c r="N3162" s="23"/>
    </row>
    <row r="3163">
      <c r="A3163" s="8"/>
      <c r="B3163" s="8"/>
      <c r="C3163" s="8"/>
      <c r="D3163" s="8"/>
      <c r="E3163" s="16"/>
      <c r="J3163" s="23"/>
      <c r="N3163" s="23"/>
    </row>
    <row r="3164">
      <c r="A3164" s="8"/>
      <c r="B3164" s="8"/>
      <c r="C3164" s="8"/>
      <c r="D3164" s="8"/>
      <c r="E3164" s="16"/>
      <c r="J3164" s="23"/>
      <c r="N3164" s="23"/>
    </row>
    <row r="3165">
      <c r="A3165" s="8"/>
      <c r="B3165" s="8"/>
      <c r="C3165" s="8"/>
      <c r="D3165" s="8"/>
      <c r="E3165" s="16"/>
      <c r="J3165" s="23"/>
      <c r="N3165" s="23"/>
    </row>
    <row r="3166">
      <c r="A3166" s="8"/>
      <c r="B3166" s="8"/>
      <c r="C3166" s="8"/>
      <c r="D3166" s="8"/>
      <c r="E3166" s="16"/>
      <c r="J3166" s="23"/>
      <c r="N3166" s="23"/>
    </row>
    <row r="3167">
      <c r="A3167" s="8"/>
      <c r="B3167" s="8"/>
      <c r="C3167" s="8"/>
      <c r="D3167" s="8"/>
      <c r="E3167" s="16"/>
      <c r="J3167" s="23"/>
      <c r="N3167" s="23"/>
    </row>
    <row r="3168">
      <c r="A3168" s="8"/>
      <c r="B3168" s="8"/>
      <c r="C3168" s="8"/>
      <c r="D3168" s="8"/>
      <c r="E3168" s="16"/>
      <c r="J3168" s="23"/>
      <c r="N3168" s="23"/>
    </row>
    <row r="3169">
      <c r="A3169" s="8"/>
      <c r="B3169" s="8"/>
      <c r="C3169" s="8"/>
      <c r="D3169" s="8"/>
      <c r="E3169" s="16"/>
      <c r="J3169" s="23"/>
      <c r="N3169" s="23"/>
    </row>
    <row r="3170">
      <c r="A3170" s="8"/>
      <c r="B3170" s="8"/>
      <c r="C3170" s="8"/>
      <c r="D3170" s="8"/>
      <c r="E3170" s="16"/>
      <c r="J3170" s="23"/>
      <c r="N3170" s="23"/>
    </row>
    <row r="3171">
      <c r="A3171" s="8"/>
      <c r="B3171" s="8"/>
      <c r="C3171" s="8"/>
      <c r="D3171" s="8"/>
      <c r="E3171" s="16"/>
      <c r="J3171" s="23"/>
      <c r="N3171" s="23"/>
    </row>
    <row r="3172">
      <c r="A3172" s="8"/>
      <c r="B3172" s="8"/>
      <c r="C3172" s="8"/>
      <c r="D3172" s="8"/>
      <c r="E3172" s="16"/>
      <c r="J3172" s="23"/>
      <c r="N3172" s="23"/>
    </row>
    <row r="3173">
      <c r="A3173" s="8"/>
      <c r="B3173" s="8"/>
      <c r="C3173" s="8"/>
      <c r="D3173" s="8"/>
      <c r="E3173" s="16"/>
      <c r="J3173" s="23"/>
      <c r="N3173" s="23"/>
    </row>
    <row r="3174">
      <c r="A3174" s="8"/>
      <c r="B3174" s="8"/>
      <c r="C3174" s="8"/>
      <c r="D3174" s="8"/>
      <c r="E3174" s="16"/>
      <c r="J3174" s="23"/>
      <c r="N3174" s="23"/>
    </row>
    <row r="3175">
      <c r="A3175" s="8"/>
      <c r="B3175" s="8"/>
      <c r="C3175" s="8"/>
      <c r="D3175" s="8"/>
      <c r="E3175" s="16"/>
      <c r="J3175" s="23"/>
      <c r="N3175" s="23"/>
    </row>
    <row r="3176">
      <c r="A3176" s="8"/>
      <c r="B3176" s="8"/>
      <c r="C3176" s="8"/>
      <c r="D3176" s="8"/>
      <c r="E3176" s="16"/>
      <c r="J3176" s="23"/>
      <c r="N3176" s="23"/>
    </row>
    <row r="3177">
      <c r="A3177" s="8"/>
      <c r="B3177" s="8"/>
      <c r="C3177" s="8"/>
      <c r="D3177" s="8"/>
      <c r="E3177" s="16"/>
      <c r="J3177" s="23"/>
      <c r="N3177" s="23"/>
    </row>
    <row r="3178">
      <c r="A3178" s="8"/>
      <c r="B3178" s="8"/>
      <c r="C3178" s="8"/>
      <c r="D3178" s="8"/>
      <c r="E3178" s="16"/>
      <c r="J3178" s="23"/>
      <c r="N3178" s="23"/>
    </row>
    <row r="3179">
      <c r="A3179" s="8"/>
      <c r="B3179" s="8"/>
      <c r="C3179" s="8"/>
      <c r="D3179" s="8"/>
      <c r="E3179" s="16"/>
      <c r="J3179" s="23"/>
      <c r="N3179" s="23"/>
    </row>
    <row r="3180">
      <c r="A3180" s="8"/>
      <c r="B3180" s="8"/>
      <c r="C3180" s="8"/>
      <c r="D3180" s="8"/>
      <c r="E3180" s="16"/>
      <c r="J3180" s="23"/>
      <c r="N3180" s="23"/>
    </row>
    <row r="3181">
      <c r="A3181" s="8"/>
      <c r="B3181" s="8"/>
      <c r="C3181" s="8"/>
      <c r="D3181" s="8"/>
      <c r="E3181" s="16"/>
      <c r="J3181" s="23"/>
      <c r="N3181" s="23"/>
    </row>
    <row r="3182">
      <c r="A3182" s="8"/>
      <c r="B3182" s="8"/>
      <c r="C3182" s="8"/>
      <c r="D3182" s="8"/>
      <c r="E3182" s="16"/>
      <c r="J3182" s="23"/>
      <c r="N3182" s="23"/>
    </row>
    <row r="3183">
      <c r="A3183" s="8"/>
      <c r="B3183" s="8"/>
      <c r="C3183" s="8"/>
      <c r="D3183" s="8"/>
      <c r="E3183" s="16"/>
      <c r="J3183" s="23"/>
      <c r="N3183" s="23"/>
    </row>
    <row r="3184">
      <c r="A3184" s="8"/>
      <c r="B3184" s="8"/>
      <c r="C3184" s="8"/>
      <c r="D3184" s="8"/>
      <c r="E3184" s="16"/>
      <c r="J3184" s="23"/>
      <c r="N3184" s="23"/>
    </row>
    <row r="3185">
      <c r="A3185" s="8"/>
      <c r="B3185" s="8"/>
      <c r="C3185" s="8"/>
      <c r="D3185" s="8"/>
      <c r="E3185" s="16"/>
      <c r="J3185" s="23"/>
      <c r="N3185" s="23"/>
    </row>
    <row r="3186">
      <c r="A3186" s="8"/>
      <c r="B3186" s="8"/>
      <c r="C3186" s="8"/>
      <c r="D3186" s="8"/>
      <c r="E3186" s="16"/>
      <c r="J3186" s="23"/>
      <c r="N3186" s="23"/>
    </row>
    <row r="3187">
      <c r="A3187" s="8"/>
      <c r="B3187" s="8"/>
      <c r="C3187" s="8"/>
      <c r="D3187" s="8"/>
      <c r="E3187" s="16"/>
      <c r="J3187" s="23"/>
      <c r="N3187" s="23"/>
    </row>
    <row r="3188">
      <c r="A3188" s="8"/>
      <c r="B3188" s="8"/>
      <c r="C3188" s="8"/>
      <c r="D3188" s="8"/>
      <c r="E3188" s="16"/>
      <c r="J3188" s="23"/>
      <c r="N3188" s="23"/>
    </row>
    <row r="3189">
      <c r="A3189" s="8"/>
      <c r="B3189" s="8"/>
      <c r="C3189" s="8"/>
      <c r="D3189" s="8"/>
      <c r="E3189" s="16"/>
      <c r="J3189" s="23"/>
      <c r="N3189" s="23"/>
    </row>
    <row r="3190">
      <c r="A3190" s="8"/>
      <c r="B3190" s="8"/>
      <c r="C3190" s="8"/>
      <c r="D3190" s="8"/>
      <c r="E3190" s="16"/>
      <c r="J3190" s="23"/>
      <c r="N3190" s="23"/>
    </row>
    <row r="3191">
      <c r="A3191" s="8"/>
      <c r="B3191" s="8"/>
      <c r="C3191" s="8"/>
      <c r="D3191" s="8"/>
      <c r="E3191" s="16"/>
      <c r="J3191" s="23"/>
      <c r="N3191" s="23"/>
    </row>
    <row r="3192">
      <c r="A3192" s="8"/>
      <c r="B3192" s="8"/>
      <c r="C3192" s="8"/>
      <c r="D3192" s="8"/>
      <c r="E3192" s="16"/>
      <c r="J3192" s="23"/>
      <c r="N3192" s="23"/>
    </row>
    <row r="3193">
      <c r="A3193" s="8"/>
      <c r="B3193" s="8"/>
      <c r="C3193" s="8"/>
      <c r="D3193" s="8"/>
      <c r="E3193" s="16"/>
      <c r="J3193" s="23"/>
      <c r="N3193" s="23"/>
    </row>
    <row r="3194">
      <c r="A3194" s="8"/>
      <c r="B3194" s="8"/>
      <c r="C3194" s="8"/>
      <c r="D3194" s="8"/>
      <c r="E3194" s="16"/>
      <c r="J3194" s="23"/>
      <c r="N3194" s="23"/>
    </row>
    <row r="3195">
      <c r="A3195" s="8"/>
      <c r="B3195" s="8"/>
      <c r="C3195" s="8"/>
      <c r="D3195" s="8"/>
      <c r="E3195" s="16"/>
      <c r="J3195" s="23"/>
      <c r="N3195" s="23"/>
    </row>
    <row r="3196">
      <c r="A3196" s="8"/>
      <c r="B3196" s="8"/>
      <c r="C3196" s="8"/>
      <c r="D3196" s="8"/>
      <c r="E3196" s="16"/>
      <c r="J3196" s="23"/>
      <c r="N3196" s="23"/>
    </row>
    <row r="3197">
      <c r="A3197" s="8"/>
      <c r="B3197" s="8"/>
      <c r="C3197" s="8"/>
      <c r="D3197" s="8"/>
      <c r="E3197" s="16"/>
      <c r="J3197" s="23"/>
      <c r="N3197" s="23"/>
    </row>
    <row r="3198">
      <c r="A3198" s="8"/>
      <c r="B3198" s="8"/>
      <c r="C3198" s="8"/>
      <c r="D3198" s="8"/>
      <c r="E3198" s="16"/>
      <c r="J3198" s="23"/>
      <c r="N3198" s="23"/>
    </row>
    <row r="3199">
      <c r="A3199" s="8"/>
      <c r="B3199" s="8"/>
      <c r="C3199" s="8"/>
      <c r="D3199" s="8"/>
      <c r="E3199" s="16"/>
      <c r="J3199" s="23"/>
      <c r="N3199" s="23"/>
    </row>
    <row r="3200">
      <c r="A3200" s="8"/>
      <c r="B3200" s="8"/>
      <c r="C3200" s="8"/>
      <c r="D3200" s="8"/>
      <c r="E3200" s="16"/>
      <c r="J3200" s="23"/>
      <c r="N3200" s="23"/>
    </row>
    <row r="3201">
      <c r="A3201" s="8"/>
      <c r="B3201" s="8"/>
      <c r="C3201" s="8"/>
      <c r="D3201" s="8"/>
      <c r="E3201" s="16"/>
      <c r="J3201" s="23"/>
      <c r="N3201" s="23"/>
    </row>
    <row r="3202">
      <c r="A3202" s="8"/>
      <c r="B3202" s="8"/>
      <c r="C3202" s="8"/>
      <c r="D3202" s="8"/>
      <c r="E3202" s="16"/>
      <c r="J3202" s="23"/>
      <c r="N3202" s="23"/>
    </row>
    <row r="3203">
      <c r="A3203" s="8"/>
      <c r="B3203" s="8"/>
      <c r="C3203" s="8"/>
      <c r="D3203" s="8"/>
      <c r="E3203" s="16"/>
      <c r="J3203" s="23"/>
      <c r="N3203" s="23"/>
    </row>
    <row r="3204">
      <c r="A3204" s="8"/>
      <c r="B3204" s="8"/>
      <c r="C3204" s="8"/>
      <c r="D3204" s="8"/>
      <c r="E3204" s="16"/>
      <c r="J3204" s="23"/>
      <c r="N3204" s="23"/>
    </row>
    <row r="3205">
      <c r="A3205" s="8"/>
      <c r="B3205" s="8"/>
      <c r="C3205" s="8"/>
      <c r="D3205" s="8"/>
      <c r="E3205" s="16"/>
      <c r="J3205" s="23"/>
      <c r="N3205" s="23"/>
    </row>
    <row r="3206">
      <c r="A3206" s="8"/>
      <c r="B3206" s="8"/>
      <c r="C3206" s="8"/>
      <c r="D3206" s="8"/>
      <c r="E3206" s="16"/>
      <c r="J3206" s="23"/>
      <c r="N3206" s="23"/>
    </row>
    <row r="3207">
      <c r="A3207" s="8"/>
      <c r="B3207" s="8"/>
      <c r="C3207" s="8"/>
      <c r="D3207" s="8"/>
      <c r="E3207" s="16"/>
      <c r="J3207" s="23"/>
      <c r="N3207" s="23"/>
    </row>
    <row r="3208">
      <c r="A3208" s="8"/>
      <c r="B3208" s="8"/>
      <c r="C3208" s="8"/>
      <c r="D3208" s="8"/>
      <c r="E3208" s="16"/>
      <c r="J3208" s="23"/>
      <c r="N3208" s="23"/>
    </row>
    <row r="3209">
      <c r="A3209" s="8"/>
      <c r="B3209" s="8"/>
      <c r="C3209" s="8"/>
      <c r="D3209" s="8"/>
      <c r="E3209" s="16"/>
      <c r="J3209" s="23"/>
      <c r="N3209" s="23"/>
    </row>
    <row r="3210">
      <c r="A3210" s="8"/>
      <c r="B3210" s="8"/>
      <c r="C3210" s="8"/>
      <c r="D3210" s="8"/>
      <c r="E3210" s="16"/>
      <c r="J3210" s="23"/>
      <c r="N3210" s="23"/>
    </row>
    <row r="3211">
      <c r="A3211" s="8"/>
      <c r="B3211" s="8"/>
      <c r="C3211" s="8"/>
      <c r="D3211" s="8"/>
      <c r="E3211" s="16"/>
      <c r="J3211" s="23"/>
      <c r="N3211" s="23"/>
    </row>
    <row r="3212">
      <c r="A3212" s="8"/>
      <c r="B3212" s="8"/>
      <c r="C3212" s="8"/>
      <c r="D3212" s="8"/>
      <c r="E3212" s="16"/>
      <c r="J3212" s="23"/>
      <c r="N3212" s="23"/>
    </row>
    <row r="3213">
      <c r="A3213" s="8"/>
      <c r="B3213" s="8"/>
      <c r="C3213" s="8"/>
      <c r="D3213" s="8"/>
      <c r="E3213" s="16"/>
      <c r="J3213" s="23"/>
      <c r="N3213" s="23"/>
    </row>
    <row r="3214">
      <c r="A3214" s="8"/>
      <c r="B3214" s="8"/>
      <c r="C3214" s="8"/>
      <c r="D3214" s="8"/>
      <c r="E3214" s="16"/>
      <c r="J3214" s="23"/>
      <c r="N3214" s="23"/>
    </row>
    <row r="3215">
      <c r="A3215" s="8"/>
      <c r="B3215" s="8"/>
      <c r="C3215" s="8"/>
      <c r="D3215" s="8"/>
      <c r="E3215" s="16"/>
      <c r="J3215" s="23"/>
      <c r="N3215" s="23"/>
    </row>
    <row r="3216">
      <c r="A3216" s="8"/>
      <c r="B3216" s="8"/>
      <c r="C3216" s="8"/>
      <c r="D3216" s="8"/>
      <c r="E3216" s="16"/>
      <c r="J3216" s="23"/>
      <c r="N3216" s="23"/>
    </row>
    <row r="3217">
      <c r="A3217" s="8"/>
      <c r="B3217" s="8"/>
      <c r="C3217" s="8"/>
      <c r="D3217" s="8"/>
      <c r="E3217" s="16"/>
      <c r="J3217" s="23"/>
      <c r="N3217" s="23"/>
    </row>
    <row r="3218">
      <c r="A3218" s="8"/>
      <c r="B3218" s="8"/>
      <c r="C3218" s="8"/>
      <c r="D3218" s="8"/>
      <c r="E3218" s="16"/>
      <c r="J3218" s="23"/>
      <c r="N3218" s="23"/>
    </row>
    <row r="3219">
      <c r="A3219" s="8"/>
      <c r="B3219" s="8"/>
      <c r="C3219" s="8"/>
      <c r="D3219" s="8"/>
      <c r="E3219" s="16"/>
      <c r="J3219" s="23"/>
      <c r="N3219" s="23"/>
    </row>
    <row r="3220">
      <c r="A3220" s="8"/>
      <c r="B3220" s="8"/>
      <c r="C3220" s="8"/>
      <c r="D3220" s="8"/>
      <c r="E3220" s="16"/>
      <c r="J3220" s="23"/>
      <c r="N3220" s="23"/>
    </row>
    <row r="3221">
      <c r="A3221" s="8"/>
      <c r="B3221" s="8"/>
      <c r="C3221" s="8"/>
      <c r="D3221" s="8"/>
      <c r="E3221" s="16"/>
      <c r="J3221" s="23"/>
      <c r="N3221" s="23"/>
    </row>
    <row r="3222">
      <c r="A3222" s="8"/>
      <c r="B3222" s="8"/>
      <c r="C3222" s="8"/>
      <c r="D3222" s="8"/>
      <c r="E3222" s="16"/>
      <c r="J3222" s="23"/>
      <c r="N3222" s="23"/>
    </row>
    <row r="3223">
      <c r="A3223" s="8"/>
      <c r="B3223" s="8"/>
      <c r="C3223" s="8"/>
      <c r="D3223" s="8"/>
      <c r="E3223" s="16"/>
      <c r="J3223" s="23"/>
      <c r="N3223" s="23"/>
    </row>
    <row r="3224">
      <c r="A3224" s="8"/>
      <c r="B3224" s="8"/>
      <c r="C3224" s="8"/>
      <c r="D3224" s="8"/>
      <c r="E3224" s="16"/>
      <c r="J3224" s="23"/>
      <c r="N3224" s="23"/>
    </row>
    <row r="3225">
      <c r="A3225" s="8"/>
      <c r="B3225" s="8"/>
      <c r="C3225" s="8"/>
      <c r="D3225" s="8"/>
      <c r="E3225" s="16"/>
      <c r="J3225" s="23"/>
      <c r="N3225" s="23"/>
    </row>
    <row r="3226">
      <c r="A3226" s="8"/>
      <c r="B3226" s="8"/>
      <c r="C3226" s="8"/>
      <c r="D3226" s="8"/>
      <c r="E3226" s="16"/>
      <c r="J3226" s="23"/>
      <c r="N3226" s="23"/>
    </row>
    <row r="3227">
      <c r="A3227" s="8"/>
      <c r="B3227" s="8"/>
      <c r="C3227" s="8"/>
      <c r="D3227" s="8"/>
      <c r="E3227" s="16"/>
      <c r="J3227" s="23"/>
      <c r="N3227" s="23"/>
    </row>
    <row r="3228">
      <c r="A3228" s="8"/>
      <c r="B3228" s="8"/>
      <c r="C3228" s="8"/>
      <c r="D3228" s="8"/>
      <c r="E3228" s="16"/>
      <c r="J3228" s="23"/>
      <c r="N3228" s="23"/>
    </row>
    <row r="3229">
      <c r="A3229" s="8"/>
      <c r="B3229" s="8"/>
      <c r="C3229" s="8"/>
      <c r="D3229" s="8"/>
      <c r="E3229" s="16"/>
      <c r="J3229" s="23"/>
      <c r="N3229" s="23"/>
    </row>
    <row r="3230">
      <c r="A3230" s="8"/>
      <c r="B3230" s="8"/>
      <c r="C3230" s="8"/>
      <c r="D3230" s="8"/>
      <c r="E3230" s="16"/>
      <c r="J3230" s="23"/>
      <c r="N3230" s="23"/>
    </row>
    <row r="3231">
      <c r="A3231" s="8"/>
      <c r="B3231" s="8"/>
      <c r="C3231" s="8"/>
      <c r="D3231" s="8"/>
      <c r="E3231" s="16"/>
      <c r="J3231" s="23"/>
      <c r="N3231" s="23"/>
    </row>
    <row r="3232">
      <c r="A3232" s="8"/>
      <c r="B3232" s="8"/>
      <c r="C3232" s="8"/>
      <c r="D3232" s="8"/>
      <c r="E3232" s="16"/>
      <c r="J3232" s="23"/>
      <c r="N3232" s="23"/>
    </row>
    <row r="3233">
      <c r="A3233" s="8"/>
      <c r="B3233" s="8"/>
      <c r="C3233" s="8"/>
      <c r="D3233" s="8"/>
      <c r="E3233" s="16"/>
      <c r="J3233" s="23"/>
      <c r="N3233" s="23"/>
    </row>
    <row r="3234">
      <c r="A3234" s="8"/>
      <c r="B3234" s="8"/>
      <c r="C3234" s="8"/>
      <c r="D3234" s="8"/>
      <c r="E3234" s="16"/>
      <c r="J3234" s="23"/>
      <c r="N3234" s="23"/>
    </row>
    <row r="3235">
      <c r="A3235" s="8"/>
      <c r="B3235" s="8"/>
      <c r="C3235" s="8"/>
      <c r="D3235" s="8"/>
      <c r="E3235" s="16"/>
      <c r="J3235" s="23"/>
      <c r="N3235" s="23"/>
    </row>
    <row r="3236">
      <c r="A3236" s="8"/>
      <c r="B3236" s="8"/>
      <c r="C3236" s="8"/>
      <c r="D3236" s="8"/>
      <c r="E3236" s="16"/>
      <c r="J3236" s="23"/>
      <c r="N3236" s="23"/>
    </row>
    <row r="3237">
      <c r="A3237" s="8"/>
      <c r="B3237" s="8"/>
      <c r="C3237" s="8"/>
      <c r="D3237" s="8"/>
      <c r="E3237" s="16"/>
      <c r="J3237" s="23"/>
      <c r="N3237" s="23"/>
    </row>
    <row r="3238">
      <c r="A3238" s="8"/>
      <c r="B3238" s="8"/>
      <c r="C3238" s="8"/>
      <c r="D3238" s="8"/>
      <c r="E3238" s="16"/>
      <c r="J3238" s="23"/>
      <c r="N3238" s="23"/>
    </row>
    <row r="3239">
      <c r="A3239" s="8"/>
      <c r="B3239" s="8"/>
      <c r="C3239" s="8"/>
      <c r="D3239" s="8"/>
      <c r="E3239" s="16"/>
      <c r="J3239" s="23"/>
      <c r="N3239" s="23"/>
    </row>
    <row r="3240">
      <c r="A3240" s="8"/>
      <c r="B3240" s="8"/>
      <c r="C3240" s="8"/>
      <c r="D3240" s="8"/>
      <c r="E3240" s="16"/>
      <c r="J3240" s="23"/>
      <c r="N3240" s="23"/>
    </row>
    <row r="3241">
      <c r="A3241" s="8"/>
      <c r="B3241" s="8"/>
      <c r="C3241" s="8"/>
      <c r="D3241" s="8"/>
      <c r="E3241" s="16"/>
      <c r="J3241" s="23"/>
      <c r="N3241" s="23"/>
    </row>
    <row r="3242">
      <c r="A3242" s="8"/>
      <c r="B3242" s="8"/>
      <c r="C3242" s="8"/>
      <c r="D3242" s="8"/>
      <c r="E3242" s="16"/>
      <c r="J3242" s="23"/>
      <c r="N3242" s="23"/>
    </row>
    <row r="3243">
      <c r="A3243" s="8"/>
      <c r="B3243" s="8"/>
      <c r="C3243" s="8"/>
      <c r="D3243" s="8"/>
      <c r="E3243" s="16"/>
      <c r="J3243" s="23"/>
      <c r="N3243" s="23"/>
    </row>
    <row r="3244">
      <c r="A3244" s="8"/>
      <c r="B3244" s="8"/>
      <c r="C3244" s="8"/>
      <c r="D3244" s="8"/>
      <c r="E3244" s="16"/>
      <c r="J3244" s="23"/>
      <c r="N3244" s="23"/>
    </row>
    <row r="3245">
      <c r="A3245" s="8"/>
      <c r="B3245" s="8"/>
      <c r="C3245" s="8"/>
      <c r="D3245" s="8"/>
      <c r="E3245" s="16"/>
      <c r="J3245" s="23"/>
      <c r="N3245" s="23"/>
    </row>
    <row r="3246">
      <c r="A3246" s="8"/>
      <c r="B3246" s="8"/>
      <c r="C3246" s="8"/>
      <c r="D3246" s="8"/>
      <c r="E3246" s="16"/>
      <c r="J3246" s="23"/>
      <c r="N3246" s="23"/>
    </row>
    <row r="3247">
      <c r="A3247" s="8"/>
      <c r="B3247" s="8"/>
      <c r="C3247" s="8"/>
      <c r="D3247" s="8"/>
      <c r="E3247" s="16"/>
      <c r="J3247" s="23"/>
      <c r="N3247" s="23"/>
    </row>
    <row r="3248">
      <c r="A3248" s="8"/>
      <c r="B3248" s="8"/>
      <c r="C3248" s="8"/>
      <c r="D3248" s="8"/>
      <c r="E3248" s="16"/>
      <c r="J3248" s="23"/>
      <c r="N3248" s="23"/>
    </row>
    <row r="3249">
      <c r="A3249" s="8"/>
      <c r="B3249" s="8"/>
      <c r="C3249" s="8"/>
      <c r="D3249" s="8"/>
      <c r="E3249" s="16"/>
      <c r="J3249" s="23"/>
      <c r="N3249" s="23"/>
    </row>
    <row r="3250">
      <c r="A3250" s="8"/>
      <c r="B3250" s="8"/>
      <c r="C3250" s="8"/>
      <c r="D3250" s="8"/>
      <c r="E3250" s="16"/>
      <c r="J3250" s="23"/>
      <c r="N3250" s="23"/>
    </row>
    <row r="3251">
      <c r="A3251" s="8"/>
      <c r="B3251" s="8"/>
      <c r="C3251" s="8"/>
      <c r="D3251" s="8"/>
      <c r="E3251" s="16"/>
      <c r="J3251" s="23"/>
      <c r="N3251" s="23"/>
    </row>
    <row r="3252">
      <c r="A3252" s="8"/>
      <c r="B3252" s="8"/>
      <c r="C3252" s="8"/>
      <c r="D3252" s="8"/>
      <c r="E3252" s="16"/>
      <c r="J3252" s="23"/>
      <c r="N3252" s="23"/>
    </row>
    <row r="3253">
      <c r="A3253" s="8"/>
      <c r="B3253" s="8"/>
      <c r="C3253" s="8"/>
      <c r="D3253" s="8"/>
      <c r="E3253" s="16"/>
      <c r="J3253" s="23"/>
      <c r="N3253" s="23"/>
    </row>
    <row r="3254">
      <c r="A3254" s="8"/>
      <c r="B3254" s="8"/>
      <c r="C3254" s="8"/>
      <c r="D3254" s="8"/>
      <c r="E3254" s="16"/>
      <c r="J3254" s="23"/>
      <c r="N3254" s="23"/>
    </row>
    <row r="3255">
      <c r="A3255" s="8"/>
      <c r="B3255" s="8"/>
      <c r="C3255" s="8"/>
      <c r="D3255" s="8"/>
      <c r="E3255" s="16"/>
      <c r="J3255" s="23"/>
      <c r="N3255" s="23"/>
    </row>
    <row r="3256">
      <c r="A3256" s="8"/>
      <c r="B3256" s="8"/>
      <c r="C3256" s="8"/>
      <c r="D3256" s="8"/>
      <c r="E3256" s="16"/>
      <c r="J3256" s="23"/>
      <c r="N3256" s="23"/>
    </row>
    <row r="3257">
      <c r="A3257" s="8"/>
      <c r="B3257" s="8"/>
      <c r="C3257" s="8"/>
      <c r="D3257" s="8"/>
      <c r="E3257" s="16"/>
      <c r="J3257" s="23"/>
      <c r="N3257" s="23"/>
    </row>
    <row r="3258">
      <c r="A3258" s="8"/>
      <c r="B3258" s="8"/>
      <c r="C3258" s="8"/>
      <c r="D3258" s="8"/>
      <c r="E3258" s="16"/>
      <c r="J3258" s="23"/>
      <c r="N3258" s="23"/>
    </row>
    <row r="3259">
      <c r="A3259" s="8"/>
      <c r="B3259" s="8"/>
      <c r="C3259" s="8"/>
      <c r="D3259" s="8"/>
      <c r="E3259" s="16"/>
      <c r="J3259" s="23"/>
      <c r="N3259" s="23"/>
    </row>
    <row r="3260">
      <c r="A3260" s="8"/>
      <c r="B3260" s="8"/>
      <c r="C3260" s="8"/>
      <c r="D3260" s="8"/>
      <c r="E3260" s="16"/>
      <c r="J3260" s="23"/>
      <c r="N3260" s="23"/>
    </row>
    <row r="3261">
      <c r="A3261" s="8"/>
      <c r="B3261" s="8"/>
      <c r="C3261" s="8"/>
      <c r="D3261" s="8"/>
      <c r="E3261" s="16"/>
      <c r="J3261" s="23"/>
      <c r="N3261" s="23"/>
    </row>
    <row r="3262">
      <c r="A3262" s="8"/>
      <c r="B3262" s="8"/>
      <c r="C3262" s="8"/>
      <c r="D3262" s="8"/>
      <c r="E3262" s="16"/>
      <c r="J3262" s="23"/>
      <c r="N3262" s="23"/>
    </row>
    <row r="3263">
      <c r="A3263" s="8"/>
      <c r="B3263" s="8"/>
      <c r="C3263" s="8"/>
      <c r="D3263" s="8"/>
      <c r="E3263" s="16"/>
      <c r="J3263" s="23"/>
      <c r="N3263" s="23"/>
    </row>
    <row r="3264">
      <c r="A3264" s="8"/>
      <c r="B3264" s="8"/>
      <c r="C3264" s="8"/>
      <c r="D3264" s="8"/>
      <c r="E3264" s="16"/>
      <c r="J3264" s="23"/>
      <c r="N3264" s="23"/>
    </row>
    <row r="3265">
      <c r="A3265" s="8"/>
      <c r="B3265" s="8"/>
      <c r="C3265" s="8"/>
      <c r="D3265" s="8"/>
      <c r="E3265" s="16"/>
      <c r="J3265" s="23"/>
      <c r="N3265" s="23"/>
    </row>
    <row r="3266">
      <c r="A3266" s="8"/>
      <c r="B3266" s="8"/>
      <c r="C3266" s="8"/>
      <c r="D3266" s="8"/>
      <c r="E3266" s="16"/>
      <c r="J3266" s="23"/>
      <c r="N3266" s="23"/>
    </row>
    <row r="3267">
      <c r="A3267" s="8"/>
      <c r="B3267" s="8"/>
      <c r="C3267" s="8"/>
      <c r="D3267" s="8"/>
      <c r="E3267" s="16"/>
      <c r="J3267" s="23"/>
      <c r="N3267" s="23"/>
    </row>
    <row r="3268">
      <c r="A3268" s="8"/>
      <c r="B3268" s="8"/>
      <c r="C3268" s="8"/>
      <c r="D3268" s="8"/>
      <c r="E3268" s="16"/>
      <c r="J3268" s="23"/>
      <c r="N3268" s="23"/>
    </row>
    <row r="3269">
      <c r="A3269" s="8"/>
      <c r="B3269" s="8"/>
      <c r="C3269" s="8"/>
      <c r="D3269" s="8"/>
      <c r="E3269" s="16"/>
      <c r="J3269" s="23"/>
      <c r="N3269" s="23"/>
    </row>
    <row r="3270">
      <c r="A3270" s="8"/>
      <c r="B3270" s="8"/>
      <c r="C3270" s="8"/>
      <c r="D3270" s="8"/>
      <c r="E3270" s="16"/>
      <c r="J3270" s="23"/>
      <c r="N3270" s="23"/>
    </row>
    <row r="3271">
      <c r="A3271" s="8"/>
      <c r="B3271" s="8"/>
      <c r="C3271" s="8"/>
      <c r="D3271" s="8"/>
      <c r="E3271" s="16"/>
      <c r="J3271" s="23"/>
      <c r="N3271" s="23"/>
    </row>
    <row r="3272">
      <c r="A3272" s="8"/>
      <c r="B3272" s="8"/>
      <c r="C3272" s="8"/>
      <c r="D3272" s="8"/>
      <c r="E3272" s="16"/>
      <c r="J3272" s="23"/>
      <c r="N3272" s="23"/>
    </row>
    <row r="3273">
      <c r="A3273" s="8"/>
      <c r="B3273" s="8"/>
      <c r="C3273" s="8"/>
      <c r="D3273" s="8"/>
      <c r="E3273" s="16"/>
      <c r="J3273" s="23"/>
      <c r="N3273" s="23"/>
    </row>
    <row r="3274">
      <c r="A3274" s="8"/>
      <c r="B3274" s="8"/>
      <c r="C3274" s="8"/>
      <c r="D3274" s="8"/>
      <c r="E3274" s="16"/>
      <c r="J3274" s="23"/>
      <c r="N3274" s="23"/>
    </row>
    <row r="3275">
      <c r="A3275" s="8"/>
      <c r="B3275" s="8"/>
      <c r="C3275" s="8"/>
      <c r="D3275" s="8"/>
      <c r="E3275" s="16"/>
      <c r="J3275" s="23"/>
      <c r="N3275" s="23"/>
    </row>
    <row r="3276">
      <c r="A3276" s="8"/>
      <c r="B3276" s="8"/>
      <c r="C3276" s="8"/>
      <c r="D3276" s="8"/>
      <c r="E3276" s="16"/>
      <c r="J3276" s="23"/>
      <c r="N3276" s="23"/>
    </row>
    <row r="3277">
      <c r="A3277" s="8"/>
      <c r="B3277" s="8"/>
      <c r="C3277" s="8"/>
      <c r="D3277" s="8"/>
      <c r="E3277" s="16"/>
      <c r="J3277" s="23"/>
      <c r="N3277" s="23"/>
    </row>
    <row r="3278">
      <c r="A3278" s="8"/>
      <c r="B3278" s="8"/>
      <c r="C3278" s="8"/>
      <c r="D3278" s="8"/>
      <c r="E3278" s="16"/>
      <c r="J3278" s="23"/>
      <c r="N3278" s="23"/>
    </row>
    <row r="3279">
      <c r="A3279" s="8"/>
      <c r="B3279" s="8"/>
      <c r="C3279" s="8"/>
      <c r="D3279" s="8"/>
      <c r="E3279" s="16"/>
      <c r="J3279" s="23"/>
      <c r="N3279" s="23"/>
    </row>
    <row r="3280">
      <c r="A3280" s="8"/>
      <c r="B3280" s="8"/>
      <c r="C3280" s="8"/>
      <c r="D3280" s="8"/>
      <c r="E3280" s="16"/>
      <c r="J3280" s="23"/>
      <c r="N3280" s="23"/>
    </row>
    <row r="3281">
      <c r="A3281" s="8"/>
      <c r="B3281" s="8"/>
      <c r="C3281" s="8"/>
      <c r="D3281" s="8"/>
      <c r="E3281" s="16"/>
      <c r="J3281" s="23"/>
      <c r="N3281" s="23"/>
    </row>
    <row r="3282">
      <c r="A3282" s="8"/>
      <c r="B3282" s="8"/>
      <c r="C3282" s="8"/>
      <c r="D3282" s="8"/>
      <c r="E3282" s="16"/>
      <c r="J3282" s="23"/>
      <c r="N3282" s="23"/>
    </row>
    <row r="3283">
      <c r="A3283" s="8"/>
      <c r="B3283" s="8"/>
      <c r="C3283" s="8"/>
      <c r="D3283" s="8"/>
      <c r="E3283" s="16"/>
      <c r="J3283" s="23"/>
      <c r="N3283" s="23"/>
    </row>
    <row r="3284">
      <c r="A3284" s="8"/>
      <c r="B3284" s="8"/>
      <c r="C3284" s="8"/>
      <c r="D3284" s="8"/>
      <c r="E3284" s="16"/>
      <c r="J3284" s="23"/>
      <c r="N3284" s="23"/>
    </row>
    <row r="3285">
      <c r="A3285" s="8"/>
      <c r="B3285" s="8"/>
      <c r="C3285" s="8"/>
      <c r="D3285" s="8"/>
      <c r="E3285" s="16"/>
      <c r="J3285" s="23"/>
      <c r="N3285" s="23"/>
    </row>
    <row r="3286">
      <c r="A3286" s="8"/>
      <c r="B3286" s="8"/>
      <c r="C3286" s="8"/>
      <c r="D3286" s="8"/>
      <c r="E3286" s="16"/>
      <c r="J3286" s="23"/>
      <c r="N3286" s="23"/>
    </row>
    <row r="3287">
      <c r="A3287" s="8"/>
      <c r="B3287" s="8"/>
      <c r="C3287" s="8"/>
      <c r="D3287" s="8"/>
      <c r="E3287" s="16"/>
      <c r="J3287" s="23"/>
      <c r="N3287" s="23"/>
    </row>
    <row r="3288">
      <c r="A3288" s="8"/>
      <c r="B3288" s="8"/>
      <c r="C3288" s="8"/>
      <c r="D3288" s="8"/>
      <c r="E3288" s="16"/>
      <c r="J3288" s="23"/>
      <c r="N3288" s="23"/>
    </row>
    <row r="3289">
      <c r="A3289" s="8"/>
      <c r="B3289" s="8"/>
      <c r="C3289" s="8"/>
      <c r="D3289" s="8"/>
      <c r="E3289" s="16"/>
      <c r="J3289" s="23"/>
      <c r="N3289" s="23"/>
    </row>
    <row r="3290">
      <c r="A3290" s="8"/>
      <c r="B3290" s="8"/>
      <c r="C3290" s="8"/>
      <c r="D3290" s="8"/>
      <c r="E3290" s="16"/>
      <c r="J3290" s="23"/>
      <c r="N3290" s="23"/>
    </row>
    <row r="3291">
      <c r="A3291" s="8"/>
      <c r="B3291" s="8"/>
      <c r="C3291" s="8"/>
      <c r="D3291" s="8"/>
      <c r="E3291" s="16"/>
      <c r="J3291" s="23"/>
      <c r="N3291" s="23"/>
    </row>
    <row r="3292">
      <c r="A3292" s="8"/>
      <c r="B3292" s="8"/>
      <c r="C3292" s="8"/>
      <c r="D3292" s="8"/>
      <c r="E3292" s="16"/>
      <c r="J3292" s="23"/>
      <c r="N3292" s="23"/>
    </row>
    <row r="3293">
      <c r="A3293" s="8"/>
      <c r="B3293" s="8"/>
      <c r="C3293" s="8"/>
      <c r="D3293" s="8"/>
      <c r="E3293" s="16"/>
      <c r="J3293" s="23"/>
      <c r="N3293" s="23"/>
    </row>
    <row r="3294">
      <c r="A3294" s="8"/>
      <c r="B3294" s="8"/>
      <c r="C3294" s="8"/>
      <c r="D3294" s="8"/>
      <c r="E3294" s="16"/>
      <c r="J3294" s="23"/>
      <c r="N3294" s="23"/>
    </row>
    <row r="3295">
      <c r="A3295" s="8"/>
      <c r="B3295" s="8"/>
      <c r="C3295" s="8"/>
      <c r="D3295" s="8"/>
      <c r="E3295" s="16"/>
      <c r="J3295" s="23"/>
      <c r="N3295" s="23"/>
    </row>
    <row r="3296">
      <c r="A3296" s="8"/>
      <c r="B3296" s="8"/>
      <c r="C3296" s="8"/>
      <c r="D3296" s="8"/>
      <c r="E3296" s="16"/>
      <c r="J3296" s="23"/>
      <c r="N3296" s="23"/>
    </row>
    <row r="3297">
      <c r="A3297" s="8"/>
      <c r="B3297" s="8"/>
      <c r="C3297" s="8"/>
      <c r="D3297" s="8"/>
      <c r="E3297" s="16"/>
      <c r="J3297" s="23"/>
      <c r="N3297" s="23"/>
    </row>
    <row r="3298">
      <c r="A3298" s="8"/>
      <c r="B3298" s="8"/>
      <c r="C3298" s="8"/>
      <c r="D3298" s="8"/>
      <c r="E3298" s="16"/>
      <c r="J3298" s="23"/>
      <c r="N3298" s="23"/>
    </row>
    <row r="3299">
      <c r="A3299" s="8"/>
      <c r="B3299" s="8"/>
      <c r="C3299" s="8"/>
      <c r="D3299" s="8"/>
      <c r="E3299" s="16"/>
      <c r="J3299" s="23"/>
      <c r="N3299" s="23"/>
    </row>
    <row r="3300">
      <c r="A3300" s="8"/>
      <c r="B3300" s="8"/>
      <c r="C3300" s="8"/>
      <c r="D3300" s="8"/>
      <c r="E3300" s="16"/>
      <c r="J3300" s="23"/>
      <c r="N3300" s="23"/>
    </row>
    <row r="3301">
      <c r="A3301" s="8"/>
      <c r="B3301" s="8"/>
      <c r="C3301" s="8"/>
      <c r="D3301" s="8"/>
      <c r="E3301" s="16"/>
      <c r="J3301" s="23"/>
      <c r="N3301" s="23"/>
    </row>
    <row r="3302">
      <c r="A3302" s="8"/>
      <c r="B3302" s="8"/>
      <c r="C3302" s="8"/>
      <c r="D3302" s="8"/>
      <c r="E3302" s="16"/>
      <c r="J3302" s="23"/>
      <c r="N3302" s="23"/>
    </row>
    <row r="3303">
      <c r="A3303" s="8"/>
      <c r="B3303" s="8"/>
      <c r="C3303" s="8"/>
      <c r="D3303" s="8"/>
      <c r="E3303" s="16"/>
      <c r="J3303" s="23"/>
      <c r="N3303" s="23"/>
    </row>
    <row r="3304">
      <c r="A3304" s="8"/>
      <c r="B3304" s="8"/>
      <c r="C3304" s="8"/>
      <c r="D3304" s="8"/>
      <c r="E3304" s="16"/>
      <c r="J3304" s="23"/>
      <c r="N3304" s="23"/>
    </row>
    <row r="3305">
      <c r="A3305" s="8"/>
      <c r="B3305" s="8"/>
      <c r="C3305" s="8"/>
      <c r="D3305" s="8"/>
      <c r="E3305" s="16"/>
      <c r="J3305" s="23"/>
      <c r="N3305" s="23"/>
    </row>
    <row r="3306">
      <c r="A3306" s="8"/>
      <c r="B3306" s="8"/>
      <c r="C3306" s="8"/>
      <c r="D3306" s="8"/>
      <c r="E3306" s="16"/>
      <c r="J3306" s="23"/>
      <c r="N3306" s="23"/>
    </row>
    <row r="3307">
      <c r="A3307" s="8"/>
      <c r="B3307" s="8"/>
      <c r="C3307" s="8"/>
      <c r="D3307" s="8"/>
      <c r="E3307" s="16"/>
      <c r="J3307" s="23"/>
      <c r="N3307" s="23"/>
    </row>
    <row r="3308">
      <c r="A3308" s="8"/>
      <c r="B3308" s="8"/>
      <c r="C3308" s="8"/>
      <c r="D3308" s="8"/>
      <c r="E3308" s="16"/>
      <c r="J3308" s="23"/>
      <c r="N3308" s="23"/>
    </row>
    <row r="3309">
      <c r="A3309" s="8"/>
      <c r="B3309" s="8"/>
      <c r="C3309" s="8"/>
      <c r="D3309" s="8"/>
      <c r="E3309" s="16"/>
      <c r="J3309" s="23"/>
      <c r="N3309" s="23"/>
    </row>
    <row r="3310">
      <c r="A3310" s="8"/>
      <c r="B3310" s="8"/>
      <c r="C3310" s="8"/>
      <c r="D3310" s="8"/>
      <c r="E3310" s="16"/>
      <c r="J3310" s="23"/>
      <c r="N3310" s="23"/>
    </row>
    <row r="3311">
      <c r="A3311" s="8"/>
      <c r="B3311" s="8"/>
      <c r="C3311" s="8"/>
      <c r="D3311" s="8"/>
      <c r="E3311" s="16"/>
      <c r="J3311" s="23"/>
      <c r="N3311" s="23"/>
    </row>
    <row r="3312">
      <c r="A3312" s="8"/>
      <c r="B3312" s="8"/>
      <c r="C3312" s="8"/>
      <c r="D3312" s="8"/>
      <c r="E3312" s="16"/>
      <c r="J3312" s="23"/>
      <c r="N3312" s="23"/>
    </row>
    <row r="3313">
      <c r="A3313" s="8"/>
      <c r="B3313" s="8"/>
      <c r="C3313" s="8"/>
      <c r="D3313" s="8"/>
      <c r="E3313" s="16"/>
      <c r="J3313" s="23"/>
      <c r="N3313" s="23"/>
    </row>
    <row r="3314">
      <c r="A3314" s="8"/>
      <c r="B3314" s="8"/>
      <c r="C3314" s="8"/>
      <c r="D3314" s="8"/>
      <c r="E3314" s="16"/>
      <c r="J3314" s="23"/>
      <c r="N3314" s="23"/>
    </row>
    <row r="3315">
      <c r="A3315" s="8"/>
      <c r="B3315" s="8"/>
      <c r="C3315" s="8"/>
      <c r="D3315" s="8"/>
      <c r="E3315" s="16"/>
      <c r="J3315" s="23"/>
      <c r="N3315" s="23"/>
    </row>
    <row r="3316">
      <c r="A3316" s="8"/>
      <c r="B3316" s="8"/>
      <c r="C3316" s="8"/>
      <c r="D3316" s="8"/>
      <c r="E3316" s="16"/>
      <c r="J3316" s="23"/>
      <c r="N3316" s="23"/>
    </row>
    <row r="3317">
      <c r="A3317" s="8"/>
      <c r="B3317" s="8"/>
      <c r="C3317" s="8"/>
      <c r="D3317" s="8"/>
      <c r="E3317" s="16"/>
      <c r="J3317" s="23"/>
      <c r="N3317" s="23"/>
    </row>
    <row r="3318">
      <c r="A3318" s="8"/>
      <c r="B3318" s="8"/>
      <c r="C3318" s="8"/>
      <c r="D3318" s="8"/>
      <c r="E3318" s="16"/>
      <c r="J3318" s="23"/>
      <c r="N3318" s="23"/>
    </row>
    <row r="3319">
      <c r="A3319" s="8"/>
      <c r="B3319" s="8"/>
      <c r="C3319" s="8"/>
      <c r="D3319" s="8"/>
      <c r="E3319" s="16"/>
      <c r="J3319" s="23"/>
      <c r="N3319" s="23"/>
    </row>
    <row r="3320">
      <c r="A3320" s="8"/>
      <c r="B3320" s="8"/>
      <c r="C3320" s="8"/>
      <c r="D3320" s="8"/>
      <c r="E3320" s="16"/>
      <c r="J3320" s="23"/>
      <c r="N3320" s="23"/>
    </row>
    <row r="3321">
      <c r="A3321" s="8"/>
      <c r="B3321" s="8"/>
      <c r="C3321" s="8"/>
      <c r="D3321" s="8"/>
      <c r="E3321" s="16"/>
      <c r="J3321" s="23"/>
      <c r="N3321" s="23"/>
    </row>
    <row r="3322">
      <c r="A3322" s="8"/>
      <c r="B3322" s="8"/>
      <c r="C3322" s="8"/>
      <c r="D3322" s="8"/>
      <c r="E3322" s="16"/>
      <c r="J3322" s="23"/>
      <c r="N3322" s="23"/>
    </row>
    <row r="3323">
      <c r="A3323" s="8"/>
      <c r="B3323" s="8"/>
      <c r="C3323" s="8"/>
      <c r="D3323" s="8"/>
      <c r="E3323" s="16"/>
      <c r="J3323" s="23"/>
      <c r="N3323" s="23"/>
    </row>
    <row r="3324">
      <c r="A3324" s="8"/>
      <c r="B3324" s="8"/>
      <c r="C3324" s="8"/>
      <c r="D3324" s="8"/>
      <c r="E3324" s="16"/>
      <c r="J3324" s="23"/>
      <c r="N3324" s="23"/>
    </row>
    <row r="3325">
      <c r="A3325" s="8"/>
      <c r="B3325" s="8"/>
      <c r="C3325" s="8"/>
      <c r="D3325" s="8"/>
      <c r="E3325" s="16"/>
      <c r="J3325" s="23"/>
      <c r="N3325" s="23"/>
    </row>
    <row r="3326">
      <c r="A3326" s="8"/>
      <c r="B3326" s="8"/>
      <c r="C3326" s="8"/>
      <c r="D3326" s="8"/>
      <c r="E3326" s="16"/>
      <c r="J3326" s="23"/>
      <c r="N3326" s="23"/>
    </row>
    <row r="3327">
      <c r="A3327" s="8"/>
      <c r="B3327" s="8"/>
      <c r="C3327" s="8"/>
      <c r="D3327" s="8"/>
      <c r="E3327" s="16"/>
      <c r="J3327" s="23"/>
      <c r="N3327" s="23"/>
    </row>
    <row r="3328">
      <c r="A3328" s="8"/>
      <c r="B3328" s="8"/>
      <c r="C3328" s="8"/>
      <c r="D3328" s="8"/>
      <c r="E3328" s="16"/>
      <c r="J3328" s="23"/>
      <c r="N3328" s="23"/>
    </row>
    <row r="3329">
      <c r="A3329" s="8"/>
      <c r="B3329" s="8"/>
      <c r="C3329" s="8"/>
      <c r="D3329" s="8"/>
      <c r="E3329" s="16"/>
      <c r="J3329" s="23"/>
      <c r="N3329" s="23"/>
    </row>
    <row r="3330">
      <c r="A3330" s="8"/>
      <c r="B3330" s="8"/>
      <c r="C3330" s="8"/>
      <c r="D3330" s="8"/>
      <c r="E3330" s="16"/>
      <c r="J3330" s="23"/>
      <c r="N3330" s="23"/>
    </row>
    <row r="3331">
      <c r="A3331" s="8"/>
      <c r="B3331" s="8"/>
      <c r="C3331" s="8"/>
      <c r="D3331" s="8"/>
      <c r="E3331" s="16"/>
      <c r="J3331" s="23"/>
      <c r="N3331" s="23"/>
    </row>
    <row r="3332">
      <c r="A3332" s="8"/>
      <c r="B3332" s="8"/>
      <c r="C3332" s="8"/>
      <c r="D3332" s="8"/>
      <c r="E3332" s="16"/>
      <c r="J3332" s="23"/>
      <c r="N3332" s="23"/>
    </row>
    <row r="3333">
      <c r="A3333" s="8"/>
      <c r="B3333" s="8"/>
      <c r="C3333" s="8"/>
      <c r="D3333" s="8"/>
      <c r="E3333" s="16"/>
      <c r="J3333" s="23"/>
      <c r="N3333" s="23"/>
    </row>
    <row r="3334">
      <c r="A3334" s="8"/>
      <c r="B3334" s="8"/>
      <c r="C3334" s="8"/>
      <c r="D3334" s="8"/>
      <c r="E3334" s="16"/>
      <c r="J3334" s="23"/>
      <c r="N3334" s="23"/>
    </row>
    <row r="3335">
      <c r="A3335" s="8"/>
      <c r="B3335" s="8"/>
      <c r="C3335" s="8"/>
      <c r="D3335" s="8"/>
      <c r="E3335" s="16"/>
      <c r="J3335" s="23"/>
      <c r="N3335" s="23"/>
    </row>
    <row r="3336">
      <c r="A3336" s="8"/>
      <c r="B3336" s="8"/>
      <c r="C3336" s="8"/>
      <c r="D3336" s="8"/>
      <c r="E3336" s="16"/>
      <c r="J3336" s="23"/>
      <c r="N3336" s="23"/>
    </row>
    <row r="3337">
      <c r="A3337" s="8"/>
      <c r="B3337" s="8"/>
      <c r="C3337" s="8"/>
      <c r="D3337" s="8"/>
      <c r="E3337" s="16"/>
      <c r="J3337" s="23"/>
      <c r="N3337" s="23"/>
    </row>
    <row r="3338">
      <c r="A3338" s="8"/>
      <c r="B3338" s="8"/>
      <c r="C3338" s="8"/>
      <c r="D3338" s="8"/>
      <c r="E3338" s="16"/>
      <c r="J3338" s="23"/>
      <c r="N3338" s="23"/>
    </row>
    <row r="3339">
      <c r="A3339" s="8"/>
      <c r="B3339" s="8"/>
      <c r="C3339" s="8"/>
      <c r="D3339" s="8"/>
      <c r="E3339" s="16"/>
      <c r="J3339" s="23"/>
      <c r="N3339" s="23"/>
    </row>
    <row r="3340">
      <c r="A3340" s="8"/>
      <c r="B3340" s="8"/>
      <c r="C3340" s="8"/>
      <c r="D3340" s="8"/>
      <c r="E3340" s="16"/>
      <c r="J3340" s="23"/>
      <c r="N3340" s="23"/>
    </row>
    <row r="3341">
      <c r="A3341" s="8"/>
      <c r="B3341" s="8"/>
      <c r="C3341" s="8"/>
      <c r="D3341" s="8"/>
      <c r="E3341" s="16"/>
      <c r="J3341" s="23"/>
      <c r="N3341" s="23"/>
    </row>
    <row r="3342">
      <c r="A3342" s="8"/>
      <c r="B3342" s="8"/>
      <c r="C3342" s="8"/>
      <c r="D3342" s="8"/>
      <c r="E3342" s="16"/>
      <c r="J3342" s="23"/>
      <c r="N3342" s="23"/>
    </row>
    <row r="3343">
      <c r="A3343" s="8"/>
      <c r="B3343" s="8"/>
      <c r="C3343" s="8"/>
      <c r="D3343" s="8"/>
      <c r="E3343" s="16"/>
      <c r="J3343" s="23"/>
      <c r="N3343" s="23"/>
    </row>
    <row r="3344">
      <c r="A3344" s="8"/>
      <c r="B3344" s="8"/>
      <c r="C3344" s="8"/>
      <c r="D3344" s="8"/>
      <c r="E3344" s="16"/>
      <c r="J3344" s="23"/>
      <c r="N3344" s="23"/>
    </row>
    <row r="3345">
      <c r="A3345" s="8"/>
      <c r="B3345" s="8"/>
      <c r="C3345" s="8"/>
      <c r="D3345" s="8"/>
      <c r="E3345" s="16"/>
      <c r="J3345" s="23"/>
      <c r="N3345" s="23"/>
    </row>
    <row r="3346">
      <c r="A3346" s="8"/>
      <c r="B3346" s="8"/>
      <c r="C3346" s="8"/>
      <c r="D3346" s="8"/>
      <c r="E3346" s="16"/>
      <c r="J3346" s="23"/>
      <c r="N3346" s="23"/>
    </row>
    <row r="3347">
      <c r="A3347" s="8"/>
      <c r="B3347" s="8"/>
      <c r="C3347" s="8"/>
      <c r="D3347" s="8"/>
      <c r="E3347" s="16"/>
      <c r="J3347" s="23"/>
      <c r="N3347" s="23"/>
    </row>
    <row r="3348">
      <c r="A3348" s="8"/>
      <c r="B3348" s="8"/>
      <c r="C3348" s="8"/>
      <c r="D3348" s="8"/>
      <c r="E3348" s="16"/>
      <c r="J3348" s="23"/>
      <c r="N3348" s="23"/>
    </row>
    <row r="3349">
      <c r="A3349" s="8"/>
      <c r="B3349" s="8"/>
      <c r="C3349" s="8"/>
      <c r="D3349" s="8"/>
      <c r="E3349" s="16"/>
      <c r="J3349" s="23"/>
      <c r="N3349" s="23"/>
    </row>
    <row r="3350">
      <c r="A3350" s="8"/>
      <c r="B3350" s="8"/>
      <c r="C3350" s="8"/>
      <c r="D3350" s="8"/>
      <c r="E3350" s="16"/>
      <c r="J3350" s="23"/>
      <c r="N3350" s="23"/>
    </row>
    <row r="3351">
      <c r="A3351" s="8"/>
      <c r="B3351" s="8"/>
      <c r="C3351" s="8"/>
      <c r="D3351" s="8"/>
      <c r="E3351" s="16"/>
      <c r="J3351" s="23"/>
      <c r="N3351" s="23"/>
    </row>
    <row r="3352">
      <c r="A3352" s="8"/>
      <c r="B3352" s="8"/>
      <c r="C3352" s="8"/>
      <c r="D3352" s="8"/>
      <c r="E3352" s="16"/>
      <c r="J3352" s="23"/>
      <c r="N3352" s="23"/>
    </row>
    <row r="3353">
      <c r="A3353" s="8"/>
      <c r="B3353" s="8"/>
      <c r="C3353" s="8"/>
      <c r="D3353" s="8"/>
      <c r="E3353" s="16"/>
      <c r="J3353" s="23"/>
      <c r="N3353" s="23"/>
    </row>
    <row r="3354">
      <c r="A3354" s="8"/>
      <c r="B3354" s="8"/>
      <c r="C3354" s="8"/>
      <c r="D3354" s="8"/>
      <c r="E3354" s="16"/>
      <c r="J3354" s="23"/>
      <c r="N3354" s="23"/>
    </row>
    <row r="3355">
      <c r="A3355" s="8"/>
      <c r="B3355" s="8"/>
      <c r="C3355" s="8"/>
      <c r="D3355" s="8"/>
      <c r="E3355" s="16"/>
      <c r="J3355" s="23"/>
      <c r="N3355" s="23"/>
    </row>
    <row r="3356">
      <c r="A3356" s="8"/>
      <c r="B3356" s="8"/>
      <c r="C3356" s="8"/>
      <c r="D3356" s="8"/>
      <c r="E3356" s="16"/>
      <c r="J3356" s="23"/>
      <c r="N3356" s="23"/>
    </row>
    <row r="3357">
      <c r="A3357" s="8"/>
      <c r="B3357" s="8"/>
      <c r="C3357" s="8"/>
      <c r="D3357" s="8"/>
      <c r="E3357" s="16"/>
      <c r="J3357" s="23"/>
      <c r="N3357" s="23"/>
    </row>
    <row r="3358">
      <c r="A3358" s="8"/>
      <c r="B3358" s="8"/>
      <c r="C3358" s="8"/>
      <c r="D3358" s="8"/>
      <c r="E3358" s="16"/>
      <c r="J3358" s="23"/>
      <c r="N3358" s="23"/>
    </row>
    <row r="3359">
      <c r="A3359" s="8"/>
      <c r="B3359" s="8"/>
      <c r="C3359" s="8"/>
      <c r="D3359" s="8"/>
      <c r="E3359" s="16"/>
      <c r="J3359" s="23"/>
      <c r="N3359" s="23"/>
    </row>
    <row r="3360">
      <c r="A3360" s="8"/>
      <c r="B3360" s="8"/>
      <c r="C3360" s="8"/>
      <c r="D3360" s="8"/>
      <c r="E3360" s="16"/>
      <c r="J3360" s="23"/>
      <c r="N3360" s="23"/>
    </row>
    <row r="3361">
      <c r="A3361" s="8"/>
      <c r="B3361" s="8"/>
      <c r="C3361" s="8"/>
      <c r="D3361" s="8"/>
      <c r="E3361" s="16"/>
      <c r="J3361" s="23"/>
      <c r="N3361" s="23"/>
    </row>
    <row r="3362">
      <c r="A3362" s="8"/>
      <c r="B3362" s="8"/>
      <c r="C3362" s="8"/>
      <c r="D3362" s="8"/>
      <c r="E3362" s="16"/>
      <c r="J3362" s="23"/>
      <c r="N3362" s="23"/>
    </row>
    <row r="3363">
      <c r="A3363" s="8"/>
      <c r="B3363" s="8"/>
      <c r="C3363" s="8"/>
      <c r="D3363" s="8"/>
      <c r="E3363" s="16"/>
      <c r="J3363" s="23"/>
      <c r="N3363" s="23"/>
    </row>
    <row r="3364">
      <c r="A3364" s="8"/>
      <c r="B3364" s="8"/>
      <c r="C3364" s="8"/>
      <c r="D3364" s="8"/>
      <c r="E3364" s="16"/>
      <c r="J3364" s="23"/>
      <c r="N3364" s="2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9.0"/>
    <col customWidth="1" min="2" max="2" width="7.14"/>
    <col customWidth="1" min="3" max="3" width="6.0"/>
    <col customWidth="1" min="4" max="4" width="9.0"/>
    <col customWidth="1" min="5" max="5" width="7.14"/>
  </cols>
  <sheetData>
    <row r="1">
      <c r="A1" s="21" t="s">
        <v>3909</v>
      </c>
      <c r="B1" s="21" t="s">
        <v>4</v>
      </c>
      <c r="C1" s="21" t="s">
        <v>5</v>
      </c>
      <c r="D1" s="21" t="s">
        <v>2550</v>
      </c>
      <c r="E1" s="21" t="s">
        <v>2551</v>
      </c>
    </row>
    <row r="2">
      <c r="A2" s="8" t="s">
        <v>6288</v>
      </c>
      <c r="B2" s="8" t="s">
        <v>93</v>
      </c>
      <c r="C2" s="14" t="s">
        <v>631</v>
      </c>
      <c r="D2" s="8" t="s">
        <v>2584</v>
      </c>
      <c r="E2" s="14" t="s">
        <v>2613</v>
      </c>
    </row>
    <row r="3">
      <c r="A3" s="8" t="s">
        <v>6289</v>
      </c>
      <c r="B3" s="8" t="s">
        <v>65</v>
      </c>
      <c r="C3" s="14" t="s">
        <v>2296</v>
      </c>
      <c r="D3" s="8" t="s">
        <v>2621</v>
      </c>
      <c r="E3" s="14" t="s">
        <v>2565</v>
      </c>
    </row>
    <row r="4">
      <c r="A4" s="8" t="s">
        <v>6291</v>
      </c>
      <c r="B4" s="8" t="s">
        <v>132</v>
      </c>
      <c r="C4" s="14" t="s">
        <v>837</v>
      </c>
      <c r="D4" s="8" t="s">
        <v>2584</v>
      </c>
      <c r="E4" s="14" t="s">
        <v>2573</v>
      </c>
    </row>
    <row r="5">
      <c r="A5" s="8" t="s">
        <v>6292</v>
      </c>
      <c r="B5" s="8" t="s">
        <v>65</v>
      </c>
      <c r="C5" s="14" t="s">
        <v>237</v>
      </c>
      <c r="D5" s="8" t="s">
        <v>2610</v>
      </c>
      <c r="E5" s="14" t="s">
        <v>2561</v>
      </c>
    </row>
    <row r="6">
      <c r="A6" s="8" t="s">
        <v>6293</v>
      </c>
      <c r="B6" s="8" t="s">
        <v>192</v>
      </c>
      <c r="C6" s="14" t="s">
        <v>1070</v>
      </c>
      <c r="D6" s="8" t="s">
        <v>2562</v>
      </c>
      <c r="E6" s="14" t="s">
        <v>2594</v>
      </c>
    </row>
    <row r="7">
      <c r="A7" s="8" t="s">
        <v>6295</v>
      </c>
      <c r="B7" s="8" t="s">
        <v>80</v>
      </c>
      <c r="C7" s="14" t="s">
        <v>2033</v>
      </c>
      <c r="D7" s="8" t="s">
        <v>2600</v>
      </c>
      <c r="E7" s="14" t="s">
        <v>2606</v>
      </c>
    </row>
    <row r="8">
      <c r="A8" s="8" t="s">
        <v>6296</v>
      </c>
      <c r="B8" s="8" t="s">
        <v>186</v>
      </c>
      <c r="C8" s="14" t="s">
        <v>837</v>
      </c>
      <c r="D8" s="8" t="s">
        <v>2620</v>
      </c>
      <c r="E8" s="14" t="s">
        <v>2576</v>
      </c>
    </row>
    <row r="9">
      <c r="A9" s="8" t="s">
        <v>6298</v>
      </c>
      <c r="B9" s="8" t="s">
        <v>53</v>
      </c>
      <c r="C9" s="14" t="s">
        <v>631</v>
      </c>
      <c r="D9" s="8" t="s">
        <v>2595</v>
      </c>
      <c r="E9" s="14" t="s">
        <v>2565</v>
      </c>
    </row>
    <row r="10">
      <c r="A10" s="8" t="s">
        <v>6299</v>
      </c>
      <c r="B10" s="8" t="s">
        <v>16</v>
      </c>
      <c r="C10" s="14" t="s">
        <v>631</v>
      </c>
      <c r="D10" s="8" t="s">
        <v>2562</v>
      </c>
      <c r="E10" s="14" t="s">
        <v>2576</v>
      </c>
    </row>
    <row r="11">
      <c r="A11" s="8" t="s">
        <v>6301</v>
      </c>
      <c r="B11" s="8" t="s">
        <v>80</v>
      </c>
      <c r="C11" s="14" t="s">
        <v>2033</v>
      </c>
      <c r="D11" s="8" t="s">
        <v>2562</v>
      </c>
      <c r="E11" s="14" t="s">
        <v>2583</v>
      </c>
    </row>
    <row r="12">
      <c r="A12" s="8" t="s">
        <v>6302</v>
      </c>
      <c r="B12" s="8" t="s">
        <v>141</v>
      </c>
      <c r="C12" s="14" t="s">
        <v>135</v>
      </c>
      <c r="D12" s="8" t="s">
        <v>6303</v>
      </c>
      <c r="E12" s="14" t="s">
        <v>2583</v>
      </c>
    </row>
    <row r="13">
      <c r="A13" s="8" t="s">
        <v>3922</v>
      </c>
      <c r="B13" s="8" t="s">
        <v>122</v>
      </c>
      <c r="C13" s="14" t="s">
        <v>1679</v>
      </c>
      <c r="D13" s="8" t="s">
        <v>2554</v>
      </c>
      <c r="E13" s="14" t="s">
        <v>2590</v>
      </c>
    </row>
    <row r="14">
      <c r="A14" s="8" t="s">
        <v>3923</v>
      </c>
      <c r="B14" s="8" t="s">
        <v>24</v>
      </c>
      <c r="C14" s="14" t="s">
        <v>459</v>
      </c>
      <c r="D14" s="8" t="s">
        <v>6303</v>
      </c>
      <c r="E14" s="14" t="s">
        <v>2630</v>
      </c>
    </row>
    <row r="15">
      <c r="A15" s="8" t="s">
        <v>3924</v>
      </c>
      <c r="B15" s="8" t="s">
        <v>65</v>
      </c>
      <c r="C15" s="14" t="s">
        <v>1352</v>
      </c>
      <c r="D15" s="8" t="s">
        <v>2620</v>
      </c>
      <c r="E15" s="14" t="s">
        <v>2555</v>
      </c>
    </row>
    <row r="16">
      <c r="A16" s="8" t="s">
        <v>3925</v>
      </c>
      <c r="B16" s="8" t="s">
        <v>93</v>
      </c>
      <c r="C16" s="14" t="s">
        <v>837</v>
      </c>
      <c r="D16" s="8" t="s">
        <v>2562</v>
      </c>
      <c r="E16" s="14" t="s">
        <v>2601</v>
      </c>
    </row>
    <row r="17">
      <c r="A17" s="8" t="s">
        <v>3926</v>
      </c>
      <c r="B17" s="8" t="s">
        <v>215</v>
      </c>
      <c r="C17" s="14" t="s">
        <v>631</v>
      </c>
      <c r="D17" s="8" t="s">
        <v>2593</v>
      </c>
      <c r="E17" s="14" t="s">
        <v>2635</v>
      </c>
    </row>
    <row r="18">
      <c r="A18" s="8" t="s">
        <v>3927</v>
      </c>
      <c r="B18" s="8" t="s">
        <v>70</v>
      </c>
      <c r="C18" s="14" t="s">
        <v>1679</v>
      </c>
      <c r="D18" s="8" t="s">
        <v>2558</v>
      </c>
      <c r="E18" s="14" t="s">
        <v>2599</v>
      </c>
    </row>
    <row r="19">
      <c r="A19" s="8" t="s">
        <v>3928</v>
      </c>
      <c r="B19" s="8" t="s">
        <v>53</v>
      </c>
      <c r="C19" s="14" t="s">
        <v>1070</v>
      </c>
      <c r="D19" s="8" t="s">
        <v>2605</v>
      </c>
      <c r="E19" s="14" t="s">
        <v>2571</v>
      </c>
    </row>
    <row r="20">
      <c r="A20" s="8" t="s">
        <v>3929</v>
      </c>
      <c r="B20" s="8" t="s">
        <v>75</v>
      </c>
      <c r="C20" s="14" t="s">
        <v>1070</v>
      </c>
      <c r="D20" s="8" t="s">
        <v>2593</v>
      </c>
      <c r="E20" s="14" t="s">
        <v>2618</v>
      </c>
    </row>
    <row r="21">
      <c r="A21" s="8" t="s">
        <v>3930</v>
      </c>
      <c r="B21" s="8" t="s">
        <v>16</v>
      </c>
      <c r="C21" s="14" t="s">
        <v>83</v>
      </c>
      <c r="D21" s="8" t="s">
        <v>2558</v>
      </c>
      <c r="E21" s="14" t="s">
        <v>2561</v>
      </c>
    </row>
    <row r="22">
      <c r="A22" s="8" t="s">
        <v>3931</v>
      </c>
      <c r="B22" s="8" t="s">
        <v>132</v>
      </c>
      <c r="C22" s="14" t="s">
        <v>1352</v>
      </c>
      <c r="D22" s="8" t="s">
        <v>2621</v>
      </c>
      <c r="E22" s="14" t="s">
        <v>2606</v>
      </c>
    </row>
    <row r="23">
      <c r="A23" s="8" t="s">
        <v>3932</v>
      </c>
      <c r="B23" s="8" t="s">
        <v>59</v>
      </c>
      <c r="C23" s="14" t="s">
        <v>1070</v>
      </c>
      <c r="D23" s="8" t="s">
        <v>2620</v>
      </c>
      <c r="E23" s="14" t="s">
        <v>2579</v>
      </c>
    </row>
    <row r="24">
      <c r="A24" s="8" t="s">
        <v>3933</v>
      </c>
      <c r="B24" s="8" t="s">
        <v>138</v>
      </c>
      <c r="C24" s="14" t="s">
        <v>2033</v>
      </c>
      <c r="D24" s="8" t="s">
        <v>2605</v>
      </c>
      <c r="E24" s="14" t="s">
        <v>2594</v>
      </c>
    </row>
    <row r="25">
      <c r="A25" s="8" t="s">
        <v>3934</v>
      </c>
      <c r="B25" s="8" t="s">
        <v>122</v>
      </c>
      <c r="C25" s="14" t="s">
        <v>837</v>
      </c>
      <c r="D25" s="8" t="s">
        <v>2584</v>
      </c>
      <c r="E25" s="14" t="s">
        <v>2565</v>
      </c>
    </row>
    <row r="26">
      <c r="A26" s="8" t="s">
        <v>3935</v>
      </c>
      <c r="B26" s="8" t="s">
        <v>122</v>
      </c>
      <c r="C26" s="14" t="s">
        <v>1352</v>
      </c>
      <c r="D26" s="8" t="s">
        <v>2600</v>
      </c>
      <c r="E26" s="14" t="s">
        <v>2557</v>
      </c>
    </row>
    <row r="27">
      <c r="A27" s="8" t="s">
        <v>3936</v>
      </c>
      <c r="B27" s="8" t="s">
        <v>75</v>
      </c>
      <c r="C27" s="14" t="s">
        <v>338</v>
      </c>
      <c r="D27" s="8" t="s">
        <v>2598</v>
      </c>
      <c r="E27" s="14" t="s">
        <v>2609</v>
      </c>
    </row>
    <row r="28">
      <c r="A28" s="8" t="s">
        <v>3937</v>
      </c>
      <c r="B28" s="8" t="s">
        <v>215</v>
      </c>
      <c r="C28" s="14" t="s">
        <v>1070</v>
      </c>
      <c r="D28" s="8" t="s">
        <v>2620</v>
      </c>
      <c r="E28" s="14" t="s">
        <v>2553</v>
      </c>
    </row>
    <row r="29">
      <c r="A29" s="8" t="s">
        <v>3938</v>
      </c>
      <c r="B29" s="8" t="s">
        <v>65</v>
      </c>
      <c r="C29" s="14" t="s">
        <v>1070</v>
      </c>
      <c r="D29" s="8" t="s">
        <v>2621</v>
      </c>
      <c r="E29" s="14" t="s">
        <v>2586</v>
      </c>
    </row>
    <row r="30">
      <c r="A30" s="8" t="s">
        <v>3939</v>
      </c>
      <c r="B30" s="8" t="s">
        <v>141</v>
      </c>
      <c r="C30" s="14" t="s">
        <v>1070</v>
      </c>
      <c r="D30" s="8" t="s">
        <v>2614</v>
      </c>
      <c r="E30" s="14" t="s">
        <v>2606</v>
      </c>
    </row>
    <row r="31">
      <c r="A31" s="8" t="s">
        <v>3940</v>
      </c>
      <c r="B31" s="8" t="s">
        <v>24</v>
      </c>
      <c r="C31" s="14" t="s">
        <v>1679</v>
      </c>
      <c r="D31" s="8" t="s">
        <v>2605</v>
      </c>
      <c r="E31" s="14" t="s">
        <v>2553</v>
      </c>
    </row>
    <row r="32">
      <c r="A32" s="8" t="s">
        <v>3941</v>
      </c>
      <c r="B32" s="8" t="s">
        <v>65</v>
      </c>
      <c r="C32" s="14" t="s">
        <v>459</v>
      </c>
      <c r="D32" s="8" t="s">
        <v>2552</v>
      </c>
      <c r="E32" s="14" t="s">
        <v>2636</v>
      </c>
    </row>
    <row r="33">
      <c r="A33" s="8" t="s">
        <v>3942</v>
      </c>
      <c r="B33" s="8" t="s">
        <v>12</v>
      </c>
      <c r="C33" s="14" t="s">
        <v>13</v>
      </c>
      <c r="D33" s="8" t="s">
        <v>2567</v>
      </c>
      <c r="E33" s="14" t="s">
        <v>2586</v>
      </c>
    </row>
    <row r="34">
      <c r="A34" s="8" t="s">
        <v>3943</v>
      </c>
      <c r="B34" s="8" t="s">
        <v>186</v>
      </c>
      <c r="C34" s="14" t="s">
        <v>631</v>
      </c>
      <c r="D34" s="8" t="s">
        <v>2615</v>
      </c>
      <c r="E34" s="14" t="s">
        <v>2568</v>
      </c>
    </row>
    <row r="35">
      <c r="A35" s="8" t="s">
        <v>3944</v>
      </c>
      <c r="B35" s="8" t="s">
        <v>215</v>
      </c>
      <c r="C35" s="14" t="s">
        <v>1352</v>
      </c>
      <c r="D35" s="8" t="s">
        <v>2552</v>
      </c>
      <c r="E35" s="14" t="s">
        <v>2555</v>
      </c>
    </row>
    <row r="36">
      <c r="A36" s="8" t="s">
        <v>3945</v>
      </c>
      <c r="B36" s="8" t="s">
        <v>122</v>
      </c>
      <c r="C36" s="14" t="s">
        <v>1070</v>
      </c>
      <c r="D36" s="8" t="s">
        <v>2581</v>
      </c>
      <c r="E36" s="14" t="s">
        <v>2579</v>
      </c>
    </row>
    <row r="37">
      <c r="A37" s="8" t="s">
        <v>3947</v>
      </c>
      <c r="B37" s="8" t="s">
        <v>93</v>
      </c>
      <c r="C37" s="14" t="s">
        <v>2296</v>
      </c>
      <c r="D37" s="8" t="s">
        <v>2582</v>
      </c>
      <c r="E37" s="14" t="s">
        <v>2583</v>
      </c>
    </row>
    <row r="38">
      <c r="A38" s="8" t="s">
        <v>3948</v>
      </c>
      <c r="B38" s="8" t="s">
        <v>93</v>
      </c>
      <c r="C38" s="14" t="s">
        <v>2033</v>
      </c>
      <c r="D38" s="8" t="s">
        <v>2621</v>
      </c>
      <c r="E38" s="14" t="s">
        <v>2578</v>
      </c>
    </row>
    <row r="39">
      <c r="A39" s="8" t="s">
        <v>3949</v>
      </c>
      <c r="B39" s="8" t="s">
        <v>192</v>
      </c>
      <c r="C39" s="14" t="s">
        <v>1070</v>
      </c>
      <c r="D39" s="8" t="s">
        <v>2558</v>
      </c>
      <c r="E39" s="14" t="s">
        <v>2604</v>
      </c>
    </row>
    <row r="40">
      <c r="A40" s="8" t="s">
        <v>3950</v>
      </c>
      <c r="B40" s="8" t="s">
        <v>215</v>
      </c>
      <c r="C40" s="14" t="s">
        <v>237</v>
      </c>
      <c r="D40" s="8" t="s">
        <v>2598</v>
      </c>
      <c r="E40" s="14" t="s">
        <v>2590</v>
      </c>
    </row>
    <row r="41">
      <c r="A41" s="8" t="s">
        <v>3951</v>
      </c>
      <c r="B41" s="8" t="s">
        <v>80</v>
      </c>
      <c r="C41" s="14" t="s">
        <v>1352</v>
      </c>
      <c r="D41" s="8" t="s">
        <v>2585</v>
      </c>
      <c r="E41" s="14" t="s">
        <v>2602</v>
      </c>
    </row>
    <row r="42">
      <c r="A42" s="8" t="s">
        <v>3952</v>
      </c>
      <c r="B42" s="8" t="s">
        <v>70</v>
      </c>
      <c r="C42" s="14" t="s">
        <v>108</v>
      </c>
      <c r="D42" s="8" t="s">
        <v>2582</v>
      </c>
      <c r="E42" s="14" t="s">
        <v>2578</v>
      </c>
    </row>
    <row r="43">
      <c r="A43" s="8" t="s">
        <v>3953</v>
      </c>
      <c r="B43" s="8" t="s">
        <v>192</v>
      </c>
      <c r="C43" s="14" t="s">
        <v>837</v>
      </c>
      <c r="D43" s="8" t="s">
        <v>2572</v>
      </c>
      <c r="E43" s="14" t="s">
        <v>2590</v>
      </c>
    </row>
    <row r="44">
      <c r="A44" s="8" t="s">
        <v>3954</v>
      </c>
      <c r="B44" s="8" t="s">
        <v>93</v>
      </c>
      <c r="C44" s="14" t="s">
        <v>1679</v>
      </c>
      <c r="D44" s="8" t="s">
        <v>2585</v>
      </c>
      <c r="E44" s="14" t="s">
        <v>2573</v>
      </c>
    </row>
    <row r="45">
      <c r="A45" s="8" t="s">
        <v>3956</v>
      </c>
      <c r="B45" s="8" t="s">
        <v>53</v>
      </c>
      <c r="C45" s="14" t="s">
        <v>1679</v>
      </c>
      <c r="D45" s="8" t="s">
        <v>2567</v>
      </c>
      <c r="E45" s="14" t="s">
        <v>2583</v>
      </c>
    </row>
    <row r="46">
      <c r="A46" s="8" t="s">
        <v>3957</v>
      </c>
      <c r="B46" s="8" t="s">
        <v>93</v>
      </c>
      <c r="C46" s="14" t="s">
        <v>837</v>
      </c>
      <c r="D46" s="8" t="s">
        <v>2603</v>
      </c>
      <c r="E46" s="14" t="s">
        <v>2576</v>
      </c>
    </row>
    <row r="47">
      <c r="A47" s="8" t="s">
        <v>3958</v>
      </c>
      <c r="B47" s="8" t="s">
        <v>122</v>
      </c>
      <c r="C47" s="14" t="s">
        <v>837</v>
      </c>
      <c r="D47" s="8" t="s">
        <v>2581</v>
      </c>
      <c r="E47" s="14" t="s">
        <v>2573</v>
      </c>
    </row>
    <row r="48">
      <c r="A48" s="8" t="s">
        <v>3959</v>
      </c>
      <c r="B48" s="8" t="s">
        <v>138</v>
      </c>
      <c r="C48" s="14" t="s">
        <v>459</v>
      </c>
      <c r="D48" s="8" t="s">
        <v>2605</v>
      </c>
      <c r="E48" s="14" t="s">
        <v>2604</v>
      </c>
    </row>
    <row r="49">
      <c r="A49" s="8" t="s">
        <v>3960</v>
      </c>
      <c r="B49" s="8" t="s">
        <v>122</v>
      </c>
      <c r="C49" s="14" t="s">
        <v>189</v>
      </c>
      <c r="D49" s="8" t="s">
        <v>2603</v>
      </c>
      <c r="E49" s="14" t="s">
        <v>2590</v>
      </c>
    </row>
    <row r="50">
      <c r="A50" s="8" t="s">
        <v>3961</v>
      </c>
      <c r="B50" s="8" t="s">
        <v>215</v>
      </c>
      <c r="C50" s="14" t="s">
        <v>1679</v>
      </c>
      <c r="D50" s="8" t="s">
        <v>2567</v>
      </c>
      <c r="E50" s="14" t="s">
        <v>2563</v>
      </c>
    </row>
    <row r="51">
      <c r="A51" s="8" t="s">
        <v>3962</v>
      </c>
      <c r="B51" s="8" t="s">
        <v>122</v>
      </c>
      <c r="C51" s="14" t="s">
        <v>2296</v>
      </c>
      <c r="D51" s="8" t="s">
        <v>2562</v>
      </c>
      <c r="E51" s="14" t="s">
        <v>2555</v>
      </c>
    </row>
    <row r="52">
      <c r="A52" s="8" t="s">
        <v>3963</v>
      </c>
      <c r="B52" s="8" t="s">
        <v>65</v>
      </c>
      <c r="C52" s="14" t="s">
        <v>837</v>
      </c>
      <c r="D52" s="8" t="s">
        <v>2581</v>
      </c>
      <c r="E52" s="14" t="s">
        <v>2608</v>
      </c>
    </row>
    <row r="53">
      <c r="A53" s="8" t="s">
        <v>3964</v>
      </c>
      <c r="B53" s="8" t="s">
        <v>65</v>
      </c>
      <c r="C53" s="14" t="s">
        <v>338</v>
      </c>
      <c r="D53" s="8" t="s">
        <v>2574</v>
      </c>
      <c r="E53" s="14" t="s">
        <v>2602</v>
      </c>
    </row>
    <row r="54">
      <c r="A54" s="8" t="s">
        <v>3965</v>
      </c>
      <c r="B54" s="8" t="s">
        <v>12</v>
      </c>
      <c r="C54" s="14" t="s">
        <v>1679</v>
      </c>
      <c r="D54" s="8" t="s">
        <v>2566</v>
      </c>
      <c r="E54" s="14" t="s">
        <v>2611</v>
      </c>
    </row>
    <row r="55">
      <c r="A55" s="8" t="s">
        <v>3966</v>
      </c>
      <c r="B55" s="8" t="s">
        <v>186</v>
      </c>
      <c r="C55" s="14" t="s">
        <v>837</v>
      </c>
      <c r="D55" s="8" t="s">
        <v>2566</v>
      </c>
      <c r="E55" s="14" t="s">
        <v>2591</v>
      </c>
    </row>
    <row r="56">
      <c r="A56" s="8" t="s">
        <v>3967</v>
      </c>
      <c r="B56" s="8" t="s">
        <v>46</v>
      </c>
      <c r="C56" s="14" t="s">
        <v>338</v>
      </c>
      <c r="D56" s="8" t="s">
        <v>2577</v>
      </c>
      <c r="E56" s="14" t="s">
        <v>2633</v>
      </c>
    </row>
    <row r="57">
      <c r="A57" s="8" t="s">
        <v>3968</v>
      </c>
      <c r="B57" s="8" t="s">
        <v>186</v>
      </c>
      <c r="C57" s="14" t="s">
        <v>1679</v>
      </c>
      <c r="D57" s="8" t="s">
        <v>2595</v>
      </c>
      <c r="E57" s="14" t="s">
        <v>2553</v>
      </c>
    </row>
    <row r="58">
      <c r="A58" s="8" t="s">
        <v>3969</v>
      </c>
      <c r="B58" s="8" t="s">
        <v>261</v>
      </c>
      <c r="C58" s="14" t="s">
        <v>1352</v>
      </c>
      <c r="D58" s="8" t="s">
        <v>2574</v>
      </c>
      <c r="E58" s="14" t="s">
        <v>2568</v>
      </c>
    </row>
    <row r="59">
      <c r="A59" s="8" t="s">
        <v>3970</v>
      </c>
      <c r="B59" s="8" t="s">
        <v>70</v>
      </c>
      <c r="C59" s="14" t="s">
        <v>2296</v>
      </c>
      <c r="D59" s="8" t="s">
        <v>2621</v>
      </c>
      <c r="E59" s="14" t="s">
        <v>2555</v>
      </c>
    </row>
    <row r="60">
      <c r="A60" s="8" t="s">
        <v>3971</v>
      </c>
      <c r="B60" s="8" t="s">
        <v>215</v>
      </c>
      <c r="C60" s="14" t="s">
        <v>1352</v>
      </c>
      <c r="D60" s="8" t="s">
        <v>6304</v>
      </c>
      <c r="E60" s="14" t="s">
        <v>2555</v>
      </c>
    </row>
    <row r="61">
      <c r="A61" s="8" t="s">
        <v>3972</v>
      </c>
      <c r="B61" s="8" t="s">
        <v>75</v>
      </c>
      <c r="C61" s="14" t="s">
        <v>2033</v>
      </c>
      <c r="D61" s="8" t="s">
        <v>2605</v>
      </c>
      <c r="E61" s="14" t="s">
        <v>2612</v>
      </c>
    </row>
    <row r="62">
      <c r="A62" s="8" t="s">
        <v>3973</v>
      </c>
      <c r="B62" s="8" t="s">
        <v>132</v>
      </c>
      <c r="C62" s="14" t="s">
        <v>1679</v>
      </c>
      <c r="D62" s="8" t="s">
        <v>2592</v>
      </c>
      <c r="E62" s="14" t="s">
        <v>2583</v>
      </c>
    </row>
    <row r="63">
      <c r="A63" s="8" t="s">
        <v>3974</v>
      </c>
      <c r="B63" s="8" t="s">
        <v>65</v>
      </c>
      <c r="C63" s="14" t="s">
        <v>1070</v>
      </c>
      <c r="D63" s="8" t="s">
        <v>2610</v>
      </c>
      <c r="E63" s="14" t="s">
        <v>2591</v>
      </c>
    </row>
    <row r="64">
      <c r="A64" s="8" t="s">
        <v>3975</v>
      </c>
      <c r="B64" s="8" t="s">
        <v>24</v>
      </c>
      <c r="C64" s="14" t="s">
        <v>631</v>
      </c>
      <c r="D64" s="8" t="s">
        <v>2598</v>
      </c>
      <c r="E64" s="14" t="s">
        <v>2609</v>
      </c>
    </row>
    <row r="65">
      <c r="A65" s="8" t="s">
        <v>3976</v>
      </c>
      <c r="B65" s="8" t="s">
        <v>75</v>
      </c>
      <c r="C65" s="14" t="s">
        <v>837</v>
      </c>
      <c r="D65" s="8" t="s">
        <v>2575</v>
      </c>
      <c r="E65" s="14" t="s">
        <v>2602</v>
      </c>
    </row>
    <row r="66">
      <c r="A66" s="8" t="s">
        <v>3977</v>
      </c>
      <c r="B66" s="8" t="s">
        <v>46</v>
      </c>
      <c r="C66" s="14" t="s">
        <v>2033</v>
      </c>
      <c r="D66" s="8" t="s">
        <v>2558</v>
      </c>
      <c r="E66" s="14" t="s">
        <v>2628</v>
      </c>
    </row>
    <row r="67">
      <c r="A67" s="8" t="s">
        <v>3978</v>
      </c>
      <c r="B67" s="8" t="s">
        <v>141</v>
      </c>
      <c r="C67" s="14" t="s">
        <v>135</v>
      </c>
      <c r="D67" s="8" t="s">
        <v>2598</v>
      </c>
      <c r="E67" s="14" t="s">
        <v>2596</v>
      </c>
    </row>
    <row r="68">
      <c r="A68" s="8" t="s">
        <v>3979</v>
      </c>
      <c r="B68" s="8" t="s">
        <v>16</v>
      </c>
      <c r="C68" s="14" t="s">
        <v>2033</v>
      </c>
      <c r="D68" s="8" t="s">
        <v>2584</v>
      </c>
      <c r="E68" s="14" t="s">
        <v>2617</v>
      </c>
    </row>
    <row r="69">
      <c r="A69" s="8" t="s">
        <v>3980</v>
      </c>
      <c r="B69" s="8" t="s">
        <v>138</v>
      </c>
      <c r="C69" s="14" t="s">
        <v>631</v>
      </c>
      <c r="D69" s="8" t="s">
        <v>2183</v>
      </c>
      <c r="E69" s="14" t="s">
        <v>2571</v>
      </c>
    </row>
    <row r="70">
      <c r="A70" s="8" t="s">
        <v>3981</v>
      </c>
      <c r="B70" s="8" t="s">
        <v>132</v>
      </c>
      <c r="C70" s="14" t="s">
        <v>1679</v>
      </c>
      <c r="D70" s="8" t="s">
        <v>2610</v>
      </c>
      <c r="E70" s="14" t="s">
        <v>2579</v>
      </c>
    </row>
    <row r="71">
      <c r="A71" s="8" t="s">
        <v>3982</v>
      </c>
      <c r="B71" s="8" t="s">
        <v>16</v>
      </c>
      <c r="C71" s="14" t="s">
        <v>83</v>
      </c>
      <c r="D71" s="8" t="s">
        <v>2582</v>
      </c>
      <c r="E71" s="14" t="s">
        <v>2590</v>
      </c>
    </row>
    <row r="72">
      <c r="A72" s="8" t="s">
        <v>3983</v>
      </c>
      <c r="B72" s="8" t="s">
        <v>16</v>
      </c>
      <c r="C72" s="14" t="s">
        <v>237</v>
      </c>
      <c r="D72" s="8" t="s">
        <v>2566</v>
      </c>
      <c r="E72" s="14" t="s">
        <v>2638</v>
      </c>
    </row>
    <row r="73">
      <c r="A73" s="8" t="s">
        <v>3984</v>
      </c>
      <c r="B73" s="8" t="s">
        <v>65</v>
      </c>
      <c r="C73" s="14" t="s">
        <v>2033</v>
      </c>
      <c r="D73" s="8" t="s">
        <v>2566</v>
      </c>
      <c r="E73" s="14" t="s">
        <v>2576</v>
      </c>
    </row>
    <row r="74">
      <c r="A74" s="8" t="s">
        <v>3985</v>
      </c>
      <c r="B74" s="8" t="s">
        <v>70</v>
      </c>
      <c r="C74" s="14" t="s">
        <v>2459</v>
      </c>
      <c r="D74" s="8" t="s">
        <v>2552</v>
      </c>
      <c r="E74" s="14" t="s">
        <v>2622</v>
      </c>
    </row>
    <row r="75">
      <c r="A75" s="8" t="s">
        <v>3986</v>
      </c>
      <c r="B75" s="8" t="s">
        <v>70</v>
      </c>
      <c r="C75" s="14" t="s">
        <v>631</v>
      </c>
      <c r="D75" s="8" t="s">
        <v>2584</v>
      </c>
      <c r="E75" s="14" t="s">
        <v>2602</v>
      </c>
    </row>
    <row r="76">
      <c r="A76" s="8" t="s">
        <v>3987</v>
      </c>
      <c r="B76" s="8" t="s">
        <v>75</v>
      </c>
      <c r="C76" s="14" t="s">
        <v>1070</v>
      </c>
      <c r="D76" s="8" t="s">
        <v>2592</v>
      </c>
      <c r="E76" s="14" t="s">
        <v>2613</v>
      </c>
    </row>
    <row r="77">
      <c r="A77" s="8" t="s">
        <v>3988</v>
      </c>
      <c r="B77" s="8" t="s">
        <v>93</v>
      </c>
      <c r="C77" s="14" t="s">
        <v>2033</v>
      </c>
      <c r="D77" s="8" t="s">
        <v>2620</v>
      </c>
      <c r="E77" s="14" t="s">
        <v>2570</v>
      </c>
    </row>
    <row r="78">
      <c r="A78" s="8" t="s">
        <v>3989</v>
      </c>
      <c r="B78" s="8" t="s">
        <v>24</v>
      </c>
      <c r="C78" s="14" t="s">
        <v>2296</v>
      </c>
      <c r="D78" s="8" t="s">
        <v>2595</v>
      </c>
      <c r="E78" s="14" t="s">
        <v>2576</v>
      </c>
    </row>
    <row r="79">
      <c r="A79" s="8" t="s">
        <v>3990</v>
      </c>
      <c r="B79" s="8" t="s">
        <v>65</v>
      </c>
      <c r="C79" s="14" t="s">
        <v>837</v>
      </c>
      <c r="D79" s="8" t="s">
        <v>2614</v>
      </c>
      <c r="E79" s="14" t="s">
        <v>2571</v>
      </c>
    </row>
    <row r="80">
      <c r="A80" s="8" t="s">
        <v>3991</v>
      </c>
      <c r="B80" s="8" t="s">
        <v>65</v>
      </c>
      <c r="C80" s="14" t="s">
        <v>2033</v>
      </c>
      <c r="D80" s="8" t="s">
        <v>2558</v>
      </c>
      <c r="E80" s="14" t="s">
        <v>2583</v>
      </c>
    </row>
    <row r="81">
      <c r="A81" s="8" t="s">
        <v>3992</v>
      </c>
      <c r="B81" s="8" t="s">
        <v>65</v>
      </c>
      <c r="C81" s="14" t="s">
        <v>1070</v>
      </c>
      <c r="D81" s="8" t="s">
        <v>2605</v>
      </c>
      <c r="E81" s="14" t="s">
        <v>2633</v>
      </c>
    </row>
    <row r="82">
      <c r="A82" s="8" t="s">
        <v>3993</v>
      </c>
      <c r="B82" s="8" t="s">
        <v>65</v>
      </c>
      <c r="C82" s="14" t="s">
        <v>1070</v>
      </c>
      <c r="D82" s="8" t="s">
        <v>2566</v>
      </c>
      <c r="E82" s="14" t="s">
        <v>2594</v>
      </c>
    </row>
    <row r="83">
      <c r="A83" s="8" t="s">
        <v>3994</v>
      </c>
      <c r="B83" s="8" t="s">
        <v>65</v>
      </c>
      <c r="C83" s="14" t="s">
        <v>459</v>
      </c>
      <c r="D83" s="8" t="s">
        <v>2564</v>
      </c>
      <c r="E83" s="14" t="s">
        <v>2604</v>
      </c>
    </row>
    <row r="84">
      <c r="A84" s="8" t="s">
        <v>3995</v>
      </c>
      <c r="B84" s="8" t="s">
        <v>186</v>
      </c>
      <c r="C84" s="14" t="s">
        <v>1679</v>
      </c>
      <c r="D84" s="8" t="s">
        <v>2575</v>
      </c>
      <c r="E84" s="14" t="s">
        <v>2606</v>
      </c>
    </row>
    <row r="85">
      <c r="A85" s="8" t="s">
        <v>3996</v>
      </c>
      <c r="B85" s="8" t="s">
        <v>70</v>
      </c>
      <c r="C85" s="14" t="s">
        <v>1679</v>
      </c>
      <c r="D85" s="8" t="s">
        <v>2595</v>
      </c>
      <c r="E85" s="14" t="s">
        <v>2561</v>
      </c>
    </row>
    <row r="86">
      <c r="A86" s="8" t="s">
        <v>3997</v>
      </c>
      <c r="B86" s="8" t="s">
        <v>192</v>
      </c>
      <c r="C86" s="14" t="s">
        <v>2459</v>
      </c>
      <c r="D86" s="8" t="s">
        <v>2621</v>
      </c>
      <c r="E86" s="14" t="s">
        <v>2622</v>
      </c>
    </row>
    <row r="87">
      <c r="A87" s="8" t="s">
        <v>3998</v>
      </c>
      <c r="B87" s="8" t="s">
        <v>93</v>
      </c>
      <c r="C87" s="14" t="s">
        <v>2033</v>
      </c>
      <c r="D87" s="8" t="s">
        <v>2554</v>
      </c>
      <c r="E87" s="14" t="s">
        <v>2622</v>
      </c>
    </row>
    <row r="88">
      <c r="A88" s="8" t="s">
        <v>3999</v>
      </c>
      <c r="B88" s="8" t="s">
        <v>65</v>
      </c>
      <c r="C88" s="14" t="s">
        <v>1352</v>
      </c>
      <c r="D88" s="8" t="s">
        <v>2614</v>
      </c>
      <c r="E88" s="14" t="s">
        <v>2596</v>
      </c>
    </row>
    <row r="89">
      <c r="A89" s="8" t="s">
        <v>4000</v>
      </c>
      <c r="B89" s="8" t="s">
        <v>70</v>
      </c>
      <c r="C89" s="14" t="s">
        <v>1070</v>
      </c>
      <c r="D89" s="8" t="s">
        <v>2552</v>
      </c>
      <c r="E89" s="14" t="s">
        <v>2553</v>
      </c>
    </row>
    <row r="90">
      <c r="A90" s="8" t="s">
        <v>4001</v>
      </c>
      <c r="B90" s="8" t="s">
        <v>93</v>
      </c>
      <c r="C90" s="14" t="s">
        <v>2033</v>
      </c>
      <c r="D90" s="8" t="s">
        <v>2554</v>
      </c>
      <c r="E90" s="14" t="s">
        <v>2609</v>
      </c>
    </row>
    <row r="91">
      <c r="A91" s="8" t="s">
        <v>4002</v>
      </c>
      <c r="B91" s="8" t="s">
        <v>46</v>
      </c>
      <c r="C91" s="14" t="s">
        <v>2033</v>
      </c>
      <c r="D91" s="8" t="s">
        <v>2564</v>
      </c>
      <c r="E91" s="14" t="s">
        <v>2591</v>
      </c>
    </row>
    <row r="92">
      <c r="A92" s="8" t="s">
        <v>4003</v>
      </c>
      <c r="B92" s="8" t="s">
        <v>70</v>
      </c>
      <c r="C92" s="14" t="s">
        <v>338</v>
      </c>
      <c r="D92" s="8" t="s">
        <v>2592</v>
      </c>
      <c r="E92" s="14" t="s">
        <v>2565</v>
      </c>
    </row>
    <row r="93">
      <c r="A93" s="8" t="s">
        <v>4004</v>
      </c>
      <c r="B93" s="8" t="s">
        <v>65</v>
      </c>
      <c r="C93" s="14" t="s">
        <v>237</v>
      </c>
      <c r="D93" s="8" t="s">
        <v>2620</v>
      </c>
      <c r="E93" s="14" t="s">
        <v>2565</v>
      </c>
    </row>
    <row r="94">
      <c r="A94" s="8" t="s">
        <v>4005</v>
      </c>
      <c r="B94" s="8" t="s">
        <v>65</v>
      </c>
      <c r="C94" s="14" t="s">
        <v>1352</v>
      </c>
      <c r="D94" s="8" t="s">
        <v>2572</v>
      </c>
      <c r="E94" s="14" t="s">
        <v>2583</v>
      </c>
    </row>
    <row r="95">
      <c r="A95" s="8" t="s">
        <v>4006</v>
      </c>
      <c r="B95" s="8" t="s">
        <v>65</v>
      </c>
      <c r="C95" s="14" t="s">
        <v>237</v>
      </c>
      <c r="D95" s="8" t="s">
        <v>2587</v>
      </c>
      <c r="E95" s="14" t="s">
        <v>2591</v>
      </c>
    </row>
    <row r="96">
      <c r="A96" s="8" t="s">
        <v>4007</v>
      </c>
      <c r="B96" s="8" t="s">
        <v>186</v>
      </c>
      <c r="C96" s="14" t="s">
        <v>2296</v>
      </c>
      <c r="D96" s="8" t="s">
        <v>2574</v>
      </c>
      <c r="E96" s="14" t="s">
        <v>2576</v>
      </c>
    </row>
    <row r="97">
      <c r="A97" s="8" t="s">
        <v>4008</v>
      </c>
      <c r="B97" s="8" t="s">
        <v>80</v>
      </c>
      <c r="C97" s="14" t="s">
        <v>1070</v>
      </c>
      <c r="D97" s="8" t="s">
        <v>2554</v>
      </c>
      <c r="E97" s="14" t="s">
        <v>2557</v>
      </c>
    </row>
    <row r="98">
      <c r="A98" s="8" t="s">
        <v>4009</v>
      </c>
      <c r="B98" s="8" t="s">
        <v>122</v>
      </c>
      <c r="C98" s="14" t="s">
        <v>1679</v>
      </c>
      <c r="D98" s="8" t="s">
        <v>2610</v>
      </c>
      <c r="E98" s="14" t="s">
        <v>2565</v>
      </c>
    </row>
    <row r="99">
      <c r="A99" s="8" t="s">
        <v>4010</v>
      </c>
      <c r="B99" s="8" t="s">
        <v>122</v>
      </c>
      <c r="C99" s="14" t="s">
        <v>2033</v>
      </c>
      <c r="D99" s="8" t="s">
        <v>2610</v>
      </c>
      <c r="E99" s="14" t="s">
        <v>2579</v>
      </c>
    </row>
    <row r="100">
      <c r="A100" s="8" t="s">
        <v>4011</v>
      </c>
      <c r="B100" s="8" t="s">
        <v>24</v>
      </c>
      <c r="C100" s="14" t="s">
        <v>189</v>
      </c>
      <c r="D100" s="8" t="s">
        <v>6304</v>
      </c>
      <c r="E100" s="14" t="s">
        <v>2618</v>
      </c>
    </row>
    <row r="101">
      <c r="A101" s="8" t="s">
        <v>4012</v>
      </c>
      <c r="B101" s="8" t="s">
        <v>149</v>
      </c>
      <c r="C101" s="14" t="s">
        <v>837</v>
      </c>
      <c r="D101" s="8" t="s">
        <v>2554</v>
      </c>
      <c r="E101" s="14" t="s">
        <v>2569</v>
      </c>
    </row>
    <row r="102">
      <c r="A102" s="8" t="s">
        <v>4013</v>
      </c>
      <c r="B102" s="8" t="s">
        <v>24</v>
      </c>
      <c r="C102" s="14" t="s">
        <v>837</v>
      </c>
      <c r="D102" s="8" t="s">
        <v>2582</v>
      </c>
      <c r="E102" s="14" t="s">
        <v>2630</v>
      </c>
    </row>
    <row r="103">
      <c r="A103" s="8" t="s">
        <v>4014</v>
      </c>
      <c r="B103" s="8" t="s">
        <v>16</v>
      </c>
      <c r="C103" s="14" t="s">
        <v>459</v>
      </c>
      <c r="D103" s="8" t="s">
        <v>2567</v>
      </c>
      <c r="E103" s="14" t="s">
        <v>2559</v>
      </c>
    </row>
    <row r="104">
      <c r="A104" s="8" t="s">
        <v>4015</v>
      </c>
      <c r="B104" s="8" t="s">
        <v>75</v>
      </c>
      <c r="C104" s="14" t="s">
        <v>837</v>
      </c>
      <c r="D104" s="8" t="s">
        <v>2584</v>
      </c>
      <c r="E104" s="14" t="s">
        <v>2625</v>
      </c>
    </row>
    <row r="105">
      <c r="A105" s="8" t="s">
        <v>4016</v>
      </c>
      <c r="B105" s="8" t="s">
        <v>80</v>
      </c>
      <c r="C105" s="14" t="s">
        <v>237</v>
      </c>
      <c r="D105" s="8" t="s">
        <v>2564</v>
      </c>
      <c r="E105" s="14" t="s">
        <v>2608</v>
      </c>
    </row>
    <row r="106">
      <c r="A106" s="8" t="s">
        <v>4017</v>
      </c>
      <c r="B106" s="8" t="s">
        <v>186</v>
      </c>
      <c r="C106" s="14" t="s">
        <v>1679</v>
      </c>
      <c r="D106" s="8" t="s">
        <v>2581</v>
      </c>
      <c r="E106" s="14" t="s">
        <v>2583</v>
      </c>
    </row>
    <row r="107">
      <c r="A107" s="8" t="s">
        <v>4018</v>
      </c>
      <c r="B107" s="8" t="s">
        <v>24</v>
      </c>
      <c r="C107" s="14" t="s">
        <v>1679</v>
      </c>
      <c r="D107" s="8" t="s">
        <v>2572</v>
      </c>
      <c r="E107" s="14" t="s">
        <v>2609</v>
      </c>
    </row>
    <row r="108">
      <c r="A108" s="8" t="s">
        <v>4019</v>
      </c>
      <c r="B108" s="8" t="s">
        <v>46</v>
      </c>
      <c r="C108" s="14" t="s">
        <v>39</v>
      </c>
      <c r="D108" s="8" t="s">
        <v>2593</v>
      </c>
      <c r="E108" s="14" t="s">
        <v>2634</v>
      </c>
    </row>
    <row r="109">
      <c r="A109" s="8" t="s">
        <v>4020</v>
      </c>
      <c r="B109" s="8" t="s">
        <v>80</v>
      </c>
      <c r="C109" s="14" t="s">
        <v>2296</v>
      </c>
      <c r="D109" s="8" t="s">
        <v>2584</v>
      </c>
      <c r="E109" s="14" t="s">
        <v>2576</v>
      </c>
    </row>
    <row r="110">
      <c r="A110" s="8" t="s">
        <v>4021</v>
      </c>
      <c r="B110" s="8" t="s">
        <v>132</v>
      </c>
      <c r="C110" s="14" t="s">
        <v>1352</v>
      </c>
      <c r="D110" s="8" t="s">
        <v>2183</v>
      </c>
      <c r="E110" s="14" t="s">
        <v>2563</v>
      </c>
    </row>
    <row r="111">
      <c r="A111" s="8" t="s">
        <v>4022</v>
      </c>
      <c r="B111" s="8" t="s">
        <v>75</v>
      </c>
      <c r="C111" s="14" t="s">
        <v>1352</v>
      </c>
      <c r="D111" s="8" t="s">
        <v>2595</v>
      </c>
      <c r="E111" s="14" t="s">
        <v>2565</v>
      </c>
    </row>
    <row r="112">
      <c r="A112" s="8" t="s">
        <v>4023</v>
      </c>
      <c r="B112" s="8" t="s">
        <v>16</v>
      </c>
      <c r="C112" s="14" t="s">
        <v>237</v>
      </c>
      <c r="D112" s="8" t="s">
        <v>2610</v>
      </c>
      <c r="E112" s="14" t="s">
        <v>2607</v>
      </c>
    </row>
    <row r="113">
      <c r="A113" s="8" t="s">
        <v>4024</v>
      </c>
      <c r="B113" s="8" t="s">
        <v>65</v>
      </c>
      <c r="C113" s="14" t="s">
        <v>2296</v>
      </c>
      <c r="D113" s="8" t="s">
        <v>6303</v>
      </c>
      <c r="E113" s="14" t="s">
        <v>2565</v>
      </c>
    </row>
    <row r="114">
      <c r="A114" s="8" t="s">
        <v>4025</v>
      </c>
      <c r="B114" s="8" t="s">
        <v>261</v>
      </c>
      <c r="C114" s="14" t="s">
        <v>1070</v>
      </c>
      <c r="D114" s="8" t="s">
        <v>2620</v>
      </c>
      <c r="E114" s="14" t="s">
        <v>2565</v>
      </c>
    </row>
    <row r="115">
      <c r="A115" s="8" t="s">
        <v>4026</v>
      </c>
      <c r="B115" s="8" t="s">
        <v>65</v>
      </c>
      <c r="C115" s="14" t="s">
        <v>1352</v>
      </c>
      <c r="D115" s="8" t="s">
        <v>2554</v>
      </c>
      <c r="E115" s="14" t="s">
        <v>2555</v>
      </c>
    </row>
    <row r="116">
      <c r="A116" s="8" t="s">
        <v>4027</v>
      </c>
      <c r="B116" s="8" t="s">
        <v>38</v>
      </c>
      <c r="C116" s="14" t="s">
        <v>39</v>
      </c>
      <c r="D116" s="8" t="s">
        <v>6303</v>
      </c>
      <c r="E116" s="14" t="s">
        <v>2590</v>
      </c>
    </row>
    <row r="117">
      <c r="A117" s="8" t="s">
        <v>4028</v>
      </c>
      <c r="B117" s="8" t="s">
        <v>215</v>
      </c>
      <c r="C117" s="14" t="s">
        <v>1070</v>
      </c>
      <c r="D117" s="8" t="s">
        <v>2562</v>
      </c>
      <c r="E117" s="14" t="s">
        <v>2622</v>
      </c>
    </row>
    <row r="118">
      <c r="A118" s="8" t="s">
        <v>4029</v>
      </c>
      <c r="B118" s="8" t="s">
        <v>93</v>
      </c>
      <c r="C118" s="14" t="s">
        <v>1679</v>
      </c>
      <c r="D118" s="8" t="s">
        <v>2575</v>
      </c>
      <c r="E118" s="14" t="s">
        <v>2568</v>
      </c>
    </row>
    <row r="119">
      <c r="A119" s="8" t="s">
        <v>4030</v>
      </c>
      <c r="B119" s="8" t="s">
        <v>53</v>
      </c>
      <c r="C119" s="14" t="s">
        <v>837</v>
      </c>
      <c r="D119" s="8" t="s">
        <v>2552</v>
      </c>
      <c r="E119" s="14" t="s">
        <v>2588</v>
      </c>
    </row>
    <row r="120">
      <c r="A120" s="8" t="s">
        <v>4031</v>
      </c>
      <c r="B120" s="8" t="s">
        <v>93</v>
      </c>
      <c r="C120" s="14" t="s">
        <v>1352</v>
      </c>
      <c r="D120" s="8" t="s">
        <v>2614</v>
      </c>
      <c r="E120" s="14" t="s">
        <v>2608</v>
      </c>
    </row>
    <row r="121">
      <c r="A121" s="8" t="s">
        <v>4032</v>
      </c>
      <c r="B121" s="8" t="s">
        <v>46</v>
      </c>
      <c r="C121" s="14" t="s">
        <v>237</v>
      </c>
      <c r="D121" s="8" t="s">
        <v>2567</v>
      </c>
      <c r="E121" s="14" t="s">
        <v>2611</v>
      </c>
    </row>
    <row r="122">
      <c r="A122" s="8" t="s">
        <v>4033</v>
      </c>
      <c r="B122" s="8" t="s">
        <v>53</v>
      </c>
      <c r="C122" s="14" t="s">
        <v>1070</v>
      </c>
      <c r="D122" s="8" t="s">
        <v>2577</v>
      </c>
      <c r="E122" s="14" t="s">
        <v>2622</v>
      </c>
    </row>
    <row r="123">
      <c r="A123" s="8" t="s">
        <v>4034</v>
      </c>
      <c r="B123" s="8" t="s">
        <v>141</v>
      </c>
      <c r="C123" s="14" t="s">
        <v>1070</v>
      </c>
      <c r="D123" s="8" t="s">
        <v>2564</v>
      </c>
      <c r="E123" s="14" t="s">
        <v>2618</v>
      </c>
    </row>
    <row r="124">
      <c r="A124" s="8" t="s">
        <v>4035</v>
      </c>
      <c r="B124" s="8" t="s">
        <v>24</v>
      </c>
      <c r="C124" s="14" t="s">
        <v>1679</v>
      </c>
      <c r="D124" s="8" t="s">
        <v>2621</v>
      </c>
      <c r="E124" s="14" t="s">
        <v>2622</v>
      </c>
    </row>
    <row r="125">
      <c r="A125" s="8" t="s">
        <v>4036</v>
      </c>
      <c r="B125" s="8" t="s">
        <v>80</v>
      </c>
      <c r="C125" s="14" t="s">
        <v>837</v>
      </c>
      <c r="D125" s="8" t="s">
        <v>2552</v>
      </c>
      <c r="E125" s="14" t="s">
        <v>2602</v>
      </c>
    </row>
    <row r="126">
      <c r="A126" s="8" t="s">
        <v>4037</v>
      </c>
      <c r="B126" s="8" t="s">
        <v>59</v>
      </c>
      <c r="C126" s="14" t="s">
        <v>837</v>
      </c>
      <c r="D126" s="8" t="s">
        <v>2183</v>
      </c>
      <c r="E126" s="14" t="s">
        <v>2590</v>
      </c>
    </row>
    <row r="127">
      <c r="A127" s="8" t="s">
        <v>4038</v>
      </c>
      <c r="B127" s="8" t="s">
        <v>65</v>
      </c>
      <c r="C127" s="14" t="s">
        <v>2033</v>
      </c>
      <c r="D127" s="8" t="s">
        <v>2592</v>
      </c>
      <c r="E127" s="14" t="s">
        <v>2579</v>
      </c>
    </row>
    <row r="128">
      <c r="A128" s="8" t="s">
        <v>4039</v>
      </c>
      <c r="B128" s="8" t="s">
        <v>215</v>
      </c>
      <c r="C128" s="14" t="s">
        <v>1070</v>
      </c>
      <c r="D128" s="8" t="s">
        <v>2572</v>
      </c>
      <c r="E128" s="14" t="s">
        <v>2579</v>
      </c>
    </row>
    <row r="129">
      <c r="A129" s="8" t="s">
        <v>4040</v>
      </c>
      <c r="B129" s="8" t="s">
        <v>192</v>
      </c>
      <c r="C129" s="14" t="s">
        <v>189</v>
      </c>
      <c r="D129" s="8" t="s">
        <v>2575</v>
      </c>
      <c r="E129" s="14" t="s">
        <v>2571</v>
      </c>
    </row>
    <row r="130">
      <c r="A130" s="8" t="s">
        <v>4041</v>
      </c>
      <c r="B130" s="8" t="s">
        <v>65</v>
      </c>
      <c r="C130" s="14" t="s">
        <v>1679</v>
      </c>
      <c r="D130" s="8" t="s">
        <v>2605</v>
      </c>
      <c r="E130" s="14" t="s">
        <v>2601</v>
      </c>
    </row>
    <row r="131">
      <c r="A131" s="8" t="s">
        <v>4042</v>
      </c>
      <c r="B131" s="8" t="s">
        <v>53</v>
      </c>
      <c r="C131" s="14" t="s">
        <v>2296</v>
      </c>
      <c r="D131" s="8" t="s">
        <v>2592</v>
      </c>
      <c r="E131" s="14" t="s">
        <v>2563</v>
      </c>
    </row>
    <row r="132">
      <c r="A132" s="8" t="s">
        <v>4043</v>
      </c>
      <c r="B132" s="8" t="s">
        <v>65</v>
      </c>
      <c r="C132" s="14" t="s">
        <v>2296</v>
      </c>
      <c r="D132" s="8" t="s">
        <v>2621</v>
      </c>
      <c r="E132" s="14" t="s">
        <v>2594</v>
      </c>
    </row>
    <row r="133">
      <c r="A133" s="8" t="s">
        <v>4044</v>
      </c>
      <c r="B133" s="8" t="s">
        <v>261</v>
      </c>
      <c r="C133" s="14" t="s">
        <v>338</v>
      </c>
      <c r="D133" s="8" t="s">
        <v>2183</v>
      </c>
      <c r="E133" s="14" t="s">
        <v>2590</v>
      </c>
    </row>
    <row r="134">
      <c r="A134" s="8" t="s">
        <v>4045</v>
      </c>
      <c r="B134" s="8" t="s">
        <v>59</v>
      </c>
      <c r="C134" s="14" t="s">
        <v>1679</v>
      </c>
      <c r="D134" s="8" t="s">
        <v>2567</v>
      </c>
      <c r="E134" s="14" t="s">
        <v>2557</v>
      </c>
    </row>
    <row r="135">
      <c r="A135" s="8" t="s">
        <v>4046</v>
      </c>
      <c r="B135" s="8" t="s">
        <v>186</v>
      </c>
      <c r="C135" s="14" t="s">
        <v>2033</v>
      </c>
      <c r="D135" s="8" t="s">
        <v>2560</v>
      </c>
      <c r="E135" s="14" t="s">
        <v>2609</v>
      </c>
    </row>
    <row r="136">
      <c r="A136" s="8" t="s">
        <v>4047</v>
      </c>
      <c r="B136" s="8" t="s">
        <v>215</v>
      </c>
      <c r="C136" s="14" t="s">
        <v>837</v>
      </c>
      <c r="D136" s="8" t="s">
        <v>2615</v>
      </c>
      <c r="E136" s="14" t="s">
        <v>2602</v>
      </c>
    </row>
    <row r="137">
      <c r="A137" s="8" t="s">
        <v>4048</v>
      </c>
      <c r="B137" s="8" t="s">
        <v>80</v>
      </c>
      <c r="C137" s="14" t="s">
        <v>83</v>
      </c>
      <c r="D137" s="8" t="s">
        <v>2566</v>
      </c>
      <c r="E137" s="14" t="s">
        <v>2590</v>
      </c>
    </row>
    <row r="138">
      <c r="A138" s="8" t="s">
        <v>4049</v>
      </c>
      <c r="B138" s="8" t="s">
        <v>80</v>
      </c>
      <c r="C138" s="14" t="s">
        <v>631</v>
      </c>
      <c r="D138" s="8" t="s">
        <v>2585</v>
      </c>
      <c r="E138" s="14" t="s">
        <v>2622</v>
      </c>
    </row>
    <row r="139">
      <c r="A139" s="8" t="s">
        <v>4050</v>
      </c>
      <c r="B139" s="8" t="s">
        <v>65</v>
      </c>
      <c r="C139" s="14" t="s">
        <v>237</v>
      </c>
      <c r="D139" s="8" t="s">
        <v>6304</v>
      </c>
      <c r="E139" s="14" t="s">
        <v>2632</v>
      </c>
    </row>
    <row r="140">
      <c r="A140" s="8" t="s">
        <v>4051</v>
      </c>
      <c r="B140" s="8" t="s">
        <v>65</v>
      </c>
      <c r="C140" s="14" t="s">
        <v>2296</v>
      </c>
      <c r="D140" s="8" t="s">
        <v>2615</v>
      </c>
      <c r="E140" s="14" t="s">
        <v>2601</v>
      </c>
    </row>
    <row r="141">
      <c r="A141" s="8" t="s">
        <v>4052</v>
      </c>
      <c r="B141" s="8" t="s">
        <v>149</v>
      </c>
      <c r="C141" s="14" t="s">
        <v>1352</v>
      </c>
      <c r="D141" s="8" t="s">
        <v>2567</v>
      </c>
      <c r="E141" s="14" t="s">
        <v>2570</v>
      </c>
    </row>
    <row r="142">
      <c r="A142" s="8" t="s">
        <v>4053</v>
      </c>
      <c r="B142" s="8" t="s">
        <v>93</v>
      </c>
      <c r="C142" s="14" t="s">
        <v>1070</v>
      </c>
      <c r="D142" s="8" t="s">
        <v>2566</v>
      </c>
      <c r="E142" s="14" t="s">
        <v>2580</v>
      </c>
    </row>
    <row r="143">
      <c r="A143" s="8" t="s">
        <v>4054</v>
      </c>
      <c r="B143" s="8" t="s">
        <v>24</v>
      </c>
      <c r="C143" s="14" t="s">
        <v>1070</v>
      </c>
      <c r="D143" s="8" t="s">
        <v>2592</v>
      </c>
      <c r="E143" s="14" t="s">
        <v>2579</v>
      </c>
    </row>
    <row r="144">
      <c r="A144" s="8" t="s">
        <v>4055</v>
      </c>
      <c r="B144" s="8" t="s">
        <v>122</v>
      </c>
      <c r="C144" s="14" t="s">
        <v>1070</v>
      </c>
      <c r="D144" s="8" t="s">
        <v>2614</v>
      </c>
      <c r="E144" s="14" t="s">
        <v>2602</v>
      </c>
    </row>
    <row r="145">
      <c r="A145" s="8" t="s">
        <v>4056</v>
      </c>
      <c r="B145" s="8" t="s">
        <v>93</v>
      </c>
      <c r="C145" s="14" t="s">
        <v>135</v>
      </c>
      <c r="D145" s="8" t="s">
        <v>2593</v>
      </c>
      <c r="E145" s="14" t="s">
        <v>2604</v>
      </c>
    </row>
    <row r="146">
      <c r="A146" s="8" t="s">
        <v>4057</v>
      </c>
      <c r="B146" s="8" t="s">
        <v>215</v>
      </c>
      <c r="C146" s="14" t="s">
        <v>2033</v>
      </c>
      <c r="D146" s="8" t="s">
        <v>6304</v>
      </c>
      <c r="E146" s="14" t="s">
        <v>2591</v>
      </c>
    </row>
    <row r="147">
      <c r="A147" s="8" t="s">
        <v>4058</v>
      </c>
      <c r="B147" s="8" t="s">
        <v>122</v>
      </c>
      <c r="C147" s="14" t="s">
        <v>1352</v>
      </c>
      <c r="D147" s="8" t="s">
        <v>2585</v>
      </c>
      <c r="E147" s="14" t="s">
        <v>2586</v>
      </c>
    </row>
    <row r="148">
      <c r="A148" s="8" t="s">
        <v>4059</v>
      </c>
      <c r="B148" s="8" t="s">
        <v>192</v>
      </c>
      <c r="C148" s="14" t="s">
        <v>2033</v>
      </c>
      <c r="D148" s="8" t="s">
        <v>2183</v>
      </c>
      <c r="E148" s="14" t="s">
        <v>2555</v>
      </c>
    </row>
    <row r="149">
      <c r="A149" s="8" t="s">
        <v>4060</v>
      </c>
      <c r="B149" s="8" t="s">
        <v>122</v>
      </c>
      <c r="C149" s="14" t="s">
        <v>2033</v>
      </c>
      <c r="D149" s="8" t="s">
        <v>2552</v>
      </c>
      <c r="E149" s="14" t="s">
        <v>2563</v>
      </c>
    </row>
    <row r="150">
      <c r="A150" s="8" t="s">
        <v>4061</v>
      </c>
      <c r="B150" s="8" t="s">
        <v>93</v>
      </c>
      <c r="C150" s="14" t="s">
        <v>2459</v>
      </c>
      <c r="D150" s="8" t="s">
        <v>2572</v>
      </c>
      <c r="E150" s="14" t="s">
        <v>2609</v>
      </c>
    </row>
    <row r="151">
      <c r="A151" s="8" t="s">
        <v>4062</v>
      </c>
      <c r="B151" s="8" t="s">
        <v>65</v>
      </c>
      <c r="C151" s="14" t="s">
        <v>1679</v>
      </c>
      <c r="D151" s="8" t="s">
        <v>2572</v>
      </c>
      <c r="E151" s="14" t="s">
        <v>2594</v>
      </c>
    </row>
    <row r="152">
      <c r="A152" s="8" t="s">
        <v>4063</v>
      </c>
      <c r="B152" s="8" t="s">
        <v>93</v>
      </c>
      <c r="C152" s="14" t="s">
        <v>1070</v>
      </c>
      <c r="D152" s="8" t="s">
        <v>2560</v>
      </c>
      <c r="E152" s="14" t="s">
        <v>2594</v>
      </c>
    </row>
    <row r="153">
      <c r="A153" s="8" t="s">
        <v>4064</v>
      </c>
      <c r="B153" s="8" t="s">
        <v>93</v>
      </c>
      <c r="C153" s="14" t="s">
        <v>1679</v>
      </c>
      <c r="D153" s="8" t="s">
        <v>2577</v>
      </c>
      <c r="E153" s="14" t="s">
        <v>2573</v>
      </c>
    </row>
    <row r="154">
      <c r="A154" s="8" t="s">
        <v>4065</v>
      </c>
      <c r="B154" s="8" t="s">
        <v>65</v>
      </c>
      <c r="C154" s="14" t="s">
        <v>2296</v>
      </c>
      <c r="D154" s="8" t="s">
        <v>2610</v>
      </c>
      <c r="E154" s="14" t="s">
        <v>2557</v>
      </c>
    </row>
    <row r="155">
      <c r="A155" s="8" t="s">
        <v>4066</v>
      </c>
      <c r="B155" s="8" t="s">
        <v>132</v>
      </c>
      <c r="C155" s="14" t="s">
        <v>837</v>
      </c>
      <c r="D155" s="8" t="s">
        <v>2593</v>
      </c>
      <c r="E155" s="14" t="s">
        <v>2599</v>
      </c>
    </row>
    <row r="156">
      <c r="A156" s="8" t="s">
        <v>4067</v>
      </c>
      <c r="B156" s="8" t="s">
        <v>138</v>
      </c>
      <c r="C156" s="14" t="s">
        <v>2296</v>
      </c>
      <c r="D156" s="8" t="s">
        <v>2554</v>
      </c>
      <c r="E156" s="14" t="s">
        <v>2563</v>
      </c>
    </row>
    <row r="157">
      <c r="A157" s="8" t="s">
        <v>4068</v>
      </c>
      <c r="B157" s="8" t="s">
        <v>186</v>
      </c>
      <c r="C157" s="14" t="s">
        <v>1352</v>
      </c>
      <c r="D157" s="8" t="s">
        <v>2603</v>
      </c>
      <c r="E157" s="14" t="s">
        <v>2568</v>
      </c>
    </row>
    <row r="158">
      <c r="A158" s="8" t="s">
        <v>4069</v>
      </c>
      <c r="B158" s="8" t="s">
        <v>65</v>
      </c>
      <c r="C158" s="14" t="s">
        <v>1352</v>
      </c>
      <c r="D158" s="8" t="s">
        <v>2595</v>
      </c>
      <c r="E158" s="14" t="s">
        <v>2622</v>
      </c>
    </row>
    <row r="159">
      <c r="A159" s="8" t="s">
        <v>4070</v>
      </c>
      <c r="B159" s="8" t="s">
        <v>132</v>
      </c>
      <c r="C159" s="14" t="s">
        <v>2033</v>
      </c>
      <c r="D159" s="8" t="s">
        <v>2615</v>
      </c>
      <c r="E159" s="14" t="s">
        <v>2591</v>
      </c>
    </row>
    <row r="160">
      <c r="A160" s="8" t="s">
        <v>4071</v>
      </c>
      <c r="B160" s="8" t="s">
        <v>24</v>
      </c>
      <c r="C160" s="14" t="s">
        <v>2459</v>
      </c>
      <c r="D160" s="8" t="s">
        <v>2552</v>
      </c>
      <c r="E160" s="14" t="s">
        <v>27</v>
      </c>
    </row>
    <row r="161">
      <c r="A161" s="8" t="s">
        <v>4072</v>
      </c>
      <c r="B161" s="8" t="s">
        <v>70</v>
      </c>
      <c r="C161" s="14" t="s">
        <v>1679</v>
      </c>
      <c r="D161" s="8" t="s">
        <v>2572</v>
      </c>
      <c r="E161" s="14" t="s">
        <v>2588</v>
      </c>
    </row>
    <row r="162">
      <c r="A162" s="8" t="s">
        <v>4073</v>
      </c>
      <c r="B162" s="8" t="s">
        <v>24</v>
      </c>
      <c r="C162" s="14" t="s">
        <v>1679</v>
      </c>
      <c r="D162" s="8" t="s">
        <v>2598</v>
      </c>
      <c r="E162" s="14" t="s">
        <v>2625</v>
      </c>
    </row>
    <row r="163">
      <c r="A163" s="8" t="s">
        <v>4074</v>
      </c>
      <c r="B163" s="8" t="s">
        <v>122</v>
      </c>
      <c r="C163" s="14" t="s">
        <v>1352</v>
      </c>
      <c r="D163" s="8" t="s">
        <v>2621</v>
      </c>
      <c r="E163" s="14" t="s">
        <v>2622</v>
      </c>
    </row>
    <row r="164">
      <c r="A164" s="8" t="s">
        <v>4075</v>
      </c>
      <c r="B164" s="8" t="s">
        <v>149</v>
      </c>
      <c r="C164" s="14" t="s">
        <v>631</v>
      </c>
      <c r="D164" s="8" t="s">
        <v>2621</v>
      </c>
      <c r="E164" s="14" t="s">
        <v>2609</v>
      </c>
    </row>
    <row r="165">
      <c r="A165" s="8" t="s">
        <v>4076</v>
      </c>
      <c r="B165" s="8" t="s">
        <v>65</v>
      </c>
      <c r="C165" s="14" t="s">
        <v>2033</v>
      </c>
      <c r="D165" s="8" t="s">
        <v>2593</v>
      </c>
      <c r="E165" s="14" t="s">
        <v>2579</v>
      </c>
    </row>
    <row r="166">
      <c r="A166" s="8" t="s">
        <v>4077</v>
      </c>
      <c r="B166" s="8" t="s">
        <v>141</v>
      </c>
      <c r="C166" s="14" t="s">
        <v>837</v>
      </c>
      <c r="D166" s="8" t="s">
        <v>2183</v>
      </c>
      <c r="E166" s="14" t="s">
        <v>2580</v>
      </c>
    </row>
    <row r="167">
      <c r="A167" s="8" t="s">
        <v>4078</v>
      </c>
      <c r="B167" s="8" t="s">
        <v>75</v>
      </c>
      <c r="C167" s="14" t="s">
        <v>2033</v>
      </c>
      <c r="D167" s="8" t="s">
        <v>2620</v>
      </c>
      <c r="E167" s="14" t="s">
        <v>2612</v>
      </c>
    </row>
    <row r="168">
      <c r="A168" s="8" t="s">
        <v>4079</v>
      </c>
      <c r="B168" s="8" t="s">
        <v>12</v>
      </c>
      <c r="C168" s="14" t="s">
        <v>2296</v>
      </c>
      <c r="D168" s="8" t="s">
        <v>2615</v>
      </c>
      <c r="E168" s="14" t="s">
        <v>2563</v>
      </c>
    </row>
    <row r="169">
      <c r="A169" s="8" t="s">
        <v>4080</v>
      </c>
      <c r="B169" s="8" t="s">
        <v>59</v>
      </c>
      <c r="C169" s="14" t="s">
        <v>1679</v>
      </c>
      <c r="D169" s="8" t="s">
        <v>2566</v>
      </c>
      <c r="E169" s="14" t="s">
        <v>2568</v>
      </c>
    </row>
    <row r="170">
      <c r="A170" s="8" t="s">
        <v>4081</v>
      </c>
      <c r="B170" s="8" t="s">
        <v>186</v>
      </c>
      <c r="C170" s="14" t="s">
        <v>837</v>
      </c>
      <c r="D170" s="8" t="s">
        <v>2560</v>
      </c>
      <c r="E170" s="14" t="s">
        <v>2625</v>
      </c>
    </row>
    <row r="171">
      <c r="A171" s="8" t="s">
        <v>4082</v>
      </c>
      <c r="B171" s="8" t="s">
        <v>46</v>
      </c>
      <c r="C171" s="14" t="s">
        <v>1070</v>
      </c>
      <c r="D171" s="8" t="s">
        <v>2552</v>
      </c>
      <c r="E171" s="14" t="s">
        <v>2583</v>
      </c>
    </row>
    <row r="172">
      <c r="A172" s="8" t="s">
        <v>4083</v>
      </c>
      <c r="B172" s="8" t="s">
        <v>93</v>
      </c>
      <c r="C172" s="14" t="s">
        <v>2033</v>
      </c>
      <c r="D172" s="8" t="s">
        <v>2564</v>
      </c>
      <c r="E172" s="14" t="s">
        <v>2586</v>
      </c>
    </row>
    <row r="173">
      <c r="A173" s="8" t="s">
        <v>6305</v>
      </c>
      <c r="B173" s="8" t="s">
        <v>75</v>
      </c>
      <c r="C173" s="14" t="s">
        <v>837</v>
      </c>
      <c r="D173" s="8" t="s">
        <v>2577</v>
      </c>
      <c r="E173" s="14" t="s">
        <v>2622</v>
      </c>
    </row>
    <row r="174">
      <c r="A174" s="8" t="s">
        <v>6306</v>
      </c>
      <c r="B174" s="8" t="s">
        <v>186</v>
      </c>
      <c r="C174" s="14" t="s">
        <v>1070</v>
      </c>
      <c r="D174" s="8" t="s">
        <v>2566</v>
      </c>
      <c r="E174" s="14" t="s">
        <v>2565</v>
      </c>
    </row>
    <row r="175">
      <c r="A175" s="8" t="s">
        <v>6307</v>
      </c>
      <c r="B175" s="8" t="s">
        <v>215</v>
      </c>
      <c r="C175" s="14" t="s">
        <v>2033</v>
      </c>
      <c r="D175" s="8" t="s">
        <v>2566</v>
      </c>
      <c r="E175" s="14" t="s">
        <v>2553</v>
      </c>
    </row>
    <row r="176">
      <c r="A176" s="8" t="s">
        <v>6308</v>
      </c>
      <c r="B176" s="8" t="s">
        <v>93</v>
      </c>
      <c r="C176" s="14" t="s">
        <v>459</v>
      </c>
      <c r="D176" s="8" t="s">
        <v>2610</v>
      </c>
      <c r="E176" s="14" t="s">
        <v>2622</v>
      </c>
    </row>
    <row r="177">
      <c r="A177" s="8" t="s">
        <v>4088</v>
      </c>
      <c r="B177" s="8" t="s">
        <v>16</v>
      </c>
      <c r="C177" s="14" t="s">
        <v>1679</v>
      </c>
      <c r="D177" s="8" t="s">
        <v>2615</v>
      </c>
      <c r="E177" s="14" t="s">
        <v>2578</v>
      </c>
    </row>
    <row r="178">
      <c r="A178" s="8" t="s">
        <v>4089</v>
      </c>
      <c r="B178" s="8" t="s">
        <v>53</v>
      </c>
      <c r="C178" s="14" t="s">
        <v>631</v>
      </c>
      <c r="D178" s="8" t="s">
        <v>2603</v>
      </c>
      <c r="E178" s="14" t="s">
        <v>2553</v>
      </c>
    </row>
    <row r="179">
      <c r="A179" s="8" t="s">
        <v>4090</v>
      </c>
      <c r="B179" s="8" t="s">
        <v>93</v>
      </c>
      <c r="C179" s="14" t="s">
        <v>837</v>
      </c>
      <c r="D179" s="8" t="s">
        <v>2183</v>
      </c>
      <c r="E179" s="14" t="s">
        <v>2553</v>
      </c>
    </row>
    <row r="180">
      <c r="A180" s="8" t="s">
        <v>4091</v>
      </c>
      <c r="B180" s="8" t="s">
        <v>215</v>
      </c>
      <c r="C180" s="14" t="s">
        <v>837</v>
      </c>
      <c r="D180" s="8" t="s">
        <v>2592</v>
      </c>
      <c r="E180" s="14" t="s">
        <v>2591</v>
      </c>
    </row>
    <row r="181">
      <c r="A181" s="8" t="s">
        <v>4092</v>
      </c>
      <c r="B181" s="8" t="s">
        <v>132</v>
      </c>
      <c r="C181" s="14" t="s">
        <v>2033</v>
      </c>
      <c r="D181" s="8" t="s">
        <v>2554</v>
      </c>
      <c r="E181" s="14" t="s">
        <v>2609</v>
      </c>
    </row>
    <row r="182">
      <c r="A182" s="8" t="s">
        <v>4093</v>
      </c>
      <c r="B182" s="8" t="s">
        <v>24</v>
      </c>
      <c r="C182" s="14" t="s">
        <v>459</v>
      </c>
      <c r="D182" s="8" t="s">
        <v>2621</v>
      </c>
      <c r="E182" s="14" t="s">
        <v>2631</v>
      </c>
    </row>
    <row r="183">
      <c r="A183" s="8" t="s">
        <v>4094</v>
      </c>
      <c r="B183" s="8" t="s">
        <v>138</v>
      </c>
      <c r="C183" s="14" t="s">
        <v>2033</v>
      </c>
      <c r="D183" s="8" t="s">
        <v>2567</v>
      </c>
      <c r="E183" s="14" t="s">
        <v>2557</v>
      </c>
    </row>
    <row r="184">
      <c r="A184" s="8" t="s">
        <v>4095</v>
      </c>
      <c r="B184" s="8" t="s">
        <v>132</v>
      </c>
      <c r="C184" s="14" t="s">
        <v>1352</v>
      </c>
      <c r="D184" s="8" t="s">
        <v>2560</v>
      </c>
      <c r="E184" s="14" t="s">
        <v>2628</v>
      </c>
    </row>
    <row r="185">
      <c r="A185" s="8" t="s">
        <v>4096</v>
      </c>
      <c r="B185" s="8" t="s">
        <v>24</v>
      </c>
      <c r="C185" s="14" t="s">
        <v>1352</v>
      </c>
      <c r="D185" s="8" t="s">
        <v>2605</v>
      </c>
      <c r="E185" s="14" t="s">
        <v>2622</v>
      </c>
    </row>
    <row r="186">
      <c r="A186" s="8" t="s">
        <v>4098</v>
      </c>
      <c r="B186" s="8" t="s">
        <v>186</v>
      </c>
      <c r="C186" s="14" t="s">
        <v>2459</v>
      </c>
      <c r="D186" s="8" t="s">
        <v>2603</v>
      </c>
      <c r="E186" s="14" t="s">
        <v>2557</v>
      </c>
    </row>
    <row r="187">
      <c r="A187" s="8" t="s">
        <v>4099</v>
      </c>
      <c r="B187" s="8" t="s">
        <v>75</v>
      </c>
      <c r="C187" s="14" t="s">
        <v>237</v>
      </c>
      <c r="D187" s="8" t="s">
        <v>2585</v>
      </c>
      <c r="E187" s="14" t="s">
        <v>2579</v>
      </c>
    </row>
    <row r="188">
      <c r="A188" s="8" t="s">
        <v>4100</v>
      </c>
      <c r="B188" s="8" t="s">
        <v>59</v>
      </c>
      <c r="C188" s="14" t="s">
        <v>1679</v>
      </c>
      <c r="D188" s="8" t="s">
        <v>2552</v>
      </c>
      <c r="E188" s="14" t="s">
        <v>2553</v>
      </c>
    </row>
    <row r="189">
      <c r="A189" s="8" t="s">
        <v>4101</v>
      </c>
      <c r="B189" s="8" t="s">
        <v>141</v>
      </c>
      <c r="C189" s="14" t="s">
        <v>338</v>
      </c>
      <c r="D189" s="8" t="s">
        <v>2621</v>
      </c>
      <c r="E189" s="14" t="s">
        <v>2586</v>
      </c>
    </row>
    <row r="190">
      <c r="A190" s="8" t="s">
        <v>4102</v>
      </c>
      <c r="B190" s="8" t="s">
        <v>24</v>
      </c>
      <c r="C190" s="14" t="s">
        <v>1070</v>
      </c>
      <c r="D190" s="8" t="s">
        <v>2584</v>
      </c>
      <c r="E190" s="14" t="s">
        <v>2591</v>
      </c>
    </row>
    <row r="191">
      <c r="A191" s="8" t="s">
        <v>4103</v>
      </c>
      <c r="B191" s="8" t="s">
        <v>186</v>
      </c>
      <c r="C191" s="14" t="s">
        <v>1679</v>
      </c>
      <c r="D191" s="8" t="s">
        <v>2183</v>
      </c>
      <c r="E191" s="14" t="s">
        <v>2609</v>
      </c>
    </row>
    <row r="192">
      <c r="A192" s="8" t="s">
        <v>4104</v>
      </c>
      <c r="B192" s="8" t="s">
        <v>75</v>
      </c>
      <c r="C192" s="14" t="s">
        <v>2296</v>
      </c>
      <c r="D192" s="8" t="s">
        <v>2575</v>
      </c>
      <c r="E192" s="14" t="s">
        <v>2583</v>
      </c>
    </row>
    <row r="193">
      <c r="A193" s="8" t="s">
        <v>4105</v>
      </c>
      <c r="B193" s="8" t="s">
        <v>16</v>
      </c>
      <c r="C193" s="14" t="s">
        <v>39</v>
      </c>
      <c r="D193" s="8" t="s">
        <v>2577</v>
      </c>
      <c r="E193" s="14" t="s">
        <v>2625</v>
      </c>
    </row>
    <row r="194">
      <c r="A194" s="8" t="s">
        <v>4106</v>
      </c>
      <c r="B194" s="8" t="s">
        <v>186</v>
      </c>
      <c r="C194" s="14" t="s">
        <v>1070</v>
      </c>
      <c r="D194" s="8" t="s">
        <v>2562</v>
      </c>
      <c r="E194" s="14" t="s">
        <v>2578</v>
      </c>
    </row>
    <row r="195">
      <c r="A195" s="8" t="s">
        <v>4107</v>
      </c>
      <c r="B195" s="8" t="s">
        <v>24</v>
      </c>
      <c r="C195" s="14" t="s">
        <v>27</v>
      </c>
      <c r="D195" s="8" t="s">
        <v>2600</v>
      </c>
      <c r="E195" s="14" t="s">
        <v>2588</v>
      </c>
    </row>
    <row r="196">
      <c r="A196" s="8" t="s">
        <v>4108</v>
      </c>
      <c r="B196" s="8" t="s">
        <v>80</v>
      </c>
      <c r="C196" s="14" t="s">
        <v>837</v>
      </c>
      <c r="D196" s="8" t="s">
        <v>2575</v>
      </c>
      <c r="E196" s="14" t="s">
        <v>2594</v>
      </c>
    </row>
    <row r="197">
      <c r="A197" s="8" t="s">
        <v>4109</v>
      </c>
      <c r="B197" s="8" t="s">
        <v>65</v>
      </c>
      <c r="C197" s="14" t="s">
        <v>631</v>
      </c>
      <c r="D197" s="8" t="s">
        <v>2566</v>
      </c>
      <c r="E197" s="14" t="s">
        <v>2573</v>
      </c>
    </row>
    <row r="198">
      <c r="A198" s="8" t="s">
        <v>4110</v>
      </c>
      <c r="B198" s="8" t="s">
        <v>70</v>
      </c>
      <c r="C198" s="14" t="s">
        <v>459</v>
      </c>
      <c r="D198" s="8" t="s">
        <v>2584</v>
      </c>
      <c r="E198" s="14" t="s">
        <v>2568</v>
      </c>
    </row>
    <row r="199">
      <c r="A199" s="8" t="s">
        <v>4111</v>
      </c>
      <c r="B199" s="8" t="s">
        <v>70</v>
      </c>
      <c r="C199" s="14" t="s">
        <v>2459</v>
      </c>
      <c r="D199" s="8" t="s">
        <v>2577</v>
      </c>
      <c r="E199" s="14" t="s">
        <v>2557</v>
      </c>
    </row>
    <row r="200">
      <c r="A200" s="8" t="s">
        <v>4112</v>
      </c>
      <c r="B200" s="8" t="s">
        <v>138</v>
      </c>
      <c r="C200" s="14" t="s">
        <v>631</v>
      </c>
      <c r="D200" s="8" t="s">
        <v>6304</v>
      </c>
      <c r="E200" s="14" t="s">
        <v>2602</v>
      </c>
    </row>
    <row r="201">
      <c r="A201" s="8" t="s">
        <v>4113</v>
      </c>
      <c r="B201" s="8" t="s">
        <v>138</v>
      </c>
      <c r="C201" s="14" t="s">
        <v>2296</v>
      </c>
      <c r="D201" s="8" t="s">
        <v>2605</v>
      </c>
      <c r="E201" s="14" t="s">
        <v>2553</v>
      </c>
    </row>
    <row r="202">
      <c r="A202" s="8" t="s">
        <v>4114</v>
      </c>
      <c r="B202" s="8" t="s">
        <v>24</v>
      </c>
      <c r="C202" s="14" t="s">
        <v>1070</v>
      </c>
      <c r="D202" s="8" t="s">
        <v>2567</v>
      </c>
      <c r="E202" s="14" t="s">
        <v>2563</v>
      </c>
    </row>
    <row r="203">
      <c r="A203" s="8" t="s">
        <v>4115</v>
      </c>
      <c r="B203" s="8" t="s">
        <v>141</v>
      </c>
      <c r="C203" s="14" t="s">
        <v>1679</v>
      </c>
      <c r="D203" s="8" t="s">
        <v>2610</v>
      </c>
      <c r="E203" s="14" t="s">
        <v>2573</v>
      </c>
    </row>
    <row r="204">
      <c r="A204" s="8" t="s">
        <v>4116</v>
      </c>
      <c r="B204" s="8" t="s">
        <v>75</v>
      </c>
      <c r="C204" s="14" t="s">
        <v>837</v>
      </c>
      <c r="D204" s="8" t="s">
        <v>2558</v>
      </c>
      <c r="E204" s="14" t="s">
        <v>2555</v>
      </c>
    </row>
    <row r="205">
      <c r="A205" s="8" t="s">
        <v>4117</v>
      </c>
      <c r="B205" s="8" t="s">
        <v>16</v>
      </c>
      <c r="C205" s="14" t="s">
        <v>459</v>
      </c>
      <c r="D205" s="8" t="s">
        <v>2592</v>
      </c>
      <c r="E205" s="14" t="s">
        <v>2594</v>
      </c>
    </row>
    <row r="206">
      <c r="A206" s="8" t="s">
        <v>4118</v>
      </c>
      <c r="B206" s="8" t="s">
        <v>24</v>
      </c>
      <c r="C206" s="14" t="s">
        <v>631</v>
      </c>
      <c r="D206" s="8" t="s">
        <v>2183</v>
      </c>
      <c r="E206" s="14" t="s">
        <v>2583</v>
      </c>
    </row>
    <row r="207">
      <c r="A207" s="8" t="s">
        <v>4119</v>
      </c>
      <c r="B207" s="8" t="s">
        <v>16</v>
      </c>
      <c r="C207" s="14" t="s">
        <v>837</v>
      </c>
      <c r="D207" s="8" t="s">
        <v>2593</v>
      </c>
      <c r="E207" s="14" t="s">
        <v>2557</v>
      </c>
    </row>
    <row r="208">
      <c r="A208" s="8" t="s">
        <v>4120</v>
      </c>
      <c r="B208" s="8" t="s">
        <v>186</v>
      </c>
      <c r="C208" s="14" t="s">
        <v>2033</v>
      </c>
      <c r="D208" s="8" t="s">
        <v>2560</v>
      </c>
      <c r="E208" s="14" t="s">
        <v>2622</v>
      </c>
    </row>
    <row r="209">
      <c r="A209" s="8" t="s">
        <v>4121</v>
      </c>
      <c r="B209" s="8" t="s">
        <v>192</v>
      </c>
      <c r="C209" s="14" t="s">
        <v>1070</v>
      </c>
      <c r="D209" s="8" t="s">
        <v>2564</v>
      </c>
      <c r="E209" s="14" t="s">
        <v>2568</v>
      </c>
    </row>
    <row r="210">
      <c r="A210" s="8" t="s">
        <v>4122</v>
      </c>
      <c r="B210" s="8" t="s">
        <v>65</v>
      </c>
      <c r="C210" s="14" t="s">
        <v>1352</v>
      </c>
      <c r="D210" s="8" t="s">
        <v>2615</v>
      </c>
      <c r="E210" s="14" t="s">
        <v>2580</v>
      </c>
    </row>
    <row r="211">
      <c r="A211" s="8" t="s">
        <v>4123</v>
      </c>
      <c r="B211" s="8" t="s">
        <v>24</v>
      </c>
      <c r="C211" s="14" t="s">
        <v>1352</v>
      </c>
      <c r="D211" s="8" t="s">
        <v>2614</v>
      </c>
      <c r="E211" s="14" t="s">
        <v>2602</v>
      </c>
    </row>
    <row r="212">
      <c r="A212" s="8" t="s">
        <v>4124</v>
      </c>
      <c r="B212" s="8" t="s">
        <v>186</v>
      </c>
      <c r="C212" s="14" t="s">
        <v>1352</v>
      </c>
      <c r="D212" s="8" t="s">
        <v>2558</v>
      </c>
      <c r="E212" s="14" t="s">
        <v>2588</v>
      </c>
    </row>
    <row r="213">
      <c r="A213" s="8" t="s">
        <v>4125</v>
      </c>
      <c r="B213" s="8" t="s">
        <v>93</v>
      </c>
      <c r="C213" s="14" t="s">
        <v>2033</v>
      </c>
      <c r="D213" s="8" t="s">
        <v>2560</v>
      </c>
      <c r="E213" s="14" t="s">
        <v>2576</v>
      </c>
    </row>
    <row r="214">
      <c r="A214" s="8" t="s">
        <v>4126</v>
      </c>
      <c r="B214" s="8" t="s">
        <v>93</v>
      </c>
      <c r="C214" s="14" t="s">
        <v>459</v>
      </c>
      <c r="D214" s="8" t="s">
        <v>2598</v>
      </c>
      <c r="E214" s="14" t="s">
        <v>2576</v>
      </c>
    </row>
    <row r="215">
      <c r="A215" s="8" t="s">
        <v>4127</v>
      </c>
      <c r="B215" s="8" t="s">
        <v>70</v>
      </c>
      <c r="C215" s="14" t="s">
        <v>2296</v>
      </c>
      <c r="D215" s="8" t="s">
        <v>2603</v>
      </c>
      <c r="E215" s="14" t="s">
        <v>2576</v>
      </c>
    </row>
    <row r="216">
      <c r="A216" s="8" t="s">
        <v>4128</v>
      </c>
      <c r="B216" s="8" t="s">
        <v>46</v>
      </c>
      <c r="C216" s="14" t="s">
        <v>2296</v>
      </c>
      <c r="D216" s="8" t="s">
        <v>2593</v>
      </c>
      <c r="E216" s="14" t="s">
        <v>2583</v>
      </c>
    </row>
    <row r="217">
      <c r="A217" s="8" t="s">
        <v>4129</v>
      </c>
      <c r="B217" s="8" t="s">
        <v>149</v>
      </c>
      <c r="C217" s="14" t="s">
        <v>1352</v>
      </c>
      <c r="D217" s="8" t="s">
        <v>2610</v>
      </c>
      <c r="E217" s="14" t="s">
        <v>2583</v>
      </c>
    </row>
    <row r="218">
      <c r="A218" s="8" t="s">
        <v>4130</v>
      </c>
      <c r="B218" s="8" t="s">
        <v>149</v>
      </c>
      <c r="C218" s="14" t="s">
        <v>338</v>
      </c>
      <c r="D218" s="8" t="s">
        <v>2605</v>
      </c>
      <c r="E218" s="14" t="s">
        <v>2601</v>
      </c>
    </row>
    <row r="219">
      <c r="A219" s="8" t="s">
        <v>4131</v>
      </c>
      <c r="B219" s="8" t="s">
        <v>93</v>
      </c>
      <c r="C219" s="14" t="s">
        <v>1070</v>
      </c>
      <c r="D219" s="8" t="s">
        <v>2581</v>
      </c>
      <c r="E219" s="14" t="s">
        <v>2571</v>
      </c>
    </row>
    <row r="220">
      <c r="A220" s="8" t="s">
        <v>4132</v>
      </c>
      <c r="B220" s="8" t="s">
        <v>186</v>
      </c>
      <c r="C220" s="14" t="s">
        <v>2033</v>
      </c>
      <c r="D220" s="8" t="s">
        <v>2567</v>
      </c>
      <c r="E220" s="14" t="s">
        <v>2563</v>
      </c>
    </row>
    <row r="221">
      <c r="A221" s="8" t="s">
        <v>4133</v>
      </c>
      <c r="B221" s="8" t="s">
        <v>186</v>
      </c>
      <c r="C221" s="14" t="s">
        <v>459</v>
      </c>
      <c r="D221" s="8" t="s">
        <v>2603</v>
      </c>
      <c r="E221" s="14" t="s">
        <v>2635</v>
      </c>
    </row>
    <row r="222">
      <c r="A222" s="8" t="s">
        <v>4134</v>
      </c>
      <c r="B222" s="8" t="s">
        <v>65</v>
      </c>
      <c r="C222" s="14" t="s">
        <v>1679</v>
      </c>
      <c r="D222" s="8" t="s">
        <v>2592</v>
      </c>
      <c r="E222" s="14" t="s">
        <v>2555</v>
      </c>
    </row>
    <row r="223">
      <c r="A223" s="8" t="s">
        <v>4135</v>
      </c>
      <c r="B223" s="8" t="s">
        <v>70</v>
      </c>
      <c r="C223" s="14" t="s">
        <v>2033</v>
      </c>
      <c r="D223" s="8" t="s">
        <v>2183</v>
      </c>
      <c r="E223" s="14" t="s">
        <v>2555</v>
      </c>
    </row>
    <row r="224">
      <c r="A224" s="8" t="s">
        <v>4136</v>
      </c>
      <c r="B224" s="8" t="s">
        <v>70</v>
      </c>
      <c r="C224" s="14" t="s">
        <v>1679</v>
      </c>
      <c r="D224" s="8" t="s">
        <v>2564</v>
      </c>
      <c r="E224" s="14" t="s">
        <v>2622</v>
      </c>
    </row>
    <row r="225">
      <c r="A225" s="8" t="s">
        <v>4137</v>
      </c>
      <c r="B225" s="8" t="s">
        <v>149</v>
      </c>
      <c r="C225" s="14" t="s">
        <v>1352</v>
      </c>
      <c r="D225" s="8" t="s">
        <v>2615</v>
      </c>
      <c r="E225" s="14" t="s">
        <v>2606</v>
      </c>
    </row>
    <row r="226">
      <c r="A226" s="8" t="s">
        <v>4138</v>
      </c>
      <c r="B226" s="8" t="s">
        <v>149</v>
      </c>
      <c r="C226" s="14" t="s">
        <v>2033</v>
      </c>
      <c r="D226" s="8" t="s">
        <v>2567</v>
      </c>
      <c r="E226" s="14" t="s">
        <v>2599</v>
      </c>
    </row>
    <row r="227">
      <c r="A227" s="8" t="s">
        <v>4139</v>
      </c>
      <c r="B227" s="8" t="s">
        <v>141</v>
      </c>
      <c r="C227" s="14" t="s">
        <v>1679</v>
      </c>
      <c r="D227" s="8" t="s">
        <v>2575</v>
      </c>
      <c r="E227" s="14" t="s">
        <v>2555</v>
      </c>
    </row>
    <row r="228">
      <c r="A228" s="8" t="s">
        <v>4140</v>
      </c>
      <c r="B228" s="8" t="s">
        <v>59</v>
      </c>
      <c r="C228" s="14" t="s">
        <v>2033</v>
      </c>
      <c r="D228" s="8" t="s">
        <v>2620</v>
      </c>
      <c r="E228" s="14" t="s">
        <v>2607</v>
      </c>
    </row>
    <row r="229">
      <c r="A229" s="8" t="s">
        <v>4141</v>
      </c>
      <c r="B229" s="8" t="s">
        <v>80</v>
      </c>
      <c r="C229" s="14" t="s">
        <v>631</v>
      </c>
      <c r="D229" s="8" t="s">
        <v>2603</v>
      </c>
      <c r="E229" s="14" t="s">
        <v>2608</v>
      </c>
    </row>
    <row r="230">
      <c r="A230" s="8" t="s">
        <v>4142</v>
      </c>
      <c r="B230" s="8" t="s">
        <v>38</v>
      </c>
      <c r="C230" s="14" t="s">
        <v>1352</v>
      </c>
      <c r="D230" s="8" t="s">
        <v>2592</v>
      </c>
      <c r="E230" s="14" t="s">
        <v>2571</v>
      </c>
    </row>
    <row r="231">
      <c r="A231" s="8" t="s">
        <v>4143</v>
      </c>
      <c r="B231" s="8" t="s">
        <v>93</v>
      </c>
      <c r="C231" s="14" t="s">
        <v>837</v>
      </c>
      <c r="D231" s="8" t="s">
        <v>2562</v>
      </c>
      <c r="E231" s="14" t="s">
        <v>2586</v>
      </c>
    </row>
    <row r="232">
      <c r="A232" s="8" t="s">
        <v>4144</v>
      </c>
      <c r="B232" s="8" t="s">
        <v>24</v>
      </c>
      <c r="C232" s="14" t="s">
        <v>338</v>
      </c>
      <c r="D232" s="8" t="s">
        <v>2605</v>
      </c>
      <c r="E232" s="14" t="s">
        <v>2563</v>
      </c>
    </row>
    <row r="233">
      <c r="A233" s="8" t="s">
        <v>4145</v>
      </c>
      <c r="B233" s="8" t="s">
        <v>215</v>
      </c>
      <c r="C233" s="14" t="s">
        <v>1070</v>
      </c>
      <c r="D233" s="8" t="s">
        <v>2603</v>
      </c>
      <c r="E233" s="14" t="s">
        <v>2583</v>
      </c>
    </row>
    <row r="234">
      <c r="A234" s="8" t="s">
        <v>4146</v>
      </c>
      <c r="B234" s="8" t="s">
        <v>65</v>
      </c>
      <c r="C234" s="14" t="s">
        <v>1352</v>
      </c>
      <c r="D234" s="8" t="s">
        <v>2593</v>
      </c>
      <c r="E234" s="14" t="s">
        <v>2604</v>
      </c>
    </row>
    <row r="235">
      <c r="A235" s="8" t="s">
        <v>4147</v>
      </c>
      <c r="B235" s="8" t="s">
        <v>16</v>
      </c>
      <c r="C235" s="14" t="s">
        <v>1070</v>
      </c>
      <c r="D235" s="8" t="s">
        <v>2593</v>
      </c>
      <c r="E235" s="14" t="s">
        <v>13</v>
      </c>
    </row>
    <row r="236">
      <c r="A236" s="8" t="s">
        <v>4148</v>
      </c>
      <c r="B236" s="8" t="s">
        <v>70</v>
      </c>
      <c r="C236" s="14" t="s">
        <v>459</v>
      </c>
      <c r="D236" s="8" t="s">
        <v>2600</v>
      </c>
      <c r="E236" s="14" t="s">
        <v>2568</v>
      </c>
    </row>
    <row r="237">
      <c r="A237" s="8" t="s">
        <v>4149</v>
      </c>
      <c r="B237" s="8" t="s">
        <v>132</v>
      </c>
      <c r="C237" s="14" t="s">
        <v>338</v>
      </c>
      <c r="D237" s="8" t="s">
        <v>2564</v>
      </c>
      <c r="E237" s="14" t="s">
        <v>2561</v>
      </c>
    </row>
    <row r="238">
      <c r="A238" s="8" t="s">
        <v>4150</v>
      </c>
      <c r="B238" s="8" t="s">
        <v>192</v>
      </c>
      <c r="C238" s="14" t="s">
        <v>2033</v>
      </c>
      <c r="D238" s="8" t="s">
        <v>2560</v>
      </c>
      <c r="E238" s="14" t="s">
        <v>2570</v>
      </c>
    </row>
    <row r="239">
      <c r="A239" s="8" t="s">
        <v>4151</v>
      </c>
      <c r="B239" s="8" t="s">
        <v>93</v>
      </c>
      <c r="C239" s="14" t="s">
        <v>135</v>
      </c>
      <c r="D239" s="8" t="s">
        <v>2575</v>
      </c>
      <c r="E239" s="14" t="s">
        <v>2599</v>
      </c>
    </row>
    <row r="240">
      <c r="A240" s="8" t="s">
        <v>4152</v>
      </c>
      <c r="B240" s="8" t="s">
        <v>186</v>
      </c>
      <c r="C240" s="14" t="s">
        <v>1352</v>
      </c>
      <c r="D240" s="8" t="s">
        <v>2574</v>
      </c>
      <c r="E240" s="14" t="s">
        <v>2609</v>
      </c>
    </row>
    <row r="241">
      <c r="A241" s="8" t="s">
        <v>4153</v>
      </c>
      <c r="B241" s="8" t="s">
        <v>59</v>
      </c>
      <c r="C241" s="14" t="s">
        <v>631</v>
      </c>
      <c r="D241" s="8" t="s">
        <v>2560</v>
      </c>
      <c r="E241" s="14" t="s">
        <v>2565</v>
      </c>
    </row>
    <row r="242">
      <c r="A242" s="8" t="s">
        <v>4154</v>
      </c>
      <c r="B242" s="8" t="s">
        <v>122</v>
      </c>
      <c r="C242" s="14" t="s">
        <v>1070</v>
      </c>
      <c r="D242" s="8" t="s">
        <v>2562</v>
      </c>
      <c r="E242" s="14" t="s">
        <v>2622</v>
      </c>
    </row>
    <row r="243">
      <c r="A243" s="8" t="s">
        <v>4155</v>
      </c>
      <c r="B243" s="8" t="s">
        <v>93</v>
      </c>
      <c r="C243" s="14" t="s">
        <v>1679</v>
      </c>
      <c r="D243" s="8" t="s">
        <v>2572</v>
      </c>
      <c r="E243" s="14" t="s">
        <v>2609</v>
      </c>
    </row>
    <row r="244">
      <c r="A244" s="8" t="s">
        <v>4156</v>
      </c>
      <c r="B244" s="8" t="s">
        <v>215</v>
      </c>
      <c r="C244" s="14" t="s">
        <v>237</v>
      </c>
      <c r="D244" s="8" t="s">
        <v>2564</v>
      </c>
      <c r="E244" s="14" t="s">
        <v>2596</v>
      </c>
    </row>
    <row r="245">
      <c r="A245" s="8" t="s">
        <v>4157</v>
      </c>
      <c r="B245" s="8" t="s">
        <v>53</v>
      </c>
      <c r="C245" s="14" t="s">
        <v>1070</v>
      </c>
      <c r="D245" s="8" t="s">
        <v>2600</v>
      </c>
      <c r="E245" s="14" t="s">
        <v>2609</v>
      </c>
    </row>
    <row r="246">
      <c r="A246" s="8" t="s">
        <v>4158</v>
      </c>
      <c r="B246" s="8" t="s">
        <v>149</v>
      </c>
      <c r="C246" s="14" t="s">
        <v>2296</v>
      </c>
      <c r="D246" s="8" t="s">
        <v>2614</v>
      </c>
      <c r="E246" s="14" t="s">
        <v>2569</v>
      </c>
    </row>
    <row r="247">
      <c r="A247" s="8" t="s">
        <v>4159</v>
      </c>
      <c r="B247" s="8" t="s">
        <v>141</v>
      </c>
      <c r="C247" s="14" t="s">
        <v>837</v>
      </c>
      <c r="D247" s="8" t="s">
        <v>2584</v>
      </c>
      <c r="E247" s="14" t="s">
        <v>2633</v>
      </c>
    </row>
    <row r="248">
      <c r="A248" s="8" t="s">
        <v>4160</v>
      </c>
      <c r="B248" s="8" t="s">
        <v>186</v>
      </c>
      <c r="C248" s="14" t="s">
        <v>459</v>
      </c>
      <c r="D248" s="8" t="s">
        <v>6304</v>
      </c>
      <c r="E248" s="14" t="s">
        <v>2601</v>
      </c>
    </row>
    <row r="249">
      <c r="A249" s="8" t="s">
        <v>4161</v>
      </c>
      <c r="B249" s="8" t="s">
        <v>12</v>
      </c>
      <c r="C249" s="14" t="s">
        <v>631</v>
      </c>
      <c r="D249" s="8" t="s">
        <v>2620</v>
      </c>
      <c r="E249" s="14" t="s">
        <v>2571</v>
      </c>
    </row>
    <row r="250">
      <c r="A250" s="8" t="s">
        <v>4162</v>
      </c>
      <c r="B250" s="8" t="s">
        <v>122</v>
      </c>
      <c r="C250" s="14" t="s">
        <v>108</v>
      </c>
      <c r="D250" s="8" t="s">
        <v>2572</v>
      </c>
      <c r="E250" s="14" t="s">
        <v>2602</v>
      </c>
    </row>
    <row r="251">
      <c r="A251" s="8" t="s">
        <v>4163</v>
      </c>
      <c r="B251" s="8" t="s">
        <v>149</v>
      </c>
      <c r="C251" s="14" t="s">
        <v>2033</v>
      </c>
      <c r="D251" s="8" t="s">
        <v>6304</v>
      </c>
      <c r="E251" s="14" t="s">
        <v>2555</v>
      </c>
    </row>
    <row r="252">
      <c r="A252" s="8" t="s">
        <v>4164</v>
      </c>
      <c r="B252" s="8" t="s">
        <v>65</v>
      </c>
      <c r="C252" s="14" t="s">
        <v>2033</v>
      </c>
      <c r="D252" s="8" t="s">
        <v>2554</v>
      </c>
      <c r="E252" s="14" t="s">
        <v>2555</v>
      </c>
    </row>
    <row r="253">
      <c r="A253" s="8" t="s">
        <v>4165</v>
      </c>
      <c r="B253" s="8" t="s">
        <v>132</v>
      </c>
      <c r="C253" s="14" t="s">
        <v>837</v>
      </c>
      <c r="D253" s="8" t="s">
        <v>2582</v>
      </c>
      <c r="E253" s="14" t="s">
        <v>2604</v>
      </c>
    </row>
    <row r="254">
      <c r="A254" s="8" t="s">
        <v>4166</v>
      </c>
      <c r="B254" s="8" t="s">
        <v>149</v>
      </c>
      <c r="C254" s="14" t="s">
        <v>837</v>
      </c>
      <c r="D254" s="8" t="s">
        <v>2560</v>
      </c>
      <c r="E254" s="14" t="s">
        <v>2591</v>
      </c>
    </row>
    <row r="255">
      <c r="A255" s="8" t="s">
        <v>4167</v>
      </c>
      <c r="B255" s="8" t="s">
        <v>132</v>
      </c>
      <c r="C255" s="14" t="s">
        <v>631</v>
      </c>
      <c r="D255" s="8" t="s">
        <v>2584</v>
      </c>
      <c r="E255" s="14" t="s">
        <v>2576</v>
      </c>
    </row>
    <row r="256">
      <c r="A256" s="8" t="s">
        <v>4168</v>
      </c>
      <c r="B256" s="8" t="s">
        <v>138</v>
      </c>
      <c r="C256" s="14" t="s">
        <v>338</v>
      </c>
      <c r="D256" s="8" t="s">
        <v>2575</v>
      </c>
      <c r="E256" s="14" t="s">
        <v>2633</v>
      </c>
    </row>
    <row r="257">
      <c r="A257" s="8" t="s">
        <v>4168</v>
      </c>
      <c r="B257" s="8" t="s">
        <v>93</v>
      </c>
      <c r="C257" s="14" t="s">
        <v>1070</v>
      </c>
      <c r="D257" s="8" t="s">
        <v>6303</v>
      </c>
      <c r="E257" s="14" t="s">
        <v>2622</v>
      </c>
    </row>
    <row r="258">
      <c r="A258" s="8" t="s">
        <v>4169</v>
      </c>
      <c r="B258" s="8" t="s">
        <v>80</v>
      </c>
      <c r="C258" s="14" t="s">
        <v>1352</v>
      </c>
      <c r="D258" s="8" t="s">
        <v>2610</v>
      </c>
      <c r="E258" s="14" t="s">
        <v>2594</v>
      </c>
    </row>
    <row r="259">
      <c r="A259" s="8" t="s">
        <v>4170</v>
      </c>
      <c r="B259" s="8" t="s">
        <v>65</v>
      </c>
      <c r="C259" s="14" t="s">
        <v>1070</v>
      </c>
      <c r="D259" s="8" t="s">
        <v>2552</v>
      </c>
      <c r="E259" s="14" t="s">
        <v>2555</v>
      </c>
    </row>
    <row r="260">
      <c r="A260" s="8" t="s">
        <v>4171</v>
      </c>
      <c r="B260" s="8" t="s">
        <v>65</v>
      </c>
      <c r="C260" s="14" t="s">
        <v>2033</v>
      </c>
      <c r="D260" s="8" t="s">
        <v>2600</v>
      </c>
      <c r="E260" s="14" t="s">
        <v>2557</v>
      </c>
    </row>
    <row r="261">
      <c r="A261" s="8" t="s">
        <v>4172</v>
      </c>
      <c r="B261" s="8" t="s">
        <v>65</v>
      </c>
      <c r="C261" s="14" t="s">
        <v>1070</v>
      </c>
      <c r="D261" s="8" t="s">
        <v>2564</v>
      </c>
      <c r="E261" s="14" t="s">
        <v>2591</v>
      </c>
    </row>
    <row r="262">
      <c r="A262" s="8" t="s">
        <v>4173</v>
      </c>
      <c r="B262" s="8" t="s">
        <v>215</v>
      </c>
      <c r="C262" s="14" t="s">
        <v>2033</v>
      </c>
      <c r="D262" s="8" t="s">
        <v>2183</v>
      </c>
      <c r="E262" s="14" t="s">
        <v>2565</v>
      </c>
    </row>
    <row r="263">
      <c r="A263" s="8" t="s">
        <v>4174</v>
      </c>
      <c r="B263" s="8" t="s">
        <v>65</v>
      </c>
      <c r="C263" s="14" t="s">
        <v>1679</v>
      </c>
      <c r="D263" s="8" t="s">
        <v>2620</v>
      </c>
      <c r="E263" s="14" t="s">
        <v>2583</v>
      </c>
    </row>
    <row r="264">
      <c r="A264" s="8" t="s">
        <v>4175</v>
      </c>
      <c r="B264" s="8" t="s">
        <v>186</v>
      </c>
      <c r="C264" s="14" t="s">
        <v>1070</v>
      </c>
      <c r="D264" s="8" t="s">
        <v>2562</v>
      </c>
      <c r="E264" s="14" t="s">
        <v>2591</v>
      </c>
    </row>
    <row r="265">
      <c r="A265" s="8" t="s">
        <v>4176</v>
      </c>
      <c r="B265" s="8" t="s">
        <v>46</v>
      </c>
      <c r="C265" s="14" t="s">
        <v>631</v>
      </c>
      <c r="D265" s="8" t="s">
        <v>2560</v>
      </c>
      <c r="E265" s="14" t="s">
        <v>2576</v>
      </c>
    </row>
    <row r="266">
      <c r="A266" s="8" t="s">
        <v>4177</v>
      </c>
      <c r="B266" s="8" t="s">
        <v>138</v>
      </c>
      <c r="C266" s="14" t="s">
        <v>631</v>
      </c>
      <c r="D266" s="8" t="s">
        <v>2621</v>
      </c>
      <c r="E266" s="14" t="s">
        <v>2591</v>
      </c>
    </row>
    <row r="267">
      <c r="A267" s="8" t="s">
        <v>4178</v>
      </c>
      <c r="B267" s="8" t="s">
        <v>93</v>
      </c>
      <c r="C267" s="14" t="s">
        <v>1679</v>
      </c>
      <c r="D267" s="8" t="s">
        <v>2584</v>
      </c>
      <c r="E267" s="14" t="s">
        <v>2570</v>
      </c>
    </row>
    <row r="268">
      <c r="A268" s="8" t="s">
        <v>4179</v>
      </c>
      <c r="B268" s="8" t="s">
        <v>65</v>
      </c>
      <c r="C268" s="14" t="s">
        <v>1352</v>
      </c>
      <c r="D268" s="8" t="s">
        <v>2592</v>
      </c>
      <c r="E268" s="14" t="s">
        <v>2565</v>
      </c>
    </row>
    <row r="269">
      <c r="A269" s="8" t="s">
        <v>4180</v>
      </c>
      <c r="B269" s="8" t="s">
        <v>16</v>
      </c>
      <c r="C269" s="14" t="s">
        <v>1070</v>
      </c>
      <c r="D269" s="8" t="s">
        <v>6303</v>
      </c>
      <c r="E269" s="14" t="s">
        <v>2579</v>
      </c>
    </row>
    <row r="270">
      <c r="A270" s="8" t="s">
        <v>4181</v>
      </c>
      <c r="B270" s="8" t="s">
        <v>141</v>
      </c>
      <c r="C270" s="14" t="s">
        <v>631</v>
      </c>
      <c r="D270" s="8" t="s">
        <v>2552</v>
      </c>
      <c r="E270" s="14" t="s">
        <v>2622</v>
      </c>
    </row>
    <row r="271">
      <c r="A271" s="8" t="s">
        <v>4182</v>
      </c>
      <c r="B271" s="8" t="s">
        <v>38</v>
      </c>
      <c r="C271" s="14" t="s">
        <v>135</v>
      </c>
      <c r="D271" s="8" t="s">
        <v>2621</v>
      </c>
      <c r="E271" s="14" t="s">
        <v>2590</v>
      </c>
    </row>
    <row r="272">
      <c r="A272" s="8" t="s">
        <v>4183</v>
      </c>
      <c r="B272" s="8" t="s">
        <v>12</v>
      </c>
      <c r="C272" s="14" t="s">
        <v>459</v>
      </c>
      <c r="D272" s="8" t="s">
        <v>2614</v>
      </c>
      <c r="E272" s="14" t="s">
        <v>2553</v>
      </c>
    </row>
    <row r="273">
      <c r="A273" s="8" t="s">
        <v>4184</v>
      </c>
      <c r="B273" s="8" t="s">
        <v>16</v>
      </c>
      <c r="C273" s="14" t="s">
        <v>2296</v>
      </c>
      <c r="D273" s="8" t="s">
        <v>2620</v>
      </c>
      <c r="E273" s="14" t="s">
        <v>2618</v>
      </c>
    </row>
    <row r="274">
      <c r="A274" s="8" t="s">
        <v>4185</v>
      </c>
      <c r="B274" s="8" t="s">
        <v>93</v>
      </c>
      <c r="C274" s="14" t="s">
        <v>1352</v>
      </c>
      <c r="D274" s="8" t="s">
        <v>2577</v>
      </c>
      <c r="E274" s="14" t="s">
        <v>2555</v>
      </c>
    </row>
    <row r="275">
      <c r="A275" s="8" t="s">
        <v>4185</v>
      </c>
      <c r="B275" s="8" t="s">
        <v>141</v>
      </c>
      <c r="C275" s="14" t="s">
        <v>2033</v>
      </c>
      <c r="D275" s="8" t="s">
        <v>2593</v>
      </c>
      <c r="E275" s="14" t="s">
        <v>2576</v>
      </c>
    </row>
    <row r="276">
      <c r="A276" s="8" t="s">
        <v>4186</v>
      </c>
      <c r="B276" s="8" t="s">
        <v>53</v>
      </c>
      <c r="C276" s="14" t="s">
        <v>2459</v>
      </c>
      <c r="D276" s="8" t="s">
        <v>2574</v>
      </c>
      <c r="E276" s="14" t="s">
        <v>2601</v>
      </c>
    </row>
    <row r="277">
      <c r="A277" s="8" t="s">
        <v>4187</v>
      </c>
      <c r="B277" s="8" t="s">
        <v>70</v>
      </c>
      <c r="C277" s="14" t="s">
        <v>2033</v>
      </c>
      <c r="D277" s="8" t="s">
        <v>2598</v>
      </c>
      <c r="E277" s="14" t="s">
        <v>2555</v>
      </c>
    </row>
    <row r="278">
      <c r="A278" s="8" t="s">
        <v>4188</v>
      </c>
      <c r="B278" s="8" t="s">
        <v>16</v>
      </c>
      <c r="C278" s="14" t="s">
        <v>135</v>
      </c>
      <c r="D278" s="8" t="s">
        <v>2600</v>
      </c>
      <c r="E278" s="14" t="s">
        <v>2583</v>
      </c>
    </row>
    <row r="279">
      <c r="A279" s="8" t="s">
        <v>4189</v>
      </c>
      <c r="B279" s="8" t="s">
        <v>149</v>
      </c>
      <c r="C279" s="14" t="s">
        <v>837</v>
      </c>
      <c r="D279" s="8" t="s">
        <v>2566</v>
      </c>
      <c r="E279" s="14" t="s">
        <v>2612</v>
      </c>
    </row>
    <row r="280">
      <c r="A280" s="8" t="s">
        <v>4190</v>
      </c>
      <c r="B280" s="8" t="s">
        <v>149</v>
      </c>
      <c r="C280" s="14" t="s">
        <v>2033</v>
      </c>
      <c r="D280" s="8" t="s">
        <v>2552</v>
      </c>
      <c r="E280" s="14" t="s">
        <v>2591</v>
      </c>
    </row>
    <row r="281">
      <c r="A281" s="8" t="s">
        <v>4192</v>
      </c>
      <c r="B281" s="8" t="s">
        <v>93</v>
      </c>
      <c r="C281" s="14" t="s">
        <v>1070</v>
      </c>
      <c r="D281" s="8" t="s">
        <v>2560</v>
      </c>
      <c r="E281" s="14" t="s">
        <v>2590</v>
      </c>
    </row>
    <row r="282">
      <c r="A282" s="8" t="s">
        <v>4193</v>
      </c>
      <c r="B282" s="8" t="s">
        <v>122</v>
      </c>
      <c r="C282" s="14" t="s">
        <v>1352</v>
      </c>
      <c r="D282" s="8" t="s">
        <v>2615</v>
      </c>
      <c r="E282" s="14" t="s">
        <v>2594</v>
      </c>
    </row>
    <row r="283">
      <c r="A283" s="8" t="s">
        <v>4194</v>
      </c>
      <c r="B283" s="8" t="s">
        <v>65</v>
      </c>
      <c r="C283" s="14" t="s">
        <v>338</v>
      </c>
      <c r="D283" s="8" t="s">
        <v>2582</v>
      </c>
      <c r="E283" s="14" t="s">
        <v>2622</v>
      </c>
    </row>
    <row r="284">
      <c r="A284" s="8" t="s">
        <v>4195</v>
      </c>
      <c r="B284" s="8" t="s">
        <v>132</v>
      </c>
      <c r="C284" s="14" t="s">
        <v>631</v>
      </c>
      <c r="D284" s="8" t="s">
        <v>2560</v>
      </c>
      <c r="E284" s="14" t="s">
        <v>2588</v>
      </c>
    </row>
    <row r="285">
      <c r="A285" s="8" t="s">
        <v>4196</v>
      </c>
      <c r="B285" s="8" t="s">
        <v>65</v>
      </c>
      <c r="C285" s="14" t="s">
        <v>459</v>
      </c>
      <c r="D285" s="8" t="s">
        <v>2581</v>
      </c>
      <c r="E285" s="14" t="s">
        <v>2573</v>
      </c>
    </row>
    <row r="286">
      <c r="A286" s="8" t="s">
        <v>4197</v>
      </c>
      <c r="B286" s="8" t="s">
        <v>80</v>
      </c>
      <c r="C286" s="14" t="s">
        <v>1070</v>
      </c>
      <c r="D286" s="8" t="s">
        <v>2562</v>
      </c>
      <c r="E286" s="14" t="s">
        <v>2601</v>
      </c>
    </row>
    <row r="287">
      <c r="A287" s="8" t="s">
        <v>4198</v>
      </c>
      <c r="B287" s="8" t="s">
        <v>38</v>
      </c>
      <c r="C287" s="14" t="s">
        <v>108</v>
      </c>
      <c r="D287" s="8" t="s">
        <v>2615</v>
      </c>
      <c r="E287" s="14" t="s">
        <v>2590</v>
      </c>
    </row>
    <row r="288">
      <c r="A288" s="8" t="s">
        <v>4199</v>
      </c>
      <c r="B288" s="8" t="s">
        <v>138</v>
      </c>
      <c r="C288" s="14" t="s">
        <v>631</v>
      </c>
      <c r="D288" s="8" t="s">
        <v>2560</v>
      </c>
      <c r="E288" s="14" t="s">
        <v>2568</v>
      </c>
    </row>
    <row r="289">
      <c r="A289" s="8" t="s">
        <v>4200</v>
      </c>
      <c r="B289" s="8" t="s">
        <v>59</v>
      </c>
      <c r="C289" s="14" t="s">
        <v>189</v>
      </c>
      <c r="D289" s="8" t="s">
        <v>6303</v>
      </c>
      <c r="E289" s="14" t="s">
        <v>2590</v>
      </c>
    </row>
    <row r="290">
      <c r="A290" s="8" t="s">
        <v>4201</v>
      </c>
      <c r="B290" s="8" t="s">
        <v>70</v>
      </c>
      <c r="C290" s="14" t="s">
        <v>2296</v>
      </c>
      <c r="D290" s="8" t="s">
        <v>2592</v>
      </c>
      <c r="E290" s="14" t="s">
        <v>2594</v>
      </c>
    </row>
    <row r="291">
      <c r="A291" s="8" t="s">
        <v>4202</v>
      </c>
      <c r="B291" s="8" t="s">
        <v>186</v>
      </c>
      <c r="C291" s="14" t="s">
        <v>237</v>
      </c>
      <c r="D291" s="8" t="s">
        <v>2598</v>
      </c>
      <c r="E291" s="14" t="s">
        <v>2622</v>
      </c>
    </row>
    <row r="292">
      <c r="A292" s="8" t="s">
        <v>4203</v>
      </c>
      <c r="B292" s="8" t="s">
        <v>122</v>
      </c>
      <c r="C292" s="14" t="s">
        <v>1679</v>
      </c>
      <c r="D292" s="8" t="s">
        <v>2564</v>
      </c>
      <c r="E292" s="14" t="s">
        <v>2594</v>
      </c>
    </row>
    <row r="293">
      <c r="A293" s="8" t="s">
        <v>4204</v>
      </c>
      <c r="B293" s="8" t="s">
        <v>53</v>
      </c>
      <c r="C293" s="14" t="s">
        <v>237</v>
      </c>
      <c r="D293" s="8" t="s">
        <v>2574</v>
      </c>
      <c r="E293" s="14" t="s">
        <v>2553</v>
      </c>
    </row>
    <row r="294">
      <c r="A294" s="8" t="s">
        <v>4205</v>
      </c>
      <c r="B294" s="8" t="s">
        <v>149</v>
      </c>
      <c r="C294" s="14" t="s">
        <v>338</v>
      </c>
      <c r="D294" s="8" t="s">
        <v>2558</v>
      </c>
      <c r="E294" s="14" t="s">
        <v>2625</v>
      </c>
    </row>
    <row r="295">
      <c r="A295" s="8" t="s">
        <v>4206</v>
      </c>
      <c r="B295" s="8" t="s">
        <v>53</v>
      </c>
      <c r="C295" s="14" t="s">
        <v>1352</v>
      </c>
      <c r="D295" s="8" t="s">
        <v>2574</v>
      </c>
      <c r="E295" s="14" t="s">
        <v>2555</v>
      </c>
    </row>
    <row r="296">
      <c r="A296" s="8" t="s">
        <v>4207</v>
      </c>
      <c r="B296" s="8" t="s">
        <v>75</v>
      </c>
      <c r="C296" s="14" t="s">
        <v>459</v>
      </c>
      <c r="D296" s="8" t="s">
        <v>2615</v>
      </c>
      <c r="E296" s="14" t="s">
        <v>2555</v>
      </c>
    </row>
    <row r="297">
      <c r="A297" s="8" t="s">
        <v>4208</v>
      </c>
      <c r="B297" s="8" t="s">
        <v>93</v>
      </c>
      <c r="C297" s="14" t="s">
        <v>837</v>
      </c>
      <c r="D297" s="8" t="s">
        <v>2620</v>
      </c>
      <c r="E297" s="14" t="s">
        <v>2599</v>
      </c>
    </row>
    <row r="298">
      <c r="A298" s="8" t="s">
        <v>4209</v>
      </c>
      <c r="B298" s="8" t="s">
        <v>186</v>
      </c>
      <c r="C298" s="14" t="s">
        <v>837</v>
      </c>
      <c r="D298" s="8" t="s">
        <v>2593</v>
      </c>
      <c r="E298" s="14" t="s">
        <v>2563</v>
      </c>
    </row>
    <row r="299">
      <c r="A299" s="8" t="s">
        <v>4210</v>
      </c>
      <c r="B299" s="8" t="s">
        <v>70</v>
      </c>
      <c r="C299" s="14" t="s">
        <v>2459</v>
      </c>
      <c r="D299" s="8" t="s">
        <v>2582</v>
      </c>
      <c r="E299" s="14" t="s">
        <v>2573</v>
      </c>
    </row>
    <row r="300">
      <c r="A300" s="8" t="s">
        <v>4211</v>
      </c>
      <c r="B300" s="8" t="s">
        <v>59</v>
      </c>
      <c r="C300" s="14" t="s">
        <v>1070</v>
      </c>
      <c r="D300" s="8" t="s">
        <v>2577</v>
      </c>
      <c r="E300" s="14" t="s">
        <v>2602</v>
      </c>
    </row>
    <row r="301">
      <c r="A301" s="8" t="s">
        <v>4212</v>
      </c>
      <c r="B301" s="8" t="s">
        <v>80</v>
      </c>
      <c r="C301" s="14" t="s">
        <v>2033</v>
      </c>
      <c r="D301" s="8" t="s">
        <v>6303</v>
      </c>
      <c r="E301" s="14" t="s">
        <v>2607</v>
      </c>
    </row>
    <row r="302">
      <c r="A302" s="8" t="s">
        <v>4213</v>
      </c>
      <c r="B302" s="8" t="s">
        <v>70</v>
      </c>
      <c r="C302" s="14" t="s">
        <v>2033</v>
      </c>
      <c r="D302" s="8" t="s">
        <v>2562</v>
      </c>
      <c r="E302" s="14" t="s">
        <v>2570</v>
      </c>
    </row>
    <row r="303">
      <c r="A303" s="8" t="s">
        <v>4214</v>
      </c>
      <c r="B303" s="8" t="s">
        <v>65</v>
      </c>
      <c r="C303" s="14" t="s">
        <v>1679</v>
      </c>
      <c r="D303" s="8" t="s">
        <v>2620</v>
      </c>
      <c r="E303" s="14" t="s">
        <v>2555</v>
      </c>
    </row>
    <row r="304">
      <c r="A304" s="8" t="s">
        <v>4215</v>
      </c>
      <c r="B304" s="8" t="s">
        <v>93</v>
      </c>
      <c r="C304" s="14" t="s">
        <v>338</v>
      </c>
      <c r="D304" s="8" t="s">
        <v>2605</v>
      </c>
      <c r="E304" s="14" t="s">
        <v>2590</v>
      </c>
    </row>
    <row r="305">
      <c r="A305" s="8" t="s">
        <v>4216</v>
      </c>
      <c r="B305" s="8" t="s">
        <v>122</v>
      </c>
      <c r="C305" s="14" t="s">
        <v>2296</v>
      </c>
      <c r="D305" s="8" t="s">
        <v>2600</v>
      </c>
      <c r="E305" s="14" t="s">
        <v>2555</v>
      </c>
    </row>
    <row r="306">
      <c r="A306" s="8" t="s">
        <v>4217</v>
      </c>
      <c r="B306" s="8" t="s">
        <v>93</v>
      </c>
      <c r="C306" s="14" t="s">
        <v>1070</v>
      </c>
      <c r="D306" s="8" t="s">
        <v>2614</v>
      </c>
      <c r="E306" s="14" t="s">
        <v>2616</v>
      </c>
    </row>
    <row r="307">
      <c r="A307" s="8" t="s">
        <v>4218</v>
      </c>
      <c r="B307" s="8" t="s">
        <v>93</v>
      </c>
      <c r="C307" s="14" t="s">
        <v>2459</v>
      </c>
      <c r="D307" s="8" t="s">
        <v>6303</v>
      </c>
      <c r="E307" s="14" t="s">
        <v>2601</v>
      </c>
    </row>
    <row r="308">
      <c r="A308" s="8" t="s">
        <v>4219</v>
      </c>
      <c r="B308" s="8" t="s">
        <v>65</v>
      </c>
      <c r="C308" s="14" t="s">
        <v>1352</v>
      </c>
      <c r="D308" s="8" t="s">
        <v>2183</v>
      </c>
      <c r="E308" s="14" t="s">
        <v>2563</v>
      </c>
    </row>
    <row r="309">
      <c r="A309" s="8" t="s">
        <v>6309</v>
      </c>
      <c r="B309" s="8" t="s">
        <v>70</v>
      </c>
      <c r="C309" s="14" t="s">
        <v>631</v>
      </c>
      <c r="D309" s="8" t="s">
        <v>2554</v>
      </c>
      <c r="E309" s="14" t="s">
        <v>2607</v>
      </c>
    </row>
    <row r="310">
      <c r="A310" s="8" t="s">
        <v>6310</v>
      </c>
      <c r="B310" s="8" t="s">
        <v>16</v>
      </c>
      <c r="C310" s="14" t="s">
        <v>1352</v>
      </c>
      <c r="D310" s="8" t="s">
        <v>2585</v>
      </c>
      <c r="E310" s="14" t="s">
        <v>2570</v>
      </c>
    </row>
    <row r="311">
      <c r="A311" s="8" t="s">
        <v>6311</v>
      </c>
      <c r="B311" s="8" t="s">
        <v>93</v>
      </c>
      <c r="C311" s="14" t="s">
        <v>459</v>
      </c>
      <c r="D311" s="8" t="s">
        <v>2614</v>
      </c>
      <c r="E311" s="14" t="s">
        <v>2583</v>
      </c>
    </row>
    <row r="312">
      <c r="A312" s="8" t="s">
        <v>6312</v>
      </c>
      <c r="B312" s="8" t="s">
        <v>261</v>
      </c>
      <c r="C312" s="14" t="s">
        <v>1070</v>
      </c>
      <c r="D312" s="8" t="s">
        <v>2552</v>
      </c>
      <c r="E312" s="14" t="s">
        <v>2573</v>
      </c>
    </row>
    <row r="313">
      <c r="A313" s="8" t="s">
        <v>6313</v>
      </c>
      <c r="B313" s="8" t="s">
        <v>186</v>
      </c>
      <c r="C313" s="14" t="s">
        <v>837</v>
      </c>
      <c r="D313" s="8" t="s">
        <v>2560</v>
      </c>
      <c r="E313" s="14" t="s">
        <v>2604</v>
      </c>
    </row>
    <row r="314">
      <c r="A314" s="8" t="s">
        <v>6314</v>
      </c>
      <c r="B314" s="8" t="s">
        <v>70</v>
      </c>
      <c r="C314" s="14" t="s">
        <v>1352</v>
      </c>
      <c r="D314" s="8" t="s">
        <v>2603</v>
      </c>
      <c r="E314" s="14" t="s">
        <v>2563</v>
      </c>
    </row>
    <row r="315">
      <c r="A315" s="8" t="s">
        <v>6315</v>
      </c>
      <c r="B315" s="8" t="s">
        <v>80</v>
      </c>
      <c r="C315" s="14" t="s">
        <v>2033</v>
      </c>
      <c r="D315" s="8" t="s">
        <v>2584</v>
      </c>
      <c r="E315" s="14" t="s">
        <v>2555</v>
      </c>
    </row>
    <row r="316">
      <c r="A316" s="8" t="s">
        <v>6316</v>
      </c>
      <c r="B316" s="8" t="s">
        <v>24</v>
      </c>
      <c r="C316" s="14" t="s">
        <v>1070</v>
      </c>
      <c r="D316" s="8" t="s">
        <v>2610</v>
      </c>
      <c r="E316" s="14" t="s">
        <v>2586</v>
      </c>
    </row>
    <row r="317">
      <c r="A317" s="8" t="s">
        <v>4228</v>
      </c>
      <c r="B317" s="8" t="s">
        <v>12</v>
      </c>
      <c r="C317" s="14" t="s">
        <v>837</v>
      </c>
      <c r="D317" s="8" t="s">
        <v>2592</v>
      </c>
      <c r="E317" s="14" t="s">
        <v>2622</v>
      </c>
    </row>
    <row r="318">
      <c r="A318" s="8" t="s">
        <v>4229</v>
      </c>
      <c r="B318" s="8" t="s">
        <v>138</v>
      </c>
      <c r="C318" s="14" t="s">
        <v>135</v>
      </c>
      <c r="D318" s="8" t="s">
        <v>2584</v>
      </c>
      <c r="E318" s="14" t="s">
        <v>2559</v>
      </c>
    </row>
    <row r="319">
      <c r="A319" s="8" t="s">
        <v>4230</v>
      </c>
      <c r="B319" s="8" t="s">
        <v>149</v>
      </c>
      <c r="C319" s="14" t="s">
        <v>1352</v>
      </c>
      <c r="D319" s="8" t="s">
        <v>2592</v>
      </c>
      <c r="E319" s="14" t="s">
        <v>2594</v>
      </c>
    </row>
    <row r="320">
      <c r="A320" s="8" t="s">
        <v>4231</v>
      </c>
      <c r="B320" s="8" t="s">
        <v>138</v>
      </c>
      <c r="C320" s="14" t="s">
        <v>1679</v>
      </c>
      <c r="D320" s="8" t="s">
        <v>2582</v>
      </c>
      <c r="E320" s="14" t="s">
        <v>2563</v>
      </c>
    </row>
    <row r="321">
      <c r="A321" s="8" t="s">
        <v>4232</v>
      </c>
      <c r="B321" s="8" t="s">
        <v>24</v>
      </c>
      <c r="C321" s="14" t="s">
        <v>2033</v>
      </c>
      <c r="D321" s="8" t="s">
        <v>6303</v>
      </c>
      <c r="E321" s="14" t="s">
        <v>2563</v>
      </c>
    </row>
    <row r="322">
      <c r="A322" s="8" t="s">
        <v>4233</v>
      </c>
      <c r="B322" s="8" t="s">
        <v>46</v>
      </c>
      <c r="C322" s="14" t="s">
        <v>2296</v>
      </c>
      <c r="D322" s="8" t="s">
        <v>2560</v>
      </c>
      <c r="E322" s="14" t="s">
        <v>2606</v>
      </c>
    </row>
    <row r="323">
      <c r="A323" s="8" t="s">
        <v>4234</v>
      </c>
      <c r="B323" s="8" t="s">
        <v>186</v>
      </c>
      <c r="C323" s="14" t="s">
        <v>1679</v>
      </c>
      <c r="D323" s="8" t="s">
        <v>2600</v>
      </c>
      <c r="E323" s="14" t="s">
        <v>2570</v>
      </c>
    </row>
    <row r="324">
      <c r="A324" s="8" t="s">
        <v>4235</v>
      </c>
      <c r="B324" s="8" t="s">
        <v>65</v>
      </c>
      <c r="C324" s="14" t="s">
        <v>1679</v>
      </c>
      <c r="D324" s="8" t="s">
        <v>2598</v>
      </c>
      <c r="E324" s="14" t="s">
        <v>2608</v>
      </c>
    </row>
    <row r="325">
      <c r="A325" s="8" t="s">
        <v>4236</v>
      </c>
      <c r="B325" s="8" t="s">
        <v>16</v>
      </c>
      <c r="C325" s="14" t="s">
        <v>338</v>
      </c>
      <c r="D325" s="8" t="s">
        <v>2574</v>
      </c>
      <c r="E325" s="14" t="s">
        <v>2611</v>
      </c>
    </row>
    <row r="326">
      <c r="A326" s="8" t="s">
        <v>4237</v>
      </c>
      <c r="B326" s="8" t="s">
        <v>65</v>
      </c>
      <c r="C326" s="14" t="s">
        <v>2033</v>
      </c>
      <c r="D326" s="8" t="s">
        <v>2587</v>
      </c>
      <c r="E326" s="14" t="s">
        <v>2609</v>
      </c>
    </row>
    <row r="327">
      <c r="A327" s="8" t="s">
        <v>4238</v>
      </c>
      <c r="B327" s="8" t="s">
        <v>46</v>
      </c>
      <c r="C327" s="14" t="s">
        <v>2033</v>
      </c>
      <c r="D327" s="8" t="s">
        <v>2584</v>
      </c>
      <c r="E327" s="14" t="s">
        <v>2557</v>
      </c>
    </row>
    <row r="328">
      <c r="A328" s="8" t="s">
        <v>4239</v>
      </c>
      <c r="B328" s="8" t="s">
        <v>65</v>
      </c>
      <c r="C328" s="14" t="s">
        <v>2033</v>
      </c>
      <c r="D328" s="8" t="s">
        <v>2582</v>
      </c>
      <c r="E328" s="14" t="s">
        <v>2579</v>
      </c>
    </row>
    <row r="329">
      <c r="A329" s="8" t="s">
        <v>4240</v>
      </c>
      <c r="B329" s="8" t="s">
        <v>70</v>
      </c>
      <c r="C329" s="14" t="s">
        <v>459</v>
      </c>
      <c r="D329" s="8" t="s">
        <v>2574</v>
      </c>
      <c r="E329" s="14" t="s">
        <v>2568</v>
      </c>
    </row>
    <row r="330">
      <c r="A330" s="8" t="s">
        <v>4241</v>
      </c>
      <c r="B330" s="8" t="s">
        <v>65</v>
      </c>
      <c r="C330" s="14" t="s">
        <v>2033</v>
      </c>
      <c r="D330" s="8" t="s">
        <v>2621</v>
      </c>
      <c r="E330" s="14" t="s">
        <v>2563</v>
      </c>
    </row>
    <row r="331">
      <c r="A331" s="8" t="s">
        <v>4242</v>
      </c>
      <c r="B331" s="8" t="s">
        <v>24</v>
      </c>
      <c r="C331" s="14" t="s">
        <v>631</v>
      </c>
      <c r="D331" s="8" t="s">
        <v>2592</v>
      </c>
      <c r="E331" s="14" t="s">
        <v>2608</v>
      </c>
    </row>
    <row r="332">
      <c r="A332" s="8" t="s">
        <v>4243</v>
      </c>
      <c r="B332" s="8" t="s">
        <v>75</v>
      </c>
      <c r="C332" s="14" t="s">
        <v>837</v>
      </c>
      <c r="D332" s="8" t="s">
        <v>2183</v>
      </c>
      <c r="E332" s="14" t="s">
        <v>2568</v>
      </c>
    </row>
    <row r="333">
      <c r="A333" s="8" t="s">
        <v>4244</v>
      </c>
      <c r="B333" s="8" t="s">
        <v>149</v>
      </c>
      <c r="C333" s="14" t="s">
        <v>1070</v>
      </c>
      <c r="D333" s="8" t="s">
        <v>2614</v>
      </c>
      <c r="E333" s="14" t="s">
        <v>2563</v>
      </c>
    </row>
    <row r="334">
      <c r="A334" s="8" t="s">
        <v>4245</v>
      </c>
      <c r="B334" s="8" t="s">
        <v>215</v>
      </c>
      <c r="C334" s="14" t="s">
        <v>338</v>
      </c>
      <c r="D334" s="8" t="s">
        <v>2577</v>
      </c>
      <c r="E334" s="14" t="s">
        <v>2633</v>
      </c>
    </row>
    <row r="335">
      <c r="A335" s="8" t="s">
        <v>4246</v>
      </c>
      <c r="B335" s="8" t="s">
        <v>38</v>
      </c>
      <c r="C335" s="14" t="s">
        <v>837</v>
      </c>
      <c r="D335" s="8" t="s">
        <v>2564</v>
      </c>
      <c r="E335" s="14" t="s">
        <v>2557</v>
      </c>
    </row>
    <row r="336">
      <c r="A336" s="8" t="s">
        <v>4247</v>
      </c>
      <c r="B336" s="8" t="s">
        <v>138</v>
      </c>
      <c r="C336" s="14" t="s">
        <v>338</v>
      </c>
      <c r="D336" s="8" t="s">
        <v>2595</v>
      </c>
      <c r="E336" s="14" t="s">
        <v>2616</v>
      </c>
    </row>
    <row r="337">
      <c r="A337" s="8" t="s">
        <v>4248</v>
      </c>
      <c r="B337" s="8" t="s">
        <v>53</v>
      </c>
      <c r="C337" s="14" t="s">
        <v>1679</v>
      </c>
      <c r="D337" s="8" t="s">
        <v>6303</v>
      </c>
      <c r="E337" s="14" t="s">
        <v>2576</v>
      </c>
    </row>
    <row r="338">
      <c r="A338" s="8" t="s">
        <v>4249</v>
      </c>
      <c r="B338" s="8" t="s">
        <v>65</v>
      </c>
      <c r="C338" s="14" t="s">
        <v>1070</v>
      </c>
      <c r="D338" s="8" t="s">
        <v>2595</v>
      </c>
      <c r="E338" s="14" t="s">
        <v>2608</v>
      </c>
    </row>
    <row r="339">
      <c r="A339" s="8" t="s">
        <v>4250</v>
      </c>
      <c r="B339" s="8" t="s">
        <v>186</v>
      </c>
      <c r="C339" s="14" t="s">
        <v>2296</v>
      </c>
      <c r="D339" s="8" t="s">
        <v>2552</v>
      </c>
      <c r="E339" s="14" t="s">
        <v>2583</v>
      </c>
    </row>
    <row r="340">
      <c r="A340" s="8" t="s">
        <v>4251</v>
      </c>
      <c r="B340" s="8" t="s">
        <v>93</v>
      </c>
      <c r="C340" s="14" t="s">
        <v>1679</v>
      </c>
      <c r="D340" s="8" t="s">
        <v>2577</v>
      </c>
      <c r="E340" s="14" t="s">
        <v>2568</v>
      </c>
    </row>
    <row r="341">
      <c r="A341" s="8" t="s">
        <v>4252</v>
      </c>
      <c r="B341" s="8" t="s">
        <v>141</v>
      </c>
      <c r="C341" s="14" t="s">
        <v>1679</v>
      </c>
      <c r="D341" s="8" t="s">
        <v>2595</v>
      </c>
      <c r="E341" s="14" t="s">
        <v>2580</v>
      </c>
    </row>
    <row r="342">
      <c r="A342" s="8" t="s">
        <v>4253</v>
      </c>
      <c r="B342" s="8" t="s">
        <v>53</v>
      </c>
      <c r="C342" s="14" t="s">
        <v>39</v>
      </c>
      <c r="D342" s="8" t="s">
        <v>2621</v>
      </c>
      <c r="E342" s="14" t="s">
        <v>2611</v>
      </c>
    </row>
    <row r="343">
      <c r="A343" s="8" t="s">
        <v>4254</v>
      </c>
      <c r="B343" s="8" t="s">
        <v>16</v>
      </c>
      <c r="C343" s="14" t="s">
        <v>1070</v>
      </c>
      <c r="D343" s="8" t="s">
        <v>2572</v>
      </c>
      <c r="E343" s="14" t="s">
        <v>2618</v>
      </c>
    </row>
    <row r="344">
      <c r="A344" s="8" t="s">
        <v>4255</v>
      </c>
      <c r="B344" s="8" t="s">
        <v>122</v>
      </c>
      <c r="C344" s="14" t="s">
        <v>837</v>
      </c>
      <c r="D344" s="8" t="s">
        <v>2615</v>
      </c>
      <c r="E344" s="14" t="s">
        <v>2622</v>
      </c>
    </row>
    <row r="345">
      <c r="A345" s="8" t="s">
        <v>4256</v>
      </c>
      <c r="B345" s="8" t="s">
        <v>138</v>
      </c>
      <c r="C345" s="14" t="s">
        <v>2296</v>
      </c>
      <c r="D345" s="8" t="s">
        <v>2595</v>
      </c>
      <c r="E345" s="14" t="s">
        <v>2555</v>
      </c>
    </row>
    <row r="346">
      <c r="A346" s="8" t="s">
        <v>4257</v>
      </c>
      <c r="B346" s="8" t="s">
        <v>215</v>
      </c>
      <c r="C346" s="14" t="s">
        <v>1679</v>
      </c>
      <c r="D346" s="8" t="s">
        <v>2610</v>
      </c>
      <c r="E346" s="14" t="s">
        <v>2599</v>
      </c>
    </row>
    <row r="347">
      <c r="A347" s="8" t="s">
        <v>4258</v>
      </c>
      <c r="B347" s="8" t="s">
        <v>53</v>
      </c>
      <c r="C347" s="14" t="s">
        <v>1070</v>
      </c>
      <c r="D347" s="8" t="s">
        <v>2592</v>
      </c>
      <c r="E347" s="14" t="s">
        <v>2601</v>
      </c>
    </row>
    <row r="348">
      <c r="A348" s="8" t="s">
        <v>4259</v>
      </c>
      <c r="B348" s="8" t="s">
        <v>138</v>
      </c>
      <c r="C348" s="14" t="s">
        <v>338</v>
      </c>
      <c r="D348" s="8" t="s">
        <v>2610</v>
      </c>
      <c r="E348" s="14" t="s">
        <v>2588</v>
      </c>
    </row>
    <row r="349">
      <c r="A349" s="8" t="s">
        <v>4260</v>
      </c>
      <c r="B349" s="8" t="s">
        <v>70</v>
      </c>
      <c r="C349" s="14" t="s">
        <v>631</v>
      </c>
      <c r="D349" s="8" t="s">
        <v>2183</v>
      </c>
      <c r="E349" s="14" t="s">
        <v>2571</v>
      </c>
    </row>
    <row r="350">
      <c r="A350" s="8" t="s">
        <v>4261</v>
      </c>
      <c r="B350" s="8" t="s">
        <v>138</v>
      </c>
      <c r="C350" s="14" t="s">
        <v>1352</v>
      </c>
      <c r="D350" s="8" t="s">
        <v>2562</v>
      </c>
      <c r="E350" s="14" t="s">
        <v>2563</v>
      </c>
    </row>
    <row r="351">
      <c r="A351" s="8" t="s">
        <v>4262</v>
      </c>
      <c r="B351" s="8" t="s">
        <v>65</v>
      </c>
      <c r="C351" s="14" t="s">
        <v>1352</v>
      </c>
      <c r="D351" s="8" t="s">
        <v>2564</v>
      </c>
      <c r="E351" s="14" t="s">
        <v>2580</v>
      </c>
    </row>
    <row r="352">
      <c r="A352" s="8" t="s">
        <v>4263</v>
      </c>
      <c r="B352" s="8" t="s">
        <v>93</v>
      </c>
      <c r="C352" s="14" t="s">
        <v>2296</v>
      </c>
      <c r="D352" s="8" t="s">
        <v>2592</v>
      </c>
      <c r="E352" s="14" t="s">
        <v>2573</v>
      </c>
    </row>
    <row r="353">
      <c r="A353" s="8" t="s">
        <v>4264</v>
      </c>
      <c r="B353" s="8" t="s">
        <v>138</v>
      </c>
      <c r="C353" s="14" t="s">
        <v>1070</v>
      </c>
      <c r="D353" s="8" t="s">
        <v>2567</v>
      </c>
      <c r="E353" s="14" t="s">
        <v>2563</v>
      </c>
    </row>
    <row r="354">
      <c r="A354" s="8" t="s">
        <v>4265</v>
      </c>
      <c r="B354" s="8" t="s">
        <v>16</v>
      </c>
      <c r="C354" s="14" t="s">
        <v>1070</v>
      </c>
      <c r="D354" s="8" t="s">
        <v>2564</v>
      </c>
      <c r="E354" s="14" t="s">
        <v>2588</v>
      </c>
    </row>
    <row r="355">
      <c r="A355" s="8" t="s">
        <v>4266</v>
      </c>
      <c r="B355" s="8" t="s">
        <v>16</v>
      </c>
      <c r="C355" s="14" t="s">
        <v>237</v>
      </c>
      <c r="D355" s="8" t="s">
        <v>2582</v>
      </c>
      <c r="E355" s="14" t="s">
        <v>2602</v>
      </c>
    </row>
    <row r="356">
      <c r="A356" s="8" t="s">
        <v>4267</v>
      </c>
      <c r="B356" s="8" t="s">
        <v>141</v>
      </c>
      <c r="C356" s="14" t="s">
        <v>1679</v>
      </c>
      <c r="D356" s="8" t="s">
        <v>2582</v>
      </c>
      <c r="E356" s="14" t="s">
        <v>2569</v>
      </c>
    </row>
    <row r="357">
      <c r="A357" s="8" t="s">
        <v>4268</v>
      </c>
      <c r="B357" s="8" t="s">
        <v>93</v>
      </c>
      <c r="C357" s="14" t="s">
        <v>459</v>
      </c>
      <c r="D357" s="8" t="s">
        <v>2572</v>
      </c>
      <c r="E357" s="14" t="s">
        <v>2596</v>
      </c>
    </row>
    <row r="358">
      <c r="A358" s="8" t="s">
        <v>4269</v>
      </c>
      <c r="B358" s="8" t="s">
        <v>24</v>
      </c>
      <c r="C358" s="14" t="s">
        <v>459</v>
      </c>
      <c r="D358" s="8" t="s">
        <v>2620</v>
      </c>
      <c r="E358" s="14" t="s">
        <v>21</v>
      </c>
    </row>
    <row r="359">
      <c r="A359" s="8" t="s">
        <v>4270</v>
      </c>
      <c r="B359" s="8" t="s">
        <v>122</v>
      </c>
      <c r="C359" s="14" t="s">
        <v>2033</v>
      </c>
      <c r="D359" s="8" t="s">
        <v>2577</v>
      </c>
      <c r="E359" s="14" t="s">
        <v>2576</v>
      </c>
    </row>
    <row r="360">
      <c r="A360" s="8" t="s">
        <v>4271</v>
      </c>
      <c r="B360" s="8" t="s">
        <v>59</v>
      </c>
      <c r="C360" s="14" t="s">
        <v>1070</v>
      </c>
      <c r="D360" s="8" t="s">
        <v>2582</v>
      </c>
      <c r="E360" s="14" t="s">
        <v>2579</v>
      </c>
    </row>
    <row r="361">
      <c r="A361" s="8" t="s">
        <v>4272</v>
      </c>
      <c r="B361" s="8" t="s">
        <v>138</v>
      </c>
      <c r="C361" s="14" t="s">
        <v>837</v>
      </c>
      <c r="D361" s="8" t="s">
        <v>2603</v>
      </c>
      <c r="E361" s="14" t="s">
        <v>2565</v>
      </c>
    </row>
    <row r="362">
      <c r="A362" s="8" t="s">
        <v>4273</v>
      </c>
      <c r="B362" s="8" t="s">
        <v>149</v>
      </c>
      <c r="C362" s="14" t="s">
        <v>837</v>
      </c>
      <c r="D362" s="8" t="s">
        <v>2584</v>
      </c>
      <c r="E362" s="14" t="s">
        <v>2609</v>
      </c>
    </row>
    <row r="363">
      <c r="A363" s="8" t="s">
        <v>4274</v>
      </c>
      <c r="B363" s="8" t="s">
        <v>122</v>
      </c>
      <c r="C363" s="14" t="s">
        <v>237</v>
      </c>
      <c r="D363" s="8" t="s">
        <v>2585</v>
      </c>
      <c r="E363" s="14" t="s">
        <v>2579</v>
      </c>
    </row>
    <row r="364">
      <c r="A364" s="8" t="s">
        <v>4275</v>
      </c>
      <c r="B364" s="8" t="s">
        <v>65</v>
      </c>
      <c r="C364" s="14" t="s">
        <v>2033</v>
      </c>
      <c r="D364" s="8" t="s">
        <v>2614</v>
      </c>
      <c r="E364" s="14" t="s">
        <v>2557</v>
      </c>
    </row>
    <row r="365">
      <c r="A365" s="8" t="s">
        <v>4276</v>
      </c>
      <c r="B365" s="8" t="s">
        <v>261</v>
      </c>
      <c r="C365" s="14" t="s">
        <v>1352</v>
      </c>
      <c r="D365" s="8" t="s">
        <v>2610</v>
      </c>
      <c r="E365" s="14" t="s">
        <v>2563</v>
      </c>
    </row>
    <row r="366">
      <c r="A366" s="8" t="s">
        <v>4277</v>
      </c>
      <c r="B366" s="8" t="s">
        <v>65</v>
      </c>
      <c r="C366" s="14" t="s">
        <v>1352</v>
      </c>
      <c r="D366" s="8" t="s">
        <v>2552</v>
      </c>
      <c r="E366" s="14" t="s">
        <v>2583</v>
      </c>
    </row>
    <row r="367">
      <c r="A367" s="8" t="s">
        <v>4278</v>
      </c>
      <c r="B367" s="8" t="s">
        <v>16</v>
      </c>
      <c r="C367" s="14" t="s">
        <v>108</v>
      </c>
      <c r="D367" s="8" t="s">
        <v>2183</v>
      </c>
      <c r="E367" s="14" t="s">
        <v>2580</v>
      </c>
    </row>
    <row r="368">
      <c r="A368" s="8" t="s">
        <v>4279</v>
      </c>
      <c r="B368" s="8" t="s">
        <v>16</v>
      </c>
      <c r="C368" s="14" t="s">
        <v>1679</v>
      </c>
      <c r="D368" s="8" t="s">
        <v>6303</v>
      </c>
      <c r="E368" s="14" t="s">
        <v>2626</v>
      </c>
    </row>
    <row r="369">
      <c r="A369" s="8" t="s">
        <v>4280</v>
      </c>
      <c r="B369" s="8" t="s">
        <v>149</v>
      </c>
      <c r="C369" s="14" t="s">
        <v>837</v>
      </c>
      <c r="D369" s="8" t="s">
        <v>2566</v>
      </c>
      <c r="E369" s="14" t="s">
        <v>2569</v>
      </c>
    </row>
    <row r="370">
      <c r="A370" s="8" t="s">
        <v>4281</v>
      </c>
      <c r="B370" s="8" t="s">
        <v>215</v>
      </c>
      <c r="C370" s="14" t="s">
        <v>2033</v>
      </c>
      <c r="D370" s="8" t="s">
        <v>2615</v>
      </c>
      <c r="E370" s="14" t="s">
        <v>2563</v>
      </c>
    </row>
    <row r="371">
      <c r="A371" s="8" t="s">
        <v>4282</v>
      </c>
      <c r="B371" s="8" t="s">
        <v>149</v>
      </c>
      <c r="C371" s="14" t="s">
        <v>1352</v>
      </c>
      <c r="D371" s="8" t="s">
        <v>2566</v>
      </c>
      <c r="E371" s="14" t="s">
        <v>2609</v>
      </c>
    </row>
    <row r="372">
      <c r="A372" s="8" t="s">
        <v>4283</v>
      </c>
      <c r="B372" s="8" t="s">
        <v>65</v>
      </c>
      <c r="C372" s="14" t="s">
        <v>1679</v>
      </c>
      <c r="D372" s="8" t="s">
        <v>6303</v>
      </c>
      <c r="E372" s="14" t="s">
        <v>2591</v>
      </c>
    </row>
    <row r="373">
      <c r="A373" s="8" t="s">
        <v>4284</v>
      </c>
      <c r="B373" s="8" t="s">
        <v>12</v>
      </c>
      <c r="C373" s="14" t="s">
        <v>631</v>
      </c>
      <c r="D373" s="8" t="s">
        <v>2560</v>
      </c>
      <c r="E373" s="14" t="s">
        <v>2568</v>
      </c>
    </row>
    <row r="374">
      <c r="A374" s="8" t="s">
        <v>4285</v>
      </c>
      <c r="B374" s="8" t="s">
        <v>261</v>
      </c>
      <c r="C374" s="14" t="s">
        <v>2033</v>
      </c>
      <c r="D374" s="8" t="s">
        <v>2581</v>
      </c>
      <c r="E374" s="14" t="s">
        <v>2583</v>
      </c>
    </row>
    <row r="375">
      <c r="A375" s="8" t="s">
        <v>4286</v>
      </c>
      <c r="B375" s="8" t="s">
        <v>59</v>
      </c>
      <c r="C375" s="14" t="s">
        <v>459</v>
      </c>
      <c r="D375" s="8" t="s">
        <v>6303</v>
      </c>
      <c r="E375" s="14" t="s">
        <v>2588</v>
      </c>
    </row>
    <row r="376">
      <c r="A376" s="8" t="s">
        <v>4287</v>
      </c>
      <c r="B376" s="8" t="s">
        <v>93</v>
      </c>
      <c r="C376" s="14" t="s">
        <v>2033</v>
      </c>
      <c r="D376" s="8" t="s">
        <v>2558</v>
      </c>
      <c r="E376" s="14" t="s">
        <v>2555</v>
      </c>
    </row>
    <row r="377">
      <c r="A377" s="8" t="s">
        <v>4288</v>
      </c>
      <c r="B377" s="8" t="s">
        <v>24</v>
      </c>
      <c r="C377" s="14" t="s">
        <v>338</v>
      </c>
      <c r="D377" s="8" t="s">
        <v>6303</v>
      </c>
      <c r="E377" s="14" t="s">
        <v>2607</v>
      </c>
    </row>
    <row r="378">
      <c r="A378" s="8" t="s">
        <v>4289</v>
      </c>
      <c r="B378" s="8" t="s">
        <v>138</v>
      </c>
      <c r="C378" s="14" t="s">
        <v>1679</v>
      </c>
      <c r="D378" s="8" t="s">
        <v>2581</v>
      </c>
      <c r="E378" s="14" t="s">
        <v>2565</v>
      </c>
    </row>
    <row r="379">
      <c r="A379" s="8" t="s">
        <v>4290</v>
      </c>
      <c r="B379" s="8" t="s">
        <v>65</v>
      </c>
      <c r="C379" s="14" t="s">
        <v>338</v>
      </c>
      <c r="D379" s="8" t="s">
        <v>2564</v>
      </c>
      <c r="E379" s="14" t="s">
        <v>2557</v>
      </c>
    </row>
    <row r="380">
      <c r="A380" s="8" t="s">
        <v>4291</v>
      </c>
      <c r="B380" s="8" t="s">
        <v>46</v>
      </c>
      <c r="C380" s="14" t="s">
        <v>837</v>
      </c>
      <c r="D380" s="8" t="s">
        <v>2605</v>
      </c>
      <c r="E380" s="14" t="s">
        <v>2578</v>
      </c>
    </row>
    <row r="381">
      <c r="A381" s="8" t="s">
        <v>4292</v>
      </c>
      <c r="B381" s="8" t="s">
        <v>59</v>
      </c>
      <c r="C381" s="14" t="s">
        <v>2296</v>
      </c>
      <c r="D381" s="8" t="s">
        <v>2562</v>
      </c>
      <c r="E381" s="14" t="s">
        <v>2576</v>
      </c>
    </row>
    <row r="382">
      <c r="A382" s="8" t="s">
        <v>4293</v>
      </c>
      <c r="B382" s="8" t="s">
        <v>80</v>
      </c>
      <c r="C382" s="14" t="s">
        <v>1070</v>
      </c>
      <c r="D382" s="8" t="s">
        <v>2554</v>
      </c>
      <c r="E382" s="14" t="s">
        <v>2555</v>
      </c>
    </row>
    <row r="383">
      <c r="A383" s="8" t="s">
        <v>4294</v>
      </c>
      <c r="B383" s="8" t="s">
        <v>24</v>
      </c>
      <c r="C383" s="14" t="s">
        <v>459</v>
      </c>
      <c r="D383" s="8" t="s">
        <v>2615</v>
      </c>
      <c r="E383" s="14" t="s">
        <v>2576</v>
      </c>
    </row>
    <row r="384">
      <c r="A384" s="8" t="s">
        <v>4295</v>
      </c>
      <c r="B384" s="8" t="s">
        <v>65</v>
      </c>
      <c r="C384" s="14" t="s">
        <v>1070</v>
      </c>
      <c r="D384" s="8" t="s">
        <v>2560</v>
      </c>
      <c r="E384" s="14" t="s">
        <v>2579</v>
      </c>
    </row>
    <row r="385">
      <c r="A385" s="8" t="s">
        <v>4296</v>
      </c>
      <c r="B385" s="8" t="s">
        <v>93</v>
      </c>
      <c r="C385" s="14" t="s">
        <v>2033</v>
      </c>
      <c r="D385" s="8" t="s">
        <v>2183</v>
      </c>
      <c r="E385" s="14" t="s">
        <v>2568</v>
      </c>
    </row>
    <row r="386">
      <c r="A386" s="8" t="s">
        <v>4297</v>
      </c>
      <c r="B386" s="8" t="s">
        <v>186</v>
      </c>
      <c r="C386" s="14" t="s">
        <v>1070</v>
      </c>
      <c r="D386" s="8" t="s">
        <v>2581</v>
      </c>
      <c r="E386" s="14" t="s">
        <v>2568</v>
      </c>
    </row>
    <row r="387">
      <c r="A387" s="8" t="s">
        <v>4298</v>
      </c>
      <c r="B387" s="8" t="s">
        <v>16</v>
      </c>
      <c r="C387" s="14" t="s">
        <v>189</v>
      </c>
      <c r="D387" s="8" t="s">
        <v>2605</v>
      </c>
      <c r="E387" s="14" t="s">
        <v>2555</v>
      </c>
    </row>
    <row r="388">
      <c r="A388" s="8" t="s">
        <v>4299</v>
      </c>
      <c r="B388" s="8" t="s">
        <v>70</v>
      </c>
      <c r="C388" s="14" t="s">
        <v>2033</v>
      </c>
      <c r="D388" s="8" t="s">
        <v>6303</v>
      </c>
      <c r="E388" s="14" t="s">
        <v>2565</v>
      </c>
    </row>
    <row r="389">
      <c r="A389" s="8" t="s">
        <v>4300</v>
      </c>
      <c r="B389" s="8" t="s">
        <v>16</v>
      </c>
      <c r="C389" s="14" t="s">
        <v>2033</v>
      </c>
      <c r="D389" s="8" t="s">
        <v>2183</v>
      </c>
      <c r="E389" s="14" t="s">
        <v>2638</v>
      </c>
    </row>
    <row r="390">
      <c r="A390" s="8" t="s">
        <v>4301</v>
      </c>
      <c r="B390" s="8" t="s">
        <v>141</v>
      </c>
      <c r="C390" s="14" t="s">
        <v>1070</v>
      </c>
      <c r="D390" s="8" t="s">
        <v>2582</v>
      </c>
      <c r="E390" s="14" t="s">
        <v>2601</v>
      </c>
    </row>
    <row r="391">
      <c r="A391" s="8" t="s">
        <v>4302</v>
      </c>
      <c r="B391" s="8" t="s">
        <v>215</v>
      </c>
      <c r="C391" s="14" t="s">
        <v>2033</v>
      </c>
      <c r="D391" s="8" t="s">
        <v>2600</v>
      </c>
      <c r="E391" s="14" t="s">
        <v>2557</v>
      </c>
    </row>
    <row r="392">
      <c r="A392" s="8" t="s">
        <v>4303</v>
      </c>
      <c r="B392" s="8" t="s">
        <v>80</v>
      </c>
      <c r="C392" s="14" t="s">
        <v>2459</v>
      </c>
      <c r="D392" s="8" t="s">
        <v>2595</v>
      </c>
      <c r="E392" s="14" t="s">
        <v>2591</v>
      </c>
    </row>
    <row r="393">
      <c r="A393" s="8" t="s">
        <v>4304</v>
      </c>
      <c r="B393" s="8" t="s">
        <v>149</v>
      </c>
      <c r="C393" s="14" t="s">
        <v>837</v>
      </c>
      <c r="D393" s="8" t="s">
        <v>2620</v>
      </c>
      <c r="E393" s="14" t="s">
        <v>2617</v>
      </c>
    </row>
    <row r="394">
      <c r="A394" s="8" t="s">
        <v>4305</v>
      </c>
      <c r="B394" s="8" t="s">
        <v>65</v>
      </c>
      <c r="C394" s="14" t="s">
        <v>1352</v>
      </c>
      <c r="D394" s="8" t="s">
        <v>2567</v>
      </c>
      <c r="E394" s="14" t="s">
        <v>2553</v>
      </c>
    </row>
    <row r="395">
      <c r="A395" s="8" t="s">
        <v>4306</v>
      </c>
      <c r="B395" s="8" t="s">
        <v>93</v>
      </c>
      <c r="C395" s="14" t="s">
        <v>1679</v>
      </c>
      <c r="D395" s="8" t="s">
        <v>2614</v>
      </c>
      <c r="E395" s="14" t="s">
        <v>2607</v>
      </c>
    </row>
    <row r="396">
      <c r="A396" s="8" t="s">
        <v>4307</v>
      </c>
      <c r="B396" s="8" t="s">
        <v>80</v>
      </c>
      <c r="C396" s="14" t="s">
        <v>459</v>
      </c>
      <c r="D396" s="8" t="s">
        <v>2595</v>
      </c>
      <c r="E396" s="14" t="s">
        <v>2579</v>
      </c>
    </row>
    <row r="397">
      <c r="A397" s="8" t="s">
        <v>4308</v>
      </c>
      <c r="B397" s="8" t="s">
        <v>186</v>
      </c>
      <c r="C397" s="14" t="s">
        <v>1679</v>
      </c>
      <c r="D397" s="8" t="s">
        <v>2575</v>
      </c>
      <c r="E397" s="14" t="s">
        <v>2570</v>
      </c>
    </row>
    <row r="398">
      <c r="A398" s="8" t="s">
        <v>4309</v>
      </c>
      <c r="B398" s="8" t="s">
        <v>12</v>
      </c>
      <c r="C398" s="14" t="s">
        <v>631</v>
      </c>
      <c r="D398" s="8" t="s">
        <v>2577</v>
      </c>
      <c r="E398" s="14" t="s">
        <v>2557</v>
      </c>
    </row>
    <row r="399">
      <c r="A399" s="8" t="s">
        <v>4310</v>
      </c>
      <c r="B399" s="8" t="s">
        <v>70</v>
      </c>
      <c r="C399" s="14" t="s">
        <v>1679</v>
      </c>
      <c r="D399" s="8" t="s">
        <v>2603</v>
      </c>
      <c r="E399" s="14" t="s">
        <v>2604</v>
      </c>
    </row>
    <row r="400">
      <c r="A400" s="8" t="s">
        <v>4311</v>
      </c>
      <c r="B400" s="8" t="s">
        <v>65</v>
      </c>
      <c r="C400" s="14" t="s">
        <v>1070</v>
      </c>
      <c r="D400" s="8" t="s">
        <v>2584</v>
      </c>
      <c r="E400" s="14" t="s">
        <v>2601</v>
      </c>
    </row>
    <row r="401">
      <c r="A401" s="8" t="s">
        <v>4312</v>
      </c>
      <c r="B401" s="8" t="s">
        <v>80</v>
      </c>
      <c r="C401" s="14" t="s">
        <v>1352</v>
      </c>
      <c r="D401" s="8" t="s">
        <v>2598</v>
      </c>
      <c r="E401" s="14" t="s">
        <v>2570</v>
      </c>
    </row>
    <row r="402">
      <c r="A402" s="8" t="s">
        <v>4313</v>
      </c>
      <c r="B402" s="8" t="s">
        <v>53</v>
      </c>
      <c r="C402" s="14" t="s">
        <v>2033</v>
      </c>
      <c r="D402" s="8" t="s">
        <v>2614</v>
      </c>
      <c r="E402" s="14" t="s">
        <v>2576</v>
      </c>
    </row>
    <row r="403">
      <c r="A403" s="8" t="s">
        <v>4314</v>
      </c>
      <c r="B403" s="8" t="s">
        <v>65</v>
      </c>
      <c r="C403" s="14" t="s">
        <v>2033</v>
      </c>
      <c r="D403" s="8" t="s">
        <v>2592</v>
      </c>
      <c r="E403" s="14" t="s">
        <v>2599</v>
      </c>
    </row>
    <row r="404">
      <c r="A404" s="8" t="s">
        <v>4315</v>
      </c>
      <c r="B404" s="8" t="s">
        <v>93</v>
      </c>
      <c r="C404" s="14" t="s">
        <v>338</v>
      </c>
      <c r="D404" s="8" t="s">
        <v>2620</v>
      </c>
      <c r="E404" s="14" t="s">
        <v>2561</v>
      </c>
    </row>
    <row r="405">
      <c r="A405" s="8" t="s">
        <v>4316</v>
      </c>
      <c r="B405" s="8" t="s">
        <v>65</v>
      </c>
      <c r="C405" s="14" t="s">
        <v>237</v>
      </c>
      <c r="D405" s="8" t="s">
        <v>2574</v>
      </c>
      <c r="E405" s="14" t="s">
        <v>2590</v>
      </c>
    </row>
    <row r="406">
      <c r="A406" s="8" t="s">
        <v>4317</v>
      </c>
      <c r="B406" s="8" t="s">
        <v>149</v>
      </c>
      <c r="C406" s="14" t="s">
        <v>631</v>
      </c>
      <c r="D406" s="8" t="s">
        <v>2615</v>
      </c>
      <c r="E406" s="14" t="s">
        <v>2565</v>
      </c>
    </row>
    <row r="407">
      <c r="A407" s="8" t="s">
        <v>4318</v>
      </c>
      <c r="B407" s="8" t="s">
        <v>122</v>
      </c>
      <c r="C407" s="14" t="s">
        <v>1352</v>
      </c>
      <c r="D407" s="8" t="s">
        <v>2183</v>
      </c>
      <c r="E407" s="14" t="s">
        <v>2596</v>
      </c>
    </row>
    <row r="408">
      <c r="A408" s="8" t="s">
        <v>4318</v>
      </c>
      <c r="B408" s="8" t="s">
        <v>38</v>
      </c>
      <c r="C408" s="14" t="s">
        <v>338</v>
      </c>
      <c r="D408" s="8" t="s">
        <v>2614</v>
      </c>
      <c r="E408" s="14" t="s">
        <v>2611</v>
      </c>
    </row>
    <row r="409">
      <c r="A409" s="8" t="s">
        <v>4318</v>
      </c>
      <c r="B409" s="8" t="s">
        <v>93</v>
      </c>
      <c r="C409" s="14" t="s">
        <v>1679</v>
      </c>
      <c r="D409" s="8" t="s">
        <v>6303</v>
      </c>
      <c r="E409" s="14" t="s">
        <v>2618</v>
      </c>
    </row>
    <row r="410">
      <c r="A410" s="8" t="s">
        <v>4319</v>
      </c>
      <c r="B410" s="8" t="s">
        <v>192</v>
      </c>
      <c r="C410" s="14" t="s">
        <v>2033</v>
      </c>
      <c r="D410" s="8" t="s">
        <v>2581</v>
      </c>
      <c r="E410" s="14" t="s">
        <v>2618</v>
      </c>
    </row>
    <row r="411">
      <c r="A411" s="8" t="s">
        <v>4320</v>
      </c>
      <c r="B411" s="8" t="s">
        <v>59</v>
      </c>
      <c r="C411" s="14" t="s">
        <v>1070</v>
      </c>
      <c r="D411" s="8" t="s">
        <v>2562</v>
      </c>
      <c r="E411" s="14" t="s">
        <v>2612</v>
      </c>
    </row>
    <row r="412">
      <c r="A412" s="8" t="s">
        <v>4321</v>
      </c>
      <c r="B412" s="8" t="s">
        <v>132</v>
      </c>
      <c r="C412" s="14" t="s">
        <v>2296</v>
      </c>
      <c r="D412" s="8" t="s">
        <v>2598</v>
      </c>
      <c r="E412" s="14" t="s">
        <v>2591</v>
      </c>
    </row>
    <row r="413">
      <c r="A413" s="8" t="s">
        <v>4322</v>
      </c>
      <c r="B413" s="8" t="s">
        <v>24</v>
      </c>
      <c r="C413" s="14" t="s">
        <v>837</v>
      </c>
      <c r="D413" s="8" t="s">
        <v>2574</v>
      </c>
      <c r="E413" s="14" t="s">
        <v>2591</v>
      </c>
    </row>
    <row r="414">
      <c r="A414" s="8" t="s">
        <v>4323</v>
      </c>
      <c r="B414" s="8" t="s">
        <v>93</v>
      </c>
      <c r="C414" s="14" t="s">
        <v>1070</v>
      </c>
      <c r="D414" s="8" t="s">
        <v>2567</v>
      </c>
      <c r="E414" s="14" t="s">
        <v>2576</v>
      </c>
    </row>
    <row r="415">
      <c r="A415" s="8" t="s">
        <v>4324</v>
      </c>
      <c r="B415" s="8" t="s">
        <v>65</v>
      </c>
      <c r="C415" s="14" t="s">
        <v>1070</v>
      </c>
      <c r="D415" s="8" t="s">
        <v>2575</v>
      </c>
      <c r="E415" s="14" t="s">
        <v>2565</v>
      </c>
    </row>
    <row r="416">
      <c r="A416" s="8" t="s">
        <v>4325</v>
      </c>
      <c r="B416" s="8" t="s">
        <v>215</v>
      </c>
      <c r="C416" s="14" t="s">
        <v>1679</v>
      </c>
      <c r="D416" s="8" t="s">
        <v>2598</v>
      </c>
      <c r="E416" s="14" t="s">
        <v>2583</v>
      </c>
    </row>
    <row r="417">
      <c r="A417" s="8" t="s">
        <v>4326</v>
      </c>
      <c r="B417" s="8" t="s">
        <v>75</v>
      </c>
      <c r="C417" s="14" t="s">
        <v>837</v>
      </c>
      <c r="D417" s="8" t="s">
        <v>2581</v>
      </c>
      <c r="E417" s="14" t="s">
        <v>2594</v>
      </c>
    </row>
    <row r="418">
      <c r="A418" s="8" t="s">
        <v>4327</v>
      </c>
      <c r="B418" s="8" t="s">
        <v>138</v>
      </c>
      <c r="C418" s="14" t="s">
        <v>2033</v>
      </c>
      <c r="D418" s="8" t="s">
        <v>2566</v>
      </c>
      <c r="E418" s="14" t="s">
        <v>2594</v>
      </c>
    </row>
    <row r="419">
      <c r="A419" s="8" t="s">
        <v>4328</v>
      </c>
      <c r="B419" s="8" t="s">
        <v>138</v>
      </c>
      <c r="C419" s="14" t="s">
        <v>837</v>
      </c>
      <c r="D419" s="8" t="s">
        <v>2615</v>
      </c>
      <c r="E419" s="14" t="s">
        <v>2568</v>
      </c>
    </row>
    <row r="420">
      <c r="A420" s="8" t="s">
        <v>4329</v>
      </c>
      <c r="B420" s="8" t="s">
        <v>70</v>
      </c>
      <c r="C420" s="14" t="s">
        <v>631</v>
      </c>
      <c r="D420" s="8" t="s">
        <v>2582</v>
      </c>
      <c r="E420" s="14" t="s">
        <v>2608</v>
      </c>
    </row>
    <row r="421">
      <c r="A421" s="8" t="s">
        <v>4330</v>
      </c>
      <c r="B421" s="8" t="s">
        <v>70</v>
      </c>
      <c r="C421" s="14" t="s">
        <v>2033</v>
      </c>
      <c r="D421" s="8" t="s">
        <v>6304</v>
      </c>
      <c r="E421" s="14" t="s">
        <v>2609</v>
      </c>
    </row>
    <row r="422">
      <c r="A422" s="8" t="s">
        <v>4331</v>
      </c>
      <c r="B422" s="8" t="s">
        <v>59</v>
      </c>
      <c r="C422" s="14" t="s">
        <v>2033</v>
      </c>
      <c r="D422" s="8" t="s">
        <v>2610</v>
      </c>
      <c r="E422" s="14" t="s">
        <v>2583</v>
      </c>
    </row>
    <row r="423">
      <c r="A423" s="8" t="s">
        <v>4332</v>
      </c>
      <c r="B423" s="8" t="s">
        <v>215</v>
      </c>
      <c r="C423" s="14" t="s">
        <v>1352</v>
      </c>
      <c r="D423" s="8" t="s">
        <v>2575</v>
      </c>
      <c r="E423" s="14" t="s">
        <v>2573</v>
      </c>
    </row>
    <row r="424">
      <c r="A424" s="8" t="s">
        <v>4333</v>
      </c>
      <c r="B424" s="8" t="s">
        <v>93</v>
      </c>
      <c r="C424" s="14" t="s">
        <v>2033</v>
      </c>
      <c r="D424" s="8" t="s">
        <v>2595</v>
      </c>
      <c r="E424" s="14" t="s">
        <v>2555</v>
      </c>
    </row>
    <row r="425">
      <c r="A425" s="8" t="s">
        <v>4334</v>
      </c>
      <c r="B425" s="8" t="s">
        <v>122</v>
      </c>
      <c r="C425" s="14" t="s">
        <v>1352</v>
      </c>
      <c r="D425" s="8" t="s">
        <v>2614</v>
      </c>
      <c r="E425" s="14" t="s">
        <v>2602</v>
      </c>
    </row>
    <row r="426">
      <c r="A426" s="8" t="s">
        <v>4335</v>
      </c>
      <c r="B426" s="8" t="s">
        <v>149</v>
      </c>
      <c r="C426" s="14" t="s">
        <v>1679</v>
      </c>
      <c r="D426" s="8" t="s">
        <v>2585</v>
      </c>
      <c r="E426" s="14" t="s">
        <v>2617</v>
      </c>
    </row>
    <row r="427">
      <c r="A427" s="8" t="s">
        <v>4336</v>
      </c>
      <c r="B427" s="8" t="s">
        <v>59</v>
      </c>
      <c r="C427" s="14" t="s">
        <v>631</v>
      </c>
      <c r="D427" s="8" t="s">
        <v>2554</v>
      </c>
      <c r="E427" s="14" t="s">
        <v>2602</v>
      </c>
    </row>
    <row r="428">
      <c r="A428" s="8" t="s">
        <v>4337</v>
      </c>
      <c r="B428" s="8" t="s">
        <v>65</v>
      </c>
      <c r="C428" s="14" t="s">
        <v>2296</v>
      </c>
      <c r="D428" s="8" t="s">
        <v>6303</v>
      </c>
      <c r="E428" s="14" t="s">
        <v>2571</v>
      </c>
    </row>
    <row r="429">
      <c r="A429" s="8" t="s">
        <v>4338</v>
      </c>
      <c r="B429" s="8" t="s">
        <v>59</v>
      </c>
      <c r="C429" s="14" t="s">
        <v>837</v>
      </c>
      <c r="D429" s="8" t="s">
        <v>2615</v>
      </c>
      <c r="E429" s="14" t="s">
        <v>2601</v>
      </c>
    </row>
    <row r="430">
      <c r="A430" s="8" t="s">
        <v>4339</v>
      </c>
      <c r="B430" s="8" t="s">
        <v>70</v>
      </c>
      <c r="C430" s="14" t="s">
        <v>2033</v>
      </c>
      <c r="D430" s="8" t="s">
        <v>2574</v>
      </c>
      <c r="E430" s="14" t="s">
        <v>2616</v>
      </c>
    </row>
    <row r="431">
      <c r="A431" s="8" t="s">
        <v>4340</v>
      </c>
      <c r="B431" s="8" t="s">
        <v>59</v>
      </c>
      <c r="C431" s="14" t="s">
        <v>2033</v>
      </c>
      <c r="D431" s="8" t="s">
        <v>2574</v>
      </c>
      <c r="E431" s="14" t="s">
        <v>2583</v>
      </c>
    </row>
    <row r="432">
      <c r="A432" s="8" t="s">
        <v>4341</v>
      </c>
      <c r="B432" s="8" t="s">
        <v>122</v>
      </c>
      <c r="C432" s="14" t="s">
        <v>837</v>
      </c>
      <c r="D432" s="8" t="s">
        <v>2610</v>
      </c>
      <c r="E432" s="14" t="s">
        <v>2579</v>
      </c>
    </row>
    <row r="433">
      <c r="A433" s="8" t="s">
        <v>4342</v>
      </c>
      <c r="B433" s="8" t="s">
        <v>186</v>
      </c>
      <c r="C433" s="14" t="s">
        <v>2033</v>
      </c>
      <c r="D433" s="8" t="s">
        <v>2600</v>
      </c>
      <c r="E433" s="14" t="s">
        <v>2555</v>
      </c>
    </row>
    <row r="434">
      <c r="A434" s="8" t="s">
        <v>4343</v>
      </c>
      <c r="B434" s="8" t="s">
        <v>75</v>
      </c>
      <c r="C434" s="14" t="s">
        <v>1070</v>
      </c>
      <c r="D434" s="8" t="s">
        <v>2610</v>
      </c>
      <c r="E434" s="14" t="s">
        <v>2570</v>
      </c>
    </row>
    <row r="435">
      <c r="A435" s="8" t="s">
        <v>4344</v>
      </c>
      <c r="B435" s="8" t="s">
        <v>122</v>
      </c>
      <c r="C435" s="14" t="s">
        <v>2033</v>
      </c>
      <c r="D435" s="8" t="s">
        <v>2581</v>
      </c>
      <c r="E435" s="14" t="s">
        <v>2601</v>
      </c>
    </row>
    <row r="436">
      <c r="A436" s="8" t="s">
        <v>4345</v>
      </c>
      <c r="B436" s="8" t="s">
        <v>24</v>
      </c>
      <c r="C436" s="14" t="s">
        <v>2033</v>
      </c>
      <c r="D436" s="8" t="s">
        <v>2560</v>
      </c>
      <c r="E436" s="14" t="s">
        <v>2571</v>
      </c>
    </row>
    <row r="437">
      <c r="A437" s="8" t="s">
        <v>4346</v>
      </c>
      <c r="B437" s="8" t="s">
        <v>80</v>
      </c>
      <c r="C437" s="14" t="s">
        <v>1679</v>
      </c>
      <c r="D437" s="8" t="s">
        <v>2575</v>
      </c>
      <c r="E437" s="14" t="s">
        <v>2579</v>
      </c>
    </row>
    <row r="438">
      <c r="A438" s="8" t="s">
        <v>4347</v>
      </c>
      <c r="B438" s="8" t="s">
        <v>46</v>
      </c>
      <c r="C438" s="14" t="s">
        <v>2296</v>
      </c>
      <c r="D438" s="8" t="s">
        <v>2577</v>
      </c>
      <c r="E438" s="14" t="s">
        <v>2563</v>
      </c>
    </row>
    <row r="439">
      <c r="A439" s="8" t="s">
        <v>4348</v>
      </c>
      <c r="B439" s="8" t="s">
        <v>149</v>
      </c>
      <c r="C439" s="14" t="s">
        <v>2296</v>
      </c>
      <c r="D439" s="8" t="s">
        <v>2560</v>
      </c>
      <c r="E439" s="14" t="s">
        <v>2579</v>
      </c>
    </row>
    <row r="440">
      <c r="A440" s="8" t="s">
        <v>4349</v>
      </c>
      <c r="B440" s="8" t="s">
        <v>24</v>
      </c>
      <c r="C440" s="14" t="s">
        <v>83</v>
      </c>
      <c r="D440" s="8" t="s">
        <v>2610</v>
      </c>
      <c r="E440" s="14" t="s">
        <v>2628</v>
      </c>
    </row>
    <row r="441">
      <c r="A441" s="8" t="s">
        <v>4350</v>
      </c>
      <c r="B441" s="8" t="s">
        <v>59</v>
      </c>
      <c r="C441" s="14" t="s">
        <v>135</v>
      </c>
      <c r="D441" s="8" t="s">
        <v>2593</v>
      </c>
      <c r="E441" s="14" t="s">
        <v>2586</v>
      </c>
    </row>
    <row r="442">
      <c r="A442" s="8" t="s">
        <v>4351</v>
      </c>
      <c r="B442" s="8" t="s">
        <v>80</v>
      </c>
      <c r="C442" s="14" t="s">
        <v>1070</v>
      </c>
      <c r="D442" s="8" t="s">
        <v>2610</v>
      </c>
      <c r="E442" s="14" t="s">
        <v>2557</v>
      </c>
    </row>
    <row r="443">
      <c r="A443" s="8" t="s">
        <v>4352</v>
      </c>
      <c r="B443" s="8" t="s">
        <v>192</v>
      </c>
      <c r="C443" s="14" t="s">
        <v>837</v>
      </c>
      <c r="D443" s="8" t="s">
        <v>2567</v>
      </c>
      <c r="E443" s="14" t="s">
        <v>2586</v>
      </c>
    </row>
    <row r="444">
      <c r="A444" s="8" t="s">
        <v>4353</v>
      </c>
      <c r="B444" s="8" t="s">
        <v>16</v>
      </c>
      <c r="C444" s="14" t="s">
        <v>2033</v>
      </c>
      <c r="D444" s="8" t="s">
        <v>2564</v>
      </c>
      <c r="E444" s="14" t="s">
        <v>2618</v>
      </c>
    </row>
    <row r="445">
      <c r="A445" s="8" t="s">
        <v>4354</v>
      </c>
      <c r="B445" s="8" t="s">
        <v>138</v>
      </c>
      <c r="C445" s="14" t="s">
        <v>2296</v>
      </c>
      <c r="D445" s="8" t="s">
        <v>6304</v>
      </c>
      <c r="E445" s="14" t="s">
        <v>2553</v>
      </c>
    </row>
    <row r="446">
      <c r="A446" s="8" t="s">
        <v>4355</v>
      </c>
      <c r="B446" s="8" t="s">
        <v>132</v>
      </c>
      <c r="C446" s="14" t="s">
        <v>338</v>
      </c>
      <c r="D446" s="8" t="s">
        <v>2610</v>
      </c>
      <c r="E446" s="14" t="s">
        <v>2571</v>
      </c>
    </row>
    <row r="447">
      <c r="A447" s="8" t="s">
        <v>4356</v>
      </c>
      <c r="B447" s="8" t="s">
        <v>24</v>
      </c>
      <c r="C447" s="14" t="s">
        <v>837</v>
      </c>
      <c r="D447" s="8" t="s">
        <v>2581</v>
      </c>
      <c r="E447" s="14" t="s">
        <v>2557</v>
      </c>
    </row>
    <row r="448">
      <c r="A448" s="8" t="s">
        <v>4357</v>
      </c>
      <c r="B448" s="8" t="s">
        <v>53</v>
      </c>
      <c r="C448" s="14" t="s">
        <v>2296</v>
      </c>
      <c r="D448" s="8" t="s">
        <v>2603</v>
      </c>
      <c r="E448" s="14" t="s">
        <v>2622</v>
      </c>
    </row>
    <row r="449">
      <c r="A449" s="8" t="s">
        <v>4358</v>
      </c>
      <c r="B449" s="8" t="s">
        <v>65</v>
      </c>
      <c r="C449" s="14" t="s">
        <v>1352</v>
      </c>
      <c r="D449" s="8" t="s">
        <v>2610</v>
      </c>
      <c r="E449" s="14" t="s">
        <v>2557</v>
      </c>
    </row>
    <row r="450">
      <c r="A450" s="8" t="s">
        <v>4359</v>
      </c>
      <c r="B450" s="8" t="s">
        <v>80</v>
      </c>
      <c r="C450" s="14" t="s">
        <v>338</v>
      </c>
      <c r="D450" s="8" t="s">
        <v>2584</v>
      </c>
      <c r="E450" s="14" t="s">
        <v>2565</v>
      </c>
    </row>
    <row r="451">
      <c r="A451" s="8" t="s">
        <v>4360</v>
      </c>
      <c r="B451" s="8" t="s">
        <v>149</v>
      </c>
      <c r="C451" s="14" t="s">
        <v>2296</v>
      </c>
      <c r="D451" s="8" t="s">
        <v>2587</v>
      </c>
      <c r="E451" s="14" t="s">
        <v>2622</v>
      </c>
    </row>
    <row r="452">
      <c r="A452" s="8" t="s">
        <v>4361</v>
      </c>
      <c r="B452" s="8" t="s">
        <v>16</v>
      </c>
      <c r="C452" s="14" t="s">
        <v>1070</v>
      </c>
      <c r="D452" s="8" t="s">
        <v>2564</v>
      </c>
      <c r="E452" s="14" t="s">
        <v>2594</v>
      </c>
    </row>
    <row r="453">
      <c r="A453" s="8" t="s">
        <v>4362</v>
      </c>
      <c r="B453" s="8" t="s">
        <v>65</v>
      </c>
      <c r="C453" s="14" t="s">
        <v>1070</v>
      </c>
      <c r="D453" s="8" t="s">
        <v>2566</v>
      </c>
      <c r="E453" s="14" t="s">
        <v>2602</v>
      </c>
    </row>
    <row r="454">
      <c r="A454" s="8" t="s">
        <v>4363</v>
      </c>
      <c r="B454" s="8" t="s">
        <v>141</v>
      </c>
      <c r="C454" s="14" t="s">
        <v>837</v>
      </c>
      <c r="D454" s="8" t="s">
        <v>2605</v>
      </c>
      <c r="E454" s="14" t="s">
        <v>2599</v>
      </c>
    </row>
    <row r="455">
      <c r="A455" s="8" t="s">
        <v>4364</v>
      </c>
      <c r="B455" s="8" t="s">
        <v>75</v>
      </c>
      <c r="C455" s="14" t="s">
        <v>837</v>
      </c>
      <c r="D455" s="8" t="s">
        <v>2614</v>
      </c>
      <c r="E455" s="14" t="s">
        <v>2570</v>
      </c>
    </row>
    <row r="456">
      <c r="A456" s="8" t="s">
        <v>4365</v>
      </c>
      <c r="B456" s="8" t="s">
        <v>132</v>
      </c>
      <c r="C456" s="14" t="s">
        <v>1679</v>
      </c>
      <c r="D456" s="8" t="s">
        <v>6303</v>
      </c>
      <c r="E456" s="14" t="s">
        <v>2583</v>
      </c>
    </row>
    <row r="457">
      <c r="A457" s="8" t="s">
        <v>4366</v>
      </c>
      <c r="B457" s="8" t="s">
        <v>38</v>
      </c>
      <c r="C457" s="14" t="s">
        <v>1679</v>
      </c>
      <c r="D457" s="8" t="s">
        <v>2620</v>
      </c>
      <c r="E457" s="14" t="s">
        <v>2583</v>
      </c>
    </row>
    <row r="458">
      <c r="A458" s="8" t="s">
        <v>4367</v>
      </c>
      <c r="B458" s="8" t="s">
        <v>65</v>
      </c>
      <c r="C458" s="14" t="s">
        <v>338</v>
      </c>
      <c r="D458" s="8" t="s">
        <v>2587</v>
      </c>
      <c r="E458" s="14" t="s">
        <v>2578</v>
      </c>
    </row>
    <row r="459">
      <c r="A459" s="8" t="s">
        <v>4368</v>
      </c>
      <c r="B459" s="8" t="s">
        <v>46</v>
      </c>
      <c r="C459" s="14" t="s">
        <v>1679</v>
      </c>
      <c r="D459" s="8" t="s">
        <v>2592</v>
      </c>
      <c r="E459" s="14" t="s">
        <v>2606</v>
      </c>
    </row>
    <row r="460">
      <c r="A460" s="8" t="s">
        <v>4369</v>
      </c>
      <c r="B460" s="8" t="s">
        <v>24</v>
      </c>
      <c r="C460" s="14" t="s">
        <v>1352</v>
      </c>
      <c r="D460" s="8" t="s">
        <v>2552</v>
      </c>
      <c r="E460" s="14" t="s">
        <v>2568</v>
      </c>
    </row>
    <row r="461">
      <c r="A461" s="8" t="s">
        <v>4370</v>
      </c>
      <c r="B461" s="8" t="s">
        <v>186</v>
      </c>
      <c r="C461" s="14" t="s">
        <v>2033</v>
      </c>
      <c r="D461" s="8" t="s">
        <v>2582</v>
      </c>
      <c r="E461" s="14" t="s">
        <v>2579</v>
      </c>
    </row>
    <row r="462">
      <c r="A462" s="8" t="s">
        <v>4371</v>
      </c>
      <c r="B462" s="8" t="s">
        <v>93</v>
      </c>
      <c r="C462" s="14" t="s">
        <v>1679</v>
      </c>
      <c r="D462" s="8" t="s">
        <v>2574</v>
      </c>
      <c r="E462" s="14" t="s">
        <v>2570</v>
      </c>
    </row>
    <row r="463">
      <c r="A463" s="8" t="s">
        <v>4372</v>
      </c>
      <c r="B463" s="8" t="s">
        <v>132</v>
      </c>
      <c r="C463" s="14" t="s">
        <v>1679</v>
      </c>
      <c r="D463" s="8" t="s">
        <v>2558</v>
      </c>
      <c r="E463" s="14" t="s">
        <v>2617</v>
      </c>
    </row>
    <row r="464">
      <c r="A464" s="8" t="s">
        <v>4373</v>
      </c>
      <c r="B464" s="8" t="s">
        <v>141</v>
      </c>
      <c r="C464" s="14" t="s">
        <v>1352</v>
      </c>
      <c r="D464" s="8" t="s">
        <v>2572</v>
      </c>
      <c r="E464" s="14" t="s">
        <v>2617</v>
      </c>
    </row>
    <row r="465">
      <c r="A465" s="8" t="s">
        <v>4374</v>
      </c>
      <c r="B465" s="8" t="s">
        <v>24</v>
      </c>
      <c r="C465" s="14" t="s">
        <v>1352</v>
      </c>
      <c r="D465" s="8" t="s">
        <v>2621</v>
      </c>
      <c r="E465" s="14" t="s">
        <v>2568</v>
      </c>
    </row>
    <row r="466">
      <c r="A466" s="8" t="s">
        <v>4375</v>
      </c>
      <c r="B466" s="8" t="s">
        <v>24</v>
      </c>
      <c r="C466" s="14" t="s">
        <v>1352</v>
      </c>
      <c r="D466" s="8" t="s">
        <v>2585</v>
      </c>
      <c r="E466" s="14" t="s">
        <v>18</v>
      </c>
    </row>
    <row r="467">
      <c r="A467" s="8" t="s">
        <v>4376</v>
      </c>
      <c r="B467" s="8" t="s">
        <v>192</v>
      </c>
      <c r="C467" s="14" t="s">
        <v>237</v>
      </c>
      <c r="D467" s="8" t="s">
        <v>2574</v>
      </c>
      <c r="E467" s="14" t="s">
        <v>2557</v>
      </c>
    </row>
    <row r="468">
      <c r="A468" s="8" t="s">
        <v>4377</v>
      </c>
      <c r="B468" s="8" t="s">
        <v>16</v>
      </c>
      <c r="C468" s="14" t="s">
        <v>189</v>
      </c>
      <c r="D468" s="8" t="s">
        <v>2582</v>
      </c>
      <c r="E468" s="14" t="s">
        <v>2576</v>
      </c>
    </row>
    <row r="469">
      <c r="A469" s="8" t="s">
        <v>4378</v>
      </c>
      <c r="B469" s="8" t="s">
        <v>16</v>
      </c>
      <c r="C469" s="14" t="s">
        <v>1070</v>
      </c>
      <c r="D469" s="8" t="s">
        <v>2554</v>
      </c>
      <c r="E469" s="14" t="s">
        <v>2627</v>
      </c>
    </row>
    <row r="470">
      <c r="A470" s="8" t="s">
        <v>4379</v>
      </c>
      <c r="B470" s="8" t="s">
        <v>75</v>
      </c>
      <c r="C470" s="14" t="s">
        <v>1679</v>
      </c>
      <c r="D470" s="8" t="s">
        <v>2581</v>
      </c>
      <c r="E470" s="14" t="s">
        <v>2569</v>
      </c>
    </row>
    <row r="471">
      <c r="A471" s="8" t="s">
        <v>4380</v>
      </c>
      <c r="B471" s="8" t="s">
        <v>132</v>
      </c>
      <c r="C471" s="14" t="s">
        <v>1070</v>
      </c>
      <c r="D471" s="8" t="s">
        <v>2620</v>
      </c>
      <c r="E471" s="14" t="s">
        <v>2573</v>
      </c>
    </row>
    <row r="472">
      <c r="A472" s="8" t="s">
        <v>4380</v>
      </c>
      <c r="B472" s="8" t="s">
        <v>132</v>
      </c>
      <c r="C472" s="14" t="s">
        <v>2459</v>
      </c>
      <c r="D472" s="8" t="s">
        <v>2614</v>
      </c>
      <c r="E472" s="14" t="s">
        <v>2583</v>
      </c>
    </row>
    <row r="473">
      <c r="A473" s="8" t="s">
        <v>4381</v>
      </c>
      <c r="B473" s="8" t="s">
        <v>75</v>
      </c>
      <c r="C473" s="14" t="s">
        <v>2296</v>
      </c>
      <c r="D473" s="8" t="s">
        <v>2614</v>
      </c>
      <c r="E473" s="14" t="s">
        <v>2573</v>
      </c>
    </row>
    <row r="474">
      <c r="A474" s="8" t="s">
        <v>4382</v>
      </c>
      <c r="B474" s="8" t="s">
        <v>149</v>
      </c>
      <c r="C474" s="14" t="s">
        <v>1070</v>
      </c>
      <c r="D474" s="8" t="s">
        <v>2587</v>
      </c>
      <c r="E474" s="14" t="s">
        <v>2606</v>
      </c>
    </row>
    <row r="475">
      <c r="A475" s="8" t="s">
        <v>4383</v>
      </c>
      <c r="B475" s="8" t="s">
        <v>215</v>
      </c>
      <c r="C475" s="14" t="s">
        <v>2033</v>
      </c>
      <c r="D475" s="8" t="s">
        <v>2577</v>
      </c>
      <c r="E475" s="14" t="s">
        <v>2580</v>
      </c>
    </row>
    <row r="476">
      <c r="A476" s="8" t="s">
        <v>4384</v>
      </c>
      <c r="B476" s="8" t="s">
        <v>65</v>
      </c>
      <c r="C476" s="14" t="s">
        <v>1070</v>
      </c>
      <c r="D476" s="8" t="s">
        <v>2593</v>
      </c>
      <c r="E476" s="14" t="s">
        <v>2611</v>
      </c>
    </row>
    <row r="477">
      <c r="A477" s="8" t="s">
        <v>4385</v>
      </c>
      <c r="B477" s="8" t="s">
        <v>16</v>
      </c>
      <c r="C477" s="14" t="s">
        <v>1352</v>
      </c>
      <c r="D477" s="8" t="s">
        <v>2614</v>
      </c>
      <c r="E477" s="14" t="s">
        <v>2569</v>
      </c>
    </row>
    <row r="478">
      <c r="A478" s="8" t="s">
        <v>4386</v>
      </c>
      <c r="B478" s="8" t="s">
        <v>65</v>
      </c>
      <c r="C478" s="14" t="s">
        <v>631</v>
      </c>
      <c r="D478" s="8" t="s">
        <v>2605</v>
      </c>
      <c r="E478" s="14" t="s">
        <v>2601</v>
      </c>
    </row>
    <row r="479">
      <c r="A479" s="8" t="s">
        <v>4387</v>
      </c>
      <c r="B479" s="8" t="s">
        <v>93</v>
      </c>
      <c r="C479" s="14" t="s">
        <v>1352</v>
      </c>
      <c r="D479" s="8" t="s">
        <v>2581</v>
      </c>
      <c r="E479" s="14" t="s">
        <v>2568</v>
      </c>
    </row>
    <row r="480">
      <c r="A480" s="8" t="s">
        <v>4388</v>
      </c>
      <c r="B480" s="8" t="s">
        <v>75</v>
      </c>
      <c r="C480" s="14" t="s">
        <v>459</v>
      </c>
      <c r="D480" s="8" t="s">
        <v>2610</v>
      </c>
      <c r="E480" s="14" t="s">
        <v>2553</v>
      </c>
    </row>
    <row r="481">
      <c r="A481" s="8" t="s">
        <v>4389</v>
      </c>
      <c r="B481" s="8" t="s">
        <v>93</v>
      </c>
      <c r="C481" s="14" t="s">
        <v>2033</v>
      </c>
      <c r="D481" s="8" t="s">
        <v>2566</v>
      </c>
      <c r="E481" s="14" t="s">
        <v>2563</v>
      </c>
    </row>
    <row r="482">
      <c r="A482" s="8" t="s">
        <v>4390</v>
      </c>
      <c r="B482" s="8" t="s">
        <v>38</v>
      </c>
      <c r="C482" s="14" t="s">
        <v>2033</v>
      </c>
      <c r="D482" s="8" t="s">
        <v>2587</v>
      </c>
      <c r="E482" s="14" t="s">
        <v>2563</v>
      </c>
    </row>
    <row r="483">
      <c r="A483" s="8" t="s">
        <v>4391</v>
      </c>
      <c r="B483" s="8" t="s">
        <v>70</v>
      </c>
      <c r="C483" s="14" t="s">
        <v>1679</v>
      </c>
      <c r="D483" s="8" t="s">
        <v>2564</v>
      </c>
      <c r="E483" s="14" t="s">
        <v>2601</v>
      </c>
    </row>
    <row r="484">
      <c r="A484" s="8" t="s">
        <v>4392</v>
      </c>
      <c r="B484" s="8" t="s">
        <v>65</v>
      </c>
      <c r="C484" s="14" t="s">
        <v>1352</v>
      </c>
      <c r="D484" s="8" t="s">
        <v>2566</v>
      </c>
      <c r="E484" s="14" t="s">
        <v>2565</v>
      </c>
    </row>
    <row r="485">
      <c r="A485" s="8" t="s">
        <v>4393</v>
      </c>
      <c r="B485" s="8" t="s">
        <v>65</v>
      </c>
      <c r="C485" s="14" t="s">
        <v>1679</v>
      </c>
      <c r="D485" s="8" t="s">
        <v>2621</v>
      </c>
      <c r="E485" s="14" t="s">
        <v>2588</v>
      </c>
    </row>
    <row r="486">
      <c r="A486" s="8" t="s">
        <v>4394</v>
      </c>
      <c r="B486" s="8" t="s">
        <v>141</v>
      </c>
      <c r="C486" s="14" t="s">
        <v>1352</v>
      </c>
      <c r="D486" s="8" t="s">
        <v>2621</v>
      </c>
      <c r="E486" s="14" t="s">
        <v>2580</v>
      </c>
    </row>
    <row r="487">
      <c r="A487" s="8" t="s">
        <v>4395</v>
      </c>
      <c r="B487" s="8" t="s">
        <v>141</v>
      </c>
      <c r="C487" s="14" t="s">
        <v>631</v>
      </c>
      <c r="D487" s="8" t="s">
        <v>2558</v>
      </c>
      <c r="E487" s="14" t="s">
        <v>2607</v>
      </c>
    </row>
    <row r="488">
      <c r="A488" s="8" t="s">
        <v>4396</v>
      </c>
      <c r="B488" s="8" t="s">
        <v>186</v>
      </c>
      <c r="C488" s="14" t="s">
        <v>837</v>
      </c>
      <c r="D488" s="8" t="s">
        <v>2592</v>
      </c>
      <c r="E488" s="14" t="s">
        <v>2579</v>
      </c>
    </row>
    <row r="489">
      <c r="A489" s="8" t="s">
        <v>4397</v>
      </c>
      <c r="B489" s="8" t="s">
        <v>122</v>
      </c>
      <c r="C489" s="14" t="s">
        <v>237</v>
      </c>
      <c r="D489" s="8" t="s">
        <v>6303</v>
      </c>
      <c r="E489" s="14" t="s">
        <v>2571</v>
      </c>
    </row>
    <row r="490">
      <c r="A490" s="8" t="s">
        <v>4398</v>
      </c>
      <c r="B490" s="8" t="s">
        <v>59</v>
      </c>
      <c r="C490" s="14" t="s">
        <v>1352</v>
      </c>
      <c r="D490" s="8" t="s">
        <v>2587</v>
      </c>
      <c r="E490" s="14" t="s">
        <v>2583</v>
      </c>
    </row>
    <row r="491">
      <c r="A491" s="8" t="s">
        <v>4399</v>
      </c>
      <c r="B491" s="8" t="s">
        <v>93</v>
      </c>
      <c r="C491" s="14" t="s">
        <v>1679</v>
      </c>
      <c r="D491" s="8" t="s">
        <v>2574</v>
      </c>
      <c r="E491" s="14" t="s">
        <v>2579</v>
      </c>
    </row>
    <row r="492">
      <c r="A492" s="8" t="s">
        <v>4400</v>
      </c>
      <c r="B492" s="8" t="s">
        <v>149</v>
      </c>
      <c r="C492" s="14" t="s">
        <v>631</v>
      </c>
      <c r="D492" s="8" t="s">
        <v>2605</v>
      </c>
      <c r="E492" s="14" t="s">
        <v>2618</v>
      </c>
    </row>
    <row r="493">
      <c r="A493" s="8" t="s">
        <v>4401</v>
      </c>
      <c r="B493" s="8" t="s">
        <v>93</v>
      </c>
      <c r="C493" s="14" t="s">
        <v>2033</v>
      </c>
      <c r="D493" s="8" t="s">
        <v>2581</v>
      </c>
      <c r="E493" s="14" t="s">
        <v>2576</v>
      </c>
    </row>
    <row r="494">
      <c r="A494" s="8" t="s">
        <v>4402</v>
      </c>
      <c r="B494" s="8" t="s">
        <v>122</v>
      </c>
      <c r="C494" s="14" t="s">
        <v>2033</v>
      </c>
      <c r="D494" s="8" t="s">
        <v>2572</v>
      </c>
      <c r="E494" s="14" t="s">
        <v>2555</v>
      </c>
    </row>
    <row r="495">
      <c r="A495" s="8" t="s">
        <v>4403</v>
      </c>
      <c r="B495" s="8" t="s">
        <v>186</v>
      </c>
      <c r="C495" s="14" t="s">
        <v>1352</v>
      </c>
      <c r="D495" s="8" t="s">
        <v>2593</v>
      </c>
      <c r="E495" s="14" t="s">
        <v>2601</v>
      </c>
    </row>
    <row r="496">
      <c r="A496" s="8" t="s">
        <v>4405</v>
      </c>
      <c r="B496" s="8" t="s">
        <v>65</v>
      </c>
      <c r="C496" s="14" t="s">
        <v>2033</v>
      </c>
      <c r="D496" s="8" t="s">
        <v>2620</v>
      </c>
      <c r="E496" s="14" t="s">
        <v>2571</v>
      </c>
    </row>
    <row r="497">
      <c r="A497" s="8" t="s">
        <v>4406</v>
      </c>
      <c r="B497" s="8" t="s">
        <v>93</v>
      </c>
      <c r="C497" s="14" t="s">
        <v>2033</v>
      </c>
      <c r="D497" s="8" t="s">
        <v>2552</v>
      </c>
      <c r="E497" s="14" t="s">
        <v>2594</v>
      </c>
    </row>
    <row r="498">
      <c r="A498" s="8" t="s">
        <v>4407</v>
      </c>
      <c r="B498" s="8" t="s">
        <v>59</v>
      </c>
      <c r="C498" s="14" t="s">
        <v>237</v>
      </c>
      <c r="D498" s="8" t="s">
        <v>2595</v>
      </c>
      <c r="E498" s="14" t="s">
        <v>2565</v>
      </c>
    </row>
    <row r="499">
      <c r="A499" s="8" t="s">
        <v>4408</v>
      </c>
      <c r="B499" s="8" t="s">
        <v>93</v>
      </c>
      <c r="C499" s="14" t="s">
        <v>1352</v>
      </c>
      <c r="D499" s="8" t="s">
        <v>2564</v>
      </c>
      <c r="E499" s="14" t="s">
        <v>2602</v>
      </c>
    </row>
    <row r="500">
      <c r="A500" s="8" t="s">
        <v>4409</v>
      </c>
      <c r="B500" s="8" t="s">
        <v>261</v>
      </c>
      <c r="C500" s="14" t="s">
        <v>1679</v>
      </c>
      <c r="D500" s="8" t="s">
        <v>2562</v>
      </c>
      <c r="E500" s="14" t="s">
        <v>2583</v>
      </c>
    </row>
    <row r="501">
      <c r="A501" s="8" t="s">
        <v>4410</v>
      </c>
      <c r="B501" s="8" t="s">
        <v>122</v>
      </c>
      <c r="C501" s="14" t="s">
        <v>1679</v>
      </c>
      <c r="D501" s="8" t="s">
        <v>2552</v>
      </c>
      <c r="E501" s="14" t="s">
        <v>2612</v>
      </c>
    </row>
    <row r="502">
      <c r="A502" s="8" t="s">
        <v>4411</v>
      </c>
      <c r="B502" s="8" t="s">
        <v>80</v>
      </c>
      <c r="C502" s="14" t="s">
        <v>837</v>
      </c>
      <c r="D502" s="8" t="s">
        <v>6304</v>
      </c>
      <c r="E502" s="14" t="s">
        <v>2591</v>
      </c>
    </row>
    <row r="503">
      <c r="A503" s="8" t="s">
        <v>4412</v>
      </c>
      <c r="B503" s="8" t="s">
        <v>65</v>
      </c>
      <c r="C503" s="14" t="s">
        <v>2033</v>
      </c>
      <c r="D503" s="8" t="s">
        <v>2574</v>
      </c>
      <c r="E503" s="14" t="s">
        <v>2586</v>
      </c>
    </row>
    <row r="504">
      <c r="A504" s="8" t="s">
        <v>4413</v>
      </c>
      <c r="B504" s="8" t="s">
        <v>192</v>
      </c>
      <c r="C504" s="14" t="s">
        <v>1352</v>
      </c>
      <c r="D504" s="8" t="s">
        <v>2575</v>
      </c>
      <c r="E504" s="14" t="s">
        <v>2568</v>
      </c>
    </row>
    <row r="505">
      <c r="A505" s="8" t="s">
        <v>6317</v>
      </c>
      <c r="B505" s="8" t="s">
        <v>53</v>
      </c>
      <c r="C505" s="14" t="s">
        <v>837</v>
      </c>
      <c r="D505" s="8" t="s">
        <v>2584</v>
      </c>
      <c r="E505" s="14" t="s">
        <v>2568</v>
      </c>
    </row>
    <row r="506">
      <c r="A506" s="8" t="s">
        <v>6318</v>
      </c>
      <c r="B506" s="8" t="s">
        <v>65</v>
      </c>
      <c r="C506" s="14" t="s">
        <v>2296</v>
      </c>
      <c r="D506" s="8" t="s">
        <v>2584</v>
      </c>
      <c r="E506" s="14" t="s">
        <v>2573</v>
      </c>
    </row>
    <row r="507">
      <c r="A507" s="8" t="s">
        <v>6319</v>
      </c>
      <c r="B507" s="8" t="s">
        <v>132</v>
      </c>
      <c r="C507" s="14" t="s">
        <v>631</v>
      </c>
      <c r="D507" s="8" t="s">
        <v>2603</v>
      </c>
      <c r="E507" s="14" t="s">
        <v>2599</v>
      </c>
    </row>
    <row r="508">
      <c r="A508" s="8" t="s">
        <v>6320</v>
      </c>
      <c r="B508" s="8" t="s">
        <v>70</v>
      </c>
      <c r="C508" s="14" t="s">
        <v>1352</v>
      </c>
      <c r="D508" s="8" t="s">
        <v>6303</v>
      </c>
      <c r="E508" s="14" t="s">
        <v>2594</v>
      </c>
    </row>
    <row r="509">
      <c r="A509" s="8" t="s">
        <v>6321</v>
      </c>
      <c r="B509" s="8" t="s">
        <v>93</v>
      </c>
      <c r="C509" s="14" t="s">
        <v>459</v>
      </c>
      <c r="D509" s="8" t="s">
        <v>2584</v>
      </c>
      <c r="E509" s="14" t="s">
        <v>2602</v>
      </c>
    </row>
    <row r="510">
      <c r="A510" s="8" t="s">
        <v>6322</v>
      </c>
      <c r="B510" s="8" t="s">
        <v>46</v>
      </c>
      <c r="C510" s="14" t="s">
        <v>1352</v>
      </c>
      <c r="D510" s="8" t="s">
        <v>6303</v>
      </c>
      <c r="E510" s="14" t="s">
        <v>2565</v>
      </c>
    </row>
    <row r="511">
      <c r="A511" s="8" t="s">
        <v>6323</v>
      </c>
      <c r="B511" s="8" t="s">
        <v>122</v>
      </c>
      <c r="C511" s="14" t="s">
        <v>1679</v>
      </c>
      <c r="D511" s="8" t="s">
        <v>2585</v>
      </c>
      <c r="E511" s="14" t="s">
        <v>2568</v>
      </c>
    </row>
    <row r="512">
      <c r="A512" s="8" t="s">
        <v>6324</v>
      </c>
      <c r="B512" s="8" t="s">
        <v>65</v>
      </c>
      <c r="C512" s="14" t="s">
        <v>2296</v>
      </c>
      <c r="D512" s="8" t="s">
        <v>2574</v>
      </c>
      <c r="E512" s="14" t="s">
        <v>2599</v>
      </c>
    </row>
    <row r="513">
      <c r="A513" s="8" t="s">
        <v>6325</v>
      </c>
      <c r="B513" s="8" t="s">
        <v>215</v>
      </c>
      <c r="C513" s="14" t="s">
        <v>1352</v>
      </c>
      <c r="D513" s="8" t="s">
        <v>2562</v>
      </c>
      <c r="E513" s="14" t="s">
        <v>2586</v>
      </c>
    </row>
    <row r="514">
      <c r="A514" s="8" t="s">
        <v>6326</v>
      </c>
      <c r="B514" s="8" t="s">
        <v>80</v>
      </c>
      <c r="C514" s="14" t="s">
        <v>2296</v>
      </c>
      <c r="D514" s="8" t="s">
        <v>2585</v>
      </c>
      <c r="E514" s="14" t="s">
        <v>2563</v>
      </c>
    </row>
    <row r="515">
      <c r="A515" s="8" t="s">
        <v>6327</v>
      </c>
      <c r="B515" s="8" t="s">
        <v>192</v>
      </c>
      <c r="C515" s="14" t="s">
        <v>631</v>
      </c>
      <c r="D515" s="8" t="s">
        <v>6303</v>
      </c>
      <c r="E515" s="14" t="s">
        <v>2578</v>
      </c>
    </row>
    <row r="516">
      <c r="A516" s="8" t="s">
        <v>4428</v>
      </c>
      <c r="B516" s="8" t="s">
        <v>65</v>
      </c>
      <c r="C516" s="14" t="s">
        <v>2459</v>
      </c>
      <c r="D516" s="8" t="s">
        <v>2603</v>
      </c>
      <c r="E516" s="14" t="s">
        <v>2571</v>
      </c>
    </row>
    <row r="517">
      <c r="A517" s="8" t="s">
        <v>4430</v>
      </c>
      <c r="B517" s="8" t="s">
        <v>53</v>
      </c>
      <c r="C517" s="14" t="s">
        <v>2296</v>
      </c>
      <c r="D517" s="8" t="s">
        <v>2621</v>
      </c>
      <c r="E517" s="14" t="s">
        <v>2622</v>
      </c>
    </row>
    <row r="518">
      <c r="A518" s="8" t="s">
        <v>4431</v>
      </c>
      <c r="B518" s="8" t="s">
        <v>93</v>
      </c>
      <c r="C518" s="14" t="s">
        <v>1679</v>
      </c>
      <c r="D518" s="8" t="s">
        <v>2183</v>
      </c>
      <c r="E518" s="14" t="s">
        <v>2606</v>
      </c>
    </row>
    <row r="519">
      <c r="A519" s="8" t="s">
        <v>4432</v>
      </c>
      <c r="B519" s="8" t="s">
        <v>70</v>
      </c>
      <c r="C519" s="14" t="s">
        <v>2033</v>
      </c>
      <c r="D519" s="8" t="s">
        <v>2562</v>
      </c>
      <c r="E519" s="14" t="s">
        <v>2602</v>
      </c>
    </row>
    <row r="520">
      <c r="A520" s="8" t="s">
        <v>4433</v>
      </c>
      <c r="B520" s="8" t="s">
        <v>65</v>
      </c>
      <c r="C520" s="14" t="s">
        <v>1679</v>
      </c>
      <c r="D520" s="8" t="s">
        <v>2587</v>
      </c>
      <c r="E520" s="14" t="s">
        <v>2576</v>
      </c>
    </row>
    <row r="521">
      <c r="A521" s="8" t="s">
        <v>4434</v>
      </c>
      <c r="B521" s="8" t="s">
        <v>122</v>
      </c>
      <c r="C521" s="14" t="s">
        <v>2296</v>
      </c>
      <c r="D521" s="8" t="s">
        <v>2582</v>
      </c>
      <c r="E521" s="14" t="s">
        <v>2578</v>
      </c>
    </row>
    <row r="522">
      <c r="A522" s="8" t="s">
        <v>4435</v>
      </c>
      <c r="B522" s="8" t="s">
        <v>138</v>
      </c>
      <c r="C522" s="14" t="s">
        <v>2033</v>
      </c>
      <c r="D522" s="8" t="s">
        <v>2554</v>
      </c>
      <c r="E522" s="14" t="s">
        <v>2608</v>
      </c>
    </row>
    <row r="523">
      <c r="A523" s="8" t="s">
        <v>4436</v>
      </c>
      <c r="B523" s="8" t="s">
        <v>65</v>
      </c>
      <c r="C523" s="14" t="s">
        <v>1679</v>
      </c>
      <c r="D523" s="8" t="s">
        <v>2620</v>
      </c>
      <c r="E523" s="14" t="s">
        <v>2602</v>
      </c>
    </row>
    <row r="524">
      <c r="A524" s="8" t="s">
        <v>4437</v>
      </c>
      <c r="B524" s="8" t="s">
        <v>215</v>
      </c>
      <c r="C524" s="14" t="s">
        <v>1679</v>
      </c>
      <c r="D524" s="8" t="s">
        <v>2564</v>
      </c>
      <c r="E524" s="14" t="s">
        <v>2568</v>
      </c>
    </row>
    <row r="525">
      <c r="A525" s="8" t="s">
        <v>4438</v>
      </c>
      <c r="B525" s="8" t="s">
        <v>16</v>
      </c>
      <c r="C525" s="14" t="s">
        <v>1070</v>
      </c>
      <c r="D525" s="8" t="s">
        <v>2614</v>
      </c>
      <c r="E525" s="14" t="s">
        <v>2599</v>
      </c>
    </row>
    <row r="526">
      <c r="A526" s="8" t="s">
        <v>4439</v>
      </c>
      <c r="B526" s="8" t="s">
        <v>186</v>
      </c>
      <c r="C526" s="14" t="s">
        <v>2033</v>
      </c>
      <c r="D526" s="8" t="s">
        <v>2593</v>
      </c>
      <c r="E526" s="14" t="s">
        <v>2594</v>
      </c>
    </row>
    <row r="527">
      <c r="A527" s="8" t="s">
        <v>4440</v>
      </c>
      <c r="B527" s="8" t="s">
        <v>75</v>
      </c>
      <c r="C527" s="14" t="s">
        <v>631</v>
      </c>
      <c r="D527" s="8" t="s">
        <v>2552</v>
      </c>
      <c r="E527" s="14" t="s">
        <v>2609</v>
      </c>
    </row>
    <row r="528">
      <c r="A528" s="8" t="s">
        <v>4441</v>
      </c>
      <c r="B528" s="8" t="s">
        <v>24</v>
      </c>
      <c r="C528" s="14" t="s">
        <v>1679</v>
      </c>
      <c r="D528" s="8" t="s">
        <v>2564</v>
      </c>
      <c r="E528" s="14" t="s">
        <v>2607</v>
      </c>
    </row>
    <row r="529">
      <c r="A529" s="8" t="s">
        <v>4442</v>
      </c>
      <c r="B529" s="8" t="s">
        <v>192</v>
      </c>
      <c r="C529" s="14" t="s">
        <v>1352</v>
      </c>
      <c r="D529" s="8" t="s">
        <v>6304</v>
      </c>
      <c r="E529" s="14" t="s">
        <v>2576</v>
      </c>
    </row>
    <row r="530">
      <c r="A530" s="8" t="s">
        <v>4444</v>
      </c>
      <c r="B530" s="8" t="s">
        <v>141</v>
      </c>
      <c r="C530" s="14" t="s">
        <v>1679</v>
      </c>
      <c r="D530" s="8" t="s">
        <v>2620</v>
      </c>
      <c r="E530" s="14" t="s">
        <v>2557</v>
      </c>
    </row>
    <row r="531">
      <c r="A531" s="8" t="s">
        <v>4446</v>
      </c>
      <c r="B531" s="8" t="s">
        <v>24</v>
      </c>
      <c r="C531" s="14" t="s">
        <v>2033</v>
      </c>
      <c r="D531" s="8" t="s">
        <v>2614</v>
      </c>
      <c r="E531" s="14" t="s">
        <v>2573</v>
      </c>
    </row>
    <row r="532">
      <c r="A532" s="8" t="s">
        <v>4447</v>
      </c>
      <c r="B532" s="8" t="s">
        <v>70</v>
      </c>
      <c r="C532" s="14" t="s">
        <v>1679</v>
      </c>
      <c r="D532" s="8" t="s">
        <v>2552</v>
      </c>
      <c r="E532" s="14" t="s">
        <v>2625</v>
      </c>
    </row>
    <row r="533">
      <c r="A533" s="8" t="s">
        <v>4448</v>
      </c>
      <c r="B533" s="8" t="s">
        <v>138</v>
      </c>
      <c r="C533" s="14" t="s">
        <v>1352</v>
      </c>
      <c r="D533" s="8" t="s">
        <v>2566</v>
      </c>
      <c r="E533" s="14" t="s">
        <v>2607</v>
      </c>
    </row>
    <row r="534">
      <c r="A534" s="8" t="s">
        <v>4449</v>
      </c>
      <c r="B534" s="8" t="s">
        <v>70</v>
      </c>
      <c r="C534" s="14" t="s">
        <v>1679</v>
      </c>
      <c r="D534" s="8" t="s">
        <v>2621</v>
      </c>
      <c r="E534" s="14" t="s">
        <v>2609</v>
      </c>
    </row>
    <row r="535">
      <c r="A535" s="8" t="s">
        <v>4450</v>
      </c>
      <c r="B535" s="8" t="s">
        <v>80</v>
      </c>
      <c r="C535" s="14" t="s">
        <v>837</v>
      </c>
      <c r="D535" s="8" t="s">
        <v>2615</v>
      </c>
      <c r="E535" s="14" t="s">
        <v>2633</v>
      </c>
    </row>
    <row r="536">
      <c r="A536" s="8" t="s">
        <v>4451</v>
      </c>
      <c r="B536" s="8" t="s">
        <v>65</v>
      </c>
      <c r="C536" s="14" t="s">
        <v>2459</v>
      </c>
      <c r="D536" s="8" t="s">
        <v>2592</v>
      </c>
      <c r="E536" s="14" t="s">
        <v>2576</v>
      </c>
    </row>
    <row r="537">
      <c r="A537" s="8" t="s">
        <v>4452</v>
      </c>
      <c r="B537" s="8" t="s">
        <v>70</v>
      </c>
      <c r="C537" s="14" t="s">
        <v>2296</v>
      </c>
      <c r="D537" s="8" t="s">
        <v>2600</v>
      </c>
      <c r="E537" s="14" t="s">
        <v>2557</v>
      </c>
    </row>
    <row r="538">
      <c r="A538" s="8" t="s">
        <v>4453</v>
      </c>
      <c r="B538" s="8" t="s">
        <v>70</v>
      </c>
      <c r="C538" s="14" t="s">
        <v>837</v>
      </c>
      <c r="D538" s="8" t="s">
        <v>2183</v>
      </c>
      <c r="E538" s="14" t="s">
        <v>2607</v>
      </c>
    </row>
    <row r="539">
      <c r="A539" s="8" t="s">
        <v>4454</v>
      </c>
      <c r="B539" s="8" t="s">
        <v>53</v>
      </c>
      <c r="C539" s="14" t="s">
        <v>1070</v>
      </c>
      <c r="D539" s="8" t="s">
        <v>2183</v>
      </c>
      <c r="E539" s="14" t="s">
        <v>2591</v>
      </c>
    </row>
    <row r="540">
      <c r="A540" s="8" t="s">
        <v>4455</v>
      </c>
      <c r="B540" s="8" t="s">
        <v>65</v>
      </c>
      <c r="C540" s="14" t="s">
        <v>1070</v>
      </c>
      <c r="D540" s="8" t="s">
        <v>6303</v>
      </c>
      <c r="E540" s="14" t="s">
        <v>2573</v>
      </c>
    </row>
    <row r="541">
      <c r="A541" s="8" t="s">
        <v>4456</v>
      </c>
      <c r="B541" s="8" t="s">
        <v>65</v>
      </c>
      <c r="C541" s="14" t="s">
        <v>1679</v>
      </c>
      <c r="D541" s="8" t="s">
        <v>2615</v>
      </c>
      <c r="E541" s="14" t="s">
        <v>2557</v>
      </c>
    </row>
    <row r="542">
      <c r="A542" s="8" t="s">
        <v>4457</v>
      </c>
      <c r="B542" s="8" t="s">
        <v>122</v>
      </c>
      <c r="C542" s="14" t="s">
        <v>338</v>
      </c>
      <c r="D542" s="8" t="s">
        <v>2572</v>
      </c>
      <c r="E542" s="14" t="s">
        <v>2568</v>
      </c>
    </row>
    <row r="543">
      <c r="A543" s="8" t="s">
        <v>4458</v>
      </c>
      <c r="B543" s="8" t="s">
        <v>122</v>
      </c>
      <c r="C543" s="14" t="s">
        <v>338</v>
      </c>
      <c r="D543" s="8" t="s">
        <v>2554</v>
      </c>
      <c r="E543" s="14" t="s">
        <v>2639</v>
      </c>
    </row>
    <row r="544">
      <c r="A544" s="8" t="s">
        <v>4459</v>
      </c>
      <c r="B544" s="8" t="s">
        <v>192</v>
      </c>
      <c r="C544" s="14" t="s">
        <v>2033</v>
      </c>
      <c r="D544" s="8" t="s">
        <v>2621</v>
      </c>
      <c r="E544" s="14" t="s">
        <v>2618</v>
      </c>
    </row>
    <row r="545">
      <c r="A545" s="8" t="s">
        <v>4460</v>
      </c>
      <c r="B545" s="8" t="s">
        <v>80</v>
      </c>
      <c r="C545" s="14" t="s">
        <v>1070</v>
      </c>
      <c r="D545" s="8" t="s">
        <v>2598</v>
      </c>
      <c r="E545" s="14" t="s">
        <v>2608</v>
      </c>
    </row>
    <row r="546">
      <c r="A546" s="8" t="s">
        <v>4461</v>
      </c>
      <c r="B546" s="8" t="s">
        <v>24</v>
      </c>
      <c r="C546" s="14" t="s">
        <v>1679</v>
      </c>
      <c r="D546" s="8" t="s">
        <v>2595</v>
      </c>
      <c r="E546" s="14" t="s">
        <v>2573</v>
      </c>
    </row>
    <row r="547">
      <c r="A547" s="8" t="s">
        <v>4462</v>
      </c>
      <c r="B547" s="8" t="s">
        <v>12</v>
      </c>
      <c r="C547" s="14" t="s">
        <v>237</v>
      </c>
      <c r="D547" s="8" t="s">
        <v>2552</v>
      </c>
      <c r="E547" s="14" t="s">
        <v>2602</v>
      </c>
    </row>
    <row r="548">
      <c r="A548" s="8" t="s">
        <v>4463</v>
      </c>
      <c r="B548" s="8" t="s">
        <v>75</v>
      </c>
      <c r="C548" s="14" t="s">
        <v>1352</v>
      </c>
      <c r="D548" s="8" t="s">
        <v>2572</v>
      </c>
      <c r="E548" s="14" t="s">
        <v>2563</v>
      </c>
    </row>
    <row r="549">
      <c r="A549" s="8" t="s">
        <v>4464</v>
      </c>
      <c r="B549" s="8" t="s">
        <v>122</v>
      </c>
      <c r="C549" s="14" t="s">
        <v>837</v>
      </c>
      <c r="D549" s="8" t="s">
        <v>2577</v>
      </c>
      <c r="E549" s="14" t="s">
        <v>2563</v>
      </c>
    </row>
    <row r="550">
      <c r="A550" s="8" t="s">
        <v>4465</v>
      </c>
      <c r="B550" s="8" t="s">
        <v>149</v>
      </c>
      <c r="C550" s="14" t="s">
        <v>1679</v>
      </c>
      <c r="D550" s="8" t="s">
        <v>2600</v>
      </c>
      <c r="E550" s="14" t="s">
        <v>2569</v>
      </c>
    </row>
    <row r="551">
      <c r="A551" s="8" t="s">
        <v>4466</v>
      </c>
      <c r="B551" s="8" t="s">
        <v>80</v>
      </c>
      <c r="C551" s="14" t="s">
        <v>1679</v>
      </c>
      <c r="D551" s="8" t="s">
        <v>2621</v>
      </c>
      <c r="E551" s="14" t="s">
        <v>2563</v>
      </c>
    </row>
    <row r="552">
      <c r="A552" s="8" t="s">
        <v>4467</v>
      </c>
      <c r="B552" s="8" t="s">
        <v>24</v>
      </c>
      <c r="C552" s="14" t="s">
        <v>837</v>
      </c>
      <c r="D552" s="8" t="s">
        <v>2560</v>
      </c>
      <c r="E552" s="14" t="s">
        <v>2622</v>
      </c>
    </row>
    <row r="553">
      <c r="A553" s="8" t="s">
        <v>4468</v>
      </c>
      <c r="B553" s="8" t="s">
        <v>46</v>
      </c>
      <c r="C553" s="14" t="s">
        <v>1352</v>
      </c>
      <c r="D553" s="8" t="s">
        <v>2585</v>
      </c>
      <c r="E553" s="14" t="s">
        <v>2569</v>
      </c>
    </row>
    <row r="554">
      <c r="A554" s="8" t="s">
        <v>4469</v>
      </c>
      <c r="B554" s="8" t="s">
        <v>12</v>
      </c>
      <c r="C554" s="14" t="s">
        <v>1679</v>
      </c>
      <c r="D554" s="8" t="s">
        <v>6304</v>
      </c>
      <c r="E554" s="14" t="s">
        <v>2557</v>
      </c>
    </row>
    <row r="555">
      <c r="A555" s="8" t="s">
        <v>4470</v>
      </c>
      <c r="B555" s="8" t="s">
        <v>122</v>
      </c>
      <c r="C555" s="14" t="s">
        <v>1352</v>
      </c>
      <c r="D555" s="8" t="s">
        <v>2615</v>
      </c>
      <c r="E555" s="14" t="s">
        <v>2576</v>
      </c>
    </row>
    <row r="556">
      <c r="A556" s="8" t="s">
        <v>4471</v>
      </c>
      <c r="B556" s="8" t="s">
        <v>24</v>
      </c>
      <c r="C556" s="14" t="s">
        <v>1679</v>
      </c>
      <c r="D556" s="8" t="s">
        <v>2572</v>
      </c>
      <c r="E556" s="14" t="s">
        <v>2576</v>
      </c>
    </row>
    <row r="557">
      <c r="A557" s="8" t="s">
        <v>4472</v>
      </c>
      <c r="B557" s="8" t="s">
        <v>16</v>
      </c>
      <c r="C557" s="14" t="s">
        <v>2296</v>
      </c>
      <c r="D557" s="8" t="s">
        <v>2566</v>
      </c>
      <c r="E557" s="14" t="s">
        <v>2555</v>
      </c>
    </row>
    <row r="558">
      <c r="A558" s="8" t="s">
        <v>4473</v>
      </c>
      <c r="B558" s="8" t="s">
        <v>141</v>
      </c>
      <c r="C558" s="14" t="s">
        <v>237</v>
      </c>
      <c r="D558" s="8" t="s">
        <v>2581</v>
      </c>
      <c r="E558" s="14" t="s">
        <v>2568</v>
      </c>
    </row>
    <row r="559">
      <c r="A559" s="8" t="s">
        <v>4474</v>
      </c>
      <c r="B559" s="8" t="s">
        <v>122</v>
      </c>
      <c r="C559" s="14" t="s">
        <v>1070</v>
      </c>
      <c r="D559" s="8" t="s">
        <v>2614</v>
      </c>
      <c r="E559" s="14" t="s">
        <v>2568</v>
      </c>
    </row>
    <row r="560">
      <c r="A560" s="8" t="s">
        <v>4475</v>
      </c>
      <c r="B560" s="8" t="s">
        <v>192</v>
      </c>
      <c r="C560" s="14" t="s">
        <v>459</v>
      </c>
      <c r="D560" s="8" t="s">
        <v>2183</v>
      </c>
      <c r="E560" s="14" t="s">
        <v>2591</v>
      </c>
    </row>
    <row r="561">
      <c r="A561" s="8" t="s">
        <v>4476</v>
      </c>
      <c r="B561" s="8" t="s">
        <v>122</v>
      </c>
      <c r="C561" s="14" t="s">
        <v>2033</v>
      </c>
      <c r="D561" s="8" t="s">
        <v>2614</v>
      </c>
      <c r="E561" s="14" t="s">
        <v>2576</v>
      </c>
    </row>
    <row r="562">
      <c r="A562" s="8" t="s">
        <v>4477</v>
      </c>
      <c r="B562" s="8" t="s">
        <v>138</v>
      </c>
      <c r="C562" s="14" t="s">
        <v>1679</v>
      </c>
      <c r="D562" s="8" t="s">
        <v>2552</v>
      </c>
      <c r="E562" s="14" t="s">
        <v>2633</v>
      </c>
    </row>
    <row r="563">
      <c r="A563" s="8" t="s">
        <v>4478</v>
      </c>
      <c r="B563" s="8" t="s">
        <v>65</v>
      </c>
      <c r="C563" s="14" t="s">
        <v>135</v>
      </c>
      <c r="D563" s="8" t="s">
        <v>2554</v>
      </c>
      <c r="E563" s="14" t="s">
        <v>2599</v>
      </c>
    </row>
    <row r="564">
      <c r="A564" s="8" t="s">
        <v>4480</v>
      </c>
      <c r="B564" s="8" t="s">
        <v>16</v>
      </c>
      <c r="C564" s="14" t="s">
        <v>1352</v>
      </c>
      <c r="D564" s="8" t="s">
        <v>2600</v>
      </c>
      <c r="E564" s="14" t="s">
        <v>2637</v>
      </c>
    </row>
    <row r="565">
      <c r="A565" s="8" t="s">
        <v>4481</v>
      </c>
      <c r="B565" s="8" t="s">
        <v>132</v>
      </c>
      <c r="C565" s="14" t="s">
        <v>1352</v>
      </c>
      <c r="D565" s="8" t="s">
        <v>2552</v>
      </c>
      <c r="E565" s="14" t="s">
        <v>2576</v>
      </c>
    </row>
    <row r="566">
      <c r="A566" s="8" t="s">
        <v>4482</v>
      </c>
      <c r="B566" s="8" t="s">
        <v>93</v>
      </c>
      <c r="C566" s="14" t="s">
        <v>2033</v>
      </c>
      <c r="D566" s="8" t="s">
        <v>2582</v>
      </c>
      <c r="E566" s="14" t="s">
        <v>2576</v>
      </c>
    </row>
    <row r="567">
      <c r="A567" s="8" t="s">
        <v>4483</v>
      </c>
      <c r="B567" s="8" t="s">
        <v>122</v>
      </c>
      <c r="C567" s="14" t="s">
        <v>1070</v>
      </c>
      <c r="D567" s="8" t="s">
        <v>2600</v>
      </c>
      <c r="E567" s="14" t="s">
        <v>2553</v>
      </c>
    </row>
    <row r="568">
      <c r="A568" s="8" t="s">
        <v>4484</v>
      </c>
      <c r="B568" s="8" t="s">
        <v>186</v>
      </c>
      <c r="C568" s="14" t="s">
        <v>459</v>
      </c>
      <c r="D568" s="8" t="s">
        <v>2605</v>
      </c>
      <c r="E568" s="14" t="s">
        <v>2607</v>
      </c>
    </row>
    <row r="569">
      <c r="A569" s="8" t="s">
        <v>4485</v>
      </c>
      <c r="B569" s="8" t="s">
        <v>261</v>
      </c>
      <c r="C569" s="14" t="s">
        <v>1352</v>
      </c>
      <c r="D569" s="8" t="s">
        <v>2558</v>
      </c>
      <c r="E569" s="14" t="s">
        <v>2563</v>
      </c>
    </row>
    <row r="570">
      <c r="A570" s="8" t="s">
        <v>4486</v>
      </c>
      <c r="B570" s="8" t="s">
        <v>59</v>
      </c>
      <c r="C570" s="14" t="s">
        <v>1352</v>
      </c>
      <c r="D570" s="8" t="s">
        <v>2593</v>
      </c>
      <c r="E570" s="14" t="s">
        <v>2590</v>
      </c>
    </row>
    <row r="571">
      <c r="A571" s="8" t="s">
        <v>4487</v>
      </c>
      <c r="B571" s="8" t="s">
        <v>65</v>
      </c>
      <c r="C571" s="14" t="s">
        <v>2033</v>
      </c>
      <c r="D571" s="8" t="s">
        <v>2585</v>
      </c>
      <c r="E571" s="14" t="s">
        <v>2607</v>
      </c>
    </row>
    <row r="572">
      <c r="A572" s="8" t="s">
        <v>4488</v>
      </c>
      <c r="B572" s="8" t="s">
        <v>122</v>
      </c>
      <c r="C572" s="14" t="s">
        <v>837</v>
      </c>
      <c r="D572" s="8" t="s">
        <v>2621</v>
      </c>
      <c r="E572" s="14" t="s">
        <v>2571</v>
      </c>
    </row>
    <row r="573">
      <c r="A573" s="8" t="s">
        <v>4489</v>
      </c>
      <c r="B573" s="8" t="s">
        <v>70</v>
      </c>
      <c r="C573" s="14" t="s">
        <v>1352</v>
      </c>
      <c r="D573" s="8" t="s">
        <v>2592</v>
      </c>
      <c r="E573" s="14" t="s">
        <v>2594</v>
      </c>
    </row>
    <row r="574">
      <c r="A574" s="8" t="s">
        <v>4490</v>
      </c>
      <c r="B574" s="8" t="s">
        <v>186</v>
      </c>
      <c r="C574" s="14" t="s">
        <v>631</v>
      </c>
      <c r="D574" s="8" t="s">
        <v>2621</v>
      </c>
      <c r="E574" s="14" t="s">
        <v>2555</v>
      </c>
    </row>
    <row r="575">
      <c r="A575" s="8" t="s">
        <v>4491</v>
      </c>
      <c r="B575" s="8" t="s">
        <v>80</v>
      </c>
      <c r="C575" s="14" t="s">
        <v>1352</v>
      </c>
      <c r="D575" s="8" t="s">
        <v>2614</v>
      </c>
      <c r="E575" s="14" t="s">
        <v>2622</v>
      </c>
    </row>
    <row r="576">
      <c r="A576" s="8" t="s">
        <v>4492</v>
      </c>
      <c r="B576" s="8" t="s">
        <v>93</v>
      </c>
      <c r="C576" s="14" t="s">
        <v>1070</v>
      </c>
      <c r="D576" s="8" t="s">
        <v>2593</v>
      </c>
      <c r="E576" s="14" t="s">
        <v>2570</v>
      </c>
    </row>
    <row r="577">
      <c r="A577" s="8" t="s">
        <v>4493</v>
      </c>
      <c r="B577" s="8" t="s">
        <v>70</v>
      </c>
      <c r="C577" s="14" t="s">
        <v>1352</v>
      </c>
      <c r="D577" s="8" t="s">
        <v>2614</v>
      </c>
      <c r="E577" s="14" t="s">
        <v>2576</v>
      </c>
    </row>
    <row r="578">
      <c r="A578" s="8" t="s">
        <v>4494</v>
      </c>
      <c r="B578" s="8" t="s">
        <v>65</v>
      </c>
      <c r="C578" s="14" t="s">
        <v>837</v>
      </c>
      <c r="D578" s="8" t="s">
        <v>2621</v>
      </c>
      <c r="E578" s="14" t="s">
        <v>2579</v>
      </c>
    </row>
    <row r="579">
      <c r="A579" s="8" t="s">
        <v>4495</v>
      </c>
      <c r="B579" s="8" t="s">
        <v>122</v>
      </c>
      <c r="C579" s="14" t="s">
        <v>837</v>
      </c>
      <c r="D579" s="8" t="s">
        <v>2554</v>
      </c>
      <c r="E579" s="14" t="s">
        <v>2576</v>
      </c>
    </row>
    <row r="580">
      <c r="A580" s="8" t="s">
        <v>4496</v>
      </c>
      <c r="B580" s="8" t="s">
        <v>53</v>
      </c>
      <c r="C580" s="14" t="s">
        <v>1679</v>
      </c>
      <c r="D580" s="8" t="s">
        <v>2567</v>
      </c>
      <c r="E580" s="14" t="s">
        <v>2611</v>
      </c>
    </row>
    <row r="581">
      <c r="A581" s="8" t="s">
        <v>4497</v>
      </c>
      <c r="B581" s="8" t="s">
        <v>93</v>
      </c>
      <c r="C581" s="14" t="s">
        <v>2033</v>
      </c>
      <c r="D581" s="8" t="s">
        <v>2610</v>
      </c>
      <c r="E581" s="14" t="s">
        <v>2579</v>
      </c>
    </row>
    <row r="582">
      <c r="A582" s="8" t="s">
        <v>4498</v>
      </c>
      <c r="B582" s="8" t="s">
        <v>215</v>
      </c>
      <c r="C582" s="14" t="s">
        <v>1352</v>
      </c>
      <c r="D582" s="8" t="s">
        <v>6303</v>
      </c>
      <c r="E582" s="14" t="s">
        <v>2591</v>
      </c>
    </row>
    <row r="583">
      <c r="A583" s="8" t="s">
        <v>4499</v>
      </c>
      <c r="B583" s="8" t="s">
        <v>93</v>
      </c>
      <c r="C583" s="14" t="s">
        <v>631</v>
      </c>
      <c r="D583" s="8" t="s">
        <v>2554</v>
      </c>
      <c r="E583" s="14" t="s">
        <v>2596</v>
      </c>
    </row>
    <row r="584">
      <c r="A584" s="8" t="s">
        <v>4500</v>
      </c>
      <c r="B584" s="8" t="s">
        <v>65</v>
      </c>
      <c r="C584" s="14" t="s">
        <v>2296</v>
      </c>
      <c r="D584" s="8" t="s">
        <v>2566</v>
      </c>
      <c r="E584" s="14" t="s">
        <v>2622</v>
      </c>
    </row>
    <row r="585">
      <c r="A585" s="8" t="s">
        <v>4501</v>
      </c>
      <c r="B585" s="8" t="s">
        <v>186</v>
      </c>
      <c r="C585" s="14" t="s">
        <v>1679</v>
      </c>
      <c r="D585" s="8" t="s">
        <v>2595</v>
      </c>
      <c r="E585" s="14" t="s">
        <v>2576</v>
      </c>
    </row>
    <row r="586">
      <c r="A586" s="8" t="s">
        <v>4502</v>
      </c>
      <c r="B586" s="8" t="s">
        <v>80</v>
      </c>
      <c r="C586" s="14" t="s">
        <v>2296</v>
      </c>
      <c r="D586" s="8" t="s">
        <v>2558</v>
      </c>
      <c r="E586" s="14" t="s">
        <v>2565</v>
      </c>
    </row>
    <row r="587">
      <c r="A587" s="8" t="s">
        <v>4503</v>
      </c>
      <c r="B587" s="8" t="s">
        <v>93</v>
      </c>
      <c r="C587" s="14" t="s">
        <v>837</v>
      </c>
      <c r="D587" s="8" t="s">
        <v>2610</v>
      </c>
      <c r="E587" s="14" t="s">
        <v>2590</v>
      </c>
    </row>
    <row r="588">
      <c r="A588" s="8" t="s">
        <v>4504</v>
      </c>
      <c r="B588" s="8" t="s">
        <v>70</v>
      </c>
      <c r="C588" s="14" t="s">
        <v>1679</v>
      </c>
      <c r="D588" s="8" t="s">
        <v>2183</v>
      </c>
      <c r="E588" s="14" t="s">
        <v>2555</v>
      </c>
    </row>
    <row r="589">
      <c r="A589" s="8" t="s">
        <v>4505</v>
      </c>
      <c r="B589" s="8" t="s">
        <v>24</v>
      </c>
      <c r="C589" s="14" t="s">
        <v>1679</v>
      </c>
      <c r="D589" s="8" t="s">
        <v>6303</v>
      </c>
      <c r="E589" s="14" t="s">
        <v>2622</v>
      </c>
    </row>
    <row r="590">
      <c r="A590" s="8" t="s">
        <v>4506</v>
      </c>
      <c r="B590" s="8" t="s">
        <v>70</v>
      </c>
      <c r="C590" s="14" t="s">
        <v>2296</v>
      </c>
      <c r="D590" s="8" t="s">
        <v>2593</v>
      </c>
      <c r="E590" s="14" t="s">
        <v>2565</v>
      </c>
    </row>
    <row r="591">
      <c r="A591" s="8" t="s">
        <v>4507</v>
      </c>
      <c r="B591" s="8" t="s">
        <v>46</v>
      </c>
      <c r="C591" s="14" t="s">
        <v>1070</v>
      </c>
      <c r="D591" s="8" t="s">
        <v>2575</v>
      </c>
      <c r="E591" s="14" t="s">
        <v>2580</v>
      </c>
    </row>
    <row r="592">
      <c r="A592" s="8" t="s">
        <v>4508</v>
      </c>
      <c r="B592" s="8" t="s">
        <v>24</v>
      </c>
      <c r="C592" s="14" t="s">
        <v>135</v>
      </c>
      <c r="D592" s="8" t="s">
        <v>2562</v>
      </c>
      <c r="E592" s="14" t="s">
        <v>2601</v>
      </c>
    </row>
    <row r="593">
      <c r="A593" s="8" t="s">
        <v>4509</v>
      </c>
      <c r="B593" s="8" t="s">
        <v>24</v>
      </c>
      <c r="C593" s="14" t="s">
        <v>1070</v>
      </c>
      <c r="D593" s="8" t="s">
        <v>6304</v>
      </c>
      <c r="E593" s="14" t="s">
        <v>2622</v>
      </c>
    </row>
    <row r="594">
      <c r="A594" s="8" t="s">
        <v>4510</v>
      </c>
      <c r="B594" s="8" t="s">
        <v>186</v>
      </c>
      <c r="C594" s="14" t="s">
        <v>1679</v>
      </c>
      <c r="D594" s="8" t="s">
        <v>2183</v>
      </c>
      <c r="E594" s="14" t="s">
        <v>2602</v>
      </c>
    </row>
    <row r="595">
      <c r="A595" s="8" t="s">
        <v>4511</v>
      </c>
      <c r="B595" s="8" t="s">
        <v>138</v>
      </c>
      <c r="C595" s="14" t="s">
        <v>2296</v>
      </c>
      <c r="D595" s="8" t="s">
        <v>2587</v>
      </c>
      <c r="E595" s="14" t="s">
        <v>2555</v>
      </c>
    </row>
    <row r="596">
      <c r="A596" s="8" t="s">
        <v>4512</v>
      </c>
      <c r="B596" s="8" t="s">
        <v>93</v>
      </c>
      <c r="C596" s="14" t="s">
        <v>631</v>
      </c>
      <c r="D596" s="8" t="s">
        <v>2560</v>
      </c>
      <c r="E596" s="14" t="s">
        <v>2571</v>
      </c>
    </row>
    <row r="597">
      <c r="A597" s="8" t="s">
        <v>4513</v>
      </c>
      <c r="B597" s="8" t="s">
        <v>65</v>
      </c>
      <c r="C597" s="14" t="s">
        <v>1679</v>
      </c>
      <c r="D597" s="8" t="s">
        <v>2582</v>
      </c>
      <c r="E597" s="14" t="s">
        <v>2555</v>
      </c>
    </row>
    <row r="598">
      <c r="A598" s="8" t="s">
        <v>4514</v>
      </c>
      <c r="B598" s="8" t="s">
        <v>70</v>
      </c>
      <c r="C598" s="14" t="s">
        <v>2296</v>
      </c>
      <c r="D598" s="8" t="s">
        <v>2183</v>
      </c>
      <c r="E598" s="14" t="s">
        <v>2579</v>
      </c>
    </row>
    <row r="599">
      <c r="A599" s="8" t="s">
        <v>4515</v>
      </c>
      <c r="B599" s="8" t="s">
        <v>149</v>
      </c>
      <c r="C599" s="14" t="s">
        <v>837</v>
      </c>
      <c r="D599" s="8" t="s">
        <v>2574</v>
      </c>
      <c r="E599" s="14" t="s">
        <v>2608</v>
      </c>
    </row>
    <row r="600">
      <c r="A600" s="8" t="s">
        <v>4516</v>
      </c>
      <c r="B600" s="8" t="s">
        <v>93</v>
      </c>
      <c r="C600" s="14" t="s">
        <v>1679</v>
      </c>
      <c r="D600" s="8" t="s">
        <v>6304</v>
      </c>
      <c r="E600" s="14" t="s">
        <v>2602</v>
      </c>
    </row>
    <row r="601">
      <c r="A601" s="8" t="s">
        <v>4517</v>
      </c>
      <c r="B601" s="8" t="s">
        <v>122</v>
      </c>
      <c r="C601" s="14" t="s">
        <v>459</v>
      </c>
      <c r="D601" s="8" t="s">
        <v>2584</v>
      </c>
      <c r="E601" s="14" t="s">
        <v>2568</v>
      </c>
    </row>
    <row r="602">
      <c r="A602" s="8" t="s">
        <v>4518</v>
      </c>
      <c r="B602" s="8" t="s">
        <v>65</v>
      </c>
      <c r="C602" s="14" t="s">
        <v>1070</v>
      </c>
      <c r="D602" s="8" t="s">
        <v>2558</v>
      </c>
      <c r="E602" s="14" t="s">
        <v>2559</v>
      </c>
    </row>
    <row r="603">
      <c r="A603" s="8" t="s">
        <v>4519</v>
      </c>
      <c r="B603" s="8" t="s">
        <v>93</v>
      </c>
      <c r="C603" s="14" t="s">
        <v>837</v>
      </c>
      <c r="D603" s="8" t="s">
        <v>6303</v>
      </c>
      <c r="E603" s="14" t="s">
        <v>2573</v>
      </c>
    </row>
    <row r="604">
      <c r="A604" s="8" t="s">
        <v>4520</v>
      </c>
      <c r="B604" s="8" t="s">
        <v>141</v>
      </c>
      <c r="C604" s="14" t="s">
        <v>837</v>
      </c>
      <c r="D604" s="8" t="s">
        <v>2600</v>
      </c>
      <c r="E604" s="14" t="s">
        <v>2611</v>
      </c>
    </row>
    <row r="605">
      <c r="A605" s="8" t="s">
        <v>4521</v>
      </c>
      <c r="B605" s="8" t="s">
        <v>46</v>
      </c>
      <c r="C605" s="14" t="s">
        <v>837</v>
      </c>
      <c r="D605" s="8" t="s">
        <v>2558</v>
      </c>
      <c r="E605" s="14" t="s">
        <v>2619</v>
      </c>
    </row>
    <row r="606">
      <c r="A606" s="8" t="s">
        <v>4522</v>
      </c>
      <c r="B606" s="8" t="s">
        <v>16</v>
      </c>
      <c r="C606" s="14" t="s">
        <v>1679</v>
      </c>
      <c r="D606" s="8" t="s">
        <v>2615</v>
      </c>
      <c r="E606" s="14" t="s">
        <v>2626</v>
      </c>
    </row>
    <row r="607">
      <c r="A607" s="8" t="s">
        <v>4523</v>
      </c>
      <c r="B607" s="8" t="s">
        <v>132</v>
      </c>
      <c r="C607" s="14" t="s">
        <v>459</v>
      </c>
      <c r="D607" s="8" t="s">
        <v>2577</v>
      </c>
      <c r="E607" s="14" t="s">
        <v>2634</v>
      </c>
    </row>
    <row r="608">
      <c r="A608" s="8" t="s">
        <v>4524</v>
      </c>
      <c r="B608" s="8" t="s">
        <v>149</v>
      </c>
      <c r="C608" s="14" t="s">
        <v>2296</v>
      </c>
      <c r="D608" s="8" t="s">
        <v>2593</v>
      </c>
      <c r="E608" s="14" t="s">
        <v>2570</v>
      </c>
    </row>
    <row r="609">
      <c r="A609" s="8" t="s">
        <v>4525</v>
      </c>
      <c r="B609" s="8" t="s">
        <v>70</v>
      </c>
      <c r="C609" s="14" t="s">
        <v>837</v>
      </c>
      <c r="D609" s="8" t="s">
        <v>2621</v>
      </c>
      <c r="E609" s="14" t="s">
        <v>2612</v>
      </c>
    </row>
    <row r="610">
      <c r="A610" s="8" t="s">
        <v>4526</v>
      </c>
      <c r="B610" s="8" t="s">
        <v>70</v>
      </c>
      <c r="C610" s="14" t="s">
        <v>837</v>
      </c>
      <c r="D610" s="8" t="s">
        <v>6303</v>
      </c>
      <c r="E610" s="14" t="s">
        <v>2604</v>
      </c>
    </row>
    <row r="611">
      <c r="A611" s="8" t="s">
        <v>4528</v>
      </c>
      <c r="B611" s="8" t="s">
        <v>93</v>
      </c>
      <c r="C611" s="14" t="s">
        <v>2459</v>
      </c>
      <c r="D611" s="8" t="s">
        <v>2593</v>
      </c>
      <c r="E611" s="14" t="s">
        <v>2557</v>
      </c>
    </row>
    <row r="612">
      <c r="A612" s="8" t="s">
        <v>4530</v>
      </c>
      <c r="B612" s="8" t="s">
        <v>186</v>
      </c>
      <c r="C612" s="14" t="s">
        <v>2296</v>
      </c>
      <c r="D612" s="8" t="s">
        <v>2621</v>
      </c>
      <c r="E612" s="14" t="s">
        <v>2609</v>
      </c>
    </row>
    <row r="613">
      <c r="A613" s="8" t="s">
        <v>4532</v>
      </c>
      <c r="B613" s="8" t="s">
        <v>186</v>
      </c>
      <c r="C613" s="14" t="s">
        <v>1070</v>
      </c>
      <c r="D613" s="8" t="s">
        <v>2585</v>
      </c>
      <c r="E613" s="14" t="s">
        <v>2622</v>
      </c>
    </row>
    <row r="614">
      <c r="A614" s="8" t="s">
        <v>4534</v>
      </c>
      <c r="B614" s="8" t="s">
        <v>70</v>
      </c>
      <c r="C614" s="14" t="s">
        <v>2296</v>
      </c>
      <c r="D614" s="8" t="s">
        <v>2605</v>
      </c>
      <c r="E614" s="14" t="s">
        <v>2573</v>
      </c>
    </row>
    <row r="615">
      <c r="A615" s="8" t="s">
        <v>4536</v>
      </c>
      <c r="B615" s="8" t="s">
        <v>65</v>
      </c>
      <c r="C615" s="14" t="s">
        <v>1679</v>
      </c>
      <c r="D615" s="8" t="s">
        <v>2603</v>
      </c>
      <c r="E615" s="14" t="s">
        <v>2571</v>
      </c>
    </row>
    <row r="616">
      <c r="A616" s="8" t="s">
        <v>4538</v>
      </c>
      <c r="B616" s="8" t="s">
        <v>24</v>
      </c>
      <c r="C616" s="14" t="s">
        <v>1070</v>
      </c>
      <c r="D616" s="8" t="s">
        <v>2552</v>
      </c>
      <c r="E616" s="14" t="s">
        <v>2573</v>
      </c>
    </row>
    <row r="617">
      <c r="A617" s="8" t="s">
        <v>4539</v>
      </c>
      <c r="B617" s="8" t="s">
        <v>24</v>
      </c>
      <c r="C617" s="14" t="s">
        <v>2033</v>
      </c>
      <c r="D617" s="8" t="s">
        <v>2615</v>
      </c>
      <c r="E617" s="14" t="s">
        <v>2588</v>
      </c>
    </row>
    <row r="618">
      <c r="A618" s="8" t="s">
        <v>4540</v>
      </c>
      <c r="B618" s="8" t="s">
        <v>122</v>
      </c>
      <c r="C618" s="14" t="s">
        <v>1070</v>
      </c>
      <c r="D618" s="8" t="s">
        <v>2595</v>
      </c>
      <c r="E618" s="14" t="s">
        <v>2586</v>
      </c>
    </row>
    <row r="619">
      <c r="A619" s="8" t="s">
        <v>4541</v>
      </c>
      <c r="B619" s="8" t="s">
        <v>122</v>
      </c>
      <c r="C619" s="14" t="s">
        <v>837</v>
      </c>
      <c r="D619" s="8" t="s">
        <v>2600</v>
      </c>
      <c r="E619" s="14" t="s">
        <v>2579</v>
      </c>
    </row>
    <row r="620">
      <c r="A620" s="8" t="s">
        <v>4542</v>
      </c>
      <c r="B620" s="8" t="s">
        <v>75</v>
      </c>
      <c r="C620" s="14" t="s">
        <v>459</v>
      </c>
      <c r="D620" s="8" t="s">
        <v>2621</v>
      </c>
      <c r="E620" s="14" t="s">
        <v>2609</v>
      </c>
    </row>
    <row r="621">
      <c r="A621" s="8" t="s">
        <v>4543</v>
      </c>
      <c r="B621" s="8" t="s">
        <v>46</v>
      </c>
      <c r="C621" s="14" t="s">
        <v>2033</v>
      </c>
      <c r="D621" s="8" t="s">
        <v>6304</v>
      </c>
      <c r="E621" s="14" t="s">
        <v>2612</v>
      </c>
    </row>
    <row r="622">
      <c r="A622" s="8" t="s">
        <v>4544</v>
      </c>
      <c r="B622" s="8" t="s">
        <v>65</v>
      </c>
      <c r="C622" s="14" t="s">
        <v>2033</v>
      </c>
      <c r="D622" s="8" t="s">
        <v>2587</v>
      </c>
      <c r="E622" s="14" t="s">
        <v>2583</v>
      </c>
    </row>
    <row r="623">
      <c r="A623" s="8" t="s">
        <v>4545</v>
      </c>
      <c r="B623" s="8" t="s">
        <v>149</v>
      </c>
      <c r="C623" s="14" t="s">
        <v>1679</v>
      </c>
      <c r="D623" s="8" t="s">
        <v>2562</v>
      </c>
      <c r="E623" s="14" t="s">
        <v>2627</v>
      </c>
    </row>
    <row r="624">
      <c r="A624" s="8" t="s">
        <v>4546</v>
      </c>
      <c r="B624" s="8" t="s">
        <v>24</v>
      </c>
      <c r="C624" s="14" t="s">
        <v>1679</v>
      </c>
      <c r="D624" s="8" t="s">
        <v>2183</v>
      </c>
      <c r="E624" s="14" t="s">
        <v>2568</v>
      </c>
    </row>
    <row r="625">
      <c r="A625" s="8" t="s">
        <v>4547</v>
      </c>
      <c r="B625" s="8" t="s">
        <v>53</v>
      </c>
      <c r="C625" s="14" t="s">
        <v>1679</v>
      </c>
      <c r="D625" s="8" t="s">
        <v>2562</v>
      </c>
      <c r="E625" s="14" t="s">
        <v>2570</v>
      </c>
    </row>
    <row r="626">
      <c r="A626" s="8" t="s">
        <v>4548</v>
      </c>
      <c r="B626" s="8" t="s">
        <v>16</v>
      </c>
      <c r="C626" s="14" t="s">
        <v>1679</v>
      </c>
      <c r="D626" s="8" t="s">
        <v>2560</v>
      </c>
      <c r="E626" s="14" t="s">
        <v>2612</v>
      </c>
    </row>
    <row r="627">
      <c r="A627" s="8" t="s">
        <v>4549</v>
      </c>
      <c r="B627" s="8" t="s">
        <v>122</v>
      </c>
      <c r="C627" s="14" t="s">
        <v>1679</v>
      </c>
      <c r="D627" s="8" t="s">
        <v>2581</v>
      </c>
      <c r="E627" s="14" t="s">
        <v>2601</v>
      </c>
    </row>
    <row r="628">
      <c r="A628" s="8" t="s">
        <v>4550</v>
      </c>
      <c r="B628" s="8" t="s">
        <v>93</v>
      </c>
      <c r="C628" s="14" t="s">
        <v>1679</v>
      </c>
      <c r="D628" s="8" t="s">
        <v>2610</v>
      </c>
      <c r="E628" s="14" t="s">
        <v>2609</v>
      </c>
    </row>
    <row r="629">
      <c r="A629" s="8" t="s">
        <v>4551</v>
      </c>
      <c r="B629" s="8" t="s">
        <v>24</v>
      </c>
      <c r="C629" s="14" t="s">
        <v>2296</v>
      </c>
      <c r="D629" s="8" t="s">
        <v>2587</v>
      </c>
      <c r="E629" s="14" t="s">
        <v>2622</v>
      </c>
    </row>
    <row r="630">
      <c r="A630" s="8" t="s">
        <v>4552</v>
      </c>
      <c r="B630" s="8" t="s">
        <v>138</v>
      </c>
      <c r="C630" s="14" t="s">
        <v>1679</v>
      </c>
      <c r="D630" s="8" t="s">
        <v>2584</v>
      </c>
      <c r="E630" s="14" t="s">
        <v>2591</v>
      </c>
    </row>
    <row r="631">
      <c r="A631" s="8" t="s">
        <v>4553</v>
      </c>
      <c r="B631" s="8" t="s">
        <v>24</v>
      </c>
      <c r="C631" s="14" t="s">
        <v>1679</v>
      </c>
      <c r="D631" s="8" t="s">
        <v>2605</v>
      </c>
      <c r="E631" s="14" t="s">
        <v>2555</v>
      </c>
    </row>
    <row r="632">
      <c r="A632" s="8" t="s">
        <v>4554</v>
      </c>
      <c r="B632" s="8" t="s">
        <v>122</v>
      </c>
      <c r="C632" s="14" t="s">
        <v>2296</v>
      </c>
      <c r="D632" s="8" t="s">
        <v>2575</v>
      </c>
      <c r="E632" s="14" t="s">
        <v>2568</v>
      </c>
    </row>
    <row r="633">
      <c r="A633" s="8" t="s">
        <v>4556</v>
      </c>
      <c r="B633" s="8" t="s">
        <v>70</v>
      </c>
      <c r="C633" s="14" t="s">
        <v>1070</v>
      </c>
      <c r="D633" s="8" t="s">
        <v>2560</v>
      </c>
      <c r="E633" s="14" t="s">
        <v>2609</v>
      </c>
    </row>
    <row r="634">
      <c r="A634" s="8" t="s">
        <v>4557</v>
      </c>
      <c r="B634" s="8" t="s">
        <v>70</v>
      </c>
      <c r="C634" s="14" t="s">
        <v>1679</v>
      </c>
      <c r="D634" s="8" t="s">
        <v>2575</v>
      </c>
      <c r="E634" s="14" t="s">
        <v>2583</v>
      </c>
    </row>
    <row r="635">
      <c r="A635" s="8" t="s">
        <v>4558</v>
      </c>
      <c r="B635" s="8" t="s">
        <v>132</v>
      </c>
      <c r="C635" s="14" t="s">
        <v>837</v>
      </c>
      <c r="D635" s="8" t="s">
        <v>2587</v>
      </c>
      <c r="E635" s="14" t="s">
        <v>2609</v>
      </c>
    </row>
    <row r="636">
      <c r="A636" s="8" t="s">
        <v>4559</v>
      </c>
      <c r="B636" s="8" t="s">
        <v>93</v>
      </c>
      <c r="C636" s="14" t="s">
        <v>1070</v>
      </c>
      <c r="D636" s="8" t="s">
        <v>2620</v>
      </c>
      <c r="E636" s="14" t="s">
        <v>2609</v>
      </c>
    </row>
    <row r="637">
      <c r="A637" s="8" t="s">
        <v>4560</v>
      </c>
      <c r="B637" s="8" t="s">
        <v>59</v>
      </c>
      <c r="C637" s="14" t="s">
        <v>1070</v>
      </c>
      <c r="D637" s="8" t="s">
        <v>2598</v>
      </c>
      <c r="E637" s="14" t="s">
        <v>2608</v>
      </c>
    </row>
    <row r="638">
      <c r="A638" s="8" t="s">
        <v>4561</v>
      </c>
      <c r="B638" s="8" t="s">
        <v>122</v>
      </c>
      <c r="C638" s="14" t="s">
        <v>1352</v>
      </c>
      <c r="D638" s="8" t="s">
        <v>2598</v>
      </c>
      <c r="E638" s="14" t="s">
        <v>2573</v>
      </c>
    </row>
    <row r="639">
      <c r="A639" s="8" t="s">
        <v>4562</v>
      </c>
      <c r="B639" s="8" t="s">
        <v>138</v>
      </c>
      <c r="C639" s="14" t="s">
        <v>1352</v>
      </c>
      <c r="D639" s="8" t="s">
        <v>2558</v>
      </c>
      <c r="E639" s="14" t="s">
        <v>2601</v>
      </c>
    </row>
    <row r="640">
      <c r="A640" s="8" t="s">
        <v>4563</v>
      </c>
      <c r="B640" s="8" t="s">
        <v>80</v>
      </c>
      <c r="C640" s="14" t="s">
        <v>837</v>
      </c>
      <c r="D640" s="8" t="s">
        <v>2587</v>
      </c>
      <c r="E640" s="14" t="s">
        <v>2622</v>
      </c>
    </row>
    <row r="641">
      <c r="A641" s="8" t="s">
        <v>4564</v>
      </c>
      <c r="B641" s="8" t="s">
        <v>93</v>
      </c>
      <c r="C641" s="14" t="s">
        <v>2296</v>
      </c>
      <c r="D641" s="8" t="s">
        <v>2566</v>
      </c>
      <c r="E641" s="14" t="s">
        <v>2573</v>
      </c>
    </row>
    <row r="642">
      <c r="A642" s="8" t="s">
        <v>4565</v>
      </c>
      <c r="B642" s="8" t="s">
        <v>65</v>
      </c>
      <c r="C642" s="14" t="s">
        <v>1070</v>
      </c>
      <c r="D642" s="8" t="s">
        <v>2562</v>
      </c>
      <c r="E642" s="14" t="s">
        <v>2568</v>
      </c>
    </row>
    <row r="643">
      <c r="A643" s="8" t="s">
        <v>4566</v>
      </c>
      <c r="B643" s="8" t="s">
        <v>65</v>
      </c>
      <c r="C643" s="14" t="s">
        <v>837</v>
      </c>
      <c r="D643" s="8" t="s">
        <v>2562</v>
      </c>
      <c r="E643" s="14" t="s">
        <v>2635</v>
      </c>
    </row>
    <row r="644">
      <c r="A644" s="8" t="s">
        <v>4567</v>
      </c>
      <c r="B644" s="8" t="s">
        <v>80</v>
      </c>
      <c r="C644" s="14" t="s">
        <v>1070</v>
      </c>
      <c r="D644" s="8" t="s">
        <v>2605</v>
      </c>
      <c r="E644" s="14" t="s">
        <v>2576</v>
      </c>
    </row>
    <row r="645">
      <c r="A645" s="8" t="s">
        <v>4568</v>
      </c>
      <c r="B645" s="8" t="s">
        <v>70</v>
      </c>
      <c r="C645" s="14" t="s">
        <v>1070</v>
      </c>
      <c r="D645" s="8" t="s">
        <v>6304</v>
      </c>
      <c r="E645" s="14" t="s">
        <v>2602</v>
      </c>
    </row>
    <row r="646">
      <c r="A646" s="8" t="s">
        <v>4569</v>
      </c>
      <c r="B646" s="8" t="s">
        <v>65</v>
      </c>
      <c r="C646" s="14" t="s">
        <v>837</v>
      </c>
      <c r="D646" s="8" t="s">
        <v>2574</v>
      </c>
      <c r="E646" s="14" t="s">
        <v>2555</v>
      </c>
    </row>
    <row r="647">
      <c r="A647" s="8" t="s">
        <v>4570</v>
      </c>
      <c r="B647" s="8" t="s">
        <v>93</v>
      </c>
      <c r="C647" s="14" t="s">
        <v>1352</v>
      </c>
      <c r="D647" s="8" t="s">
        <v>2562</v>
      </c>
      <c r="E647" s="14" t="s">
        <v>2594</v>
      </c>
    </row>
    <row r="648">
      <c r="A648" s="8" t="s">
        <v>4571</v>
      </c>
      <c r="B648" s="8" t="s">
        <v>215</v>
      </c>
      <c r="C648" s="14" t="s">
        <v>1352</v>
      </c>
      <c r="D648" s="8" t="s">
        <v>2600</v>
      </c>
      <c r="E648" s="14" t="s">
        <v>2565</v>
      </c>
    </row>
    <row r="649">
      <c r="A649" s="8" t="s">
        <v>4572</v>
      </c>
      <c r="B649" s="8" t="s">
        <v>93</v>
      </c>
      <c r="C649" s="14" t="s">
        <v>1352</v>
      </c>
      <c r="D649" s="8" t="s">
        <v>6303</v>
      </c>
      <c r="E649" s="14" t="s">
        <v>2609</v>
      </c>
    </row>
    <row r="650">
      <c r="A650" s="8" t="s">
        <v>4573</v>
      </c>
      <c r="B650" s="8" t="s">
        <v>65</v>
      </c>
      <c r="C650" s="14" t="s">
        <v>1352</v>
      </c>
      <c r="D650" s="8" t="s">
        <v>2584</v>
      </c>
      <c r="E650" s="14" t="s">
        <v>2608</v>
      </c>
    </row>
    <row r="651">
      <c r="A651" s="8" t="s">
        <v>4574</v>
      </c>
      <c r="B651" s="8" t="s">
        <v>138</v>
      </c>
      <c r="C651" s="14" t="s">
        <v>631</v>
      </c>
      <c r="D651" s="8" t="s">
        <v>2585</v>
      </c>
      <c r="E651" s="14" t="s">
        <v>2611</v>
      </c>
    </row>
    <row r="652">
      <c r="A652" s="8" t="s">
        <v>4575</v>
      </c>
      <c r="B652" s="8" t="s">
        <v>65</v>
      </c>
      <c r="C652" s="14" t="s">
        <v>2033</v>
      </c>
      <c r="D652" s="8" t="s">
        <v>2585</v>
      </c>
      <c r="E652" s="14" t="s">
        <v>2573</v>
      </c>
    </row>
    <row r="653">
      <c r="A653" s="8" t="s">
        <v>4576</v>
      </c>
      <c r="B653" s="8" t="s">
        <v>122</v>
      </c>
      <c r="C653" s="14" t="s">
        <v>1352</v>
      </c>
      <c r="D653" s="8" t="s">
        <v>2585</v>
      </c>
      <c r="E653" s="14" t="s">
        <v>2604</v>
      </c>
    </row>
    <row r="654">
      <c r="A654" s="8" t="s">
        <v>4577</v>
      </c>
      <c r="B654" s="8" t="s">
        <v>186</v>
      </c>
      <c r="C654" s="14" t="s">
        <v>1679</v>
      </c>
      <c r="D654" s="8" t="s">
        <v>2598</v>
      </c>
      <c r="E654" s="14" t="s">
        <v>2561</v>
      </c>
    </row>
    <row r="655">
      <c r="A655" s="8" t="s">
        <v>4578</v>
      </c>
      <c r="B655" s="8" t="s">
        <v>192</v>
      </c>
      <c r="C655" s="14" t="s">
        <v>1352</v>
      </c>
      <c r="D655" s="8" t="s">
        <v>2564</v>
      </c>
      <c r="E655" s="14" t="s">
        <v>2594</v>
      </c>
    </row>
    <row r="656">
      <c r="A656" s="8" t="s">
        <v>4579</v>
      </c>
      <c r="B656" s="8" t="s">
        <v>80</v>
      </c>
      <c r="C656" s="14" t="s">
        <v>2296</v>
      </c>
      <c r="D656" s="8" t="s">
        <v>6303</v>
      </c>
      <c r="E656" s="14" t="s">
        <v>2557</v>
      </c>
    </row>
    <row r="657">
      <c r="A657" s="8" t="s">
        <v>4580</v>
      </c>
      <c r="B657" s="8" t="s">
        <v>59</v>
      </c>
      <c r="C657" s="14" t="s">
        <v>237</v>
      </c>
      <c r="D657" s="8" t="s">
        <v>2620</v>
      </c>
      <c r="E657" s="14" t="s">
        <v>2557</v>
      </c>
    </row>
    <row r="658">
      <c r="A658" s="8" t="s">
        <v>4581</v>
      </c>
      <c r="B658" s="8" t="s">
        <v>24</v>
      </c>
      <c r="C658" s="14" t="s">
        <v>83</v>
      </c>
      <c r="D658" s="8" t="s">
        <v>2621</v>
      </c>
      <c r="E658" s="14" t="s">
        <v>2559</v>
      </c>
    </row>
    <row r="659">
      <c r="A659" s="8" t="s">
        <v>4582</v>
      </c>
      <c r="B659" s="8" t="s">
        <v>80</v>
      </c>
      <c r="C659" s="14" t="s">
        <v>2033</v>
      </c>
      <c r="D659" s="8" t="s">
        <v>2603</v>
      </c>
      <c r="E659" s="14" t="s">
        <v>2568</v>
      </c>
    </row>
    <row r="660">
      <c r="A660" s="8" t="s">
        <v>4583</v>
      </c>
      <c r="B660" s="8" t="s">
        <v>149</v>
      </c>
      <c r="C660" s="14" t="s">
        <v>135</v>
      </c>
      <c r="D660" s="8" t="s">
        <v>2592</v>
      </c>
      <c r="E660" s="14" t="s">
        <v>2613</v>
      </c>
    </row>
    <row r="661">
      <c r="A661" s="8" t="s">
        <v>4584</v>
      </c>
      <c r="B661" s="8" t="s">
        <v>122</v>
      </c>
      <c r="C661" s="14" t="s">
        <v>1679</v>
      </c>
      <c r="D661" s="8" t="s">
        <v>2603</v>
      </c>
      <c r="E661" s="14" t="s">
        <v>2579</v>
      </c>
    </row>
    <row r="662">
      <c r="A662" s="8" t="s">
        <v>4585</v>
      </c>
      <c r="B662" s="8" t="s">
        <v>138</v>
      </c>
      <c r="C662" s="14" t="s">
        <v>837</v>
      </c>
      <c r="D662" s="8" t="s">
        <v>2614</v>
      </c>
      <c r="E662" s="14" t="s">
        <v>2596</v>
      </c>
    </row>
    <row r="663">
      <c r="A663" s="8" t="s">
        <v>4586</v>
      </c>
      <c r="B663" s="8" t="s">
        <v>65</v>
      </c>
      <c r="C663" s="14" t="s">
        <v>1679</v>
      </c>
      <c r="D663" s="8" t="s">
        <v>2183</v>
      </c>
      <c r="E663" s="14" t="s">
        <v>2553</v>
      </c>
    </row>
    <row r="664">
      <c r="A664" s="8" t="s">
        <v>4587</v>
      </c>
      <c r="B664" s="8" t="s">
        <v>215</v>
      </c>
      <c r="C664" s="14" t="s">
        <v>1679</v>
      </c>
      <c r="D664" s="8" t="s">
        <v>2620</v>
      </c>
      <c r="E664" s="14" t="s">
        <v>2622</v>
      </c>
    </row>
    <row r="665">
      <c r="A665" s="8" t="s">
        <v>4588</v>
      </c>
      <c r="B665" s="8" t="s">
        <v>59</v>
      </c>
      <c r="C665" s="14" t="s">
        <v>338</v>
      </c>
      <c r="D665" s="8" t="s">
        <v>2595</v>
      </c>
      <c r="E665" s="14" t="s">
        <v>2625</v>
      </c>
    </row>
    <row r="666">
      <c r="A666" s="8" t="s">
        <v>4589</v>
      </c>
      <c r="B666" s="8" t="s">
        <v>65</v>
      </c>
      <c r="C666" s="14" t="s">
        <v>237</v>
      </c>
      <c r="D666" s="8" t="s">
        <v>2600</v>
      </c>
      <c r="E666" s="14" t="s">
        <v>2588</v>
      </c>
    </row>
    <row r="667">
      <c r="A667" s="8" t="s">
        <v>4590</v>
      </c>
      <c r="B667" s="8" t="s">
        <v>192</v>
      </c>
      <c r="C667" s="14" t="s">
        <v>1352</v>
      </c>
      <c r="D667" s="8" t="s">
        <v>2610</v>
      </c>
      <c r="E667" s="14" t="s">
        <v>2555</v>
      </c>
    </row>
    <row r="668">
      <c r="A668" s="8" t="s">
        <v>4591</v>
      </c>
      <c r="B668" s="8" t="s">
        <v>24</v>
      </c>
      <c r="C668" s="14" t="s">
        <v>631</v>
      </c>
      <c r="D668" s="8" t="s">
        <v>2615</v>
      </c>
      <c r="E668" s="14" t="s">
        <v>2590</v>
      </c>
    </row>
    <row r="669">
      <c r="A669" s="8" t="s">
        <v>4592</v>
      </c>
      <c r="B669" s="8" t="s">
        <v>53</v>
      </c>
      <c r="C669" s="14" t="s">
        <v>2033</v>
      </c>
      <c r="D669" s="8" t="s">
        <v>2592</v>
      </c>
      <c r="E669" s="14" t="s">
        <v>2570</v>
      </c>
    </row>
    <row r="670">
      <c r="A670" s="8" t="s">
        <v>4593</v>
      </c>
      <c r="B670" s="8" t="s">
        <v>122</v>
      </c>
      <c r="C670" s="14" t="s">
        <v>459</v>
      </c>
      <c r="D670" s="8" t="s">
        <v>2567</v>
      </c>
      <c r="E670" s="14" t="s">
        <v>2571</v>
      </c>
    </row>
    <row r="671">
      <c r="A671" s="8" t="s">
        <v>4594</v>
      </c>
      <c r="B671" s="8" t="s">
        <v>149</v>
      </c>
      <c r="C671" s="14" t="s">
        <v>2296</v>
      </c>
      <c r="D671" s="8" t="s">
        <v>2574</v>
      </c>
      <c r="E671" s="14" t="s">
        <v>2580</v>
      </c>
    </row>
    <row r="672">
      <c r="A672" s="8" t="s">
        <v>4595</v>
      </c>
      <c r="B672" s="8" t="s">
        <v>186</v>
      </c>
      <c r="C672" s="14" t="s">
        <v>1352</v>
      </c>
      <c r="D672" s="8" t="s">
        <v>6303</v>
      </c>
      <c r="E672" s="14" t="s">
        <v>2569</v>
      </c>
    </row>
    <row r="673">
      <c r="A673" s="8" t="s">
        <v>4596</v>
      </c>
      <c r="B673" s="8" t="s">
        <v>149</v>
      </c>
      <c r="C673" s="14" t="s">
        <v>459</v>
      </c>
      <c r="D673" s="8" t="s">
        <v>2621</v>
      </c>
      <c r="E673" s="14" t="s">
        <v>2555</v>
      </c>
    </row>
    <row r="674">
      <c r="A674" s="8" t="s">
        <v>4597</v>
      </c>
      <c r="B674" s="8" t="s">
        <v>132</v>
      </c>
      <c r="C674" s="14" t="s">
        <v>1352</v>
      </c>
      <c r="D674" s="8" t="s">
        <v>6304</v>
      </c>
      <c r="E674" s="14" t="s">
        <v>2576</v>
      </c>
    </row>
    <row r="675">
      <c r="A675" s="8" t="s">
        <v>4598</v>
      </c>
      <c r="B675" s="8" t="s">
        <v>186</v>
      </c>
      <c r="C675" s="14" t="s">
        <v>1070</v>
      </c>
      <c r="D675" s="8" t="s">
        <v>2572</v>
      </c>
      <c r="E675" s="14" t="s">
        <v>2553</v>
      </c>
    </row>
    <row r="676">
      <c r="A676" s="8" t="s">
        <v>4599</v>
      </c>
      <c r="B676" s="8" t="s">
        <v>93</v>
      </c>
      <c r="C676" s="14" t="s">
        <v>2296</v>
      </c>
      <c r="D676" s="8" t="s">
        <v>2615</v>
      </c>
      <c r="E676" s="14" t="s">
        <v>2613</v>
      </c>
    </row>
    <row r="677">
      <c r="A677" s="8" t="s">
        <v>4600</v>
      </c>
      <c r="B677" s="8" t="s">
        <v>149</v>
      </c>
      <c r="C677" s="14" t="s">
        <v>631</v>
      </c>
      <c r="D677" s="8" t="s">
        <v>6304</v>
      </c>
      <c r="E677" s="14" t="s">
        <v>2576</v>
      </c>
    </row>
    <row r="678">
      <c r="A678" s="8" t="s">
        <v>4601</v>
      </c>
      <c r="B678" s="8" t="s">
        <v>192</v>
      </c>
      <c r="C678" s="14" t="s">
        <v>1070</v>
      </c>
      <c r="D678" s="8" t="s">
        <v>2605</v>
      </c>
      <c r="E678" s="14" t="s">
        <v>2555</v>
      </c>
    </row>
    <row r="679">
      <c r="A679" s="8" t="s">
        <v>4602</v>
      </c>
      <c r="B679" s="8" t="s">
        <v>65</v>
      </c>
      <c r="C679" s="14" t="s">
        <v>2033</v>
      </c>
      <c r="D679" s="8" t="s">
        <v>2567</v>
      </c>
      <c r="E679" s="14" t="s">
        <v>2568</v>
      </c>
    </row>
    <row r="680">
      <c r="A680" s="8" t="s">
        <v>4603</v>
      </c>
      <c r="B680" s="8" t="s">
        <v>59</v>
      </c>
      <c r="C680" s="14" t="s">
        <v>459</v>
      </c>
      <c r="D680" s="8" t="s">
        <v>2587</v>
      </c>
      <c r="E680" s="14" t="s">
        <v>2563</v>
      </c>
    </row>
    <row r="681">
      <c r="A681" s="8" t="s">
        <v>4604</v>
      </c>
      <c r="B681" s="8" t="s">
        <v>122</v>
      </c>
      <c r="C681" s="14" t="s">
        <v>459</v>
      </c>
      <c r="D681" s="8" t="s">
        <v>2558</v>
      </c>
      <c r="E681" s="14" t="s">
        <v>2579</v>
      </c>
    </row>
    <row r="682">
      <c r="A682" s="8" t="s">
        <v>4605</v>
      </c>
      <c r="B682" s="8" t="s">
        <v>24</v>
      </c>
      <c r="C682" s="14" t="s">
        <v>1679</v>
      </c>
      <c r="D682" s="8" t="s">
        <v>2183</v>
      </c>
      <c r="E682" s="14" t="s">
        <v>2583</v>
      </c>
    </row>
    <row r="683">
      <c r="A683" s="8" t="s">
        <v>4606</v>
      </c>
      <c r="B683" s="8" t="s">
        <v>186</v>
      </c>
      <c r="C683" s="14" t="s">
        <v>837</v>
      </c>
      <c r="D683" s="8" t="s">
        <v>2592</v>
      </c>
      <c r="E683" s="14" t="s">
        <v>2622</v>
      </c>
    </row>
    <row r="684">
      <c r="A684" s="8" t="s">
        <v>4607</v>
      </c>
      <c r="B684" s="8" t="s">
        <v>65</v>
      </c>
      <c r="C684" s="14" t="s">
        <v>2459</v>
      </c>
      <c r="D684" s="8" t="s">
        <v>2560</v>
      </c>
      <c r="E684" s="14" t="s">
        <v>2563</v>
      </c>
    </row>
    <row r="685">
      <c r="A685" s="8" t="s">
        <v>4608</v>
      </c>
      <c r="B685" s="8" t="s">
        <v>65</v>
      </c>
      <c r="C685" s="14" t="s">
        <v>338</v>
      </c>
      <c r="D685" s="8" t="s">
        <v>2560</v>
      </c>
      <c r="E685" s="14" t="s">
        <v>2591</v>
      </c>
    </row>
    <row r="686">
      <c r="A686" s="8" t="s">
        <v>4609</v>
      </c>
      <c r="B686" s="8" t="s">
        <v>138</v>
      </c>
      <c r="C686" s="14" t="s">
        <v>2033</v>
      </c>
      <c r="D686" s="8" t="s">
        <v>2564</v>
      </c>
      <c r="E686" s="14" t="s">
        <v>2571</v>
      </c>
    </row>
    <row r="687">
      <c r="A687" s="8" t="s">
        <v>4610</v>
      </c>
      <c r="B687" s="8" t="s">
        <v>16</v>
      </c>
      <c r="C687" s="14" t="s">
        <v>631</v>
      </c>
      <c r="D687" s="8" t="s">
        <v>6304</v>
      </c>
      <c r="E687" s="14" t="s">
        <v>2607</v>
      </c>
    </row>
    <row r="688">
      <c r="A688" s="8" t="s">
        <v>4611</v>
      </c>
      <c r="B688" s="8" t="s">
        <v>24</v>
      </c>
      <c r="C688" s="14" t="s">
        <v>459</v>
      </c>
      <c r="D688" s="8" t="s">
        <v>6304</v>
      </c>
      <c r="E688" s="14" t="s">
        <v>2557</v>
      </c>
    </row>
    <row r="689">
      <c r="A689" s="8" t="s">
        <v>4612</v>
      </c>
      <c r="B689" s="8" t="s">
        <v>138</v>
      </c>
      <c r="C689" s="14" t="s">
        <v>1352</v>
      </c>
      <c r="D689" s="8" t="s">
        <v>2600</v>
      </c>
      <c r="E689" s="14" t="s">
        <v>2622</v>
      </c>
    </row>
    <row r="690">
      <c r="A690" s="8" t="s">
        <v>4613</v>
      </c>
      <c r="B690" s="8" t="s">
        <v>261</v>
      </c>
      <c r="C690" s="14" t="s">
        <v>1070</v>
      </c>
      <c r="D690" s="8" t="s">
        <v>2572</v>
      </c>
      <c r="E690" s="14" t="s">
        <v>2591</v>
      </c>
    </row>
    <row r="691">
      <c r="A691" s="8" t="s">
        <v>4614</v>
      </c>
      <c r="B691" s="8" t="s">
        <v>138</v>
      </c>
      <c r="C691" s="14" t="s">
        <v>459</v>
      </c>
      <c r="D691" s="8" t="s">
        <v>2620</v>
      </c>
      <c r="E691" s="14" t="s">
        <v>2607</v>
      </c>
    </row>
    <row r="692">
      <c r="A692" s="8" t="s">
        <v>4615</v>
      </c>
      <c r="B692" s="8" t="s">
        <v>93</v>
      </c>
      <c r="C692" s="14" t="s">
        <v>2296</v>
      </c>
      <c r="D692" s="8" t="s">
        <v>2562</v>
      </c>
      <c r="E692" s="14" t="s">
        <v>2580</v>
      </c>
    </row>
    <row r="693">
      <c r="A693" s="8" t="s">
        <v>4616</v>
      </c>
      <c r="B693" s="8" t="s">
        <v>70</v>
      </c>
      <c r="C693" s="14" t="s">
        <v>1352</v>
      </c>
      <c r="D693" s="8" t="s">
        <v>2621</v>
      </c>
      <c r="E693" s="14" t="s">
        <v>2578</v>
      </c>
    </row>
    <row r="694">
      <c r="A694" s="8" t="s">
        <v>4617</v>
      </c>
      <c r="B694" s="8" t="s">
        <v>93</v>
      </c>
      <c r="C694" s="14" t="s">
        <v>1679</v>
      </c>
      <c r="D694" s="8" t="s">
        <v>2560</v>
      </c>
      <c r="E694" s="14" t="s">
        <v>2580</v>
      </c>
    </row>
    <row r="695">
      <c r="A695" s="8" t="s">
        <v>4618</v>
      </c>
      <c r="B695" s="8" t="s">
        <v>192</v>
      </c>
      <c r="C695" s="14" t="s">
        <v>1352</v>
      </c>
      <c r="D695" s="8" t="s">
        <v>2567</v>
      </c>
      <c r="E695" s="14" t="s">
        <v>2602</v>
      </c>
    </row>
    <row r="696">
      <c r="A696" s="8" t="s">
        <v>4619</v>
      </c>
      <c r="B696" s="8" t="s">
        <v>122</v>
      </c>
      <c r="C696" s="14" t="s">
        <v>2033</v>
      </c>
      <c r="D696" s="8" t="s">
        <v>2183</v>
      </c>
      <c r="E696" s="14" t="s">
        <v>2571</v>
      </c>
    </row>
    <row r="697">
      <c r="A697" s="8" t="s">
        <v>4620</v>
      </c>
      <c r="B697" s="8" t="s">
        <v>65</v>
      </c>
      <c r="C697" s="14" t="s">
        <v>1679</v>
      </c>
      <c r="D697" s="8" t="s">
        <v>2615</v>
      </c>
      <c r="E697" s="14" t="s">
        <v>2583</v>
      </c>
    </row>
    <row r="698">
      <c r="A698" s="8" t="s">
        <v>4621</v>
      </c>
      <c r="B698" s="8" t="s">
        <v>70</v>
      </c>
      <c r="C698" s="14" t="s">
        <v>2296</v>
      </c>
      <c r="D698" s="8" t="s">
        <v>2582</v>
      </c>
      <c r="E698" s="14" t="s">
        <v>2586</v>
      </c>
    </row>
    <row r="699">
      <c r="A699" s="8" t="s">
        <v>4622</v>
      </c>
      <c r="B699" s="8" t="s">
        <v>80</v>
      </c>
      <c r="C699" s="14" t="s">
        <v>837</v>
      </c>
      <c r="D699" s="8" t="s">
        <v>2552</v>
      </c>
      <c r="E699" s="14" t="s">
        <v>2594</v>
      </c>
    </row>
    <row r="700">
      <c r="A700" s="8" t="s">
        <v>4623</v>
      </c>
      <c r="B700" s="8" t="s">
        <v>46</v>
      </c>
      <c r="C700" s="14" t="s">
        <v>1679</v>
      </c>
      <c r="D700" s="8" t="s">
        <v>2577</v>
      </c>
      <c r="E700" s="14" t="s">
        <v>2612</v>
      </c>
    </row>
    <row r="701">
      <c r="A701" s="8" t="s">
        <v>4624</v>
      </c>
      <c r="B701" s="8" t="s">
        <v>192</v>
      </c>
      <c r="C701" s="14" t="s">
        <v>2033</v>
      </c>
      <c r="D701" s="8" t="s">
        <v>2572</v>
      </c>
      <c r="E701" s="14" t="s">
        <v>2633</v>
      </c>
    </row>
    <row r="702">
      <c r="A702" s="8" t="s">
        <v>4625</v>
      </c>
      <c r="B702" s="8" t="s">
        <v>65</v>
      </c>
      <c r="C702" s="14" t="s">
        <v>189</v>
      </c>
      <c r="D702" s="8" t="s">
        <v>2564</v>
      </c>
      <c r="E702" s="14" t="s">
        <v>2625</v>
      </c>
    </row>
    <row r="703">
      <c r="A703" s="8" t="s">
        <v>4626</v>
      </c>
      <c r="B703" s="8" t="s">
        <v>186</v>
      </c>
      <c r="C703" s="14" t="s">
        <v>2296</v>
      </c>
      <c r="D703" s="8" t="s">
        <v>2610</v>
      </c>
      <c r="E703" s="14" t="s">
        <v>2583</v>
      </c>
    </row>
    <row r="704">
      <c r="A704" s="8" t="s">
        <v>4627</v>
      </c>
      <c r="B704" s="8" t="s">
        <v>16</v>
      </c>
      <c r="C704" s="14" t="s">
        <v>2033</v>
      </c>
      <c r="D704" s="8" t="s">
        <v>2562</v>
      </c>
      <c r="E704" s="14" t="s">
        <v>2588</v>
      </c>
    </row>
    <row r="705">
      <c r="A705" s="8" t="s">
        <v>4628</v>
      </c>
      <c r="B705" s="8" t="s">
        <v>122</v>
      </c>
      <c r="C705" s="14" t="s">
        <v>1070</v>
      </c>
      <c r="D705" s="8" t="s">
        <v>2620</v>
      </c>
      <c r="E705" s="14" t="s">
        <v>2583</v>
      </c>
    </row>
    <row r="706">
      <c r="A706" s="8" t="s">
        <v>4629</v>
      </c>
      <c r="B706" s="8" t="s">
        <v>192</v>
      </c>
      <c r="C706" s="14" t="s">
        <v>837</v>
      </c>
      <c r="D706" s="8" t="s">
        <v>2582</v>
      </c>
      <c r="E706" s="14" t="s">
        <v>2583</v>
      </c>
    </row>
    <row r="707">
      <c r="A707" s="8" t="s">
        <v>4630</v>
      </c>
      <c r="B707" s="8" t="s">
        <v>80</v>
      </c>
      <c r="C707" s="14" t="s">
        <v>2296</v>
      </c>
      <c r="D707" s="8" t="s">
        <v>2575</v>
      </c>
      <c r="E707" s="14" t="s">
        <v>2579</v>
      </c>
    </row>
    <row r="708">
      <c r="A708" s="8" t="s">
        <v>4631</v>
      </c>
      <c r="B708" s="8" t="s">
        <v>16</v>
      </c>
      <c r="C708" s="14" t="s">
        <v>2033</v>
      </c>
      <c r="D708" s="8" t="s">
        <v>2558</v>
      </c>
      <c r="E708" s="14" t="s">
        <v>2555</v>
      </c>
    </row>
    <row r="709">
      <c r="A709" s="8" t="s">
        <v>4632</v>
      </c>
      <c r="B709" s="8" t="s">
        <v>93</v>
      </c>
      <c r="C709" s="14" t="s">
        <v>1679</v>
      </c>
      <c r="D709" s="8" t="s">
        <v>2572</v>
      </c>
      <c r="E709" s="14" t="s">
        <v>2633</v>
      </c>
    </row>
    <row r="710">
      <c r="A710" s="8" t="s">
        <v>4633</v>
      </c>
      <c r="B710" s="8" t="s">
        <v>93</v>
      </c>
      <c r="C710" s="14" t="s">
        <v>631</v>
      </c>
      <c r="D710" s="8" t="s">
        <v>2598</v>
      </c>
      <c r="E710" s="14" t="s">
        <v>2613</v>
      </c>
    </row>
    <row r="711">
      <c r="A711" s="8" t="s">
        <v>4634</v>
      </c>
      <c r="B711" s="8" t="s">
        <v>122</v>
      </c>
      <c r="C711" s="14" t="s">
        <v>1352</v>
      </c>
      <c r="D711" s="8" t="s">
        <v>2574</v>
      </c>
      <c r="E711" s="14" t="s">
        <v>2583</v>
      </c>
    </row>
    <row r="712">
      <c r="A712" s="8" t="s">
        <v>4635</v>
      </c>
      <c r="B712" s="8" t="s">
        <v>70</v>
      </c>
      <c r="C712" s="14" t="s">
        <v>1352</v>
      </c>
      <c r="D712" s="8" t="s">
        <v>2572</v>
      </c>
      <c r="E712" s="14" t="s">
        <v>2555</v>
      </c>
    </row>
    <row r="713">
      <c r="A713" s="8" t="s">
        <v>4636</v>
      </c>
      <c r="B713" s="8" t="s">
        <v>59</v>
      </c>
      <c r="C713" s="14" t="s">
        <v>1070</v>
      </c>
      <c r="D713" s="8" t="s">
        <v>2592</v>
      </c>
      <c r="E713" s="14" t="s">
        <v>2579</v>
      </c>
    </row>
    <row r="714">
      <c r="A714" s="8" t="s">
        <v>4637</v>
      </c>
      <c r="B714" s="8" t="s">
        <v>186</v>
      </c>
      <c r="C714" s="14" t="s">
        <v>2033</v>
      </c>
      <c r="D714" s="8" t="s">
        <v>2552</v>
      </c>
      <c r="E714" s="14" t="s">
        <v>2576</v>
      </c>
    </row>
    <row r="715">
      <c r="A715" s="8" t="s">
        <v>4638</v>
      </c>
      <c r="B715" s="8" t="s">
        <v>65</v>
      </c>
      <c r="C715" s="14" t="s">
        <v>1070</v>
      </c>
      <c r="D715" s="8" t="s">
        <v>2581</v>
      </c>
      <c r="E715" s="14" t="s">
        <v>2608</v>
      </c>
    </row>
    <row r="716">
      <c r="A716" s="8" t="s">
        <v>4639</v>
      </c>
      <c r="B716" s="8" t="s">
        <v>122</v>
      </c>
      <c r="C716" s="14" t="s">
        <v>1070</v>
      </c>
      <c r="D716" s="8" t="s">
        <v>2615</v>
      </c>
      <c r="E716" s="14" t="s">
        <v>2580</v>
      </c>
    </row>
    <row r="717">
      <c r="A717" s="8" t="s">
        <v>4640</v>
      </c>
      <c r="B717" s="8" t="s">
        <v>186</v>
      </c>
      <c r="C717" s="14" t="s">
        <v>2459</v>
      </c>
      <c r="D717" s="8" t="s">
        <v>2577</v>
      </c>
      <c r="E717" s="14" t="s">
        <v>2565</v>
      </c>
    </row>
    <row r="718">
      <c r="A718" s="8" t="s">
        <v>4641</v>
      </c>
      <c r="B718" s="8" t="s">
        <v>65</v>
      </c>
      <c r="C718" s="14" t="s">
        <v>1352</v>
      </c>
      <c r="D718" s="8" t="s">
        <v>2567</v>
      </c>
      <c r="E718" s="14" t="s">
        <v>2607</v>
      </c>
    </row>
    <row r="719">
      <c r="A719" s="8" t="s">
        <v>4642</v>
      </c>
      <c r="B719" s="8" t="s">
        <v>65</v>
      </c>
      <c r="C719" s="14" t="s">
        <v>2033</v>
      </c>
      <c r="D719" s="8" t="s">
        <v>2598</v>
      </c>
      <c r="E719" s="14" t="s">
        <v>2555</v>
      </c>
    </row>
    <row r="720">
      <c r="A720" s="8" t="s">
        <v>4643</v>
      </c>
      <c r="B720" s="8" t="s">
        <v>80</v>
      </c>
      <c r="C720" s="14" t="s">
        <v>189</v>
      </c>
      <c r="D720" s="8" t="s">
        <v>2600</v>
      </c>
      <c r="E720" s="14" t="s">
        <v>2596</v>
      </c>
    </row>
    <row r="721">
      <c r="A721" s="8" t="s">
        <v>4644</v>
      </c>
      <c r="B721" s="8" t="s">
        <v>70</v>
      </c>
      <c r="C721" s="14" t="s">
        <v>2459</v>
      </c>
      <c r="D721" s="8" t="s">
        <v>2587</v>
      </c>
      <c r="E721" s="14" t="s">
        <v>2565</v>
      </c>
    </row>
    <row r="722">
      <c r="A722" s="8" t="s">
        <v>4645</v>
      </c>
      <c r="B722" s="8" t="s">
        <v>65</v>
      </c>
      <c r="C722" s="14" t="s">
        <v>837</v>
      </c>
      <c r="D722" s="8" t="s">
        <v>2614</v>
      </c>
      <c r="E722" s="14" t="s">
        <v>2568</v>
      </c>
    </row>
    <row r="723">
      <c r="A723" s="8" t="s">
        <v>4646</v>
      </c>
      <c r="B723" s="8" t="s">
        <v>186</v>
      </c>
      <c r="C723" s="14" t="s">
        <v>2459</v>
      </c>
      <c r="D723" s="8" t="s">
        <v>2592</v>
      </c>
      <c r="E723" s="14" t="s">
        <v>2553</v>
      </c>
    </row>
    <row r="724">
      <c r="A724" s="8" t="s">
        <v>4647</v>
      </c>
      <c r="B724" s="8" t="s">
        <v>53</v>
      </c>
      <c r="C724" s="14" t="s">
        <v>631</v>
      </c>
      <c r="D724" s="8" t="s">
        <v>2554</v>
      </c>
      <c r="E724" s="14" t="s">
        <v>2553</v>
      </c>
    </row>
    <row r="725">
      <c r="A725" s="8" t="s">
        <v>4648</v>
      </c>
      <c r="B725" s="8" t="s">
        <v>70</v>
      </c>
      <c r="C725" s="14" t="s">
        <v>837</v>
      </c>
      <c r="D725" s="8" t="s">
        <v>2598</v>
      </c>
      <c r="E725" s="14" t="s">
        <v>2596</v>
      </c>
    </row>
    <row r="726">
      <c r="A726" s="8" t="s">
        <v>4649</v>
      </c>
      <c r="B726" s="8" t="s">
        <v>70</v>
      </c>
      <c r="C726" s="14" t="s">
        <v>837</v>
      </c>
      <c r="D726" s="8" t="s">
        <v>2620</v>
      </c>
      <c r="E726" s="14" t="s">
        <v>2565</v>
      </c>
    </row>
    <row r="727">
      <c r="A727" s="8" t="s">
        <v>4650</v>
      </c>
      <c r="B727" s="8" t="s">
        <v>122</v>
      </c>
      <c r="C727" s="14" t="s">
        <v>2459</v>
      </c>
      <c r="D727" s="8" t="s">
        <v>2566</v>
      </c>
      <c r="E727" s="14" t="s">
        <v>2571</v>
      </c>
    </row>
    <row r="728">
      <c r="A728" s="8" t="s">
        <v>4651</v>
      </c>
      <c r="B728" s="8" t="s">
        <v>70</v>
      </c>
      <c r="C728" s="14" t="s">
        <v>2296</v>
      </c>
      <c r="D728" s="8" t="s">
        <v>2558</v>
      </c>
      <c r="E728" s="14" t="s">
        <v>2563</v>
      </c>
    </row>
    <row r="729">
      <c r="A729" s="8" t="s">
        <v>4652</v>
      </c>
      <c r="B729" s="8" t="s">
        <v>46</v>
      </c>
      <c r="C729" s="14" t="s">
        <v>1352</v>
      </c>
      <c r="D729" s="8" t="s">
        <v>2598</v>
      </c>
      <c r="E729" s="14" t="s">
        <v>2628</v>
      </c>
    </row>
    <row r="730">
      <c r="A730" s="8" t="s">
        <v>4653</v>
      </c>
      <c r="B730" s="8" t="s">
        <v>46</v>
      </c>
      <c r="C730" s="14" t="s">
        <v>1352</v>
      </c>
      <c r="D730" s="8" t="s">
        <v>2574</v>
      </c>
      <c r="E730" s="14" t="s">
        <v>2580</v>
      </c>
    </row>
    <row r="731">
      <c r="A731" s="8" t="s">
        <v>4654</v>
      </c>
      <c r="B731" s="8" t="s">
        <v>65</v>
      </c>
      <c r="C731" s="14" t="s">
        <v>2296</v>
      </c>
      <c r="D731" s="8" t="s">
        <v>2552</v>
      </c>
      <c r="E731" s="14" t="s">
        <v>2583</v>
      </c>
    </row>
    <row r="732">
      <c r="A732" s="8" t="s">
        <v>4655</v>
      </c>
      <c r="B732" s="8" t="s">
        <v>46</v>
      </c>
      <c r="C732" s="14" t="s">
        <v>1352</v>
      </c>
      <c r="D732" s="8" t="s">
        <v>2587</v>
      </c>
      <c r="E732" s="14" t="s">
        <v>2590</v>
      </c>
    </row>
    <row r="733">
      <c r="A733" s="8" t="s">
        <v>4657</v>
      </c>
      <c r="B733" s="8" t="s">
        <v>70</v>
      </c>
      <c r="C733" s="14" t="s">
        <v>631</v>
      </c>
      <c r="D733" s="8" t="s">
        <v>2621</v>
      </c>
      <c r="E733" s="14" t="s">
        <v>2611</v>
      </c>
    </row>
    <row r="734">
      <c r="A734" s="8" t="s">
        <v>4658</v>
      </c>
      <c r="B734" s="8" t="s">
        <v>65</v>
      </c>
      <c r="C734" s="14" t="s">
        <v>2033</v>
      </c>
      <c r="D734" s="8" t="s">
        <v>2577</v>
      </c>
      <c r="E734" s="14" t="s">
        <v>2557</v>
      </c>
    </row>
    <row r="735">
      <c r="A735" s="8" t="s">
        <v>4659</v>
      </c>
      <c r="B735" s="8" t="s">
        <v>93</v>
      </c>
      <c r="C735" s="14" t="s">
        <v>1679</v>
      </c>
      <c r="D735" s="8" t="s">
        <v>2593</v>
      </c>
      <c r="E735" s="14" t="s">
        <v>2612</v>
      </c>
    </row>
    <row r="736">
      <c r="A736" s="8" t="s">
        <v>4660</v>
      </c>
      <c r="B736" s="8" t="s">
        <v>93</v>
      </c>
      <c r="C736" s="14" t="s">
        <v>135</v>
      </c>
      <c r="D736" s="8" t="s">
        <v>2582</v>
      </c>
      <c r="E736" s="14" t="s">
        <v>2608</v>
      </c>
    </row>
    <row r="737">
      <c r="A737" s="8" t="s">
        <v>4661</v>
      </c>
      <c r="B737" s="8" t="s">
        <v>75</v>
      </c>
      <c r="C737" s="14" t="s">
        <v>338</v>
      </c>
      <c r="D737" s="8" t="s">
        <v>2620</v>
      </c>
      <c r="E737" s="14" t="s">
        <v>2618</v>
      </c>
    </row>
    <row r="738">
      <c r="A738" s="8" t="s">
        <v>4662</v>
      </c>
      <c r="B738" s="8" t="s">
        <v>24</v>
      </c>
      <c r="C738" s="14" t="s">
        <v>27</v>
      </c>
      <c r="D738" s="8" t="s">
        <v>2554</v>
      </c>
      <c r="E738" s="14" t="s">
        <v>2612</v>
      </c>
    </row>
    <row r="739">
      <c r="A739" s="8" t="s">
        <v>4663</v>
      </c>
      <c r="B739" s="8" t="s">
        <v>70</v>
      </c>
      <c r="C739" s="14" t="s">
        <v>1679</v>
      </c>
      <c r="D739" s="8" t="s">
        <v>2564</v>
      </c>
      <c r="E739" s="14" t="s">
        <v>2622</v>
      </c>
    </row>
    <row r="740">
      <c r="A740" s="8" t="s">
        <v>4664</v>
      </c>
      <c r="B740" s="8" t="s">
        <v>46</v>
      </c>
      <c r="C740" s="14" t="s">
        <v>2033</v>
      </c>
      <c r="D740" s="8" t="s">
        <v>2584</v>
      </c>
      <c r="E740" s="14" t="s">
        <v>2612</v>
      </c>
    </row>
    <row r="741">
      <c r="A741" s="8" t="s">
        <v>4665</v>
      </c>
      <c r="B741" s="8" t="s">
        <v>24</v>
      </c>
      <c r="C741" s="14" t="s">
        <v>2296</v>
      </c>
      <c r="D741" s="8" t="s">
        <v>2592</v>
      </c>
      <c r="E741" s="14" t="s">
        <v>2576</v>
      </c>
    </row>
    <row r="742">
      <c r="A742" s="8" t="s">
        <v>4666</v>
      </c>
      <c r="B742" s="8" t="s">
        <v>93</v>
      </c>
      <c r="C742" s="14" t="s">
        <v>2033</v>
      </c>
      <c r="D742" s="8" t="s">
        <v>2615</v>
      </c>
      <c r="E742" s="14" t="s">
        <v>2594</v>
      </c>
    </row>
    <row r="743">
      <c r="A743" s="8" t="s">
        <v>4668</v>
      </c>
      <c r="B743" s="8" t="s">
        <v>46</v>
      </c>
      <c r="C743" s="14" t="s">
        <v>1070</v>
      </c>
      <c r="D743" s="8" t="s">
        <v>2592</v>
      </c>
      <c r="E743" s="14" t="s">
        <v>2622</v>
      </c>
    </row>
    <row r="744">
      <c r="A744" s="8" t="s">
        <v>4669</v>
      </c>
      <c r="B744" s="8" t="s">
        <v>192</v>
      </c>
      <c r="C744" s="14" t="s">
        <v>1679</v>
      </c>
      <c r="D744" s="8" t="s">
        <v>2614</v>
      </c>
      <c r="E744" s="14" t="s">
        <v>2609</v>
      </c>
    </row>
    <row r="745">
      <c r="A745" s="8" t="s">
        <v>4670</v>
      </c>
      <c r="B745" s="8" t="s">
        <v>59</v>
      </c>
      <c r="C745" s="14" t="s">
        <v>459</v>
      </c>
      <c r="D745" s="8" t="s">
        <v>2600</v>
      </c>
      <c r="E745" s="14" t="s">
        <v>2578</v>
      </c>
    </row>
    <row r="746">
      <c r="A746" s="8" t="s">
        <v>4671</v>
      </c>
      <c r="B746" s="8" t="s">
        <v>122</v>
      </c>
      <c r="C746" s="14" t="s">
        <v>459</v>
      </c>
      <c r="D746" s="8" t="s">
        <v>2574</v>
      </c>
      <c r="E746" s="14" t="s">
        <v>2586</v>
      </c>
    </row>
    <row r="747">
      <c r="A747" s="8" t="s">
        <v>4672</v>
      </c>
      <c r="B747" s="8" t="s">
        <v>122</v>
      </c>
      <c r="C747" s="14" t="s">
        <v>2033</v>
      </c>
      <c r="D747" s="8" t="s">
        <v>2584</v>
      </c>
      <c r="E747" s="14" t="s">
        <v>2583</v>
      </c>
    </row>
    <row r="748">
      <c r="A748" s="8" t="s">
        <v>4673</v>
      </c>
      <c r="B748" s="8" t="s">
        <v>93</v>
      </c>
      <c r="C748" s="14" t="s">
        <v>1352</v>
      </c>
      <c r="D748" s="8" t="s">
        <v>2593</v>
      </c>
      <c r="E748" s="14" t="s">
        <v>2555</v>
      </c>
    </row>
    <row r="749">
      <c r="A749" s="8" t="s">
        <v>4674</v>
      </c>
      <c r="B749" s="8" t="s">
        <v>93</v>
      </c>
      <c r="C749" s="14" t="s">
        <v>2033</v>
      </c>
      <c r="D749" s="8" t="s">
        <v>2574</v>
      </c>
      <c r="E749" s="14" t="s">
        <v>2607</v>
      </c>
    </row>
    <row r="750">
      <c r="A750" s="8" t="s">
        <v>4675</v>
      </c>
      <c r="B750" s="8" t="s">
        <v>65</v>
      </c>
      <c r="C750" s="14" t="s">
        <v>1070</v>
      </c>
      <c r="D750" s="8" t="s">
        <v>2577</v>
      </c>
      <c r="E750" s="14" t="s">
        <v>2601</v>
      </c>
    </row>
    <row r="751">
      <c r="A751" s="8" t="s">
        <v>4676</v>
      </c>
      <c r="B751" s="8" t="s">
        <v>70</v>
      </c>
      <c r="C751" s="14" t="s">
        <v>1679</v>
      </c>
      <c r="D751" s="8" t="s">
        <v>2615</v>
      </c>
      <c r="E751" s="14" t="s">
        <v>2579</v>
      </c>
    </row>
    <row r="752">
      <c r="A752" s="8" t="s">
        <v>4677</v>
      </c>
      <c r="B752" s="8" t="s">
        <v>65</v>
      </c>
      <c r="C752" s="14" t="s">
        <v>338</v>
      </c>
      <c r="D752" s="8" t="s">
        <v>2600</v>
      </c>
      <c r="E752" s="14" t="s">
        <v>2553</v>
      </c>
    </row>
    <row r="753">
      <c r="A753" s="8" t="s">
        <v>4678</v>
      </c>
      <c r="B753" s="8" t="s">
        <v>138</v>
      </c>
      <c r="C753" s="14" t="s">
        <v>2296</v>
      </c>
      <c r="D753" s="8" t="s">
        <v>2614</v>
      </c>
      <c r="E753" s="14" t="s">
        <v>2573</v>
      </c>
    </row>
    <row r="754">
      <c r="A754" s="8" t="s">
        <v>4679</v>
      </c>
      <c r="B754" s="8" t="s">
        <v>132</v>
      </c>
      <c r="C754" s="14" t="s">
        <v>1679</v>
      </c>
      <c r="D754" s="8" t="s">
        <v>2574</v>
      </c>
      <c r="E754" s="14" t="s">
        <v>2609</v>
      </c>
    </row>
    <row r="755">
      <c r="A755" s="8" t="s">
        <v>4680</v>
      </c>
      <c r="B755" s="8" t="s">
        <v>53</v>
      </c>
      <c r="C755" s="14" t="s">
        <v>1679</v>
      </c>
      <c r="D755" s="8" t="s">
        <v>2183</v>
      </c>
      <c r="E755" s="14" t="s">
        <v>2557</v>
      </c>
    </row>
    <row r="756">
      <c r="A756" s="8" t="s">
        <v>4681</v>
      </c>
      <c r="B756" s="8" t="s">
        <v>70</v>
      </c>
      <c r="C756" s="14" t="s">
        <v>338</v>
      </c>
      <c r="D756" s="8" t="s">
        <v>6304</v>
      </c>
      <c r="E756" s="14" t="s">
        <v>2586</v>
      </c>
    </row>
    <row r="757">
      <c r="A757" s="8" t="s">
        <v>4682</v>
      </c>
      <c r="B757" s="8" t="s">
        <v>80</v>
      </c>
      <c r="C757" s="14" t="s">
        <v>1352</v>
      </c>
      <c r="D757" s="8" t="s">
        <v>2560</v>
      </c>
      <c r="E757" s="14" t="s">
        <v>2563</v>
      </c>
    </row>
    <row r="758">
      <c r="A758" s="8" t="s">
        <v>4683</v>
      </c>
      <c r="B758" s="8" t="s">
        <v>186</v>
      </c>
      <c r="C758" s="14" t="s">
        <v>2296</v>
      </c>
      <c r="D758" s="8" t="s">
        <v>2585</v>
      </c>
      <c r="E758" s="14" t="s">
        <v>2555</v>
      </c>
    </row>
    <row r="759">
      <c r="A759" s="8" t="s">
        <v>4684</v>
      </c>
      <c r="B759" s="8" t="s">
        <v>93</v>
      </c>
      <c r="C759" s="14" t="s">
        <v>459</v>
      </c>
      <c r="D759" s="8" t="s">
        <v>2610</v>
      </c>
      <c r="E759" s="14" t="s">
        <v>2586</v>
      </c>
    </row>
    <row r="760">
      <c r="A760" s="8" t="s">
        <v>4685</v>
      </c>
      <c r="B760" s="8" t="s">
        <v>215</v>
      </c>
      <c r="C760" s="14" t="s">
        <v>2296</v>
      </c>
      <c r="D760" s="8" t="s">
        <v>2620</v>
      </c>
      <c r="E760" s="14" t="s">
        <v>2568</v>
      </c>
    </row>
    <row r="761">
      <c r="A761" s="8" t="s">
        <v>4686</v>
      </c>
      <c r="B761" s="8" t="s">
        <v>16</v>
      </c>
      <c r="C761" s="14" t="s">
        <v>21</v>
      </c>
      <c r="D761" s="8" t="s">
        <v>2595</v>
      </c>
      <c r="E761" s="14" t="s">
        <v>2559</v>
      </c>
    </row>
    <row r="762">
      <c r="A762" s="8" t="s">
        <v>4687</v>
      </c>
      <c r="B762" s="8" t="s">
        <v>75</v>
      </c>
      <c r="C762" s="14" t="s">
        <v>2296</v>
      </c>
      <c r="D762" s="8" t="s">
        <v>2615</v>
      </c>
      <c r="E762" s="14" t="s">
        <v>2583</v>
      </c>
    </row>
    <row r="763">
      <c r="A763" s="8" t="s">
        <v>4688</v>
      </c>
      <c r="B763" s="8" t="s">
        <v>16</v>
      </c>
      <c r="C763" s="14" t="s">
        <v>2296</v>
      </c>
      <c r="D763" s="8" t="s">
        <v>2620</v>
      </c>
      <c r="E763" s="14" t="s">
        <v>2568</v>
      </c>
    </row>
    <row r="764">
      <c r="A764" s="8" t="s">
        <v>4689</v>
      </c>
      <c r="B764" s="8" t="s">
        <v>24</v>
      </c>
      <c r="C764" s="14" t="s">
        <v>2033</v>
      </c>
      <c r="D764" s="8" t="s">
        <v>2610</v>
      </c>
      <c r="E764" s="14" t="s">
        <v>2573</v>
      </c>
    </row>
    <row r="765">
      <c r="A765" s="8" t="s">
        <v>4690</v>
      </c>
      <c r="B765" s="8" t="s">
        <v>16</v>
      </c>
      <c r="C765" s="14" t="s">
        <v>83</v>
      </c>
      <c r="D765" s="8" t="s">
        <v>2615</v>
      </c>
      <c r="E765" s="14" t="s">
        <v>2609</v>
      </c>
    </row>
    <row r="766">
      <c r="A766" s="8" t="s">
        <v>4691</v>
      </c>
      <c r="B766" s="8" t="s">
        <v>132</v>
      </c>
      <c r="C766" s="14" t="s">
        <v>2296</v>
      </c>
      <c r="D766" s="8" t="s">
        <v>2552</v>
      </c>
      <c r="E766" s="14" t="s">
        <v>2568</v>
      </c>
    </row>
    <row r="767">
      <c r="A767" s="8" t="s">
        <v>4692</v>
      </c>
      <c r="B767" s="8" t="s">
        <v>186</v>
      </c>
      <c r="C767" s="14" t="s">
        <v>1679</v>
      </c>
      <c r="D767" s="8" t="s">
        <v>2572</v>
      </c>
      <c r="E767" s="14" t="s">
        <v>2557</v>
      </c>
    </row>
    <row r="768">
      <c r="A768" s="8" t="s">
        <v>4693</v>
      </c>
      <c r="B768" s="8" t="s">
        <v>46</v>
      </c>
      <c r="C768" s="14" t="s">
        <v>108</v>
      </c>
      <c r="D768" s="8" t="s">
        <v>2603</v>
      </c>
      <c r="E768" s="14" t="s">
        <v>2588</v>
      </c>
    </row>
    <row r="769">
      <c r="A769" s="8" t="s">
        <v>4694</v>
      </c>
      <c r="B769" s="8" t="s">
        <v>80</v>
      </c>
      <c r="C769" s="14" t="s">
        <v>2033</v>
      </c>
      <c r="D769" s="8" t="s">
        <v>2600</v>
      </c>
      <c r="E769" s="14" t="s">
        <v>2568</v>
      </c>
    </row>
    <row r="770">
      <c r="A770" s="8" t="s">
        <v>4695</v>
      </c>
      <c r="B770" s="8" t="s">
        <v>59</v>
      </c>
      <c r="C770" s="14" t="s">
        <v>1679</v>
      </c>
      <c r="D770" s="8" t="s">
        <v>2562</v>
      </c>
      <c r="E770" s="14" t="s">
        <v>2573</v>
      </c>
    </row>
    <row r="771">
      <c r="A771" s="8" t="s">
        <v>4696</v>
      </c>
      <c r="B771" s="8" t="s">
        <v>70</v>
      </c>
      <c r="C771" s="14" t="s">
        <v>1352</v>
      </c>
      <c r="D771" s="8" t="s">
        <v>2615</v>
      </c>
      <c r="E771" s="14" t="s">
        <v>2607</v>
      </c>
    </row>
    <row r="772">
      <c r="A772" s="8" t="s">
        <v>4697</v>
      </c>
      <c r="B772" s="8" t="s">
        <v>53</v>
      </c>
      <c r="C772" s="14" t="s">
        <v>1352</v>
      </c>
      <c r="D772" s="8" t="s">
        <v>2598</v>
      </c>
      <c r="E772" s="14" t="s">
        <v>2622</v>
      </c>
    </row>
    <row r="773">
      <c r="A773" s="8" t="s">
        <v>4698</v>
      </c>
      <c r="B773" s="8" t="s">
        <v>93</v>
      </c>
      <c r="C773" s="14" t="s">
        <v>2296</v>
      </c>
      <c r="D773" s="8" t="s">
        <v>2605</v>
      </c>
      <c r="E773" s="14" t="s">
        <v>2576</v>
      </c>
    </row>
    <row r="774">
      <c r="A774" s="8" t="s">
        <v>4699</v>
      </c>
      <c r="B774" s="8" t="s">
        <v>93</v>
      </c>
      <c r="C774" s="14" t="s">
        <v>1352</v>
      </c>
      <c r="D774" s="8" t="s">
        <v>2552</v>
      </c>
      <c r="E774" s="14" t="s">
        <v>2555</v>
      </c>
    </row>
    <row r="775">
      <c r="A775" s="8" t="s">
        <v>4700</v>
      </c>
      <c r="B775" s="8" t="s">
        <v>24</v>
      </c>
      <c r="C775" s="14" t="s">
        <v>1679</v>
      </c>
      <c r="D775" s="8" t="s">
        <v>2581</v>
      </c>
      <c r="E775" s="14" t="s">
        <v>2568</v>
      </c>
    </row>
    <row r="776">
      <c r="A776" s="8" t="s">
        <v>4701</v>
      </c>
      <c r="B776" s="8" t="s">
        <v>192</v>
      </c>
      <c r="C776" s="14" t="s">
        <v>631</v>
      </c>
      <c r="D776" s="8" t="s">
        <v>2600</v>
      </c>
      <c r="E776" s="14" t="s">
        <v>2601</v>
      </c>
    </row>
    <row r="777">
      <c r="A777" s="8" t="s">
        <v>4702</v>
      </c>
      <c r="B777" s="8" t="s">
        <v>38</v>
      </c>
      <c r="C777" s="14" t="s">
        <v>39</v>
      </c>
      <c r="D777" s="8" t="s">
        <v>2183</v>
      </c>
      <c r="E777" s="14" t="s">
        <v>2599</v>
      </c>
    </row>
    <row r="778">
      <c r="A778" s="8" t="s">
        <v>4703</v>
      </c>
      <c r="B778" s="8" t="s">
        <v>12</v>
      </c>
      <c r="C778" s="14" t="s">
        <v>631</v>
      </c>
      <c r="D778" s="8" t="s">
        <v>2582</v>
      </c>
      <c r="E778" s="14" t="s">
        <v>2601</v>
      </c>
    </row>
    <row r="779">
      <c r="A779" s="8" t="s">
        <v>4704</v>
      </c>
      <c r="B779" s="8" t="s">
        <v>24</v>
      </c>
      <c r="C779" s="14" t="s">
        <v>459</v>
      </c>
      <c r="D779" s="8" t="s">
        <v>2581</v>
      </c>
      <c r="E779" s="14" t="s">
        <v>2571</v>
      </c>
    </row>
    <row r="780">
      <c r="A780" s="8" t="s">
        <v>4705</v>
      </c>
      <c r="B780" s="8" t="s">
        <v>65</v>
      </c>
      <c r="C780" s="14" t="s">
        <v>237</v>
      </c>
      <c r="D780" s="8" t="s">
        <v>6304</v>
      </c>
      <c r="E780" s="14" t="s">
        <v>2557</v>
      </c>
    </row>
    <row r="781">
      <c r="A781" s="8" t="s">
        <v>4706</v>
      </c>
      <c r="B781" s="8" t="s">
        <v>16</v>
      </c>
      <c r="C781" s="14" t="s">
        <v>2296</v>
      </c>
      <c r="D781" s="8" t="s">
        <v>2582</v>
      </c>
      <c r="E781" s="14" t="s">
        <v>2565</v>
      </c>
    </row>
    <row r="782">
      <c r="A782" s="8" t="s">
        <v>4707</v>
      </c>
      <c r="B782" s="8" t="s">
        <v>70</v>
      </c>
      <c r="C782" s="14" t="s">
        <v>1352</v>
      </c>
      <c r="D782" s="8" t="s">
        <v>2595</v>
      </c>
      <c r="E782" s="14" t="s">
        <v>2622</v>
      </c>
    </row>
    <row r="783">
      <c r="A783" s="8" t="s">
        <v>4708</v>
      </c>
      <c r="B783" s="8" t="s">
        <v>65</v>
      </c>
      <c r="C783" s="14" t="s">
        <v>1352</v>
      </c>
      <c r="D783" s="8" t="s">
        <v>2572</v>
      </c>
      <c r="E783" s="14" t="s">
        <v>2557</v>
      </c>
    </row>
    <row r="784">
      <c r="A784" s="8" t="s">
        <v>4709</v>
      </c>
      <c r="B784" s="8" t="s">
        <v>186</v>
      </c>
      <c r="C784" s="14" t="s">
        <v>1352</v>
      </c>
      <c r="D784" s="8" t="s">
        <v>2562</v>
      </c>
      <c r="E784" s="14" t="s">
        <v>2565</v>
      </c>
    </row>
    <row r="785">
      <c r="A785" s="8" t="s">
        <v>4710</v>
      </c>
      <c r="B785" s="8" t="s">
        <v>80</v>
      </c>
      <c r="C785" s="14" t="s">
        <v>1352</v>
      </c>
      <c r="D785" s="8" t="s">
        <v>2620</v>
      </c>
      <c r="E785" s="14" t="s">
        <v>2583</v>
      </c>
    </row>
    <row r="786">
      <c r="A786" s="8" t="s">
        <v>6328</v>
      </c>
      <c r="B786" s="8" t="s">
        <v>93</v>
      </c>
      <c r="C786" s="14" t="s">
        <v>837</v>
      </c>
      <c r="D786" s="8" t="s">
        <v>2587</v>
      </c>
      <c r="E786" s="14" t="s">
        <v>2565</v>
      </c>
    </row>
    <row r="787">
      <c r="A787" s="8" t="s">
        <v>6329</v>
      </c>
      <c r="B787" s="8" t="s">
        <v>53</v>
      </c>
      <c r="C787" s="14" t="s">
        <v>1679</v>
      </c>
      <c r="D787" s="8" t="s">
        <v>2567</v>
      </c>
      <c r="E787" s="14" t="s">
        <v>2594</v>
      </c>
    </row>
    <row r="788">
      <c r="A788" s="8" t="s">
        <v>4713</v>
      </c>
      <c r="B788" s="8" t="s">
        <v>80</v>
      </c>
      <c r="C788" s="14" t="s">
        <v>338</v>
      </c>
      <c r="D788" s="8" t="s">
        <v>2575</v>
      </c>
      <c r="E788" s="14" t="s">
        <v>2639</v>
      </c>
    </row>
    <row r="789">
      <c r="A789" s="8" t="s">
        <v>4714</v>
      </c>
      <c r="B789" s="8" t="s">
        <v>132</v>
      </c>
      <c r="C789" s="14" t="s">
        <v>459</v>
      </c>
      <c r="D789" s="8" t="s">
        <v>2592</v>
      </c>
      <c r="E789" s="14" t="s">
        <v>2583</v>
      </c>
    </row>
    <row r="790">
      <c r="A790" s="8" t="s">
        <v>4715</v>
      </c>
      <c r="B790" s="8" t="s">
        <v>16</v>
      </c>
      <c r="C790" s="14" t="s">
        <v>2296</v>
      </c>
      <c r="D790" s="8" t="s">
        <v>2572</v>
      </c>
      <c r="E790" s="14" t="s">
        <v>2576</v>
      </c>
    </row>
    <row r="791">
      <c r="A791" s="8" t="s">
        <v>4716</v>
      </c>
      <c r="B791" s="8" t="s">
        <v>24</v>
      </c>
      <c r="C791" s="14" t="s">
        <v>189</v>
      </c>
      <c r="D791" s="8" t="s">
        <v>2603</v>
      </c>
      <c r="E791" s="14" t="s">
        <v>2571</v>
      </c>
    </row>
    <row r="792">
      <c r="A792" s="8" t="s">
        <v>4717</v>
      </c>
      <c r="B792" s="8" t="s">
        <v>122</v>
      </c>
      <c r="C792" s="14" t="s">
        <v>2459</v>
      </c>
      <c r="D792" s="8" t="s">
        <v>2587</v>
      </c>
      <c r="E792" s="14" t="s">
        <v>2608</v>
      </c>
    </row>
    <row r="793">
      <c r="A793" s="8" t="s">
        <v>4718</v>
      </c>
      <c r="B793" s="8" t="s">
        <v>122</v>
      </c>
      <c r="C793" s="14" t="s">
        <v>1352</v>
      </c>
      <c r="D793" s="8" t="s">
        <v>2605</v>
      </c>
      <c r="E793" s="14" t="s">
        <v>2625</v>
      </c>
    </row>
    <row r="794">
      <c r="A794" s="8" t="s">
        <v>4719</v>
      </c>
      <c r="B794" s="8" t="s">
        <v>80</v>
      </c>
      <c r="C794" s="14" t="s">
        <v>1352</v>
      </c>
      <c r="D794" s="8" t="s">
        <v>2605</v>
      </c>
      <c r="E794" s="14" t="s">
        <v>2616</v>
      </c>
    </row>
    <row r="795">
      <c r="A795" s="8" t="s">
        <v>4720</v>
      </c>
      <c r="B795" s="8" t="s">
        <v>122</v>
      </c>
      <c r="C795" s="14" t="s">
        <v>1679</v>
      </c>
      <c r="D795" s="8" t="s">
        <v>6304</v>
      </c>
      <c r="E795" s="14" t="s">
        <v>2622</v>
      </c>
    </row>
    <row r="796">
      <c r="A796" s="8" t="s">
        <v>4721</v>
      </c>
      <c r="B796" s="8" t="s">
        <v>215</v>
      </c>
      <c r="C796" s="14" t="s">
        <v>1070</v>
      </c>
      <c r="D796" s="8" t="s">
        <v>2587</v>
      </c>
      <c r="E796" s="14" t="s">
        <v>2557</v>
      </c>
    </row>
    <row r="797">
      <c r="A797" s="8" t="s">
        <v>4722</v>
      </c>
      <c r="B797" s="8" t="s">
        <v>12</v>
      </c>
      <c r="C797" s="14" t="s">
        <v>2033</v>
      </c>
      <c r="D797" s="8" t="s">
        <v>2605</v>
      </c>
      <c r="E797" s="14" t="s">
        <v>2622</v>
      </c>
    </row>
    <row r="798">
      <c r="A798" s="8" t="s">
        <v>4723</v>
      </c>
      <c r="B798" s="8" t="s">
        <v>59</v>
      </c>
      <c r="C798" s="14" t="s">
        <v>837</v>
      </c>
      <c r="D798" s="8" t="s">
        <v>2574</v>
      </c>
      <c r="E798" s="14" t="s">
        <v>2583</v>
      </c>
    </row>
    <row r="799">
      <c r="A799" s="8" t="s">
        <v>4724</v>
      </c>
      <c r="B799" s="8" t="s">
        <v>186</v>
      </c>
      <c r="C799" s="14" t="s">
        <v>1352</v>
      </c>
      <c r="D799" s="8" t="s">
        <v>2600</v>
      </c>
      <c r="E799" s="14" t="s">
        <v>2573</v>
      </c>
    </row>
    <row r="800">
      <c r="A800" s="8" t="s">
        <v>4725</v>
      </c>
      <c r="B800" s="8" t="s">
        <v>132</v>
      </c>
      <c r="C800" s="14" t="s">
        <v>2033</v>
      </c>
      <c r="D800" s="8" t="s">
        <v>2558</v>
      </c>
      <c r="E800" s="14" t="s">
        <v>2557</v>
      </c>
    </row>
    <row r="801">
      <c r="A801" s="8" t="s">
        <v>4726</v>
      </c>
      <c r="B801" s="8" t="s">
        <v>122</v>
      </c>
      <c r="C801" s="14" t="s">
        <v>1352</v>
      </c>
      <c r="D801" s="8" t="s">
        <v>2584</v>
      </c>
      <c r="E801" s="14" t="s">
        <v>2555</v>
      </c>
    </row>
    <row r="802">
      <c r="A802" s="8" t="s">
        <v>4727</v>
      </c>
      <c r="B802" s="8" t="s">
        <v>93</v>
      </c>
      <c r="C802" s="14" t="s">
        <v>1679</v>
      </c>
      <c r="D802" s="8" t="s">
        <v>2595</v>
      </c>
      <c r="E802" s="14" t="s">
        <v>2571</v>
      </c>
    </row>
    <row r="803">
      <c r="A803" s="8" t="s">
        <v>4728</v>
      </c>
      <c r="B803" s="8" t="s">
        <v>53</v>
      </c>
      <c r="C803" s="14" t="s">
        <v>1352</v>
      </c>
      <c r="D803" s="8" t="s">
        <v>2587</v>
      </c>
      <c r="E803" s="14" t="s">
        <v>2573</v>
      </c>
    </row>
    <row r="804">
      <c r="A804" s="8" t="s">
        <v>4729</v>
      </c>
      <c r="B804" s="8" t="s">
        <v>16</v>
      </c>
      <c r="C804" s="14" t="s">
        <v>27</v>
      </c>
      <c r="D804" s="8" t="s">
        <v>2566</v>
      </c>
      <c r="E804" s="14" t="s">
        <v>2565</v>
      </c>
    </row>
    <row r="805">
      <c r="A805" s="8" t="s">
        <v>4730</v>
      </c>
      <c r="B805" s="8" t="s">
        <v>65</v>
      </c>
      <c r="C805" s="14" t="s">
        <v>1070</v>
      </c>
      <c r="D805" s="8" t="s">
        <v>2577</v>
      </c>
      <c r="E805" s="14" t="s">
        <v>2602</v>
      </c>
    </row>
    <row r="806">
      <c r="A806" s="8" t="s">
        <v>4731</v>
      </c>
      <c r="B806" s="8" t="s">
        <v>70</v>
      </c>
      <c r="C806" s="14" t="s">
        <v>2459</v>
      </c>
      <c r="D806" s="8" t="s">
        <v>2574</v>
      </c>
      <c r="E806" s="14" t="s">
        <v>2555</v>
      </c>
    </row>
    <row r="807">
      <c r="A807" s="8" t="s">
        <v>4732</v>
      </c>
      <c r="B807" s="8" t="s">
        <v>70</v>
      </c>
      <c r="C807" s="14" t="s">
        <v>2033</v>
      </c>
      <c r="D807" s="8" t="s">
        <v>2574</v>
      </c>
      <c r="E807" s="14" t="s">
        <v>2606</v>
      </c>
    </row>
    <row r="808">
      <c r="A808" s="8" t="s">
        <v>4733</v>
      </c>
      <c r="B808" s="8" t="s">
        <v>59</v>
      </c>
      <c r="C808" s="14" t="s">
        <v>2033</v>
      </c>
      <c r="D808" s="8" t="s">
        <v>2585</v>
      </c>
      <c r="E808" s="14" t="s">
        <v>2563</v>
      </c>
    </row>
    <row r="809">
      <c r="A809" s="8" t="s">
        <v>4734</v>
      </c>
      <c r="B809" s="8" t="s">
        <v>70</v>
      </c>
      <c r="C809" s="14" t="s">
        <v>1352</v>
      </c>
      <c r="D809" s="8" t="s">
        <v>2560</v>
      </c>
      <c r="E809" s="14" t="s">
        <v>2557</v>
      </c>
    </row>
    <row r="810">
      <c r="A810" s="8" t="s">
        <v>4735</v>
      </c>
      <c r="B810" s="8" t="s">
        <v>149</v>
      </c>
      <c r="C810" s="14" t="s">
        <v>2033</v>
      </c>
      <c r="D810" s="8" t="s">
        <v>2603</v>
      </c>
      <c r="E810" s="14" t="s">
        <v>2618</v>
      </c>
    </row>
    <row r="811">
      <c r="A811" s="8" t="s">
        <v>4736</v>
      </c>
      <c r="B811" s="8" t="s">
        <v>138</v>
      </c>
      <c r="C811" s="14" t="s">
        <v>1679</v>
      </c>
      <c r="D811" s="8" t="s">
        <v>2574</v>
      </c>
      <c r="E811" s="14" t="s">
        <v>2576</v>
      </c>
    </row>
    <row r="812">
      <c r="A812" s="8" t="s">
        <v>4737</v>
      </c>
      <c r="B812" s="8" t="s">
        <v>261</v>
      </c>
      <c r="C812" s="14" t="s">
        <v>1679</v>
      </c>
      <c r="D812" s="8" t="s">
        <v>2582</v>
      </c>
      <c r="E812" s="14" t="s">
        <v>2576</v>
      </c>
    </row>
    <row r="813">
      <c r="A813" s="8" t="s">
        <v>4738</v>
      </c>
      <c r="B813" s="8" t="s">
        <v>132</v>
      </c>
      <c r="C813" s="14" t="s">
        <v>1679</v>
      </c>
      <c r="D813" s="8" t="s">
        <v>2620</v>
      </c>
      <c r="E813" s="14" t="s">
        <v>2563</v>
      </c>
    </row>
    <row r="814">
      <c r="A814" s="8" t="s">
        <v>4739</v>
      </c>
      <c r="B814" s="8" t="s">
        <v>261</v>
      </c>
      <c r="C814" s="14" t="s">
        <v>1070</v>
      </c>
      <c r="D814" s="8" t="s">
        <v>2566</v>
      </c>
      <c r="E814" s="14" t="s">
        <v>2622</v>
      </c>
    </row>
    <row r="815">
      <c r="A815" s="8" t="s">
        <v>4740</v>
      </c>
      <c r="B815" s="8" t="s">
        <v>65</v>
      </c>
      <c r="C815" s="14" t="s">
        <v>2296</v>
      </c>
      <c r="D815" s="8" t="s">
        <v>2605</v>
      </c>
      <c r="E815" s="14" t="s">
        <v>2568</v>
      </c>
    </row>
    <row r="816">
      <c r="A816" s="8" t="s">
        <v>4741</v>
      </c>
      <c r="B816" s="8" t="s">
        <v>53</v>
      </c>
      <c r="C816" s="14" t="s">
        <v>2296</v>
      </c>
      <c r="D816" s="8" t="s">
        <v>2572</v>
      </c>
      <c r="E816" s="14" t="s">
        <v>2555</v>
      </c>
    </row>
    <row r="817">
      <c r="A817" s="8" t="s">
        <v>4742</v>
      </c>
      <c r="B817" s="8" t="s">
        <v>59</v>
      </c>
      <c r="C817" s="14" t="s">
        <v>2296</v>
      </c>
      <c r="D817" s="8" t="s">
        <v>2603</v>
      </c>
      <c r="E817" s="14" t="s">
        <v>2609</v>
      </c>
    </row>
    <row r="818">
      <c r="A818" s="8" t="s">
        <v>4743</v>
      </c>
      <c r="B818" s="8" t="s">
        <v>138</v>
      </c>
      <c r="C818" s="14" t="s">
        <v>1352</v>
      </c>
      <c r="D818" s="8" t="s">
        <v>2183</v>
      </c>
      <c r="E818" s="14" t="s">
        <v>2571</v>
      </c>
    </row>
    <row r="819">
      <c r="A819" s="8" t="s">
        <v>4744</v>
      </c>
      <c r="B819" s="8" t="s">
        <v>65</v>
      </c>
      <c r="C819" s="14" t="s">
        <v>189</v>
      </c>
      <c r="D819" s="8" t="s">
        <v>2620</v>
      </c>
      <c r="E819" s="14" t="s">
        <v>2613</v>
      </c>
    </row>
    <row r="820">
      <c r="A820" s="8" t="s">
        <v>4745</v>
      </c>
      <c r="B820" s="8" t="s">
        <v>186</v>
      </c>
      <c r="C820" s="14" t="s">
        <v>1679</v>
      </c>
      <c r="D820" s="8" t="s">
        <v>2592</v>
      </c>
      <c r="E820" s="14" t="s">
        <v>2606</v>
      </c>
    </row>
    <row r="821">
      <c r="A821" s="8" t="s">
        <v>4746</v>
      </c>
      <c r="B821" s="8" t="s">
        <v>65</v>
      </c>
      <c r="C821" s="14" t="s">
        <v>2296</v>
      </c>
      <c r="D821" s="8" t="s">
        <v>2558</v>
      </c>
      <c r="E821" s="14" t="s">
        <v>2563</v>
      </c>
    </row>
    <row r="822">
      <c r="A822" s="8" t="s">
        <v>4747</v>
      </c>
      <c r="B822" s="8" t="s">
        <v>75</v>
      </c>
      <c r="C822" s="14" t="s">
        <v>1352</v>
      </c>
      <c r="D822" s="8" t="s">
        <v>2582</v>
      </c>
      <c r="E822" s="14" t="s">
        <v>2579</v>
      </c>
    </row>
    <row r="823">
      <c r="A823" s="8" t="s">
        <v>4748</v>
      </c>
      <c r="B823" s="8" t="s">
        <v>24</v>
      </c>
      <c r="C823" s="14" t="s">
        <v>1070</v>
      </c>
      <c r="D823" s="8" t="s">
        <v>2567</v>
      </c>
      <c r="E823" s="14" t="s">
        <v>2633</v>
      </c>
    </row>
    <row r="824">
      <c r="A824" s="8" t="s">
        <v>4749</v>
      </c>
      <c r="B824" s="8" t="s">
        <v>46</v>
      </c>
      <c r="C824" s="14" t="s">
        <v>631</v>
      </c>
      <c r="D824" s="8" t="s">
        <v>2183</v>
      </c>
      <c r="E824" s="14" t="s">
        <v>2553</v>
      </c>
    </row>
    <row r="825">
      <c r="A825" s="8" t="s">
        <v>4750</v>
      </c>
      <c r="B825" s="8" t="s">
        <v>186</v>
      </c>
      <c r="C825" s="14" t="s">
        <v>837</v>
      </c>
      <c r="D825" s="8" t="s">
        <v>2552</v>
      </c>
      <c r="E825" s="14" t="s">
        <v>2586</v>
      </c>
    </row>
    <row r="826">
      <c r="A826" s="8" t="s">
        <v>4751</v>
      </c>
      <c r="B826" s="8" t="s">
        <v>132</v>
      </c>
      <c r="C826" s="14" t="s">
        <v>459</v>
      </c>
      <c r="D826" s="8" t="s">
        <v>2615</v>
      </c>
      <c r="E826" s="14" t="s">
        <v>2576</v>
      </c>
    </row>
    <row r="827">
      <c r="A827" s="8" t="s">
        <v>4752</v>
      </c>
      <c r="B827" s="8" t="s">
        <v>138</v>
      </c>
      <c r="C827" s="14" t="s">
        <v>1352</v>
      </c>
      <c r="D827" s="8" t="s">
        <v>2554</v>
      </c>
      <c r="E827" s="14" t="s">
        <v>2579</v>
      </c>
    </row>
    <row r="828">
      <c r="A828" s="8" t="s">
        <v>4753</v>
      </c>
      <c r="B828" s="8" t="s">
        <v>80</v>
      </c>
      <c r="C828" s="14" t="s">
        <v>1352</v>
      </c>
      <c r="D828" s="8" t="s">
        <v>2615</v>
      </c>
      <c r="E828" s="14" t="s">
        <v>2591</v>
      </c>
    </row>
    <row r="829">
      <c r="A829" s="8" t="s">
        <v>4754</v>
      </c>
      <c r="B829" s="8" t="s">
        <v>192</v>
      </c>
      <c r="C829" s="14" t="s">
        <v>837</v>
      </c>
      <c r="D829" s="8" t="s">
        <v>2574</v>
      </c>
      <c r="E829" s="14" t="s">
        <v>2571</v>
      </c>
    </row>
    <row r="830">
      <c r="A830" s="8" t="s">
        <v>4755</v>
      </c>
      <c r="B830" s="8" t="s">
        <v>93</v>
      </c>
      <c r="C830" s="14" t="s">
        <v>1070</v>
      </c>
      <c r="D830" s="8" t="s">
        <v>2581</v>
      </c>
      <c r="E830" s="14" t="s">
        <v>2565</v>
      </c>
    </row>
    <row r="831">
      <c r="A831" s="8" t="s">
        <v>4756</v>
      </c>
      <c r="B831" s="8" t="s">
        <v>24</v>
      </c>
      <c r="C831" s="14" t="s">
        <v>1352</v>
      </c>
      <c r="D831" s="8" t="s">
        <v>2598</v>
      </c>
      <c r="E831" s="14" t="s">
        <v>2573</v>
      </c>
    </row>
    <row r="832">
      <c r="A832" s="8" t="s">
        <v>4757</v>
      </c>
      <c r="B832" s="8" t="s">
        <v>149</v>
      </c>
      <c r="C832" s="14" t="s">
        <v>2033</v>
      </c>
      <c r="D832" s="8" t="s">
        <v>2560</v>
      </c>
      <c r="E832" s="14" t="s">
        <v>2628</v>
      </c>
    </row>
    <row r="833">
      <c r="A833" s="8" t="s">
        <v>4758</v>
      </c>
      <c r="B833" s="8" t="s">
        <v>24</v>
      </c>
      <c r="C833" s="14" t="s">
        <v>837</v>
      </c>
      <c r="D833" s="8" t="s">
        <v>2560</v>
      </c>
      <c r="E833" s="14" t="s">
        <v>2557</v>
      </c>
    </row>
    <row r="834">
      <c r="A834" s="8" t="s">
        <v>4759</v>
      </c>
      <c r="B834" s="8" t="s">
        <v>80</v>
      </c>
      <c r="C834" s="14" t="s">
        <v>108</v>
      </c>
      <c r="D834" s="8" t="s">
        <v>2593</v>
      </c>
      <c r="E834" s="14" t="s">
        <v>2599</v>
      </c>
    </row>
    <row r="835">
      <c r="A835" s="8" t="s">
        <v>4760</v>
      </c>
      <c r="B835" s="8" t="s">
        <v>53</v>
      </c>
      <c r="C835" s="14" t="s">
        <v>1679</v>
      </c>
      <c r="D835" s="8" t="s">
        <v>2552</v>
      </c>
      <c r="E835" s="14" t="s">
        <v>2563</v>
      </c>
    </row>
    <row r="836">
      <c r="A836" s="8" t="s">
        <v>4761</v>
      </c>
      <c r="B836" s="8" t="s">
        <v>80</v>
      </c>
      <c r="C836" s="14" t="s">
        <v>459</v>
      </c>
      <c r="D836" s="8" t="s">
        <v>6304</v>
      </c>
      <c r="E836" s="14" t="s">
        <v>2622</v>
      </c>
    </row>
    <row r="837">
      <c r="A837" s="8" t="s">
        <v>4762</v>
      </c>
      <c r="B837" s="8" t="s">
        <v>141</v>
      </c>
      <c r="C837" s="14" t="s">
        <v>1352</v>
      </c>
      <c r="D837" s="8" t="s">
        <v>2585</v>
      </c>
      <c r="E837" s="14" t="s">
        <v>2606</v>
      </c>
    </row>
    <row r="838">
      <c r="A838" s="8" t="s">
        <v>4763</v>
      </c>
      <c r="B838" s="8" t="s">
        <v>141</v>
      </c>
      <c r="C838" s="14" t="s">
        <v>2296</v>
      </c>
      <c r="D838" s="8" t="s">
        <v>2595</v>
      </c>
      <c r="E838" s="14" t="s">
        <v>2568</v>
      </c>
    </row>
    <row r="839">
      <c r="A839" s="8" t="s">
        <v>4764</v>
      </c>
      <c r="B839" s="8" t="s">
        <v>132</v>
      </c>
      <c r="C839" s="14" t="s">
        <v>2459</v>
      </c>
      <c r="D839" s="8" t="s">
        <v>2595</v>
      </c>
      <c r="E839" s="14" t="s">
        <v>2618</v>
      </c>
    </row>
    <row r="840">
      <c r="A840" s="8" t="s">
        <v>4765</v>
      </c>
      <c r="B840" s="8" t="s">
        <v>75</v>
      </c>
      <c r="C840" s="14" t="s">
        <v>1679</v>
      </c>
      <c r="D840" s="8" t="s">
        <v>2603</v>
      </c>
      <c r="E840" s="14" t="s">
        <v>2594</v>
      </c>
    </row>
    <row r="841">
      <c r="A841" s="8" t="s">
        <v>4766</v>
      </c>
      <c r="B841" s="8" t="s">
        <v>24</v>
      </c>
      <c r="C841" s="14" t="s">
        <v>1352</v>
      </c>
      <c r="D841" s="8" t="s">
        <v>2558</v>
      </c>
      <c r="E841" s="14" t="s">
        <v>2579</v>
      </c>
    </row>
    <row r="842">
      <c r="A842" s="8" t="s">
        <v>4767</v>
      </c>
      <c r="B842" s="8" t="s">
        <v>75</v>
      </c>
      <c r="C842" s="14" t="s">
        <v>1070</v>
      </c>
      <c r="D842" s="8" t="s">
        <v>2567</v>
      </c>
      <c r="E842" s="14" t="s">
        <v>2583</v>
      </c>
    </row>
    <row r="843">
      <c r="A843" s="8" t="s">
        <v>4768</v>
      </c>
      <c r="B843" s="8" t="s">
        <v>75</v>
      </c>
      <c r="C843" s="14" t="s">
        <v>2296</v>
      </c>
      <c r="D843" s="8" t="s">
        <v>2566</v>
      </c>
      <c r="E843" s="14" t="s">
        <v>2606</v>
      </c>
    </row>
    <row r="844">
      <c r="A844" s="8" t="s">
        <v>4769</v>
      </c>
      <c r="B844" s="8" t="s">
        <v>24</v>
      </c>
      <c r="C844" s="14" t="s">
        <v>1679</v>
      </c>
      <c r="D844" s="8" t="s">
        <v>2566</v>
      </c>
      <c r="E844" s="14" t="s">
        <v>2611</v>
      </c>
    </row>
    <row r="845">
      <c r="A845" s="8" t="s">
        <v>4770</v>
      </c>
      <c r="B845" s="8" t="s">
        <v>141</v>
      </c>
      <c r="C845" s="14" t="s">
        <v>135</v>
      </c>
      <c r="D845" s="8" t="s">
        <v>2592</v>
      </c>
      <c r="E845" s="14" t="s">
        <v>2583</v>
      </c>
    </row>
    <row r="846">
      <c r="A846" s="8" t="s">
        <v>4771</v>
      </c>
      <c r="B846" s="8" t="s">
        <v>215</v>
      </c>
      <c r="C846" s="14" t="s">
        <v>237</v>
      </c>
      <c r="D846" s="8" t="s">
        <v>2552</v>
      </c>
      <c r="E846" s="14" t="s">
        <v>2625</v>
      </c>
    </row>
    <row r="847">
      <c r="A847" s="8" t="s">
        <v>4772</v>
      </c>
      <c r="B847" s="8" t="s">
        <v>215</v>
      </c>
      <c r="C847" s="14" t="s">
        <v>338</v>
      </c>
      <c r="D847" s="8" t="s">
        <v>2603</v>
      </c>
      <c r="E847" s="14" t="s">
        <v>2607</v>
      </c>
    </row>
    <row r="848">
      <c r="A848" s="8" t="s">
        <v>4773</v>
      </c>
      <c r="B848" s="8" t="s">
        <v>70</v>
      </c>
      <c r="C848" s="14" t="s">
        <v>1679</v>
      </c>
      <c r="D848" s="8" t="s">
        <v>2614</v>
      </c>
      <c r="E848" s="14" t="s">
        <v>2636</v>
      </c>
    </row>
    <row r="849">
      <c r="A849" s="8" t="s">
        <v>4774</v>
      </c>
      <c r="B849" s="8" t="s">
        <v>192</v>
      </c>
      <c r="C849" s="14" t="s">
        <v>2033</v>
      </c>
      <c r="D849" s="8" t="s">
        <v>6303</v>
      </c>
      <c r="E849" s="14" t="s">
        <v>2612</v>
      </c>
    </row>
    <row r="850">
      <c r="A850" s="8" t="s">
        <v>4775</v>
      </c>
      <c r="B850" s="8" t="s">
        <v>93</v>
      </c>
      <c r="C850" s="14" t="s">
        <v>1352</v>
      </c>
      <c r="D850" s="8" t="s">
        <v>2582</v>
      </c>
      <c r="E850" s="14" t="s">
        <v>2602</v>
      </c>
    </row>
    <row r="851">
      <c r="A851" s="8" t="s">
        <v>4776</v>
      </c>
      <c r="B851" s="8" t="s">
        <v>138</v>
      </c>
      <c r="C851" s="14" t="s">
        <v>1070</v>
      </c>
      <c r="D851" s="8" t="s">
        <v>2558</v>
      </c>
      <c r="E851" s="14" t="s">
        <v>2576</v>
      </c>
    </row>
    <row r="852">
      <c r="A852" s="8" t="s">
        <v>4777</v>
      </c>
      <c r="B852" s="8" t="s">
        <v>122</v>
      </c>
      <c r="C852" s="14" t="s">
        <v>631</v>
      </c>
      <c r="D852" s="8" t="s">
        <v>2564</v>
      </c>
      <c r="E852" s="14" t="s">
        <v>2623</v>
      </c>
    </row>
    <row r="853">
      <c r="A853" s="8" t="s">
        <v>4778</v>
      </c>
      <c r="B853" s="8" t="s">
        <v>215</v>
      </c>
      <c r="C853" s="14" t="s">
        <v>1679</v>
      </c>
      <c r="D853" s="8" t="s">
        <v>2560</v>
      </c>
      <c r="E853" s="14" t="s">
        <v>2576</v>
      </c>
    </row>
    <row r="854">
      <c r="A854" s="8" t="s">
        <v>4779</v>
      </c>
      <c r="B854" s="8" t="s">
        <v>132</v>
      </c>
      <c r="C854" s="14" t="s">
        <v>1352</v>
      </c>
      <c r="D854" s="8" t="s">
        <v>2572</v>
      </c>
      <c r="E854" s="14" t="s">
        <v>2602</v>
      </c>
    </row>
    <row r="855">
      <c r="A855" s="8" t="s">
        <v>4780</v>
      </c>
      <c r="B855" s="8" t="s">
        <v>24</v>
      </c>
      <c r="C855" s="14" t="s">
        <v>2296</v>
      </c>
      <c r="D855" s="8" t="s">
        <v>6304</v>
      </c>
      <c r="E855" s="14" t="s">
        <v>2557</v>
      </c>
    </row>
    <row r="856">
      <c r="A856" s="8" t="s">
        <v>4781</v>
      </c>
      <c r="B856" s="8" t="s">
        <v>59</v>
      </c>
      <c r="C856" s="14" t="s">
        <v>1679</v>
      </c>
      <c r="D856" s="8" t="s">
        <v>2598</v>
      </c>
      <c r="E856" s="14" t="s">
        <v>2573</v>
      </c>
    </row>
    <row r="857">
      <c r="A857" s="8" t="s">
        <v>4782</v>
      </c>
      <c r="B857" s="8" t="s">
        <v>215</v>
      </c>
      <c r="C857" s="14" t="s">
        <v>1070</v>
      </c>
      <c r="D857" s="8" t="s">
        <v>2183</v>
      </c>
      <c r="E857" s="14" t="s">
        <v>2578</v>
      </c>
    </row>
    <row r="858">
      <c r="A858" s="8" t="s">
        <v>4783</v>
      </c>
      <c r="B858" s="8" t="s">
        <v>70</v>
      </c>
      <c r="C858" s="14" t="s">
        <v>60</v>
      </c>
      <c r="D858" s="8" t="s">
        <v>2587</v>
      </c>
      <c r="E858" s="14" t="s">
        <v>2599</v>
      </c>
    </row>
    <row r="859">
      <c r="A859" s="8" t="s">
        <v>4784</v>
      </c>
      <c r="B859" s="8" t="s">
        <v>75</v>
      </c>
      <c r="C859" s="14" t="s">
        <v>2033</v>
      </c>
      <c r="D859" s="8" t="s">
        <v>2554</v>
      </c>
      <c r="E859" s="14" t="s">
        <v>2608</v>
      </c>
    </row>
    <row r="860">
      <c r="A860" s="8" t="s">
        <v>4785</v>
      </c>
      <c r="B860" s="8" t="s">
        <v>53</v>
      </c>
      <c r="C860" s="14" t="s">
        <v>2296</v>
      </c>
      <c r="D860" s="8" t="s">
        <v>2560</v>
      </c>
      <c r="E860" s="14" t="s">
        <v>2622</v>
      </c>
    </row>
    <row r="861">
      <c r="A861" s="8" t="s">
        <v>4786</v>
      </c>
      <c r="B861" s="8" t="s">
        <v>132</v>
      </c>
      <c r="C861" s="14" t="s">
        <v>2296</v>
      </c>
      <c r="D861" s="8" t="s">
        <v>2577</v>
      </c>
      <c r="E861" s="14" t="s">
        <v>2617</v>
      </c>
    </row>
    <row r="862">
      <c r="A862" s="8" t="s">
        <v>4787</v>
      </c>
      <c r="B862" s="8" t="s">
        <v>59</v>
      </c>
      <c r="C862" s="14" t="s">
        <v>2296</v>
      </c>
      <c r="D862" s="8" t="s">
        <v>2585</v>
      </c>
      <c r="E862" s="14" t="s">
        <v>2553</v>
      </c>
    </row>
    <row r="863">
      <c r="A863" s="8" t="s">
        <v>4788</v>
      </c>
      <c r="B863" s="8" t="s">
        <v>132</v>
      </c>
      <c r="C863" s="14" t="s">
        <v>631</v>
      </c>
      <c r="D863" s="8" t="s">
        <v>6304</v>
      </c>
      <c r="E863" s="14" t="s">
        <v>2590</v>
      </c>
    </row>
    <row r="864">
      <c r="A864" s="8" t="s">
        <v>4789</v>
      </c>
      <c r="B864" s="8" t="s">
        <v>122</v>
      </c>
      <c r="C864" s="14" t="s">
        <v>837</v>
      </c>
      <c r="D864" s="8" t="s">
        <v>6304</v>
      </c>
      <c r="E864" s="14" t="s">
        <v>2563</v>
      </c>
    </row>
    <row r="865">
      <c r="A865" s="8" t="s">
        <v>4790</v>
      </c>
      <c r="B865" s="8" t="s">
        <v>16</v>
      </c>
      <c r="C865" s="14" t="s">
        <v>2033</v>
      </c>
      <c r="D865" s="8" t="s">
        <v>2584</v>
      </c>
      <c r="E865" s="14" t="s">
        <v>2570</v>
      </c>
    </row>
    <row r="866">
      <c r="A866" s="8" t="s">
        <v>4791</v>
      </c>
      <c r="B866" s="8" t="s">
        <v>93</v>
      </c>
      <c r="C866" s="14" t="s">
        <v>1679</v>
      </c>
      <c r="D866" s="8" t="s">
        <v>6304</v>
      </c>
      <c r="E866" s="14" t="s">
        <v>2608</v>
      </c>
    </row>
    <row r="867">
      <c r="A867" s="8" t="s">
        <v>4792</v>
      </c>
      <c r="B867" s="8" t="s">
        <v>46</v>
      </c>
      <c r="C867" s="14" t="s">
        <v>837</v>
      </c>
      <c r="D867" s="8" t="s">
        <v>2620</v>
      </c>
      <c r="E867" s="14" t="s">
        <v>2590</v>
      </c>
    </row>
    <row r="868">
      <c r="A868" s="8" t="s">
        <v>4793</v>
      </c>
      <c r="B868" s="8" t="s">
        <v>53</v>
      </c>
      <c r="C868" s="14" t="s">
        <v>1679</v>
      </c>
      <c r="D868" s="8" t="s">
        <v>2554</v>
      </c>
      <c r="E868" s="14" t="s">
        <v>2594</v>
      </c>
    </row>
    <row r="869">
      <c r="A869" s="8" t="s">
        <v>4794</v>
      </c>
      <c r="B869" s="8" t="s">
        <v>141</v>
      </c>
      <c r="C869" s="14" t="s">
        <v>1679</v>
      </c>
      <c r="D869" s="8" t="s">
        <v>2552</v>
      </c>
      <c r="E869" s="14" t="s">
        <v>2602</v>
      </c>
    </row>
    <row r="870">
      <c r="A870" s="8" t="s">
        <v>4795</v>
      </c>
      <c r="B870" s="8" t="s">
        <v>24</v>
      </c>
      <c r="C870" s="14" t="s">
        <v>237</v>
      </c>
      <c r="D870" s="8" t="s">
        <v>2585</v>
      </c>
      <c r="E870" s="14" t="s">
        <v>2602</v>
      </c>
    </row>
    <row r="871">
      <c r="A871" s="8" t="s">
        <v>4796</v>
      </c>
      <c r="B871" s="8" t="s">
        <v>24</v>
      </c>
      <c r="C871" s="14" t="s">
        <v>2033</v>
      </c>
      <c r="D871" s="8" t="s">
        <v>2566</v>
      </c>
      <c r="E871" s="14" t="s">
        <v>2576</v>
      </c>
    </row>
    <row r="872">
      <c r="A872" s="8" t="s">
        <v>4797</v>
      </c>
      <c r="B872" s="8" t="s">
        <v>16</v>
      </c>
      <c r="C872" s="14" t="s">
        <v>631</v>
      </c>
      <c r="D872" s="8" t="s">
        <v>2615</v>
      </c>
      <c r="E872" s="14" t="s">
        <v>2626</v>
      </c>
    </row>
    <row r="873">
      <c r="A873" s="8" t="s">
        <v>4798</v>
      </c>
      <c r="B873" s="8" t="s">
        <v>24</v>
      </c>
      <c r="C873" s="14" t="s">
        <v>1352</v>
      </c>
      <c r="D873" s="8" t="s">
        <v>2595</v>
      </c>
      <c r="E873" s="14" t="s">
        <v>2563</v>
      </c>
    </row>
    <row r="874">
      <c r="A874" s="8" t="s">
        <v>4799</v>
      </c>
      <c r="B874" s="8" t="s">
        <v>65</v>
      </c>
      <c r="C874" s="14" t="s">
        <v>2296</v>
      </c>
      <c r="D874" s="8" t="s">
        <v>2603</v>
      </c>
      <c r="E874" s="14" t="s">
        <v>2557</v>
      </c>
    </row>
    <row r="875">
      <c r="A875" s="8" t="s">
        <v>4800</v>
      </c>
      <c r="B875" s="8" t="s">
        <v>186</v>
      </c>
      <c r="C875" s="14" t="s">
        <v>2033</v>
      </c>
      <c r="D875" s="8" t="s">
        <v>2183</v>
      </c>
      <c r="E875" s="14" t="s">
        <v>2612</v>
      </c>
    </row>
    <row r="876">
      <c r="A876" s="8" t="s">
        <v>4801</v>
      </c>
      <c r="B876" s="8" t="s">
        <v>65</v>
      </c>
      <c r="C876" s="14" t="s">
        <v>1070</v>
      </c>
      <c r="D876" s="8" t="s">
        <v>2183</v>
      </c>
      <c r="E876" s="14" t="s">
        <v>2579</v>
      </c>
    </row>
    <row r="877">
      <c r="A877" s="8" t="s">
        <v>4802</v>
      </c>
      <c r="B877" s="8" t="s">
        <v>53</v>
      </c>
      <c r="C877" s="14" t="s">
        <v>1679</v>
      </c>
      <c r="D877" s="8" t="s">
        <v>2615</v>
      </c>
      <c r="E877" s="14" t="s">
        <v>2571</v>
      </c>
    </row>
    <row r="878">
      <c r="A878" s="8" t="s">
        <v>4803</v>
      </c>
      <c r="B878" s="8" t="s">
        <v>215</v>
      </c>
      <c r="C878" s="14" t="s">
        <v>837</v>
      </c>
      <c r="D878" s="8" t="s">
        <v>2595</v>
      </c>
      <c r="E878" s="14" t="s">
        <v>2576</v>
      </c>
    </row>
    <row r="879">
      <c r="A879" s="8" t="s">
        <v>4804</v>
      </c>
      <c r="B879" s="8" t="s">
        <v>122</v>
      </c>
      <c r="C879" s="14" t="s">
        <v>237</v>
      </c>
      <c r="D879" s="8" t="s">
        <v>2610</v>
      </c>
      <c r="E879" s="14" t="s">
        <v>2616</v>
      </c>
    </row>
    <row r="880">
      <c r="A880" s="8" t="s">
        <v>4805</v>
      </c>
      <c r="B880" s="8" t="s">
        <v>16</v>
      </c>
      <c r="C880" s="14" t="s">
        <v>631</v>
      </c>
      <c r="D880" s="8" t="s">
        <v>2603</v>
      </c>
      <c r="E880" s="14" t="s">
        <v>2580</v>
      </c>
    </row>
    <row r="881">
      <c r="A881" s="8" t="s">
        <v>4806</v>
      </c>
      <c r="B881" s="8" t="s">
        <v>24</v>
      </c>
      <c r="C881" s="14" t="s">
        <v>1352</v>
      </c>
      <c r="D881" s="8" t="s">
        <v>2584</v>
      </c>
      <c r="E881" s="14" t="s">
        <v>2602</v>
      </c>
    </row>
    <row r="882">
      <c r="A882" s="8" t="s">
        <v>4807</v>
      </c>
      <c r="B882" s="8" t="s">
        <v>132</v>
      </c>
      <c r="C882" s="14" t="s">
        <v>2296</v>
      </c>
      <c r="D882" s="8" t="s">
        <v>2566</v>
      </c>
      <c r="E882" s="14" t="s">
        <v>2570</v>
      </c>
    </row>
    <row r="883">
      <c r="A883" s="8" t="s">
        <v>4808</v>
      </c>
      <c r="B883" s="8" t="s">
        <v>149</v>
      </c>
      <c r="C883" s="14" t="s">
        <v>837</v>
      </c>
      <c r="D883" s="8" t="s">
        <v>2603</v>
      </c>
      <c r="E883" s="14" t="s">
        <v>2622</v>
      </c>
    </row>
    <row r="884">
      <c r="A884" s="8" t="s">
        <v>4809</v>
      </c>
      <c r="B884" s="8" t="s">
        <v>192</v>
      </c>
      <c r="C884" s="14" t="s">
        <v>459</v>
      </c>
      <c r="D884" s="8" t="s">
        <v>2614</v>
      </c>
      <c r="E884" s="14" t="s">
        <v>2602</v>
      </c>
    </row>
    <row r="885">
      <c r="A885" s="8" t="s">
        <v>4810</v>
      </c>
      <c r="B885" s="8" t="s">
        <v>24</v>
      </c>
      <c r="C885" s="14" t="s">
        <v>1352</v>
      </c>
      <c r="D885" s="8" t="s">
        <v>2585</v>
      </c>
      <c r="E885" s="14" t="s">
        <v>2561</v>
      </c>
    </row>
    <row r="886">
      <c r="A886" s="8" t="s">
        <v>4811</v>
      </c>
      <c r="B886" s="8" t="s">
        <v>192</v>
      </c>
      <c r="C886" s="14" t="s">
        <v>1352</v>
      </c>
      <c r="D886" s="8" t="s">
        <v>2567</v>
      </c>
      <c r="E886" s="14" t="s">
        <v>2622</v>
      </c>
    </row>
    <row r="887">
      <c r="A887" s="8" t="s">
        <v>4812</v>
      </c>
      <c r="B887" s="8" t="s">
        <v>24</v>
      </c>
      <c r="C887" s="14" t="s">
        <v>1352</v>
      </c>
      <c r="D887" s="8" t="s">
        <v>2593</v>
      </c>
      <c r="E887" s="14" t="s">
        <v>2608</v>
      </c>
    </row>
    <row r="888">
      <c r="A888" s="8" t="s">
        <v>4813</v>
      </c>
      <c r="B888" s="8" t="s">
        <v>215</v>
      </c>
      <c r="C888" s="14" t="s">
        <v>237</v>
      </c>
      <c r="D888" s="8" t="s">
        <v>2574</v>
      </c>
      <c r="E888" s="14" t="s">
        <v>2633</v>
      </c>
    </row>
    <row r="889">
      <c r="A889" s="8" t="s">
        <v>4814</v>
      </c>
      <c r="B889" s="8" t="s">
        <v>65</v>
      </c>
      <c r="C889" s="14" t="s">
        <v>837</v>
      </c>
      <c r="D889" s="8" t="s">
        <v>2572</v>
      </c>
      <c r="E889" s="14" t="s">
        <v>2579</v>
      </c>
    </row>
    <row r="890">
      <c r="A890" s="8" t="s">
        <v>4815</v>
      </c>
      <c r="B890" s="8" t="s">
        <v>149</v>
      </c>
      <c r="C890" s="14" t="s">
        <v>1352</v>
      </c>
      <c r="D890" s="8" t="s">
        <v>2558</v>
      </c>
      <c r="E890" s="14" t="s">
        <v>2618</v>
      </c>
    </row>
    <row r="891">
      <c r="A891" s="8" t="s">
        <v>4816</v>
      </c>
      <c r="B891" s="8" t="s">
        <v>149</v>
      </c>
      <c r="C891" s="14" t="s">
        <v>1352</v>
      </c>
      <c r="D891" s="8" t="s">
        <v>2603</v>
      </c>
      <c r="E891" s="14" t="s">
        <v>2573</v>
      </c>
    </row>
    <row r="892">
      <c r="A892" s="8" t="s">
        <v>4817</v>
      </c>
      <c r="B892" s="8" t="s">
        <v>186</v>
      </c>
      <c r="C892" s="14" t="s">
        <v>2033</v>
      </c>
      <c r="D892" s="8" t="s">
        <v>2610</v>
      </c>
      <c r="E892" s="14" t="s">
        <v>2622</v>
      </c>
    </row>
    <row r="893">
      <c r="A893" s="8" t="s">
        <v>4818</v>
      </c>
      <c r="B893" s="8" t="s">
        <v>46</v>
      </c>
      <c r="C893" s="14" t="s">
        <v>2296</v>
      </c>
      <c r="D893" s="8" t="s">
        <v>2582</v>
      </c>
      <c r="E893" s="14" t="s">
        <v>2579</v>
      </c>
    </row>
    <row r="894">
      <c r="A894" s="8" t="s">
        <v>4819</v>
      </c>
      <c r="B894" s="8" t="s">
        <v>65</v>
      </c>
      <c r="C894" s="14" t="s">
        <v>1352</v>
      </c>
      <c r="D894" s="8" t="s">
        <v>2558</v>
      </c>
      <c r="E894" s="14" t="s">
        <v>2553</v>
      </c>
    </row>
    <row r="895">
      <c r="A895" s="8" t="s">
        <v>4820</v>
      </c>
      <c r="B895" s="8" t="s">
        <v>138</v>
      </c>
      <c r="C895" s="14" t="s">
        <v>2033</v>
      </c>
      <c r="D895" s="8" t="s">
        <v>2567</v>
      </c>
      <c r="E895" s="14" t="s">
        <v>2583</v>
      </c>
    </row>
    <row r="896">
      <c r="A896" s="8" t="s">
        <v>4821</v>
      </c>
      <c r="B896" s="8" t="s">
        <v>59</v>
      </c>
      <c r="C896" s="14" t="s">
        <v>1070</v>
      </c>
      <c r="D896" s="8" t="s">
        <v>2621</v>
      </c>
      <c r="E896" s="14" t="s">
        <v>2555</v>
      </c>
    </row>
    <row r="897">
      <c r="A897" s="8" t="s">
        <v>4822</v>
      </c>
      <c r="B897" s="8" t="s">
        <v>12</v>
      </c>
      <c r="C897" s="14" t="s">
        <v>459</v>
      </c>
      <c r="D897" s="8" t="s">
        <v>2598</v>
      </c>
      <c r="E897" s="14" t="s">
        <v>2573</v>
      </c>
    </row>
    <row r="898">
      <c r="A898" s="8" t="s">
        <v>4823</v>
      </c>
      <c r="B898" s="8" t="s">
        <v>70</v>
      </c>
      <c r="C898" s="14" t="s">
        <v>837</v>
      </c>
      <c r="D898" s="8" t="s">
        <v>2610</v>
      </c>
      <c r="E898" s="14" t="s">
        <v>2608</v>
      </c>
    </row>
    <row r="899">
      <c r="A899" s="8" t="s">
        <v>4824</v>
      </c>
      <c r="B899" s="8" t="s">
        <v>192</v>
      </c>
      <c r="C899" s="14" t="s">
        <v>1679</v>
      </c>
      <c r="D899" s="8" t="s">
        <v>2564</v>
      </c>
      <c r="E899" s="14" t="s">
        <v>2609</v>
      </c>
    </row>
    <row r="900">
      <c r="A900" s="8" t="s">
        <v>4825</v>
      </c>
      <c r="B900" s="8" t="s">
        <v>65</v>
      </c>
      <c r="C900" s="14" t="s">
        <v>237</v>
      </c>
      <c r="D900" s="8" t="s">
        <v>2566</v>
      </c>
      <c r="E900" s="14" t="s">
        <v>2625</v>
      </c>
    </row>
    <row r="901">
      <c r="A901" s="8" t="s">
        <v>4826</v>
      </c>
      <c r="B901" s="8" t="s">
        <v>122</v>
      </c>
      <c r="C901" s="14" t="s">
        <v>1070</v>
      </c>
      <c r="D901" s="8" t="s">
        <v>2598</v>
      </c>
      <c r="E901" s="14" t="s">
        <v>2604</v>
      </c>
    </row>
    <row r="902">
      <c r="A902" s="8" t="s">
        <v>4828</v>
      </c>
      <c r="B902" s="8" t="s">
        <v>12</v>
      </c>
      <c r="C902" s="14" t="s">
        <v>189</v>
      </c>
      <c r="D902" s="8" t="s">
        <v>2574</v>
      </c>
      <c r="E902" s="14" t="s">
        <v>2608</v>
      </c>
    </row>
    <row r="903">
      <c r="A903" s="8" t="s">
        <v>4829</v>
      </c>
      <c r="B903" s="8" t="s">
        <v>141</v>
      </c>
      <c r="C903" s="14" t="s">
        <v>837</v>
      </c>
      <c r="D903" s="8" t="s">
        <v>2554</v>
      </c>
      <c r="E903" s="14" t="s">
        <v>2553</v>
      </c>
    </row>
    <row r="904">
      <c r="A904" s="8" t="s">
        <v>4830</v>
      </c>
      <c r="B904" s="8" t="s">
        <v>93</v>
      </c>
      <c r="C904" s="14" t="s">
        <v>2033</v>
      </c>
      <c r="D904" s="8" t="s">
        <v>2566</v>
      </c>
      <c r="E904" s="14" t="s">
        <v>2591</v>
      </c>
    </row>
    <row r="905">
      <c r="A905" s="8" t="s">
        <v>4831</v>
      </c>
      <c r="B905" s="8" t="s">
        <v>93</v>
      </c>
      <c r="C905" s="14" t="s">
        <v>2459</v>
      </c>
      <c r="D905" s="8" t="s">
        <v>2615</v>
      </c>
      <c r="E905" s="14" t="s">
        <v>2602</v>
      </c>
    </row>
    <row r="906">
      <c r="A906" s="8" t="s">
        <v>4832</v>
      </c>
      <c r="B906" s="8" t="s">
        <v>186</v>
      </c>
      <c r="C906" s="14" t="s">
        <v>1679</v>
      </c>
      <c r="D906" s="8" t="s">
        <v>2552</v>
      </c>
      <c r="E906" s="14" t="s">
        <v>2612</v>
      </c>
    </row>
    <row r="907">
      <c r="A907" s="8" t="s">
        <v>4833</v>
      </c>
      <c r="B907" s="8" t="s">
        <v>65</v>
      </c>
      <c r="C907" s="14" t="s">
        <v>2459</v>
      </c>
      <c r="D907" s="8" t="s">
        <v>2560</v>
      </c>
      <c r="E907" s="14" t="s">
        <v>2579</v>
      </c>
    </row>
    <row r="908">
      <c r="A908" s="8" t="s">
        <v>4834</v>
      </c>
      <c r="B908" s="8" t="s">
        <v>122</v>
      </c>
      <c r="C908" s="14" t="s">
        <v>2033</v>
      </c>
      <c r="D908" s="8" t="s">
        <v>2593</v>
      </c>
      <c r="E908" s="14" t="s">
        <v>2568</v>
      </c>
    </row>
    <row r="909">
      <c r="A909" s="8" t="s">
        <v>4835</v>
      </c>
      <c r="B909" s="8" t="s">
        <v>12</v>
      </c>
      <c r="C909" s="14" t="s">
        <v>1352</v>
      </c>
      <c r="D909" s="8" t="s">
        <v>2615</v>
      </c>
      <c r="E909" s="14" t="s">
        <v>2557</v>
      </c>
    </row>
    <row r="910">
      <c r="A910" s="8" t="s">
        <v>4836</v>
      </c>
      <c r="B910" s="8" t="s">
        <v>46</v>
      </c>
      <c r="C910" s="14" t="s">
        <v>2459</v>
      </c>
      <c r="D910" s="8" t="s">
        <v>2574</v>
      </c>
      <c r="E910" s="14" t="s">
        <v>2579</v>
      </c>
    </row>
    <row r="911">
      <c r="A911" s="8" t="s">
        <v>4837</v>
      </c>
      <c r="B911" s="8" t="s">
        <v>93</v>
      </c>
      <c r="C911" s="14" t="s">
        <v>1352</v>
      </c>
      <c r="D911" s="8" t="s">
        <v>2585</v>
      </c>
      <c r="E911" s="14" t="s">
        <v>2568</v>
      </c>
    </row>
    <row r="912">
      <c r="A912" s="8" t="s">
        <v>4838</v>
      </c>
      <c r="B912" s="8" t="s">
        <v>141</v>
      </c>
      <c r="C912" s="14" t="s">
        <v>837</v>
      </c>
      <c r="D912" s="8" t="s">
        <v>2562</v>
      </c>
      <c r="E912" s="14" t="s">
        <v>2594</v>
      </c>
    </row>
    <row r="913">
      <c r="A913" s="8" t="s">
        <v>4839</v>
      </c>
      <c r="B913" s="8" t="s">
        <v>24</v>
      </c>
      <c r="C913" s="14" t="s">
        <v>108</v>
      </c>
      <c r="D913" s="8" t="s">
        <v>2574</v>
      </c>
      <c r="E913" s="14" t="s">
        <v>2596</v>
      </c>
    </row>
    <row r="914">
      <c r="A914" s="8" t="s">
        <v>4840</v>
      </c>
      <c r="B914" s="8" t="s">
        <v>46</v>
      </c>
      <c r="C914" s="14" t="s">
        <v>1070</v>
      </c>
      <c r="D914" s="8" t="s">
        <v>2615</v>
      </c>
      <c r="E914" s="14" t="s">
        <v>2591</v>
      </c>
    </row>
    <row r="915">
      <c r="A915" s="8" t="s">
        <v>4841</v>
      </c>
      <c r="B915" s="8" t="s">
        <v>46</v>
      </c>
      <c r="C915" s="14" t="s">
        <v>1679</v>
      </c>
      <c r="D915" s="8" t="s">
        <v>2575</v>
      </c>
      <c r="E915" s="14" t="s">
        <v>2580</v>
      </c>
    </row>
    <row r="916">
      <c r="A916" s="8" t="s">
        <v>4842</v>
      </c>
      <c r="B916" s="8" t="s">
        <v>93</v>
      </c>
      <c r="C916" s="14" t="s">
        <v>2033</v>
      </c>
      <c r="D916" s="8" t="s">
        <v>2582</v>
      </c>
      <c r="E916" s="14" t="s">
        <v>2591</v>
      </c>
    </row>
    <row r="917">
      <c r="A917" s="8" t="s">
        <v>4843</v>
      </c>
      <c r="B917" s="8" t="s">
        <v>75</v>
      </c>
      <c r="C917" s="14" t="s">
        <v>459</v>
      </c>
      <c r="D917" s="8" t="s">
        <v>2574</v>
      </c>
      <c r="E917" s="14" t="s">
        <v>2555</v>
      </c>
    </row>
    <row r="918">
      <c r="A918" s="8" t="s">
        <v>4844</v>
      </c>
      <c r="B918" s="8" t="s">
        <v>12</v>
      </c>
      <c r="C918" s="14" t="s">
        <v>237</v>
      </c>
      <c r="D918" s="8" t="s">
        <v>2593</v>
      </c>
      <c r="E918" s="14" t="s">
        <v>2607</v>
      </c>
    </row>
    <row r="919">
      <c r="A919" s="8" t="s">
        <v>4845</v>
      </c>
      <c r="B919" s="8" t="s">
        <v>122</v>
      </c>
      <c r="C919" s="14" t="s">
        <v>1352</v>
      </c>
      <c r="D919" s="8" t="s">
        <v>2567</v>
      </c>
      <c r="E919" s="14" t="s">
        <v>2579</v>
      </c>
    </row>
    <row r="920">
      <c r="A920" s="8" t="s">
        <v>4846</v>
      </c>
      <c r="B920" s="8" t="s">
        <v>70</v>
      </c>
      <c r="C920" s="14" t="s">
        <v>1679</v>
      </c>
      <c r="D920" s="8" t="s">
        <v>2575</v>
      </c>
      <c r="E920" s="14" t="s">
        <v>2601</v>
      </c>
    </row>
    <row r="921">
      <c r="A921" s="8" t="s">
        <v>4847</v>
      </c>
      <c r="B921" s="8" t="s">
        <v>192</v>
      </c>
      <c r="C921" s="14" t="s">
        <v>1070</v>
      </c>
      <c r="D921" s="8" t="s">
        <v>2605</v>
      </c>
      <c r="E921" s="14" t="s">
        <v>2607</v>
      </c>
    </row>
    <row r="922">
      <c r="A922" s="8" t="s">
        <v>4848</v>
      </c>
      <c r="B922" s="8" t="s">
        <v>186</v>
      </c>
      <c r="C922" s="14" t="s">
        <v>1679</v>
      </c>
      <c r="D922" s="8" t="s">
        <v>6303</v>
      </c>
      <c r="E922" s="14" t="s">
        <v>2553</v>
      </c>
    </row>
    <row r="923">
      <c r="A923" s="8" t="s">
        <v>4849</v>
      </c>
      <c r="B923" s="8" t="s">
        <v>65</v>
      </c>
      <c r="C923" s="14" t="s">
        <v>2033</v>
      </c>
      <c r="D923" s="8" t="s">
        <v>6303</v>
      </c>
      <c r="E923" s="14" t="s">
        <v>2565</v>
      </c>
    </row>
    <row r="924">
      <c r="A924" s="8" t="s">
        <v>4850</v>
      </c>
      <c r="B924" s="8" t="s">
        <v>149</v>
      </c>
      <c r="C924" s="14" t="s">
        <v>1070</v>
      </c>
      <c r="D924" s="8" t="s">
        <v>2564</v>
      </c>
      <c r="E924" s="14" t="s">
        <v>2563</v>
      </c>
    </row>
    <row r="925">
      <c r="A925" s="8" t="s">
        <v>4851</v>
      </c>
      <c r="B925" s="8" t="s">
        <v>186</v>
      </c>
      <c r="C925" s="14" t="s">
        <v>1352</v>
      </c>
      <c r="D925" s="8" t="s">
        <v>2610</v>
      </c>
      <c r="E925" s="14" t="s">
        <v>2563</v>
      </c>
    </row>
    <row r="926">
      <c r="A926" s="8" t="s">
        <v>4852</v>
      </c>
      <c r="B926" s="8" t="s">
        <v>192</v>
      </c>
      <c r="C926" s="14" t="s">
        <v>1352</v>
      </c>
      <c r="D926" s="8" t="s">
        <v>2183</v>
      </c>
      <c r="E926" s="14" t="s">
        <v>2555</v>
      </c>
    </row>
    <row r="927">
      <c r="A927" s="8" t="s">
        <v>4853</v>
      </c>
      <c r="B927" s="8" t="s">
        <v>59</v>
      </c>
      <c r="C927" s="14" t="s">
        <v>2033</v>
      </c>
      <c r="D927" s="8" t="s">
        <v>2621</v>
      </c>
      <c r="E927" s="14" t="s">
        <v>2586</v>
      </c>
    </row>
    <row r="928">
      <c r="A928" s="8" t="s">
        <v>4854</v>
      </c>
      <c r="B928" s="8" t="s">
        <v>12</v>
      </c>
      <c r="C928" s="14" t="s">
        <v>1679</v>
      </c>
      <c r="D928" s="8" t="s">
        <v>2183</v>
      </c>
      <c r="E928" s="14" t="s">
        <v>2608</v>
      </c>
    </row>
    <row r="929">
      <c r="A929" s="8" t="s">
        <v>4855</v>
      </c>
      <c r="B929" s="8" t="s">
        <v>122</v>
      </c>
      <c r="C929" s="14" t="s">
        <v>2033</v>
      </c>
      <c r="D929" s="8" t="s">
        <v>2587</v>
      </c>
      <c r="E929" s="14" t="s">
        <v>2553</v>
      </c>
    </row>
    <row r="930">
      <c r="A930" s="8" t="s">
        <v>4856</v>
      </c>
      <c r="B930" s="8" t="s">
        <v>192</v>
      </c>
      <c r="C930" s="14" t="s">
        <v>338</v>
      </c>
      <c r="D930" s="8" t="s">
        <v>2552</v>
      </c>
      <c r="E930" s="14" t="s">
        <v>2636</v>
      </c>
    </row>
    <row r="931">
      <c r="A931" s="8" t="s">
        <v>4857</v>
      </c>
      <c r="B931" s="8" t="s">
        <v>186</v>
      </c>
      <c r="C931" s="14" t="s">
        <v>1070</v>
      </c>
      <c r="D931" s="8" t="s">
        <v>2560</v>
      </c>
      <c r="E931" s="14" t="s">
        <v>2583</v>
      </c>
    </row>
    <row r="932">
      <c r="A932" s="8" t="s">
        <v>4858</v>
      </c>
      <c r="B932" s="8" t="s">
        <v>122</v>
      </c>
      <c r="C932" s="14" t="s">
        <v>1679</v>
      </c>
      <c r="D932" s="8" t="s">
        <v>2564</v>
      </c>
      <c r="E932" s="14" t="s">
        <v>2563</v>
      </c>
    </row>
    <row r="933">
      <c r="A933" s="8" t="s">
        <v>4859</v>
      </c>
      <c r="B933" s="8" t="s">
        <v>24</v>
      </c>
      <c r="C933" s="14" t="s">
        <v>1070</v>
      </c>
      <c r="D933" s="8" t="s">
        <v>2575</v>
      </c>
      <c r="E933" s="14" t="s">
        <v>2586</v>
      </c>
    </row>
    <row r="934">
      <c r="A934" s="8" t="s">
        <v>4860</v>
      </c>
      <c r="B934" s="8" t="s">
        <v>93</v>
      </c>
      <c r="C934" s="14" t="s">
        <v>2296</v>
      </c>
      <c r="D934" s="8" t="s">
        <v>2566</v>
      </c>
      <c r="E934" s="14" t="s">
        <v>2617</v>
      </c>
    </row>
    <row r="935">
      <c r="A935" s="8" t="s">
        <v>4861</v>
      </c>
      <c r="B935" s="8" t="s">
        <v>215</v>
      </c>
      <c r="C935" s="14" t="s">
        <v>631</v>
      </c>
      <c r="D935" s="8" t="s">
        <v>2560</v>
      </c>
      <c r="E935" s="14" t="s">
        <v>2608</v>
      </c>
    </row>
    <row r="936">
      <c r="A936" s="8" t="s">
        <v>4862</v>
      </c>
      <c r="B936" s="8" t="s">
        <v>93</v>
      </c>
      <c r="C936" s="14" t="s">
        <v>1070</v>
      </c>
      <c r="D936" s="8" t="s">
        <v>2577</v>
      </c>
      <c r="E936" s="14" t="s">
        <v>2570</v>
      </c>
    </row>
    <row r="937">
      <c r="A937" s="8" t="s">
        <v>4864</v>
      </c>
      <c r="B937" s="8" t="s">
        <v>122</v>
      </c>
      <c r="C937" s="14" t="s">
        <v>2033</v>
      </c>
      <c r="D937" s="8" t="s">
        <v>2552</v>
      </c>
      <c r="E937" s="14" t="s">
        <v>2609</v>
      </c>
    </row>
    <row r="938">
      <c r="A938" s="8" t="s">
        <v>4866</v>
      </c>
      <c r="B938" s="8" t="s">
        <v>75</v>
      </c>
      <c r="C938" s="14" t="s">
        <v>2033</v>
      </c>
      <c r="D938" s="8" t="s">
        <v>2600</v>
      </c>
      <c r="E938" s="14" t="s">
        <v>2594</v>
      </c>
    </row>
    <row r="939">
      <c r="A939" s="8" t="s">
        <v>4868</v>
      </c>
      <c r="B939" s="8" t="s">
        <v>93</v>
      </c>
      <c r="C939" s="14" t="s">
        <v>2296</v>
      </c>
      <c r="D939" s="8" t="s">
        <v>2552</v>
      </c>
      <c r="E939" s="14" t="s">
        <v>2573</v>
      </c>
    </row>
    <row r="940">
      <c r="A940" s="8" t="s">
        <v>4869</v>
      </c>
      <c r="B940" s="8" t="s">
        <v>93</v>
      </c>
      <c r="C940" s="14" t="s">
        <v>1352</v>
      </c>
      <c r="D940" s="8" t="s">
        <v>2620</v>
      </c>
      <c r="E940" s="14" t="s">
        <v>2580</v>
      </c>
    </row>
    <row r="941">
      <c r="A941" s="8" t="s">
        <v>4870</v>
      </c>
      <c r="B941" s="8" t="s">
        <v>141</v>
      </c>
      <c r="C941" s="14" t="s">
        <v>631</v>
      </c>
      <c r="D941" s="8" t="s">
        <v>2621</v>
      </c>
      <c r="E941" s="14" t="s">
        <v>2580</v>
      </c>
    </row>
    <row r="942">
      <c r="A942" s="8" t="s">
        <v>4871</v>
      </c>
      <c r="B942" s="8" t="s">
        <v>24</v>
      </c>
      <c r="C942" s="14" t="s">
        <v>1352</v>
      </c>
      <c r="D942" s="8" t="s">
        <v>2558</v>
      </c>
      <c r="E942" s="14" t="s">
        <v>2629</v>
      </c>
    </row>
    <row r="943">
      <c r="A943" s="8" t="s">
        <v>4872</v>
      </c>
      <c r="B943" s="8" t="s">
        <v>24</v>
      </c>
      <c r="C943" s="14" t="s">
        <v>1679</v>
      </c>
      <c r="D943" s="8" t="s">
        <v>2572</v>
      </c>
      <c r="E943" s="14" t="s">
        <v>2633</v>
      </c>
    </row>
    <row r="944">
      <c r="A944" s="8" t="s">
        <v>4873</v>
      </c>
      <c r="B944" s="8" t="s">
        <v>65</v>
      </c>
      <c r="C944" s="14" t="s">
        <v>2296</v>
      </c>
      <c r="D944" s="8" t="s">
        <v>6304</v>
      </c>
      <c r="E944" s="14" t="s">
        <v>2591</v>
      </c>
    </row>
    <row r="945">
      <c r="A945" s="8" t="s">
        <v>4874</v>
      </c>
      <c r="B945" s="8" t="s">
        <v>149</v>
      </c>
      <c r="C945" s="14" t="s">
        <v>1070</v>
      </c>
      <c r="D945" s="8" t="s">
        <v>2574</v>
      </c>
      <c r="E945" s="14" t="s">
        <v>2617</v>
      </c>
    </row>
    <row r="946">
      <c r="A946" s="8" t="s">
        <v>4875</v>
      </c>
      <c r="B946" s="8" t="s">
        <v>24</v>
      </c>
      <c r="C946" s="14" t="s">
        <v>2033</v>
      </c>
      <c r="D946" s="8" t="s">
        <v>2574</v>
      </c>
      <c r="E946" s="14" t="s">
        <v>2602</v>
      </c>
    </row>
    <row r="947">
      <c r="A947" s="8" t="s">
        <v>4876</v>
      </c>
      <c r="B947" s="8" t="s">
        <v>122</v>
      </c>
      <c r="C947" s="14" t="s">
        <v>1352</v>
      </c>
      <c r="D947" s="8" t="s">
        <v>2552</v>
      </c>
      <c r="E947" s="14" t="s">
        <v>2576</v>
      </c>
    </row>
    <row r="948">
      <c r="A948" s="8" t="s">
        <v>4877</v>
      </c>
      <c r="B948" s="8" t="s">
        <v>132</v>
      </c>
      <c r="C948" s="14" t="s">
        <v>2033</v>
      </c>
      <c r="D948" s="8" t="s">
        <v>2587</v>
      </c>
      <c r="E948" s="14" t="s">
        <v>2627</v>
      </c>
    </row>
    <row r="949">
      <c r="A949" s="8" t="s">
        <v>4878</v>
      </c>
      <c r="B949" s="8" t="s">
        <v>93</v>
      </c>
      <c r="C949" s="14" t="s">
        <v>2296</v>
      </c>
      <c r="D949" s="8" t="s">
        <v>2575</v>
      </c>
      <c r="E949" s="14" t="s">
        <v>2568</v>
      </c>
    </row>
    <row r="950">
      <c r="A950" s="8" t="s">
        <v>4879</v>
      </c>
      <c r="B950" s="8" t="s">
        <v>24</v>
      </c>
      <c r="C950" s="14" t="s">
        <v>2459</v>
      </c>
      <c r="D950" s="8" t="s">
        <v>2552</v>
      </c>
      <c r="E950" s="14" t="s">
        <v>2601</v>
      </c>
    </row>
    <row r="951">
      <c r="A951" s="8" t="s">
        <v>4880</v>
      </c>
      <c r="B951" s="8" t="s">
        <v>24</v>
      </c>
      <c r="C951" s="14" t="s">
        <v>2296</v>
      </c>
      <c r="D951" s="8" t="s">
        <v>2554</v>
      </c>
      <c r="E951" s="14" t="s">
        <v>2568</v>
      </c>
    </row>
    <row r="952">
      <c r="A952" s="8" t="s">
        <v>4881</v>
      </c>
      <c r="B952" s="8" t="s">
        <v>138</v>
      </c>
      <c r="C952" s="14" t="s">
        <v>1679</v>
      </c>
      <c r="D952" s="8" t="s">
        <v>2572</v>
      </c>
      <c r="E952" s="14" t="s">
        <v>2568</v>
      </c>
    </row>
    <row r="953">
      <c r="A953" s="8" t="s">
        <v>4882</v>
      </c>
      <c r="B953" s="8" t="s">
        <v>75</v>
      </c>
      <c r="C953" s="14" t="s">
        <v>1352</v>
      </c>
      <c r="D953" s="8" t="s">
        <v>2564</v>
      </c>
      <c r="E953" s="14" t="s">
        <v>2591</v>
      </c>
    </row>
    <row r="954">
      <c r="A954" s="8" t="s">
        <v>4883</v>
      </c>
      <c r="B954" s="8" t="s">
        <v>65</v>
      </c>
      <c r="C954" s="14" t="s">
        <v>1352</v>
      </c>
      <c r="D954" s="8" t="s">
        <v>2562</v>
      </c>
      <c r="E954" s="14" t="s">
        <v>2569</v>
      </c>
    </row>
    <row r="955">
      <c r="A955" s="8" t="s">
        <v>4884</v>
      </c>
      <c r="B955" s="8" t="s">
        <v>93</v>
      </c>
      <c r="C955" s="14" t="s">
        <v>2033</v>
      </c>
      <c r="D955" s="8" t="s">
        <v>2620</v>
      </c>
      <c r="E955" s="14" t="s">
        <v>2622</v>
      </c>
    </row>
    <row r="956">
      <c r="A956" s="8" t="s">
        <v>4885</v>
      </c>
      <c r="B956" s="8" t="s">
        <v>215</v>
      </c>
      <c r="C956" s="14" t="s">
        <v>2033</v>
      </c>
      <c r="D956" s="8" t="s">
        <v>2577</v>
      </c>
      <c r="E956" s="14" t="s">
        <v>2555</v>
      </c>
    </row>
    <row r="957">
      <c r="A957" s="8" t="s">
        <v>4886</v>
      </c>
      <c r="B957" s="8" t="s">
        <v>70</v>
      </c>
      <c r="C957" s="14" t="s">
        <v>1070</v>
      </c>
      <c r="D957" s="8" t="s">
        <v>6304</v>
      </c>
      <c r="E957" s="14" t="s">
        <v>2608</v>
      </c>
    </row>
    <row r="958">
      <c r="A958" s="8" t="s">
        <v>4887</v>
      </c>
      <c r="B958" s="8" t="s">
        <v>65</v>
      </c>
      <c r="C958" s="14" t="s">
        <v>2033</v>
      </c>
      <c r="D958" s="8" t="s">
        <v>2581</v>
      </c>
      <c r="E958" s="14" t="s">
        <v>2622</v>
      </c>
    </row>
    <row r="959">
      <c r="A959" s="8" t="s">
        <v>4888</v>
      </c>
      <c r="B959" s="8" t="s">
        <v>59</v>
      </c>
      <c r="C959" s="14" t="s">
        <v>1352</v>
      </c>
      <c r="D959" s="8" t="s">
        <v>2605</v>
      </c>
      <c r="E959" s="14" t="s">
        <v>2579</v>
      </c>
    </row>
    <row r="960">
      <c r="A960" s="8" t="s">
        <v>4889</v>
      </c>
      <c r="B960" s="8" t="s">
        <v>93</v>
      </c>
      <c r="C960" s="14" t="s">
        <v>2033</v>
      </c>
      <c r="D960" s="8" t="s">
        <v>6304</v>
      </c>
      <c r="E960" s="14" t="s">
        <v>2568</v>
      </c>
    </row>
    <row r="961">
      <c r="A961" s="8" t="s">
        <v>4889</v>
      </c>
      <c r="B961" s="8" t="s">
        <v>192</v>
      </c>
      <c r="C961" s="14" t="s">
        <v>1070</v>
      </c>
      <c r="D961" s="8" t="s">
        <v>2592</v>
      </c>
      <c r="E961" s="14" t="s">
        <v>2579</v>
      </c>
    </row>
    <row r="962">
      <c r="A962" s="8" t="s">
        <v>4889</v>
      </c>
      <c r="B962" s="8" t="s">
        <v>192</v>
      </c>
      <c r="C962" s="14" t="s">
        <v>837</v>
      </c>
      <c r="D962" s="8" t="s">
        <v>2567</v>
      </c>
      <c r="E962" s="14" t="s">
        <v>2576</v>
      </c>
    </row>
    <row r="963">
      <c r="A963" s="8" t="s">
        <v>4890</v>
      </c>
      <c r="B963" s="8" t="s">
        <v>65</v>
      </c>
      <c r="C963" s="14" t="s">
        <v>1679</v>
      </c>
      <c r="D963" s="8" t="s">
        <v>2587</v>
      </c>
      <c r="E963" s="14" t="s">
        <v>2573</v>
      </c>
    </row>
    <row r="964">
      <c r="A964" s="8" t="s">
        <v>4891</v>
      </c>
      <c r="B964" s="8" t="s">
        <v>93</v>
      </c>
      <c r="C964" s="14" t="s">
        <v>2296</v>
      </c>
      <c r="D964" s="8" t="s">
        <v>2598</v>
      </c>
      <c r="E964" s="14" t="s">
        <v>2573</v>
      </c>
    </row>
    <row r="965">
      <c r="A965" s="8" t="s">
        <v>4893</v>
      </c>
      <c r="B965" s="8" t="s">
        <v>149</v>
      </c>
      <c r="C965" s="14" t="s">
        <v>2296</v>
      </c>
      <c r="D965" s="8" t="s">
        <v>2581</v>
      </c>
      <c r="E965" s="14" t="s">
        <v>2609</v>
      </c>
    </row>
    <row r="966">
      <c r="A966" s="8" t="s">
        <v>4894</v>
      </c>
      <c r="B966" s="8" t="s">
        <v>46</v>
      </c>
      <c r="C966" s="14" t="s">
        <v>2033</v>
      </c>
      <c r="D966" s="8" t="s">
        <v>2600</v>
      </c>
      <c r="E966" s="14" t="s">
        <v>2602</v>
      </c>
    </row>
    <row r="967">
      <c r="A967" s="8" t="s">
        <v>4895</v>
      </c>
      <c r="B967" s="8" t="s">
        <v>70</v>
      </c>
      <c r="C967" s="14" t="s">
        <v>2033</v>
      </c>
      <c r="D967" s="8" t="s">
        <v>2598</v>
      </c>
      <c r="E967" s="14" t="s">
        <v>2571</v>
      </c>
    </row>
    <row r="968">
      <c r="A968" s="8" t="s">
        <v>6330</v>
      </c>
      <c r="B968" s="8" t="s">
        <v>141</v>
      </c>
      <c r="C968" s="14" t="s">
        <v>2033</v>
      </c>
      <c r="D968" s="8" t="s">
        <v>2577</v>
      </c>
      <c r="E968" s="14" t="s">
        <v>2626</v>
      </c>
    </row>
    <row r="969">
      <c r="A969" s="8" t="s">
        <v>6331</v>
      </c>
      <c r="B969" s="8" t="s">
        <v>141</v>
      </c>
      <c r="C969" s="14" t="s">
        <v>631</v>
      </c>
      <c r="D969" s="8" t="s">
        <v>2615</v>
      </c>
      <c r="E969" s="14" t="s">
        <v>2608</v>
      </c>
    </row>
    <row r="970">
      <c r="A970" s="8" t="s">
        <v>6332</v>
      </c>
      <c r="B970" s="8" t="s">
        <v>70</v>
      </c>
      <c r="C970" s="14" t="s">
        <v>1070</v>
      </c>
      <c r="D970" s="8" t="s">
        <v>2603</v>
      </c>
      <c r="E970" s="14" t="s">
        <v>2553</v>
      </c>
    </row>
    <row r="971">
      <c r="A971" s="8" t="s">
        <v>6333</v>
      </c>
      <c r="B971" s="8" t="s">
        <v>65</v>
      </c>
      <c r="C971" s="14" t="s">
        <v>2296</v>
      </c>
      <c r="D971" s="8" t="s">
        <v>2564</v>
      </c>
      <c r="E971" s="14" t="s">
        <v>2602</v>
      </c>
    </row>
    <row r="972">
      <c r="A972" s="8" t="s">
        <v>6334</v>
      </c>
      <c r="B972" s="8" t="s">
        <v>24</v>
      </c>
      <c r="C972" s="14" t="s">
        <v>135</v>
      </c>
      <c r="D972" s="8" t="s">
        <v>2574</v>
      </c>
      <c r="E972" s="14" t="s">
        <v>2624</v>
      </c>
    </row>
    <row r="973">
      <c r="A973" s="8" t="s">
        <v>6335</v>
      </c>
      <c r="B973" s="8" t="s">
        <v>65</v>
      </c>
      <c r="C973" s="14" t="s">
        <v>1070</v>
      </c>
      <c r="D973" s="8" t="s">
        <v>2560</v>
      </c>
      <c r="E973" s="14" t="s">
        <v>2576</v>
      </c>
    </row>
    <row r="974">
      <c r="A974" s="8" t="s">
        <v>6336</v>
      </c>
      <c r="B974" s="8" t="s">
        <v>65</v>
      </c>
      <c r="C974" s="14" t="s">
        <v>837</v>
      </c>
      <c r="D974" s="8" t="s">
        <v>6304</v>
      </c>
      <c r="E974" s="14" t="s">
        <v>2591</v>
      </c>
    </row>
    <row r="975">
      <c r="A975" s="8" t="s">
        <v>6337</v>
      </c>
      <c r="B975" s="8" t="s">
        <v>138</v>
      </c>
      <c r="C975" s="14" t="s">
        <v>338</v>
      </c>
      <c r="D975" s="8" t="s">
        <v>2562</v>
      </c>
      <c r="E975" s="14" t="s">
        <v>2619</v>
      </c>
    </row>
    <row r="976">
      <c r="A976" s="8" t="s">
        <v>6338</v>
      </c>
      <c r="B976" s="8" t="s">
        <v>192</v>
      </c>
      <c r="C976" s="14" t="s">
        <v>631</v>
      </c>
      <c r="D976" s="8" t="s">
        <v>2598</v>
      </c>
      <c r="E976" s="14" t="s">
        <v>2622</v>
      </c>
    </row>
    <row r="977">
      <c r="A977" s="8" t="s">
        <v>6339</v>
      </c>
      <c r="B977" s="8" t="s">
        <v>75</v>
      </c>
      <c r="C977" s="14" t="s">
        <v>338</v>
      </c>
      <c r="D977" s="8" t="s">
        <v>6303</v>
      </c>
      <c r="E977" s="14" t="s">
        <v>2565</v>
      </c>
    </row>
    <row r="978">
      <c r="A978" s="8" t="s">
        <v>6340</v>
      </c>
      <c r="B978" s="8" t="s">
        <v>16</v>
      </c>
      <c r="C978" s="14" t="s">
        <v>1679</v>
      </c>
      <c r="D978" s="8" t="s">
        <v>2595</v>
      </c>
      <c r="E978" s="14" t="s">
        <v>2569</v>
      </c>
    </row>
    <row r="979">
      <c r="A979" s="8" t="s">
        <v>6341</v>
      </c>
      <c r="B979" s="8" t="s">
        <v>192</v>
      </c>
      <c r="C979" s="14" t="s">
        <v>2033</v>
      </c>
      <c r="D979" s="8" t="s">
        <v>2595</v>
      </c>
      <c r="E979" s="14" t="s">
        <v>2609</v>
      </c>
    </row>
    <row r="980">
      <c r="A980" s="8" t="s">
        <v>6342</v>
      </c>
      <c r="B980" s="8" t="s">
        <v>53</v>
      </c>
      <c r="C980" s="14" t="s">
        <v>1352</v>
      </c>
      <c r="D980" s="8" t="s">
        <v>2577</v>
      </c>
      <c r="E980" s="14" t="s">
        <v>2609</v>
      </c>
    </row>
    <row r="981">
      <c r="A981" s="8" t="s">
        <v>4909</v>
      </c>
      <c r="B981" s="8" t="s">
        <v>149</v>
      </c>
      <c r="C981" s="14" t="s">
        <v>237</v>
      </c>
      <c r="D981" s="8" t="s">
        <v>2567</v>
      </c>
      <c r="E981" s="14" t="s">
        <v>2609</v>
      </c>
    </row>
    <row r="982">
      <c r="A982" s="8" t="s">
        <v>4910</v>
      </c>
      <c r="B982" s="8" t="s">
        <v>65</v>
      </c>
      <c r="C982" s="14" t="s">
        <v>1679</v>
      </c>
      <c r="D982" s="8" t="s">
        <v>2558</v>
      </c>
      <c r="E982" s="14" t="s">
        <v>2568</v>
      </c>
    </row>
    <row r="983">
      <c r="A983" s="8" t="s">
        <v>4911</v>
      </c>
      <c r="B983" s="8" t="s">
        <v>186</v>
      </c>
      <c r="C983" s="14" t="s">
        <v>2033</v>
      </c>
      <c r="D983" s="8" t="s">
        <v>2600</v>
      </c>
      <c r="E983" s="14" t="s">
        <v>2553</v>
      </c>
    </row>
    <row r="984">
      <c r="A984" s="8" t="s">
        <v>4912</v>
      </c>
      <c r="B984" s="8" t="s">
        <v>149</v>
      </c>
      <c r="C984" s="14" t="s">
        <v>837</v>
      </c>
      <c r="D984" s="8" t="s">
        <v>2620</v>
      </c>
      <c r="E984" s="14" t="s">
        <v>2586</v>
      </c>
    </row>
    <row r="985">
      <c r="A985" s="8" t="s">
        <v>4913</v>
      </c>
      <c r="B985" s="8" t="s">
        <v>138</v>
      </c>
      <c r="C985" s="14" t="s">
        <v>338</v>
      </c>
      <c r="D985" s="8" t="s">
        <v>2567</v>
      </c>
      <c r="E985" s="14" t="s">
        <v>2588</v>
      </c>
    </row>
    <row r="986">
      <c r="A986" s="8" t="s">
        <v>4914</v>
      </c>
      <c r="B986" s="8" t="s">
        <v>192</v>
      </c>
      <c r="C986" s="14" t="s">
        <v>2033</v>
      </c>
      <c r="D986" s="8" t="s">
        <v>2566</v>
      </c>
      <c r="E986" s="14" t="s">
        <v>2611</v>
      </c>
    </row>
    <row r="987">
      <c r="A987" s="8" t="s">
        <v>4915</v>
      </c>
      <c r="B987" s="8" t="s">
        <v>24</v>
      </c>
      <c r="C987" s="14" t="s">
        <v>2296</v>
      </c>
      <c r="D987" s="8" t="s">
        <v>2558</v>
      </c>
      <c r="E987" s="14" t="s">
        <v>2565</v>
      </c>
    </row>
    <row r="988">
      <c r="A988" s="8" t="s">
        <v>4916</v>
      </c>
      <c r="B988" s="8" t="s">
        <v>59</v>
      </c>
      <c r="C988" s="14" t="s">
        <v>2296</v>
      </c>
      <c r="D988" s="8" t="s">
        <v>2560</v>
      </c>
      <c r="E988" s="14" t="s">
        <v>2565</v>
      </c>
    </row>
    <row r="989">
      <c r="A989" s="8" t="s">
        <v>4917</v>
      </c>
      <c r="B989" s="8" t="s">
        <v>186</v>
      </c>
      <c r="C989" s="14" t="s">
        <v>2033</v>
      </c>
      <c r="D989" s="8" t="s">
        <v>2592</v>
      </c>
      <c r="E989" s="14" t="s">
        <v>2576</v>
      </c>
    </row>
    <row r="990">
      <c r="A990" s="8" t="s">
        <v>4918</v>
      </c>
      <c r="B990" s="8" t="s">
        <v>149</v>
      </c>
      <c r="C990" s="14" t="s">
        <v>1352</v>
      </c>
      <c r="D990" s="8" t="s">
        <v>2621</v>
      </c>
      <c r="E990" s="14" t="s">
        <v>2586</v>
      </c>
    </row>
    <row r="991">
      <c r="A991" s="8" t="s">
        <v>4919</v>
      </c>
      <c r="B991" s="8" t="s">
        <v>122</v>
      </c>
      <c r="C991" s="14" t="s">
        <v>338</v>
      </c>
      <c r="D991" s="8" t="s">
        <v>2598</v>
      </c>
      <c r="E991" s="14" t="s">
        <v>2591</v>
      </c>
    </row>
    <row r="992">
      <c r="A992" s="8" t="s">
        <v>4920</v>
      </c>
      <c r="B992" s="8" t="s">
        <v>24</v>
      </c>
      <c r="C992" s="14" t="s">
        <v>459</v>
      </c>
      <c r="D992" s="8" t="s">
        <v>2567</v>
      </c>
      <c r="E992" s="14" t="s">
        <v>2625</v>
      </c>
    </row>
    <row r="993">
      <c r="A993" s="8" t="s">
        <v>4921</v>
      </c>
      <c r="B993" s="8" t="s">
        <v>38</v>
      </c>
      <c r="C993" s="14" t="s">
        <v>2033</v>
      </c>
      <c r="D993" s="8" t="s">
        <v>2183</v>
      </c>
      <c r="E993" s="14" t="s">
        <v>2579</v>
      </c>
    </row>
    <row r="994">
      <c r="A994" s="8" t="s">
        <v>4922</v>
      </c>
      <c r="B994" s="8" t="s">
        <v>46</v>
      </c>
      <c r="C994" s="14" t="s">
        <v>1679</v>
      </c>
      <c r="D994" s="8" t="s">
        <v>2567</v>
      </c>
      <c r="E994" s="14" t="s">
        <v>2617</v>
      </c>
    </row>
    <row r="995">
      <c r="A995" s="8" t="s">
        <v>4924</v>
      </c>
      <c r="B995" s="8" t="s">
        <v>24</v>
      </c>
      <c r="C995" s="14" t="s">
        <v>1352</v>
      </c>
      <c r="D995" s="8" t="s">
        <v>2603</v>
      </c>
      <c r="E995" s="14" t="s">
        <v>2573</v>
      </c>
    </row>
    <row r="996">
      <c r="A996" s="8" t="s">
        <v>4925</v>
      </c>
      <c r="B996" s="8" t="s">
        <v>138</v>
      </c>
      <c r="C996" s="14" t="s">
        <v>2033</v>
      </c>
      <c r="D996" s="8" t="s">
        <v>2603</v>
      </c>
      <c r="E996" s="14" t="s">
        <v>2622</v>
      </c>
    </row>
    <row r="997">
      <c r="A997" s="8" t="s">
        <v>4926</v>
      </c>
      <c r="B997" s="8" t="s">
        <v>122</v>
      </c>
      <c r="C997" s="14" t="s">
        <v>2033</v>
      </c>
      <c r="D997" s="8" t="s">
        <v>2598</v>
      </c>
      <c r="E997" s="14" t="s">
        <v>2618</v>
      </c>
    </row>
    <row r="998">
      <c r="A998" s="8" t="s">
        <v>4927</v>
      </c>
      <c r="B998" s="8" t="s">
        <v>16</v>
      </c>
      <c r="C998" s="14" t="s">
        <v>1070</v>
      </c>
      <c r="D998" s="8" t="s">
        <v>2567</v>
      </c>
      <c r="E998" s="14" t="s">
        <v>2573</v>
      </c>
    </row>
    <row r="999">
      <c r="A999" s="8" t="s">
        <v>4928</v>
      </c>
      <c r="B999" s="8" t="s">
        <v>59</v>
      </c>
      <c r="C999" s="14" t="s">
        <v>1070</v>
      </c>
      <c r="D999" s="8" t="s">
        <v>2562</v>
      </c>
      <c r="E999" s="14" t="s">
        <v>2559</v>
      </c>
    </row>
    <row r="1000">
      <c r="A1000" s="8" t="s">
        <v>4929</v>
      </c>
      <c r="B1000" s="8" t="s">
        <v>65</v>
      </c>
      <c r="C1000" s="14" t="s">
        <v>1352</v>
      </c>
      <c r="D1000" s="8" t="s">
        <v>2615</v>
      </c>
      <c r="E1000" s="14" t="s">
        <v>2573</v>
      </c>
    </row>
    <row r="1001">
      <c r="A1001" s="8" t="s">
        <v>4930</v>
      </c>
      <c r="B1001" s="8" t="s">
        <v>186</v>
      </c>
      <c r="C1001" s="14" t="s">
        <v>2296</v>
      </c>
      <c r="D1001" s="8" t="s">
        <v>2554</v>
      </c>
      <c r="E1001" s="14" t="s">
        <v>2557</v>
      </c>
    </row>
    <row r="1002">
      <c r="A1002" s="8" t="s">
        <v>4931</v>
      </c>
      <c r="B1002" s="8" t="s">
        <v>192</v>
      </c>
      <c r="C1002" s="14" t="s">
        <v>459</v>
      </c>
      <c r="D1002" s="8" t="s">
        <v>2562</v>
      </c>
      <c r="E1002" s="14" t="s">
        <v>2571</v>
      </c>
    </row>
    <row r="1003">
      <c r="A1003" s="8" t="s">
        <v>4932</v>
      </c>
      <c r="B1003" s="8" t="s">
        <v>93</v>
      </c>
      <c r="C1003" s="14" t="s">
        <v>2296</v>
      </c>
      <c r="D1003" s="8" t="s">
        <v>2558</v>
      </c>
      <c r="E1003" s="14" t="s">
        <v>2578</v>
      </c>
    </row>
    <row r="1004">
      <c r="A1004" s="8" t="s">
        <v>4933</v>
      </c>
      <c r="B1004" s="8" t="s">
        <v>38</v>
      </c>
      <c r="C1004" s="14" t="s">
        <v>2296</v>
      </c>
      <c r="D1004" s="8" t="s">
        <v>2600</v>
      </c>
      <c r="E1004" s="14" t="s">
        <v>2563</v>
      </c>
    </row>
    <row r="1005">
      <c r="A1005" s="8" t="s">
        <v>4934</v>
      </c>
      <c r="B1005" s="8" t="s">
        <v>141</v>
      </c>
      <c r="C1005" s="14" t="s">
        <v>1070</v>
      </c>
      <c r="D1005" s="8" t="s">
        <v>2620</v>
      </c>
      <c r="E1005" s="14" t="s">
        <v>2606</v>
      </c>
    </row>
    <row r="1006">
      <c r="A1006" s="8" t="s">
        <v>4935</v>
      </c>
      <c r="B1006" s="8" t="s">
        <v>24</v>
      </c>
      <c r="C1006" s="14" t="s">
        <v>1679</v>
      </c>
      <c r="D1006" s="8" t="s">
        <v>2620</v>
      </c>
      <c r="E1006" s="14" t="s">
        <v>2601</v>
      </c>
    </row>
    <row r="1007">
      <c r="A1007" s="8" t="s">
        <v>4936</v>
      </c>
      <c r="B1007" s="8" t="s">
        <v>132</v>
      </c>
      <c r="C1007" s="14" t="s">
        <v>1352</v>
      </c>
      <c r="D1007" s="8" t="s">
        <v>2567</v>
      </c>
      <c r="E1007" s="14" t="s">
        <v>2606</v>
      </c>
    </row>
    <row r="1008">
      <c r="A1008" s="8" t="s">
        <v>4937</v>
      </c>
      <c r="B1008" s="8" t="s">
        <v>12</v>
      </c>
      <c r="C1008" s="14" t="s">
        <v>1679</v>
      </c>
      <c r="D1008" s="8" t="s">
        <v>2564</v>
      </c>
      <c r="E1008" s="14" t="s">
        <v>2553</v>
      </c>
    </row>
    <row r="1009">
      <c r="A1009" s="8" t="s">
        <v>4938</v>
      </c>
      <c r="B1009" s="8" t="s">
        <v>65</v>
      </c>
      <c r="C1009" s="14" t="s">
        <v>837</v>
      </c>
      <c r="D1009" s="8" t="s">
        <v>2558</v>
      </c>
      <c r="E1009" s="14" t="s">
        <v>2557</v>
      </c>
    </row>
    <row r="1010">
      <c r="A1010" s="8" t="s">
        <v>4939</v>
      </c>
      <c r="B1010" s="8" t="s">
        <v>46</v>
      </c>
      <c r="C1010" s="14" t="s">
        <v>837</v>
      </c>
      <c r="D1010" s="8" t="s">
        <v>2598</v>
      </c>
      <c r="E1010" s="14" t="s">
        <v>2608</v>
      </c>
    </row>
    <row r="1011">
      <c r="A1011" s="8" t="s">
        <v>4940</v>
      </c>
      <c r="B1011" s="8" t="s">
        <v>24</v>
      </c>
      <c r="C1011" s="14" t="s">
        <v>237</v>
      </c>
      <c r="D1011" s="8" t="s">
        <v>2593</v>
      </c>
      <c r="E1011" s="14" t="s">
        <v>2631</v>
      </c>
    </row>
    <row r="1012">
      <c r="A1012" s="8" t="s">
        <v>4941</v>
      </c>
      <c r="B1012" s="8" t="s">
        <v>149</v>
      </c>
      <c r="C1012" s="14" t="s">
        <v>837</v>
      </c>
      <c r="D1012" s="8" t="s">
        <v>2620</v>
      </c>
      <c r="E1012" s="14" t="s">
        <v>2569</v>
      </c>
    </row>
    <row r="1013">
      <c r="A1013" s="8" t="s">
        <v>4942</v>
      </c>
      <c r="B1013" s="8" t="s">
        <v>16</v>
      </c>
      <c r="C1013" s="14" t="s">
        <v>1070</v>
      </c>
      <c r="D1013" s="8" t="s">
        <v>2581</v>
      </c>
      <c r="E1013" s="14" t="s">
        <v>2627</v>
      </c>
    </row>
    <row r="1014">
      <c r="A1014" s="8" t="s">
        <v>4943</v>
      </c>
      <c r="B1014" s="8" t="s">
        <v>186</v>
      </c>
      <c r="C1014" s="14" t="s">
        <v>837</v>
      </c>
      <c r="D1014" s="8" t="s">
        <v>2584</v>
      </c>
      <c r="E1014" s="14" t="s">
        <v>2586</v>
      </c>
    </row>
    <row r="1015">
      <c r="A1015" s="8" t="s">
        <v>4944</v>
      </c>
      <c r="B1015" s="8" t="s">
        <v>65</v>
      </c>
      <c r="C1015" s="14" t="s">
        <v>1070</v>
      </c>
      <c r="D1015" s="8" t="s">
        <v>2581</v>
      </c>
      <c r="E1015" s="14" t="s">
        <v>2601</v>
      </c>
    </row>
    <row r="1016">
      <c r="A1016" s="8" t="s">
        <v>4945</v>
      </c>
      <c r="B1016" s="8" t="s">
        <v>122</v>
      </c>
      <c r="C1016" s="14" t="s">
        <v>1352</v>
      </c>
      <c r="D1016" s="8" t="s">
        <v>2552</v>
      </c>
      <c r="E1016" s="14" t="s">
        <v>2568</v>
      </c>
    </row>
    <row r="1017">
      <c r="A1017" s="8" t="s">
        <v>4946</v>
      </c>
      <c r="B1017" s="8" t="s">
        <v>65</v>
      </c>
      <c r="C1017" s="14" t="s">
        <v>1679</v>
      </c>
      <c r="D1017" s="8" t="s">
        <v>2575</v>
      </c>
      <c r="E1017" s="14" t="s">
        <v>2622</v>
      </c>
    </row>
    <row r="1018">
      <c r="A1018" s="8" t="s">
        <v>4947</v>
      </c>
      <c r="B1018" s="8" t="s">
        <v>93</v>
      </c>
      <c r="C1018" s="14" t="s">
        <v>1070</v>
      </c>
      <c r="D1018" s="8" t="s">
        <v>2567</v>
      </c>
      <c r="E1018" s="14" t="s">
        <v>2563</v>
      </c>
    </row>
    <row r="1019">
      <c r="A1019" s="8" t="s">
        <v>4948</v>
      </c>
      <c r="B1019" s="8" t="s">
        <v>93</v>
      </c>
      <c r="C1019" s="14" t="s">
        <v>2033</v>
      </c>
      <c r="D1019" s="8" t="s">
        <v>2581</v>
      </c>
      <c r="E1019" s="14" t="s">
        <v>2609</v>
      </c>
    </row>
    <row r="1020">
      <c r="A1020" s="8" t="s">
        <v>4949</v>
      </c>
      <c r="B1020" s="8" t="s">
        <v>65</v>
      </c>
      <c r="C1020" s="14" t="s">
        <v>2033</v>
      </c>
      <c r="D1020" s="8" t="s">
        <v>2585</v>
      </c>
      <c r="E1020" s="14" t="s">
        <v>2622</v>
      </c>
    </row>
    <row r="1021">
      <c r="A1021" s="8" t="s">
        <v>4950</v>
      </c>
      <c r="B1021" s="8" t="s">
        <v>138</v>
      </c>
      <c r="C1021" s="14" t="s">
        <v>2033</v>
      </c>
      <c r="D1021" s="8" t="s">
        <v>2614</v>
      </c>
      <c r="E1021" s="14" t="s">
        <v>2594</v>
      </c>
    </row>
    <row r="1022">
      <c r="A1022" s="8" t="s">
        <v>4951</v>
      </c>
      <c r="B1022" s="8" t="s">
        <v>93</v>
      </c>
      <c r="C1022" s="14" t="s">
        <v>1352</v>
      </c>
      <c r="D1022" s="8" t="s">
        <v>2564</v>
      </c>
      <c r="E1022" s="14" t="s">
        <v>2553</v>
      </c>
    </row>
    <row r="1023">
      <c r="A1023" s="8" t="s">
        <v>6366</v>
      </c>
      <c r="B1023" s="8" t="s">
        <v>93</v>
      </c>
      <c r="C1023" s="14" t="s">
        <v>1679</v>
      </c>
      <c r="D1023" s="8" t="s">
        <v>2584</v>
      </c>
      <c r="E1023" s="14" t="s">
        <v>2623</v>
      </c>
    </row>
    <row r="1024">
      <c r="A1024" s="8" t="s">
        <v>4953</v>
      </c>
      <c r="B1024" s="8" t="s">
        <v>59</v>
      </c>
      <c r="C1024" s="14" t="s">
        <v>1679</v>
      </c>
      <c r="D1024" s="8" t="s">
        <v>2554</v>
      </c>
      <c r="E1024" s="14" t="s">
        <v>2563</v>
      </c>
    </row>
    <row r="1025">
      <c r="A1025" s="8" t="s">
        <v>4954</v>
      </c>
      <c r="B1025" s="8" t="s">
        <v>70</v>
      </c>
      <c r="C1025" s="14" t="s">
        <v>1352</v>
      </c>
      <c r="D1025" s="8" t="s">
        <v>6304</v>
      </c>
      <c r="E1025" s="14" t="s">
        <v>2601</v>
      </c>
    </row>
    <row r="1026">
      <c r="A1026" s="8" t="s">
        <v>4955</v>
      </c>
      <c r="B1026" s="8" t="s">
        <v>65</v>
      </c>
      <c r="C1026" s="14" t="s">
        <v>2033</v>
      </c>
      <c r="D1026" s="8" t="s">
        <v>2621</v>
      </c>
      <c r="E1026" s="14" t="s">
        <v>2555</v>
      </c>
    </row>
    <row r="1027">
      <c r="A1027" s="8" t="s">
        <v>4956</v>
      </c>
      <c r="B1027" s="8" t="s">
        <v>70</v>
      </c>
      <c r="C1027" s="14" t="s">
        <v>2033</v>
      </c>
      <c r="D1027" s="8" t="s">
        <v>2560</v>
      </c>
      <c r="E1027" s="14" t="s">
        <v>2579</v>
      </c>
    </row>
    <row r="1028">
      <c r="A1028" s="8" t="s">
        <v>4957</v>
      </c>
      <c r="B1028" s="8" t="s">
        <v>122</v>
      </c>
      <c r="C1028" s="14" t="s">
        <v>2033</v>
      </c>
      <c r="D1028" s="8" t="s">
        <v>2552</v>
      </c>
      <c r="E1028" s="14" t="s">
        <v>2579</v>
      </c>
    </row>
    <row r="1029">
      <c r="A1029" s="8" t="s">
        <v>4958</v>
      </c>
      <c r="B1029" s="8" t="s">
        <v>70</v>
      </c>
      <c r="C1029" s="14" t="s">
        <v>1679</v>
      </c>
      <c r="D1029" s="8" t="s">
        <v>2558</v>
      </c>
      <c r="E1029" s="14" t="s">
        <v>2571</v>
      </c>
    </row>
    <row r="1030">
      <c r="A1030" s="8" t="s">
        <v>4959</v>
      </c>
      <c r="B1030" s="8" t="s">
        <v>192</v>
      </c>
      <c r="C1030" s="14" t="s">
        <v>2033</v>
      </c>
      <c r="D1030" s="8" t="s">
        <v>2560</v>
      </c>
      <c r="E1030" s="14" t="s">
        <v>2561</v>
      </c>
    </row>
    <row r="1031">
      <c r="A1031" s="8" t="s">
        <v>4960</v>
      </c>
      <c r="B1031" s="8" t="s">
        <v>93</v>
      </c>
      <c r="C1031" s="14" t="s">
        <v>1679</v>
      </c>
      <c r="D1031" s="8" t="s">
        <v>2554</v>
      </c>
      <c r="E1031" s="14" t="s">
        <v>2579</v>
      </c>
    </row>
    <row r="1032">
      <c r="A1032" s="8" t="s">
        <v>4961</v>
      </c>
      <c r="B1032" s="8" t="s">
        <v>80</v>
      </c>
      <c r="C1032" s="14" t="s">
        <v>1352</v>
      </c>
      <c r="D1032" s="8" t="s">
        <v>2620</v>
      </c>
      <c r="E1032" s="14" t="s">
        <v>2594</v>
      </c>
    </row>
    <row r="1033">
      <c r="A1033" s="8" t="s">
        <v>4962</v>
      </c>
      <c r="B1033" s="8" t="s">
        <v>65</v>
      </c>
      <c r="C1033" s="14" t="s">
        <v>2033</v>
      </c>
      <c r="D1033" s="8" t="s">
        <v>2183</v>
      </c>
      <c r="E1033" s="14" t="s">
        <v>2555</v>
      </c>
    </row>
    <row r="1034">
      <c r="A1034" s="8" t="s">
        <v>4963</v>
      </c>
      <c r="B1034" s="8" t="s">
        <v>93</v>
      </c>
      <c r="C1034" s="14" t="s">
        <v>1679</v>
      </c>
      <c r="D1034" s="8" t="s">
        <v>2581</v>
      </c>
      <c r="E1034" s="14" t="s">
        <v>2618</v>
      </c>
    </row>
    <row r="1035">
      <c r="A1035" s="8" t="s">
        <v>4964</v>
      </c>
      <c r="B1035" s="8" t="s">
        <v>93</v>
      </c>
      <c r="C1035" s="14" t="s">
        <v>631</v>
      </c>
      <c r="D1035" s="8" t="s">
        <v>2603</v>
      </c>
      <c r="E1035" s="14" t="s">
        <v>2591</v>
      </c>
    </row>
    <row r="1036">
      <c r="A1036" s="8" t="s">
        <v>4965</v>
      </c>
      <c r="B1036" s="8" t="s">
        <v>46</v>
      </c>
      <c r="C1036" s="14" t="s">
        <v>2033</v>
      </c>
      <c r="D1036" s="8" t="s">
        <v>2603</v>
      </c>
      <c r="E1036" s="14" t="s">
        <v>2594</v>
      </c>
    </row>
    <row r="1037">
      <c r="A1037" s="8" t="s">
        <v>4966</v>
      </c>
      <c r="B1037" s="8" t="s">
        <v>192</v>
      </c>
      <c r="C1037" s="14" t="s">
        <v>837</v>
      </c>
      <c r="D1037" s="8" t="s">
        <v>2614</v>
      </c>
      <c r="E1037" s="14" t="s">
        <v>2618</v>
      </c>
    </row>
    <row r="1038">
      <c r="A1038" s="8" t="s">
        <v>4967</v>
      </c>
      <c r="B1038" s="8" t="s">
        <v>16</v>
      </c>
      <c r="C1038" s="14" t="s">
        <v>1352</v>
      </c>
      <c r="D1038" s="8" t="s">
        <v>2592</v>
      </c>
      <c r="E1038" s="14" t="s">
        <v>2571</v>
      </c>
    </row>
    <row r="1039">
      <c r="A1039" s="8" t="s">
        <v>4968</v>
      </c>
      <c r="B1039" s="8" t="s">
        <v>93</v>
      </c>
      <c r="C1039" s="14" t="s">
        <v>1679</v>
      </c>
      <c r="D1039" s="8" t="s">
        <v>2592</v>
      </c>
      <c r="E1039" s="14" t="s">
        <v>2622</v>
      </c>
    </row>
    <row r="1040">
      <c r="A1040" s="8" t="s">
        <v>4969</v>
      </c>
      <c r="B1040" s="8" t="s">
        <v>93</v>
      </c>
      <c r="C1040" s="14" t="s">
        <v>1070</v>
      </c>
      <c r="D1040" s="8" t="s">
        <v>2574</v>
      </c>
      <c r="E1040" s="14" t="s">
        <v>2608</v>
      </c>
    </row>
    <row r="1041">
      <c r="A1041" s="8" t="s">
        <v>4970</v>
      </c>
      <c r="B1041" s="8" t="s">
        <v>186</v>
      </c>
      <c r="C1041" s="14" t="s">
        <v>1352</v>
      </c>
      <c r="D1041" s="8" t="s">
        <v>2560</v>
      </c>
      <c r="E1041" s="14" t="s">
        <v>2579</v>
      </c>
    </row>
    <row r="1042">
      <c r="A1042" s="8" t="s">
        <v>4971</v>
      </c>
      <c r="B1042" s="8" t="s">
        <v>75</v>
      </c>
      <c r="C1042" s="14" t="s">
        <v>338</v>
      </c>
      <c r="D1042" s="8" t="s">
        <v>2598</v>
      </c>
      <c r="E1042" s="14" t="s">
        <v>2557</v>
      </c>
    </row>
    <row r="1043">
      <c r="A1043" s="8" t="s">
        <v>4972</v>
      </c>
      <c r="B1043" s="8" t="s">
        <v>70</v>
      </c>
      <c r="C1043" s="14" t="s">
        <v>1679</v>
      </c>
      <c r="D1043" s="8" t="s">
        <v>2577</v>
      </c>
      <c r="E1043" s="14" t="s">
        <v>2578</v>
      </c>
    </row>
    <row r="1044">
      <c r="A1044" s="8" t="s">
        <v>4973</v>
      </c>
      <c r="B1044" s="8" t="s">
        <v>138</v>
      </c>
      <c r="C1044" s="14" t="s">
        <v>631</v>
      </c>
      <c r="D1044" s="8" t="s">
        <v>6304</v>
      </c>
      <c r="E1044" s="14" t="s">
        <v>2622</v>
      </c>
    </row>
    <row r="1045">
      <c r="A1045" s="8" t="s">
        <v>4974</v>
      </c>
      <c r="B1045" s="8" t="s">
        <v>186</v>
      </c>
      <c r="C1045" s="14" t="s">
        <v>1679</v>
      </c>
      <c r="D1045" s="8" t="s">
        <v>2558</v>
      </c>
      <c r="E1045" s="14" t="s">
        <v>2594</v>
      </c>
    </row>
    <row r="1046">
      <c r="A1046" s="8" t="s">
        <v>4975</v>
      </c>
      <c r="B1046" s="8" t="s">
        <v>75</v>
      </c>
      <c r="C1046" s="14" t="s">
        <v>2459</v>
      </c>
      <c r="D1046" s="8" t="s">
        <v>2605</v>
      </c>
      <c r="E1046" s="14" t="s">
        <v>2590</v>
      </c>
    </row>
    <row r="1047">
      <c r="A1047" s="8" t="s">
        <v>4976</v>
      </c>
      <c r="B1047" s="8" t="s">
        <v>261</v>
      </c>
      <c r="C1047" s="14" t="s">
        <v>237</v>
      </c>
      <c r="D1047" s="8" t="s">
        <v>2600</v>
      </c>
      <c r="E1047" s="14" t="s">
        <v>2601</v>
      </c>
    </row>
    <row r="1048">
      <c r="A1048" s="8" t="s">
        <v>4977</v>
      </c>
      <c r="B1048" s="8" t="s">
        <v>141</v>
      </c>
      <c r="C1048" s="14" t="s">
        <v>338</v>
      </c>
      <c r="D1048" s="8" t="s">
        <v>2600</v>
      </c>
      <c r="E1048" s="14" t="s">
        <v>2637</v>
      </c>
    </row>
    <row r="1049">
      <c r="A1049" s="8" t="s">
        <v>4978</v>
      </c>
      <c r="B1049" s="8" t="s">
        <v>75</v>
      </c>
      <c r="C1049" s="14" t="s">
        <v>837</v>
      </c>
      <c r="D1049" s="8" t="s">
        <v>2575</v>
      </c>
      <c r="E1049" s="14" t="s">
        <v>2568</v>
      </c>
    </row>
    <row r="1050">
      <c r="A1050" s="8" t="s">
        <v>4979</v>
      </c>
      <c r="B1050" s="8" t="s">
        <v>138</v>
      </c>
      <c r="C1050" s="14" t="s">
        <v>1679</v>
      </c>
      <c r="D1050" s="8" t="s">
        <v>2558</v>
      </c>
      <c r="E1050" s="14" t="s">
        <v>2555</v>
      </c>
    </row>
    <row r="1051">
      <c r="A1051" s="8" t="s">
        <v>4980</v>
      </c>
      <c r="B1051" s="8" t="s">
        <v>24</v>
      </c>
      <c r="C1051" s="14" t="s">
        <v>837</v>
      </c>
      <c r="D1051" s="8" t="s">
        <v>2584</v>
      </c>
      <c r="E1051" s="14" t="s">
        <v>2601</v>
      </c>
    </row>
    <row r="1052">
      <c r="A1052" s="8" t="s">
        <v>4981</v>
      </c>
      <c r="B1052" s="8" t="s">
        <v>59</v>
      </c>
      <c r="C1052" s="14" t="s">
        <v>1679</v>
      </c>
      <c r="D1052" s="8" t="s">
        <v>2584</v>
      </c>
      <c r="E1052" s="14" t="s">
        <v>2563</v>
      </c>
    </row>
    <row r="1053">
      <c r="A1053" s="8" t="s">
        <v>4982</v>
      </c>
      <c r="B1053" s="8" t="s">
        <v>53</v>
      </c>
      <c r="C1053" s="14" t="s">
        <v>1070</v>
      </c>
      <c r="D1053" s="8" t="s">
        <v>2605</v>
      </c>
      <c r="E1053" s="14" t="s">
        <v>2594</v>
      </c>
    </row>
    <row r="1054">
      <c r="A1054" s="8" t="s">
        <v>4983</v>
      </c>
      <c r="B1054" s="8" t="s">
        <v>65</v>
      </c>
      <c r="C1054" s="14" t="s">
        <v>2033</v>
      </c>
      <c r="D1054" s="8" t="s">
        <v>2577</v>
      </c>
      <c r="E1054" s="14" t="s">
        <v>2601</v>
      </c>
    </row>
    <row r="1055">
      <c r="A1055" s="8" t="s">
        <v>4984</v>
      </c>
      <c r="B1055" s="8" t="s">
        <v>70</v>
      </c>
      <c r="C1055" s="14" t="s">
        <v>837</v>
      </c>
      <c r="D1055" s="8" t="s">
        <v>2600</v>
      </c>
      <c r="E1055" s="14" t="s">
        <v>2633</v>
      </c>
    </row>
    <row r="1056">
      <c r="A1056" s="8" t="s">
        <v>4985</v>
      </c>
      <c r="B1056" s="8" t="s">
        <v>24</v>
      </c>
      <c r="C1056" s="14" t="s">
        <v>338</v>
      </c>
      <c r="D1056" s="8" t="s">
        <v>2183</v>
      </c>
      <c r="E1056" s="14" t="s">
        <v>2640</v>
      </c>
    </row>
    <row r="1057">
      <c r="A1057" s="8" t="s">
        <v>4986</v>
      </c>
      <c r="B1057" s="8" t="s">
        <v>53</v>
      </c>
      <c r="C1057" s="14" t="s">
        <v>459</v>
      </c>
      <c r="D1057" s="8" t="s">
        <v>2600</v>
      </c>
      <c r="E1057" s="14" t="s">
        <v>2602</v>
      </c>
    </row>
    <row r="1058">
      <c r="A1058" s="8" t="s">
        <v>4987</v>
      </c>
      <c r="B1058" s="8" t="s">
        <v>122</v>
      </c>
      <c r="C1058" s="14" t="s">
        <v>631</v>
      </c>
      <c r="D1058" s="8" t="s">
        <v>2603</v>
      </c>
      <c r="E1058" s="14" t="s">
        <v>2563</v>
      </c>
    </row>
    <row r="1059">
      <c r="A1059" s="8" t="s">
        <v>4988</v>
      </c>
      <c r="B1059" s="8" t="s">
        <v>132</v>
      </c>
      <c r="C1059" s="14" t="s">
        <v>2033</v>
      </c>
      <c r="D1059" s="8" t="s">
        <v>2593</v>
      </c>
      <c r="E1059" s="14" t="s">
        <v>2580</v>
      </c>
    </row>
    <row r="1060">
      <c r="A1060" s="8" t="s">
        <v>4989</v>
      </c>
      <c r="B1060" s="8" t="s">
        <v>75</v>
      </c>
      <c r="C1060" s="14" t="s">
        <v>837</v>
      </c>
      <c r="D1060" s="8" t="s">
        <v>2621</v>
      </c>
      <c r="E1060" s="14" t="s">
        <v>2570</v>
      </c>
    </row>
    <row r="1061">
      <c r="A1061" s="8" t="s">
        <v>4990</v>
      </c>
      <c r="B1061" s="8" t="s">
        <v>65</v>
      </c>
      <c r="C1061" s="14" t="s">
        <v>1070</v>
      </c>
      <c r="D1061" s="8" t="s">
        <v>2560</v>
      </c>
      <c r="E1061" s="14" t="s">
        <v>2608</v>
      </c>
    </row>
    <row r="1062">
      <c r="A1062" s="8" t="s">
        <v>4991</v>
      </c>
      <c r="B1062" s="8" t="s">
        <v>122</v>
      </c>
      <c r="C1062" s="14" t="s">
        <v>1679</v>
      </c>
      <c r="D1062" s="8" t="s">
        <v>2581</v>
      </c>
      <c r="E1062" s="14" t="s">
        <v>2609</v>
      </c>
    </row>
    <row r="1063">
      <c r="A1063" s="8" t="s">
        <v>4992</v>
      </c>
      <c r="B1063" s="8" t="s">
        <v>261</v>
      </c>
      <c r="C1063" s="14" t="s">
        <v>338</v>
      </c>
      <c r="D1063" s="8" t="s">
        <v>2614</v>
      </c>
      <c r="E1063" s="14" t="s">
        <v>2557</v>
      </c>
    </row>
    <row r="1064">
      <c r="A1064" s="8" t="s">
        <v>4993</v>
      </c>
      <c r="B1064" s="8" t="s">
        <v>132</v>
      </c>
      <c r="C1064" s="14" t="s">
        <v>1070</v>
      </c>
      <c r="D1064" s="8" t="s">
        <v>2598</v>
      </c>
      <c r="E1064" s="14" t="s">
        <v>2622</v>
      </c>
    </row>
    <row r="1065">
      <c r="A1065" s="8" t="s">
        <v>4994</v>
      </c>
      <c r="B1065" s="8" t="s">
        <v>93</v>
      </c>
      <c r="C1065" s="14" t="s">
        <v>338</v>
      </c>
      <c r="D1065" s="8" t="s">
        <v>2566</v>
      </c>
      <c r="E1065" s="14" t="s">
        <v>2607</v>
      </c>
    </row>
    <row r="1066">
      <c r="A1066" s="8" t="s">
        <v>4995</v>
      </c>
      <c r="B1066" s="8" t="s">
        <v>80</v>
      </c>
      <c r="C1066" s="14" t="s">
        <v>2033</v>
      </c>
      <c r="D1066" s="8" t="s">
        <v>2587</v>
      </c>
      <c r="E1066" s="14" t="s">
        <v>2579</v>
      </c>
    </row>
    <row r="1067">
      <c r="A1067" s="8" t="s">
        <v>4996</v>
      </c>
      <c r="B1067" s="8" t="s">
        <v>192</v>
      </c>
      <c r="C1067" s="14" t="s">
        <v>837</v>
      </c>
      <c r="D1067" s="8" t="s">
        <v>2585</v>
      </c>
      <c r="E1067" s="14" t="s">
        <v>2607</v>
      </c>
    </row>
    <row r="1068">
      <c r="A1068" s="8" t="s">
        <v>4997</v>
      </c>
      <c r="B1068" s="8" t="s">
        <v>24</v>
      </c>
      <c r="C1068" s="14" t="s">
        <v>189</v>
      </c>
      <c r="D1068" s="8" t="s">
        <v>2595</v>
      </c>
      <c r="E1068" s="14" t="s">
        <v>2604</v>
      </c>
    </row>
    <row r="1069">
      <c r="A1069" s="8" t="s">
        <v>4998</v>
      </c>
      <c r="B1069" s="8" t="s">
        <v>16</v>
      </c>
      <c r="C1069" s="14" t="s">
        <v>1679</v>
      </c>
      <c r="D1069" s="8" t="s">
        <v>2593</v>
      </c>
      <c r="E1069" s="14" t="s">
        <v>2578</v>
      </c>
    </row>
    <row r="1070">
      <c r="A1070" s="8" t="s">
        <v>4999</v>
      </c>
      <c r="B1070" s="8" t="s">
        <v>186</v>
      </c>
      <c r="C1070" s="14" t="s">
        <v>1070</v>
      </c>
      <c r="D1070" s="8" t="s">
        <v>2574</v>
      </c>
      <c r="E1070" s="14" t="s">
        <v>2594</v>
      </c>
    </row>
    <row r="1071">
      <c r="A1071" s="8" t="s">
        <v>5000</v>
      </c>
      <c r="B1071" s="8" t="s">
        <v>65</v>
      </c>
      <c r="C1071" s="14" t="s">
        <v>459</v>
      </c>
      <c r="D1071" s="8" t="s">
        <v>2574</v>
      </c>
      <c r="E1071" s="14" t="s">
        <v>2601</v>
      </c>
    </row>
    <row r="1072">
      <c r="A1072" s="8" t="s">
        <v>5001</v>
      </c>
      <c r="B1072" s="8" t="s">
        <v>65</v>
      </c>
      <c r="C1072" s="14" t="s">
        <v>459</v>
      </c>
      <c r="D1072" s="8" t="s">
        <v>2603</v>
      </c>
      <c r="E1072" s="14" t="s">
        <v>2602</v>
      </c>
    </row>
    <row r="1073">
      <c r="A1073" s="8" t="s">
        <v>5002</v>
      </c>
      <c r="B1073" s="8" t="s">
        <v>186</v>
      </c>
      <c r="C1073" s="14" t="s">
        <v>2033</v>
      </c>
      <c r="D1073" s="8" t="s">
        <v>2554</v>
      </c>
      <c r="E1073" s="14" t="s">
        <v>2565</v>
      </c>
    </row>
    <row r="1074">
      <c r="A1074" s="8" t="s">
        <v>5003</v>
      </c>
      <c r="B1074" s="8" t="s">
        <v>122</v>
      </c>
      <c r="C1074" s="14" t="s">
        <v>1352</v>
      </c>
      <c r="D1074" s="8" t="s">
        <v>2603</v>
      </c>
      <c r="E1074" s="14" t="s">
        <v>2599</v>
      </c>
    </row>
    <row r="1075">
      <c r="A1075" s="8" t="s">
        <v>5004</v>
      </c>
      <c r="B1075" s="8" t="s">
        <v>16</v>
      </c>
      <c r="C1075" s="14" t="s">
        <v>2296</v>
      </c>
      <c r="D1075" s="8" t="s">
        <v>2600</v>
      </c>
      <c r="E1075" s="14" t="s">
        <v>2612</v>
      </c>
    </row>
    <row r="1076">
      <c r="A1076" s="8" t="s">
        <v>5005</v>
      </c>
      <c r="B1076" s="8" t="s">
        <v>192</v>
      </c>
      <c r="C1076" s="14" t="s">
        <v>1352</v>
      </c>
      <c r="D1076" s="8" t="s">
        <v>2584</v>
      </c>
      <c r="E1076" s="14" t="s">
        <v>2568</v>
      </c>
    </row>
    <row r="1077">
      <c r="A1077" s="8" t="s">
        <v>5006</v>
      </c>
      <c r="B1077" s="8" t="s">
        <v>65</v>
      </c>
      <c r="C1077" s="14" t="s">
        <v>1070</v>
      </c>
      <c r="D1077" s="8" t="s">
        <v>2615</v>
      </c>
      <c r="E1077" s="14" t="s">
        <v>2611</v>
      </c>
    </row>
    <row r="1078">
      <c r="A1078" s="8" t="s">
        <v>5007</v>
      </c>
      <c r="B1078" s="8" t="s">
        <v>149</v>
      </c>
      <c r="C1078" s="14" t="s">
        <v>2033</v>
      </c>
      <c r="D1078" s="8" t="s">
        <v>2581</v>
      </c>
      <c r="E1078" s="14" t="s">
        <v>2617</v>
      </c>
    </row>
    <row r="1079">
      <c r="A1079" s="8" t="s">
        <v>5008</v>
      </c>
      <c r="B1079" s="8" t="s">
        <v>186</v>
      </c>
      <c r="C1079" s="14" t="s">
        <v>2033</v>
      </c>
      <c r="D1079" s="8" t="s">
        <v>6304</v>
      </c>
      <c r="E1079" s="14" t="s">
        <v>2583</v>
      </c>
    </row>
    <row r="1080">
      <c r="A1080" s="8" t="s">
        <v>5009</v>
      </c>
      <c r="B1080" s="8" t="s">
        <v>24</v>
      </c>
      <c r="C1080" s="14" t="s">
        <v>1352</v>
      </c>
      <c r="D1080" s="8" t="s">
        <v>2587</v>
      </c>
      <c r="E1080" s="14" t="s">
        <v>2602</v>
      </c>
    </row>
    <row r="1081">
      <c r="A1081" s="8" t="s">
        <v>5011</v>
      </c>
      <c r="B1081" s="8" t="s">
        <v>141</v>
      </c>
      <c r="C1081" s="14" t="s">
        <v>237</v>
      </c>
      <c r="D1081" s="8" t="s">
        <v>2564</v>
      </c>
      <c r="E1081" s="14" t="s">
        <v>2636</v>
      </c>
    </row>
    <row r="1082">
      <c r="A1082" s="8" t="s">
        <v>5012</v>
      </c>
      <c r="B1082" s="8" t="s">
        <v>93</v>
      </c>
      <c r="C1082" s="14" t="s">
        <v>189</v>
      </c>
      <c r="D1082" s="8" t="s">
        <v>2600</v>
      </c>
      <c r="E1082" s="14" t="s">
        <v>2625</v>
      </c>
    </row>
    <row r="1083">
      <c r="A1083" s="8" t="s">
        <v>5013</v>
      </c>
      <c r="B1083" s="8" t="s">
        <v>12</v>
      </c>
      <c r="C1083" s="14" t="s">
        <v>631</v>
      </c>
      <c r="D1083" s="8" t="s">
        <v>2603</v>
      </c>
      <c r="E1083" s="14" t="s">
        <v>2590</v>
      </c>
    </row>
    <row r="1084">
      <c r="A1084" s="8" t="s">
        <v>5014</v>
      </c>
      <c r="B1084" s="8" t="s">
        <v>46</v>
      </c>
      <c r="C1084" s="14" t="s">
        <v>39</v>
      </c>
      <c r="D1084" s="8" t="s">
        <v>2564</v>
      </c>
      <c r="E1084" s="14" t="s">
        <v>2604</v>
      </c>
    </row>
    <row r="1085">
      <c r="A1085" s="8" t="s">
        <v>5015</v>
      </c>
      <c r="B1085" s="8" t="s">
        <v>59</v>
      </c>
      <c r="C1085" s="14" t="s">
        <v>338</v>
      </c>
      <c r="D1085" s="8" t="s">
        <v>2592</v>
      </c>
      <c r="E1085" s="14" t="s">
        <v>2586</v>
      </c>
    </row>
    <row r="1086">
      <c r="A1086" s="8" t="s">
        <v>5016</v>
      </c>
      <c r="B1086" s="8" t="s">
        <v>12</v>
      </c>
      <c r="C1086" s="14" t="s">
        <v>2033</v>
      </c>
      <c r="D1086" s="8" t="s">
        <v>2581</v>
      </c>
      <c r="E1086" s="14" t="s">
        <v>2602</v>
      </c>
    </row>
    <row r="1087">
      <c r="A1087" s="8" t="s">
        <v>5017</v>
      </c>
      <c r="B1087" s="8" t="s">
        <v>149</v>
      </c>
      <c r="C1087" s="14" t="s">
        <v>1352</v>
      </c>
      <c r="D1087" s="8" t="s">
        <v>2558</v>
      </c>
      <c r="E1087" s="14" t="s">
        <v>2594</v>
      </c>
    </row>
    <row r="1088">
      <c r="A1088" s="8" t="s">
        <v>5018</v>
      </c>
      <c r="B1088" s="8" t="s">
        <v>24</v>
      </c>
      <c r="C1088" s="14" t="s">
        <v>1070</v>
      </c>
      <c r="D1088" s="8" t="s">
        <v>2574</v>
      </c>
      <c r="E1088" s="14" t="s">
        <v>2583</v>
      </c>
    </row>
    <row r="1089">
      <c r="A1089" s="8" t="s">
        <v>5019</v>
      </c>
      <c r="B1089" s="8" t="s">
        <v>93</v>
      </c>
      <c r="C1089" s="14" t="s">
        <v>631</v>
      </c>
      <c r="D1089" s="8" t="s">
        <v>2585</v>
      </c>
      <c r="E1089" s="14" t="s">
        <v>2588</v>
      </c>
    </row>
    <row r="1090">
      <c r="A1090" s="8" t="s">
        <v>5020</v>
      </c>
      <c r="B1090" s="8" t="s">
        <v>24</v>
      </c>
      <c r="C1090" s="14" t="s">
        <v>39</v>
      </c>
      <c r="D1090" s="8" t="s">
        <v>2614</v>
      </c>
      <c r="E1090" s="14" t="s">
        <v>2578</v>
      </c>
    </row>
    <row r="1091">
      <c r="A1091" s="8" t="s">
        <v>5021</v>
      </c>
      <c r="B1091" s="8" t="s">
        <v>53</v>
      </c>
      <c r="C1091" s="14" t="s">
        <v>1352</v>
      </c>
      <c r="D1091" s="8" t="s">
        <v>2572</v>
      </c>
      <c r="E1091" s="14" t="s">
        <v>2601</v>
      </c>
    </row>
    <row r="1092">
      <c r="A1092" s="8" t="s">
        <v>5022</v>
      </c>
      <c r="B1092" s="8" t="s">
        <v>93</v>
      </c>
      <c r="C1092" s="14" t="s">
        <v>1070</v>
      </c>
      <c r="D1092" s="8" t="s">
        <v>2574</v>
      </c>
      <c r="E1092" s="14" t="s">
        <v>2563</v>
      </c>
    </row>
    <row r="1093">
      <c r="A1093" s="8" t="s">
        <v>5023</v>
      </c>
      <c r="B1093" s="8" t="s">
        <v>122</v>
      </c>
      <c r="C1093" s="14" t="s">
        <v>1070</v>
      </c>
      <c r="D1093" s="8" t="s">
        <v>2577</v>
      </c>
      <c r="E1093" s="14" t="s">
        <v>2608</v>
      </c>
    </row>
    <row r="1094">
      <c r="A1094" s="8" t="s">
        <v>5024</v>
      </c>
      <c r="B1094" s="8" t="s">
        <v>75</v>
      </c>
      <c r="C1094" s="14" t="s">
        <v>2296</v>
      </c>
      <c r="D1094" s="8" t="s">
        <v>2567</v>
      </c>
      <c r="E1094" s="14" t="s">
        <v>2580</v>
      </c>
    </row>
    <row r="1095">
      <c r="A1095" s="8" t="s">
        <v>5025</v>
      </c>
      <c r="B1095" s="8" t="s">
        <v>65</v>
      </c>
      <c r="C1095" s="14" t="s">
        <v>1679</v>
      </c>
      <c r="D1095" s="8" t="s">
        <v>2605</v>
      </c>
      <c r="E1095" s="14" t="s">
        <v>2622</v>
      </c>
    </row>
    <row r="1096">
      <c r="A1096" s="8" t="s">
        <v>5026</v>
      </c>
      <c r="B1096" s="8" t="s">
        <v>70</v>
      </c>
      <c r="C1096" s="14" t="s">
        <v>631</v>
      </c>
      <c r="D1096" s="8" t="s">
        <v>2595</v>
      </c>
      <c r="E1096" s="14" t="s">
        <v>2591</v>
      </c>
    </row>
    <row r="1097">
      <c r="A1097" s="8" t="s">
        <v>5027</v>
      </c>
      <c r="B1097" s="8" t="s">
        <v>149</v>
      </c>
      <c r="C1097" s="14" t="s">
        <v>2459</v>
      </c>
      <c r="D1097" s="8" t="s">
        <v>2584</v>
      </c>
      <c r="E1097" s="14" t="s">
        <v>2573</v>
      </c>
    </row>
    <row r="1098">
      <c r="A1098" s="8" t="s">
        <v>5028</v>
      </c>
      <c r="B1098" s="8" t="s">
        <v>65</v>
      </c>
      <c r="C1098" s="14" t="s">
        <v>1679</v>
      </c>
      <c r="D1098" s="8" t="s">
        <v>2558</v>
      </c>
      <c r="E1098" s="14" t="s">
        <v>2555</v>
      </c>
    </row>
    <row r="1099">
      <c r="A1099" s="8" t="s">
        <v>5029</v>
      </c>
      <c r="B1099" s="8" t="s">
        <v>70</v>
      </c>
      <c r="C1099" s="14" t="s">
        <v>2033</v>
      </c>
      <c r="D1099" s="8" t="s">
        <v>2577</v>
      </c>
      <c r="E1099" s="14" t="s">
        <v>2591</v>
      </c>
    </row>
    <row r="1100">
      <c r="A1100" s="8" t="s">
        <v>5030</v>
      </c>
      <c r="B1100" s="8" t="s">
        <v>65</v>
      </c>
      <c r="C1100" s="14" t="s">
        <v>2296</v>
      </c>
      <c r="D1100" s="8" t="s">
        <v>2575</v>
      </c>
      <c r="E1100" s="14" t="s">
        <v>2594</v>
      </c>
    </row>
    <row r="1101">
      <c r="A1101" s="8" t="s">
        <v>5031</v>
      </c>
      <c r="B1101" s="8" t="s">
        <v>192</v>
      </c>
      <c r="C1101" s="14" t="s">
        <v>837</v>
      </c>
      <c r="D1101" s="8" t="s">
        <v>2572</v>
      </c>
      <c r="E1101" s="14" t="s">
        <v>2565</v>
      </c>
    </row>
    <row r="1102">
      <c r="A1102" s="8" t="s">
        <v>5032</v>
      </c>
      <c r="B1102" s="8" t="s">
        <v>59</v>
      </c>
      <c r="C1102" s="14" t="s">
        <v>2033</v>
      </c>
      <c r="D1102" s="8" t="s">
        <v>2575</v>
      </c>
      <c r="E1102" s="14" t="s">
        <v>2591</v>
      </c>
    </row>
    <row r="1103">
      <c r="A1103" s="8" t="s">
        <v>5033</v>
      </c>
      <c r="B1103" s="8" t="s">
        <v>186</v>
      </c>
      <c r="C1103" s="14" t="s">
        <v>1679</v>
      </c>
      <c r="D1103" s="8" t="s">
        <v>2614</v>
      </c>
      <c r="E1103" s="14" t="s">
        <v>2625</v>
      </c>
    </row>
    <row r="1104">
      <c r="A1104" s="8" t="s">
        <v>5034</v>
      </c>
      <c r="B1104" s="8" t="s">
        <v>186</v>
      </c>
      <c r="C1104" s="14" t="s">
        <v>1679</v>
      </c>
      <c r="D1104" s="8" t="s">
        <v>2621</v>
      </c>
      <c r="E1104" s="14" t="s">
        <v>2601</v>
      </c>
    </row>
    <row r="1105">
      <c r="A1105" s="8" t="s">
        <v>5035</v>
      </c>
      <c r="B1105" s="8" t="s">
        <v>192</v>
      </c>
      <c r="C1105" s="14" t="s">
        <v>1352</v>
      </c>
      <c r="D1105" s="8" t="s">
        <v>2552</v>
      </c>
      <c r="E1105" s="14" t="s">
        <v>2583</v>
      </c>
    </row>
    <row r="1106">
      <c r="A1106" s="8" t="s">
        <v>5036</v>
      </c>
      <c r="B1106" s="8" t="s">
        <v>59</v>
      </c>
      <c r="C1106" s="14" t="s">
        <v>837</v>
      </c>
      <c r="D1106" s="8" t="s">
        <v>2581</v>
      </c>
      <c r="E1106" s="14" t="s">
        <v>2568</v>
      </c>
    </row>
    <row r="1107">
      <c r="A1107" s="8" t="s">
        <v>5037</v>
      </c>
      <c r="B1107" s="8" t="s">
        <v>93</v>
      </c>
      <c r="C1107" s="14" t="s">
        <v>2033</v>
      </c>
      <c r="D1107" s="8" t="s">
        <v>2600</v>
      </c>
      <c r="E1107" s="14" t="s">
        <v>2601</v>
      </c>
    </row>
    <row r="1108">
      <c r="A1108" s="8" t="s">
        <v>5038</v>
      </c>
      <c r="B1108" s="8" t="s">
        <v>16</v>
      </c>
      <c r="C1108" s="14" t="s">
        <v>1070</v>
      </c>
      <c r="D1108" s="8" t="s">
        <v>2610</v>
      </c>
      <c r="E1108" s="14" t="s">
        <v>2594</v>
      </c>
    </row>
    <row r="1109">
      <c r="A1109" s="8" t="s">
        <v>5039</v>
      </c>
      <c r="B1109" s="8" t="s">
        <v>192</v>
      </c>
      <c r="C1109" s="14" t="s">
        <v>631</v>
      </c>
      <c r="D1109" s="8" t="s">
        <v>2614</v>
      </c>
      <c r="E1109" s="14" t="s">
        <v>2602</v>
      </c>
    </row>
    <row r="1110">
      <c r="A1110" s="8" t="s">
        <v>5040</v>
      </c>
      <c r="B1110" s="8" t="s">
        <v>24</v>
      </c>
      <c r="C1110" s="14" t="s">
        <v>1070</v>
      </c>
      <c r="D1110" s="8" t="s">
        <v>2620</v>
      </c>
      <c r="E1110" s="14" t="s">
        <v>2553</v>
      </c>
    </row>
    <row r="1111">
      <c r="A1111" s="8" t="s">
        <v>5041</v>
      </c>
      <c r="B1111" s="8" t="s">
        <v>53</v>
      </c>
      <c r="C1111" s="14" t="s">
        <v>2033</v>
      </c>
      <c r="D1111" s="8" t="s">
        <v>2620</v>
      </c>
      <c r="E1111" s="14" t="s">
        <v>2594</v>
      </c>
    </row>
    <row r="1112">
      <c r="A1112" s="8" t="s">
        <v>5042</v>
      </c>
      <c r="B1112" s="8" t="s">
        <v>93</v>
      </c>
      <c r="C1112" s="14" t="s">
        <v>631</v>
      </c>
      <c r="D1112" s="8" t="s">
        <v>2572</v>
      </c>
      <c r="E1112" s="14" t="s">
        <v>2570</v>
      </c>
    </row>
    <row r="1113">
      <c r="A1113" s="8" t="s">
        <v>5043</v>
      </c>
      <c r="B1113" s="8" t="s">
        <v>70</v>
      </c>
      <c r="C1113" s="14" t="s">
        <v>2033</v>
      </c>
      <c r="D1113" s="8" t="s">
        <v>2585</v>
      </c>
      <c r="E1113" s="14" t="s">
        <v>2579</v>
      </c>
    </row>
    <row r="1114">
      <c r="A1114" s="8" t="s">
        <v>5044</v>
      </c>
      <c r="B1114" s="8" t="s">
        <v>138</v>
      </c>
      <c r="C1114" s="14" t="s">
        <v>2296</v>
      </c>
      <c r="D1114" s="8" t="s">
        <v>2621</v>
      </c>
      <c r="E1114" s="14" t="s">
        <v>2553</v>
      </c>
    </row>
    <row r="1115">
      <c r="A1115" s="8" t="s">
        <v>5045</v>
      </c>
      <c r="B1115" s="8" t="s">
        <v>65</v>
      </c>
      <c r="C1115" s="14" t="s">
        <v>1352</v>
      </c>
      <c r="D1115" s="8" t="s">
        <v>2582</v>
      </c>
      <c r="E1115" s="14" t="s">
        <v>2579</v>
      </c>
    </row>
    <row r="1116">
      <c r="A1116" s="8" t="s">
        <v>5046</v>
      </c>
      <c r="B1116" s="8" t="s">
        <v>46</v>
      </c>
      <c r="C1116" s="14" t="s">
        <v>1352</v>
      </c>
      <c r="D1116" s="8" t="s">
        <v>2577</v>
      </c>
      <c r="E1116" s="14" t="s">
        <v>2609</v>
      </c>
    </row>
    <row r="1117">
      <c r="A1117" s="8" t="s">
        <v>5047</v>
      </c>
      <c r="B1117" s="8" t="s">
        <v>24</v>
      </c>
      <c r="C1117" s="14" t="s">
        <v>1070</v>
      </c>
      <c r="D1117" s="8" t="s">
        <v>2562</v>
      </c>
      <c r="E1117" s="14" t="s">
        <v>2563</v>
      </c>
    </row>
    <row r="1118">
      <c r="A1118" s="8" t="s">
        <v>5048</v>
      </c>
      <c r="B1118" s="8" t="s">
        <v>59</v>
      </c>
      <c r="C1118" s="14" t="s">
        <v>1070</v>
      </c>
      <c r="D1118" s="8" t="s">
        <v>2183</v>
      </c>
      <c r="E1118" s="14" t="s">
        <v>2591</v>
      </c>
    </row>
    <row r="1119">
      <c r="A1119" s="8" t="s">
        <v>5049</v>
      </c>
      <c r="B1119" s="8" t="s">
        <v>75</v>
      </c>
      <c r="C1119" s="14" t="s">
        <v>1679</v>
      </c>
      <c r="D1119" s="8" t="s">
        <v>2593</v>
      </c>
      <c r="E1119" s="14" t="s">
        <v>2618</v>
      </c>
    </row>
    <row r="1120">
      <c r="A1120" s="8" t="s">
        <v>5050</v>
      </c>
      <c r="B1120" s="8" t="s">
        <v>215</v>
      </c>
      <c r="C1120" s="14" t="s">
        <v>1352</v>
      </c>
      <c r="D1120" s="8" t="s">
        <v>2592</v>
      </c>
      <c r="E1120" s="14" t="s">
        <v>2568</v>
      </c>
    </row>
    <row r="1121">
      <c r="A1121" s="8" t="s">
        <v>5051</v>
      </c>
      <c r="B1121" s="8" t="s">
        <v>93</v>
      </c>
      <c r="C1121" s="14" t="s">
        <v>1070</v>
      </c>
      <c r="D1121" s="8" t="s">
        <v>2564</v>
      </c>
      <c r="E1121" s="14" t="s">
        <v>2576</v>
      </c>
    </row>
    <row r="1122">
      <c r="A1122" s="8" t="s">
        <v>5052</v>
      </c>
      <c r="B1122" s="8" t="s">
        <v>46</v>
      </c>
      <c r="C1122" s="14" t="s">
        <v>631</v>
      </c>
      <c r="D1122" s="8" t="s">
        <v>2587</v>
      </c>
      <c r="E1122" s="14" t="s">
        <v>2618</v>
      </c>
    </row>
    <row r="1123">
      <c r="A1123" s="8" t="s">
        <v>5053</v>
      </c>
      <c r="B1123" s="8" t="s">
        <v>93</v>
      </c>
      <c r="C1123" s="14" t="s">
        <v>1352</v>
      </c>
      <c r="D1123" s="8" t="s">
        <v>2560</v>
      </c>
      <c r="E1123" s="14" t="s">
        <v>2580</v>
      </c>
    </row>
    <row r="1124">
      <c r="A1124" s="8" t="s">
        <v>5054</v>
      </c>
      <c r="B1124" s="8" t="s">
        <v>70</v>
      </c>
      <c r="C1124" s="14" t="s">
        <v>837</v>
      </c>
      <c r="D1124" s="8" t="s">
        <v>2598</v>
      </c>
      <c r="E1124" s="14" t="s">
        <v>2594</v>
      </c>
    </row>
    <row r="1125">
      <c r="A1125" s="8" t="s">
        <v>5055</v>
      </c>
      <c r="B1125" s="8" t="s">
        <v>70</v>
      </c>
      <c r="C1125" s="14" t="s">
        <v>2033</v>
      </c>
      <c r="D1125" s="8" t="s">
        <v>2621</v>
      </c>
      <c r="E1125" s="14" t="s">
        <v>2609</v>
      </c>
    </row>
    <row r="1126">
      <c r="A1126" s="8" t="s">
        <v>5056</v>
      </c>
      <c r="B1126" s="8" t="s">
        <v>192</v>
      </c>
      <c r="C1126" s="14" t="s">
        <v>2033</v>
      </c>
      <c r="D1126" s="8" t="s">
        <v>2582</v>
      </c>
      <c r="E1126" s="14" t="s">
        <v>2606</v>
      </c>
    </row>
    <row r="1127">
      <c r="A1127" s="8" t="s">
        <v>5057</v>
      </c>
      <c r="B1127" s="8" t="s">
        <v>24</v>
      </c>
      <c r="C1127" s="14" t="s">
        <v>1352</v>
      </c>
      <c r="D1127" s="8" t="s">
        <v>2582</v>
      </c>
      <c r="E1127" s="14" t="s">
        <v>2557</v>
      </c>
    </row>
    <row r="1128">
      <c r="A1128" s="8" t="s">
        <v>5058</v>
      </c>
      <c r="B1128" s="8" t="s">
        <v>75</v>
      </c>
      <c r="C1128" s="14" t="s">
        <v>631</v>
      </c>
      <c r="D1128" s="8" t="s">
        <v>6303</v>
      </c>
      <c r="E1128" s="14" t="s">
        <v>2609</v>
      </c>
    </row>
    <row r="1129">
      <c r="A1129" s="8" t="s">
        <v>5059</v>
      </c>
      <c r="B1129" s="8" t="s">
        <v>70</v>
      </c>
      <c r="C1129" s="14" t="s">
        <v>837</v>
      </c>
      <c r="D1129" s="8" t="s">
        <v>2585</v>
      </c>
      <c r="E1129" s="14" t="s">
        <v>2588</v>
      </c>
    </row>
    <row r="1130">
      <c r="A1130" s="8" t="s">
        <v>5060</v>
      </c>
      <c r="B1130" s="8" t="s">
        <v>186</v>
      </c>
      <c r="C1130" s="14" t="s">
        <v>1679</v>
      </c>
      <c r="D1130" s="8" t="s">
        <v>2574</v>
      </c>
      <c r="E1130" s="14" t="s">
        <v>2583</v>
      </c>
    </row>
    <row r="1131">
      <c r="A1131" s="8" t="s">
        <v>5061</v>
      </c>
      <c r="B1131" s="8" t="s">
        <v>132</v>
      </c>
      <c r="C1131" s="14" t="s">
        <v>1679</v>
      </c>
      <c r="D1131" s="8" t="s">
        <v>2575</v>
      </c>
      <c r="E1131" s="14" t="s">
        <v>2580</v>
      </c>
    </row>
    <row r="1132">
      <c r="A1132" s="8" t="s">
        <v>5062</v>
      </c>
      <c r="B1132" s="8" t="s">
        <v>59</v>
      </c>
      <c r="C1132" s="14" t="s">
        <v>1352</v>
      </c>
      <c r="D1132" s="8" t="s">
        <v>2598</v>
      </c>
      <c r="E1132" s="14" t="s">
        <v>2583</v>
      </c>
    </row>
    <row r="1133">
      <c r="A1133" s="8" t="s">
        <v>5063</v>
      </c>
      <c r="B1133" s="8" t="s">
        <v>65</v>
      </c>
      <c r="C1133" s="14" t="s">
        <v>459</v>
      </c>
      <c r="D1133" s="8" t="s">
        <v>2554</v>
      </c>
      <c r="E1133" s="14" t="s">
        <v>2586</v>
      </c>
    </row>
    <row r="1134">
      <c r="A1134" s="8" t="s">
        <v>5064</v>
      </c>
      <c r="B1134" s="8" t="s">
        <v>93</v>
      </c>
      <c r="C1134" s="14" t="s">
        <v>1679</v>
      </c>
      <c r="D1134" s="8" t="s">
        <v>2562</v>
      </c>
      <c r="E1134" s="14" t="s">
        <v>2576</v>
      </c>
    </row>
    <row r="1135">
      <c r="A1135" s="8" t="s">
        <v>5065</v>
      </c>
      <c r="B1135" s="8" t="s">
        <v>192</v>
      </c>
      <c r="C1135" s="14" t="s">
        <v>1070</v>
      </c>
      <c r="D1135" s="8" t="s">
        <v>2615</v>
      </c>
      <c r="E1135" s="14" t="s">
        <v>2563</v>
      </c>
    </row>
    <row r="1136">
      <c r="A1136" s="8" t="s">
        <v>5066</v>
      </c>
      <c r="B1136" s="8" t="s">
        <v>53</v>
      </c>
      <c r="C1136" s="14" t="s">
        <v>2296</v>
      </c>
      <c r="D1136" s="8" t="s">
        <v>2581</v>
      </c>
      <c r="E1136" s="14" t="s">
        <v>2571</v>
      </c>
    </row>
    <row r="1137">
      <c r="A1137" s="8" t="s">
        <v>5067</v>
      </c>
      <c r="B1137" s="8" t="s">
        <v>24</v>
      </c>
      <c r="C1137" s="14" t="s">
        <v>631</v>
      </c>
      <c r="D1137" s="8" t="s">
        <v>2554</v>
      </c>
      <c r="E1137" s="14" t="s">
        <v>2579</v>
      </c>
    </row>
    <row r="1138">
      <c r="A1138" s="8" t="s">
        <v>5068</v>
      </c>
      <c r="B1138" s="8" t="s">
        <v>215</v>
      </c>
      <c r="C1138" s="14" t="s">
        <v>237</v>
      </c>
      <c r="D1138" s="8" t="s">
        <v>2587</v>
      </c>
      <c r="E1138" s="14" t="s">
        <v>2578</v>
      </c>
    </row>
    <row r="1139">
      <c r="A1139" s="8" t="s">
        <v>5069</v>
      </c>
      <c r="B1139" s="8" t="s">
        <v>122</v>
      </c>
      <c r="C1139" s="14" t="s">
        <v>2296</v>
      </c>
      <c r="D1139" s="8" t="s">
        <v>2572</v>
      </c>
      <c r="E1139" s="14" t="s">
        <v>2553</v>
      </c>
    </row>
    <row r="1140">
      <c r="A1140" s="8" t="s">
        <v>5070</v>
      </c>
      <c r="B1140" s="8" t="s">
        <v>132</v>
      </c>
      <c r="C1140" s="14" t="s">
        <v>837</v>
      </c>
      <c r="D1140" s="8" t="s">
        <v>2581</v>
      </c>
      <c r="E1140" s="14" t="s">
        <v>2563</v>
      </c>
    </row>
    <row r="1141">
      <c r="A1141" s="8" t="s">
        <v>5071</v>
      </c>
      <c r="B1141" s="8" t="s">
        <v>24</v>
      </c>
      <c r="C1141" s="14" t="s">
        <v>1352</v>
      </c>
      <c r="D1141" s="8" t="s">
        <v>2554</v>
      </c>
      <c r="E1141" s="14" t="s">
        <v>2586</v>
      </c>
    </row>
    <row r="1142">
      <c r="A1142" s="8" t="s">
        <v>5072</v>
      </c>
      <c r="B1142" s="8" t="s">
        <v>80</v>
      </c>
      <c r="C1142" s="14" t="s">
        <v>2296</v>
      </c>
      <c r="D1142" s="8" t="s">
        <v>2610</v>
      </c>
      <c r="E1142" s="14" t="s">
        <v>2599</v>
      </c>
    </row>
    <row r="1143">
      <c r="A1143" s="8" t="s">
        <v>5073</v>
      </c>
      <c r="B1143" s="8" t="s">
        <v>122</v>
      </c>
      <c r="C1143" s="14" t="s">
        <v>1352</v>
      </c>
      <c r="D1143" s="8" t="s">
        <v>2567</v>
      </c>
      <c r="E1143" s="14" t="s">
        <v>2555</v>
      </c>
    </row>
    <row r="1144">
      <c r="A1144" s="8" t="s">
        <v>5074</v>
      </c>
      <c r="B1144" s="8" t="s">
        <v>93</v>
      </c>
      <c r="C1144" s="14" t="s">
        <v>631</v>
      </c>
      <c r="D1144" s="8" t="s">
        <v>2585</v>
      </c>
      <c r="E1144" s="14" t="s">
        <v>2601</v>
      </c>
    </row>
    <row r="1145">
      <c r="A1145" s="8" t="s">
        <v>5075</v>
      </c>
      <c r="B1145" s="8" t="s">
        <v>16</v>
      </c>
      <c r="C1145" s="14" t="s">
        <v>837</v>
      </c>
      <c r="D1145" s="8" t="s">
        <v>2585</v>
      </c>
      <c r="E1145" s="14" t="s">
        <v>2586</v>
      </c>
    </row>
    <row r="1146">
      <c r="A1146" s="8" t="s">
        <v>5076</v>
      </c>
      <c r="B1146" s="8" t="s">
        <v>24</v>
      </c>
      <c r="C1146" s="14" t="s">
        <v>189</v>
      </c>
      <c r="D1146" s="8" t="s">
        <v>2558</v>
      </c>
      <c r="E1146" s="14" t="s">
        <v>2578</v>
      </c>
    </row>
    <row r="1147">
      <c r="A1147" s="8" t="s">
        <v>5077</v>
      </c>
      <c r="B1147" s="8" t="s">
        <v>93</v>
      </c>
      <c r="C1147" s="14" t="s">
        <v>1679</v>
      </c>
      <c r="D1147" s="8" t="s">
        <v>2582</v>
      </c>
      <c r="E1147" s="14" t="s">
        <v>2583</v>
      </c>
    </row>
    <row r="1148">
      <c r="A1148" s="8" t="s">
        <v>5078</v>
      </c>
      <c r="B1148" s="8" t="s">
        <v>141</v>
      </c>
      <c r="C1148" s="14" t="s">
        <v>1679</v>
      </c>
      <c r="D1148" s="8" t="s">
        <v>2183</v>
      </c>
      <c r="E1148" s="14" t="s">
        <v>2617</v>
      </c>
    </row>
    <row r="1149">
      <c r="A1149" s="8" t="s">
        <v>5079</v>
      </c>
      <c r="B1149" s="8" t="s">
        <v>93</v>
      </c>
      <c r="C1149" s="14" t="s">
        <v>237</v>
      </c>
      <c r="D1149" s="8" t="s">
        <v>2575</v>
      </c>
      <c r="E1149" s="14" t="s">
        <v>2611</v>
      </c>
    </row>
    <row r="1150">
      <c r="A1150" s="8" t="s">
        <v>5080</v>
      </c>
      <c r="B1150" s="8" t="s">
        <v>38</v>
      </c>
      <c r="C1150" s="14" t="s">
        <v>2296</v>
      </c>
      <c r="D1150" s="8" t="s">
        <v>2558</v>
      </c>
      <c r="E1150" s="14" t="s">
        <v>2553</v>
      </c>
    </row>
    <row r="1151">
      <c r="A1151" s="8" t="s">
        <v>5081</v>
      </c>
      <c r="B1151" s="8" t="s">
        <v>24</v>
      </c>
      <c r="C1151" s="14" t="s">
        <v>837</v>
      </c>
      <c r="D1151" s="8" t="s">
        <v>2600</v>
      </c>
      <c r="E1151" s="14" t="s">
        <v>27</v>
      </c>
    </row>
    <row r="1152">
      <c r="A1152" s="8" t="s">
        <v>5082</v>
      </c>
      <c r="B1152" s="8" t="s">
        <v>75</v>
      </c>
      <c r="C1152" s="14" t="s">
        <v>1070</v>
      </c>
      <c r="D1152" s="8" t="s">
        <v>2554</v>
      </c>
      <c r="E1152" s="14" t="s">
        <v>2618</v>
      </c>
    </row>
    <row r="1153">
      <c r="A1153" s="8" t="s">
        <v>5083</v>
      </c>
      <c r="B1153" s="8" t="s">
        <v>16</v>
      </c>
      <c r="C1153" s="14" t="s">
        <v>108</v>
      </c>
      <c r="D1153" s="8" t="s">
        <v>2620</v>
      </c>
      <c r="E1153" s="14" t="s">
        <v>2553</v>
      </c>
    </row>
    <row r="1154">
      <c r="A1154" s="8" t="s">
        <v>5084</v>
      </c>
      <c r="B1154" s="8" t="s">
        <v>186</v>
      </c>
      <c r="C1154" s="14" t="s">
        <v>2296</v>
      </c>
      <c r="D1154" s="8" t="s">
        <v>2584</v>
      </c>
      <c r="E1154" s="14" t="s">
        <v>2609</v>
      </c>
    </row>
    <row r="1155">
      <c r="A1155" s="8" t="s">
        <v>5085</v>
      </c>
      <c r="B1155" s="8" t="s">
        <v>93</v>
      </c>
      <c r="C1155" s="14" t="s">
        <v>338</v>
      </c>
      <c r="D1155" s="8" t="s">
        <v>2577</v>
      </c>
      <c r="E1155" s="14" t="s">
        <v>2611</v>
      </c>
    </row>
    <row r="1156">
      <c r="A1156" s="8" t="s">
        <v>5086</v>
      </c>
      <c r="B1156" s="8" t="s">
        <v>149</v>
      </c>
      <c r="C1156" s="14" t="s">
        <v>1070</v>
      </c>
      <c r="D1156" s="8" t="s">
        <v>2567</v>
      </c>
      <c r="E1156" s="14" t="s">
        <v>2555</v>
      </c>
    </row>
    <row r="1157">
      <c r="A1157" s="8" t="s">
        <v>5087</v>
      </c>
      <c r="B1157" s="8" t="s">
        <v>215</v>
      </c>
      <c r="C1157" s="14" t="s">
        <v>2296</v>
      </c>
      <c r="D1157" s="8" t="s">
        <v>2614</v>
      </c>
      <c r="E1157" s="14" t="s">
        <v>2583</v>
      </c>
    </row>
    <row r="1158">
      <c r="A1158" s="8" t="s">
        <v>5088</v>
      </c>
      <c r="B1158" s="8" t="s">
        <v>141</v>
      </c>
      <c r="C1158" s="14" t="s">
        <v>459</v>
      </c>
      <c r="D1158" s="8" t="s">
        <v>2614</v>
      </c>
      <c r="E1158" s="14" t="s">
        <v>2557</v>
      </c>
    </row>
    <row r="1159">
      <c r="A1159" s="8" t="s">
        <v>5089</v>
      </c>
      <c r="B1159" s="8" t="s">
        <v>70</v>
      </c>
      <c r="C1159" s="14" t="s">
        <v>2033</v>
      </c>
      <c r="D1159" s="8" t="s">
        <v>2610</v>
      </c>
      <c r="E1159" s="14" t="s">
        <v>2613</v>
      </c>
    </row>
    <row r="1160">
      <c r="A1160" s="8" t="s">
        <v>5090</v>
      </c>
      <c r="B1160" s="8" t="s">
        <v>138</v>
      </c>
      <c r="C1160" s="14" t="s">
        <v>1679</v>
      </c>
      <c r="D1160" s="8" t="s">
        <v>2564</v>
      </c>
      <c r="E1160" s="14" t="s">
        <v>2576</v>
      </c>
    </row>
    <row r="1161">
      <c r="A1161" s="8" t="s">
        <v>5091</v>
      </c>
      <c r="B1161" s="8" t="s">
        <v>186</v>
      </c>
      <c r="C1161" s="14" t="s">
        <v>1352</v>
      </c>
      <c r="D1161" s="8" t="s">
        <v>2615</v>
      </c>
      <c r="E1161" s="14" t="s">
        <v>2608</v>
      </c>
    </row>
    <row r="1162">
      <c r="A1162" s="8" t="s">
        <v>5092</v>
      </c>
      <c r="B1162" s="8" t="s">
        <v>46</v>
      </c>
      <c r="C1162" s="14" t="s">
        <v>83</v>
      </c>
      <c r="D1162" s="8" t="s">
        <v>2585</v>
      </c>
      <c r="E1162" s="14" t="s">
        <v>2561</v>
      </c>
    </row>
    <row r="1163">
      <c r="A1163" s="8" t="s">
        <v>5093</v>
      </c>
      <c r="B1163" s="8" t="s">
        <v>186</v>
      </c>
      <c r="C1163" s="14" t="s">
        <v>631</v>
      </c>
      <c r="D1163" s="8" t="s">
        <v>2614</v>
      </c>
      <c r="E1163" s="14" t="s">
        <v>2622</v>
      </c>
    </row>
    <row r="1164">
      <c r="A1164" s="8" t="s">
        <v>5094</v>
      </c>
      <c r="B1164" s="8" t="s">
        <v>75</v>
      </c>
      <c r="C1164" s="14" t="s">
        <v>1070</v>
      </c>
      <c r="D1164" s="8" t="s">
        <v>2600</v>
      </c>
      <c r="E1164" s="14" t="s">
        <v>2611</v>
      </c>
    </row>
    <row r="1165">
      <c r="A1165" s="8" t="s">
        <v>5095</v>
      </c>
      <c r="B1165" s="8" t="s">
        <v>186</v>
      </c>
      <c r="C1165" s="14" t="s">
        <v>1070</v>
      </c>
      <c r="D1165" s="8" t="s">
        <v>6303</v>
      </c>
      <c r="E1165" s="14" t="s">
        <v>2555</v>
      </c>
    </row>
    <row r="1166">
      <c r="A1166" s="8" t="s">
        <v>5096</v>
      </c>
      <c r="B1166" s="8" t="s">
        <v>16</v>
      </c>
      <c r="C1166" s="14" t="s">
        <v>189</v>
      </c>
      <c r="D1166" s="8" t="s">
        <v>2562</v>
      </c>
      <c r="E1166" s="14" t="s">
        <v>2569</v>
      </c>
    </row>
    <row r="1167">
      <c r="A1167" s="8" t="s">
        <v>5097</v>
      </c>
      <c r="B1167" s="8" t="s">
        <v>93</v>
      </c>
      <c r="C1167" s="14" t="s">
        <v>2459</v>
      </c>
      <c r="D1167" s="8" t="s">
        <v>2600</v>
      </c>
      <c r="E1167" s="14" t="s">
        <v>2591</v>
      </c>
    </row>
    <row r="1168">
      <c r="A1168" s="8" t="s">
        <v>5098</v>
      </c>
      <c r="B1168" s="8" t="s">
        <v>75</v>
      </c>
      <c r="C1168" s="14" t="s">
        <v>837</v>
      </c>
      <c r="D1168" s="8" t="s">
        <v>2615</v>
      </c>
      <c r="E1168" s="14" t="s">
        <v>2604</v>
      </c>
    </row>
    <row r="1169">
      <c r="A1169" s="8" t="s">
        <v>5099</v>
      </c>
      <c r="B1169" s="8" t="s">
        <v>215</v>
      </c>
      <c r="C1169" s="14" t="s">
        <v>1070</v>
      </c>
      <c r="D1169" s="8" t="s">
        <v>2562</v>
      </c>
      <c r="E1169" s="14" t="s">
        <v>2563</v>
      </c>
    </row>
    <row r="1170">
      <c r="A1170" s="8" t="s">
        <v>5100</v>
      </c>
      <c r="B1170" s="8" t="s">
        <v>186</v>
      </c>
      <c r="C1170" s="14" t="s">
        <v>2033</v>
      </c>
      <c r="D1170" s="8" t="s">
        <v>2605</v>
      </c>
      <c r="E1170" s="14" t="s">
        <v>2579</v>
      </c>
    </row>
    <row r="1171">
      <c r="A1171" s="8" t="s">
        <v>5101</v>
      </c>
      <c r="B1171" s="8" t="s">
        <v>138</v>
      </c>
      <c r="C1171" s="14" t="s">
        <v>1679</v>
      </c>
      <c r="D1171" s="8" t="s">
        <v>2572</v>
      </c>
      <c r="E1171" s="14" t="s">
        <v>2613</v>
      </c>
    </row>
    <row r="1172">
      <c r="A1172" s="8" t="s">
        <v>5102</v>
      </c>
      <c r="B1172" s="8" t="s">
        <v>141</v>
      </c>
      <c r="C1172" s="14" t="s">
        <v>1352</v>
      </c>
      <c r="D1172" s="8" t="s">
        <v>2603</v>
      </c>
      <c r="E1172" s="14" t="s">
        <v>2570</v>
      </c>
    </row>
    <row r="1173">
      <c r="A1173" s="8" t="s">
        <v>5103</v>
      </c>
      <c r="B1173" s="8" t="s">
        <v>122</v>
      </c>
      <c r="C1173" s="14" t="s">
        <v>1679</v>
      </c>
      <c r="D1173" s="8" t="s">
        <v>2183</v>
      </c>
      <c r="E1173" s="14" t="s">
        <v>2555</v>
      </c>
    </row>
    <row r="1174">
      <c r="A1174" s="8" t="s">
        <v>5104</v>
      </c>
      <c r="B1174" s="8" t="s">
        <v>122</v>
      </c>
      <c r="C1174" s="14" t="s">
        <v>1070</v>
      </c>
      <c r="D1174" s="8" t="s">
        <v>2581</v>
      </c>
      <c r="E1174" s="14" t="s">
        <v>2576</v>
      </c>
    </row>
    <row r="1175">
      <c r="A1175" s="8" t="s">
        <v>5105</v>
      </c>
      <c r="B1175" s="8" t="s">
        <v>122</v>
      </c>
      <c r="C1175" s="14" t="s">
        <v>1070</v>
      </c>
      <c r="D1175" s="8" t="s">
        <v>2554</v>
      </c>
      <c r="E1175" s="14" t="s">
        <v>2617</v>
      </c>
    </row>
    <row r="1176">
      <c r="A1176" s="8" t="s">
        <v>5106</v>
      </c>
      <c r="B1176" s="8" t="s">
        <v>65</v>
      </c>
      <c r="C1176" s="14" t="s">
        <v>459</v>
      </c>
      <c r="D1176" s="8" t="s">
        <v>2587</v>
      </c>
      <c r="E1176" s="14" t="s">
        <v>2608</v>
      </c>
    </row>
    <row r="1177">
      <c r="A1177" s="8" t="s">
        <v>5107</v>
      </c>
      <c r="B1177" s="8" t="s">
        <v>138</v>
      </c>
      <c r="C1177" s="14" t="s">
        <v>2033</v>
      </c>
      <c r="D1177" s="8" t="s">
        <v>2598</v>
      </c>
      <c r="E1177" s="14" t="s">
        <v>2568</v>
      </c>
    </row>
    <row r="1178">
      <c r="A1178" s="8" t="s">
        <v>5108</v>
      </c>
      <c r="B1178" s="8" t="s">
        <v>24</v>
      </c>
      <c r="C1178" s="14" t="s">
        <v>21</v>
      </c>
      <c r="D1178" s="8" t="s">
        <v>2581</v>
      </c>
      <c r="E1178" s="14" t="s">
        <v>2624</v>
      </c>
    </row>
    <row r="1179">
      <c r="A1179" s="8" t="s">
        <v>5109</v>
      </c>
      <c r="B1179" s="8" t="s">
        <v>93</v>
      </c>
      <c r="C1179" s="14" t="s">
        <v>1679</v>
      </c>
      <c r="D1179" s="8" t="s">
        <v>2605</v>
      </c>
      <c r="E1179" s="14" t="s">
        <v>2570</v>
      </c>
    </row>
    <row r="1180">
      <c r="A1180" s="8" t="s">
        <v>5110</v>
      </c>
      <c r="B1180" s="8" t="s">
        <v>138</v>
      </c>
      <c r="C1180" s="14" t="s">
        <v>2296</v>
      </c>
      <c r="D1180" s="8" t="s">
        <v>2593</v>
      </c>
      <c r="E1180" s="14" t="s">
        <v>2568</v>
      </c>
    </row>
    <row r="1181">
      <c r="A1181" s="8" t="s">
        <v>5111</v>
      </c>
      <c r="B1181" s="8" t="s">
        <v>122</v>
      </c>
      <c r="C1181" s="14" t="s">
        <v>338</v>
      </c>
      <c r="D1181" s="8" t="s">
        <v>2566</v>
      </c>
      <c r="E1181" s="14" t="s">
        <v>2568</v>
      </c>
    </row>
    <row r="1182">
      <c r="A1182" s="8" t="s">
        <v>5112</v>
      </c>
      <c r="B1182" s="8" t="s">
        <v>192</v>
      </c>
      <c r="C1182" s="14" t="s">
        <v>2033</v>
      </c>
      <c r="D1182" s="8" t="s">
        <v>2593</v>
      </c>
      <c r="E1182" s="14" t="s">
        <v>2625</v>
      </c>
    </row>
    <row r="1183">
      <c r="A1183" s="8" t="s">
        <v>5113</v>
      </c>
      <c r="B1183" s="8" t="s">
        <v>70</v>
      </c>
      <c r="C1183" s="14" t="s">
        <v>2296</v>
      </c>
      <c r="D1183" s="8" t="s">
        <v>2593</v>
      </c>
      <c r="E1183" s="14" t="s">
        <v>2563</v>
      </c>
    </row>
    <row r="1184">
      <c r="A1184" s="8" t="s">
        <v>5114</v>
      </c>
      <c r="B1184" s="8" t="s">
        <v>132</v>
      </c>
      <c r="C1184" s="14" t="s">
        <v>1070</v>
      </c>
      <c r="D1184" s="8" t="s">
        <v>2610</v>
      </c>
      <c r="E1184" s="14" t="s">
        <v>2591</v>
      </c>
    </row>
    <row r="1185">
      <c r="A1185" s="8" t="s">
        <v>5115</v>
      </c>
      <c r="B1185" s="8" t="s">
        <v>65</v>
      </c>
      <c r="C1185" s="14" t="s">
        <v>2033</v>
      </c>
      <c r="D1185" s="8" t="s">
        <v>2610</v>
      </c>
      <c r="E1185" s="14" t="s">
        <v>2553</v>
      </c>
    </row>
    <row r="1186">
      <c r="A1186" s="8" t="s">
        <v>5116</v>
      </c>
      <c r="B1186" s="8" t="s">
        <v>138</v>
      </c>
      <c r="C1186" s="14" t="s">
        <v>631</v>
      </c>
      <c r="D1186" s="8" t="s">
        <v>2600</v>
      </c>
      <c r="E1186" s="14" t="s">
        <v>2553</v>
      </c>
    </row>
    <row r="1187">
      <c r="A1187" s="8" t="s">
        <v>5117</v>
      </c>
      <c r="B1187" s="8" t="s">
        <v>65</v>
      </c>
      <c r="C1187" s="14" t="s">
        <v>1352</v>
      </c>
      <c r="D1187" s="8" t="s">
        <v>2603</v>
      </c>
      <c r="E1187" s="14" t="s">
        <v>2579</v>
      </c>
    </row>
    <row r="1188">
      <c r="A1188" s="8" t="s">
        <v>5118</v>
      </c>
      <c r="B1188" s="8" t="s">
        <v>46</v>
      </c>
      <c r="C1188" s="14" t="s">
        <v>631</v>
      </c>
      <c r="D1188" s="8" t="s">
        <v>2598</v>
      </c>
      <c r="E1188" s="14" t="s">
        <v>2609</v>
      </c>
    </row>
    <row r="1189">
      <c r="A1189" s="8" t="s">
        <v>5119</v>
      </c>
      <c r="B1189" s="8" t="s">
        <v>192</v>
      </c>
      <c r="C1189" s="14" t="s">
        <v>2296</v>
      </c>
      <c r="D1189" s="8" t="s">
        <v>6304</v>
      </c>
      <c r="E1189" s="14" t="s">
        <v>2557</v>
      </c>
    </row>
    <row r="1190">
      <c r="A1190" s="8" t="s">
        <v>5120</v>
      </c>
      <c r="B1190" s="8" t="s">
        <v>122</v>
      </c>
      <c r="C1190" s="14" t="s">
        <v>837</v>
      </c>
      <c r="D1190" s="8" t="s">
        <v>6304</v>
      </c>
      <c r="E1190" s="14" t="s">
        <v>2571</v>
      </c>
    </row>
    <row r="1191">
      <c r="A1191" s="8" t="s">
        <v>5121</v>
      </c>
      <c r="B1191" s="8" t="s">
        <v>93</v>
      </c>
      <c r="C1191" s="14" t="s">
        <v>83</v>
      </c>
      <c r="D1191" s="8" t="s">
        <v>2562</v>
      </c>
      <c r="E1191" s="14" t="s">
        <v>2578</v>
      </c>
    </row>
    <row r="1192">
      <c r="A1192" s="8" t="s">
        <v>5122</v>
      </c>
      <c r="B1192" s="8" t="s">
        <v>65</v>
      </c>
      <c r="C1192" s="14" t="s">
        <v>1679</v>
      </c>
      <c r="D1192" s="8" t="s">
        <v>2562</v>
      </c>
      <c r="E1192" s="14" t="s">
        <v>2563</v>
      </c>
    </row>
    <row r="1193">
      <c r="A1193" s="8" t="s">
        <v>5123</v>
      </c>
      <c r="B1193" s="8" t="s">
        <v>38</v>
      </c>
      <c r="C1193" s="14" t="s">
        <v>459</v>
      </c>
      <c r="D1193" s="8" t="s">
        <v>2593</v>
      </c>
      <c r="E1193" s="14" t="s">
        <v>2633</v>
      </c>
    </row>
    <row r="1194">
      <c r="A1194" s="8" t="s">
        <v>5124</v>
      </c>
      <c r="B1194" s="8" t="s">
        <v>65</v>
      </c>
      <c r="C1194" s="14" t="s">
        <v>631</v>
      </c>
      <c r="D1194" s="8" t="s">
        <v>2577</v>
      </c>
      <c r="E1194" s="14" t="s">
        <v>2622</v>
      </c>
    </row>
    <row r="1195">
      <c r="A1195" s="8" t="s">
        <v>5125</v>
      </c>
      <c r="B1195" s="8" t="s">
        <v>24</v>
      </c>
      <c r="C1195" s="14" t="s">
        <v>1679</v>
      </c>
      <c r="D1195" s="8" t="s">
        <v>2593</v>
      </c>
      <c r="E1195" s="14" t="s">
        <v>2579</v>
      </c>
    </row>
    <row r="1196">
      <c r="A1196" s="8" t="s">
        <v>5126</v>
      </c>
      <c r="B1196" s="8" t="s">
        <v>38</v>
      </c>
      <c r="C1196" s="14" t="s">
        <v>1679</v>
      </c>
      <c r="D1196" s="8" t="s">
        <v>6304</v>
      </c>
      <c r="E1196" s="14" t="s">
        <v>2568</v>
      </c>
    </row>
    <row r="1197">
      <c r="A1197" s="8" t="s">
        <v>5127</v>
      </c>
      <c r="B1197" s="8" t="s">
        <v>93</v>
      </c>
      <c r="C1197" s="14" t="s">
        <v>459</v>
      </c>
      <c r="D1197" s="8" t="s">
        <v>2562</v>
      </c>
      <c r="E1197" s="14" t="s">
        <v>2557</v>
      </c>
    </row>
    <row r="1198">
      <c r="A1198" s="8" t="s">
        <v>5128</v>
      </c>
      <c r="B1198" s="8" t="s">
        <v>65</v>
      </c>
      <c r="C1198" s="14" t="s">
        <v>1352</v>
      </c>
      <c r="D1198" s="8" t="s">
        <v>2593</v>
      </c>
      <c r="E1198" s="14" t="s">
        <v>2570</v>
      </c>
    </row>
    <row r="1199">
      <c r="A1199" s="8" t="s">
        <v>5129</v>
      </c>
      <c r="B1199" s="8" t="s">
        <v>122</v>
      </c>
      <c r="C1199" s="14" t="s">
        <v>2033</v>
      </c>
      <c r="D1199" s="8" t="s">
        <v>2582</v>
      </c>
      <c r="E1199" s="14" t="s">
        <v>2612</v>
      </c>
    </row>
    <row r="1200">
      <c r="A1200" s="8" t="s">
        <v>5130</v>
      </c>
      <c r="B1200" s="8" t="s">
        <v>186</v>
      </c>
      <c r="C1200" s="14" t="s">
        <v>631</v>
      </c>
      <c r="D1200" s="8" t="s">
        <v>2582</v>
      </c>
      <c r="E1200" s="14" t="s">
        <v>2591</v>
      </c>
    </row>
    <row r="1201">
      <c r="A1201" s="8" t="s">
        <v>5131</v>
      </c>
      <c r="B1201" s="8" t="s">
        <v>132</v>
      </c>
      <c r="C1201" s="14" t="s">
        <v>837</v>
      </c>
      <c r="D1201" s="8" t="s">
        <v>2587</v>
      </c>
      <c r="E1201" s="14" t="s">
        <v>2594</v>
      </c>
    </row>
    <row r="1202">
      <c r="A1202" s="8" t="s">
        <v>5132</v>
      </c>
      <c r="B1202" s="8" t="s">
        <v>141</v>
      </c>
      <c r="C1202" s="14" t="s">
        <v>631</v>
      </c>
      <c r="D1202" s="8" t="s">
        <v>2566</v>
      </c>
      <c r="E1202" s="14" t="s">
        <v>2563</v>
      </c>
    </row>
    <row r="1203">
      <c r="A1203" s="8" t="s">
        <v>5133</v>
      </c>
      <c r="B1203" s="8" t="s">
        <v>141</v>
      </c>
      <c r="C1203" s="14" t="s">
        <v>1352</v>
      </c>
      <c r="D1203" s="8" t="s">
        <v>2560</v>
      </c>
      <c r="E1203" s="14" t="s">
        <v>2597</v>
      </c>
    </row>
    <row r="1204">
      <c r="A1204" s="8" t="s">
        <v>5134</v>
      </c>
      <c r="B1204" s="8" t="s">
        <v>24</v>
      </c>
      <c r="C1204" s="14" t="s">
        <v>135</v>
      </c>
      <c r="D1204" s="8" t="s">
        <v>2562</v>
      </c>
      <c r="E1204" s="14" t="s">
        <v>2629</v>
      </c>
    </row>
    <row r="1205">
      <c r="A1205" s="8" t="s">
        <v>5135</v>
      </c>
      <c r="B1205" s="8" t="s">
        <v>46</v>
      </c>
      <c r="C1205" s="14" t="s">
        <v>2459</v>
      </c>
      <c r="D1205" s="8" t="s">
        <v>2610</v>
      </c>
      <c r="E1205" s="14" t="s">
        <v>2565</v>
      </c>
    </row>
    <row r="1206">
      <c r="A1206" s="8" t="s">
        <v>5136</v>
      </c>
      <c r="B1206" s="8" t="s">
        <v>215</v>
      </c>
      <c r="C1206" s="14" t="s">
        <v>1679</v>
      </c>
      <c r="D1206" s="8" t="s">
        <v>2582</v>
      </c>
      <c r="E1206" s="14" t="s">
        <v>2588</v>
      </c>
    </row>
    <row r="1207">
      <c r="A1207" s="8" t="s">
        <v>5137</v>
      </c>
      <c r="B1207" s="8" t="s">
        <v>186</v>
      </c>
      <c r="C1207" s="14" t="s">
        <v>837</v>
      </c>
      <c r="D1207" s="8" t="s">
        <v>2566</v>
      </c>
      <c r="E1207" s="14" t="s">
        <v>2609</v>
      </c>
    </row>
    <row r="1208">
      <c r="A1208" s="8" t="s">
        <v>5138</v>
      </c>
      <c r="B1208" s="8" t="s">
        <v>12</v>
      </c>
      <c r="C1208" s="14" t="s">
        <v>1070</v>
      </c>
      <c r="D1208" s="8" t="s">
        <v>2585</v>
      </c>
      <c r="E1208" s="14" t="s">
        <v>2563</v>
      </c>
    </row>
    <row r="1209">
      <c r="A1209" s="8" t="s">
        <v>5139</v>
      </c>
      <c r="B1209" s="8" t="s">
        <v>215</v>
      </c>
      <c r="C1209" s="14" t="s">
        <v>1352</v>
      </c>
      <c r="D1209" s="8" t="s">
        <v>2605</v>
      </c>
      <c r="E1209" s="14" t="s">
        <v>2622</v>
      </c>
    </row>
    <row r="1210">
      <c r="A1210" s="8" t="s">
        <v>5140</v>
      </c>
      <c r="B1210" s="8" t="s">
        <v>93</v>
      </c>
      <c r="C1210" s="14" t="s">
        <v>1352</v>
      </c>
      <c r="D1210" s="8" t="s">
        <v>2600</v>
      </c>
      <c r="E1210" s="14" t="s">
        <v>2571</v>
      </c>
    </row>
    <row r="1211">
      <c r="A1211" s="8" t="s">
        <v>5141</v>
      </c>
      <c r="B1211" s="8" t="s">
        <v>138</v>
      </c>
      <c r="C1211" s="14" t="s">
        <v>2459</v>
      </c>
      <c r="D1211" s="8" t="s">
        <v>2581</v>
      </c>
      <c r="E1211" s="14" t="s">
        <v>2555</v>
      </c>
    </row>
    <row r="1212">
      <c r="A1212" s="8" t="s">
        <v>5142</v>
      </c>
      <c r="B1212" s="8" t="s">
        <v>70</v>
      </c>
      <c r="C1212" s="14" t="s">
        <v>1352</v>
      </c>
      <c r="D1212" s="8" t="s">
        <v>2567</v>
      </c>
      <c r="E1212" s="14" t="s">
        <v>2580</v>
      </c>
    </row>
    <row r="1213">
      <c r="A1213" s="8" t="s">
        <v>5143</v>
      </c>
      <c r="B1213" s="8" t="s">
        <v>215</v>
      </c>
      <c r="C1213" s="14" t="s">
        <v>1352</v>
      </c>
      <c r="D1213" s="8" t="s">
        <v>2581</v>
      </c>
      <c r="E1213" s="14" t="s">
        <v>2579</v>
      </c>
    </row>
    <row r="1214">
      <c r="A1214" s="8" t="s">
        <v>5144</v>
      </c>
      <c r="B1214" s="8" t="s">
        <v>93</v>
      </c>
      <c r="C1214" s="14" t="s">
        <v>1352</v>
      </c>
      <c r="D1214" s="8" t="s">
        <v>2605</v>
      </c>
      <c r="E1214" s="14" t="s">
        <v>2580</v>
      </c>
    </row>
    <row r="1215">
      <c r="A1215" s="8" t="s">
        <v>5145</v>
      </c>
      <c r="B1215" s="8" t="s">
        <v>24</v>
      </c>
      <c r="C1215" s="14" t="s">
        <v>1679</v>
      </c>
      <c r="D1215" s="8" t="s">
        <v>2621</v>
      </c>
      <c r="E1215" s="14" t="s">
        <v>2553</v>
      </c>
    </row>
    <row r="1216">
      <c r="A1216" s="8" t="s">
        <v>5146</v>
      </c>
      <c r="B1216" s="8" t="s">
        <v>141</v>
      </c>
      <c r="C1216" s="14" t="s">
        <v>631</v>
      </c>
      <c r="D1216" s="8" t="s">
        <v>2560</v>
      </c>
      <c r="E1216" s="14" t="s">
        <v>2579</v>
      </c>
    </row>
    <row r="1217">
      <c r="A1217" s="8" t="s">
        <v>5147</v>
      </c>
      <c r="B1217" s="8" t="s">
        <v>24</v>
      </c>
      <c r="C1217" s="14" t="s">
        <v>837</v>
      </c>
      <c r="D1217" s="8" t="s">
        <v>2562</v>
      </c>
      <c r="E1217" s="14" t="s">
        <v>2573</v>
      </c>
    </row>
    <row r="1218">
      <c r="A1218" s="8" t="s">
        <v>5148</v>
      </c>
      <c r="B1218" s="8" t="s">
        <v>38</v>
      </c>
      <c r="C1218" s="14" t="s">
        <v>631</v>
      </c>
      <c r="D1218" s="8" t="s">
        <v>2577</v>
      </c>
      <c r="E1218" s="14" t="s">
        <v>2601</v>
      </c>
    </row>
    <row r="1219">
      <c r="A1219" s="8" t="s">
        <v>5149</v>
      </c>
      <c r="B1219" s="8" t="s">
        <v>53</v>
      </c>
      <c r="C1219" s="14" t="s">
        <v>2033</v>
      </c>
      <c r="D1219" s="8" t="s">
        <v>2582</v>
      </c>
      <c r="E1219" s="14" t="s">
        <v>2576</v>
      </c>
    </row>
    <row r="1220">
      <c r="A1220" s="8" t="s">
        <v>5150</v>
      </c>
      <c r="B1220" s="8" t="s">
        <v>93</v>
      </c>
      <c r="C1220" s="14" t="s">
        <v>2033</v>
      </c>
      <c r="D1220" s="8" t="s">
        <v>2610</v>
      </c>
      <c r="E1220" s="14" t="s">
        <v>2576</v>
      </c>
    </row>
    <row r="1221">
      <c r="A1221" s="8" t="s">
        <v>5151</v>
      </c>
      <c r="B1221" s="8" t="s">
        <v>80</v>
      </c>
      <c r="C1221" s="14" t="s">
        <v>631</v>
      </c>
      <c r="D1221" s="8" t="s">
        <v>2577</v>
      </c>
      <c r="E1221" s="14" t="s">
        <v>2568</v>
      </c>
    </row>
    <row r="1222">
      <c r="A1222" s="8" t="s">
        <v>5152</v>
      </c>
      <c r="B1222" s="8" t="s">
        <v>141</v>
      </c>
      <c r="C1222" s="14" t="s">
        <v>237</v>
      </c>
      <c r="D1222" s="8" t="s">
        <v>6304</v>
      </c>
      <c r="E1222" s="14" t="s">
        <v>2580</v>
      </c>
    </row>
    <row r="1223">
      <c r="A1223" s="8" t="s">
        <v>5153</v>
      </c>
      <c r="B1223" s="8" t="s">
        <v>59</v>
      </c>
      <c r="C1223" s="14" t="s">
        <v>1679</v>
      </c>
      <c r="D1223" s="8" t="s">
        <v>2610</v>
      </c>
      <c r="E1223" s="14" t="s">
        <v>2568</v>
      </c>
    </row>
    <row r="1224">
      <c r="A1224" s="8" t="s">
        <v>5154</v>
      </c>
      <c r="B1224" s="8" t="s">
        <v>24</v>
      </c>
      <c r="C1224" s="14" t="s">
        <v>2033</v>
      </c>
      <c r="D1224" s="8" t="s">
        <v>2610</v>
      </c>
      <c r="E1224" s="14" t="s">
        <v>2579</v>
      </c>
    </row>
    <row r="1225">
      <c r="A1225" s="8" t="s">
        <v>5155</v>
      </c>
      <c r="B1225" s="8" t="s">
        <v>186</v>
      </c>
      <c r="C1225" s="14" t="s">
        <v>837</v>
      </c>
      <c r="D1225" s="8" t="s">
        <v>6303</v>
      </c>
      <c r="E1225" s="14" t="s">
        <v>2607</v>
      </c>
    </row>
    <row r="1226">
      <c r="A1226" s="8" t="s">
        <v>5156</v>
      </c>
      <c r="B1226" s="8" t="s">
        <v>70</v>
      </c>
      <c r="C1226" s="14" t="s">
        <v>1679</v>
      </c>
      <c r="D1226" s="8" t="s">
        <v>2564</v>
      </c>
      <c r="E1226" s="14" t="s">
        <v>2607</v>
      </c>
    </row>
    <row r="1227">
      <c r="A1227" s="8" t="s">
        <v>5157</v>
      </c>
      <c r="B1227" s="8" t="s">
        <v>53</v>
      </c>
      <c r="C1227" s="14" t="s">
        <v>1352</v>
      </c>
      <c r="D1227" s="8" t="s">
        <v>2560</v>
      </c>
      <c r="E1227" s="14" t="s">
        <v>2601</v>
      </c>
    </row>
    <row r="1228">
      <c r="A1228" s="8" t="s">
        <v>5158</v>
      </c>
      <c r="B1228" s="8" t="s">
        <v>65</v>
      </c>
      <c r="C1228" s="14" t="s">
        <v>2296</v>
      </c>
      <c r="D1228" s="8" t="s">
        <v>2575</v>
      </c>
      <c r="E1228" s="14" t="s">
        <v>2563</v>
      </c>
    </row>
    <row r="1229">
      <c r="A1229" s="8" t="s">
        <v>5159</v>
      </c>
      <c r="B1229" s="8" t="s">
        <v>24</v>
      </c>
      <c r="C1229" s="14" t="s">
        <v>1679</v>
      </c>
      <c r="D1229" s="8" t="s">
        <v>2592</v>
      </c>
      <c r="E1229" s="14" t="s">
        <v>2591</v>
      </c>
    </row>
    <row r="1230">
      <c r="A1230" s="8" t="s">
        <v>5160</v>
      </c>
      <c r="B1230" s="8" t="s">
        <v>80</v>
      </c>
      <c r="C1230" s="14" t="s">
        <v>1070</v>
      </c>
      <c r="D1230" s="8" t="s">
        <v>2183</v>
      </c>
      <c r="E1230" s="14" t="s">
        <v>2557</v>
      </c>
    </row>
    <row r="1231">
      <c r="A1231" s="8" t="s">
        <v>5161</v>
      </c>
      <c r="B1231" s="8" t="s">
        <v>46</v>
      </c>
      <c r="C1231" s="14" t="s">
        <v>2296</v>
      </c>
      <c r="D1231" s="8" t="s">
        <v>2564</v>
      </c>
      <c r="E1231" s="14" t="s">
        <v>2580</v>
      </c>
    </row>
    <row r="1232">
      <c r="A1232" s="8" t="s">
        <v>5162</v>
      </c>
      <c r="B1232" s="8" t="s">
        <v>65</v>
      </c>
      <c r="C1232" s="14" t="s">
        <v>837</v>
      </c>
      <c r="D1232" s="8" t="s">
        <v>2585</v>
      </c>
      <c r="E1232" s="14" t="s">
        <v>2601</v>
      </c>
    </row>
    <row r="1233">
      <c r="A1233" s="8" t="s">
        <v>5163</v>
      </c>
      <c r="B1233" s="8" t="s">
        <v>93</v>
      </c>
      <c r="C1233" s="14" t="s">
        <v>2296</v>
      </c>
      <c r="D1233" s="8" t="s">
        <v>2598</v>
      </c>
      <c r="E1233" s="14" t="s">
        <v>2579</v>
      </c>
    </row>
    <row r="1234">
      <c r="A1234" s="8" t="s">
        <v>5164</v>
      </c>
      <c r="B1234" s="8" t="s">
        <v>149</v>
      </c>
      <c r="C1234" s="14" t="s">
        <v>631</v>
      </c>
      <c r="D1234" s="8" t="s">
        <v>2581</v>
      </c>
      <c r="E1234" s="14" t="s">
        <v>2579</v>
      </c>
    </row>
    <row r="1235">
      <c r="A1235" s="8" t="s">
        <v>5165</v>
      </c>
      <c r="B1235" s="8" t="s">
        <v>75</v>
      </c>
      <c r="C1235" s="14" t="s">
        <v>1352</v>
      </c>
      <c r="D1235" s="8" t="s">
        <v>2560</v>
      </c>
      <c r="E1235" s="14" t="s">
        <v>2580</v>
      </c>
    </row>
    <row r="1236">
      <c r="A1236" s="8" t="s">
        <v>5166</v>
      </c>
      <c r="B1236" s="8" t="s">
        <v>122</v>
      </c>
      <c r="C1236" s="14" t="s">
        <v>1070</v>
      </c>
      <c r="D1236" s="8" t="s">
        <v>2587</v>
      </c>
      <c r="E1236" s="14" t="s">
        <v>2579</v>
      </c>
    </row>
    <row r="1237">
      <c r="A1237" s="8" t="s">
        <v>5168</v>
      </c>
      <c r="B1237" s="8" t="s">
        <v>192</v>
      </c>
      <c r="C1237" s="14" t="s">
        <v>631</v>
      </c>
      <c r="D1237" s="8" t="s">
        <v>2587</v>
      </c>
      <c r="E1237" s="14" t="s">
        <v>2607</v>
      </c>
    </row>
    <row r="1238">
      <c r="A1238" s="8" t="s">
        <v>5169</v>
      </c>
      <c r="B1238" s="8" t="s">
        <v>24</v>
      </c>
      <c r="C1238" s="14" t="s">
        <v>459</v>
      </c>
      <c r="D1238" s="8" t="s">
        <v>2582</v>
      </c>
      <c r="E1238" s="14" t="s">
        <v>2613</v>
      </c>
    </row>
    <row r="1239">
      <c r="A1239" s="8" t="s">
        <v>5170</v>
      </c>
      <c r="B1239" s="8" t="s">
        <v>192</v>
      </c>
      <c r="C1239" s="14" t="s">
        <v>1070</v>
      </c>
      <c r="D1239" s="8" t="s">
        <v>6304</v>
      </c>
      <c r="E1239" s="14" t="s">
        <v>2557</v>
      </c>
    </row>
    <row r="1240">
      <c r="A1240" s="8" t="s">
        <v>5171</v>
      </c>
      <c r="B1240" s="8" t="s">
        <v>132</v>
      </c>
      <c r="C1240" s="14" t="s">
        <v>1070</v>
      </c>
      <c r="D1240" s="8" t="s">
        <v>2603</v>
      </c>
      <c r="E1240" s="14" t="s">
        <v>2612</v>
      </c>
    </row>
    <row r="1241">
      <c r="A1241" s="8" t="s">
        <v>5172</v>
      </c>
      <c r="B1241" s="8" t="s">
        <v>70</v>
      </c>
      <c r="C1241" s="14" t="s">
        <v>2033</v>
      </c>
      <c r="D1241" s="8" t="s">
        <v>2574</v>
      </c>
      <c r="E1241" s="14" t="s">
        <v>2583</v>
      </c>
    </row>
    <row r="1242">
      <c r="A1242" s="8" t="s">
        <v>5173</v>
      </c>
      <c r="B1242" s="8" t="s">
        <v>132</v>
      </c>
      <c r="C1242" s="14" t="s">
        <v>1352</v>
      </c>
      <c r="D1242" s="8" t="s">
        <v>2603</v>
      </c>
      <c r="E1242" s="14" t="s">
        <v>2612</v>
      </c>
    </row>
    <row r="1243">
      <c r="A1243" s="8" t="s">
        <v>5174</v>
      </c>
      <c r="B1243" s="8" t="s">
        <v>65</v>
      </c>
      <c r="C1243" s="14" t="s">
        <v>837</v>
      </c>
      <c r="D1243" s="8" t="s">
        <v>2552</v>
      </c>
      <c r="E1243" s="14" t="s">
        <v>2622</v>
      </c>
    </row>
    <row r="1244">
      <c r="A1244" s="8" t="s">
        <v>5175</v>
      </c>
      <c r="B1244" s="8" t="s">
        <v>24</v>
      </c>
      <c r="C1244" s="14" t="s">
        <v>2033</v>
      </c>
      <c r="D1244" s="8" t="s">
        <v>2562</v>
      </c>
      <c r="E1244" s="14" t="s">
        <v>2565</v>
      </c>
    </row>
    <row r="1245">
      <c r="A1245" s="8" t="s">
        <v>5176</v>
      </c>
      <c r="B1245" s="8" t="s">
        <v>192</v>
      </c>
      <c r="C1245" s="14" t="s">
        <v>2296</v>
      </c>
      <c r="D1245" s="8" t="s">
        <v>2592</v>
      </c>
      <c r="E1245" s="14" t="s">
        <v>2579</v>
      </c>
    </row>
    <row r="1246">
      <c r="A1246" s="8" t="s">
        <v>5177</v>
      </c>
      <c r="B1246" s="8" t="s">
        <v>70</v>
      </c>
      <c r="C1246" s="14" t="s">
        <v>1352</v>
      </c>
      <c r="D1246" s="8" t="s">
        <v>2567</v>
      </c>
      <c r="E1246" s="14" t="s">
        <v>2573</v>
      </c>
    </row>
    <row r="1247">
      <c r="A1247" s="8" t="s">
        <v>5178</v>
      </c>
      <c r="B1247" s="8" t="s">
        <v>65</v>
      </c>
      <c r="C1247" s="14" t="s">
        <v>1352</v>
      </c>
      <c r="D1247" s="8" t="s">
        <v>2605</v>
      </c>
      <c r="E1247" s="14" t="s">
        <v>2594</v>
      </c>
    </row>
    <row r="1248">
      <c r="A1248" s="8" t="s">
        <v>5179</v>
      </c>
      <c r="B1248" s="8" t="s">
        <v>138</v>
      </c>
      <c r="C1248" s="14" t="s">
        <v>1679</v>
      </c>
      <c r="D1248" s="8" t="s">
        <v>2610</v>
      </c>
      <c r="E1248" s="14" t="s">
        <v>2602</v>
      </c>
    </row>
    <row r="1249">
      <c r="A1249" s="8" t="s">
        <v>5180</v>
      </c>
      <c r="B1249" s="8" t="s">
        <v>186</v>
      </c>
      <c r="C1249" s="14" t="s">
        <v>1352</v>
      </c>
      <c r="D1249" s="8" t="s">
        <v>2620</v>
      </c>
      <c r="E1249" s="14" t="s">
        <v>2576</v>
      </c>
    </row>
    <row r="1250">
      <c r="A1250" s="8" t="s">
        <v>5181</v>
      </c>
      <c r="B1250" s="8" t="s">
        <v>75</v>
      </c>
      <c r="C1250" s="14" t="s">
        <v>1679</v>
      </c>
      <c r="D1250" s="8" t="s">
        <v>2593</v>
      </c>
      <c r="E1250" s="14" t="s">
        <v>2579</v>
      </c>
    </row>
    <row r="1251">
      <c r="A1251" s="8" t="s">
        <v>5182</v>
      </c>
      <c r="B1251" s="8" t="s">
        <v>186</v>
      </c>
      <c r="C1251" s="14" t="s">
        <v>1679</v>
      </c>
      <c r="D1251" s="8" t="s">
        <v>2620</v>
      </c>
      <c r="E1251" s="14" t="s">
        <v>2573</v>
      </c>
    </row>
    <row r="1252">
      <c r="A1252" s="8" t="s">
        <v>5183</v>
      </c>
      <c r="B1252" s="8" t="s">
        <v>70</v>
      </c>
      <c r="C1252" s="14" t="s">
        <v>2296</v>
      </c>
      <c r="D1252" s="8" t="s">
        <v>2564</v>
      </c>
      <c r="E1252" s="14" t="s">
        <v>2565</v>
      </c>
    </row>
    <row r="1253">
      <c r="A1253" s="8" t="s">
        <v>5184</v>
      </c>
      <c r="B1253" s="8" t="s">
        <v>138</v>
      </c>
      <c r="C1253" s="14" t="s">
        <v>2296</v>
      </c>
      <c r="D1253" s="8" t="s">
        <v>2584</v>
      </c>
      <c r="E1253" s="14" t="s">
        <v>2590</v>
      </c>
    </row>
    <row r="1254">
      <c r="A1254" s="8" t="s">
        <v>5184</v>
      </c>
      <c r="B1254" s="8" t="s">
        <v>16</v>
      </c>
      <c r="C1254" s="14" t="s">
        <v>2033</v>
      </c>
      <c r="D1254" s="8" t="s">
        <v>2587</v>
      </c>
      <c r="E1254" s="14" t="s">
        <v>2553</v>
      </c>
    </row>
    <row r="1255">
      <c r="A1255" s="8" t="s">
        <v>5185</v>
      </c>
      <c r="B1255" s="8" t="s">
        <v>141</v>
      </c>
      <c r="C1255" s="14" t="s">
        <v>631</v>
      </c>
      <c r="D1255" s="8" t="s">
        <v>2567</v>
      </c>
      <c r="E1255" s="14" t="s">
        <v>2612</v>
      </c>
    </row>
    <row r="1256">
      <c r="A1256" s="8" t="s">
        <v>5186</v>
      </c>
      <c r="B1256" s="8" t="s">
        <v>65</v>
      </c>
      <c r="C1256" s="14" t="s">
        <v>338</v>
      </c>
      <c r="D1256" s="8" t="s">
        <v>2560</v>
      </c>
      <c r="E1256" s="14" t="s">
        <v>2565</v>
      </c>
    </row>
    <row r="1257">
      <c r="A1257" s="8" t="s">
        <v>5187</v>
      </c>
      <c r="B1257" s="8" t="s">
        <v>59</v>
      </c>
      <c r="C1257" s="14" t="s">
        <v>1352</v>
      </c>
      <c r="D1257" s="8" t="s">
        <v>2593</v>
      </c>
      <c r="E1257" s="14" t="s">
        <v>2583</v>
      </c>
    </row>
    <row r="1258">
      <c r="A1258" s="8" t="s">
        <v>5188</v>
      </c>
      <c r="B1258" s="8" t="s">
        <v>65</v>
      </c>
      <c r="C1258" s="14" t="s">
        <v>1070</v>
      </c>
      <c r="D1258" s="8" t="s">
        <v>2582</v>
      </c>
      <c r="E1258" s="14" t="s">
        <v>2590</v>
      </c>
    </row>
    <row r="1259">
      <c r="A1259" s="8" t="s">
        <v>5189</v>
      </c>
      <c r="B1259" s="8" t="s">
        <v>70</v>
      </c>
      <c r="C1259" s="14" t="s">
        <v>1070</v>
      </c>
      <c r="D1259" s="8" t="s">
        <v>2562</v>
      </c>
      <c r="E1259" s="14" t="s">
        <v>2594</v>
      </c>
    </row>
    <row r="1260">
      <c r="A1260" s="8" t="s">
        <v>5190</v>
      </c>
      <c r="B1260" s="8" t="s">
        <v>65</v>
      </c>
      <c r="C1260" s="14" t="s">
        <v>631</v>
      </c>
      <c r="D1260" s="8" t="s">
        <v>2600</v>
      </c>
      <c r="E1260" s="14" t="s">
        <v>2578</v>
      </c>
    </row>
    <row r="1261">
      <c r="A1261" s="8" t="s">
        <v>5191</v>
      </c>
      <c r="B1261" s="8" t="s">
        <v>24</v>
      </c>
      <c r="C1261" s="14" t="s">
        <v>338</v>
      </c>
      <c r="D1261" s="8" t="s">
        <v>2598</v>
      </c>
      <c r="E1261" s="14" t="s">
        <v>2627</v>
      </c>
    </row>
    <row r="1262">
      <c r="A1262" s="8" t="s">
        <v>5192</v>
      </c>
      <c r="B1262" s="8" t="s">
        <v>186</v>
      </c>
      <c r="C1262" s="14" t="s">
        <v>1352</v>
      </c>
      <c r="D1262" s="8" t="s">
        <v>2582</v>
      </c>
      <c r="E1262" s="14" t="s">
        <v>2609</v>
      </c>
    </row>
    <row r="1263">
      <c r="A1263" s="8" t="s">
        <v>5193</v>
      </c>
      <c r="B1263" s="8" t="s">
        <v>93</v>
      </c>
      <c r="C1263" s="14" t="s">
        <v>1070</v>
      </c>
      <c r="D1263" s="8" t="s">
        <v>2564</v>
      </c>
      <c r="E1263" s="14" t="s">
        <v>2563</v>
      </c>
    </row>
    <row r="1264">
      <c r="A1264" s="8" t="s">
        <v>5194</v>
      </c>
      <c r="B1264" s="8" t="s">
        <v>24</v>
      </c>
      <c r="C1264" s="14" t="s">
        <v>459</v>
      </c>
      <c r="D1264" s="8" t="s">
        <v>2595</v>
      </c>
      <c r="E1264" s="14" t="s">
        <v>2586</v>
      </c>
    </row>
    <row r="1265">
      <c r="A1265" s="8" t="s">
        <v>5195</v>
      </c>
      <c r="B1265" s="8" t="s">
        <v>93</v>
      </c>
      <c r="C1265" s="14" t="s">
        <v>2033</v>
      </c>
      <c r="D1265" s="8" t="s">
        <v>2558</v>
      </c>
      <c r="E1265" s="14" t="s">
        <v>2601</v>
      </c>
    </row>
    <row r="1266">
      <c r="A1266" s="8" t="s">
        <v>5196</v>
      </c>
      <c r="B1266" s="8" t="s">
        <v>70</v>
      </c>
      <c r="C1266" s="14" t="s">
        <v>2459</v>
      </c>
      <c r="D1266" s="8" t="s">
        <v>6304</v>
      </c>
      <c r="E1266" s="14" t="s">
        <v>2553</v>
      </c>
    </row>
    <row r="1267">
      <c r="A1267" s="8" t="s">
        <v>5197</v>
      </c>
      <c r="B1267" s="8" t="s">
        <v>80</v>
      </c>
      <c r="C1267" s="14" t="s">
        <v>1679</v>
      </c>
      <c r="D1267" s="8" t="s">
        <v>2558</v>
      </c>
      <c r="E1267" s="14" t="s">
        <v>2573</v>
      </c>
    </row>
    <row r="1268">
      <c r="A1268" s="8" t="s">
        <v>5198</v>
      </c>
      <c r="B1268" s="8" t="s">
        <v>132</v>
      </c>
      <c r="C1268" s="14" t="s">
        <v>459</v>
      </c>
      <c r="D1268" s="8" t="s">
        <v>2552</v>
      </c>
      <c r="E1268" s="14" t="s">
        <v>2565</v>
      </c>
    </row>
    <row r="1269">
      <c r="A1269" s="8" t="s">
        <v>5199</v>
      </c>
      <c r="B1269" s="8" t="s">
        <v>12</v>
      </c>
      <c r="C1269" s="14" t="s">
        <v>631</v>
      </c>
      <c r="D1269" s="8" t="s">
        <v>2584</v>
      </c>
      <c r="E1269" s="14" t="s">
        <v>2608</v>
      </c>
    </row>
    <row r="1270">
      <c r="A1270" s="8" t="s">
        <v>5200</v>
      </c>
      <c r="B1270" s="8" t="s">
        <v>65</v>
      </c>
      <c r="C1270" s="14" t="s">
        <v>2033</v>
      </c>
      <c r="D1270" s="8" t="s">
        <v>2610</v>
      </c>
      <c r="E1270" s="14" t="s">
        <v>2568</v>
      </c>
    </row>
    <row r="1271">
      <c r="A1271" s="8" t="s">
        <v>5201</v>
      </c>
      <c r="B1271" s="8" t="s">
        <v>138</v>
      </c>
      <c r="C1271" s="14" t="s">
        <v>631</v>
      </c>
      <c r="D1271" s="8" t="s">
        <v>6304</v>
      </c>
      <c r="E1271" s="14" t="s">
        <v>2573</v>
      </c>
    </row>
    <row r="1272">
      <c r="A1272" s="8" t="s">
        <v>5202</v>
      </c>
      <c r="B1272" s="8" t="s">
        <v>93</v>
      </c>
      <c r="C1272" s="14" t="s">
        <v>237</v>
      </c>
      <c r="D1272" s="8" t="s">
        <v>2582</v>
      </c>
      <c r="E1272" s="14" t="s">
        <v>2599</v>
      </c>
    </row>
    <row r="1273">
      <c r="A1273" s="8" t="s">
        <v>5204</v>
      </c>
      <c r="B1273" s="8" t="s">
        <v>24</v>
      </c>
      <c r="C1273" s="14" t="s">
        <v>2296</v>
      </c>
      <c r="D1273" s="8" t="s">
        <v>2584</v>
      </c>
      <c r="E1273" s="14" t="s">
        <v>2573</v>
      </c>
    </row>
    <row r="1274">
      <c r="A1274" s="8" t="s">
        <v>5206</v>
      </c>
      <c r="B1274" s="8" t="s">
        <v>65</v>
      </c>
      <c r="C1274" s="14" t="s">
        <v>1679</v>
      </c>
      <c r="D1274" s="8" t="s">
        <v>2593</v>
      </c>
      <c r="E1274" s="14" t="s">
        <v>2601</v>
      </c>
    </row>
    <row r="1275">
      <c r="A1275" s="8" t="s">
        <v>5207</v>
      </c>
      <c r="B1275" s="8" t="s">
        <v>16</v>
      </c>
      <c r="C1275" s="14" t="s">
        <v>2296</v>
      </c>
      <c r="D1275" s="8" t="s">
        <v>2581</v>
      </c>
      <c r="E1275" s="14" t="s">
        <v>2591</v>
      </c>
    </row>
    <row r="1276">
      <c r="A1276" s="8" t="s">
        <v>5208</v>
      </c>
      <c r="B1276" s="8" t="s">
        <v>80</v>
      </c>
      <c r="C1276" s="14" t="s">
        <v>837</v>
      </c>
      <c r="D1276" s="8" t="s">
        <v>6303</v>
      </c>
      <c r="E1276" s="14" t="s">
        <v>2579</v>
      </c>
    </row>
    <row r="1277">
      <c r="A1277" s="8" t="s">
        <v>5209</v>
      </c>
      <c r="B1277" s="8" t="s">
        <v>215</v>
      </c>
      <c r="C1277" s="14" t="s">
        <v>2296</v>
      </c>
      <c r="D1277" s="8" t="s">
        <v>2564</v>
      </c>
      <c r="E1277" s="14" t="s">
        <v>2591</v>
      </c>
    </row>
    <row r="1278">
      <c r="A1278" s="8" t="s">
        <v>5210</v>
      </c>
      <c r="B1278" s="8" t="s">
        <v>122</v>
      </c>
      <c r="C1278" s="14" t="s">
        <v>1352</v>
      </c>
      <c r="D1278" s="8" t="s">
        <v>2610</v>
      </c>
      <c r="E1278" s="14" t="s">
        <v>2594</v>
      </c>
    </row>
    <row r="1279">
      <c r="A1279" s="8" t="s">
        <v>5211</v>
      </c>
      <c r="B1279" s="8" t="s">
        <v>46</v>
      </c>
      <c r="C1279" s="14" t="s">
        <v>631</v>
      </c>
      <c r="D1279" s="8" t="s">
        <v>2584</v>
      </c>
      <c r="E1279" s="14" t="s">
        <v>2579</v>
      </c>
    </row>
    <row r="1280">
      <c r="A1280" s="8" t="s">
        <v>5212</v>
      </c>
      <c r="B1280" s="8" t="s">
        <v>16</v>
      </c>
      <c r="C1280" s="14" t="s">
        <v>1070</v>
      </c>
      <c r="D1280" s="8" t="s">
        <v>2582</v>
      </c>
      <c r="E1280" s="14" t="s">
        <v>2631</v>
      </c>
    </row>
    <row r="1281">
      <c r="A1281" s="8" t="s">
        <v>5213</v>
      </c>
      <c r="B1281" s="8" t="s">
        <v>186</v>
      </c>
      <c r="C1281" s="14" t="s">
        <v>2033</v>
      </c>
      <c r="D1281" s="8" t="s">
        <v>2605</v>
      </c>
      <c r="E1281" s="14" t="s">
        <v>2618</v>
      </c>
    </row>
    <row r="1282">
      <c r="A1282" s="8" t="s">
        <v>5214</v>
      </c>
      <c r="B1282" s="8" t="s">
        <v>16</v>
      </c>
      <c r="C1282" s="14" t="s">
        <v>1679</v>
      </c>
      <c r="D1282" s="8" t="s">
        <v>2577</v>
      </c>
      <c r="E1282" s="14" t="s">
        <v>2555</v>
      </c>
    </row>
    <row r="1283">
      <c r="A1283" s="8" t="s">
        <v>5215</v>
      </c>
      <c r="B1283" s="8" t="s">
        <v>132</v>
      </c>
      <c r="C1283" s="14" t="s">
        <v>1352</v>
      </c>
      <c r="D1283" s="8" t="s">
        <v>2585</v>
      </c>
      <c r="E1283" s="14" t="s">
        <v>2555</v>
      </c>
    </row>
    <row r="1284">
      <c r="A1284" s="8" t="s">
        <v>5216</v>
      </c>
      <c r="B1284" s="8" t="s">
        <v>93</v>
      </c>
      <c r="C1284" s="14" t="s">
        <v>1679</v>
      </c>
      <c r="D1284" s="8" t="s">
        <v>2621</v>
      </c>
      <c r="E1284" s="14" t="s">
        <v>2609</v>
      </c>
    </row>
    <row r="1285">
      <c r="A1285" s="8" t="s">
        <v>5217</v>
      </c>
      <c r="B1285" s="8" t="s">
        <v>149</v>
      </c>
      <c r="C1285" s="14" t="s">
        <v>2033</v>
      </c>
      <c r="D1285" s="8" t="s">
        <v>6303</v>
      </c>
      <c r="E1285" s="14" t="s">
        <v>2618</v>
      </c>
    </row>
    <row r="1286">
      <c r="A1286" s="8" t="s">
        <v>5218</v>
      </c>
      <c r="B1286" s="8" t="s">
        <v>24</v>
      </c>
      <c r="C1286" s="14" t="s">
        <v>1070</v>
      </c>
      <c r="D1286" s="8" t="s">
        <v>2564</v>
      </c>
      <c r="E1286" s="14" t="s">
        <v>2573</v>
      </c>
    </row>
    <row r="1287">
      <c r="A1287" s="8" t="s">
        <v>5219</v>
      </c>
      <c r="B1287" s="8" t="s">
        <v>93</v>
      </c>
      <c r="C1287" s="14" t="s">
        <v>1679</v>
      </c>
      <c r="D1287" s="8" t="s">
        <v>2614</v>
      </c>
      <c r="E1287" s="14" t="s">
        <v>2553</v>
      </c>
    </row>
    <row r="1288">
      <c r="A1288" s="8" t="s">
        <v>5220</v>
      </c>
      <c r="B1288" s="8" t="s">
        <v>80</v>
      </c>
      <c r="C1288" s="14" t="s">
        <v>2033</v>
      </c>
      <c r="D1288" s="8" t="s">
        <v>2183</v>
      </c>
      <c r="E1288" s="14" t="s">
        <v>2557</v>
      </c>
    </row>
    <row r="1289">
      <c r="A1289" s="8" t="s">
        <v>5221</v>
      </c>
      <c r="B1289" s="8" t="s">
        <v>65</v>
      </c>
      <c r="C1289" s="14" t="s">
        <v>2296</v>
      </c>
      <c r="D1289" s="8" t="s">
        <v>2577</v>
      </c>
      <c r="E1289" s="14" t="s">
        <v>2613</v>
      </c>
    </row>
    <row r="1290">
      <c r="A1290" s="8" t="s">
        <v>5222</v>
      </c>
      <c r="B1290" s="8" t="s">
        <v>65</v>
      </c>
      <c r="C1290" s="14" t="s">
        <v>135</v>
      </c>
      <c r="D1290" s="8" t="s">
        <v>2600</v>
      </c>
      <c r="E1290" s="14" t="s">
        <v>2596</v>
      </c>
    </row>
    <row r="1291">
      <c r="A1291" s="8" t="s">
        <v>5223</v>
      </c>
      <c r="B1291" s="8" t="s">
        <v>93</v>
      </c>
      <c r="C1291" s="14" t="s">
        <v>2459</v>
      </c>
      <c r="D1291" s="8" t="s">
        <v>2566</v>
      </c>
      <c r="E1291" s="14" t="s">
        <v>2557</v>
      </c>
    </row>
    <row r="1292">
      <c r="A1292" s="8" t="s">
        <v>5224</v>
      </c>
      <c r="B1292" s="8" t="s">
        <v>186</v>
      </c>
      <c r="C1292" s="14" t="s">
        <v>631</v>
      </c>
      <c r="D1292" s="8" t="s">
        <v>2587</v>
      </c>
      <c r="E1292" s="14" t="s">
        <v>2555</v>
      </c>
    </row>
    <row r="1293">
      <c r="A1293" s="8" t="s">
        <v>5225</v>
      </c>
      <c r="B1293" s="8" t="s">
        <v>46</v>
      </c>
      <c r="C1293" s="14" t="s">
        <v>1679</v>
      </c>
      <c r="D1293" s="8" t="s">
        <v>2562</v>
      </c>
      <c r="E1293" s="14" t="s">
        <v>2576</v>
      </c>
    </row>
    <row r="1294">
      <c r="A1294" s="8" t="s">
        <v>5226</v>
      </c>
      <c r="B1294" s="8" t="s">
        <v>65</v>
      </c>
      <c r="C1294" s="14" t="s">
        <v>338</v>
      </c>
      <c r="D1294" s="8" t="s">
        <v>2598</v>
      </c>
      <c r="E1294" s="14" t="s">
        <v>2632</v>
      </c>
    </row>
    <row r="1295">
      <c r="A1295" s="8" t="s">
        <v>5227</v>
      </c>
      <c r="B1295" s="8" t="s">
        <v>138</v>
      </c>
      <c r="C1295" s="14" t="s">
        <v>1679</v>
      </c>
      <c r="D1295" s="8" t="s">
        <v>2585</v>
      </c>
      <c r="E1295" s="14" t="s">
        <v>2563</v>
      </c>
    </row>
    <row r="1296">
      <c r="A1296" s="8" t="s">
        <v>5228</v>
      </c>
      <c r="B1296" s="8" t="s">
        <v>215</v>
      </c>
      <c r="C1296" s="14" t="s">
        <v>459</v>
      </c>
      <c r="D1296" s="8" t="s">
        <v>2621</v>
      </c>
      <c r="E1296" s="14" t="s">
        <v>2633</v>
      </c>
    </row>
    <row r="1297">
      <c r="A1297" s="8" t="s">
        <v>5229</v>
      </c>
      <c r="B1297" s="8" t="s">
        <v>70</v>
      </c>
      <c r="C1297" s="14" t="s">
        <v>2459</v>
      </c>
      <c r="D1297" s="8" t="s">
        <v>2575</v>
      </c>
      <c r="E1297" s="14" t="s">
        <v>2591</v>
      </c>
    </row>
    <row r="1298">
      <c r="A1298" s="8" t="s">
        <v>5230</v>
      </c>
      <c r="B1298" s="8" t="s">
        <v>65</v>
      </c>
      <c r="C1298" s="14" t="s">
        <v>1679</v>
      </c>
      <c r="D1298" s="8" t="s">
        <v>2572</v>
      </c>
      <c r="E1298" s="14" t="s">
        <v>2609</v>
      </c>
    </row>
    <row r="1299">
      <c r="A1299" s="8" t="s">
        <v>5231</v>
      </c>
      <c r="B1299" s="8" t="s">
        <v>93</v>
      </c>
      <c r="C1299" s="14" t="s">
        <v>459</v>
      </c>
      <c r="D1299" s="8" t="s">
        <v>2575</v>
      </c>
      <c r="E1299" s="14" t="s">
        <v>2568</v>
      </c>
    </row>
    <row r="1300">
      <c r="A1300" s="8" t="s">
        <v>5232</v>
      </c>
      <c r="B1300" s="8" t="s">
        <v>141</v>
      </c>
      <c r="C1300" s="14" t="s">
        <v>631</v>
      </c>
      <c r="D1300" s="8" t="s">
        <v>2603</v>
      </c>
      <c r="E1300" s="14" t="s">
        <v>2571</v>
      </c>
    </row>
    <row r="1301">
      <c r="A1301" s="8" t="s">
        <v>5233</v>
      </c>
      <c r="B1301" s="8" t="s">
        <v>93</v>
      </c>
      <c r="C1301" s="14" t="s">
        <v>1070</v>
      </c>
      <c r="D1301" s="8" t="s">
        <v>2554</v>
      </c>
      <c r="E1301" s="14" t="s">
        <v>2590</v>
      </c>
    </row>
    <row r="1302">
      <c r="A1302" s="8" t="s">
        <v>5234</v>
      </c>
      <c r="B1302" s="8" t="s">
        <v>186</v>
      </c>
      <c r="C1302" s="14" t="s">
        <v>1352</v>
      </c>
      <c r="D1302" s="8" t="s">
        <v>2603</v>
      </c>
      <c r="E1302" s="14" t="s">
        <v>2580</v>
      </c>
    </row>
    <row r="1303">
      <c r="A1303" s="8" t="s">
        <v>5235</v>
      </c>
      <c r="B1303" s="8" t="s">
        <v>70</v>
      </c>
      <c r="C1303" s="14" t="s">
        <v>2033</v>
      </c>
      <c r="D1303" s="8" t="s">
        <v>2593</v>
      </c>
      <c r="E1303" s="14" t="s">
        <v>2568</v>
      </c>
    </row>
    <row r="1304">
      <c r="A1304" s="8" t="s">
        <v>5236</v>
      </c>
      <c r="B1304" s="8" t="s">
        <v>122</v>
      </c>
      <c r="C1304" s="14" t="s">
        <v>631</v>
      </c>
      <c r="D1304" s="8" t="s">
        <v>6304</v>
      </c>
      <c r="E1304" s="14" t="s">
        <v>2565</v>
      </c>
    </row>
    <row r="1305">
      <c r="A1305" s="8" t="s">
        <v>5237</v>
      </c>
      <c r="B1305" s="8" t="s">
        <v>80</v>
      </c>
      <c r="C1305" s="14" t="s">
        <v>1679</v>
      </c>
      <c r="D1305" s="8" t="s">
        <v>2592</v>
      </c>
      <c r="E1305" s="14" t="s">
        <v>2601</v>
      </c>
    </row>
    <row r="1306">
      <c r="A1306" s="8" t="s">
        <v>5238</v>
      </c>
      <c r="B1306" s="8" t="s">
        <v>122</v>
      </c>
      <c r="C1306" s="14" t="s">
        <v>1070</v>
      </c>
      <c r="D1306" s="8" t="s">
        <v>2183</v>
      </c>
      <c r="E1306" s="14" t="s">
        <v>2555</v>
      </c>
    </row>
    <row r="1307">
      <c r="A1307" s="8" t="s">
        <v>5240</v>
      </c>
      <c r="B1307" s="8" t="s">
        <v>93</v>
      </c>
      <c r="C1307" s="14" t="s">
        <v>1352</v>
      </c>
      <c r="D1307" s="8" t="s">
        <v>2595</v>
      </c>
      <c r="E1307" s="14" t="s">
        <v>2579</v>
      </c>
    </row>
    <row r="1308">
      <c r="A1308" s="8" t="s">
        <v>5241</v>
      </c>
      <c r="B1308" s="8" t="s">
        <v>65</v>
      </c>
      <c r="C1308" s="14" t="s">
        <v>837</v>
      </c>
      <c r="D1308" s="8" t="s">
        <v>2598</v>
      </c>
      <c r="E1308" s="14" t="s">
        <v>2602</v>
      </c>
    </row>
    <row r="1309">
      <c r="A1309" s="8" t="s">
        <v>5242</v>
      </c>
      <c r="B1309" s="8" t="s">
        <v>53</v>
      </c>
      <c r="C1309" s="14" t="s">
        <v>2033</v>
      </c>
      <c r="D1309" s="8" t="s">
        <v>2620</v>
      </c>
      <c r="E1309" s="14" t="s">
        <v>2563</v>
      </c>
    </row>
    <row r="1310">
      <c r="A1310" s="8" t="s">
        <v>5243</v>
      </c>
      <c r="B1310" s="8" t="s">
        <v>215</v>
      </c>
      <c r="C1310" s="14" t="s">
        <v>338</v>
      </c>
      <c r="D1310" s="8" t="s">
        <v>2567</v>
      </c>
      <c r="E1310" s="14" t="s">
        <v>2604</v>
      </c>
    </row>
    <row r="1311">
      <c r="A1311" s="8" t="s">
        <v>5244</v>
      </c>
      <c r="B1311" s="8" t="s">
        <v>70</v>
      </c>
      <c r="C1311" s="14" t="s">
        <v>2033</v>
      </c>
      <c r="D1311" s="8" t="s">
        <v>2572</v>
      </c>
      <c r="E1311" s="14" t="s">
        <v>2602</v>
      </c>
    </row>
    <row r="1312">
      <c r="A1312" s="8" t="s">
        <v>5245</v>
      </c>
      <c r="B1312" s="8" t="s">
        <v>122</v>
      </c>
      <c r="C1312" s="14" t="s">
        <v>2033</v>
      </c>
      <c r="D1312" s="8" t="s">
        <v>2572</v>
      </c>
      <c r="E1312" s="14" t="s">
        <v>2563</v>
      </c>
    </row>
    <row r="1313">
      <c r="A1313" s="8" t="s">
        <v>5246</v>
      </c>
      <c r="B1313" s="8" t="s">
        <v>53</v>
      </c>
      <c r="C1313" s="14" t="s">
        <v>1679</v>
      </c>
      <c r="D1313" s="8" t="s">
        <v>2593</v>
      </c>
      <c r="E1313" s="14" t="s">
        <v>2579</v>
      </c>
    </row>
    <row r="1314">
      <c r="A1314" s="8" t="s">
        <v>5247</v>
      </c>
      <c r="B1314" s="8" t="s">
        <v>93</v>
      </c>
      <c r="C1314" s="14" t="s">
        <v>2459</v>
      </c>
      <c r="D1314" s="8" t="s">
        <v>2577</v>
      </c>
      <c r="E1314" s="14" t="s">
        <v>2557</v>
      </c>
    </row>
    <row r="1315">
      <c r="A1315" s="8" t="s">
        <v>5248</v>
      </c>
      <c r="B1315" s="8" t="s">
        <v>53</v>
      </c>
      <c r="C1315" s="14" t="s">
        <v>1070</v>
      </c>
      <c r="D1315" s="8" t="s">
        <v>2614</v>
      </c>
      <c r="E1315" s="14" t="s">
        <v>2557</v>
      </c>
    </row>
    <row r="1316">
      <c r="A1316" s="8" t="s">
        <v>5249</v>
      </c>
      <c r="B1316" s="8" t="s">
        <v>132</v>
      </c>
      <c r="C1316" s="14" t="s">
        <v>837</v>
      </c>
      <c r="D1316" s="8" t="s">
        <v>2558</v>
      </c>
      <c r="E1316" s="14" t="s">
        <v>2594</v>
      </c>
    </row>
    <row r="1317">
      <c r="A1317" s="8" t="s">
        <v>5250</v>
      </c>
      <c r="B1317" s="8" t="s">
        <v>132</v>
      </c>
      <c r="C1317" s="14" t="s">
        <v>459</v>
      </c>
      <c r="D1317" s="8" t="s">
        <v>6303</v>
      </c>
      <c r="E1317" s="14" t="s">
        <v>2602</v>
      </c>
    </row>
    <row r="1318">
      <c r="A1318" s="8" t="s">
        <v>5251</v>
      </c>
      <c r="B1318" s="8" t="s">
        <v>80</v>
      </c>
      <c r="C1318" s="14" t="s">
        <v>2296</v>
      </c>
      <c r="D1318" s="8" t="s">
        <v>2562</v>
      </c>
      <c r="E1318" s="14" t="s">
        <v>2611</v>
      </c>
    </row>
    <row r="1319">
      <c r="A1319" s="8" t="s">
        <v>5252</v>
      </c>
      <c r="B1319" s="8" t="s">
        <v>46</v>
      </c>
      <c r="C1319" s="14" t="s">
        <v>1352</v>
      </c>
      <c r="D1319" s="8" t="s">
        <v>2183</v>
      </c>
      <c r="E1319" s="14" t="s">
        <v>2612</v>
      </c>
    </row>
    <row r="1320">
      <c r="A1320" s="8" t="s">
        <v>5253</v>
      </c>
      <c r="B1320" s="8" t="s">
        <v>80</v>
      </c>
      <c r="C1320" s="14" t="s">
        <v>1352</v>
      </c>
      <c r="D1320" s="8" t="s">
        <v>2620</v>
      </c>
      <c r="E1320" s="14" t="s">
        <v>2607</v>
      </c>
    </row>
    <row r="1321">
      <c r="A1321" s="8" t="s">
        <v>5254</v>
      </c>
      <c r="B1321" s="8" t="s">
        <v>46</v>
      </c>
      <c r="C1321" s="14" t="s">
        <v>2296</v>
      </c>
      <c r="D1321" s="8" t="s">
        <v>2585</v>
      </c>
      <c r="E1321" s="14" t="s">
        <v>2612</v>
      </c>
    </row>
    <row r="1322">
      <c r="A1322" s="8" t="s">
        <v>5255</v>
      </c>
      <c r="B1322" s="8" t="s">
        <v>12</v>
      </c>
      <c r="C1322" s="14" t="s">
        <v>459</v>
      </c>
      <c r="D1322" s="8" t="s">
        <v>2575</v>
      </c>
      <c r="E1322" s="14" t="s">
        <v>2604</v>
      </c>
    </row>
    <row r="1323">
      <c r="A1323" s="8" t="s">
        <v>5256</v>
      </c>
      <c r="B1323" s="8" t="s">
        <v>65</v>
      </c>
      <c r="C1323" s="14" t="s">
        <v>1679</v>
      </c>
      <c r="D1323" s="8" t="s">
        <v>2592</v>
      </c>
      <c r="E1323" s="14" t="s">
        <v>2622</v>
      </c>
    </row>
    <row r="1324">
      <c r="A1324" s="8" t="s">
        <v>5257</v>
      </c>
      <c r="B1324" s="8" t="s">
        <v>122</v>
      </c>
      <c r="C1324" s="14" t="s">
        <v>1070</v>
      </c>
      <c r="D1324" s="8" t="s">
        <v>2598</v>
      </c>
      <c r="E1324" s="14" t="s">
        <v>2563</v>
      </c>
    </row>
    <row r="1325">
      <c r="A1325" s="8" t="s">
        <v>5258</v>
      </c>
      <c r="B1325" s="8" t="s">
        <v>93</v>
      </c>
      <c r="C1325" s="14" t="s">
        <v>1070</v>
      </c>
      <c r="D1325" s="8" t="s">
        <v>2615</v>
      </c>
      <c r="E1325" s="14" t="s">
        <v>2594</v>
      </c>
    </row>
    <row r="1326">
      <c r="A1326" s="8" t="s">
        <v>5259</v>
      </c>
      <c r="B1326" s="8" t="s">
        <v>65</v>
      </c>
      <c r="C1326" s="14" t="s">
        <v>2296</v>
      </c>
      <c r="D1326" s="8" t="s">
        <v>2620</v>
      </c>
      <c r="E1326" s="14" t="s">
        <v>2579</v>
      </c>
    </row>
    <row r="1327">
      <c r="A1327" s="8" t="s">
        <v>6381</v>
      </c>
      <c r="B1327" s="8" t="s">
        <v>65</v>
      </c>
      <c r="C1327" s="14" t="s">
        <v>1070</v>
      </c>
      <c r="D1327" s="8" t="s">
        <v>2592</v>
      </c>
      <c r="E1327" s="14" t="s">
        <v>2594</v>
      </c>
    </row>
    <row r="1328">
      <c r="A1328" s="8" t="s">
        <v>6382</v>
      </c>
      <c r="B1328" s="8" t="s">
        <v>59</v>
      </c>
      <c r="C1328" s="14" t="s">
        <v>338</v>
      </c>
      <c r="D1328" s="8" t="s">
        <v>2603</v>
      </c>
      <c r="E1328" s="14" t="s">
        <v>2599</v>
      </c>
    </row>
    <row r="1329">
      <c r="A1329" s="8" t="s">
        <v>5262</v>
      </c>
      <c r="B1329" s="8" t="s">
        <v>93</v>
      </c>
      <c r="C1329" s="14" t="s">
        <v>631</v>
      </c>
      <c r="D1329" s="8" t="s">
        <v>2585</v>
      </c>
      <c r="E1329" s="14" t="s">
        <v>2602</v>
      </c>
    </row>
    <row r="1330">
      <c r="A1330" s="8" t="s">
        <v>5263</v>
      </c>
      <c r="B1330" s="8" t="s">
        <v>93</v>
      </c>
      <c r="C1330" s="14" t="s">
        <v>1679</v>
      </c>
      <c r="D1330" s="8" t="s">
        <v>2558</v>
      </c>
      <c r="E1330" s="14" t="s">
        <v>2563</v>
      </c>
    </row>
    <row r="1331">
      <c r="A1331" s="8" t="s">
        <v>5264</v>
      </c>
      <c r="B1331" s="8" t="s">
        <v>12</v>
      </c>
      <c r="C1331" s="14" t="s">
        <v>1352</v>
      </c>
      <c r="D1331" s="8" t="s">
        <v>2562</v>
      </c>
      <c r="E1331" s="14" t="s">
        <v>2553</v>
      </c>
    </row>
    <row r="1332">
      <c r="A1332" s="8" t="s">
        <v>5265</v>
      </c>
      <c r="B1332" s="8" t="s">
        <v>38</v>
      </c>
      <c r="C1332" s="14" t="s">
        <v>1352</v>
      </c>
      <c r="D1332" s="8" t="s">
        <v>2575</v>
      </c>
      <c r="E1332" s="14" t="s">
        <v>2555</v>
      </c>
    </row>
    <row r="1333">
      <c r="A1333" s="8" t="s">
        <v>5266</v>
      </c>
      <c r="B1333" s="8" t="s">
        <v>59</v>
      </c>
      <c r="C1333" s="14" t="s">
        <v>1679</v>
      </c>
      <c r="D1333" s="8" t="s">
        <v>2595</v>
      </c>
      <c r="E1333" s="14" t="s">
        <v>2576</v>
      </c>
    </row>
    <row r="1334">
      <c r="A1334" s="8" t="s">
        <v>5267</v>
      </c>
      <c r="B1334" s="8" t="s">
        <v>24</v>
      </c>
      <c r="C1334" s="14" t="s">
        <v>2296</v>
      </c>
      <c r="D1334" s="8" t="s">
        <v>2585</v>
      </c>
      <c r="E1334" s="14" t="s">
        <v>2579</v>
      </c>
    </row>
    <row r="1335">
      <c r="A1335" s="8" t="s">
        <v>5268</v>
      </c>
      <c r="B1335" s="8" t="s">
        <v>24</v>
      </c>
      <c r="C1335" s="14" t="s">
        <v>2296</v>
      </c>
      <c r="D1335" s="8" t="s">
        <v>2562</v>
      </c>
      <c r="E1335" s="14" t="s">
        <v>2591</v>
      </c>
    </row>
    <row r="1336">
      <c r="A1336" s="8" t="s">
        <v>5269</v>
      </c>
      <c r="B1336" s="8" t="s">
        <v>75</v>
      </c>
      <c r="C1336" s="14" t="s">
        <v>2296</v>
      </c>
      <c r="D1336" s="8" t="s">
        <v>2183</v>
      </c>
      <c r="E1336" s="14" t="s">
        <v>2627</v>
      </c>
    </row>
    <row r="1337">
      <c r="A1337" s="8" t="s">
        <v>5270</v>
      </c>
      <c r="B1337" s="8" t="s">
        <v>80</v>
      </c>
      <c r="C1337" s="14" t="s">
        <v>1679</v>
      </c>
      <c r="D1337" s="8" t="s">
        <v>2574</v>
      </c>
      <c r="E1337" s="14" t="s">
        <v>2579</v>
      </c>
    </row>
    <row r="1338">
      <c r="A1338" s="8" t="s">
        <v>5271</v>
      </c>
      <c r="B1338" s="8" t="s">
        <v>93</v>
      </c>
      <c r="C1338" s="14" t="s">
        <v>1352</v>
      </c>
      <c r="D1338" s="8" t="s">
        <v>2603</v>
      </c>
      <c r="E1338" s="14" t="s">
        <v>2594</v>
      </c>
    </row>
    <row r="1339">
      <c r="A1339" s="8" t="s">
        <v>5272</v>
      </c>
      <c r="B1339" s="8" t="s">
        <v>149</v>
      </c>
      <c r="C1339" s="14" t="s">
        <v>1679</v>
      </c>
      <c r="D1339" s="8" t="s">
        <v>2598</v>
      </c>
      <c r="E1339" s="14" t="s">
        <v>2568</v>
      </c>
    </row>
    <row r="1340">
      <c r="A1340" s="8" t="s">
        <v>5273</v>
      </c>
      <c r="B1340" s="8" t="s">
        <v>70</v>
      </c>
      <c r="C1340" s="14" t="s">
        <v>2033</v>
      </c>
      <c r="D1340" s="8" t="s">
        <v>2581</v>
      </c>
      <c r="E1340" s="14" t="s">
        <v>2591</v>
      </c>
    </row>
    <row r="1341">
      <c r="A1341" s="8" t="s">
        <v>5274</v>
      </c>
      <c r="B1341" s="8" t="s">
        <v>65</v>
      </c>
      <c r="C1341" s="14" t="s">
        <v>1352</v>
      </c>
      <c r="D1341" s="8" t="s">
        <v>2621</v>
      </c>
      <c r="E1341" s="14" t="s">
        <v>2583</v>
      </c>
    </row>
    <row r="1342">
      <c r="A1342" s="8" t="s">
        <v>5275</v>
      </c>
      <c r="B1342" s="8" t="s">
        <v>59</v>
      </c>
      <c r="C1342" s="14" t="s">
        <v>1352</v>
      </c>
      <c r="D1342" s="8" t="s">
        <v>2621</v>
      </c>
      <c r="E1342" s="14" t="s">
        <v>2573</v>
      </c>
    </row>
    <row r="1343">
      <c r="A1343" s="8" t="s">
        <v>5276</v>
      </c>
      <c r="B1343" s="8" t="s">
        <v>24</v>
      </c>
      <c r="C1343" s="14" t="s">
        <v>1070</v>
      </c>
      <c r="D1343" s="8" t="s">
        <v>2577</v>
      </c>
      <c r="E1343" s="14" t="s">
        <v>39</v>
      </c>
    </row>
    <row r="1344">
      <c r="A1344" s="8" t="s">
        <v>5277</v>
      </c>
      <c r="B1344" s="8" t="s">
        <v>192</v>
      </c>
      <c r="C1344" s="14" t="s">
        <v>2033</v>
      </c>
      <c r="D1344" s="8" t="s">
        <v>2577</v>
      </c>
      <c r="E1344" s="14" t="s">
        <v>2580</v>
      </c>
    </row>
    <row r="1345">
      <c r="A1345" s="8" t="s">
        <v>5278</v>
      </c>
      <c r="B1345" s="8" t="s">
        <v>80</v>
      </c>
      <c r="C1345" s="14" t="s">
        <v>2296</v>
      </c>
      <c r="D1345" s="8" t="s">
        <v>2566</v>
      </c>
      <c r="E1345" s="14" t="s">
        <v>2555</v>
      </c>
    </row>
    <row r="1346">
      <c r="A1346" s="8" t="s">
        <v>5279</v>
      </c>
      <c r="B1346" s="8" t="s">
        <v>53</v>
      </c>
      <c r="C1346" s="14" t="s">
        <v>1352</v>
      </c>
      <c r="D1346" s="8" t="s">
        <v>2564</v>
      </c>
      <c r="E1346" s="14" t="s">
        <v>2602</v>
      </c>
    </row>
    <row r="1347">
      <c r="A1347" s="8" t="s">
        <v>5280</v>
      </c>
      <c r="B1347" s="8" t="s">
        <v>70</v>
      </c>
      <c r="C1347" s="14" t="s">
        <v>1070</v>
      </c>
      <c r="D1347" s="8" t="s">
        <v>2558</v>
      </c>
      <c r="E1347" s="14" t="s">
        <v>2563</v>
      </c>
    </row>
    <row r="1348">
      <c r="A1348" s="8" t="s">
        <v>5281</v>
      </c>
      <c r="B1348" s="8" t="s">
        <v>138</v>
      </c>
      <c r="C1348" s="14" t="s">
        <v>459</v>
      </c>
      <c r="D1348" s="8" t="s">
        <v>2585</v>
      </c>
      <c r="E1348" s="14" t="s">
        <v>2579</v>
      </c>
    </row>
    <row r="1349">
      <c r="A1349" s="8" t="s">
        <v>5282</v>
      </c>
      <c r="B1349" s="8" t="s">
        <v>70</v>
      </c>
      <c r="C1349" s="14" t="s">
        <v>1679</v>
      </c>
      <c r="D1349" s="8" t="s">
        <v>2615</v>
      </c>
      <c r="E1349" s="14" t="s">
        <v>2561</v>
      </c>
    </row>
    <row r="1350">
      <c r="A1350" s="8" t="s">
        <v>5283</v>
      </c>
      <c r="B1350" s="8" t="s">
        <v>93</v>
      </c>
      <c r="C1350" s="14" t="s">
        <v>237</v>
      </c>
      <c r="D1350" s="8" t="s">
        <v>2620</v>
      </c>
      <c r="E1350" s="14" t="s">
        <v>2633</v>
      </c>
    </row>
    <row r="1351">
      <c r="A1351" s="8" t="s">
        <v>5284</v>
      </c>
      <c r="B1351" s="8" t="s">
        <v>59</v>
      </c>
      <c r="C1351" s="14" t="s">
        <v>837</v>
      </c>
      <c r="D1351" s="8" t="s">
        <v>2566</v>
      </c>
      <c r="E1351" s="14" t="s">
        <v>2573</v>
      </c>
    </row>
    <row r="1352">
      <c r="A1352" s="8" t="s">
        <v>5285</v>
      </c>
      <c r="B1352" s="8" t="s">
        <v>192</v>
      </c>
      <c r="C1352" s="14" t="s">
        <v>1352</v>
      </c>
      <c r="D1352" s="8" t="s">
        <v>6304</v>
      </c>
      <c r="E1352" s="14" t="s">
        <v>2586</v>
      </c>
    </row>
    <row r="1353">
      <c r="A1353" s="8" t="s">
        <v>5286</v>
      </c>
      <c r="B1353" s="8" t="s">
        <v>38</v>
      </c>
      <c r="C1353" s="14" t="s">
        <v>837</v>
      </c>
      <c r="D1353" s="8" t="s">
        <v>2614</v>
      </c>
      <c r="E1353" s="14" t="s">
        <v>2555</v>
      </c>
    </row>
    <row r="1354">
      <c r="A1354" s="8" t="s">
        <v>5287</v>
      </c>
      <c r="B1354" s="8" t="s">
        <v>192</v>
      </c>
      <c r="C1354" s="14" t="s">
        <v>1352</v>
      </c>
      <c r="D1354" s="8" t="s">
        <v>2614</v>
      </c>
      <c r="E1354" s="14" t="s">
        <v>2557</v>
      </c>
    </row>
    <row r="1355">
      <c r="A1355" s="8" t="s">
        <v>5288</v>
      </c>
      <c r="B1355" s="8" t="s">
        <v>138</v>
      </c>
      <c r="C1355" s="14" t="s">
        <v>338</v>
      </c>
      <c r="D1355" s="8" t="s">
        <v>2574</v>
      </c>
      <c r="E1355" s="14" t="s">
        <v>2625</v>
      </c>
    </row>
    <row r="1356">
      <c r="A1356" s="8" t="s">
        <v>5289</v>
      </c>
      <c r="B1356" s="8" t="s">
        <v>75</v>
      </c>
      <c r="C1356" s="14" t="s">
        <v>2033</v>
      </c>
      <c r="D1356" s="8" t="s">
        <v>2584</v>
      </c>
      <c r="E1356" s="14" t="s">
        <v>2617</v>
      </c>
    </row>
    <row r="1357">
      <c r="A1357" s="8" t="s">
        <v>5290</v>
      </c>
      <c r="B1357" s="8" t="s">
        <v>192</v>
      </c>
      <c r="C1357" s="14" t="s">
        <v>1679</v>
      </c>
      <c r="D1357" s="8" t="s">
        <v>2598</v>
      </c>
      <c r="E1357" s="14" t="s">
        <v>2613</v>
      </c>
    </row>
    <row r="1358">
      <c r="A1358" s="8" t="s">
        <v>5291</v>
      </c>
      <c r="B1358" s="8" t="s">
        <v>65</v>
      </c>
      <c r="C1358" s="14" t="s">
        <v>1070</v>
      </c>
      <c r="D1358" s="8" t="s">
        <v>2584</v>
      </c>
      <c r="E1358" s="14" t="s">
        <v>2590</v>
      </c>
    </row>
    <row r="1359">
      <c r="A1359" s="8" t="s">
        <v>5292</v>
      </c>
      <c r="B1359" s="8" t="s">
        <v>65</v>
      </c>
      <c r="C1359" s="14" t="s">
        <v>837</v>
      </c>
      <c r="D1359" s="8" t="s">
        <v>2572</v>
      </c>
      <c r="E1359" s="14" t="s">
        <v>2596</v>
      </c>
    </row>
    <row r="1360">
      <c r="A1360" s="8" t="s">
        <v>5293</v>
      </c>
      <c r="B1360" s="8" t="s">
        <v>65</v>
      </c>
      <c r="C1360" s="14" t="s">
        <v>1679</v>
      </c>
      <c r="D1360" s="8" t="s">
        <v>2603</v>
      </c>
      <c r="E1360" s="14" t="s">
        <v>2618</v>
      </c>
    </row>
    <row r="1361">
      <c r="A1361" s="8" t="s">
        <v>5294</v>
      </c>
      <c r="B1361" s="8" t="s">
        <v>65</v>
      </c>
      <c r="C1361" s="14" t="s">
        <v>2296</v>
      </c>
      <c r="D1361" s="8" t="s">
        <v>6303</v>
      </c>
      <c r="E1361" s="14" t="s">
        <v>2568</v>
      </c>
    </row>
    <row r="1362">
      <c r="A1362" s="8" t="s">
        <v>5295</v>
      </c>
      <c r="B1362" s="8" t="s">
        <v>53</v>
      </c>
      <c r="C1362" s="14" t="s">
        <v>1679</v>
      </c>
      <c r="D1362" s="8" t="s">
        <v>2566</v>
      </c>
      <c r="E1362" s="14" t="s">
        <v>2555</v>
      </c>
    </row>
    <row r="1363">
      <c r="A1363" s="8" t="s">
        <v>5296</v>
      </c>
      <c r="B1363" s="8" t="s">
        <v>93</v>
      </c>
      <c r="C1363" s="14" t="s">
        <v>2033</v>
      </c>
      <c r="D1363" s="8" t="s">
        <v>2600</v>
      </c>
      <c r="E1363" s="14" t="s">
        <v>2622</v>
      </c>
    </row>
    <row r="1364">
      <c r="A1364" s="8" t="s">
        <v>5297</v>
      </c>
      <c r="B1364" s="8" t="s">
        <v>215</v>
      </c>
      <c r="C1364" s="14" t="s">
        <v>1352</v>
      </c>
      <c r="D1364" s="8" t="s">
        <v>2600</v>
      </c>
      <c r="E1364" s="14" t="s">
        <v>2563</v>
      </c>
    </row>
    <row r="1365">
      <c r="A1365" s="8" t="s">
        <v>5298</v>
      </c>
      <c r="B1365" s="8" t="s">
        <v>186</v>
      </c>
      <c r="C1365" s="14" t="s">
        <v>1679</v>
      </c>
      <c r="D1365" s="8" t="s">
        <v>2620</v>
      </c>
      <c r="E1365" s="14" t="s">
        <v>2580</v>
      </c>
    </row>
    <row r="1366">
      <c r="A1366" s="8" t="s">
        <v>5299</v>
      </c>
      <c r="B1366" s="8" t="s">
        <v>65</v>
      </c>
      <c r="C1366" s="14" t="s">
        <v>1679</v>
      </c>
      <c r="D1366" s="8" t="s">
        <v>2595</v>
      </c>
      <c r="E1366" s="14" t="s">
        <v>2557</v>
      </c>
    </row>
    <row r="1367">
      <c r="A1367" s="8" t="s">
        <v>5300</v>
      </c>
      <c r="B1367" s="8" t="s">
        <v>93</v>
      </c>
      <c r="C1367" s="14" t="s">
        <v>631</v>
      </c>
      <c r="D1367" s="8" t="s">
        <v>2183</v>
      </c>
      <c r="E1367" s="14" t="s">
        <v>2579</v>
      </c>
    </row>
    <row r="1368">
      <c r="A1368" s="8" t="s">
        <v>5301</v>
      </c>
      <c r="B1368" s="8" t="s">
        <v>261</v>
      </c>
      <c r="C1368" s="14" t="s">
        <v>837</v>
      </c>
      <c r="D1368" s="8" t="s">
        <v>6304</v>
      </c>
      <c r="E1368" s="14" t="s">
        <v>2576</v>
      </c>
    </row>
    <row r="1369">
      <c r="A1369" s="8" t="s">
        <v>5302</v>
      </c>
      <c r="B1369" s="8" t="s">
        <v>24</v>
      </c>
      <c r="C1369" s="14" t="s">
        <v>1679</v>
      </c>
      <c r="D1369" s="8" t="s">
        <v>2621</v>
      </c>
      <c r="E1369" s="14" t="s">
        <v>2568</v>
      </c>
    </row>
    <row r="1370">
      <c r="A1370" s="8" t="s">
        <v>5303</v>
      </c>
      <c r="B1370" s="8" t="s">
        <v>93</v>
      </c>
      <c r="C1370" s="14" t="s">
        <v>1352</v>
      </c>
      <c r="D1370" s="8" t="s">
        <v>2610</v>
      </c>
      <c r="E1370" s="14" t="s">
        <v>2622</v>
      </c>
    </row>
    <row r="1371">
      <c r="A1371" s="8" t="s">
        <v>5304</v>
      </c>
      <c r="B1371" s="8" t="s">
        <v>65</v>
      </c>
      <c r="C1371" s="14" t="s">
        <v>2296</v>
      </c>
      <c r="D1371" s="8" t="s">
        <v>2562</v>
      </c>
      <c r="E1371" s="14" t="s">
        <v>2602</v>
      </c>
    </row>
    <row r="1372">
      <c r="A1372" s="8" t="s">
        <v>5305</v>
      </c>
      <c r="B1372" s="8" t="s">
        <v>75</v>
      </c>
      <c r="C1372" s="14" t="s">
        <v>338</v>
      </c>
      <c r="D1372" s="8" t="s">
        <v>2560</v>
      </c>
      <c r="E1372" s="14" t="s">
        <v>2588</v>
      </c>
    </row>
    <row r="1373">
      <c r="A1373" s="8" t="s">
        <v>5306</v>
      </c>
      <c r="B1373" s="8" t="s">
        <v>46</v>
      </c>
      <c r="C1373" s="14" t="s">
        <v>338</v>
      </c>
      <c r="D1373" s="8" t="s">
        <v>2560</v>
      </c>
      <c r="E1373" s="14" t="s">
        <v>2553</v>
      </c>
    </row>
    <row r="1374">
      <c r="A1374" s="8" t="s">
        <v>5307</v>
      </c>
      <c r="B1374" s="8" t="s">
        <v>65</v>
      </c>
      <c r="C1374" s="14" t="s">
        <v>2296</v>
      </c>
      <c r="D1374" s="8" t="s">
        <v>2582</v>
      </c>
      <c r="E1374" s="14" t="s">
        <v>2568</v>
      </c>
    </row>
    <row r="1375">
      <c r="A1375" s="8" t="s">
        <v>5308</v>
      </c>
      <c r="B1375" s="8" t="s">
        <v>53</v>
      </c>
      <c r="C1375" s="14" t="s">
        <v>631</v>
      </c>
      <c r="D1375" s="8" t="s">
        <v>2598</v>
      </c>
      <c r="E1375" s="14" t="s">
        <v>2579</v>
      </c>
    </row>
    <row r="1376">
      <c r="A1376" s="8" t="s">
        <v>5309</v>
      </c>
      <c r="B1376" s="8" t="s">
        <v>215</v>
      </c>
      <c r="C1376" s="14" t="s">
        <v>1679</v>
      </c>
      <c r="D1376" s="8" t="s">
        <v>2567</v>
      </c>
      <c r="E1376" s="14" t="s">
        <v>2601</v>
      </c>
    </row>
    <row r="1377">
      <c r="A1377" s="8" t="s">
        <v>5310</v>
      </c>
      <c r="B1377" s="8" t="s">
        <v>93</v>
      </c>
      <c r="C1377" s="14" t="s">
        <v>1070</v>
      </c>
      <c r="D1377" s="8" t="s">
        <v>2595</v>
      </c>
      <c r="E1377" s="14" t="s">
        <v>2601</v>
      </c>
    </row>
    <row r="1378">
      <c r="A1378" s="8" t="s">
        <v>5311</v>
      </c>
      <c r="B1378" s="8" t="s">
        <v>93</v>
      </c>
      <c r="C1378" s="14" t="s">
        <v>2033</v>
      </c>
      <c r="D1378" s="8" t="s">
        <v>2600</v>
      </c>
      <c r="E1378" s="14" t="s">
        <v>2555</v>
      </c>
    </row>
    <row r="1379">
      <c r="A1379" s="8" t="s">
        <v>5312</v>
      </c>
      <c r="B1379" s="8" t="s">
        <v>24</v>
      </c>
      <c r="C1379" s="14" t="s">
        <v>2033</v>
      </c>
      <c r="D1379" s="8" t="s">
        <v>2593</v>
      </c>
      <c r="E1379" s="14" t="s">
        <v>2576</v>
      </c>
    </row>
    <row r="1380">
      <c r="A1380" s="8" t="s">
        <v>5313</v>
      </c>
      <c r="B1380" s="8" t="s">
        <v>59</v>
      </c>
      <c r="C1380" s="14" t="s">
        <v>2033</v>
      </c>
      <c r="D1380" s="8" t="s">
        <v>2558</v>
      </c>
      <c r="E1380" s="14" t="s">
        <v>2594</v>
      </c>
    </row>
    <row r="1381">
      <c r="A1381" s="8" t="s">
        <v>5314</v>
      </c>
      <c r="B1381" s="8" t="s">
        <v>93</v>
      </c>
      <c r="C1381" s="14" t="s">
        <v>1679</v>
      </c>
      <c r="D1381" s="8" t="s">
        <v>2183</v>
      </c>
      <c r="E1381" s="14" t="s">
        <v>2604</v>
      </c>
    </row>
    <row r="1382">
      <c r="A1382" s="8" t="s">
        <v>5315</v>
      </c>
      <c r="B1382" s="8" t="s">
        <v>149</v>
      </c>
      <c r="C1382" s="14" t="s">
        <v>837</v>
      </c>
      <c r="D1382" s="8" t="s">
        <v>2615</v>
      </c>
      <c r="E1382" s="14" t="s">
        <v>2568</v>
      </c>
    </row>
    <row r="1383">
      <c r="A1383" s="8" t="s">
        <v>5316</v>
      </c>
      <c r="B1383" s="8" t="s">
        <v>93</v>
      </c>
      <c r="C1383" s="14" t="s">
        <v>2033</v>
      </c>
      <c r="D1383" s="8" t="s">
        <v>2598</v>
      </c>
      <c r="E1383" s="14" t="s">
        <v>2622</v>
      </c>
    </row>
    <row r="1384">
      <c r="A1384" s="8" t="s">
        <v>5317</v>
      </c>
      <c r="B1384" s="8" t="s">
        <v>186</v>
      </c>
      <c r="C1384" s="14" t="s">
        <v>1679</v>
      </c>
      <c r="D1384" s="8" t="s">
        <v>2592</v>
      </c>
      <c r="E1384" s="14" t="s">
        <v>2573</v>
      </c>
    </row>
    <row r="1385">
      <c r="A1385" s="8" t="s">
        <v>5318</v>
      </c>
      <c r="B1385" s="8" t="s">
        <v>65</v>
      </c>
      <c r="C1385" s="14" t="s">
        <v>1679</v>
      </c>
      <c r="D1385" s="8" t="s">
        <v>2585</v>
      </c>
      <c r="E1385" s="14" t="s">
        <v>2601</v>
      </c>
    </row>
    <row r="1386">
      <c r="A1386" s="8" t="s">
        <v>5319</v>
      </c>
      <c r="B1386" s="8" t="s">
        <v>122</v>
      </c>
      <c r="C1386" s="14" t="s">
        <v>2296</v>
      </c>
      <c r="D1386" s="8" t="s">
        <v>2581</v>
      </c>
      <c r="E1386" s="14" t="s">
        <v>2576</v>
      </c>
    </row>
    <row r="1387">
      <c r="A1387" s="8" t="s">
        <v>5320</v>
      </c>
      <c r="B1387" s="8" t="s">
        <v>70</v>
      </c>
      <c r="C1387" s="14" t="s">
        <v>338</v>
      </c>
      <c r="D1387" s="8" t="s">
        <v>2598</v>
      </c>
      <c r="E1387" s="14" t="s">
        <v>2573</v>
      </c>
    </row>
    <row r="1388">
      <c r="A1388" s="8" t="s">
        <v>5321</v>
      </c>
      <c r="B1388" s="8" t="s">
        <v>70</v>
      </c>
      <c r="C1388" s="14" t="s">
        <v>1352</v>
      </c>
      <c r="D1388" s="8" t="s">
        <v>2575</v>
      </c>
      <c r="E1388" s="14" t="s">
        <v>2571</v>
      </c>
    </row>
    <row r="1389">
      <c r="A1389" s="8" t="s">
        <v>5322</v>
      </c>
      <c r="B1389" s="8" t="s">
        <v>93</v>
      </c>
      <c r="C1389" s="14" t="s">
        <v>837</v>
      </c>
      <c r="D1389" s="8" t="s">
        <v>2621</v>
      </c>
      <c r="E1389" s="14" t="s">
        <v>2618</v>
      </c>
    </row>
    <row r="1390">
      <c r="A1390" s="8" t="s">
        <v>5323</v>
      </c>
      <c r="B1390" s="8" t="s">
        <v>70</v>
      </c>
      <c r="C1390" s="14" t="s">
        <v>1070</v>
      </c>
      <c r="D1390" s="8" t="s">
        <v>2581</v>
      </c>
      <c r="E1390" s="14" t="s">
        <v>2569</v>
      </c>
    </row>
    <row r="1391">
      <c r="A1391" s="8" t="s">
        <v>5324</v>
      </c>
      <c r="B1391" s="8" t="s">
        <v>122</v>
      </c>
      <c r="C1391" s="14" t="s">
        <v>2033</v>
      </c>
      <c r="D1391" s="8" t="s">
        <v>2558</v>
      </c>
      <c r="E1391" s="14" t="s">
        <v>2561</v>
      </c>
    </row>
    <row r="1392">
      <c r="A1392" s="8" t="s">
        <v>5325</v>
      </c>
      <c r="B1392" s="8" t="s">
        <v>65</v>
      </c>
      <c r="C1392" s="14" t="s">
        <v>1352</v>
      </c>
      <c r="D1392" s="8" t="s">
        <v>2554</v>
      </c>
      <c r="E1392" s="14" t="s">
        <v>2578</v>
      </c>
    </row>
    <row r="1393">
      <c r="A1393" s="8" t="s">
        <v>5326</v>
      </c>
      <c r="B1393" s="8" t="s">
        <v>192</v>
      </c>
      <c r="C1393" s="14" t="s">
        <v>837</v>
      </c>
      <c r="D1393" s="8" t="s">
        <v>2566</v>
      </c>
      <c r="E1393" s="14" t="s">
        <v>2580</v>
      </c>
    </row>
    <row r="1394">
      <c r="A1394" s="8" t="s">
        <v>5327</v>
      </c>
      <c r="B1394" s="8" t="s">
        <v>93</v>
      </c>
      <c r="C1394" s="14" t="s">
        <v>1679</v>
      </c>
      <c r="D1394" s="8" t="s">
        <v>2567</v>
      </c>
      <c r="E1394" s="14" t="s">
        <v>2608</v>
      </c>
    </row>
    <row r="1395">
      <c r="A1395" s="8" t="s">
        <v>5328</v>
      </c>
      <c r="B1395" s="8" t="s">
        <v>65</v>
      </c>
      <c r="C1395" s="14" t="s">
        <v>837</v>
      </c>
      <c r="D1395" s="8" t="s">
        <v>2581</v>
      </c>
      <c r="E1395" s="14" t="s">
        <v>2611</v>
      </c>
    </row>
    <row r="1396">
      <c r="A1396" s="8" t="s">
        <v>5329</v>
      </c>
      <c r="B1396" s="8" t="s">
        <v>192</v>
      </c>
      <c r="C1396" s="14" t="s">
        <v>631</v>
      </c>
      <c r="D1396" s="8" t="s">
        <v>2621</v>
      </c>
      <c r="E1396" s="14" t="s">
        <v>2599</v>
      </c>
    </row>
    <row r="1397">
      <c r="A1397" s="8" t="s">
        <v>5330</v>
      </c>
      <c r="B1397" s="8" t="s">
        <v>132</v>
      </c>
      <c r="C1397" s="14" t="s">
        <v>237</v>
      </c>
      <c r="D1397" s="8" t="s">
        <v>2554</v>
      </c>
      <c r="E1397" s="14" t="s">
        <v>2555</v>
      </c>
    </row>
    <row r="1398">
      <c r="A1398" s="8" t="s">
        <v>5331</v>
      </c>
      <c r="B1398" s="8" t="s">
        <v>186</v>
      </c>
      <c r="C1398" s="14" t="s">
        <v>2033</v>
      </c>
      <c r="D1398" s="8" t="s">
        <v>2575</v>
      </c>
      <c r="E1398" s="14" t="s">
        <v>2573</v>
      </c>
    </row>
    <row r="1399">
      <c r="A1399" s="8" t="s">
        <v>5333</v>
      </c>
      <c r="B1399" s="8" t="s">
        <v>46</v>
      </c>
      <c r="C1399" s="14" t="s">
        <v>1679</v>
      </c>
      <c r="D1399" s="8" t="s">
        <v>2610</v>
      </c>
      <c r="E1399" s="14" t="s">
        <v>2606</v>
      </c>
    </row>
    <row r="1400">
      <c r="A1400" s="8" t="s">
        <v>5334</v>
      </c>
      <c r="B1400" s="8" t="s">
        <v>138</v>
      </c>
      <c r="C1400" s="14" t="s">
        <v>2033</v>
      </c>
      <c r="D1400" s="8" t="s">
        <v>2585</v>
      </c>
      <c r="E1400" s="14" t="s">
        <v>2579</v>
      </c>
    </row>
    <row r="1401">
      <c r="A1401" s="8" t="s">
        <v>5335</v>
      </c>
      <c r="B1401" s="8" t="s">
        <v>192</v>
      </c>
      <c r="C1401" s="14" t="s">
        <v>1352</v>
      </c>
      <c r="D1401" s="8" t="s">
        <v>2592</v>
      </c>
      <c r="E1401" s="14" t="s">
        <v>2579</v>
      </c>
    </row>
    <row r="1402">
      <c r="A1402" s="8" t="s">
        <v>5336</v>
      </c>
      <c r="B1402" s="8" t="s">
        <v>186</v>
      </c>
      <c r="C1402" s="14" t="s">
        <v>1070</v>
      </c>
      <c r="D1402" s="8" t="s">
        <v>2552</v>
      </c>
      <c r="E1402" s="14" t="s">
        <v>2579</v>
      </c>
    </row>
    <row r="1403">
      <c r="A1403" s="8" t="s">
        <v>5337</v>
      </c>
      <c r="B1403" s="8" t="s">
        <v>70</v>
      </c>
      <c r="C1403" s="14" t="s">
        <v>1352</v>
      </c>
      <c r="D1403" s="8" t="s">
        <v>2581</v>
      </c>
      <c r="E1403" s="14" t="s">
        <v>2608</v>
      </c>
    </row>
    <row r="1404">
      <c r="A1404" s="8" t="s">
        <v>5338</v>
      </c>
      <c r="B1404" s="8" t="s">
        <v>65</v>
      </c>
      <c r="C1404" s="14" t="s">
        <v>1679</v>
      </c>
      <c r="D1404" s="8" t="s">
        <v>6304</v>
      </c>
      <c r="E1404" s="14" t="s">
        <v>2576</v>
      </c>
    </row>
    <row r="1405">
      <c r="A1405" s="8" t="s">
        <v>5339</v>
      </c>
      <c r="B1405" s="8" t="s">
        <v>70</v>
      </c>
      <c r="C1405" s="14" t="s">
        <v>2296</v>
      </c>
      <c r="D1405" s="8" t="s">
        <v>2605</v>
      </c>
      <c r="E1405" s="14" t="s">
        <v>2555</v>
      </c>
    </row>
    <row r="1406">
      <c r="A1406" s="8" t="s">
        <v>5340</v>
      </c>
      <c r="B1406" s="8" t="s">
        <v>138</v>
      </c>
      <c r="C1406" s="14" t="s">
        <v>631</v>
      </c>
      <c r="D1406" s="8" t="s">
        <v>2614</v>
      </c>
      <c r="E1406" s="14" t="s">
        <v>2591</v>
      </c>
    </row>
    <row r="1407">
      <c r="A1407" s="8" t="s">
        <v>5341</v>
      </c>
      <c r="B1407" s="8" t="s">
        <v>138</v>
      </c>
      <c r="C1407" s="14" t="s">
        <v>631</v>
      </c>
      <c r="D1407" s="8" t="s">
        <v>2610</v>
      </c>
      <c r="E1407" s="14" t="s">
        <v>2557</v>
      </c>
    </row>
    <row r="1408">
      <c r="A1408" s="8" t="s">
        <v>5342</v>
      </c>
      <c r="B1408" s="8" t="s">
        <v>70</v>
      </c>
      <c r="C1408" s="14" t="s">
        <v>2296</v>
      </c>
      <c r="D1408" s="8" t="s">
        <v>2554</v>
      </c>
      <c r="E1408" s="14" t="s">
        <v>2599</v>
      </c>
    </row>
    <row r="1409">
      <c r="A1409" s="8" t="s">
        <v>5343</v>
      </c>
      <c r="B1409" s="8" t="s">
        <v>186</v>
      </c>
      <c r="C1409" s="14" t="s">
        <v>2296</v>
      </c>
      <c r="D1409" s="8" t="s">
        <v>2593</v>
      </c>
      <c r="E1409" s="14" t="s">
        <v>2612</v>
      </c>
    </row>
    <row r="1410">
      <c r="A1410" s="8" t="s">
        <v>5344</v>
      </c>
      <c r="B1410" s="8" t="s">
        <v>80</v>
      </c>
      <c r="C1410" s="14" t="s">
        <v>1070</v>
      </c>
      <c r="D1410" s="8" t="s">
        <v>2621</v>
      </c>
      <c r="E1410" s="14" t="s">
        <v>2596</v>
      </c>
    </row>
    <row r="1411">
      <c r="A1411" s="8" t="s">
        <v>5345</v>
      </c>
      <c r="B1411" s="8" t="s">
        <v>16</v>
      </c>
      <c r="C1411" s="14" t="s">
        <v>1070</v>
      </c>
      <c r="D1411" s="8" t="s">
        <v>2620</v>
      </c>
      <c r="E1411" s="14" t="s">
        <v>2606</v>
      </c>
    </row>
    <row r="1412">
      <c r="A1412" s="8" t="s">
        <v>5346</v>
      </c>
      <c r="B1412" s="8" t="s">
        <v>38</v>
      </c>
      <c r="C1412" s="14" t="s">
        <v>108</v>
      </c>
      <c r="D1412" s="8" t="s">
        <v>2610</v>
      </c>
      <c r="E1412" s="14" t="s">
        <v>2568</v>
      </c>
    </row>
    <row r="1413">
      <c r="A1413" s="8" t="s">
        <v>5347</v>
      </c>
      <c r="B1413" s="8" t="s">
        <v>93</v>
      </c>
      <c r="C1413" s="14" t="s">
        <v>837</v>
      </c>
      <c r="D1413" s="8" t="s">
        <v>2587</v>
      </c>
      <c r="E1413" s="14" t="s">
        <v>2565</v>
      </c>
    </row>
    <row r="1414">
      <c r="A1414" s="8" t="s">
        <v>5348</v>
      </c>
      <c r="B1414" s="8" t="s">
        <v>93</v>
      </c>
      <c r="C1414" s="14" t="s">
        <v>1679</v>
      </c>
      <c r="D1414" s="8" t="s">
        <v>2558</v>
      </c>
      <c r="E1414" s="14" t="s">
        <v>2571</v>
      </c>
    </row>
    <row r="1415">
      <c r="A1415" s="8" t="s">
        <v>5349</v>
      </c>
      <c r="B1415" s="8" t="s">
        <v>24</v>
      </c>
      <c r="C1415" s="14" t="s">
        <v>459</v>
      </c>
      <c r="D1415" s="8" t="s">
        <v>2552</v>
      </c>
      <c r="E1415" s="14" t="s">
        <v>2627</v>
      </c>
    </row>
    <row r="1416">
      <c r="A1416" s="8" t="s">
        <v>5350</v>
      </c>
      <c r="B1416" s="8" t="s">
        <v>149</v>
      </c>
      <c r="C1416" s="14" t="s">
        <v>631</v>
      </c>
      <c r="D1416" s="8" t="s">
        <v>2621</v>
      </c>
      <c r="E1416" s="14" t="s">
        <v>2580</v>
      </c>
    </row>
    <row r="1417">
      <c r="A1417" s="8" t="s">
        <v>5351</v>
      </c>
      <c r="B1417" s="8" t="s">
        <v>93</v>
      </c>
      <c r="C1417" s="14" t="s">
        <v>1352</v>
      </c>
      <c r="D1417" s="8" t="s">
        <v>2593</v>
      </c>
      <c r="E1417" s="14" t="s">
        <v>2594</v>
      </c>
    </row>
    <row r="1418">
      <c r="A1418" s="8" t="s">
        <v>5352</v>
      </c>
      <c r="B1418" s="8" t="s">
        <v>186</v>
      </c>
      <c r="C1418" s="14" t="s">
        <v>837</v>
      </c>
      <c r="D1418" s="8" t="s">
        <v>2605</v>
      </c>
      <c r="E1418" s="14" t="s">
        <v>2557</v>
      </c>
    </row>
    <row r="1419">
      <c r="A1419" s="8" t="s">
        <v>5353</v>
      </c>
      <c r="B1419" s="8" t="s">
        <v>93</v>
      </c>
      <c r="C1419" s="14" t="s">
        <v>2033</v>
      </c>
      <c r="D1419" s="8" t="s">
        <v>2605</v>
      </c>
      <c r="E1419" s="14" t="s">
        <v>2579</v>
      </c>
    </row>
    <row r="1420">
      <c r="A1420" s="8" t="s">
        <v>5354</v>
      </c>
      <c r="B1420" s="8" t="s">
        <v>65</v>
      </c>
      <c r="C1420" s="14" t="s">
        <v>837</v>
      </c>
      <c r="D1420" s="8" t="s">
        <v>6303</v>
      </c>
      <c r="E1420" s="14" t="s">
        <v>2565</v>
      </c>
    </row>
    <row r="1421">
      <c r="A1421" s="8" t="s">
        <v>5355</v>
      </c>
      <c r="B1421" s="8" t="s">
        <v>132</v>
      </c>
      <c r="C1421" s="14" t="s">
        <v>459</v>
      </c>
      <c r="D1421" s="8" t="s">
        <v>2566</v>
      </c>
      <c r="E1421" s="14" t="s">
        <v>2596</v>
      </c>
    </row>
    <row r="1422">
      <c r="A1422" s="8" t="s">
        <v>5356</v>
      </c>
      <c r="B1422" s="8" t="s">
        <v>93</v>
      </c>
      <c r="C1422" s="14" t="s">
        <v>1352</v>
      </c>
      <c r="D1422" s="8" t="s">
        <v>2574</v>
      </c>
      <c r="E1422" s="14" t="s">
        <v>2591</v>
      </c>
    </row>
    <row r="1423">
      <c r="A1423" s="8" t="s">
        <v>5357</v>
      </c>
      <c r="B1423" s="8" t="s">
        <v>65</v>
      </c>
      <c r="C1423" s="14" t="s">
        <v>1679</v>
      </c>
      <c r="D1423" s="8" t="s">
        <v>2593</v>
      </c>
      <c r="E1423" s="14" t="s">
        <v>2579</v>
      </c>
    </row>
    <row r="1424">
      <c r="A1424" s="8" t="s">
        <v>5358</v>
      </c>
      <c r="B1424" s="8" t="s">
        <v>122</v>
      </c>
      <c r="C1424" s="14" t="s">
        <v>2033</v>
      </c>
      <c r="D1424" s="8" t="s">
        <v>2183</v>
      </c>
      <c r="E1424" s="14" t="s">
        <v>2591</v>
      </c>
    </row>
    <row r="1425">
      <c r="A1425" s="8" t="s">
        <v>5359</v>
      </c>
      <c r="B1425" s="8" t="s">
        <v>70</v>
      </c>
      <c r="C1425" s="14" t="s">
        <v>1679</v>
      </c>
      <c r="D1425" s="8" t="s">
        <v>2620</v>
      </c>
      <c r="E1425" s="14" t="s">
        <v>2555</v>
      </c>
    </row>
    <row r="1426">
      <c r="A1426" s="8" t="s">
        <v>5360</v>
      </c>
      <c r="B1426" s="8" t="s">
        <v>53</v>
      </c>
      <c r="C1426" s="14" t="s">
        <v>631</v>
      </c>
      <c r="D1426" s="8" t="s">
        <v>2605</v>
      </c>
      <c r="E1426" s="14" t="s">
        <v>2635</v>
      </c>
    </row>
    <row r="1427">
      <c r="A1427" s="8" t="s">
        <v>5361</v>
      </c>
      <c r="B1427" s="8" t="s">
        <v>80</v>
      </c>
      <c r="C1427" s="14" t="s">
        <v>2033</v>
      </c>
      <c r="D1427" s="8" t="s">
        <v>2567</v>
      </c>
      <c r="E1427" s="14" t="s">
        <v>2563</v>
      </c>
    </row>
    <row r="1428">
      <c r="A1428" s="8" t="s">
        <v>5362</v>
      </c>
      <c r="B1428" s="8" t="s">
        <v>59</v>
      </c>
      <c r="C1428" s="14" t="s">
        <v>459</v>
      </c>
      <c r="D1428" s="8" t="s">
        <v>2581</v>
      </c>
      <c r="E1428" s="14" t="s">
        <v>2602</v>
      </c>
    </row>
    <row r="1429">
      <c r="A1429" s="8" t="s">
        <v>5364</v>
      </c>
      <c r="B1429" s="8" t="s">
        <v>215</v>
      </c>
      <c r="C1429" s="14" t="s">
        <v>2296</v>
      </c>
      <c r="D1429" s="8" t="s">
        <v>2558</v>
      </c>
      <c r="E1429" s="14" t="s">
        <v>2579</v>
      </c>
    </row>
    <row r="1430">
      <c r="A1430" s="8" t="s">
        <v>5366</v>
      </c>
      <c r="B1430" s="8" t="s">
        <v>16</v>
      </c>
      <c r="C1430" s="14" t="s">
        <v>237</v>
      </c>
      <c r="D1430" s="8" t="s">
        <v>2552</v>
      </c>
      <c r="E1430" s="14" t="s">
        <v>2599</v>
      </c>
    </row>
    <row r="1431">
      <c r="A1431" s="8" t="s">
        <v>5367</v>
      </c>
      <c r="B1431" s="8" t="s">
        <v>75</v>
      </c>
      <c r="C1431" s="14" t="s">
        <v>1352</v>
      </c>
      <c r="D1431" s="8" t="s">
        <v>2574</v>
      </c>
      <c r="E1431" s="14" t="s">
        <v>2570</v>
      </c>
    </row>
    <row r="1432">
      <c r="A1432" s="8" t="s">
        <v>5368</v>
      </c>
      <c r="B1432" s="8" t="s">
        <v>46</v>
      </c>
      <c r="C1432" s="14" t="s">
        <v>2033</v>
      </c>
      <c r="D1432" s="8" t="s">
        <v>6304</v>
      </c>
      <c r="E1432" s="14" t="s">
        <v>2573</v>
      </c>
    </row>
    <row r="1433">
      <c r="A1433" s="8" t="s">
        <v>5369</v>
      </c>
      <c r="B1433" s="8" t="s">
        <v>46</v>
      </c>
      <c r="C1433" s="14" t="s">
        <v>1679</v>
      </c>
      <c r="D1433" s="8" t="s">
        <v>6303</v>
      </c>
      <c r="E1433" s="14" t="s">
        <v>2606</v>
      </c>
    </row>
    <row r="1434">
      <c r="A1434" s="8" t="s">
        <v>5370</v>
      </c>
      <c r="B1434" s="8" t="s">
        <v>93</v>
      </c>
      <c r="C1434" s="14" t="s">
        <v>2296</v>
      </c>
      <c r="D1434" s="8" t="s">
        <v>2552</v>
      </c>
      <c r="E1434" s="14" t="s">
        <v>2594</v>
      </c>
    </row>
    <row r="1435">
      <c r="A1435" s="8" t="s">
        <v>5371</v>
      </c>
      <c r="B1435" s="8" t="s">
        <v>16</v>
      </c>
      <c r="C1435" s="14" t="s">
        <v>1679</v>
      </c>
      <c r="D1435" s="8" t="s">
        <v>2598</v>
      </c>
      <c r="E1435" s="14" t="s">
        <v>2624</v>
      </c>
    </row>
    <row r="1436">
      <c r="A1436" s="8" t="s">
        <v>5372</v>
      </c>
      <c r="B1436" s="8" t="s">
        <v>186</v>
      </c>
      <c r="C1436" s="14" t="s">
        <v>1352</v>
      </c>
      <c r="D1436" s="8" t="s">
        <v>2585</v>
      </c>
      <c r="E1436" s="14" t="s">
        <v>2586</v>
      </c>
    </row>
    <row r="1437">
      <c r="A1437" s="8" t="s">
        <v>5373</v>
      </c>
      <c r="B1437" s="8" t="s">
        <v>16</v>
      </c>
      <c r="C1437" s="14" t="s">
        <v>2033</v>
      </c>
      <c r="D1437" s="8" t="s">
        <v>2574</v>
      </c>
      <c r="E1437" s="14" t="s">
        <v>2597</v>
      </c>
    </row>
    <row r="1438">
      <c r="A1438" s="8" t="s">
        <v>5374</v>
      </c>
      <c r="B1438" s="8" t="s">
        <v>93</v>
      </c>
      <c r="C1438" s="14" t="s">
        <v>837</v>
      </c>
      <c r="D1438" s="8" t="s">
        <v>2605</v>
      </c>
      <c r="E1438" s="14" t="s">
        <v>2596</v>
      </c>
    </row>
    <row r="1439">
      <c r="A1439" s="8" t="s">
        <v>5374</v>
      </c>
      <c r="B1439" s="8" t="s">
        <v>132</v>
      </c>
      <c r="C1439" s="14" t="s">
        <v>1352</v>
      </c>
      <c r="D1439" s="8" t="s">
        <v>2581</v>
      </c>
      <c r="E1439" s="14" t="s">
        <v>2606</v>
      </c>
    </row>
    <row r="1440">
      <c r="A1440" s="8" t="s">
        <v>5375</v>
      </c>
      <c r="B1440" s="8" t="s">
        <v>261</v>
      </c>
      <c r="C1440" s="14" t="s">
        <v>631</v>
      </c>
      <c r="D1440" s="8" t="s">
        <v>2585</v>
      </c>
      <c r="E1440" s="14" t="s">
        <v>2625</v>
      </c>
    </row>
    <row r="1441">
      <c r="A1441" s="8" t="s">
        <v>5376</v>
      </c>
      <c r="B1441" s="8" t="s">
        <v>132</v>
      </c>
      <c r="C1441" s="14" t="s">
        <v>1352</v>
      </c>
      <c r="D1441" s="8" t="s">
        <v>2615</v>
      </c>
      <c r="E1441" s="14" t="s">
        <v>2618</v>
      </c>
    </row>
    <row r="1442">
      <c r="A1442" s="8" t="s">
        <v>5377</v>
      </c>
      <c r="B1442" s="8" t="s">
        <v>16</v>
      </c>
      <c r="C1442" s="14" t="s">
        <v>1679</v>
      </c>
      <c r="D1442" s="8" t="s">
        <v>2566</v>
      </c>
      <c r="E1442" s="14" t="s">
        <v>2576</v>
      </c>
    </row>
    <row r="1443">
      <c r="A1443" s="8" t="s">
        <v>5378</v>
      </c>
      <c r="B1443" s="8" t="s">
        <v>132</v>
      </c>
      <c r="C1443" s="14" t="s">
        <v>338</v>
      </c>
      <c r="D1443" s="8" t="s">
        <v>2605</v>
      </c>
      <c r="E1443" s="14" t="s">
        <v>2608</v>
      </c>
    </row>
    <row r="1444">
      <c r="A1444" s="8" t="s">
        <v>5379</v>
      </c>
      <c r="B1444" s="8" t="s">
        <v>215</v>
      </c>
      <c r="C1444" s="14" t="s">
        <v>189</v>
      </c>
      <c r="D1444" s="8" t="s">
        <v>2574</v>
      </c>
      <c r="E1444" s="14" t="s">
        <v>2622</v>
      </c>
    </row>
    <row r="1445">
      <c r="A1445" s="8" t="s">
        <v>5380</v>
      </c>
      <c r="B1445" s="8" t="s">
        <v>24</v>
      </c>
      <c r="C1445" s="14" t="s">
        <v>189</v>
      </c>
      <c r="D1445" s="8" t="s">
        <v>2585</v>
      </c>
      <c r="E1445" s="14" t="s">
        <v>2630</v>
      </c>
    </row>
    <row r="1446">
      <c r="A1446" s="8" t="s">
        <v>5381</v>
      </c>
      <c r="B1446" s="8" t="s">
        <v>122</v>
      </c>
      <c r="C1446" s="14" t="s">
        <v>1070</v>
      </c>
      <c r="D1446" s="8" t="s">
        <v>2587</v>
      </c>
      <c r="E1446" s="14" t="s">
        <v>2594</v>
      </c>
    </row>
    <row r="1447">
      <c r="A1447" s="8" t="s">
        <v>5382</v>
      </c>
      <c r="B1447" s="8" t="s">
        <v>59</v>
      </c>
      <c r="C1447" s="14" t="s">
        <v>1679</v>
      </c>
      <c r="D1447" s="8" t="s">
        <v>2614</v>
      </c>
      <c r="E1447" s="14" t="s">
        <v>2609</v>
      </c>
    </row>
    <row r="1448">
      <c r="A1448" s="8" t="s">
        <v>5383</v>
      </c>
      <c r="B1448" s="8" t="s">
        <v>24</v>
      </c>
      <c r="C1448" s="14" t="s">
        <v>459</v>
      </c>
      <c r="D1448" s="8" t="s">
        <v>2552</v>
      </c>
      <c r="E1448" s="14" t="s">
        <v>2625</v>
      </c>
    </row>
    <row r="1449">
      <c r="A1449" s="8" t="s">
        <v>5384</v>
      </c>
      <c r="B1449" s="8" t="s">
        <v>16</v>
      </c>
      <c r="C1449" s="14" t="s">
        <v>2296</v>
      </c>
      <c r="D1449" s="8" t="s">
        <v>2183</v>
      </c>
      <c r="E1449" s="14" t="s">
        <v>2628</v>
      </c>
    </row>
    <row r="1450">
      <c r="A1450" s="8" t="s">
        <v>5385</v>
      </c>
      <c r="B1450" s="8" t="s">
        <v>16</v>
      </c>
      <c r="C1450" s="14" t="s">
        <v>1352</v>
      </c>
      <c r="D1450" s="8" t="s">
        <v>2552</v>
      </c>
      <c r="E1450" s="14" t="s">
        <v>2606</v>
      </c>
    </row>
    <row r="1451">
      <c r="A1451" s="8" t="s">
        <v>5386</v>
      </c>
      <c r="B1451" s="8" t="s">
        <v>53</v>
      </c>
      <c r="C1451" s="14" t="s">
        <v>631</v>
      </c>
      <c r="D1451" s="8" t="s">
        <v>2600</v>
      </c>
      <c r="E1451" s="14" t="s">
        <v>2590</v>
      </c>
    </row>
    <row r="1452">
      <c r="A1452" s="8" t="s">
        <v>5387</v>
      </c>
      <c r="B1452" s="8" t="s">
        <v>53</v>
      </c>
      <c r="C1452" s="14" t="s">
        <v>338</v>
      </c>
      <c r="D1452" s="8" t="s">
        <v>6304</v>
      </c>
      <c r="E1452" s="14" t="s">
        <v>2568</v>
      </c>
    </row>
    <row r="1453">
      <c r="A1453" s="8" t="s">
        <v>5388</v>
      </c>
      <c r="B1453" s="8" t="s">
        <v>186</v>
      </c>
      <c r="C1453" s="14" t="s">
        <v>2033</v>
      </c>
      <c r="D1453" s="8" t="s">
        <v>2572</v>
      </c>
      <c r="E1453" s="14" t="s">
        <v>2594</v>
      </c>
    </row>
    <row r="1454">
      <c r="A1454" s="8" t="s">
        <v>5389</v>
      </c>
      <c r="B1454" s="8" t="s">
        <v>59</v>
      </c>
      <c r="C1454" s="14" t="s">
        <v>837</v>
      </c>
      <c r="D1454" s="8" t="s">
        <v>2558</v>
      </c>
      <c r="E1454" s="14" t="s">
        <v>2601</v>
      </c>
    </row>
    <row r="1455">
      <c r="A1455" s="8" t="s">
        <v>5390</v>
      </c>
      <c r="B1455" s="8" t="s">
        <v>16</v>
      </c>
      <c r="C1455" s="14" t="s">
        <v>2296</v>
      </c>
      <c r="D1455" s="8" t="s">
        <v>6303</v>
      </c>
      <c r="E1455" s="14" t="s">
        <v>2602</v>
      </c>
    </row>
    <row r="1456">
      <c r="A1456" s="8" t="s">
        <v>5391</v>
      </c>
      <c r="B1456" s="8" t="s">
        <v>53</v>
      </c>
      <c r="C1456" s="14" t="s">
        <v>1679</v>
      </c>
      <c r="D1456" s="8" t="s">
        <v>2605</v>
      </c>
      <c r="E1456" s="14" t="s">
        <v>2579</v>
      </c>
    </row>
    <row r="1457">
      <c r="A1457" s="8" t="s">
        <v>5392</v>
      </c>
      <c r="B1457" s="8" t="s">
        <v>59</v>
      </c>
      <c r="C1457" s="14" t="s">
        <v>2033</v>
      </c>
      <c r="D1457" s="8" t="s">
        <v>2572</v>
      </c>
      <c r="E1457" s="14" t="s">
        <v>2557</v>
      </c>
    </row>
    <row r="1458">
      <c r="A1458" s="8" t="s">
        <v>6384</v>
      </c>
      <c r="B1458" s="8" t="s">
        <v>215</v>
      </c>
      <c r="C1458" s="14" t="s">
        <v>2033</v>
      </c>
      <c r="D1458" s="8" t="s">
        <v>2603</v>
      </c>
      <c r="E1458" s="14" t="s">
        <v>2557</v>
      </c>
    </row>
    <row r="1459">
      <c r="A1459" s="8" t="s">
        <v>6385</v>
      </c>
      <c r="B1459" s="8" t="s">
        <v>186</v>
      </c>
      <c r="C1459" s="14" t="s">
        <v>459</v>
      </c>
      <c r="D1459" s="8" t="s">
        <v>2564</v>
      </c>
      <c r="E1459" s="14" t="s">
        <v>2563</v>
      </c>
    </row>
    <row r="1460">
      <c r="A1460" s="8" t="s">
        <v>6386</v>
      </c>
      <c r="B1460" s="8" t="s">
        <v>24</v>
      </c>
      <c r="C1460" s="14" t="s">
        <v>27</v>
      </c>
      <c r="D1460" s="8" t="s">
        <v>2614</v>
      </c>
      <c r="E1460" s="14" t="s">
        <v>2624</v>
      </c>
    </row>
    <row r="1461">
      <c r="A1461" s="8" t="s">
        <v>5396</v>
      </c>
      <c r="B1461" s="8" t="s">
        <v>149</v>
      </c>
      <c r="C1461" s="14" t="s">
        <v>1070</v>
      </c>
      <c r="D1461" s="8" t="s">
        <v>2614</v>
      </c>
      <c r="E1461" s="14" t="s">
        <v>2571</v>
      </c>
    </row>
    <row r="1462">
      <c r="A1462" s="8" t="s">
        <v>5397</v>
      </c>
      <c r="B1462" s="8" t="s">
        <v>46</v>
      </c>
      <c r="C1462" s="14" t="s">
        <v>631</v>
      </c>
      <c r="D1462" s="8" t="s">
        <v>2587</v>
      </c>
      <c r="E1462" s="14" t="s">
        <v>2555</v>
      </c>
    </row>
    <row r="1463">
      <c r="A1463" s="8" t="s">
        <v>5398</v>
      </c>
      <c r="B1463" s="8" t="s">
        <v>38</v>
      </c>
      <c r="C1463" s="14" t="s">
        <v>837</v>
      </c>
      <c r="D1463" s="8" t="s">
        <v>2560</v>
      </c>
      <c r="E1463" s="14" t="s">
        <v>2602</v>
      </c>
    </row>
    <row r="1464">
      <c r="A1464" s="8" t="s">
        <v>5399</v>
      </c>
      <c r="B1464" s="8" t="s">
        <v>75</v>
      </c>
      <c r="C1464" s="14" t="s">
        <v>837</v>
      </c>
      <c r="D1464" s="8" t="s">
        <v>2585</v>
      </c>
      <c r="E1464" s="14" t="s">
        <v>2601</v>
      </c>
    </row>
    <row r="1465">
      <c r="A1465" s="8" t="s">
        <v>5400</v>
      </c>
      <c r="B1465" s="8" t="s">
        <v>16</v>
      </c>
      <c r="C1465" s="14" t="s">
        <v>2296</v>
      </c>
      <c r="D1465" s="8" t="s">
        <v>2575</v>
      </c>
      <c r="E1465" s="14" t="s">
        <v>2571</v>
      </c>
    </row>
    <row r="1466">
      <c r="A1466" s="8" t="s">
        <v>5401</v>
      </c>
      <c r="B1466" s="8" t="s">
        <v>70</v>
      </c>
      <c r="C1466" s="14" t="s">
        <v>631</v>
      </c>
      <c r="D1466" s="8" t="s">
        <v>2562</v>
      </c>
      <c r="E1466" s="14" t="s">
        <v>2625</v>
      </c>
    </row>
    <row r="1467">
      <c r="A1467" s="8" t="s">
        <v>5402</v>
      </c>
      <c r="B1467" s="8" t="s">
        <v>80</v>
      </c>
      <c r="C1467" s="14" t="s">
        <v>631</v>
      </c>
      <c r="D1467" s="8" t="s">
        <v>6304</v>
      </c>
      <c r="E1467" s="14" t="s">
        <v>2625</v>
      </c>
    </row>
    <row r="1468">
      <c r="A1468" s="8" t="s">
        <v>5403</v>
      </c>
      <c r="B1468" s="8" t="s">
        <v>141</v>
      </c>
      <c r="C1468" s="14" t="s">
        <v>2033</v>
      </c>
      <c r="D1468" s="8" t="s">
        <v>6303</v>
      </c>
      <c r="E1468" s="14" t="s">
        <v>2563</v>
      </c>
    </row>
    <row r="1469">
      <c r="A1469" s="8" t="s">
        <v>5404</v>
      </c>
      <c r="B1469" s="8" t="s">
        <v>65</v>
      </c>
      <c r="C1469" s="14" t="s">
        <v>1679</v>
      </c>
      <c r="D1469" s="8" t="s">
        <v>2614</v>
      </c>
      <c r="E1469" s="14" t="s">
        <v>2555</v>
      </c>
    </row>
    <row r="1470">
      <c r="A1470" s="8" t="s">
        <v>5405</v>
      </c>
      <c r="B1470" s="8" t="s">
        <v>192</v>
      </c>
      <c r="C1470" s="14" t="s">
        <v>1352</v>
      </c>
      <c r="D1470" s="8" t="s">
        <v>2582</v>
      </c>
      <c r="E1470" s="14" t="s">
        <v>2578</v>
      </c>
    </row>
    <row r="1471">
      <c r="A1471" s="8" t="s">
        <v>5406</v>
      </c>
      <c r="B1471" s="8" t="s">
        <v>149</v>
      </c>
      <c r="C1471" s="14" t="s">
        <v>459</v>
      </c>
      <c r="D1471" s="8" t="s">
        <v>2564</v>
      </c>
      <c r="E1471" s="14" t="s">
        <v>2596</v>
      </c>
    </row>
    <row r="1472">
      <c r="A1472" s="8" t="s">
        <v>5407</v>
      </c>
      <c r="B1472" s="8" t="s">
        <v>75</v>
      </c>
      <c r="C1472" s="14" t="s">
        <v>459</v>
      </c>
      <c r="D1472" s="8" t="s">
        <v>2558</v>
      </c>
      <c r="E1472" s="14" t="s">
        <v>2573</v>
      </c>
    </row>
    <row r="1473">
      <c r="A1473" s="8" t="s">
        <v>5408</v>
      </c>
      <c r="B1473" s="8" t="s">
        <v>65</v>
      </c>
      <c r="C1473" s="14" t="s">
        <v>1679</v>
      </c>
      <c r="D1473" s="8" t="s">
        <v>2552</v>
      </c>
      <c r="E1473" s="14" t="s">
        <v>2565</v>
      </c>
    </row>
    <row r="1474">
      <c r="A1474" s="8" t="s">
        <v>5409</v>
      </c>
      <c r="B1474" s="8" t="s">
        <v>46</v>
      </c>
      <c r="C1474" s="14" t="s">
        <v>1352</v>
      </c>
      <c r="D1474" s="8" t="s">
        <v>2581</v>
      </c>
      <c r="E1474" s="14" t="s">
        <v>2611</v>
      </c>
    </row>
    <row r="1475">
      <c r="A1475" s="8" t="s">
        <v>5410</v>
      </c>
      <c r="B1475" s="8" t="s">
        <v>59</v>
      </c>
      <c r="C1475" s="14" t="s">
        <v>631</v>
      </c>
      <c r="D1475" s="8" t="s">
        <v>2585</v>
      </c>
      <c r="E1475" s="14" t="s">
        <v>2563</v>
      </c>
    </row>
    <row r="1476">
      <c r="A1476" s="8" t="s">
        <v>5411</v>
      </c>
      <c r="B1476" s="8" t="s">
        <v>65</v>
      </c>
      <c r="C1476" s="14" t="s">
        <v>60</v>
      </c>
      <c r="D1476" s="8" t="s">
        <v>6303</v>
      </c>
      <c r="E1476" s="14" t="s">
        <v>2611</v>
      </c>
    </row>
    <row r="1477">
      <c r="A1477" s="8" t="s">
        <v>5412</v>
      </c>
      <c r="B1477" s="8" t="s">
        <v>122</v>
      </c>
      <c r="C1477" s="14" t="s">
        <v>1352</v>
      </c>
      <c r="D1477" s="8" t="s">
        <v>2615</v>
      </c>
      <c r="E1477" s="14" t="s">
        <v>2590</v>
      </c>
    </row>
    <row r="1478">
      <c r="A1478" s="8" t="s">
        <v>5413</v>
      </c>
      <c r="B1478" s="8" t="s">
        <v>132</v>
      </c>
      <c r="C1478" s="14" t="s">
        <v>631</v>
      </c>
      <c r="D1478" s="8" t="s">
        <v>2595</v>
      </c>
      <c r="E1478" s="14" t="s">
        <v>2607</v>
      </c>
    </row>
    <row r="1479">
      <c r="A1479" s="8" t="s">
        <v>5414</v>
      </c>
      <c r="B1479" s="8" t="s">
        <v>70</v>
      </c>
      <c r="C1479" s="14" t="s">
        <v>631</v>
      </c>
      <c r="D1479" s="8" t="s">
        <v>2595</v>
      </c>
      <c r="E1479" s="14" t="s">
        <v>2608</v>
      </c>
    </row>
    <row r="1480">
      <c r="A1480" s="8" t="s">
        <v>5415</v>
      </c>
      <c r="B1480" s="8" t="s">
        <v>53</v>
      </c>
      <c r="C1480" s="14" t="s">
        <v>1352</v>
      </c>
      <c r="D1480" s="8" t="s">
        <v>2621</v>
      </c>
      <c r="E1480" s="14" t="s">
        <v>2594</v>
      </c>
    </row>
    <row r="1481">
      <c r="A1481" s="8" t="s">
        <v>5416</v>
      </c>
      <c r="B1481" s="8" t="s">
        <v>132</v>
      </c>
      <c r="C1481" s="14" t="s">
        <v>631</v>
      </c>
      <c r="D1481" s="8" t="s">
        <v>2183</v>
      </c>
      <c r="E1481" s="14" t="s">
        <v>2586</v>
      </c>
    </row>
    <row r="1482">
      <c r="A1482" s="8" t="s">
        <v>5417</v>
      </c>
      <c r="B1482" s="8" t="s">
        <v>138</v>
      </c>
      <c r="C1482" s="14" t="s">
        <v>837</v>
      </c>
      <c r="D1482" s="8" t="s">
        <v>2577</v>
      </c>
      <c r="E1482" s="14" t="s">
        <v>2594</v>
      </c>
    </row>
    <row r="1483">
      <c r="A1483" s="8" t="s">
        <v>5418</v>
      </c>
      <c r="B1483" s="8" t="s">
        <v>186</v>
      </c>
      <c r="C1483" s="14" t="s">
        <v>459</v>
      </c>
      <c r="D1483" s="8" t="s">
        <v>2592</v>
      </c>
      <c r="E1483" s="14" t="s">
        <v>2561</v>
      </c>
    </row>
    <row r="1484">
      <c r="A1484" s="8" t="s">
        <v>5419</v>
      </c>
      <c r="B1484" s="8" t="s">
        <v>122</v>
      </c>
      <c r="C1484" s="14" t="s">
        <v>459</v>
      </c>
      <c r="D1484" s="8" t="s">
        <v>2600</v>
      </c>
      <c r="E1484" s="14" t="s">
        <v>2588</v>
      </c>
    </row>
    <row r="1485">
      <c r="A1485" s="8" t="s">
        <v>5420</v>
      </c>
      <c r="B1485" s="8" t="s">
        <v>46</v>
      </c>
      <c r="C1485" s="14" t="s">
        <v>1070</v>
      </c>
      <c r="D1485" s="8" t="s">
        <v>2567</v>
      </c>
      <c r="E1485" s="14" t="s">
        <v>2618</v>
      </c>
    </row>
    <row r="1486">
      <c r="A1486" s="8" t="s">
        <v>5421</v>
      </c>
      <c r="B1486" s="8" t="s">
        <v>70</v>
      </c>
      <c r="C1486" s="14" t="s">
        <v>837</v>
      </c>
      <c r="D1486" s="8" t="s">
        <v>2560</v>
      </c>
      <c r="E1486" s="14" t="s">
        <v>2559</v>
      </c>
    </row>
    <row r="1487">
      <c r="A1487" s="8" t="s">
        <v>5422</v>
      </c>
      <c r="B1487" s="8" t="s">
        <v>24</v>
      </c>
      <c r="C1487" s="14" t="s">
        <v>237</v>
      </c>
      <c r="D1487" s="8" t="s">
        <v>2587</v>
      </c>
      <c r="E1487" s="14" t="s">
        <v>2601</v>
      </c>
    </row>
    <row r="1488">
      <c r="A1488" s="8" t="s">
        <v>5423</v>
      </c>
      <c r="B1488" s="8" t="s">
        <v>59</v>
      </c>
      <c r="C1488" s="14" t="s">
        <v>2033</v>
      </c>
      <c r="D1488" s="8" t="s">
        <v>2614</v>
      </c>
      <c r="E1488" s="14" t="s">
        <v>2633</v>
      </c>
    </row>
    <row r="1489">
      <c r="A1489" s="8" t="s">
        <v>5424</v>
      </c>
      <c r="B1489" s="8" t="s">
        <v>93</v>
      </c>
      <c r="C1489" s="14" t="s">
        <v>1352</v>
      </c>
      <c r="D1489" s="8" t="s">
        <v>2615</v>
      </c>
      <c r="E1489" s="14" t="s">
        <v>2563</v>
      </c>
    </row>
    <row r="1490">
      <c r="A1490" s="8" t="s">
        <v>5425</v>
      </c>
      <c r="B1490" s="8" t="s">
        <v>141</v>
      </c>
      <c r="C1490" s="14" t="s">
        <v>1352</v>
      </c>
      <c r="D1490" s="8" t="s">
        <v>2554</v>
      </c>
      <c r="E1490" s="14" t="s">
        <v>2617</v>
      </c>
    </row>
    <row r="1491">
      <c r="A1491" s="8" t="s">
        <v>5426</v>
      </c>
      <c r="B1491" s="8" t="s">
        <v>53</v>
      </c>
      <c r="C1491" s="14" t="s">
        <v>2033</v>
      </c>
      <c r="D1491" s="8" t="s">
        <v>2584</v>
      </c>
      <c r="E1491" s="14" t="s">
        <v>2557</v>
      </c>
    </row>
    <row r="1492">
      <c r="A1492" s="8" t="s">
        <v>5427</v>
      </c>
      <c r="B1492" s="8" t="s">
        <v>59</v>
      </c>
      <c r="C1492" s="14" t="s">
        <v>1070</v>
      </c>
      <c r="D1492" s="8" t="s">
        <v>2605</v>
      </c>
      <c r="E1492" s="14" t="s">
        <v>2590</v>
      </c>
    </row>
    <row r="1493">
      <c r="A1493" s="8" t="s">
        <v>5429</v>
      </c>
      <c r="B1493" s="8" t="s">
        <v>70</v>
      </c>
      <c r="C1493" s="14" t="s">
        <v>1679</v>
      </c>
      <c r="D1493" s="8" t="s">
        <v>2584</v>
      </c>
      <c r="E1493" s="14" t="s">
        <v>2599</v>
      </c>
    </row>
    <row r="1494">
      <c r="A1494" s="8" t="s">
        <v>5430</v>
      </c>
      <c r="B1494" s="8" t="s">
        <v>46</v>
      </c>
      <c r="C1494" s="14" t="s">
        <v>1070</v>
      </c>
      <c r="D1494" s="8" t="s">
        <v>2584</v>
      </c>
      <c r="E1494" s="14" t="s">
        <v>2617</v>
      </c>
    </row>
    <row r="1495">
      <c r="A1495" s="8" t="s">
        <v>5431</v>
      </c>
      <c r="B1495" s="8" t="s">
        <v>138</v>
      </c>
      <c r="C1495" s="14" t="s">
        <v>1352</v>
      </c>
      <c r="D1495" s="8" t="s">
        <v>2560</v>
      </c>
      <c r="E1495" s="14" t="s">
        <v>2611</v>
      </c>
    </row>
    <row r="1496">
      <c r="A1496" s="8" t="s">
        <v>5432</v>
      </c>
      <c r="B1496" s="8" t="s">
        <v>215</v>
      </c>
      <c r="C1496" s="14" t="s">
        <v>459</v>
      </c>
      <c r="D1496" s="8" t="s">
        <v>2584</v>
      </c>
      <c r="E1496" s="14" t="s">
        <v>2563</v>
      </c>
    </row>
    <row r="1497">
      <c r="A1497" s="8" t="s">
        <v>5433</v>
      </c>
      <c r="B1497" s="8" t="s">
        <v>70</v>
      </c>
      <c r="C1497" s="14" t="s">
        <v>237</v>
      </c>
      <c r="D1497" s="8" t="s">
        <v>2587</v>
      </c>
      <c r="E1497" s="14" t="s">
        <v>2588</v>
      </c>
    </row>
    <row r="1498">
      <c r="A1498" s="8" t="s">
        <v>5434</v>
      </c>
      <c r="B1498" s="8" t="s">
        <v>93</v>
      </c>
      <c r="C1498" s="14" t="s">
        <v>1352</v>
      </c>
      <c r="D1498" s="8" t="s">
        <v>2621</v>
      </c>
      <c r="E1498" s="14" t="s">
        <v>2591</v>
      </c>
    </row>
    <row r="1499">
      <c r="A1499" s="8" t="s">
        <v>5435</v>
      </c>
      <c r="B1499" s="8" t="s">
        <v>93</v>
      </c>
      <c r="C1499" s="14" t="s">
        <v>1679</v>
      </c>
      <c r="D1499" s="8" t="s">
        <v>2587</v>
      </c>
      <c r="E1499" s="14" t="s">
        <v>2553</v>
      </c>
    </row>
    <row r="1500">
      <c r="A1500" s="8" t="s">
        <v>5436</v>
      </c>
      <c r="B1500" s="8" t="s">
        <v>24</v>
      </c>
      <c r="C1500" s="14" t="s">
        <v>631</v>
      </c>
      <c r="D1500" s="8" t="s">
        <v>2585</v>
      </c>
      <c r="E1500" s="14" t="s">
        <v>2573</v>
      </c>
    </row>
    <row r="1501">
      <c r="A1501" s="8" t="s">
        <v>5437</v>
      </c>
      <c r="B1501" s="8" t="s">
        <v>65</v>
      </c>
      <c r="C1501" s="14" t="s">
        <v>2459</v>
      </c>
      <c r="D1501" s="8" t="s">
        <v>2595</v>
      </c>
      <c r="E1501" s="14" t="s">
        <v>2583</v>
      </c>
    </row>
    <row r="1502">
      <c r="A1502" s="8" t="s">
        <v>5438</v>
      </c>
      <c r="B1502" s="8" t="s">
        <v>93</v>
      </c>
      <c r="C1502" s="14" t="s">
        <v>2033</v>
      </c>
      <c r="D1502" s="8" t="s">
        <v>2620</v>
      </c>
      <c r="E1502" s="14" t="s">
        <v>2612</v>
      </c>
    </row>
    <row r="1503">
      <c r="A1503" s="8" t="s">
        <v>5439</v>
      </c>
      <c r="B1503" s="8" t="s">
        <v>122</v>
      </c>
      <c r="C1503" s="14" t="s">
        <v>338</v>
      </c>
      <c r="D1503" s="8" t="s">
        <v>2552</v>
      </c>
      <c r="E1503" s="14" t="s">
        <v>2633</v>
      </c>
    </row>
    <row r="1504">
      <c r="A1504" s="8" t="s">
        <v>5440</v>
      </c>
      <c r="B1504" s="8" t="s">
        <v>38</v>
      </c>
      <c r="C1504" s="14" t="s">
        <v>1679</v>
      </c>
      <c r="D1504" s="8" t="s">
        <v>2584</v>
      </c>
      <c r="E1504" s="14" t="s">
        <v>2591</v>
      </c>
    </row>
    <row r="1505">
      <c r="A1505" s="8" t="s">
        <v>5441</v>
      </c>
      <c r="B1505" s="8" t="s">
        <v>24</v>
      </c>
      <c r="C1505" s="14" t="s">
        <v>189</v>
      </c>
      <c r="D1505" s="8" t="s">
        <v>2598</v>
      </c>
      <c r="E1505" s="14" t="s">
        <v>2591</v>
      </c>
    </row>
    <row r="1506">
      <c r="A1506" s="8" t="s">
        <v>5442</v>
      </c>
      <c r="B1506" s="8" t="s">
        <v>93</v>
      </c>
      <c r="C1506" s="14" t="s">
        <v>631</v>
      </c>
      <c r="D1506" s="8" t="s">
        <v>2621</v>
      </c>
      <c r="E1506" s="14" t="s">
        <v>2588</v>
      </c>
    </row>
    <row r="1507">
      <c r="A1507" s="8" t="s">
        <v>5443</v>
      </c>
      <c r="B1507" s="8" t="s">
        <v>24</v>
      </c>
      <c r="C1507" s="14" t="s">
        <v>631</v>
      </c>
      <c r="D1507" s="8" t="s">
        <v>2554</v>
      </c>
      <c r="E1507" s="14" t="s">
        <v>2622</v>
      </c>
    </row>
    <row r="1508">
      <c r="A1508" s="8" t="s">
        <v>5444</v>
      </c>
      <c r="B1508" s="8" t="s">
        <v>16</v>
      </c>
      <c r="C1508" s="14" t="s">
        <v>1679</v>
      </c>
      <c r="D1508" s="8" t="s">
        <v>2621</v>
      </c>
      <c r="E1508" s="14" t="s">
        <v>2624</v>
      </c>
    </row>
    <row r="1509">
      <c r="A1509" s="8" t="s">
        <v>5445</v>
      </c>
      <c r="B1509" s="8" t="s">
        <v>93</v>
      </c>
      <c r="C1509" s="14" t="s">
        <v>2033</v>
      </c>
      <c r="D1509" s="8" t="s">
        <v>2562</v>
      </c>
      <c r="E1509" s="14" t="s">
        <v>2622</v>
      </c>
    </row>
    <row r="1510">
      <c r="A1510" s="8" t="s">
        <v>5446</v>
      </c>
      <c r="B1510" s="8" t="s">
        <v>59</v>
      </c>
      <c r="C1510" s="14" t="s">
        <v>60</v>
      </c>
      <c r="D1510" s="8" t="s">
        <v>2587</v>
      </c>
      <c r="E1510" s="14" t="s">
        <v>2588</v>
      </c>
    </row>
    <row r="1511">
      <c r="A1511" s="8" t="s">
        <v>5447</v>
      </c>
      <c r="B1511" s="8" t="s">
        <v>53</v>
      </c>
      <c r="C1511" s="14" t="s">
        <v>2033</v>
      </c>
      <c r="D1511" s="8" t="s">
        <v>2566</v>
      </c>
      <c r="E1511" s="14" t="s">
        <v>2573</v>
      </c>
    </row>
    <row r="1512">
      <c r="A1512" s="8" t="s">
        <v>5448</v>
      </c>
      <c r="B1512" s="8" t="s">
        <v>93</v>
      </c>
      <c r="C1512" s="14" t="s">
        <v>1352</v>
      </c>
      <c r="D1512" s="8" t="s">
        <v>2574</v>
      </c>
      <c r="E1512" s="14" t="s">
        <v>2583</v>
      </c>
    </row>
    <row r="1513">
      <c r="A1513" s="8" t="s">
        <v>5449</v>
      </c>
      <c r="B1513" s="8" t="s">
        <v>132</v>
      </c>
      <c r="C1513" s="14" t="s">
        <v>1070</v>
      </c>
      <c r="D1513" s="8" t="s">
        <v>2558</v>
      </c>
      <c r="E1513" s="14" t="s">
        <v>2570</v>
      </c>
    </row>
    <row r="1514">
      <c r="A1514" s="8" t="s">
        <v>5450</v>
      </c>
      <c r="B1514" s="8" t="s">
        <v>80</v>
      </c>
      <c r="C1514" s="14" t="s">
        <v>2296</v>
      </c>
      <c r="D1514" s="8" t="s">
        <v>2592</v>
      </c>
      <c r="E1514" s="14" t="s">
        <v>2570</v>
      </c>
    </row>
    <row r="1515">
      <c r="A1515" s="8" t="s">
        <v>5451</v>
      </c>
      <c r="B1515" s="8" t="s">
        <v>16</v>
      </c>
      <c r="C1515" s="14" t="s">
        <v>1679</v>
      </c>
      <c r="D1515" s="8" t="s">
        <v>2560</v>
      </c>
      <c r="E1515" s="14" t="s">
        <v>2628</v>
      </c>
    </row>
    <row r="1516">
      <c r="A1516" s="8" t="s">
        <v>5452</v>
      </c>
      <c r="B1516" s="8" t="s">
        <v>186</v>
      </c>
      <c r="C1516" s="14" t="s">
        <v>631</v>
      </c>
      <c r="D1516" s="8" t="s">
        <v>2574</v>
      </c>
      <c r="E1516" s="14" t="s">
        <v>2632</v>
      </c>
    </row>
    <row r="1517">
      <c r="A1517" s="8" t="s">
        <v>5453</v>
      </c>
      <c r="B1517" s="8" t="s">
        <v>24</v>
      </c>
      <c r="C1517" s="14" t="s">
        <v>1070</v>
      </c>
      <c r="D1517" s="8" t="s">
        <v>2567</v>
      </c>
      <c r="E1517" s="14" t="s">
        <v>39</v>
      </c>
    </row>
    <row r="1518">
      <c r="A1518" s="8" t="s">
        <v>5454</v>
      </c>
      <c r="B1518" s="8" t="s">
        <v>24</v>
      </c>
      <c r="C1518" s="14" t="s">
        <v>237</v>
      </c>
      <c r="D1518" s="8" t="s">
        <v>2598</v>
      </c>
      <c r="E1518" s="14" t="s">
        <v>2602</v>
      </c>
    </row>
    <row r="1519">
      <c r="A1519" s="8" t="s">
        <v>5455</v>
      </c>
      <c r="B1519" s="8" t="s">
        <v>24</v>
      </c>
      <c r="C1519" s="14" t="s">
        <v>459</v>
      </c>
      <c r="D1519" s="8" t="s">
        <v>6304</v>
      </c>
      <c r="E1519" s="14" t="s">
        <v>2601</v>
      </c>
    </row>
    <row r="1520">
      <c r="A1520" s="8" t="s">
        <v>6387</v>
      </c>
      <c r="B1520" s="8" t="s">
        <v>192</v>
      </c>
      <c r="C1520" s="14" t="s">
        <v>2033</v>
      </c>
      <c r="D1520" s="8" t="s">
        <v>2592</v>
      </c>
      <c r="E1520" s="14" t="s">
        <v>2557</v>
      </c>
    </row>
    <row r="1521">
      <c r="A1521" s="8" t="s">
        <v>5457</v>
      </c>
      <c r="B1521" s="8" t="s">
        <v>65</v>
      </c>
      <c r="C1521" s="14" t="s">
        <v>1352</v>
      </c>
      <c r="D1521" s="8" t="s">
        <v>2564</v>
      </c>
      <c r="E1521" s="14" t="s">
        <v>2573</v>
      </c>
    </row>
    <row r="1522">
      <c r="A1522" s="8" t="s">
        <v>5458</v>
      </c>
      <c r="B1522" s="8" t="s">
        <v>186</v>
      </c>
      <c r="C1522" s="14" t="s">
        <v>2459</v>
      </c>
      <c r="D1522" s="8" t="s">
        <v>2615</v>
      </c>
      <c r="E1522" s="14" t="s">
        <v>2583</v>
      </c>
    </row>
    <row r="1523">
      <c r="A1523" s="8" t="s">
        <v>5459</v>
      </c>
      <c r="B1523" s="8" t="s">
        <v>93</v>
      </c>
      <c r="C1523" s="14" t="s">
        <v>1352</v>
      </c>
      <c r="D1523" s="8" t="s">
        <v>2552</v>
      </c>
      <c r="E1523" s="14" t="s">
        <v>2553</v>
      </c>
    </row>
    <row r="1524">
      <c r="A1524" s="8" t="s">
        <v>5460</v>
      </c>
      <c r="B1524" s="8" t="s">
        <v>93</v>
      </c>
      <c r="C1524" s="14" t="s">
        <v>1070</v>
      </c>
      <c r="D1524" s="8" t="s">
        <v>6304</v>
      </c>
      <c r="E1524" s="14" t="s">
        <v>2612</v>
      </c>
    </row>
    <row r="1525">
      <c r="A1525" s="8" t="s">
        <v>5461</v>
      </c>
      <c r="B1525" s="8" t="s">
        <v>70</v>
      </c>
      <c r="C1525" s="14" t="s">
        <v>1070</v>
      </c>
      <c r="D1525" s="8" t="s">
        <v>2593</v>
      </c>
      <c r="E1525" s="14" t="s">
        <v>2565</v>
      </c>
    </row>
    <row r="1526">
      <c r="A1526" s="8" t="s">
        <v>5462</v>
      </c>
      <c r="B1526" s="8" t="s">
        <v>93</v>
      </c>
      <c r="C1526" s="14" t="s">
        <v>459</v>
      </c>
      <c r="D1526" s="8" t="s">
        <v>2621</v>
      </c>
      <c r="E1526" s="14" t="s">
        <v>2608</v>
      </c>
    </row>
    <row r="1527">
      <c r="A1527" s="8" t="s">
        <v>5463</v>
      </c>
      <c r="B1527" s="8" t="s">
        <v>192</v>
      </c>
      <c r="C1527" s="14" t="s">
        <v>237</v>
      </c>
      <c r="D1527" s="8" t="s">
        <v>2564</v>
      </c>
      <c r="E1527" s="14" t="s">
        <v>2559</v>
      </c>
    </row>
    <row r="1528">
      <c r="A1528" s="8" t="s">
        <v>5464</v>
      </c>
      <c r="B1528" s="8" t="s">
        <v>53</v>
      </c>
      <c r="C1528" s="14" t="s">
        <v>338</v>
      </c>
      <c r="D1528" s="8" t="s">
        <v>2585</v>
      </c>
      <c r="E1528" s="14" t="s">
        <v>2602</v>
      </c>
    </row>
    <row r="1529">
      <c r="A1529" s="8" t="s">
        <v>5465</v>
      </c>
      <c r="B1529" s="8" t="s">
        <v>122</v>
      </c>
      <c r="C1529" s="14" t="s">
        <v>1352</v>
      </c>
      <c r="D1529" s="8" t="s">
        <v>2595</v>
      </c>
      <c r="E1529" s="14" t="s">
        <v>2602</v>
      </c>
    </row>
    <row r="1530">
      <c r="A1530" s="8" t="s">
        <v>5466</v>
      </c>
      <c r="B1530" s="8" t="s">
        <v>122</v>
      </c>
      <c r="C1530" s="14" t="s">
        <v>1679</v>
      </c>
      <c r="D1530" s="8" t="s">
        <v>2614</v>
      </c>
      <c r="E1530" s="14" t="s">
        <v>2553</v>
      </c>
    </row>
    <row r="1531">
      <c r="A1531" s="8" t="s">
        <v>5467</v>
      </c>
      <c r="B1531" s="8" t="s">
        <v>215</v>
      </c>
      <c r="C1531" s="14" t="s">
        <v>2033</v>
      </c>
      <c r="D1531" s="8" t="s">
        <v>2554</v>
      </c>
      <c r="E1531" s="14" t="s">
        <v>2555</v>
      </c>
    </row>
    <row r="1532">
      <c r="A1532" s="8" t="s">
        <v>5468</v>
      </c>
      <c r="B1532" s="8" t="s">
        <v>80</v>
      </c>
      <c r="C1532" s="14" t="s">
        <v>2033</v>
      </c>
      <c r="D1532" s="8" t="s">
        <v>2567</v>
      </c>
      <c r="E1532" s="14" t="s">
        <v>2588</v>
      </c>
    </row>
    <row r="1533">
      <c r="A1533" s="8" t="s">
        <v>5469</v>
      </c>
      <c r="B1533" s="8" t="s">
        <v>122</v>
      </c>
      <c r="C1533" s="14" t="s">
        <v>459</v>
      </c>
      <c r="D1533" s="8" t="s">
        <v>2564</v>
      </c>
      <c r="E1533" s="14" t="s">
        <v>2607</v>
      </c>
    </row>
    <row r="1534">
      <c r="A1534" s="8" t="s">
        <v>5470</v>
      </c>
      <c r="B1534" s="8" t="s">
        <v>59</v>
      </c>
      <c r="C1534" s="14" t="s">
        <v>2296</v>
      </c>
      <c r="D1534" s="8" t="s">
        <v>2610</v>
      </c>
      <c r="E1534" s="14" t="s">
        <v>2622</v>
      </c>
    </row>
    <row r="1535">
      <c r="A1535" s="8" t="s">
        <v>5471</v>
      </c>
      <c r="B1535" s="8" t="s">
        <v>24</v>
      </c>
      <c r="C1535" s="14" t="s">
        <v>83</v>
      </c>
      <c r="D1535" s="8" t="s">
        <v>2558</v>
      </c>
      <c r="E1535" s="14" t="s">
        <v>2590</v>
      </c>
    </row>
    <row r="1536">
      <c r="A1536" s="8" t="s">
        <v>5472</v>
      </c>
      <c r="B1536" s="8" t="s">
        <v>192</v>
      </c>
      <c r="C1536" s="14" t="s">
        <v>1352</v>
      </c>
      <c r="D1536" s="8" t="s">
        <v>2577</v>
      </c>
      <c r="E1536" s="14" t="s">
        <v>2580</v>
      </c>
    </row>
    <row r="1537">
      <c r="A1537" s="8" t="s">
        <v>5473</v>
      </c>
      <c r="B1537" s="8" t="s">
        <v>65</v>
      </c>
      <c r="C1537" s="14" t="s">
        <v>1679</v>
      </c>
      <c r="D1537" s="8" t="s">
        <v>6304</v>
      </c>
      <c r="E1537" s="14" t="s">
        <v>2557</v>
      </c>
    </row>
    <row r="1538">
      <c r="A1538" s="8" t="s">
        <v>5474</v>
      </c>
      <c r="B1538" s="8" t="s">
        <v>122</v>
      </c>
      <c r="C1538" s="14" t="s">
        <v>459</v>
      </c>
      <c r="D1538" s="8" t="s">
        <v>2584</v>
      </c>
      <c r="E1538" s="14" t="s">
        <v>2607</v>
      </c>
    </row>
    <row r="1539">
      <c r="A1539" s="8" t="s">
        <v>5475</v>
      </c>
      <c r="B1539" s="8" t="s">
        <v>192</v>
      </c>
      <c r="C1539" s="14" t="s">
        <v>1352</v>
      </c>
      <c r="D1539" s="8" t="s">
        <v>2585</v>
      </c>
      <c r="E1539" s="14" t="s">
        <v>2563</v>
      </c>
    </row>
    <row r="1540">
      <c r="A1540" s="8" t="s">
        <v>5476</v>
      </c>
      <c r="B1540" s="8" t="s">
        <v>80</v>
      </c>
      <c r="C1540" s="14" t="s">
        <v>2033</v>
      </c>
      <c r="D1540" s="8" t="s">
        <v>2577</v>
      </c>
      <c r="E1540" s="14" t="s">
        <v>2576</v>
      </c>
    </row>
    <row r="1541">
      <c r="A1541" s="8" t="s">
        <v>5477</v>
      </c>
      <c r="B1541" s="8" t="s">
        <v>149</v>
      </c>
      <c r="C1541" s="14" t="s">
        <v>237</v>
      </c>
      <c r="D1541" s="8" t="s">
        <v>2600</v>
      </c>
      <c r="E1541" s="14" t="s">
        <v>2607</v>
      </c>
    </row>
    <row r="1542">
      <c r="A1542" s="8" t="s">
        <v>5478</v>
      </c>
      <c r="B1542" s="8" t="s">
        <v>93</v>
      </c>
      <c r="C1542" s="14" t="s">
        <v>459</v>
      </c>
      <c r="D1542" s="8" t="s">
        <v>2554</v>
      </c>
      <c r="E1542" s="14" t="s">
        <v>2568</v>
      </c>
    </row>
    <row r="1543">
      <c r="A1543" s="8" t="s">
        <v>5479</v>
      </c>
      <c r="B1543" s="8" t="s">
        <v>215</v>
      </c>
      <c r="C1543" s="14" t="s">
        <v>2296</v>
      </c>
      <c r="D1543" s="8" t="s">
        <v>2595</v>
      </c>
      <c r="E1543" s="14" t="s">
        <v>2565</v>
      </c>
    </row>
    <row r="1544">
      <c r="A1544" s="8" t="s">
        <v>5480</v>
      </c>
      <c r="B1544" s="8" t="s">
        <v>80</v>
      </c>
      <c r="C1544" s="14" t="s">
        <v>2033</v>
      </c>
      <c r="D1544" s="8" t="s">
        <v>2552</v>
      </c>
      <c r="E1544" s="14" t="s">
        <v>2576</v>
      </c>
    </row>
    <row r="1545">
      <c r="A1545" s="8" t="s">
        <v>5481</v>
      </c>
      <c r="B1545" s="8" t="s">
        <v>149</v>
      </c>
      <c r="C1545" s="14" t="s">
        <v>237</v>
      </c>
      <c r="D1545" s="8" t="s">
        <v>6303</v>
      </c>
      <c r="E1545" s="14" t="s">
        <v>2611</v>
      </c>
    </row>
    <row r="1546">
      <c r="A1546" s="8" t="s">
        <v>5482</v>
      </c>
      <c r="B1546" s="8" t="s">
        <v>70</v>
      </c>
      <c r="C1546" s="14" t="s">
        <v>2033</v>
      </c>
      <c r="D1546" s="8" t="s">
        <v>2598</v>
      </c>
      <c r="E1546" s="14" t="s">
        <v>2579</v>
      </c>
    </row>
    <row r="1547">
      <c r="A1547" s="8" t="s">
        <v>5483</v>
      </c>
      <c r="B1547" s="8" t="s">
        <v>65</v>
      </c>
      <c r="C1547" s="14" t="s">
        <v>1352</v>
      </c>
      <c r="D1547" s="8" t="s">
        <v>2567</v>
      </c>
      <c r="E1547" s="14" t="s">
        <v>2568</v>
      </c>
    </row>
    <row r="1548">
      <c r="A1548" s="8" t="s">
        <v>5484</v>
      </c>
      <c r="B1548" s="8" t="s">
        <v>65</v>
      </c>
      <c r="C1548" s="14" t="s">
        <v>1679</v>
      </c>
      <c r="D1548" s="8" t="s">
        <v>2183</v>
      </c>
      <c r="E1548" s="14" t="s">
        <v>2576</v>
      </c>
    </row>
    <row r="1549">
      <c r="A1549" s="8" t="s">
        <v>5485</v>
      </c>
      <c r="B1549" s="8" t="s">
        <v>16</v>
      </c>
      <c r="C1549" s="14" t="s">
        <v>1352</v>
      </c>
      <c r="D1549" s="8" t="s">
        <v>2621</v>
      </c>
      <c r="E1549" s="14" t="s">
        <v>2608</v>
      </c>
    </row>
    <row r="1550">
      <c r="A1550" s="8" t="s">
        <v>5486</v>
      </c>
      <c r="B1550" s="8" t="s">
        <v>80</v>
      </c>
      <c r="C1550" s="14" t="s">
        <v>1070</v>
      </c>
      <c r="D1550" s="8" t="s">
        <v>2560</v>
      </c>
      <c r="E1550" s="14" t="s">
        <v>2586</v>
      </c>
    </row>
    <row r="1551">
      <c r="A1551" s="8" t="s">
        <v>5487</v>
      </c>
      <c r="B1551" s="8" t="s">
        <v>93</v>
      </c>
      <c r="C1551" s="14" t="s">
        <v>1070</v>
      </c>
      <c r="D1551" s="8" t="s">
        <v>2593</v>
      </c>
      <c r="E1551" s="14" t="s">
        <v>2588</v>
      </c>
    </row>
    <row r="1552">
      <c r="A1552" s="8" t="s">
        <v>5488</v>
      </c>
      <c r="B1552" s="8" t="s">
        <v>93</v>
      </c>
      <c r="C1552" s="14" t="s">
        <v>237</v>
      </c>
      <c r="D1552" s="8" t="s">
        <v>2595</v>
      </c>
      <c r="E1552" s="14" t="s">
        <v>2563</v>
      </c>
    </row>
    <row r="1553">
      <c r="A1553" s="8" t="s">
        <v>5489</v>
      </c>
      <c r="B1553" s="8" t="s">
        <v>80</v>
      </c>
      <c r="C1553" s="14" t="s">
        <v>2296</v>
      </c>
      <c r="D1553" s="8" t="s">
        <v>2595</v>
      </c>
      <c r="E1553" s="14" t="s">
        <v>2578</v>
      </c>
    </row>
    <row r="1554">
      <c r="A1554" s="8" t="s">
        <v>5490</v>
      </c>
      <c r="B1554" s="8" t="s">
        <v>122</v>
      </c>
      <c r="C1554" s="14" t="s">
        <v>189</v>
      </c>
      <c r="D1554" s="8" t="s">
        <v>2567</v>
      </c>
      <c r="E1554" s="14" t="s">
        <v>2601</v>
      </c>
    </row>
    <row r="1555">
      <c r="A1555" s="8" t="s">
        <v>5491</v>
      </c>
      <c r="B1555" s="8" t="s">
        <v>59</v>
      </c>
      <c r="C1555" s="14" t="s">
        <v>237</v>
      </c>
      <c r="D1555" s="8" t="s">
        <v>2574</v>
      </c>
      <c r="E1555" s="14" t="s">
        <v>2571</v>
      </c>
    </row>
    <row r="1556">
      <c r="A1556" s="8" t="s">
        <v>5492</v>
      </c>
      <c r="B1556" s="8" t="s">
        <v>122</v>
      </c>
      <c r="C1556" s="14" t="s">
        <v>1352</v>
      </c>
      <c r="D1556" s="8" t="s">
        <v>2595</v>
      </c>
      <c r="E1556" s="14" t="s">
        <v>2591</v>
      </c>
    </row>
    <row r="1557">
      <c r="A1557" s="8" t="s">
        <v>5493</v>
      </c>
      <c r="B1557" s="8" t="s">
        <v>24</v>
      </c>
      <c r="C1557" s="14" t="s">
        <v>2033</v>
      </c>
      <c r="D1557" s="8" t="s">
        <v>2575</v>
      </c>
      <c r="E1557" s="14" t="s">
        <v>2608</v>
      </c>
    </row>
    <row r="1558">
      <c r="A1558" s="8" t="s">
        <v>5494</v>
      </c>
      <c r="B1558" s="8" t="s">
        <v>186</v>
      </c>
      <c r="C1558" s="14" t="s">
        <v>459</v>
      </c>
      <c r="D1558" s="8" t="s">
        <v>2577</v>
      </c>
      <c r="E1558" s="14" t="s">
        <v>2565</v>
      </c>
    </row>
    <row r="1559">
      <c r="A1559" s="8" t="s">
        <v>5495</v>
      </c>
      <c r="B1559" s="8" t="s">
        <v>93</v>
      </c>
      <c r="C1559" s="14" t="s">
        <v>2296</v>
      </c>
      <c r="D1559" s="8" t="s">
        <v>2183</v>
      </c>
      <c r="E1559" s="14" t="s">
        <v>2570</v>
      </c>
    </row>
    <row r="1560">
      <c r="A1560" s="8" t="s">
        <v>5496</v>
      </c>
      <c r="B1560" s="8" t="s">
        <v>132</v>
      </c>
      <c r="C1560" s="14" t="s">
        <v>837</v>
      </c>
      <c r="D1560" s="8" t="s">
        <v>2567</v>
      </c>
      <c r="E1560" s="14" t="s">
        <v>2553</v>
      </c>
    </row>
    <row r="1561">
      <c r="A1561" s="8" t="s">
        <v>5497</v>
      </c>
      <c r="B1561" s="8" t="s">
        <v>70</v>
      </c>
      <c r="C1561" s="14" t="s">
        <v>459</v>
      </c>
      <c r="D1561" s="8" t="s">
        <v>2575</v>
      </c>
      <c r="E1561" s="14" t="s">
        <v>2633</v>
      </c>
    </row>
    <row r="1562">
      <c r="A1562" s="8" t="s">
        <v>5498</v>
      </c>
      <c r="B1562" s="8" t="s">
        <v>192</v>
      </c>
      <c r="C1562" s="14" t="s">
        <v>2296</v>
      </c>
      <c r="D1562" s="8" t="s">
        <v>2566</v>
      </c>
      <c r="E1562" s="14" t="s">
        <v>2609</v>
      </c>
    </row>
    <row r="1563">
      <c r="A1563" s="8" t="s">
        <v>5499</v>
      </c>
      <c r="B1563" s="8" t="s">
        <v>53</v>
      </c>
      <c r="C1563" s="14" t="s">
        <v>459</v>
      </c>
      <c r="D1563" s="8" t="s">
        <v>2585</v>
      </c>
      <c r="E1563" s="14" t="s">
        <v>2563</v>
      </c>
    </row>
    <row r="1564">
      <c r="A1564" s="8" t="s">
        <v>5500</v>
      </c>
      <c r="B1564" s="8" t="s">
        <v>70</v>
      </c>
      <c r="C1564" s="14" t="s">
        <v>2296</v>
      </c>
      <c r="D1564" s="8" t="s">
        <v>2581</v>
      </c>
      <c r="E1564" s="14" t="s">
        <v>2622</v>
      </c>
    </row>
    <row r="1565">
      <c r="A1565" s="8" t="s">
        <v>5501</v>
      </c>
      <c r="B1565" s="8" t="s">
        <v>53</v>
      </c>
      <c r="C1565" s="14" t="s">
        <v>631</v>
      </c>
      <c r="D1565" s="8" t="s">
        <v>2566</v>
      </c>
      <c r="E1565" s="14" t="s">
        <v>2573</v>
      </c>
    </row>
    <row r="1566">
      <c r="A1566" s="8" t="s">
        <v>5502</v>
      </c>
      <c r="B1566" s="8" t="s">
        <v>93</v>
      </c>
      <c r="C1566" s="14" t="s">
        <v>2033</v>
      </c>
      <c r="D1566" s="8" t="s">
        <v>2575</v>
      </c>
      <c r="E1566" s="14" t="s">
        <v>2625</v>
      </c>
    </row>
    <row r="1567">
      <c r="A1567" s="8" t="s">
        <v>5503</v>
      </c>
      <c r="B1567" s="8" t="s">
        <v>70</v>
      </c>
      <c r="C1567" s="14" t="s">
        <v>2033</v>
      </c>
      <c r="D1567" s="8" t="s">
        <v>2567</v>
      </c>
      <c r="E1567" s="14" t="s">
        <v>2588</v>
      </c>
    </row>
    <row r="1568">
      <c r="A1568" s="8" t="s">
        <v>5504</v>
      </c>
      <c r="B1568" s="8" t="s">
        <v>65</v>
      </c>
      <c r="C1568" s="14" t="s">
        <v>837</v>
      </c>
      <c r="D1568" s="8" t="s">
        <v>2584</v>
      </c>
      <c r="E1568" s="14" t="s">
        <v>2607</v>
      </c>
    </row>
    <row r="1569">
      <c r="A1569" s="8" t="s">
        <v>5505</v>
      </c>
      <c r="B1569" s="8" t="s">
        <v>59</v>
      </c>
      <c r="C1569" s="14" t="s">
        <v>2033</v>
      </c>
      <c r="D1569" s="8" t="s">
        <v>6304</v>
      </c>
      <c r="E1569" s="14" t="s">
        <v>2565</v>
      </c>
    </row>
    <row r="1570">
      <c r="A1570" s="8" t="s">
        <v>5506</v>
      </c>
      <c r="B1570" s="8" t="s">
        <v>65</v>
      </c>
      <c r="C1570" s="14" t="s">
        <v>1679</v>
      </c>
      <c r="D1570" s="8" t="s">
        <v>2558</v>
      </c>
      <c r="E1570" s="14" t="s">
        <v>2602</v>
      </c>
    </row>
    <row r="1571">
      <c r="A1571" s="8" t="s">
        <v>5507</v>
      </c>
      <c r="B1571" s="8" t="s">
        <v>80</v>
      </c>
      <c r="C1571" s="14" t="s">
        <v>1679</v>
      </c>
      <c r="D1571" s="8" t="s">
        <v>2593</v>
      </c>
      <c r="E1571" s="14" t="s">
        <v>2583</v>
      </c>
    </row>
    <row r="1572">
      <c r="A1572" s="8" t="s">
        <v>5508</v>
      </c>
      <c r="B1572" s="8" t="s">
        <v>186</v>
      </c>
      <c r="C1572" s="14" t="s">
        <v>837</v>
      </c>
      <c r="D1572" s="8" t="s">
        <v>2582</v>
      </c>
      <c r="E1572" s="14" t="s">
        <v>2579</v>
      </c>
    </row>
    <row r="1573">
      <c r="A1573" s="8" t="s">
        <v>5509</v>
      </c>
      <c r="B1573" s="8" t="s">
        <v>215</v>
      </c>
      <c r="C1573" s="14" t="s">
        <v>1352</v>
      </c>
      <c r="D1573" s="8" t="s">
        <v>2574</v>
      </c>
      <c r="E1573" s="14" t="s">
        <v>2563</v>
      </c>
    </row>
    <row r="1574">
      <c r="A1574" s="8" t="s">
        <v>5510</v>
      </c>
      <c r="B1574" s="8" t="s">
        <v>192</v>
      </c>
      <c r="C1574" s="14" t="s">
        <v>2296</v>
      </c>
      <c r="D1574" s="8" t="s">
        <v>2603</v>
      </c>
      <c r="E1574" s="14" t="s">
        <v>2568</v>
      </c>
    </row>
    <row r="1575">
      <c r="A1575" s="8" t="s">
        <v>5511</v>
      </c>
      <c r="B1575" s="8" t="s">
        <v>65</v>
      </c>
      <c r="C1575" s="14" t="s">
        <v>2296</v>
      </c>
      <c r="D1575" s="8" t="s">
        <v>2575</v>
      </c>
      <c r="E1575" s="14" t="s">
        <v>2590</v>
      </c>
    </row>
    <row r="1576">
      <c r="A1576" s="8" t="s">
        <v>5512</v>
      </c>
      <c r="B1576" s="8" t="s">
        <v>65</v>
      </c>
      <c r="C1576" s="14" t="s">
        <v>631</v>
      </c>
      <c r="D1576" s="8" t="s">
        <v>2585</v>
      </c>
      <c r="E1576" s="14" t="s">
        <v>2578</v>
      </c>
    </row>
    <row r="1577">
      <c r="A1577" s="8" t="s">
        <v>5513</v>
      </c>
      <c r="B1577" s="8" t="s">
        <v>132</v>
      </c>
      <c r="C1577" s="14" t="s">
        <v>108</v>
      </c>
      <c r="D1577" s="8" t="s">
        <v>2575</v>
      </c>
      <c r="E1577" s="14" t="s">
        <v>2616</v>
      </c>
    </row>
    <row r="1578">
      <c r="A1578" s="8" t="s">
        <v>5514</v>
      </c>
      <c r="B1578" s="8" t="s">
        <v>46</v>
      </c>
      <c r="C1578" s="14" t="s">
        <v>338</v>
      </c>
      <c r="D1578" s="8" t="s">
        <v>2595</v>
      </c>
      <c r="E1578" s="14" t="s">
        <v>2594</v>
      </c>
    </row>
    <row r="1579">
      <c r="A1579" s="8" t="s">
        <v>5515</v>
      </c>
      <c r="B1579" s="8" t="s">
        <v>93</v>
      </c>
      <c r="C1579" s="14" t="s">
        <v>2033</v>
      </c>
      <c r="D1579" s="8" t="s">
        <v>2595</v>
      </c>
      <c r="E1579" s="14" t="s">
        <v>2604</v>
      </c>
    </row>
    <row r="1580">
      <c r="A1580" s="8" t="s">
        <v>5516</v>
      </c>
      <c r="B1580" s="8" t="s">
        <v>75</v>
      </c>
      <c r="C1580" s="14" t="s">
        <v>1679</v>
      </c>
      <c r="D1580" s="8" t="s">
        <v>2562</v>
      </c>
      <c r="E1580" s="14" t="s">
        <v>2555</v>
      </c>
    </row>
    <row r="1581">
      <c r="A1581" s="8" t="s">
        <v>5517</v>
      </c>
      <c r="B1581" s="8" t="s">
        <v>80</v>
      </c>
      <c r="C1581" s="14" t="s">
        <v>2033</v>
      </c>
      <c r="D1581" s="8" t="s">
        <v>2567</v>
      </c>
      <c r="E1581" s="14" t="s">
        <v>2563</v>
      </c>
    </row>
    <row r="1582">
      <c r="A1582" s="8" t="s">
        <v>5518</v>
      </c>
      <c r="B1582" s="8" t="s">
        <v>65</v>
      </c>
      <c r="C1582" s="14" t="s">
        <v>1070</v>
      </c>
      <c r="D1582" s="8" t="s">
        <v>2605</v>
      </c>
      <c r="E1582" s="14" t="s">
        <v>2622</v>
      </c>
    </row>
    <row r="1583">
      <c r="A1583" s="8" t="s">
        <v>5519</v>
      </c>
      <c r="B1583" s="8" t="s">
        <v>65</v>
      </c>
      <c r="C1583" s="14" t="s">
        <v>459</v>
      </c>
      <c r="D1583" s="8" t="s">
        <v>2554</v>
      </c>
      <c r="E1583" s="14" t="s">
        <v>2633</v>
      </c>
    </row>
    <row r="1584">
      <c r="A1584" s="8" t="s">
        <v>5520</v>
      </c>
      <c r="B1584" s="8" t="s">
        <v>192</v>
      </c>
      <c r="C1584" s="14" t="s">
        <v>1070</v>
      </c>
      <c r="D1584" s="8" t="s">
        <v>2603</v>
      </c>
      <c r="E1584" s="14" t="s">
        <v>2555</v>
      </c>
    </row>
    <row r="1585">
      <c r="A1585" s="8" t="s">
        <v>5521</v>
      </c>
      <c r="B1585" s="8" t="s">
        <v>141</v>
      </c>
      <c r="C1585" s="14" t="s">
        <v>2033</v>
      </c>
      <c r="D1585" s="8" t="s">
        <v>6303</v>
      </c>
      <c r="E1585" s="14" t="s">
        <v>2576</v>
      </c>
    </row>
    <row r="1586">
      <c r="A1586" s="8" t="s">
        <v>5522</v>
      </c>
      <c r="B1586" s="8" t="s">
        <v>12</v>
      </c>
      <c r="C1586" s="14" t="s">
        <v>108</v>
      </c>
      <c r="D1586" s="8" t="s">
        <v>2558</v>
      </c>
      <c r="E1586" s="14" t="s">
        <v>2553</v>
      </c>
    </row>
    <row r="1587">
      <c r="A1587" s="8" t="s">
        <v>5523</v>
      </c>
      <c r="B1587" s="8" t="s">
        <v>186</v>
      </c>
      <c r="C1587" s="14" t="s">
        <v>338</v>
      </c>
      <c r="D1587" s="8" t="s">
        <v>2582</v>
      </c>
      <c r="E1587" s="14" t="s">
        <v>2590</v>
      </c>
    </row>
    <row r="1588">
      <c r="A1588" s="8" t="s">
        <v>5524</v>
      </c>
      <c r="B1588" s="8" t="s">
        <v>16</v>
      </c>
      <c r="C1588" s="14" t="s">
        <v>1679</v>
      </c>
      <c r="D1588" s="8" t="s">
        <v>2577</v>
      </c>
      <c r="E1588" s="14" t="s">
        <v>2579</v>
      </c>
    </row>
    <row r="1589">
      <c r="A1589" s="8" t="s">
        <v>5525</v>
      </c>
      <c r="B1589" s="8" t="s">
        <v>24</v>
      </c>
      <c r="C1589" s="14" t="s">
        <v>1352</v>
      </c>
      <c r="D1589" s="8" t="s">
        <v>2610</v>
      </c>
      <c r="E1589" s="14" t="s">
        <v>2563</v>
      </c>
    </row>
    <row r="1590">
      <c r="A1590" s="8" t="s">
        <v>5526</v>
      </c>
      <c r="B1590" s="8" t="s">
        <v>16</v>
      </c>
      <c r="C1590" s="14" t="s">
        <v>631</v>
      </c>
      <c r="D1590" s="8" t="s">
        <v>2587</v>
      </c>
      <c r="E1590" s="14" t="s">
        <v>2583</v>
      </c>
    </row>
    <row r="1591">
      <c r="A1591" s="8" t="s">
        <v>5527</v>
      </c>
      <c r="B1591" s="8" t="s">
        <v>38</v>
      </c>
      <c r="C1591" s="14" t="s">
        <v>237</v>
      </c>
      <c r="D1591" s="8" t="s">
        <v>2598</v>
      </c>
      <c r="E1591" s="14" t="s">
        <v>2586</v>
      </c>
    </row>
    <row r="1592">
      <c r="A1592" s="8" t="s">
        <v>5528</v>
      </c>
      <c r="B1592" s="8" t="s">
        <v>70</v>
      </c>
      <c r="C1592" s="14" t="s">
        <v>1679</v>
      </c>
      <c r="D1592" s="8" t="s">
        <v>2585</v>
      </c>
      <c r="E1592" s="14" t="s">
        <v>2588</v>
      </c>
    </row>
    <row r="1593">
      <c r="A1593" s="8" t="s">
        <v>5529</v>
      </c>
      <c r="B1593" s="8" t="s">
        <v>70</v>
      </c>
      <c r="C1593" s="14" t="s">
        <v>2459</v>
      </c>
      <c r="D1593" s="8" t="s">
        <v>2593</v>
      </c>
      <c r="E1593" s="14" t="s">
        <v>2576</v>
      </c>
    </row>
    <row r="1594">
      <c r="A1594" s="8" t="s">
        <v>5530</v>
      </c>
      <c r="B1594" s="8" t="s">
        <v>38</v>
      </c>
      <c r="C1594" s="14" t="s">
        <v>837</v>
      </c>
      <c r="D1594" s="8" t="s">
        <v>2560</v>
      </c>
      <c r="E1594" s="14" t="s">
        <v>2622</v>
      </c>
    </row>
    <row r="1595">
      <c r="A1595" s="8" t="s">
        <v>5531</v>
      </c>
      <c r="B1595" s="8" t="s">
        <v>138</v>
      </c>
      <c r="C1595" s="14" t="s">
        <v>2033</v>
      </c>
      <c r="D1595" s="8" t="s">
        <v>2621</v>
      </c>
      <c r="E1595" s="14" t="s">
        <v>2580</v>
      </c>
    </row>
    <row r="1596">
      <c r="A1596" s="8" t="s">
        <v>5532</v>
      </c>
      <c r="B1596" s="8" t="s">
        <v>149</v>
      </c>
      <c r="C1596" s="14" t="s">
        <v>837</v>
      </c>
      <c r="D1596" s="8" t="s">
        <v>2577</v>
      </c>
      <c r="E1596" s="14" t="s">
        <v>2579</v>
      </c>
    </row>
    <row r="1597">
      <c r="A1597" s="8" t="s">
        <v>5533</v>
      </c>
      <c r="B1597" s="8" t="s">
        <v>24</v>
      </c>
      <c r="C1597" s="14" t="s">
        <v>1679</v>
      </c>
      <c r="D1597" s="8" t="s">
        <v>2582</v>
      </c>
      <c r="E1597" s="14" t="s">
        <v>2568</v>
      </c>
    </row>
    <row r="1598">
      <c r="A1598" s="8" t="s">
        <v>5534</v>
      </c>
      <c r="B1598" s="8" t="s">
        <v>12</v>
      </c>
      <c r="C1598" s="14" t="s">
        <v>1352</v>
      </c>
      <c r="D1598" s="8" t="s">
        <v>2592</v>
      </c>
      <c r="E1598" s="14" t="s">
        <v>2591</v>
      </c>
    </row>
    <row r="1599">
      <c r="A1599" s="8" t="s">
        <v>5535</v>
      </c>
      <c r="B1599" s="8" t="s">
        <v>149</v>
      </c>
      <c r="C1599" s="14" t="s">
        <v>2033</v>
      </c>
      <c r="D1599" s="8" t="s">
        <v>2598</v>
      </c>
      <c r="E1599" s="14" t="s">
        <v>2628</v>
      </c>
    </row>
    <row r="1600">
      <c r="A1600" s="8" t="s">
        <v>5536</v>
      </c>
      <c r="B1600" s="8" t="s">
        <v>38</v>
      </c>
      <c r="C1600" s="14" t="s">
        <v>1352</v>
      </c>
      <c r="D1600" s="8" t="s">
        <v>2581</v>
      </c>
      <c r="E1600" s="14" t="s">
        <v>2590</v>
      </c>
    </row>
    <row r="1601">
      <c r="A1601" s="8" t="s">
        <v>5537</v>
      </c>
      <c r="B1601" s="8" t="s">
        <v>46</v>
      </c>
      <c r="C1601" s="14" t="s">
        <v>338</v>
      </c>
      <c r="D1601" s="8" t="s">
        <v>2562</v>
      </c>
      <c r="E1601" s="14" t="s">
        <v>2557</v>
      </c>
    </row>
    <row r="1602">
      <c r="A1602" s="8" t="s">
        <v>5538</v>
      </c>
      <c r="B1602" s="8" t="s">
        <v>24</v>
      </c>
      <c r="C1602" s="14" t="s">
        <v>1070</v>
      </c>
      <c r="D1602" s="8" t="s">
        <v>2600</v>
      </c>
      <c r="E1602" s="14" t="s">
        <v>2591</v>
      </c>
    </row>
    <row r="1603">
      <c r="A1603" s="8" t="s">
        <v>5539</v>
      </c>
      <c r="B1603" s="8" t="s">
        <v>53</v>
      </c>
      <c r="C1603" s="14" t="s">
        <v>1352</v>
      </c>
      <c r="D1603" s="8" t="s">
        <v>2587</v>
      </c>
      <c r="E1603" s="14" t="s">
        <v>2590</v>
      </c>
    </row>
    <row r="1604">
      <c r="A1604" s="8" t="s">
        <v>5540</v>
      </c>
      <c r="B1604" s="8" t="s">
        <v>24</v>
      </c>
      <c r="C1604" s="14" t="s">
        <v>108</v>
      </c>
      <c r="D1604" s="8" t="s">
        <v>2584</v>
      </c>
      <c r="E1604" s="14" t="s">
        <v>2638</v>
      </c>
    </row>
    <row r="1605">
      <c r="A1605" s="8" t="s">
        <v>5541</v>
      </c>
      <c r="B1605" s="8" t="s">
        <v>141</v>
      </c>
      <c r="C1605" s="14" t="s">
        <v>459</v>
      </c>
      <c r="D1605" s="8" t="s">
        <v>2574</v>
      </c>
      <c r="E1605" s="14" t="s">
        <v>2613</v>
      </c>
    </row>
    <row r="1606">
      <c r="A1606" s="8" t="s">
        <v>5542</v>
      </c>
      <c r="B1606" s="8" t="s">
        <v>12</v>
      </c>
      <c r="C1606" s="14" t="s">
        <v>83</v>
      </c>
      <c r="D1606" s="8" t="s">
        <v>2554</v>
      </c>
      <c r="E1606" s="14" t="s">
        <v>2586</v>
      </c>
    </row>
    <row r="1607">
      <c r="A1607" s="8" t="s">
        <v>5543</v>
      </c>
      <c r="B1607" s="8" t="s">
        <v>132</v>
      </c>
      <c r="C1607" s="14" t="s">
        <v>1679</v>
      </c>
      <c r="D1607" s="8" t="s">
        <v>2564</v>
      </c>
      <c r="E1607" s="14" t="s">
        <v>2570</v>
      </c>
    </row>
    <row r="1608">
      <c r="A1608" s="8" t="s">
        <v>5544</v>
      </c>
      <c r="B1608" s="8" t="s">
        <v>16</v>
      </c>
      <c r="C1608" s="14" t="s">
        <v>108</v>
      </c>
      <c r="D1608" s="8" t="s">
        <v>2598</v>
      </c>
      <c r="E1608" s="14" t="s">
        <v>2596</v>
      </c>
    </row>
    <row r="1609">
      <c r="A1609" s="8" t="s">
        <v>5545</v>
      </c>
      <c r="B1609" s="8" t="s">
        <v>16</v>
      </c>
      <c r="C1609" s="14" t="s">
        <v>27</v>
      </c>
      <c r="D1609" s="8" t="s">
        <v>2598</v>
      </c>
      <c r="E1609" s="14" t="s">
        <v>2618</v>
      </c>
    </row>
    <row r="1610">
      <c r="A1610" s="8" t="s">
        <v>5546</v>
      </c>
      <c r="B1610" s="8" t="s">
        <v>141</v>
      </c>
      <c r="C1610" s="14" t="s">
        <v>1070</v>
      </c>
      <c r="D1610" s="8" t="s">
        <v>2575</v>
      </c>
      <c r="E1610" s="14" t="s">
        <v>2591</v>
      </c>
    </row>
    <row r="1611">
      <c r="A1611" s="8" t="s">
        <v>5547</v>
      </c>
      <c r="B1611" s="8" t="s">
        <v>38</v>
      </c>
      <c r="C1611" s="14" t="s">
        <v>837</v>
      </c>
      <c r="D1611" s="8" t="s">
        <v>2552</v>
      </c>
      <c r="E1611" s="14" t="s">
        <v>2602</v>
      </c>
    </row>
    <row r="1612">
      <c r="A1612" s="8" t="s">
        <v>5548</v>
      </c>
      <c r="B1612" s="8" t="s">
        <v>59</v>
      </c>
      <c r="C1612" s="14" t="s">
        <v>2033</v>
      </c>
      <c r="D1612" s="8" t="s">
        <v>2567</v>
      </c>
      <c r="E1612" s="14" t="s">
        <v>2568</v>
      </c>
    </row>
    <row r="1613">
      <c r="A1613" s="8" t="s">
        <v>5549</v>
      </c>
      <c r="B1613" s="8" t="s">
        <v>70</v>
      </c>
      <c r="C1613" s="14" t="s">
        <v>1679</v>
      </c>
      <c r="D1613" s="8" t="s">
        <v>2595</v>
      </c>
      <c r="E1613" s="14" t="s">
        <v>2612</v>
      </c>
    </row>
    <row r="1614">
      <c r="A1614" s="8" t="s">
        <v>5550</v>
      </c>
      <c r="B1614" s="8" t="s">
        <v>138</v>
      </c>
      <c r="C1614" s="14" t="s">
        <v>1352</v>
      </c>
      <c r="D1614" s="8" t="s">
        <v>2582</v>
      </c>
      <c r="E1614" s="14" t="s">
        <v>2578</v>
      </c>
    </row>
    <row r="1615">
      <c r="A1615" s="8" t="s">
        <v>5551</v>
      </c>
      <c r="B1615" s="8" t="s">
        <v>53</v>
      </c>
      <c r="C1615" s="14" t="s">
        <v>837</v>
      </c>
      <c r="D1615" s="8" t="s">
        <v>2575</v>
      </c>
      <c r="E1615" s="14" t="s">
        <v>2599</v>
      </c>
    </row>
    <row r="1616">
      <c r="A1616" s="8" t="s">
        <v>5552</v>
      </c>
      <c r="B1616" s="8" t="s">
        <v>65</v>
      </c>
      <c r="C1616" s="14" t="s">
        <v>135</v>
      </c>
      <c r="D1616" s="8" t="s">
        <v>2600</v>
      </c>
      <c r="E1616" s="14" t="s">
        <v>2579</v>
      </c>
    </row>
    <row r="1617">
      <c r="A1617" s="8" t="s">
        <v>5553</v>
      </c>
      <c r="B1617" s="8" t="s">
        <v>16</v>
      </c>
      <c r="C1617" s="14" t="s">
        <v>237</v>
      </c>
      <c r="D1617" s="8" t="s">
        <v>2554</v>
      </c>
      <c r="E1617" s="14" t="s">
        <v>2608</v>
      </c>
    </row>
    <row r="1618">
      <c r="A1618" s="8" t="s">
        <v>5554</v>
      </c>
      <c r="B1618" s="8" t="s">
        <v>186</v>
      </c>
      <c r="C1618" s="14" t="s">
        <v>1679</v>
      </c>
      <c r="D1618" s="8" t="s">
        <v>2575</v>
      </c>
      <c r="E1618" s="14" t="s">
        <v>2570</v>
      </c>
    </row>
    <row r="1619">
      <c r="A1619" s="8" t="s">
        <v>5555</v>
      </c>
      <c r="B1619" s="8" t="s">
        <v>192</v>
      </c>
      <c r="C1619" s="14" t="s">
        <v>837</v>
      </c>
      <c r="D1619" s="8" t="s">
        <v>2567</v>
      </c>
      <c r="E1619" s="14" t="s">
        <v>2553</v>
      </c>
    </row>
    <row r="1620">
      <c r="A1620" s="8" t="s">
        <v>5556</v>
      </c>
      <c r="B1620" s="8" t="s">
        <v>186</v>
      </c>
      <c r="C1620" s="14" t="s">
        <v>631</v>
      </c>
      <c r="D1620" s="8" t="s">
        <v>2587</v>
      </c>
      <c r="E1620" s="14" t="s">
        <v>2563</v>
      </c>
    </row>
    <row r="1621">
      <c r="A1621" s="8" t="s">
        <v>5557</v>
      </c>
      <c r="B1621" s="8" t="s">
        <v>93</v>
      </c>
      <c r="C1621" s="14" t="s">
        <v>1352</v>
      </c>
      <c r="D1621" s="8" t="s">
        <v>2575</v>
      </c>
      <c r="E1621" s="14" t="s">
        <v>2573</v>
      </c>
    </row>
    <row r="1622">
      <c r="A1622" s="8" t="s">
        <v>5558</v>
      </c>
      <c r="B1622" s="8" t="s">
        <v>65</v>
      </c>
      <c r="C1622" s="14" t="s">
        <v>1070</v>
      </c>
      <c r="D1622" s="8" t="s">
        <v>2600</v>
      </c>
      <c r="E1622" s="14" t="s">
        <v>2573</v>
      </c>
    </row>
    <row r="1623">
      <c r="A1623" s="8" t="s">
        <v>5559</v>
      </c>
      <c r="B1623" s="8" t="s">
        <v>122</v>
      </c>
      <c r="C1623" s="14" t="s">
        <v>1679</v>
      </c>
      <c r="D1623" s="8" t="s">
        <v>6304</v>
      </c>
      <c r="E1623" s="14" t="s">
        <v>2586</v>
      </c>
    </row>
    <row r="1624">
      <c r="A1624" s="8" t="s">
        <v>5560</v>
      </c>
      <c r="B1624" s="8" t="s">
        <v>192</v>
      </c>
      <c r="C1624" s="14" t="s">
        <v>1679</v>
      </c>
      <c r="D1624" s="8" t="s">
        <v>2581</v>
      </c>
      <c r="E1624" s="14" t="s">
        <v>2583</v>
      </c>
    </row>
    <row r="1625">
      <c r="A1625" s="8" t="s">
        <v>5561</v>
      </c>
      <c r="B1625" s="8" t="s">
        <v>141</v>
      </c>
      <c r="C1625" s="14" t="s">
        <v>338</v>
      </c>
      <c r="D1625" s="8" t="s">
        <v>2577</v>
      </c>
      <c r="E1625" s="14" t="s">
        <v>2625</v>
      </c>
    </row>
    <row r="1626">
      <c r="A1626" s="8" t="s">
        <v>5562</v>
      </c>
      <c r="B1626" s="8" t="s">
        <v>141</v>
      </c>
      <c r="C1626" s="14" t="s">
        <v>1352</v>
      </c>
      <c r="D1626" s="8" t="s">
        <v>2562</v>
      </c>
      <c r="E1626" s="14" t="s">
        <v>2628</v>
      </c>
    </row>
    <row r="1627">
      <c r="A1627" s="8" t="s">
        <v>5563</v>
      </c>
      <c r="B1627" s="8" t="s">
        <v>75</v>
      </c>
      <c r="C1627" s="14" t="s">
        <v>837</v>
      </c>
      <c r="D1627" s="8" t="s">
        <v>6303</v>
      </c>
      <c r="E1627" s="14" t="s">
        <v>2594</v>
      </c>
    </row>
    <row r="1628">
      <c r="A1628" s="8" t="s">
        <v>5564</v>
      </c>
      <c r="B1628" s="8" t="s">
        <v>46</v>
      </c>
      <c r="C1628" s="14" t="s">
        <v>2033</v>
      </c>
      <c r="D1628" s="8" t="s">
        <v>2562</v>
      </c>
      <c r="E1628" s="14" t="s">
        <v>2579</v>
      </c>
    </row>
    <row r="1629">
      <c r="A1629" s="8" t="s">
        <v>5565</v>
      </c>
      <c r="B1629" s="8" t="s">
        <v>215</v>
      </c>
      <c r="C1629" s="14" t="s">
        <v>2296</v>
      </c>
      <c r="D1629" s="8" t="s">
        <v>6304</v>
      </c>
      <c r="E1629" s="14" t="s">
        <v>2568</v>
      </c>
    </row>
    <row r="1630">
      <c r="A1630" s="8" t="s">
        <v>5566</v>
      </c>
      <c r="B1630" s="8" t="s">
        <v>24</v>
      </c>
      <c r="C1630" s="14" t="s">
        <v>1352</v>
      </c>
      <c r="D1630" s="8" t="s">
        <v>6303</v>
      </c>
      <c r="E1630" s="14" t="s">
        <v>2571</v>
      </c>
    </row>
    <row r="1631">
      <c r="A1631" s="8" t="s">
        <v>5567</v>
      </c>
      <c r="B1631" s="8" t="s">
        <v>65</v>
      </c>
      <c r="C1631" s="14" t="s">
        <v>2459</v>
      </c>
      <c r="D1631" s="8" t="s">
        <v>2183</v>
      </c>
      <c r="E1631" s="14" t="s">
        <v>2591</v>
      </c>
    </row>
    <row r="1632">
      <c r="A1632" s="8" t="s">
        <v>5568</v>
      </c>
      <c r="B1632" s="8" t="s">
        <v>70</v>
      </c>
      <c r="C1632" s="14" t="s">
        <v>1070</v>
      </c>
      <c r="D1632" s="8" t="s">
        <v>2572</v>
      </c>
      <c r="E1632" s="14" t="s">
        <v>2559</v>
      </c>
    </row>
    <row r="1633">
      <c r="A1633" s="8" t="s">
        <v>5569</v>
      </c>
      <c r="B1633" s="8" t="s">
        <v>215</v>
      </c>
      <c r="C1633" s="14" t="s">
        <v>338</v>
      </c>
      <c r="D1633" s="8" t="s">
        <v>2572</v>
      </c>
      <c r="E1633" s="14" t="s">
        <v>2613</v>
      </c>
    </row>
    <row r="1634">
      <c r="A1634" s="8" t="s">
        <v>5570</v>
      </c>
      <c r="B1634" s="8" t="s">
        <v>80</v>
      </c>
      <c r="C1634" s="14" t="s">
        <v>631</v>
      </c>
      <c r="D1634" s="8" t="s">
        <v>2587</v>
      </c>
      <c r="E1634" s="14" t="s">
        <v>2633</v>
      </c>
    </row>
    <row r="1635">
      <c r="A1635" s="8" t="s">
        <v>5571</v>
      </c>
      <c r="B1635" s="8" t="s">
        <v>186</v>
      </c>
      <c r="C1635" s="14" t="s">
        <v>1679</v>
      </c>
      <c r="D1635" s="8" t="s">
        <v>2593</v>
      </c>
      <c r="E1635" s="14" t="s">
        <v>2563</v>
      </c>
    </row>
    <row r="1636">
      <c r="A1636" s="8" t="s">
        <v>5572</v>
      </c>
      <c r="B1636" s="8" t="s">
        <v>12</v>
      </c>
      <c r="C1636" s="14" t="s">
        <v>1679</v>
      </c>
      <c r="D1636" s="8" t="s">
        <v>2572</v>
      </c>
      <c r="E1636" s="14" t="s">
        <v>2573</v>
      </c>
    </row>
    <row r="1637">
      <c r="A1637" s="8" t="s">
        <v>5573</v>
      </c>
      <c r="B1637" s="8" t="s">
        <v>138</v>
      </c>
      <c r="C1637" s="14" t="s">
        <v>135</v>
      </c>
      <c r="D1637" s="8" t="s">
        <v>2600</v>
      </c>
      <c r="E1637" s="14" t="s">
        <v>2625</v>
      </c>
    </row>
    <row r="1638">
      <c r="A1638" s="8" t="s">
        <v>5573</v>
      </c>
      <c r="B1638" s="8" t="s">
        <v>122</v>
      </c>
      <c r="C1638" s="14" t="s">
        <v>1070</v>
      </c>
      <c r="D1638" s="8" t="s">
        <v>2598</v>
      </c>
      <c r="E1638" s="14" t="s">
        <v>2583</v>
      </c>
    </row>
    <row r="1639">
      <c r="A1639" s="8" t="s">
        <v>5574</v>
      </c>
      <c r="B1639" s="8" t="s">
        <v>138</v>
      </c>
      <c r="C1639" s="14" t="s">
        <v>631</v>
      </c>
      <c r="D1639" s="8" t="s">
        <v>2593</v>
      </c>
      <c r="E1639" s="14" t="s">
        <v>2611</v>
      </c>
    </row>
    <row r="1640">
      <c r="A1640" s="8" t="s">
        <v>5575</v>
      </c>
      <c r="B1640" s="8" t="s">
        <v>261</v>
      </c>
      <c r="C1640" s="14" t="s">
        <v>837</v>
      </c>
      <c r="D1640" s="8" t="s">
        <v>2595</v>
      </c>
      <c r="E1640" s="14" t="s">
        <v>2579</v>
      </c>
    </row>
    <row r="1641">
      <c r="A1641" s="8" t="s">
        <v>5576</v>
      </c>
      <c r="B1641" s="8" t="s">
        <v>93</v>
      </c>
      <c r="C1641" s="14" t="s">
        <v>1679</v>
      </c>
      <c r="D1641" s="8" t="s">
        <v>2572</v>
      </c>
      <c r="E1641" s="14" t="s">
        <v>2565</v>
      </c>
    </row>
    <row r="1642">
      <c r="A1642" s="8" t="s">
        <v>5577</v>
      </c>
      <c r="B1642" s="8" t="s">
        <v>75</v>
      </c>
      <c r="C1642" s="14" t="s">
        <v>2296</v>
      </c>
      <c r="D1642" s="8" t="s">
        <v>2581</v>
      </c>
      <c r="E1642" s="14" t="s">
        <v>2583</v>
      </c>
    </row>
    <row r="1643">
      <c r="A1643" s="8" t="s">
        <v>5578</v>
      </c>
      <c r="B1643" s="8" t="s">
        <v>38</v>
      </c>
      <c r="C1643" s="14" t="s">
        <v>2033</v>
      </c>
      <c r="D1643" s="8" t="s">
        <v>2603</v>
      </c>
      <c r="E1643" s="14" t="s">
        <v>2578</v>
      </c>
    </row>
    <row r="1644">
      <c r="A1644" s="8" t="s">
        <v>5579</v>
      </c>
      <c r="B1644" s="8" t="s">
        <v>215</v>
      </c>
      <c r="C1644" s="14" t="s">
        <v>2033</v>
      </c>
      <c r="D1644" s="8" t="s">
        <v>6303</v>
      </c>
      <c r="E1644" s="14" t="s">
        <v>2563</v>
      </c>
    </row>
    <row r="1645">
      <c r="A1645" s="8" t="s">
        <v>5580</v>
      </c>
      <c r="B1645" s="8" t="s">
        <v>132</v>
      </c>
      <c r="C1645" s="14" t="s">
        <v>1352</v>
      </c>
      <c r="D1645" s="8" t="s">
        <v>2581</v>
      </c>
      <c r="E1645" s="14" t="s">
        <v>2570</v>
      </c>
    </row>
    <row r="1646">
      <c r="A1646" s="8" t="s">
        <v>5581</v>
      </c>
      <c r="B1646" s="8" t="s">
        <v>65</v>
      </c>
      <c r="C1646" s="14" t="s">
        <v>459</v>
      </c>
      <c r="D1646" s="8" t="s">
        <v>2575</v>
      </c>
      <c r="E1646" s="14" t="s">
        <v>2591</v>
      </c>
    </row>
    <row r="1647">
      <c r="A1647" s="8" t="s">
        <v>5582</v>
      </c>
      <c r="B1647" s="8" t="s">
        <v>65</v>
      </c>
      <c r="C1647" s="14" t="s">
        <v>2033</v>
      </c>
      <c r="D1647" s="8" t="s">
        <v>2614</v>
      </c>
      <c r="E1647" s="14" t="s">
        <v>2586</v>
      </c>
    </row>
    <row r="1648">
      <c r="A1648" s="8" t="s">
        <v>5583</v>
      </c>
      <c r="B1648" s="8" t="s">
        <v>122</v>
      </c>
      <c r="C1648" s="14" t="s">
        <v>2033</v>
      </c>
      <c r="D1648" s="8" t="s">
        <v>2584</v>
      </c>
      <c r="E1648" s="14" t="s">
        <v>2618</v>
      </c>
    </row>
    <row r="1649">
      <c r="A1649" s="8" t="s">
        <v>5584</v>
      </c>
      <c r="B1649" s="8" t="s">
        <v>93</v>
      </c>
      <c r="C1649" s="14" t="s">
        <v>2296</v>
      </c>
      <c r="D1649" s="8" t="s">
        <v>2614</v>
      </c>
      <c r="E1649" s="14" t="s">
        <v>2563</v>
      </c>
    </row>
    <row r="1650">
      <c r="A1650" s="8" t="s">
        <v>5585</v>
      </c>
      <c r="B1650" s="8" t="s">
        <v>93</v>
      </c>
      <c r="C1650" s="14" t="s">
        <v>1352</v>
      </c>
      <c r="D1650" s="8" t="s">
        <v>2621</v>
      </c>
      <c r="E1650" s="14" t="s">
        <v>2583</v>
      </c>
    </row>
    <row r="1651">
      <c r="A1651" s="8" t="s">
        <v>5585</v>
      </c>
      <c r="B1651" s="8" t="s">
        <v>141</v>
      </c>
      <c r="C1651" s="14" t="s">
        <v>2459</v>
      </c>
      <c r="D1651" s="8" t="s">
        <v>2610</v>
      </c>
      <c r="E1651" s="14" t="s">
        <v>2580</v>
      </c>
    </row>
    <row r="1652">
      <c r="A1652" s="8" t="s">
        <v>5586</v>
      </c>
      <c r="B1652" s="8" t="s">
        <v>93</v>
      </c>
      <c r="C1652" s="14" t="s">
        <v>1679</v>
      </c>
      <c r="D1652" s="8" t="s">
        <v>2605</v>
      </c>
      <c r="E1652" s="14" t="s">
        <v>2580</v>
      </c>
    </row>
    <row r="1653">
      <c r="A1653" s="8" t="s">
        <v>5587</v>
      </c>
      <c r="B1653" s="8" t="s">
        <v>149</v>
      </c>
      <c r="C1653" s="14" t="s">
        <v>237</v>
      </c>
      <c r="D1653" s="8" t="s">
        <v>2595</v>
      </c>
      <c r="E1653" s="14" t="s">
        <v>2580</v>
      </c>
    </row>
    <row r="1654">
      <c r="A1654" s="8" t="s">
        <v>5588</v>
      </c>
      <c r="B1654" s="8" t="s">
        <v>38</v>
      </c>
      <c r="C1654" s="14" t="s">
        <v>837</v>
      </c>
      <c r="D1654" s="8" t="s">
        <v>2574</v>
      </c>
      <c r="E1654" s="14" t="s">
        <v>2607</v>
      </c>
    </row>
    <row r="1655">
      <c r="A1655" s="8" t="s">
        <v>5589</v>
      </c>
      <c r="B1655" s="8" t="s">
        <v>122</v>
      </c>
      <c r="C1655" s="14" t="s">
        <v>1070</v>
      </c>
      <c r="D1655" s="8" t="s">
        <v>2575</v>
      </c>
      <c r="E1655" s="14" t="s">
        <v>2559</v>
      </c>
    </row>
    <row r="1656">
      <c r="A1656" s="8" t="s">
        <v>5590</v>
      </c>
      <c r="B1656" s="8" t="s">
        <v>24</v>
      </c>
      <c r="C1656" s="14" t="s">
        <v>1352</v>
      </c>
      <c r="D1656" s="8" t="s">
        <v>2554</v>
      </c>
      <c r="E1656" s="14" t="s">
        <v>2565</v>
      </c>
    </row>
    <row r="1657">
      <c r="A1657" s="8" t="s">
        <v>5591</v>
      </c>
      <c r="B1657" s="8" t="s">
        <v>132</v>
      </c>
      <c r="C1657" s="14" t="s">
        <v>631</v>
      </c>
      <c r="D1657" s="8" t="s">
        <v>2572</v>
      </c>
      <c r="E1657" s="14" t="s">
        <v>2622</v>
      </c>
    </row>
    <row r="1658">
      <c r="A1658" s="8" t="s">
        <v>5592</v>
      </c>
      <c r="B1658" s="8" t="s">
        <v>65</v>
      </c>
      <c r="C1658" s="14" t="s">
        <v>1070</v>
      </c>
      <c r="D1658" s="8" t="s">
        <v>2595</v>
      </c>
      <c r="E1658" s="14" t="s">
        <v>2639</v>
      </c>
    </row>
    <row r="1659">
      <c r="A1659" s="8" t="s">
        <v>5592</v>
      </c>
      <c r="B1659" s="8" t="s">
        <v>192</v>
      </c>
      <c r="C1659" s="14" t="s">
        <v>459</v>
      </c>
      <c r="D1659" s="8" t="s">
        <v>2566</v>
      </c>
      <c r="E1659" s="14" t="s">
        <v>2565</v>
      </c>
    </row>
    <row r="1660">
      <c r="A1660" s="8" t="s">
        <v>5593</v>
      </c>
      <c r="B1660" s="8" t="s">
        <v>70</v>
      </c>
      <c r="C1660" s="14" t="s">
        <v>1679</v>
      </c>
      <c r="D1660" s="8" t="s">
        <v>2552</v>
      </c>
      <c r="E1660" s="14" t="s">
        <v>2568</v>
      </c>
    </row>
    <row r="1661">
      <c r="A1661" s="8" t="s">
        <v>5594</v>
      </c>
      <c r="B1661" s="8" t="s">
        <v>215</v>
      </c>
      <c r="C1661" s="14" t="s">
        <v>338</v>
      </c>
      <c r="D1661" s="8" t="s">
        <v>2558</v>
      </c>
      <c r="E1661" s="14" t="s">
        <v>2604</v>
      </c>
    </row>
    <row r="1662">
      <c r="A1662" s="8" t="s">
        <v>5595</v>
      </c>
      <c r="B1662" s="8" t="s">
        <v>70</v>
      </c>
      <c r="C1662" s="14" t="s">
        <v>1070</v>
      </c>
      <c r="D1662" s="8" t="s">
        <v>2605</v>
      </c>
      <c r="E1662" s="14" t="s">
        <v>2590</v>
      </c>
    </row>
    <row r="1663">
      <c r="A1663" s="8" t="s">
        <v>5596</v>
      </c>
      <c r="B1663" s="8" t="s">
        <v>80</v>
      </c>
      <c r="C1663" s="14" t="s">
        <v>2033</v>
      </c>
      <c r="D1663" s="8" t="s">
        <v>2592</v>
      </c>
      <c r="E1663" s="14" t="s">
        <v>2622</v>
      </c>
    </row>
    <row r="1664">
      <c r="A1664" s="8" t="s">
        <v>5597</v>
      </c>
      <c r="B1664" s="8" t="s">
        <v>65</v>
      </c>
      <c r="C1664" s="14" t="s">
        <v>1070</v>
      </c>
      <c r="D1664" s="8" t="s">
        <v>2592</v>
      </c>
      <c r="E1664" s="14" t="s">
        <v>2616</v>
      </c>
    </row>
    <row r="1665">
      <c r="A1665" s="8" t="s">
        <v>5598</v>
      </c>
      <c r="B1665" s="8" t="s">
        <v>93</v>
      </c>
      <c r="C1665" s="14" t="s">
        <v>1679</v>
      </c>
      <c r="D1665" s="8" t="s">
        <v>2554</v>
      </c>
      <c r="E1665" s="14" t="s">
        <v>2565</v>
      </c>
    </row>
    <row r="1666">
      <c r="A1666" s="8" t="s">
        <v>5599</v>
      </c>
      <c r="B1666" s="8" t="s">
        <v>24</v>
      </c>
      <c r="C1666" s="14" t="s">
        <v>2033</v>
      </c>
      <c r="D1666" s="8" t="s">
        <v>2581</v>
      </c>
      <c r="E1666" s="14" t="s">
        <v>2601</v>
      </c>
    </row>
    <row r="1667">
      <c r="A1667" s="8" t="s">
        <v>5600</v>
      </c>
      <c r="B1667" s="8" t="s">
        <v>16</v>
      </c>
      <c r="C1667" s="14" t="s">
        <v>459</v>
      </c>
      <c r="D1667" s="8" t="s">
        <v>6304</v>
      </c>
      <c r="E1667" s="14" t="s">
        <v>2594</v>
      </c>
    </row>
    <row r="1668">
      <c r="A1668" s="8" t="s">
        <v>5601</v>
      </c>
      <c r="B1668" s="8" t="s">
        <v>93</v>
      </c>
      <c r="C1668" s="14" t="s">
        <v>1352</v>
      </c>
      <c r="D1668" s="8" t="s">
        <v>2577</v>
      </c>
      <c r="E1668" s="14" t="s">
        <v>2607</v>
      </c>
    </row>
    <row r="1669">
      <c r="A1669" s="8" t="s">
        <v>5602</v>
      </c>
      <c r="B1669" s="8" t="s">
        <v>93</v>
      </c>
      <c r="C1669" s="14" t="s">
        <v>2296</v>
      </c>
      <c r="D1669" s="8" t="s">
        <v>2552</v>
      </c>
      <c r="E1669" s="14" t="s">
        <v>2591</v>
      </c>
    </row>
    <row r="1670">
      <c r="A1670" s="8" t="s">
        <v>5603</v>
      </c>
      <c r="B1670" s="8" t="s">
        <v>59</v>
      </c>
      <c r="C1670" s="14" t="s">
        <v>631</v>
      </c>
      <c r="D1670" s="8" t="s">
        <v>2581</v>
      </c>
      <c r="E1670" s="14" t="s">
        <v>2568</v>
      </c>
    </row>
    <row r="1671">
      <c r="A1671" s="8" t="s">
        <v>5604</v>
      </c>
      <c r="B1671" s="8" t="s">
        <v>75</v>
      </c>
      <c r="C1671" s="14" t="s">
        <v>189</v>
      </c>
      <c r="D1671" s="8" t="s">
        <v>2603</v>
      </c>
      <c r="E1671" s="14" t="s">
        <v>2553</v>
      </c>
    </row>
    <row r="1672">
      <c r="A1672" s="8" t="s">
        <v>5605</v>
      </c>
      <c r="B1672" s="8" t="s">
        <v>75</v>
      </c>
      <c r="C1672" s="14" t="s">
        <v>837</v>
      </c>
      <c r="D1672" s="8" t="s">
        <v>2592</v>
      </c>
      <c r="E1672" s="14" t="s">
        <v>2618</v>
      </c>
    </row>
    <row r="1673">
      <c r="A1673" s="8" t="s">
        <v>5606</v>
      </c>
      <c r="B1673" s="8" t="s">
        <v>215</v>
      </c>
      <c r="C1673" s="14" t="s">
        <v>1352</v>
      </c>
      <c r="D1673" s="8" t="s">
        <v>2587</v>
      </c>
      <c r="E1673" s="14" t="s">
        <v>2555</v>
      </c>
    </row>
    <row r="1674">
      <c r="A1674" s="8" t="s">
        <v>5607</v>
      </c>
      <c r="B1674" s="8" t="s">
        <v>149</v>
      </c>
      <c r="C1674" s="14" t="s">
        <v>1679</v>
      </c>
      <c r="D1674" s="8" t="s">
        <v>2585</v>
      </c>
      <c r="E1674" s="14" t="s">
        <v>2578</v>
      </c>
    </row>
    <row r="1675">
      <c r="A1675" s="8" t="s">
        <v>5608</v>
      </c>
      <c r="B1675" s="8" t="s">
        <v>122</v>
      </c>
      <c r="C1675" s="14" t="s">
        <v>631</v>
      </c>
      <c r="D1675" s="8" t="s">
        <v>2600</v>
      </c>
      <c r="E1675" s="14" t="s">
        <v>2565</v>
      </c>
    </row>
    <row r="1676">
      <c r="A1676" s="8" t="s">
        <v>5609</v>
      </c>
      <c r="B1676" s="8" t="s">
        <v>132</v>
      </c>
      <c r="C1676" s="14" t="s">
        <v>237</v>
      </c>
      <c r="D1676" s="8" t="s">
        <v>2585</v>
      </c>
      <c r="E1676" s="14" t="s">
        <v>2601</v>
      </c>
    </row>
    <row r="1677">
      <c r="A1677" s="8" t="s">
        <v>5610</v>
      </c>
      <c r="B1677" s="8" t="s">
        <v>141</v>
      </c>
      <c r="C1677" s="14" t="s">
        <v>338</v>
      </c>
      <c r="D1677" s="8" t="s">
        <v>2572</v>
      </c>
      <c r="E1677" s="14" t="s">
        <v>2588</v>
      </c>
    </row>
    <row r="1678">
      <c r="A1678" s="8" t="s">
        <v>5611</v>
      </c>
      <c r="B1678" s="8" t="s">
        <v>149</v>
      </c>
      <c r="C1678" s="14" t="s">
        <v>338</v>
      </c>
      <c r="D1678" s="8" t="s">
        <v>2566</v>
      </c>
      <c r="E1678" s="14" t="s">
        <v>2622</v>
      </c>
    </row>
    <row r="1679">
      <c r="A1679" s="8" t="s">
        <v>5612</v>
      </c>
      <c r="B1679" s="8" t="s">
        <v>65</v>
      </c>
      <c r="C1679" s="14" t="s">
        <v>1352</v>
      </c>
      <c r="D1679" s="8" t="s">
        <v>2593</v>
      </c>
      <c r="E1679" s="14" t="s">
        <v>2576</v>
      </c>
    </row>
    <row r="1680">
      <c r="A1680" s="8" t="s">
        <v>5613</v>
      </c>
      <c r="B1680" s="8" t="s">
        <v>192</v>
      </c>
      <c r="C1680" s="14" t="s">
        <v>1070</v>
      </c>
      <c r="D1680" s="8" t="s">
        <v>2558</v>
      </c>
      <c r="E1680" s="14" t="s">
        <v>2583</v>
      </c>
    </row>
    <row r="1681">
      <c r="A1681" s="8" t="s">
        <v>5614</v>
      </c>
      <c r="B1681" s="8" t="s">
        <v>70</v>
      </c>
      <c r="C1681" s="14" t="s">
        <v>2296</v>
      </c>
      <c r="D1681" s="8" t="s">
        <v>2614</v>
      </c>
      <c r="E1681" s="14" t="s">
        <v>2583</v>
      </c>
    </row>
    <row r="1682">
      <c r="A1682" s="8" t="s">
        <v>5615</v>
      </c>
      <c r="B1682" s="8" t="s">
        <v>16</v>
      </c>
      <c r="C1682" s="14" t="s">
        <v>1679</v>
      </c>
      <c r="D1682" s="8" t="s">
        <v>2614</v>
      </c>
      <c r="E1682" s="14" t="s">
        <v>2569</v>
      </c>
    </row>
    <row r="1683">
      <c r="A1683" s="8" t="s">
        <v>5616</v>
      </c>
      <c r="B1683" s="8" t="s">
        <v>65</v>
      </c>
      <c r="C1683" s="14" t="s">
        <v>1679</v>
      </c>
      <c r="D1683" s="8" t="s">
        <v>2572</v>
      </c>
      <c r="E1683" s="14" t="s">
        <v>2599</v>
      </c>
    </row>
    <row r="1684">
      <c r="A1684" s="8" t="s">
        <v>5617</v>
      </c>
      <c r="B1684" s="8" t="s">
        <v>24</v>
      </c>
      <c r="C1684" s="14" t="s">
        <v>135</v>
      </c>
      <c r="D1684" s="8" t="s">
        <v>2572</v>
      </c>
      <c r="E1684" s="14" t="s">
        <v>13</v>
      </c>
    </row>
    <row r="1685">
      <c r="A1685" s="8" t="s">
        <v>5618</v>
      </c>
      <c r="B1685" s="8" t="s">
        <v>65</v>
      </c>
      <c r="C1685" s="14" t="s">
        <v>2296</v>
      </c>
      <c r="D1685" s="8" t="s">
        <v>2575</v>
      </c>
      <c r="E1685" s="14" t="s">
        <v>2573</v>
      </c>
    </row>
    <row r="1686">
      <c r="A1686" s="8" t="s">
        <v>5619</v>
      </c>
      <c r="B1686" s="8" t="s">
        <v>192</v>
      </c>
      <c r="C1686" s="14" t="s">
        <v>1070</v>
      </c>
      <c r="D1686" s="8" t="s">
        <v>2554</v>
      </c>
      <c r="E1686" s="14" t="s">
        <v>2591</v>
      </c>
    </row>
    <row r="1687">
      <c r="A1687" s="8" t="s">
        <v>5620</v>
      </c>
      <c r="B1687" s="8" t="s">
        <v>70</v>
      </c>
      <c r="C1687" s="14" t="s">
        <v>2296</v>
      </c>
      <c r="D1687" s="8" t="s">
        <v>2564</v>
      </c>
      <c r="E1687" s="14" t="s">
        <v>2565</v>
      </c>
    </row>
    <row r="1688">
      <c r="A1688" s="8" t="s">
        <v>5621</v>
      </c>
      <c r="B1688" s="8" t="s">
        <v>80</v>
      </c>
      <c r="C1688" s="14" t="s">
        <v>2296</v>
      </c>
      <c r="D1688" s="8" t="s">
        <v>2581</v>
      </c>
      <c r="E1688" s="14" t="s">
        <v>2607</v>
      </c>
    </row>
    <row r="1689">
      <c r="A1689" s="8" t="s">
        <v>5622</v>
      </c>
      <c r="B1689" s="8" t="s">
        <v>141</v>
      </c>
      <c r="C1689" s="14" t="s">
        <v>837</v>
      </c>
      <c r="D1689" s="8" t="s">
        <v>2587</v>
      </c>
      <c r="E1689" s="14" t="s">
        <v>2599</v>
      </c>
    </row>
    <row r="1690">
      <c r="A1690" s="8" t="s">
        <v>5623</v>
      </c>
      <c r="B1690" s="8" t="s">
        <v>38</v>
      </c>
      <c r="C1690" s="14" t="s">
        <v>837</v>
      </c>
      <c r="D1690" s="8" t="s">
        <v>2585</v>
      </c>
      <c r="E1690" s="14" t="s">
        <v>2622</v>
      </c>
    </row>
    <row r="1691">
      <c r="A1691" s="8" t="s">
        <v>5624</v>
      </c>
      <c r="B1691" s="8" t="s">
        <v>122</v>
      </c>
      <c r="C1691" s="14" t="s">
        <v>1070</v>
      </c>
      <c r="D1691" s="8" t="s">
        <v>2554</v>
      </c>
      <c r="E1691" s="14" t="s">
        <v>2563</v>
      </c>
    </row>
    <row r="1692">
      <c r="A1692" s="8" t="s">
        <v>5625</v>
      </c>
      <c r="B1692" s="8" t="s">
        <v>149</v>
      </c>
      <c r="C1692" s="14" t="s">
        <v>338</v>
      </c>
      <c r="D1692" s="8" t="s">
        <v>2183</v>
      </c>
      <c r="E1692" s="14" t="s">
        <v>2634</v>
      </c>
    </row>
    <row r="1693">
      <c r="A1693" s="8" t="s">
        <v>5626</v>
      </c>
      <c r="B1693" s="8" t="s">
        <v>16</v>
      </c>
      <c r="C1693" s="14" t="s">
        <v>1352</v>
      </c>
      <c r="D1693" s="8" t="s">
        <v>2605</v>
      </c>
      <c r="E1693" s="14" t="s">
        <v>2601</v>
      </c>
    </row>
    <row r="1694">
      <c r="A1694" s="8" t="s">
        <v>5627</v>
      </c>
      <c r="B1694" s="8" t="s">
        <v>24</v>
      </c>
      <c r="C1694" s="14" t="s">
        <v>1352</v>
      </c>
      <c r="D1694" s="8" t="s">
        <v>2567</v>
      </c>
      <c r="E1694" s="14" t="s">
        <v>2591</v>
      </c>
    </row>
    <row r="1695">
      <c r="A1695" s="8" t="s">
        <v>5628</v>
      </c>
      <c r="B1695" s="8" t="s">
        <v>65</v>
      </c>
      <c r="C1695" s="14" t="s">
        <v>338</v>
      </c>
      <c r="D1695" s="8" t="s">
        <v>2598</v>
      </c>
      <c r="E1695" s="14" t="s">
        <v>2588</v>
      </c>
    </row>
    <row r="1696">
      <c r="A1696" s="8" t="s">
        <v>5629</v>
      </c>
      <c r="B1696" s="8" t="s">
        <v>80</v>
      </c>
      <c r="C1696" s="14" t="s">
        <v>2033</v>
      </c>
      <c r="D1696" s="8" t="s">
        <v>2582</v>
      </c>
      <c r="E1696" s="14" t="s">
        <v>2573</v>
      </c>
    </row>
    <row r="1697">
      <c r="A1697" s="8" t="s">
        <v>5630</v>
      </c>
      <c r="B1697" s="8" t="s">
        <v>59</v>
      </c>
      <c r="C1697" s="14" t="s">
        <v>2296</v>
      </c>
      <c r="D1697" s="8" t="s">
        <v>2582</v>
      </c>
      <c r="E1697" s="14" t="s">
        <v>2602</v>
      </c>
    </row>
    <row r="1698">
      <c r="A1698" s="8" t="s">
        <v>5631</v>
      </c>
      <c r="B1698" s="8" t="s">
        <v>215</v>
      </c>
      <c r="C1698" s="14" t="s">
        <v>1679</v>
      </c>
      <c r="D1698" s="8" t="s">
        <v>2558</v>
      </c>
      <c r="E1698" s="14" t="s">
        <v>2563</v>
      </c>
    </row>
    <row r="1699">
      <c r="A1699" s="8" t="s">
        <v>5632</v>
      </c>
      <c r="B1699" s="8" t="s">
        <v>93</v>
      </c>
      <c r="C1699" s="14" t="s">
        <v>1679</v>
      </c>
      <c r="D1699" s="8" t="s">
        <v>6304</v>
      </c>
      <c r="E1699" s="14" t="s">
        <v>2606</v>
      </c>
    </row>
    <row r="1700">
      <c r="A1700" s="8" t="s">
        <v>5633</v>
      </c>
      <c r="B1700" s="8" t="s">
        <v>192</v>
      </c>
      <c r="C1700" s="14" t="s">
        <v>338</v>
      </c>
      <c r="D1700" s="8" t="s">
        <v>2615</v>
      </c>
      <c r="E1700" s="14" t="s">
        <v>2553</v>
      </c>
    </row>
    <row r="1701">
      <c r="A1701" s="8" t="s">
        <v>5634</v>
      </c>
      <c r="B1701" s="8" t="s">
        <v>24</v>
      </c>
      <c r="C1701" s="14" t="s">
        <v>135</v>
      </c>
      <c r="D1701" s="8" t="s">
        <v>2575</v>
      </c>
      <c r="E1701" s="14" t="s">
        <v>2629</v>
      </c>
    </row>
    <row r="1702">
      <c r="A1702" s="8" t="s">
        <v>5635</v>
      </c>
      <c r="B1702" s="8" t="s">
        <v>138</v>
      </c>
      <c r="C1702" s="14" t="s">
        <v>1679</v>
      </c>
      <c r="D1702" s="8" t="s">
        <v>2593</v>
      </c>
      <c r="E1702" s="14" t="s">
        <v>2573</v>
      </c>
    </row>
    <row r="1703">
      <c r="A1703" s="8" t="s">
        <v>5636</v>
      </c>
      <c r="B1703" s="8" t="s">
        <v>149</v>
      </c>
      <c r="C1703" s="14" t="s">
        <v>631</v>
      </c>
      <c r="D1703" s="8" t="s">
        <v>2582</v>
      </c>
      <c r="E1703" s="14" t="s">
        <v>2601</v>
      </c>
    </row>
    <row r="1704">
      <c r="A1704" s="8" t="s">
        <v>5637</v>
      </c>
      <c r="B1704" s="8" t="s">
        <v>24</v>
      </c>
      <c r="C1704" s="14" t="s">
        <v>1352</v>
      </c>
      <c r="D1704" s="8" t="s">
        <v>2610</v>
      </c>
      <c r="E1704" s="14" t="s">
        <v>2583</v>
      </c>
    </row>
    <row r="1705">
      <c r="A1705" s="8" t="s">
        <v>5638</v>
      </c>
      <c r="B1705" s="8" t="s">
        <v>59</v>
      </c>
      <c r="C1705" s="14" t="s">
        <v>631</v>
      </c>
      <c r="D1705" s="8" t="s">
        <v>2603</v>
      </c>
      <c r="E1705" s="14" t="s">
        <v>2599</v>
      </c>
    </row>
    <row r="1706">
      <c r="A1706" s="8" t="s">
        <v>5639</v>
      </c>
      <c r="B1706" s="8" t="s">
        <v>24</v>
      </c>
      <c r="C1706" s="14" t="s">
        <v>837</v>
      </c>
      <c r="D1706" s="8" t="s">
        <v>2621</v>
      </c>
      <c r="E1706" s="14" t="s">
        <v>2565</v>
      </c>
    </row>
    <row r="1707">
      <c r="A1707" s="8" t="s">
        <v>5640</v>
      </c>
      <c r="B1707" s="8" t="s">
        <v>215</v>
      </c>
      <c r="C1707" s="14" t="s">
        <v>2033</v>
      </c>
      <c r="D1707" s="8" t="s">
        <v>2615</v>
      </c>
      <c r="E1707" s="14" t="s">
        <v>2616</v>
      </c>
    </row>
    <row r="1708">
      <c r="A1708" s="8" t="s">
        <v>5642</v>
      </c>
      <c r="B1708" s="8" t="s">
        <v>70</v>
      </c>
      <c r="C1708" s="14" t="s">
        <v>2459</v>
      </c>
      <c r="D1708" s="8" t="s">
        <v>2581</v>
      </c>
      <c r="E1708" s="14" t="s">
        <v>2579</v>
      </c>
    </row>
    <row r="1709">
      <c r="A1709" s="8" t="s">
        <v>5643</v>
      </c>
      <c r="B1709" s="8" t="s">
        <v>186</v>
      </c>
      <c r="C1709" s="14" t="s">
        <v>2033</v>
      </c>
      <c r="D1709" s="8" t="s">
        <v>2584</v>
      </c>
      <c r="E1709" s="14" t="s">
        <v>2578</v>
      </c>
    </row>
    <row r="1710">
      <c r="A1710" s="8" t="s">
        <v>5644</v>
      </c>
      <c r="B1710" s="8" t="s">
        <v>65</v>
      </c>
      <c r="C1710" s="14" t="s">
        <v>2459</v>
      </c>
      <c r="D1710" s="8" t="s">
        <v>2600</v>
      </c>
      <c r="E1710" s="14" t="s">
        <v>2553</v>
      </c>
    </row>
    <row r="1711">
      <c r="A1711" s="8" t="s">
        <v>5645</v>
      </c>
      <c r="B1711" s="8" t="s">
        <v>186</v>
      </c>
      <c r="C1711" s="14" t="s">
        <v>338</v>
      </c>
      <c r="D1711" s="8" t="s">
        <v>2584</v>
      </c>
      <c r="E1711" s="14" t="s">
        <v>2555</v>
      </c>
    </row>
    <row r="1712">
      <c r="A1712" s="8" t="s">
        <v>5646</v>
      </c>
      <c r="B1712" s="8" t="s">
        <v>132</v>
      </c>
      <c r="C1712" s="14" t="s">
        <v>2033</v>
      </c>
      <c r="D1712" s="8" t="s">
        <v>2585</v>
      </c>
      <c r="E1712" s="14" t="s">
        <v>2569</v>
      </c>
    </row>
    <row r="1713">
      <c r="A1713" s="8" t="s">
        <v>5647</v>
      </c>
      <c r="B1713" s="8" t="s">
        <v>80</v>
      </c>
      <c r="C1713" s="14" t="s">
        <v>2296</v>
      </c>
      <c r="D1713" s="8" t="s">
        <v>2572</v>
      </c>
      <c r="E1713" s="14" t="s">
        <v>2573</v>
      </c>
    </row>
    <row r="1714">
      <c r="A1714" s="8" t="s">
        <v>5648</v>
      </c>
      <c r="B1714" s="8" t="s">
        <v>132</v>
      </c>
      <c r="C1714" s="14" t="s">
        <v>2296</v>
      </c>
      <c r="D1714" s="8" t="s">
        <v>2621</v>
      </c>
      <c r="E1714" s="14" t="s">
        <v>2579</v>
      </c>
    </row>
    <row r="1715">
      <c r="A1715" s="8" t="s">
        <v>5649</v>
      </c>
      <c r="B1715" s="8" t="s">
        <v>80</v>
      </c>
      <c r="C1715" s="14" t="s">
        <v>338</v>
      </c>
      <c r="D1715" s="8" t="s">
        <v>2600</v>
      </c>
      <c r="E1715" s="14" t="s">
        <v>2563</v>
      </c>
    </row>
    <row r="1716">
      <c r="A1716" s="8" t="s">
        <v>5650</v>
      </c>
      <c r="B1716" s="8" t="s">
        <v>93</v>
      </c>
      <c r="C1716" s="14" t="s">
        <v>1352</v>
      </c>
      <c r="D1716" s="8" t="s">
        <v>2567</v>
      </c>
      <c r="E1716" s="14" t="s">
        <v>2557</v>
      </c>
    </row>
    <row r="1717">
      <c r="A1717" s="8" t="s">
        <v>5651</v>
      </c>
      <c r="B1717" s="8" t="s">
        <v>53</v>
      </c>
      <c r="C1717" s="14" t="s">
        <v>1352</v>
      </c>
      <c r="D1717" s="8" t="s">
        <v>2581</v>
      </c>
      <c r="E1717" s="14" t="s">
        <v>2557</v>
      </c>
    </row>
    <row r="1718">
      <c r="A1718" s="8" t="s">
        <v>5652</v>
      </c>
      <c r="B1718" s="8" t="s">
        <v>46</v>
      </c>
      <c r="C1718" s="14" t="s">
        <v>237</v>
      </c>
      <c r="D1718" s="8" t="s">
        <v>2566</v>
      </c>
      <c r="E1718" s="14" t="s">
        <v>2601</v>
      </c>
    </row>
    <row r="1719">
      <c r="A1719" s="8" t="s">
        <v>5653</v>
      </c>
      <c r="B1719" s="8" t="s">
        <v>16</v>
      </c>
      <c r="C1719" s="14" t="s">
        <v>1352</v>
      </c>
      <c r="D1719" s="8" t="s">
        <v>2564</v>
      </c>
      <c r="E1719" s="14" t="s">
        <v>2612</v>
      </c>
    </row>
    <row r="1720">
      <c r="A1720" s="8" t="s">
        <v>5654</v>
      </c>
      <c r="B1720" s="8" t="s">
        <v>53</v>
      </c>
      <c r="C1720" s="14" t="s">
        <v>1679</v>
      </c>
      <c r="D1720" s="8" t="s">
        <v>2564</v>
      </c>
      <c r="E1720" s="14" t="s">
        <v>2568</v>
      </c>
    </row>
    <row r="1721">
      <c r="A1721" s="8" t="s">
        <v>5655</v>
      </c>
      <c r="B1721" s="8" t="s">
        <v>16</v>
      </c>
      <c r="C1721" s="14" t="s">
        <v>1352</v>
      </c>
      <c r="D1721" s="8" t="s">
        <v>6304</v>
      </c>
      <c r="E1721" s="14" t="s">
        <v>2637</v>
      </c>
    </row>
    <row r="1722">
      <c r="A1722" s="8" t="s">
        <v>5656</v>
      </c>
      <c r="B1722" s="8" t="s">
        <v>138</v>
      </c>
      <c r="C1722" s="14" t="s">
        <v>1352</v>
      </c>
      <c r="D1722" s="8" t="s">
        <v>2560</v>
      </c>
      <c r="E1722" s="14" t="s">
        <v>2602</v>
      </c>
    </row>
    <row r="1723">
      <c r="A1723" s="8" t="s">
        <v>5657</v>
      </c>
      <c r="B1723" s="8" t="s">
        <v>186</v>
      </c>
      <c r="C1723" s="14" t="s">
        <v>237</v>
      </c>
      <c r="D1723" s="8" t="s">
        <v>2566</v>
      </c>
      <c r="E1723" s="14" t="s">
        <v>2555</v>
      </c>
    </row>
    <row r="1724">
      <c r="A1724" s="8" t="s">
        <v>5658</v>
      </c>
      <c r="B1724" s="8" t="s">
        <v>93</v>
      </c>
      <c r="C1724" s="14" t="s">
        <v>2033</v>
      </c>
      <c r="D1724" s="8" t="s">
        <v>2558</v>
      </c>
      <c r="E1724" s="14" t="s">
        <v>2583</v>
      </c>
    </row>
    <row r="1725">
      <c r="A1725" s="8" t="s">
        <v>5659</v>
      </c>
      <c r="B1725" s="8" t="s">
        <v>122</v>
      </c>
      <c r="C1725" s="14" t="s">
        <v>1679</v>
      </c>
      <c r="D1725" s="8" t="s">
        <v>2603</v>
      </c>
      <c r="E1725" s="14" t="s">
        <v>2557</v>
      </c>
    </row>
    <row r="1726">
      <c r="A1726" s="8" t="s">
        <v>5660</v>
      </c>
      <c r="B1726" s="8" t="s">
        <v>215</v>
      </c>
      <c r="C1726" s="14" t="s">
        <v>189</v>
      </c>
      <c r="D1726" s="8" t="s">
        <v>2592</v>
      </c>
      <c r="E1726" s="14" t="s">
        <v>2625</v>
      </c>
    </row>
    <row r="1727">
      <c r="A1727" s="8" t="s">
        <v>5661</v>
      </c>
      <c r="B1727" s="8" t="s">
        <v>24</v>
      </c>
      <c r="C1727" s="14" t="s">
        <v>837</v>
      </c>
      <c r="D1727" s="8" t="s">
        <v>2560</v>
      </c>
      <c r="E1727" s="14" t="s">
        <v>2591</v>
      </c>
    </row>
    <row r="1728">
      <c r="A1728" s="8" t="s">
        <v>5662</v>
      </c>
      <c r="B1728" s="8" t="s">
        <v>93</v>
      </c>
      <c r="C1728" s="14" t="s">
        <v>459</v>
      </c>
      <c r="D1728" s="8" t="s">
        <v>2603</v>
      </c>
      <c r="E1728" s="14" t="s">
        <v>2583</v>
      </c>
    </row>
    <row r="1729">
      <c r="A1729" s="8" t="s">
        <v>5663</v>
      </c>
      <c r="B1729" s="8" t="s">
        <v>65</v>
      </c>
      <c r="C1729" s="14" t="s">
        <v>1070</v>
      </c>
      <c r="D1729" s="8" t="s">
        <v>2564</v>
      </c>
      <c r="E1729" s="14" t="s">
        <v>2578</v>
      </c>
    </row>
    <row r="1730">
      <c r="A1730" s="8" t="s">
        <v>5664</v>
      </c>
      <c r="B1730" s="8" t="s">
        <v>186</v>
      </c>
      <c r="C1730" s="14" t="s">
        <v>1070</v>
      </c>
      <c r="D1730" s="8" t="s">
        <v>2560</v>
      </c>
      <c r="E1730" s="14" t="s">
        <v>2583</v>
      </c>
    </row>
    <row r="1731">
      <c r="A1731" s="8" t="s">
        <v>5665</v>
      </c>
      <c r="B1731" s="8" t="s">
        <v>93</v>
      </c>
      <c r="C1731" s="14" t="s">
        <v>631</v>
      </c>
      <c r="D1731" s="8" t="s">
        <v>6304</v>
      </c>
      <c r="E1731" s="14" t="s">
        <v>2601</v>
      </c>
    </row>
    <row r="1732">
      <c r="A1732" s="8" t="s">
        <v>5666</v>
      </c>
      <c r="B1732" s="8" t="s">
        <v>186</v>
      </c>
      <c r="C1732" s="14" t="s">
        <v>1679</v>
      </c>
      <c r="D1732" s="8" t="s">
        <v>6304</v>
      </c>
      <c r="E1732" s="14" t="s">
        <v>2568</v>
      </c>
    </row>
    <row r="1733">
      <c r="A1733" s="8" t="s">
        <v>5667</v>
      </c>
      <c r="B1733" s="8" t="s">
        <v>141</v>
      </c>
      <c r="C1733" s="14" t="s">
        <v>2033</v>
      </c>
      <c r="D1733" s="8" t="s">
        <v>2183</v>
      </c>
      <c r="E1733" s="14" t="s">
        <v>2580</v>
      </c>
    </row>
    <row r="1734">
      <c r="A1734" s="8" t="s">
        <v>5668</v>
      </c>
      <c r="B1734" s="8" t="s">
        <v>261</v>
      </c>
      <c r="C1734" s="14" t="s">
        <v>2033</v>
      </c>
      <c r="D1734" s="8" t="s">
        <v>2554</v>
      </c>
      <c r="E1734" s="14" t="s">
        <v>2568</v>
      </c>
    </row>
    <row r="1735">
      <c r="A1735" s="8" t="s">
        <v>5669</v>
      </c>
      <c r="B1735" s="8" t="s">
        <v>215</v>
      </c>
      <c r="C1735" s="14" t="s">
        <v>2459</v>
      </c>
      <c r="D1735" s="8" t="s">
        <v>2585</v>
      </c>
      <c r="E1735" s="14" t="s">
        <v>2586</v>
      </c>
    </row>
    <row r="1736">
      <c r="A1736" s="8" t="s">
        <v>5670</v>
      </c>
      <c r="B1736" s="8" t="s">
        <v>24</v>
      </c>
      <c r="C1736" s="14" t="s">
        <v>1070</v>
      </c>
      <c r="D1736" s="8" t="s">
        <v>2575</v>
      </c>
      <c r="E1736" s="14" t="s">
        <v>2590</v>
      </c>
    </row>
    <row r="1737">
      <c r="A1737" s="8" t="s">
        <v>5671</v>
      </c>
      <c r="B1737" s="8" t="s">
        <v>70</v>
      </c>
      <c r="C1737" s="14" t="s">
        <v>2033</v>
      </c>
      <c r="D1737" s="8" t="s">
        <v>2615</v>
      </c>
      <c r="E1737" s="14" t="s">
        <v>2625</v>
      </c>
    </row>
    <row r="1738">
      <c r="A1738" s="8" t="s">
        <v>5672</v>
      </c>
      <c r="B1738" s="8" t="s">
        <v>53</v>
      </c>
      <c r="C1738" s="14" t="s">
        <v>1679</v>
      </c>
      <c r="D1738" s="8" t="s">
        <v>2584</v>
      </c>
      <c r="E1738" s="14" t="s">
        <v>2618</v>
      </c>
    </row>
    <row r="1739">
      <c r="A1739" s="8" t="s">
        <v>5673</v>
      </c>
      <c r="B1739" s="8" t="s">
        <v>186</v>
      </c>
      <c r="C1739" s="14" t="s">
        <v>631</v>
      </c>
      <c r="D1739" s="8" t="s">
        <v>2572</v>
      </c>
      <c r="E1739" s="14" t="s">
        <v>2594</v>
      </c>
    </row>
    <row r="1740">
      <c r="A1740" s="8" t="s">
        <v>5674</v>
      </c>
      <c r="B1740" s="8" t="s">
        <v>141</v>
      </c>
      <c r="C1740" s="14" t="s">
        <v>837</v>
      </c>
      <c r="D1740" s="8" t="s">
        <v>2595</v>
      </c>
      <c r="E1740" s="14" t="s">
        <v>2576</v>
      </c>
    </row>
    <row r="1741">
      <c r="A1741" s="8" t="s">
        <v>5675</v>
      </c>
      <c r="B1741" s="8" t="s">
        <v>16</v>
      </c>
      <c r="C1741" s="14" t="s">
        <v>2296</v>
      </c>
      <c r="D1741" s="8" t="s">
        <v>2592</v>
      </c>
      <c r="E1741" s="14" t="s">
        <v>2617</v>
      </c>
    </row>
    <row r="1742">
      <c r="A1742" s="8" t="s">
        <v>5677</v>
      </c>
      <c r="B1742" s="8" t="s">
        <v>16</v>
      </c>
      <c r="C1742" s="14" t="s">
        <v>338</v>
      </c>
      <c r="D1742" s="8" t="s">
        <v>2584</v>
      </c>
      <c r="E1742" s="14" t="s">
        <v>2590</v>
      </c>
    </row>
    <row r="1743">
      <c r="A1743" s="8" t="s">
        <v>5679</v>
      </c>
      <c r="B1743" s="8" t="s">
        <v>46</v>
      </c>
      <c r="C1743" s="14" t="s">
        <v>2033</v>
      </c>
      <c r="D1743" s="8" t="s">
        <v>2566</v>
      </c>
      <c r="E1743" s="14" t="s">
        <v>2597</v>
      </c>
    </row>
    <row r="1744">
      <c r="A1744" s="8" t="s">
        <v>5680</v>
      </c>
      <c r="B1744" s="8" t="s">
        <v>186</v>
      </c>
      <c r="C1744" s="14" t="s">
        <v>1070</v>
      </c>
      <c r="D1744" s="8" t="s">
        <v>2605</v>
      </c>
      <c r="E1744" s="14" t="s">
        <v>2571</v>
      </c>
    </row>
    <row r="1745">
      <c r="A1745" s="8" t="s">
        <v>5681</v>
      </c>
      <c r="B1745" s="8" t="s">
        <v>141</v>
      </c>
      <c r="C1745" s="14" t="s">
        <v>1070</v>
      </c>
      <c r="D1745" s="8" t="s">
        <v>2562</v>
      </c>
      <c r="E1745" s="14" t="s">
        <v>2591</v>
      </c>
    </row>
    <row r="1746">
      <c r="A1746" s="8" t="s">
        <v>5682</v>
      </c>
      <c r="B1746" s="8" t="s">
        <v>16</v>
      </c>
      <c r="C1746" s="14" t="s">
        <v>1679</v>
      </c>
      <c r="D1746" s="8" t="s">
        <v>2585</v>
      </c>
      <c r="E1746" s="14" t="s">
        <v>2622</v>
      </c>
    </row>
    <row r="1747">
      <c r="A1747" s="8" t="s">
        <v>5683</v>
      </c>
      <c r="B1747" s="8" t="s">
        <v>93</v>
      </c>
      <c r="C1747" s="14" t="s">
        <v>2296</v>
      </c>
      <c r="D1747" s="8" t="s">
        <v>6304</v>
      </c>
      <c r="E1747" s="14" t="s">
        <v>2557</v>
      </c>
    </row>
    <row r="1748">
      <c r="A1748" s="8" t="s">
        <v>5684</v>
      </c>
      <c r="B1748" s="8" t="s">
        <v>24</v>
      </c>
      <c r="C1748" s="14" t="s">
        <v>837</v>
      </c>
      <c r="D1748" s="8" t="s">
        <v>2581</v>
      </c>
      <c r="E1748" s="14" t="s">
        <v>2565</v>
      </c>
    </row>
    <row r="1749">
      <c r="A1749" s="8" t="s">
        <v>5685</v>
      </c>
      <c r="B1749" s="8" t="s">
        <v>192</v>
      </c>
      <c r="C1749" s="14" t="s">
        <v>1679</v>
      </c>
      <c r="D1749" s="8" t="s">
        <v>2593</v>
      </c>
      <c r="E1749" s="14" t="s">
        <v>2609</v>
      </c>
    </row>
    <row r="1750">
      <c r="A1750" s="8" t="s">
        <v>5686</v>
      </c>
      <c r="B1750" s="8" t="s">
        <v>141</v>
      </c>
      <c r="C1750" s="14" t="s">
        <v>189</v>
      </c>
      <c r="D1750" s="8" t="s">
        <v>2582</v>
      </c>
      <c r="E1750" s="14" t="s">
        <v>2626</v>
      </c>
    </row>
    <row r="1751">
      <c r="A1751" s="8" t="s">
        <v>5687</v>
      </c>
      <c r="B1751" s="8" t="s">
        <v>24</v>
      </c>
      <c r="C1751" s="14" t="s">
        <v>1070</v>
      </c>
      <c r="D1751" s="8" t="s">
        <v>2603</v>
      </c>
      <c r="E1751" s="14" t="s">
        <v>2601</v>
      </c>
    </row>
    <row r="1752">
      <c r="A1752" s="8" t="s">
        <v>5688</v>
      </c>
      <c r="B1752" s="8" t="s">
        <v>53</v>
      </c>
      <c r="C1752" s="14" t="s">
        <v>1070</v>
      </c>
      <c r="D1752" s="8" t="s">
        <v>2610</v>
      </c>
      <c r="E1752" s="14" t="s">
        <v>2565</v>
      </c>
    </row>
    <row r="1753">
      <c r="A1753" s="8" t="s">
        <v>5689</v>
      </c>
      <c r="B1753" s="8" t="s">
        <v>215</v>
      </c>
      <c r="C1753" s="14" t="s">
        <v>459</v>
      </c>
      <c r="D1753" s="8" t="s">
        <v>2605</v>
      </c>
      <c r="E1753" s="14" t="s">
        <v>2579</v>
      </c>
    </row>
    <row r="1754">
      <c r="A1754" s="8" t="s">
        <v>5690</v>
      </c>
      <c r="B1754" s="8" t="s">
        <v>93</v>
      </c>
      <c r="C1754" s="14" t="s">
        <v>837</v>
      </c>
      <c r="D1754" s="8" t="s">
        <v>2593</v>
      </c>
      <c r="E1754" s="14" t="s">
        <v>2611</v>
      </c>
    </row>
    <row r="1755">
      <c r="A1755" s="8" t="s">
        <v>5691</v>
      </c>
      <c r="B1755" s="8" t="s">
        <v>141</v>
      </c>
      <c r="C1755" s="14" t="s">
        <v>1679</v>
      </c>
      <c r="D1755" s="8" t="s">
        <v>2620</v>
      </c>
      <c r="E1755" s="14" t="s">
        <v>2597</v>
      </c>
    </row>
    <row r="1756">
      <c r="A1756" s="8" t="s">
        <v>5692</v>
      </c>
      <c r="B1756" s="8" t="s">
        <v>59</v>
      </c>
      <c r="C1756" s="14" t="s">
        <v>459</v>
      </c>
      <c r="D1756" s="8" t="s">
        <v>2564</v>
      </c>
      <c r="E1756" s="14" t="s">
        <v>2586</v>
      </c>
    </row>
    <row r="1757">
      <c r="A1757" s="8" t="s">
        <v>5693</v>
      </c>
      <c r="B1757" s="8" t="s">
        <v>186</v>
      </c>
      <c r="C1757" s="14" t="s">
        <v>1679</v>
      </c>
      <c r="D1757" s="8" t="s">
        <v>2621</v>
      </c>
      <c r="E1757" s="14" t="s">
        <v>2570</v>
      </c>
    </row>
    <row r="1758">
      <c r="A1758" s="8" t="s">
        <v>5694</v>
      </c>
      <c r="B1758" s="8" t="s">
        <v>122</v>
      </c>
      <c r="C1758" s="14" t="s">
        <v>2033</v>
      </c>
      <c r="D1758" s="8" t="s">
        <v>2610</v>
      </c>
      <c r="E1758" s="14" t="s">
        <v>2609</v>
      </c>
    </row>
    <row r="1759">
      <c r="A1759" s="8" t="s">
        <v>5695</v>
      </c>
      <c r="B1759" s="8" t="s">
        <v>65</v>
      </c>
      <c r="C1759" s="14" t="s">
        <v>2033</v>
      </c>
      <c r="D1759" s="8" t="s">
        <v>2614</v>
      </c>
      <c r="E1759" s="14" t="s">
        <v>2591</v>
      </c>
    </row>
    <row r="1760">
      <c r="A1760" s="8" t="s">
        <v>5696</v>
      </c>
      <c r="B1760" s="8" t="s">
        <v>24</v>
      </c>
      <c r="C1760" s="14" t="s">
        <v>2459</v>
      </c>
      <c r="D1760" s="8" t="s">
        <v>2620</v>
      </c>
      <c r="E1760" s="14" t="s">
        <v>2553</v>
      </c>
    </row>
    <row r="1761">
      <c r="A1761" s="8" t="s">
        <v>5697</v>
      </c>
      <c r="B1761" s="8" t="s">
        <v>59</v>
      </c>
      <c r="C1761" s="14" t="s">
        <v>1352</v>
      </c>
      <c r="D1761" s="8" t="s">
        <v>2592</v>
      </c>
      <c r="E1761" s="14" t="s">
        <v>2565</v>
      </c>
    </row>
    <row r="1762">
      <c r="A1762" s="8" t="s">
        <v>5698</v>
      </c>
      <c r="B1762" s="8" t="s">
        <v>70</v>
      </c>
      <c r="C1762" s="14" t="s">
        <v>2296</v>
      </c>
      <c r="D1762" s="8" t="s">
        <v>2567</v>
      </c>
      <c r="E1762" s="14" t="s">
        <v>2590</v>
      </c>
    </row>
    <row r="1763">
      <c r="A1763" s="8" t="s">
        <v>6389</v>
      </c>
      <c r="B1763" s="8" t="s">
        <v>24</v>
      </c>
      <c r="C1763" s="14" t="s">
        <v>1679</v>
      </c>
      <c r="D1763" s="8" t="s">
        <v>2592</v>
      </c>
      <c r="E1763" s="14" t="s">
        <v>2611</v>
      </c>
    </row>
    <row r="1764">
      <c r="A1764" s="8" t="s">
        <v>5700</v>
      </c>
      <c r="B1764" s="8" t="s">
        <v>192</v>
      </c>
      <c r="C1764" s="14" t="s">
        <v>1352</v>
      </c>
      <c r="D1764" s="8" t="s">
        <v>2600</v>
      </c>
      <c r="E1764" s="14" t="s">
        <v>2565</v>
      </c>
    </row>
    <row r="1765">
      <c r="A1765" s="8" t="s">
        <v>5701</v>
      </c>
      <c r="B1765" s="8" t="s">
        <v>132</v>
      </c>
      <c r="C1765" s="14" t="s">
        <v>631</v>
      </c>
      <c r="D1765" s="8" t="s">
        <v>2554</v>
      </c>
      <c r="E1765" s="14" t="s">
        <v>2555</v>
      </c>
    </row>
    <row r="1766">
      <c r="A1766" s="8" t="s">
        <v>5702</v>
      </c>
      <c r="B1766" s="8" t="s">
        <v>65</v>
      </c>
      <c r="C1766" s="14" t="s">
        <v>1070</v>
      </c>
      <c r="D1766" s="8" t="s">
        <v>2615</v>
      </c>
      <c r="E1766" s="14" t="s">
        <v>2623</v>
      </c>
    </row>
    <row r="1767">
      <c r="A1767" s="8" t="s">
        <v>5703</v>
      </c>
      <c r="B1767" s="8" t="s">
        <v>59</v>
      </c>
      <c r="C1767" s="14" t="s">
        <v>1679</v>
      </c>
      <c r="D1767" s="8" t="s">
        <v>2593</v>
      </c>
      <c r="E1767" s="14" t="s">
        <v>2622</v>
      </c>
    </row>
    <row r="1768">
      <c r="A1768" s="8" t="s">
        <v>5704</v>
      </c>
      <c r="B1768" s="8" t="s">
        <v>65</v>
      </c>
      <c r="C1768" s="14" t="s">
        <v>2296</v>
      </c>
      <c r="D1768" s="8" t="s">
        <v>2552</v>
      </c>
      <c r="E1768" s="14" t="s">
        <v>2583</v>
      </c>
    </row>
    <row r="1769">
      <c r="A1769" s="8" t="s">
        <v>5705</v>
      </c>
      <c r="B1769" s="8" t="s">
        <v>59</v>
      </c>
      <c r="C1769" s="14" t="s">
        <v>2459</v>
      </c>
      <c r="D1769" s="8" t="s">
        <v>2577</v>
      </c>
      <c r="E1769" s="14" t="s">
        <v>2576</v>
      </c>
    </row>
    <row r="1770">
      <c r="A1770" s="8" t="s">
        <v>5706</v>
      </c>
      <c r="B1770" s="8" t="s">
        <v>149</v>
      </c>
      <c r="C1770" s="14" t="s">
        <v>2296</v>
      </c>
      <c r="D1770" s="8" t="s">
        <v>2552</v>
      </c>
      <c r="E1770" s="14" t="s">
        <v>2609</v>
      </c>
    </row>
    <row r="1771">
      <c r="A1771" s="8" t="s">
        <v>5707</v>
      </c>
      <c r="B1771" s="8" t="s">
        <v>138</v>
      </c>
      <c r="C1771" s="14" t="s">
        <v>631</v>
      </c>
      <c r="D1771" s="8" t="s">
        <v>2615</v>
      </c>
      <c r="E1771" s="14" t="s">
        <v>2588</v>
      </c>
    </row>
    <row r="1772">
      <c r="A1772" s="8" t="s">
        <v>5708</v>
      </c>
      <c r="B1772" s="8" t="s">
        <v>138</v>
      </c>
      <c r="C1772" s="14" t="s">
        <v>631</v>
      </c>
      <c r="D1772" s="8" t="s">
        <v>2566</v>
      </c>
      <c r="E1772" s="14" t="s">
        <v>2622</v>
      </c>
    </row>
    <row r="1773">
      <c r="A1773" s="8" t="s">
        <v>5709</v>
      </c>
      <c r="B1773" s="8" t="s">
        <v>186</v>
      </c>
      <c r="C1773" s="14" t="s">
        <v>1679</v>
      </c>
      <c r="D1773" s="8" t="s">
        <v>2558</v>
      </c>
      <c r="E1773" s="14" t="s">
        <v>2579</v>
      </c>
    </row>
    <row r="1774">
      <c r="A1774" s="8" t="s">
        <v>5710</v>
      </c>
      <c r="B1774" s="8" t="s">
        <v>192</v>
      </c>
      <c r="C1774" s="14" t="s">
        <v>1352</v>
      </c>
      <c r="D1774" s="8" t="s">
        <v>2592</v>
      </c>
      <c r="E1774" s="14" t="s">
        <v>2594</v>
      </c>
    </row>
    <row r="1775">
      <c r="A1775" s="8" t="s">
        <v>5711</v>
      </c>
      <c r="B1775" s="8" t="s">
        <v>149</v>
      </c>
      <c r="C1775" s="14" t="s">
        <v>2033</v>
      </c>
      <c r="D1775" s="8" t="s">
        <v>2575</v>
      </c>
      <c r="E1775" s="14" t="s">
        <v>2608</v>
      </c>
    </row>
    <row r="1776">
      <c r="A1776" s="8" t="s">
        <v>5712</v>
      </c>
      <c r="B1776" s="8" t="s">
        <v>24</v>
      </c>
      <c r="C1776" s="14" t="s">
        <v>631</v>
      </c>
      <c r="D1776" s="8" t="s">
        <v>2615</v>
      </c>
      <c r="E1776" s="14" t="s">
        <v>2568</v>
      </c>
    </row>
    <row r="1777">
      <c r="A1777" s="8" t="s">
        <v>5713</v>
      </c>
      <c r="B1777" s="8" t="s">
        <v>59</v>
      </c>
      <c r="C1777" s="14" t="s">
        <v>2296</v>
      </c>
      <c r="D1777" s="8" t="s">
        <v>2566</v>
      </c>
      <c r="E1777" s="14" t="s">
        <v>2622</v>
      </c>
    </row>
    <row r="1778">
      <c r="A1778" s="8" t="s">
        <v>6390</v>
      </c>
      <c r="B1778" s="8" t="s">
        <v>122</v>
      </c>
      <c r="C1778" s="14" t="s">
        <v>1679</v>
      </c>
      <c r="D1778" s="8" t="s">
        <v>6304</v>
      </c>
      <c r="E1778" s="14" t="s">
        <v>2573</v>
      </c>
    </row>
    <row r="1779">
      <c r="A1779" s="8" t="s">
        <v>6391</v>
      </c>
      <c r="B1779" s="8" t="s">
        <v>93</v>
      </c>
      <c r="C1779" s="14" t="s">
        <v>1070</v>
      </c>
      <c r="D1779" s="8" t="s">
        <v>2595</v>
      </c>
      <c r="E1779" s="14" t="s">
        <v>2601</v>
      </c>
    </row>
    <row r="1780">
      <c r="A1780" s="8" t="s">
        <v>5716</v>
      </c>
      <c r="B1780" s="8" t="s">
        <v>46</v>
      </c>
      <c r="C1780" s="14" t="s">
        <v>1352</v>
      </c>
      <c r="D1780" s="8" t="s">
        <v>2183</v>
      </c>
      <c r="E1780" s="14" t="s">
        <v>2609</v>
      </c>
    </row>
    <row r="1781">
      <c r="A1781" s="8" t="s">
        <v>5717</v>
      </c>
      <c r="B1781" s="8" t="s">
        <v>65</v>
      </c>
      <c r="C1781" s="14" t="s">
        <v>2033</v>
      </c>
      <c r="D1781" s="8" t="s">
        <v>2567</v>
      </c>
      <c r="E1781" s="14" t="s">
        <v>2573</v>
      </c>
    </row>
    <row r="1782">
      <c r="A1782" s="8" t="s">
        <v>5718</v>
      </c>
      <c r="B1782" s="8" t="s">
        <v>93</v>
      </c>
      <c r="C1782" s="14" t="s">
        <v>1679</v>
      </c>
      <c r="D1782" s="8" t="s">
        <v>2560</v>
      </c>
      <c r="E1782" s="14" t="s">
        <v>2557</v>
      </c>
    </row>
    <row r="1783">
      <c r="A1783" s="8" t="s">
        <v>5719</v>
      </c>
      <c r="B1783" s="8" t="s">
        <v>75</v>
      </c>
      <c r="C1783" s="14" t="s">
        <v>1352</v>
      </c>
      <c r="D1783" s="8" t="s">
        <v>2552</v>
      </c>
      <c r="E1783" s="14" t="s">
        <v>2553</v>
      </c>
    </row>
    <row r="1784">
      <c r="A1784" s="8" t="s">
        <v>5720</v>
      </c>
      <c r="B1784" s="8" t="s">
        <v>59</v>
      </c>
      <c r="C1784" s="14" t="s">
        <v>1352</v>
      </c>
      <c r="D1784" s="8" t="s">
        <v>2592</v>
      </c>
      <c r="E1784" s="14" t="s">
        <v>2570</v>
      </c>
    </row>
    <row r="1785">
      <c r="A1785" s="8" t="s">
        <v>5721</v>
      </c>
      <c r="B1785" s="8" t="s">
        <v>38</v>
      </c>
      <c r="C1785" s="14" t="s">
        <v>631</v>
      </c>
      <c r="D1785" s="8" t="s">
        <v>2605</v>
      </c>
      <c r="E1785" s="14" t="s">
        <v>2565</v>
      </c>
    </row>
    <row r="1786">
      <c r="A1786" s="8" t="s">
        <v>5722</v>
      </c>
      <c r="B1786" s="8" t="s">
        <v>215</v>
      </c>
      <c r="C1786" s="14" t="s">
        <v>2296</v>
      </c>
      <c r="D1786" s="8" t="s">
        <v>2572</v>
      </c>
      <c r="E1786" s="14" t="s">
        <v>2555</v>
      </c>
    </row>
    <row r="1787">
      <c r="A1787" s="8" t="s">
        <v>5723</v>
      </c>
      <c r="B1787" s="8" t="s">
        <v>192</v>
      </c>
      <c r="C1787" s="14" t="s">
        <v>189</v>
      </c>
      <c r="D1787" s="8" t="s">
        <v>2600</v>
      </c>
      <c r="E1787" s="14" t="s">
        <v>2588</v>
      </c>
    </row>
    <row r="1788">
      <c r="A1788" s="8" t="s">
        <v>5724</v>
      </c>
      <c r="B1788" s="8" t="s">
        <v>261</v>
      </c>
      <c r="C1788" s="14" t="s">
        <v>338</v>
      </c>
      <c r="D1788" s="8" t="s">
        <v>2587</v>
      </c>
      <c r="E1788" s="14" t="s">
        <v>2568</v>
      </c>
    </row>
    <row r="1789">
      <c r="A1789" s="8" t="s">
        <v>5725</v>
      </c>
      <c r="B1789" s="8" t="s">
        <v>16</v>
      </c>
      <c r="C1789" s="14" t="s">
        <v>2033</v>
      </c>
      <c r="D1789" s="8" t="s">
        <v>2183</v>
      </c>
      <c r="E1789" s="14" t="s">
        <v>2619</v>
      </c>
    </row>
    <row r="1790">
      <c r="A1790" s="8" t="s">
        <v>5726</v>
      </c>
      <c r="B1790" s="8" t="s">
        <v>141</v>
      </c>
      <c r="C1790" s="14" t="s">
        <v>1679</v>
      </c>
      <c r="D1790" s="8" t="s">
        <v>2577</v>
      </c>
      <c r="E1790" s="14" t="s">
        <v>2570</v>
      </c>
    </row>
    <row r="1791">
      <c r="A1791" s="8" t="s">
        <v>5727</v>
      </c>
      <c r="B1791" s="8" t="s">
        <v>186</v>
      </c>
      <c r="C1791" s="14" t="s">
        <v>837</v>
      </c>
      <c r="D1791" s="8" t="s">
        <v>2575</v>
      </c>
      <c r="E1791" s="14" t="s">
        <v>2553</v>
      </c>
    </row>
    <row r="1792">
      <c r="A1792" s="8" t="s">
        <v>5728</v>
      </c>
      <c r="B1792" s="8" t="s">
        <v>93</v>
      </c>
      <c r="C1792" s="14" t="s">
        <v>459</v>
      </c>
      <c r="D1792" s="8" t="s">
        <v>6303</v>
      </c>
      <c r="E1792" s="14" t="s">
        <v>2559</v>
      </c>
    </row>
    <row r="1793">
      <c r="A1793" s="8" t="s">
        <v>5729</v>
      </c>
      <c r="B1793" s="8" t="s">
        <v>261</v>
      </c>
      <c r="C1793" s="14" t="s">
        <v>1352</v>
      </c>
      <c r="D1793" s="8" t="s">
        <v>2575</v>
      </c>
      <c r="E1793" s="14" t="s">
        <v>2608</v>
      </c>
    </row>
    <row r="1794">
      <c r="A1794" s="8" t="s">
        <v>5730</v>
      </c>
      <c r="B1794" s="8" t="s">
        <v>93</v>
      </c>
      <c r="C1794" s="14" t="s">
        <v>237</v>
      </c>
      <c r="D1794" s="8" t="s">
        <v>2595</v>
      </c>
      <c r="E1794" s="14" t="s">
        <v>2588</v>
      </c>
    </row>
    <row r="1795">
      <c r="A1795" s="8" t="s">
        <v>5731</v>
      </c>
      <c r="B1795" s="8" t="s">
        <v>24</v>
      </c>
      <c r="C1795" s="14" t="s">
        <v>237</v>
      </c>
      <c r="D1795" s="8" t="s">
        <v>2605</v>
      </c>
      <c r="E1795" s="14" t="s">
        <v>18</v>
      </c>
    </row>
    <row r="1796">
      <c r="A1796" s="8" t="s">
        <v>5732</v>
      </c>
      <c r="B1796" s="8" t="s">
        <v>46</v>
      </c>
      <c r="C1796" s="14" t="s">
        <v>1679</v>
      </c>
      <c r="D1796" s="8" t="s">
        <v>2566</v>
      </c>
      <c r="E1796" s="14" t="s">
        <v>2569</v>
      </c>
    </row>
    <row r="1797">
      <c r="A1797" s="8" t="s">
        <v>5733</v>
      </c>
      <c r="B1797" s="8" t="s">
        <v>24</v>
      </c>
      <c r="C1797" s="14" t="s">
        <v>1070</v>
      </c>
      <c r="D1797" s="8" t="s">
        <v>6304</v>
      </c>
      <c r="E1797" s="14" t="s">
        <v>2555</v>
      </c>
    </row>
    <row r="1798">
      <c r="A1798" s="8" t="s">
        <v>5734</v>
      </c>
      <c r="B1798" s="8" t="s">
        <v>70</v>
      </c>
      <c r="C1798" s="14" t="s">
        <v>1679</v>
      </c>
      <c r="D1798" s="8" t="s">
        <v>2566</v>
      </c>
      <c r="E1798" s="14" t="s">
        <v>2563</v>
      </c>
    </row>
    <row r="1799">
      <c r="A1799" s="8" t="s">
        <v>5735</v>
      </c>
      <c r="B1799" s="8" t="s">
        <v>65</v>
      </c>
      <c r="C1799" s="14" t="s">
        <v>837</v>
      </c>
      <c r="D1799" s="8" t="s">
        <v>2582</v>
      </c>
      <c r="E1799" s="14" t="s">
        <v>2599</v>
      </c>
    </row>
    <row r="1800">
      <c r="A1800" s="8" t="s">
        <v>5736</v>
      </c>
      <c r="B1800" s="8" t="s">
        <v>53</v>
      </c>
      <c r="C1800" s="14" t="s">
        <v>459</v>
      </c>
      <c r="D1800" s="8" t="s">
        <v>2564</v>
      </c>
      <c r="E1800" s="14" t="s">
        <v>2591</v>
      </c>
    </row>
    <row r="1801">
      <c r="A1801" s="8" t="s">
        <v>5737</v>
      </c>
      <c r="B1801" s="8" t="s">
        <v>16</v>
      </c>
      <c r="C1801" s="14" t="s">
        <v>1352</v>
      </c>
      <c r="D1801" s="8" t="s">
        <v>2603</v>
      </c>
      <c r="E1801" s="14" t="s">
        <v>2612</v>
      </c>
    </row>
    <row r="1802">
      <c r="A1802" s="8" t="s">
        <v>5738</v>
      </c>
      <c r="B1802" s="8" t="s">
        <v>59</v>
      </c>
      <c r="C1802" s="14" t="s">
        <v>338</v>
      </c>
      <c r="D1802" s="8" t="s">
        <v>2575</v>
      </c>
      <c r="E1802" s="14" t="s">
        <v>2608</v>
      </c>
    </row>
    <row r="1803">
      <c r="A1803" s="8" t="s">
        <v>5739</v>
      </c>
      <c r="B1803" s="8" t="s">
        <v>53</v>
      </c>
      <c r="C1803" s="14" t="s">
        <v>1070</v>
      </c>
      <c r="D1803" s="8" t="s">
        <v>6303</v>
      </c>
      <c r="E1803" s="14" t="s">
        <v>2580</v>
      </c>
    </row>
    <row r="1804">
      <c r="A1804" s="8" t="s">
        <v>5740</v>
      </c>
      <c r="B1804" s="8" t="s">
        <v>53</v>
      </c>
      <c r="C1804" s="14" t="s">
        <v>1679</v>
      </c>
      <c r="D1804" s="8" t="s">
        <v>2562</v>
      </c>
      <c r="E1804" s="14" t="s">
        <v>2579</v>
      </c>
    </row>
    <row r="1805">
      <c r="A1805" s="8" t="s">
        <v>5741</v>
      </c>
      <c r="B1805" s="8" t="s">
        <v>70</v>
      </c>
      <c r="C1805" s="14" t="s">
        <v>1352</v>
      </c>
      <c r="D1805" s="8" t="s">
        <v>2592</v>
      </c>
      <c r="E1805" s="14" t="s">
        <v>2590</v>
      </c>
    </row>
    <row r="1806">
      <c r="A1806" s="8" t="s">
        <v>5742</v>
      </c>
      <c r="B1806" s="8" t="s">
        <v>24</v>
      </c>
      <c r="C1806" s="14" t="s">
        <v>1352</v>
      </c>
      <c r="D1806" s="8" t="s">
        <v>2615</v>
      </c>
      <c r="E1806" s="14" t="s">
        <v>2622</v>
      </c>
    </row>
    <row r="1807">
      <c r="A1807" s="8" t="s">
        <v>5743</v>
      </c>
      <c r="B1807" s="8" t="s">
        <v>65</v>
      </c>
      <c r="C1807" s="14" t="s">
        <v>1679</v>
      </c>
      <c r="D1807" s="8" t="s">
        <v>6303</v>
      </c>
      <c r="E1807" s="14" t="s">
        <v>2583</v>
      </c>
    </row>
    <row r="1808">
      <c r="A1808" s="8" t="s">
        <v>5744</v>
      </c>
      <c r="B1808" s="8" t="s">
        <v>75</v>
      </c>
      <c r="C1808" s="14" t="s">
        <v>2033</v>
      </c>
      <c r="D1808" s="8" t="s">
        <v>2603</v>
      </c>
      <c r="E1808" s="14" t="s">
        <v>2579</v>
      </c>
    </row>
    <row r="1809">
      <c r="A1809" s="8" t="s">
        <v>5745</v>
      </c>
      <c r="B1809" s="8" t="s">
        <v>16</v>
      </c>
      <c r="C1809" s="14" t="s">
        <v>39</v>
      </c>
      <c r="D1809" s="8" t="s">
        <v>2572</v>
      </c>
      <c r="E1809" s="14" t="s">
        <v>2636</v>
      </c>
    </row>
    <row r="1810">
      <c r="A1810" s="8" t="s">
        <v>5746</v>
      </c>
      <c r="B1810" s="8" t="s">
        <v>65</v>
      </c>
      <c r="C1810" s="14" t="s">
        <v>1070</v>
      </c>
      <c r="D1810" s="8" t="s">
        <v>2600</v>
      </c>
      <c r="E1810" s="14" t="s">
        <v>2590</v>
      </c>
    </row>
    <row r="1811">
      <c r="A1811" s="8" t="s">
        <v>5747</v>
      </c>
      <c r="B1811" s="8" t="s">
        <v>93</v>
      </c>
      <c r="C1811" s="14" t="s">
        <v>631</v>
      </c>
      <c r="D1811" s="8" t="s">
        <v>2615</v>
      </c>
      <c r="E1811" s="14" t="s">
        <v>2557</v>
      </c>
    </row>
    <row r="1812">
      <c r="A1812" s="8" t="s">
        <v>5748</v>
      </c>
      <c r="B1812" s="8" t="s">
        <v>70</v>
      </c>
      <c r="C1812" s="14" t="s">
        <v>1352</v>
      </c>
      <c r="D1812" s="8" t="s">
        <v>2620</v>
      </c>
      <c r="E1812" s="14" t="s">
        <v>2633</v>
      </c>
    </row>
    <row r="1813">
      <c r="A1813" s="8" t="s">
        <v>5749</v>
      </c>
      <c r="B1813" s="8" t="s">
        <v>16</v>
      </c>
      <c r="C1813" s="14" t="s">
        <v>2033</v>
      </c>
      <c r="D1813" s="8" t="s">
        <v>2567</v>
      </c>
      <c r="E1813" s="14" t="s">
        <v>2618</v>
      </c>
    </row>
    <row r="1814">
      <c r="A1814" s="8" t="s">
        <v>5750</v>
      </c>
      <c r="B1814" s="8" t="s">
        <v>93</v>
      </c>
      <c r="C1814" s="14" t="s">
        <v>631</v>
      </c>
      <c r="D1814" s="8" t="s">
        <v>2567</v>
      </c>
      <c r="E1814" s="14" t="s">
        <v>2607</v>
      </c>
    </row>
    <row r="1815">
      <c r="A1815" s="8" t="s">
        <v>5751</v>
      </c>
      <c r="B1815" s="8" t="s">
        <v>53</v>
      </c>
      <c r="C1815" s="14" t="s">
        <v>1352</v>
      </c>
      <c r="D1815" s="8" t="s">
        <v>6303</v>
      </c>
      <c r="E1815" s="14" t="s">
        <v>2583</v>
      </c>
    </row>
    <row r="1816">
      <c r="A1816" s="8" t="s">
        <v>5752</v>
      </c>
      <c r="B1816" s="8" t="s">
        <v>122</v>
      </c>
      <c r="C1816" s="14" t="s">
        <v>2033</v>
      </c>
      <c r="D1816" s="8" t="s">
        <v>2554</v>
      </c>
      <c r="E1816" s="14" t="s">
        <v>2576</v>
      </c>
    </row>
    <row r="1817">
      <c r="A1817" s="8" t="s">
        <v>5753</v>
      </c>
      <c r="B1817" s="8" t="s">
        <v>122</v>
      </c>
      <c r="C1817" s="14" t="s">
        <v>2033</v>
      </c>
      <c r="D1817" s="8" t="s">
        <v>2603</v>
      </c>
      <c r="E1817" s="14" t="s">
        <v>2573</v>
      </c>
    </row>
    <row r="1818">
      <c r="A1818" s="8" t="s">
        <v>5754</v>
      </c>
      <c r="B1818" s="8" t="s">
        <v>186</v>
      </c>
      <c r="C1818" s="14" t="s">
        <v>1070</v>
      </c>
      <c r="D1818" s="8" t="s">
        <v>2610</v>
      </c>
      <c r="E1818" s="14" t="s">
        <v>2601</v>
      </c>
    </row>
    <row r="1819">
      <c r="A1819" s="8" t="s">
        <v>5755</v>
      </c>
      <c r="B1819" s="8" t="s">
        <v>59</v>
      </c>
      <c r="C1819" s="14" t="s">
        <v>1070</v>
      </c>
      <c r="D1819" s="8" t="s">
        <v>2558</v>
      </c>
      <c r="E1819" s="14" t="s">
        <v>2607</v>
      </c>
    </row>
    <row r="1820">
      <c r="A1820" s="8" t="s">
        <v>5756</v>
      </c>
      <c r="B1820" s="8" t="s">
        <v>93</v>
      </c>
      <c r="C1820" s="14" t="s">
        <v>338</v>
      </c>
      <c r="D1820" s="8" t="s">
        <v>2605</v>
      </c>
      <c r="E1820" s="14" t="s">
        <v>2599</v>
      </c>
    </row>
    <row r="1821">
      <c r="A1821" s="8" t="s">
        <v>5757</v>
      </c>
      <c r="B1821" s="8" t="s">
        <v>70</v>
      </c>
      <c r="C1821" s="14" t="s">
        <v>2296</v>
      </c>
      <c r="D1821" s="8" t="s">
        <v>2598</v>
      </c>
      <c r="E1821" s="14" t="s">
        <v>2583</v>
      </c>
    </row>
    <row r="1822">
      <c r="A1822" s="8" t="s">
        <v>5758</v>
      </c>
      <c r="B1822" s="8" t="s">
        <v>65</v>
      </c>
      <c r="C1822" s="14" t="s">
        <v>2296</v>
      </c>
      <c r="D1822" s="8" t="s">
        <v>2560</v>
      </c>
      <c r="E1822" s="14" t="s">
        <v>2594</v>
      </c>
    </row>
    <row r="1823">
      <c r="A1823" s="8" t="s">
        <v>5759</v>
      </c>
      <c r="B1823" s="8" t="s">
        <v>192</v>
      </c>
      <c r="C1823" s="14" t="s">
        <v>1070</v>
      </c>
      <c r="D1823" s="8" t="s">
        <v>2554</v>
      </c>
      <c r="E1823" s="14" t="s">
        <v>2590</v>
      </c>
    </row>
    <row r="1824">
      <c r="A1824" s="8" t="s">
        <v>5760</v>
      </c>
      <c r="B1824" s="8" t="s">
        <v>186</v>
      </c>
      <c r="C1824" s="14" t="s">
        <v>1352</v>
      </c>
      <c r="D1824" s="8" t="s">
        <v>2581</v>
      </c>
      <c r="E1824" s="14" t="s">
        <v>2618</v>
      </c>
    </row>
    <row r="1825">
      <c r="A1825" s="8" t="s">
        <v>5761</v>
      </c>
      <c r="B1825" s="8" t="s">
        <v>93</v>
      </c>
      <c r="C1825" s="14" t="s">
        <v>2296</v>
      </c>
      <c r="D1825" s="8" t="s">
        <v>2584</v>
      </c>
      <c r="E1825" s="14" t="s">
        <v>2594</v>
      </c>
    </row>
    <row r="1826">
      <c r="A1826" s="8" t="s">
        <v>5762</v>
      </c>
      <c r="B1826" s="8" t="s">
        <v>75</v>
      </c>
      <c r="C1826" s="14" t="s">
        <v>2033</v>
      </c>
      <c r="D1826" s="8" t="s">
        <v>2567</v>
      </c>
      <c r="E1826" s="14" t="s">
        <v>2604</v>
      </c>
    </row>
    <row r="1827">
      <c r="A1827" s="8" t="s">
        <v>5763</v>
      </c>
      <c r="B1827" s="8" t="s">
        <v>80</v>
      </c>
      <c r="C1827" s="14" t="s">
        <v>2033</v>
      </c>
      <c r="D1827" s="8" t="s">
        <v>2574</v>
      </c>
      <c r="E1827" s="14" t="s">
        <v>2612</v>
      </c>
    </row>
    <row r="1828">
      <c r="A1828" s="8" t="s">
        <v>5764</v>
      </c>
      <c r="B1828" s="8" t="s">
        <v>65</v>
      </c>
      <c r="C1828" s="14" t="s">
        <v>1679</v>
      </c>
      <c r="D1828" s="8" t="s">
        <v>2575</v>
      </c>
      <c r="E1828" s="14" t="s">
        <v>2576</v>
      </c>
    </row>
    <row r="1829">
      <c r="A1829" s="8" t="s">
        <v>5765</v>
      </c>
      <c r="B1829" s="8" t="s">
        <v>65</v>
      </c>
      <c r="C1829" s="14" t="s">
        <v>837</v>
      </c>
      <c r="D1829" s="8" t="s">
        <v>2560</v>
      </c>
      <c r="E1829" s="14" t="s">
        <v>2608</v>
      </c>
    </row>
    <row r="1830">
      <c r="A1830" s="8" t="s">
        <v>5766</v>
      </c>
      <c r="B1830" s="8" t="s">
        <v>59</v>
      </c>
      <c r="C1830" s="14" t="s">
        <v>2033</v>
      </c>
      <c r="D1830" s="8" t="s">
        <v>2584</v>
      </c>
      <c r="E1830" s="14" t="s">
        <v>2579</v>
      </c>
    </row>
    <row r="1831">
      <c r="A1831" s="8" t="s">
        <v>5767</v>
      </c>
      <c r="B1831" s="8" t="s">
        <v>93</v>
      </c>
      <c r="C1831" s="14" t="s">
        <v>2033</v>
      </c>
      <c r="D1831" s="8" t="s">
        <v>2567</v>
      </c>
      <c r="E1831" s="14" t="s">
        <v>2553</v>
      </c>
    </row>
    <row r="1832">
      <c r="A1832" s="8" t="s">
        <v>5768</v>
      </c>
      <c r="B1832" s="8" t="s">
        <v>122</v>
      </c>
      <c r="C1832" s="14" t="s">
        <v>2459</v>
      </c>
      <c r="D1832" s="8" t="s">
        <v>2560</v>
      </c>
      <c r="E1832" s="14" t="s">
        <v>2607</v>
      </c>
    </row>
    <row r="1833">
      <c r="A1833" s="8" t="s">
        <v>5769</v>
      </c>
      <c r="B1833" s="8" t="s">
        <v>215</v>
      </c>
      <c r="C1833" s="14" t="s">
        <v>2033</v>
      </c>
      <c r="D1833" s="8" t="s">
        <v>6304</v>
      </c>
      <c r="E1833" s="14" t="s">
        <v>2594</v>
      </c>
    </row>
    <row r="1834">
      <c r="A1834" s="8" t="s">
        <v>5770</v>
      </c>
      <c r="B1834" s="8" t="s">
        <v>93</v>
      </c>
      <c r="C1834" s="14" t="s">
        <v>837</v>
      </c>
      <c r="D1834" s="8" t="s">
        <v>2582</v>
      </c>
      <c r="E1834" s="14" t="s">
        <v>2590</v>
      </c>
    </row>
    <row r="1835">
      <c r="A1835" s="8" t="s">
        <v>5771</v>
      </c>
      <c r="B1835" s="8" t="s">
        <v>70</v>
      </c>
      <c r="C1835" s="14" t="s">
        <v>1679</v>
      </c>
      <c r="D1835" s="8" t="s">
        <v>2610</v>
      </c>
      <c r="E1835" s="14" t="s">
        <v>2594</v>
      </c>
    </row>
    <row r="1836">
      <c r="A1836" s="8" t="s">
        <v>5773</v>
      </c>
      <c r="B1836" s="8" t="s">
        <v>138</v>
      </c>
      <c r="C1836" s="14" t="s">
        <v>1070</v>
      </c>
      <c r="D1836" s="8" t="s">
        <v>2603</v>
      </c>
      <c r="E1836" s="14" t="s">
        <v>2622</v>
      </c>
    </row>
    <row r="1837">
      <c r="A1837" s="8" t="s">
        <v>5774</v>
      </c>
      <c r="B1837" s="8" t="s">
        <v>75</v>
      </c>
      <c r="C1837" s="14" t="s">
        <v>631</v>
      </c>
      <c r="D1837" s="8" t="s">
        <v>2587</v>
      </c>
      <c r="E1837" s="14" t="s">
        <v>2586</v>
      </c>
    </row>
    <row r="1838">
      <c r="A1838" s="8" t="s">
        <v>6397</v>
      </c>
      <c r="B1838" s="8" t="s">
        <v>132</v>
      </c>
      <c r="C1838" s="14" t="s">
        <v>1679</v>
      </c>
      <c r="D1838" s="8" t="s">
        <v>2575</v>
      </c>
      <c r="E1838" s="14" t="s">
        <v>2612</v>
      </c>
    </row>
    <row r="1839">
      <c r="A1839" s="8" t="s">
        <v>5776</v>
      </c>
      <c r="B1839" s="8" t="s">
        <v>122</v>
      </c>
      <c r="C1839" s="14" t="s">
        <v>459</v>
      </c>
      <c r="D1839" s="8" t="s">
        <v>2598</v>
      </c>
      <c r="E1839" s="14" t="s">
        <v>2622</v>
      </c>
    </row>
    <row r="1840">
      <c r="A1840" s="8" t="s">
        <v>5777</v>
      </c>
      <c r="B1840" s="8" t="s">
        <v>186</v>
      </c>
      <c r="C1840" s="14" t="s">
        <v>2033</v>
      </c>
      <c r="D1840" s="8" t="s">
        <v>2581</v>
      </c>
      <c r="E1840" s="14" t="s">
        <v>2553</v>
      </c>
    </row>
    <row r="1841">
      <c r="A1841" s="8" t="s">
        <v>5778</v>
      </c>
      <c r="B1841" s="8" t="s">
        <v>192</v>
      </c>
      <c r="C1841" s="14" t="s">
        <v>189</v>
      </c>
      <c r="D1841" s="8" t="s">
        <v>2587</v>
      </c>
      <c r="E1841" s="14" t="s">
        <v>2573</v>
      </c>
    </row>
    <row r="1842">
      <c r="A1842" s="8" t="s">
        <v>5779</v>
      </c>
      <c r="B1842" s="8" t="s">
        <v>70</v>
      </c>
      <c r="C1842" s="14" t="s">
        <v>837</v>
      </c>
      <c r="D1842" s="8" t="s">
        <v>2585</v>
      </c>
      <c r="E1842" s="14" t="s">
        <v>2553</v>
      </c>
    </row>
    <row r="1843">
      <c r="A1843" s="8" t="s">
        <v>5780</v>
      </c>
      <c r="B1843" s="8" t="s">
        <v>138</v>
      </c>
      <c r="C1843" s="14" t="s">
        <v>1070</v>
      </c>
      <c r="D1843" s="8" t="s">
        <v>2592</v>
      </c>
      <c r="E1843" s="14" t="s">
        <v>2579</v>
      </c>
    </row>
    <row r="1844">
      <c r="A1844" s="8" t="s">
        <v>5781</v>
      </c>
      <c r="B1844" s="8" t="s">
        <v>186</v>
      </c>
      <c r="C1844" s="14" t="s">
        <v>837</v>
      </c>
      <c r="D1844" s="8" t="s">
        <v>2584</v>
      </c>
      <c r="E1844" s="14" t="s">
        <v>2563</v>
      </c>
    </row>
    <row r="1845">
      <c r="A1845" s="8" t="s">
        <v>5782</v>
      </c>
      <c r="B1845" s="8" t="s">
        <v>75</v>
      </c>
      <c r="C1845" s="14" t="s">
        <v>135</v>
      </c>
      <c r="D1845" s="8" t="s">
        <v>2577</v>
      </c>
      <c r="E1845" s="14" t="s">
        <v>2588</v>
      </c>
    </row>
    <row r="1846">
      <c r="A1846" s="8" t="s">
        <v>5783</v>
      </c>
      <c r="B1846" s="8" t="s">
        <v>93</v>
      </c>
      <c r="C1846" s="14" t="s">
        <v>2296</v>
      </c>
      <c r="D1846" s="8" t="s">
        <v>2593</v>
      </c>
      <c r="E1846" s="14" t="s">
        <v>2580</v>
      </c>
    </row>
    <row r="1847">
      <c r="A1847" s="8" t="s">
        <v>5784</v>
      </c>
      <c r="B1847" s="8" t="s">
        <v>65</v>
      </c>
      <c r="C1847" s="14" t="s">
        <v>459</v>
      </c>
      <c r="D1847" s="8" t="s">
        <v>2614</v>
      </c>
      <c r="E1847" s="14" t="s">
        <v>2607</v>
      </c>
    </row>
    <row r="1848">
      <c r="A1848" s="8" t="s">
        <v>5785</v>
      </c>
      <c r="B1848" s="8" t="s">
        <v>12</v>
      </c>
      <c r="C1848" s="14" t="s">
        <v>459</v>
      </c>
      <c r="D1848" s="8" t="s">
        <v>2610</v>
      </c>
      <c r="E1848" s="14" t="s">
        <v>2602</v>
      </c>
    </row>
    <row r="1849">
      <c r="A1849" s="8" t="s">
        <v>5786</v>
      </c>
      <c r="B1849" s="8" t="s">
        <v>215</v>
      </c>
      <c r="C1849" s="14" t="s">
        <v>1070</v>
      </c>
      <c r="D1849" s="8" t="s">
        <v>2614</v>
      </c>
      <c r="E1849" s="14" t="s">
        <v>2571</v>
      </c>
    </row>
    <row r="1850">
      <c r="A1850" s="8" t="s">
        <v>5787</v>
      </c>
      <c r="B1850" s="8" t="s">
        <v>149</v>
      </c>
      <c r="C1850" s="14" t="s">
        <v>1679</v>
      </c>
      <c r="D1850" s="8" t="s">
        <v>2605</v>
      </c>
      <c r="E1850" s="14" t="s">
        <v>2606</v>
      </c>
    </row>
    <row r="1851">
      <c r="A1851" s="8" t="s">
        <v>5788</v>
      </c>
      <c r="B1851" s="8" t="s">
        <v>70</v>
      </c>
      <c r="C1851" s="14" t="s">
        <v>2033</v>
      </c>
      <c r="D1851" s="8" t="s">
        <v>2603</v>
      </c>
      <c r="E1851" s="14" t="s">
        <v>2586</v>
      </c>
    </row>
    <row r="1852">
      <c r="A1852" s="8" t="s">
        <v>5789</v>
      </c>
      <c r="B1852" s="8" t="s">
        <v>186</v>
      </c>
      <c r="C1852" s="14" t="s">
        <v>2033</v>
      </c>
      <c r="D1852" s="8" t="s">
        <v>2621</v>
      </c>
      <c r="E1852" s="14" t="s">
        <v>2590</v>
      </c>
    </row>
    <row r="1853">
      <c r="A1853" s="8" t="s">
        <v>5790</v>
      </c>
      <c r="B1853" s="8" t="s">
        <v>80</v>
      </c>
      <c r="C1853" s="14" t="s">
        <v>1679</v>
      </c>
      <c r="D1853" s="8" t="s">
        <v>2574</v>
      </c>
      <c r="E1853" s="14" t="s">
        <v>2568</v>
      </c>
    </row>
    <row r="1854">
      <c r="A1854" s="8" t="s">
        <v>5791</v>
      </c>
      <c r="B1854" s="8" t="s">
        <v>93</v>
      </c>
      <c r="C1854" s="14" t="s">
        <v>459</v>
      </c>
      <c r="D1854" s="8" t="s">
        <v>2554</v>
      </c>
      <c r="E1854" s="14" t="s">
        <v>2586</v>
      </c>
    </row>
    <row r="1855">
      <c r="A1855" s="8" t="s">
        <v>5792</v>
      </c>
      <c r="B1855" s="8" t="s">
        <v>93</v>
      </c>
      <c r="C1855" s="14" t="s">
        <v>2296</v>
      </c>
      <c r="D1855" s="8" t="s">
        <v>2183</v>
      </c>
      <c r="E1855" s="14" t="s">
        <v>2576</v>
      </c>
    </row>
    <row r="1856">
      <c r="A1856" s="8" t="s">
        <v>5793</v>
      </c>
      <c r="B1856" s="8" t="s">
        <v>65</v>
      </c>
      <c r="C1856" s="14" t="s">
        <v>459</v>
      </c>
      <c r="D1856" s="8" t="s">
        <v>2574</v>
      </c>
      <c r="E1856" s="14" t="s">
        <v>2583</v>
      </c>
    </row>
    <row r="1857">
      <c r="A1857" s="8" t="s">
        <v>5794</v>
      </c>
      <c r="B1857" s="8" t="s">
        <v>138</v>
      </c>
      <c r="C1857" s="14" t="s">
        <v>2459</v>
      </c>
      <c r="D1857" s="8" t="s">
        <v>2558</v>
      </c>
      <c r="E1857" s="14" t="s">
        <v>2602</v>
      </c>
    </row>
    <row r="1858">
      <c r="A1858" s="8" t="s">
        <v>5795</v>
      </c>
      <c r="B1858" s="8" t="s">
        <v>93</v>
      </c>
      <c r="C1858" s="14" t="s">
        <v>1679</v>
      </c>
      <c r="D1858" s="8" t="s">
        <v>2605</v>
      </c>
      <c r="E1858" s="14" t="s">
        <v>2570</v>
      </c>
    </row>
    <row r="1859">
      <c r="A1859" s="8" t="s">
        <v>5796</v>
      </c>
      <c r="B1859" s="8" t="s">
        <v>65</v>
      </c>
      <c r="C1859" s="14" t="s">
        <v>1679</v>
      </c>
      <c r="D1859" s="8" t="s">
        <v>2615</v>
      </c>
      <c r="E1859" s="14" t="s">
        <v>2602</v>
      </c>
    </row>
    <row r="1860">
      <c r="A1860" s="8" t="s">
        <v>5797</v>
      </c>
      <c r="B1860" s="8" t="s">
        <v>215</v>
      </c>
      <c r="C1860" s="14" t="s">
        <v>2296</v>
      </c>
      <c r="D1860" s="8" t="s">
        <v>2603</v>
      </c>
      <c r="E1860" s="14" t="s">
        <v>2622</v>
      </c>
    </row>
    <row r="1861">
      <c r="A1861" s="8" t="s">
        <v>5798</v>
      </c>
      <c r="B1861" s="8" t="s">
        <v>149</v>
      </c>
      <c r="C1861" s="14" t="s">
        <v>837</v>
      </c>
      <c r="D1861" s="8" t="s">
        <v>2552</v>
      </c>
      <c r="E1861" s="14" t="s">
        <v>2576</v>
      </c>
    </row>
    <row r="1862">
      <c r="A1862" s="8" t="s">
        <v>5799</v>
      </c>
      <c r="B1862" s="8" t="s">
        <v>93</v>
      </c>
      <c r="C1862" s="14" t="s">
        <v>1679</v>
      </c>
      <c r="D1862" s="8" t="s">
        <v>2564</v>
      </c>
      <c r="E1862" s="14" t="s">
        <v>2565</v>
      </c>
    </row>
    <row r="1863">
      <c r="A1863" s="8" t="s">
        <v>5800</v>
      </c>
      <c r="B1863" s="8" t="s">
        <v>80</v>
      </c>
      <c r="C1863" s="14" t="s">
        <v>1679</v>
      </c>
      <c r="D1863" s="8" t="s">
        <v>2558</v>
      </c>
      <c r="E1863" s="14" t="s">
        <v>2617</v>
      </c>
    </row>
    <row r="1864">
      <c r="A1864" s="8" t="s">
        <v>5801</v>
      </c>
      <c r="B1864" s="8" t="s">
        <v>59</v>
      </c>
      <c r="C1864" s="14" t="s">
        <v>631</v>
      </c>
      <c r="D1864" s="8" t="s">
        <v>2615</v>
      </c>
      <c r="E1864" s="14" t="s">
        <v>2579</v>
      </c>
    </row>
    <row r="1865">
      <c r="A1865" s="8" t="s">
        <v>5802</v>
      </c>
      <c r="B1865" s="8" t="s">
        <v>65</v>
      </c>
      <c r="C1865" s="14" t="s">
        <v>2296</v>
      </c>
      <c r="D1865" s="8" t="s">
        <v>2587</v>
      </c>
      <c r="E1865" s="14" t="s">
        <v>2568</v>
      </c>
    </row>
    <row r="1866">
      <c r="A1866" s="8" t="s">
        <v>5803</v>
      </c>
      <c r="B1866" s="8" t="s">
        <v>80</v>
      </c>
      <c r="C1866" s="14" t="s">
        <v>1352</v>
      </c>
      <c r="D1866" s="8" t="s">
        <v>2572</v>
      </c>
      <c r="E1866" s="14" t="s">
        <v>2579</v>
      </c>
    </row>
    <row r="1867">
      <c r="A1867" s="8" t="s">
        <v>5804</v>
      </c>
      <c r="B1867" s="8" t="s">
        <v>65</v>
      </c>
      <c r="C1867" s="14" t="s">
        <v>2033</v>
      </c>
      <c r="D1867" s="8" t="s">
        <v>2567</v>
      </c>
      <c r="E1867" s="14" t="s">
        <v>2568</v>
      </c>
    </row>
    <row r="1868">
      <c r="A1868" s="8" t="s">
        <v>5805</v>
      </c>
      <c r="B1868" s="8" t="s">
        <v>132</v>
      </c>
      <c r="C1868" s="14" t="s">
        <v>1070</v>
      </c>
      <c r="D1868" s="8" t="s">
        <v>6303</v>
      </c>
      <c r="E1868" s="14" t="s">
        <v>2580</v>
      </c>
    </row>
    <row r="1869">
      <c r="A1869" s="8" t="s">
        <v>5806</v>
      </c>
      <c r="B1869" s="8" t="s">
        <v>65</v>
      </c>
      <c r="C1869" s="14" t="s">
        <v>2033</v>
      </c>
      <c r="D1869" s="8" t="s">
        <v>2614</v>
      </c>
      <c r="E1869" s="14" t="s">
        <v>2594</v>
      </c>
    </row>
    <row r="1870">
      <c r="A1870" s="8" t="s">
        <v>5807</v>
      </c>
      <c r="B1870" s="8" t="s">
        <v>53</v>
      </c>
      <c r="C1870" s="14" t="s">
        <v>1070</v>
      </c>
      <c r="D1870" s="8" t="s">
        <v>2558</v>
      </c>
      <c r="E1870" s="14" t="s">
        <v>2557</v>
      </c>
    </row>
    <row r="1871">
      <c r="A1871" s="8" t="s">
        <v>5808</v>
      </c>
      <c r="B1871" s="8" t="s">
        <v>186</v>
      </c>
      <c r="C1871" s="14" t="s">
        <v>1352</v>
      </c>
      <c r="D1871" s="8" t="s">
        <v>2183</v>
      </c>
      <c r="E1871" s="14" t="s">
        <v>2602</v>
      </c>
    </row>
    <row r="1872">
      <c r="A1872" s="8" t="s">
        <v>5809</v>
      </c>
      <c r="B1872" s="8" t="s">
        <v>24</v>
      </c>
      <c r="C1872" s="14" t="s">
        <v>1352</v>
      </c>
      <c r="D1872" s="8" t="s">
        <v>2587</v>
      </c>
      <c r="E1872" s="14" t="s">
        <v>2638</v>
      </c>
    </row>
    <row r="1873">
      <c r="A1873" s="8" t="s">
        <v>5810</v>
      </c>
      <c r="B1873" s="8" t="s">
        <v>122</v>
      </c>
      <c r="C1873" s="14" t="s">
        <v>2033</v>
      </c>
      <c r="D1873" s="8" t="s">
        <v>2610</v>
      </c>
      <c r="E1873" s="14" t="s">
        <v>2622</v>
      </c>
    </row>
    <row r="1874">
      <c r="A1874" s="8" t="s">
        <v>5811</v>
      </c>
      <c r="B1874" s="8" t="s">
        <v>192</v>
      </c>
      <c r="C1874" s="14" t="s">
        <v>237</v>
      </c>
      <c r="D1874" s="8" t="s">
        <v>2581</v>
      </c>
      <c r="E1874" s="14" t="s">
        <v>2578</v>
      </c>
    </row>
    <row r="1875">
      <c r="A1875" s="8" t="s">
        <v>5812</v>
      </c>
      <c r="B1875" s="8" t="s">
        <v>59</v>
      </c>
      <c r="C1875" s="14" t="s">
        <v>837</v>
      </c>
      <c r="D1875" s="8" t="s">
        <v>2552</v>
      </c>
      <c r="E1875" s="14" t="s">
        <v>2576</v>
      </c>
    </row>
    <row r="1876">
      <c r="A1876" s="8" t="s">
        <v>5813</v>
      </c>
      <c r="B1876" s="8" t="s">
        <v>186</v>
      </c>
      <c r="C1876" s="14" t="s">
        <v>1352</v>
      </c>
      <c r="D1876" s="8" t="s">
        <v>2582</v>
      </c>
      <c r="E1876" s="14" t="s">
        <v>2601</v>
      </c>
    </row>
    <row r="1877">
      <c r="A1877" s="8" t="s">
        <v>5814</v>
      </c>
      <c r="B1877" s="8" t="s">
        <v>70</v>
      </c>
      <c r="C1877" s="14" t="s">
        <v>459</v>
      </c>
      <c r="D1877" s="8" t="s">
        <v>2600</v>
      </c>
      <c r="E1877" s="14" t="s">
        <v>2571</v>
      </c>
    </row>
    <row r="1878">
      <c r="A1878" s="8" t="s">
        <v>5815</v>
      </c>
      <c r="B1878" s="8" t="s">
        <v>24</v>
      </c>
      <c r="C1878" s="14" t="s">
        <v>338</v>
      </c>
      <c r="D1878" s="8" t="s">
        <v>2566</v>
      </c>
      <c r="E1878" s="14" t="s">
        <v>2571</v>
      </c>
    </row>
    <row r="1879">
      <c r="A1879" s="8" t="s">
        <v>5816</v>
      </c>
      <c r="B1879" s="8" t="s">
        <v>80</v>
      </c>
      <c r="C1879" s="14" t="s">
        <v>837</v>
      </c>
      <c r="D1879" s="8" t="s">
        <v>2598</v>
      </c>
      <c r="E1879" s="14" t="s">
        <v>2599</v>
      </c>
    </row>
    <row r="1880">
      <c r="A1880" s="8" t="s">
        <v>5817</v>
      </c>
      <c r="B1880" s="8" t="s">
        <v>65</v>
      </c>
      <c r="C1880" s="14" t="s">
        <v>1352</v>
      </c>
      <c r="D1880" s="8" t="s">
        <v>2581</v>
      </c>
      <c r="E1880" s="14" t="s">
        <v>2591</v>
      </c>
    </row>
    <row r="1881">
      <c r="A1881" s="8" t="s">
        <v>5818</v>
      </c>
      <c r="B1881" s="8" t="s">
        <v>24</v>
      </c>
      <c r="C1881" s="14" t="s">
        <v>837</v>
      </c>
      <c r="D1881" s="8" t="s">
        <v>2564</v>
      </c>
      <c r="E1881" s="14" t="s">
        <v>2553</v>
      </c>
    </row>
    <row r="1882">
      <c r="A1882" s="8" t="s">
        <v>5819</v>
      </c>
      <c r="B1882" s="8" t="s">
        <v>93</v>
      </c>
      <c r="C1882" s="14" t="s">
        <v>237</v>
      </c>
      <c r="D1882" s="8" t="s">
        <v>2585</v>
      </c>
      <c r="E1882" s="14" t="s">
        <v>2634</v>
      </c>
    </row>
    <row r="1883">
      <c r="A1883" s="8" t="s">
        <v>5820</v>
      </c>
      <c r="B1883" s="8" t="s">
        <v>75</v>
      </c>
      <c r="C1883" s="14" t="s">
        <v>60</v>
      </c>
      <c r="D1883" s="8" t="s">
        <v>6304</v>
      </c>
      <c r="E1883" s="14" t="s">
        <v>2571</v>
      </c>
    </row>
    <row r="1884">
      <c r="A1884" s="8" t="s">
        <v>5821</v>
      </c>
      <c r="B1884" s="8" t="s">
        <v>65</v>
      </c>
      <c r="C1884" s="14" t="s">
        <v>2033</v>
      </c>
      <c r="D1884" s="8" t="s">
        <v>2585</v>
      </c>
      <c r="E1884" s="14" t="s">
        <v>2557</v>
      </c>
    </row>
    <row r="1885">
      <c r="A1885" s="8" t="s">
        <v>5822</v>
      </c>
      <c r="B1885" s="8" t="s">
        <v>149</v>
      </c>
      <c r="C1885" s="14" t="s">
        <v>2296</v>
      </c>
      <c r="D1885" s="8" t="s">
        <v>2562</v>
      </c>
      <c r="E1885" s="14" t="s">
        <v>2606</v>
      </c>
    </row>
    <row r="1886">
      <c r="A1886" s="8" t="s">
        <v>5823</v>
      </c>
      <c r="B1886" s="8" t="s">
        <v>24</v>
      </c>
      <c r="C1886" s="14" t="s">
        <v>1070</v>
      </c>
      <c r="D1886" s="8" t="s">
        <v>2564</v>
      </c>
      <c r="E1886" s="14" t="s">
        <v>2640</v>
      </c>
    </row>
    <row r="1887">
      <c r="A1887" s="8" t="s">
        <v>5824</v>
      </c>
      <c r="B1887" s="8" t="s">
        <v>149</v>
      </c>
      <c r="C1887" s="14" t="s">
        <v>459</v>
      </c>
      <c r="D1887" s="8" t="s">
        <v>2554</v>
      </c>
      <c r="E1887" s="14" t="s">
        <v>2590</v>
      </c>
    </row>
    <row r="1888">
      <c r="A1888" s="8" t="s">
        <v>5825</v>
      </c>
      <c r="B1888" s="8" t="s">
        <v>261</v>
      </c>
      <c r="C1888" s="14" t="s">
        <v>1352</v>
      </c>
      <c r="D1888" s="8" t="s">
        <v>2598</v>
      </c>
      <c r="E1888" s="14" t="s">
        <v>2555</v>
      </c>
    </row>
    <row r="1889">
      <c r="A1889" s="8" t="s">
        <v>5826</v>
      </c>
      <c r="B1889" s="8" t="s">
        <v>24</v>
      </c>
      <c r="C1889" s="14" t="s">
        <v>1679</v>
      </c>
      <c r="D1889" s="8" t="s">
        <v>6303</v>
      </c>
      <c r="E1889" s="14" t="s">
        <v>2571</v>
      </c>
    </row>
    <row r="1890">
      <c r="A1890" s="8" t="s">
        <v>5827</v>
      </c>
      <c r="B1890" s="8" t="s">
        <v>65</v>
      </c>
      <c r="C1890" s="14" t="s">
        <v>2033</v>
      </c>
      <c r="D1890" s="8" t="s">
        <v>6304</v>
      </c>
      <c r="E1890" s="14" t="s">
        <v>2627</v>
      </c>
    </row>
    <row r="1891">
      <c r="A1891" s="8" t="s">
        <v>5828</v>
      </c>
      <c r="B1891" s="8" t="s">
        <v>24</v>
      </c>
      <c r="C1891" s="14" t="s">
        <v>1352</v>
      </c>
      <c r="D1891" s="8" t="s">
        <v>2614</v>
      </c>
      <c r="E1891" s="14" t="s">
        <v>2557</v>
      </c>
    </row>
    <row r="1892">
      <c r="A1892" s="8" t="s">
        <v>5829</v>
      </c>
      <c r="B1892" s="8" t="s">
        <v>38</v>
      </c>
      <c r="C1892" s="14" t="s">
        <v>1679</v>
      </c>
      <c r="D1892" s="8" t="s">
        <v>2567</v>
      </c>
      <c r="E1892" s="14" t="s">
        <v>2553</v>
      </c>
    </row>
    <row r="1893">
      <c r="A1893" s="8" t="s">
        <v>5830</v>
      </c>
      <c r="B1893" s="8" t="s">
        <v>186</v>
      </c>
      <c r="C1893" s="14" t="s">
        <v>1352</v>
      </c>
      <c r="D1893" s="8" t="s">
        <v>2621</v>
      </c>
      <c r="E1893" s="14" t="s">
        <v>2594</v>
      </c>
    </row>
    <row r="1894">
      <c r="A1894" s="8" t="s">
        <v>5831</v>
      </c>
      <c r="B1894" s="8" t="s">
        <v>38</v>
      </c>
      <c r="C1894" s="14" t="s">
        <v>1070</v>
      </c>
      <c r="D1894" s="8" t="s">
        <v>2566</v>
      </c>
      <c r="E1894" s="14" t="s">
        <v>2557</v>
      </c>
    </row>
    <row r="1895">
      <c r="A1895" s="8" t="s">
        <v>5832</v>
      </c>
      <c r="B1895" s="8" t="s">
        <v>46</v>
      </c>
      <c r="C1895" s="14" t="s">
        <v>338</v>
      </c>
      <c r="D1895" s="8" t="s">
        <v>2552</v>
      </c>
      <c r="E1895" s="14" t="s">
        <v>2568</v>
      </c>
    </row>
    <row r="1896">
      <c r="A1896" s="8" t="s">
        <v>5833</v>
      </c>
      <c r="B1896" s="8" t="s">
        <v>65</v>
      </c>
      <c r="C1896" s="14" t="s">
        <v>2033</v>
      </c>
      <c r="D1896" s="8" t="s">
        <v>2605</v>
      </c>
      <c r="E1896" s="14" t="s">
        <v>2557</v>
      </c>
    </row>
    <row r="1897">
      <c r="A1897" s="8" t="s">
        <v>5834</v>
      </c>
      <c r="B1897" s="8" t="s">
        <v>65</v>
      </c>
      <c r="C1897" s="14" t="s">
        <v>1679</v>
      </c>
      <c r="D1897" s="8" t="s">
        <v>2620</v>
      </c>
      <c r="E1897" s="14" t="s">
        <v>2563</v>
      </c>
    </row>
    <row r="1898">
      <c r="A1898" s="8" t="s">
        <v>5835</v>
      </c>
      <c r="B1898" s="8" t="s">
        <v>215</v>
      </c>
      <c r="C1898" s="14" t="s">
        <v>2033</v>
      </c>
      <c r="D1898" s="8" t="s">
        <v>2566</v>
      </c>
      <c r="E1898" s="14" t="s">
        <v>2555</v>
      </c>
    </row>
    <row r="1899">
      <c r="A1899" s="8" t="s">
        <v>5836</v>
      </c>
      <c r="B1899" s="8" t="s">
        <v>149</v>
      </c>
      <c r="C1899" s="14" t="s">
        <v>837</v>
      </c>
      <c r="D1899" s="8" t="s">
        <v>2593</v>
      </c>
      <c r="E1899" s="14" t="s">
        <v>2588</v>
      </c>
    </row>
    <row r="1900">
      <c r="A1900" s="8" t="s">
        <v>5837</v>
      </c>
      <c r="B1900" s="8" t="s">
        <v>12</v>
      </c>
      <c r="C1900" s="14" t="s">
        <v>60</v>
      </c>
      <c r="D1900" s="8" t="s">
        <v>2585</v>
      </c>
      <c r="E1900" s="14" t="s">
        <v>2625</v>
      </c>
    </row>
    <row r="1901">
      <c r="A1901" s="8" t="s">
        <v>5838</v>
      </c>
      <c r="B1901" s="8" t="s">
        <v>65</v>
      </c>
      <c r="C1901" s="14" t="s">
        <v>1070</v>
      </c>
      <c r="D1901" s="8" t="s">
        <v>2560</v>
      </c>
      <c r="E1901" s="14" t="s">
        <v>2588</v>
      </c>
    </row>
    <row r="1902">
      <c r="A1902" s="8" t="s">
        <v>5839</v>
      </c>
      <c r="B1902" s="8" t="s">
        <v>93</v>
      </c>
      <c r="C1902" s="14" t="s">
        <v>338</v>
      </c>
      <c r="D1902" s="8" t="s">
        <v>6303</v>
      </c>
      <c r="E1902" s="14" t="s">
        <v>2590</v>
      </c>
    </row>
    <row r="1903">
      <c r="A1903" s="8" t="s">
        <v>5840</v>
      </c>
      <c r="B1903" s="8" t="s">
        <v>65</v>
      </c>
      <c r="C1903" s="14" t="s">
        <v>1679</v>
      </c>
      <c r="D1903" s="8" t="s">
        <v>2582</v>
      </c>
      <c r="E1903" s="14" t="s">
        <v>2555</v>
      </c>
    </row>
    <row r="1904">
      <c r="A1904" s="8" t="s">
        <v>5841</v>
      </c>
      <c r="B1904" s="8" t="s">
        <v>65</v>
      </c>
      <c r="C1904" s="14" t="s">
        <v>1352</v>
      </c>
      <c r="D1904" s="8" t="s">
        <v>2587</v>
      </c>
      <c r="E1904" s="14" t="s">
        <v>2565</v>
      </c>
    </row>
    <row r="1905">
      <c r="A1905" s="8" t="s">
        <v>5843</v>
      </c>
      <c r="B1905" s="8" t="s">
        <v>16</v>
      </c>
      <c r="C1905" s="14" t="s">
        <v>459</v>
      </c>
      <c r="D1905" s="8" t="s">
        <v>2575</v>
      </c>
      <c r="E1905" s="14" t="s">
        <v>2563</v>
      </c>
    </row>
    <row r="1906">
      <c r="A1906" s="8" t="s">
        <v>5844</v>
      </c>
      <c r="B1906" s="8" t="s">
        <v>93</v>
      </c>
      <c r="C1906" s="14" t="s">
        <v>2459</v>
      </c>
      <c r="D1906" s="8" t="s">
        <v>2615</v>
      </c>
      <c r="E1906" s="14" t="s">
        <v>2570</v>
      </c>
    </row>
    <row r="1907">
      <c r="A1907" s="8" t="s">
        <v>5845</v>
      </c>
      <c r="B1907" s="8" t="s">
        <v>138</v>
      </c>
      <c r="C1907" s="14" t="s">
        <v>1679</v>
      </c>
      <c r="D1907" s="8" t="s">
        <v>6303</v>
      </c>
      <c r="E1907" s="14" t="s">
        <v>2601</v>
      </c>
    </row>
    <row r="1908">
      <c r="A1908" s="8" t="s">
        <v>5846</v>
      </c>
      <c r="B1908" s="8" t="s">
        <v>215</v>
      </c>
      <c r="C1908" s="14" t="s">
        <v>459</v>
      </c>
      <c r="D1908" s="8" t="s">
        <v>2614</v>
      </c>
      <c r="E1908" s="14" t="s">
        <v>2586</v>
      </c>
    </row>
    <row r="1909">
      <c r="A1909" s="8" t="s">
        <v>5847</v>
      </c>
      <c r="B1909" s="8" t="s">
        <v>186</v>
      </c>
      <c r="C1909" s="14" t="s">
        <v>2033</v>
      </c>
      <c r="D1909" s="8" t="s">
        <v>2577</v>
      </c>
      <c r="E1909" s="14" t="s">
        <v>2609</v>
      </c>
    </row>
    <row r="1910">
      <c r="A1910" s="8" t="s">
        <v>5848</v>
      </c>
      <c r="B1910" s="8" t="s">
        <v>24</v>
      </c>
      <c r="C1910" s="14" t="s">
        <v>1352</v>
      </c>
      <c r="D1910" s="8" t="s">
        <v>2558</v>
      </c>
      <c r="E1910" s="14" t="s">
        <v>2563</v>
      </c>
    </row>
    <row r="1911">
      <c r="A1911" s="8" t="s">
        <v>5849</v>
      </c>
      <c r="B1911" s="8" t="s">
        <v>65</v>
      </c>
      <c r="C1911" s="14" t="s">
        <v>837</v>
      </c>
      <c r="D1911" s="8" t="s">
        <v>2593</v>
      </c>
      <c r="E1911" s="14" t="s">
        <v>2604</v>
      </c>
    </row>
    <row r="1912">
      <c r="A1912" s="8" t="s">
        <v>5850</v>
      </c>
      <c r="B1912" s="8" t="s">
        <v>70</v>
      </c>
      <c r="C1912" s="14" t="s">
        <v>2033</v>
      </c>
      <c r="D1912" s="8" t="s">
        <v>2552</v>
      </c>
      <c r="E1912" s="14" t="s">
        <v>2583</v>
      </c>
    </row>
    <row r="1913">
      <c r="A1913" s="8" t="s">
        <v>5851</v>
      </c>
      <c r="B1913" s="8" t="s">
        <v>93</v>
      </c>
      <c r="C1913" s="14" t="s">
        <v>2033</v>
      </c>
      <c r="D1913" s="8" t="s">
        <v>2567</v>
      </c>
      <c r="E1913" s="14" t="s">
        <v>2591</v>
      </c>
    </row>
    <row r="1914">
      <c r="A1914" s="8" t="s">
        <v>5852</v>
      </c>
      <c r="B1914" s="8" t="s">
        <v>70</v>
      </c>
      <c r="C1914" s="14" t="s">
        <v>837</v>
      </c>
      <c r="D1914" s="8" t="s">
        <v>2566</v>
      </c>
      <c r="E1914" s="14" t="s">
        <v>2557</v>
      </c>
    </row>
    <row r="1915">
      <c r="A1915" s="8" t="s">
        <v>5853</v>
      </c>
      <c r="B1915" s="8" t="s">
        <v>132</v>
      </c>
      <c r="C1915" s="14" t="s">
        <v>1679</v>
      </c>
      <c r="D1915" s="8" t="s">
        <v>2610</v>
      </c>
      <c r="E1915" s="14" t="s">
        <v>2606</v>
      </c>
    </row>
    <row r="1916">
      <c r="A1916" s="8" t="s">
        <v>5854</v>
      </c>
      <c r="B1916" s="8" t="s">
        <v>149</v>
      </c>
      <c r="C1916" s="14" t="s">
        <v>2033</v>
      </c>
      <c r="D1916" s="8" t="s">
        <v>2562</v>
      </c>
      <c r="E1916" s="14" t="s">
        <v>2609</v>
      </c>
    </row>
    <row r="1917">
      <c r="A1917" s="8" t="s">
        <v>5855</v>
      </c>
      <c r="B1917" s="8" t="s">
        <v>75</v>
      </c>
      <c r="C1917" s="14" t="s">
        <v>237</v>
      </c>
      <c r="D1917" s="8" t="s">
        <v>2621</v>
      </c>
      <c r="E1917" s="14" t="s">
        <v>2578</v>
      </c>
    </row>
    <row r="1918">
      <c r="A1918" s="8" t="s">
        <v>5856</v>
      </c>
      <c r="B1918" s="8" t="s">
        <v>70</v>
      </c>
      <c r="C1918" s="14" t="s">
        <v>2296</v>
      </c>
      <c r="D1918" s="8" t="s">
        <v>2610</v>
      </c>
      <c r="E1918" s="14" t="s">
        <v>2568</v>
      </c>
    </row>
    <row r="1919">
      <c r="A1919" s="8" t="s">
        <v>5857</v>
      </c>
      <c r="B1919" s="8" t="s">
        <v>138</v>
      </c>
      <c r="C1919" s="14" t="s">
        <v>837</v>
      </c>
      <c r="D1919" s="8" t="s">
        <v>6303</v>
      </c>
      <c r="E1919" s="14" t="s">
        <v>2557</v>
      </c>
    </row>
    <row r="1920">
      <c r="A1920" s="8" t="s">
        <v>5858</v>
      </c>
      <c r="B1920" s="8" t="s">
        <v>141</v>
      </c>
      <c r="C1920" s="14" t="s">
        <v>338</v>
      </c>
      <c r="D1920" s="8" t="s">
        <v>6304</v>
      </c>
      <c r="E1920" s="14" t="s">
        <v>2634</v>
      </c>
    </row>
    <row r="1921">
      <c r="A1921" s="8" t="s">
        <v>5859</v>
      </c>
      <c r="B1921" s="8" t="s">
        <v>80</v>
      </c>
      <c r="C1921" s="14" t="s">
        <v>459</v>
      </c>
      <c r="D1921" s="8" t="s">
        <v>2564</v>
      </c>
      <c r="E1921" s="14" t="s">
        <v>2608</v>
      </c>
    </row>
    <row r="1922">
      <c r="A1922" s="8" t="s">
        <v>5860</v>
      </c>
      <c r="B1922" s="8" t="s">
        <v>192</v>
      </c>
      <c r="C1922" s="14" t="s">
        <v>1352</v>
      </c>
      <c r="D1922" s="8" t="s">
        <v>2567</v>
      </c>
      <c r="E1922" s="14" t="s">
        <v>2580</v>
      </c>
    </row>
    <row r="1923">
      <c r="A1923" s="8" t="s">
        <v>5861</v>
      </c>
      <c r="B1923" s="8" t="s">
        <v>215</v>
      </c>
      <c r="C1923" s="14" t="s">
        <v>1679</v>
      </c>
      <c r="D1923" s="8" t="s">
        <v>2554</v>
      </c>
      <c r="E1923" s="14" t="s">
        <v>2573</v>
      </c>
    </row>
    <row r="1924">
      <c r="A1924" s="8" t="s">
        <v>5862</v>
      </c>
      <c r="B1924" s="8" t="s">
        <v>75</v>
      </c>
      <c r="C1924" s="14" t="s">
        <v>338</v>
      </c>
      <c r="D1924" s="8" t="s">
        <v>2620</v>
      </c>
      <c r="E1924" s="14" t="s">
        <v>2607</v>
      </c>
    </row>
    <row r="1925">
      <c r="A1925" s="8" t="s">
        <v>5863</v>
      </c>
      <c r="B1925" s="8" t="s">
        <v>215</v>
      </c>
      <c r="C1925" s="14" t="s">
        <v>1070</v>
      </c>
      <c r="D1925" s="8" t="s">
        <v>2585</v>
      </c>
      <c r="E1925" s="14" t="s">
        <v>2602</v>
      </c>
    </row>
    <row r="1926">
      <c r="A1926" s="8" t="s">
        <v>5864</v>
      </c>
      <c r="B1926" s="8" t="s">
        <v>93</v>
      </c>
      <c r="C1926" s="14" t="s">
        <v>1352</v>
      </c>
      <c r="D1926" s="8" t="s">
        <v>2564</v>
      </c>
      <c r="E1926" s="14" t="s">
        <v>2588</v>
      </c>
    </row>
    <row r="1927">
      <c r="A1927" s="8" t="s">
        <v>5865</v>
      </c>
      <c r="B1927" s="8" t="s">
        <v>70</v>
      </c>
      <c r="C1927" s="14" t="s">
        <v>2296</v>
      </c>
      <c r="D1927" s="8" t="s">
        <v>2592</v>
      </c>
      <c r="E1927" s="14" t="s">
        <v>2622</v>
      </c>
    </row>
    <row r="1928">
      <c r="A1928" s="8" t="s">
        <v>5866</v>
      </c>
      <c r="B1928" s="8" t="s">
        <v>192</v>
      </c>
      <c r="C1928" s="14" t="s">
        <v>2296</v>
      </c>
      <c r="D1928" s="8" t="s">
        <v>2584</v>
      </c>
      <c r="E1928" s="14" t="s">
        <v>2573</v>
      </c>
    </row>
    <row r="1929">
      <c r="A1929" s="8" t="s">
        <v>5867</v>
      </c>
      <c r="B1929" s="8" t="s">
        <v>46</v>
      </c>
      <c r="C1929" s="14" t="s">
        <v>1352</v>
      </c>
      <c r="D1929" s="8" t="s">
        <v>2575</v>
      </c>
      <c r="E1929" s="14" t="s">
        <v>2625</v>
      </c>
    </row>
    <row r="1930">
      <c r="A1930" s="8" t="s">
        <v>5868</v>
      </c>
      <c r="B1930" s="8" t="s">
        <v>261</v>
      </c>
      <c r="C1930" s="14" t="s">
        <v>837</v>
      </c>
      <c r="D1930" s="8" t="s">
        <v>2577</v>
      </c>
      <c r="E1930" s="14" t="s">
        <v>2591</v>
      </c>
    </row>
    <row r="1931">
      <c r="A1931" s="8" t="s">
        <v>5869</v>
      </c>
      <c r="B1931" s="8" t="s">
        <v>186</v>
      </c>
      <c r="C1931" s="14" t="s">
        <v>2296</v>
      </c>
      <c r="D1931" s="8" t="s">
        <v>2605</v>
      </c>
      <c r="E1931" s="14" t="s">
        <v>2599</v>
      </c>
    </row>
    <row r="1932">
      <c r="A1932" s="8" t="s">
        <v>5870</v>
      </c>
      <c r="B1932" s="8" t="s">
        <v>93</v>
      </c>
      <c r="C1932" s="14" t="s">
        <v>631</v>
      </c>
      <c r="D1932" s="8" t="s">
        <v>2574</v>
      </c>
      <c r="E1932" s="14" t="s">
        <v>2602</v>
      </c>
    </row>
    <row r="1933">
      <c r="A1933" s="8" t="s">
        <v>5871</v>
      </c>
      <c r="B1933" s="8" t="s">
        <v>141</v>
      </c>
      <c r="C1933" s="14" t="s">
        <v>1679</v>
      </c>
      <c r="D1933" s="8" t="s">
        <v>2582</v>
      </c>
      <c r="E1933" s="14" t="s">
        <v>2576</v>
      </c>
    </row>
    <row r="1934">
      <c r="A1934" s="8" t="s">
        <v>5872</v>
      </c>
      <c r="B1934" s="8" t="s">
        <v>215</v>
      </c>
      <c r="C1934" s="14" t="s">
        <v>1070</v>
      </c>
      <c r="D1934" s="8" t="s">
        <v>2605</v>
      </c>
      <c r="E1934" s="14" t="s">
        <v>2622</v>
      </c>
    </row>
    <row r="1935">
      <c r="A1935" s="8" t="s">
        <v>5873</v>
      </c>
      <c r="B1935" s="8" t="s">
        <v>70</v>
      </c>
      <c r="C1935" s="14" t="s">
        <v>2033</v>
      </c>
      <c r="D1935" s="8" t="s">
        <v>2620</v>
      </c>
      <c r="E1935" s="14" t="s">
        <v>2601</v>
      </c>
    </row>
    <row r="1936">
      <c r="A1936" s="8" t="s">
        <v>5874</v>
      </c>
      <c r="B1936" s="8" t="s">
        <v>192</v>
      </c>
      <c r="C1936" s="14" t="s">
        <v>1679</v>
      </c>
      <c r="D1936" s="8" t="s">
        <v>6303</v>
      </c>
      <c r="E1936" s="14" t="s">
        <v>2568</v>
      </c>
    </row>
    <row r="1937">
      <c r="A1937" s="8" t="s">
        <v>5875</v>
      </c>
      <c r="B1937" s="8" t="s">
        <v>141</v>
      </c>
      <c r="C1937" s="14" t="s">
        <v>837</v>
      </c>
      <c r="D1937" s="8" t="s">
        <v>2587</v>
      </c>
      <c r="E1937" s="14" t="s">
        <v>2568</v>
      </c>
    </row>
    <row r="1938">
      <c r="A1938" s="8" t="s">
        <v>5876</v>
      </c>
      <c r="B1938" s="8" t="s">
        <v>65</v>
      </c>
      <c r="C1938" s="14" t="s">
        <v>2033</v>
      </c>
      <c r="D1938" s="8" t="s">
        <v>2598</v>
      </c>
      <c r="E1938" s="14" t="s">
        <v>2570</v>
      </c>
    </row>
    <row r="1939">
      <c r="A1939" s="8" t="s">
        <v>5877</v>
      </c>
      <c r="B1939" s="8" t="s">
        <v>46</v>
      </c>
      <c r="C1939" s="14" t="s">
        <v>338</v>
      </c>
      <c r="D1939" s="8" t="s">
        <v>2572</v>
      </c>
      <c r="E1939" s="14" t="s">
        <v>2571</v>
      </c>
    </row>
    <row r="1940">
      <c r="A1940" s="8" t="s">
        <v>5878</v>
      </c>
      <c r="B1940" s="8" t="s">
        <v>65</v>
      </c>
      <c r="C1940" s="14" t="s">
        <v>631</v>
      </c>
      <c r="D1940" s="8" t="s">
        <v>2566</v>
      </c>
      <c r="E1940" s="14" t="s">
        <v>2565</v>
      </c>
    </row>
    <row r="1941">
      <c r="A1941" s="8" t="s">
        <v>5879</v>
      </c>
      <c r="B1941" s="8" t="s">
        <v>16</v>
      </c>
      <c r="C1941" s="14" t="s">
        <v>338</v>
      </c>
      <c r="D1941" s="8" t="s">
        <v>2603</v>
      </c>
      <c r="E1941" s="14" t="s">
        <v>2616</v>
      </c>
    </row>
    <row r="1942">
      <c r="A1942" s="8" t="s">
        <v>5880</v>
      </c>
      <c r="B1942" s="8" t="s">
        <v>38</v>
      </c>
      <c r="C1942" s="14" t="s">
        <v>459</v>
      </c>
      <c r="D1942" s="8" t="s">
        <v>2600</v>
      </c>
      <c r="E1942" s="14" t="s">
        <v>2601</v>
      </c>
    </row>
    <row r="1943">
      <c r="A1943" s="8" t="s">
        <v>5881</v>
      </c>
      <c r="B1943" s="8" t="s">
        <v>53</v>
      </c>
      <c r="C1943" s="14" t="s">
        <v>1352</v>
      </c>
      <c r="D1943" s="8" t="s">
        <v>2582</v>
      </c>
      <c r="E1943" s="14" t="s">
        <v>2591</v>
      </c>
    </row>
    <row r="1944">
      <c r="A1944" s="8" t="s">
        <v>5882</v>
      </c>
      <c r="B1944" s="8" t="s">
        <v>186</v>
      </c>
      <c r="C1944" s="14" t="s">
        <v>2033</v>
      </c>
      <c r="D1944" s="8" t="s">
        <v>2566</v>
      </c>
      <c r="E1944" s="14" t="s">
        <v>2579</v>
      </c>
    </row>
    <row r="1945">
      <c r="A1945" s="8" t="s">
        <v>5883</v>
      </c>
      <c r="B1945" s="8" t="s">
        <v>16</v>
      </c>
      <c r="C1945" s="14" t="s">
        <v>2033</v>
      </c>
      <c r="D1945" s="8" t="s">
        <v>2610</v>
      </c>
      <c r="E1945" s="14" t="s">
        <v>2618</v>
      </c>
    </row>
    <row r="1946">
      <c r="A1946" s="8" t="s">
        <v>5884</v>
      </c>
      <c r="B1946" s="8" t="s">
        <v>16</v>
      </c>
      <c r="C1946" s="14" t="s">
        <v>60</v>
      </c>
      <c r="D1946" s="8" t="s">
        <v>2581</v>
      </c>
      <c r="E1946" s="14" t="s">
        <v>2601</v>
      </c>
    </row>
    <row r="1947">
      <c r="A1947" s="8" t="s">
        <v>5885</v>
      </c>
      <c r="B1947" s="8" t="s">
        <v>122</v>
      </c>
      <c r="C1947" s="14" t="s">
        <v>1352</v>
      </c>
      <c r="D1947" s="8" t="s">
        <v>2610</v>
      </c>
      <c r="E1947" s="14" t="s">
        <v>2557</v>
      </c>
    </row>
    <row r="1948">
      <c r="A1948" s="8" t="s">
        <v>5886</v>
      </c>
      <c r="B1948" s="8" t="s">
        <v>65</v>
      </c>
      <c r="C1948" s="14" t="s">
        <v>631</v>
      </c>
      <c r="D1948" s="8" t="s">
        <v>6304</v>
      </c>
      <c r="E1948" s="14" t="s">
        <v>2590</v>
      </c>
    </row>
    <row r="1949">
      <c r="A1949" s="8" t="s">
        <v>5887</v>
      </c>
      <c r="B1949" s="8" t="s">
        <v>16</v>
      </c>
      <c r="C1949" s="14" t="s">
        <v>459</v>
      </c>
      <c r="D1949" s="8" t="s">
        <v>2592</v>
      </c>
      <c r="E1949" s="14" t="s">
        <v>2617</v>
      </c>
    </row>
    <row r="1950">
      <c r="A1950" s="8" t="s">
        <v>5888</v>
      </c>
      <c r="B1950" s="8" t="s">
        <v>141</v>
      </c>
      <c r="C1950" s="14" t="s">
        <v>631</v>
      </c>
      <c r="D1950" s="8" t="s">
        <v>2595</v>
      </c>
      <c r="E1950" s="14" t="s">
        <v>2594</v>
      </c>
    </row>
    <row r="1951">
      <c r="A1951" s="8" t="s">
        <v>5889</v>
      </c>
      <c r="B1951" s="8" t="s">
        <v>132</v>
      </c>
      <c r="C1951" s="14" t="s">
        <v>1679</v>
      </c>
      <c r="D1951" s="8" t="s">
        <v>2183</v>
      </c>
      <c r="E1951" s="14" t="s">
        <v>2606</v>
      </c>
    </row>
    <row r="1952">
      <c r="A1952" s="8" t="s">
        <v>5890</v>
      </c>
      <c r="B1952" s="8" t="s">
        <v>24</v>
      </c>
      <c r="C1952" s="14" t="s">
        <v>2033</v>
      </c>
      <c r="D1952" s="8" t="s">
        <v>2600</v>
      </c>
      <c r="E1952" s="14" t="s">
        <v>2557</v>
      </c>
    </row>
    <row r="1953">
      <c r="A1953" s="8" t="s">
        <v>5891</v>
      </c>
      <c r="B1953" s="8" t="s">
        <v>141</v>
      </c>
      <c r="C1953" s="14" t="s">
        <v>631</v>
      </c>
      <c r="D1953" s="8" t="s">
        <v>2592</v>
      </c>
      <c r="E1953" s="14" t="s">
        <v>2571</v>
      </c>
    </row>
    <row r="1954">
      <c r="A1954" s="8" t="s">
        <v>5892</v>
      </c>
      <c r="B1954" s="8" t="s">
        <v>141</v>
      </c>
      <c r="C1954" s="14" t="s">
        <v>1070</v>
      </c>
      <c r="D1954" s="8" t="s">
        <v>2567</v>
      </c>
      <c r="E1954" s="14" t="s">
        <v>2578</v>
      </c>
    </row>
    <row r="1955">
      <c r="A1955" s="8" t="s">
        <v>5893</v>
      </c>
      <c r="B1955" s="8" t="s">
        <v>53</v>
      </c>
      <c r="C1955" s="14" t="s">
        <v>237</v>
      </c>
      <c r="D1955" s="8" t="s">
        <v>2582</v>
      </c>
      <c r="E1955" s="14" t="s">
        <v>2604</v>
      </c>
    </row>
    <row r="1956">
      <c r="A1956" s="8" t="s">
        <v>5894</v>
      </c>
      <c r="B1956" s="8" t="s">
        <v>93</v>
      </c>
      <c r="C1956" s="14" t="s">
        <v>1352</v>
      </c>
      <c r="D1956" s="8" t="s">
        <v>2587</v>
      </c>
      <c r="E1956" s="14" t="s">
        <v>2568</v>
      </c>
    </row>
    <row r="1957">
      <c r="A1957" s="8" t="s">
        <v>5895</v>
      </c>
      <c r="B1957" s="8" t="s">
        <v>70</v>
      </c>
      <c r="C1957" s="14" t="s">
        <v>2033</v>
      </c>
      <c r="D1957" s="8" t="s">
        <v>2605</v>
      </c>
      <c r="E1957" s="14" t="s">
        <v>2580</v>
      </c>
    </row>
    <row r="1958">
      <c r="A1958" s="8" t="s">
        <v>5896</v>
      </c>
      <c r="B1958" s="8" t="s">
        <v>93</v>
      </c>
      <c r="C1958" s="14" t="s">
        <v>2033</v>
      </c>
      <c r="D1958" s="8" t="s">
        <v>2598</v>
      </c>
      <c r="E1958" s="14" t="s">
        <v>2576</v>
      </c>
    </row>
    <row r="1959">
      <c r="A1959" s="8" t="s">
        <v>5897</v>
      </c>
      <c r="B1959" s="8" t="s">
        <v>149</v>
      </c>
      <c r="C1959" s="14" t="s">
        <v>2296</v>
      </c>
      <c r="D1959" s="8" t="s">
        <v>2554</v>
      </c>
      <c r="E1959" s="14" t="s">
        <v>2618</v>
      </c>
    </row>
    <row r="1960">
      <c r="A1960" s="8" t="s">
        <v>5898</v>
      </c>
      <c r="B1960" s="8" t="s">
        <v>149</v>
      </c>
      <c r="C1960" s="14" t="s">
        <v>1352</v>
      </c>
      <c r="D1960" s="8" t="s">
        <v>2595</v>
      </c>
      <c r="E1960" s="14" t="s">
        <v>2633</v>
      </c>
    </row>
    <row r="1961">
      <c r="A1961" s="8" t="s">
        <v>5899</v>
      </c>
      <c r="B1961" s="8" t="s">
        <v>186</v>
      </c>
      <c r="C1961" s="14" t="s">
        <v>1070</v>
      </c>
      <c r="D1961" s="8" t="s">
        <v>2577</v>
      </c>
      <c r="E1961" s="14" t="s">
        <v>2611</v>
      </c>
    </row>
    <row r="1962">
      <c r="A1962" s="8" t="s">
        <v>5900</v>
      </c>
      <c r="B1962" s="8" t="s">
        <v>93</v>
      </c>
      <c r="C1962" s="14" t="s">
        <v>1352</v>
      </c>
      <c r="D1962" s="8" t="s">
        <v>2592</v>
      </c>
      <c r="E1962" s="14" t="s">
        <v>2622</v>
      </c>
    </row>
    <row r="1963">
      <c r="A1963" s="8" t="s">
        <v>5901</v>
      </c>
      <c r="B1963" s="8" t="s">
        <v>12</v>
      </c>
      <c r="C1963" s="14" t="s">
        <v>189</v>
      </c>
      <c r="D1963" s="8" t="s">
        <v>2621</v>
      </c>
      <c r="E1963" s="14" t="s">
        <v>2553</v>
      </c>
    </row>
    <row r="1964">
      <c r="A1964" s="8" t="s">
        <v>5902</v>
      </c>
      <c r="B1964" s="8" t="s">
        <v>65</v>
      </c>
      <c r="C1964" s="14" t="s">
        <v>1679</v>
      </c>
      <c r="D1964" s="8" t="s">
        <v>2577</v>
      </c>
      <c r="E1964" s="14" t="s">
        <v>2553</v>
      </c>
    </row>
    <row r="1965">
      <c r="A1965" s="8" t="s">
        <v>5903</v>
      </c>
      <c r="B1965" s="8" t="s">
        <v>16</v>
      </c>
      <c r="C1965" s="14" t="s">
        <v>237</v>
      </c>
      <c r="D1965" s="8" t="s">
        <v>2621</v>
      </c>
      <c r="E1965" s="14" t="s">
        <v>2553</v>
      </c>
    </row>
    <row r="1966">
      <c r="A1966" s="8" t="s">
        <v>5904</v>
      </c>
      <c r="B1966" s="8" t="s">
        <v>70</v>
      </c>
      <c r="C1966" s="14" t="s">
        <v>2296</v>
      </c>
      <c r="D1966" s="8" t="s">
        <v>2584</v>
      </c>
      <c r="E1966" s="14" t="s">
        <v>2579</v>
      </c>
    </row>
    <row r="1967">
      <c r="A1967" s="8" t="s">
        <v>5905</v>
      </c>
      <c r="B1967" s="8" t="s">
        <v>65</v>
      </c>
      <c r="C1967" s="14" t="s">
        <v>2033</v>
      </c>
      <c r="D1967" s="8" t="s">
        <v>6304</v>
      </c>
      <c r="E1967" s="14" t="s">
        <v>2555</v>
      </c>
    </row>
    <row r="1968">
      <c r="A1968" s="8" t="s">
        <v>5906</v>
      </c>
      <c r="B1968" s="8" t="s">
        <v>93</v>
      </c>
      <c r="C1968" s="14" t="s">
        <v>2459</v>
      </c>
      <c r="D1968" s="8" t="s">
        <v>2584</v>
      </c>
      <c r="E1968" s="14" t="s">
        <v>2612</v>
      </c>
    </row>
    <row r="1969">
      <c r="A1969" s="8" t="s">
        <v>5907</v>
      </c>
      <c r="B1969" s="8" t="s">
        <v>93</v>
      </c>
      <c r="C1969" s="14" t="s">
        <v>2033</v>
      </c>
      <c r="D1969" s="8" t="s">
        <v>2566</v>
      </c>
      <c r="E1969" s="14" t="s">
        <v>2563</v>
      </c>
    </row>
    <row r="1970">
      <c r="A1970" s="8" t="s">
        <v>5908</v>
      </c>
      <c r="B1970" s="8" t="s">
        <v>16</v>
      </c>
      <c r="C1970" s="14" t="s">
        <v>2296</v>
      </c>
      <c r="D1970" s="8" t="s">
        <v>2560</v>
      </c>
      <c r="E1970" s="14" t="s">
        <v>2553</v>
      </c>
    </row>
    <row r="1971">
      <c r="A1971" s="8" t="s">
        <v>5909</v>
      </c>
      <c r="B1971" s="8" t="s">
        <v>12</v>
      </c>
      <c r="C1971" s="14" t="s">
        <v>1070</v>
      </c>
      <c r="D1971" s="8" t="s">
        <v>2558</v>
      </c>
      <c r="E1971" s="14" t="s">
        <v>2555</v>
      </c>
    </row>
    <row r="1972">
      <c r="A1972" s="8" t="s">
        <v>5910</v>
      </c>
      <c r="B1972" s="8" t="s">
        <v>215</v>
      </c>
      <c r="C1972" s="14" t="s">
        <v>1679</v>
      </c>
      <c r="D1972" s="8" t="s">
        <v>2610</v>
      </c>
      <c r="E1972" s="14" t="s">
        <v>2602</v>
      </c>
    </row>
    <row r="1973">
      <c r="A1973" s="8" t="s">
        <v>5911</v>
      </c>
      <c r="B1973" s="8" t="s">
        <v>141</v>
      </c>
      <c r="C1973" s="14" t="s">
        <v>2033</v>
      </c>
      <c r="D1973" s="8" t="s">
        <v>2620</v>
      </c>
      <c r="E1973" s="14" t="s">
        <v>2617</v>
      </c>
    </row>
    <row r="1974">
      <c r="A1974" s="8" t="s">
        <v>5912</v>
      </c>
      <c r="B1974" s="8" t="s">
        <v>38</v>
      </c>
      <c r="C1974" s="14" t="s">
        <v>39</v>
      </c>
      <c r="D1974" s="8" t="s">
        <v>2575</v>
      </c>
      <c r="E1974" s="14" t="s">
        <v>2625</v>
      </c>
    </row>
    <row r="1975">
      <c r="A1975" s="8" t="s">
        <v>5913</v>
      </c>
      <c r="B1975" s="8" t="s">
        <v>38</v>
      </c>
      <c r="C1975" s="14" t="s">
        <v>459</v>
      </c>
      <c r="D1975" s="8" t="s">
        <v>2554</v>
      </c>
      <c r="E1975" s="14" t="s">
        <v>2601</v>
      </c>
    </row>
    <row r="1976">
      <c r="A1976" s="8" t="s">
        <v>5914</v>
      </c>
      <c r="B1976" s="8" t="s">
        <v>149</v>
      </c>
      <c r="C1976" s="14" t="s">
        <v>1679</v>
      </c>
      <c r="D1976" s="8" t="s">
        <v>2572</v>
      </c>
      <c r="E1976" s="14" t="s">
        <v>2609</v>
      </c>
    </row>
    <row r="1977">
      <c r="A1977" s="8" t="s">
        <v>5915</v>
      </c>
      <c r="B1977" s="8" t="s">
        <v>70</v>
      </c>
      <c r="C1977" s="14" t="s">
        <v>2033</v>
      </c>
      <c r="D1977" s="8" t="s">
        <v>2582</v>
      </c>
      <c r="E1977" s="14" t="s">
        <v>2573</v>
      </c>
    </row>
    <row r="1978">
      <c r="A1978" s="8" t="s">
        <v>5916</v>
      </c>
      <c r="B1978" s="8" t="s">
        <v>65</v>
      </c>
      <c r="C1978" s="14" t="s">
        <v>1070</v>
      </c>
      <c r="D1978" s="8" t="s">
        <v>2183</v>
      </c>
      <c r="E1978" s="14" t="s">
        <v>2588</v>
      </c>
    </row>
    <row r="1979">
      <c r="A1979" s="8" t="s">
        <v>5917</v>
      </c>
      <c r="B1979" s="8" t="s">
        <v>53</v>
      </c>
      <c r="C1979" s="14" t="s">
        <v>1679</v>
      </c>
      <c r="D1979" s="8" t="s">
        <v>2593</v>
      </c>
      <c r="E1979" s="14" t="s">
        <v>2607</v>
      </c>
    </row>
    <row r="1980">
      <c r="A1980" s="8" t="s">
        <v>5918</v>
      </c>
      <c r="B1980" s="8" t="s">
        <v>192</v>
      </c>
      <c r="C1980" s="14" t="s">
        <v>2296</v>
      </c>
      <c r="D1980" s="8" t="s">
        <v>2595</v>
      </c>
      <c r="E1980" s="14" t="s">
        <v>2594</v>
      </c>
    </row>
    <row r="1981">
      <c r="A1981" s="8" t="s">
        <v>5919</v>
      </c>
      <c r="B1981" s="8" t="s">
        <v>70</v>
      </c>
      <c r="C1981" s="14" t="s">
        <v>2296</v>
      </c>
      <c r="D1981" s="8" t="s">
        <v>2566</v>
      </c>
      <c r="E1981" s="14" t="s">
        <v>2616</v>
      </c>
    </row>
    <row r="1982">
      <c r="A1982" s="8" t="s">
        <v>5920</v>
      </c>
      <c r="B1982" s="8" t="s">
        <v>65</v>
      </c>
      <c r="C1982" s="14" t="s">
        <v>2296</v>
      </c>
      <c r="D1982" s="8" t="s">
        <v>2592</v>
      </c>
      <c r="E1982" s="14" t="s">
        <v>2563</v>
      </c>
    </row>
    <row r="1983">
      <c r="A1983" s="8" t="s">
        <v>5921</v>
      </c>
      <c r="B1983" s="8" t="s">
        <v>75</v>
      </c>
      <c r="C1983" s="14" t="s">
        <v>1679</v>
      </c>
      <c r="D1983" s="8" t="s">
        <v>2572</v>
      </c>
      <c r="E1983" s="14" t="s">
        <v>2594</v>
      </c>
    </row>
    <row r="1984">
      <c r="A1984" s="8" t="s">
        <v>5922</v>
      </c>
      <c r="B1984" s="8" t="s">
        <v>24</v>
      </c>
      <c r="C1984" s="14" t="s">
        <v>837</v>
      </c>
      <c r="D1984" s="8" t="s">
        <v>2566</v>
      </c>
      <c r="E1984" s="14" t="s">
        <v>2555</v>
      </c>
    </row>
    <row r="1985">
      <c r="A1985" s="8" t="s">
        <v>5923</v>
      </c>
      <c r="B1985" s="8" t="s">
        <v>80</v>
      </c>
      <c r="C1985" s="14" t="s">
        <v>2033</v>
      </c>
      <c r="D1985" s="8" t="s">
        <v>2566</v>
      </c>
      <c r="E1985" s="14" t="s">
        <v>2583</v>
      </c>
    </row>
    <row r="1986">
      <c r="A1986" s="8" t="s">
        <v>5924</v>
      </c>
      <c r="B1986" s="8" t="s">
        <v>24</v>
      </c>
      <c r="C1986" s="14" t="s">
        <v>1070</v>
      </c>
      <c r="D1986" s="8" t="s">
        <v>2572</v>
      </c>
      <c r="E1986" s="14" t="s">
        <v>2568</v>
      </c>
    </row>
    <row r="1987">
      <c r="A1987" s="8" t="s">
        <v>5925</v>
      </c>
      <c r="B1987" s="8" t="s">
        <v>80</v>
      </c>
      <c r="C1987" s="14" t="s">
        <v>1352</v>
      </c>
      <c r="D1987" s="8" t="s">
        <v>2577</v>
      </c>
      <c r="E1987" s="14" t="s">
        <v>2565</v>
      </c>
    </row>
    <row r="1988">
      <c r="A1988" s="8" t="s">
        <v>5926</v>
      </c>
      <c r="B1988" s="8" t="s">
        <v>75</v>
      </c>
      <c r="C1988" s="14" t="s">
        <v>1679</v>
      </c>
      <c r="D1988" s="8" t="s">
        <v>2598</v>
      </c>
      <c r="E1988" s="14" t="s">
        <v>2612</v>
      </c>
    </row>
    <row r="1989">
      <c r="A1989" s="8" t="s">
        <v>5927</v>
      </c>
      <c r="B1989" s="8" t="s">
        <v>53</v>
      </c>
      <c r="C1989" s="14" t="s">
        <v>135</v>
      </c>
      <c r="D1989" s="8" t="s">
        <v>2614</v>
      </c>
      <c r="E1989" s="14" t="s">
        <v>2611</v>
      </c>
    </row>
    <row r="1990">
      <c r="A1990" s="8" t="s">
        <v>5928</v>
      </c>
      <c r="B1990" s="8" t="s">
        <v>16</v>
      </c>
      <c r="C1990" s="14" t="s">
        <v>837</v>
      </c>
      <c r="D1990" s="8" t="s">
        <v>2552</v>
      </c>
      <c r="E1990" s="14" t="s">
        <v>2617</v>
      </c>
    </row>
    <row r="1991">
      <c r="A1991" s="8" t="s">
        <v>5929</v>
      </c>
      <c r="B1991" s="8" t="s">
        <v>93</v>
      </c>
      <c r="C1991" s="14" t="s">
        <v>2296</v>
      </c>
      <c r="D1991" s="8" t="s">
        <v>2592</v>
      </c>
      <c r="E1991" s="14" t="s">
        <v>2565</v>
      </c>
    </row>
    <row r="1992">
      <c r="A1992" s="8" t="s">
        <v>5930</v>
      </c>
      <c r="B1992" s="8" t="s">
        <v>149</v>
      </c>
      <c r="C1992" s="14" t="s">
        <v>837</v>
      </c>
      <c r="D1992" s="8" t="s">
        <v>2562</v>
      </c>
      <c r="E1992" s="14" t="s">
        <v>2555</v>
      </c>
    </row>
    <row r="1993">
      <c r="A1993" s="8" t="s">
        <v>5931</v>
      </c>
      <c r="B1993" s="8" t="s">
        <v>122</v>
      </c>
      <c r="C1993" s="14" t="s">
        <v>1679</v>
      </c>
      <c r="D1993" s="8" t="s">
        <v>2593</v>
      </c>
      <c r="E1993" s="14" t="s">
        <v>2555</v>
      </c>
    </row>
    <row r="1994">
      <c r="A1994" s="8" t="s">
        <v>5932</v>
      </c>
      <c r="B1994" s="8" t="s">
        <v>75</v>
      </c>
      <c r="C1994" s="14" t="s">
        <v>459</v>
      </c>
      <c r="D1994" s="8" t="s">
        <v>2562</v>
      </c>
      <c r="E1994" s="14" t="s">
        <v>2591</v>
      </c>
    </row>
    <row r="1995">
      <c r="A1995" s="8" t="s">
        <v>5933</v>
      </c>
      <c r="B1995" s="8" t="s">
        <v>24</v>
      </c>
      <c r="C1995" s="14" t="s">
        <v>1070</v>
      </c>
      <c r="D1995" s="8" t="s">
        <v>2615</v>
      </c>
      <c r="E1995" s="14" t="s">
        <v>2571</v>
      </c>
    </row>
    <row r="1996">
      <c r="A1996" s="8" t="s">
        <v>5934</v>
      </c>
      <c r="B1996" s="8" t="s">
        <v>65</v>
      </c>
      <c r="C1996" s="14" t="s">
        <v>631</v>
      </c>
      <c r="D1996" s="8" t="s">
        <v>2575</v>
      </c>
      <c r="E1996" s="14" t="s">
        <v>2590</v>
      </c>
    </row>
    <row r="1997">
      <c r="A1997" s="8" t="s">
        <v>5935</v>
      </c>
      <c r="B1997" s="8" t="s">
        <v>192</v>
      </c>
      <c r="C1997" s="14" t="s">
        <v>1352</v>
      </c>
      <c r="D1997" s="8" t="s">
        <v>2603</v>
      </c>
      <c r="E1997" s="14" t="s">
        <v>2576</v>
      </c>
    </row>
    <row r="1998">
      <c r="A1998" s="8" t="s">
        <v>5936</v>
      </c>
      <c r="B1998" s="8" t="s">
        <v>122</v>
      </c>
      <c r="C1998" s="14" t="s">
        <v>631</v>
      </c>
      <c r="D1998" s="8" t="s">
        <v>2552</v>
      </c>
      <c r="E1998" s="14" t="s">
        <v>2557</v>
      </c>
    </row>
    <row r="1999">
      <c r="A1999" s="8" t="s">
        <v>5937</v>
      </c>
      <c r="B1999" s="8" t="s">
        <v>192</v>
      </c>
      <c r="C1999" s="14" t="s">
        <v>631</v>
      </c>
      <c r="D1999" s="8" t="s">
        <v>2620</v>
      </c>
      <c r="E1999" s="14" t="s">
        <v>2622</v>
      </c>
    </row>
    <row r="2000">
      <c r="A2000" s="8" t="s">
        <v>5938</v>
      </c>
      <c r="B2000" s="8" t="s">
        <v>53</v>
      </c>
      <c r="C2000" s="14" t="s">
        <v>1070</v>
      </c>
      <c r="D2000" s="8" t="s">
        <v>2575</v>
      </c>
      <c r="E2000" s="14" t="s">
        <v>2602</v>
      </c>
    </row>
    <row r="2001">
      <c r="A2001" s="8" t="s">
        <v>5939</v>
      </c>
      <c r="B2001" s="8" t="s">
        <v>75</v>
      </c>
      <c r="C2001" s="14" t="s">
        <v>2033</v>
      </c>
      <c r="D2001" s="8" t="s">
        <v>2581</v>
      </c>
      <c r="E2001" s="14" t="s">
        <v>2570</v>
      </c>
    </row>
    <row r="2002">
      <c r="A2002" s="8" t="s">
        <v>5940</v>
      </c>
      <c r="B2002" s="8" t="s">
        <v>138</v>
      </c>
      <c r="C2002" s="14" t="s">
        <v>1352</v>
      </c>
      <c r="D2002" s="8" t="s">
        <v>2587</v>
      </c>
      <c r="E2002" s="14" t="s">
        <v>2586</v>
      </c>
    </row>
    <row r="2003">
      <c r="A2003" s="8" t="s">
        <v>5941</v>
      </c>
      <c r="B2003" s="8" t="s">
        <v>132</v>
      </c>
      <c r="C2003" s="14" t="s">
        <v>1070</v>
      </c>
      <c r="D2003" s="8" t="s">
        <v>2600</v>
      </c>
      <c r="E2003" s="14" t="s">
        <v>2613</v>
      </c>
    </row>
    <row r="2004">
      <c r="A2004" s="8" t="s">
        <v>5942</v>
      </c>
      <c r="B2004" s="8" t="s">
        <v>186</v>
      </c>
      <c r="C2004" s="14" t="s">
        <v>1352</v>
      </c>
      <c r="D2004" s="8" t="s">
        <v>2574</v>
      </c>
      <c r="E2004" s="14" t="s">
        <v>2586</v>
      </c>
    </row>
    <row r="2005">
      <c r="A2005" s="8" t="s">
        <v>5943</v>
      </c>
      <c r="B2005" s="8" t="s">
        <v>59</v>
      </c>
      <c r="C2005" s="14" t="s">
        <v>1679</v>
      </c>
      <c r="D2005" s="8" t="s">
        <v>2603</v>
      </c>
      <c r="E2005" s="14" t="s">
        <v>2557</v>
      </c>
    </row>
    <row r="2006">
      <c r="A2006" s="8" t="s">
        <v>5944</v>
      </c>
      <c r="B2006" s="8" t="s">
        <v>53</v>
      </c>
      <c r="C2006" s="14" t="s">
        <v>1070</v>
      </c>
      <c r="D2006" s="8" t="s">
        <v>2592</v>
      </c>
      <c r="E2006" s="14" t="s">
        <v>2590</v>
      </c>
    </row>
    <row r="2007">
      <c r="A2007" s="8" t="s">
        <v>5945</v>
      </c>
      <c r="B2007" s="8" t="s">
        <v>93</v>
      </c>
      <c r="C2007" s="14" t="s">
        <v>1679</v>
      </c>
      <c r="D2007" s="8" t="s">
        <v>2603</v>
      </c>
      <c r="E2007" s="14" t="s">
        <v>2607</v>
      </c>
    </row>
    <row r="2008">
      <c r="A2008" s="8" t="s">
        <v>5947</v>
      </c>
      <c r="B2008" s="8" t="s">
        <v>215</v>
      </c>
      <c r="C2008" s="14" t="s">
        <v>2296</v>
      </c>
      <c r="D2008" s="8" t="s">
        <v>2564</v>
      </c>
      <c r="E2008" s="14" t="s">
        <v>2563</v>
      </c>
    </row>
    <row r="2009">
      <c r="A2009" s="8" t="s">
        <v>5948</v>
      </c>
      <c r="B2009" s="8" t="s">
        <v>53</v>
      </c>
      <c r="C2009" s="14" t="s">
        <v>2033</v>
      </c>
      <c r="D2009" s="8" t="s">
        <v>2621</v>
      </c>
      <c r="E2009" s="14" t="s">
        <v>2583</v>
      </c>
    </row>
    <row r="2010">
      <c r="A2010" s="8" t="s">
        <v>5949</v>
      </c>
      <c r="B2010" s="8" t="s">
        <v>192</v>
      </c>
      <c r="C2010" s="14" t="s">
        <v>837</v>
      </c>
      <c r="D2010" s="8" t="s">
        <v>2598</v>
      </c>
      <c r="E2010" s="14" t="s">
        <v>2579</v>
      </c>
    </row>
    <row r="2011">
      <c r="A2011" s="8" t="s">
        <v>5950</v>
      </c>
      <c r="B2011" s="8" t="s">
        <v>186</v>
      </c>
      <c r="C2011" s="14" t="s">
        <v>2033</v>
      </c>
      <c r="D2011" s="8" t="s">
        <v>2582</v>
      </c>
      <c r="E2011" s="14" t="s">
        <v>2591</v>
      </c>
    </row>
    <row r="2012">
      <c r="A2012" s="8" t="s">
        <v>5951</v>
      </c>
      <c r="B2012" s="8" t="s">
        <v>70</v>
      </c>
      <c r="C2012" s="14" t="s">
        <v>2033</v>
      </c>
      <c r="D2012" s="8" t="s">
        <v>2592</v>
      </c>
      <c r="E2012" s="14" t="s">
        <v>2583</v>
      </c>
    </row>
    <row r="2013">
      <c r="A2013" s="8" t="s">
        <v>5952</v>
      </c>
      <c r="B2013" s="8" t="s">
        <v>192</v>
      </c>
      <c r="C2013" s="14" t="s">
        <v>631</v>
      </c>
      <c r="D2013" s="8" t="s">
        <v>2610</v>
      </c>
      <c r="E2013" s="14" t="s">
        <v>2608</v>
      </c>
    </row>
    <row r="2014">
      <c r="A2014" s="8" t="s">
        <v>5953</v>
      </c>
      <c r="B2014" s="8" t="s">
        <v>122</v>
      </c>
      <c r="C2014" s="14" t="s">
        <v>631</v>
      </c>
      <c r="D2014" s="8" t="s">
        <v>2620</v>
      </c>
      <c r="E2014" s="14" t="s">
        <v>2553</v>
      </c>
    </row>
    <row r="2015">
      <c r="A2015" s="8" t="s">
        <v>5954</v>
      </c>
      <c r="B2015" s="8" t="s">
        <v>122</v>
      </c>
      <c r="C2015" s="14" t="s">
        <v>1352</v>
      </c>
      <c r="D2015" s="8" t="s">
        <v>2585</v>
      </c>
      <c r="E2015" s="14" t="s">
        <v>2591</v>
      </c>
    </row>
    <row r="2016">
      <c r="A2016" s="8" t="s">
        <v>5955</v>
      </c>
      <c r="B2016" s="8" t="s">
        <v>122</v>
      </c>
      <c r="C2016" s="14" t="s">
        <v>1352</v>
      </c>
      <c r="D2016" s="8" t="s">
        <v>2595</v>
      </c>
      <c r="E2016" s="14" t="s">
        <v>2578</v>
      </c>
    </row>
    <row r="2017">
      <c r="A2017" s="8" t="s">
        <v>5956</v>
      </c>
      <c r="B2017" s="8" t="s">
        <v>122</v>
      </c>
      <c r="C2017" s="14" t="s">
        <v>631</v>
      </c>
      <c r="D2017" s="8" t="s">
        <v>2615</v>
      </c>
      <c r="E2017" s="14" t="s">
        <v>2611</v>
      </c>
    </row>
    <row r="2018">
      <c r="A2018" s="8" t="s">
        <v>5957</v>
      </c>
      <c r="B2018" s="8" t="s">
        <v>80</v>
      </c>
      <c r="C2018" s="14" t="s">
        <v>2296</v>
      </c>
      <c r="D2018" s="8" t="s">
        <v>2615</v>
      </c>
      <c r="E2018" s="14" t="s">
        <v>2563</v>
      </c>
    </row>
    <row r="2019">
      <c r="A2019" s="8" t="s">
        <v>5958</v>
      </c>
      <c r="B2019" s="8" t="s">
        <v>65</v>
      </c>
      <c r="C2019" s="14" t="s">
        <v>1352</v>
      </c>
      <c r="D2019" s="8" t="s">
        <v>2564</v>
      </c>
      <c r="E2019" s="14" t="s">
        <v>2591</v>
      </c>
    </row>
    <row r="2020">
      <c r="A2020" s="8" t="s">
        <v>5959</v>
      </c>
      <c r="B2020" s="8" t="s">
        <v>93</v>
      </c>
      <c r="C2020" s="14" t="s">
        <v>237</v>
      </c>
      <c r="D2020" s="8" t="s">
        <v>2605</v>
      </c>
      <c r="E2020" s="14" t="s">
        <v>2557</v>
      </c>
    </row>
    <row r="2021">
      <c r="A2021" s="8" t="s">
        <v>5960</v>
      </c>
      <c r="B2021" s="8" t="s">
        <v>138</v>
      </c>
      <c r="C2021" s="14" t="s">
        <v>837</v>
      </c>
      <c r="D2021" s="8" t="s">
        <v>2600</v>
      </c>
      <c r="E2021" s="14" t="s">
        <v>2622</v>
      </c>
    </row>
    <row r="2022">
      <c r="A2022" s="8" t="s">
        <v>5961</v>
      </c>
      <c r="B2022" s="8" t="s">
        <v>46</v>
      </c>
      <c r="C2022" s="14" t="s">
        <v>837</v>
      </c>
      <c r="D2022" s="8" t="s">
        <v>2585</v>
      </c>
      <c r="E2022" s="14" t="s">
        <v>2609</v>
      </c>
    </row>
    <row r="2023">
      <c r="A2023" s="8" t="s">
        <v>5962</v>
      </c>
      <c r="B2023" s="8" t="s">
        <v>93</v>
      </c>
      <c r="C2023" s="14" t="s">
        <v>2033</v>
      </c>
      <c r="D2023" s="8" t="s">
        <v>2564</v>
      </c>
      <c r="E2023" s="14" t="s">
        <v>2571</v>
      </c>
    </row>
    <row r="2024">
      <c r="A2024" s="8" t="s">
        <v>5963</v>
      </c>
      <c r="B2024" s="8" t="s">
        <v>93</v>
      </c>
      <c r="C2024" s="14" t="s">
        <v>1352</v>
      </c>
      <c r="D2024" s="8" t="s">
        <v>2603</v>
      </c>
      <c r="E2024" s="14" t="s">
        <v>2594</v>
      </c>
    </row>
    <row r="2025">
      <c r="A2025" s="8" t="s">
        <v>5964</v>
      </c>
      <c r="B2025" s="8" t="s">
        <v>65</v>
      </c>
      <c r="C2025" s="14" t="s">
        <v>1679</v>
      </c>
      <c r="D2025" s="8" t="s">
        <v>2595</v>
      </c>
      <c r="E2025" s="14" t="s">
        <v>2555</v>
      </c>
    </row>
    <row r="2026">
      <c r="A2026" s="8" t="s">
        <v>5965</v>
      </c>
      <c r="B2026" s="8" t="s">
        <v>53</v>
      </c>
      <c r="C2026" s="14" t="s">
        <v>2033</v>
      </c>
      <c r="D2026" s="8" t="s">
        <v>2615</v>
      </c>
      <c r="E2026" s="14" t="s">
        <v>2591</v>
      </c>
    </row>
    <row r="2027">
      <c r="A2027" s="8" t="s">
        <v>5966</v>
      </c>
      <c r="B2027" s="8" t="s">
        <v>192</v>
      </c>
      <c r="C2027" s="14" t="s">
        <v>1352</v>
      </c>
      <c r="D2027" s="8" t="s">
        <v>2587</v>
      </c>
      <c r="E2027" s="14" t="s">
        <v>2583</v>
      </c>
    </row>
    <row r="2028">
      <c r="A2028" s="8" t="s">
        <v>5968</v>
      </c>
      <c r="B2028" s="8" t="s">
        <v>186</v>
      </c>
      <c r="C2028" s="14" t="s">
        <v>1679</v>
      </c>
      <c r="D2028" s="8" t="s">
        <v>2567</v>
      </c>
      <c r="E2028" s="14" t="s">
        <v>2576</v>
      </c>
    </row>
    <row r="2029">
      <c r="A2029" s="8" t="s">
        <v>5969</v>
      </c>
      <c r="B2029" s="8" t="s">
        <v>215</v>
      </c>
      <c r="C2029" s="14" t="s">
        <v>1679</v>
      </c>
      <c r="D2029" s="8" t="s">
        <v>2585</v>
      </c>
      <c r="E2029" s="14" t="s">
        <v>2553</v>
      </c>
    </row>
    <row r="2030">
      <c r="A2030" s="8" t="s">
        <v>5971</v>
      </c>
      <c r="B2030" s="8" t="s">
        <v>70</v>
      </c>
      <c r="C2030" s="14" t="s">
        <v>1679</v>
      </c>
      <c r="D2030" s="8" t="s">
        <v>2600</v>
      </c>
      <c r="E2030" s="14" t="s">
        <v>2611</v>
      </c>
    </row>
    <row r="2031">
      <c r="A2031" s="8" t="s">
        <v>5972</v>
      </c>
      <c r="B2031" s="8" t="s">
        <v>132</v>
      </c>
      <c r="C2031" s="14" t="s">
        <v>1070</v>
      </c>
      <c r="D2031" s="8" t="s">
        <v>2572</v>
      </c>
      <c r="E2031" s="14" t="s">
        <v>2609</v>
      </c>
    </row>
    <row r="2032">
      <c r="A2032" s="8" t="s">
        <v>5973</v>
      </c>
      <c r="B2032" s="8" t="s">
        <v>141</v>
      </c>
      <c r="C2032" s="14" t="s">
        <v>631</v>
      </c>
      <c r="D2032" s="8" t="s">
        <v>2587</v>
      </c>
      <c r="E2032" s="14" t="s">
        <v>2555</v>
      </c>
    </row>
    <row r="2033">
      <c r="A2033" s="8" t="s">
        <v>5974</v>
      </c>
      <c r="B2033" s="8" t="s">
        <v>141</v>
      </c>
      <c r="C2033" s="14" t="s">
        <v>1070</v>
      </c>
      <c r="D2033" s="8" t="s">
        <v>2566</v>
      </c>
      <c r="E2033" s="14" t="s">
        <v>2579</v>
      </c>
    </row>
    <row r="2034">
      <c r="A2034" s="8" t="s">
        <v>5975</v>
      </c>
      <c r="B2034" s="8" t="s">
        <v>70</v>
      </c>
      <c r="C2034" s="14" t="s">
        <v>837</v>
      </c>
      <c r="D2034" s="8" t="s">
        <v>2567</v>
      </c>
      <c r="E2034" s="14" t="s">
        <v>2590</v>
      </c>
    </row>
    <row r="2035">
      <c r="A2035" s="8" t="s">
        <v>5976</v>
      </c>
      <c r="B2035" s="8" t="s">
        <v>93</v>
      </c>
      <c r="C2035" s="14" t="s">
        <v>459</v>
      </c>
      <c r="D2035" s="8" t="s">
        <v>2575</v>
      </c>
      <c r="E2035" s="14" t="s">
        <v>2555</v>
      </c>
    </row>
    <row r="2036">
      <c r="A2036" s="8" t="s">
        <v>5977</v>
      </c>
      <c r="B2036" s="8" t="s">
        <v>65</v>
      </c>
      <c r="C2036" s="14" t="s">
        <v>2296</v>
      </c>
      <c r="D2036" s="8" t="s">
        <v>2610</v>
      </c>
      <c r="E2036" s="14" t="s">
        <v>2563</v>
      </c>
    </row>
    <row r="2037">
      <c r="A2037" s="8" t="s">
        <v>5978</v>
      </c>
      <c r="B2037" s="8" t="s">
        <v>122</v>
      </c>
      <c r="C2037" s="14" t="s">
        <v>459</v>
      </c>
      <c r="D2037" s="8" t="s">
        <v>2587</v>
      </c>
      <c r="E2037" s="14" t="s">
        <v>2553</v>
      </c>
    </row>
    <row r="2038">
      <c r="A2038" s="8" t="s">
        <v>5979</v>
      </c>
      <c r="B2038" s="8" t="s">
        <v>75</v>
      </c>
      <c r="C2038" s="14" t="s">
        <v>338</v>
      </c>
      <c r="D2038" s="8" t="s">
        <v>2564</v>
      </c>
      <c r="E2038" s="14" t="s">
        <v>2563</v>
      </c>
    </row>
    <row r="2039">
      <c r="A2039" s="8" t="s">
        <v>5980</v>
      </c>
      <c r="B2039" s="8" t="s">
        <v>65</v>
      </c>
      <c r="C2039" s="14" t="s">
        <v>1352</v>
      </c>
      <c r="D2039" s="8" t="s">
        <v>2552</v>
      </c>
      <c r="E2039" s="14" t="s">
        <v>2634</v>
      </c>
    </row>
    <row r="2040">
      <c r="A2040" s="8" t="s">
        <v>5981</v>
      </c>
      <c r="B2040" s="8" t="s">
        <v>24</v>
      </c>
      <c r="C2040" s="14" t="s">
        <v>1070</v>
      </c>
      <c r="D2040" s="8" t="s">
        <v>2600</v>
      </c>
      <c r="E2040" s="14" t="s">
        <v>2557</v>
      </c>
    </row>
    <row r="2041">
      <c r="A2041" s="8" t="s">
        <v>5982</v>
      </c>
      <c r="B2041" s="8" t="s">
        <v>93</v>
      </c>
      <c r="C2041" s="14" t="s">
        <v>2033</v>
      </c>
      <c r="D2041" s="8" t="s">
        <v>2605</v>
      </c>
      <c r="E2041" s="14" t="s">
        <v>2609</v>
      </c>
    </row>
    <row r="2042">
      <c r="A2042" s="8" t="s">
        <v>5983</v>
      </c>
      <c r="B2042" s="8" t="s">
        <v>12</v>
      </c>
      <c r="C2042" s="14" t="s">
        <v>83</v>
      </c>
      <c r="D2042" s="8" t="s">
        <v>2600</v>
      </c>
      <c r="E2042" s="14" t="s">
        <v>2607</v>
      </c>
    </row>
    <row r="2043">
      <c r="A2043" s="8" t="s">
        <v>5984</v>
      </c>
      <c r="B2043" s="8" t="s">
        <v>12</v>
      </c>
      <c r="C2043" s="14" t="s">
        <v>108</v>
      </c>
      <c r="D2043" s="8" t="s">
        <v>2587</v>
      </c>
      <c r="E2043" s="14" t="s">
        <v>2590</v>
      </c>
    </row>
    <row r="2044">
      <c r="A2044" s="8" t="s">
        <v>5985</v>
      </c>
      <c r="B2044" s="8" t="s">
        <v>138</v>
      </c>
      <c r="C2044" s="14" t="s">
        <v>1352</v>
      </c>
      <c r="D2044" s="8" t="s">
        <v>2552</v>
      </c>
      <c r="E2044" s="14" t="s">
        <v>2591</v>
      </c>
    </row>
    <row r="2045">
      <c r="A2045" s="8" t="s">
        <v>5986</v>
      </c>
      <c r="B2045" s="8" t="s">
        <v>93</v>
      </c>
      <c r="C2045" s="14" t="s">
        <v>631</v>
      </c>
      <c r="D2045" s="8" t="s">
        <v>2600</v>
      </c>
      <c r="E2045" s="14" t="s">
        <v>2636</v>
      </c>
    </row>
    <row r="2046">
      <c r="A2046" s="8" t="s">
        <v>5987</v>
      </c>
      <c r="B2046" s="8" t="s">
        <v>138</v>
      </c>
      <c r="C2046" s="14" t="s">
        <v>1070</v>
      </c>
      <c r="D2046" s="8" t="s">
        <v>2577</v>
      </c>
      <c r="E2046" s="14" t="s">
        <v>2625</v>
      </c>
    </row>
    <row r="2047">
      <c r="A2047" s="8" t="s">
        <v>5988</v>
      </c>
      <c r="B2047" s="8" t="s">
        <v>65</v>
      </c>
      <c r="C2047" s="14" t="s">
        <v>1070</v>
      </c>
      <c r="D2047" s="8" t="s">
        <v>2566</v>
      </c>
      <c r="E2047" s="14" t="s">
        <v>2599</v>
      </c>
    </row>
    <row r="2048">
      <c r="A2048" s="8" t="s">
        <v>5989</v>
      </c>
      <c r="B2048" s="8" t="s">
        <v>65</v>
      </c>
      <c r="C2048" s="14" t="s">
        <v>1679</v>
      </c>
      <c r="D2048" s="8" t="s">
        <v>2567</v>
      </c>
      <c r="E2048" s="14" t="s">
        <v>2583</v>
      </c>
    </row>
    <row r="2049">
      <c r="A2049" s="8" t="s">
        <v>5990</v>
      </c>
      <c r="B2049" s="8" t="s">
        <v>53</v>
      </c>
      <c r="C2049" s="14" t="s">
        <v>1679</v>
      </c>
      <c r="D2049" s="8" t="s">
        <v>2554</v>
      </c>
      <c r="E2049" s="14" t="s">
        <v>2555</v>
      </c>
    </row>
    <row r="2050">
      <c r="A2050" s="8" t="s">
        <v>5991</v>
      </c>
      <c r="B2050" s="8" t="s">
        <v>122</v>
      </c>
      <c r="C2050" s="14" t="s">
        <v>135</v>
      </c>
      <c r="D2050" s="8" t="s">
        <v>2560</v>
      </c>
      <c r="E2050" s="14" t="s">
        <v>2608</v>
      </c>
    </row>
    <row r="2051">
      <c r="A2051" s="8" t="s">
        <v>5992</v>
      </c>
      <c r="B2051" s="8" t="s">
        <v>138</v>
      </c>
      <c r="C2051" s="14" t="s">
        <v>631</v>
      </c>
      <c r="D2051" s="8" t="s">
        <v>2598</v>
      </c>
      <c r="E2051" s="14" t="s">
        <v>2622</v>
      </c>
    </row>
    <row r="2052">
      <c r="A2052" s="8" t="s">
        <v>5993</v>
      </c>
      <c r="B2052" s="8" t="s">
        <v>65</v>
      </c>
      <c r="C2052" s="14" t="s">
        <v>1352</v>
      </c>
      <c r="D2052" s="8" t="s">
        <v>2562</v>
      </c>
      <c r="E2052" s="14" t="s">
        <v>2594</v>
      </c>
    </row>
    <row r="2053">
      <c r="A2053" s="8" t="s">
        <v>5994</v>
      </c>
      <c r="B2053" s="8" t="s">
        <v>149</v>
      </c>
      <c r="C2053" s="14" t="s">
        <v>1352</v>
      </c>
      <c r="D2053" s="8" t="s">
        <v>2575</v>
      </c>
      <c r="E2053" s="14" t="s">
        <v>2569</v>
      </c>
    </row>
    <row r="2054">
      <c r="A2054" s="8" t="s">
        <v>5995</v>
      </c>
      <c r="B2054" s="8" t="s">
        <v>93</v>
      </c>
      <c r="C2054" s="14" t="s">
        <v>1070</v>
      </c>
      <c r="D2054" s="8" t="s">
        <v>2577</v>
      </c>
      <c r="E2054" s="14" t="s">
        <v>2571</v>
      </c>
    </row>
    <row r="2055">
      <c r="A2055" s="8" t="s">
        <v>5996</v>
      </c>
      <c r="B2055" s="8" t="s">
        <v>80</v>
      </c>
      <c r="C2055" s="14" t="s">
        <v>2033</v>
      </c>
      <c r="D2055" s="8" t="s">
        <v>2593</v>
      </c>
      <c r="E2055" s="14" t="s">
        <v>2570</v>
      </c>
    </row>
    <row r="2056">
      <c r="A2056" s="8" t="s">
        <v>5997</v>
      </c>
      <c r="B2056" s="8" t="s">
        <v>149</v>
      </c>
      <c r="C2056" s="14" t="s">
        <v>1352</v>
      </c>
      <c r="D2056" s="8" t="s">
        <v>2552</v>
      </c>
      <c r="E2056" s="14" t="s">
        <v>2606</v>
      </c>
    </row>
    <row r="2057">
      <c r="A2057" s="8" t="s">
        <v>5998</v>
      </c>
      <c r="B2057" s="8" t="s">
        <v>192</v>
      </c>
      <c r="C2057" s="14" t="s">
        <v>1679</v>
      </c>
      <c r="D2057" s="8" t="s">
        <v>2620</v>
      </c>
      <c r="E2057" s="14" t="s">
        <v>2591</v>
      </c>
    </row>
    <row r="2058">
      <c r="A2058" s="8" t="s">
        <v>5999</v>
      </c>
      <c r="B2058" s="8" t="s">
        <v>59</v>
      </c>
      <c r="C2058" s="14" t="s">
        <v>2033</v>
      </c>
      <c r="D2058" s="8" t="s">
        <v>2577</v>
      </c>
      <c r="E2058" s="14" t="s">
        <v>2563</v>
      </c>
    </row>
    <row r="2059">
      <c r="A2059" s="8" t="s">
        <v>6000</v>
      </c>
      <c r="B2059" s="8" t="s">
        <v>122</v>
      </c>
      <c r="C2059" s="14" t="s">
        <v>338</v>
      </c>
      <c r="D2059" s="8" t="s">
        <v>2595</v>
      </c>
      <c r="E2059" s="14" t="s">
        <v>2557</v>
      </c>
    </row>
    <row r="2060">
      <c r="A2060" s="8" t="s">
        <v>6398</v>
      </c>
      <c r="B2060" s="8" t="s">
        <v>93</v>
      </c>
      <c r="C2060" s="14" t="s">
        <v>459</v>
      </c>
      <c r="D2060" s="8" t="s">
        <v>2615</v>
      </c>
      <c r="E2060" s="14" t="s">
        <v>2553</v>
      </c>
    </row>
    <row r="2061">
      <c r="A2061" s="8" t="s">
        <v>6399</v>
      </c>
      <c r="B2061" s="8" t="s">
        <v>132</v>
      </c>
      <c r="C2061" s="14" t="s">
        <v>837</v>
      </c>
      <c r="D2061" s="8" t="s">
        <v>2605</v>
      </c>
      <c r="E2061" s="14" t="s">
        <v>2594</v>
      </c>
    </row>
    <row r="2062">
      <c r="A2062" s="8" t="s">
        <v>6400</v>
      </c>
      <c r="B2062" s="8" t="s">
        <v>24</v>
      </c>
      <c r="C2062" s="14" t="s">
        <v>2296</v>
      </c>
      <c r="D2062" s="8" t="s">
        <v>2554</v>
      </c>
      <c r="E2062" s="14" t="s">
        <v>2590</v>
      </c>
    </row>
    <row r="2063">
      <c r="A2063" s="8" t="s">
        <v>6401</v>
      </c>
      <c r="B2063" s="8" t="s">
        <v>70</v>
      </c>
      <c r="C2063" s="14" t="s">
        <v>1679</v>
      </c>
      <c r="D2063" s="8" t="s">
        <v>6303</v>
      </c>
      <c r="E2063" s="14" t="s">
        <v>2573</v>
      </c>
    </row>
    <row r="2064">
      <c r="A2064" s="8" t="s">
        <v>6402</v>
      </c>
      <c r="B2064" s="8" t="s">
        <v>80</v>
      </c>
      <c r="C2064" s="14" t="s">
        <v>631</v>
      </c>
      <c r="D2064" s="8" t="s">
        <v>2581</v>
      </c>
      <c r="E2064" s="14" t="s">
        <v>2602</v>
      </c>
    </row>
    <row r="2065">
      <c r="A2065" s="8" t="s">
        <v>6403</v>
      </c>
      <c r="B2065" s="8" t="s">
        <v>53</v>
      </c>
      <c r="C2065" s="14" t="s">
        <v>1679</v>
      </c>
      <c r="D2065" s="8" t="s">
        <v>2577</v>
      </c>
      <c r="E2065" s="14" t="s">
        <v>2588</v>
      </c>
    </row>
    <row r="2066">
      <c r="A2066" s="8" t="s">
        <v>6404</v>
      </c>
      <c r="B2066" s="8" t="s">
        <v>70</v>
      </c>
      <c r="C2066" s="14" t="s">
        <v>1352</v>
      </c>
      <c r="D2066" s="8" t="s">
        <v>2587</v>
      </c>
      <c r="E2066" s="14" t="s">
        <v>2590</v>
      </c>
    </row>
    <row r="2067">
      <c r="A2067" s="8" t="s">
        <v>6405</v>
      </c>
      <c r="B2067" s="8" t="s">
        <v>65</v>
      </c>
      <c r="C2067" s="14" t="s">
        <v>459</v>
      </c>
      <c r="D2067" s="8" t="s">
        <v>2567</v>
      </c>
      <c r="E2067" s="14" t="s">
        <v>2616</v>
      </c>
    </row>
    <row r="2068">
      <c r="A2068" s="8" t="s">
        <v>6406</v>
      </c>
      <c r="B2068" s="8" t="s">
        <v>122</v>
      </c>
      <c r="C2068" s="14" t="s">
        <v>1070</v>
      </c>
      <c r="D2068" s="8" t="s">
        <v>2572</v>
      </c>
      <c r="E2068" s="14" t="s">
        <v>2583</v>
      </c>
    </row>
    <row r="2069">
      <c r="A2069" s="8" t="s">
        <v>6010</v>
      </c>
      <c r="B2069" s="8" t="s">
        <v>215</v>
      </c>
      <c r="C2069" s="14" t="s">
        <v>1679</v>
      </c>
      <c r="D2069" s="8" t="s">
        <v>2614</v>
      </c>
      <c r="E2069" s="14" t="s">
        <v>2601</v>
      </c>
    </row>
    <row r="2070">
      <c r="A2070" s="8" t="s">
        <v>6011</v>
      </c>
      <c r="B2070" s="8" t="s">
        <v>186</v>
      </c>
      <c r="C2070" s="14" t="s">
        <v>2033</v>
      </c>
      <c r="D2070" s="8" t="s">
        <v>2566</v>
      </c>
      <c r="E2070" s="14" t="s">
        <v>2555</v>
      </c>
    </row>
    <row r="2071">
      <c r="A2071" s="8" t="s">
        <v>6012</v>
      </c>
      <c r="B2071" s="8" t="s">
        <v>53</v>
      </c>
      <c r="C2071" s="14" t="s">
        <v>459</v>
      </c>
      <c r="D2071" s="8" t="s">
        <v>6304</v>
      </c>
      <c r="E2071" s="14" t="s">
        <v>2571</v>
      </c>
    </row>
    <row r="2072">
      <c r="A2072" s="8" t="s">
        <v>6013</v>
      </c>
      <c r="B2072" s="8" t="s">
        <v>70</v>
      </c>
      <c r="C2072" s="14" t="s">
        <v>237</v>
      </c>
      <c r="D2072" s="8" t="s">
        <v>2562</v>
      </c>
      <c r="E2072" s="14" t="s">
        <v>2591</v>
      </c>
    </row>
    <row r="2073">
      <c r="A2073" s="8" t="s">
        <v>6014</v>
      </c>
      <c r="B2073" s="8" t="s">
        <v>65</v>
      </c>
      <c r="C2073" s="14" t="s">
        <v>1679</v>
      </c>
      <c r="D2073" s="8" t="s">
        <v>2621</v>
      </c>
      <c r="E2073" s="14" t="s">
        <v>2601</v>
      </c>
    </row>
    <row r="2074">
      <c r="A2074" s="8" t="s">
        <v>6015</v>
      </c>
      <c r="B2074" s="8" t="s">
        <v>215</v>
      </c>
      <c r="C2074" s="14" t="s">
        <v>2033</v>
      </c>
      <c r="D2074" s="8" t="s">
        <v>2598</v>
      </c>
      <c r="E2074" s="14" t="s">
        <v>2586</v>
      </c>
    </row>
    <row r="2075">
      <c r="A2075" s="8" t="s">
        <v>6016</v>
      </c>
      <c r="B2075" s="8" t="s">
        <v>215</v>
      </c>
      <c r="C2075" s="14" t="s">
        <v>459</v>
      </c>
      <c r="D2075" s="8" t="s">
        <v>2581</v>
      </c>
      <c r="E2075" s="14" t="s">
        <v>2568</v>
      </c>
    </row>
    <row r="2076">
      <c r="A2076" s="8" t="s">
        <v>6017</v>
      </c>
      <c r="B2076" s="8" t="s">
        <v>65</v>
      </c>
      <c r="C2076" s="14" t="s">
        <v>1679</v>
      </c>
      <c r="D2076" s="8" t="s">
        <v>2605</v>
      </c>
      <c r="E2076" s="14" t="s">
        <v>2570</v>
      </c>
    </row>
    <row r="2077">
      <c r="A2077" s="8" t="s">
        <v>6018</v>
      </c>
      <c r="B2077" s="8" t="s">
        <v>24</v>
      </c>
      <c r="C2077" s="14" t="s">
        <v>1679</v>
      </c>
      <c r="D2077" s="8" t="s">
        <v>2592</v>
      </c>
      <c r="E2077" s="14" t="s">
        <v>2583</v>
      </c>
    </row>
    <row r="2078">
      <c r="A2078" s="8" t="s">
        <v>6019</v>
      </c>
      <c r="B2078" s="8" t="s">
        <v>16</v>
      </c>
      <c r="C2078" s="14" t="s">
        <v>1679</v>
      </c>
      <c r="D2078" s="8" t="s">
        <v>2584</v>
      </c>
      <c r="E2078" s="14" t="s">
        <v>13</v>
      </c>
    </row>
    <row r="2079">
      <c r="A2079" s="8" t="s">
        <v>6020</v>
      </c>
      <c r="B2079" s="8" t="s">
        <v>186</v>
      </c>
      <c r="C2079" s="14" t="s">
        <v>1679</v>
      </c>
      <c r="D2079" s="8" t="s">
        <v>6303</v>
      </c>
      <c r="E2079" s="14" t="s">
        <v>2563</v>
      </c>
    </row>
    <row r="2080">
      <c r="A2080" s="8" t="s">
        <v>6021</v>
      </c>
      <c r="B2080" s="8" t="s">
        <v>215</v>
      </c>
      <c r="C2080" s="14" t="s">
        <v>1352</v>
      </c>
      <c r="D2080" s="8" t="s">
        <v>2183</v>
      </c>
      <c r="E2080" s="14" t="s">
        <v>2622</v>
      </c>
    </row>
    <row r="2081">
      <c r="A2081" s="8" t="s">
        <v>6022</v>
      </c>
      <c r="B2081" s="8" t="s">
        <v>215</v>
      </c>
      <c r="C2081" s="14" t="s">
        <v>1679</v>
      </c>
      <c r="D2081" s="8" t="s">
        <v>2593</v>
      </c>
      <c r="E2081" s="14" t="s">
        <v>2583</v>
      </c>
    </row>
    <row r="2082">
      <c r="A2082" s="8" t="s">
        <v>6023</v>
      </c>
      <c r="B2082" s="8" t="s">
        <v>65</v>
      </c>
      <c r="C2082" s="14" t="s">
        <v>1352</v>
      </c>
      <c r="D2082" s="8" t="s">
        <v>2605</v>
      </c>
      <c r="E2082" s="14" t="s">
        <v>2570</v>
      </c>
    </row>
    <row r="2083">
      <c r="A2083" s="8" t="s">
        <v>6024</v>
      </c>
      <c r="B2083" s="8" t="s">
        <v>53</v>
      </c>
      <c r="C2083" s="14" t="s">
        <v>1352</v>
      </c>
      <c r="D2083" s="8" t="s">
        <v>2560</v>
      </c>
      <c r="E2083" s="14" t="s">
        <v>2557</v>
      </c>
    </row>
    <row r="2084">
      <c r="A2084" s="8" t="s">
        <v>6025</v>
      </c>
      <c r="B2084" s="8" t="s">
        <v>70</v>
      </c>
      <c r="C2084" s="14" t="s">
        <v>1679</v>
      </c>
      <c r="D2084" s="8" t="s">
        <v>2605</v>
      </c>
      <c r="E2084" s="14" t="s">
        <v>2625</v>
      </c>
    </row>
    <row r="2085">
      <c r="A2085" s="8" t="s">
        <v>6026</v>
      </c>
      <c r="B2085" s="8" t="s">
        <v>93</v>
      </c>
      <c r="C2085" s="14" t="s">
        <v>2033</v>
      </c>
      <c r="D2085" s="8" t="s">
        <v>2587</v>
      </c>
      <c r="E2085" s="14" t="s">
        <v>2602</v>
      </c>
    </row>
    <row r="2086">
      <c r="A2086" s="8" t="s">
        <v>6027</v>
      </c>
      <c r="B2086" s="8" t="s">
        <v>80</v>
      </c>
      <c r="C2086" s="14" t="s">
        <v>2033</v>
      </c>
      <c r="D2086" s="8" t="s">
        <v>2585</v>
      </c>
      <c r="E2086" s="14" t="s">
        <v>2579</v>
      </c>
    </row>
    <row r="2087">
      <c r="A2087" s="8" t="s">
        <v>6028</v>
      </c>
      <c r="B2087" s="8" t="s">
        <v>192</v>
      </c>
      <c r="C2087" s="14" t="s">
        <v>459</v>
      </c>
      <c r="D2087" s="8" t="s">
        <v>2562</v>
      </c>
      <c r="E2087" s="14" t="s">
        <v>2588</v>
      </c>
    </row>
    <row r="2088">
      <c r="A2088" s="8" t="s">
        <v>6029</v>
      </c>
      <c r="B2088" s="8" t="s">
        <v>138</v>
      </c>
      <c r="C2088" s="14" t="s">
        <v>1679</v>
      </c>
      <c r="D2088" s="8" t="s">
        <v>2552</v>
      </c>
      <c r="E2088" s="14" t="s">
        <v>2583</v>
      </c>
    </row>
    <row r="2089">
      <c r="A2089" s="8" t="s">
        <v>6030</v>
      </c>
      <c r="B2089" s="8" t="s">
        <v>215</v>
      </c>
      <c r="C2089" s="14" t="s">
        <v>2033</v>
      </c>
      <c r="D2089" s="8" t="s">
        <v>2584</v>
      </c>
      <c r="E2089" s="14" t="s">
        <v>2601</v>
      </c>
    </row>
    <row r="2090">
      <c r="A2090" s="8" t="s">
        <v>6031</v>
      </c>
      <c r="B2090" s="8" t="s">
        <v>93</v>
      </c>
      <c r="C2090" s="14" t="s">
        <v>1070</v>
      </c>
      <c r="D2090" s="8" t="s">
        <v>2598</v>
      </c>
      <c r="E2090" s="14" t="s">
        <v>2606</v>
      </c>
    </row>
    <row r="2091">
      <c r="A2091" s="8" t="s">
        <v>6032</v>
      </c>
      <c r="B2091" s="8" t="s">
        <v>93</v>
      </c>
      <c r="C2091" s="14" t="s">
        <v>2033</v>
      </c>
      <c r="D2091" s="8" t="s">
        <v>2615</v>
      </c>
      <c r="E2091" s="14" t="s">
        <v>2580</v>
      </c>
    </row>
    <row r="2092">
      <c r="A2092" s="8" t="s">
        <v>6033</v>
      </c>
      <c r="B2092" s="8" t="s">
        <v>65</v>
      </c>
      <c r="C2092" s="14" t="s">
        <v>459</v>
      </c>
      <c r="D2092" s="8" t="s">
        <v>2614</v>
      </c>
      <c r="E2092" s="14" t="s">
        <v>2602</v>
      </c>
    </row>
    <row r="2093">
      <c r="A2093" s="8" t="s">
        <v>6034</v>
      </c>
      <c r="B2093" s="8" t="s">
        <v>192</v>
      </c>
      <c r="C2093" s="14" t="s">
        <v>459</v>
      </c>
      <c r="D2093" s="8" t="s">
        <v>2554</v>
      </c>
      <c r="E2093" s="14" t="s">
        <v>2571</v>
      </c>
    </row>
    <row r="2094">
      <c r="A2094" s="8" t="s">
        <v>6035</v>
      </c>
      <c r="B2094" s="8" t="s">
        <v>93</v>
      </c>
      <c r="C2094" s="14" t="s">
        <v>1352</v>
      </c>
      <c r="D2094" s="8" t="s">
        <v>2575</v>
      </c>
      <c r="E2094" s="14" t="s">
        <v>2590</v>
      </c>
    </row>
    <row r="2095">
      <c r="A2095" s="8" t="s">
        <v>6036</v>
      </c>
      <c r="B2095" s="8" t="s">
        <v>46</v>
      </c>
      <c r="C2095" s="14" t="s">
        <v>1352</v>
      </c>
      <c r="D2095" s="8" t="s">
        <v>2554</v>
      </c>
      <c r="E2095" s="14" t="s">
        <v>2571</v>
      </c>
    </row>
    <row r="2096">
      <c r="A2096" s="8" t="s">
        <v>6037</v>
      </c>
      <c r="B2096" s="8" t="s">
        <v>65</v>
      </c>
      <c r="C2096" s="14" t="s">
        <v>631</v>
      </c>
      <c r="D2096" s="8" t="s">
        <v>2605</v>
      </c>
      <c r="E2096" s="14" t="s">
        <v>2588</v>
      </c>
    </row>
    <row r="2097">
      <c r="A2097" s="8" t="s">
        <v>6038</v>
      </c>
      <c r="B2097" s="8" t="s">
        <v>132</v>
      </c>
      <c r="C2097" s="14" t="s">
        <v>2033</v>
      </c>
      <c r="D2097" s="8" t="s">
        <v>2574</v>
      </c>
      <c r="E2097" s="14" t="s">
        <v>2569</v>
      </c>
    </row>
    <row r="2098">
      <c r="A2098" s="8" t="s">
        <v>6039</v>
      </c>
      <c r="B2098" s="8" t="s">
        <v>16</v>
      </c>
      <c r="C2098" s="14" t="s">
        <v>1070</v>
      </c>
      <c r="D2098" s="8" t="s">
        <v>2574</v>
      </c>
      <c r="E2098" s="14" t="s">
        <v>2617</v>
      </c>
    </row>
    <row r="2099">
      <c r="A2099" s="8" t="s">
        <v>6040</v>
      </c>
      <c r="B2099" s="8" t="s">
        <v>46</v>
      </c>
      <c r="C2099" s="14" t="s">
        <v>631</v>
      </c>
      <c r="D2099" s="8" t="s">
        <v>2621</v>
      </c>
      <c r="E2099" s="14" t="s">
        <v>2599</v>
      </c>
    </row>
    <row r="2100">
      <c r="A2100" s="8" t="s">
        <v>6041</v>
      </c>
      <c r="B2100" s="8" t="s">
        <v>46</v>
      </c>
      <c r="C2100" s="14" t="s">
        <v>1352</v>
      </c>
      <c r="D2100" s="8" t="s">
        <v>2574</v>
      </c>
      <c r="E2100" s="14" t="s">
        <v>2607</v>
      </c>
    </row>
    <row r="2101">
      <c r="A2101" s="8" t="s">
        <v>6042</v>
      </c>
      <c r="B2101" s="8" t="s">
        <v>192</v>
      </c>
      <c r="C2101" s="14" t="s">
        <v>2459</v>
      </c>
      <c r="D2101" s="8" t="s">
        <v>2593</v>
      </c>
      <c r="E2101" s="14" t="s">
        <v>2622</v>
      </c>
    </row>
    <row r="2102">
      <c r="A2102" s="8" t="s">
        <v>6043</v>
      </c>
      <c r="B2102" s="8" t="s">
        <v>122</v>
      </c>
      <c r="C2102" s="14" t="s">
        <v>1679</v>
      </c>
      <c r="D2102" s="8" t="s">
        <v>2595</v>
      </c>
      <c r="E2102" s="14" t="s">
        <v>2579</v>
      </c>
    </row>
    <row r="2103">
      <c r="A2103" s="8" t="s">
        <v>6044</v>
      </c>
      <c r="B2103" s="8" t="s">
        <v>16</v>
      </c>
      <c r="C2103" s="14" t="s">
        <v>459</v>
      </c>
      <c r="D2103" s="8" t="s">
        <v>2595</v>
      </c>
      <c r="E2103" s="14" t="s">
        <v>2618</v>
      </c>
    </row>
    <row r="2104">
      <c r="A2104" s="8" t="s">
        <v>6045</v>
      </c>
      <c r="B2104" s="8" t="s">
        <v>65</v>
      </c>
      <c r="C2104" s="14" t="s">
        <v>1679</v>
      </c>
      <c r="D2104" s="8" t="s">
        <v>2621</v>
      </c>
      <c r="E2104" s="14" t="s">
        <v>2586</v>
      </c>
    </row>
    <row r="2105">
      <c r="A2105" s="8" t="s">
        <v>6046</v>
      </c>
      <c r="B2105" s="8" t="s">
        <v>65</v>
      </c>
      <c r="C2105" s="14" t="s">
        <v>108</v>
      </c>
      <c r="D2105" s="8" t="s">
        <v>2595</v>
      </c>
      <c r="E2105" s="14" t="s">
        <v>2607</v>
      </c>
    </row>
    <row r="2106">
      <c r="A2106" s="8" t="s">
        <v>6047</v>
      </c>
      <c r="B2106" s="8" t="s">
        <v>75</v>
      </c>
      <c r="C2106" s="14" t="s">
        <v>1070</v>
      </c>
      <c r="D2106" s="8" t="s">
        <v>2600</v>
      </c>
      <c r="E2106" s="14" t="s">
        <v>2568</v>
      </c>
    </row>
    <row r="2107">
      <c r="A2107" s="8" t="s">
        <v>6048</v>
      </c>
      <c r="B2107" s="8" t="s">
        <v>75</v>
      </c>
      <c r="C2107" s="14" t="s">
        <v>189</v>
      </c>
      <c r="D2107" s="8" t="s">
        <v>2605</v>
      </c>
      <c r="E2107" s="14" t="s">
        <v>2580</v>
      </c>
    </row>
    <row r="2108">
      <c r="A2108" s="8" t="s">
        <v>6049</v>
      </c>
      <c r="B2108" s="8" t="s">
        <v>16</v>
      </c>
      <c r="C2108" s="14" t="s">
        <v>1070</v>
      </c>
      <c r="D2108" s="8" t="s">
        <v>2595</v>
      </c>
      <c r="E2108" s="14" t="s">
        <v>2602</v>
      </c>
    </row>
    <row r="2109">
      <c r="A2109" s="8" t="s">
        <v>6050</v>
      </c>
      <c r="B2109" s="8" t="s">
        <v>80</v>
      </c>
      <c r="C2109" s="14" t="s">
        <v>1679</v>
      </c>
      <c r="D2109" s="8" t="s">
        <v>2603</v>
      </c>
      <c r="E2109" s="14" t="s">
        <v>2553</v>
      </c>
    </row>
    <row r="2110">
      <c r="A2110" s="8" t="s">
        <v>6051</v>
      </c>
      <c r="B2110" s="8" t="s">
        <v>93</v>
      </c>
      <c r="C2110" s="14" t="s">
        <v>2296</v>
      </c>
      <c r="D2110" s="8" t="s">
        <v>2554</v>
      </c>
      <c r="E2110" s="14" t="s">
        <v>2622</v>
      </c>
    </row>
    <row r="2111">
      <c r="A2111" s="8" t="s">
        <v>6052</v>
      </c>
      <c r="B2111" s="8" t="s">
        <v>186</v>
      </c>
      <c r="C2111" s="14" t="s">
        <v>2033</v>
      </c>
      <c r="D2111" s="8" t="s">
        <v>2577</v>
      </c>
      <c r="E2111" s="14" t="s">
        <v>2609</v>
      </c>
    </row>
    <row r="2112">
      <c r="A2112" s="8" t="s">
        <v>6053</v>
      </c>
      <c r="B2112" s="8" t="s">
        <v>59</v>
      </c>
      <c r="C2112" s="14" t="s">
        <v>631</v>
      </c>
      <c r="D2112" s="8" t="s">
        <v>2584</v>
      </c>
      <c r="E2112" s="14" t="s">
        <v>2613</v>
      </c>
    </row>
    <row r="2113">
      <c r="A2113" s="8" t="s">
        <v>6054</v>
      </c>
      <c r="B2113" s="8" t="s">
        <v>24</v>
      </c>
      <c r="C2113" s="14" t="s">
        <v>1070</v>
      </c>
      <c r="D2113" s="8" t="s">
        <v>2574</v>
      </c>
      <c r="E2113" s="14" t="s">
        <v>2555</v>
      </c>
    </row>
    <row r="2114">
      <c r="A2114" s="8" t="s">
        <v>6055</v>
      </c>
      <c r="B2114" s="8" t="s">
        <v>93</v>
      </c>
      <c r="C2114" s="14" t="s">
        <v>837</v>
      </c>
      <c r="D2114" s="8" t="s">
        <v>2615</v>
      </c>
      <c r="E2114" s="14" t="s">
        <v>2571</v>
      </c>
    </row>
    <row r="2115">
      <c r="A2115" s="8" t="s">
        <v>6056</v>
      </c>
      <c r="B2115" s="8" t="s">
        <v>192</v>
      </c>
      <c r="C2115" s="14" t="s">
        <v>2296</v>
      </c>
      <c r="D2115" s="8" t="s">
        <v>2577</v>
      </c>
      <c r="E2115" s="14" t="s">
        <v>2553</v>
      </c>
    </row>
    <row r="2116">
      <c r="A2116" s="8" t="s">
        <v>6057</v>
      </c>
      <c r="B2116" s="8" t="s">
        <v>122</v>
      </c>
      <c r="C2116" s="14" t="s">
        <v>237</v>
      </c>
      <c r="D2116" s="8" t="s">
        <v>6303</v>
      </c>
      <c r="E2116" s="14" t="s">
        <v>2568</v>
      </c>
    </row>
    <row r="2117">
      <c r="A2117" s="8" t="s">
        <v>6058</v>
      </c>
      <c r="B2117" s="8" t="s">
        <v>53</v>
      </c>
      <c r="C2117" s="14" t="s">
        <v>60</v>
      </c>
      <c r="D2117" s="8" t="s">
        <v>6303</v>
      </c>
      <c r="E2117" s="14" t="s">
        <v>2578</v>
      </c>
    </row>
    <row r="2118">
      <c r="A2118" s="8" t="s">
        <v>6059</v>
      </c>
      <c r="B2118" s="8" t="s">
        <v>65</v>
      </c>
      <c r="C2118" s="14" t="s">
        <v>338</v>
      </c>
      <c r="D2118" s="8" t="s">
        <v>2584</v>
      </c>
      <c r="E2118" s="14" t="s">
        <v>2602</v>
      </c>
    </row>
    <row r="2119">
      <c r="A2119" s="8" t="s">
        <v>6060</v>
      </c>
      <c r="B2119" s="8" t="s">
        <v>192</v>
      </c>
      <c r="C2119" s="14" t="s">
        <v>837</v>
      </c>
      <c r="D2119" s="8" t="s">
        <v>2600</v>
      </c>
      <c r="E2119" s="14" t="s">
        <v>2557</v>
      </c>
    </row>
    <row r="2120">
      <c r="A2120" s="8" t="s">
        <v>6061</v>
      </c>
      <c r="B2120" s="8" t="s">
        <v>46</v>
      </c>
      <c r="C2120" s="14" t="s">
        <v>631</v>
      </c>
      <c r="D2120" s="8" t="s">
        <v>2595</v>
      </c>
      <c r="E2120" s="14" t="s">
        <v>2613</v>
      </c>
    </row>
    <row r="2121">
      <c r="A2121" s="8" t="s">
        <v>6062</v>
      </c>
      <c r="B2121" s="8" t="s">
        <v>138</v>
      </c>
      <c r="C2121" s="14" t="s">
        <v>2296</v>
      </c>
      <c r="D2121" s="8" t="s">
        <v>2592</v>
      </c>
      <c r="E2121" s="14" t="s">
        <v>2609</v>
      </c>
    </row>
    <row r="2122">
      <c r="A2122" s="8" t="s">
        <v>6063</v>
      </c>
      <c r="B2122" s="8" t="s">
        <v>65</v>
      </c>
      <c r="C2122" s="14" t="s">
        <v>2459</v>
      </c>
      <c r="D2122" s="8" t="s">
        <v>2574</v>
      </c>
      <c r="E2122" s="14" t="s">
        <v>2579</v>
      </c>
    </row>
    <row r="2123">
      <c r="A2123" s="8" t="s">
        <v>6064</v>
      </c>
      <c r="B2123" s="8" t="s">
        <v>65</v>
      </c>
      <c r="C2123" s="14" t="s">
        <v>2296</v>
      </c>
      <c r="D2123" s="8" t="s">
        <v>2582</v>
      </c>
      <c r="E2123" s="14" t="s">
        <v>2591</v>
      </c>
    </row>
    <row r="2124">
      <c r="A2124" s="8" t="s">
        <v>6065</v>
      </c>
      <c r="B2124" s="8" t="s">
        <v>70</v>
      </c>
      <c r="C2124" s="14" t="s">
        <v>1070</v>
      </c>
      <c r="D2124" s="8" t="s">
        <v>2585</v>
      </c>
      <c r="E2124" s="14" t="s">
        <v>2578</v>
      </c>
    </row>
    <row r="2125">
      <c r="A2125" s="8" t="s">
        <v>6066</v>
      </c>
      <c r="B2125" s="8" t="s">
        <v>70</v>
      </c>
      <c r="C2125" s="14" t="s">
        <v>631</v>
      </c>
      <c r="D2125" s="8" t="s">
        <v>2554</v>
      </c>
      <c r="E2125" s="14" t="s">
        <v>2590</v>
      </c>
    </row>
    <row r="2126">
      <c r="A2126" s="8" t="s">
        <v>6067</v>
      </c>
      <c r="B2126" s="8" t="s">
        <v>59</v>
      </c>
      <c r="C2126" s="14" t="s">
        <v>60</v>
      </c>
      <c r="D2126" s="8" t="s">
        <v>2572</v>
      </c>
      <c r="E2126" s="14" t="s">
        <v>2608</v>
      </c>
    </row>
    <row r="2127">
      <c r="A2127" s="8" t="s">
        <v>6068</v>
      </c>
      <c r="B2127" s="8" t="s">
        <v>24</v>
      </c>
      <c r="C2127" s="14" t="s">
        <v>1352</v>
      </c>
      <c r="D2127" s="8" t="s">
        <v>2560</v>
      </c>
      <c r="E2127" s="14" t="s">
        <v>18</v>
      </c>
    </row>
    <row r="2128">
      <c r="A2128" s="8" t="s">
        <v>6069</v>
      </c>
      <c r="B2128" s="8" t="s">
        <v>38</v>
      </c>
      <c r="C2128" s="14" t="s">
        <v>135</v>
      </c>
      <c r="D2128" s="8" t="s">
        <v>2595</v>
      </c>
      <c r="E2128" s="14" t="s">
        <v>2611</v>
      </c>
    </row>
    <row r="2129">
      <c r="A2129" s="8" t="s">
        <v>6070</v>
      </c>
      <c r="B2129" s="8" t="s">
        <v>70</v>
      </c>
      <c r="C2129" s="14" t="s">
        <v>1070</v>
      </c>
      <c r="D2129" s="8" t="s">
        <v>2584</v>
      </c>
      <c r="E2129" s="14" t="s">
        <v>2563</v>
      </c>
    </row>
    <row r="2130">
      <c r="A2130" s="8" t="s">
        <v>6071</v>
      </c>
      <c r="B2130" s="8" t="s">
        <v>192</v>
      </c>
      <c r="C2130" s="14" t="s">
        <v>2503</v>
      </c>
      <c r="D2130" s="8" t="s">
        <v>2615</v>
      </c>
      <c r="E2130" s="14" t="s">
        <v>2580</v>
      </c>
    </row>
    <row r="2131">
      <c r="A2131" s="8" t="s">
        <v>6072</v>
      </c>
      <c r="B2131" s="8" t="s">
        <v>16</v>
      </c>
      <c r="C2131" s="14" t="s">
        <v>1679</v>
      </c>
      <c r="D2131" s="8" t="s">
        <v>2558</v>
      </c>
      <c r="E2131" s="14" t="s">
        <v>2606</v>
      </c>
    </row>
    <row r="2132">
      <c r="A2132" s="8" t="s">
        <v>6073</v>
      </c>
      <c r="B2132" s="8" t="s">
        <v>93</v>
      </c>
      <c r="C2132" s="14" t="s">
        <v>1679</v>
      </c>
      <c r="D2132" s="8" t="s">
        <v>2585</v>
      </c>
      <c r="E2132" s="14" t="s">
        <v>2555</v>
      </c>
    </row>
    <row r="2133">
      <c r="A2133" s="8" t="s">
        <v>6074</v>
      </c>
      <c r="B2133" s="8" t="s">
        <v>122</v>
      </c>
      <c r="C2133" s="14" t="s">
        <v>1070</v>
      </c>
      <c r="D2133" s="8" t="s">
        <v>2564</v>
      </c>
      <c r="E2133" s="14" t="s">
        <v>2586</v>
      </c>
    </row>
    <row r="2134">
      <c r="A2134" s="8" t="s">
        <v>6075</v>
      </c>
      <c r="B2134" s="8" t="s">
        <v>65</v>
      </c>
      <c r="C2134" s="14" t="s">
        <v>1352</v>
      </c>
      <c r="D2134" s="8" t="s">
        <v>2620</v>
      </c>
      <c r="E2134" s="14" t="s">
        <v>2568</v>
      </c>
    </row>
    <row r="2135">
      <c r="A2135" s="8" t="s">
        <v>6076</v>
      </c>
      <c r="B2135" s="8" t="s">
        <v>122</v>
      </c>
      <c r="C2135" s="14" t="s">
        <v>2296</v>
      </c>
      <c r="D2135" s="8" t="s">
        <v>2582</v>
      </c>
      <c r="E2135" s="14" t="s">
        <v>2583</v>
      </c>
    </row>
    <row r="2136">
      <c r="A2136" s="8" t="s">
        <v>6077</v>
      </c>
      <c r="B2136" s="8" t="s">
        <v>65</v>
      </c>
      <c r="C2136" s="14" t="s">
        <v>1352</v>
      </c>
      <c r="D2136" s="8" t="s">
        <v>2560</v>
      </c>
      <c r="E2136" s="14" t="s">
        <v>2583</v>
      </c>
    </row>
    <row r="2137">
      <c r="A2137" s="8" t="s">
        <v>6078</v>
      </c>
      <c r="B2137" s="8" t="s">
        <v>59</v>
      </c>
      <c r="C2137" s="14" t="s">
        <v>1352</v>
      </c>
      <c r="D2137" s="8" t="s">
        <v>2575</v>
      </c>
      <c r="E2137" s="14" t="s">
        <v>2553</v>
      </c>
    </row>
    <row r="2138">
      <c r="A2138" s="8" t="s">
        <v>6079</v>
      </c>
      <c r="B2138" s="8" t="s">
        <v>149</v>
      </c>
      <c r="C2138" s="14" t="s">
        <v>2033</v>
      </c>
      <c r="D2138" s="8" t="s">
        <v>2582</v>
      </c>
      <c r="E2138" s="14" t="s">
        <v>2627</v>
      </c>
    </row>
    <row r="2139">
      <c r="A2139" s="8" t="s">
        <v>6080</v>
      </c>
      <c r="B2139" s="8" t="s">
        <v>186</v>
      </c>
      <c r="C2139" s="14" t="s">
        <v>837</v>
      </c>
      <c r="D2139" s="8" t="s">
        <v>2620</v>
      </c>
      <c r="E2139" s="14" t="s">
        <v>2571</v>
      </c>
    </row>
    <row r="2140">
      <c r="A2140" s="8" t="s">
        <v>6081</v>
      </c>
      <c r="B2140" s="8" t="s">
        <v>70</v>
      </c>
      <c r="C2140" s="14" t="s">
        <v>1352</v>
      </c>
      <c r="D2140" s="8" t="s">
        <v>2593</v>
      </c>
      <c r="E2140" s="14" t="s">
        <v>2619</v>
      </c>
    </row>
    <row r="2141">
      <c r="A2141" s="8" t="s">
        <v>6082</v>
      </c>
      <c r="B2141" s="8" t="s">
        <v>16</v>
      </c>
      <c r="C2141" s="14" t="s">
        <v>18</v>
      </c>
      <c r="D2141" s="8" t="s">
        <v>2600</v>
      </c>
      <c r="E2141" s="14" t="s">
        <v>2623</v>
      </c>
    </row>
    <row r="2142">
      <c r="A2142" s="8" t="s">
        <v>6083</v>
      </c>
      <c r="B2142" s="8" t="s">
        <v>75</v>
      </c>
      <c r="C2142" s="14" t="s">
        <v>338</v>
      </c>
      <c r="D2142" s="8" t="s">
        <v>2560</v>
      </c>
      <c r="E2142" s="14" t="s">
        <v>2563</v>
      </c>
    </row>
    <row r="2143">
      <c r="A2143" s="8" t="s">
        <v>6084</v>
      </c>
      <c r="B2143" s="8" t="s">
        <v>16</v>
      </c>
      <c r="C2143" s="14" t="s">
        <v>459</v>
      </c>
      <c r="D2143" s="8" t="s">
        <v>2554</v>
      </c>
      <c r="E2143" s="14" t="s">
        <v>2606</v>
      </c>
    </row>
    <row r="2144">
      <c r="A2144" s="8" t="s">
        <v>6085</v>
      </c>
      <c r="B2144" s="8" t="s">
        <v>24</v>
      </c>
      <c r="C2144" s="14" t="s">
        <v>1679</v>
      </c>
      <c r="D2144" s="8" t="s">
        <v>2587</v>
      </c>
      <c r="E2144" s="14" t="s">
        <v>2568</v>
      </c>
    </row>
    <row r="2145">
      <c r="A2145" s="8" t="s">
        <v>6086</v>
      </c>
      <c r="B2145" s="8" t="s">
        <v>65</v>
      </c>
      <c r="C2145" s="14" t="s">
        <v>1070</v>
      </c>
      <c r="D2145" s="8" t="s">
        <v>2554</v>
      </c>
      <c r="E2145" s="14" t="s">
        <v>2579</v>
      </c>
    </row>
    <row r="2146">
      <c r="A2146" s="8" t="s">
        <v>6087</v>
      </c>
      <c r="B2146" s="8" t="s">
        <v>141</v>
      </c>
      <c r="C2146" s="14" t="s">
        <v>135</v>
      </c>
      <c r="D2146" s="8" t="s">
        <v>2582</v>
      </c>
      <c r="E2146" s="14" t="s">
        <v>2609</v>
      </c>
    </row>
    <row r="2147">
      <c r="A2147" s="8" t="s">
        <v>6088</v>
      </c>
      <c r="B2147" s="8" t="s">
        <v>93</v>
      </c>
      <c r="C2147" s="14" t="s">
        <v>1679</v>
      </c>
      <c r="D2147" s="8" t="s">
        <v>2558</v>
      </c>
      <c r="E2147" s="14" t="s">
        <v>2568</v>
      </c>
    </row>
    <row r="2148">
      <c r="A2148" s="8" t="s">
        <v>6089</v>
      </c>
      <c r="B2148" s="8" t="s">
        <v>192</v>
      </c>
      <c r="C2148" s="14" t="s">
        <v>837</v>
      </c>
      <c r="D2148" s="8" t="s">
        <v>2575</v>
      </c>
      <c r="E2148" s="14" t="s">
        <v>2611</v>
      </c>
    </row>
    <row r="2149">
      <c r="A2149" s="8" t="s">
        <v>6090</v>
      </c>
      <c r="B2149" s="8" t="s">
        <v>93</v>
      </c>
      <c r="C2149" s="14" t="s">
        <v>837</v>
      </c>
      <c r="D2149" s="8" t="s">
        <v>2566</v>
      </c>
      <c r="E2149" s="14" t="s">
        <v>2563</v>
      </c>
    </row>
    <row r="2150">
      <c r="A2150" s="8" t="s">
        <v>6091</v>
      </c>
      <c r="B2150" s="8" t="s">
        <v>93</v>
      </c>
      <c r="C2150" s="14" t="s">
        <v>1070</v>
      </c>
      <c r="D2150" s="8" t="s">
        <v>2610</v>
      </c>
      <c r="E2150" s="14" t="s">
        <v>2576</v>
      </c>
    </row>
    <row r="2151">
      <c r="A2151" s="8" t="s">
        <v>6092</v>
      </c>
      <c r="B2151" s="8" t="s">
        <v>70</v>
      </c>
      <c r="C2151" s="14" t="s">
        <v>2296</v>
      </c>
      <c r="D2151" s="8" t="s">
        <v>2614</v>
      </c>
      <c r="E2151" s="14" t="s">
        <v>2622</v>
      </c>
    </row>
    <row r="2152">
      <c r="A2152" s="8" t="s">
        <v>6093</v>
      </c>
      <c r="B2152" s="8" t="s">
        <v>65</v>
      </c>
      <c r="C2152" s="14" t="s">
        <v>338</v>
      </c>
      <c r="D2152" s="8" t="s">
        <v>2574</v>
      </c>
      <c r="E2152" s="14" t="s">
        <v>2590</v>
      </c>
    </row>
    <row r="2153">
      <c r="A2153" s="8" t="s">
        <v>6094</v>
      </c>
      <c r="B2153" s="8" t="s">
        <v>93</v>
      </c>
      <c r="C2153" s="14" t="s">
        <v>1679</v>
      </c>
      <c r="D2153" s="8" t="s">
        <v>2581</v>
      </c>
      <c r="E2153" s="14" t="s">
        <v>2557</v>
      </c>
    </row>
    <row r="2154">
      <c r="A2154" s="8" t="s">
        <v>6095</v>
      </c>
      <c r="B2154" s="8" t="s">
        <v>70</v>
      </c>
      <c r="C2154" s="14" t="s">
        <v>1070</v>
      </c>
      <c r="D2154" s="8" t="s">
        <v>2558</v>
      </c>
      <c r="E2154" s="14" t="s">
        <v>2618</v>
      </c>
    </row>
    <row r="2155">
      <c r="A2155" s="8" t="s">
        <v>6096</v>
      </c>
      <c r="B2155" s="8" t="s">
        <v>16</v>
      </c>
      <c r="C2155" s="14" t="s">
        <v>2033</v>
      </c>
      <c r="D2155" s="8" t="s">
        <v>2575</v>
      </c>
      <c r="E2155" s="14" t="s">
        <v>2606</v>
      </c>
    </row>
    <row r="2156">
      <c r="A2156" s="8" t="s">
        <v>6097</v>
      </c>
      <c r="B2156" s="8" t="s">
        <v>80</v>
      </c>
      <c r="C2156" s="14" t="s">
        <v>1679</v>
      </c>
      <c r="D2156" s="8" t="s">
        <v>2554</v>
      </c>
      <c r="E2156" s="14" t="s">
        <v>2565</v>
      </c>
    </row>
    <row r="2157">
      <c r="A2157" s="8" t="s">
        <v>6098</v>
      </c>
      <c r="B2157" s="8" t="s">
        <v>93</v>
      </c>
      <c r="C2157" s="14" t="s">
        <v>837</v>
      </c>
      <c r="D2157" s="8" t="s">
        <v>2552</v>
      </c>
      <c r="E2157" s="14" t="s">
        <v>2586</v>
      </c>
    </row>
    <row r="2158">
      <c r="A2158" s="8" t="s">
        <v>6099</v>
      </c>
      <c r="B2158" s="8" t="s">
        <v>132</v>
      </c>
      <c r="C2158" s="14" t="s">
        <v>1070</v>
      </c>
      <c r="D2158" s="8" t="s">
        <v>2574</v>
      </c>
      <c r="E2158" s="14" t="s">
        <v>2607</v>
      </c>
    </row>
    <row r="2159">
      <c r="A2159" s="8" t="s">
        <v>6100</v>
      </c>
      <c r="B2159" s="8" t="s">
        <v>93</v>
      </c>
      <c r="C2159" s="14" t="s">
        <v>237</v>
      </c>
      <c r="D2159" s="8" t="s">
        <v>6303</v>
      </c>
      <c r="E2159" s="14" t="s">
        <v>2573</v>
      </c>
    </row>
    <row r="2160">
      <c r="A2160" s="8" t="s">
        <v>6101</v>
      </c>
      <c r="B2160" s="8" t="s">
        <v>80</v>
      </c>
      <c r="C2160" s="14" t="s">
        <v>60</v>
      </c>
      <c r="D2160" s="8" t="s">
        <v>2558</v>
      </c>
      <c r="E2160" s="14" t="s">
        <v>2553</v>
      </c>
    </row>
    <row r="2161">
      <c r="A2161" s="8" t="s">
        <v>6102</v>
      </c>
      <c r="B2161" s="8" t="s">
        <v>65</v>
      </c>
      <c r="C2161" s="14" t="s">
        <v>1352</v>
      </c>
      <c r="D2161" s="8" t="s">
        <v>2595</v>
      </c>
      <c r="E2161" s="14" t="s">
        <v>2570</v>
      </c>
    </row>
    <row r="2162">
      <c r="A2162" s="8" t="s">
        <v>6103</v>
      </c>
      <c r="B2162" s="8" t="s">
        <v>186</v>
      </c>
      <c r="C2162" s="14" t="s">
        <v>2033</v>
      </c>
      <c r="D2162" s="8" t="s">
        <v>2593</v>
      </c>
      <c r="E2162" s="14" t="s">
        <v>2580</v>
      </c>
    </row>
    <row r="2163">
      <c r="A2163" s="8" t="s">
        <v>6104</v>
      </c>
      <c r="B2163" s="8" t="s">
        <v>65</v>
      </c>
      <c r="C2163" s="14" t="s">
        <v>459</v>
      </c>
      <c r="D2163" s="8" t="s">
        <v>2572</v>
      </c>
      <c r="E2163" s="14" t="s">
        <v>2608</v>
      </c>
    </row>
    <row r="2164">
      <c r="A2164" s="8" t="s">
        <v>6106</v>
      </c>
      <c r="B2164" s="8" t="s">
        <v>141</v>
      </c>
      <c r="C2164" s="14" t="s">
        <v>631</v>
      </c>
      <c r="D2164" s="8" t="s">
        <v>2614</v>
      </c>
      <c r="E2164" s="14" t="s">
        <v>2636</v>
      </c>
    </row>
    <row r="2165">
      <c r="A2165" s="8" t="s">
        <v>6107</v>
      </c>
      <c r="B2165" s="8" t="s">
        <v>65</v>
      </c>
      <c r="C2165" s="14" t="s">
        <v>2033</v>
      </c>
      <c r="D2165" s="8" t="s">
        <v>2554</v>
      </c>
      <c r="E2165" s="14" t="s">
        <v>2563</v>
      </c>
    </row>
    <row r="2166">
      <c r="A2166" s="8" t="s">
        <v>6109</v>
      </c>
      <c r="B2166" s="8" t="s">
        <v>70</v>
      </c>
      <c r="C2166" s="14" t="s">
        <v>2459</v>
      </c>
      <c r="D2166" s="8" t="s">
        <v>2603</v>
      </c>
      <c r="E2166" s="14" t="s">
        <v>2555</v>
      </c>
    </row>
    <row r="2167">
      <c r="A2167" s="8" t="s">
        <v>6111</v>
      </c>
      <c r="B2167" s="8" t="s">
        <v>24</v>
      </c>
      <c r="C2167" s="14" t="s">
        <v>459</v>
      </c>
      <c r="D2167" s="8" t="s">
        <v>2183</v>
      </c>
      <c r="E2167" s="14" t="s">
        <v>2623</v>
      </c>
    </row>
    <row r="2168">
      <c r="A2168" s="8" t="s">
        <v>6112</v>
      </c>
      <c r="B2168" s="8" t="s">
        <v>192</v>
      </c>
      <c r="C2168" s="14" t="s">
        <v>1679</v>
      </c>
      <c r="D2168" s="8" t="s">
        <v>2558</v>
      </c>
      <c r="E2168" s="14" t="s">
        <v>2580</v>
      </c>
    </row>
    <row r="2169">
      <c r="A2169" s="8" t="s">
        <v>6113</v>
      </c>
      <c r="B2169" s="8" t="s">
        <v>70</v>
      </c>
      <c r="C2169" s="14" t="s">
        <v>2459</v>
      </c>
      <c r="D2169" s="8" t="s">
        <v>2610</v>
      </c>
      <c r="E2169" s="14" t="s">
        <v>2563</v>
      </c>
    </row>
    <row r="2170">
      <c r="A2170" s="8" t="s">
        <v>6114</v>
      </c>
      <c r="B2170" s="8" t="s">
        <v>192</v>
      </c>
      <c r="C2170" s="14" t="s">
        <v>1679</v>
      </c>
      <c r="D2170" s="8" t="s">
        <v>2610</v>
      </c>
      <c r="E2170" s="14" t="s">
        <v>2576</v>
      </c>
    </row>
    <row r="2171">
      <c r="A2171" s="8" t="s">
        <v>6115</v>
      </c>
      <c r="B2171" s="8" t="s">
        <v>93</v>
      </c>
      <c r="C2171" s="14" t="s">
        <v>2459</v>
      </c>
      <c r="D2171" s="8" t="s">
        <v>6304</v>
      </c>
      <c r="E2171" s="14" t="s">
        <v>2557</v>
      </c>
    </row>
    <row r="2172">
      <c r="A2172" s="8" t="s">
        <v>6116</v>
      </c>
      <c r="B2172" s="8" t="s">
        <v>93</v>
      </c>
      <c r="C2172" s="14" t="s">
        <v>1679</v>
      </c>
      <c r="D2172" s="8" t="s">
        <v>2603</v>
      </c>
      <c r="E2172" s="14" t="s">
        <v>2608</v>
      </c>
    </row>
    <row r="2173">
      <c r="A2173" s="8" t="s">
        <v>6117</v>
      </c>
      <c r="B2173" s="8" t="s">
        <v>93</v>
      </c>
      <c r="C2173" s="14" t="s">
        <v>2033</v>
      </c>
      <c r="D2173" s="8" t="s">
        <v>2584</v>
      </c>
      <c r="E2173" s="14" t="s">
        <v>2576</v>
      </c>
    </row>
    <row r="2174">
      <c r="A2174" s="8" t="s">
        <v>6118</v>
      </c>
      <c r="B2174" s="8" t="s">
        <v>186</v>
      </c>
      <c r="C2174" s="14" t="s">
        <v>2459</v>
      </c>
      <c r="D2174" s="8" t="s">
        <v>2554</v>
      </c>
      <c r="E2174" s="14" t="s">
        <v>2576</v>
      </c>
    </row>
    <row r="2175">
      <c r="A2175" s="8" t="s">
        <v>6119</v>
      </c>
      <c r="B2175" s="8" t="s">
        <v>80</v>
      </c>
      <c r="C2175" s="14" t="s">
        <v>1352</v>
      </c>
      <c r="D2175" s="8" t="s">
        <v>2564</v>
      </c>
      <c r="E2175" s="14" t="s">
        <v>2555</v>
      </c>
    </row>
    <row r="2176">
      <c r="A2176" s="8" t="s">
        <v>6120</v>
      </c>
      <c r="B2176" s="8" t="s">
        <v>93</v>
      </c>
      <c r="C2176" s="14" t="s">
        <v>1679</v>
      </c>
      <c r="D2176" s="8" t="s">
        <v>2587</v>
      </c>
      <c r="E2176" s="14" t="s">
        <v>2625</v>
      </c>
    </row>
    <row r="2177">
      <c r="A2177" s="8" t="s">
        <v>6121</v>
      </c>
      <c r="B2177" s="8" t="s">
        <v>65</v>
      </c>
      <c r="C2177" s="14" t="s">
        <v>2033</v>
      </c>
      <c r="D2177" s="8" t="s">
        <v>2595</v>
      </c>
      <c r="E2177" s="14" t="s">
        <v>2553</v>
      </c>
    </row>
    <row r="2178">
      <c r="A2178" s="8" t="s">
        <v>6122</v>
      </c>
      <c r="B2178" s="8" t="s">
        <v>186</v>
      </c>
      <c r="C2178" s="14" t="s">
        <v>1679</v>
      </c>
      <c r="D2178" s="8" t="s">
        <v>2572</v>
      </c>
      <c r="E2178" s="14" t="s">
        <v>2606</v>
      </c>
    </row>
    <row r="2179">
      <c r="A2179" s="8" t="s">
        <v>6123</v>
      </c>
      <c r="B2179" s="8" t="s">
        <v>186</v>
      </c>
      <c r="C2179" s="14" t="s">
        <v>2459</v>
      </c>
      <c r="D2179" s="8" t="s">
        <v>2587</v>
      </c>
      <c r="E2179" s="14" t="s">
        <v>2553</v>
      </c>
    </row>
    <row r="2180">
      <c r="A2180" s="8" t="s">
        <v>6124</v>
      </c>
      <c r="B2180" s="8" t="s">
        <v>93</v>
      </c>
      <c r="C2180" s="14" t="s">
        <v>2033</v>
      </c>
      <c r="D2180" s="8" t="s">
        <v>2183</v>
      </c>
      <c r="E2180" s="14" t="s">
        <v>2579</v>
      </c>
    </row>
    <row r="2181">
      <c r="A2181" s="8" t="s">
        <v>6125</v>
      </c>
      <c r="B2181" s="8" t="s">
        <v>149</v>
      </c>
      <c r="C2181" s="14" t="s">
        <v>1070</v>
      </c>
      <c r="D2181" s="8" t="s">
        <v>6304</v>
      </c>
      <c r="E2181" s="14" t="s">
        <v>2586</v>
      </c>
    </row>
    <row r="2182">
      <c r="A2182" s="8" t="s">
        <v>6126</v>
      </c>
      <c r="B2182" s="8" t="s">
        <v>138</v>
      </c>
      <c r="C2182" s="14" t="s">
        <v>631</v>
      </c>
      <c r="D2182" s="8" t="s">
        <v>2587</v>
      </c>
      <c r="E2182" s="14" t="s">
        <v>2590</v>
      </c>
    </row>
    <row r="2183">
      <c r="A2183" s="8" t="s">
        <v>6127</v>
      </c>
      <c r="B2183" s="8" t="s">
        <v>65</v>
      </c>
      <c r="C2183" s="14" t="s">
        <v>2033</v>
      </c>
      <c r="D2183" s="8" t="s">
        <v>6303</v>
      </c>
      <c r="E2183" s="14" t="s">
        <v>2557</v>
      </c>
    </row>
    <row r="2184">
      <c r="A2184" s="8" t="s">
        <v>6128</v>
      </c>
      <c r="B2184" s="8" t="s">
        <v>65</v>
      </c>
      <c r="C2184" s="14" t="s">
        <v>1352</v>
      </c>
      <c r="D2184" s="8" t="s">
        <v>2585</v>
      </c>
      <c r="E2184" s="14" t="s">
        <v>2553</v>
      </c>
    </row>
    <row r="2185">
      <c r="A2185" s="8" t="s">
        <v>6129</v>
      </c>
      <c r="B2185" s="8" t="s">
        <v>46</v>
      </c>
      <c r="C2185" s="14" t="s">
        <v>237</v>
      </c>
      <c r="D2185" s="8" t="s">
        <v>2582</v>
      </c>
      <c r="E2185" s="14" t="s">
        <v>2639</v>
      </c>
    </row>
    <row r="2186">
      <c r="A2186" s="8" t="s">
        <v>6130</v>
      </c>
      <c r="B2186" s="8" t="s">
        <v>70</v>
      </c>
      <c r="C2186" s="14" t="s">
        <v>1352</v>
      </c>
      <c r="D2186" s="8" t="s">
        <v>2560</v>
      </c>
      <c r="E2186" s="14" t="s">
        <v>2557</v>
      </c>
    </row>
    <row r="2187">
      <c r="A2187" s="8" t="s">
        <v>6131</v>
      </c>
      <c r="B2187" s="8" t="s">
        <v>149</v>
      </c>
      <c r="C2187" s="14" t="s">
        <v>1352</v>
      </c>
      <c r="D2187" s="8" t="s">
        <v>2572</v>
      </c>
      <c r="E2187" s="14" t="s">
        <v>2628</v>
      </c>
    </row>
    <row r="2188">
      <c r="A2188" s="8" t="s">
        <v>6132</v>
      </c>
      <c r="B2188" s="8" t="s">
        <v>38</v>
      </c>
      <c r="C2188" s="14" t="s">
        <v>459</v>
      </c>
      <c r="D2188" s="8" t="s">
        <v>2582</v>
      </c>
      <c r="E2188" s="14" t="s">
        <v>2599</v>
      </c>
    </row>
    <row r="2189">
      <c r="A2189" s="8" t="s">
        <v>6133</v>
      </c>
      <c r="B2189" s="8" t="s">
        <v>93</v>
      </c>
      <c r="C2189" s="14" t="s">
        <v>1070</v>
      </c>
      <c r="D2189" s="8" t="s">
        <v>2614</v>
      </c>
      <c r="E2189" s="14" t="s">
        <v>2579</v>
      </c>
    </row>
    <row r="2190">
      <c r="A2190" s="8" t="s">
        <v>6134</v>
      </c>
      <c r="B2190" s="8" t="s">
        <v>122</v>
      </c>
      <c r="C2190" s="14" t="s">
        <v>1352</v>
      </c>
      <c r="D2190" s="8" t="s">
        <v>2615</v>
      </c>
      <c r="E2190" s="14" t="s">
        <v>2622</v>
      </c>
    </row>
    <row r="2191">
      <c r="A2191" s="8" t="s">
        <v>6135</v>
      </c>
      <c r="B2191" s="8" t="s">
        <v>24</v>
      </c>
      <c r="C2191" s="14" t="s">
        <v>2033</v>
      </c>
      <c r="D2191" s="8" t="s">
        <v>2560</v>
      </c>
      <c r="E2191" s="14" t="s">
        <v>2557</v>
      </c>
    </row>
    <row r="2192">
      <c r="A2192" s="8" t="s">
        <v>6136</v>
      </c>
      <c r="B2192" s="8" t="s">
        <v>53</v>
      </c>
      <c r="C2192" s="14" t="s">
        <v>1679</v>
      </c>
      <c r="D2192" s="8" t="s">
        <v>2593</v>
      </c>
      <c r="E2192" s="14" t="s">
        <v>2583</v>
      </c>
    </row>
    <row r="2193">
      <c r="A2193" s="8" t="s">
        <v>6137</v>
      </c>
      <c r="B2193" s="8" t="s">
        <v>38</v>
      </c>
      <c r="C2193" s="14" t="s">
        <v>1679</v>
      </c>
      <c r="D2193" s="8" t="s">
        <v>2562</v>
      </c>
      <c r="E2193" s="14" t="s">
        <v>2583</v>
      </c>
    </row>
    <row r="2194">
      <c r="A2194" s="8" t="s">
        <v>6138</v>
      </c>
      <c r="B2194" s="8" t="s">
        <v>65</v>
      </c>
      <c r="C2194" s="14" t="s">
        <v>1070</v>
      </c>
      <c r="D2194" s="8" t="s">
        <v>2558</v>
      </c>
      <c r="E2194" s="14" t="s">
        <v>2622</v>
      </c>
    </row>
    <row r="2195">
      <c r="A2195" s="8" t="s">
        <v>6139</v>
      </c>
      <c r="B2195" s="8" t="s">
        <v>16</v>
      </c>
      <c r="C2195" s="14" t="s">
        <v>837</v>
      </c>
      <c r="D2195" s="8" t="s">
        <v>2560</v>
      </c>
      <c r="E2195" s="14" t="s">
        <v>2594</v>
      </c>
    </row>
    <row r="2196">
      <c r="A2196" s="8" t="s">
        <v>6140</v>
      </c>
      <c r="B2196" s="8" t="s">
        <v>93</v>
      </c>
      <c r="C2196" s="14" t="s">
        <v>1352</v>
      </c>
      <c r="D2196" s="8" t="s">
        <v>2572</v>
      </c>
      <c r="E2196" s="14" t="s">
        <v>2586</v>
      </c>
    </row>
    <row r="2197">
      <c r="A2197" s="8" t="s">
        <v>6141</v>
      </c>
      <c r="B2197" s="8" t="s">
        <v>24</v>
      </c>
      <c r="C2197" s="14" t="s">
        <v>837</v>
      </c>
      <c r="D2197" s="8" t="s">
        <v>2605</v>
      </c>
      <c r="E2197" s="14" t="s">
        <v>2604</v>
      </c>
    </row>
    <row r="2198">
      <c r="A2198" s="8" t="s">
        <v>6142</v>
      </c>
      <c r="B2198" s="8" t="s">
        <v>70</v>
      </c>
      <c r="C2198" s="14" t="s">
        <v>1679</v>
      </c>
      <c r="D2198" s="8" t="s">
        <v>2577</v>
      </c>
      <c r="E2198" s="14" t="s">
        <v>2583</v>
      </c>
    </row>
    <row r="2199">
      <c r="A2199" s="8" t="s">
        <v>6143</v>
      </c>
      <c r="B2199" s="8" t="s">
        <v>215</v>
      </c>
      <c r="C2199" s="14" t="s">
        <v>1070</v>
      </c>
      <c r="D2199" s="8" t="s">
        <v>2554</v>
      </c>
      <c r="E2199" s="14" t="s">
        <v>2604</v>
      </c>
    </row>
    <row r="2200">
      <c r="A2200" s="8" t="s">
        <v>6144</v>
      </c>
      <c r="B2200" s="8" t="s">
        <v>65</v>
      </c>
      <c r="C2200" s="14" t="s">
        <v>1352</v>
      </c>
      <c r="D2200" s="8" t="s">
        <v>2577</v>
      </c>
      <c r="E2200" s="14" t="s">
        <v>2609</v>
      </c>
    </row>
    <row r="2201">
      <c r="A2201" s="8" t="s">
        <v>6145</v>
      </c>
      <c r="B2201" s="8" t="s">
        <v>215</v>
      </c>
      <c r="C2201" s="14" t="s">
        <v>1679</v>
      </c>
      <c r="D2201" s="8" t="s">
        <v>2595</v>
      </c>
      <c r="E2201" s="14" t="s">
        <v>2602</v>
      </c>
    </row>
    <row r="2202">
      <c r="A2202" s="8" t="s">
        <v>6146</v>
      </c>
      <c r="B2202" s="8" t="s">
        <v>75</v>
      </c>
      <c r="C2202" s="14" t="s">
        <v>837</v>
      </c>
      <c r="D2202" s="8" t="s">
        <v>2610</v>
      </c>
      <c r="E2202" s="14" t="s">
        <v>2555</v>
      </c>
    </row>
    <row r="2203">
      <c r="A2203" s="8" t="s">
        <v>6147</v>
      </c>
      <c r="B2203" s="8" t="s">
        <v>192</v>
      </c>
      <c r="C2203" s="14" t="s">
        <v>2033</v>
      </c>
      <c r="D2203" s="8" t="s">
        <v>2620</v>
      </c>
      <c r="E2203" s="14" t="s">
        <v>2576</v>
      </c>
    </row>
    <row r="2204">
      <c r="A2204" s="8" t="s">
        <v>6148</v>
      </c>
      <c r="B2204" s="8" t="s">
        <v>149</v>
      </c>
      <c r="C2204" s="14" t="s">
        <v>2296</v>
      </c>
      <c r="D2204" s="8" t="s">
        <v>2572</v>
      </c>
      <c r="E2204" s="14" t="s">
        <v>2576</v>
      </c>
    </row>
    <row r="2205">
      <c r="A2205" s="8" t="s">
        <v>6149</v>
      </c>
      <c r="B2205" s="8" t="s">
        <v>65</v>
      </c>
      <c r="C2205" s="14" t="s">
        <v>2033</v>
      </c>
      <c r="D2205" s="8" t="s">
        <v>2582</v>
      </c>
      <c r="E2205" s="14" t="s">
        <v>2591</v>
      </c>
    </row>
    <row r="2206">
      <c r="A2206" s="8" t="s">
        <v>6150</v>
      </c>
      <c r="B2206" s="8" t="s">
        <v>122</v>
      </c>
      <c r="C2206" s="14" t="s">
        <v>1070</v>
      </c>
      <c r="D2206" s="8" t="s">
        <v>2564</v>
      </c>
      <c r="E2206" s="14" t="s">
        <v>2622</v>
      </c>
    </row>
    <row r="2207">
      <c r="A2207" s="8" t="s">
        <v>6151</v>
      </c>
      <c r="B2207" s="8" t="s">
        <v>80</v>
      </c>
      <c r="C2207" s="14" t="s">
        <v>1679</v>
      </c>
      <c r="D2207" s="8" t="s">
        <v>2582</v>
      </c>
      <c r="E2207" s="14" t="s">
        <v>2563</v>
      </c>
    </row>
    <row r="2208">
      <c r="A2208" s="8" t="s">
        <v>6152</v>
      </c>
      <c r="B2208" s="8" t="s">
        <v>24</v>
      </c>
      <c r="C2208" s="14" t="s">
        <v>1679</v>
      </c>
      <c r="D2208" s="8" t="s">
        <v>2620</v>
      </c>
      <c r="E2208" s="14" t="s">
        <v>2591</v>
      </c>
    </row>
    <row r="2209">
      <c r="A2209" s="8" t="s">
        <v>6153</v>
      </c>
      <c r="B2209" s="8" t="s">
        <v>93</v>
      </c>
      <c r="C2209" s="14" t="s">
        <v>631</v>
      </c>
      <c r="D2209" s="8" t="s">
        <v>2593</v>
      </c>
      <c r="E2209" s="14" t="s">
        <v>2573</v>
      </c>
    </row>
    <row r="2210">
      <c r="A2210" s="8" t="s">
        <v>6154</v>
      </c>
      <c r="B2210" s="8" t="s">
        <v>70</v>
      </c>
      <c r="C2210" s="14" t="s">
        <v>1352</v>
      </c>
      <c r="D2210" s="8" t="s">
        <v>2572</v>
      </c>
      <c r="E2210" s="14" t="s">
        <v>2594</v>
      </c>
    </row>
    <row r="2211">
      <c r="A2211" s="8" t="s">
        <v>6155</v>
      </c>
      <c r="B2211" s="8" t="s">
        <v>93</v>
      </c>
      <c r="C2211" s="14" t="s">
        <v>459</v>
      </c>
      <c r="D2211" s="8" t="s">
        <v>2560</v>
      </c>
      <c r="E2211" s="14" t="s">
        <v>2599</v>
      </c>
    </row>
    <row r="2212">
      <c r="A2212" s="8" t="s">
        <v>6156</v>
      </c>
      <c r="B2212" s="8" t="s">
        <v>122</v>
      </c>
      <c r="C2212" s="14" t="s">
        <v>2459</v>
      </c>
      <c r="D2212" s="8" t="s">
        <v>2614</v>
      </c>
      <c r="E2212" s="14" t="s">
        <v>2565</v>
      </c>
    </row>
    <row r="2213">
      <c r="A2213" s="8" t="s">
        <v>6157</v>
      </c>
      <c r="B2213" s="8" t="s">
        <v>70</v>
      </c>
      <c r="C2213" s="14" t="s">
        <v>2459</v>
      </c>
      <c r="D2213" s="8" t="s">
        <v>2554</v>
      </c>
      <c r="E2213" s="14" t="s">
        <v>2563</v>
      </c>
    </row>
    <row r="2214">
      <c r="A2214" s="8" t="s">
        <v>6158</v>
      </c>
      <c r="B2214" s="8" t="s">
        <v>38</v>
      </c>
      <c r="C2214" s="14" t="s">
        <v>1070</v>
      </c>
      <c r="D2214" s="8" t="s">
        <v>2572</v>
      </c>
      <c r="E2214" s="14" t="s">
        <v>2583</v>
      </c>
    </row>
    <row r="2215">
      <c r="A2215" s="8" t="s">
        <v>6159</v>
      </c>
      <c r="B2215" s="8" t="s">
        <v>70</v>
      </c>
      <c r="C2215" s="14" t="s">
        <v>1070</v>
      </c>
      <c r="D2215" s="8" t="s">
        <v>2560</v>
      </c>
      <c r="E2215" s="14" t="s">
        <v>2553</v>
      </c>
    </row>
    <row r="2216">
      <c r="A2216" s="8" t="s">
        <v>6160</v>
      </c>
      <c r="B2216" s="8" t="s">
        <v>149</v>
      </c>
      <c r="C2216" s="14" t="s">
        <v>135</v>
      </c>
      <c r="D2216" s="8" t="s">
        <v>2587</v>
      </c>
      <c r="E2216" s="14" t="s">
        <v>2573</v>
      </c>
    </row>
    <row r="2217">
      <c r="A2217" s="8" t="s">
        <v>6161</v>
      </c>
      <c r="B2217" s="8" t="s">
        <v>46</v>
      </c>
      <c r="C2217" s="14" t="s">
        <v>837</v>
      </c>
      <c r="D2217" s="8" t="s">
        <v>2598</v>
      </c>
      <c r="E2217" s="14" t="s">
        <v>2583</v>
      </c>
    </row>
    <row r="2218">
      <c r="A2218" s="8" t="s">
        <v>6162</v>
      </c>
      <c r="B2218" s="8" t="s">
        <v>186</v>
      </c>
      <c r="C2218" s="14" t="s">
        <v>2033</v>
      </c>
      <c r="D2218" s="8" t="s">
        <v>2558</v>
      </c>
      <c r="E2218" s="14" t="s">
        <v>2555</v>
      </c>
    </row>
    <row r="2219">
      <c r="A2219" s="8" t="s">
        <v>6163</v>
      </c>
      <c r="B2219" s="8" t="s">
        <v>122</v>
      </c>
      <c r="C2219" s="14" t="s">
        <v>1070</v>
      </c>
      <c r="D2219" s="8" t="s">
        <v>2598</v>
      </c>
      <c r="E2219" s="14" t="s">
        <v>2601</v>
      </c>
    </row>
    <row r="2220">
      <c r="A2220" s="8" t="s">
        <v>6164</v>
      </c>
      <c r="B2220" s="8" t="s">
        <v>65</v>
      </c>
      <c r="C2220" s="14" t="s">
        <v>1679</v>
      </c>
      <c r="D2220" s="8" t="s">
        <v>2610</v>
      </c>
      <c r="E2220" s="14" t="s">
        <v>2578</v>
      </c>
    </row>
    <row r="2221">
      <c r="A2221" s="8" t="s">
        <v>6165</v>
      </c>
      <c r="B2221" s="8" t="s">
        <v>16</v>
      </c>
      <c r="C2221" s="14" t="s">
        <v>837</v>
      </c>
      <c r="D2221" s="8" t="s">
        <v>2605</v>
      </c>
      <c r="E2221" s="14" t="s">
        <v>13</v>
      </c>
    </row>
    <row r="2222">
      <c r="A2222" s="8" t="s">
        <v>6166</v>
      </c>
      <c r="B2222" s="8" t="s">
        <v>132</v>
      </c>
      <c r="C2222" s="14" t="s">
        <v>1070</v>
      </c>
      <c r="D2222" s="8" t="s">
        <v>2582</v>
      </c>
      <c r="E2222" s="14" t="s">
        <v>2569</v>
      </c>
    </row>
    <row r="2223">
      <c r="A2223" s="8" t="s">
        <v>6167</v>
      </c>
      <c r="B2223" s="8" t="s">
        <v>24</v>
      </c>
      <c r="C2223" s="14" t="s">
        <v>1679</v>
      </c>
      <c r="D2223" s="8" t="s">
        <v>2552</v>
      </c>
      <c r="E2223" s="14" t="s">
        <v>2622</v>
      </c>
    </row>
    <row r="2224">
      <c r="A2224" s="8" t="s">
        <v>6168</v>
      </c>
      <c r="B2224" s="8" t="s">
        <v>24</v>
      </c>
      <c r="C2224" s="14" t="s">
        <v>631</v>
      </c>
      <c r="D2224" s="8" t="s">
        <v>2610</v>
      </c>
      <c r="E2224" s="14" t="s">
        <v>2613</v>
      </c>
    </row>
    <row r="2225">
      <c r="A2225" s="8" t="s">
        <v>6169</v>
      </c>
      <c r="B2225" s="8" t="s">
        <v>70</v>
      </c>
      <c r="C2225" s="14" t="s">
        <v>1352</v>
      </c>
      <c r="D2225" s="8" t="s">
        <v>2575</v>
      </c>
      <c r="E2225" s="14" t="s">
        <v>2583</v>
      </c>
    </row>
    <row r="2226">
      <c r="A2226" s="8" t="s">
        <v>6170</v>
      </c>
      <c r="B2226" s="8" t="s">
        <v>24</v>
      </c>
      <c r="C2226" s="14" t="s">
        <v>1070</v>
      </c>
      <c r="D2226" s="8" t="s">
        <v>2593</v>
      </c>
      <c r="E2226" s="14" t="s">
        <v>2608</v>
      </c>
    </row>
    <row r="2227">
      <c r="A2227" s="8" t="s">
        <v>6171</v>
      </c>
      <c r="B2227" s="8" t="s">
        <v>24</v>
      </c>
      <c r="C2227" s="14" t="s">
        <v>1070</v>
      </c>
      <c r="D2227" s="8" t="s">
        <v>2587</v>
      </c>
      <c r="E2227" s="14" t="s">
        <v>2586</v>
      </c>
    </row>
    <row r="2228">
      <c r="A2228" s="8" t="s">
        <v>6172</v>
      </c>
      <c r="B2228" s="8" t="s">
        <v>122</v>
      </c>
      <c r="C2228" s="14" t="s">
        <v>1679</v>
      </c>
      <c r="D2228" s="8" t="s">
        <v>2558</v>
      </c>
      <c r="E2228" s="14" t="s">
        <v>2591</v>
      </c>
    </row>
    <row r="2229">
      <c r="A2229" s="8" t="s">
        <v>6173</v>
      </c>
      <c r="B2229" s="8" t="s">
        <v>141</v>
      </c>
      <c r="C2229" s="14" t="s">
        <v>631</v>
      </c>
      <c r="D2229" s="8" t="s">
        <v>2574</v>
      </c>
      <c r="E2229" s="14" t="s">
        <v>2583</v>
      </c>
    </row>
    <row r="2230">
      <c r="A2230" s="8" t="s">
        <v>6174</v>
      </c>
      <c r="B2230" s="8" t="s">
        <v>65</v>
      </c>
      <c r="C2230" s="14" t="s">
        <v>1070</v>
      </c>
      <c r="D2230" s="8" t="s">
        <v>2603</v>
      </c>
      <c r="E2230" s="14" t="s">
        <v>2604</v>
      </c>
    </row>
    <row r="2231">
      <c r="A2231" s="8" t="s">
        <v>6175</v>
      </c>
      <c r="B2231" s="8" t="s">
        <v>46</v>
      </c>
      <c r="C2231" s="14" t="s">
        <v>1070</v>
      </c>
      <c r="D2231" s="8" t="s">
        <v>2621</v>
      </c>
      <c r="E2231" s="14" t="s">
        <v>2576</v>
      </c>
    </row>
    <row r="2232">
      <c r="A2232" s="8" t="s">
        <v>6176</v>
      </c>
      <c r="B2232" s="8" t="s">
        <v>186</v>
      </c>
      <c r="C2232" s="14" t="s">
        <v>1070</v>
      </c>
      <c r="D2232" s="8" t="s">
        <v>2577</v>
      </c>
      <c r="E2232" s="14" t="s">
        <v>2583</v>
      </c>
    </row>
    <row r="2233">
      <c r="A2233" s="8" t="s">
        <v>6177</v>
      </c>
      <c r="B2233" s="8" t="s">
        <v>24</v>
      </c>
      <c r="C2233" s="14" t="s">
        <v>837</v>
      </c>
      <c r="D2233" s="8" t="s">
        <v>2603</v>
      </c>
      <c r="E2233" s="14" t="s">
        <v>2638</v>
      </c>
    </row>
    <row r="2234">
      <c r="A2234" s="8" t="s">
        <v>6178</v>
      </c>
      <c r="B2234" s="8" t="s">
        <v>141</v>
      </c>
      <c r="C2234" s="14" t="s">
        <v>631</v>
      </c>
      <c r="D2234" s="8" t="s">
        <v>2584</v>
      </c>
      <c r="E2234" s="14" t="s">
        <v>2609</v>
      </c>
    </row>
    <row r="2235">
      <c r="A2235" s="8" t="s">
        <v>6179</v>
      </c>
      <c r="B2235" s="8" t="s">
        <v>215</v>
      </c>
      <c r="C2235" s="14" t="s">
        <v>1679</v>
      </c>
      <c r="D2235" s="8" t="s">
        <v>2567</v>
      </c>
      <c r="E2235" s="14" t="s">
        <v>2565</v>
      </c>
    </row>
    <row r="2236">
      <c r="A2236" s="8" t="s">
        <v>6180</v>
      </c>
      <c r="B2236" s="8" t="s">
        <v>192</v>
      </c>
      <c r="C2236" s="14" t="s">
        <v>837</v>
      </c>
      <c r="D2236" s="8" t="s">
        <v>2183</v>
      </c>
      <c r="E2236" s="14" t="s">
        <v>2604</v>
      </c>
    </row>
    <row r="2237">
      <c r="A2237" s="8" t="s">
        <v>6181</v>
      </c>
      <c r="B2237" s="8" t="s">
        <v>65</v>
      </c>
      <c r="C2237" s="14" t="s">
        <v>1679</v>
      </c>
      <c r="D2237" s="8" t="s">
        <v>2584</v>
      </c>
      <c r="E2237" s="14" t="s">
        <v>2555</v>
      </c>
    </row>
    <row r="2238">
      <c r="A2238" s="8" t="s">
        <v>6182</v>
      </c>
      <c r="B2238" s="8" t="s">
        <v>16</v>
      </c>
      <c r="C2238" s="14" t="s">
        <v>2459</v>
      </c>
      <c r="D2238" s="8" t="s">
        <v>2587</v>
      </c>
      <c r="E2238" s="14" t="s">
        <v>2583</v>
      </c>
    </row>
    <row r="2239">
      <c r="A2239" s="8" t="s">
        <v>6183</v>
      </c>
      <c r="B2239" s="8" t="s">
        <v>192</v>
      </c>
      <c r="C2239" s="14" t="s">
        <v>1352</v>
      </c>
      <c r="D2239" s="8" t="s">
        <v>2585</v>
      </c>
      <c r="E2239" s="14" t="s">
        <v>2594</v>
      </c>
    </row>
    <row r="2240">
      <c r="A2240" s="8" t="s">
        <v>6184</v>
      </c>
      <c r="B2240" s="8" t="s">
        <v>46</v>
      </c>
      <c r="C2240" s="14" t="s">
        <v>837</v>
      </c>
      <c r="D2240" s="8" t="s">
        <v>2564</v>
      </c>
      <c r="E2240" s="14" t="s">
        <v>2580</v>
      </c>
    </row>
    <row r="2241">
      <c r="A2241" s="8" t="s">
        <v>6185</v>
      </c>
      <c r="B2241" s="8" t="s">
        <v>65</v>
      </c>
      <c r="C2241" s="14" t="s">
        <v>1352</v>
      </c>
      <c r="D2241" s="8" t="s">
        <v>2183</v>
      </c>
      <c r="E2241" s="14" t="s">
        <v>2636</v>
      </c>
    </row>
    <row r="2242">
      <c r="A2242" s="8" t="s">
        <v>6186</v>
      </c>
      <c r="B2242" s="8" t="s">
        <v>186</v>
      </c>
      <c r="C2242" s="14" t="s">
        <v>837</v>
      </c>
      <c r="D2242" s="8" t="s">
        <v>2562</v>
      </c>
      <c r="E2242" s="14" t="s">
        <v>2570</v>
      </c>
    </row>
    <row r="2243">
      <c r="A2243" s="8" t="s">
        <v>6187</v>
      </c>
      <c r="B2243" s="8" t="s">
        <v>46</v>
      </c>
      <c r="C2243" s="14" t="s">
        <v>2033</v>
      </c>
      <c r="D2243" s="8" t="s">
        <v>2554</v>
      </c>
      <c r="E2243" s="14" t="s">
        <v>2563</v>
      </c>
    </row>
    <row r="2244">
      <c r="A2244" s="8" t="s">
        <v>6188</v>
      </c>
      <c r="B2244" s="8" t="s">
        <v>65</v>
      </c>
      <c r="C2244" s="14" t="s">
        <v>837</v>
      </c>
      <c r="D2244" s="8" t="s">
        <v>6304</v>
      </c>
      <c r="E2244" s="14" t="s">
        <v>2578</v>
      </c>
    </row>
    <row r="2245">
      <c r="A2245" s="8" t="s">
        <v>6189</v>
      </c>
      <c r="B2245" s="8" t="s">
        <v>16</v>
      </c>
      <c r="C2245" s="14" t="s">
        <v>338</v>
      </c>
      <c r="D2245" s="8" t="s">
        <v>2572</v>
      </c>
      <c r="E2245" s="14" t="s">
        <v>2573</v>
      </c>
    </row>
    <row r="2246">
      <c r="A2246" s="8" t="s">
        <v>6190</v>
      </c>
      <c r="B2246" s="8" t="s">
        <v>46</v>
      </c>
      <c r="C2246" s="14" t="s">
        <v>631</v>
      </c>
      <c r="D2246" s="8" t="s">
        <v>2614</v>
      </c>
      <c r="E2246" s="14" t="s">
        <v>2636</v>
      </c>
    </row>
    <row r="2247">
      <c r="A2247" s="8" t="s">
        <v>6191</v>
      </c>
      <c r="B2247" s="8" t="s">
        <v>215</v>
      </c>
      <c r="C2247" s="14" t="s">
        <v>459</v>
      </c>
      <c r="D2247" s="8" t="s">
        <v>2614</v>
      </c>
      <c r="E2247" s="14" t="s">
        <v>2608</v>
      </c>
    </row>
    <row r="2248">
      <c r="A2248" s="8" t="s">
        <v>6192</v>
      </c>
      <c r="B2248" s="8" t="s">
        <v>53</v>
      </c>
      <c r="C2248" s="14" t="s">
        <v>1352</v>
      </c>
      <c r="D2248" s="8" t="s">
        <v>2581</v>
      </c>
      <c r="E2248" s="14" t="s">
        <v>2579</v>
      </c>
    </row>
    <row r="2249">
      <c r="A2249" s="8" t="s">
        <v>6193</v>
      </c>
      <c r="B2249" s="8" t="s">
        <v>24</v>
      </c>
      <c r="C2249" s="14" t="s">
        <v>1679</v>
      </c>
      <c r="D2249" s="8" t="s">
        <v>2603</v>
      </c>
      <c r="E2249" s="14" t="s">
        <v>2563</v>
      </c>
    </row>
    <row r="2250">
      <c r="A2250" s="8" t="s">
        <v>6194</v>
      </c>
      <c r="B2250" s="8" t="s">
        <v>138</v>
      </c>
      <c r="C2250" s="14" t="s">
        <v>189</v>
      </c>
      <c r="D2250" s="8" t="s">
        <v>2577</v>
      </c>
      <c r="E2250" s="14" t="s">
        <v>2565</v>
      </c>
    </row>
    <row r="2251">
      <c r="A2251" s="8" t="s">
        <v>6195</v>
      </c>
      <c r="B2251" s="8" t="s">
        <v>149</v>
      </c>
      <c r="C2251" s="14" t="s">
        <v>2033</v>
      </c>
      <c r="D2251" s="8" t="s">
        <v>2562</v>
      </c>
      <c r="E2251" s="14" t="s">
        <v>2568</v>
      </c>
    </row>
    <row r="2252">
      <c r="A2252" s="8" t="s">
        <v>6196</v>
      </c>
      <c r="B2252" s="8" t="s">
        <v>53</v>
      </c>
      <c r="C2252" s="14" t="s">
        <v>1679</v>
      </c>
      <c r="D2252" s="8" t="s">
        <v>2575</v>
      </c>
      <c r="E2252" s="14" t="s">
        <v>2565</v>
      </c>
    </row>
    <row r="2253">
      <c r="A2253" s="8" t="s">
        <v>6197</v>
      </c>
      <c r="B2253" s="8" t="s">
        <v>53</v>
      </c>
      <c r="C2253" s="14" t="s">
        <v>2296</v>
      </c>
      <c r="D2253" s="8" t="s">
        <v>2572</v>
      </c>
      <c r="E2253" s="14" t="s">
        <v>2586</v>
      </c>
    </row>
    <row r="2254">
      <c r="A2254" s="8" t="s">
        <v>6198</v>
      </c>
      <c r="B2254" s="8" t="s">
        <v>59</v>
      </c>
      <c r="C2254" s="14" t="s">
        <v>1070</v>
      </c>
      <c r="D2254" s="8" t="s">
        <v>2600</v>
      </c>
      <c r="E2254" s="14" t="s">
        <v>2568</v>
      </c>
    </row>
    <row r="2255">
      <c r="A2255" s="8" t="s">
        <v>6199</v>
      </c>
      <c r="B2255" s="8" t="s">
        <v>80</v>
      </c>
      <c r="C2255" s="14" t="s">
        <v>2296</v>
      </c>
      <c r="D2255" s="8" t="s">
        <v>2603</v>
      </c>
      <c r="E2255" s="14" t="s">
        <v>2568</v>
      </c>
    </row>
    <row r="2256">
      <c r="A2256" s="8" t="s">
        <v>6200</v>
      </c>
      <c r="B2256" s="8" t="s">
        <v>149</v>
      </c>
      <c r="C2256" s="14" t="s">
        <v>837</v>
      </c>
      <c r="D2256" s="8" t="s">
        <v>2595</v>
      </c>
      <c r="E2256" s="14" t="s">
        <v>2569</v>
      </c>
    </row>
    <row r="2257">
      <c r="A2257" s="8" t="s">
        <v>6201</v>
      </c>
      <c r="B2257" s="8" t="s">
        <v>186</v>
      </c>
      <c r="C2257" s="14" t="s">
        <v>2296</v>
      </c>
      <c r="D2257" s="8" t="s">
        <v>2577</v>
      </c>
      <c r="E2257" s="14" t="s">
        <v>2576</v>
      </c>
    </row>
    <row r="2258">
      <c r="A2258" s="8" t="s">
        <v>6202</v>
      </c>
      <c r="B2258" s="8" t="s">
        <v>24</v>
      </c>
      <c r="C2258" s="14" t="s">
        <v>459</v>
      </c>
      <c r="D2258" s="8" t="s">
        <v>2577</v>
      </c>
      <c r="E2258" s="14" t="s">
        <v>2578</v>
      </c>
    </row>
    <row r="2259">
      <c r="A2259" s="8" t="s">
        <v>6203</v>
      </c>
      <c r="B2259" s="8" t="s">
        <v>138</v>
      </c>
      <c r="C2259" s="14" t="s">
        <v>1352</v>
      </c>
      <c r="D2259" s="8" t="s">
        <v>2574</v>
      </c>
      <c r="E2259" s="14" t="s">
        <v>2557</v>
      </c>
    </row>
    <row r="2260">
      <c r="A2260" s="8" t="s">
        <v>6204</v>
      </c>
      <c r="B2260" s="8" t="s">
        <v>24</v>
      </c>
      <c r="C2260" s="14" t="s">
        <v>83</v>
      </c>
      <c r="D2260" s="8" t="s">
        <v>2582</v>
      </c>
      <c r="E2260" s="14" t="s">
        <v>2599</v>
      </c>
    </row>
    <row r="2261">
      <c r="A2261" s="8" t="s">
        <v>6205</v>
      </c>
      <c r="B2261" s="8" t="s">
        <v>93</v>
      </c>
      <c r="C2261" s="14" t="s">
        <v>1679</v>
      </c>
      <c r="D2261" s="8" t="s">
        <v>2592</v>
      </c>
      <c r="E2261" s="14" t="s">
        <v>2553</v>
      </c>
    </row>
    <row r="2262">
      <c r="A2262" s="8" t="s">
        <v>6206</v>
      </c>
      <c r="B2262" s="8" t="s">
        <v>138</v>
      </c>
      <c r="C2262" s="14" t="s">
        <v>837</v>
      </c>
      <c r="D2262" s="8" t="s">
        <v>2598</v>
      </c>
      <c r="E2262" s="14" t="s">
        <v>2601</v>
      </c>
    </row>
    <row r="2263">
      <c r="A2263" s="8" t="s">
        <v>6207</v>
      </c>
      <c r="B2263" s="8" t="s">
        <v>65</v>
      </c>
      <c r="C2263" s="14" t="s">
        <v>1679</v>
      </c>
      <c r="D2263" s="8" t="s">
        <v>2587</v>
      </c>
      <c r="E2263" s="14" t="s">
        <v>2555</v>
      </c>
    </row>
    <row r="2264">
      <c r="A2264" s="8" t="s">
        <v>6208</v>
      </c>
      <c r="B2264" s="8" t="s">
        <v>46</v>
      </c>
      <c r="C2264" s="14" t="s">
        <v>1352</v>
      </c>
      <c r="D2264" s="8" t="s">
        <v>2566</v>
      </c>
      <c r="E2264" s="14" t="s">
        <v>2569</v>
      </c>
    </row>
    <row r="2265">
      <c r="A2265" s="8" t="s">
        <v>6209</v>
      </c>
      <c r="B2265" s="8" t="s">
        <v>53</v>
      </c>
      <c r="C2265" s="14" t="s">
        <v>1070</v>
      </c>
      <c r="D2265" s="8" t="s">
        <v>2595</v>
      </c>
      <c r="E2265" s="14" t="s">
        <v>2622</v>
      </c>
    </row>
    <row r="2266">
      <c r="A2266" s="8" t="s">
        <v>6210</v>
      </c>
      <c r="B2266" s="8" t="s">
        <v>24</v>
      </c>
      <c r="C2266" s="14" t="s">
        <v>631</v>
      </c>
      <c r="D2266" s="8" t="s">
        <v>2572</v>
      </c>
      <c r="E2266" s="14" t="s">
        <v>2591</v>
      </c>
    </row>
    <row r="2267">
      <c r="A2267" s="8" t="s">
        <v>6211</v>
      </c>
      <c r="B2267" s="8" t="s">
        <v>186</v>
      </c>
      <c r="C2267" s="14" t="s">
        <v>459</v>
      </c>
      <c r="D2267" s="8" t="s">
        <v>2577</v>
      </c>
      <c r="E2267" s="14" t="s">
        <v>2571</v>
      </c>
    </row>
    <row r="2268">
      <c r="A2268" s="8" t="s">
        <v>6212</v>
      </c>
      <c r="B2268" s="8" t="s">
        <v>122</v>
      </c>
      <c r="C2268" s="14" t="s">
        <v>1352</v>
      </c>
      <c r="D2268" s="8" t="s">
        <v>2581</v>
      </c>
      <c r="E2268" s="14" t="s">
        <v>2573</v>
      </c>
    </row>
    <row r="2269">
      <c r="A2269" s="8" t="s">
        <v>6213</v>
      </c>
      <c r="B2269" s="8" t="s">
        <v>138</v>
      </c>
      <c r="C2269" s="14" t="s">
        <v>1352</v>
      </c>
      <c r="D2269" s="8" t="s">
        <v>6303</v>
      </c>
      <c r="E2269" s="14" t="s">
        <v>2579</v>
      </c>
    </row>
    <row r="2270">
      <c r="A2270" s="8" t="s">
        <v>6214</v>
      </c>
      <c r="B2270" s="8" t="s">
        <v>138</v>
      </c>
      <c r="C2270" s="14" t="s">
        <v>237</v>
      </c>
      <c r="D2270" s="8" t="s">
        <v>2564</v>
      </c>
      <c r="E2270" s="14" t="s">
        <v>2601</v>
      </c>
    </row>
    <row r="2271">
      <c r="A2271" s="8" t="s">
        <v>6215</v>
      </c>
      <c r="B2271" s="8" t="s">
        <v>24</v>
      </c>
      <c r="C2271" s="14" t="s">
        <v>237</v>
      </c>
      <c r="D2271" s="8" t="s">
        <v>2572</v>
      </c>
      <c r="E2271" s="14" t="s">
        <v>2571</v>
      </c>
    </row>
    <row r="2272">
      <c r="A2272" s="8" t="s">
        <v>6216</v>
      </c>
      <c r="B2272" s="8" t="s">
        <v>122</v>
      </c>
      <c r="C2272" s="14" t="s">
        <v>1679</v>
      </c>
      <c r="D2272" s="8" t="s">
        <v>2592</v>
      </c>
      <c r="E2272" s="14" t="s">
        <v>2607</v>
      </c>
    </row>
    <row r="2273">
      <c r="A2273" s="8" t="s">
        <v>6217</v>
      </c>
      <c r="B2273" s="8" t="s">
        <v>141</v>
      </c>
      <c r="C2273" s="14" t="s">
        <v>2033</v>
      </c>
      <c r="D2273" s="8" t="s">
        <v>2593</v>
      </c>
      <c r="E2273" s="14" t="s">
        <v>2628</v>
      </c>
    </row>
    <row r="2274">
      <c r="A2274" s="8" t="s">
        <v>6218</v>
      </c>
      <c r="B2274" s="8" t="s">
        <v>75</v>
      </c>
      <c r="C2274" s="14" t="s">
        <v>237</v>
      </c>
      <c r="D2274" s="8" t="s">
        <v>2587</v>
      </c>
      <c r="E2274" s="14" t="s">
        <v>2583</v>
      </c>
    </row>
    <row r="2275">
      <c r="A2275" s="8" t="s">
        <v>6219</v>
      </c>
      <c r="B2275" s="8" t="s">
        <v>53</v>
      </c>
      <c r="C2275" s="14" t="s">
        <v>338</v>
      </c>
      <c r="D2275" s="8" t="s">
        <v>2620</v>
      </c>
      <c r="E2275" s="14" t="s">
        <v>2619</v>
      </c>
    </row>
    <row r="2276">
      <c r="A2276" s="8" t="s">
        <v>6220</v>
      </c>
      <c r="B2276" s="8" t="s">
        <v>192</v>
      </c>
      <c r="C2276" s="14" t="s">
        <v>1679</v>
      </c>
      <c r="D2276" s="8" t="s">
        <v>2595</v>
      </c>
      <c r="E2276" s="14" t="s">
        <v>2571</v>
      </c>
    </row>
    <row r="2277">
      <c r="A2277" s="8" t="s">
        <v>6221</v>
      </c>
      <c r="B2277" s="8" t="s">
        <v>59</v>
      </c>
      <c r="C2277" s="14" t="s">
        <v>1070</v>
      </c>
      <c r="D2277" s="8" t="s">
        <v>6303</v>
      </c>
      <c r="E2277" s="14" t="s">
        <v>2618</v>
      </c>
    </row>
    <row r="2278">
      <c r="A2278" s="8" t="s">
        <v>6222</v>
      </c>
      <c r="B2278" s="8" t="s">
        <v>59</v>
      </c>
      <c r="C2278" s="14" t="s">
        <v>631</v>
      </c>
      <c r="D2278" s="8" t="s">
        <v>6304</v>
      </c>
      <c r="E2278" s="14" t="s">
        <v>2571</v>
      </c>
    </row>
    <row r="2279">
      <c r="A2279" s="8" t="s">
        <v>6223</v>
      </c>
      <c r="B2279" s="8" t="s">
        <v>186</v>
      </c>
      <c r="C2279" s="14" t="s">
        <v>2459</v>
      </c>
      <c r="D2279" s="8" t="s">
        <v>2587</v>
      </c>
      <c r="E2279" s="14" t="s">
        <v>2583</v>
      </c>
    </row>
    <row r="2280">
      <c r="A2280" s="8" t="s">
        <v>6224</v>
      </c>
      <c r="B2280" s="8" t="s">
        <v>65</v>
      </c>
      <c r="C2280" s="14" t="s">
        <v>2033</v>
      </c>
      <c r="D2280" s="8" t="s">
        <v>2562</v>
      </c>
      <c r="E2280" s="14" t="s">
        <v>2576</v>
      </c>
    </row>
    <row r="2281">
      <c r="A2281" s="8" t="s">
        <v>6225</v>
      </c>
      <c r="B2281" s="8" t="s">
        <v>80</v>
      </c>
      <c r="C2281" s="14" t="s">
        <v>631</v>
      </c>
      <c r="D2281" s="8" t="s">
        <v>2581</v>
      </c>
      <c r="E2281" s="14" t="s">
        <v>2563</v>
      </c>
    </row>
    <row r="2282">
      <c r="A2282" s="8" t="s">
        <v>6226</v>
      </c>
      <c r="B2282" s="8" t="s">
        <v>70</v>
      </c>
      <c r="C2282" s="14" t="s">
        <v>1679</v>
      </c>
      <c r="D2282" s="8" t="s">
        <v>2566</v>
      </c>
      <c r="E2282" s="14" t="s">
        <v>2553</v>
      </c>
    </row>
    <row r="2283">
      <c r="A2283" s="8" t="s">
        <v>6227</v>
      </c>
      <c r="B2283" s="8" t="s">
        <v>70</v>
      </c>
      <c r="C2283" s="14" t="s">
        <v>1352</v>
      </c>
      <c r="D2283" s="8" t="s">
        <v>2564</v>
      </c>
      <c r="E2283" s="14" t="s">
        <v>2565</v>
      </c>
    </row>
    <row r="2284">
      <c r="A2284" s="8" t="s">
        <v>6228</v>
      </c>
      <c r="B2284" s="8" t="s">
        <v>138</v>
      </c>
      <c r="C2284" s="14" t="s">
        <v>459</v>
      </c>
      <c r="D2284" s="8" t="s">
        <v>2595</v>
      </c>
      <c r="E2284" s="14" t="s">
        <v>2591</v>
      </c>
    </row>
    <row r="2285">
      <c r="A2285" s="8" t="s">
        <v>6229</v>
      </c>
      <c r="B2285" s="8" t="s">
        <v>75</v>
      </c>
      <c r="C2285" s="14" t="s">
        <v>2033</v>
      </c>
      <c r="D2285" s="8" t="s">
        <v>2582</v>
      </c>
      <c r="E2285" s="14" t="s">
        <v>2555</v>
      </c>
    </row>
    <row r="2286">
      <c r="A2286" s="8" t="s">
        <v>6230</v>
      </c>
      <c r="B2286" s="8" t="s">
        <v>75</v>
      </c>
      <c r="C2286" s="14" t="s">
        <v>1352</v>
      </c>
      <c r="D2286" s="8" t="s">
        <v>2598</v>
      </c>
      <c r="E2286" s="14" t="s">
        <v>2563</v>
      </c>
    </row>
    <row r="2287">
      <c r="A2287" s="8" t="s">
        <v>6231</v>
      </c>
      <c r="B2287" s="8" t="s">
        <v>186</v>
      </c>
      <c r="C2287" s="14" t="s">
        <v>135</v>
      </c>
      <c r="D2287" s="8" t="s">
        <v>2621</v>
      </c>
      <c r="E2287" s="14" t="s">
        <v>2608</v>
      </c>
    </row>
    <row r="2288">
      <c r="A2288" s="8" t="s">
        <v>6232</v>
      </c>
      <c r="B2288" s="8" t="s">
        <v>141</v>
      </c>
      <c r="C2288" s="14" t="s">
        <v>631</v>
      </c>
      <c r="D2288" s="8" t="s">
        <v>2585</v>
      </c>
      <c r="E2288" s="14" t="s">
        <v>2591</v>
      </c>
    </row>
    <row r="2289">
      <c r="A2289" s="8" t="s">
        <v>6233</v>
      </c>
      <c r="B2289" s="8" t="s">
        <v>53</v>
      </c>
      <c r="C2289" s="14" t="s">
        <v>459</v>
      </c>
      <c r="D2289" s="8" t="s">
        <v>2562</v>
      </c>
      <c r="E2289" s="14" t="s">
        <v>2578</v>
      </c>
    </row>
    <row r="2290">
      <c r="A2290" s="8" t="s">
        <v>6234</v>
      </c>
      <c r="B2290" s="8" t="s">
        <v>12</v>
      </c>
      <c r="C2290" s="14" t="s">
        <v>1352</v>
      </c>
      <c r="D2290" s="8" t="s">
        <v>2595</v>
      </c>
      <c r="E2290" s="14" t="s">
        <v>2590</v>
      </c>
    </row>
    <row r="2291">
      <c r="A2291" s="8" t="s">
        <v>6235</v>
      </c>
      <c r="B2291" s="8" t="s">
        <v>75</v>
      </c>
      <c r="C2291" s="14" t="s">
        <v>2296</v>
      </c>
      <c r="D2291" s="8" t="s">
        <v>2595</v>
      </c>
      <c r="E2291" s="14" t="s">
        <v>2609</v>
      </c>
    </row>
    <row r="2292">
      <c r="A2292" s="8" t="s">
        <v>6237</v>
      </c>
      <c r="B2292" s="8" t="s">
        <v>24</v>
      </c>
      <c r="C2292" s="14" t="s">
        <v>2033</v>
      </c>
      <c r="D2292" s="8" t="s">
        <v>2603</v>
      </c>
      <c r="E2292" s="14" t="s">
        <v>2602</v>
      </c>
    </row>
    <row r="2293">
      <c r="A2293" s="8" t="s">
        <v>6238</v>
      </c>
      <c r="B2293" s="8" t="s">
        <v>65</v>
      </c>
      <c r="C2293" s="14" t="s">
        <v>1352</v>
      </c>
      <c r="D2293" s="8" t="s">
        <v>2562</v>
      </c>
      <c r="E2293" s="14" t="s">
        <v>2588</v>
      </c>
    </row>
    <row r="2294">
      <c r="A2294" s="8" t="s">
        <v>6239</v>
      </c>
      <c r="B2294" s="8" t="s">
        <v>16</v>
      </c>
      <c r="C2294" s="14" t="s">
        <v>1679</v>
      </c>
      <c r="D2294" s="8" t="s">
        <v>2574</v>
      </c>
      <c r="E2294" s="14" t="s">
        <v>2563</v>
      </c>
    </row>
    <row r="2295">
      <c r="A2295" s="8" t="s">
        <v>6240</v>
      </c>
      <c r="B2295" s="8" t="s">
        <v>80</v>
      </c>
      <c r="C2295" s="14" t="s">
        <v>2033</v>
      </c>
      <c r="D2295" s="8" t="s">
        <v>2554</v>
      </c>
      <c r="E2295" s="14" t="s">
        <v>2568</v>
      </c>
    </row>
    <row r="2296">
      <c r="A2296" s="8" t="s">
        <v>6241</v>
      </c>
      <c r="B2296" s="8" t="s">
        <v>75</v>
      </c>
      <c r="C2296" s="14" t="s">
        <v>2033</v>
      </c>
      <c r="D2296" s="8" t="s">
        <v>2566</v>
      </c>
      <c r="E2296" s="14" t="s">
        <v>2590</v>
      </c>
    </row>
    <row r="2297">
      <c r="A2297" s="8" t="s">
        <v>6242</v>
      </c>
      <c r="B2297" s="8" t="s">
        <v>149</v>
      </c>
      <c r="C2297" s="14" t="s">
        <v>1352</v>
      </c>
      <c r="D2297" s="8" t="s">
        <v>6303</v>
      </c>
      <c r="E2297" s="14" t="s">
        <v>2570</v>
      </c>
    </row>
    <row r="2298">
      <c r="A2298" s="8" t="s">
        <v>6243</v>
      </c>
      <c r="B2298" s="8" t="s">
        <v>192</v>
      </c>
      <c r="C2298" s="14" t="s">
        <v>1352</v>
      </c>
      <c r="D2298" s="8" t="s">
        <v>2620</v>
      </c>
      <c r="E2298" s="14" t="s">
        <v>2601</v>
      </c>
    </row>
    <row r="2299">
      <c r="A2299" s="8" t="s">
        <v>6245</v>
      </c>
      <c r="B2299" s="8" t="s">
        <v>93</v>
      </c>
      <c r="C2299" s="14" t="s">
        <v>1352</v>
      </c>
      <c r="D2299" s="8" t="s">
        <v>2558</v>
      </c>
      <c r="E2299" s="14" t="s">
        <v>2555</v>
      </c>
    </row>
    <row r="2300">
      <c r="A2300" s="8" t="s">
        <v>6246</v>
      </c>
      <c r="B2300" s="8" t="s">
        <v>149</v>
      </c>
      <c r="C2300" s="14" t="s">
        <v>2033</v>
      </c>
      <c r="D2300" s="8" t="s">
        <v>2584</v>
      </c>
      <c r="E2300" s="14" t="s">
        <v>2618</v>
      </c>
    </row>
    <row r="2301">
      <c r="A2301" s="8" t="s">
        <v>6247</v>
      </c>
      <c r="B2301" s="8" t="s">
        <v>24</v>
      </c>
      <c r="C2301" s="14" t="s">
        <v>837</v>
      </c>
      <c r="D2301" s="8" t="s">
        <v>2564</v>
      </c>
      <c r="E2301" s="14" t="s">
        <v>2553</v>
      </c>
    </row>
    <row r="2302">
      <c r="A2302" s="8" t="s">
        <v>6248</v>
      </c>
      <c r="B2302" s="8" t="s">
        <v>138</v>
      </c>
      <c r="C2302" s="14" t="s">
        <v>631</v>
      </c>
      <c r="D2302" s="8" t="s">
        <v>2592</v>
      </c>
      <c r="E2302" s="14" t="s">
        <v>2591</v>
      </c>
    </row>
    <row r="2303">
      <c r="A2303" s="8" t="s">
        <v>6249</v>
      </c>
      <c r="B2303" s="8" t="s">
        <v>93</v>
      </c>
      <c r="C2303" s="14" t="s">
        <v>1070</v>
      </c>
      <c r="D2303" s="8" t="s">
        <v>2610</v>
      </c>
      <c r="E2303" s="14" t="s">
        <v>2611</v>
      </c>
    </row>
    <row r="2304">
      <c r="A2304" s="8" t="s">
        <v>6250</v>
      </c>
      <c r="B2304" s="8" t="s">
        <v>149</v>
      </c>
      <c r="C2304" s="14" t="s">
        <v>2296</v>
      </c>
      <c r="D2304" s="8" t="s">
        <v>6303</v>
      </c>
      <c r="E2304" s="14" t="s">
        <v>2618</v>
      </c>
    </row>
    <row r="2305">
      <c r="A2305" s="8" t="s">
        <v>6251</v>
      </c>
      <c r="B2305" s="8" t="s">
        <v>149</v>
      </c>
      <c r="C2305" s="14" t="s">
        <v>1352</v>
      </c>
      <c r="D2305" s="8" t="s">
        <v>2585</v>
      </c>
      <c r="E2305" s="14" t="s">
        <v>2606</v>
      </c>
    </row>
    <row r="2306">
      <c r="A2306" s="8" t="s">
        <v>6252</v>
      </c>
      <c r="B2306" s="8" t="s">
        <v>215</v>
      </c>
      <c r="C2306" s="14" t="s">
        <v>1352</v>
      </c>
      <c r="D2306" s="8" t="s">
        <v>2575</v>
      </c>
      <c r="E2306" s="14" t="s">
        <v>2601</v>
      </c>
    </row>
    <row r="2307">
      <c r="A2307" s="8" t="s">
        <v>6253</v>
      </c>
      <c r="B2307" s="8" t="s">
        <v>65</v>
      </c>
      <c r="C2307" s="14" t="s">
        <v>1070</v>
      </c>
      <c r="D2307" s="8" t="s">
        <v>2575</v>
      </c>
      <c r="E2307" s="14" t="s">
        <v>2586</v>
      </c>
    </row>
    <row r="2308">
      <c r="A2308" s="8" t="s">
        <v>6254</v>
      </c>
      <c r="B2308" s="8" t="s">
        <v>122</v>
      </c>
      <c r="C2308" s="14" t="s">
        <v>1070</v>
      </c>
      <c r="D2308" s="8" t="s">
        <v>2574</v>
      </c>
      <c r="E2308" s="14" t="s">
        <v>2555</v>
      </c>
    </row>
    <row r="2309">
      <c r="A2309" s="8" t="s">
        <v>6255</v>
      </c>
      <c r="B2309" s="8" t="s">
        <v>138</v>
      </c>
      <c r="C2309" s="14" t="s">
        <v>2296</v>
      </c>
      <c r="D2309" s="8" t="s">
        <v>2615</v>
      </c>
      <c r="E2309" s="14" t="s">
        <v>2576</v>
      </c>
    </row>
    <row r="2310">
      <c r="A2310" s="8" t="s">
        <v>6256</v>
      </c>
      <c r="B2310" s="8" t="s">
        <v>132</v>
      </c>
      <c r="C2310" s="14" t="s">
        <v>1679</v>
      </c>
      <c r="D2310" s="8" t="s">
        <v>2587</v>
      </c>
      <c r="E2310" s="14" t="s">
        <v>2591</v>
      </c>
    </row>
    <row r="2311">
      <c r="A2311" s="8" t="s">
        <v>6257</v>
      </c>
      <c r="B2311" s="8" t="s">
        <v>93</v>
      </c>
      <c r="C2311" s="14" t="s">
        <v>1070</v>
      </c>
      <c r="D2311" s="8" t="s">
        <v>2581</v>
      </c>
      <c r="E2311" s="14" t="s">
        <v>2578</v>
      </c>
    </row>
    <row r="2312">
      <c r="A2312" s="8" t="s">
        <v>6258</v>
      </c>
      <c r="B2312" s="8" t="s">
        <v>93</v>
      </c>
      <c r="C2312" s="14" t="s">
        <v>2033</v>
      </c>
      <c r="D2312" s="8" t="s">
        <v>2562</v>
      </c>
      <c r="E2312" s="14" t="s">
        <v>2583</v>
      </c>
    </row>
    <row r="2313">
      <c r="A2313" s="8" t="s">
        <v>6259</v>
      </c>
      <c r="B2313" s="8" t="s">
        <v>24</v>
      </c>
      <c r="C2313" s="14" t="s">
        <v>1070</v>
      </c>
      <c r="D2313" s="8" t="s">
        <v>2577</v>
      </c>
      <c r="E2313" s="14" t="s">
        <v>2622</v>
      </c>
    </row>
    <row r="2314">
      <c r="A2314" s="8" t="s">
        <v>6260</v>
      </c>
      <c r="B2314" s="8" t="s">
        <v>93</v>
      </c>
      <c r="C2314" s="14" t="s">
        <v>459</v>
      </c>
      <c r="D2314" s="8" t="s">
        <v>2552</v>
      </c>
      <c r="E2314" s="14" t="s">
        <v>2633</v>
      </c>
    </row>
    <row r="2315">
      <c r="A2315" s="8" t="s">
        <v>6261</v>
      </c>
      <c r="B2315" s="8" t="s">
        <v>75</v>
      </c>
      <c r="C2315" s="14" t="s">
        <v>631</v>
      </c>
      <c r="D2315" s="8" t="s">
        <v>2614</v>
      </c>
      <c r="E2315" s="14" t="s">
        <v>2622</v>
      </c>
    </row>
    <row r="2316">
      <c r="A2316" s="8" t="s">
        <v>6262</v>
      </c>
      <c r="B2316" s="8" t="s">
        <v>122</v>
      </c>
      <c r="C2316" s="14" t="s">
        <v>837</v>
      </c>
      <c r="D2316" s="8" t="s">
        <v>2183</v>
      </c>
      <c r="E2316" s="14" t="s">
        <v>2573</v>
      </c>
    </row>
    <row r="2317">
      <c r="A2317" s="8" t="s">
        <v>6263</v>
      </c>
      <c r="B2317" s="8" t="s">
        <v>80</v>
      </c>
      <c r="C2317" s="14" t="s">
        <v>1679</v>
      </c>
      <c r="D2317" s="8" t="s">
        <v>2614</v>
      </c>
      <c r="E2317" s="14" t="s">
        <v>2590</v>
      </c>
    </row>
    <row r="2318">
      <c r="A2318" s="8" t="s">
        <v>6264</v>
      </c>
      <c r="B2318" s="8" t="s">
        <v>186</v>
      </c>
      <c r="C2318" s="14" t="s">
        <v>1679</v>
      </c>
      <c r="D2318" s="8" t="s">
        <v>2562</v>
      </c>
      <c r="E2318" s="14" t="s">
        <v>2594</v>
      </c>
    </row>
    <row r="2319">
      <c r="A2319" s="8" t="s">
        <v>6265</v>
      </c>
      <c r="B2319" s="8" t="s">
        <v>215</v>
      </c>
      <c r="C2319" s="14" t="s">
        <v>1679</v>
      </c>
      <c r="D2319" s="8" t="s">
        <v>2584</v>
      </c>
      <c r="E2319" s="14" t="s">
        <v>2611</v>
      </c>
    </row>
    <row r="2320">
      <c r="A2320" s="8" t="s">
        <v>6266</v>
      </c>
      <c r="B2320" s="8" t="s">
        <v>46</v>
      </c>
      <c r="C2320" s="14" t="s">
        <v>2296</v>
      </c>
      <c r="D2320" s="8" t="s">
        <v>2600</v>
      </c>
      <c r="E2320" s="14" t="s">
        <v>2594</v>
      </c>
    </row>
    <row r="2321">
      <c r="A2321" s="8" t="s">
        <v>6267</v>
      </c>
      <c r="B2321" s="8" t="s">
        <v>149</v>
      </c>
      <c r="C2321" s="14" t="s">
        <v>2033</v>
      </c>
      <c r="D2321" s="8" t="s">
        <v>2558</v>
      </c>
      <c r="E2321" s="14" t="s">
        <v>2618</v>
      </c>
    </row>
    <row r="2322">
      <c r="A2322" s="8" t="s">
        <v>6268</v>
      </c>
      <c r="B2322" s="8" t="s">
        <v>53</v>
      </c>
      <c r="C2322" s="14" t="s">
        <v>1070</v>
      </c>
      <c r="D2322" s="8" t="s">
        <v>2558</v>
      </c>
      <c r="E2322" s="14" t="s">
        <v>2578</v>
      </c>
    </row>
    <row r="2323">
      <c r="A2323" s="8" t="s">
        <v>6269</v>
      </c>
      <c r="B2323" s="8" t="s">
        <v>132</v>
      </c>
      <c r="C2323" s="14" t="s">
        <v>631</v>
      </c>
      <c r="D2323" s="8" t="s">
        <v>2582</v>
      </c>
      <c r="E2323" s="14" t="s">
        <v>2569</v>
      </c>
    </row>
    <row r="2324">
      <c r="A2324" s="8" t="s">
        <v>6270</v>
      </c>
      <c r="B2324" s="8" t="s">
        <v>215</v>
      </c>
      <c r="C2324" s="14" t="s">
        <v>2296</v>
      </c>
      <c r="D2324" s="8" t="s">
        <v>6303</v>
      </c>
      <c r="E2324" s="14" t="s">
        <v>2557</v>
      </c>
    </row>
    <row r="2325">
      <c r="A2325" s="8" t="s">
        <v>6271</v>
      </c>
      <c r="B2325" s="8" t="s">
        <v>149</v>
      </c>
      <c r="C2325" s="14" t="s">
        <v>1352</v>
      </c>
      <c r="D2325" s="8" t="s">
        <v>2577</v>
      </c>
      <c r="E2325" s="14" t="s">
        <v>2609</v>
      </c>
    </row>
    <row r="2326">
      <c r="A2326" s="8" t="s">
        <v>6272</v>
      </c>
      <c r="B2326" s="8" t="s">
        <v>186</v>
      </c>
      <c r="C2326" s="14" t="s">
        <v>459</v>
      </c>
      <c r="D2326" s="8" t="s">
        <v>2564</v>
      </c>
      <c r="E2326" s="14" t="s">
        <v>2599</v>
      </c>
    </row>
    <row r="2327">
      <c r="A2327" s="8" t="s">
        <v>6273</v>
      </c>
      <c r="B2327" s="8" t="s">
        <v>186</v>
      </c>
      <c r="C2327" s="14" t="s">
        <v>1679</v>
      </c>
      <c r="D2327" s="8" t="s">
        <v>2562</v>
      </c>
      <c r="E2327" s="14" t="s">
        <v>2571</v>
      </c>
    </row>
    <row r="2328">
      <c r="A2328" s="8" t="s">
        <v>6274</v>
      </c>
      <c r="B2328" s="8" t="s">
        <v>24</v>
      </c>
      <c r="C2328" s="14" t="s">
        <v>631</v>
      </c>
      <c r="D2328" s="8" t="s">
        <v>2564</v>
      </c>
      <c r="E2328" s="14" t="s">
        <v>2634</v>
      </c>
    </row>
    <row r="2329">
      <c r="A2329" s="8" t="s">
        <v>6275</v>
      </c>
      <c r="B2329" s="8" t="s">
        <v>132</v>
      </c>
      <c r="C2329" s="14" t="s">
        <v>837</v>
      </c>
      <c r="D2329" s="8" t="s">
        <v>2562</v>
      </c>
      <c r="E2329" s="14" t="s">
        <v>2571</v>
      </c>
    </row>
    <row r="2330">
      <c r="A2330" s="8" t="s">
        <v>6276</v>
      </c>
      <c r="B2330" s="8" t="s">
        <v>24</v>
      </c>
      <c r="C2330" s="14" t="s">
        <v>2296</v>
      </c>
      <c r="D2330" s="8" t="s">
        <v>2577</v>
      </c>
      <c r="E2330" s="14" t="s">
        <v>2555</v>
      </c>
    </row>
    <row r="2331">
      <c r="A2331" s="8" t="s">
        <v>6277</v>
      </c>
      <c r="B2331" s="8" t="s">
        <v>138</v>
      </c>
      <c r="C2331" s="14" t="s">
        <v>459</v>
      </c>
      <c r="D2331" s="8" t="s">
        <v>2620</v>
      </c>
      <c r="E2331" s="14" t="s">
        <v>2622</v>
      </c>
    </row>
    <row r="2332">
      <c r="A2332" s="8" t="s">
        <v>6278</v>
      </c>
      <c r="B2332" s="8" t="s">
        <v>261</v>
      </c>
      <c r="C2332" s="14" t="s">
        <v>459</v>
      </c>
      <c r="D2332" s="8" t="s">
        <v>2595</v>
      </c>
      <c r="E2332" s="14" t="s">
        <v>2553</v>
      </c>
    </row>
    <row r="2333">
      <c r="A2333" s="8" t="s">
        <v>6279</v>
      </c>
      <c r="B2333" s="8" t="s">
        <v>65</v>
      </c>
      <c r="C2333" s="14" t="s">
        <v>1679</v>
      </c>
      <c r="D2333" s="8" t="s">
        <v>2567</v>
      </c>
      <c r="E2333" s="14" t="s">
        <v>2622</v>
      </c>
    </row>
    <row r="2334">
      <c r="A2334" s="8" t="s">
        <v>6280</v>
      </c>
      <c r="B2334" s="8" t="s">
        <v>138</v>
      </c>
      <c r="C2334" s="14" t="s">
        <v>2033</v>
      </c>
      <c r="D2334" s="8" t="s">
        <v>2575</v>
      </c>
      <c r="E2334" s="14" t="s">
        <v>2583</v>
      </c>
    </row>
    <row r="2335">
      <c r="A2335" s="8" t="s">
        <v>6281</v>
      </c>
      <c r="B2335" s="8" t="s">
        <v>46</v>
      </c>
      <c r="C2335" s="14" t="s">
        <v>837</v>
      </c>
      <c r="D2335" s="8" t="s">
        <v>2581</v>
      </c>
      <c r="E2335" s="14" t="s">
        <v>2606</v>
      </c>
    </row>
    <row r="2336">
      <c r="A2336" s="8" t="s">
        <v>6282</v>
      </c>
      <c r="B2336" s="8" t="s">
        <v>24</v>
      </c>
      <c r="C2336" s="14" t="s">
        <v>1070</v>
      </c>
      <c r="D2336" s="8" t="s">
        <v>2595</v>
      </c>
      <c r="E2336" s="14" t="s">
        <v>60</v>
      </c>
    </row>
    <row r="2337">
      <c r="A2337" s="8" t="s">
        <v>6283</v>
      </c>
      <c r="B2337" s="8" t="s">
        <v>70</v>
      </c>
      <c r="C2337" s="14" t="s">
        <v>1070</v>
      </c>
      <c r="D2337" s="8" t="s">
        <v>2554</v>
      </c>
      <c r="E2337" s="14" t="s">
        <v>2591</v>
      </c>
    </row>
    <row r="2338">
      <c r="A2338" s="8" t="s">
        <v>6284</v>
      </c>
      <c r="B2338" s="8" t="s">
        <v>75</v>
      </c>
      <c r="C2338" s="14" t="s">
        <v>2033</v>
      </c>
      <c r="D2338" s="8" t="s">
        <v>2592</v>
      </c>
      <c r="E2338" s="14" t="s">
        <v>2618</v>
      </c>
    </row>
    <row r="2339">
      <c r="A2339" s="8" t="s">
        <v>6285</v>
      </c>
      <c r="B2339" s="8" t="s">
        <v>149</v>
      </c>
      <c r="C2339" s="14" t="s">
        <v>1679</v>
      </c>
      <c r="D2339" s="8" t="s">
        <v>2183</v>
      </c>
      <c r="E2339" s="14" t="s">
        <v>2617</v>
      </c>
    </row>
    <row r="2340">
      <c r="A2340" s="8" t="s">
        <v>6286</v>
      </c>
      <c r="B2340" s="8" t="s">
        <v>132</v>
      </c>
      <c r="C2340" s="14" t="s">
        <v>631</v>
      </c>
      <c r="D2340" s="8" t="s">
        <v>2614</v>
      </c>
      <c r="E2340" s="14" t="s">
        <v>2623</v>
      </c>
    </row>
    <row r="2341">
      <c r="A2341" s="8" t="s">
        <v>6287</v>
      </c>
      <c r="B2341" s="8" t="s">
        <v>59</v>
      </c>
      <c r="C2341" s="14" t="s">
        <v>2033</v>
      </c>
      <c r="D2341" s="8" t="s">
        <v>2567</v>
      </c>
      <c r="E2341" s="14" t="s">
        <v>2563</v>
      </c>
    </row>
    <row r="2342">
      <c r="A2342" s="8" t="s">
        <v>6290</v>
      </c>
      <c r="B2342" s="8" t="s">
        <v>24</v>
      </c>
      <c r="C2342" s="14" t="s">
        <v>83</v>
      </c>
      <c r="D2342" s="8" t="s">
        <v>2566</v>
      </c>
      <c r="E2342" s="14" t="s">
        <v>2627</v>
      </c>
    </row>
    <row r="2343">
      <c r="A2343" s="8" t="s">
        <v>6294</v>
      </c>
      <c r="B2343" s="8" t="s">
        <v>12</v>
      </c>
      <c r="C2343" s="14" t="s">
        <v>1679</v>
      </c>
      <c r="D2343" s="8" t="s">
        <v>6303</v>
      </c>
      <c r="E2343" s="14" t="s">
        <v>2583</v>
      </c>
    </row>
    <row r="2344">
      <c r="A2344" s="8" t="s">
        <v>6297</v>
      </c>
      <c r="B2344" s="8" t="s">
        <v>65</v>
      </c>
      <c r="C2344" s="14" t="s">
        <v>1679</v>
      </c>
      <c r="D2344" s="8" t="s">
        <v>2587</v>
      </c>
      <c r="E2344" s="14" t="s">
        <v>2586</v>
      </c>
    </row>
    <row r="2345">
      <c r="A2345" s="8" t="s">
        <v>6300</v>
      </c>
      <c r="B2345" s="8" t="s">
        <v>192</v>
      </c>
      <c r="C2345" s="14" t="s">
        <v>2296</v>
      </c>
      <c r="D2345" s="8" t="s">
        <v>2584</v>
      </c>
      <c r="E2345" s="14" t="s">
        <v>2594</v>
      </c>
    </row>
    <row r="2346">
      <c r="A2346" s="8"/>
      <c r="B2346" s="8"/>
      <c r="C2346" s="8"/>
      <c r="D2346" s="8"/>
      <c r="E2346" s="8"/>
    </row>
    <row r="2347">
      <c r="A2347" s="8"/>
      <c r="B2347" s="8"/>
      <c r="C2347" s="8"/>
      <c r="D2347" s="8"/>
      <c r="E2347" s="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3.29"/>
    <col customWidth="1" min="2" max="2" width="18.29"/>
    <col customWidth="1" min="3" max="3" width="22.14"/>
    <col customWidth="1" min="4" max="4" width="7.14"/>
  </cols>
  <sheetData>
    <row r="1">
      <c r="A1" s="21" t="s">
        <v>3</v>
      </c>
      <c r="B1" s="21" t="s">
        <v>1</v>
      </c>
      <c r="C1" s="21" t="s">
        <v>2641</v>
      </c>
      <c r="D1" s="21" t="s">
        <v>2642</v>
      </c>
    </row>
    <row r="2">
      <c r="A2" s="8" t="s">
        <v>6343</v>
      </c>
      <c r="B2" s="8" t="s">
        <v>1191</v>
      </c>
      <c r="C2" s="8" t="s">
        <v>6344</v>
      </c>
      <c r="D2" s="8">
        <v>63.0</v>
      </c>
    </row>
    <row r="3">
      <c r="A3" s="8" t="s">
        <v>6343</v>
      </c>
      <c r="B3" s="8" t="s">
        <v>755</v>
      </c>
      <c r="C3" s="8" t="s">
        <v>6345</v>
      </c>
      <c r="D3" s="8">
        <v>75.0</v>
      </c>
    </row>
    <row r="4">
      <c r="A4" s="8" t="s">
        <v>6343</v>
      </c>
      <c r="B4" s="8" t="s">
        <v>872</v>
      </c>
      <c r="C4" s="8" t="s">
        <v>6346</v>
      </c>
      <c r="D4" s="8">
        <v>75.0</v>
      </c>
    </row>
    <row r="5">
      <c r="A5" s="8" t="s">
        <v>6343</v>
      </c>
      <c r="B5" s="8" t="s">
        <v>2762</v>
      </c>
      <c r="C5" s="8" t="s">
        <v>6347</v>
      </c>
      <c r="D5" s="8">
        <v>76.0</v>
      </c>
    </row>
    <row r="6">
      <c r="A6" s="8" t="s">
        <v>6343</v>
      </c>
      <c r="B6" s="8" t="s">
        <v>2793</v>
      </c>
      <c r="C6" s="8" t="s">
        <v>6348</v>
      </c>
      <c r="D6" s="8">
        <v>63.0</v>
      </c>
    </row>
    <row r="7">
      <c r="A7" s="8" t="s">
        <v>6343</v>
      </c>
      <c r="B7" s="8" t="s">
        <v>738</v>
      </c>
      <c r="C7" s="8" t="s">
        <v>6349</v>
      </c>
      <c r="D7" s="8">
        <v>72.0</v>
      </c>
    </row>
    <row r="8">
      <c r="A8" s="8" t="s">
        <v>6343</v>
      </c>
      <c r="B8" s="8" t="s">
        <v>653</v>
      </c>
      <c r="C8" s="8" t="s">
        <v>6346</v>
      </c>
      <c r="D8" s="8">
        <v>87.0</v>
      </c>
    </row>
    <row r="9">
      <c r="A9" s="8" t="s">
        <v>6343</v>
      </c>
      <c r="B9" s="8" t="s">
        <v>268</v>
      </c>
      <c r="C9" s="8" t="s">
        <v>6350</v>
      </c>
      <c r="D9" s="8">
        <v>87.0</v>
      </c>
    </row>
    <row r="10">
      <c r="A10" s="8" t="s">
        <v>6351</v>
      </c>
      <c r="B10" s="8" t="s">
        <v>173</v>
      </c>
      <c r="C10" s="8" t="s">
        <v>6352</v>
      </c>
      <c r="D10" s="8">
        <v>75.0</v>
      </c>
    </row>
    <row r="11">
      <c r="A11" s="8" t="s">
        <v>3916</v>
      </c>
      <c r="B11" s="8" t="s">
        <v>308</v>
      </c>
      <c r="C11" s="8" t="s">
        <v>6353</v>
      </c>
      <c r="D11" s="8">
        <v>77.0</v>
      </c>
    </row>
    <row r="12">
      <c r="A12" s="8" t="s">
        <v>98</v>
      </c>
      <c r="B12" s="8" t="s">
        <v>1328</v>
      </c>
      <c r="C12" s="8" t="s">
        <v>6354</v>
      </c>
      <c r="D12" s="8">
        <v>67.0</v>
      </c>
    </row>
    <row r="13">
      <c r="A13" s="8" t="s">
        <v>98</v>
      </c>
      <c r="B13" s="8" t="s">
        <v>284</v>
      </c>
      <c r="C13" s="8" t="s">
        <v>6355</v>
      </c>
      <c r="D13" s="8">
        <v>78.0</v>
      </c>
    </row>
    <row r="14">
      <c r="A14" s="8" t="s">
        <v>98</v>
      </c>
      <c r="B14" s="8" t="s">
        <v>1392</v>
      </c>
      <c r="C14" s="8" t="s">
        <v>6356</v>
      </c>
      <c r="D14" s="8">
        <v>69.0</v>
      </c>
    </row>
    <row r="15">
      <c r="A15" s="8" t="s">
        <v>98</v>
      </c>
      <c r="B15" s="8" t="s">
        <v>3020</v>
      </c>
      <c r="C15" s="8" t="s">
        <v>6355</v>
      </c>
      <c r="D15" s="8">
        <v>75.0</v>
      </c>
    </row>
    <row r="16">
      <c r="A16" s="8" t="s">
        <v>98</v>
      </c>
      <c r="B16" s="8" t="s">
        <v>1269</v>
      </c>
      <c r="C16" s="8" t="s">
        <v>6357</v>
      </c>
      <c r="D16" s="8">
        <v>66.0</v>
      </c>
    </row>
    <row r="17">
      <c r="A17" s="8" t="s">
        <v>98</v>
      </c>
      <c r="B17" s="8" t="s">
        <v>879</v>
      </c>
      <c r="C17" s="8" t="s">
        <v>6358</v>
      </c>
      <c r="D17" s="8">
        <v>77.0</v>
      </c>
    </row>
    <row r="18">
      <c r="A18" s="8" t="s">
        <v>98</v>
      </c>
      <c r="B18" s="8" t="s">
        <v>1237</v>
      </c>
      <c r="C18" s="8" t="s">
        <v>6359</v>
      </c>
      <c r="D18" s="8">
        <v>75.0</v>
      </c>
    </row>
    <row r="19">
      <c r="A19" s="8" t="s">
        <v>98</v>
      </c>
      <c r="B19" s="8" t="s">
        <v>97</v>
      </c>
      <c r="C19" s="8" t="s">
        <v>6355</v>
      </c>
      <c r="D19" s="8">
        <v>89.0</v>
      </c>
    </row>
    <row r="20">
      <c r="A20" s="8" t="s">
        <v>98</v>
      </c>
      <c r="B20" s="8" t="s">
        <v>669</v>
      </c>
      <c r="C20" s="8" t="s">
        <v>6357</v>
      </c>
      <c r="D20" s="8">
        <v>89.0</v>
      </c>
    </row>
    <row r="21">
      <c r="A21" s="8" t="s">
        <v>952</v>
      </c>
      <c r="B21" s="8" t="s">
        <v>284</v>
      </c>
      <c r="C21" s="8" t="s">
        <v>6346</v>
      </c>
      <c r="D21" s="8">
        <v>76.0</v>
      </c>
    </row>
    <row r="22">
      <c r="A22" s="8" t="s">
        <v>11</v>
      </c>
      <c r="B22" s="8" t="s">
        <v>1202</v>
      </c>
      <c r="C22" s="8" t="s">
        <v>6360</v>
      </c>
      <c r="D22" s="8">
        <v>75.0</v>
      </c>
    </row>
    <row r="23">
      <c r="A23" s="8" t="s">
        <v>11</v>
      </c>
      <c r="B23" s="8" t="s">
        <v>2687</v>
      </c>
      <c r="C23" s="8" t="s">
        <v>6353</v>
      </c>
      <c r="D23" s="8">
        <v>67.0</v>
      </c>
    </row>
    <row r="24">
      <c r="A24" s="8" t="s">
        <v>11</v>
      </c>
      <c r="B24" s="8" t="s">
        <v>10</v>
      </c>
      <c r="C24" s="8" t="s">
        <v>6361</v>
      </c>
      <c r="D24" s="8">
        <v>80.0</v>
      </c>
    </row>
    <row r="25">
      <c r="A25" s="8" t="s">
        <v>11</v>
      </c>
      <c r="B25" s="8" t="s">
        <v>1968</v>
      </c>
      <c r="C25" s="8" t="s">
        <v>6359</v>
      </c>
      <c r="D25" s="8">
        <v>76.0</v>
      </c>
    </row>
    <row r="26">
      <c r="A26" s="8" t="s">
        <v>11</v>
      </c>
      <c r="B26" s="8" t="s">
        <v>373</v>
      </c>
      <c r="C26" s="8" t="s">
        <v>6360</v>
      </c>
      <c r="D26" s="8">
        <v>69.0</v>
      </c>
    </row>
    <row r="27">
      <c r="A27" s="8" t="s">
        <v>11</v>
      </c>
      <c r="B27" s="8" t="s">
        <v>2984</v>
      </c>
      <c r="C27" s="8" t="s">
        <v>6355</v>
      </c>
      <c r="D27" s="8">
        <v>65.0</v>
      </c>
    </row>
    <row r="28">
      <c r="A28" s="8" t="s">
        <v>11</v>
      </c>
      <c r="B28" s="8" t="s">
        <v>486</v>
      </c>
      <c r="C28" s="8" t="s">
        <v>6362</v>
      </c>
      <c r="D28" s="8">
        <v>72.0</v>
      </c>
    </row>
    <row r="29">
      <c r="A29" s="8" t="s">
        <v>11</v>
      </c>
      <c r="B29" s="8" t="s">
        <v>1175</v>
      </c>
      <c r="C29" s="8" t="s">
        <v>6363</v>
      </c>
      <c r="D29" s="8">
        <v>74.0</v>
      </c>
    </row>
    <row r="30">
      <c r="A30" s="8" t="s">
        <v>11</v>
      </c>
      <c r="B30" s="8" t="s">
        <v>284</v>
      </c>
      <c r="C30" s="8" t="s">
        <v>6364</v>
      </c>
      <c r="D30" s="8">
        <v>61.0</v>
      </c>
    </row>
    <row r="31">
      <c r="A31" s="8" t="s">
        <v>11</v>
      </c>
      <c r="B31" s="8" t="s">
        <v>2686</v>
      </c>
      <c r="C31" s="8" t="s">
        <v>6364</v>
      </c>
      <c r="D31" s="8">
        <v>68.0</v>
      </c>
    </row>
    <row r="32">
      <c r="A32" s="8" t="s">
        <v>11</v>
      </c>
      <c r="B32" s="8" t="s">
        <v>1297</v>
      </c>
      <c r="C32" s="8" t="s">
        <v>6345</v>
      </c>
      <c r="D32" s="8">
        <v>65.0</v>
      </c>
    </row>
    <row r="33">
      <c r="A33" s="8" t="s">
        <v>11</v>
      </c>
      <c r="B33" s="8" t="s">
        <v>605</v>
      </c>
      <c r="C33" s="8" t="s">
        <v>6365</v>
      </c>
      <c r="D33" s="8">
        <v>84.0</v>
      </c>
    </row>
    <row r="34">
      <c r="A34" s="8" t="s">
        <v>809</v>
      </c>
      <c r="B34" s="8" t="s">
        <v>2812</v>
      </c>
      <c r="C34" s="8" t="s">
        <v>6360</v>
      </c>
      <c r="D34" s="8">
        <v>72.0</v>
      </c>
    </row>
    <row r="35">
      <c r="A35" s="8" t="s">
        <v>1365</v>
      </c>
      <c r="B35" s="8" t="s">
        <v>1364</v>
      </c>
      <c r="C35" s="8" t="s">
        <v>6365</v>
      </c>
      <c r="D35" s="8">
        <v>65.0</v>
      </c>
    </row>
    <row r="36">
      <c r="A36" s="8" t="s">
        <v>1331</v>
      </c>
      <c r="B36" s="8" t="s">
        <v>1330</v>
      </c>
      <c r="C36" s="8" t="s">
        <v>6345</v>
      </c>
      <c r="D36" s="8">
        <v>68.0</v>
      </c>
    </row>
    <row r="37">
      <c r="A37" s="8" t="s">
        <v>3946</v>
      </c>
      <c r="B37" s="8" t="s">
        <v>208</v>
      </c>
      <c r="C37" s="8" t="s">
        <v>6354</v>
      </c>
      <c r="D37" s="8">
        <v>82.0</v>
      </c>
    </row>
    <row r="38">
      <c r="A38" s="8" t="s">
        <v>127</v>
      </c>
      <c r="B38" s="8" t="s">
        <v>1406</v>
      </c>
      <c r="C38" s="8" t="s">
        <v>6356</v>
      </c>
      <c r="D38" s="8">
        <v>76.0</v>
      </c>
    </row>
    <row r="39">
      <c r="A39" s="8" t="s">
        <v>127</v>
      </c>
      <c r="B39" s="8" t="s">
        <v>1074</v>
      </c>
      <c r="C39" s="8" t="s">
        <v>6359</v>
      </c>
      <c r="D39" s="8">
        <v>84.0</v>
      </c>
    </row>
    <row r="40">
      <c r="A40" s="8" t="s">
        <v>127</v>
      </c>
      <c r="B40" s="8" t="s">
        <v>1005</v>
      </c>
      <c r="C40" s="8" t="s">
        <v>6344</v>
      </c>
      <c r="D40" s="8">
        <v>73.0</v>
      </c>
    </row>
    <row r="41">
      <c r="A41" s="8" t="s">
        <v>127</v>
      </c>
      <c r="B41" s="8" t="s">
        <v>253</v>
      </c>
      <c r="C41" s="8" t="s">
        <v>6362</v>
      </c>
      <c r="D41" s="8">
        <v>78.0</v>
      </c>
    </row>
    <row r="42">
      <c r="A42" s="8" t="s">
        <v>127</v>
      </c>
      <c r="B42" s="8" t="s">
        <v>1074</v>
      </c>
      <c r="C42" s="8" t="s">
        <v>6359</v>
      </c>
      <c r="D42" s="8">
        <v>89.0</v>
      </c>
    </row>
    <row r="43">
      <c r="A43" s="8" t="s">
        <v>2028</v>
      </c>
      <c r="B43" s="8" t="s">
        <v>2027</v>
      </c>
      <c r="C43" s="8" t="s">
        <v>6356</v>
      </c>
      <c r="D43" s="8">
        <v>75.0</v>
      </c>
    </row>
    <row r="44">
      <c r="A44" s="8" t="s">
        <v>1991</v>
      </c>
      <c r="B44" s="8" t="s">
        <v>224</v>
      </c>
      <c r="C44" s="8" t="s">
        <v>6364</v>
      </c>
      <c r="D44" s="8">
        <v>61.0</v>
      </c>
    </row>
    <row r="45">
      <c r="A45" s="8" t="s">
        <v>957</v>
      </c>
      <c r="B45" s="8" t="s">
        <v>1034</v>
      </c>
      <c r="C45" s="8" t="s">
        <v>6347</v>
      </c>
      <c r="D45" s="8">
        <v>75.0</v>
      </c>
    </row>
    <row r="46">
      <c r="A46" s="8" t="s">
        <v>534</v>
      </c>
      <c r="B46" s="8" t="s">
        <v>533</v>
      </c>
      <c r="C46" s="8" t="s">
        <v>6359</v>
      </c>
      <c r="D46" s="8">
        <v>80.0</v>
      </c>
    </row>
    <row r="47">
      <c r="A47" s="8" t="s">
        <v>534</v>
      </c>
      <c r="B47" s="8" t="s">
        <v>533</v>
      </c>
      <c r="C47" s="8" t="s">
        <v>6359</v>
      </c>
      <c r="D47" s="8">
        <v>87.0</v>
      </c>
    </row>
    <row r="48">
      <c r="A48" s="8" t="s">
        <v>234</v>
      </c>
      <c r="B48" s="8" t="s">
        <v>233</v>
      </c>
      <c r="C48" s="8" t="s">
        <v>6361</v>
      </c>
      <c r="D48" s="8">
        <v>78.0</v>
      </c>
    </row>
    <row r="49">
      <c r="A49" s="8" t="s">
        <v>1910</v>
      </c>
      <c r="B49" s="8" t="s">
        <v>1908</v>
      </c>
      <c r="C49" s="8" t="s">
        <v>6349</v>
      </c>
      <c r="D49" s="8">
        <v>64.0</v>
      </c>
    </row>
    <row r="50">
      <c r="A50" s="8" t="s">
        <v>2748</v>
      </c>
      <c r="B50" s="8" t="s">
        <v>2747</v>
      </c>
      <c r="C50" s="8" t="s">
        <v>6360</v>
      </c>
      <c r="D50" s="8">
        <v>63.0</v>
      </c>
    </row>
    <row r="51">
      <c r="A51" s="8" t="s">
        <v>1064</v>
      </c>
      <c r="B51" s="8" t="s">
        <v>451</v>
      </c>
      <c r="C51" s="8" t="s">
        <v>6347</v>
      </c>
      <c r="D51" s="8">
        <v>75.0</v>
      </c>
    </row>
    <row r="52">
      <c r="A52" s="8" t="s">
        <v>1064</v>
      </c>
      <c r="B52" s="8" t="s">
        <v>2928</v>
      </c>
      <c r="C52" s="8" t="s">
        <v>6367</v>
      </c>
      <c r="D52" s="8">
        <v>73.0</v>
      </c>
    </row>
    <row r="53">
      <c r="A53" s="8" t="s">
        <v>423</v>
      </c>
      <c r="B53" s="8" t="s">
        <v>308</v>
      </c>
      <c r="C53" s="8" t="s">
        <v>6356</v>
      </c>
      <c r="D53" s="8">
        <v>72.0</v>
      </c>
    </row>
    <row r="54">
      <c r="A54" s="8" t="s">
        <v>423</v>
      </c>
      <c r="B54" s="8" t="s">
        <v>1959</v>
      </c>
      <c r="C54" s="8" t="s">
        <v>6348</v>
      </c>
      <c r="D54" s="8">
        <v>76.0</v>
      </c>
    </row>
    <row r="55">
      <c r="A55" s="8" t="s">
        <v>998</v>
      </c>
      <c r="B55" s="8" t="s">
        <v>997</v>
      </c>
      <c r="C55" s="8" t="s">
        <v>6348</v>
      </c>
      <c r="D55" s="8">
        <v>77.0</v>
      </c>
    </row>
    <row r="56">
      <c r="A56" s="8" t="s">
        <v>447</v>
      </c>
      <c r="B56" s="8" t="s">
        <v>446</v>
      </c>
      <c r="C56" s="8" t="s">
        <v>6368</v>
      </c>
      <c r="D56" s="8">
        <v>78.0</v>
      </c>
    </row>
    <row r="57">
      <c r="A57" s="8" t="s">
        <v>100</v>
      </c>
      <c r="B57" s="8" t="s">
        <v>94</v>
      </c>
      <c r="C57" s="8" t="s">
        <v>6367</v>
      </c>
      <c r="D57" s="8">
        <v>74.0</v>
      </c>
    </row>
    <row r="58">
      <c r="A58" s="8" t="s">
        <v>100</v>
      </c>
      <c r="B58" s="8" t="s">
        <v>1362</v>
      </c>
      <c r="C58" s="8" t="s">
        <v>6369</v>
      </c>
      <c r="D58" s="8">
        <v>68.0</v>
      </c>
    </row>
    <row r="59">
      <c r="A59" s="8" t="s">
        <v>100</v>
      </c>
      <c r="B59" s="8" t="s">
        <v>1683</v>
      </c>
      <c r="C59" s="8" t="s">
        <v>6349</v>
      </c>
      <c r="D59" s="8">
        <v>77.0</v>
      </c>
    </row>
    <row r="60">
      <c r="A60" s="8" t="s">
        <v>100</v>
      </c>
      <c r="B60" s="8" t="s">
        <v>1705</v>
      </c>
      <c r="C60" s="8" t="s">
        <v>6364</v>
      </c>
      <c r="D60" s="8">
        <v>60.0</v>
      </c>
    </row>
    <row r="61">
      <c r="A61" s="8" t="s">
        <v>100</v>
      </c>
      <c r="B61" s="8" t="s">
        <v>2670</v>
      </c>
      <c r="C61" s="8" t="s">
        <v>6370</v>
      </c>
      <c r="D61" s="8">
        <v>65.0</v>
      </c>
    </row>
    <row r="62">
      <c r="A62" s="8" t="s">
        <v>100</v>
      </c>
      <c r="B62" s="8" t="s">
        <v>1079</v>
      </c>
      <c r="C62" s="8" t="s">
        <v>6353</v>
      </c>
      <c r="D62" s="8">
        <v>65.0</v>
      </c>
    </row>
    <row r="63">
      <c r="A63" s="8" t="s">
        <v>100</v>
      </c>
      <c r="B63" s="8" t="s">
        <v>1163</v>
      </c>
      <c r="C63" s="8" t="s">
        <v>6350</v>
      </c>
      <c r="D63" s="8">
        <v>68.0</v>
      </c>
    </row>
    <row r="64">
      <c r="A64" s="8" t="s">
        <v>100</v>
      </c>
      <c r="B64" s="8" t="s">
        <v>498</v>
      </c>
      <c r="C64" s="8" t="s">
        <v>6367</v>
      </c>
      <c r="D64" s="8">
        <v>79.0</v>
      </c>
    </row>
    <row r="65">
      <c r="A65" s="8" t="s">
        <v>100</v>
      </c>
      <c r="B65" s="8" t="s">
        <v>248</v>
      </c>
      <c r="C65" s="8" t="s">
        <v>6371</v>
      </c>
      <c r="D65" s="8">
        <v>69.0</v>
      </c>
    </row>
    <row r="66">
      <c r="A66" s="8" t="s">
        <v>100</v>
      </c>
      <c r="B66" s="8" t="s">
        <v>163</v>
      </c>
      <c r="C66" s="8" t="s">
        <v>6372</v>
      </c>
      <c r="D66" s="8">
        <v>86.0</v>
      </c>
    </row>
    <row r="67">
      <c r="A67" s="8" t="s">
        <v>100</v>
      </c>
      <c r="B67" s="8" t="s">
        <v>1297</v>
      </c>
      <c r="C67" s="8" t="s">
        <v>6350</v>
      </c>
      <c r="D67" s="8">
        <v>65.0</v>
      </c>
    </row>
    <row r="68">
      <c r="A68" s="8" t="s">
        <v>100</v>
      </c>
      <c r="B68" s="8" t="s">
        <v>772</v>
      </c>
      <c r="C68" s="8" t="s">
        <v>6349</v>
      </c>
      <c r="D68" s="8">
        <v>78.0</v>
      </c>
    </row>
    <row r="69">
      <c r="A69" s="8" t="s">
        <v>100</v>
      </c>
      <c r="B69" s="8" t="s">
        <v>99</v>
      </c>
      <c r="C69" s="8" t="s">
        <v>6370</v>
      </c>
      <c r="D69" s="8">
        <v>83.0</v>
      </c>
    </row>
    <row r="70">
      <c r="A70" s="8" t="s">
        <v>100</v>
      </c>
      <c r="B70" s="8" t="s">
        <v>1729</v>
      </c>
      <c r="C70" s="8" t="s">
        <v>6360</v>
      </c>
      <c r="D70" s="8">
        <v>70.0</v>
      </c>
    </row>
    <row r="71">
      <c r="A71" s="8" t="s">
        <v>100</v>
      </c>
      <c r="B71" s="8" t="s">
        <v>2184</v>
      </c>
      <c r="C71" s="8" t="s">
        <v>6371</v>
      </c>
      <c r="D71" s="8">
        <v>65.0</v>
      </c>
    </row>
    <row r="72">
      <c r="A72" s="8" t="s">
        <v>650</v>
      </c>
      <c r="B72" s="8" t="s">
        <v>1905</v>
      </c>
      <c r="C72" s="8" t="s">
        <v>6364</v>
      </c>
      <c r="D72" s="8">
        <v>61.0</v>
      </c>
    </row>
    <row r="73">
      <c r="A73" s="8" t="s">
        <v>650</v>
      </c>
      <c r="B73" s="8" t="s">
        <v>649</v>
      </c>
      <c r="C73" s="8" t="s">
        <v>6358</v>
      </c>
      <c r="D73" s="8">
        <v>71.0</v>
      </c>
    </row>
    <row r="74">
      <c r="A74" s="8" t="s">
        <v>1240</v>
      </c>
      <c r="B74" s="8" t="s">
        <v>1239</v>
      </c>
      <c r="C74" s="8" t="s">
        <v>6360</v>
      </c>
      <c r="D74" s="8">
        <v>81.0</v>
      </c>
    </row>
    <row r="75">
      <c r="A75" s="8" t="s">
        <v>460</v>
      </c>
      <c r="B75" s="8" t="s">
        <v>240</v>
      </c>
      <c r="C75" s="8" t="s">
        <v>6373</v>
      </c>
      <c r="D75" s="8">
        <v>75.0</v>
      </c>
    </row>
    <row r="76">
      <c r="A76" s="8" t="s">
        <v>460</v>
      </c>
      <c r="B76" s="8" t="s">
        <v>308</v>
      </c>
      <c r="C76" s="8" t="s">
        <v>6359</v>
      </c>
      <c r="D76" s="8">
        <v>82.0</v>
      </c>
    </row>
    <row r="77">
      <c r="A77" s="8" t="s">
        <v>460</v>
      </c>
      <c r="B77" s="8" t="s">
        <v>945</v>
      </c>
      <c r="C77" s="8" t="s">
        <v>6374</v>
      </c>
      <c r="D77" s="8">
        <v>78.0</v>
      </c>
    </row>
    <row r="78">
      <c r="A78" s="8" t="s">
        <v>551</v>
      </c>
      <c r="B78" s="8" t="s">
        <v>550</v>
      </c>
      <c r="C78" s="8" t="s">
        <v>6375</v>
      </c>
      <c r="D78" s="8">
        <v>85.0</v>
      </c>
    </row>
    <row r="79">
      <c r="A79" s="8" t="s">
        <v>3113</v>
      </c>
      <c r="B79" s="8" t="s">
        <v>3112</v>
      </c>
      <c r="C79" s="8" t="s">
        <v>6364</v>
      </c>
      <c r="D79" s="8">
        <v>61.0</v>
      </c>
    </row>
    <row r="80">
      <c r="A80" s="8" t="s">
        <v>1853</v>
      </c>
      <c r="B80" s="8" t="s">
        <v>1862</v>
      </c>
      <c r="C80" s="8" t="s">
        <v>6349</v>
      </c>
      <c r="D80" s="8">
        <v>85.0</v>
      </c>
    </row>
    <row r="81">
      <c r="A81" s="8" t="s">
        <v>2756</v>
      </c>
      <c r="B81" s="8" t="s">
        <v>2755</v>
      </c>
      <c r="C81" s="8" t="s">
        <v>6371</v>
      </c>
      <c r="D81" s="8">
        <v>72.0</v>
      </c>
    </row>
    <row r="82">
      <c r="A82" s="8" t="s">
        <v>1411</v>
      </c>
      <c r="B82" s="8" t="s">
        <v>500</v>
      </c>
      <c r="C82" s="8" t="s">
        <v>6376</v>
      </c>
      <c r="D82" s="8">
        <v>82.0</v>
      </c>
    </row>
    <row r="83">
      <c r="A83" s="8" t="s">
        <v>2785</v>
      </c>
      <c r="B83" s="8" t="s">
        <v>2784</v>
      </c>
      <c r="C83" s="8" t="s">
        <v>6348</v>
      </c>
      <c r="D83" s="8">
        <v>67.0</v>
      </c>
    </row>
    <row r="84">
      <c r="A84" s="8" t="s">
        <v>1069</v>
      </c>
      <c r="B84" s="8" t="s">
        <v>1068</v>
      </c>
      <c r="C84" s="8" t="s">
        <v>6353</v>
      </c>
      <c r="D84" s="8">
        <v>76.0</v>
      </c>
    </row>
    <row r="85">
      <c r="A85" s="8" t="s">
        <v>3050</v>
      </c>
      <c r="B85" s="8" t="s">
        <v>3049</v>
      </c>
      <c r="C85" s="8" t="s">
        <v>6369</v>
      </c>
      <c r="D85" s="8">
        <v>71.0</v>
      </c>
    </row>
    <row r="86">
      <c r="A86" s="8" t="s">
        <v>277</v>
      </c>
      <c r="B86" s="8" t="s">
        <v>99</v>
      </c>
      <c r="C86" s="8" t="s">
        <v>6352</v>
      </c>
      <c r="D86" s="8">
        <v>76.0</v>
      </c>
    </row>
    <row r="87">
      <c r="A87" s="8" t="s">
        <v>277</v>
      </c>
      <c r="B87" s="8" t="s">
        <v>2828</v>
      </c>
      <c r="C87" s="8" t="s">
        <v>6358</v>
      </c>
      <c r="D87" s="8">
        <v>81.0</v>
      </c>
    </row>
    <row r="88">
      <c r="A88" s="8" t="s">
        <v>277</v>
      </c>
      <c r="B88" s="8" t="s">
        <v>1381</v>
      </c>
      <c r="C88" s="8" t="s">
        <v>6347</v>
      </c>
      <c r="D88" s="8">
        <v>69.0</v>
      </c>
    </row>
    <row r="89">
      <c r="A89" s="8" t="s">
        <v>277</v>
      </c>
      <c r="B89" s="8" t="s">
        <v>78</v>
      </c>
      <c r="C89" s="8" t="s">
        <v>6364</v>
      </c>
      <c r="D89" s="8">
        <v>67.0</v>
      </c>
    </row>
    <row r="90">
      <c r="A90" s="8" t="s">
        <v>277</v>
      </c>
      <c r="B90" s="8" t="s">
        <v>276</v>
      </c>
      <c r="C90" s="8" t="s">
        <v>6345</v>
      </c>
      <c r="D90" s="8">
        <v>74.0</v>
      </c>
    </row>
    <row r="91">
      <c r="A91" s="8" t="s">
        <v>277</v>
      </c>
      <c r="B91" s="8" t="s">
        <v>99</v>
      </c>
      <c r="C91" s="8" t="s">
        <v>6369</v>
      </c>
      <c r="D91" s="8">
        <v>66.0</v>
      </c>
    </row>
    <row r="92">
      <c r="A92" s="8" t="s">
        <v>55</v>
      </c>
      <c r="B92" s="8" t="s">
        <v>1702</v>
      </c>
      <c r="C92" s="8" t="s">
        <v>6350</v>
      </c>
      <c r="D92" s="8">
        <v>68.0</v>
      </c>
    </row>
    <row r="93">
      <c r="A93" s="8" t="s">
        <v>55</v>
      </c>
      <c r="B93" s="8" t="s">
        <v>312</v>
      </c>
      <c r="C93" s="8" t="s">
        <v>6365</v>
      </c>
      <c r="D93" s="8">
        <v>80.0</v>
      </c>
    </row>
    <row r="94">
      <c r="A94" s="8" t="s">
        <v>55</v>
      </c>
      <c r="B94" s="8" t="s">
        <v>993</v>
      </c>
      <c r="C94" s="8" t="s">
        <v>6346</v>
      </c>
      <c r="D94" s="8">
        <v>85.0</v>
      </c>
    </row>
    <row r="95">
      <c r="A95" s="8" t="s">
        <v>55</v>
      </c>
      <c r="B95" s="8" t="s">
        <v>577</v>
      </c>
      <c r="C95" s="8" t="s">
        <v>6361</v>
      </c>
      <c r="D95" s="8">
        <v>83.0</v>
      </c>
    </row>
    <row r="96">
      <c r="A96" s="8" t="s">
        <v>55</v>
      </c>
      <c r="B96" s="8" t="s">
        <v>835</v>
      </c>
      <c r="C96" s="8" t="s">
        <v>6348</v>
      </c>
      <c r="D96" s="8">
        <v>70.0</v>
      </c>
    </row>
    <row r="97">
      <c r="A97" s="8" t="s">
        <v>55</v>
      </c>
      <c r="B97" s="8" t="s">
        <v>887</v>
      </c>
      <c r="C97" s="8" t="s">
        <v>6367</v>
      </c>
      <c r="D97" s="8">
        <v>62.0</v>
      </c>
    </row>
    <row r="98">
      <c r="A98" s="8" t="s">
        <v>55</v>
      </c>
      <c r="B98" s="8" t="s">
        <v>54</v>
      </c>
      <c r="C98" s="8" t="s">
        <v>6357</v>
      </c>
      <c r="D98" s="8">
        <v>84.0</v>
      </c>
    </row>
    <row r="99">
      <c r="A99" s="8" t="s">
        <v>55</v>
      </c>
      <c r="B99" s="8" t="s">
        <v>106</v>
      </c>
      <c r="C99" s="8" t="s">
        <v>6350</v>
      </c>
      <c r="D99" s="8">
        <v>70.0</v>
      </c>
    </row>
    <row r="100">
      <c r="A100" s="8" t="s">
        <v>1567</v>
      </c>
      <c r="B100" s="8" t="s">
        <v>1566</v>
      </c>
      <c r="C100" s="8" t="s">
        <v>6349</v>
      </c>
      <c r="D100" s="8">
        <v>76.0</v>
      </c>
    </row>
    <row r="101">
      <c r="A101" s="8" t="s">
        <v>43</v>
      </c>
      <c r="B101" s="8" t="s">
        <v>1207</v>
      </c>
      <c r="C101" s="8" t="s">
        <v>6363</v>
      </c>
      <c r="D101" s="8">
        <v>78.0</v>
      </c>
    </row>
    <row r="102">
      <c r="A102" s="8" t="s">
        <v>43</v>
      </c>
      <c r="B102" s="8" t="s">
        <v>284</v>
      </c>
      <c r="C102" s="8" t="s">
        <v>6353</v>
      </c>
      <c r="D102" s="8">
        <v>67.0</v>
      </c>
    </row>
    <row r="103">
      <c r="A103" s="8" t="s">
        <v>43</v>
      </c>
      <c r="B103" s="8" t="s">
        <v>258</v>
      </c>
      <c r="C103" s="8" t="s">
        <v>6350</v>
      </c>
      <c r="D103" s="8">
        <v>79.0</v>
      </c>
    </row>
    <row r="104">
      <c r="A104" s="8" t="s">
        <v>43</v>
      </c>
      <c r="B104" s="8" t="s">
        <v>42</v>
      </c>
      <c r="C104" s="8" t="s">
        <v>6352</v>
      </c>
      <c r="D104" s="8">
        <v>82.0</v>
      </c>
    </row>
    <row r="105">
      <c r="A105" s="8" t="s">
        <v>43</v>
      </c>
      <c r="B105" s="8" t="s">
        <v>2901</v>
      </c>
      <c r="C105" s="8" t="s">
        <v>6372</v>
      </c>
      <c r="D105" s="8">
        <v>80.0</v>
      </c>
    </row>
    <row r="106">
      <c r="A106" s="8" t="s">
        <v>1089</v>
      </c>
      <c r="B106" s="8" t="s">
        <v>1088</v>
      </c>
      <c r="C106" s="8" t="s">
        <v>6358</v>
      </c>
      <c r="D106" s="8">
        <v>65.0</v>
      </c>
    </row>
    <row r="107">
      <c r="A107" s="8" t="s">
        <v>212</v>
      </c>
      <c r="B107" s="8" t="s">
        <v>844</v>
      </c>
      <c r="C107" s="8" t="s">
        <v>6365</v>
      </c>
      <c r="D107" s="8">
        <v>84.0</v>
      </c>
    </row>
    <row r="108">
      <c r="A108" s="8" t="s">
        <v>212</v>
      </c>
      <c r="B108" s="8" t="s">
        <v>1166</v>
      </c>
      <c r="C108" s="8" t="s">
        <v>6377</v>
      </c>
      <c r="D108" s="8">
        <v>68.0</v>
      </c>
    </row>
    <row r="109">
      <c r="A109" s="8" t="s">
        <v>212</v>
      </c>
      <c r="B109" s="8" t="s">
        <v>89</v>
      </c>
      <c r="C109" s="8" t="s">
        <v>6365</v>
      </c>
      <c r="D109" s="8">
        <v>74.0</v>
      </c>
    </row>
    <row r="110">
      <c r="A110" s="8" t="s">
        <v>212</v>
      </c>
      <c r="B110" s="8" t="s">
        <v>2893</v>
      </c>
      <c r="C110" s="8" t="s">
        <v>6370</v>
      </c>
      <c r="D110" s="8">
        <v>67.0</v>
      </c>
    </row>
    <row r="111">
      <c r="A111" s="8" t="s">
        <v>212</v>
      </c>
      <c r="B111" s="8" t="s">
        <v>3117</v>
      </c>
      <c r="C111" s="8" t="s">
        <v>6361</v>
      </c>
      <c r="D111" s="8">
        <v>69.0</v>
      </c>
    </row>
    <row r="112">
      <c r="A112" s="8" t="s">
        <v>212</v>
      </c>
      <c r="B112" s="8" t="s">
        <v>1121</v>
      </c>
      <c r="C112" s="8" t="s">
        <v>6368</v>
      </c>
      <c r="D112" s="8">
        <v>66.0</v>
      </c>
    </row>
    <row r="113">
      <c r="A113" s="8" t="s">
        <v>212</v>
      </c>
      <c r="B113" s="8" t="s">
        <v>389</v>
      </c>
      <c r="C113" s="8" t="s">
        <v>6361</v>
      </c>
      <c r="D113" s="8">
        <v>64.0</v>
      </c>
    </row>
    <row r="114">
      <c r="A114" s="8" t="s">
        <v>212</v>
      </c>
      <c r="B114" s="8" t="s">
        <v>940</v>
      </c>
      <c r="C114" s="8" t="s">
        <v>6373</v>
      </c>
      <c r="D114" s="8">
        <v>81.0</v>
      </c>
    </row>
    <row r="115">
      <c r="A115" s="8" t="s">
        <v>212</v>
      </c>
      <c r="B115" s="8" t="s">
        <v>106</v>
      </c>
      <c r="C115" s="8" t="s">
        <v>6374</v>
      </c>
      <c r="D115" s="8">
        <v>75.0</v>
      </c>
    </row>
    <row r="116">
      <c r="A116" s="8" t="s">
        <v>212</v>
      </c>
      <c r="B116" s="8" t="s">
        <v>314</v>
      </c>
      <c r="C116" s="8" t="s">
        <v>6373</v>
      </c>
      <c r="D116" s="8">
        <v>82.0</v>
      </c>
    </row>
    <row r="117">
      <c r="A117" s="8" t="s">
        <v>212</v>
      </c>
      <c r="B117" s="8" t="s">
        <v>1067</v>
      </c>
      <c r="C117" s="8" t="s">
        <v>6353</v>
      </c>
      <c r="D117" s="8">
        <v>79.0</v>
      </c>
    </row>
    <row r="118">
      <c r="A118" s="8" t="s">
        <v>212</v>
      </c>
      <c r="B118" s="8" t="s">
        <v>2900</v>
      </c>
      <c r="C118" s="8" t="s">
        <v>6367</v>
      </c>
      <c r="D118" s="8">
        <v>75.0</v>
      </c>
    </row>
    <row r="119">
      <c r="A119" s="8" t="s">
        <v>212</v>
      </c>
      <c r="B119" s="8" t="s">
        <v>250</v>
      </c>
      <c r="C119" s="8" t="s">
        <v>6361</v>
      </c>
      <c r="D119" s="8">
        <v>81.0</v>
      </c>
    </row>
    <row r="120">
      <c r="A120" s="8" t="s">
        <v>212</v>
      </c>
      <c r="B120" s="8" t="s">
        <v>402</v>
      </c>
      <c r="C120" s="8" t="s">
        <v>6359</v>
      </c>
      <c r="D120" s="8">
        <v>76.0</v>
      </c>
    </row>
    <row r="121">
      <c r="A121" s="8" t="s">
        <v>212</v>
      </c>
      <c r="B121" s="8" t="s">
        <v>1688</v>
      </c>
      <c r="C121" s="8" t="s">
        <v>6367</v>
      </c>
      <c r="D121" s="8">
        <v>70.0</v>
      </c>
    </row>
    <row r="122">
      <c r="A122" s="8" t="s">
        <v>82</v>
      </c>
      <c r="B122" s="8" t="s">
        <v>81</v>
      </c>
      <c r="C122" s="8" t="s">
        <v>6352</v>
      </c>
      <c r="D122" s="8">
        <v>79.0</v>
      </c>
    </row>
    <row r="123">
      <c r="A123" s="8" t="s">
        <v>245</v>
      </c>
      <c r="B123" s="8" t="s">
        <v>2114</v>
      </c>
      <c r="C123" s="8" t="s">
        <v>6364</v>
      </c>
      <c r="D123" s="8">
        <v>60.0</v>
      </c>
    </row>
    <row r="124">
      <c r="A124" s="8" t="s">
        <v>245</v>
      </c>
      <c r="B124" s="8" t="s">
        <v>2953</v>
      </c>
      <c r="C124" s="8" t="s">
        <v>6361</v>
      </c>
      <c r="D124" s="8">
        <v>68.0</v>
      </c>
    </row>
    <row r="125">
      <c r="A125" s="8" t="s">
        <v>245</v>
      </c>
      <c r="B125" s="8" t="s">
        <v>2318</v>
      </c>
      <c r="C125" s="8" t="s">
        <v>6377</v>
      </c>
      <c r="D125" s="8">
        <v>72.0</v>
      </c>
    </row>
    <row r="126">
      <c r="A126" s="8" t="s">
        <v>245</v>
      </c>
      <c r="B126" s="8" t="s">
        <v>106</v>
      </c>
      <c r="C126" s="8" t="s">
        <v>6368</v>
      </c>
      <c r="D126" s="8">
        <v>89.0</v>
      </c>
    </row>
    <row r="127">
      <c r="A127" s="8" t="s">
        <v>1078</v>
      </c>
      <c r="B127" s="8" t="s">
        <v>1077</v>
      </c>
      <c r="C127" s="8" t="s">
        <v>6360</v>
      </c>
      <c r="D127" s="8">
        <v>63.0</v>
      </c>
    </row>
    <row r="128">
      <c r="A128" s="8" t="s">
        <v>1342</v>
      </c>
      <c r="B128" s="8" t="s">
        <v>233</v>
      </c>
      <c r="C128" s="8" t="s">
        <v>6374</v>
      </c>
      <c r="D128" s="8">
        <v>64.0</v>
      </c>
    </row>
    <row r="129">
      <c r="A129" s="8" t="s">
        <v>3137</v>
      </c>
      <c r="B129" s="8" t="s">
        <v>78</v>
      </c>
      <c r="C129" s="8" t="s">
        <v>6365</v>
      </c>
      <c r="D129" s="8">
        <v>68.0</v>
      </c>
    </row>
    <row r="130">
      <c r="A130" s="8" t="s">
        <v>179</v>
      </c>
      <c r="B130" s="8" t="s">
        <v>178</v>
      </c>
      <c r="C130" s="8" t="s">
        <v>6357</v>
      </c>
      <c r="D130" s="8">
        <v>86.0</v>
      </c>
    </row>
    <row r="131">
      <c r="A131" s="8" t="s">
        <v>3075</v>
      </c>
      <c r="B131" s="8" t="s">
        <v>1625</v>
      </c>
      <c r="C131" s="8" t="s">
        <v>6378</v>
      </c>
      <c r="D131" s="8">
        <v>73.0</v>
      </c>
    </row>
    <row r="132">
      <c r="A132" s="8" t="s">
        <v>2165</v>
      </c>
      <c r="B132" s="8" t="s">
        <v>2164</v>
      </c>
      <c r="C132" s="8" t="s">
        <v>6376</v>
      </c>
      <c r="D132" s="8">
        <v>70.0</v>
      </c>
    </row>
    <row r="133">
      <c r="A133" s="8" t="s">
        <v>2884</v>
      </c>
      <c r="B133" s="8" t="s">
        <v>2883</v>
      </c>
      <c r="C133" s="8" t="s">
        <v>6370</v>
      </c>
      <c r="D133" s="8">
        <v>68.0</v>
      </c>
    </row>
    <row r="134">
      <c r="A134" s="8" t="s">
        <v>1363</v>
      </c>
      <c r="B134" s="8" t="s">
        <v>639</v>
      </c>
      <c r="C134" s="8" t="s">
        <v>6356</v>
      </c>
      <c r="D134" s="8">
        <v>77.0</v>
      </c>
    </row>
    <row r="135">
      <c r="A135" s="8" t="s">
        <v>2278</v>
      </c>
      <c r="B135" s="8" t="s">
        <v>2277</v>
      </c>
      <c r="C135" s="8" t="s">
        <v>6373</v>
      </c>
      <c r="D135" s="8">
        <v>68.0</v>
      </c>
    </row>
    <row r="136">
      <c r="A136" s="8" t="s">
        <v>1964</v>
      </c>
      <c r="B136" s="8" t="s">
        <v>1031</v>
      </c>
      <c r="C136" s="8" t="s">
        <v>6344</v>
      </c>
      <c r="D136" s="8">
        <v>66.0</v>
      </c>
    </row>
    <row r="137">
      <c r="A137" s="8" t="s">
        <v>1245</v>
      </c>
      <c r="B137" s="8" t="s">
        <v>1244</v>
      </c>
      <c r="C137" s="8" t="s">
        <v>6349</v>
      </c>
      <c r="D137" s="8">
        <v>64.0</v>
      </c>
    </row>
    <row r="138">
      <c r="A138" s="8" t="s">
        <v>1726</v>
      </c>
      <c r="B138" s="8" t="s">
        <v>1725</v>
      </c>
      <c r="C138" s="8" t="s">
        <v>6368</v>
      </c>
      <c r="D138" s="8">
        <v>80.0</v>
      </c>
    </row>
    <row r="139">
      <c r="A139" s="8" t="s">
        <v>2431</v>
      </c>
      <c r="B139" s="8" t="s">
        <v>324</v>
      </c>
      <c r="C139" s="8" t="s">
        <v>6350</v>
      </c>
      <c r="D139" s="8">
        <v>69.0</v>
      </c>
    </row>
    <row r="140">
      <c r="A140" s="8" t="s">
        <v>464</v>
      </c>
      <c r="B140" s="8" t="s">
        <v>851</v>
      </c>
      <c r="C140" s="8" t="s">
        <v>6357</v>
      </c>
      <c r="D140" s="8">
        <v>65.0</v>
      </c>
    </row>
    <row r="141">
      <c r="A141" s="8" t="s">
        <v>464</v>
      </c>
      <c r="B141" s="8" t="s">
        <v>389</v>
      </c>
      <c r="C141" s="8" t="s">
        <v>6360</v>
      </c>
      <c r="D141" s="8">
        <v>68.0</v>
      </c>
    </row>
    <row r="142">
      <c r="A142" s="8" t="s">
        <v>464</v>
      </c>
      <c r="B142" s="8" t="s">
        <v>3099</v>
      </c>
      <c r="C142" s="8" t="s">
        <v>6363</v>
      </c>
      <c r="D142" s="8">
        <v>69.0</v>
      </c>
    </row>
    <row r="143">
      <c r="A143" s="8" t="s">
        <v>464</v>
      </c>
      <c r="B143" s="8" t="s">
        <v>1486</v>
      </c>
      <c r="C143" s="8" t="s">
        <v>6369</v>
      </c>
      <c r="D143" s="8">
        <v>63.0</v>
      </c>
    </row>
    <row r="144">
      <c r="A144" s="8" t="s">
        <v>464</v>
      </c>
      <c r="B144" s="8" t="s">
        <v>389</v>
      </c>
      <c r="C144" s="8" t="s">
        <v>6354</v>
      </c>
      <c r="D144" s="8">
        <v>72.0</v>
      </c>
    </row>
    <row r="145">
      <c r="A145" s="8" t="s">
        <v>464</v>
      </c>
      <c r="B145" s="8" t="s">
        <v>1013</v>
      </c>
      <c r="C145" s="8" t="s">
        <v>6377</v>
      </c>
      <c r="D145" s="8">
        <v>66.0</v>
      </c>
    </row>
    <row r="146">
      <c r="A146" s="8" t="s">
        <v>464</v>
      </c>
      <c r="B146" s="8" t="s">
        <v>3040</v>
      </c>
      <c r="C146" s="8" t="s">
        <v>6346</v>
      </c>
      <c r="D146" s="8">
        <v>78.0</v>
      </c>
    </row>
    <row r="147">
      <c r="A147" s="8" t="s">
        <v>464</v>
      </c>
      <c r="B147" s="8" t="s">
        <v>1843</v>
      </c>
      <c r="C147" s="8" t="s">
        <v>6372</v>
      </c>
      <c r="D147" s="8">
        <v>79.0</v>
      </c>
    </row>
    <row r="148">
      <c r="A148" s="8" t="s">
        <v>464</v>
      </c>
      <c r="B148" s="8" t="s">
        <v>1200</v>
      </c>
      <c r="C148" s="8" t="s">
        <v>6361</v>
      </c>
      <c r="D148" s="8">
        <v>77.0</v>
      </c>
    </row>
    <row r="149">
      <c r="A149" s="8" t="s">
        <v>464</v>
      </c>
      <c r="B149" s="8" t="s">
        <v>1777</v>
      </c>
      <c r="C149" s="8" t="s">
        <v>6344</v>
      </c>
      <c r="D149" s="8">
        <v>74.0</v>
      </c>
    </row>
    <row r="150">
      <c r="A150" s="8" t="s">
        <v>464</v>
      </c>
      <c r="B150" s="8" t="s">
        <v>774</v>
      </c>
      <c r="C150" s="8" t="s">
        <v>6372</v>
      </c>
      <c r="D150" s="8">
        <v>72.0</v>
      </c>
    </row>
    <row r="151">
      <c r="A151" s="8" t="s">
        <v>464</v>
      </c>
      <c r="B151" s="8" t="s">
        <v>144</v>
      </c>
      <c r="C151" s="8" t="s">
        <v>6349</v>
      </c>
      <c r="D151" s="8">
        <v>68.0</v>
      </c>
    </row>
    <row r="152">
      <c r="A152" s="8" t="s">
        <v>464</v>
      </c>
      <c r="B152" s="8" t="s">
        <v>61</v>
      </c>
      <c r="C152" s="8" t="s">
        <v>6371</v>
      </c>
      <c r="D152" s="8">
        <v>70.0</v>
      </c>
    </row>
    <row r="153">
      <c r="A153" s="8" t="s">
        <v>464</v>
      </c>
      <c r="B153" s="8" t="s">
        <v>2077</v>
      </c>
      <c r="C153" s="8" t="s">
        <v>6377</v>
      </c>
      <c r="D153" s="8">
        <v>74.0</v>
      </c>
    </row>
    <row r="154">
      <c r="A154" s="8" t="s">
        <v>464</v>
      </c>
      <c r="B154" s="8" t="s">
        <v>2223</v>
      </c>
      <c r="C154" s="8" t="s">
        <v>6345</v>
      </c>
      <c r="D154" s="8">
        <v>67.0</v>
      </c>
    </row>
    <row r="155">
      <c r="A155" s="8" t="s">
        <v>1063</v>
      </c>
      <c r="B155" s="8" t="s">
        <v>1675</v>
      </c>
      <c r="C155" s="8" t="s">
        <v>6371</v>
      </c>
      <c r="D155" s="8">
        <v>62.0</v>
      </c>
    </row>
    <row r="156">
      <c r="A156" s="8" t="s">
        <v>1063</v>
      </c>
      <c r="B156" s="8" t="s">
        <v>1062</v>
      </c>
      <c r="C156" s="8" t="s">
        <v>6378</v>
      </c>
      <c r="D156" s="8">
        <v>87.0</v>
      </c>
    </row>
    <row r="157">
      <c r="A157" s="8" t="s">
        <v>1063</v>
      </c>
      <c r="B157" s="8" t="s">
        <v>1911</v>
      </c>
      <c r="C157" s="8" t="s">
        <v>6348</v>
      </c>
      <c r="D157" s="8">
        <v>63.0</v>
      </c>
    </row>
    <row r="158">
      <c r="A158" s="8" t="s">
        <v>1063</v>
      </c>
      <c r="B158" s="8" t="s">
        <v>1062</v>
      </c>
      <c r="C158" s="8" t="s">
        <v>6378</v>
      </c>
      <c r="D158" s="8">
        <v>81.0</v>
      </c>
    </row>
    <row r="159">
      <c r="A159" s="8" t="s">
        <v>1129</v>
      </c>
      <c r="B159" s="8" t="s">
        <v>498</v>
      </c>
      <c r="C159" s="8" t="s">
        <v>6365</v>
      </c>
      <c r="D159" s="8">
        <v>74.0</v>
      </c>
    </row>
    <row r="160">
      <c r="A160" s="8" t="s">
        <v>2177</v>
      </c>
      <c r="B160" s="8" t="s">
        <v>2176</v>
      </c>
      <c r="C160" s="8" t="s">
        <v>6375</v>
      </c>
      <c r="D160" s="8">
        <v>71.0</v>
      </c>
    </row>
    <row r="161">
      <c r="A161" s="8" t="s">
        <v>3114</v>
      </c>
      <c r="B161" s="8" t="s">
        <v>1598</v>
      </c>
      <c r="C161" s="8" t="s">
        <v>6376</v>
      </c>
      <c r="D161" s="8">
        <v>68.0</v>
      </c>
    </row>
    <row r="162">
      <c r="A162" s="8" t="s">
        <v>3047</v>
      </c>
      <c r="B162" s="8" t="s">
        <v>3046</v>
      </c>
      <c r="C162" s="8" t="s">
        <v>6375</v>
      </c>
      <c r="D162" s="8">
        <v>68.0</v>
      </c>
    </row>
    <row r="163">
      <c r="A163" s="8" t="s">
        <v>6379</v>
      </c>
      <c r="B163" s="8" t="s">
        <v>1174</v>
      </c>
      <c r="C163" s="8" t="s">
        <v>6348</v>
      </c>
      <c r="D163" s="8">
        <v>72.0</v>
      </c>
    </row>
    <row r="164">
      <c r="A164" s="8" t="s">
        <v>6379</v>
      </c>
      <c r="B164" s="8" t="s">
        <v>911</v>
      </c>
      <c r="C164" s="8" t="s">
        <v>6368</v>
      </c>
      <c r="D164" s="8">
        <v>75.0</v>
      </c>
    </row>
    <row r="165">
      <c r="A165" s="8" t="s">
        <v>6379</v>
      </c>
      <c r="B165" s="8" t="s">
        <v>2680</v>
      </c>
      <c r="C165" s="8" t="s">
        <v>6377</v>
      </c>
      <c r="D165" s="8">
        <v>63.0</v>
      </c>
    </row>
    <row r="166">
      <c r="A166" s="8" t="s">
        <v>6379</v>
      </c>
      <c r="B166" s="8" t="s">
        <v>537</v>
      </c>
      <c r="C166" s="8" t="s">
        <v>6348</v>
      </c>
      <c r="D166" s="8">
        <v>71.0</v>
      </c>
    </row>
    <row r="167">
      <c r="A167" s="8" t="s">
        <v>1891</v>
      </c>
      <c r="B167" s="8" t="s">
        <v>1890</v>
      </c>
      <c r="C167" s="8" t="s">
        <v>6377</v>
      </c>
      <c r="D167" s="8">
        <v>79.0</v>
      </c>
    </row>
    <row r="168">
      <c r="A168" s="8" t="s">
        <v>1891</v>
      </c>
      <c r="B168" s="8" t="s">
        <v>1890</v>
      </c>
      <c r="C168" s="8" t="s">
        <v>6377</v>
      </c>
      <c r="D168" s="8">
        <v>87.0</v>
      </c>
    </row>
    <row r="169">
      <c r="A169" s="8" t="s">
        <v>2699</v>
      </c>
      <c r="B169" s="8" t="s">
        <v>436</v>
      </c>
      <c r="C169" s="8" t="s">
        <v>6367</v>
      </c>
      <c r="D169" s="8">
        <v>69.0</v>
      </c>
    </row>
    <row r="170">
      <c r="A170" s="8" t="s">
        <v>764</v>
      </c>
      <c r="B170" s="8" t="s">
        <v>763</v>
      </c>
      <c r="C170" s="8" t="s">
        <v>6371</v>
      </c>
      <c r="D170" s="8">
        <v>81.0</v>
      </c>
    </row>
    <row r="171">
      <c r="A171" s="8" t="s">
        <v>2729</v>
      </c>
      <c r="B171" s="8" t="s">
        <v>2728</v>
      </c>
      <c r="C171" s="8" t="s">
        <v>6346</v>
      </c>
      <c r="D171" s="8">
        <v>79.0</v>
      </c>
    </row>
    <row r="172">
      <c r="A172" s="8" t="s">
        <v>860</v>
      </c>
      <c r="B172" s="8" t="s">
        <v>859</v>
      </c>
      <c r="C172" s="8" t="s">
        <v>6364</v>
      </c>
      <c r="D172" s="8">
        <v>61.0</v>
      </c>
    </row>
    <row r="173">
      <c r="A173" s="8" t="s">
        <v>479</v>
      </c>
      <c r="B173" s="8" t="s">
        <v>460</v>
      </c>
      <c r="C173" s="8" t="s">
        <v>6360</v>
      </c>
      <c r="D173" s="8">
        <v>74.0</v>
      </c>
    </row>
    <row r="174">
      <c r="A174" s="8" t="s">
        <v>479</v>
      </c>
      <c r="B174" s="8" t="s">
        <v>3030</v>
      </c>
      <c r="C174" s="8" t="s">
        <v>6352</v>
      </c>
      <c r="D174" s="8">
        <v>64.0</v>
      </c>
    </row>
    <row r="175">
      <c r="A175" s="8" t="s">
        <v>50</v>
      </c>
      <c r="B175" s="8" t="s">
        <v>1220</v>
      </c>
      <c r="C175" s="8" t="s">
        <v>6346</v>
      </c>
      <c r="D175" s="8">
        <v>72.0</v>
      </c>
    </row>
    <row r="176">
      <c r="A176" s="8" t="s">
        <v>50</v>
      </c>
      <c r="B176" s="8" t="s">
        <v>49</v>
      </c>
      <c r="C176" s="8" t="s">
        <v>6368</v>
      </c>
      <c r="D176" s="8">
        <v>84.0</v>
      </c>
    </row>
    <row r="177">
      <c r="A177" s="8" t="s">
        <v>50</v>
      </c>
      <c r="B177" s="8" t="s">
        <v>2840</v>
      </c>
      <c r="C177" s="8" t="s">
        <v>6358</v>
      </c>
      <c r="D177" s="8">
        <v>73.0</v>
      </c>
    </row>
    <row r="178">
      <c r="A178" s="8" t="s">
        <v>50</v>
      </c>
      <c r="B178" s="8" t="s">
        <v>1801</v>
      </c>
      <c r="C178" s="8" t="s">
        <v>6365</v>
      </c>
      <c r="D178" s="8">
        <v>76.0</v>
      </c>
    </row>
    <row r="179">
      <c r="A179" s="8" t="s">
        <v>50</v>
      </c>
      <c r="B179" s="8" t="s">
        <v>266</v>
      </c>
      <c r="C179" s="8" t="s">
        <v>6372</v>
      </c>
      <c r="D179" s="8">
        <v>72.0</v>
      </c>
    </row>
    <row r="180">
      <c r="A180" s="8" t="s">
        <v>50</v>
      </c>
      <c r="B180" s="8" t="s">
        <v>284</v>
      </c>
      <c r="C180" s="8" t="s">
        <v>6354</v>
      </c>
      <c r="D180" s="8">
        <v>77.0</v>
      </c>
    </row>
    <row r="181">
      <c r="A181" s="8" t="s">
        <v>50</v>
      </c>
      <c r="B181" s="8" t="s">
        <v>1379</v>
      </c>
      <c r="C181" s="8" t="s">
        <v>6378</v>
      </c>
      <c r="D181" s="8">
        <v>64.0</v>
      </c>
    </row>
    <row r="182">
      <c r="A182" s="8" t="s">
        <v>50</v>
      </c>
      <c r="B182" s="8" t="s">
        <v>2857</v>
      </c>
      <c r="C182" s="8" t="s">
        <v>6378</v>
      </c>
      <c r="D182" s="8">
        <v>71.0</v>
      </c>
    </row>
    <row r="183">
      <c r="A183" s="8" t="s">
        <v>50</v>
      </c>
      <c r="B183" s="8" t="s">
        <v>1383</v>
      </c>
      <c r="C183" s="8" t="s">
        <v>6359</v>
      </c>
      <c r="D183" s="8">
        <v>63.0</v>
      </c>
    </row>
    <row r="184">
      <c r="A184" s="8" t="s">
        <v>50</v>
      </c>
      <c r="B184" s="8" t="s">
        <v>2150</v>
      </c>
      <c r="C184" s="8" t="s">
        <v>6369</v>
      </c>
      <c r="D184" s="8">
        <v>67.0</v>
      </c>
    </row>
    <row r="185">
      <c r="A185" s="8" t="s">
        <v>1255</v>
      </c>
      <c r="B185" s="8" t="s">
        <v>1254</v>
      </c>
      <c r="C185" s="8" t="s">
        <v>6358</v>
      </c>
      <c r="D185" s="8">
        <v>78.0</v>
      </c>
    </row>
    <row r="186">
      <c r="A186" s="8" t="s">
        <v>4097</v>
      </c>
      <c r="B186" s="8" t="s">
        <v>2682</v>
      </c>
      <c r="C186" s="8" t="s">
        <v>6352</v>
      </c>
      <c r="D186" s="8">
        <v>71.0</v>
      </c>
    </row>
    <row r="187">
      <c r="A187" s="8" t="s">
        <v>686</v>
      </c>
      <c r="B187" s="8" t="s">
        <v>222</v>
      </c>
      <c r="C187" s="8" t="s">
        <v>6354</v>
      </c>
      <c r="D187" s="8">
        <v>76.0</v>
      </c>
    </row>
    <row r="188">
      <c r="A188" s="8" t="s">
        <v>686</v>
      </c>
      <c r="B188" s="8" t="s">
        <v>2791</v>
      </c>
      <c r="C188" s="8" t="s">
        <v>6359</v>
      </c>
      <c r="D188" s="8">
        <v>72.0</v>
      </c>
    </row>
    <row r="189">
      <c r="A189" s="8" t="s">
        <v>503</v>
      </c>
      <c r="B189" s="8" t="s">
        <v>502</v>
      </c>
      <c r="C189" s="8" t="s">
        <v>6359</v>
      </c>
      <c r="D189" s="8">
        <v>70.0</v>
      </c>
    </row>
    <row r="190">
      <c r="A190" s="8" t="s">
        <v>754</v>
      </c>
      <c r="B190" s="8" t="s">
        <v>753</v>
      </c>
      <c r="C190" s="8" t="s">
        <v>6352</v>
      </c>
      <c r="D190" s="8">
        <v>70.0</v>
      </c>
    </row>
    <row r="191">
      <c r="A191" s="8" t="s">
        <v>2388</v>
      </c>
      <c r="B191" s="8" t="s">
        <v>2220</v>
      </c>
      <c r="C191" s="8" t="s">
        <v>6378</v>
      </c>
      <c r="D191" s="8">
        <v>79.0</v>
      </c>
    </row>
    <row r="192">
      <c r="A192" s="8" t="s">
        <v>2388</v>
      </c>
      <c r="B192" s="8" t="s">
        <v>1548</v>
      </c>
      <c r="C192" s="8" t="s">
        <v>6359</v>
      </c>
      <c r="D192" s="8">
        <v>68.0</v>
      </c>
    </row>
    <row r="193">
      <c r="A193" s="8" t="s">
        <v>1044</v>
      </c>
      <c r="B193" s="8" t="s">
        <v>1043</v>
      </c>
      <c r="C193" s="8" t="s">
        <v>6363</v>
      </c>
      <c r="D193" s="8">
        <v>69.0</v>
      </c>
    </row>
    <row r="194">
      <c r="A194" s="8" t="s">
        <v>1044</v>
      </c>
      <c r="B194" s="8" t="s">
        <v>1579</v>
      </c>
      <c r="C194" s="8" t="s">
        <v>6350</v>
      </c>
      <c r="D194" s="8">
        <v>76.0</v>
      </c>
    </row>
    <row r="195">
      <c r="A195" s="8" t="s">
        <v>514</v>
      </c>
      <c r="B195" s="8" t="s">
        <v>2733</v>
      </c>
      <c r="C195" s="8" t="s">
        <v>6369</v>
      </c>
      <c r="D195" s="8">
        <v>67.0</v>
      </c>
    </row>
    <row r="196">
      <c r="A196" s="8" t="s">
        <v>514</v>
      </c>
      <c r="B196" s="8" t="s">
        <v>513</v>
      </c>
      <c r="C196" s="8" t="s">
        <v>6354</v>
      </c>
      <c r="D196" s="8">
        <v>73.0</v>
      </c>
    </row>
    <row r="197">
      <c r="A197" s="8" t="s">
        <v>1090</v>
      </c>
      <c r="B197" s="8" t="s">
        <v>106</v>
      </c>
      <c r="C197" s="8" t="s">
        <v>6346</v>
      </c>
      <c r="D197" s="8">
        <v>72.0</v>
      </c>
    </row>
    <row r="198">
      <c r="A198" s="8" t="s">
        <v>647</v>
      </c>
      <c r="B198" s="8" t="s">
        <v>1526</v>
      </c>
      <c r="C198" s="8" t="s">
        <v>6355</v>
      </c>
      <c r="D198" s="8">
        <v>79.0</v>
      </c>
    </row>
    <row r="199">
      <c r="A199" s="8" t="s">
        <v>647</v>
      </c>
      <c r="B199" s="8" t="s">
        <v>857</v>
      </c>
      <c r="C199" s="8" t="s">
        <v>6346</v>
      </c>
      <c r="D199" s="8">
        <v>80.0</v>
      </c>
    </row>
    <row r="200">
      <c r="A200" s="8" t="s">
        <v>647</v>
      </c>
      <c r="B200" s="8" t="s">
        <v>1132</v>
      </c>
      <c r="C200" s="8" t="s">
        <v>6357</v>
      </c>
      <c r="D200" s="8">
        <v>69.0</v>
      </c>
    </row>
    <row r="201">
      <c r="A201" s="8" t="s">
        <v>647</v>
      </c>
      <c r="B201" s="8" t="s">
        <v>646</v>
      </c>
      <c r="C201" s="8" t="s">
        <v>6365</v>
      </c>
      <c r="D201" s="8">
        <v>64.0</v>
      </c>
    </row>
    <row r="202">
      <c r="A202" s="8" t="s">
        <v>647</v>
      </c>
      <c r="B202" s="8" t="s">
        <v>1485</v>
      </c>
      <c r="C202" s="8" t="s">
        <v>6374</v>
      </c>
      <c r="D202" s="8">
        <v>69.0</v>
      </c>
    </row>
    <row r="203">
      <c r="A203" s="8" t="s">
        <v>624</v>
      </c>
      <c r="B203" s="8" t="s">
        <v>623</v>
      </c>
      <c r="C203" s="8" t="s">
        <v>6372</v>
      </c>
      <c r="D203" s="8">
        <v>72.0</v>
      </c>
    </row>
    <row r="204">
      <c r="A204" s="8" t="s">
        <v>2412</v>
      </c>
      <c r="B204" s="8" t="s">
        <v>2411</v>
      </c>
      <c r="C204" s="8" t="s">
        <v>6374</v>
      </c>
      <c r="D204" s="8">
        <v>71.0</v>
      </c>
    </row>
    <row r="205">
      <c r="A205" s="8" t="s">
        <v>399</v>
      </c>
      <c r="B205" s="8" t="s">
        <v>1468</v>
      </c>
      <c r="C205" s="8" t="s">
        <v>6350</v>
      </c>
      <c r="D205" s="8">
        <v>66.0</v>
      </c>
    </row>
    <row r="206">
      <c r="A206" s="8" t="s">
        <v>399</v>
      </c>
      <c r="B206" s="8" t="s">
        <v>1250</v>
      </c>
      <c r="C206" s="8" t="s">
        <v>6347</v>
      </c>
      <c r="D206" s="8">
        <v>77.0</v>
      </c>
    </row>
    <row r="207">
      <c r="A207" s="8" t="s">
        <v>399</v>
      </c>
      <c r="B207" s="8" t="s">
        <v>398</v>
      </c>
      <c r="C207" s="8" t="s">
        <v>6359</v>
      </c>
      <c r="D207" s="8">
        <v>76.0</v>
      </c>
    </row>
    <row r="208">
      <c r="A208" s="8" t="s">
        <v>2025</v>
      </c>
      <c r="B208" s="8" t="s">
        <v>3141</v>
      </c>
      <c r="C208" s="8" t="s">
        <v>6360</v>
      </c>
      <c r="D208" s="8">
        <v>66.0</v>
      </c>
    </row>
    <row r="209">
      <c r="A209" s="8" t="s">
        <v>1965</v>
      </c>
      <c r="B209" s="8" t="s">
        <v>1031</v>
      </c>
      <c r="C209" s="8" t="s">
        <v>6349</v>
      </c>
      <c r="D209" s="8">
        <v>70.0</v>
      </c>
    </row>
    <row r="210">
      <c r="A210" s="8" t="s">
        <v>1604</v>
      </c>
      <c r="B210" s="8" t="s">
        <v>2871</v>
      </c>
      <c r="C210" s="8" t="s">
        <v>6361</v>
      </c>
      <c r="D210" s="8">
        <v>66.0</v>
      </c>
    </row>
    <row r="211">
      <c r="A211" s="8" t="s">
        <v>1604</v>
      </c>
      <c r="B211" s="8" t="s">
        <v>1603</v>
      </c>
      <c r="C211" s="8" t="s">
        <v>6360</v>
      </c>
      <c r="D211" s="8">
        <v>66.0</v>
      </c>
    </row>
    <row r="212">
      <c r="A212" s="8" t="s">
        <v>1604</v>
      </c>
      <c r="B212" s="8" t="s">
        <v>3143</v>
      </c>
      <c r="C212" s="8" t="s">
        <v>6364</v>
      </c>
      <c r="D212" s="8">
        <v>75.0</v>
      </c>
    </row>
    <row r="213">
      <c r="A213" s="8" t="s">
        <v>1379</v>
      </c>
      <c r="B213" s="8" t="s">
        <v>99</v>
      </c>
      <c r="C213" s="8" t="s">
        <v>6361</v>
      </c>
      <c r="D213" s="8">
        <v>75.0</v>
      </c>
    </row>
    <row r="214">
      <c r="A214" s="8" t="s">
        <v>436</v>
      </c>
      <c r="B214" s="8" t="s">
        <v>435</v>
      </c>
      <c r="C214" s="8" t="s">
        <v>6359</v>
      </c>
      <c r="D214" s="8">
        <v>68.0</v>
      </c>
    </row>
    <row r="215">
      <c r="A215" s="8" t="s">
        <v>436</v>
      </c>
      <c r="B215" s="8" t="s">
        <v>2007</v>
      </c>
      <c r="C215" s="8" t="s">
        <v>6353</v>
      </c>
      <c r="D215" s="8">
        <v>65.0</v>
      </c>
    </row>
    <row r="216">
      <c r="A216" s="8" t="s">
        <v>436</v>
      </c>
      <c r="B216" s="8" t="s">
        <v>1018</v>
      </c>
      <c r="C216" s="8" t="s">
        <v>6363</v>
      </c>
      <c r="D216" s="8">
        <v>81.0</v>
      </c>
    </row>
    <row r="217">
      <c r="A217" s="8" t="s">
        <v>436</v>
      </c>
      <c r="B217" s="8" t="s">
        <v>1572</v>
      </c>
      <c r="C217" s="8" t="s">
        <v>6356</v>
      </c>
      <c r="D217" s="8">
        <v>80.0</v>
      </c>
    </row>
    <row r="218">
      <c r="A218" s="8" t="s">
        <v>436</v>
      </c>
      <c r="B218" s="8" t="s">
        <v>756</v>
      </c>
      <c r="C218" s="8" t="s">
        <v>6371</v>
      </c>
      <c r="D218" s="8">
        <v>76.0</v>
      </c>
    </row>
    <row r="219">
      <c r="A219" s="8" t="s">
        <v>436</v>
      </c>
      <c r="B219" s="8" t="s">
        <v>1717</v>
      </c>
      <c r="C219" s="8" t="s">
        <v>6367</v>
      </c>
      <c r="D219" s="8">
        <v>68.0</v>
      </c>
    </row>
    <row r="220">
      <c r="A220" s="8" t="s">
        <v>436</v>
      </c>
      <c r="B220" s="8" t="s">
        <v>1405</v>
      </c>
      <c r="C220" s="8" t="s">
        <v>6363</v>
      </c>
      <c r="D220" s="8">
        <v>79.0</v>
      </c>
    </row>
    <row r="221">
      <c r="A221" s="8" t="s">
        <v>1204</v>
      </c>
      <c r="B221" s="8" t="s">
        <v>2393</v>
      </c>
      <c r="C221" s="8" t="s">
        <v>6364</v>
      </c>
      <c r="D221" s="8">
        <v>61.0</v>
      </c>
    </row>
    <row r="222">
      <c r="A222" s="8" t="s">
        <v>1204</v>
      </c>
      <c r="B222" s="8" t="s">
        <v>208</v>
      </c>
      <c r="C222" s="8" t="s">
        <v>6371</v>
      </c>
      <c r="D222" s="8">
        <v>64.0</v>
      </c>
    </row>
    <row r="223">
      <c r="A223" s="8" t="s">
        <v>1413</v>
      </c>
      <c r="B223" s="8" t="s">
        <v>1412</v>
      </c>
      <c r="C223" s="8" t="s">
        <v>6357</v>
      </c>
      <c r="D223" s="8">
        <v>83.0</v>
      </c>
    </row>
    <row r="224">
      <c r="A224" s="8" t="s">
        <v>121</v>
      </c>
      <c r="B224" s="8" t="s">
        <v>78</v>
      </c>
      <c r="C224" s="8" t="s">
        <v>6367</v>
      </c>
      <c r="D224" s="8">
        <v>80.0</v>
      </c>
    </row>
    <row r="225">
      <c r="A225" s="8" t="s">
        <v>121</v>
      </c>
      <c r="B225" s="8" t="s">
        <v>2798</v>
      </c>
      <c r="C225" s="8" t="s">
        <v>6372</v>
      </c>
      <c r="D225" s="8">
        <v>78.0</v>
      </c>
    </row>
    <row r="226">
      <c r="A226" s="8" t="s">
        <v>121</v>
      </c>
      <c r="B226" s="8" t="s">
        <v>2887</v>
      </c>
      <c r="C226" s="8" t="s">
        <v>6350</v>
      </c>
      <c r="D226" s="8">
        <v>77.0</v>
      </c>
    </row>
    <row r="227">
      <c r="A227" s="8" t="s">
        <v>121</v>
      </c>
      <c r="B227" s="8" t="s">
        <v>3126</v>
      </c>
      <c r="C227" s="8" t="s">
        <v>6358</v>
      </c>
      <c r="D227" s="8">
        <v>66.0</v>
      </c>
    </row>
    <row r="228">
      <c r="A228" s="8" t="s">
        <v>121</v>
      </c>
      <c r="B228" s="8" t="s">
        <v>451</v>
      </c>
      <c r="C228" s="8" t="s">
        <v>6350</v>
      </c>
      <c r="D228" s="8">
        <v>62.0</v>
      </c>
    </row>
    <row r="229">
      <c r="A229" s="8" t="s">
        <v>121</v>
      </c>
      <c r="B229" s="8" t="s">
        <v>3134</v>
      </c>
      <c r="C229" s="8" t="s">
        <v>6346</v>
      </c>
      <c r="D229" s="8">
        <v>67.0</v>
      </c>
    </row>
    <row r="230">
      <c r="A230" s="8" t="s">
        <v>121</v>
      </c>
      <c r="B230" s="8" t="s">
        <v>203</v>
      </c>
      <c r="C230" s="8" t="s">
        <v>6375</v>
      </c>
      <c r="D230" s="8">
        <v>86.0</v>
      </c>
    </row>
    <row r="231">
      <c r="A231" s="8" t="s">
        <v>121</v>
      </c>
      <c r="B231" s="8" t="s">
        <v>144</v>
      </c>
      <c r="C231" s="8" t="s">
        <v>6367</v>
      </c>
      <c r="D231" s="8">
        <v>78.0</v>
      </c>
    </row>
    <row r="232">
      <c r="A232" s="8" t="s">
        <v>121</v>
      </c>
      <c r="B232" s="8" t="s">
        <v>662</v>
      </c>
      <c r="C232" s="8" t="s">
        <v>6378</v>
      </c>
      <c r="D232" s="8">
        <v>68.0</v>
      </c>
    </row>
    <row r="233">
      <c r="A233" s="8" t="s">
        <v>121</v>
      </c>
      <c r="B233" s="8" t="s">
        <v>1022</v>
      </c>
      <c r="C233" s="8" t="s">
        <v>6370</v>
      </c>
      <c r="D233" s="8">
        <v>84.0</v>
      </c>
    </row>
    <row r="234">
      <c r="A234" s="8" t="s">
        <v>121</v>
      </c>
      <c r="B234" s="8" t="s">
        <v>405</v>
      </c>
      <c r="C234" s="8" t="s">
        <v>6363</v>
      </c>
      <c r="D234" s="8">
        <v>77.0</v>
      </c>
    </row>
    <row r="235">
      <c r="A235" s="8" t="s">
        <v>121</v>
      </c>
      <c r="B235" s="8" t="s">
        <v>460</v>
      </c>
      <c r="C235" s="8" t="s">
        <v>6357</v>
      </c>
      <c r="D235" s="8">
        <v>64.0</v>
      </c>
    </row>
    <row r="236">
      <c r="A236" s="8" t="s">
        <v>121</v>
      </c>
      <c r="B236" s="8" t="s">
        <v>62</v>
      </c>
      <c r="C236" s="8" t="s">
        <v>6346</v>
      </c>
      <c r="D236" s="8">
        <v>74.0</v>
      </c>
    </row>
    <row r="237">
      <c r="A237" s="8" t="s">
        <v>121</v>
      </c>
      <c r="B237" s="8" t="s">
        <v>120</v>
      </c>
      <c r="C237" s="8" t="s">
        <v>6344</v>
      </c>
      <c r="D237" s="8">
        <v>74.0</v>
      </c>
    </row>
    <row r="238">
      <c r="A238" s="8" t="s">
        <v>121</v>
      </c>
      <c r="B238" s="8" t="s">
        <v>1024</v>
      </c>
      <c r="C238" s="8" t="s">
        <v>6378</v>
      </c>
      <c r="D238" s="8">
        <v>73.0</v>
      </c>
    </row>
    <row r="239">
      <c r="A239" s="8" t="s">
        <v>121</v>
      </c>
      <c r="B239" s="8" t="s">
        <v>877</v>
      </c>
      <c r="C239" s="8" t="s">
        <v>6349</v>
      </c>
      <c r="D239" s="8">
        <v>76.0</v>
      </c>
    </row>
    <row r="240">
      <c r="A240" s="8" t="s">
        <v>121</v>
      </c>
      <c r="B240" s="8" t="s">
        <v>224</v>
      </c>
      <c r="C240" s="8" t="s">
        <v>6375</v>
      </c>
      <c r="D240" s="8">
        <v>85.0</v>
      </c>
    </row>
    <row r="241">
      <c r="A241" s="8" t="s">
        <v>121</v>
      </c>
      <c r="B241" s="8" t="s">
        <v>646</v>
      </c>
      <c r="C241" s="8" t="s">
        <v>6350</v>
      </c>
      <c r="D241" s="8">
        <v>65.0</v>
      </c>
    </row>
    <row r="242">
      <c r="A242" s="8" t="s">
        <v>121</v>
      </c>
      <c r="B242" s="8" t="s">
        <v>956</v>
      </c>
      <c r="C242" s="8" t="s">
        <v>6362</v>
      </c>
      <c r="D242" s="8">
        <v>64.0</v>
      </c>
    </row>
    <row r="243">
      <c r="A243" s="8" t="s">
        <v>121</v>
      </c>
      <c r="B243" s="8" t="s">
        <v>474</v>
      </c>
      <c r="C243" s="8" t="s">
        <v>6362</v>
      </c>
      <c r="D243" s="8">
        <v>70.0</v>
      </c>
    </row>
    <row r="244">
      <c r="A244" s="8" t="s">
        <v>121</v>
      </c>
      <c r="B244" s="8" t="s">
        <v>1149</v>
      </c>
      <c r="C244" s="8" t="s">
        <v>6364</v>
      </c>
      <c r="D244" s="8">
        <v>64.0</v>
      </c>
    </row>
    <row r="245">
      <c r="A245" s="8" t="s">
        <v>121</v>
      </c>
      <c r="B245" s="8" t="s">
        <v>1158</v>
      </c>
      <c r="C245" s="8" t="s">
        <v>6358</v>
      </c>
      <c r="D245" s="8">
        <v>70.0</v>
      </c>
    </row>
    <row r="246">
      <c r="A246" s="8" t="s">
        <v>121</v>
      </c>
      <c r="B246" s="8" t="s">
        <v>3012</v>
      </c>
      <c r="C246" s="8" t="s">
        <v>6345</v>
      </c>
      <c r="D246" s="8">
        <v>64.0</v>
      </c>
    </row>
    <row r="247">
      <c r="A247" s="8" t="s">
        <v>121</v>
      </c>
      <c r="B247" s="8" t="s">
        <v>405</v>
      </c>
      <c r="C247" s="8" t="s">
        <v>6371</v>
      </c>
      <c r="D247" s="8">
        <v>76.0</v>
      </c>
    </row>
    <row r="248">
      <c r="A248" s="8" t="s">
        <v>121</v>
      </c>
      <c r="B248" s="8" t="s">
        <v>968</v>
      </c>
      <c r="C248" s="8" t="s">
        <v>6346</v>
      </c>
      <c r="D248" s="8">
        <v>84.0</v>
      </c>
    </row>
    <row r="249">
      <c r="A249" s="8" t="s">
        <v>121</v>
      </c>
      <c r="B249" s="8" t="s">
        <v>78</v>
      </c>
      <c r="C249" s="8" t="s">
        <v>6352</v>
      </c>
      <c r="D249" s="8">
        <v>67.0</v>
      </c>
    </row>
    <row r="250">
      <c r="A250" s="8" t="s">
        <v>121</v>
      </c>
      <c r="B250" s="8" t="s">
        <v>1276</v>
      </c>
      <c r="C250" s="8" t="s">
        <v>6376</v>
      </c>
      <c r="D250" s="8">
        <v>72.0</v>
      </c>
    </row>
    <row r="251">
      <c r="A251" s="8" t="s">
        <v>121</v>
      </c>
      <c r="B251" s="8" t="s">
        <v>757</v>
      </c>
      <c r="C251" s="8" t="s">
        <v>6363</v>
      </c>
      <c r="D251" s="8">
        <v>84.0</v>
      </c>
    </row>
    <row r="252">
      <c r="A252" s="8" t="s">
        <v>1262</v>
      </c>
      <c r="B252" s="8" t="s">
        <v>402</v>
      </c>
      <c r="C252" s="8" t="s">
        <v>6358</v>
      </c>
      <c r="D252" s="8">
        <v>73.0</v>
      </c>
    </row>
    <row r="253">
      <c r="A253" s="8" t="s">
        <v>1262</v>
      </c>
      <c r="B253" s="8" t="s">
        <v>2050</v>
      </c>
      <c r="C253" s="8" t="s">
        <v>6362</v>
      </c>
      <c r="D253" s="8">
        <v>70.0</v>
      </c>
    </row>
    <row r="254">
      <c r="A254" s="8" t="s">
        <v>859</v>
      </c>
      <c r="B254" s="8" t="s">
        <v>2250</v>
      </c>
      <c r="C254" s="8" t="s">
        <v>6373</v>
      </c>
      <c r="D254" s="8">
        <v>74.0</v>
      </c>
    </row>
    <row r="255">
      <c r="A255" s="8" t="s">
        <v>1872</v>
      </c>
      <c r="B255" s="8" t="s">
        <v>1871</v>
      </c>
      <c r="C255" s="8" t="s">
        <v>6363</v>
      </c>
      <c r="D255" s="8">
        <v>70.0</v>
      </c>
    </row>
    <row r="256">
      <c r="A256" s="8" t="s">
        <v>1308</v>
      </c>
      <c r="B256" s="8" t="s">
        <v>1307</v>
      </c>
      <c r="C256" s="8" t="s">
        <v>6358</v>
      </c>
      <c r="D256" s="8">
        <v>69.0</v>
      </c>
    </row>
    <row r="257">
      <c r="A257" s="8" t="s">
        <v>2806</v>
      </c>
      <c r="B257" s="8" t="s">
        <v>2805</v>
      </c>
      <c r="C257" s="8" t="s">
        <v>6376</v>
      </c>
      <c r="D257" s="8">
        <v>69.0</v>
      </c>
    </row>
    <row r="258">
      <c r="A258" s="8" t="s">
        <v>780</v>
      </c>
      <c r="B258" s="8" t="s">
        <v>251</v>
      </c>
      <c r="C258" s="8" t="s">
        <v>6364</v>
      </c>
      <c r="D258" s="8">
        <v>60.0</v>
      </c>
    </row>
    <row r="259">
      <c r="A259" s="8" t="s">
        <v>780</v>
      </c>
      <c r="B259" s="8" t="s">
        <v>779</v>
      </c>
      <c r="C259" s="8" t="s">
        <v>6378</v>
      </c>
      <c r="D259" s="8">
        <v>65.0</v>
      </c>
    </row>
    <row r="260">
      <c r="A260" s="8" t="s">
        <v>780</v>
      </c>
      <c r="B260" s="8" t="s">
        <v>817</v>
      </c>
      <c r="C260" s="8" t="s">
        <v>6367</v>
      </c>
      <c r="D260" s="8">
        <v>70.0</v>
      </c>
    </row>
    <row r="261">
      <c r="A261" s="8" t="s">
        <v>780</v>
      </c>
      <c r="B261" s="8" t="s">
        <v>2822</v>
      </c>
      <c r="C261" s="8" t="s">
        <v>6360</v>
      </c>
      <c r="D261" s="8">
        <v>83.0</v>
      </c>
    </row>
    <row r="262">
      <c r="A262" s="8" t="s">
        <v>780</v>
      </c>
      <c r="B262" s="8" t="s">
        <v>2822</v>
      </c>
      <c r="C262" s="8" t="s">
        <v>6360</v>
      </c>
      <c r="D262" s="8">
        <v>86.0</v>
      </c>
    </row>
    <row r="263">
      <c r="A263" s="8" t="s">
        <v>1708</v>
      </c>
      <c r="B263" s="8" t="s">
        <v>1707</v>
      </c>
      <c r="C263" s="8" t="s">
        <v>6345</v>
      </c>
      <c r="D263" s="8">
        <v>68.0</v>
      </c>
    </row>
    <row r="264">
      <c r="A264" s="8" t="s">
        <v>1570</v>
      </c>
      <c r="B264" s="8" t="s">
        <v>1569</v>
      </c>
      <c r="C264" s="8" t="s">
        <v>6367</v>
      </c>
      <c r="D264" s="8">
        <v>74.0</v>
      </c>
    </row>
    <row r="265">
      <c r="A265" s="8" t="s">
        <v>161</v>
      </c>
      <c r="B265" s="8" t="s">
        <v>284</v>
      </c>
      <c r="C265" s="8" t="s">
        <v>6348</v>
      </c>
      <c r="D265" s="8">
        <v>73.0</v>
      </c>
    </row>
    <row r="266">
      <c r="A266" s="8" t="s">
        <v>161</v>
      </c>
      <c r="B266" s="8" t="s">
        <v>160</v>
      </c>
      <c r="C266" s="8" t="s">
        <v>6354</v>
      </c>
      <c r="D266" s="8">
        <v>78.0</v>
      </c>
    </row>
    <row r="267">
      <c r="A267" s="8" t="s">
        <v>161</v>
      </c>
      <c r="B267" s="8" t="s">
        <v>1203</v>
      </c>
      <c r="C267" s="8" t="s">
        <v>6355</v>
      </c>
      <c r="D267" s="8">
        <v>75.0</v>
      </c>
    </row>
    <row r="268">
      <c r="A268" s="8" t="s">
        <v>157</v>
      </c>
      <c r="B268" s="8" t="s">
        <v>1276</v>
      </c>
      <c r="C268" s="8" t="s">
        <v>6363</v>
      </c>
      <c r="D268" s="8">
        <v>64.0</v>
      </c>
    </row>
    <row r="269">
      <c r="A269" s="8" t="s">
        <v>157</v>
      </c>
      <c r="B269" s="8" t="s">
        <v>833</v>
      </c>
      <c r="C269" s="8" t="s">
        <v>6378</v>
      </c>
      <c r="D269" s="8">
        <v>72.0</v>
      </c>
    </row>
    <row r="270">
      <c r="A270" s="8" t="s">
        <v>157</v>
      </c>
      <c r="B270" s="8" t="s">
        <v>460</v>
      </c>
      <c r="C270" s="8" t="s">
        <v>6368</v>
      </c>
      <c r="D270" s="8">
        <v>68.0</v>
      </c>
    </row>
    <row r="271">
      <c r="A271" s="8" t="s">
        <v>157</v>
      </c>
      <c r="B271" s="8" t="s">
        <v>1288</v>
      </c>
      <c r="C271" s="8" t="s">
        <v>6372</v>
      </c>
      <c r="D271" s="8">
        <v>79.0</v>
      </c>
    </row>
    <row r="272">
      <c r="A272" s="8" t="s">
        <v>157</v>
      </c>
      <c r="B272" s="8" t="s">
        <v>537</v>
      </c>
      <c r="C272" s="8" t="s">
        <v>6350</v>
      </c>
      <c r="D272" s="8">
        <v>71.0</v>
      </c>
    </row>
    <row r="273">
      <c r="A273" s="8" t="s">
        <v>157</v>
      </c>
      <c r="B273" s="8" t="s">
        <v>156</v>
      </c>
      <c r="C273" s="8" t="s">
        <v>6362</v>
      </c>
      <c r="D273" s="8">
        <v>71.0</v>
      </c>
    </row>
    <row r="274">
      <c r="A274" s="8" t="s">
        <v>157</v>
      </c>
      <c r="B274" s="8" t="s">
        <v>982</v>
      </c>
      <c r="C274" s="8" t="s">
        <v>6353</v>
      </c>
      <c r="D274" s="8">
        <v>70.0</v>
      </c>
    </row>
    <row r="275">
      <c r="A275" s="8" t="s">
        <v>157</v>
      </c>
      <c r="B275" s="8" t="s">
        <v>2977</v>
      </c>
      <c r="C275" s="8" t="s">
        <v>6354</v>
      </c>
      <c r="D275" s="8">
        <v>83.0</v>
      </c>
    </row>
    <row r="276">
      <c r="A276" s="8" t="s">
        <v>157</v>
      </c>
      <c r="B276" s="8" t="s">
        <v>44</v>
      </c>
      <c r="C276" s="8" t="s">
        <v>6358</v>
      </c>
      <c r="D276" s="8">
        <v>65.0</v>
      </c>
    </row>
    <row r="277">
      <c r="A277" s="8" t="s">
        <v>157</v>
      </c>
      <c r="B277" s="8" t="s">
        <v>3023</v>
      </c>
      <c r="C277" s="8" t="s">
        <v>6365</v>
      </c>
      <c r="D277" s="8">
        <v>72.0</v>
      </c>
    </row>
    <row r="278">
      <c r="A278" s="8" t="s">
        <v>157</v>
      </c>
      <c r="B278" s="8" t="s">
        <v>1579</v>
      </c>
      <c r="C278" s="8" t="s">
        <v>6374</v>
      </c>
      <c r="D278" s="8">
        <v>64.0</v>
      </c>
    </row>
    <row r="279">
      <c r="A279" s="8" t="s">
        <v>157</v>
      </c>
      <c r="B279" s="8" t="s">
        <v>419</v>
      </c>
      <c r="C279" s="8" t="s">
        <v>6370</v>
      </c>
      <c r="D279" s="8">
        <v>73.0</v>
      </c>
    </row>
    <row r="280">
      <c r="A280" s="8" t="s">
        <v>157</v>
      </c>
      <c r="B280" s="8" t="s">
        <v>460</v>
      </c>
      <c r="C280" s="8" t="s">
        <v>6357</v>
      </c>
      <c r="D280" s="8">
        <v>69.0</v>
      </c>
    </row>
    <row r="281">
      <c r="A281" s="8" t="s">
        <v>157</v>
      </c>
      <c r="B281" s="8" t="s">
        <v>4191</v>
      </c>
      <c r="C281" s="8" t="s">
        <v>6365</v>
      </c>
      <c r="D281" s="8">
        <v>73.0</v>
      </c>
    </row>
    <row r="282">
      <c r="A282" s="8" t="s">
        <v>487</v>
      </c>
      <c r="B282" s="8" t="s">
        <v>486</v>
      </c>
      <c r="C282" s="8" t="s">
        <v>6352</v>
      </c>
      <c r="D282" s="8">
        <v>74.0</v>
      </c>
    </row>
    <row r="283">
      <c r="A283" s="8" t="s">
        <v>1093</v>
      </c>
      <c r="B283" s="8" t="s">
        <v>1092</v>
      </c>
      <c r="C283" s="8" t="s">
        <v>6377</v>
      </c>
      <c r="D283" s="8">
        <v>79.0</v>
      </c>
    </row>
    <row r="284">
      <c r="A284" s="8" t="s">
        <v>109</v>
      </c>
      <c r="B284" s="8" t="s">
        <v>36</v>
      </c>
      <c r="C284" s="8" t="s">
        <v>6377</v>
      </c>
      <c r="D284" s="8">
        <v>76.0</v>
      </c>
    </row>
    <row r="285">
      <c r="A285" s="8" t="s">
        <v>243</v>
      </c>
      <c r="B285" s="8" t="s">
        <v>2743</v>
      </c>
      <c r="C285" s="8" t="s">
        <v>6356</v>
      </c>
      <c r="D285" s="8">
        <v>65.0</v>
      </c>
    </row>
    <row r="286">
      <c r="A286" s="8" t="s">
        <v>243</v>
      </c>
      <c r="B286" s="8" t="s">
        <v>2978</v>
      </c>
      <c r="C286" s="8" t="s">
        <v>6347</v>
      </c>
      <c r="D286" s="8">
        <v>74.0</v>
      </c>
    </row>
    <row r="287">
      <c r="A287" s="8" t="s">
        <v>731</v>
      </c>
      <c r="B287" s="8" t="s">
        <v>730</v>
      </c>
      <c r="C287" s="8" t="s">
        <v>6367</v>
      </c>
      <c r="D287" s="8">
        <v>67.0</v>
      </c>
    </row>
    <row r="288">
      <c r="A288" s="8" t="s">
        <v>731</v>
      </c>
      <c r="B288" s="8" t="s">
        <v>537</v>
      </c>
      <c r="C288" s="8" t="s">
        <v>6364</v>
      </c>
      <c r="D288" s="8">
        <v>67.0</v>
      </c>
    </row>
    <row r="289">
      <c r="A289" s="8" t="s">
        <v>224</v>
      </c>
      <c r="B289" s="8" t="s">
        <v>677</v>
      </c>
      <c r="C289" s="8" t="s">
        <v>6346</v>
      </c>
      <c r="D289" s="8">
        <v>66.0</v>
      </c>
    </row>
    <row r="290">
      <c r="A290" s="8" t="s">
        <v>224</v>
      </c>
      <c r="B290" s="8" t="s">
        <v>223</v>
      </c>
      <c r="C290" s="8" t="s">
        <v>6372</v>
      </c>
      <c r="D290" s="8">
        <v>78.0</v>
      </c>
    </row>
    <row r="291">
      <c r="A291" s="8" t="s">
        <v>249</v>
      </c>
      <c r="B291" s="8" t="s">
        <v>368</v>
      </c>
      <c r="C291" s="8" t="s">
        <v>6358</v>
      </c>
      <c r="D291" s="8">
        <v>74.0</v>
      </c>
    </row>
    <row r="292">
      <c r="A292" s="8" t="s">
        <v>249</v>
      </c>
      <c r="B292" s="8" t="s">
        <v>280</v>
      </c>
      <c r="C292" s="8" t="s">
        <v>6376</v>
      </c>
      <c r="D292" s="8">
        <v>82.0</v>
      </c>
    </row>
    <row r="293">
      <c r="A293" s="8" t="s">
        <v>249</v>
      </c>
      <c r="B293" s="8" t="s">
        <v>99</v>
      </c>
      <c r="C293" s="8" t="s">
        <v>6345</v>
      </c>
      <c r="D293" s="8">
        <v>83.0</v>
      </c>
    </row>
    <row r="294">
      <c r="A294" s="8" t="s">
        <v>249</v>
      </c>
      <c r="B294" s="8" t="s">
        <v>99</v>
      </c>
      <c r="C294" s="8" t="s">
        <v>6370</v>
      </c>
      <c r="D294" s="8">
        <v>84.0</v>
      </c>
    </row>
    <row r="295">
      <c r="A295" s="8" t="s">
        <v>249</v>
      </c>
      <c r="B295" s="8" t="s">
        <v>99</v>
      </c>
      <c r="C295" s="8" t="s">
        <v>6370</v>
      </c>
      <c r="D295" s="8">
        <v>82.0</v>
      </c>
    </row>
    <row r="296">
      <c r="A296" s="8" t="s">
        <v>249</v>
      </c>
      <c r="B296" s="8" t="s">
        <v>99</v>
      </c>
      <c r="C296" s="8" t="s">
        <v>6345</v>
      </c>
      <c r="D296" s="8">
        <v>90.0</v>
      </c>
    </row>
    <row r="297">
      <c r="A297" s="8" t="s">
        <v>249</v>
      </c>
      <c r="B297" s="8" t="s">
        <v>99</v>
      </c>
      <c r="C297" s="8" t="s">
        <v>6345</v>
      </c>
      <c r="D297" s="8">
        <v>86.0</v>
      </c>
    </row>
    <row r="298">
      <c r="A298" s="8" t="s">
        <v>249</v>
      </c>
      <c r="B298" s="8" t="s">
        <v>99</v>
      </c>
      <c r="C298" s="8" t="s">
        <v>6345</v>
      </c>
      <c r="D298" s="8">
        <v>88.0</v>
      </c>
    </row>
    <row r="299">
      <c r="A299" s="8" t="s">
        <v>354</v>
      </c>
      <c r="B299" s="8" t="s">
        <v>145</v>
      </c>
      <c r="C299" s="8" t="s">
        <v>6369</v>
      </c>
      <c r="D299" s="8">
        <v>68.0</v>
      </c>
    </row>
    <row r="300">
      <c r="A300" s="8" t="s">
        <v>354</v>
      </c>
      <c r="B300" s="8" t="s">
        <v>2658</v>
      </c>
      <c r="C300" s="8" t="s">
        <v>6360</v>
      </c>
      <c r="D300" s="8">
        <v>83.0</v>
      </c>
    </row>
    <row r="301">
      <c r="A301" s="8" t="s">
        <v>354</v>
      </c>
      <c r="B301" s="8" t="s">
        <v>353</v>
      </c>
      <c r="C301" s="8" t="s">
        <v>6355</v>
      </c>
      <c r="D301" s="8">
        <v>79.0</v>
      </c>
    </row>
    <row r="302">
      <c r="A302" s="8" t="s">
        <v>354</v>
      </c>
      <c r="B302" s="8" t="s">
        <v>621</v>
      </c>
      <c r="C302" s="8" t="s">
        <v>6373</v>
      </c>
      <c r="D302" s="8">
        <v>72.0</v>
      </c>
    </row>
    <row r="303">
      <c r="A303" s="8" t="s">
        <v>871</v>
      </c>
      <c r="B303" s="8" t="s">
        <v>932</v>
      </c>
      <c r="C303" s="8" t="s">
        <v>6357</v>
      </c>
      <c r="D303" s="8">
        <v>74.0</v>
      </c>
    </row>
    <row r="304">
      <c r="A304" s="8" t="s">
        <v>871</v>
      </c>
      <c r="B304" s="8" t="s">
        <v>2994</v>
      </c>
      <c r="C304" s="8" t="s">
        <v>6347</v>
      </c>
      <c r="D304" s="8">
        <v>72.0</v>
      </c>
    </row>
    <row r="305">
      <c r="A305" s="8" t="s">
        <v>871</v>
      </c>
      <c r="B305" s="8" t="s">
        <v>870</v>
      </c>
      <c r="C305" s="8" t="s">
        <v>6359</v>
      </c>
      <c r="D305" s="8">
        <v>76.0</v>
      </c>
    </row>
    <row r="306">
      <c r="A306" s="8" t="s">
        <v>871</v>
      </c>
      <c r="B306" s="8" t="s">
        <v>3100</v>
      </c>
      <c r="C306" s="8" t="s">
        <v>6375</v>
      </c>
      <c r="D306" s="8">
        <v>69.0</v>
      </c>
    </row>
    <row r="307">
      <c r="A307" s="8" t="s">
        <v>3098</v>
      </c>
      <c r="B307" s="8" t="s">
        <v>3097</v>
      </c>
      <c r="C307" s="8" t="s">
        <v>6354</v>
      </c>
      <c r="D307" s="8">
        <v>66.0</v>
      </c>
    </row>
    <row r="308">
      <c r="A308" s="8" t="s">
        <v>2653</v>
      </c>
      <c r="B308" s="8" t="s">
        <v>2652</v>
      </c>
      <c r="C308" s="8" t="s">
        <v>6352</v>
      </c>
      <c r="D308" s="8">
        <v>63.0</v>
      </c>
    </row>
    <row r="309">
      <c r="A309" s="8" t="s">
        <v>1160</v>
      </c>
      <c r="B309" s="8" t="s">
        <v>1159</v>
      </c>
      <c r="C309" s="8" t="s">
        <v>6368</v>
      </c>
      <c r="D309" s="8">
        <v>76.0</v>
      </c>
    </row>
    <row r="310">
      <c r="A310" s="8" t="s">
        <v>2037</v>
      </c>
      <c r="B310" s="8" t="s">
        <v>1891</v>
      </c>
      <c r="C310" s="8" t="s">
        <v>6352</v>
      </c>
      <c r="D310" s="8">
        <v>77.0</v>
      </c>
    </row>
    <row r="311">
      <c r="A311" s="8" t="s">
        <v>433</v>
      </c>
      <c r="B311" s="8" t="s">
        <v>432</v>
      </c>
      <c r="C311" s="8" t="s">
        <v>6378</v>
      </c>
      <c r="D311" s="8">
        <v>76.0</v>
      </c>
    </row>
    <row r="312">
      <c r="A312" s="8" t="s">
        <v>1210</v>
      </c>
      <c r="B312" s="8" t="s">
        <v>2926</v>
      </c>
      <c r="C312" s="8" t="s">
        <v>6371</v>
      </c>
      <c r="D312" s="8">
        <v>74.0</v>
      </c>
    </row>
    <row r="313">
      <c r="A313" s="8" t="s">
        <v>1210</v>
      </c>
      <c r="B313" s="8" t="s">
        <v>284</v>
      </c>
      <c r="C313" s="8" t="s">
        <v>6374</v>
      </c>
      <c r="D313" s="8">
        <v>78.0</v>
      </c>
    </row>
    <row r="314">
      <c r="A314" s="8" t="s">
        <v>1210</v>
      </c>
      <c r="B314" s="8" t="s">
        <v>405</v>
      </c>
      <c r="C314" s="8" t="s">
        <v>6370</v>
      </c>
      <c r="D314" s="8">
        <v>65.0</v>
      </c>
    </row>
    <row r="315">
      <c r="A315" s="8" t="s">
        <v>6380</v>
      </c>
      <c r="B315" s="8" t="s">
        <v>1321</v>
      </c>
      <c r="C315" s="8" t="s">
        <v>6350</v>
      </c>
      <c r="D315" s="8">
        <v>74.0</v>
      </c>
    </row>
    <row r="316">
      <c r="A316" s="8" t="s">
        <v>6380</v>
      </c>
      <c r="B316" s="8" t="s">
        <v>1372</v>
      </c>
      <c r="C316" s="8" t="s">
        <v>6356</v>
      </c>
      <c r="D316" s="8">
        <v>72.0</v>
      </c>
    </row>
    <row r="317">
      <c r="A317" s="8" t="s">
        <v>6380</v>
      </c>
      <c r="B317" s="8" t="s">
        <v>1184</v>
      </c>
      <c r="C317" s="8" t="s">
        <v>6365</v>
      </c>
      <c r="D317" s="8">
        <v>71.0</v>
      </c>
    </row>
    <row r="318">
      <c r="A318" s="8" t="s">
        <v>6380</v>
      </c>
      <c r="B318" s="8" t="s">
        <v>3061</v>
      </c>
      <c r="C318" s="8" t="s">
        <v>6363</v>
      </c>
      <c r="D318" s="8">
        <v>62.0</v>
      </c>
    </row>
    <row r="319">
      <c r="A319" s="8" t="s">
        <v>6380</v>
      </c>
      <c r="B319" s="8" t="s">
        <v>636</v>
      </c>
      <c r="C319" s="8" t="s">
        <v>6369</v>
      </c>
      <c r="D319" s="8">
        <v>81.0</v>
      </c>
    </row>
    <row r="320">
      <c r="A320" s="8" t="s">
        <v>6380</v>
      </c>
      <c r="B320" s="8" t="s">
        <v>1581</v>
      </c>
      <c r="C320" s="8" t="s">
        <v>6371</v>
      </c>
      <c r="D320" s="8">
        <v>74.0</v>
      </c>
    </row>
    <row r="321">
      <c r="A321" s="8" t="s">
        <v>6380</v>
      </c>
      <c r="B321" s="8" t="s">
        <v>986</v>
      </c>
      <c r="C321" s="8" t="s">
        <v>6367</v>
      </c>
      <c r="D321" s="8">
        <v>83.0</v>
      </c>
    </row>
    <row r="322">
      <c r="A322" s="8" t="s">
        <v>1021</v>
      </c>
      <c r="B322" s="8" t="s">
        <v>1020</v>
      </c>
      <c r="C322" s="8" t="s">
        <v>6378</v>
      </c>
      <c r="D322" s="8">
        <v>79.0</v>
      </c>
    </row>
    <row r="323">
      <c r="A323" s="8" t="s">
        <v>143</v>
      </c>
      <c r="B323" s="8" t="s">
        <v>142</v>
      </c>
      <c r="C323" s="8" t="s">
        <v>6346</v>
      </c>
      <c r="D323" s="8">
        <v>84.0</v>
      </c>
    </row>
    <row r="324">
      <c r="A324" s="8" t="s">
        <v>1376</v>
      </c>
      <c r="B324" s="8" t="s">
        <v>1375</v>
      </c>
      <c r="C324" s="8" t="s">
        <v>6360</v>
      </c>
      <c r="D324" s="8">
        <v>65.0</v>
      </c>
    </row>
    <row r="325">
      <c r="A325" s="8" t="s">
        <v>1376</v>
      </c>
      <c r="B325" s="8" t="s">
        <v>1720</v>
      </c>
      <c r="C325" s="8" t="s">
        <v>6377</v>
      </c>
      <c r="D325" s="8">
        <v>71.0</v>
      </c>
    </row>
    <row r="326">
      <c r="A326" s="8" t="s">
        <v>1376</v>
      </c>
      <c r="B326" s="8" t="s">
        <v>3080</v>
      </c>
      <c r="C326" s="8" t="s">
        <v>6344</v>
      </c>
      <c r="D326" s="8">
        <v>79.0</v>
      </c>
    </row>
    <row r="327">
      <c r="A327" s="8" t="s">
        <v>1915</v>
      </c>
      <c r="B327" s="8" t="s">
        <v>1914</v>
      </c>
      <c r="C327" s="8" t="s">
        <v>6348</v>
      </c>
      <c r="D327" s="8">
        <v>62.0</v>
      </c>
    </row>
    <row r="328">
      <c r="A328" s="8" t="s">
        <v>1915</v>
      </c>
      <c r="B328" s="8" t="s">
        <v>1955</v>
      </c>
      <c r="C328" s="8" t="s">
        <v>6372</v>
      </c>
      <c r="D328" s="8">
        <v>77.0</v>
      </c>
    </row>
    <row r="329">
      <c r="A329" s="8" t="s">
        <v>407</v>
      </c>
      <c r="B329" s="8" t="s">
        <v>389</v>
      </c>
      <c r="C329" s="8" t="s">
        <v>6353</v>
      </c>
      <c r="D329" s="8">
        <v>78.0</v>
      </c>
    </row>
    <row r="330">
      <c r="A330" s="8" t="s">
        <v>407</v>
      </c>
      <c r="B330" s="8" t="s">
        <v>308</v>
      </c>
      <c r="C330" s="8" t="s">
        <v>6346</v>
      </c>
      <c r="D330" s="8">
        <v>76.0</v>
      </c>
    </row>
    <row r="331">
      <c r="A331" s="8" t="s">
        <v>407</v>
      </c>
      <c r="B331" s="8" t="s">
        <v>406</v>
      </c>
      <c r="C331" s="8" t="s">
        <v>6369</v>
      </c>
      <c r="D331" s="8">
        <v>84.0</v>
      </c>
    </row>
    <row r="332">
      <c r="A332" s="8" t="s">
        <v>52</v>
      </c>
      <c r="B332" s="8" t="s">
        <v>42</v>
      </c>
      <c r="C332" s="8" t="s">
        <v>6364</v>
      </c>
      <c r="D332" s="8">
        <v>63.0</v>
      </c>
    </row>
    <row r="333">
      <c r="A333" s="8" t="s">
        <v>52</v>
      </c>
      <c r="B333" s="8" t="s">
        <v>379</v>
      </c>
      <c r="C333" s="8" t="s">
        <v>6368</v>
      </c>
      <c r="D333" s="8">
        <v>82.0</v>
      </c>
    </row>
    <row r="334">
      <c r="A334" s="8" t="s">
        <v>52</v>
      </c>
      <c r="B334" s="8" t="s">
        <v>15</v>
      </c>
      <c r="C334" s="8" t="s">
        <v>6349</v>
      </c>
      <c r="D334" s="8">
        <v>63.0</v>
      </c>
    </row>
    <row r="335">
      <c r="A335" s="8" t="s">
        <v>52</v>
      </c>
      <c r="B335" s="8" t="s">
        <v>463</v>
      </c>
      <c r="C335" s="8" t="s">
        <v>6369</v>
      </c>
      <c r="D335" s="8">
        <v>70.0</v>
      </c>
    </row>
    <row r="336">
      <c r="A336" s="8" t="s">
        <v>52</v>
      </c>
      <c r="B336" s="8" t="s">
        <v>1261</v>
      </c>
      <c r="C336" s="8" t="s">
        <v>6349</v>
      </c>
      <c r="D336" s="8">
        <v>80.0</v>
      </c>
    </row>
    <row r="337">
      <c r="A337" s="8" t="s">
        <v>52</v>
      </c>
      <c r="B337" s="8" t="s">
        <v>654</v>
      </c>
      <c r="C337" s="8" t="s">
        <v>6360</v>
      </c>
      <c r="D337" s="8">
        <v>79.0</v>
      </c>
    </row>
    <row r="338">
      <c r="A338" s="8" t="s">
        <v>52</v>
      </c>
      <c r="B338" s="8" t="s">
        <v>901</v>
      </c>
      <c r="C338" s="8" t="s">
        <v>6373</v>
      </c>
      <c r="D338" s="8">
        <v>70.0</v>
      </c>
    </row>
    <row r="339">
      <c r="A339" s="8" t="s">
        <v>52</v>
      </c>
      <c r="B339" s="8" t="s">
        <v>263</v>
      </c>
      <c r="C339" s="8" t="s">
        <v>6349</v>
      </c>
      <c r="D339" s="8">
        <v>87.0</v>
      </c>
    </row>
    <row r="340">
      <c r="A340" s="8" t="s">
        <v>52</v>
      </c>
      <c r="B340" s="8" t="s">
        <v>1171</v>
      </c>
      <c r="C340" s="8" t="s">
        <v>6374</v>
      </c>
      <c r="D340" s="8">
        <v>78.0</v>
      </c>
    </row>
    <row r="341">
      <c r="A341" s="8" t="s">
        <v>52</v>
      </c>
      <c r="B341" s="8" t="s">
        <v>1984</v>
      </c>
      <c r="C341" s="8" t="s">
        <v>6368</v>
      </c>
      <c r="D341" s="8">
        <v>69.0</v>
      </c>
    </row>
    <row r="342">
      <c r="A342" s="8" t="s">
        <v>52</v>
      </c>
      <c r="B342" s="8" t="s">
        <v>51</v>
      </c>
      <c r="C342" s="8" t="s">
        <v>6347</v>
      </c>
      <c r="D342" s="8">
        <v>81.0</v>
      </c>
    </row>
    <row r="343">
      <c r="A343" s="8" t="s">
        <v>52</v>
      </c>
      <c r="B343" s="8" t="s">
        <v>1886</v>
      </c>
      <c r="C343" s="8" t="s">
        <v>6347</v>
      </c>
      <c r="D343" s="8">
        <v>67.0</v>
      </c>
    </row>
    <row r="344">
      <c r="A344" s="8" t="s">
        <v>2957</v>
      </c>
      <c r="B344" s="8" t="s">
        <v>2956</v>
      </c>
      <c r="C344" s="8" t="s">
        <v>6369</v>
      </c>
      <c r="D344" s="8">
        <v>73.0</v>
      </c>
    </row>
    <row r="345">
      <c r="A345" s="8" t="s">
        <v>3011</v>
      </c>
      <c r="B345" s="8" t="s">
        <v>1012</v>
      </c>
      <c r="C345" s="8" t="s">
        <v>6361</v>
      </c>
      <c r="D345" s="8">
        <v>63.0</v>
      </c>
    </row>
    <row r="346">
      <c r="A346" s="8" t="s">
        <v>1211</v>
      </c>
      <c r="B346" s="8" t="s">
        <v>284</v>
      </c>
      <c r="C346" s="8" t="s">
        <v>6344</v>
      </c>
      <c r="D346" s="8">
        <v>67.0</v>
      </c>
    </row>
    <row r="347">
      <c r="A347" s="8" t="s">
        <v>881</v>
      </c>
      <c r="B347" s="8" t="s">
        <v>741</v>
      </c>
      <c r="C347" s="8" t="s">
        <v>6350</v>
      </c>
      <c r="D347" s="8">
        <v>79.0</v>
      </c>
    </row>
    <row r="348">
      <c r="A348" s="8" t="s">
        <v>881</v>
      </c>
      <c r="B348" s="8" t="s">
        <v>61</v>
      </c>
      <c r="C348" s="8" t="s">
        <v>6367</v>
      </c>
      <c r="D348" s="8">
        <v>70.0</v>
      </c>
    </row>
    <row r="349">
      <c r="A349" s="8" t="s">
        <v>881</v>
      </c>
      <c r="B349" s="8" t="s">
        <v>1268</v>
      </c>
      <c r="C349" s="8" t="s">
        <v>6377</v>
      </c>
      <c r="D349" s="8">
        <v>72.0</v>
      </c>
    </row>
    <row r="350">
      <c r="A350" s="8" t="s">
        <v>366</v>
      </c>
      <c r="B350" s="8" t="s">
        <v>365</v>
      </c>
      <c r="C350" s="8" t="s">
        <v>6350</v>
      </c>
      <c r="D350" s="8">
        <v>79.0</v>
      </c>
    </row>
    <row r="351">
      <c r="A351" s="8" t="s">
        <v>366</v>
      </c>
      <c r="B351" s="8" t="s">
        <v>444</v>
      </c>
      <c r="C351" s="8" t="s">
        <v>6364</v>
      </c>
      <c r="D351" s="8">
        <v>64.0</v>
      </c>
    </row>
    <row r="352">
      <c r="A352" s="8" t="s">
        <v>366</v>
      </c>
      <c r="B352" s="8" t="s">
        <v>718</v>
      </c>
      <c r="C352" s="8" t="s">
        <v>6377</v>
      </c>
      <c r="D352" s="8">
        <v>80.0</v>
      </c>
    </row>
    <row r="353">
      <c r="A353" s="8" t="s">
        <v>366</v>
      </c>
      <c r="B353" s="8" t="s">
        <v>937</v>
      </c>
      <c r="C353" s="8" t="s">
        <v>6363</v>
      </c>
      <c r="D353" s="8">
        <v>73.0</v>
      </c>
    </row>
    <row r="354">
      <c r="A354" s="8" t="s">
        <v>366</v>
      </c>
      <c r="B354" s="8" t="s">
        <v>1050</v>
      </c>
      <c r="C354" s="8" t="s">
        <v>6358</v>
      </c>
      <c r="D354" s="8">
        <v>73.0</v>
      </c>
    </row>
    <row r="355">
      <c r="A355" s="8" t="s">
        <v>1351</v>
      </c>
      <c r="B355" s="8" t="s">
        <v>1350</v>
      </c>
      <c r="C355" s="8" t="s">
        <v>6352</v>
      </c>
      <c r="D355" s="8">
        <v>62.0</v>
      </c>
    </row>
    <row r="356">
      <c r="A356" s="8" t="s">
        <v>1351</v>
      </c>
      <c r="B356" s="8" t="s">
        <v>61</v>
      </c>
      <c r="C356" s="8" t="s">
        <v>6360</v>
      </c>
      <c r="D356" s="8">
        <v>72.0</v>
      </c>
    </row>
    <row r="357">
      <c r="A357" s="8" t="s">
        <v>1286</v>
      </c>
      <c r="B357" s="8" t="s">
        <v>1005</v>
      </c>
      <c r="C357" s="8" t="s">
        <v>6346</v>
      </c>
      <c r="D357" s="8">
        <v>62.0</v>
      </c>
    </row>
    <row r="358">
      <c r="A358" s="8" t="s">
        <v>1118</v>
      </c>
      <c r="B358" s="8" t="s">
        <v>1335</v>
      </c>
      <c r="C358" s="8" t="s">
        <v>6375</v>
      </c>
      <c r="D358" s="8">
        <v>85.0</v>
      </c>
    </row>
    <row r="359">
      <c r="A359" s="8" t="s">
        <v>289</v>
      </c>
      <c r="B359" s="8" t="s">
        <v>288</v>
      </c>
      <c r="C359" s="8" t="s">
        <v>6363</v>
      </c>
      <c r="D359" s="8">
        <v>82.0</v>
      </c>
    </row>
    <row r="360">
      <c r="A360" s="8" t="s">
        <v>494</v>
      </c>
      <c r="B360" s="8" t="s">
        <v>2234</v>
      </c>
      <c r="C360" s="8" t="s">
        <v>6364</v>
      </c>
      <c r="D360" s="8">
        <v>69.0</v>
      </c>
    </row>
    <row r="361">
      <c r="A361" s="8" t="s">
        <v>494</v>
      </c>
      <c r="B361" s="8" t="s">
        <v>530</v>
      </c>
      <c r="C361" s="8" t="s">
        <v>6344</v>
      </c>
      <c r="D361" s="8">
        <v>86.0</v>
      </c>
    </row>
    <row r="362">
      <c r="A362" s="8" t="s">
        <v>976</v>
      </c>
      <c r="B362" s="8" t="s">
        <v>975</v>
      </c>
      <c r="C362" s="8" t="s">
        <v>6356</v>
      </c>
      <c r="D362" s="8">
        <v>66.0</v>
      </c>
    </row>
    <row r="363">
      <c r="A363" s="8" t="s">
        <v>329</v>
      </c>
      <c r="B363" s="8" t="s">
        <v>996</v>
      </c>
      <c r="C363" s="8" t="s">
        <v>6350</v>
      </c>
      <c r="D363" s="8">
        <v>72.0</v>
      </c>
    </row>
    <row r="364">
      <c r="A364" s="8" t="s">
        <v>2287</v>
      </c>
      <c r="B364" s="8" t="s">
        <v>451</v>
      </c>
      <c r="C364" s="8" t="s">
        <v>6374</v>
      </c>
      <c r="D364" s="8">
        <v>73.0</v>
      </c>
    </row>
    <row r="365">
      <c r="A365" s="8" t="s">
        <v>117</v>
      </c>
      <c r="B365" s="8" t="s">
        <v>116</v>
      </c>
      <c r="C365" s="8" t="s">
        <v>6373</v>
      </c>
      <c r="D365" s="8">
        <v>69.0</v>
      </c>
    </row>
    <row r="366">
      <c r="A366" s="8" t="s">
        <v>117</v>
      </c>
      <c r="B366" s="8" t="s">
        <v>78</v>
      </c>
      <c r="C366" s="8" t="s">
        <v>6352</v>
      </c>
      <c r="D366" s="8">
        <v>71.0</v>
      </c>
    </row>
    <row r="367">
      <c r="A367" s="8" t="s">
        <v>117</v>
      </c>
      <c r="B367" s="8" t="s">
        <v>1663</v>
      </c>
      <c r="C367" s="8" t="s">
        <v>6348</v>
      </c>
      <c r="D367" s="8">
        <v>69.0</v>
      </c>
    </row>
    <row r="368">
      <c r="A368" s="8" t="s">
        <v>117</v>
      </c>
      <c r="B368" s="8" t="s">
        <v>1032</v>
      </c>
      <c r="C368" s="8" t="s">
        <v>6358</v>
      </c>
      <c r="D368" s="8">
        <v>66.0</v>
      </c>
    </row>
    <row r="369">
      <c r="A369" s="8" t="s">
        <v>117</v>
      </c>
      <c r="B369" s="8" t="s">
        <v>561</v>
      </c>
      <c r="C369" s="8" t="s">
        <v>6363</v>
      </c>
      <c r="D369" s="8">
        <v>70.0</v>
      </c>
    </row>
    <row r="370">
      <c r="A370" s="8" t="s">
        <v>117</v>
      </c>
      <c r="B370" s="8" t="s">
        <v>2832</v>
      </c>
      <c r="C370" s="8" t="s">
        <v>6378</v>
      </c>
      <c r="D370" s="8">
        <v>71.0</v>
      </c>
    </row>
    <row r="371">
      <c r="A371" s="8" t="s">
        <v>117</v>
      </c>
      <c r="B371" s="8" t="s">
        <v>62</v>
      </c>
      <c r="C371" s="8" t="s">
        <v>6377</v>
      </c>
      <c r="D371" s="8">
        <v>72.0</v>
      </c>
    </row>
    <row r="372">
      <c r="A372" s="8" t="s">
        <v>2669</v>
      </c>
      <c r="B372" s="8" t="s">
        <v>240</v>
      </c>
      <c r="C372" s="8" t="s">
        <v>6370</v>
      </c>
      <c r="D372" s="8">
        <v>84.0</v>
      </c>
    </row>
    <row r="373">
      <c r="A373" s="8" t="s">
        <v>2669</v>
      </c>
      <c r="B373" s="8" t="s">
        <v>240</v>
      </c>
      <c r="C373" s="8" t="s">
        <v>6363</v>
      </c>
      <c r="D373" s="8">
        <v>83.0</v>
      </c>
    </row>
    <row r="374">
      <c r="A374" s="8" t="s">
        <v>2669</v>
      </c>
      <c r="B374" s="8" t="s">
        <v>240</v>
      </c>
      <c r="C374" s="8" t="s">
        <v>6363</v>
      </c>
      <c r="D374" s="8">
        <v>85.0</v>
      </c>
    </row>
    <row r="375">
      <c r="A375" s="8" t="s">
        <v>2669</v>
      </c>
      <c r="B375" s="8" t="s">
        <v>240</v>
      </c>
      <c r="C375" s="8" t="s">
        <v>6363</v>
      </c>
      <c r="D375" s="8">
        <v>91.0</v>
      </c>
    </row>
    <row r="376">
      <c r="A376" s="8" t="s">
        <v>2669</v>
      </c>
      <c r="B376" s="8" t="s">
        <v>240</v>
      </c>
      <c r="C376" s="8" t="s">
        <v>6363</v>
      </c>
      <c r="D376" s="8">
        <v>89.0</v>
      </c>
    </row>
    <row r="377">
      <c r="A377" s="8" t="s">
        <v>2669</v>
      </c>
      <c r="B377" s="8" t="s">
        <v>240</v>
      </c>
      <c r="C377" s="8" t="s">
        <v>6370</v>
      </c>
      <c r="D377" s="8">
        <v>87.0</v>
      </c>
    </row>
    <row r="378">
      <c r="A378" s="8" t="s">
        <v>3121</v>
      </c>
      <c r="B378" s="8" t="s">
        <v>3120</v>
      </c>
      <c r="C378" s="8" t="s">
        <v>6375</v>
      </c>
      <c r="D378" s="8">
        <v>74.0</v>
      </c>
    </row>
    <row r="379">
      <c r="A379" s="8" t="s">
        <v>554</v>
      </c>
      <c r="B379" s="8" t="s">
        <v>284</v>
      </c>
      <c r="C379" s="8" t="s">
        <v>6352</v>
      </c>
      <c r="D379" s="8">
        <v>82.0</v>
      </c>
    </row>
    <row r="380">
      <c r="A380" s="8" t="s">
        <v>554</v>
      </c>
      <c r="B380" s="8" t="s">
        <v>659</v>
      </c>
      <c r="C380" s="8" t="s">
        <v>6360</v>
      </c>
      <c r="D380" s="8">
        <v>78.0</v>
      </c>
    </row>
    <row r="381">
      <c r="A381" s="8" t="s">
        <v>3079</v>
      </c>
      <c r="B381" s="8" t="s">
        <v>825</v>
      </c>
      <c r="C381" s="8" t="s">
        <v>6360</v>
      </c>
      <c r="D381" s="8">
        <v>63.0</v>
      </c>
    </row>
    <row r="382">
      <c r="A382" s="8" t="s">
        <v>3079</v>
      </c>
      <c r="B382" s="8" t="s">
        <v>3078</v>
      </c>
      <c r="C382" s="8" t="s">
        <v>6364</v>
      </c>
      <c r="D382" s="8">
        <v>63.0</v>
      </c>
    </row>
    <row r="383">
      <c r="A383" s="8" t="s">
        <v>3128</v>
      </c>
      <c r="B383" s="8" t="s">
        <v>3127</v>
      </c>
      <c r="C383" s="8" t="s">
        <v>6373</v>
      </c>
      <c r="D383" s="8">
        <v>76.0</v>
      </c>
    </row>
    <row r="384">
      <c r="A384" s="8" t="s">
        <v>357</v>
      </c>
      <c r="B384" s="8" t="s">
        <v>89</v>
      </c>
      <c r="C384" s="8" t="s">
        <v>6347</v>
      </c>
      <c r="D384" s="8">
        <v>73.0</v>
      </c>
    </row>
    <row r="385">
      <c r="A385" s="8" t="s">
        <v>357</v>
      </c>
      <c r="B385" s="8" t="s">
        <v>2898</v>
      </c>
      <c r="C385" s="8" t="s">
        <v>6359</v>
      </c>
      <c r="D385" s="8">
        <v>79.0</v>
      </c>
    </row>
    <row r="386">
      <c r="A386" s="8" t="s">
        <v>357</v>
      </c>
      <c r="B386" s="8" t="s">
        <v>165</v>
      </c>
      <c r="C386" s="8" t="s">
        <v>6345</v>
      </c>
      <c r="D386" s="8">
        <v>82.0</v>
      </c>
    </row>
    <row r="387">
      <c r="A387" s="8" t="s">
        <v>357</v>
      </c>
      <c r="B387" s="8" t="s">
        <v>389</v>
      </c>
      <c r="C387" s="8" t="s">
        <v>6378</v>
      </c>
      <c r="D387" s="8">
        <v>72.0</v>
      </c>
    </row>
    <row r="388">
      <c r="A388" s="8" t="s">
        <v>357</v>
      </c>
      <c r="B388" s="8" t="s">
        <v>3051</v>
      </c>
      <c r="C388" s="8" t="s">
        <v>6360</v>
      </c>
      <c r="D388" s="8">
        <v>76.0</v>
      </c>
    </row>
    <row r="389">
      <c r="A389" s="8" t="s">
        <v>357</v>
      </c>
      <c r="B389" s="8" t="s">
        <v>3084</v>
      </c>
      <c r="C389" s="8" t="s">
        <v>6374</v>
      </c>
      <c r="D389" s="8">
        <v>74.0</v>
      </c>
    </row>
    <row r="390">
      <c r="A390" s="8" t="s">
        <v>357</v>
      </c>
      <c r="B390" s="8" t="s">
        <v>1330</v>
      </c>
      <c r="C390" s="8" t="s">
        <v>6353</v>
      </c>
      <c r="D390" s="8">
        <v>63.0</v>
      </c>
    </row>
    <row r="391">
      <c r="A391" s="8" t="s">
        <v>1278</v>
      </c>
      <c r="B391" s="8" t="s">
        <v>1277</v>
      </c>
      <c r="C391" s="8" t="s">
        <v>6378</v>
      </c>
      <c r="D391" s="8">
        <v>69.0</v>
      </c>
    </row>
    <row r="392">
      <c r="A392" s="8" t="s">
        <v>198</v>
      </c>
      <c r="B392" s="8" t="s">
        <v>197</v>
      </c>
      <c r="C392" s="8" t="s">
        <v>6359</v>
      </c>
      <c r="D392" s="8">
        <v>70.0</v>
      </c>
    </row>
    <row r="393">
      <c r="A393" s="8" t="s">
        <v>198</v>
      </c>
      <c r="B393" s="8" t="s">
        <v>1305</v>
      </c>
      <c r="C393" s="8" t="s">
        <v>6370</v>
      </c>
      <c r="D393" s="8">
        <v>72.0</v>
      </c>
    </row>
    <row r="394">
      <c r="A394" s="8" t="s">
        <v>198</v>
      </c>
      <c r="B394" s="8" t="s">
        <v>460</v>
      </c>
      <c r="C394" s="8" t="s">
        <v>6347</v>
      </c>
      <c r="D394" s="8">
        <v>73.0</v>
      </c>
    </row>
    <row r="395">
      <c r="A395" s="8" t="s">
        <v>198</v>
      </c>
      <c r="B395" s="8" t="s">
        <v>2092</v>
      </c>
      <c r="C395" s="8" t="s">
        <v>6352</v>
      </c>
      <c r="D395" s="8">
        <v>68.0</v>
      </c>
    </row>
    <row r="396">
      <c r="A396" s="8" t="s">
        <v>928</v>
      </c>
      <c r="B396" s="8" t="s">
        <v>268</v>
      </c>
      <c r="C396" s="8" t="s">
        <v>6374</v>
      </c>
      <c r="D396" s="8">
        <v>66.0</v>
      </c>
    </row>
    <row r="397">
      <c r="A397" s="8" t="s">
        <v>1594</v>
      </c>
      <c r="B397" s="8" t="s">
        <v>1301</v>
      </c>
      <c r="C397" s="8" t="s">
        <v>6361</v>
      </c>
      <c r="D397" s="8">
        <v>73.0</v>
      </c>
    </row>
    <row r="398">
      <c r="A398" s="8" t="s">
        <v>1691</v>
      </c>
      <c r="B398" s="8" t="s">
        <v>1690</v>
      </c>
      <c r="C398" s="8" t="s">
        <v>6374</v>
      </c>
      <c r="D398" s="8">
        <v>79.0</v>
      </c>
    </row>
    <row r="399">
      <c r="A399" s="8" t="s">
        <v>275</v>
      </c>
      <c r="B399" s="8" t="s">
        <v>1118</v>
      </c>
      <c r="C399" s="8" t="s">
        <v>6371</v>
      </c>
      <c r="D399" s="8">
        <v>77.0</v>
      </c>
    </row>
    <row r="400">
      <c r="A400" s="8" t="s">
        <v>275</v>
      </c>
      <c r="B400" s="8" t="s">
        <v>1264</v>
      </c>
      <c r="C400" s="8" t="s">
        <v>6367</v>
      </c>
      <c r="D400" s="8">
        <v>70.0</v>
      </c>
    </row>
    <row r="401">
      <c r="A401" s="8" t="s">
        <v>275</v>
      </c>
      <c r="B401" s="8" t="s">
        <v>2919</v>
      </c>
      <c r="C401" s="8" t="s">
        <v>6375</v>
      </c>
      <c r="D401" s="8">
        <v>67.0</v>
      </c>
    </row>
    <row r="402">
      <c r="A402" s="8" t="s">
        <v>275</v>
      </c>
      <c r="B402" s="8" t="s">
        <v>223</v>
      </c>
      <c r="C402" s="8" t="s">
        <v>6346</v>
      </c>
      <c r="D402" s="8">
        <v>70.0</v>
      </c>
    </row>
    <row r="403">
      <c r="A403" s="8" t="s">
        <v>275</v>
      </c>
      <c r="B403" s="8" t="s">
        <v>395</v>
      </c>
      <c r="C403" s="8" t="s">
        <v>6375</v>
      </c>
      <c r="D403" s="8">
        <v>79.0</v>
      </c>
    </row>
    <row r="404">
      <c r="A404" s="8" t="s">
        <v>275</v>
      </c>
      <c r="B404" s="8" t="s">
        <v>444</v>
      </c>
      <c r="C404" s="8" t="s">
        <v>6358</v>
      </c>
      <c r="D404" s="8">
        <v>68.0</v>
      </c>
    </row>
    <row r="405">
      <c r="A405" s="8" t="s">
        <v>275</v>
      </c>
      <c r="B405" s="8" t="s">
        <v>2835</v>
      </c>
      <c r="C405" s="8" t="s">
        <v>6363</v>
      </c>
      <c r="D405" s="8">
        <v>85.0</v>
      </c>
    </row>
    <row r="406">
      <c r="A406" s="8" t="s">
        <v>275</v>
      </c>
      <c r="B406" s="8" t="s">
        <v>2741</v>
      </c>
      <c r="C406" s="8" t="s">
        <v>6360</v>
      </c>
      <c r="D406" s="8">
        <v>72.0</v>
      </c>
    </row>
    <row r="407">
      <c r="A407" s="8" t="s">
        <v>275</v>
      </c>
      <c r="B407" s="8" t="s">
        <v>284</v>
      </c>
      <c r="C407" s="8" t="s">
        <v>6374</v>
      </c>
      <c r="D407" s="8">
        <v>84.0</v>
      </c>
    </row>
    <row r="408">
      <c r="A408" s="8" t="s">
        <v>275</v>
      </c>
      <c r="B408" s="8" t="s">
        <v>971</v>
      </c>
      <c r="C408" s="8" t="s">
        <v>6369</v>
      </c>
      <c r="D408" s="8">
        <v>65.0</v>
      </c>
    </row>
    <row r="409">
      <c r="A409" s="8" t="s">
        <v>275</v>
      </c>
      <c r="B409" s="8" t="s">
        <v>1464</v>
      </c>
      <c r="C409" s="8" t="s">
        <v>6364</v>
      </c>
      <c r="D409" s="8">
        <v>73.0</v>
      </c>
    </row>
    <row r="410">
      <c r="A410" s="8" t="s">
        <v>275</v>
      </c>
      <c r="B410" s="8" t="s">
        <v>1674</v>
      </c>
      <c r="C410" s="8" t="s">
        <v>6367</v>
      </c>
      <c r="D410" s="8">
        <v>71.0</v>
      </c>
    </row>
    <row r="411">
      <c r="A411" s="8" t="s">
        <v>275</v>
      </c>
      <c r="B411" s="8" t="s">
        <v>1263</v>
      </c>
      <c r="C411" s="8" t="s">
        <v>6361</v>
      </c>
      <c r="D411" s="8">
        <v>62.0</v>
      </c>
    </row>
    <row r="412">
      <c r="A412" s="8" t="s">
        <v>275</v>
      </c>
      <c r="B412" s="8" t="s">
        <v>284</v>
      </c>
      <c r="C412" s="8" t="s">
        <v>6373</v>
      </c>
      <c r="D412" s="8">
        <v>82.0</v>
      </c>
    </row>
    <row r="413">
      <c r="A413" s="8" t="s">
        <v>275</v>
      </c>
      <c r="B413" s="8" t="s">
        <v>469</v>
      </c>
      <c r="C413" s="8" t="s">
        <v>6349</v>
      </c>
      <c r="D413" s="8">
        <v>69.0</v>
      </c>
    </row>
    <row r="414">
      <c r="A414" s="8" t="s">
        <v>275</v>
      </c>
      <c r="B414" s="8" t="s">
        <v>444</v>
      </c>
      <c r="C414" s="8" t="s">
        <v>6370</v>
      </c>
      <c r="D414" s="8">
        <v>78.0</v>
      </c>
    </row>
    <row r="415">
      <c r="A415" s="8" t="s">
        <v>275</v>
      </c>
      <c r="B415" s="8" t="s">
        <v>2859</v>
      </c>
      <c r="C415" s="8" t="s">
        <v>6345</v>
      </c>
      <c r="D415" s="8">
        <v>76.0</v>
      </c>
    </row>
    <row r="416">
      <c r="A416" s="8" t="s">
        <v>275</v>
      </c>
      <c r="B416" s="8" t="s">
        <v>274</v>
      </c>
      <c r="C416" s="8" t="s">
        <v>6362</v>
      </c>
      <c r="D416" s="8">
        <v>80.0</v>
      </c>
    </row>
    <row r="417">
      <c r="A417" s="8" t="s">
        <v>275</v>
      </c>
      <c r="B417" s="8" t="s">
        <v>99</v>
      </c>
      <c r="C417" s="8" t="s">
        <v>6377</v>
      </c>
      <c r="D417" s="8">
        <v>70.0</v>
      </c>
    </row>
    <row r="418">
      <c r="A418" s="8" t="s">
        <v>275</v>
      </c>
      <c r="B418" s="8" t="s">
        <v>716</v>
      </c>
      <c r="C418" s="8" t="s">
        <v>6377</v>
      </c>
      <c r="D418" s="8">
        <v>75.0</v>
      </c>
    </row>
    <row r="419">
      <c r="A419" s="8" t="s">
        <v>275</v>
      </c>
      <c r="B419" s="8" t="s">
        <v>652</v>
      </c>
      <c r="C419" s="8" t="s">
        <v>6368</v>
      </c>
      <c r="D419" s="8">
        <v>81.0</v>
      </c>
    </row>
    <row r="420">
      <c r="A420" s="8" t="s">
        <v>275</v>
      </c>
      <c r="B420" s="8" t="s">
        <v>1130</v>
      </c>
      <c r="C420" s="8" t="s">
        <v>6373</v>
      </c>
      <c r="D420" s="8">
        <v>76.0</v>
      </c>
    </row>
    <row r="421">
      <c r="A421" s="8" t="s">
        <v>275</v>
      </c>
      <c r="B421" s="8" t="s">
        <v>1891</v>
      </c>
      <c r="C421" s="8" t="s">
        <v>6350</v>
      </c>
      <c r="D421" s="8">
        <v>75.0</v>
      </c>
    </row>
    <row r="422">
      <c r="A422" s="8" t="s">
        <v>275</v>
      </c>
      <c r="B422" s="8" t="s">
        <v>1848</v>
      </c>
      <c r="C422" s="8" t="s">
        <v>6360</v>
      </c>
      <c r="D422" s="8">
        <v>77.0</v>
      </c>
    </row>
    <row r="423">
      <c r="A423" s="8" t="s">
        <v>275</v>
      </c>
      <c r="B423" s="8" t="s">
        <v>1925</v>
      </c>
      <c r="C423" s="8" t="s">
        <v>6355</v>
      </c>
      <c r="D423" s="8">
        <v>63.0</v>
      </c>
    </row>
    <row r="424">
      <c r="A424" s="8" t="s">
        <v>275</v>
      </c>
      <c r="B424" s="8" t="s">
        <v>1417</v>
      </c>
      <c r="C424" s="8" t="s">
        <v>6374</v>
      </c>
      <c r="D424" s="8">
        <v>65.0</v>
      </c>
    </row>
    <row r="425">
      <c r="A425" s="8" t="s">
        <v>275</v>
      </c>
      <c r="B425" s="8" t="s">
        <v>395</v>
      </c>
      <c r="C425" s="8" t="s">
        <v>6375</v>
      </c>
      <c r="D425" s="8">
        <v>85.0</v>
      </c>
    </row>
    <row r="426">
      <c r="A426" s="8" t="s">
        <v>275</v>
      </c>
      <c r="B426" s="8" t="s">
        <v>284</v>
      </c>
      <c r="C426" s="8" t="s">
        <v>6373</v>
      </c>
      <c r="D426" s="8">
        <v>87.0</v>
      </c>
    </row>
    <row r="427">
      <c r="A427" s="8" t="s">
        <v>726</v>
      </c>
      <c r="B427" s="8" t="s">
        <v>958</v>
      </c>
      <c r="C427" s="8" t="s">
        <v>6377</v>
      </c>
      <c r="D427" s="8">
        <v>76.0</v>
      </c>
    </row>
    <row r="428">
      <c r="A428" s="8" t="s">
        <v>726</v>
      </c>
      <c r="B428" s="8" t="s">
        <v>1014</v>
      </c>
      <c r="C428" s="8" t="s">
        <v>6353</v>
      </c>
      <c r="D428" s="8">
        <v>65.0</v>
      </c>
    </row>
    <row r="429">
      <c r="A429" s="8" t="s">
        <v>726</v>
      </c>
      <c r="B429" s="8" t="s">
        <v>2182</v>
      </c>
      <c r="C429" s="8" t="s">
        <v>6369</v>
      </c>
      <c r="D429" s="8">
        <v>82.0</v>
      </c>
    </row>
    <row r="430">
      <c r="A430" s="8" t="s">
        <v>726</v>
      </c>
      <c r="B430" s="8" t="s">
        <v>1337</v>
      </c>
      <c r="C430" s="8" t="s">
        <v>6350</v>
      </c>
      <c r="D430" s="8">
        <v>70.0</v>
      </c>
    </row>
    <row r="431">
      <c r="A431" s="8" t="s">
        <v>726</v>
      </c>
      <c r="B431" s="8" t="s">
        <v>284</v>
      </c>
      <c r="C431" s="8" t="s">
        <v>6353</v>
      </c>
      <c r="D431" s="8">
        <v>74.0</v>
      </c>
    </row>
    <row r="432">
      <c r="A432" s="8" t="s">
        <v>726</v>
      </c>
      <c r="B432" s="8" t="s">
        <v>1417</v>
      </c>
      <c r="C432" s="8" t="s">
        <v>6358</v>
      </c>
      <c r="D432" s="8">
        <v>72.0</v>
      </c>
    </row>
    <row r="433">
      <c r="A433" s="8" t="s">
        <v>726</v>
      </c>
      <c r="B433" s="8" t="s">
        <v>2827</v>
      </c>
      <c r="C433" s="8" t="s">
        <v>6364</v>
      </c>
      <c r="D433" s="8">
        <v>66.0</v>
      </c>
    </row>
    <row r="434">
      <c r="A434" s="8" t="s">
        <v>726</v>
      </c>
      <c r="B434" s="8" t="s">
        <v>255</v>
      </c>
      <c r="C434" s="8" t="s">
        <v>6352</v>
      </c>
      <c r="D434" s="8">
        <v>75.0</v>
      </c>
    </row>
    <row r="435">
      <c r="A435" s="8" t="s">
        <v>726</v>
      </c>
      <c r="B435" s="8" t="s">
        <v>142</v>
      </c>
      <c r="C435" s="8" t="s">
        <v>6352</v>
      </c>
      <c r="D435" s="8">
        <v>67.0</v>
      </c>
    </row>
    <row r="436">
      <c r="A436" s="8" t="s">
        <v>726</v>
      </c>
      <c r="B436" s="8" t="s">
        <v>41</v>
      </c>
      <c r="C436" s="8" t="s">
        <v>6362</v>
      </c>
      <c r="D436" s="8">
        <v>67.0</v>
      </c>
    </row>
    <row r="437">
      <c r="A437" s="8" t="s">
        <v>2945</v>
      </c>
      <c r="B437" s="8" t="s">
        <v>137</v>
      </c>
      <c r="C437" s="8" t="s">
        <v>6361</v>
      </c>
      <c r="D437" s="8">
        <v>70.0</v>
      </c>
    </row>
    <row r="438">
      <c r="A438" s="8" t="s">
        <v>2128</v>
      </c>
      <c r="B438" s="8" t="s">
        <v>2842</v>
      </c>
      <c r="C438" s="8" t="s">
        <v>6378</v>
      </c>
      <c r="D438" s="8">
        <v>69.0</v>
      </c>
    </row>
    <row r="439">
      <c r="A439" s="8" t="s">
        <v>1736</v>
      </c>
      <c r="B439" s="8" t="s">
        <v>90</v>
      </c>
      <c r="C439" s="8" t="s">
        <v>6367</v>
      </c>
      <c r="D439" s="8">
        <v>67.0</v>
      </c>
    </row>
    <row r="440">
      <c r="A440" s="8" t="s">
        <v>2392</v>
      </c>
      <c r="B440" s="8" t="s">
        <v>2391</v>
      </c>
      <c r="C440" s="8" t="s">
        <v>6368</v>
      </c>
      <c r="D440" s="8">
        <v>72.0</v>
      </c>
    </row>
    <row r="441">
      <c r="A441" s="8" t="s">
        <v>165</v>
      </c>
      <c r="B441" s="8" t="s">
        <v>164</v>
      </c>
      <c r="C441" s="8" t="s">
        <v>6355</v>
      </c>
      <c r="D441" s="8">
        <v>83.0</v>
      </c>
    </row>
    <row r="442">
      <c r="A442" s="8" t="s">
        <v>925</v>
      </c>
      <c r="B442" s="8" t="s">
        <v>924</v>
      </c>
      <c r="C442" s="8" t="s">
        <v>6361</v>
      </c>
      <c r="D442" s="8">
        <v>75.0</v>
      </c>
    </row>
    <row r="443">
      <c r="A443" s="8" t="s">
        <v>925</v>
      </c>
      <c r="B443" s="8" t="s">
        <v>1168</v>
      </c>
      <c r="C443" s="8" t="s">
        <v>6350</v>
      </c>
      <c r="D443" s="8">
        <v>66.0</v>
      </c>
    </row>
    <row r="444">
      <c r="A444" s="8" t="s">
        <v>2666</v>
      </c>
      <c r="B444" s="8" t="s">
        <v>2665</v>
      </c>
      <c r="C444" s="8" t="s">
        <v>6364</v>
      </c>
      <c r="D444" s="8">
        <v>61.0</v>
      </c>
    </row>
    <row r="445">
      <c r="A445" s="8" t="s">
        <v>352</v>
      </c>
      <c r="B445" s="8" t="s">
        <v>351</v>
      </c>
      <c r="C445" s="8" t="s">
        <v>6350</v>
      </c>
      <c r="D445" s="8">
        <v>78.0</v>
      </c>
    </row>
    <row r="446">
      <c r="A446" s="8" t="s">
        <v>2933</v>
      </c>
      <c r="B446" s="8" t="s">
        <v>582</v>
      </c>
      <c r="C446" s="8" t="s">
        <v>6363</v>
      </c>
      <c r="D446" s="8">
        <v>72.0</v>
      </c>
    </row>
    <row r="447">
      <c r="A447" s="8" t="s">
        <v>1048</v>
      </c>
      <c r="B447" s="8" t="s">
        <v>1047</v>
      </c>
      <c r="C447" s="8" t="s">
        <v>6378</v>
      </c>
      <c r="D447" s="8">
        <v>73.0</v>
      </c>
    </row>
    <row r="448">
      <c r="A448" s="8" t="s">
        <v>362</v>
      </c>
      <c r="B448" s="8" t="s">
        <v>2985</v>
      </c>
      <c r="C448" s="8" t="s">
        <v>6359</v>
      </c>
      <c r="D448" s="8">
        <v>77.0</v>
      </c>
    </row>
    <row r="449">
      <c r="A449" s="8" t="s">
        <v>362</v>
      </c>
      <c r="B449" s="8" t="s">
        <v>1231</v>
      </c>
      <c r="C449" s="8" t="s">
        <v>6348</v>
      </c>
      <c r="D449" s="8">
        <v>72.0</v>
      </c>
    </row>
    <row r="450">
      <c r="A450" s="8" t="s">
        <v>362</v>
      </c>
      <c r="B450" s="8" t="s">
        <v>1217</v>
      </c>
      <c r="C450" s="8" t="s">
        <v>6346</v>
      </c>
      <c r="D450" s="8">
        <v>71.0</v>
      </c>
    </row>
    <row r="451">
      <c r="A451" s="8" t="s">
        <v>362</v>
      </c>
      <c r="B451" s="8" t="s">
        <v>1058</v>
      </c>
      <c r="C451" s="8" t="s">
        <v>6359</v>
      </c>
      <c r="D451" s="8">
        <v>82.0</v>
      </c>
    </row>
    <row r="452">
      <c r="A452" s="8" t="s">
        <v>362</v>
      </c>
      <c r="B452" s="8" t="s">
        <v>1414</v>
      </c>
      <c r="C452" s="8" t="s">
        <v>6350</v>
      </c>
      <c r="D452" s="8">
        <v>69.0</v>
      </c>
    </row>
    <row r="453">
      <c r="A453" s="8" t="s">
        <v>362</v>
      </c>
      <c r="B453" s="8" t="s">
        <v>61</v>
      </c>
      <c r="C453" s="8" t="s">
        <v>6346</v>
      </c>
      <c r="D453" s="8">
        <v>75.0</v>
      </c>
    </row>
    <row r="454">
      <c r="A454" s="8" t="s">
        <v>362</v>
      </c>
      <c r="B454" s="8" t="s">
        <v>1059</v>
      </c>
      <c r="C454" s="8" t="s">
        <v>6354</v>
      </c>
      <c r="D454" s="8">
        <v>73.0</v>
      </c>
    </row>
    <row r="455">
      <c r="A455" s="8" t="s">
        <v>1816</v>
      </c>
      <c r="B455" s="8" t="s">
        <v>1815</v>
      </c>
      <c r="C455" s="8" t="s">
        <v>6365</v>
      </c>
      <c r="D455" s="8">
        <v>71.0</v>
      </c>
    </row>
    <row r="456">
      <c r="A456" s="8" t="s">
        <v>349</v>
      </c>
      <c r="B456" s="8" t="s">
        <v>1665</v>
      </c>
      <c r="C456" s="8" t="s">
        <v>6356</v>
      </c>
      <c r="D456" s="8">
        <v>66.0</v>
      </c>
    </row>
    <row r="457">
      <c r="A457" s="8" t="s">
        <v>349</v>
      </c>
      <c r="B457" s="8" t="s">
        <v>1474</v>
      </c>
      <c r="C457" s="8" t="s">
        <v>6356</v>
      </c>
      <c r="D457" s="8">
        <v>66.0</v>
      </c>
    </row>
    <row r="458">
      <c r="A458" s="8" t="s">
        <v>349</v>
      </c>
      <c r="B458" s="8" t="s">
        <v>320</v>
      </c>
      <c r="C458" s="8" t="s">
        <v>6369</v>
      </c>
      <c r="D458" s="8">
        <v>65.0</v>
      </c>
    </row>
    <row r="459">
      <c r="A459" s="8" t="s">
        <v>349</v>
      </c>
      <c r="B459" s="8" t="s">
        <v>1645</v>
      </c>
      <c r="C459" s="8" t="s">
        <v>6344</v>
      </c>
      <c r="D459" s="8">
        <v>62.0</v>
      </c>
    </row>
    <row r="460">
      <c r="A460" s="8" t="s">
        <v>349</v>
      </c>
      <c r="B460" s="8" t="s">
        <v>348</v>
      </c>
      <c r="C460" s="8" t="s">
        <v>6374</v>
      </c>
      <c r="D460" s="8">
        <v>76.0</v>
      </c>
    </row>
    <row r="461">
      <c r="A461" s="8" t="s">
        <v>349</v>
      </c>
      <c r="B461" s="8" t="s">
        <v>2750</v>
      </c>
      <c r="C461" s="8" t="s">
        <v>6362</v>
      </c>
      <c r="D461" s="8">
        <v>68.0</v>
      </c>
    </row>
    <row r="462">
      <c r="A462" s="8" t="s">
        <v>349</v>
      </c>
      <c r="B462" s="8" t="s">
        <v>1885</v>
      </c>
      <c r="C462" s="8" t="s">
        <v>6355</v>
      </c>
      <c r="D462" s="8">
        <v>70.0</v>
      </c>
    </row>
    <row r="463">
      <c r="A463" s="8" t="s">
        <v>285</v>
      </c>
      <c r="B463" s="8" t="s">
        <v>284</v>
      </c>
      <c r="C463" s="8" t="s">
        <v>6369</v>
      </c>
      <c r="D463" s="8">
        <v>71.0</v>
      </c>
    </row>
    <row r="464">
      <c r="A464" s="8" t="s">
        <v>219</v>
      </c>
      <c r="B464" s="8" t="s">
        <v>218</v>
      </c>
      <c r="C464" s="8" t="s">
        <v>6370</v>
      </c>
      <c r="D464" s="8">
        <v>69.0</v>
      </c>
    </row>
    <row r="465">
      <c r="A465" s="8" t="s">
        <v>3034</v>
      </c>
      <c r="B465" s="8" t="s">
        <v>3033</v>
      </c>
      <c r="C465" s="8" t="s">
        <v>6345</v>
      </c>
      <c r="D465" s="8">
        <v>76.0</v>
      </c>
    </row>
    <row r="466">
      <c r="A466" s="8" t="s">
        <v>1131</v>
      </c>
      <c r="B466" s="8" t="s">
        <v>2674</v>
      </c>
      <c r="C466" s="8" t="s">
        <v>6364</v>
      </c>
      <c r="D466" s="8">
        <v>79.0</v>
      </c>
    </row>
    <row r="467">
      <c r="A467" s="8" t="s">
        <v>1131</v>
      </c>
      <c r="B467" s="8" t="s">
        <v>1253</v>
      </c>
      <c r="C467" s="8" t="s">
        <v>6363</v>
      </c>
      <c r="D467" s="8">
        <v>71.0</v>
      </c>
    </row>
    <row r="468">
      <c r="A468" s="8" t="s">
        <v>1131</v>
      </c>
      <c r="B468" s="8" t="s">
        <v>195</v>
      </c>
      <c r="C468" s="8" t="s">
        <v>6376</v>
      </c>
      <c r="D468" s="8">
        <v>68.0</v>
      </c>
    </row>
    <row r="469">
      <c r="A469" s="8" t="s">
        <v>1131</v>
      </c>
      <c r="B469" s="8" t="s">
        <v>78</v>
      </c>
      <c r="C469" s="8" t="s">
        <v>6374</v>
      </c>
      <c r="D469" s="8">
        <v>76.0</v>
      </c>
    </row>
    <row r="470">
      <c r="A470" s="8" t="s">
        <v>500</v>
      </c>
      <c r="B470" s="8" t="s">
        <v>1595</v>
      </c>
      <c r="C470" s="8" t="s">
        <v>6374</v>
      </c>
      <c r="D470" s="8">
        <v>67.0</v>
      </c>
    </row>
    <row r="471">
      <c r="A471" s="8" t="s">
        <v>500</v>
      </c>
      <c r="B471" s="8" t="s">
        <v>1222</v>
      </c>
      <c r="C471" s="8" t="s">
        <v>6357</v>
      </c>
      <c r="D471" s="8">
        <v>77.0</v>
      </c>
    </row>
    <row r="472">
      <c r="A472" s="8" t="s">
        <v>776</v>
      </c>
      <c r="B472" s="8" t="s">
        <v>775</v>
      </c>
      <c r="C472" s="8" t="s">
        <v>6362</v>
      </c>
      <c r="D472" s="8">
        <v>75.0</v>
      </c>
    </row>
    <row r="473">
      <c r="A473" s="8" t="s">
        <v>1637</v>
      </c>
      <c r="B473" s="8" t="s">
        <v>1636</v>
      </c>
      <c r="C473" s="8" t="s">
        <v>6347</v>
      </c>
      <c r="D473" s="8">
        <v>74.0</v>
      </c>
    </row>
    <row r="474">
      <c r="A474" s="8" t="s">
        <v>518</v>
      </c>
      <c r="B474" s="8" t="s">
        <v>517</v>
      </c>
      <c r="C474" s="8" t="s">
        <v>6350</v>
      </c>
      <c r="D474" s="8">
        <v>78.0</v>
      </c>
    </row>
    <row r="475">
      <c r="A475" s="8" t="s">
        <v>304</v>
      </c>
      <c r="B475" s="8" t="s">
        <v>308</v>
      </c>
      <c r="C475" s="8" t="s">
        <v>6353</v>
      </c>
      <c r="D475" s="8">
        <v>70.0</v>
      </c>
    </row>
    <row r="476">
      <c r="A476" s="8" t="s">
        <v>304</v>
      </c>
      <c r="B476" s="8" t="s">
        <v>44</v>
      </c>
      <c r="C476" s="8" t="s">
        <v>6352</v>
      </c>
      <c r="D476" s="8">
        <v>79.0</v>
      </c>
    </row>
    <row r="477">
      <c r="A477" s="8" t="s">
        <v>304</v>
      </c>
      <c r="B477" s="8" t="s">
        <v>1737</v>
      </c>
      <c r="C477" s="8" t="s">
        <v>6375</v>
      </c>
      <c r="D477" s="8">
        <v>78.0</v>
      </c>
    </row>
    <row r="478">
      <c r="A478" s="8" t="s">
        <v>304</v>
      </c>
      <c r="B478" s="8" t="s">
        <v>877</v>
      </c>
      <c r="C478" s="8" t="s">
        <v>6377</v>
      </c>
      <c r="D478" s="8">
        <v>76.0</v>
      </c>
    </row>
    <row r="479">
      <c r="A479" s="8" t="s">
        <v>304</v>
      </c>
      <c r="B479" s="8" t="s">
        <v>745</v>
      </c>
      <c r="C479" s="8" t="s">
        <v>6355</v>
      </c>
      <c r="D479" s="8">
        <v>77.0</v>
      </c>
    </row>
    <row r="480">
      <c r="A480" s="8" t="s">
        <v>304</v>
      </c>
      <c r="B480" s="8" t="s">
        <v>2906</v>
      </c>
      <c r="C480" s="8" t="s">
        <v>6344</v>
      </c>
      <c r="D480" s="8">
        <v>80.0</v>
      </c>
    </row>
    <row r="481">
      <c r="A481" s="8" t="s">
        <v>304</v>
      </c>
      <c r="B481" s="8" t="s">
        <v>61</v>
      </c>
      <c r="C481" s="8" t="s">
        <v>6354</v>
      </c>
      <c r="D481" s="8">
        <v>78.0</v>
      </c>
    </row>
    <row r="482">
      <c r="A482" s="8" t="s">
        <v>304</v>
      </c>
      <c r="B482" s="8" t="s">
        <v>700</v>
      </c>
      <c r="C482" s="8" t="s">
        <v>6346</v>
      </c>
      <c r="D482" s="8">
        <v>72.0</v>
      </c>
    </row>
    <row r="483">
      <c r="A483" s="8" t="s">
        <v>304</v>
      </c>
      <c r="B483" s="8" t="s">
        <v>1511</v>
      </c>
      <c r="C483" s="8" t="s">
        <v>6354</v>
      </c>
      <c r="D483" s="8">
        <v>67.0</v>
      </c>
    </row>
    <row r="484">
      <c r="A484" s="8" t="s">
        <v>304</v>
      </c>
      <c r="B484" s="8" t="s">
        <v>203</v>
      </c>
      <c r="C484" s="8" t="s">
        <v>6364</v>
      </c>
      <c r="D484" s="8">
        <v>74.0</v>
      </c>
    </row>
    <row r="485">
      <c r="A485" s="8" t="s">
        <v>304</v>
      </c>
      <c r="B485" s="8" t="s">
        <v>220</v>
      </c>
      <c r="C485" s="8" t="s">
        <v>6375</v>
      </c>
      <c r="D485" s="8">
        <v>70.0</v>
      </c>
    </row>
    <row r="486">
      <c r="A486" s="8" t="s">
        <v>304</v>
      </c>
      <c r="B486" s="8" t="s">
        <v>1264</v>
      </c>
      <c r="C486" s="8" t="s">
        <v>6358</v>
      </c>
      <c r="D486" s="8">
        <v>76.0</v>
      </c>
    </row>
    <row r="487">
      <c r="A487" s="8" t="s">
        <v>748</v>
      </c>
      <c r="B487" s="8" t="s">
        <v>747</v>
      </c>
      <c r="C487" s="8" t="s">
        <v>6357</v>
      </c>
      <c r="D487" s="8">
        <v>73.0</v>
      </c>
    </row>
    <row r="488">
      <c r="A488" s="8" t="s">
        <v>748</v>
      </c>
      <c r="B488" s="8" t="s">
        <v>1330</v>
      </c>
      <c r="C488" s="8" t="s">
        <v>6353</v>
      </c>
      <c r="D488" s="8">
        <v>74.0</v>
      </c>
    </row>
    <row r="489">
      <c r="A489" s="8" t="s">
        <v>748</v>
      </c>
      <c r="B489" s="8" t="s">
        <v>2774</v>
      </c>
      <c r="C489" s="8" t="s">
        <v>6365</v>
      </c>
      <c r="D489" s="8">
        <v>64.0</v>
      </c>
    </row>
    <row r="490">
      <c r="A490" s="8" t="s">
        <v>2035</v>
      </c>
      <c r="B490" s="8" t="s">
        <v>641</v>
      </c>
      <c r="C490" s="8" t="s">
        <v>6347</v>
      </c>
      <c r="D490" s="8">
        <v>68.0</v>
      </c>
    </row>
    <row r="491">
      <c r="A491" s="8" t="s">
        <v>1515</v>
      </c>
      <c r="B491" s="8" t="s">
        <v>1514</v>
      </c>
      <c r="C491" s="8" t="s">
        <v>6357</v>
      </c>
      <c r="D491" s="8">
        <v>70.0</v>
      </c>
    </row>
    <row r="492">
      <c r="A492" s="8" t="s">
        <v>3042</v>
      </c>
      <c r="B492" s="8" t="s">
        <v>3041</v>
      </c>
      <c r="C492" s="8" t="s">
        <v>6368</v>
      </c>
      <c r="D492" s="8">
        <v>70.0</v>
      </c>
    </row>
    <row r="493">
      <c r="A493" s="8" t="s">
        <v>2259</v>
      </c>
      <c r="B493" s="8" t="s">
        <v>1984</v>
      </c>
      <c r="C493" s="8" t="s">
        <v>6363</v>
      </c>
      <c r="D493" s="8">
        <v>77.0</v>
      </c>
    </row>
    <row r="494">
      <c r="A494" s="8" t="s">
        <v>307</v>
      </c>
      <c r="B494" s="8" t="s">
        <v>2914</v>
      </c>
      <c r="C494" s="8" t="s">
        <v>6344</v>
      </c>
      <c r="D494" s="8">
        <v>75.0</v>
      </c>
    </row>
    <row r="495">
      <c r="A495" s="8" t="s">
        <v>307</v>
      </c>
      <c r="B495" s="8" t="s">
        <v>306</v>
      </c>
      <c r="C495" s="8" t="s">
        <v>6349</v>
      </c>
      <c r="D495" s="8">
        <v>79.0</v>
      </c>
    </row>
    <row r="496">
      <c r="A496" s="8" t="s">
        <v>4404</v>
      </c>
      <c r="B496" s="8" t="s">
        <v>1508</v>
      </c>
      <c r="C496" s="8" t="s">
        <v>6359</v>
      </c>
      <c r="D496" s="8">
        <v>75.0</v>
      </c>
    </row>
    <row r="497">
      <c r="A497" s="8" t="s">
        <v>1015</v>
      </c>
      <c r="B497" s="8" t="s">
        <v>2229</v>
      </c>
      <c r="C497" s="8" t="s">
        <v>6369</v>
      </c>
      <c r="D497" s="8">
        <v>74.0</v>
      </c>
    </row>
    <row r="498">
      <c r="A498" s="8" t="s">
        <v>1015</v>
      </c>
      <c r="B498" s="8" t="s">
        <v>421</v>
      </c>
      <c r="C498" s="8" t="s">
        <v>6348</v>
      </c>
      <c r="D498" s="8">
        <v>63.0</v>
      </c>
    </row>
    <row r="499">
      <c r="A499" s="8" t="s">
        <v>1489</v>
      </c>
      <c r="B499" s="8" t="s">
        <v>2883</v>
      </c>
      <c r="C499" s="8" t="s">
        <v>6363</v>
      </c>
      <c r="D499" s="8">
        <v>73.0</v>
      </c>
    </row>
    <row r="500">
      <c r="A500" s="8" t="s">
        <v>1489</v>
      </c>
      <c r="B500" s="8" t="s">
        <v>284</v>
      </c>
      <c r="C500" s="8" t="s">
        <v>6362</v>
      </c>
      <c r="D500" s="8">
        <v>71.0</v>
      </c>
    </row>
    <row r="501">
      <c r="A501" s="8" t="s">
        <v>6383</v>
      </c>
      <c r="B501" s="8" t="s">
        <v>57</v>
      </c>
      <c r="C501" s="8" t="s">
        <v>6371</v>
      </c>
      <c r="D501" s="8">
        <v>72.0</v>
      </c>
    </row>
    <row r="502">
      <c r="A502" s="8" t="s">
        <v>6383</v>
      </c>
      <c r="B502" s="8" t="s">
        <v>1587</v>
      </c>
      <c r="C502" s="8" t="s">
        <v>6358</v>
      </c>
      <c r="D502" s="8">
        <v>80.0</v>
      </c>
    </row>
    <row r="503">
      <c r="A503" s="8" t="s">
        <v>6383</v>
      </c>
      <c r="B503" s="8" t="s">
        <v>154</v>
      </c>
      <c r="C503" s="8" t="s">
        <v>6352</v>
      </c>
      <c r="D503" s="8">
        <v>68.0</v>
      </c>
    </row>
    <row r="504">
      <c r="A504" s="8" t="s">
        <v>6383</v>
      </c>
      <c r="B504" s="8" t="s">
        <v>528</v>
      </c>
      <c r="C504" s="8" t="s">
        <v>6346</v>
      </c>
      <c r="D504" s="8">
        <v>74.0</v>
      </c>
    </row>
    <row r="505">
      <c r="A505" s="8" t="s">
        <v>6383</v>
      </c>
      <c r="B505" s="8" t="s">
        <v>284</v>
      </c>
      <c r="C505" s="8" t="s">
        <v>6356</v>
      </c>
      <c r="D505" s="8">
        <v>69.0</v>
      </c>
    </row>
    <row r="506">
      <c r="A506" s="8" t="s">
        <v>6383</v>
      </c>
      <c r="B506" s="8" t="s">
        <v>682</v>
      </c>
      <c r="C506" s="8" t="s">
        <v>6371</v>
      </c>
      <c r="D506" s="8">
        <v>76.0</v>
      </c>
    </row>
    <row r="507">
      <c r="A507" s="8" t="s">
        <v>6383</v>
      </c>
      <c r="B507" s="8" t="s">
        <v>1202</v>
      </c>
      <c r="C507" s="8" t="s">
        <v>6352</v>
      </c>
      <c r="D507" s="8">
        <v>76.0</v>
      </c>
    </row>
    <row r="508">
      <c r="A508" s="8" t="s">
        <v>6383</v>
      </c>
      <c r="B508" s="8" t="s">
        <v>808</v>
      </c>
      <c r="C508" s="8" t="s">
        <v>6370</v>
      </c>
      <c r="D508" s="8">
        <v>84.0</v>
      </c>
    </row>
    <row r="509">
      <c r="A509" s="8" t="s">
        <v>6383</v>
      </c>
      <c r="B509" s="8" t="s">
        <v>1055</v>
      </c>
      <c r="C509" s="8" t="s">
        <v>6361</v>
      </c>
      <c r="D509" s="8">
        <v>67.0</v>
      </c>
    </row>
    <row r="510">
      <c r="A510" s="8" t="s">
        <v>6383</v>
      </c>
      <c r="B510" s="8" t="s">
        <v>223</v>
      </c>
      <c r="C510" s="8" t="s">
        <v>6356</v>
      </c>
      <c r="D510" s="8">
        <v>70.0</v>
      </c>
    </row>
    <row r="511">
      <c r="A511" s="8" t="s">
        <v>6383</v>
      </c>
      <c r="B511" s="8" t="s">
        <v>1264</v>
      </c>
      <c r="C511" s="8" t="s">
        <v>6369</v>
      </c>
      <c r="D511" s="8">
        <v>77.0</v>
      </c>
    </row>
    <row r="512">
      <c r="A512" s="8" t="s">
        <v>6383</v>
      </c>
      <c r="B512" s="8" t="s">
        <v>2319</v>
      </c>
      <c r="C512" s="8" t="s">
        <v>6346</v>
      </c>
      <c r="D512" s="8">
        <v>74.0</v>
      </c>
    </row>
    <row r="513">
      <c r="A513" s="8" t="s">
        <v>6383</v>
      </c>
      <c r="B513" s="8" t="s">
        <v>1264</v>
      </c>
      <c r="C513" s="8" t="s">
        <v>6369</v>
      </c>
      <c r="D513" s="8">
        <v>87.0</v>
      </c>
    </row>
    <row r="514">
      <c r="A514" s="8" t="s">
        <v>4423</v>
      </c>
      <c r="B514" s="8" t="s">
        <v>2098</v>
      </c>
      <c r="C514" s="8" t="s">
        <v>6358</v>
      </c>
      <c r="D514" s="8">
        <v>73.0</v>
      </c>
    </row>
    <row r="515">
      <c r="A515" s="8" t="s">
        <v>4425</v>
      </c>
      <c r="B515" s="8" t="s">
        <v>3038</v>
      </c>
      <c r="C515" s="8" t="s">
        <v>6369</v>
      </c>
      <c r="D515" s="8">
        <v>72.0</v>
      </c>
    </row>
    <row r="516">
      <c r="A516" s="8" t="s">
        <v>4427</v>
      </c>
      <c r="B516" s="8" t="s">
        <v>2397</v>
      </c>
      <c r="C516" s="8" t="s">
        <v>6370</v>
      </c>
      <c r="D516" s="8">
        <v>77.0</v>
      </c>
    </row>
    <row r="517">
      <c r="A517" s="8" t="s">
        <v>4429</v>
      </c>
      <c r="B517" s="8" t="s">
        <v>2120</v>
      </c>
      <c r="C517" s="8" t="s">
        <v>6353</v>
      </c>
      <c r="D517" s="8">
        <v>69.0</v>
      </c>
    </row>
    <row r="518">
      <c r="A518" s="8" t="s">
        <v>2967</v>
      </c>
      <c r="B518" s="8" t="s">
        <v>2966</v>
      </c>
      <c r="C518" s="8" t="s">
        <v>6364</v>
      </c>
      <c r="D518" s="8">
        <v>67.0</v>
      </c>
    </row>
    <row r="519">
      <c r="A519" s="8" t="s">
        <v>2829</v>
      </c>
      <c r="B519" s="8" t="s">
        <v>1181</v>
      </c>
      <c r="C519" s="8" t="s">
        <v>6363</v>
      </c>
      <c r="D519" s="8">
        <v>74.0</v>
      </c>
    </row>
    <row r="520">
      <c r="A520" s="8" t="s">
        <v>1290</v>
      </c>
      <c r="B520" s="8" t="s">
        <v>1289</v>
      </c>
      <c r="C520" s="8" t="s">
        <v>6374</v>
      </c>
      <c r="D520" s="8">
        <v>81.0</v>
      </c>
    </row>
    <row r="521">
      <c r="A521" s="8" t="s">
        <v>671</v>
      </c>
      <c r="B521" s="8" t="s">
        <v>670</v>
      </c>
      <c r="C521" s="8" t="s">
        <v>6378</v>
      </c>
      <c r="D521" s="8">
        <v>71.0</v>
      </c>
    </row>
    <row r="522">
      <c r="A522" s="8" t="s">
        <v>1811</v>
      </c>
      <c r="B522" s="8" t="s">
        <v>1810</v>
      </c>
      <c r="C522" s="8" t="s">
        <v>6375</v>
      </c>
      <c r="D522" s="8">
        <v>74.0</v>
      </c>
    </row>
    <row r="523">
      <c r="A523" s="8" t="s">
        <v>258</v>
      </c>
      <c r="B523" s="8" t="s">
        <v>2749</v>
      </c>
      <c r="C523" s="8" t="s">
        <v>6360</v>
      </c>
      <c r="D523" s="8">
        <v>62.0</v>
      </c>
    </row>
    <row r="524">
      <c r="A524" s="8" t="s">
        <v>258</v>
      </c>
      <c r="B524" s="8" t="s">
        <v>2238</v>
      </c>
      <c r="C524" s="8" t="s">
        <v>6374</v>
      </c>
      <c r="D524" s="8">
        <v>69.0</v>
      </c>
    </row>
    <row r="525">
      <c r="A525" s="8" t="s">
        <v>1644</v>
      </c>
      <c r="B525" s="8" t="s">
        <v>195</v>
      </c>
      <c r="C525" s="8" t="s">
        <v>6365</v>
      </c>
      <c r="D525" s="8">
        <v>82.0</v>
      </c>
    </row>
    <row r="526">
      <c r="A526" s="8" t="s">
        <v>1644</v>
      </c>
      <c r="B526" s="8" t="s">
        <v>1041</v>
      </c>
      <c r="C526" s="8" t="s">
        <v>6348</v>
      </c>
      <c r="D526" s="8">
        <v>77.0</v>
      </c>
    </row>
    <row r="527">
      <c r="A527" s="8" t="s">
        <v>1009</v>
      </c>
      <c r="B527" s="8" t="s">
        <v>497</v>
      </c>
      <c r="C527" s="8" t="s">
        <v>6377</v>
      </c>
      <c r="D527" s="8">
        <v>78.0</v>
      </c>
    </row>
    <row r="528">
      <c r="A528" s="8" t="s">
        <v>1060</v>
      </c>
      <c r="B528" s="8" t="s">
        <v>78</v>
      </c>
      <c r="C528" s="8" t="s">
        <v>6373</v>
      </c>
      <c r="D528" s="8">
        <v>77.0</v>
      </c>
    </row>
    <row r="529">
      <c r="A529" s="8" t="s">
        <v>1060</v>
      </c>
      <c r="B529" s="8" t="s">
        <v>451</v>
      </c>
      <c r="C529" s="8" t="s">
        <v>6374</v>
      </c>
      <c r="D529" s="8">
        <v>71.0</v>
      </c>
    </row>
    <row r="530">
      <c r="A530" s="8" t="s">
        <v>1113</v>
      </c>
      <c r="B530" s="8" t="s">
        <v>1112</v>
      </c>
      <c r="C530" s="8" t="s">
        <v>6369</v>
      </c>
      <c r="D530" s="8">
        <v>71.0</v>
      </c>
    </row>
    <row r="531">
      <c r="A531" s="8" t="s">
        <v>438</v>
      </c>
      <c r="B531" s="8" t="s">
        <v>437</v>
      </c>
      <c r="C531" s="8" t="s">
        <v>6344</v>
      </c>
      <c r="D531" s="8">
        <v>65.0</v>
      </c>
    </row>
    <row r="532">
      <c r="A532" s="8" t="s">
        <v>438</v>
      </c>
      <c r="B532" s="8" t="s">
        <v>1946</v>
      </c>
      <c r="C532" s="8" t="s">
        <v>6377</v>
      </c>
      <c r="D532" s="8">
        <v>67.0</v>
      </c>
    </row>
    <row r="533">
      <c r="A533" s="8" t="s">
        <v>378</v>
      </c>
      <c r="B533" s="8" t="s">
        <v>2836</v>
      </c>
      <c r="C533" s="8" t="s">
        <v>6348</v>
      </c>
      <c r="D533" s="8">
        <v>85.0</v>
      </c>
    </row>
    <row r="534">
      <c r="A534" s="8" t="s">
        <v>1216</v>
      </c>
      <c r="B534" s="8" t="s">
        <v>1215</v>
      </c>
      <c r="C534" s="8" t="s">
        <v>6372</v>
      </c>
      <c r="D534" s="8">
        <v>74.0</v>
      </c>
    </row>
    <row r="535">
      <c r="A535" s="8" t="s">
        <v>241</v>
      </c>
      <c r="B535" s="8" t="s">
        <v>240</v>
      </c>
      <c r="C535" s="8" t="s">
        <v>6374</v>
      </c>
      <c r="D535" s="8">
        <v>79.0</v>
      </c>
    </row>
    <row r="536">
      <c r="A536" s="8" t="s">
        <v>241</v>
      </c>
      <c r="B536" s="8" t="s">
        <v>1442</v>
      </c>
      <c r="C536" s="8" t="s">
        <v>6344</v>
      </c>
      <c r="D536" s="8">
        <v>77.0</v>
      </c>
    </row>
    <row r="537">
      <c r="A537" s="8" t="s">
        <v>241</v>
      </c>
      <c r="B537" s="8" t="s">
        <v>1974</v>
      </c>
      <c r="C537" s="8" t="s">
        <v>6353</v>
      </c>
      <c r="D537" s="8">
        <v>67.0</v>
      </c>
    </row>
    <row r="538">
      <c r="A538" s="8" t="s">
        <v>1755</v>
      </c>
      <c r="B538" s="8" t="s">
        <v>1754</v>
      </c>
      <c r="C538" s="8" t="s">
        <v>6354</v>
      </c>
      <c r="D538" s="8">
        <v>73.0</v>
      </c>
    </row>
    <row r="539">
      <c r="A539" s="8" t="s">
        <v>197</v>
      </c>
      <c r="B539" s="8" t="s">
        <v>979</v>
      </c>
      <c r="C539" s="8" t="s">
        <v>6368</v>
      </c>
      <c r="D539" s="8">
        <v>69.0</v>
      </c>
    </row>
    <row r="540">
      <c r="A540" s="8" t="s">
        <v>197</v>
      </c>
      <c r="B540" s="8" t="s">
        <v>106</v>
      </c>
      <c r="C540" s="8" t="s">
        <v>6359</v>
      </c>
      <c r="D540" s="8">
        <v>70.0</v>
      </c>
    </row>
    <row r="541">
      <c r="A541" s="8" t="s">
        <v>197</v>
      </c>
      <c r="B541" s="8" t="s">
        <v>292</v>
      </c>
      <c r="C541" s="8" t="s">
        <v>6347</v>
      </c>
      <c r="D541" s="8">
        <v>74.0</v>
      </c>
    </row>
    <row r="542">
      <c r="A542" s="8" t="s">
        <v>197</v>
      </c>
      <c r="B542" s="8" t="s">
        <v>597</v>
      </c>
      <c r="C542" s="8" t="s">
        <v>6374</v>
      </c>
      <c r="D542" s="8">
        <v>62.0</v>
      </c>
    </row>
    <row r="543">
      <c r="A543" s="8" t="s">
        <v>197</v>
      </c>
      <c r="B543" s="8" t="s">
        <v>1387</v>
      </c>
      <c r="C543" s="8" t="s">
        <v>6372</v>
      </c>
      <c r="D543" s="8">
        <v>62.0</v>
      </c>
    </row>
    <row r="544">
      <c r="A544" s="8" t="s">
        <v>197</v>
      </c>
      <c r="B544" s="8" t="s">
        <v>2894</v>
      </c>
      <c r="C544" s="8" t="s">
        <v>6349</v>
      </c>
      <c r="D544" s="8">
        <v>65.0</v>
      </c>
    </row>
    <row r="545">
      <c r="A545" s="8" t="s">
        <v>197</v>
      </c>
      <c r="B545" s="8" t="s">
        <v>602</v>
      </c>
      <c r="C545" s="8" t="s">
        <v>6373</v>
      </c>
      <c r="D545" s="8">
        <v>73.0</v>
      </c>
    </row>
    <row r="546">
      <c r="A546" s="8" t="s">
        <v>197</v>
      </c>
      <c r="B546" s="8" t="s">
        <v>1730</v>
      </c>
      <c r="C546" s="8" t="s">
        <v>6365</v>
      </c>
      <c r="D546" s="8">
        <v>79.0</v>
      </c>
    </row>
    <row r="547">
      <c r="A547" s="8" t="s">
        <v>197</v>
      </c>
      <c r="B547" s="8" t="s">
        <v>2958</v>
      </c>
      <c r="C547" s="8" t="s">
        <v>6352</v>
      </c>
      <c r="D547" s="8">
        <v>62.0</v>
      </c>
    </row>
    <row r="548">
      <c r="A548" s="8" t="s">
        <v>1846</v>
      </c>
      <c r="B548" s="8" t="s">
        <v>1380</v>
      </c>
      <c r="C548" s="8" t="s">
        <v>6365</v>
      </c>
      <c r="D548" s="8">
        <v>82.0</v>
      </c>
    </row>
    <row r="549">
      <c r="A549" s="8" t="s">
        <v>134</v>
      </c>
      <c r="B549" s="8" t="s">
        <v>1310</v>
      </c>
      <c r="C549" s="8" t="s">
        <v>6362</v>
      </c>
      <c r="D549" s="8">
        <v>80.0</v>
      </c>
    </row>
    <row r="550">
      <c r="A550" s="8" t="s">
        <v>134</v>
      </c>
      <c r="B550" s="8" t="s">
        <v>1484</v>
      </c>
      <c r="C550" s="8" t="s">
        <v>6365</v>
      </c>
      <c r="D550" s="8">
        <v>70.0</v>
      </c>
    </row>
    <row r="551">
      <c r="A551" s="8" t="s">
        <v>134</v>
      </c>
      <c r="B551" s="8" t="s">
        <v>1658</v>
      </c>
      <c r="C551" s="8" t="s">
        <v>6377</v>
      </c>
      <c r="D551" s="8">
        <v>69.0</v>
      </c>
    </row>
    <row r="552">
      <c r="A552" s="8" t="s">
        <v>134</v>
      </c>
      <c r="B552" s="8" t="s">
        <v>133</v>
      </c>
      <c r="C552" s="8" t="s">
        <v>6347</v>
      </c>
      <c r="D552" s="8">
        <v>80.0</v>
      </c>
    </row>
    <row r="553">
      <c r="A553" s="8" t="s">
        <v>134</v>
      </c>
      <c r="B553" s="8" t="s">
        <v>608</v>
      </c>
      <c r="C553" s="8" t="s">
        <v>6359</v>
      </c>
      <c r="D553" s="8">
        <v>84.0</v>
      </c>
    </row>
    <row r="554">
      <c r="A554" s="8" t="s">
        <v>134</v>
      </c>
      <c r="B554" s="8" t="s">
        <v>1439</v>
      </c>
      <c r="C554" s="8" t="s">
        <v>6362</v>
      </c>
      <c r="D554" s="8">
        <v>67.0</v>
      </c>
    </row>
    <row r="555">
      <c r="A555" s="8" t="s">
        <v>134</v>
      </c>
      <c r="B555" s="8" t="s">
        <v>608</v>
      </c>
      <c r="C555" s="8" t="s">
        <v>6363</v>
      </c>
      <c r="D555" s="8">
        <v>88.0</v>
      </c>
    </row>
    <row r="556">
      <c r="A556" s="8" t="s">
        <v>1445</v>
      </c>
      <c r="B556" s="8" t="s">
        <v>2792</v>
      </c>
      <c r="C556" s="8" t="s">
        <v>6346</v>
      </c>
      <c r="D556" s="8">
        <v>75.0</v>
      </c>
    </row>
    <row r="557">
      <c r="A557" s="8" t="s">
        <v>1445</v>
      </c>
      <c r="B557" s="8" t="s">
        <v>2217</v>
      </c>
      <c r="C557" s="8" t="s">
        <v>6356</v>
      </c>
      <c r="D557" s="8">
        <v>76.0</v>
      </c>
    </row>
    <row r="558">
      <c r="A558" s="8" t="s">
        <v>953</v>
      </c>
      <c r="B558" s="8" t="s">
        <v>284</v>
      </c>
      <c r="C558" s="8" t="s">
        <v>6354</v>
      </c>
      <c r="D558" s="8">
        <v>76.0</v>
      </c>
    </row>
    <row r="559">
      <c r="A559" s="8" t="s">
        <v>645</v>
      </c>
      <c r="B559" s="8" t="s">
        <v>644</v>
      </c>
      <c r="C559" s="8" t="s">
        <v>6354</v>
      </c>
      <c r="D559" s="8">
        <v>71.0</v>
      </c>
    </row>
    <row r="560">
      <c r="A560" s="8" t="s">
        <v>1643</v>
      </c>
      <c r="B560" s="8" t="s">
        <v>1625</v>
      </c>
      <c r="C560" s="8" t="s">
        <v>6363</v>
      </c>
      <c r="D560" s="8">
        <v>78.0</v>
      </c>
    </row>
    <row r="561">
      <c r="A561" s="8" t="s">
        <v>1643</v>
      </c>
      <c r="B561" s="8" t="s">
        <v>444</v>
      </c>
      <c r="C561" s="8" t="s">
        <v>6348</v>
      </c>
      <c r="D561" s="8">
        <v>71.0</v>
      </c>
    </row>
    <row r="562">
      <c r="A562" s="8" t="s">
        <v>800</v>
      </c>
      <c r="B562" s="8" t="s">
        <v>950</v>
      </c>
      <c r="C562" s="8" t="s">
        <v>6354</v>
      </c>
      <c r="D562" s="8">
        <v>64.0</v>
      </c>
    </row>
    <row r="563">
      <c r="A563" s="8" t="s">
        <v>800</v>
      </c>
      <c r="B563" s="8" t="s">
        <v>955</v>
      </c>
      <c r="C563" s="8" t="s">
        <v>6358</v>
      </c>
      <c r="D563" s="8">
        <v>65.0</v>
      </c>
    </row>
    <row r="564">
      <c r="A564" s="8" t="s">
        <v>800</v>
      </c>
      <c r="B564" s="8" t="s">
        <v>2895</v>
      </c>
      <c r="C564" s="8" t="s">
        <v>6364</v>
      </c>
      <c r="D564" s="8">
        <v>67.0</v>
      </c>
    </row>
    <row r="565">
      <c r="A565" s="8" t="s">
        <v>800</v>
      </c>
      <c r="B565" s="8" t="s">
        <v>1571</v>
      </c>
      <c r="C565" s="8" t="s">
        <v>6344</v>
      </c>
      <c r="D565" s="8">
        <v>70.0</v>
      </c>
    </row>
    <row r="566">
      <c r="A566" s="8" t="s">
        <v>800</v>
      </c>
      <c r="B566" s="8" t="s">
        <v>3055</v>
      </c>
      <c r="C566" s="8" t="s">
        <v>6353</v>
      </c>
      <c r="D566" s="8">
        <v>86.0</v>
      </c>
    </row>
    <row r="567">
      <c r="A567" s="8" t="s">
        <v>800</v>
      </c>
      <c r="B567" s="8" t="s">
        <v>1005</v>
      </c>
      <c r="C567" s="8" t="s">
        <v>6350</v>
      </c>
      <c r="D567" s="8">
        <v>67.0</v>
      </c>
    </row>
    <row r="568">
      <c r="A568" s="8" t="s">
        <v>800</v>
      </c>
      <c r="B568" s="8" t="s">
        <v>1172</v>
      </c>
      <c r="C568" s="8" t="s">
        <v>6361</v>
      </c>
      <c r="D568" s="8">
        <v>74.0</v>
      </c>
    </row>
    <row r="569">
      <c r="A569" s="8" t="s">
        <v>886</v>
      </c>
      <c r="B569" s="8" t="s">
        <v>885</v>
      </c>
      <c r="C569" s="8" t="s">
        <v>6350</v>
      </c>
      <c r="D569" s="8">
        <v>77.0</v>
      </c>
    </row>
    <row r="570">
      <c r="A570" s="8" t="s">
        <v>1338</v>
      </c>
      <c r="B570" s="8" t="s">
        <v>361</v>
      </c>
      <c r="C570" s="8" t="s">
        <v>6361</v>
      </c>
      <c r="D570" s="8">
        <v>68.0</v>
      </c>
    </row>
    <row r="571">
      <c r="A571" s="8" t="s">
        <v>1338</v>
      </c>
      <c r="B571" s="8" t="s">
        <v>78</v>
      </c>
      <c r="C571" s="8" t="s">
        <v>6356</v>
      </c>
      <c r="D571" s="8">
        <v>64.0</v>
      </c>
    </row>
    <row r="572">
      <c r="A572" s="8" t="s">
        <v>1338</v>
      </c>
      <c r="B572" s="8" t="s">
        <v>1818</v>
      </c>
      <c r="C572" s="8" t="s">
        <v>6375</v>
      </c>
      <c r="D572" s="8">
        <v>62.0</v>
      </c>
    </row>
    <row r="573">
      <c r="A573" s="8" t="s">
        <v>1338</v>
      </c>
      <c r="B573" s="8" t="s">
        <v>78</v>
      </c>
      <c r="C573" s="8" t="s">
        <v>6357</v>
      </c>
      <c r="D573" s="8">
        <v>66.0</v>
      </c>
    </row>
    <row r="574">
      <c r="A574" s="8" t="s">
        <v>153</v>
      </c>
      <c r="B574" s="8" t="s">
        <v>3071</v>
      </c>
      <c r="C574" s="8" t="s">
        <v>6375</v>
      </c>
      <c r="D574" s="8">
        <v>75.0</v>
      </c>
    </row>
    <row r="575">
      <c r="A575" s="8" t="s">
        <v>153</v>
      </c>
      <c r="B575" s="8" t="s">
        <v>152</v>
      </c>
      <c r="C575" s="8" t="s">
        <v>6377</v>
      </c>
      <c r="D575" s="8">
        <v>75.0</v>
      </c>
    </row>
    <row r="576">
      <c r="A576" s="8" t="s">
        <v>2845</v>
      </c>
      <c r="B576" s="8" t="s">
        <v>2844</v>
      </c>
      <c r="C576" s="8" t="s">
        <v>6368</v>
      </c>
      <c r="D576" s="8">
        <v>71.0</v>
      </c>
    </row>
    <row r="577">
      <c r="A577" s="8" t="s">
        <v>1876</v>
      </c>
      <c r="B577" s="8" t="s">
        <v>42</v>
      </c>
      <c r="C577" s="8" t="s">
        <v>6378</v>
      </c>
      <c r="D577" s="8">
        <v>74.0</v>
      </c>
    </row>
    <row r="578">
      <c r="A578" s="8" t="s">
        <v>792</v>
      </c>
      <c r="B578" s="8" t="s">
        <v>305</v>
      </c>
      <c r="C578" s="8" t="s">
        <v>6378</v>
      </c>
      <c r="D578" s="8">
        <v>74.0</v>
      </c>
    </row>
    <row r="579">
      <c r="A579" s="8" t="s">
        <v>1057</v>
      </c>
      <c r="B579" s="8" t="s">
        <v>2031</v>
      </c>
      <c r="C579" s="8" t="s">
        <v>6376</v>
      </c>
      <c r="D579" s="8">
        <v>74.0</v>
      </c>
    </row>
    <row r="580">
      <c r="A580" s="8" t="s">
        <v>1057</v>
      </c>
      <c r="B580" s="8" t="s">
        <v>78</v>
      </c>
      <c r="C580" s="8" t="s">
        <v>6369</v>
      </c>
      <c r="D580" s="8">
        <v>86.0</v>
      </c>
    </row>
    <row r="581">
      <c r="A581" s="8" t="s">
        <v>2995</v>
      </c>
      <c r="B581" s="8" t="s">
        <v>1005</v>
      </c>
      <c r="C581" s="8" t="s">
        <v>6368</v>
      </c>
      <c r="D581" s="8">
        <v>65.0</v>
      </c>
    </row>
    <row r="582">
      <c r="A582" s="8" t="s">
        <v>555</v>
      </c>
      <c r="B582" s="8" t="s">
        <v>284</v>
      </c>
      <c r="C582" s="8" t="s">
        <v>6374</v>
      </c>
      <c r="D582" s="8">
        <v>70.0</v>
      </c>
    </row>
    <row r="583">
      <c r="A583" s="8" t="s">
        <v>1071</v>
      </c>
      <c r="B583" s="8" t="s">
        <v>835</v>
      </c>
      <c r="C583" s="8" t="s">
        <v>6355</v>
      </c>
      <c r="D583" s="8">
        <v>84.0</v>
      </c>
    </row>
    <row r="584">
      <c r="A584" s="8" t="s">
        <v>506</v>
      </c>
      <c r="B584" s="8" t="s">
        <v>915</v>
      </c>
      <c r="C584" s="8" t="s">
        <v>6354</v>
      </c>
      <c r="D584" s="8">
        <v>62.0</v>
      </c>
    </row>
    <row r="585">
      <c r="A585" s="8" t="s">
        <v>506</v>
      </c>
      <c r="B585" s="8" t="s">
        <v>841</v>
      </c>
      <c r="C585" s="8" t="s">
        <v>6373</v>
      </c>
      <c r="D585" s="8">
        <v>78.0</v>
      </c>
    </row>
    <row r="586">
      <c r="A586" s="8" t="s">
        <v>506</v>
      </c>
      <c r="B586" s="8" t="s">
        <v>1247</v>
      </c>
      <c r="C586" s="8" t="s">
        <v>6369</v>
      </c>
      <c r="D586" s="8">
        <v>71.0</v>
      </c>
    </row>
    <row r="587">
      <c r="A587" s="8" t="s">
        <v>506</v>
      </c>
      <c r="B587" s="8" t="s">
        <v>1275</v>
      </c>
      <c r="C587" s="8" t="s">
        <v>6349</v>
      </c>
      <c r="D587" s="8">
        <v>78.0</v>
      </c>
    </row>
    <row r="588">
      <c r="A588" s="8" t="s">
        <v>506</v>
      </c>
      <c r="B588" s="8" t="s">
        <v>2675</v>
      </c>
      <c r="C588" s="8" t="s">
        <v>6378</v>
      </c>
      <c r="D588" s="8">
        <v>77.0</v>
      </c>
    </row>
    <row r="589">
      <c r="A589" s="8" t="s">
        <v>506</v>
      </c>
      <c r="B589" s="8" t="s">
        <v>1969</v>
      </c>
      <c r="C589" s="8" t="s">
        <v>6376</v>
      </c>
      <c r="D589" s="8">
        <v>69.0</v>
      </c>
    </row>
    <row r="590">
      <c r="A590" s="8" t="s">
        <v>506</v>
      </c>
      <c r="B590" s="8" t="s">
        <v>508</v>
      </c>
      <c r="C590" s="8" t="s">
        <v>6368</v>
      </c>
      <c r="D590" s="8">
        <v>87.0</v>
      </c>
    </row>
    <row r="591">
      <c r="A591" s="8" t="s">
        <v>506</v>
      </c>
      <c r="B591" s="8" t="s">
        <v>638</v>
      </c>
      <c r="C591" s="8" t="s">
        <v>6362</v>
      </c>
      <c r="D591" s="8">
        <v>83.0</v>
      </c>
    </row>
    <row r="592">
      <c r="A592" s="8" t="s">
        <v>506</v>
      </c>
      <c r="B592" s="8" t="s">
        <v>2952</v>
      </c>
      <c r="C592" s="8" t="s">
        <v>6365</v>
      </c>
      <c r="D592" s="8">
        <v>73.0</v>
      </c>
    </row>
    <row r="593">
      <c r="A593" s="8" t="s">
        <v>506</v>
      </c>
      <c r="B593" s="8" t="s">
        <v>593</v>
      </c>
      <c r="C593" s="8" t="s">
        <v>6358</v>
      </c>
      <c r="D593" s="8">
        <v>72.0</v>
      </c>
    </row>
    <row r="594">
      <c r="A594" s="8" t="s">
        <v>506</v>
      </c>
      <c r="B594" s="8" t="s">
        <v>1483</v>
      </c>
      <c r="C594" s="8" t="s">
        <v>6374</v>
      </c>
      <c r="D594" s="8">
        <v>79.0</v>
      </c>
    </row>
    <row r="595">
      <c r="A595" s="8" t="s">
        <v>506</v>
      </c>
      <c r="B595" s="8" t="s">
        <v>47</v>
      </c>
      <c r="C595" s="8" t="s">
        <v>6360</v>
      </c>
      <c r="D595" s="8">
        <v>63.0</v>
      </c>
    </row>
    <row r="596">
      <c r="A596" s="8" t="s">
        <v>506</v>
      </c>
      <c r="B596" s="8" t="s">
        <v>2787</v>
      </c>
      <c r="C596" s="8" t="s">
        <v>6347</v>
      </c>
      <c r="D596" s="8">
        <v>67.0</v>
      </c>
    </row>
    <row r="597">
      <c r="A597" s="8" t="s">
        <v>506</v>
      </c>
      <c r="B597" s="8" t="s">
        <v>2205</v>
      </c>
      <c r="C597" s="8" t="s">
        <v>6377</v>
      </c>
      <c r="D597" s="8">
        <v>77.0</v>
      </c>
    </row>
    <row r="598">
      <c r="A598" s="8" t="s">
        <v>506</v>
      </c>
      <c r="B598" s="8" t="s">
        <v>956</v>
      </c>
      <c r="C598" s="8" t="s">
        <v>6354</v>
      </c>
      <c r="D598" s="8">
        <v>63.0</v>
      </c>
    </row>
    <row r="599">
      <c r="A599" s="8" t="s">
        <v>506</v>
      </c>
      <c r="B599" s="8" t="s">
        <v>1004</v>
      </c>
      <c r="C599" s="8" t="s">
        <v>6365</v>
      </c>
      <c r="D599" s="8">
        <v>68.0</v>
      </c>
    </row>
    <row r="600">
      <c r="A600" s="8" t="s">
        <v>506</v>
      </c>
      <c r="B600" s="8" t="s">
        <v>78</v>
      </c>
      <c r="C600" s="8" t="s">
        <v>6363</v>
      </c>
      <c r="D600" s="8">
        <v>66.0</v>
      </c>
    </row>
    <row r="601">
      <c r="A601" s="8" t="s">
        <v>506</v>
      </c>
      <c r="B601" s="8" t="s">
        <v>1264</v>
      </c>
      <c r="C601" s="8" t="s">
        <v>6371</v>
      </c>
      <c r="D601" s="8">
        <v>68.0</v>
      </c>
    </row>
    <row r="602">
      <c r="A602" s="8" t="s">
        <v>506</v>
      </c>
      <c r="B602" s="8" t="s">
        <v>843</v>
      </c>
      <c r="C602" s="8" t="s">
        <v>6355</v>
      </c>
      <c r="D602" s="8">
        <v>91.0</v>
      </c>
    </row>
    <row r="603">
      <c r="A603" s="8" t="s">
        <v>506</v>
      </c>
      <c r="B603" s="8" t="s">
        <v>389</v>
      </c>
      <c r="C603" s="8" t="s">
        <v>6352</v>
      </c>
      <c r="D603" s="8">
        <v>87.0</v>
      </c>
    </row>
    <row r="604">
      <c r="A604" s="8" t="s">
        <v>506</v>
      </c>
      <c r="B604" s="8" t="s">
        <v>843</v>
      </c>
      <c r="C604" s="8" t="s">
        <v>6355</v>
      </c>
      <c r="D604" s="8">
        <v>86.0</v>
      </c>
    </row>
    <row r="605">
      <c r="A605" s="8" t="s">
        <v>61</v>
      </c>
      <c r="B605" s="8" t="s">
        <v>232</v>
      </c>
      <c r="C605" s="8" t="s">
        <v>6348</v>
      </c>
      <c r="D605" s="8">
        <v>72.0</v>
      </c>
    </row>
    <row r="606">
      <c r="A606" s="8" t="s">
        <v>1808</v>
      </c>
      <c r="B606" s="8" t="s">
        <v>1807</v>
      </c>
      <c r="C606" s="8" t="s">
        <v>6347</v>
      </c>
      <c r="D606" s="8">
        <v>75.0</v>
      </c>
    </row>
    <row r="607">
      <c r="A607" s="8" t="s">
        <v>1808</v>
      </c>
      <c r="B607" s="8" t="s">
        <v>2850</v>
      </c>
      <c r="C607" s="8" t="s">
        <v>6355</v>
      </c>
      <c r="D607" s="8">
        <v>72.0</v>
      </c>
    </row>
    <row r="608">
      <c r="A608" s="8" t="s">
        <v>1827</v>
      </c>
      <c r="B608" s="8" t="s">
        <v>89</v>
      </c>
      <c r="C608" s="8" t="s">
        <v>6350</v>
      </c>
      <c r="D608" s="8">
        <v>69.0</v>
      </c>
    </row>
    <row r="609">
      <c r="A609" s="8" t="s">
        <v>2889</v>
      </c>
      <c r="B609" s="8" t="s">
        <v>2888</v>
      </c>
      <c r="C609" s="8" t="s">
        <v>6360</v>
      </c>
      <c r="D609" s="8">
        <v>64.0</v>
      </c>
    </row>
    <row r="610">
      <c r="A610" s="8" t="s">
        <v>1977</v>
      </c>
      <c r="B610" s="8" t="s">
        <v>1976</v>
      </c>
      <c r="C610" s="8" t="s">
        <v>6346</v>
      </c>
      <c r="D610" s="8">
        <v>72.0</v>
      </c>
    </row>
    <row r="611">
      <c r="A611" s="8" t="s">
        <v>4527</v>
      </c>
      <c r="B611" s="8" t="s">
        <v>937</v>
      </c>
      <c r="C611" s="8" t="s">
        <v>6363</v>
      </c>
      <c r="D611" s="8">
        <v>69.0</v>
      </c>
    </row>
    <row r="612">
      <c r="A612" s="8" t="s">
        <v>4529</v>
      </c>
      <c r="B612" s="8" t="s">
        <v>62</v>
      </c>
      <c r="C612" s="8" t="s">
        <v>6373</v>
      </c>
      <c r="D612" s="8">
        <v>70.0</v>
      </c>
    </row>
    <row r="613">
      <c r="A613" s="8" t="s">
        <v>4531</v>
      </c>
      <c r="B613" s="8" t="s">
        <v>185</v>
      </c>
      <c r="C613" s="8" t="s">
        <v>6345</v>
      </c>
      <c r="D613" s="8">
        <v>67.0</v>
      </c>
    </row>
    <row r="614">
      <c r="A614" s="8" t="s">
        <v>4533</v>
      </c>
      <c r="B614" s="8" t="s">
        <v>1081</v>
      </c>
      <c r="C614" s="8" t="s">
        <v>6375</v>
      </c>
      <c r="D614" s="8">
        <v>64.0</v>
      </c>
    </row>
    <row r="615">
      <c r="A615" s="8" t="s">
        <v>4535</v>
      </c>
      <c r="B615" s="8" t="s">
        <v>99</v>
      </c>
      <c r="C615" s="8" t="s">
        <v>6364</v>
      </c>
      <c r="D615" s="8">
        <v>65.0</v>
      </c>
    </row>
    <row r="616">
      <c r="A616" s="8" t="s">
        <v>4537</v>
      </c>
      <c r="B616" s="8" t="s">
        <v>142</v>
      </c>
      <c r="C616" s="8" t="s">
        <v>6372</v>
      </c>
      <c r="D616" s="8">
        <v>81.0</v>
      </c>
    </row>
    <row r="617">
      <c r="A617" s="8" t="s">
        <v>1606</v>
      </c>
      <c r="B617" s="8" t="s">
        <v>1605</v>
      </c>
      <c r="C617" s="8" t="s">
        <v>6372</v>
      </c>
      <c r="D617" s="8">
        <v>71.0</v>
      </c>
    </row>
    <row r="618">
      <c r="A618" s="8" t="s">
        <v>974</v>
      </c>
      <c r="B618" s="8" t="s">
        <v>973</v>
      </c>
      <c r="C618" s="8" t="s">
        <v>6345</v>
      </c>
      <c r="D618" s="8">
        <v>70.0</v>
      </c>
    </row>
    <row r="619">
      <c r="A619" s="8" t="s">
        <v>974</v>
      </c>
      <c r="B619" s="8" t="s">
        <v>1517</v>
      </c>
      <c r="C619" s="8" t="s">
        <v>6355</v>
      </c>
      <c r="D619" s="8">
        <v>74.0</v>
      </c>
    </row>
    <row r="620">
      <c r="A620" s="8" t="s">
        <v>943</v>
      </c>
      <c r="B620" s="8" t="s">
        <v>1199</v>
      </c>
      <c r="C620" s="8" t="s">
        <v>6359</v>
      </c>
      <c r="D620" s="8">
        <v>68.0</v>
      </c>
    </row>
    <row r="621">
      <c r="A621" s="8" t="s">
        <v>943</v>
      </c>
      <c r="B621" s="8" t="s">
        <v>897</v>
      </c>
      <c r="C621" s="8" t="s">
        <v>6371</v>
      </c>
      <c r="D621" s="8">
        <v>65.0</v>
      </c>
    </row>
    <row r="622">
      <c r="A622" s="8" t="s">
        <v>943</v>
      </c>
      <c r="B622" s="8" t="s">
        <v>1330</v>
      </c>
      <c r="C622" s="8" t="s">
        <v>6376</v>
      </c>
      <c r="D622" s="8">
        <v>73.0</v>
      </c>
    </row>
    <row r="623">
      <c r="A623" s="8" t="s">
        <v>943</v>
      </c>
      <c r="B623" s="8" t="s">
        <v>3056</v>
      </c>
      <c r="C623" s="8" t="s">
        <v>6364</v>
      </c>
      <c r="D623" s="8">
        <v>66.0</v>
      </c>
    </row>
    <row r="624">
      <c r="A624" s="8" t="s">
        <v>943</v>
      </c>
      <c r="B624" s="8" t="s">
        <v>715</v>
      </c>
      <c r="C624" s="8" t="s">
        <v>6358</v>
      </c>
      <c r="D624" s="8">
        <v>88.0</v>
      </c>
    </row>
    <row r="625">
      <c r="A625" s="8" t="s">
        <v>1056</v>
      </c>
      <c r="B625" s="8" t="s">
        <v>1055</v>
      </c>
      <c r="C625" s="8" t="s">
        <v>6358</v>
      </c>
      <c r="D625" s="8">
        <v>67.0</v>
      </c>
    </row>
    <row r="626">
      <c r="A626" s="8" t="s">
        <v>1192</v>
      </c>
      <c r="B626" s="8" t="s">
        <v>3149</v>
      </c>
      <c r="C626" s="8" t="s">
        <v>6355</v>
      </c>
      <c r="D626" s="8">
        <v>68.0</v>
      </c>
    </row>
    <row r="627">
      <c r="A627" s="8" t="s">
        <v>1672</v>
      </c>
      <c r="B627" s="8" t="s">
        <v>3144</v>
      </c>
      <c r="C627" s="8" t="s">
        <v>6362</v>
      </c>
      <c r="D627" s="8">
        <v>71.0</v>
      </c>
    </row>
    <row r="628">
      <c r="A628" s="8" t="s">
        <v>1662</v>
      </c>
      <c r="B628" s="8" t="s">
        <v>1661</v>
      </c>
      <c r="C628" s="8" t="s">
        <v>6346</v>
      </c>
      <c r="D628" s="8">
        <v>77.0</v>
      </c>
    </row>
    <row r="629">
      <c r="A629" s="8" t="s">
        <v>684</v>
      </c>
      <c r="B629" s="8" t="s">
        <v>683</v>
      </c>
      <c r="C629" s="8" t="s">
        <v>6373</v>
      </c>
      <c r="D629" s="8">
        <v>75.0</v>
      </c>
    </row>
    <row r="630">
      <c r="A630" s="8" t="s">
        <v>684</v>
      </c>
      <c r="B630" s="8" t="s">
        <v>3115</v>
      </c>
      <c r="C630" s="8" t="s">
        <v>6358</v>
      </c>
      <c r="D630" s="8">
        <v>66.0</v>
      </c>
    </row>
    <row r="631">
      <c r="A631" s="8" t="s">
        <v>1389</v>
      </c>
      <c r="B631" s="8" t="s">
        <v>1388</v>
      </c>
      <c r="C631" s="8" t="s">
        <v>6356</v>
      </c>
      <c r="D631" s="8">
        <v>83.0</v>
      </c>
    </row>
    <row r="632">
      <c r="A632" s="8" t="s">
        <v>1854</v>
      </c>
      <c r="B632" s="8" t="s">
        <v>284</v>
      </c>
      <c r="C632" s="8" t="s">
        <v>6372</v>
      </c>
      <c r="D632" s="8">
        <v>85.0</v>
      </c>
    </row>
    <row r="633">
      <c r="A633" s="8" t="s">
        <v>4555</v>
      </c>
      <c r="B633" s="8" t="s">
        <v>1183</v>
      </c>
      <c r="C633" s="8" t="s">
        <v>6359</v>
      </c>
      <c r="D633" s="8">
        <v>69.0</v>
      </c>
    </row>
    <row r="634">
      <c r="A634" s="8" t="s">
        <v>2955</v>
      </c>
      <c r="B634" s="8" t="s">
        <v>2954</v>
      </c>
      <c r="C634" s="8" t="s">
        <v>6363</v>
      </c>
      <c r="D634" s="8">
        <v>66.0</v>
      </c>
    </row>
    <row r="635">
      <c r="A635" s="8" t="s">
        <v>330</v>
      </c>
      <c r="B635" s="8" t="s">
        <v>34</v>
      </c>
      <c r="C635" s="8" t="s">
        <v>6356</v>
      </c>
      <c r="D635" s="8">
        <v>70.0</v>
      </c>
    </row>
    <row r="636">
      <c r="A636" s="8" t="s">
        <v>105</v>
      </c>
      <c r="B636" s="8" t="s">
        <v>104</v>
      </c>
      <c r="C636" s="8" t="s">
        <v>6354</v>
      </c>
      <c r="D636" s="8">
        <v>86.0</v>
      </c>
    </row>
    <row r="637">
      <c r="A637" s="8" t="s">
        <v>105</v>
      </c>
      <c r="B637" s="8" t="s">
        <v>104</v>
      </c>
      <c r="C637" s="8" t="s">
        <v>6354</v>
      </c>
      <c r="D637" s="8">
        <v>90.0</v>
      </c>
    </row>
    <row r="638">
      <c r="A638" s="8" t="s">
        <v>2129</v>
      </c>
      <c r="B638" s="8" t="s">
        <v>537</v>
      </c>
      <c r="C638" s="8" t="s">
        <v>6371</v>
      </c>
      <c r="D638" s="8">
        <v>70.0</v>
      </c>
    </row>
    <row r="639">
      <c r="A639" s="8" t="s">
        <v>2702</v>
      </c>
      <c r="B639" s="8" t="s">
        <v>2701</v>
      </c>
      <c r="C639" s="8" t="s">
        <v>6364</v>
      </c>
      <c r="D639" s="8">
        <v>77.0</v>
      </c>
    </row>
    <row r="640">
      <c r="A640" s="8" t="s">
        <v>148</v>
      </c>
      <c r="B640" s="8" t="s">
        <v>147</v>
      </c>
      <c r="C640" s="8" t="s">
        <v>6360</v>
      </c>
      <c r="D640" s="8">
        <v>84.0</v>
      </c>
    </row>
    <row r="641">
      <c r="A641" s="8" t="s">
        <v>2959</v>
      </c>
      <c r="B641" s="8" t="s">
        <v>767</v>
      </c>
      <c r="C641" s="8" t="s">
        <v>6364</v>
      </c>
      <c r="D641" s="8">
        <v>81.0</v>
      </c>
    </row>
    <row r="642">
      <c r="A642" s="8" t="s">
        <v>964</v>
      </c>
      <c r="B642" s="8" t="s">
        <v>104</v>
      </c>
      <c r="C642" s="8" t="s">
        <v>6363</v>
      </c>
      <c r="D642" s="8">
        <v>71.0</v>
      </c>
    </row>
    <row r="643">
      <c r="A643" s="8" t="s">
        <v>1735</v>
      </c>
      <c r="B643" s="8" t="s">
        <v>308</v>
      </c>
      <c r="C643" s="8" t="s">
        <v>6373</v>
      </c>
      <c r="D643" s="8">
        <v>73.0</v>
      </c>
    </row>
    <row r="644">
      <c r="A644" s="8" t="s">
        <v>964</v>
      </c>
      <c r="B644" s="8" t="s">
        <v>524</v>
      </c>
      <c r="C644" s="8" t="s">
        <v>6374</v>
      </c>
      <c r="D644" s="8">
        <v>83.0</v>
      </c>
    </row>
    <row r="645">
      <c r="A645" s="8" t="s">
        <v>964</v>
      </c>
      <c r="B645" s="8" t="s">
        <v>2667</v>
      </c>
      <c r="C645" s="8" t="s">
        <v>6359</v>
      </c>
      <c r="D645" s="8">
        <v>63.0</v>
      </c>
    </row>
    <row r="646">
      <c r="A646" s="8" t="s">
        <v>363</v>
      </c>
      <c r="B646" s="8" t="s">
        <v>61</v>
      </c>
      <c r="C646" s="8" t="s">
        <v>6349</v>
      </c>
      <c r="D646" s="8">
        <v>84.0</v>
      </c>
    </row>
    <row r="647">
      <c r="A647" s="8" t="s">
        <v>327</v>
      </c>
      <c r="B647" s="8" t="s">
        <v>62</v>
      </c>
      <c r="C647" s="8" t="s">
        <v>6363</v>
      </c>
      <c r="D647" s="8">
        <v>83.0</v>
      </c>
    </row>
    <row r="648">
      <c r="A648" s="8" t="s">
        <v>2813</v>
      </c>
      <c r="B648" s="8" t="s">
        <v>1174</v>
      </c>
      <c r="C648" s="8" t="s">
        <v>6355</v>
      </c>
      <c r="D648" s="8">
        <v>68.0</v>
      </c>
    </row>
    <row r="649">
      <c r="A649" s="8" t="s">
        <v>1418</v>
      </c>
      <c r="B649" s="8" t="s">
        <v>145</v>
      </c>
      <c r="C649" s="8" t="s">
        <v>6369</v>
      </c>
      <c r="D649" s="8">
        <v>64.0</v>
      </c>
    </row>
    <row r="650">
      <c r="A650" s="8" t="s">
        <v>708</v>
      </c>
      <c r="B650" s="8" t="s">
        <v>3014</v>
      </c>
      <c r="C650" s="8" t="s">
        <v>6370</v>
      </c>
      <c r="D650" s="8">
        <v>68.0</v>
      </c>
    </row>
    <row r="651">
      <c r="A651" s="8" t="s">
        <v>708</v>
      </c>
      <c r="B651" s="8" t="s">
        <v>89</v>
      </c>
      <c r="C651" s="8" t="s">
        <v>6373</v>
      </c>
      <c r="D651" s="8">
        <v>72.0</v>
      </c>
    </row>
    <row r="652">
      <c r="A652" s="8" t="s">
        <v>2854</v>
      </c>
      <c r="B652" s="8" t="s">
        <v>944</v>
      </c>
      <c r="C652" s="8" t="s">
        <v>6354</v>
      </c>
      <c r="D652" s="8">
        <v>63.0</v>
      </c>
    </row>
    <row r="653">
      <c r="A653" s="8" t="s">
        <v>467</v>
      </c>
      <c r="B653" s="8" t="s">
        <v>466</v>
      </c>
      <c r="C653" s="8" t="s">
        <v>6361</v>
      </c>
      <c r="D653" s="8">
        <v>73.0</v>
      </c>
    </row>
    <row r="654">
      <c r="A654" s="8" t="s">
        <v>562</v>
      </c>
      <c r="B654" s="8" t="s">
        <v>561</v>
      </c>
      <c r="C654" s="8" t="s">
        <v>6354</v>
      </c>
      <c r="D654" s="8">
        <v>70.0</v>
      </c>
    </row>
    <row r="655">
      <c r="A655" s="8" t="s">
        <v>1285</v>
      </c>
      <c r="B655" s="8" t="s">
        <v>3015</v>
      </c>
      <c r="C655" s="8" t="s">
        <v>6377</v>
      </c>
      <c r="D655" s="8">
        <v>63.0</v>
      </c>
    </row>
    <row r="656">
      <c r="A656" s="8" t="s">
        <v>1285</v>
      </c>
      <c r="B656" s="8" t="s">
        <v>1284</v>
      </c>
      <c r="C656" s="8" t="s">
        <v>6344</v>
      </c>
      <c r="D656" s="8">
        <v>79.0</v>
      </c>
    </row>
    <row r="657">
      <c r="A657" s="8" t="s">
        <v>1285</v>
      </c>
      <c r="B657" s="8" t="s">
        <v>389</v>
      </c>
      <c r="C657" s="8" t="s">
        <v>6364</v>
      </c>
      <c r="D657" s="8">
        <v>68.0</v>
      </c>
    </row>
    <row r="658">
      <c r="A658" s="8" t="s">
        <v>1285</v>
      </c>
      <c r="B658" s="8" t="s">
        <v>825</v>
      </c>
      <c r="C658" s="8" t="s">
        <v>6377</v>
      </c>
      <c r="D658" s="8">
        <v>79.0</v>
      </c>
    </row>
    <row r="659">
      <c r="A659" s="8" t="s">
        <v>697</v>
      </c>
      <c r="B659" s="8" t="s">
        <v>696</v>
      </c>
      <c r="C659" s="8" t="s">
        <v>6361</v>
      </c>
      <c r="D659" s="8">
        <v>74.0</v>
      </c>
    </row>
    <row r="660">
      <c r="A660" s="8" t="s">
        <v>569</v>
      </c>
      <c r="B660" s="8" t="s">
        <v>568</v>
      </c>
      <c r="C660" s="8" t="s">
        <v>6345</v>
      </c>
      <c r="D660" s="8">
        <v>74.0</v>
      </c>
    </row>
    <row r="661">
      <c r="A661" s="8" t="s">
        <v>569</v>
      </c>
      <c r="B661" s="8" t="s">
        <v>601</v>
      </c>
      <c r="C661" s="8" t="s">
        <v>6378</v>
      </c>
      <c r="D661" s="8">
        <v>69.0</v>
      </c>
    </row>
    <row r="662">
      <c r="A662" s="8" t="s">
        <v>569</v>
      </c>
      <c r="B662" s="8" t="s">
        <v>956</v>
      </c>
      <c r="C662" s="8" t="s">
        <v>6346</v>
      </c>
      <c r="D662" s="8">
        <v>71.0</v>
      </c>
    </row>
    <row r="663">
      <c r="A663" s="8" t="s">
        <v>569</v>
      </c>
      <c r="B663" s="8" t="s">
        <v>190</v>
      </c>
      <c r="C663" s="8" t="s">
        <v>6359</v>
      </c>
      <c r="D663" s="8">
        <v>64.0</v>
      </c>
    </row>
    <row r="664">
      <c r="A664" s="8" t="s">
        <v>569</v>
      </c>
      <c r="B664" s="8" t="s">
        <v>2067</v>
      </c>
      <c r="C664" s="8" t="s">
        <v>6361</v>
      </c>
      <c r="D664" s="8">
        <v>71.0</v>
      </c>
    </row>
    <row r="665">
      <c r="A665" s="8" t="s">
        <v>863</v>
      </c>
      <c r="B665" s="8" t="s">
        <v>862</v>
      </c>
      <c r="C665" s="8" t="s">
        <v>6352</v>
      </c>
      <c r="D665" s="8">
        <v>74.0</v>
      </c>
    </row>
    <row r="666">
      <c r="A666" s="8" t="s">
        <v>445</v>
      </c>
      <c r="B666" s="8" t="s">
        <v>444</v>
      </c>
      <c r="C666" s="8" t="s">
        <v>6374</v>
      </c>
      <c r="D666" s="8">
        <v>74.0</v>
      </c>
    </row>
    <row r="667">
      <c r="A667" s="8" t="s">
        <v>493</v>
      </c>
      <c r="B667" s="8" t="s">
        <v>144</v>
      </c>
      <c r="C667" s="8" t="s">
        <v>6376</v>
      </c>
      <c r="D667" s="8">
        <v>82.0</v>
      </c>
    </row>
    <row r="668">
      <c r="A668" s="8" t="s">
        <v>493</v>
      </c>
      <c r="B668" s="8" t="s">
        <v>492</v>
      </c>
      <c r="C668" s="8" t="s">
        <v>6376</v>
      </c>
      <c r="D668" s="8">
        <v>69.0</v>
      </c>
    </row>
    <row r="669">
      <c r="A669" s="8" t="s">
        <v>493</v>
      </c>
      <c r="B669" s="8" t="s">
        <v>448</v>
      </c>
      <c r="C669" s="8" t="s">
        <v>6344</v>
      </c>
      <c r="D669" s="8">
        <v>69.0</v>
      </c>
    </row>
    <row r="670">
      <c r="A670" s="8" t="s">
        <v>493</v>
      </c>
      <c r="B670" s="8" t="s">
        <v>47</v>
      </c>
      <c r="C670" s="8" t="s">
        <v>6362</v>
      </c>
      <c r="D670" s="8">
        <v>74.0</v>
      </c>
    </row>
    <row r="671">
      <c r="A671" s="8" t="s">
        <v>493</v>
      </c>
      <c r="B671" s="8" t="s">
        <v>622</v>
      </c>
      <c r="C671" s="8" t="s">
        <v>6363</v>
      </c>
      <c r="D671" s="8">
        <v>76.0</v>
      </c>
    </row>
    <row r="672">
      <c r="A672" s="8" t="s">
        <v>493</v>
      </c>
      <c r="B672" s="8" t="s">
        <v>406</v>
      </c>
      <c r="C672" s="8" t="s">
        <v>6364</v>
      </c>
      <c r="D672" s="8">
        <v>60.0</v>
      </c>
    </row>
    <row r="673">
      <c r="A673" s="8" t="s">
        <v>493</v>
      </c>
      <c r="B673" s="8" t="s">
        <v>2042</v>
      </c>
      <c r="C673" s="8" t="s">
        <v>6375</v>
      </c>
      <c r="D673" s="8">
        <v>78.0</v>
      </c>
    </row>
    <row r="674">
      <c r="A674" s="8" t="s">
        <v>1473</v>
      </c>
      <c r="B674" s="8" t="s">
        <v>637</v>
      </c>
      <c r="C674" s="8" t="s">
        <v>6354</v>
      </c>
      <c r="D674" s="8">
        <v>83.0</v>
      </c>
    </row>
    <row r="675">
      <c r="A675" s="8" t="s">
        <v>1473</v>
      </c>
      <c r="B675" s="8" t="s">
        <v>284</v>
      </c>
      <c r="C675" s="8" t="s">
        <v>6378</v>
      </c>
      <c r="D675" s="8">
        <v>64.0</v>
      </c>
    </row>
    <row r="676">
      <c r="A676" s="8" t="s">
        <v>1473</v>
      </c>
      <c r="B676" s="8" t="s">
        <v>146</v>
      </c>
      <c r="C676" s="8" t="s">
        <v>6354</v>
      </c>
      <c r="D676" s="8">
        <v>76.0</v>
      </c>
    </row>
    <row r="677">
      <c r="A677" s="8" t="s">
        <v>1473</v>
      </c>
      <c r="B677" s="8" t="s">
        <v>709</v>
      </c>
      <c r="C677" s="8" t="s">
        <v>6372</v>
      </c>
      <c r="D677" s="8">
        <v>73.0</v>
      </c>
    </row>
    <row r="678">
      <c r="A678" s="8" t="s">
        <v>1473</v>
      </c>
      <c r="B678" s="8" t="s">
        <v>1496</v>
      </c>
      <c r="C678" s="8" t="s">
        <v>6377</v>
      </c>
      <c r="D678" s="8">
        <v>77.0</v>
      </c>
    </row>
    <row r="679">
      <c r="A679" s="8" t="s">
        <v>1473</v>
      </c>
      <c r="B679" s="8" t="s">
        <v>389</v>
      </c>
      <c r="C679" s="8" t="s">
        <v>6376</v>
      </c>
      <c r="D679" s="8">
        <v>82.0</v>
      </c>
    </row>
    <row r="680">
      <c r="A680" s="8" t="s">
        <v>1473</v>
      </c>
      <c r="B680" s="8" t="s">
        <v>2207</v>
      </c>
      <c r="C680" s="8" t="s">
        <v>6373</v>
      </c>
      <c r="D680" s="8">
        <v>72.0</v>
      </c>
    </row>
    <row r="681">
      <c r="A681" s="8" t="s">
        <v>1473</v>
      </c>
      <c r="B681" s="8" t="s">
        <v>224</v>
      </c>
      <c r="C681" s="8" t="s">
        <v>6360</v>
      </c>
      <c r="D681" s="8">
        <v>84.0</v>
      </c>
    </row>
    <row r="682">
      <c r="A682" s="8" t="s">
        <v>1473</v>
      </c>
      <c r="B682" s="8" t="s">
        <v>224</v>
      </c>
      <c r="C682" s="8" t="s">
        <v>6360</v>
      </c>
      <c r="D682" s="8">
        <v>82.0</v>
      </c>
    </row>
    <row r="683">
      <c r="A683" s="8" t="s">
        <v>1473</v>
      </c>
      <c r="B683" s="8" t="s">
        <v>224</v>
      </c>
      <c r="C683" s="8" t="s">
        <v>6360</v>
      </c>
      <c r="D683" s="8">
        <v>83.0</v>
      </c>
    </row>
    <row r="684">
      <c r="A684" s="8" t="s">
        <v>1473</v>
      </c>
      <c r="B684" s="8" t="s">
        <v>224</v>
      </c>
      <c r="C684" s="8" t="s">
        <v>6360</v>
      </c>
      <c r="D684" s="8">
        <v>88.0</v>
      </c>
    </row>
    <row r="685">
      <c r="A685" s="8" t="s">
        <v>1473</v>
      </c>
      <c r="B685" s="8" t="s">
        <v>224</v>
      </c>
      <c r="C685" s="8" t="s">
        <v>6360</v>
      </c>
      <c r="D685" s="8">
        <v>86.0</v>
      </c>
    </row>
    <row r="686">
      <c r="A686" s="8" t="s">
        <v>2350</v>
      </c>
      <c r="B686" s="8" t="s">
        <v>2349</v>
      </c>
      <c r="C686" s="8" t="s">
        <v>6370</v>
      </c>
      <c r="D686" s="8">
        <v>77.0</v>
      </c>
    </row>
    <row r="687">
      <c r="A687" s="8" t="s">
        <v>1029</v>
      </c>
      <c r="B687" s="8" t="s">
        <v>99</v>
      </c>
      <c r="C687" s="8" t="s">
        <v>6377</v>
      </c>
      <c r="D687" s="8">
        <v>70.0</v>
      </c>
    </row>
    <row r="688">
      <c r="A688" s="8" t="s">
        <v>1817</v>
      </c>
      <c r="B688" s="8" t="s">
        <v>260</v>
      </c>
      <c r="C688" s="8" t="s">
        <v>6344</v>
      </c>
      <c r="D688" s="8">
        <v>77.0</v>
      </c>
    </row>
    <row r="689">
      <c r="A689" s="8" t="s">
        <v>209</v>
      </c>
      <c r="B689" s="8" t="s">
        <v>208</v>
      </c>
      <c r="C689" s="8" t="s">
        <v>6360</v>
      </c>
      <c r="D689" s="8">
        <v>82.0</v>
      </c>
    </row>
    <row r="690">
      <c r="A690" s="8" t="s">
        <v>2276</v>
      </c>
      <c r="B690" s="8" t="s">
        <v>34</v>
      </c>
      <c r="C690" s="8" t="s">
        <v>6358</v>
      </c>
      <c r="D690" s="8">
        <v>80.0</v>
      </c>
    </row>
    <row r="691">
      <c r="A691" s="8" t="s">
        <v>1339</v>
      </c>
      <c r="B691" s="8" t="s">
        <v>78</v>
      </c>
      <c r="C691" s="8" t="s">
        <v>6363</v>
      </c>
      <c r="D691" s="8">
        <v>65.0</v>
      </c>
    </row>
    <row r="692">
      <c r="A692" s="8" t="s">
        <v>1339</v>
      </c>
      <c r="B692" s="8" t="s">
        <v>3044</v>
      </c>
      <c r="C692" s="8" t="s">
        <v>6353</v>
      </c>
      <c r="D692" s="8">
        <v>76.0</v>
      </c>
    </row>
    <row r="693">
      <c r="A693" s="8" t="s">
        <v>903</v>
      </c>
      <c r="B693" s="8" t="s">
        <v>902</v>
      </c>
      <c r="C693" s="8" t="s">
        <v>6370</v>
      </c>
      <c r="D693" s="8">
        <v>62.0</v>
      </c>
    </row>
    <row r="694">
      <c r="A694" s="8" t="s">
        <v>2780</v>
      </c>
      <c r="B694" s="8" t="s">
        <v>897</v>
      </c>
      <c r="C694" s="8" t="s">
        <v>6367</v>
      </c>
      <c r="D694" s="8">
        <v>69.0</v>
      </c>
    </row>
    <row r="695">
      <c r="A695" s="8" t="s">
        <v>2167</v>
      </c>
      <c r="B695" s="8" t="s">
        <v>2166</v>
      </c>
      <c r="C695" s="8" t="s">
        <v>6355</v>
      </c>
      <c r="D695" s="8">
        <v>76.0</v>
      </c>
    </row>
    <row r="696">
      <c r="A696" s="8" t="s">
        <v>816</v>
      </c>
      <c r="B696" s="8" t="s">
        <v>815</v>
      </c>
      <c r="C696" s="8" t="s">
        <v>6372</v>
      </c>
      <c r="D696" s="8">
        <v>87.0</v>
      </c>
    </row>
    <row r="697">
      <c r="A697" s="8" t="s">
        <v>816</v>
      </c>
      <c r="B697" s="8" t="s">
        <v>956</v>
      </c>
      <c r="C697" s="8" t="s">
        <v>6344</v>
      </c>
      <c r="D697" s="8">
        <v>79.0</v>
      </c>
    </row>
    <row r="698">
      <c r="A698" s="8" t="s">
        <v>1654</v>
      </c>
      <c r="B698" s="8" t="s">
        <v>1653</v>
      </c>
      <c r="C698" s="8" t="s">
        <v>6375</v>
      </c>
      <c r="D698" s="8">
        <v>63.0</v>
      </c>
    </row>
    <row r="699">
      <c r="A699" s="8" t="s">
        <v>1096</v>
      </c>
      <c r="B699" s="8" t="s">
        <v>2927</v>
      </c>
      <c r="C699" s="8" t="s">
        <v>6355</v>
      </c>
      <c r="D699" s="8">
        <v>67.0</v>
      </c>
    </row>
    <row r="700">
      <c r="A700" s="8" t="s">
        <v>1096</v>
      </c>
      <c r="B700" s="8" t="s">
        <v>1095</v>
      </c>
      <c r="C700" s="8" t="s">
        <v>6360</v>
      </c>
      <c r="D700" s="8">
        <v>64.0</v>
      </c>
    </row>
    <row r="701">
      <c r="A701" s="8" t="s">
        <v>1082</v>
      </c>
      <c r="B701" s="8" t="s">
        <v>1276</v>
      </c>
      <c r="C701" s="8" t="s">
        <v>6347</v>
      </c>
      <c r="D701" s="8">
        <v>81.0</v>
      </c>
    </row>
    <row r="702">
      <c r="A702" s="8" t="s">
        <v>1096</v>
      </c>
      <c r="B702" s="8" t="s">
        <v>2091</v>
      </c>
      <c r="C702" s="8" t="s">
        <v>6365</v>
      </c>
      <c r="D702" s="8">
        <v>67.0</v>
      </c>
    </row>
    <row r="703">
      <c r="A703" s="8" t="s">
        <v>217</v>
      </c>
      <c r="B703" s="8" t="s">
        <v>1448</v>
      </c>
      <c r="C703" s="8" t="s">
        <v>6369</v>
      </c>
      <c r="D703" s="8">
        <v>79.0</v>
      </c>
    </row>
    <row r="704">
      <c r="A704" s="8" t="s">
        <v>217</v>
      </c>
      <c r="B704" s="8" t="s">
        <v>216</v>
      </c>
      <c r="C704" s="8" t="s">
        <v>6362</v>
      </c>
      <c r="D704" s="8">
        <v>84.0</v>
      </c>
    </row>
    <row r="705">
      <c r="A705" s="8" t="s">
        <v>217</v>
      </c>
      <c r="B705" s="8" t="s">
        <v>99</v>
      </c>
      <c r="C705" s="8" t="s">
        <v>6378</v>
      </c>
      <c r="D705" s="8">
        <v>70.0</v>
      </c>
    </row>
    <row r="706">
      <c r="A706" s="8" t="s">
        <v>735</v>
      </c>
      <c r="B706" s="8" t="s">
        <v>734</v>
      </c>
      <c r="C706" s="8" t="s">
        <v>6353</v>
      </c>
      <c r="D706" s="8">
        <v>77.0</v>
      </c>
    </row>
    <row r="707">
      <c r="A707" s="8" t="s">
        <v>917</v>
      </c>
      <c r="B707" s="8" t="s">
        <v>916</v>
      </c>
      <c r="C707" s="8" t="s">
        <v>6372</v>
      </c>
      <c r="D707" s="8">
        <v>85.0</v>
      </c>
    </row>
    <row r="708">
      <c r="A708" s="8" t="s">
        <v>856</v>
      </c>
      <c r="B708" s="8" t="s">
        <v>855</v>
      </c>
      <c r="C708" s="8" t="s">
        <v>6363</v>
      </c>
      <c r="D708" s="8">
        <v>75.0</v>
      </c>
    </row>
    <row r="709">
      <c r="A709" s="8" t="s">
        <v>2450</v>
      </c>
      <c r="B709" s="8" t="s">
        <v>582</v>
      </c>
      <c r="C709" s="8" t="s">
        <v>6376</v>
      </c>
      <c r="D709" s="8">
        <v>72.0</v>
      </c>
    </row>
    <row r="710">
      <c r="A710" s="8" t="s">
        <v>2693</v>
      </c>
      <c r="B710" s="8" t="s">
        <v>1095</v>
      </c>
      <c r="C710" s="8" t="s">
        <v>6361</v>
      </c>
      <c r="D710" s="8">
        <v>67.0</v>
      </c>
    </row>
    <row r="711">
      <c r="A711" s="8" t="s">
        <v>2706</v>
      </c>
      <c r="B711" s="8" t="s">
        <v>2064</v>
      </c>
      <c r="C711" s="8" t="s">
        <v>6364</v>
      </c>
      <c r="D711" s="8">
        <v>81.0</v>
      </c>
    </row>
    <row r="712">
      <c r="A712" s="8" t="s">
        <v>3068</v>
      </c>
      <c r="B712" s="8" t="s">
        <v>3067</v>
      </c>
      <c r="C712" s="8" t="s">
        <v>6369</v>
      </c>
      <c r="D712" s="8">
        <v>71.0</v>
      </c>
    </row>
    <row r="713">
      <c r="A713" s="8" t="s">
        <v>1492</v>
      </c>
      <c r="B713" s="8" t="s">
        <v>91</v>
      </c>
      <c r="C713" s="8" t="s">
        <v>6365</v>
      </c>
      <c r="D713" s="8">
        <v>65.0</v>
      </c>
    </row>
    <row r="714">
      <c r="A714" s="8" t="s">
        <v>1457</v>
      </c>
      <c r="B714" s="8" t="s">
        <v>698</v>
      </c>
      <c r="C714" s="8" t="s">
        <v>6373</v>
      </c>
      <c r="D714" s="8">
        <v>68.0</v>
      </c>
    </row>
    <row r="715">
      <c r="A715" s="8" t="s">
        <v>1457</v>
      </c>
      <c r="B715" s="8" t="s">
        <v>1424</v>
      </c>
      <c r="C715" s="8" t="s">
        <v>6355</v>
      </c>
      <c r="D715" s="8">
        <v>66.0</v>
      </c>
    </row>
    <row r="716">
      <c r="A716" s="8" t="s">
        <v>744</v>
      </c>
      <c r="B716" s="8" t="s">
        <v>1422</v>
      </c>
      <c r="C716" s="8" t="s">
        <v>6345</v>
      </c>
      <c r="D716" s="8">
        <v>78.0</v>
      </c>
    </row>
    <row r="717">
      <c r="A717" s="8" t="s">
        <v>744</v>
      </c>
      <c r="B717" s="8" t="s">
        <v>94</v>
      </c>
      <c r="C717" s="8" t="s">
        <v>6354</v>
      </c>
      <c r="D717" s="8">
        <v>82.0</v>
      </c>
    </row>
    <row r="718">
      <c r="A718" s="8" t="s">
        <v>744</v>
      </c>
      <c r="B718" s="8" t="s">
        <v>263</v>
      </c>
      <c r="C718" s="8" t="s">
        <v>6371</v>
      </c>
      <c r="D718" s="8">
        <v>75.0</v>
      </c>
    </row>
    <row r="719">
      <c r="A719" s="8" t="s">
        <v>744</v>
      </c>
      <c r="B719" s="8" t="s">
        <v>1619</v>
      </c>
      <c r="C719" s="8" t="s">
        <v>6359</v>
      </c>
      <c r="D719" s="8">
        <v>77.0</v>
      </c>
    </row>
    <row r="720">
      <c r="A720" s="8" t="s">
        <v>2989</v>
      </c>
      <c r="B720" s="8" t="s">
        <v>2988</v>
      </c>
      <c r="C720" s="8" t="s">
        <v>6363</v>
      </c>
      <c r="D720" s="8">
        <v>77.0</v>
      </c>
    </row>
    <row r="721">
      <c r="A721" s="8" t="s">
        <v>172</v>
      </c>
      <c r="B721" s="8" t="s">
        <v>1828</v>
      </c>
      <c r="C721" s="8" t="s">
        <v>6357</v>
      </c>
      <c r="D721" s="8">
        <v>62.0</v>
      </c>
    </row>
    <row r="722">
      <c r="A722" s="8" t="s">
        <v>172</v>
      </c>
      <c r="B722" s="8" t="s">
        <v>171</v>
      </c>
      <c r="C722" s="8" t="s">
        <v>6364</v>
      </c>
      <c r="D722" s="8">
        <v>83.0</v>
      </c>
    </row>
    <row r="723">
      <c r="A723" s="8" t="s">
        <v>172</v>
      </c>
      <c r="B723" s="8" t="s">
        <v>2773</v>
      </c>
      <c r="C723" s="8" t="s">
        <v>6357</v>
      </c>
      <c r="D723" s="8">
        <v>76.0</v>
      </c>
    </row>
    <row r="724">
      <c r="A724" s="8" t="s">
        <v>31</v>
      </c>
      <c r="B724" s="8" t="s">
        <v>2719</v>
      </c>
      <c r="C724" s="8" t="s">
        <v>6346</v>
      </c>
      <c r="D724" s="8">
        <v>71.0</v>
      </c>
    </row>
    <row r="725">
      <c r="A725" s="8" t="s">
        <v>31</v>
      </c>
      <c r="B725" s="8" t="s">
        <v>284</v>
      </c>
      <c r="C725" s="8" t="s">
        <v>6356</v>
      </c>
      <c r="D725" s="8">
        <v>70.0</v>
      </c>
    </row>
    <row r="726">
      <c r="A726" s="8" t="s">
        <v>669</v>
      </c>
      <c r="B726" s="8" t="s">
        <v>3073</v>
      </c>
      <c r="C726" s="8" t="s">
        <v>6377</v>
      </c>
      <c r="D726" s="8">
        <v>75.0</v>
      </c>
    </row>
    <row r="727">
      <c r="A727" s="8" t="s">
        <v>669</v>
      </c>
      <c r="B727" s="8" t="s">
        <v>2397</v>
      </c>
      <c r="C727" s="8" t="s">
        <v>6346</v>
      </c>
      <c r="D727" s="8">
        <v>68.0</v>
      </c>
    </row>
    <row r="728">
      <c r="A728" s="8" t="s">
        <v>669</v>
      </c>
      <c r="B728" s="8" t="s">
        <v>2990</v>
      </c>
      <c r="C728" s="8" t="s">
        <v>6376</v>
      </c>
      <c r="D728" s="8">
        <v>83.0</v>
      </c>
    </row>
    <row r="729">
      <c r="A729" s="8" t="s">
        <v>2705</v>
      </c>
      <c r="B729" s="8" t="s">
        <v>106</v>
      </c>
      <c r="C729" s="8" t="s">
        <v>6355</v>
      </c>
      <c r="D729" s="8">
        <v>65.0</v>
      </c>
    </row>
    <row r="730">
      <c r="A730" s="8" t="s">
        <v>2731</v>
      </c>
      <c r="B730" s="8" t="s">
        <v>90</v>
      </c>
      <c r="C730" s="8" t="s">
        <v>6344</v>
      </c>
      <c r="D730" s="8">
        <v>64.0</v>
      </c>
    </row>
    <row r="731">
      <c r="A731" s="8" t="s">
        <v>1943</v>
      </c>
      <c r="B731" s="8" t="s">
        <v>3007</v>
      </c>
      <c r="C731" s="8" t="s">
        <v>6375</v>
      </c>
      <c r="D731" s="8">
        <v>71.0</v>
      </c>
    </row>
    <row r="732">
      <c r="A732" s="8" t="s">
        <v>1314</v>
      </c>
      <c r="B732" s="8" t="s">
        <v>99</v>
      </c>
      <c r="C732" s="8" t="s">
        <v>6360</v>
      </c>
      <c r="D732" s="8">
        <v>76.0</v>
      </c>
    </row>
    <row r="733">
      <c r="A733" s="8" t="s">
        <v>4656</v>
      </c>
      <c r="B733" s="8" t="s">
        <v>535</v>
      </c>
      <c r="C733" s="8" t="s">
        <v>6362</v>
      </c>
      <c r="D733" s="8">
        <v>82.0</v>
      </c>
    </row>
    <row r="734">
      <c r="A734" s="8" t="s">
        <v>2863</v>
      </c>
      <c r="B734" s="8" t="s">
        <v>389</v>
      </c>
      <c r="C734" s="8" t="s">
        <v>6371</v>
      </c>
      <c r="D734" s="8">
        <v>71.0</v>
      </c>
    </row>
    <row r="735">
      <c r="A735" s="8" t="s">
        <v>591</v>
      </c>
      <c r="B735" s="8" t="s">
        <v>590</v>
      </c>
      <c r="C735" s="8" t="s">
        <v>6369</v>
      </c>
      <c r="D735" s="8">
        <v>82.0</v>
      </c>
    </row>
    <row r="736">
      <c r="A736" s="8" t="s">
        <v>591</v>
      </c>
      <c r="B736" s="8" t="s">
        <v>590</v>
      </c>
      <c r="C736" s="8" t="s">
        <v>6369</v>
      </c>
      <c r="D736" s="8">
        <v>87.0</v>
      </c>
    </row>
    <row r="737">
      <c r="A737" s="8" t="s">
        <v>1267</v>
      </c>
      <c r="B737" s="8" t="s">
        <v>1427</v>
      </c>
      <c r="C737" s="8" t="s">
        <v>6348</v>
      </c>
      <c r="D737" s="8">
        <v>67.0</v>
      </c>
    </row>
    <row r="738">
      <c r="A738" s="8" t="s">
        <v>1267</v>
      </c>
      <c r="B738" s="8" t="s">
        <v>1266</v>
      </c>
      <c r="C738" s="8" t="s">
        <v>6346</v>
      </c>
      <c r="D738" s="8">
        <v>77.0</v>
      </c>
    </row>
    <row r="739">
      <c r="A739" s="8" t="s">
        <v>1267</v>
      </c>
      <c r="B739" s="8" t="s">
        <v>208</v>
      </c>
      <c r="C739" s="8" t="s">
        <v>6369</v>
      </c>
      <c r="D739" s="8">
        <v>74.0</v>
      </c>
    </row>
    <row r="740">
      <c r="A740" s="8" t="s">
        <v>387</v>
      </c>
      <c r="B740" s="8" t="s">
        <v>386</v>
      </c>
      <c r="C740" s="8" t="s">
        <v>6359</v>
      </c>
      <c r="D740" s="8">
        <v>61.0</v>
      </c>
    </row>
    <row r="741">
      <c r="A741" s="8" t="s">
        <v>2306</v>
      </c>
      <c r="B741" s="8" t="s">
        <v>2662</v>
      </c>
      <c r="C741" s="8" t="s">
        <v>6374</v>
      </c>
      <c r="D741" s="8">
        <v>68.0</v>
      </c>
    </row>
    <row r="742">
      <c r="A742" s="8" t="s">
        <v>1850</v>
      </c>
      <c r="B742" s="8" t="s">
        <v>389</v>
      </c>
      <c r="C742" s="8" t="s">
        <v>6369</v>
      </c>
      <c r="D742" s="8">
        <v>75.0</v>
      </c>
    </row>
    <row r="743">
      <c r="A743" s="8" t="s">
        <v>1850</v>
      </c>
      <c r="B743" s="8" t="s">
        <v>4667</v>
      </c>
      <c r="C743" s="8" t="s">
        <v>6373</v>
      </c>
      <c r="D743" s="8">
        <v>71.0</v>
      </c>
    </row>
    <row r="744">
      <c r="A744" s="8" t="s">
        <v>397</v>
      </c>
      <c r="B744" s="8" t="s">
        <v>1531</v>
      </c>
      <c r="C744" s="8" t="s">
        <v>6378</v>
      </c>
      <c r="D744" s="8">
        <v>63.0</v>
      </c>
    </row>
    <row r="745">
      <c r="A745" s="8" t="s">
        <v>397</v>
      </c>
      <c r="B745" s="8" t="s">
        <v>396</v>
      </c>
      <c r="C745" s="8" t="s">
        <v>6376</v>
      </c>
      <c r="D745" s="8">
        <v>78.0</v>
      </c>
    </row>
    <row r="746">
      <c r="A746" s="8" t="s">
        <v>397</v>
      </c>
      <c r="B746" s="8" t="s">
        <v>2671</v>
      </c>
      <c r="C746" s="8" t="s">
        <v>6371</v>
      </c>
      <c r="D746" s="8">
        <v>85.0</v>
      </c>
    </row>
    <row r="747">
      <c r="A747" s="8" t="s">
        <v>397</v>
      </c>
      <c r="B747" s="8" t="s">
        <v>2671</v>
      </c>
      <c r="C747" s="8" t="s">
        <v>6371</v>
      </c>
      <c r="D747" s="8">
        <v>88.0</v>
      </c>
    </row>
    <row r="748">
      <c r="A748" s="8" t="s">
        <v>565</v>
      </c>
      <c r="B748" s="8" t="s">
        <v>564</v>
      </c>
      <c r="C748" s="8" t="s">
        <v>6350</v>
      </c>
      <c r="D748" s="8">
        <v>77.0</v>
      </c>
    </row>
    <row r="749">
      <c r="A749" s="8" t="s">
        <v>2657</v>
      </c>
      <c r="B749" s="8" t="s">
        <v>636</v>
      </c>
      <c r="C749" s="8" t="s">
        <v>6361</v>
      </c>
      <c r="D749" s="8">
        <v>65.0</v>
      </c>
    </row>
    <row r="750">
      <c r="A750" s="8" t="s">
        <v>20</v>
      </c>
      <c r="B750" s="8" t="s">
        <v>2872</v>
      </c>
      <c r="C750" s="8" t="s">
        <v>6344</v>
      </c>
      <c r="D750" s="8">
        <v>78.0</v>
      </c>
    </row>
    <row r="751">
      <c r="A751" s="8" t="s">
        <v>20</v>
      </c>
      <c r="B751" s="8" t="s">
        <v>103</v>
      </c>
      <c r="C751" s="8" t="s">
        <v>6377</v>
      </c>
      <c r="D751" s="8">
        <v>73.0</v>
      </c>
    </row>
    <row r="752">
      <c r="A752" s="8" t="s">
        <v>20</v>
      </c>
      <c r="B752" s="8" t="s">
        <v>19</v>
      </c>
      <c r="C752" s="8" t="s">
        <v>6349</v>
      </c>
      <c r="D752" s="8">
        <v>86.0</v>
      </c>
    </row>
    <row r="753">
      <c r="A753" s="8" t="s">
        <v>107</v>
      </c>
      <c r="B753" s="8" t="s">
        <v>106</v>
      </c>
      <c r="C753" s="8" t="s">
        <v>6371</v>
      </c>
      <c r="D753" s="8">
        <v>81.0</v>
      </c>
    </row>
    <row r="754">
      <c r="A754" s="8" t="s">
        <v>1486</v>
      </c>
      <c r="B754" s="8" t="s">
        <v>421</v>
      </c>
      <c r="C754" s="8" t="s">
        <v>6372</v>
      </c>
      <c r="D754" s="8">
        <v>68.0</v>
      </c>
    </row>
    <row r="755">
      <c r="A755" s="8" t="s">
        <v>1486</v>
      </c>
      <c r="B755" s="8" t="s">
        <v>2866</v>
      </c>
      <c r="C755" s="8" t="s">
        <v>6377</v>
      </c>
      <c r="D755" s="8">
        <v>78.0</v>
      </c>
    </row>
    <row r="756">
      <c r="A756" s="8" t="s">
        <v>1486</v>
      </c>
      <c r="B756" s="8" t="s">
        <v>2761</v>
      </c>
      <c r="C756" s="8" t="s">
        <v>6362</v>
      </c>
      <c r="D756" s="8">
        <v>73.0</v>
      </c>
    </row>
    <row r="757">
      <c r="A757" s="8" t="s">
        <v>1486</v>
      </c>
      <c r="B757" s="8" t="s">
        <v>1776</v>
      </c>
      <c r="C757" s="8" t="s">
        <v>6358</v>
      </c>
      <c r="D757" s="8">
        <v>69.0</v>
      </c>
    </row>
    <row r="758">
      <c r="A758" s="8" t="s">
        <v>1979</v>
      </c>
      <c r="B758" s="8" t="s">
        <v>1978</v>
      </c>
      <c r="C758" s="8" t="s">
        <v>6347</v>
      </c>
      <c r="D758" s="8">
        <v>70.0</v>
      </c>
    </row>
    <row r="759">
      <c r="A759" s="8" t="s">
        <v>707</v>
      </c>
      <c r="B759" s="8" t="s">
        <v>706</v>
      </c>
      <c r="C759" s="8" t="s">
        <v>6362</v>
      </c>
      <c r="D759" s="8">
        <v>78.0</v>
      </c>
    </row>
    <row r="760">
      <c r="A760" s="8" t="s">
        <v>37</v>
      </c>
      <c r="B760" s="8" t="s">
        <v>715</v>
      </c>
      <c r="C760" s="8" t="s">
        <v>6370</v>
      </c>
      <c r="D760" s="8">
        <v>77.0</v>
      </c>
    </row>
    <row r="761">
      <c r="A761" s="8" t="s">
        <v>37</v>
      </c>
      <c r="B761" s="8" t="s">
        <v>36</v>
      </c>
      <c r="C761" s="8" t="s">
        <v>6373</v>
      </c>
      <c r="D761" s="8">
        <v>79.0</v>
      </c>
    </row>
    <row r="762">
      <c r="A762" s="8" t="s">
        <v>273</v>
      </c>
      <c r="B762" s="8" t="s">
        <v>89</v>
      </c>
      <c r="C762" s="8" t="s">
        <v>6376</v>
      </c>
      <c r="D762" s="8">
        <v>71.0</v>
      </c>
    </row>
    <row r="763">
      <c r="A763" s="8" t="s">
        <v>273</v>
      </c>
      <c r="B763" s="8" t="s">
        <v>460</v>
      </c>
      <c r="C763" s="8" t="s">
        <v>6362</v>
      </c>
      <c r="D763" s="8">
        <v>79.0</v>
      </c>
    </row>
    <row r="764">
      <c r="A764" s="8" t="s">
        <v>1399</v>
      </c>
      <c r="B764" s="8" t="s">
        <v>2765</v>
      </c>
      <c r="C764" s="8" t="s">
        <v>6378</v>
      </c>
      <c r="D764" s="8">
        <v>68.0</v>
      </c>
    </row>
    <row r="765">
      <c r="A765" s="8" t="s">
        <v>1399</v>
      </c>
      <c r="B765" s="8" t="s">
        <v>349</v>
      </c>
      <c r="C765" s="8" t="s">
        <v>6358</v>
      </c>
      <c r="D765" s="8">
        <v>78.0</v>
      </c>
    </row>
    <row r="766">
      <c r="A766" s="8" t="s">
        <v>1399</v>
      </c>
      <c r="B766" s="8" t="s">
        <v>1398</v>
      </c>
      <c r="C766" s="8" t="s">
        <v>6344</v>
      </c>
      <c r="D766" s="8">
        <v>74.0</v>
      </c>
    </row>
    <row r="767">
      <c r="A767" s="8" t="s">
        <v>1641</v>
      </c>
      <c r="B767" s="8" t="s">
        <v>62</v>
      </c>
      <c r="C767" s="8" t="s">
        <v>6363</v>
      </c>
      <c r="D767" s="8">
        <v>67.0</v>
      </c>
    </row>
    <row r="768">
      <c r="A768" s="8" t="s">
        <v>6388</v>
      </c>
      <c r="B768" s="8" t="s">
        <v>2916</v>
      </c>
      <c r="C768" s="8" t="s">
        <v>6376</v>
      </c>
      <c r="D768" s="8">
        <v>73.0</v>
      </c>
    </row>
    <row r="769">
      <c r="A769" s="8" t="s">
        <v>6388</v>
      </c>
      <c r="B769" s="8" t="s">
        <v>689</v>
      </c>
      <c r="C769" s="8" t="s">
        <v>6377</v>
      </c>
      <c r="D769" s="8">
        <v>80.0</v>
      </c>
    </row>
    <row r="770">
      <c r="A770" s="8" t="s">
        <v>443</v>
      </c>
      <c r="B770" s="8" t="s">
        <v>427</v>
      </c>
      <c r="C770" s="8" t="s">
        <v>6356</v>
      </c>
      <c r="D770" s="8">
        <v>69.0</v>
      </c>
    </row>
    <row r="771">
      <c r="A771" s="8" t="s">
        <v>443</v>
      </c>
      <c r="B771" s="8" t="s">
        <v>3090</v>
      </c>
      <c r="C771" s="8" t="s">
        <v>6371</v>
      </c>
      <c r="D771" s="8">
        <v>87.0</v>
      </c>
    </row>
    <row r="772">
      <c r="A772" s="8" t="s">
        <v>201</v>
      </c>
      <c r="B772" s="8" t="s">
        <v>200</v>
      </c>
      <c r="C772" s="8" t="s">
        <v>6371</v>
      </c>
      <c r="D772" s="8">
        <v>74.0</v>
      </c>
    </row>
    <row r="773">
      <c r="A773" s="8" t="s">
        <v>1347</v>
      </c>
      <c r="B773" s="8" t="s">
        <v>2998</v>
      </c>
      <c r="C773" s="8" t="s">
        <v>6364</v>
      </c>
      <c r="D773" s="8">
        <v>60.0</v>
      </c>
    </row>
    <row r="774">
      <c r="A774" s="8" t="s">
        <v>1347</v>
      </c>
      <c r="B774" s="8" t="s">
        <v>2009</v>
      </c>
      <c r="C774" s="8" t="s">
        <v>6376</v>
      </c>
      <c r="D774" s="8">
        <v>72.0</v>
      </c>
    </row>
    <row r="775">
      <c r="A775" s="8" t="s">
        <v>1347</v>
      </c>
      <c r="B775" s="8" t="s">
        <v>1346</v>
      </c>
      <c r="C775" s="8" t="s">
        <v>6345</v>
      </c>
      <c r="D775" s="8">
        <v>73.0</v>
      </c>
    </row>
    <row r="776">
      <c r="A776" s="8" t="s">
        <v>1347</v>
      </c>
      <c r="B776" s="8" t="s">
        <v>208</v>
      </c>
      <c r="C776" s="8" t="s">
        <v>6359</v>
      </c>
      <c r="D776" s="8">
        <v>77.0</v>
      </c>
    </row>
    <row r="777">
      <c r="A777" s="8" t="s">
        <v>1347</v>
      </c>
      <c r="B777" s="8" t="s">
        <v>1455</v>
      </c>
      <c r="C777" s="8" t="s">
        <v>6359</v>
      </c>
      <c r="D777" s="8">
        <v>76.0</v>
      </c>
    </row>
    <row r="778">
      <c r="A778" s="8" t="s">
        <v>3022</v>
      </c>
      <c r="B778" s="8" t="s">
        <v>308</v>
      </c>
      <c r="C778" s="8" t="s">
        <v>6352</v>
      </c>
      <c r="D778" s="8">
        <v>64.0</v>
      </c>
    </row>
    <row r="779">
      <c r="A779" s="8" t="s">
        <v>3002</v>
      </c>
      <c r="B779" s="8" t="s">
        <v>1579</v>
      </c>
      <c r="C779" s="8" t="s">
        <v>6357</v>
      </c>
      <c r="D779" s="8">
        <v>65.0</v>
      </c>
    </row>
    <row r="780">
      <c r="A780" s="8" t="s">
        <v>1592</v>
      </c>
      <c r="B780" s="8" t="s">
        <v>305</v>
      </c>
      <c r="C780" s="8" t="s">
        <v>6362</v>
      </c>
      <c r="D780" s="8">
        <v>75.0</v>
      </c>
    </row>
    <row r="781">
      <c r="A781" s="8" t="s">
        <v>29</v>
      </c>
      <c r="B781" s="8" t="s">
        <v>1684</v>
      </c>
      <c r="C781" s="8" t="s">
        <v>6348</v>
      </c>
      <c r="D781" s="8">
        <v>71.0</v>
      </c>
    </row>
    <row r="782">
      <c r="A782" s="8" t="s">
        <v>29</v>
      </c>
      <c r="B782" s="8" t="s">
        <v>1301</v>
      </c>
      <c r="C782" s="8" t="s">
        <v>6364</v>
      </c>
      <c r="D782" s="8">
        <v>61.0</v>
      </c>
    </row>
    <row r="783">
      <c r="A783" s="8" t="s">
        <v>29</v>
      </c>
      <c r="B783" s="8" t="s">
        <v>1467</v>
      </c>
      <c r="C783" s="8" t="s">
        <v>6356</v>
      </c>
      <c r="D783" s="8">
        <v>71.0</v>
      </c>
    </row>
    <row r="784">
      <c r="A784" s="8" t="s">
        <v>29</v>
      </c>
      <c r="B784" s="8" t="s">
        <v>28</v>
      </c>
      <c r="C784" s="8" t="s">
        <v>6348</v>
      </c>
      <c r="D784" s="8">
        <v>78.0</v>
      </c>
    </row>
    <row r="785">
      <c r="A785" s="8" t="s">
        <v>1528</v>
      </c>
      <c r="B785" s="8" t="s">
        <v>2020</v>
      </c>
      <c r="C785" s="8" t="s">
        <v>6363</v>
      </c>
      <c r="D785" s="8">
        <v>67.0</v>
      </c>
    </row>
    <row r="786">
      <c r="A786" s="8" t="s">
        <v>1528</v>
      </c>
      <c r="B786" s="8" t="s">
        <v>2135</v>
      </c>
      <c r="C786" s="8" t="s">
        <v>6369</v>
      </c>
      <c r="D786" s="8">
        <v>63.0</v>
      </c>
    </row>
    <row r="787">
      <c r="A787" s="8" t="s">
        <v>1528</v>
      </c>
      <c r="B787" s="8" t="s">
        <v>1944</v>
      </c>
      <c r="C787" s="8" t="s">
        <v>6375</v>
      </c>
      <c r="D787" s="8">
        <v>70.0</v>
      </c>
    </row>
    <row r="788">
      <c r="A788" s="8" t="s">
        <v>1528</v>
      </c>
      <c r="B788" s="8" t="s">
        <v>1527</v>
      </c>
      <c r="C788" s="8" t="s">
        <v>6378</v>
      </c>
      <c r="D788" s="8">
        <v>74.0</v>
      </c>
    </row>
    <row r="789">
      <c r="A789" s="8" t="s">
        <v>1528</v>
      </c>
      <c r="B789" s="8" t="s">
        <v>42</v>
      </c>
      <c r="C789" s="8" t="s">
        <v>6356</v>
      </c>
      <c r="D789" s="8">
        <v>69.0</v>
      </c>
    </row>
    <row r="790">
      <c r="A790" s="8" t="s">
        <v>1281</v>
      </c>
      <c r="B790" s="8" t="s">
        <v>1280</v>
      </c>
      <c r="C790" s="8" t="s">
        <v>6352</v>
      </c>
      <c r="D790" s="8">
        <v>66.0</v>
      </c>
    </row>
    <row r="791">
      <c r="A791" s="8" t="s">
        <v>226</v>
      </c>
      <c r="B791" s="8" t="s">
        <v>225</v>
      </c>
      <c r="C791" s="8" t="s">
        <v>6363</v>
      </c>
      <c r="D791" s="8">
        <v>83.0</v>
      </c>
    </row>
    <row r="792">
      <c r="A792" s="8" t="s">
        <v>226</v>
      </c>
      <c r="B792" s="8" t="s">
        <v>1557</v>
      </c>
      <c r="C792" s="8" t="s">
        <v>6377</v>
      </c>
      <c r="D792" s="8">
        <v>74.0</v>
      </c>
    </row>
    <row r="793">
      <c r="A793" s="8" t="s">
        <v>226</v>
      </c>
      <c r="B793" s="8" t="s">
        <v>2891</v>
      </c>
      <c r="C793" s="8" t="s">
        <v>6376</v>
      </c>
      <c r="D793" s="8">
        <v>72.0</v>
      </c>
    </row>
    <row r="794">
      <c r="A794" s="8" t="s">
        <v>2423</v>
      </c>
      <c r="B794" s="8" t="s">
        <v>3072</v>
      </c>
      <c r="C794" s="8" t="s">
        <v>6355</v>
      </c>
      <c r="D794" s="8">
        <v>68.0</v>
      </c>
    </row>
    <row r="795">
      <c r="A795" s="8" t="s">
        <v>1443</v>
      </c>
      <c r="B795" s="8" t="s">
        <v>913</v>
      </c>
      <c r="C795" s="8" t="s">
        <v>6348</v>
      </c>
      <c r="D795" s="8">
        <v>74.0</v>
      </c>
    </row>
    <row r="796">
      <c r="A796" s="8" t="s">
        <v>129</v>
      </c>
      <c r="B796" s="8" t="s">
        <v>648</v>
      </c>
      <c r="C796" s="8" t="s">
        <v>6373</v>
      </c>
      <c r="D796" s="8">
        <v>87.0</v>
      </c>
    </row>
    <row r="797">
      <c r="A797" s="8" t="s">
        <v>129</v>
      </c>
      <c r="B797" s="8" t="s">
        <v>451</v>
      </c>
      <c r="C797" s="8" t="s">
        <v>6365</v>
      </c>
      <c r="D797" s="8">
        <v>69.0</v>
      </c>
    </row>
    <row r="798">
      <c r="A798" s="8" t="s">
        <v>129</v>
      </c>
      <c r="B798" s="8" t="s">
        <v>1599</v>
      </c>
      <c r="C798" s="8" t="s">
        <v>6372</v>
      </c>
      <c r="D798" s="8">
        <v>71.0</v>
      </c>
    </row>
    <row r="799">
      <c r="A799" s="8" t="s">
        <v>129</v>
      </c>
      <c r="B799" s="8" t="s">
        <v>1428</v>
      </c>
      <c r="C799" s="8" t="s">
        <v>6364</v>
      </c>
      <c r="D799" s="8">
        <v>61.0</v>
      </c>
    </row>
    <row r="800">
      <c r="A800" s="8" t="s">
        <v>129</v>
      </c>
      <c r="B800" s="8" t="s">
        <v>128</v>
      </c>
      <c r="C800" s="8" t="s">
        <v>6367</v>
      </c>
      <c r="D800" s="8">
        <v>81.0</v>
      </c>
    </row>
    <row r="801">
      <c r="A801" s="8" t="s">
        <v>129</v>
      </c>
      <c r="B801" s="8" t="s">
        <v>570</v>
      </c>
      <c r="C801" s="8" t="s">
        <v>6359</v>
      </c>
      <c r="D801" s="8">
        <v>66.0</v>
      </c>
    </row>
    <row r="802">
      <c r="A802" s="8" t="s">
        <v>129</v>
      </c>
      <c r="B802" s="8" t="s">
        <v>767</v>
      </c>
      <c r="C802" s="8" t="s">
        <v>6373</v>
      </c>
      <c r="D802" s="8">
        <v>65.0</v>
      </c>
    </row>
    <row r="803">
      <c r="A803" s="8" t="s">
        <v>129</v>
      </c>
      <c r="B803" s="8" t="s">
        <v>1303</v>
      </c>
      <c r="C803" s="8" t="s">
        <v>6362</v>
      </c>
      <c r="D803" s="8">
        <v>73.0</v>
      </c>
    </row>
    <row r="804">
      <c r="A804" s="8" t="s">
        <v>129</v>
      </c>
      <c r="B804" s="8" t="s">
        <v>681</v>
      </c>
      <c r="C804" s="8" t="s">
        <v>6373</v>
      </c>
      <c r="D804" s="8">
        <v>77.0</v>
      </c>
    </row>
    <row r="805">
      <c r="A805" s="8" t="s">
        <v>129</v>
      </c>
      <c r="B805" s="8" t="s">
        <v>732</v>
      </c>
      <c r="C805" s="8" t="s">
        <v>6365</v>
      </c>
      <c r="D805" s="8">
        <v>81.0</v>
      </c>
    </row>
    <row r="806">
      <c r="A806" s="8" t="s">
        <v>129</v>
      </c>
      <c r="B806" s="8" t="s">
        <v>99</v>
      </c>
      <c r="C806" s="8" t="s">
        <v>6347</v>
      </c>
      <c r="D806" s="8">
        <v>65.0</v>
      </c>
    </row>
    <row r="807">
      <c r="A807" s="8" t="s">
        <v>129</v>
      </c>
      <c r="B807" s="8" t="s">
        <v>1012</v>
      </c>
      <c r="C807" s="8" t="s">
        <v>6364</v>
      </c>
      <c r="D807" s="8">
        <v>79.0</v>
      </c>
    </row>
    <row r="808">
      <c r="A808" s="8" t="s">
        <v>129</v>
      </c>
      <c r="B808" s="8" t="s">
        <v>1161</v>
      </c>
      <c r="C808" s="8" t="s">
        <v>6361</v>
      </c>
      <c r="D808" s="8">
        <v>81.0</v>
      </c>
    </row>
    <row r="809">
      <c r="A809" s="8" t="s">
        <v>129</v>
      </c>
      <c r="B809" s="8" t="s">
        <v>1041</v>
      </c>
      <c r="C809" s="8" t="s">
        <v>6378</v>
      </c>
      <c r="D809" s="8">
        <v>70.0</v>
      </c>
    </row>
    <row r="810">
      <c r="A810" s="8" t="s">
        <v>129</v>
      </c>
      <c r="B810" s="8" t="s">
        <v>42</v>
      </c>
      <c r="C810" s="8" t="s">
        <v>6362</v>
      </c>
      <c r="D810" s="8">
        <v>70.0</v>
      </c>
    </row>
    <row r="811">
      <c r="A811" s="8" t="s">
        <v>527</v>
      </c>
      <c r="B811" s="8" t="s">
        <v>3082</v>
      </c>
      <c r="C811" s="8" t="s">
        <v>6361</v>
      </c>
      <c r="D811" s="8">
        <v>66.0</v>
      </c>
    </row>
    <row r="812">
      <c r="A812" s="8" t="s">
        <v>527</v>
      </c>
      <c r="B812" s="8" t="s">
        <v>1524</v>
      </c>
      <c r="C812" s="8" t="s">
        <v>6356</v>
      </c>
      <c r="D812" s="8">
        <v>69.0</v>
      </c>
    </row>
    <row r="813">
      <c r="A813" s="8" t="s">
        <v>527</v>
      </c>
      <c r="B813" s="8" t="s">
        <v>89</v>
      </c>
      <c r="C813" s="8" t="s">
        <v>6376</v>
      </c>
      <c r="D813" s="8">
        <v>64.0</v>
      </c>
    </row>
    <row r="814">
      <c r="A814" s="8" t="s">
        <v>1940</v>
      </c>
      <c r="B814" s="8" t="s">
        <v>1939</v>
      </c>
      <c r="C814" s="8" t="s">
        <v>6371</v>
      </c>
      <c r="D814" s="8">
        <v>70.0</v>
      </c>
    </row>
    <row r="815">
      <c r="A815" s="8" t="s">
        <v>1940</v>
      </c>
      <c r="B815" s="8" t="s">
        <v>3129</v>
      </c>
      <c r="C815" s="8" t="s">
        <v>6357</v>
      </c>
      <c r="D815" s="8">
        <v>71.0</v>
      </c>
    </row>
    <row r="816">
      <c r="A816" s="8" t="s">
        <v>1940</v>
      </c>
      <c r="B816" s="8" t="s">
        <v>500</v>
      </c>
      <c r="C816" s="8" t="s">
        <v>6348</v>
      </c>
      <c r="D816" s="8">
        <v>64.0</v>
      </c>
    </row>
    <row r="817">
      <c r="A817" s="8" t="s">
        <v>177</v>
      </c>
      <c r="B817" s="8" t="s">
        <v>1094</v>
      </c>
      <c r="C817" s="8" t="s">
        <v>6352</v>
      </c>
      <c r="D817" s="8">
        <v>73.0</v>
      </c>
    </row>
    <row r="818">
      <c r="A818" s="8" t="s">
        <v>177</v>
      </c>
      <c r="B818" s="8" t="s">
        <v>1371</v>
      </c>
      <c r="C818" s="8" t="s">
        <v>6369</v>
      </c>
      <c r="D818" s="8">
        <v>65.0</v>
      </c>
    </row>
    <row r="819">
      <c r="A819" s="8" t="s">
        <v>177</v>
      </c>
      <c r="B819" s="8" t="s">
        <v>99</v>
      </c>
      <c r="C819" s="8" t="s">
        <v>6360</v>
      </c>
      <c r="D819" s="8">
        <v>77.0</v>
      </c>
    </row>
    <row r="820">
      <c r="A820" s="8" t="s">
        <v>177</v>
      </c>
      <c r="B820" s="8" t="s">
        <v>1781</v>
      </c>
      <c r="C820" s="8" t="s">
        <v>6348</v>
      </c>
      <c r="D820" s="8">
        <v>81.0</v>
      </c>
    </row>
    <row r="821">
      <c r="A821" s="8" t="s">
        <v>272</v>
      </c>
      <c r="B821" s="8" t="s">
        <v>271</v>
      </c>
      <c r="C821" s="8" t="s">
        <v>6365</v>
      </c>
      <c r="D821" s="8">
        <v>86.0</v>
      </c>
    </row>
    <row r="822">
      <c r="A822" s="8" t="s">
        <v>342</v>
      </c>
      <c r="B822" s="8" t="s">
        <v>341</v>
      </c>
      <c r="C822" s="8" t="s">
        <v>6353</v>
      </c>
      <c r="D822" s="8">
        <v>80.0</v>
      </c>
    </row>
    <row r="823">
      <c r="A823" s="8" t="s">
        <v>342</v>
      </c>
      <c r="B823" s="8" t="s">
        <v>897</v>
      </c>
      <c r="C823" s="8" t="s">
        <v>6374</v>
      </c>
      <c r="D823" s="8">
        <v>86.0</v>
      </c>
    </row>
    <row r="824">
      <c r="A824" s="8" t="s">
        <v>1540</v>
      </c>
      <c r="B824" s="8" t="s">
        <v>1539</v>
      </c>
      <c r="C824" s="8" t="s">
        <v>6370</v>
      </c>
      <c r="D824" s="8">
        <v>73.0</v>
      </c>
    </row>
    <row r="825">
      <c r="A825" s="8" t="s">
        <v>3063</v>
      </c>
      <c r="B825" s="8" t="s">
        <v>3062</v>
      </c>
      <c r="C825" s="8" t="s">
        <v>6370</v>
      </c>
      <c r="D825" s="8">
        <v>62.0</v>
      </c>
    </row>
    <row r="826">
      <c r="A826" s="8" t="s">
        <v>63</v>
      </c>
      <c r="B826" s="8" t="s">
        <v>3096</v>
      </c>
      <c r="C826" s="8" t="s">
        <v>6368</v>
      </c>
      <c r="D826" s="8">
        <v>66.0</v>
      </c>
    </row>
    <row r="827">
      <c r="A827" s="8" t="s">
        <v>664</v>
      </c>
      <c r="B827" s="8" t="s">
        <v>145</v>
      </c>
      <c r="C827" s="8" t="s">
        <v>6375</v>
      </c>
      <c r="D827" s="8">
        <v>87.0</v>
      </c>
    </row>
    <row r="828">
      <c r="A828" s="8" t="s">
        <v>1788</v>
      </c>
      <c r="B828" s="8" t="s">
        <v>1787</v>
      </c>
      <c r="C828" s="8" t="s">
        <v>6378</v>
      </c>
      <c r="D828" s="8">
        <v>66.0</v>
      </c>
    </row>
    <row r="829">
      <c r="A829" s="8" t="s">
        <v>1505</v>
      </c>
      <c r="B829" s="8" t="s">
        <v>1504</v>
      </c>
      <c r="C829" s="8" t="s">
        <v>6344</v>
      </c>
      <c r="D829" s="8">
        <v>78.0</v>
      </c>
    </row>
    <row r="830">
      <c r="A830" s="8" t="s">
        <v>1931</v>
      </c>
      <c r="B830" s="8" t="s">
        <v>1930</v>
      </c>
      <c r="C830" s="8" t="s">
        <v>6372</v>
      </c>
      <c r="D830" s="8">
        <v>68.0</v>
      </c>
    </row>
    <row r="831">
      <c r="A831" s="8" t="s">
        <v>3133</v>
      </c>
      <c r="B831" s="8" t="s">
        <v>3132</v>
      </c>
      <c r="C831" s="8" t="s">
        <v>6369</v>
      </c>
      <c r="D831" s="8">
        <v>69.0</v>
      </c>
    </row>
    <row r="832">
      <c r="A832" s="8" t="s">
        <v>69</v>
      </c>
      <c r="B832" s="8" t="s">
        <v>90</v>
      </c>
      <c r="C832" s="8" t="s">
        <v>6371</v>
      </c>
      <c r="D832" s="8">
        <v>79.0</v>
      </c>
    </row>
    <row r="833">
      <c r="A833" s="8" t="s">
        <v>69</v>
      </c>
      <c r="B833" s="8" t="s">
        <v>3151</v>
      </c>
      <c r="C833" s="8" t="s">
        <v>6373</v>
      </c>
      <c r="D833" s="8">
        <v>65.0</v>
      </c>
    </row>
    <row r="834">
      <c r="A834" s="8" t="s">
        <v>69</v>
      </c>
      <c r="B834" s="8" t="s">
        <v>68</v>
      </c>
      <c r="C834" s="8" t="s">
        <v>6347</v>
      </c>
      <c r="D834" s="8">
        <v>77.0</v>
      </c>
    </row>
    <row r="835">
      <c r="A835" s="8" t="s">
        <v>69</v>
      </c>
      <c r="B835" s="8" t="s">
        <v>2224</v>
      </c>
      <c r="C835" s="8" t="s">
        <v>6353</v>
      </c>
      <c r="D835" s="8">
        <v>78.0</v>
      </c>
    </row>
    <row r="836">
      <c r="A836" s="8" t="s">
        <v>2364</v>
      </c>
      <c r="B836" s="8" t="s">
        <v>2444</v>
      </c>
      <c r="C836" s="8" t="s">
        <v>6356</v>
      </c>
      <c r="D836" s="8">
        <v>73.0</v>
      </c>
    </row>
    <row r="837">
      <c r="A837" s="8" t="s">
        <v>2922</v>
      </c>
      <c r="B837" s="8" t="s">
        <v>2921</v>
      </c>
      <c r="C837" s="8" t="s">
        <v>6360</v>
      </c>
      <c r="D837" s="8">
        <v>67.0</v>
      </c>
    </row>
    <row r="838">
      <c r="A838" s="8" t="s">
        <v>2922</v>
      </c>
      <c r="B838" s="8" t="s">
        <v>3074</v>
      </c>
      <c r="C838" s="8" t="s">
        <v>6364</v>
      </c>
      <c r="D838" s="8">
        <v>61.0</v>
      </c>
    </row>
    <row r="839">
      <c r="A839" s="8" t="s">
        <v>3028</v>
      </c>
      <c r="B839" s="8" t="s">
        <v>3027</v>
      </c>
      <c r="C839" s="8" t="s">
        <v>6376</v>
      </c>
      <c r="D839" s="8">
        <v>72.0</v>
      </c>
    </row>
    <row r="840">
      <c r="A840" s="8" t="s">
        <v>724</v>
      </c>
      <c r="B840" s="8" t="s">
        <v>208</v>
      </c>
      <c r="C840" s="8" t="s">
        <v>6376</v>
      </c>
      <c r="D840" s="8">
        <v>79.0</v>
      </c>
    </row>
    <row r="841">
      <c r="A841" s="8" t="s">
        <v>724</v>
      </c>
      <c r="B841" s="8" t="s">
        <v>455</v>
      </c>
      <c r="C841" s="8" t="s">
        <v>6347</v>
      </c>
      <c r="D841" s="8">
        <v>71.0</v>
      </c>
    </row>
    <row r="842">
      <c r="A842" s="8" t="s">
        <v>724</v>
      </c>
      <c r="B842" s="8" t="s">
        <v>276</v>
      </c>
      <c r="C842" s="8" t="s">
        <v>6352</v>
      </c>
      <c r="D842" s="8">
        <v>62.0</v>
      </c>
    </row>
    <row r="843">
      <c r="A843" s="8" t="s">
        <v>724</v>
      </c>
      <c r="B843" s="8" t="s">
        <v>396</v>
      </c>
      <c r="C843" s="8" t="s">
        <v>6352</v>
      </c>
      <c r="D843" s="8">
        <v>62.0</v>
      </c>
    </row>
    <row r="844">
      <c r="A844" s="8" t="s">
        <v>1743</v>
      </c>
      <c r="B844" s="8" t="s">
        <v>1130</v>
      </c>
      <c r="C844" s="8" t="s">
        <v>6376</v>
      </c>
      <c r="D844" s="8">
        <v>75.0</v>
      </c>
    </row>
    <row r="845">
      <c r="A845" s="8" t="s">
        <v>854</v>
      </c>
      <c r="B845" s="8" t="s">
        <v>853</v>
      </c>
      <c r="C845" s="8" t="s">
        <v>6363</v>
      </c>
      <c r="D845" s="8">
        <v>75.0</v>
      </c>
    </row>
    <row r="846">
      <c r="A846" s="8" t="s">
        <v>252</v>
      </c>
      <c r="B846" s="8" t="s">
        <v>2815</v>
      </c>
      <c r="C846" s="8" t="s">
        <v>6372</v>
      </c>
      <c r="D846" s="8">
        <v>63.0</v>
      </c>
    </row>
    <row r="847">
      <c r="A847" s="8" t="s">
        <v>252</v>
      </c>
      <c r="B847" s="8" t="s">
        <v>251</v>
      </c>
      <c r="C847" s="8" t="s">
        <v>6356</v>
      </c>
      <c r="D847" s="8">
        <v>75.0</v>
      </c>
    </row>
    <row r="848">
      <c r="A848" s="8" t="s">
        <v>252</v>
      </c>
      <c r="B848" s="8" t="s">
        <v>522</v>
      </c>
      <c r="C848" s="8" t="s">
        <v>6349</v>
      </c>
      <c r="D848" s="8">
        <v>67.0</v>
      </c>
    </row>
    <row r="849">
      <c r="A849" s="8" t="s">
        <v>252</v>
      </c>
      <c r="B849" s="8" t="s">
        <v>267</v>
      </c>
      <c r="C849" s="8" t="s">
        <v>6369</v>
      </c>
      <c r="D849" s="8">
        <v>62.0</v>
      </c>
    </row>
    <row r="850">
      <c r="A850" s="8" t="s">
        <v>252</v>
      </c>
      <c r="B850" s="8" t="s">
        <v>3048</v>
      </c>
      <c r="C850" s="8" t="s">
        <v>6357</v>
      </c>
      <c r="D850" s="8">
        <v>63.0</v>
      </c>
    </row>
    <row r="851">
      <c r="A851" s="8" t="s">
        <v>3058</v>
      </c>
      <c r="B851" s="8" t="s">
        <v>99</v>
      </c>
      <c r="C851" s="8" t="s">
        <v>6372</v>
      </c>
      <c r="D851" s="8">
        <v>63.0</v>
      </c>
    </row>
    <row r="852">
      <c r="A852" s="8" t="s">
        <v>2809</v>
      </c>
      <c r="B852" s="8" t="s">
        <v>2808</v>
      </c>
      <c r="C852" s="8" t="s">
        <v>6356</v>
      </c>
      <c r="D852" s="8">
        <v>75.0</v>
      </c>
    </row>
    <row r="853">
      <c r="A853" s="8" t="s">
        <v>2783</v>
      </c>
      <c r="B853" s="8" t="s">
        <v>2782</v>
      </c>
      <c r="C853" s="8" t="s">
        <v>6347</v>
      </c>
      <c r="D853" s="8">
        <v>73.0</v>
      </c>
    </row>
    <row r="854">
      <c r="A854" s="8" t="s">
        <v>1689</v>
      </c>
      <c r="B854" s="8" t="s">
        <v>1063</v>
      </c>
      <c r="C854" s="8" t="s">
        <v>6377</v>
      </c>
      <c r="D854" s="8">
        <v>68.0</v>
      </c>
    </row>
    <row r="855">
      <c r="A855" s="8" t="s">
        <v>930</v>
      </c>
      <c r="B855" s="8" t="s">
        <v>929</v>
      </c>
      <c r="C855" s="8" t="s">
        <v>6362</v>
      </c>
      <c r="D855" s="8">
        <v>64.0</v>
      </c>
    </row>
    <row r="856">
      <c r="A856" s="8" t="s">
        <v>239</v>
      </c>
      <c r="B856" s="8" t="s">
        <v>99</v>
      </c>
      <c r="C856" s="8" t="s">
        <v>6344</v>
      </c>
      <c r="D856" s="8">
        <v>74.0</v>
      </c>
    </row>
    <row r="857">
      <c r="A857" s="8" t="s">
        <v>239</v>
      </c>
      <c r="B857" s="8" t="s">
        <v>238</v>
      </c>
      <c r="C857" s="8" t="s">
        <v>6350</v>
      </c>
      <c r="D857" s="8">
        <v>86.0</v>
      </c>
    </row>
    <row r="858">
      <c r="A858" s="8" t="s">
        <v>239</v>
      </c>
      <c r="B858" s="8" t="s">
        <v>238</v>
      </c>
      <c r="C858" s="8" t="s">
        <v>6350</v>
      </c>
      <c r="D858" s="8">
        <v>89.0</v>
      </c>
    </row>
    <row r="859">
      <c r="A859" s="8" t="s">
        <v>1635</v>
      </c>
      <c r="B859" s="8" t="s">
        <v>1634</v>
      </c>
      <c r="C859" s="8" t="s">
        <v>6374</v>
      </c>
      <c r="D859" s="8">
        <v>73.0</v>
      </c>
    </row>
    <row r="860">
      <c r="A860" s="8" t="s">
        <v>1635</v>
      </c>
      <c r="B860" s="8" t="s">
        <v>703</v>
      </c>
      <c r="C860" s="8" t="s">
        <v>6377</v>
      </c>
      <c r="D860" s="8">
        <v>65.0</v>
      </c>
    </row>
    <row r="861">
      <c r="A861" s="8" t="s">
        <v>546</v>
      </c>
      <c r="B861" s="8" t="s">
        <v>545</v>
      </c>
      <c r="C861" s="8" t="s">
        <v>6350</v>
      </c>
      <c r="D861" s="8">
        <v>77.0</v>
      </c>
    </row>
    <row r="862">
      <c r="A862" s="8" t="s">
        <v>546</v>
      </c>
      <c r="B862" s="8" t="s">
        <v>906</v>
      </c>
      <c r="C862" s="8" t="s">
        <v>6371</v>
      </c>
      <c r="D862" s="8">
        <v>75.0</v>
      </c>
    </row>
    <row r="863">
      <c r="A863" s="8" t="s">
        <v>546</v>
      </c>
      <c r="B863" s="8" t="s">
        <v>1499</v>
      </c>
      <c r="C863" s="8" t="s">
        <v>6356</v>
      </c>
      <c r="D863" s="8">
        <v>77.0</v>
      </c>
    </row>
    <row r="864">
      <c r="A864" s="8" t="s">
        <v>546</v>
      </c>
      <c r="B864" s="8" t="s">
        <v>2866</v>
      </c>
      <c r="C864" s="8" t="s">
        <v>6349</v>
      </c>
      <c r="D864" s="8">
        <v>69.0</v>
      </c>
    </row>
    <row r="865">
      <c r="A865" s="8" t="s">
        <v>294</v>
      </c>
      <c r="B865" s="8" t="s">
        <v>902</v>
      </c>
      <c r="C865" s="8" t="s">
        <v>6357</v>
      </c>
      <c r="D865" s="8">
        <v>76.0</v>
      </c>
    </row>
    <row r="866">
      <c r="A866" s="8" t="s">
        <v>294</v>
      </c>
      <c r="B866" s="8" t="s">
        <v>218</v>
      </c>
      <c r="C866" s="8" t="s">
        <v>6360</v>
      </c>
      <c r="D866" s="8">
        <v>86.0</v>
      </c>
    </row>
    <row r="867">
      <c r="A867" s="8" t="s">
        <v>882</v>
      </c>
      <c r="B867" s="8" t="s">
        <v>61</v>
      </c>
      <c r="C867" s="8" t="s">
        <v>6344</v>
      </c>
      <c r="D867" s="8">
        <v>67.0</v>
      </c>
    </row>
    <row r="868">
      <c r="A868" s="8" t="s">
        <v>1481</v>
      </c>
      <c r="B868" s="8" t="s">
        <v>1480</v>
      </c>
      <c r="C868" s="8" t="s">
        <v>6371</v>
      </c>
      <c r="D868" s="8">
        <v>73.0</v>
      </c>
    </row>
    <row r="869">
      <c r="A869" s="8" t="s">
        <v>2320</v>
      </c>
      <c r="B869" s="8" t="s">
        <v>726</v>
      </c>
      <c r="C869" s="8" t="s">
        <v>6370</v>
      </c>
      <c r="D869" s="8">
        <v>71.0</v>
      </c>
    </row>
    <row r="870">
      <c r="A870" s="8" t="s">
        <v>1358</v>
      </c>
      <c r="B870" s="8" t="s">
        <v>1357</v>
      </c>
      <c r="C870" s="8" t="s">
        <v>6355</v>
      </c>
      <c r="D870" s="8">
        <v>72.0</v>
      </c>
    </row>
    <row r="871">
      <c r="A871" s="8" t="s">
        <v>1292</v>
      </c>
      <c r="B871" s="8" t="s">
        <v>1291</v>
      </c>
      <c r="C871" s="8" t="s">
        <v>6354</v>
      </c>
      <c r="D871" s="8">
        <v>64.0</v>
      </c>
    </row>
    <row r="872">
      <c r="A872" s="8" t="s">
        <v>604</v>
      </c>
      <c r="B872" s="8" t="s">
        <v>603</v>
      </c>
      <c r="C872" s="8" t="s">
        <v>6376</v>
      </c>
      <c r="D872" s="8">
        <v>75.0</v>
      </c>
    </row>
    <row r="873">
      <c r="A873" s="8" t="s">
        <v>848</v>
      </c>
      <c r="B873" s="8" t="s">
        <v>847</v>
      </c>
      <c r="C873" s="8" t="s">
        <v>6350</v>
      </c>
      <c r="D873" s="8">
        <v>77.0</v>
      </c>
    </row>
    <row r="874">
      <c r="A874" s="8" t="s">
        <v>3003</v>
      </c>
      <c r="B874" s="8" t="s">
        <v>1579</v>
      </c>
      <c r="C874" s="8" t="s">
        <v>6360</v>
      </c>
      <c r="D874" s="8">
        <v>62.0</v>
      </c>
    </row>
    <row r="875">
      <c r="A875" s="8" t="s">
        <v>3009</v>
      </c>
      <c r="B875" s="8" t="s">
        <v>2054</v>
      </c>
      <c r="C875" s="8" t="s">
        <v>6353</v>
      </c>
      <c r="D875" s="8">
        <v>83.0</v>
      </c>
    </row>
    <row r="876">
      <c r="A876" s="8" t="s">
        <v>325</v>
      </c>
      <c r="B876" s="8" t="s">
        <v>3085</v>
      </c>
      <c r="C876" s="8" t="s">
        <v>6353</v>
      </c>
      <c r="D876" s="8">
        <v>85.0</v>
      </c>
    </row>
    <row r="877">
      <c r="A877" s="8" t="s">
        <v>1206</v>
      </c>
      <c r="B877" s="8" t="s">
        <v>1205</v>
      </c>
      <c r="C877" s="8" t="s">
        <v>6372</v>
      </c>
      <c r="D877" s="8">
        <v>83.0</v>
      </c>
    </row>
    <row r="878">
      <c r="A878" s="8" t="s">
        <v>203</v>
      </c>
      <c r="B878" s="8" t="s">
        <v>926</v>
      </c>
      <c r="C878" s="8" t="s">
        <v>6353</v>
      </c>
      <c r="D878" s="8">
        <v>75.0</v>
      </c>
    </row>
    <row r="879">
      <c r="A879" s="8" t="s">
        <v>203</v>
      </c>
      <c r="B879" s="8" t="s">
        <v>202</v>
      </c>
      <c r="C879" s="8" t="s">
        <v>6369</v>
      </c>
      <c r="D879" s="8">
        <v>82.0</v>
      </c>
    </row>
    <row r="880">
      <c r="A880" s="8" t="s">
        <v>124</v>
      </c>
      <c r="B880" s="8" t="s">
        <v>970</v>
      </c>
      <c r="C880" s="8" t="s">
        <v>6358</v>
      </c>
      <c r="D880" s="8">
        <v>73.0</v>
      </c>
    </row>
    <row r="881">
      <c r="A881" s="8" t="s">
        <v>124</v>
      </c>
      <c r="B881" s="8" t="s">
        <v>1523</v>
      </c>
      <c r="C881" s="8" t="s">
        <v>6356</v>
      </c>
      <c r="D881" s="8">
        <v>69.0</v>
      </c>
    </row>
    <row r="882">
      <c r="A882" s="8" t="s">
        <v>124</v>
      </c>
      <c r="B882" s="8" t="s">
        <v>123</v>
      </c>
      <c r="C882" s="8" t="s">
        <v>6369</v>
      </c>
      <c r="D882" s="8">
        <v>85.0</v>
      </c>
    </row>
    <row r="883">
      <c r="A883" s="8" t="s">
        <v>124</v>
      </c>
      <c r="B883" s="8" t="s">
        <v>3109</v>
      </c>
      <c r="C883" s="8" t="s">
        <v>6369</v>
      </c>
      <c r="D883" s="8">
        <v>71.0</v>
      </c>
    </row>
    <row r="884">
      <c r="A884" s="8" t="s">
        <v>124</v>
      </c>
      <c r="B884" s="8" t="s">
        <v>335</v>
      </c>
      <c r="C884" s="8" t="s">
        <v>6357</v>
      </c>
      <c r="D884" s="8">
        <v>86.0</v>
      </c>
    </row>
    <row r="885">
      <c r="A885" s="8" t="s">
        <v>124</v>
      </c>
      <c r="B885" s="8" t="s">
        <v>2257</v>
      </c>
      <c r="C885" s="8" t="s">
        <v>6370</v>
      </c>
      <c r="D885" s="8">
        <v>69.0</v>
      </c>
    </row>
    <row r="886">
      <c r="A886" s="8" t="s">
        <v>124</v>
      </c>
      <c r="B886" s="8" t="s">
        <v>1605</v>
      </c>
      <c r="C886" s="8" t="s">
        <v>6367</v>
      </c>
      <c r="D886" s="8">
        <v>67.0</v>
      </c>
    </row>
    <row r="887">
      <c r="A887" s="8" t="s">
        <v>124</v>
      </c>
      <c r="B887" s="8" t="s">
        <v>123</v>
      </c>
      <c r="C887" s="8" t="s">
        <v>6369</v>
      </c>
      <c r="D887" s="8">
        <v>91.0</v>
      </c>
    </row>
    <row r="888">
      <c r="A888" s="8" t="s">
        <v>1626</v>
      </c>
      <c r="B888" s="8" t="s">
        <v>1625</v>
      </c>
      <c r="C888" s="8" t="s">
        <v>6361</v>
      </c>
      <c r="D888" s="8">
        <v>68.0</v>
      </c>
    </row>
    <row r="889">
      <c r="A889" s="8" t="s">
        <v>2736</v>
      </c>
      <c r="B889" s="8" t="s">
        <v>2735</v>
      </c>
      <c r="C889" s="8" t="s">
        <v>6355</v>
      </c>
      <c r="D889" s="8">
        <v>82.0</v>
      </c>
    </row>
    <row r="890">
      <c r="A890" s="8" t="s">
        <v>1951</v>
      </c>
      <c r="B890" s="8" t="s">
        <v>1950</v>
      </c>
      <c r="C890" s="8" t="s">
        <v>6352</v>
      </c>
      <c r="D890" s="8">
        <v>76.0</v>
      </c>
    </row>
    <row r="891">
      <c r="A891" s="8" t="s">
        <v>2066</v>
      </c>
      <c r="B891" s="8" t="s">
        <v>3106</v>
      </c>
      <c r="C891" s="8" t="s">
        <v>6353</v>
      </c>
      <c r="D891" s="8">
        <v>64.0</v>
      </c>
    </row>
    <row r="892">
      <c r="A892" s="8" t="s">
        <v>2828</v>
      </c>
      <c r="B892" s="8" t="s">
        <v>1322</v>
      </c>
      <c r="C892" s="8" t="s">
        <v>6375</v>
      </c>
      <c r="D892" s="8">
        <v>75.0</v>
      </c>
    </row>
    <row r="893">
      <c r="A893" s="8" t="s">
        <v>2965</v>
      </c>
      <c r="B893" s="8" t="s">
        <v>2964</v>
      </c>
      <c r="C893" s="8" t="s">
        <v>6375</v>
      </c>
      <c r="D893" s="8">
        <v>77.0</v>
      </c>
    </row>
    <row r="894">
      <c r="A894" s="8" t="s">
        <v>934</v>
      </c>
      <c r="B894" s="8" t="s">
        <v>1550</v>
      </c>
      <c r="C894" s="8" t="s">
        <v>6350</v>
      </c>
      <c r="D894" s="8">
        <v>64.0</v>
      </c>
    </row>
    <row r="895">
      <c r="A895" s="8" t="s">
        <v>2949</v>
      </c>
      <c r="B895" s="8" t="s">
        <v>402</v>
      </c>
      <c r="C895" s="8" t="s">
        <v>6364</v>
      </c>
      <c r="D895" s="8">
        <v>66.0</v>
      </c>
    </row>
    <row r="896">
      <c r="A896" s="8" t="s">
        <v>1467</v>
      </c>
      <c r="B896" s="8" t="s">
        <v>1226</v>
      </c>
      <c r="C896" s="8" t="s">
        <v>6354</v>
      </c>
      <c r="D896" s="8">
        <v>75.0</v>
      </c>
    </row>
    <row r="897">
      <c r="A897" s="8" t="s">
        <v>377</v>
      </c>
      <c r="B897" s="8" t="s">
        <v>1727</v>
      </c>
      <c r="C897" s="8" t="s">
        <v>6373</v>
      </c>
      <c r="D897" s="8">
        <v>82.0</v>
      </c>
    </row>
    <row r="898">
      <c r="A898" s="8" t="s">
        <v>377</v>
      </c>
      <c r="B898" s="8" t="s">
        <v>99</v>
      </c>
      <c r="C898" s="8" t="s">
        <v>6365</v>
      </c>
      <c r="D898" s="8">
        <v>88.0</v>
      </c>
    </row>
    <row r="899">
      <c r="A899" s="8" t="s">
        <v>377</v>
      </c>
      <c r="B899" s="8" t="s">
        <v>1005</v>
      </c>
      <c r="C899" s="8" t="s">
        <v>6345</v>
      </c>
      <c r="D899" s="8">
        <v>72.0</v>
      </c>
    </row>
    <row r="900">
      <c r="A900" s="8" t="s">
        <v>1229</v>
      </c>
      <c r="B900" s="8" t="s">
        <v>1228</v>
      </c>
      <c r="C900" s="8" t="s">
        <v>6362</v>
      </c>
      <c r="D900" s="8">
        <v>68.0</v>
      </c>
    </row>
    <row r="901">
      <c r="A901" s="8" t="s">
        <v>1954</v>
      </c>
      <c r="B901" s="8" t="s">
        <v>1953</v>
      </c>
      <c r="C901" s="8" t="s">
        <v>6361</v>
      </c>
      <c r="D901" s="8">
        <v>70.0</v>
      </c>
    </row>
    <row r="902">
      <c r="A902" s="8" t="s">
        <v>4827</v>
      </c>
      <c r="B902" s="8" t="s">
        <v>2879</v>
      </c>
      <c r="C902" s="8" t="s">
        <v>6349</v>
      </c>
      <c r="D902" s="8">
        <v>68.0</v>
      </c>
    </row>
    <row r="903">
      <c r="A903" s="8" t="s">
        <v>528</v>
      </c>
      <c r="B903" s="8" t="s">
        <v>944</v>
      </c>
      <c r="C903" s="8" t="s">
        <v>6367</v>
      </c>
      <c r="D903" s="8">
        <v>76.0</v>
      </c>
    </row>
    <row r="904">
      <c r="A904" s="8" t="s">
        <v>2839</v>
      </c>
      <c r="B904" s="8" t="s">
        <v>3006</v>
      </c>
      <c r="C904" s="8" t="s">
        <v>6344</v>
      </c>
      <c r="D904" s="8">
        <v>71.0</v>
      </c>
    </row>
    <row r="905">
      <c r="A905" s="8" t="s">
        <v>637</v>
      </c>
      <c r="B905" s="8" t="s">
        <v>636</v>
      </c>
      <c r="C905" s="8" t="s">
        <v>6378</v>
      </c>
      <c r="D905" s="8">
        <v>77.0</v>
      </c>
    </row>
    <row r="906">
      <c r="A906" s="8" t="s">
        <v>637</v>
      </c>
      <c r="B906" s="8" t="s">
        <v>2885</v>
      </c>
      <c r="C906" s="8" t="s">
        <v>6357</v>
      </c>
      <c r="D906" s="8">
        <v>62.0</v>
      </c>
    </row>
    <row r="907">
      <c r="A907" s="8" t="s">
        <v>1333</v>
      </c>
      <c r="B907" s="8" t="s">
        <v>1332</v>
      </c>
      <c r="C907" s="8" t="s">
        <v>6355</v>
      </c>
      <c r="D907" s="8">
        <v>63.0</v>
      </c>
    </row>
    <row r="908">
      <c r="A908" s="8" t="s">
        <v>1200</v>
      </c>
      <c r="B908" s="8" t="s">
        <v>284</v>
      </c>
      <c r="C908" s="8" t="s">
        <v>6364</v>
      </c>
      <c r="D908" s="8">
        <v>66.0</v>
      </c>
    </row>
    <row r="909">
      <c r="A909" s="8" t="s">
        <v>1200</v>
      </c>
      <c r="B909" s="8" t="s">
        <v>451</v>
      </c>
      <c r="C909" s="8" t="s">
        <v>6377</v>
      </c>
      <c r="D909" s="8">
        <v>69.0</v>
      </c>
    </row>
    <row r="910">
      <c r="A910" s="8" t="s">
        <v>702</v>
      </c>
      <c r="B910" s="8" t="s">
        <v>701</v>
      </c>
      <c r="C910" s="8" t="s">
        <v>6359</v>
      </c>
      <c r="D910" s="8">
        <v>69.0</v>
      </c>
    </row>
    <row r="911">
      <c r="A911" s="8" t="s">
        <v>1380</v>
      </c>
      <c r="B911" s="8" t="s">
        <v>637</v>
      </c>
      <c r="C911" s="8" t="s">
        <v>6344</v>
      </c>
      <c r="D911" s="8">
        <v>84.0</v>
      </c>
    </row>
    <row r="912">
      <c r="A912" s="8" t="s">
        <v>1380</v>
      </c>
      <c r="B912" s="8" t="s">
        <v>3043</v>
      </c>
      <c r="C912" s="8" t="s">
        <v>6348</v>
      </c>
      <c r="D912" s="8">
        <v>66.0</v>
      </c>
    </row>
    <row r="913">
      <c r="A913" s="8" t="s">
        <v>1312</v>
      </c>
      <c r="B913" s="8" t="s">
        <v>1311</v>
      </c>
      <c r="C913" s="8" t="s">
        <v>6376</v>
      </c>
      <c r="D913" s="8">
        <v>70.0</v>
      </c>
    </row>
    <row r="914">
      <c r="A914" s="8" t="s">
        <v>1312</v>
      </c>
      <c r="B914" s="8" t="s">
        <v>62</v>
      </c>
      <c r="C914" s="8" t="s">
        <v>6369</v>
      </c>
      <c r="D914" s="8">
        <v>71.0</v>
      </c>
    </row>
    <row r="915">
      <c r="A915" s="8" t="s">
        <v>2716</v>
      </c>
      <c r="B915" s="8" t="s">
        <v>142</v>
      </c>
      <c r="C915" s="8" t="s">
        <v>6358</v>
      </c>
      <c r="D915" s="8">
        <v>71.0</v>
      </c>
    </row>
    <row r="916">
      <c r="A916" s="8" t="s">
        <v>1555</v>
      </c>
      <c r="B916" s="8" t="s">
        <v>1554</v>
      </c>
      <c r="C916" s="8" t="s">
        <v>6365</v>
      </c>
      <c r="D916" s="8">
        <v>67.0</v>
      </c>
    </row>
    <row r="917">
      <c r="A917" s="8" t="s">
        <v>1611</v>
      </c>
      <c r="B917" s="8" t="s">
        <v>2664</v>
      </c>
      <c r="C917" s="8" t="s">
        <v>6347</v>
      </c>
      <c r="D917" s="8">
        <v>72.0</v>
      </c>
    </row>
    <row r="918">
      <c r="A918" s="8" t="s">
        <v>1611</v>
      </c>
      <c r="B918" s="8" t="s">
        <v>1610</v>
      </c>
      <c r="C918" s="8" t="s">
        <v>6375</v>
      </c>
      <c r="D918" s="8">
        <v>72.0</v>
      </c>
    </row>
    <row r="919">
      <c r="A919" s="8" t="s">
        <v>1611</v>
      </c>
      <c r="B919" s="8" t="s">
        <v>1958</v>
      </c>
      <c r="C919" s="8" t="s">
        <v>6344</v>
      </c>
      <c r="D919" s="8">
        <v>68.0</v>
      </c>
    </row>
    <row r="920">
      <c r="A920" s="8" t="s">
        <v>1611</v>
      </c>
      <c r="B920" s="8" t="s">
        <v>587</v>
      </c>
      <c r="C920" s="8" t="s">
        <v>6376</v>
      </c>
      <c r="D920" s="8">
        <v>62.0</v>
      </c>
    </row>
    <row r="921">
      <c r="A921" s="8" t="s">
        <v>1611</v>
      </c>
      <c r="B921" s="8" t="s">
        <v>2292</v>
      </c>
      <c r="C921" s="8" t="s">
        <v>6363</v>
      </c>
      <c r="D921" s="8">
        <v>72.0</v>
      </c>
    </row>
    <row r="922">
      <c r="A922" s="8" t="s">
        <v>948</v>
      </c>
      <c r="B922" s="8" t="s">
        <v>1137</v>
      </c>
      <c r="C922" s="8" t="s">
        <v>6378</v>
      </c>
      <c r="D922" s="8">
        <v>77.0</v>
      </c>
    </row>
    <row r="923">
      <c r="A923" s="8" t="s">
        <v>948</v>
      </c>
      <c r="B923" s="8" t="s">
        <v>1895</v>
      </c>
      <c r="C923" s="8" t="s">
        <v>6363</v>
      </c>
      <c r="D923" s="8">
        <v>69.0</v>
      </c>
    </row>
    <row r="924">
      <c r="A924" s="8" t="s">
        <v>948</v>
      </c>
      <c r="B924" s="8" t="s">
        <v>389</v>
      </c>
      <c r="C924" s="8" t="s">
        <v>6360</v>
      </c>
      <c r="D924" s="8">
        <v>67.0</v>
      </c>
    </row>
    <row r="925">
      <c r="A925" s="8" t="s">
        <v>948</v>
      </c>
      <c r="B925" s="8" t="s">
        <v>2677</v>
      </c>
      <c r="C925" s="8" t="s">
        <v>6371</v>
      </c>
      <c r="D925" s="8">
        <v>69.0</v>
      </c>
    </row>
    <row r="926">
      <c r="A926" s="8" t="s">
        <v>948</v>
      </c>
      <c r="B926" s="8" t="s">
        <v>389</v>
      </c>
      <c r="C926" s="8" t="s">
        <v>6357</v>
      </c>
      <c r="D926" s="8">
        <v>64.0</v>
      </c>
    </row>
    <row r="927">
      <c r="A927" s="8" t="s">
        <v>948</v>
      </c>
      <c r="B927" s="8" t="s">
        <v>1483</v>
      </c>
      <c r="C927" s="8" t="s">
        <v>6359</v>
      </c>
      <c r="D927" s="8">
        <v>67.0</v>
      </c>
    </row>
    <row r="928">
      <c r="A928" s="8" t="s">
        <v>948</v>
      </c>
      <c r="B928" s="8" t="s">
        <v>834</v>
      </c>
      <c r="C928" s="8" t="s">
        <v>6362</v>
      </c>
      <c r="D928" s="8">
        <v>77.0</v>
      </c>
    </row>
    <row r="929">
      <c r="A929" s="8" t="s">
        <v>948</v>
      </c>
      <c r="B929" s="8" t="s">
        <v>2393</v>
      </c>
      <c r="C929" s="8" t="s">
        <v>6372</v>
      </c>
      <c r="D929" s="8">
        <v>73.0</v>
      </c>
    </row>
    <row r="930">
      <c r="A930" s="8" t="s">
        <v>2245</v>
      </c>
      <c r="B930" s="8" t="s">
        <v>99</v>
      </c>
      <c r="C930" s="8" t="s">
        <v>6372</v>
      </c>
      <c r="D930" s="8">
        <v>70.0</v>
      </c>
    </row>
    <row r="931">
      <c r="A931" s="8" t="s">
        <v>6392</v>
      </c>
      <c r="B931" s="8" t="s">
        <v>813</v>
      </c>
      <c r="C931" s="8" t="s">
        <v>6377</v>
      </c>
      <c r="D931" s="8">
        <v>77.0</v>
      </c>
    </row>
    <row r="932">
      <c r="A932" s="8" t="s">
        <v>6393</v>
      </c>
      <c r="B932" s="8" t="s">
        <v>1258</v>
      </c>
      <c r="C932" s="8" t="s">
        <v>6371</v>
      </c>
      <c r="D932" s="8">
        <v>73.0</v>
      </c>
    </row>
    <row r="933">
      <c r="A933" s="8" t="s">
        <v>6394</v>
      </c>
      <c r="B933" s="8" t="s">
        <v>220</v>
      </c>
      <c r="C933" s="8" t="s">
        <v>6352</v>
      </c>
      <c r="D933" s="8">
        <v>74.0</v>
      </c>
    </row>
    <row r="934">
      <c r="A934" s="8" t="s">
        <v>6394</v>
      </c>
      <c r="B934" s="8" t="s">
        <v>2763</v>
      </c>
      <c r="C934" s="8" t="s">
        <v>6363</v>
      </c>
      <c r="D934" s="8">
        <v>71.0</v>
      </c>
    </row>
    <row r="935">
      <c r="A935" s="8" t="s">
        <v>6394</v>
      </c>
      <c r="B935" s="8" t="s">
        <v>448</v>
      </c>
      <c r="C935" s="8" t="s">
        <v>6358</v>
      </c>
      <c r="D935" s="8">
        <v>89.0</v>
      </c>
    </row>
    <row r="936">
      <c r="A936" s="8" t="s">
        <v>6395</v>
      </c>
      <c r="B936" s="8" t="s">
        <v>439</v>
      </c>
      <c r="C936" s="8" t="s">
        <v>6364</v>
      </c>
      <c r="D936" s="8">
        <v>76.0</v>
      </c>
    </row>
    <row r="937">
      <c r="A937" s="8" t="s">
        <v>4863</v>
      </c>
      <c r="B937" s="8" t="s">
        <v>1264</v>
      </c>
      <c r="C937" s="8" t="s">
        <v>6355</v>
      </c>
      <c r="D937" s="8">
        <v>71.0</v>
      </c>
    </row>
    <row r="938">
      <c r="A938" s="8" t="s">
        <v>4865</v>
      </c>
      <c r="B938" s="8" t="s">
        <v>2047</v>
      </c>
      <c r="C938" s="8" t="s">
        <v>6362</v>
      </c>
      <c r="D938" s="8">
        <v>70.0</v>
      </c>
    </row>
    <row r="939">
      <c r="A939" s="8" t="s">
        <v>4867</v>
      </c>
      <c r="B939" s="8" t="s">
        <v>260</v>
      </c>
      <c r="C939" s="8" t="s">
        <v>6347</v>
      </c>
      <c r="D939" s="8">
        <v>80.0</v>
      </c>
    </row>
    <row r="940">
      <c r="A940" s="8" t="s">
        <v>429</v>
      </c>
      <c r="B940" s="8" t="s">
        <v>428</v>
      </c>
      <c r="C940" s="8" t="s">
        <v>6361</v>
      </c>
      <c r="D940" s="8">
        <v>83.0</v>
      </c>
    </row>
    <row r="941">
      <c r="A941" s="8" t="s">
        <v>429</v>
      </c>
      <c r="B941" s="8" t="s">
        <v>428</v>
      </c>
      <c r="C941" s="8" t="s">
        <v>6361</v>
      </c>
      <c r="D941" s="8">
        <v>88.0</v>
      </c>
    </row>
    <row r="942">
      <c r="A942" s="8" t="s">
        <v>2214</v>
      </c>
      <c r="B942" s="8" t="s">
        <v>2213</v>
      </c>
      <c r="C942" s="8" t="s">
        <v>6377</v>
      </c>
      <c r="D942" s="8">
        <v>76.0</v>
      </c>
    </row>
    <row r="943">
      <c r="A943" s="8" t="s">
        <v>2425</v>
      </c>
      <c r="B943" s="8" t="s">
        <v>2656</v>
      </c>
      <c r="C943" s="8" t="s">
        <v>6373</v>
      </c>
      <c r="D943" s="8">
        <v>74.0</v>
      </c>
    </row>
    <row r="944">
      <c r="A944" s="8" t="s">
        <v>360</v>
      </c>
      <c r="B944" s="8" t="s">
        <v>359</v>
      </c>
      <c r="C944" s="8" t="s">
        <v>6372</v>
      </c>
      <c r="D944" s="8">
        <v>66.0</v>
      </c>
    </row>
    <row r="945">
      <c r="A945" s="8" t="s">
        <v>360</v>
      </c>
      <c r="B945" s="8" t="s">
        <v>3094</v>
      </c>
      <c r="C945" s="8" t="s">
        <v>6365</v>
      </c>
      <c r="D945" s="8">
        <v>67.0</v>
      </c>
    </row>
    <row r="946">
      <c r="A946" s="8" t="s">
        <v>360</v>
      </c>
      <c r="B946" s="8" t="s">
        <v>2944</v>
      </c>
      <c r="C946" s="8" t="s">
        <v>6361</v>
      </c>
      <c r="D946" s="8">
        <v>77.0</v>
      </c>
    </row>
    <row r="947">
      <c r="A947" s="8" t="s">
        <v>360</v>
      </c>
      <c r="B947" s="8" t="s">
        <v>1410</v>
      </c>
      <c r="C947" s="8" t="s">
        <v>6354</v>
      </c>
      <c r="D947" s="8">
        <v>83.0</v>
      </c>
    </row>
    <row r="948">
      <c r="A948" s="8" t="s">
        <v>360</v>
      </c>
      <c r="B948" s="8" t="s">
        <v>509</v>
      </c>
      <c r="C948" s="8" t="s">
        <v>6361</v>
      </c>
      <c r="D948" s="8">
        <v>80.0</v>
      </c>
    </row>
    <row r="949">
      <c r="A949" s="8" t="s">
        <v>360</v>
      </c>
      <c r="B949" s="8" t="s">
        <v>2073</v>
      </c>
      <c r="C949" s="8" t="s">
        <v>6360</v>
      </c>
      <c r="D949" s="8">
        <v>70.0</v>
      </c>
    </row>
    <row r="950">
      <c r="A950" s="8" t="s">
        <v>360</v>
      </c>
      <c r="B950" s="8" t="s">
        <v>1410</v>
      </c>
      <c r="C950" s="8" t="s">
        <v>6354</v>
      </c>
      <c r="D950" s="8">
        <v>88.0</v>
      </c>
    </row>
    <row r="951">
      <c r="A951" s="8" t="s">
        <v>1479</v>
      </c>
      <c r="B951" s="8" t="s">
        <v>1478</v>
      </c>
      <c r="C951" s="8" t="s">
        <v>6362</v>
      </c>
      <c r="D951" s="8">
        <v>72.0</v>
      </c>
    </row>
    <row r="952">
      <c r="A952" s="8" t="s">
        <v>1479</v>
      </c>
      <c r="B952" s="8" t="s">
        <v>396</v>
      </c>
      <c r="C952" s="8" t="s">
        <v>6371</v>
      </c>
      <c r="D952" s="8">
        <v>65.0</v>
      </c>
    </row>
    <row r="953">
      <c r="A953" s="8" t="s">
        <v>1103</v>
      </c>
      <c r="B953" s="8" t="s">
        <v>1102</v>
      </c>
      <c r="C953" s="8" t="s">
        <v>6361</v>
      </c>
      <c r="D953" s="8">
        <v>77.0</v>
      </c>
    </row>
    <row r="954">
      <c r="A954" s="8" t="s">
        <v>3024</v>
      </c>
      <c r="B954" s="8" t="s">
        <v>97</v>
      </c>
      <c r="C954" s="8" t="s">
        <v>6360</v>
      </c>
      <c r="D954" s="8">
        <v>75.0</v>
      </c>
    </row>
    <row r="955">
      <c r="A955" s="8" t="s">
        <v>1124</v>
      </c>
      <c r="B955" s="8" t="s">
        <v>1123</v>
      </c>
      <c r="C955" s="8" t="s">
        <v>6358</v>
      </c>
      <c r="D955" s="8">
        <v>87.0</v>
      </c>
    </row>
    <row r="956">
      <c r="A956" s="8" t="s">
        <v>1124</v>
      </c>
      <c r="B956" s="8" t="s">
        <v>1123</v>
      </c>
      <c r="C956" s="8" t="s">
        <v>6358</v>
      </c>
      <c r="D956" s="8">
        <v>91.0</v>
      </c>
    </row>
    <row r="957">
      <c r="A957" s="8" t="s">
        <v>458</v>
      </c>
      <c r="B957" s="8" t="s">
        <v>457</v>
      </c>
      <c r="C957" s="8" t="s">
        <v>6344</v>
      </c>
      <c r="D957" s="8">
        <v>80.0</v>
      </c>
    </row>
    <row r="958">
      <c r="A958" s="8" t="s">
        <v>2786</v>
      </c>
      <c r="B958" s="8" t="s">
        <v>1164</v>
      </c>
      <c r="C958" s="8" t="s">
        <v>6364</v>
      </c>
      <c r="D958" s="8">
        <v>60.0</v>
      </c>
    </row>
    <row r="959">
      <c r="A959" s="8" t="s">
        <v>2300</v>
      </c>
      <c r="B959" s="8" t="s">
        <v>57</v>
      </c>
      <c r="C959" s="8" t="s">
        <v>6355</v>
      </c>
      <c r="D959" s="8">
        <v>77.0</v>
      </c>
    </row>
    <row r="960">
      <c r="A960" s="8" t="s">
        <v>2300</v>
      </c>
      <c r="B960" s="8" t="s">
        <v>57</v>
      </c>
      <c r="C960" s="8" t="s">
        <v>6355</v>
      </c>
      <c r="D960" s="8">
        <v>87.0</v>
      </c>
    </row>
    <row r="961">
      <c r="A961" s="8" t="s">
        <v>299</v>
      </c>
      <c r="B961" s="8" t="s">
        <v>1436</v>
      </c>
      <c r="C961" s="8" t="s">
        <v>6357</v>
      </c>
      <c r="D961" s="8">
        <v>67.0</v>
      </c>
    </row>
    <row r="962">
      <c r="A962" s="8" t="s">
        <v>299</v>
      </c>
      <c r="B962" s="8" t="s">
        <v>2938</v>
      </c>
      <c r="C962" s="8" t="s">
        <v>6368</v>
      </c>
      <c r="D962" s="8">
        <v>63.0</v>
      </c>
    </row>
    <row r="963">
      <c r="A963" s="8" t="s">
        <v>299</v>
      </c>
      <c r="B963" s="8" t="s">
        <v>897</v>
      </c>
      <c r="C963" s="8" t="s">
        <v>6375</v>
      </c>
      <c r="D963" s="8">
        <v>83.0</v>
      </c>
    </row>
    <row r="964">
      <c r="A964" s="8" t="s">
        <v>299</v>
      </c>
      <c r="B964" s="8" t="s">
        <v>681</v>
      </c>
      <c r="C964" s="8" t="s">
        <v>6350</v>
      </c>
      <c r="D964" s="8">
        <v>74.0</v>
      </c>
    </row>
    <row r="965">
      <c r="A965" s="8" t="s">
        <v>299</v>
      </c>
      <c r="B965" s="8" t="s">
        <v>1728</v>
      </c>
      <c r="C965" s="8" t="s">
        <v>6363</v>
      </c>
      <c r="D965" s="8">
        <v>73.0</v>
      </c>
    </row>
    <row r="966">
      <c r="A966" s="8" t="s">
        <v>299</v>
      </c>
      <c r="B966" s="8" t="s">
        <v>2890</v>
      </c>
      <c r="C966" s="8" t="s">
        <v>6360</v>
      </c>
      <c r="D966" s="8">
        <v>64.0</v>
      </c>
    </row>
    <row r="967">
      <c r="A967" s="8" t="s">
        <v>299</v>
      </c>
      <c r="B967" s="8" t="s">
        <v>67</v>
      </c>
      <c r="C967" s="8" t="s">
        <v>6355</v>
      </c>
      <c r="D967" s="8">
        <v>80.0</v>
      </c>
    </row>
    <row r="968">
      <c r="A968" s="8" t="s">
        <v>299</v>
      </c>
      <c r="B968" s="8" t="s">
        <v>1099</v>
      </c>
      <c r="C968" s="8" t="s">
        <v>6347</v>
      </c>
      <c r="D968" s="8">
        <v>67.0</v>
      </c>
    </row>
    <row r="969">
      <c r="A969" s="8" t="s">
        <v>299</v>
      </c>
      <c r="B969" s="8" t="s">
        <v>97</v>
      </c>
      <c r="C969" s="8" t="s">
        <v>6368</v>
      </c>
      <c r="D969" s="8">
        <v>68.0</v>
      </c>
    </row>
    <row r="970">
      <c r="A970" s="8" t="s">
        <v>299</v>
      </c>
      <c r="B970" s="8" t="s">
        <v>1304</v>
      </c>
      <c r="C970" s="8" t="s">
        <v>6353</v>
      </c>
      <c r="D970" s="8">
        <v>64.0</v>
      </c>
    </row>
    <row r="971">
      <c r="A971" s="8" t="s">
        <v>299</v>
      </c>
      <c r="B971" s="8" t="s">
        <v>164</v>
      </c>
      <c r="C971" s="8" t="s">
        <v>6372</v>
      </c>
      <c r="D971" s="8">
        <v>80.0</v>
      </c>
    </row>
    <row r="972">
      <c r="A972" s="8" t="s">
        <v>1176</v>
      </c>
      <c r="B972" s="8" t="s">
        <v>700</v>
      </c>
      <c r="C972" s="8" t="s">
        <v>6347</v>
      </c>
      <c r="D972" s="8">
        <v>72.0</v>
      </c>
    </row>
    <row r="973">
      <c r="A973" s="8" t="s">
        <v>1488</v>
      </c>
      <c r="B973" s="8" t="s">
        <v>389</v>
      </c>
      <c r="C973" s="8" t="s">
        <v>6365</v>
      </c>
      <c r="D973" s="8">
        <v>71.0</v>
      </c>
    </row>
    <row r="974">
      <c r="A974" s="8" t="s">
        <v>1488</v>
      </c>
      <c r="B974" s="8" t="s">
        <v>1031</v>
      </c>
      <c r="C974" s="8" t="s">
        <v>6367</v>
      </c>
      <c r="D974" s="8">
        <v>71.0</v>
      </c>
    </row>
    <row r="975">
      <c r="A975" s="8" t="s">
        <v>1128</v>
      </c>
      <c r="B975" s="8" t="s">
        <v>1952</v>
      </c>
      <c r="C975" s="8" t="s">
        <v>6353</v>
      </c>
      <c r="D975" s="8">
        <v>70.0</v>
      </c>
    </row>
    <row r="976">
      <c r="A976" s="8" t="s">
        <v>1128</v>
      </c>
      <c r="B976" s="8" t="s">
        <v>315</v>
      </c>
      <c r="C976" s="8" t="s">
        <v>6376</v>
      </c>
      <c r="D976" s="8">
        <v>73.0</v>
      </c>
    </row>
    <row r="977">
      <c r="A977" s="8" t="s">
        <v>1128</v>
      </c>
      <c r="B977" s="8" t="s">
        <v>2960</v>
      </c>
      <c r="C977" s="8" t="s">
        <v>6346</v>
      </c>
      <c r="D977" s="8">
        <v>70.0</v>
      </c>
    </row>
    <row r="978">
      <c r="A978" s="8" t="s">
        <v>1128</v>
      </c>
      <c r="B978" s="8" t="s">
        <v>762</v>
      </c>
      <c r="C978" s="8" t="s">
        <v>6375</v>
      </c>
      <c r="D978" s="8">
        <v>81.0</v>
      </c>
    </row>
    <row r="979">
      <c r="A979" s="8" t="s">
        <v>1128</v>
      </c>
      <c r="B979" s="8" t="s">
        <v>6396</v>
      </c>
      <c r="C979" s="8" t="s">
        <v>6346</v>
      </c>
      <c r="D979" s="8">
        <v>89.0</v>
      </c>
    </row>
    <row r="980">
      <c r="A980" s="8" t="s">
        <v>1128</v>
      </c>
      <c r="B980" s="8" t="s">
        <v>6396</v>
      </c>
      <c r="C980" s="8" t="s">
        <v>6346</v>
      </c>
      <c r="D980" s="8">
        <v>92.0</v>
      </c>
    </row>
    <row r="981">
      <c r="A981" s="8" t="s">
        <v>2790</v>
      </c>
      <c r="B981" s="8" t="s">
        <v>685</v>
      </c>
      <c r="C981" s="8" t="s">
        <v>6371</v>
      </c>
      <c r="D981" s="8">
        <v>71.0</v>
      </c>
    </row>
    <row r="982">
      <c r="A982" s="8" t="s">
        <v>2134</v>
      </c>
      <c r="B982" s="8" t="s">
        <v>276</v>
      </c>
      <c r="C982" s="8" t="s">
        <v>6365</v>
      </c>
      <c r="D982" s="8">
        <v>71.0</v>
      </c>
    </row>
    <row r="983">
      <c r="A983" s="8" t="s">
        <v>2021</v>
      </c>
      <c r="B983" s="8" t="s">
        <v>357</v>
      </c>
      <c r="C983" s="8" t="s">
        <v>6364</v>
      </c>
      <c r="D983" s="8">
        <v>61.0</v>
      </c>
    </row>
    <row r="984">
      <c r="A984" s="8" t="s">
        <v>2021</v>
      </c>
      <c r="B984" s="8" t="s">
        <v>78</v>
      </c>
      <c r="C984" s="8" t="s">
        <v>6355</v>
      </c>
      <c r="D984" s="8">
        <v>78.0</v>
      </c>
    </row>
    <row r="985">
      <c r="A985" s="8" t="s">
        <v>2021</v>
      </c>
      <c r="B985" s="8" t="s">
        <v>284</v>
      </c>
      <c r="C985" s="8" t="s">
        <v>6369</v>
      </c>
      <c r="D985" s="8">
        <v>62.0</v>
      </c>
    </row>
    <row r="986">
      <c r="A986" s="8" t="s">
        <v>1402</v>
      </c>
      <c r="B986" s="8" t="s">
        <v>248</v>
      </c>
      <c r="C986" s="8" t="s">
        <v>6363</v>
      </c>
      <c r="D986" s="8">
        <v>66.0</v>
      </c>
    </row>
    <row r="987">
      <c r="A987" s="8" t="s">
        <v>1402</v>
      </c>
      <c r="B987" s="8" t="s">
        <v>835</v>
      </c>
      <c r="C987" s="8" t="s">
        <v>6378</v>
      </c>
      <c r="D987" s="8">
        <v>81.0</v>
      </c>
    </row>
    <row r="988">
      <c r="A988" s="8" t="s">
        <v>1402</v>
      </c>
      <c r="B988" s="8" t="s">
        <v>1682</v>
      </c>
      <c r="C988" s="8" t="s">
        <v>6353</v>
      </c>
      <c r="D988" s="8">
        <v>71.0</v>
      </c>
    </row>
    <row r="989">
      <c r="A989" s="8" t="s">
        <v>810</v>
      </c>
      <c r="B989" s="8" t="s">
        <v>441</v>
      </c>
      <c r="C989" s="8" t="s">
        <v>6352</v>
      </c>
      <c r="D989" s="8">
        <v>79.0</v>
      </c>
    </row>
    <row r="990">
      <c r="A990" s="8" t="s">
        <v>2160</v>
      </c>
      <c r="B990" s="8" t="s">
        <v>284</v>
      </c>
      <c r="C990" s="8" t="s">
        <v>6371</v>
      </c>
      <c r="D990" s="8">
        <v>68.0</v>
      </c>
    </row>
    <row r="991">
      <c r="A991" s="8" t="s">
        <v>1026</v>
      </c>
      <c r="B991" s="8" t="s">
        <v>1025</v>
      </c>
      <c r="C991" s="8" t="s">
        <v>6374</v>
      </c>
      <c r="D991" s="8">
        <v>62.0</v>
      </c>
    </row>
    <row r="992">
      <c r="A992" s="8" t="s">
        <v>1670</v>
      </c>
      <c r="B992" s="8" t="s">
        <v>1669</v>
      </c>
      <c r="C992" s="8" t="s">
        <v>6360</v>
      </c>
      <c r="D992" s="8">
        <v>80.0</v>
      </c>
    </row>
    <row r="993">
      <c r="A993" s="8" t="s">
        <v>260</v>
      </c>
      <c r="B993" s="8" t="s">
        <v>1055</v>
      </c>
      <c r="C993" s="8" t="s">
        <v>6362</v>
      </c>
      <c r="D993" s="8">
        <v>78.0</v>
      </c>
    </row>
    <row r="994">
      <c r="A994" s="8" t="s">
        <v>260</v>
      </c>
      <c r="B994" s="8" t="s">
        <v>663</v>
      </c>
      <c r="C994" s="8" t="s">
        <v>6376</v>
      </c>
      <c r="D994" s="8">
        <v>75.0</v>
      </c>
    </row>
    <row r="995">
      <c r="A995" s="8" t="s">
        <v>260</v>
      </c>
      <c r="B995" s="8" t="s">
        <v>4923</v>
      </c>
      <c r="C995" s="8" t="s">
        <v>6346</v>
      </c>
      <c r="D995" s="8">
        <v>72.0</v>
      </c>
    </row>
    <row r="996">
      <c r="A996" s="8" t="s">
        <v>260</v>
      </c>
      <c r="B996" s="8" t="s">
        <v>1932</v>
      </c>
      <c r="C996" s="8" t="s">
        <v>6344</v>
      </c>
      <c r="D996" s="8">
        <v>74.0</v>
      </c>
    </row>
    <row r="997">
      <c r="A997" s="8" t="s">
        <v>260</v>
      </c>
      <c r="B997" s="8" t="s">
        <v>2708</v>
      </c>
      <c r="C997" s="8" t="s">
        <v>6377</v>
      </c>
      <c r="D997" s="8">
        <v>64.0</v>
      </c>
    </row>
    <row r="998">
      <c r="A998" s="8" t="s">
        <v>260</v>
      </c>
      <c r="B998" s="8" t="s">
        <v>1098</v>
      </c>
      <c r="C998" s="8" t="s">
        <v>6369</v>
      </c>
      <c r="D998" s="8">
        <v>77.0</v>
      </c>
    </row>
    <row r="999">
      <c r="A999" s="8" t="s">
        <v>260</v>
      </c>
      <c r="B999" s="8" t="s">
        <v>944</v>
      </c>
      <c r="C999" s="8" t="s">
        <v>6367</v>
      </c>
      <c r="D999" s="8">
        <v>74.0</v>
      </c>
    </row>
    <row r="1000">
      <c r="A1000" s="8" t="s">
        <v>260</v>
      </c>
      <c r="B1000" s="8" t="s">
        <v>356</v>
      </c>
      <c r="C1000" s="8" t="s">
        <v>6378</v>
      </c>
      <c r="D1000" s="8">
        <v>73.0</v>
      </c>
    </row>
    <row r="1001">
      <c r="A1001" s="8" t="s">
        <v>260</v>
      </c>
      <c r="B1001" s="8" t="s">
        <v>1744</v>
      </c>
      <c r="C1001" s="8" t="s">
        <v>6368</v>
      </c>
      <c r="D1001" s="8">
        <v>72.0</v>
      </c>
    </row>
    <row r="1002">
      <c r="A1002" s="8" t="s">
        <v>260</v>
      </c>
      <c r="B1002" s="8" t="s">
        <v>259</v>
      </c>
      <c r="C1002" s="8" t="s">
        <v>6362</v>
      </c>
      <c r="D1002" s="8">
        <v>83.0</v>
      </c>
    </row>
    <row r="1003">
      <c r="A1003" s="8" t="s">
        <v>260</v>
      </c>
      <c r="B1003" s="8" t="s">
        <v>361</v>
      </c>
      <c r="C1003" s="8" t="s">
        <v>6359</v>
      </c>
      <c r="D1003" s="8">
        <v>74.0</v>
      </c>
    </row>
    <row r="1004">
      <c r="A1004" s="8" t="s">
        <v>260</v>
      </c>
      <c r="B1004" s="8" t="s">
        <v>574</v>
      </c>
      <c r="C1004" s="8" t="s">
        <v>6355</v>
      </c>
      <c r="D1004" s="8">
        <v>66.0</v>
      </c>
    </row>
    <row r="1005">
      <c r="A1005" s="8" t="s">
        <v>260</v>
      </c>
      <c r="B1005" s="8" t="s">
        <v>1330</v>
      </c>
      <c r="C1005" s="8" t="s">
        <v>6368</v>
      </c>
      <c r="D1005" s="8">
        <v>76.0</v>
      </c>
    </row>
    <row r="1006">
      <c r="A1006" s="8" t="s">
        <v>499</v>
      </c>
      <c r="B1006" s="8" t="s">
        <v>760</v>
      </c>
      <c r="C1006" s="8" t="s">
        <v>6377</v>
      </c>
      <c r="D1006" s="8">
        <v>72.0</v>
      </c>
    </row>
    <row r="1007">
      <c r="A1007" s="8" t="s">
        <v>499</v>
      </c>
      <c r="B1007" s="8" t="s">
        <v>2740</v>
      </c>
      <c r="C1007" s="8" t="s">
        <v>6377</v>
      </c>
      <c r="D1007" s="8">
        <v>81.0</v>
      </c>
    </row>
    <row r="1008">
      <c r="A1008" s="8" t="s">
        <v>889</v>
      </c>
      <c r="B1008" s="8" t="s">
        <v>888</v>
      </c>
      <c r="C1008" s="8" t="s">
        <v>6372</v>
      </c>
      <c r="D1008" s="8">
        <v>66.0</v>
      </c>
    </row>
    <row r="1009">
      <c r="A1009" s="8" t="s">
        <v>889</v>
      </c>
      <c r="B1009" s="8" t="s">
        <v>2083</v>
      </c>
      <c r="C1009" s="8" t="s">
        <v>6357</v>
      </c>
      <c r="D1009" s="8">
        <v>69.0</v>
      </c>
    </row>
    <row r="1010">
      <c r="A1010" s="8" t="s">
        <v>1136</v>
      </c>
      <c r="B1010" s="8" t="s">
        <v>1135</v>
      </c>
      <c r="C1010" s="8" t="s">
        <v>6370</v>
      </c>
      <c r="D1010" s="8">
        <v>78.0</v>
      </c>
    </row>
    <row r="1011">
      <c r="A1011" s="8" t="s">
        <v>411</v>
      </c>
      <c r="B1011" s="8" t="s">
        <v>410</v>
      </c>
      <c r="C1011" s="8" t="s">
        <v>6374</v>
      </c>
      <c r="D1011" s="8">
        <v>76.0</v>
      </c>
    </row>
    <row r="1012">
      <c r="A1012" s="8" t="s">
        <v>1106</v>
      </c>
      <c r="B1012" s="8" t="s">
        <v>106</v>
      </c>
      <c r="C1012" s="8" t="s">
        <v>6357</v>
      </c>
      <c r="D1012" s="8">
        <v>74.0</v>
      </c>
    </row>
    <row r="1013">
      <c r="A1013" s="8" t="s">
        <v>388</v>
      </c>
      <c r="B1013" s="8" t="s">
        <v>282</v>
      </c>
      <c r="C1013" s="8" t="s">
        <v>6348</v>
      </c>
      <c r="D1013" s="8">
        <v>84.0</v>
      </c>
    </row>
    <row r="1014">
      <c r="A1014" s="8" t="s">
        <v>1040</v>
      </c>
      <c r="B1014" s="8" t="s">
        <v>1039</v>
      </c>
      <c r="C1014" s="8" t="s">
        <v>6356</v>
      </c>
      <c r="D1014" s="8">
        <v>80.0</v>
      </c>
    </row>
    <row r="1015">
      <c r="A1015" s="8" t="s">
        <v>196</v>
      </c>
      <c r="B1015" s="8" t="s">
        <v>1270</v>
      </c>
      <c r="C1015" s="8" t="s">
        <v>6369</v>
      </c>
      <c r="D1015" s="8">
        <v>72.0</v>
      </c>
    </row>
    <row r="1016">
      <c r="A1016" s="8" t="s">
        <v>196</v>
      </c>
      <c r="B1016" s="8" t="s">
        <v>3111</v>
      </c>
      <c r="C1016" s="8" t="s">
        <v>6363</v>
      </c>
      <c r="D1016" s="8">
        <v>77.0</v>
      </c>
    </row>
    <row r="1017">
      <c r="A1017" s="8" t="s">
        <v>196</v>
      </c>
      <c r="B1017" s="8" t="s">
        <v>1809</v>
      </c>
      <c r="C1017" s="8" t="s">
        <v>6357</v>
      </c>
      <c r="D1017" s="8">
        <v>81.0</v>
      </c>
    </row>
    <row r="1018">
      <c r="A1018" s="8" t="s">
        <v>196</v>
      </c>
      <c r="B1018" s="8" t="s">
        <v>195</v>
      </c>
      <c r="C1018" s="8" t="s">
        <v>6376</v>
      </c>
      <c r="D1018" s="8">
        <v>80.0</v>
      </c>
    </row>
    <row r="1019">
      <c r="A1019" s="8" t="s">
        <v>481</v>
      </c>
      <c r="B1019" s="8" t="s">
        <v>106</v>
      </c>
      <c r="C1019" s="8" t="s">
        <v>6371</v>
      </c>
      <c r="D1019" s="8">
        <v>76.0</v>
      </c>
    </row>
    <row r="1020">
      <c r="A1020" s="8" t="s">
        <v>2080</v>
      </c>
      <c r="B1020" s="8" t="s">
        <v>61</v>
      </c>
      <c r="C1020" s="8" t="s">
        <v>6353</v>
      </c>
      <c r="D1020" s="8">
        <v>76.0</v>
      </c>
    </row>
    <row r="1021">
      <c r="A1021" s="8" t="s">
        <v>1588</v>
      </c>
      <c r="B1021" s="8" t="s">
        <v>223</v>
      </c>
      <c r="C1021" s="8" t="s">
        <v>6371</v>
      </c>
      <c r="D1021" s="8">
        <v>77.0</v>
      </c>
    </row>
    <row r="1022">
      <c r="A1022" s="8" t="s">
        <v>1668</v>
      </c>
      <c r="B1022" s="8" t="s">
        <v>451</v>
      </c>
      <c r="C1022" s="8" t="s">
        <v>6346</v>
      </c>
      <c r="D1022" s="8">
        <v>72.0</v>
      </c>
    </row>
    <row r="1023">
      <c r="A1023" s="8" t="s">
        <v>2867</v>
      </c>
      <c r="B1023" s="8" t="s">
        <v>284</v>
      </c>
      <c r="C1023" s="8" t="s">
        <v>6364</v>
      </c>
      <c r="D1023" s="8">
        <v>63.0</v>
      </c>
    </row>
    <row r="1024">
      <c r="A1024" s="8" t="s">
        <v>3138</v>
      </c>
      <c r="B1024" s="8" t="s">
        <v>78</v>
      </c>
      <c r="C1024" s="8" t="s">
        <v>6350</v>
      </c>
      <c r="D1024" s="8">
        <v>66.0</v>
      </c>
    </row>
    <row r="1025">
      <c r="A1025" s="8" t="s">
        <v>1227</v>
      </c>
      <c r="B1025" s="8" t="s">
        <v>282</v>
      </c>
      <c r="C1025" s="8" t="s">
        <v>6373</v>
      </c>
      <c r="D1025" s="8">
        <v>69.0</v>
      </c>
    </row>
    <row r="1026">
      <c r="A1026" s="8" t="s">
        <v>1227</v>
      </c>
      <c r="B1026" s="8" t="s">
        <v>1226</v>
      </c>
      <c r="C1026" s="8" t="s">
        <v>6377</v>
      </c>
      <c r="D1026" s="8">
        <v>86.0</v>
      </c>
    </row>
    <row r="1027">
      <c r="A1027" s="8" t="s">
        <v>1227</v>
      </c>
      <c r="B1027" s="8" t="s">
        <v>1226</v>
      </c>
      <c r="C1027" s="8" t="s">
        <v>6377</v>
      </c>
      <c r="D1027" s="8">
        <v>89.0</v>
      </c>
    </row>
    <row r="1028">
      <c r="A1028" s="8" t="s">
        <v>45</v>
      </c>
      <c r="B1028" s="8" t="s">
        <v>1419</v>
      </c>
      <c r="C1028" s="8" t="s">
        <v>6345</v>
      </c>
      <c r="D1028" s="8">
        <v>66.0</v>
      </c>
    </row>
    <row r="1029">
      <c r="A1029" s="8" t="s">
        <v>45</v>
      </c>
      <c r="B1029" s="8" t="s">
        <v>956</v>
      </c>
      <c r="C1029" s="8" t="s">
        <v>6362</v>
      </c>
      <c r="D1029" s="8">
        <v>75.0</v>
      </c>
    </row>
    <row r="1030">
      <c r="A1030" s="8" t="s">
        <v>45</v>
      </c>
      <c r="B1030" s="8" t="s">
        <v>44</v>
      </c>
      <c r="C1030" s="8" t="s">
        <v>6375</v>
      </c>
      <c r="D1030" s="8">
        <v>85.0</v>
      </c>
    </row>
    <row r="1031">
      <c r="A1031" s="8" t="s">
        <v>45</v>
      </c>
      <c r="B1031" s="8" t="s">
        <v>820</v>
      </c>
      <c r="C1031" s="8" t="s">
        <v>6344</v>
      </c>
      <c r="D1031" s="8">
        <v>83.0</v>
      </c>
    </row>
    <row r="1032">
      <c r="A1032" s="8" t="s">
        <v>45</v>
      </c>
      <c r="B1032" s="8" t="s">
        <v>414</v>
      </c>
      <c r="C1032" s="8" t="s">
        <v>6360</v>
      </c>
      <c r="D1032" s="8">
        <v>78.0</v>
      </c>
    </row>
    <row r="1033">
      <c r="A1033" s="8" t="s">
        <v>45</v>
      </c>
      <c r="B1033" s="8" t="s">
        <v>290</v>
      </c>
      <c r="C1033" s="8" t="s">
        <v>6375</v>
      </c>
      <c r="D1033" s="8">
        <v>83.0</v>
      </c>
    </row>
    <row r="1034">
      <c r="A1034" s="8" t="s">
        <v>45</v>
      </c>
      <c r="B1034" s="8" t="s">
        <v>216</v>
      </c>
      <c r="C1034" s="8" t="s">
        <v>6362</v>
      </c>
      <c r="D1034" s="8">
        <v>84.0</v>
      </c>
    </row>
    <row r="1035">
      <c r="A1035" s="8" t="s">
        <v>45</v>
      </c>
      <c r="B1035" s="8" t="s">
        <v>769</v>
      </c>
      <c r="C1035" s="8" t="s">
        <v>6371</v>
      </c>
      <c r="D1035" s="8">
        <v>76.0</v>
      </c>
    </row>
    <row r="1036">
      <c r="A1036" s="8" t="s">
        <v>45</v>
      </c>
      <c r="B1036" s="8" t="s">
        <v>1622</v>
      </c>
      <c r="C1036" s="8" t="s">
        <v>6355</v>
      </c>
      <c r="D1036" s="8">
        <v>71.0</v>
      </c>
    </row>
    <row r="1037">
      <c r="A1037" s="8" t="s">
        <v>45</v>
      </c>
      <c r="B1037" s="8" t="s">
        <v>225</v>
      </c>
      <c r="C1037" s="8" t="s">
        <v>6347</v>
      </c>
      <c r="D1037" s="8">
        <v>77.0</v>
      </c>
    </row>
    <row r="1038">
      <c r="A1038" s="8" t="s">
        <v>1385</v>
      </c>
      <c r="B1038" s="8" t="s">
        <v>106</v>
      </c>
      <c r="C1038" s="8" t="s">
        <v>6344</v>
      </c>
      <c r="D1038" s="8">
        <v>78.0</v>
      </c>
    </row>
    <row r="1039">
      <c r="A1039" s="8" t="s">
        <v>1162</v>
      </c>
      <c r="B1039" s="8" t="s">
        <v>897</v>
      </c>
      <c r="C1039" s="8" t="s">
        <v>6360</v>
      </c>
      <c r="D1039" s="8">
        <v>70.0</v>
      </c>
    </row>
    <row r="1040">
      <c r="A1040" s="8" t="s">
        <v>1186</v>
      </c>
      <c r="B1040" s="8" t="s">
        <v>1185</v>
      </c>
      <c r="C1040" s="8" t="s">
        <v>6368</v>
      </c>
      <c r="D1040" s="8">
        <v>78.0</v>
      </c>
    </row>
    <row r="1041">
      <c r="A1041" s="8" t="s">
        <v>1186</v>
      </c>
      <c r="B1041" s="8" t="s">
        <v>2026</v>
      </c>
      <c r="C1041" s="8" t="s">
        <v>6359</v>
      </c>
      <c r="D1041" s="8">
        <v>69.0</v>
      </c>
    </row>
    <row r="1042">
      <c r="A1042" s="8" t="s">
        <v>635</v>
      </c>
      <c r="B1042" s="8" t="s">
        <v>460</v>
      </c>
      <c r="C1042" s="8" t="s">
        <v>6367</v>
      </c>
      <c r="D1042" s="8">
        <v>74.0</v>
      </c>
    </row>
    <row r="1043">
      <c r="A1043" s="8" t="s">
        <v>2651</v>
      </c>
      <c r="B1043" s="8" t="s">
        <v>2650</v>
      </c>
      <c r="C1043" s="8" t="s">
        <v>6375</v>
      </c>
      <c r="D1043" s="8">
        <v>83.0</v>
      </c>
    </row>
    <row r="1044">
      <c r="A1044" s="8" t="s">
        <v>2651</v>
      </c>
      <c r="B1044" s="8" t="s">
        <v>2704</v>
      </c>
      <c r="C1044" s="8" t="s">
        <v>6349</v>
      </c>
      <c r="D1044" s="8">
        <v>71.0</v>
      </c>
    </row>
    <row r="1045">
      <c r="A1045" s="8" t="s">
        <v>2651</v>
      </c>
      <c r="B1045" s="8" t="s">
        <v>3004</v>
      </c>
      <c r="C1045" s="8" t="s">
        <v>6358</v>
      </c>
      <c r="D1045" s="8">
        <v>74.0</v>
      </c>
    </row>
    <row r="1046">
      <c r="A1046" s="8" t="s">
        <v>2947</v>
      </c>
      <c r="B1046" s="8" t="s">
        <v>2946</v>
      </c>
      <c r="C1046" s="8" t="s">
        <v>6346</v>
      </c>
      <c r="D1046" s="8">
        <v>69.0</v>
      </c>
    </row>
    <row r="1047">
      <c r="A1047" s="8" t="s">
        <v>1051</v>
      </c>
      <c r="B1047" s="8" t="s">
        <v>537</v>
      </c>
      <c r="C1047" s="8" t="s">
        <v>6367</v>
      </c>
      <c r="D1047" s="8">
        <v>65.0</v>
      </c>
    </row>
    <row r="1048">
      <c r="A1048" s="8" t="s">
        <v>1051</v>
      </c>
      <c r="B1048" s="8" t="s">
        <v>1050</v>
      </c>
      <c r="C1048" s="8" t="s">
        <v>6344</v>
      </c>
      <c r="D1048" s="8">
        <v>74.0</v>
      </c>
    </row>
    <row r="1049">
      <c r="A1049" s="8" t="s">
        <v>1051</v>
      </c>
      <c r="B1049" s="8" t="s">
        <v>2231</v>
      </c>
      <c r="C1049" s="8" t="s">
        <v>6368</v>
      </c>
      <c r="D1049" s="8">
        <v>72.0</v>
      </c>
    </row>
    <row r="1050">
      <c r="A1050" s="8" t="s">
        <v>1971</v>
      </c>
      <c r="B1050" s="8" t="s">
        <v>99</v>
      </c>
      <c r="C1050" s="8" t="s">
        <v>6374</v>
      </c>
      <c r="D1050" s="8">
        <v>78.0</v>
      </c>
    </row>
    <row r="1051">
      <c r="A1051" s="8" t="s">
        <v>1722</v>
      </c>
      <c r="B1051" s="8" t="s">
        <v>106</v>
      </c>
      <c r="C1051" s="8" t="s">
        <v>6354</v>
      </c>
      <c r="D1051" s="8">
        <v>72.0</v>
      </c>
    </row>
    <row r="1052">
      <c r="A1052" s="8" t="s">
        <v>1495</v>
      </c>
      <c r="B1052" s="8" t="s">
        <v>557</v>
      </c>
      <c r="C1052" s="8" t="s">
        <v>6365</v>
      </c>
      <c r="D1052" s="8">
        <v>67.0</v>
      </c>
    </row>
    <row r="1053">
      <c r="A1053" s="8" t="s">
        <v>898</v>
      </c>
      <c r="B1053" s="8" t="s">
        <v>897</v>
      </c>
      <c r="C1053" s="8" t="s">
        <v>6349</v>
      </c>
      <c r="D1053" s="8">
        <v>73.0</v>
      </c>
    </row>
    <row r="1054">
      <c r="A1054" s="8" t="s">
        <v>712</v>
      </c>
      <c r="B1054" s="8" t="s">
        <v>1157</v>
      </c>
      <c r="C1054" s="8" t="s">
        <v>6350</v>
      </c>
      <c r="D1054" s="8">
        <v>68.0</v>
      </c>
    </row>
    <row r="1055">
      <c r="A1055" s="8" t="s">
        <v>712</v>
      </c>
      <c r="B1055" s="8" t="s">
        <v>2861</v>
      </c>
      <c r="C1055" s="8" t="s">
        <v>6377</v>
      </c>
      <c r="D1055" s="8">
        <v>70.0</v>
      </c>
    </row>
    <row r="1056">
      <c r="A1056" s="8" t="s">
        <v>712</v>
      </c>
      <c r="B1056" s="8" t="s">
        <v>2907</v>
      </c>
      <c r="C1056" s="8" t="s">
        <v>6356</v>
      </c>
      <c r="D1056" s="8">
        <v>76.0</v>
      </c>
    </row>
    <row r="1057">
      <c r="A1057" s="8" t="s">
        <v>712</v>
      </c>
      <c r="B1057" s="8" t="s">
        <v>785</v>
      </c>
      <c r="C1057" s="8" t="s">
        <v>6344</v>
      </c>
      <c r="D1057" s="8">
        <v>66.0</v>
      </c>
    </row>
    <row r="1058">
      <c r="A1058" s="8" t="s">
        <v>712</v>
      </c>
      <c r="B1058" s="8" t="s">
        <v>460</v>
      </c>
      <c r="C1058" s="8" t="s">
        <v>6358</v>
      </c>
      <c r="D1058" s="8">
        <v>73.0</v>
      </c>
    </row>
    <row r="1059">
      <c r="A1059" s="8" t="s">
        <v>712</v>
      </c>
      <c r="B1059" s="8" t="s">
        <v>711</v>
      </c>
      <c r="C1059" s="8" t="s">
        <v>6374</v>
      </c>
      <c r="D1059" s="8">
        <v>74.0</v>
      </c>
    </row>
    <row r="1060">
      <c r="A1060" s="8" t="s">
        <v>712</v>
      </c>
      <c r="B1060" s="8" t="s">
        <v>1195</v>
      </c>
      <c r="C1060" s="8" t="s">
        <v>6363</v>
      </c>
      <c r="D1060" s="8">
        <v>74.0</v>
      </c>
    </row>
    <row r="1061">
      <c r="A1061" s="8" t="s">
        <v>1404</v>
      </c>
      <c r="B1061" s="8" t="s">
        <v>1403</v>
      </c>
      <c r="C1061" s="8" t="s">
        <v>6373</v>
      </c>
      <c r="D1061" s="8">
        <v>69.0</v>
      </c>
    </row>
    <row r="1062">
      <c r="A1062" s="8" t="s">
        <v>1470</v>
      </c>
      <c r="B1062" s="8" t="s">
        <v>1187</v>
      </c>
      <c r="C1062" s="8" t="s">
        <v>6368</v>
      </c>
      <c r="D1062" s="8">
        <v>70.0</v>
      </c>
    </row>
    <row r="1063">
      <c r="A1063" s="8" t="s">
        <v>1072</v>
      </c>
      <c r="B1063" s="8" t="s">
        <v>835</v>
      </c>
      <c r="C1063" s="8" t="s">
        <v>6348</v>
      </c>
      <c r="D1063" s="8">
        <v>68.0</v>
      </c>
    </row>
    <row r="1064">
      <c r="A1064" s="8" t="s">
        <v>798</v>
      </c>
      <c r="B1064" s="8" t="s">
        <v>546</v>
      </c>
      <c r="C1064" s="8" t="s">
        <v>6361</v>
      </c>
      <c r="D1064" s="8">
        <v>65.0</v>
      </c>
    </row>
    <row r="1065">
      <c r="A1065" s="8" t="s">
        <v>798</v>
      </c>
      <c r="B1065" s="8" t="s">
        <v>1076</v>
      </c>
      <c r="C1065" s="8" t="s">
        <v>6356</v>
      </c>
      <c r="D1065" s="8">
        <v>73.0</v>
      </c>
    </row>
    <row r="1066">
      <c r="A1066" s="8" t="s">
        <v>798</v>
      </c>
      <c r="B1066" s="8" t="s">
        <v>3000</v>
      </c>
      <c r="C1066" s="8" t="s">
        <v>6363</v>
      </c>
      <c r="D1066" s="8">
        <v>71.0</v>
      </c>
    </row>
    <row r="1067">
      <c r="A1067" s="8" t="s">
        <v>798</v>
      </c>
      <c r="B1067" s="8" t="s">
        <v>1510</v>
      </c>
      <c r="C1067" s="8" t="s">
        <v>6353</v>
      </c>
      <c r="D1067" s="8">
        <v>66.0</v>
      </c>
    </row>
    <row r="1068">
      <c r="A1068" s="8" t="s">
        <v>798</v>
      </c>
      <c r="B1068" s="8" t="s">
        <v>3107</v>
      </c>
      <c r="C1068" s="8" t="s">
        <v>6353</v>
      </c>
      <c r="D1068" s="8">
        <v>63.0</v>
      </c>
    </row>
    <row r="1069">
      <c r="A1069" s="8" t="s">
        <v>798</v>
      </c>
      <c r="B1069" s="8" t="s">
        <v>797</v>
      </c>
      <c r="C1069" s="8" t="s">
        <v>6369</v>
      </c>
      <c r="D1069" s="8">
        <v>66.0</v>
      </c>
    </row>
    <row r="1070">
      <c r="A1070" s="8" t="s">
        <v>822</v>
      </c>
      <c r="B1070" s="8" t="s">
        <v>2876</v>
      </c>
      <c r="C1070" s="8" t="s">
        <v>6345</v>
      </c>
      <c r="D1070" s="8">
        <v>74.0</v>
      </c>
    </row>
    <row r="1071">
      <c r="A1071" s="8" t="s">
        <v>822</v>
      </c>
      <c r="B1071" s="8" t="s">
        <v>2697</v>
      </c>
      <c r="C1071" s="8" t="s">
        <v>6364</v>
      </c>
      <c r="D1071" s="8">
        <v>62.0</v>
      </c>
    </row>
    <row r="1072">
      <c r="A1072" s="8" t="s">
        <v>822</v>
      </c>
      <c r="B1072" s="8" t="s">
        <v>1623</v>
      </c>
      <c r="C1072" s="8" t="s">
        <v>6370</v>
      </c>
      <c r="D1072" s="8">
        <v>69.0</v>
      </c>
    </row>
    <row r="1073">
      <c r="A1073" s="8" t="s">
        <v>822</v>
      </c>
      <c r="B1073" s="8" t="s">
        <v>2911</v>
      </c>
      <c r="C1073" s="8" t="s">
        <v>6364</v>
      </c>
      <c r="D1073" s="8">
        <v>61.0</v>
      </c>
    </row>
    <row r="1074">
      <c r="A1074" s="8" t="s">
        <v>822</v>
      </c>
      <c r="B1074" s="8" t="s">
        <v>90</v>
      </c>
      <c r="C1074" s="8" t="s">
        <v>6378</v>
      </c>
      <c r="D1074" s="8">
        <v>66.0</v>
      </c>
    </row>
    <row r="1075">
      <c r="A1075" s="8" t="s">
        <v>822</v>
      </c>
      <c r="B1075" s="8" t="s">
        <v>537</v>
      </c>
      <c r="C1075" s="8" t="s">
        <v>6362</v>
      </c>
      <c r="D1075" s="8">
        <v>75.0</v>
      </c>
    </row>
    <row r="1076">
      <c r="A1076" s="8" t="s">
        <v>822</v>
      </c>
      <c r="B1076" s="8" t="s">
        <v>821</v>
      </c>
      <c r="C1076" s="8" t="s">
        <v>6361</v>
      </c>
      <c r="D1076" s="8">
        <v>70.0</v>
      </c>
    </row>
    <row r="1077">
      <c r="A1077" s="8" t="s">
        <v>822</v>
      </c>
      <c r="B1077" s="8" t="s">
        <v>2190</v>
      </c>
      <c r="C1077" s="8" t="s">
        <v>6356</v>
      </c>
      <c r="D1077" s="8">
        <v>69.0</v>
      </c>
    </row>
    <row r="1078">
      <c r="A1078" s="8" t="s">
        <v>981</v>
      </c>
      <c r="B1078" s="8" t="s">
        <v>980</v>
      </c>
      <c r="C1078" s="8" t="s">
        <v>6356</v>
      </c>
      <c r="D1078" s="8">
        <v>79.0</v>
      </c>
    </row>
    <row r="1079">
      <c r="A1079" s="8" t="s">
        <v>558</v>
      </c>
      <c r="B1079" s="8" t="s">
        <v>1780</v>
      </c>
      <c r="C1079" s="8" t="s">
        <v>6367</v>
      </c>
      <c r="D1079" s="8">
        <v>66.0</v>
      </c>
    </row>
    <row r="1080">
      <c r="A1080" s="8" t="s">
        <v>558</v>
      </c>
      <c r="B1080" s="8" t="s">
        <v>557</v>
      </c>
      <c r="C1080" s="8" t="s">
        <v>6378</v>
      </c>
      <c r="D1080" s="8">
        <v>79.0</v>
      </c>
    </row>
    <row r="1081">
      <c r="A1081" s="8" t="s">
        <v>558</v>
      </c>
      <c r="B1081" s="8" t="s">
        <v>2819</v>
      </c>
      <c r="C1081" s="8" t="s">
        <v>6352</v>
      </c>
      <c r="D1081" s="8">
        <v>80.0</v>
      </c>
    </row>
    <row r="1082">
      <c r="A1082" s="8" t="s">
        <v>558</v>
      </c>
      <c r="B1082" s="8" t="s">
        <v>617</v>
      </c>
      <c r="C1082" s="8" t="s">
        <v>6355</v>
      </c>
      <c r="D1082" s="8">
        <v>62.0</v>
      </c>
    </row>
    <row r="1083">
      <c r="A1083" s="8" t="s">
        <v>558</v>
      </c>
      <c r="B1083" s="8" t="s">
        <v>1458</v>
      </c>
      <c r="C1083" s="8" t="s">
        <v>6377</v>
      </c>
      <c r="D1083" s="8">
        <v>71.0</v>
      </c>
    </row>
    <row r="1084">
      <c r="A1084" s="8" t="s">
        <v>558</v>
      </c>
      <c r="B1084" s="8" t="s">
        <v>2874</v>
      </c>
      <c r="C1084" s="8" t="s">
        <v>6358</v>
      </c>
      <c r="D1084" s="8">
        <v>66.0</v>
      </c>
    </row>
    <row r="1085">
      <c r="A1085" s="8" t="s">
        <v>558</v>
      </c>
      <c r="B1085" s="8" t="s">
        <v>2722</v>
      </c>
      <c r="C1085" s="8" t="s">
        <v>6369</v>
      </c>
      <c r="D1085" s="8">
        <v>69.0</v>
      </c>
    </row>
    <row r="1086">
      <c r="A1086" s="8" t="s">
        <v>2987</v>
      </c>
      <c r="B1086" s="8" t="s">
        <v>2986</v>
      </c>
      <c r="C1086" s="8" t="s">
        <v>6346</v>
      </c>
      <c r="D1086" s="8">
        <v>79.0</v>
      </c>
    </row>
    <row r="1087">
      <c r="A1087" s="8" t="s">
        <v>2710</v>
      </c>
      <c r="B1087" s="8" t="s">
        <v>2709</v>
      </c>
      <c r="C1087" s="8" t="s">
        <v>6349</v>
      </c>
      <c r="D1087" s="8">
        <v>72.0</v>
      </c>
    </row>
    <row r="1088">
      <c r="A1088" s="8" t="s">
        <v>665</v>
      </c>
      <c r="B1088" s="8" t="s">
        <v>1891</v>
      </c>
      <c r="C1088" s="8" t="s">
        <v>6347</v>
      </c>
      <c r="D1088" s="8">
        <v>71.0</v>
      </c>
    </row>
    <row r="1089">
      <c r="A1089" s="8" t="s">
        <v>2801</v>
      </c>
      <c r="B1089" s="8" t="s">
        <v>2800</v>
      </c>
      <c r="C1089" s="8" t="s">
        <v>6363</v>
      </c>
      <c r="D1089" s="8">
        <v>67.0</v>
      </c>
    </row>
    <row r="1090">
      <c r="A1090" s="8" t="s">
        <v>279</v>
      </c>
      <c r="B1090" s="8" t="s">
        <v>278</v>
      </c>
      <c r="C1090" s="8" t="s">
        <v>6345</v>
      </c>
      <c r="D1090" s="8">
        <v>80.0</v>
      </c>
    </row>
    <row r="1091">
      <c r="A1091" s="8" t="s">
        <v>884</v>
      </c>
      <c r="B1091" s="8" t="s">
        <v>260</v>
      </c>
      <c r="C1091" s="8" t="s">
        <v>6368</v>
      </c>
      <c r="D1091" s="8">
        <v>77.0</v>
      </c>
    </row>
    <row r="1092">
      <c r="A1092" s="8" t="s">
        <v>884</v>
      </c>
      <c r="B1092" s="8" t="s">
        <v>61</v>
      </c>
      <c r="C1092" s="8" t="s">
        <v>6347</v>
      </c>
      <c r="D1092" s="8">
        <v>70.0</v>
      </c>
    </row>
    <row r="1093">
      <c r="A1093" s="8" t="s">
        <v>2311</v>
      </c>
      <c r="B1093" s="8" t="s">
        <v>2676</v>
      </c>
      <c r="C1093" s="8" t="s">
        <v>6350</v>
      </c>
      <c r="D1093" s="8">
        <v>74.0</v>
      </c>
    </row>
    <row r="1094">
      <c r="A1094" s="8" t="s">
        <v>1659</v>
      </c>
      <c r="B1094" s="8" t="s">
        <v>825</v>
      </c>
      <c r="C1094" s="8" t="s">
        <v>6374</v>
      </c>
      <c r="D1094" s="8">
        <v>65.0</v>
      </c>
    </row>
    <row r="1095">
      <c r="A1095" s="8" t="s">
        <v>826</v>
      </c>
      <c r="B1095" s="8" t="s">
        <v>825</v>
      </c>
      <c r="C1095" s="8" t="s">
        <v>6356</v>
      </c>
      <c r="D1095" s="8">
        <v>74.0</v>
      </c>
    </row>
    <row r="1096">
      <c r="A1096" s="8" t="s">
        <v>204</v>
      </c>
      <c r="B1096" s="8" t="s">
        <v>923</v>
      </c>
      <c r="C1096" s="8" t="s">
        <v>6356</v>
      </c>
      <c r="D1096" s="8">
        <v>82.0</v>
      </c>
    </row>
    <row r="1097">
      <c r="A1097" s="8" t="s">
        <v>204</v>
      </c>
      <c r="B1097" s="8" t="s">
        <v>203</v>
      </c>
      <c r="C1097" s="8" t="s">
        <v>6355</v>
      </c>
      <c r="D1097" s="8">
        <v>83.0</v>
      </c>
    </row>
    <row r="1098">
      <c r="A1098" s="8" t="s">
        <v>204</v>
      </c>
      <c r="B1098" s="8" t="s">
        <v>99</v>
      </c>
      <c r="C1098" s="8" t="s">
        <v>6367</v>
      </c>
      <c r="D1098" s="8">
        <v>85.0</v>
      </c>
    </row>
    <row r="1099">
      <c r="A1099" s="8" t="s">
        <v>2413</v>
      </c>
      <c r="B1099" s="8" t="s">
        <v>1031</v>
      </c>
      <c r="C1099" s="8" t="s">
        <v>6355</v>
      </c>
      <c r="D1099" s="8">
        <v>78.0</v>
      </c>
    </row>
    <row r="1100">
      <c r="A1100" s="8" t="s">
        <v>102</v>
      </c>
      <c r="B1100" s="8" t="s">
        <v>78</v>
      </c>
      <c r="C1100" s="8" t="s">
        <v>6356</v>
      </c>
      <c r="D1100" s="8">
        <v>70.0</v>
      </c>
    </row>
    <row r="1101">
      <c r="A1101" s="8" t="s">
        <v>102</v>
      </c>
      <c r="B1101" s="8" t="s">
        <v>1600</v>
      </c>
      <c r="C1101" s="8" t="s">
        <v>6377</v>
      </c>
      <c r="D1101" s="8">
        <v>77.0</v>
      </c>
    </row>
    <row r="1102">
      <c r="A1102" s="8" t="s">
        <v>102</v>
      </c>
      <c r="B1102" s="8" t="s">
        <v>376</v>
      </c>
      <c r="C1102" s="8" t="s">
        <v>6368</v>
      </c>
      <c r="D1102" s="8">
        <v>83.0</v>
      </c>
    </row>
    <row r="1103">
      <c r="A1103" s="8" t="s">
        <v>102</v>
      </c>
      <c r="B1103" s="8" t="s">
        <v>62</v>
      </c>
      <c r="C1103" s="8" t="s">
        <v>6374</v>
      </c>
      <c r="D1103" s="8">
        <v>76.0</v>
      </c>
    </row>
    <row r="1104">
      <c r="A1104" s="8" t="s">
        <v>102</v>
      </c>
      <c r="B1104" s="8" t="s">
        <v>870</v>
      </c>
      <c r="C1104" s="8" t="s">
        <v>6375</v>
      </c>
      <c r="D1104" s="8">
        <v>65.0</v>
      </c>
    </row>
    <row r="1105">
      <c r="A1105" s="8" t="s">
        <v>102</v>
      </c>
      <c r="B1105" s="8" t="s">
        <v>1318</v>
      </c>
      <c r="C1105" s="8" t="s">
        <v>6362</v>
      </c>
      <c r="D1105" s="8">
        <v>80.0</v>
      </c>
    </row>
    <row r="1106">
      <c r="A1106" s="8" t="s">
        <v>102</v>
      </c>
      <c r="B1106" s="8" t="s">
        <v>104</v>
      </c>
      <c r="C1106" s="8" t="s">
        <v>6375</v>
      </c>
      <c r="D1106" s="8">
        <v>67.0</v>
      </c>
    </row>
    <row r="1107">
      <c r="A1107" s="8" t="s">
        <v>102</v>
      </c>
      <c r="B1107" s="8" t="s">
        <v>1180</v>
      </c>
      <c r="C1107" s="8" t="s">
        <v>6361</v>
      </c>
      <c r="D1107" s="8">
        <v>67.0</v>
      </c>
    </row>
    <row r="1108">
      <c r="A1108" s="8" t="s">
        <v>102</v>
      </c>
      <c r="B1108" s="8" t="s">
        <v>2196</v>
      </c>
      <c r="C1108" s="8" t="s">
        <v>6350</v>
      </c>
      <c r="D1108" s="8">
        <v>80.0</v>
      </c>
    </row>
    <row r="1109">
      <c r="A1109" s="8" t="s">
        <v>102</v>
      </c>
      <c r="B1109" s="8" t="s">
        <v>1139</v>
      </c>
      <c r="C1109" s="8" t="s">
        <v>6353</v>
      </c>
      <c r="D1109" s="8">
        <v>71.0</v>
      </c>
    </row>
    <row r="1110">
      <c r="A1110" s="8" t="s">
        <v>102</v>
      </c>
      <c r="B1110" s="8" t="s">
        <v>112</v>
      </c>
      <c r="C1110" s="8" t="s">
        <v>6367</v>
      </c>
      <c r="D1110" s="8">
        <v>78.0</v>
      </c>
    </row>
    <row r="1111">
      <c r="A1111" s="8" t="s">
        <v>102</v>
      </c>
      <c r="B1111" s="8" t="s">
        <v>3124</v>
      </c>
      <c r="C1111" s="8" t="s">
        <v>6358</v>
      </c>
      <c r="D1111" s="8">
        <v>68.0</v>
      </c>
    </row>
    <row r="1112">
      <c r="A1112" s="8" t="s">
        <v>102</v>
      </c>
      <c r="B1112" s="8" t="s">
        <v>574</v>
      </c>
      <c r="C1112" s="8" t="s">
        <v>6374</v>
      </c>
      <c r="D1112" s="8">
        <v>69.0</v>
      </c>
    </row>
    <row r="1113">
      <c r="A1113" s="8" t="s">
        <v>102</v>
      </c>
      <c r="B1113" s="8" t="s">
        <v>2877</v>
      </c>
      <c r="C1113" s="8" t="s">
        <v>6355</v>
      </c>
      <c r="D1113" s="8">
        <v>67.0</v>
      </c>
    </row>
    <row r="1114">
      <c r="A1114" s="8" t="s">
        <v>102</v>
      </c>
      <c r="B1114" s="8" t="s">
        <v>2672</v>
      </c>
      <c r="C1114" s="8" t="s">
        <v>6344</v>
      </c>
      <c r="D1114" s="8">
        <v>76.0</v>
      </c>
    </row>
    <row r="1115">
      <c r="A1115" s="8" t="s">
        <v>102</v>
      </c>
      <c r="B1115" s="8" t="s">
        <v>101</v>
      </c>
      <c r="C1115" s="8" t="s">
        <v>6356</v>
      </c>
      <c r="D1115" s="8">
        <v>84.0</v>
      </c>
    </row>
    <row r="1116">
      <c r="A1116" s="8" t="s">
        <v>850</v>
      </c>
      <c r="B1116" s="8" t="s">
        <v>711</v>
      </c>
      <c r="C1116" s="8" t="s">
        <v>6358</v>
      </c>
      <c r="D1116" s="8">
        <v>68.0</v>
      </c>
    </row>
    <row r="1117">
      <c r="A1117" s="8" t="s">
        <v>850</v>
      </c>
      <c r="B1117" s="8" t="s">
        <v>2145</v>
      </c>
      <c r="C1117" s="8" t="s">
        <v>6359</v>
      </c>
      <c r="D1117" s="8">
        <v>71.0</v>
      </c>
    </row>
    <row r="1118">
      <c r="A1118" s="8" t="s">
        <v>850</v>
      </c>
      <c r="B1118" s="8" t="s">
        <v>849</v>
      </c>
      <c r="C1118" s="8" t="s">
        <v>6377</v>
      </c>
      <c r="D1118" s="8">
        <v>88.0</v>
      </c>
    </row>
    <row r="1119">
      <c r="A1119" s="8" t="s">
        <v>850</v>
      </c>
      <c r="B1119" s="8" t="s">
        <v>849</v>
      </c>
      <c r="C1119" s="8" t="s">
        <v>6377</v>
      </c>
      <c r="D1119" s="8">
        <v>82.0</v>
      </c>
    </row>
    <row r="1120">
      <c r="A1120" s="8" t="s">
        <v>1249</v>
      </c>
      <c r="B1120" s="8" t="s">
        <v>1709</v>
      </c>
      <c r="C1120" s="8" t="s">
        <v>6344</v>
      </c>
      <c r="D1120" s="8">
        <v>85.0</v>
      </c>
    </row>
    <row r="1121">
      <c r="A1121" s="8" t="s">
        <v>1249</v>
      </c>
      <c r="B1121" s="8" t="s">
        <v>1849</v>
      </c>
      <c r="C1121" s="8" t="s">
        <v>6364</v>
      </c>
      <c r="D1121" s="8">
        <v>67.0</v>
      </c>
    </row>
    <row r="1122">
      <c r="A1122" s="8" t="s">
        <v>1249</v>
      </c>
      <c r="B1122" s="8" t="s">
        <v>205</v>
      </c>
      <c r="C1122" s="8" t="s">
        <v>6371</v>
      </c>
      <c r="D1122" s="8">
        <v>72.0</v>
      </c>
    </row>
    <row r="1123">
      <c r="A1123" s="8" t="s">
        <v>23</v>
      </c>
      <c r="B1123" s="8" t="s">
        <v>601</v>
      </c>
      <c r="C1123" s="8" t="s">
        <v>6361</v>
      </c>
      <c r="D1123" s="8">
        <v>79.0</v>
      </c>
    </row>
    <row r="1124">
      <c r="A1124" s="8" t="s">
        <v>23</v>
      </c>
      <c r="B1124" s="8" t="s">
        <v>597</v>
      </c>
      <c r="C1124" s="8" t="s">
        <v>6350</v>
      </c>
      <c r="D1124" s="8">
        <v>74.0</v>
      </c>
    </row>
    <row r="1125">
      <c r="A1125" s="8" t="s">
        <v>23</v>
      </c>
      <c r="B1125" s="8" t="s">
        <v>829</v>
      </c>
      <c r="C1125" s="8" t="s">
        <v>6352</v>
      </c>
      <c r="D1125" s="8">
        <v>67.0</v>
      </c>
    </row>
    <row r="1126">
      <c r="A1126" s="8" t="s">
        <v>23</v>
      </c>
      <c r="B1126" s="8" t="s">
        <v>2797</v>
      </c>
      <c r="C1126" s="8" t="s">
        <v>6349</v>
      </c>
      <c r="D1126" s="8">
        <v>63.0</v>
      </c>
    </row>
    <row r="1127">
      <c r="A1127" s="8" t="s">
        <v>23</v>
      </c>
      <c r="B1127" s="8" t="s">
        <v>2886</v>
      </c>
      <c r="C1127" s="8" t="s">
        <v>6364</v>
      </c>
      <c r="D1127" s="8">
        <v>61.0</v>
      </c>
    </row>
    <row r="1128">
      <c r="A1128" s="8" t="s">
        <v>23</v>
      </c>
      <c r="B1128" s="8" t="s">
        <v>282</v>
      </c>
      <c r="C1128" s="8" t="s">
        <v>6359</v>
      </c>
      <c r="D1128" s="8">
        <v>72.0</v>
      </c>
    </row>
    <row r="1129">
      <c r="A1129" s="8" t="s">
        <v>23</v>
      </c>
      <c r="B1129" s="8" t="s">
        <v>2865</v>
      </c>
      <c r="C1129" s="8" t="s">
        <v>6357</v>
      </c>
      <c r="D1129" s="8">
        <v>82.0</v>
      </c>
    </row>
    <row r="1130">
      <c r="A1130" s="8" t="s">
        <v>23</v>
      </c>
      <c r="B1130" s="8" t="s">
        <v>402</v>
      </c>
      <c r="C1130" s="8" t="s">
        <v>6345</v>
      </c>
      <c r="D1130" s="8">
        <v>70.0</v>
      </c>
    </row>
    <row r="1131">
      <c r="A1131" s="8" t="s">
        <v>23</v>
      </c>
      <c r="B1131" s="8" t="s">
        <v>279</v>
      </c>
      <c r="C1131" s="8" t="s">
        <v>6348</v>
      </c>
      <c r="D1131" s="8">
        <v>77.0</v>
      </c>
    </row>
    <row r="1132">
      <c r="A1132" s="8" t="s">
        <v>23</v>
      </c>
      <c r="B1132" s="8" t="s">
        <v>106</v>
      </c>
      <c r="C1132" s="8" t="s">
        <v>6367</v>
      </c>
      <c r="D1132" s="8">
        <v>76.0</v>
      </c>
    </row>
    <row r="1133">
      <c r="A1133" s="8" t="s">
        <v>23</v>
      </c>
      <c r="B1133" s="8" t="s">
        <v>2816</v>
      </c>
      <c r="C1133" s="8" t="s">
        <v>6348</v>
      </c>
      <c r="D1133" s="8">
        <v>73.0</v>
      </c>
    </row>
    <row r="1134">
      <c r="A1134" s="8" t="s">
        <v>23</v>
      </c>
      <c r="B1134" s="8" t="s">
        <v>3092</v>
      </c>
      <c r="C1134" s="8" t="s">
        <v>6359</v>
      </c>
      <c r="D1134" s="8">
        <v>75.0</v>
      </c>
    </row>
    <row r="1135">
      <c r="A1135" s="8" t="s">
        <v>23</v>
      </c>
      <c r="B1135" s="8" t="s">
        <v>2343</v>
      </c>
      <c r="C1135" s="8" t="s">
        <v>6357</v>
      </c>
      <c r="D1135" s="8">
        <v>65.0</v>
      </c>
    </row>
    <row r="1136">
      <c r="A1136" s="8" t="s">
        <v>23</v>
      </c>
      <c r="B1136" s="8" t="s">
        <v>1632</v>
      </c>
      <c r="C1136" s="8" t="s">
        <v>6357</v>
      </c>
      <c r="D1136" s="8">
        <v>79.0</v>
      </c>
    </row>
    <row r="1137">
      <c r="A1137" s="8" t="s">
        <v>23</v>
      </c>
      <c r="B1137" s="8" t="s">
        <v>561</v>
      </c>
      <c r="C1137" s="8" t="s">
        <v>6357</v>
      </c>
      <c r="D1137" s="8">
        <v>73.0</v>
      </c>
    </row>
    <row r="1138">
      <c r="A1138" s="8" t="s">
        <v>92</v>
      </c>
      <c r="B1138" s="8" t="s">
        <v>91</v>
      </c>
      <c r="C1138" s="8" t="s">
        <v>6358</v>
      </c>
      <c r="D1138" s="8">
        <v>81.0</v>
      </c>
    </row>
    <row r="1139">
      <c r="A1139" s="8" t="s">
        <v>92</v>
      </c>
      <c r="B1139" s="8" t="s">
        <v>2751</v>
      </c>
      <c r="C1139" s="8" t="s">
        <v>6354</v>
      </c>
      <c r="D1139" s="8">
        <v>78.0</v>
      </c>
    </row>
    <row r="1140">
      <c r="A1140" s="8" t="s">
        <v>92</v>
      </c>
      <c r="B1140" s="8" t="s">
        <v>933</v>
      </c>
      <c r="C1140" s="8" t="s">
        <v>6364</v>
      </c>
      <c r="D1140" s="8">
        <v>61.0</v>
      </c>
    </row>
    <row r="1141">
      <c r="A1141" s="8" t="s">
        <v>92</v>
      </c>
      <c r="B1141" s="8" t="s">
        <v>1915</v>
      </c>
      <c r="C1141" s="8" t="s">
        <v>6364</v>
      </c>
      <c r="D1141" s="8">
        <v>64.0</v>
      </c>
    </row>
    <row r="1142">
      <c r="A1142" s="8" t="s">
        <v>532</v>
      </c>
      <c r="B1142" s="8" t="s">
        <v>1913</v>
      </c>
      <c r="C1142" s="8" t="s">
        <v>6357</v>
      </c>
      <c r="D1142" s="8">
        <v>65.0</v>
      </c>
    </row>
    <row r="1143">
      <c r="A1143" s="8" t="s">
        <v>532</v>
      </c>
      <c r="B1143" s="8" t="s">
        <v>714</v>
      </c>
      <c r="C1143" s="8" t="s">
        <v>6376</v>
      </c>
      <c r="D1143" s="8">
        <v>71.0</v>
      </c>
    </row>
    <row r="1144">
      <c r="A1144" s="8" t="s">
        <v>532</v>
      </c>
      <c r="B1144" s="8" t="s">
        <v>1997</v>
      </c>
      <c r="C1144" s="8" t="s">
        <v>6376</v>
      </c>
      <c r="D1144" s="8">
        <v>77.0</v>
      </c>
    </row>
    <row r="1145">
      <c r="A1145" s="8" t="s">
        <v>532</v>
      </c>
      <c r="B1145" s="8" t="s">
        <v>531</v>
      </c>
      <c r="C1145" s="8" t="s">
        <v>6357</v>
      </c>
      <c r="D1145" s="8">
        <v>89.0</v>
      </c>
    </row>
    <row r="1146">
      <c r="A1146" s="8" t="s">
        <v>389</v>
      </c>
      <c r="B1146" s="8" t="s">
        <v>468</v>
      </c>
      <c r="C1146" s="8" t="s">
        <v>6358</v>
      </c>
      <c r="D1146" s="8">
        <v>71.0</v>
      </c>
    </row>
    <row r="1147">
      <c r="A1147" s="8" t="s">
        <v>181</v>
      </c>
      <c r="B1147" s="8" t="s">
        <v>651</v>
      </c>
      <c r="C1147" s="8" t="s">
        <v>6368</v>
      </c>
      <c r="D1147" s="8">
        <v>74.0</v>
      </c>
    </row>
    <row r="1148">
      <c r="A1148" s="8" t="s">
        <v>181</v>
      </c>
      <c r="B1148" s="8" t="s">
        <v>67</v>
      </c>
      <c r="C1148" s="8" t="s">
        <v>6371</v>
      </c>
      <c r="D1148" s="8">
        <v>76.0</v>
      </c>
    </row>
    <row r="1149">
      <c r="A1149" s="8" t="s">
        <v>181</v>
      </c>
      <c r="B1149" s="8" t="s">
        <v>705</v>
      </c>
      <c r="C1149" s="8" t="s">
        <v>6348</v>
      </c>
      <c r="D1149" s="8">
        <v>64.0</v>
      </c>
    </row>
    <row r="1150">
      <c r="A1150" s="8" t="s">
        <v>181</v>
      </c>
      <c r="B1150" s="8" t="s">
        <v>910</v>
      </c>
      <c r="C1150" s="8" t="s">
        <v>6376</v>
      </c>
      <c r="D1150" s="8">
        <v>70.0</v>
      </c>
    </row>
    <row r="1151">
      <c r="A1151" s="8" t="s">
        <v>842</v>
      </c>
      <c r="B1151" s="8" t="s">
        <v>636</v>
      </c>
      <c r="C1151" s="8" t="s">
        <v>6359</v>
      </c>
      <c r="D1151" s="8">
        <v>64.0</v>
      </c>
    </row>
    <row r="1152">
      <c r="A1152" s="8" t="s">
        <v>842</v>
      </c>
      <c r="B1152" s="8" t="s">
        <v>1625</v>
      </c>
      <c r="C1152" s="8" t="s">
        <v>6348</v>
      </c>
      <c r="D1152" s="8">
        <v>80.0</v>
      </c>
    </row>
    <row r="1153">
      <c r="A1153" s="8" t="s">
        <v>842</v>
      </c>
      <c r="B1153" s="8" t="s">
        <v>460</v>
      </c>
      <c r="C1153" s="8" t="s">
        <v>6370</v>
      </c>
      <c r="D1153" s="8">
        <v>77.0</v>
      </c>
    </row>
    <row r="1154">
      <c r="A1154" s="8" t="s">
        <v>842</v>
      </c>
      <c r="B1154" s="8" t="s">
        <v>78</v>
      </c>
      <c r="C1154" s="8" t="s">
        <v>6364</v>
      </c>
      <c r="D1154" s="8">
        <v>64.0</v>
      </c>
    </row>
    <row r="1155">
      <c r="A1155" s="8" t="s">
        <v>842</v>
      </c>
      <c r="B1155" s="8" t="s">
        <v>500</v>
      </c>
      <c r="C1155" s="8" t="s">
        <v>6356</v>
      </c>
      <c r="D1155" s="8">
        <v>77.0</v>
      </c>
    </row>
    <row r="1156">
      <c r="A1156" s="8" t="s">
        <v>842</v>
      </c>
      <c r="B1156" s="8" t="s">
        <v>2795</v>
      </c>
      <c r="C1156" s="8" t="s">
        <v>6353</v>
      </c>
      <c r="D1156" s="8">
        <v>68.0</v>
      </c>
    </row>
    <row r="1157">
      <c r="A1157" s="8" t="s">
        <v>842</v>
      </c>
      <c r="B1157" s="8" t="s">
        <v>1673</v>
      </c>
      <c r="C1157" s="8" t="s">
        <v>6347</v>
      </c>
      <c r="D1157" s="8">
        <v>70.0</v>
      </c>
    </row>
    <row r="1158">
      <c r="A1158" s="8" t="s">
        <v>842</v>
      </c>
      <c r="B1158" s="8" t="s">
        <v>284</v>
      </c>
      <c r="C1158" s="8" t="s">
        <v>6362</v>
      </c>
      <c r="D1158" s="8">
        <v>75.0</v>
      </c>
    </row>
    <row r="1159">
      <c r="A1159" s="8" t="s">
        <v>842</v>
      </c>
      <c r="B1159" s="8" t="s">
        <v>1390</v>
      </c>
      <c r="C1159" s="8" t="s">
        <v>6359</v>
      </c>
      <c r="D1159" s="8">
        <v>72.0</v>
      </c>
    </row>
    <row r="1160">
      <c r="A1160" s="8" t="s">
        <v>1975</v>
      </c>
      <c r="B1160" s="8" t="s">
        <v>99</v>
      </c>
      <c r="C1160" s="8" t="s">
        <v>6354</v>
      </c>
      <c r="D1160" s="8">
        <v>73.0</v>
      </c>
    </row>
    <row r="1161">
      <c r="A1161" s="8" t="s">
        <v>710</v>
      </c>
      <c r="B1161" s="8" t="s">
        <v>377</v>
      </c>
      <c r="C1161" s="8" t="s">
        <v>6378</v>
      </c>
      <c r="D1161" s="8">
        <v>71.0</v>
      </c>
    </row>
    <row r="1162">
      <c r="A1162" s="8" t="s">
        <v>263</v>
      </c>
      <c r="B1162" s="8" t="s">
        <v>282</v>
      </c>
      <c r="C1162" s="8" t="s">
        <v>6378</v>
      </c>
      <c r="D1162" s="8">
        <v>80.0</v>
      </c>
    </row>
    <row r="1163">
      <c r="A1163" s="8" t="s">
        <v>263</v>
      </c>
      <c r="B1163" s="8" t="s">
        <v>778</v>
      </c>
      <c r="C1163" s="8" t="s">
        <v>6345</v>
      </c>
      <c r="D1163" s="8">
        <v>83.0</v>
      </c>
    </row>
    <row r="1164">
      <c r="A1164" s="8" t="s">
        <v>263</v>
      </c>
      <c r="B1164" s="8" t="s">
        <v>1200</v>
      </c>
      <c r="C1164" s="8" t="s">
        <v>6359</v>
      </c>
      <c r="D1164" s="8">
        <v>84.0</v>
      </c>
    </row>
    <row r="1165">
      <c r="A1165" s="8" t="s">
        <v>263</v>
      </c>
      <c r="B1165" s="8" t="s">
        <v>1302</v>
      </c>
      <c r="C1165" s="8" t="s">
        <v>6371</v>
      </c>
      <c r="D1165" s="8">
        <v>69.0</v>
      </c>
    </row>
    <row r="1166">
      <c r="A1166" s="8" t="s">
        <v>263</v>
      </c>
      <c r="B1166" s="8" t="s">
        <v>1005</v>
      </c>
      <c r="C1166" s="8" t="s">
        <v>6347</v>
      </c>
      <c r="D1166" s="8">
        <v>73.0</v>
      </c>
    </row>
    <row r="1167">
      <c r="A1167" s="8" t="s">
        <v>263</v>
      </c>
      <c r="B1167" s="8" t="s">
        <v>2899</v>
      </c>
      <c r="C1167" s="8" t="s">
        <v>6363</v>
      </c>
      <c r="D1167" s="8">
        <v>68.0</v>
      </c>
    </row>
    <row r="1168">
      <c r="A1168" s="8" t="s">
        <v>263</v>
      </c>
      <c r="B1168" s="8" t="s">
        <v>648</v>
      </c>
      <c r="C1168" s="8" t="s">
        <v>6368</v>
      </c>
      <c r="D1168" s="8">
        <v>79.0</v>
      </c>
    </row>
    <row r="1169">
      <c r="A1169" s="8" t="s">
        <v>263</v>
      </c>
      <c r="B1169" s="8" t="s">
        <v>762</v>
      </c>
      <c r="C1169" s="8" t="s">
        <v>6345</v>
      </c>
      <c r="D1169" s="8">
        <v>77.0</v>
      </c>
    </row>
    <row r="1170">
      <c r="A1170" s="8" t="s">
        <v>263</v>
      </c>
      <c r="B1170" s="8" t="s">
        <v>1164</v>
      </c>
      <c r="C1170" s="8" t="s">
        <v>6350</v>
      </c>
      <c r="D1170" s="8">
        <v>66.0</v>
      </c>
    </row>
    <row r="1171">
      <c r="A1171" s="8" t="s">
        <v>263</v>
      </c>
      <c r="B1171" s="8" t="s">
        <v>1877</v>
      </c>
      <c r="C1171" s="8" t="s">
        <v>6378</v>
      </c>
      <c r="D1171" s="8">
        <v>69.0</v>
      </c>
    </row>
    <row r="1172">
      <c r="A1172" s="8" t="s">
        <v>263</v>
      </c>
      <c r="B1172" s="8" t="s">
        <v>666</v>
      </c>
      <c r="C1172" s="8" t="s">
        <v>6368</v>
      </c>
      <c r="D1172" s="8">
        <v>73.0</v>
      </c>
    </row>
    <row r="1173">
      <c r="A1173" s="8" t="s">
        <v>263</v>
      </c>
      <c r="B1173" s="8" t="s">
        <v>747</v>
      </c>
      <c r="C1173" s="8" t="s">
        <v>6347</v>
      </c>
      <c r="D1173" s="8">
        <v>68.0</v>
      </c>
    </row>
    <row r="1174">
      <c r="A1174" s="8" t="s">
        <v>263</v>
      </c>
      <c r="B1174" s="8" t="s">
        <v>2024</v>
      </c>
      <c r="C1174" s="8" t="s">
        <v>6350</v>
      </c>
      <c r="D1174" s="8">
        <v>76.0</v>
      </c>
    </row>
    <row r="1175">
      <c r="A1175" s="8" t="s">
        <v>263</v>
      </c>
      <c r="B1175" s="8" t="s">
        <v>146</v>
      </c>
      <c r="C1175" s="8" t="s">
        <v>6359</v>
      </c>
      <c r="D1175" s="8">
        <v>72.0</v>
      </c>
    </row>
    <row r="1176">
      <c r="A1176" s="8" t="s">
        <v>263</v>
      </c>
      <c r="B1176" s="8" t="s">
        <v>164</v>
      </c>
      <c r="C1176" s="8" t="s">
        <v>6362</v>
      </c>
      <c r="D1176" s="8">
        <v>76.0</v>
      </c>
    </row>
    <row r="1177">
      <c r="A1177" s="8" t="s">
        <v>263</v>
      </c>
      <c r="B1177" s="8" t="s">
        <v>262</v>
      </c>
      <c r="C1177" s="8" t="s">
        <v>6373</v>
      </c>
      <c r="D1177" s="8">
        <v>68.0</v>
      </c>
    </row>
    <row r="1178">
      <c r="A1178" s="8" t="s">
        <v>263</v>
      </c>
      <c r="B1178" s="8" t="s">
        <v>785</v>
      </c>
      <c r="C1178" s="8" t="s">
        <v>6362</v>
      </c>
      <c r="D1178" s="8">
        <v>71.0</v>
      </c>
    </row>
    <row r="1179">
      <c r="A1179" s="8" t="s">
        <v>263</v>
      </c>
      <c r="B1179" s="8" t="s">
        <v>441</v>
      </c>
      <c r="C1179" s="8" t="s">
        <v>6363</v>
      </c>
      <c r="D1179" s="8">
        <v>71.0</v>
      </c>
    </row>
    <row r="1180">
      <c r="A1180" s="8" t="s">
        <v>263</v>
      </c>
      <c r="B1180" s="8" t="s">
        <v>78</v>
      </c>
      <c r="C1180" s="8" t="s">
        <v>6348</v>
      </c>
      <c r="D1180" s="8">
        <v>62.0</v>
      </c>
    </row>
    <row r="1181">
      <c r="A1181" s="8" t="s">
        <v>263</v>
      </c>
      <c r="B1181" s="8" t="s">
        <v>533</v>
      </c>
      <c r="C1181" s="8" t="s">
        <v>6375</v>
      </c>
      <c r="D1181" s="8">
        <v>82.0</v>
      </c>
    </row>
    <row r="1182">
      <c r="A1182" s="8" t="s">
        <v>263</v>
      </c>
      <c r="B1182" s="8" t="s">
        <v>1664</v>
      </c>
      <c r="C1182" s="8" t="s">
        <v>6361</v>
      </c>
      <c r="D1182" s="8">
        <v>72.0</v>
      </c>
    </row>
    <row r="1183">
      <c r="A1183" s="8" t="s">
        <v>263</v>
      </c>
      <c r="B1183" s="8" t="s">
        <v>617</v>
      </c>
      <c r="C1183" s="8" t="s">
        <v>6360</v>
      </c>
      <c r="D1183" s="8">
        <v>70.0</v>
      </c>
    </row>
    <row r="1184">
      <c r="A1184" s="8" t="s">
        <v>263</v>
      </c>
      <c r="B1184" s="8" t="s">
        <v>838</v>
      </c>
      <c r="C1184" s="8" t="s">
        <v>6358</v>
      </c>
      <c r="D1184" s="8">
        <v>71.0</v>
      </c>
    </row>
    <row r="1185">
      <c r="A1185" s="8" t="s">
        <v>263</v>
      </c>
      <c r="B1185" s="8" t="s">
        <v>62</v>
      </c>
      <c r="C1185" s="8" t="s">
        <v>6358</v>
      </c>
      <c r="D1185" s="8">
        <v>66.0</v>
      </c>
    </row>
    <row r="1186">
      <c r="A1186" s="8" t="s">
        <v>263</v>
      </c>
      <c r="B1186" s="8" t="s">
        <v>2370</v>
      </c>
      <c r="C1186" s="8" t="s">
        <v>6367</v>
      </c>
      <c r="D1186" s="8">
        <v>69.0</v>
      </c>
    </row>
    <row r="1187">
      <c r="A1187" s="8" t="s">
        <v>263</v>
      </c>
      <c r="B1187" s="8" t="s">
        <v>223</v>
      </c>
      <c r="C1187" s="8" t="s">
        <v>6370</v>
      </c>
      <c r="D1187" s="8">
        <v>85.0</v>
      </c>
    </row>
    <row r="1188">
      <c r="A1188" s="8" t="s">
        <v>263</v>
      </c>
      <c r="B1188" s="8" t="s">
        <v>2379</v>
      </c>
      <c r="C1188" s="8" t="s">
        <v>6375</v>
      </c>
      <c r="D1188" s="8">
        <v>66.0</v>
      </c>
    </row>
    <row r="1189">
      <c r="A1189" s="8" t="s">
        <v>2961</v>
      </c>
      <c r="B1189" s="8" t="s">
        <v>220</v>
      </c>
      <c r="C1189" s="8" t="s">
        <v>6376</v>
      </c>
      <c r="D1189" s="8">
        <v>83.0</v>
      </c>
    </row>
    <row r="1190">
      <c r="A1190" s="8" t="s">
        <v>91</v>
      </c>
      <c r="B1190" s="8" t="s">
        <v>2727</v>
      </c>
      <c r="C1190" s="8" t="s">
        <v>6368</v>
      </c>
      <c r="D1190" s="8">
        <v>62.0</v>
      </c>
    </row>
    <row r="1191">
      <c r="A1191" s="8" t="s">
        <v>91</v>
      </c>
      <c r="B1191" s="8" t="s">
        <v>1923</v>
      </c>
      <c r="C1191" s="8" t="s">
        <v>6357</v>
      </c>
      <c r="D1191" s="8">
        <v>69.0</v>
      </c>
    </row>
    <row r="1192">
      <c r="A1192" s="8" t="s">
        <v>1852</v>
      </c>
      <c r="B1192" s="8" t="s">
        <v>1851</v>
      </c>
      <c r="C1192" s="8" t="s">
        <v>6363</v>
      </c>
      <c r="D1192" s="8">
        <v>70.0</v>
      </c>
    </row>
    <row r="1193">
      <c r="A1193" s="8" t="s">
        <v>301</v>
      </c>
      <c r="B1193" s="8" t="s">
        <v>284</v>
      </c>
      <c r="C1193" s="8" t="s">
        <v>6355</v>
      </c>
      <c r="D1193" s="8">
        <v>73.0</v>
      </c>
    </row>
    <row r="1194">
      <c r="A1194" s="8" t="s">
        <v>301</v>
      </c>
      <c r="B1194" s="8" t="s">
        <v>350</v>
      </c>
      <c r="C1194" s="8" t="s">
        <v>6359</v>
      </c>
      <c r="D1194" s="8">
        <v>73.0</v>
      </c>
    </row>
    <row r="1195">
      <c r="A1195" s="8" t="s">
        <v>301</v>
      </c>
      <c r="B1195" s="8" t="s">
        <v>2930</v>
      </c>
      <c r="C1195" s="8" t="s">
        <v>6378</v>
      </c>
      <c r="D1195" s="8">
        <v>77.0</v>
      </c>
    </row>
    <row r="1196">
      <c r="A1196" s="8" t="s">
        <v>301</v>
      </c>
      <c r="B1196" s="8" t="s">
        <v>566</v>
      </c>
      <c r="C1196" s="8" t="s">
        <v>6354</v>
      </c>
      <c r="D1196" s="8">
        <v>79.0</v>
      </c>
    </row>
    <row r="1197">
      <c r="A1197" s="8" t="s">
        <v>301</v>
      </c>
      <c r="B1197" s="8" t="s">
        <v>1170</v>
      </c>
      <c r="C1197" s="8" t="s">
        <v>6361</v>
      </c>
      <c r="D1197" s="8">
        <v>65.0</v>
      </c>
    </row>
    <row r="1198">
      <c r="A1198" s="8" t="s">
        <v>301</v>
      </c>
      <c r="B1198" s="8" t="s">
        <v>740</v>
      </c>
      <c r="C1198" s="8" t="s">
        <v>6346</v>
      </c>
      <c r="D1198" s="8">
        <v>79.0</v>
      </c>
    </row>
    <row r="1199">
      <c r="A1199" s="8" t="s">
        <v>301</v>
      </c>
      <c r="B1199" s="8" t="s">
        <v>537</v>
      </c>
      <c r="C1199" s="8" t="s">
        <v>6349</v>
      </c>
      <c r="D1199" s="8">
        <v>78.0</v>
      </c>
    </row>
    <row r="1200">
      <c r="A1200" s="8" t="s">
        <v>301</v>
      </c>
      <c r="B1200" s="8" t="s">
        <v>1400</v>
      </c>
      <c r="C1200" s="8" t="s">
        <v>6354</v>
      </c>
      <c r="D1200" s="8">
        <v>63.0</v>
      </c>
    </row>
    <row r="1201">
      <c r="A1201" s="8" t="s">
        <v>301</v>
      </c>
      <c r="B1201" s="8" t="s">
        <v>1651</v>
      </c>
      <c r="C1201" s="8" t="s">
        <v>6350</v>
      </c>
      <c r="D1201" s="8">
        <v>62.0</v>
      </c>
    </row>
    <row r="1202">
      <c r="A1202" s="8" t="s">
        <v>301</v>
      </c>
      <c r="B1202" s="8" t="s">
        <v>2851</v>
      </c>
      <c r="C1202" s="8" t="s">
        <v>6349</v>
      </c>
      <c r="D1202" s="8">
        <v>71.0</v>
      </c>
    </row>
    <row r="1203">
      <c r="A1203" s="8" t="s">
        <v>301</v>
      </c>
      <c r="B1203" s="8" t="s">
        <v>260</v>
      </c>
      <c r="C1203" s="8" t="s">
        <v>6345</v>
      </c>
      <c r="D1203" s="8">
        <v>62.0</v>
      </c>
    </row>
    <row r="1204">
      <c r="A1204" s="8" t="s">
        <v>301</v>
      </c>
      <c r="B1204" s="8" t="s">
        <v>2878</v>
      </c>
      <c r="C1204" s="8" t="s">
        <v>6358</v>
      </c>
      <c r="D1204" s="8">
        <v>64.0</v>
      </c>
    </row>
    <row r="1205">
      <c r="A1205" s="8" t="s">
        <v>301</v>
      </c>
      <c r="B1205" s="8" t="s">
        <v>638</v>
      </c>
      <c r="C1205" s="8" t="s">
        <v>6365</v>
      </c>
      <c r="D1205" s="8">
        <v>67.0</v>
      </c>
    </row>
    <row r="1206">
      <c r="A1206" s="8" t="s">
        <v>301</v>
      </c>
      <c r="B1206" s="8" t="s">
        <v>698</v>
      </c>
      <c r="C1206" s="8" t="s">
        <v>6377</v>
      </c>
      <c r="D1206" s="8">
        <v>78.0</v>
      </c>
    </row>
    <row r="1207">
      <c r="A1207" s="8" t="s">
        <v>301</v>
      </c>
      <c r="B1207" s="8" t="s">
        <v>1469</v>
      </c>
      <c r="C1207" s="8" t="s">
        <v>6370</v>
      </c>
      <c r="D1207" s="8">
        <v>66.0</v>
      </c>
    </row>
    <row r="1208">
      <c r="A1208" s="8" t="s">
        <v>301</v>
      </c>
      <c r="B1208" s="8" t="s">
        <v>2179</v>
      </c>
      <c r="C1208" s="8" t="s">
        <v>6350</v>
      </c>
      <c r="D1208" s="8">
        <v>70.0</v>
      </c>
    </row>
    <row r="1209">
      <c r="A1209" s="8" t="s">
        <v>301</v>
      </c>
      <c r="B1209" s="8" t="s">
        <v>1023</v>
      </c>
      <c r="C1209" s="8" t="s">
        <v>6350</v>
      </c>
      <c r="D1209" s="8">
        <v>65.0</v>
      </c>
    </row>
    <row r="1210">
      <c r="A1210" s="8" t="s">
        <v>301</v>
      </c>
      <c r="B1210" s="8" t="s">
        <v>1344</v>
      </c>
      <c r="C1210" s="8" t="s">
        <v>6367</v>
      </c>
      <c r="D1210" s="8">
        <v>64.0</v>
      </c>
    </row>
    <row r="1211">
      <c r="A1211" s="8" t="s">
        <v>301</v>
      </c>
      <c r="B1211" s="8" t="s">
        <v>460</v>
      </c>
      <c r="C1211" s="8" t="s">
        <v>6352</v>
      </c>
      <c r="D1211" s="8">
        <v>63.0</v>
      </c>
    </row>
    <row r="1212">
      <c r="A1212" s="8" t="s">
        <v>301</v>
      </c>
      <c r="B1212" s="8" t="s">
        <v>396</v>
      </c>
      <c r="C1212" s="8" t="s">
        <v>6378</v>
      </c>
      <c r="D1212" s="8">
        <v>74.0</v>
      </c>
    </row>
    <row r="1213">
      <c r="A1213" s="8" t="s">
        <v>301</v>
      </c>
      <c r="B1213" s="8" t="s">
        <v>828</v>
      </c>
      <c r="C1213" s="8" t="s">
        <v>6346</v>
      </c>
      <c r="D1213" s="8">
        <v>70.0</v>
      </c>
    </row>
    <row r="1214">
      <c r="A1214" s="8" t="s">
        <v>301</v>
      </c>
      <c r="B1214" s="8" t="s">
        <v>751</v>
      </c>
      <c r="C1214" s="8" t="s">
        <v>6348</v>
      </c>
      <c r="D1214" s="8">
        <v>65.0</v>
      </c>
    </row>
    <row r="1215">
      <c r="A1215" s="8" t="s">
        <v>301</v>
      </c>
      <c r="B1215" s="8" t="s">
        <v>1187</v>
      </c>
      <c r="C1215" s="8" t="s">
        <v>6355</v>
      </c>
      <c r="D1215" s="8">
        <v>70.0</v>
      </c>
    </row>
    <row r="1216">
      <c r="A1216" s="8" t="s">
        <v>301</v>
      </c>
      <c r="B1216" s="8" t="s">
        <v>783</v>
      </c>
      <c r="C1216" s="8" t="s">
        <v>6357</v>
      </c>
      <c r="D1216" s="8">
        <v>72.0</v>
      </c>
    </row>
    <row r="1217">
      <c r="A1217" s="8" t="s">
        <v>301</v>
      </c>
      <c r="B1217" s="8" t="s">
        <v>2712</v>
      </c>
      <c r="C1217" s="8" t="s">
        <v>6352</v>
      </c>
      <c r="D1217" s="8">
        <v>76.0</v>
      </c>
    </row>
    <row r="1218">
      <c r="A1218" s="8" t="s">
        <v>301</v>
      </c>
      <c r="B1218" s="8" t="s">
        <v>300</v>
      </c>
      <c r="C1218" s="8" t="s">
        <v>6370</v>
      </c>
      <c r="D1218" s="8">
        <v>84.0</v>
      </c>
    </row>
    <row r="1219">
      <c r="A1219" s="8" t="s">
        <v>301</v>
      </c>
      <c r="B1219" s="8" t="s">
        <v>208</v>
      </c>
      <c r="C1219" s="8" t="s">
        <v>6355</v>
      </c>
      <c r="D1219" s="8">
        <v>75.0</v>
      </c>
    </row>
    <row r="1220">
      <c r="A1220" s="8" t="s">
        <v>301</v>
      </c>
      <c r="B1220" s="8" t="s">
        <v>460</v>
      </c>
      <c r="C1220" s="8" t="s">
        <v>6345</v>
      </c>
      <c r="D1220" s="8">
        <v>76.0</v>
      </c>
    </row>
    <row r="1221">
      <c r="A1221" s="8" t="s">
        <v>301</v>
      </c>
      <c r="B1221" s="8" t="s">
        <v>2428</v>
      </c>
      <c r="C1221" s="8" t="s">
        <v>6375</v>
      </c>
      <c r="D1221" s="8">
        <v>67.0</v>
      </c>
    </row>
    <row r="1222">
      <c r="A1222" s="8" t="s">
        <v>301</v>
      </c>
      <c r="B1222" s="8" t="s">
        <v>2407</v>
      </c>
      <c r="C1222" s="8" t="s">
        <v>6352</v>
      </c>
      <c r="D1222" s="8">
        <v>78.0</v>
      </c>
    </row>
    <row r="1223">
      <c r="A1223" s="8" t="s">
        <v>301</v>
      </c>
      <c r="B1223" s="8" t="s">
        <v>1150</v>
      </c>
      <c r="C1223" s="8" t="s">
        <v>6370</v>
      </c>
      <c r="D1223" s="8">
        <v>77.0</v>
      </c>
    </row>
    <row r="1224">
      <c r="A1224" s="8" t="s">
        <v>301</v>
      </c>
      <c r="B1224" s="8" t="s">
        <v>308</v>
      </c>
      <c r="C1224" s="8" t="s">
        <v>6360</v>
      </c>
      <c r="D1224" s="8">
        <v>65.0</v>
      </c>
    </row>
    <row r="1225">
      <c r="A1225" s="8" t="s">
        <v>301</v>
      </c>
      <c r="B1225" s="8" t="s">
        <v>2930</v>
      </c>
      <c r="C1225" s="8" t="s">
        <v>6378</v>
      </c>
      <c r="D1225" s="8">
        <v>85.0</v>
      </c>
    </row>
    <row r="1226">
      <c r="A1226" s="8" t="s">
        <v>301</v>
      </c>
      <c r="B1226" s="8" t="s">
        <v>3053</v>
      </c>
      <c r="C1226" s="8" t="s">
        <v>6347</v>
      </c>
      <c r="D1226" s="8">
        <v>86.0</v>
      </c>
    </row>
    <row r="1227">
      <c r="A1227" s="8" t="s">
        <v>1283</v>
      </c>
      <c r="B1227" s="8" t="s">
        <v>2992</v>
      </c>
      <c r="C1227" s="8" t="s">
        <v>6364</v>
      </c>
      <c r="D1227" s="8">
        <v>73.0</v>
      </c>
    </row>
    <row r="1228">
      <c r="A1228" s="8" t="s">
        <v>1283</v>
      </c>
      <c r="B1228" s="8" t="s">
        <v>2847</v>
      </c>
      <c r="C1228" s="8" t="s">
        <v>6370</v>
      </c>
      <c r="D1228" s="8">
        <v>68.0</v>
      </c>
    </row>
    <row r="1229">
      <c r="A1229" s="8" t="s">
        <v>1283</v>
      </c>
      <c r="B1229" s="8" t="s">
        <v>1450</v>
      </c>
      <c r="C1229" s="8" t="s">
        <v>6356</v>
      </c>
      <c r="D1229" s="8">
        <v>73.0</v>
      </c>
    </row>
    <row r="1230">
      <c r="A1230" s="8" t="s">
        <v>1283</v>
      </c>
      <c r="B1230" s="8" t="s">
        <v>1766</v>
      </c>
      <c r="C1230" s="8" t="s">
        <v>6368</v>
      </c>
      <c r="D1230" s="8">
        <v>73.0</v>
      </c>
    </row>
    <row r="1231">
      <c r="A1231" s="8" t="s">
        <v>1283</v>
      </c>
      <c r="B1231" s="8" t="s">
        <v>1282</v>
      </c>
      <c r="C1231" s="8" t="s">
        <v>6375</v>
      </c>
      <c r="D1231" s="8">
        <v>63.0</v>
      </c>
    </row>
    <row r="1232">
      <c r="A1232" s="8" t="s">
        <v>1283</v>
      </c>
      <c r="B1232" s="8" t="s">
        <v>1446</v>
      </c>
      <c r="C1232" s="8" t="s">
        <v>6368</v>
      </c>
      <c r="D1232" s="8">
        <v>65.0</v>
      </c>
    </row>
    <row r="1233">
      <c r="A1233" s="8" t="s">
        <v>1880</v>
      </c>
      <c r="B1233" s="8" t="s">
        <v>94</v>
      </c>
      <c r="C1233" s="8" t="s">
        <v>6374</v>
      </c>
      <c r="D1233" s="8">
        <v>76.0</v>
      </c>
    </row>
    <row r="1234">
      <c r="A1234" s="8" t="s">
        <v>2421</v>
      </c>
      <c r="B1234" s="8" t="s">
        <v>2420</v>
      </c>
      <c r="C1234" s="8" t="s">
        <v>6368</v>
      </c>
      <c r="D1234" s="8">
        <v>80.0</v>
      </c>
    </row>
    <row r="1235">
      <c r="A1235" s="8" t="s">
        <v>151</v>
      </c>
      <c r="B1235" s="8" t="s">
        <v>150</v>
      </c>
      <c r="C1235" s="8" t="s">
        <v>6362</v>
      </c>
      <c r="D1235" s="8">
        <v>84.0</v>
      </c>
    </row>
    <row r="1236">
      <c r="A1236" s="8" t="s">
        <v>151</v>
      </c>
      <c r="B1236" s="8" t="s">
        <v>805</v>
      </c>
      <c r="C1236" s="8" t="s">
        <v>6345</v>
      </c>
      <c r="D1236" s="8">
        <v>69.0</v>
      </c>
    </row>
    <row r="1237">
      <c r="A1237" s="8" t="s">
        <v>5167</v>
      </c>
      <c r="B1237" s="8" t="s">
        <v>1757</v>
      </c>
      <c r="C1237" s="8" t="s">
        <v>6358</v>
      </c>
      <c r="D1237" s="8">
        <v>66.0</v>
      </c>
    </row>
    <row r="1238">
      <c r="A1238" s="8" t="s">
        <v>390</v>
      </c>
      <c r="B1238" s="8" t="s">
        <v>284</v>
      </c>
      <c r="C1238" s="8" t="s">
        <v>6372</v>
      </c>
      <c r="D1238" s="8">
        <v>91.0</v>
      </c>
    </row>
    <row r="1239">
      <c r="A1239" s="8" t="s">
        <v>390</v>
      </c>
      <c r="B1239" s="8" t="s">
        <v>284</v>
      </c>
      <c r="C1239" s="8" t="s">
        <v>6372</v>
      </c>
      <c r="D1239" s="8">
        <v>88.0</v>
      </c>
    </row>
    <row r="1240">
      <c r="A1240" s="8" t="s">
        <v>2991</v>
      </c>
      <c r="B1240" s="8" t="s">
        <v>62</v>
      </c>
      <c r="C1240" s="8" t="s">
        <v>6364</v>
      </c>
      <c r="D1240" s="8">
        <v>60.0</v>
      </c>
    </row>
    <row r="1241">
      <c r="A1241" s="8" t="s">
        <v>2991</v>
      </c>
      <c r="B1241" s="8" t="s">
        <v>3122</v>
      </c>
      <c r="C1241" s="8" t="s">
        <v>6354</v>
      </c>
      <c r="D1241" s="8">
        <v>65.0</v>
      </c>
    </row>
    <row r="1242">
      <c r="A1242" s="8" t="s">
        <v>2991</v>
      </c>
      <c r="B1242" s="8" t="s">
        <v>2213</v>
      </c>
      <c r="C1242" s="8" t="s">
        <v>6369</v>
      </c>
      <c r="D1242" s="8">
        <v>80.0</v>
      </c>
    </row>
    <row r="1243">
      <c r="A1243" s="8" t="s">
        <v>1993</v>
      </c>
      <c r="B1243" s="8" t="s">
        <v>441</v>
      </c>
      <c r="C1243" s="8" t="s">
        <v>6356</v>
      </c>
      <c r="D1243" s="8">
        <v>69.0</v>
      </c>
    </row>
    <row r="1244">
      <c r="A1244" s="8" t="s">
        <v>495</v>
      </c>
      <c r="B1244" s="8" t="s">
        <v>494</v>
      </c>
      <c r="C1244" s="8" t="s">
        <v>6354</v>
      </c>
      <c r="D1244" s="8">
        <v>85.0</v>
      </c>
    </row>
    <row r="1245">
      <c r="A1245" s="8" t="s">
        <v>381</v>
      </c>
      <c r="B1245" s="8" t="s">
        <v>1380</v>
      </c>
      <c r="C1245" s="8" t="s">
        <v>6368</v>
      </c>
      <c r="D1245" s="8">
        <v>72.0</v>
      </c>
    </row>
    <row r="1246">
      <c r="A1246" s="8" t="s">
        <v>381</v>
      </c>
      <c r="B1246" s="8" t="s">
        <v>1420</v>
      </c>
      <c r="C1246" s="8" t="s">
        <v>6377</v>
      </c>
      <c r="D1246" s="8">
        <v>68.0</v>
      </c>
    </row>
    <row r="1247">
      <c r="A1247" s="8" t="s">
        <v>381</v>
      </c>
      <c r="B1247" s="8" t="s">
        <v>655</v>
      </c>
      <c r="C1247" s="8" t="s">
        <v>6371</v>
      </c>
      <c r="D1247" s="8">
        <v>78.0</v>
      </c>
    </row>
    <row r="1248">
      <c r="A1248" s="8" t="s">
        <v>381</v>
      </c>
      <c r="B1248" s="8" t="s">
        <v>767</v>
      </c>
      <c r="C1248" s="8" t="s">
        <v>6350</v>
      </c>
      <c r="D1248" s="8">
        <v>63.0</v>
      </c>
    </row>
    <row r="1249">
      <c r="A1249" s="8" t="s">
        <v>381</v>
      </c>
      <c r="B1249" s="8" t="s">
        <v>1615</v>
      </c>
      <c r="C1249" s="8" t="s">
        <v>6363</v>
      </c>
      <c r="D1249" s="8">
        <v>79.0</v>
      </c>
    </row>
    <row r="1250">
      <c r="A1250" s="8" t="s">
        <v>381</v>
      </c>
      <c r="B1250" s="8" t="s">
        <v>1466</v>
      </c>
      <c r="C1250" s="8" t="s">
        <v>6349</v>
      </c>
      <c r="D1250" s="8">
        <v>69.0</v>
      </c>
    </row>
    <row r="1251">
      <c r="A1251" s="8" t="s">
        <v>381</v>
      </c>
      <c r="B1251" s="8" t="s">
        <v>3116</v>
      </c>
      <c r="C1251" s="8" t="s">
        <v>6377</v>
      </c>
      <c r="D1251" s="8">
        <v>77.0</v>
      </c>
    </row>
    <row r="1252">
      <c r="A1252" s="8" t="s">
        <v>381</v>
      </c>
      <c r="B1252" s="8" t="s">
        <v>61</v>
      </c>
      <c r="C1252" s="8" t="s">
        <v>6357</v>
      </c>
      <c r="D1252" s="8">
        <v>66.0</v>
      </c>
    </row>
    <row r="1253">
      <c r="A1253" s="8" t="s">
        <v>381</v>
      </c>
      <c r="B1253" s="8" t="s">
        <v>1164</v>
      </c>
      <c r="C1253" s="8" t="s">
        <v>6360</v>
      </c>
      <c r="D1253" s="8">
        <v>71.0</v>
      </c>
    </row>
    <row r="1254">
      <c r="A1254" s="8" t="s">
        <v>381</v>
      </c>
      <c r="B1254" s="8" t="s">
        <v>1238</v>
      </c>
      <c r="C1254" s="8" t="s">
        <v>6374</v>
      </c>
      <c r="D1254" s="8">
        <v>76.0</v>
      </c>
    </row>
    <row r="1255">
      <c r="A1255" s="8" t="s">
        <v>381</v>
      </c>
      <c r="B1255" s="8" t="s">
        <v>877</v>
      </c>
      <c r="C1255" s="8" t="s">
        <v>6371</v>
      </c>
      <c r="D1255" s="8">
        <v>75.0</v>
      </c>
    </row>
    <row r="1256">
      <c r="A1256" s="8" t="s">
        <v>381</v>
      </c>
      <c r="B1256" s="8" t="s">
        <v>592</v>
      </c>
      <c r="C1256" s="8" t="s">
        <v>6352</v>
      </c>
      <c r="D1256" s="8">
        <v>80.0</v>
      </c>
    </row>
    <row r="1257">
      <c r="A1257" s="8" t="s">
        <v>381</v>
      </c>
      <c r="B1257" s="8" t="s">
        <v>677</v>
      </c>
      <c r="C1257" s="8" t="s">
        <v>6376</v>
      </c>
      <c r="D1257" s="8">
        <v>76.0</v>
      </c>
    </row>
    <row r="1258">
      <c r="A1258" s="8" t="s">
        <v>381</v>
      </c>
      <c r="B1258" s="8" t="s">
        <v>473</v>
      </c>
      <c r="C1258" s="8" t="s">
        <v>6372</v>
      </c>
      <c r="D1258" s="8">
        <v>74.0</v>
      </c>
    </row>
    <row r="1259">
      <c r="A1259" s="8" t="s">
        <v>381</v>
      </c>
      <c r="B1259" s="8" t="s">
        <v>1181</v>
      </c>
      <c r="C1259" s="8" t="s">
        <v>6373</v>
      </c>
      <c r="D1259" s="8">
        <v>67.0</v>
      </c>
    </row>
    <row r="1260">
      <c r="A1260" s="8" t="s">
        <v>381</v>
      </c>
      <c r="B1260" s="8" t="s">
        <v>579</v>
      </c>
      <c r="C1260" s="8" t="s">
        <v>6355</v>
      </c>
      <c r="D1260" s="8">
        <v>70.0</v>
      </c>
    </row>
    <row r="1261">
      <c r="A1261" s="8" t="s">
        <v>381</v>
      </c>
      <c r="B1261" s="8" t="s">
        <v>1874</v>
      </c>
      <c r="C1261" s="8" t="s">
        <v>6357</v>
      </c>
      <c r="D1261" s="8">
        <v>66.0</v>
      </c>
    </row>
    <row r="1262">
      <c r="A1262" s="8" t="s">
        <v>381</v>
      </c>
      <c r="B1262" s="8" t="s">
        <v>380</v>
      </c>
      <c r="C1262" s="8" t="s">
        <v>6373</v>
      </c>
      <c r="D1262" s="8">
        <v>87.0</v>
      </c>
    </row>
    <row r="1263">
      <c r="A1263" s="8" t="s">
        <v>381</v>
      </c>
      <c r="B1263" s="8" t="s">
        <v>284</v>
      </c>
      <c r="C1263" s="8" t="s">
        <v>6344</v>
      </c>
      <c r="D1263" s="8">
        <v>70.0</v>
      </c>
    </row>
    <row r="1264">
      <c r="A1264" s="8" t="s">
        <v>381</v>
      </c>
      <c r="B1264" s="8" t="s">
        <v>208</v>
      </c>
      <c r="C1264" s="8" t="s">
        <v>6344</v>
      </c>
      <c r="D1264" s="8">
        <v>69.0</v>
      </c>
    </row>
    <row r="1265">
      <c r="A1265" s="8" t="s">
        <v>381</v>
      </c>
      <c r="B1265" s="8" t="s">
        <v>34</v>
      </c>
      <c r="C1265" s="8" t="s">
        <v>6360</v>
      </c>
      <c r="D1265" s="8">
        <v>72.0</v>
      </c>
    </row>
    <row r="1266">
      <c r="A1266" s="8" t="s">
        <v>381</v>
      </c>
      <c r="B1266" s="8" t="s">
        <v>609</v>
      </c>
      <c r="C1266" s="8" t="s">
        <v>6367</v>
      </c>
      <c r="D1266" s="8">
        <v>89.0</v>
      </c>
    </row>
    <row r="1267">
      <c r="A1267" s="8" t="s">
        <v>381</v>
      </c>
      <c r="B1267" s="8" t="s">
        <v>1012</v>
      </c>
      <c r="C1267" s="8" t="s">
        <v>6358</v>
      </c>
      <c r="D1267" s="8">
        <v>73.0</v>
      </c>
    </row>
    <row r="1268">
      <c r="A1268" s="8" t="s">
        <v>1110</v>
      </c>
      <c r="B1268" s="8" t="s">
        <v>1109</v>
      </c>
      <c r="C1268" s="8" t="s">
        <v>6378</v>
      </c>
      <c r="D1268" s="8">
        <v>67.0</v>
      </c>
    </row>
    <row r="1269">
      <c r="A1269" s="8" t="s">
        <v>3119</v>
      </c>
      <c r="B1269" s="8" t="s">
        <v>1049</v>
      </c>
      <c r="C1269" s="8" t="s">
        <v>6376</v>
      </c>
      <c r="D1269" s="8">
        <v>68.0</v>
      </c>
    </row>
    <row r="1270">
      <c r="A1270" s="8" t="s">
        <v>6407</v>
      </c>
      <c r="B1270" s="8" t="s">
        <v>246</v>
      </c>
      <c r="C1270" s="8" t="s">
        <v>6374</v>
      </c>
      <c r="D1270" s="8">
        <v>68.0</v>
      </c>
    </row>
    <row r="1271">
      <c r="A1271" s="8" t="s">
        <v>6408</v>
      </c>
      <c r="B1271" s="8" t="s">
        <v>455</v>
      </c>
      <c r="C1271" s="8" t="s">
        <v>6371</v>
      </c>
      <c r="D1271" s="8">
        <v>81.0</v>
      </c>
    </row>
    <row r="1272">
      <c r="A1272" s="8" t="s">
        <v>6408</v>
      </c>
      <c r="B1272" s="8" t="s">
        <v>780</v>
      </c>
      <c r="C1272" s="8" t="s">
        <v>6361</v>
      </c>
      <c r="D1272" s="8">
        <v>66.0</v>
      </c>
    </row>
    <row r="1273">
      <c r="A1273" s="8" t="s">
        <v>5203</v>
      </c>
      <c r="B1273" s="8" t="s">
        <v>78</v>
      </c>
      <c r="C1273" s="8" t="s">
        <v>6356</v>
      </c>
      <c r="D1273" s="8">
        <v>74.0</v>
      </c>
    </row>
    <row r="1274">
      <c r="A1274" s="8" t="s">
        <v>5205</v>
      </c>
      <c r="B1274" s="8" t="s">
        <v>1440</v>
      </c>
      <c r="C1274" s="8" t="s">
        <v>6358</v>
      </c>
      <c r="D1274" s="8">
        <v>76.0</v>
      </c>
    </row>
    <row r="1275">
      <c r="A1275" s="8" t="s">
        <v>2775</v>
      </c>
      <c r="B1275" s="8" t="s">
        <v>895</v>
      </c>
      <c r="C1275" s="8" t="s">
        <v>6374</v>
      </c>
      <c r="D1275" s="8">
        <v>67.0</v>
      </c>
    </row>
    <row r="1276">
      <c r="A1276" s="8" t="s">
        <v>2734</v>
      </c>
      <c r="B1276" s="8" t="s">
        <v>165</v>
      </c>
      <c r="C1276" s="8" t="s">
        <v>6345</v>
      </c>
      <c r="D1276" s="8">
        <v>64.0</v>
      </c>
    </row>
    <row r="1277">
      <c r="A1277" s="8" t="s">
        <v>2381</v>
      </c>
      <c r="B1277" s="8" t="s">
        <v>1895</v>
      </c>
      <c r="C1277" s="8" t="s">
        <v>6373</v>
      </c>
      <c r="D1277" s="8">
        <v>66.0</v>
      </c>
    </row>
    <row r="1278">
      <c r="A1278" s="8" t="s">
        <v>1917</v>
      </c>
      <c r="B1278" s="8" t="s">
        <v>2789</v>
      </c>
      <c r="C1278" s="8" t="s">
        <v>6365</v>
      </c>
      <c r="D1278" s="8">
        <v>76.0</v>
      </c>
    </row>
    <row r="1279">
      <c r="A1279" s="8" t="s">
        <v>1917</v>
      </c>
      <c r="B1279" s="8" t="s">
        <v>1916</v>
      </c>
      <c r="C1279" s="8" t="s">
        <v>6367</v>
      </c>
      <c r="D1279" s="8">
        <v>69.0</v>
      </c>
    </row>
    <row r="1280">
      <c r="A1280" s="8" t="s">
        <v>1589</v>
      </c>
      <c r="B1280" s="8" t="s">
        <v>223</v>
      </c>
      <c r="C1280" s="8" t="s">
        <v>6354</v>
      </c>
      <c r="D1280" s="8">
        <v>68.0</v>
      </c>
    </row>
    <row r="1281">
      <c r="A1281" s="8" t="s">
        <v>2039</v>
      </c>
      <c r="B1281" s="8" t="s">
        <v>2038</v>
      </c>
      <c r="C1281" s="8" t="s">
        <v>6347</v>
      </c>
      <c r="D1281" s="8">
        <v>74.0</v>
      </c>
    </row>
    <row r="1282">
      <c r="A1282" s="8" t="s">
        <v>1586</v>
      </c>
      <c r="B1282" s="8" t="s">
        <v>1585</v>
      </c>
      <c r="C1282" s="8" t="s">
        <v>6348</v>
      </c>
      <c r="D1282" s="8">
        <v>68.0</v>
      </c>
    </row>
    <row r="1283">
      <c r="A1283" s="8" t="s">
        <v>2725</v>
      </c>
      <c r="B1283" s="8" t="s">
        <v>2724</v>
      </c>
      <c r="C1283" s="8" t="s">
        <v>6371</v>
      </c>
      <c r="D1283" s="8">
        <v>85.0</v>
      </c>
    </row>
    <row r="1284">
      <c r="A1284" s="8" t="s">
        <v>1416</v>
      </c>
      <c r="B1284" s="8" t="s">
        <v>1415</v>
      </c>
      <c r="C1284" s="8" t="s">
        <v>6367</v>
      </c>
      <c r="D1284" s="8">
        <v>71.0</v>
      </c>
    </row>
    <row r="1285">
      <c r="A1285" s="8" t="s">
        <v>2649</v>
      </c>
      <c r="B1285" s="8" t="s">
        <v>2648</v>
      </c>
      <c r="C1285" s="8" t="s">
        <v>6364</v>
      </c>
      <c r="D1285" s="8">
        <v>61.0</v>
      </c>
    </row>
    <row r="1286">
      <c r="A1286" s="8" t="s">
        <v>2385</v>
      </c>
      <c r="B1286" s="8" t="s">
        <v>1264</v>
      </c>
      <c r="C1286" s="8" t="s">
        <v>6349</v>
      </c>
      <c r="D1286" s="8">
        <v>68.0</v>
      </c>
    </row>
    <row r="1287">
      <c r="A1287" s="8" t="s">
        <v>1461</v>
      </c>
      <c r="B1287" s="8" t="s">
        <v>1460</v>
      </c>
      <c r="C1287" s="8" t="s">
        <v>6375</v>
      </c>
      <c r="D1287" s="8">
        <v>71.0</v>
      </c>
    </row>
    <row r="1288">
      <c r="A1288" s="8" t="s">
        <v>1086</v>
      </c>
      <c r="B1288" s="8" t="s">
        <v>1085</v>
      </c>
      <c r="C1288" s="8" t="s">
        <v>6370</v>
      </c>
      <c r="D1288" s="8">
        <v>70.0</v>
      </c>
    </row>
    <row r="1289">
      <c r="A1289" s="8" t="s">
        <v>572</v>
      </c>
      <c r="B1289" s="8" t="s">
        <v>571</v>
      </c>
      <c r="C1289" s="8" t="s">
        <v>6346</v>
      </c>
      <c r="D1289" s="8">
        <v>67.0</v>
      </c>
    </row>
    <row r="1290">
      <c r="A1290" s="8" t="s">
        <v>281</v>
      </c>
      <c r="B1290" s="8" t="s">
        <v>205</v>
      </c>
      <c r="C1290" s="8" t="s">
        <v>6373</v>
      </c>
      <c r="D1290" s="8">
        <v>85.0</v>
      </c>
    </row>
    <row r="1291">
      <c r="A1291" s="8" t="s">
        <v>281</v>
      </c>
      <c r="B1291" s="8" t="s">
        <v>208</v>
      </c>
      <c r="C1291" s="8" t="s">
        <v>6358</v>
      </c>
      <c r="D1291" s="8">
        <v>78.0</v>
      </c>
    </row>
    <row r="1292">
      <c r="A1292" s="8" t="s">
        <v>281</v>
      </c>
      <c r="B1292" s="8" t="s">
        <v>396</v>
      </c>
      <c r="C1292" s="8" t="s">
        <v>6348</v>
      </c>
      <c r="D1292" s="8">
        <v>75.0</v>
      </c>
    </row>
    <row r="1293">
      <c r="A1293" s="8" t="s">
        <v>1493</v>
      </c>
      <c r="B1293" s="8" t="s">
        <v>91</v>
      </c>
      <c r="C1293" s="8" t="s">
        <v>6376</v>
      </c>
      <c r="D1293" s="8">
        <v>78.0</v>
      </c>
    </row>
    <row r="1294">
      <c r="A1294" s="8" t="s">
        <v>2754</v>
      </c>
      <c r="B1294" s="8" t="s">
        <v>2753</v>
      </c>
      <c r="C1294" s="8" t="s">
        <v>6364</v>
      </c>
      <c r="D1294" s="8">
        <v>85.0</v>
      </c>
    </row>
    <row r="1295">
      <c r="A1295" s="8" t="s">
        <v>2754</v>
      </c>
      <c r="B1295" s="8" t="s">
        <v>2753</v>
      </c>
      <c r="C1295" s="8" t="s">
        <v>6364</v>
      </c>
      <c r="D1295" s="8">
        <v>75.0</v>
      </c>
    </row>
    <row r="1296">
      <c r="A1296" s="8" t="s">
        <v>1447</v>
      </c>
      <c r="B1296" s="8" t="s">
        <v>1446</v>
      </c>
      <c r="C1296" s="8" t="s">
        <v>6374</v>
      </c>
      <c r="D1296" s="8">
        <v>72.0</v>
      </c>
    </row>
    <row r="1297">
      <c r="A1297" s="8" t="s">
        <v>431</v>
      </c>
      <c r="B1297" s="8" t="s">
        <v>430</v>
      </c>
      <c r="C1297" s="8" t="s">
        <v>6369</v>
      </c>
      <c r="D1297" s="8">
        <v>85.0</v>
      </c>
    </row>
    <row r="1298">
      <c r="A1298" s="8" t="s">
        <v>3125</v>
      </c>
      <c r="B1298" s="8" t="s">
        <v>2280</v>
      </c>
      <c r="C1298" s="8" t="s">
        <v>6364</v>
      </c>
      <c r="D1298" s="8">
        <v>61.0</v>
      </c>
    </row>
    <row r="1299">
      <c r="A1299" s="8" t="s">
        <v>1918</v>
      </c>
      <c r="B1299" s="8" t="s">
        <v>1036</v>
      </c>
      <c r="C1299" s="8" t="s">
        <v>6372</v>
      </c>
      <c r="D1299" s="8">
        <v>83.0</v>
      </c>
    </row>
    <row r="1300">
      <c r="A1300" s="8" t="s">
        <v>1125</v>
      </c>
      <c r="B1300" s="8" t="s">
        <v>349</v>
      </c>
      <c r="C1300" s="8" t="s">
        <v>6346</v>
      </c>
      <c r="D1300" s="8">
        <v>75.0</v>
      </c>
    </row>
    <row r="1301">
      <c r="A1301" s="8" t="s">
        <v>839</v>
      </c>
      <c r="B1301" s="8" t="s">
        <v>460</v>
      </c>
      <c r="C1301" s="8" t="s">
        <v>6344</v>
      </c>
      <c r="D1301" s="8">
        <v>86.0</v>
      </c>
    </row>
    <row r="1302">
      <c r="A1302" s="8" t="s">
        <v>1680</v>
      </c>
      <c r="B1302" s="8" t="s">
        <v>835</v>
      </c>
      <c r="C1302" s="8" t="s">
        <v>6368</v>
      </c>
      <c r="D1302" s="8">
        <v>62.0</v>
      </c>
    </row>
    <row r="1303">
      <c r="A1303" s="8" t="s">
        <v>1680</v>
      </c>
      <c r="B1303" s="8" t="s">
        <v>2078</v>
      </c>
      <c r="C1303" s="8" t="s">
        <v>6362</v>
      </c>
      <c r="D1303" s="8">
        <v>71.0</v>
      </c>
    </row>
    <row r="1304">
      <c r="A1304" s="8" t="s">
        <v>1701</v>
      </c>
      <c r="B1304" s="8" t="s">
        <v>1700</v>
      </c>
      <c r="C1304" s="8" t="s">
        <v>6363</v>
      </c>
      <c r="D1304" s="8">
        <v>64.0</v>
      </c>
    </row>
    <row r="1305">
      <c r="A1305" s="8" t="s">
        <v>782</v>
      </c>
      <c r="B1305" s="8" t="s">
        <v>781</v>
      </c>
      <c r="C1305" s="8" t="s">
        <v>6373</v>
      </c>
      <c r="D1305" s="8">
        <v>68.0</v>
      </c>
    </row>
    <row r="1306">
      <c r="A1306" s="8" t="s">
        <v>782</v>
      </c>
      <c r="B1306" s="8" t="s">
        <v>99</v>
      </c>
      <c r="C1306" s="8" t="s">
        <v>6376</v>
      </c>
      <c r="D1306" s="8">
        <v>66.0</v>
      </c>
    </row>
    <row r="1307">
      <c r="A1307" s="8" t="s">
        <v>782</v>
      </c>
      <c r="B1307" s="8" t="s">
        <v>2875</v>
      </c>
      <c r="C1307" s="8" t="s">
        <v>6368</v>
      </c>
      <c r="D1307" s="8">
        <v>63.0</v>
      </c>
    </row>
    <row r="1308">
      <c r="A1308" s="8" t="s">
        <v>782</v>
      </c>
      <c r="B1308" s="8" t="s">
        <v>405</v>
      </c>
      <c r="C1308" s="8" t="s">
        <v>6370</v>
      </c>
      <c r="D1308" s="8">
        <v>69.0</v>
      </c>
    </row>
    <row r="1309">
      <c r="A1309" s="8" t="s">
        <v>782</v>
      </c>
      <c r="B1309" s="8" t="s">
        <v>1998</v>
      </c>
      <c r="C1309" s="8" t="s">
        <v>6345</v>
      </c>
      <c r="D1309" s="8">
        <v>68.0</v>
      </c>
    </row>
    <row r="1310">
      <c r="A1310" s="8" t="s">
        <v>782</v>
      </c>
      <c r="B1310" s="8" t="s">
        <v>3083</v>
      </c>
      <c r="C1310" s="8" t="s">
        <v>6360</v>
      </c>
      <c r="D1310" s="8">
        <v>71.0</v>
      </c>
    </row>
    <row r="1311">
      <c r="A1311" s="8" t="s">
        <v>1596</v>
      </c>
      <c r="B1311" s="8" t="s">
        <v>409</v>
      </c>
      <c r="C1311" s="8" t="s">
        <v>6350</v>
      </c>
      <c r="D1311" s="8">
        <v>70.0</v>
      </c>
    </row>
    <row r="1312">
      <c r="A1312" s="8" t="s">
        <v>2323</v>
      </c>
      <c r="B1312" s="8" t="s">
        <v>2322</v>
      </c>
      <c r="C1312" s="8" t="s">
        <v>6358</v>
      </c>
      <c r="D1312" s="8">
        <v>73.0</v>
      </c>
    </row>
    <row r="1313">
      <c r="A1313" s="8" t="s">
        <v>2931</v>
      </c>
      <c r="B1313" s="8" t="s">
        <v>579</v>
      </c>
      <c r="C1313" s="8" t="s">
        <v>6345</v>
      </c>
      <c r="D1313" s="8">
        <v>72.0</v>
      </c>
    </row>
    <row r="1314">
      <c r="A1314" s="8" t="s">
        <v>413</v>
      </c>
      <c r="B1314" s="8" t="s">
        <v>412</v>
      </c>
      <c r="C1314" s="8" t="s">
        <v>6376</v>
      </c>
      <c r="D1314" s="8">
        <v>84.0</v>
      </c>
    </row>
    <row r="1315">
      <c r="A1315" s="8" t="s">
        <v>413</v>
      </c>
      <c r="B1315" s="8" t="s">
        <v>412</v>
      </c>
      <c r="C1315" s="8" t="s">
        <v>6376</v>
      </c>
      <c r="D1315" s="8">
        <v>90.0</v>
      </c>
    </row>
    <row r="1316">
      <c r="A1316" s="8" t="s">
        <v>347</v>
      </c>
      <c r="B1316" s="8" t="s">
        <v>346</v>
      </c>
      <c r="C1316" s="8" t="s">
        <v>6378</v>
      </c>
      <c r="D1316" s="8">
        <v>77.0</v>
      </c>
    </row>
    <row r="1317">
      <c r="A1317" s="8" t="s">
        <v>347</v>
      </c>
      <c r="B1317" s="8" t="s">
        <v>35</v>
      </c>
      <c r="C1317" s="8" t="s">
        <v>6345</v>
      </c>
      <c r="D1317" s="8">
        <v>81.0</v>
      </c>
    </row>
    <row r="1318">
      <c r="A1318" s="8" t="s">
        <v>723</v>
      </c>
      <c r="B1318" s="8" t="s">
        <v>722</v>
      </c>
      <c r="C1318" s="8" t="s">
        <v>6372</v>
      </c>
      <c r="D1318" s="8">
        <v>69.0</v>
      </c>
    </row>
    <row r="1319">
      <c r="A1319" s="8" t="s">
        <v>2004</v>
      </c>
      <c r="B1319" s="8" t="s">
        <v>2003</v>
      </c>
      <c r="C1319" s="8" t="s">
        <v>6361</v>
      </c>
      <c r="D1319" s="8">
        <v>72.0</v>
      </c>
    </row>
    <row r="1320">
      <c r="A1320" s="8" t="s">
        <v>1134</v>
      </c>
      <c r="B1320" s="8" t="s">
        <v>1133</v>
      </c>
      <c r="C1320" s="8" t="s">
        <v>6349</v>
      </c>
      <c r="D1320" s="8">
        <v>81.0</v>
      </c>
    </row>
    <row r="1321">
      <c r="A1321" s="8" t="s">
        <v>961</v>
      </c>
      <c r="B1321" s="8" t="s">
        <v>455</v>
      </c>
      <c r="C1321" s="8" t="s">
        <v>6365</v>
      </c>
      <c r="D1321" s="8">
        <v>76.0</v>
      </c>
    </row>
    <row r="1322">
      <c r="A1322" s="8" t="s">
        <v>961</v>
      </c>
      <c r="B1322" s="8" t="s">
        <v>918</v>
      </c>
      <c r="C1322" s="8" t="s">
        <v>6373</v>
      </c>
      <c r="D1322" s="8">
        <v>82.0</v>
      </c>
    </row>
    <row r="1323">
      <c r="A1323" s="8" t="s">
        <v>961</v>
      </c>
      <c r="B1323" s="8" t="s">
        <v>960</v>
      </c>
      <c r="C1323" s="8" t="s">
        <v>6358</v>
      </c>
      <c r="D1323" s="8">
        <v>74.0</v>
      </c>
    </row>
    <row r="1324">
      <c r="A1324" s="8" t="s">
        <v>961</v>
      </c>
      <c r="B1324" s="8" t="s">
        <v>2090</v>
      </c>
      <c r="C1324" s="8" t="s">
        <v>6355</v>
      </c>
      <c r="D1324" s="8">
        <v>64.0</v>
      </c>
    </row>
    <row r="1325">
      <c r="A1325" s="8" t="s">
        <v>1696</v>
      </c>
      <c r="B1325" s="8" t="s">
        <v>1695</v>
      </c>
      <c r="C1325" s="8" t="s">
        <v>6360</v>
      </c>
      <c r="D1325" s="8">
        <v>78.0</v>
      </c>
    </row>
    <row r="1326">
      <c r="A1326" s="8" t="s">
        <v>1711</v>
      </c>
      <c r="B1326" s="8" t="s">
        <v>94</v>
      </c>
      <c r="C1326" s="8" t="s">
        <v>6354</v>
      </c>
      <c r="D1326" s="8">
        <v>72.0</v>
      </c>
    </row>
    <row r="1327">
      <c r="A1327" s="8" t="s">
        <v>1711</v>
      </c>
      <c r="B1327" s="8" t="s">
        <v>1710</v>
      </c>
      <c r="C1327" s="8" t="s">
        <v>6356</v>
      </c>
      <c r="D1327" s="8">
        <v>70.0</v>
      </c>
    </row>
    <row r="1328">
      <c r="A1328" s="8" t="s">
        <v>1711</v>
      </c>
      <c r="B1328" s="8" t="s">
        <v>1551</v>
      </c>
      <c r="C1328" s="8" t="s">
        <v>6369</v>
      </c>
      <c r="D1328" s="8">
        <v>67.0</v>
      </c>
    </row>
    <row r="1329">
      <c r="A1329" s="8" t="s">
        <v>345</v>
      </c>
      <c r="B1329" s="8" t="s">
        <v>344</v>
      </c>
      <c r="C1329" s="8" t="s">
        <v>6369</v>
      </c>
      <c r="D1329" s="8">
        <v>70.0</v>
      </c>
    </row>
    <row r="1330">
      <c r="A1330" s="8" t="s">
        <v>892</v>
      </c>
      <c r="B1330" s="8" t="s">
        <v>1149</v>
      </c>
      <c r="C1330" s="8" t="s">
        <v>6367</v>
      </c>
      <c r="D1330" s="8">
        <v>74.0</v>
      </c>
    </row>
    <row r="1331">
      <c r="A1331" s="8" t="s">
        <v>892</v>
      </c>
      <c r="B1331" s="8" t="s">
        <v>2644</v>
      </c>
      <c r="C1331" s="8" t="s">
        <v>6364</v>
      </c>
      <c r="D1331" s="8">
        <v>70.0</v>
      </c>
    </row>
    <row r="1332">
      <c r="A1332" s="8" t="s">
        <v>333</v>
      </c>
      <c r="B1332" s="8" t="s">
        <v>818</v>
      </c>
      <c r="C1332" s="8" t="s">
        <v>6364</v>
      </c>
      <c r="D1332" s="8">
        <v>79.0</v>
      </c>
    </row>
    <row r="1333">
      <c r="A1333" s="8" t="s">
        <v>333</v>
      </c>
      <c r="B1333" s="8" t="s">
        <v>1456</v>
      </c>
      <c r="C1333" s="8" t="s">
        <v>6353</v>
      </c>
      <c r="D1333" s="8">
        <v>76.0</v>
      </c>
    </row>
    <row r="1334">
      <c r="A1334" s="8" t="s">
        <v>333</v>
      </c>
      <c r="B1334" s="8" t="s">
        <v>2951</v>
      </c>
      <c r="C1334" s="8" t="s">
        <v>6361</v>
      </c>
      <c r="D1334" s="8">
        <v>68.0</v>
      </c>
    </row>
    <row r="1335">
      <c r="A1335" s="8" t="s">
        <v>333</v>
      </c>
      <c r="B1335" s="8" t="s">
        <v>655</v>
      </c>
      <c r="C1335" s="8" t="s">
        <v>6362</v>
      </c>
      <c r="D1335" s="8">
        <v>73.0</v>
      </c>
    </row>
    <row r="1336">
      <c r="A1336" s="8" t="s">
        <v>333</v>
      </c>
      <c r="B1336" s="8" t="s">
        <v>646</v>
      </c>
      <c r="C1336" s="8" t="s">
        <v>6363</v>
      </c>
      <c r="D1336" s="8">
        <v>66.0</v>
      </c>
    </row>
    <row r="1337">
      <c r="A1337" s="8" t="s">
        <v>333</v>
      </c>
      <c r="B1337" s="8" t="s">
        <v>332</v>
      </c>
      <c r="C1337" s="8" t="s">
        <v>6353</v>
      </c>
      <c r="D1337" s="8">
        <v>69.0</v>
      </c>
    </row>
    <row r="1338">
      <c r="A1338" s="8" t="s">
        <v>333</v>
      </c>
      <c r="B1338" s="8" t="s">
        <v>1038</v>
      </c>
      <c r="C1338" s="8" t="s">
        <v>6347</v>
      </c>
      <c r="D1338" s="8">
        <v>79.0</v>
      </c>
    </row>
    <row r="1339">
      <c r="A1339" s="8" t="s">
        <v>333</v>
      </c>
      <c r="B1339" s="8" t="s">
        <v>90</v>
      </c>
      <c r="C1339" s="8" t="s">
        <v>6355</v>
      </c>
      <c r="D1339" s="8">
        <v>84.0</v>
      </c>
    </row>
    <row r="1340">
      <c r="A1340" s="8" t="s">
        <v>333</v>
      </c>
      <c r="B1340" s="8" t="s">
        <v>1675</v>
      </c>
      <c r="C1340" s="8" t="s">
        <v>6367</v>
      </c>
      <c r="D1340" s="8">
        <v>73.0</v>
      </c>
    </row>
    <row r="1341">
      <c r="A1341" s="8" t="s">
        <v>2256</v>
      </c>
      <c r="B1341" s="8" t="s">
        <v>2255</v>
      </c>
      <c r="C1341" s="8" t="s">
        <v>6356</v>
      </c>
      <c r="D1341" s="8">
        <v>69.0</v>
      </c>
    </row>
    <row r="1342">
      <c r="A1342" s="8" t="s">
        <v>1105</v>
      </c>
      <c r="B1342" s="8" t="s">
        <v>487</v>
      </c>
      <c r="C1342" s="8" t="s">
        <v>6355</v>
      </c>
      <c r="D1342" s="8">
        <v>69.0</v>
      </c>
    </row>
    <row r="1343">
      <c r="A1343" s="8" t="s">
        <v>1105</v>
      </c>
      <c r="B1343" s="8" t="s">
        <v>1104</v>
      </c>
      <c r="C1343" s="8" t="s">
        <v>6365</v>
      </c>
      <c r="D1343" s="8">
        <v>70.0</v>
      </c>
    </row>
    <row r="1344">
      <c r="A1344" s="8" t="s">
        <v>1432</v>
      </c>
      <c r="B1344" s="8" t="s">
        <v>1431</v>
      </c>
      <c r="C1344" s="8" t="s">
        <v>6347</v>
      </c>
      <c r="D1344" s="8">
        <v>77.0</v>
      </c>
    </row>
    <row r="1345">
      <c r="A1345" s="8" t="s">
        <v>1830</v>
      </c>
      <c r="B1345" s="8" t="s">
        <v>1829</v>
      </c>
      <c r="C1345" s="8" t="s">
        <v>6376</v>
      </c>
      <c r="D1345" s="8">
        <v>63.0</v>
      </c>
    </row>
    <row r="1346">
      <c r="A1346" s="8" t="s">
        <v>721</v>
      </c>
      <c r="B1346" s="8" t="s">
        <v>2856</v>
      </c>
      <c r="C1346" s="8" t="s">
        <v>6353</v>
      </c>
      <c r="D1346" s="8">
        <v>76.0</v>
      </c>
    </row>
    <row r="1347">
      <c r="A1347" s="8" t="s">
        <v>721</v>
      </c>
      <c r="B1347" s="8" t="s">
        <v>834</v>
      </c>
      <c r="C1347" s="8" t="s">
        <v>6348</v>
      </c>
      <c r="D1347" s="8">
        <v>69.0</v>
      </c>
    </row>
    <row r="1348">
      <c r="A1348" s="8" t="s">
        <v>2362</v>
      </c>
      <c r="B1348" s="8" t="s">
        <v>389</v>
      </c>
      <c r="C1348" s="8" t="s">
        <v>6353</v>
      </c>
      <c r="D1348" s="8">
        <v>75.0</v>
      </c>
    </row>
    <row r="1349">
      <c r="A1349" s="8" t="s">
        <v>3139</v>
      </c>
      <c r="B1349" s="8" t="s">
        <v>78</v>
      </c>
      <c r="C1349" s="8" t="s">
        <v>6373</v>
      </c>
      <c r="D1349" s="8">
        <v>73.0</v>
      </c>
    </row>
    <row r="1350">
      <c r="A1350" s="8" t="s">
        <v>119</v>
      </c>
      <c r="B1350" s="8" t="s">
        <v>1006</v>
      </c>
      <c r="C1350" s="8" t="s">
        <v>6378</v>
      </c>
      <c r="D1350" s="8">
        <v>74.0</v>
      </c>
    </row>
    <row r="1351">
      <c r="A1351" s="8" t="s">
        <v>119</v>
      </c>
      <c r="B1351" s="8" t="s">
        <v>626</v>
      </c>
      <c r="C1351" s="8" t="s">
        <v>6377</v>
      </c>
      <c r="D1351" s="8">
        <v>83.0</v>
      </c>
    </row>
    <row r="1352">
      <c r="A1352" s="8" t="s">
        <v>119</v>
      </c>
      <c r="B1352" s="8" t="s">
        <v>1055</v>
      </c>
      <c r="C1352" s="8" t="s">
        <v>6359</v>
      </c>
      <c r="D1352" s="8">
        <v>72.0</v>
      </c>
    </row>
    <row r="1353">
      <c r="A1353" s="8" t="s">
        <v>119</v>
      </c>
      <c r="B1353" s="8" t="s">
        <v>274</v>
      </c>
      <c r="C1353" s="8" t="s">
        <v>6370</v>
      </c>
      <c r="D1353" s="8">
        <v>70.0</v>
      </c>
    </row>
    <row r="1354">
      <c r="A1354" s="8" t="s">
        <v>119</v>
      </c>
      <c r="B1354" s="8" t="s">
        <v>389</v>
      </c>
      <c r="C1354" s="8" t="s">
        <v>6358</v>
      </c>
      <c r="D1354" s="8">
        <v>73.0</v>
      </c>
    </row>
    <row r="1355">
      <c r="A1355" s="8" t="s">
        <v>119</v>
      </c>
      <c r="B1355" s="8" t="s">
        <v>2764</v>
      </c>
      <c r="C1355" s="8" t="s">
        <v>6354</v>
      </c>
      <c r="D1355" s="8">
        <v>75.0</v>
      </c>
    </row>
    <row r="1356">
      <c r="A1356" s="8" t="s">
        <v>119</v>
      </c>
      <c r="B1356" s="8" t="s">
        <v>118</v>
      </c>
      <c r="C1356" s="8" t="s">
        <v>6350</v>
      </c>
      <c r="D1356" s="8">
        <v>75.0</v>
      </c>
    </row>
    <row r="1357">
      <c r="A1357" s="8" t="s">
        <v>119</v>
      </c>
      <c r="B1357" s="8" t="s">
        <v>2950</v>
      </c>
      <c r="C1357" s="8" t="s">
        <v>6378</v>
      </c>
      <c r="D1357" s="8">
        <v>74.0</v>
      </c>
    </row>
    <row r="1358">
      <c r="A1358" s="8" t="s">
        <v>119</v>
      </c>
      <c r="B1358" s="8" t="s">
        <v>773</v>
      </c>
      <c r="C1358" s="8" t="s">
        <v>6354</v>
      </c>
      <c r="D1358" s="8">
        <v>73.0</v>
      </c>
    </row>
    <row r="1359">
      <c r="A1359" s="8" t="s">
        <v>119</v>
      </c>
      <c r="B1359" s="8" t="s">
        <v>126</v>
      </c>
      <c r="C1359" s="8" t="s">
        <v>6357</v>
      </c>
      <c r="D1359" s="8">
        <v>64.0</v>
      </c>
    </row>
    <row r="1360">
      <c r="A1360" s="8" t="s">
        <v>119</v>
      </c>
      <c r="B1360" s="8" t="s">
        <v>956</v>
      </c>
      <c r="C1360" s="8" t="s">
        <v>6355</v>
      </c>
      <c r="D1360" s="8">
        <v>76.0</v>
      </c>
    </row>
    <row r="1361">
      <c r="A1361" s="8" t="s">
        <v>119</v>
      </c>
      <c r="B1361" s="8" t="s">
        <v>1111</v>
      </c>
      <c r="C1361" s="8" t="s">
        <v>6354</v>
      </c>
      <c r="D1361" s="8">
        <v>84.0</v>
      </c>
    </row>
    <row r="1362">
      <c r="A1362" s="8" t="s">
        <v>1609</v>
      </c>
      <c r="B1362" s="8" t="s">
        <v>1608</v>
      </c>
      <c r="C1362" s="8" t="s">
        <v>6369</v>
      </c>
      <c r="D1362" s="8">
        <v>72.0</v>
      </c>
    </row>
    <row r="1363">
      <c r="A1363" s="8" t="s">
        <v>749</v>
      </c>
      <c r="B1363" s="8" t="s">
        <v>163</v>
      </c>
      <c r="C1363" s="8" t="s">
        <v>6376</v>
      </c>
      <c r="D1363" s="8">
        <v>88.0</v>
      </c>
    </row>
    <row r="1364">
      <c r="A1364" s="8" t="s">
        <v>2286</v>
      </c>
      <c r="B1364" s="8" t="s">
        <v>42</v>
      </c>
      <c r="C1364" s="8" t="s">
        <v>6345</v>
      </c>
      <c r="D1364" s="8">
        <v>70.0</v>
      </c>
    </row>
    <row r="1365">
      <c r="A1365" s="8" t="s">
        <v>462</v>
      </c>
      <c r="B1365" s="8" t="s">
        <v>461</v>
      </c>
      <c r="C1365" s="8" t="s">
        <v>6347</v>
      </c>
      <c r="D1365" s="8">
        <v>73.0</v>
      </c>
    </row>
    <row r="1366">
      <c r="A1366" s="8" t="s">
        <v>255</v>
      </c>
      <c r="B1366" s="8" t="s">
        <v>254</v>
      </c>
      <c r="C1366" s="8" t="s">
        <v>6365</v>
      </c>
      <c r="D1366" s="8">
        <v>81.0</v>
      </c>
    </row>
    <row r="1367">
      <c r="A1367" s="8" t="s">
        <v>1360</v>
      </c>
      <c r="B1367" s="8" t="s">
        <v>1359</v>
      </c>
      <c r="C1367" s="8" t="s">
        <v>6355</v>
      </c>
      <c r="D1367" s="8">
        <v>70.0</v>
      </c>
    </row>
    <row r="1368">
      <c r="A1368" s="8" t="s">
        <v>2905</v>
      </c>
      <c r="B1368" s="8" t="s">
        <v>2904</v>
      </c>
      <c r="C1368" s="8" t="s">
        <v>6364</v>
      </c>
      <c r="D1368" s="8">
        <v>69.0</v>
      </c>
    </row>
    <row r="1369">
      <c r="A1369" s="8" t="s">
        <v>2193</v>
      </c>
      <c r="B1369" s="8" t="s">
        <v>402</v>
      </c>
      <c r="C1369" s="8" t="s">
        <v>6376</v>
      </c>
      <c r="D1369" s="8">
        <v>78.0</v>
      </c>
    </row>
    <row r="1370">
      <c r="A1370" s="8" t="s">
        <v>2772</v>
      </c>
      <c r="B1370" s="8" t="s">
        <v>2771</v>
      </c>
      <c r="C1370" s="8" t="s">
        <v>6374</v>
      </c>
      <c r="D1370" s="8">
        <v>75.0</v>
      </c>
    </row>
    <row r="1371">
      <c r="A1371" s="8" t="s">
        <v>1756</v>
      </c>
      <c r="B1371" s="8" t="s">
        <v>3095</v>
      </c>
      <c r="C1371" s="8" t="s">
        <v>6356</v>
      </c>
      <c r="D1371" s="8">
        <v>79.0</v>
      </c>
    </row>
    <row r="1372">
      <c r="A1372" s="8" t="s">
        <v>1756</v>
      </c>
      <c r="B1372" s="8" t="s">
        <v>502</v>
      </c>
      <c r="C1372" s="8" t="s">
        <v>6352</v>
      </c>
      <c r="D1372" s="8">
        <v>67.0</v>
      </c>
    </row>
    <row r="1373">
      <c r="A1373" s="8" t="s">
        <v>2846</v>
      </c>
      <c r="B1373" s="8" t="s">
        <v>274</v>
      </c>
      <c r="C1373" s="8" t="s">
        <v>6361</v>
      </c>
      <c r="D1373" s="8">
        <v>62.0</v>
      </c>
    </row>
    <row r="1374">
      <c r="A1374" s="8" t="s">
        <v>3066</v>
      </c>
      <c r="B1374" s="8" t="s">
        <v>3065</v>
      </c>
      <c r="C1374" s="8" t="s">
        <v>6348</v>
      </c>
      <c r="D1374" s="8">
        <v>67.0</v>
      </c>
    </row>
    <row r="1375">
      <c r="A1375" s="8" t="s">
        <v>1699</v>
      </c>
      <c r="B1375" s="8" t="s">
        <v>877</v>
      </c>
      <c r="C1375" s="8" t="s">
        <v>6349</v>
      </c>
      <c r="D1375" s="8">
        <v>73.0</v>
      </c>
    </row>
    <row r="1376">
      <c r="A1376" s="8" t="s">
        <v>2767</v>
      </c>
      <c r="B1376" s="8" t="s">
        <v>2766</v>
      </c>
      <c r="C1376" s="8" t="s">
        <v>6358</v>
      </c>
      <c r="D1376" s="8">
        <v>64.0</v>
      </c>
    </row>
    <row r="1377">
      <c r="A1377" s="8" t="s">
        <v>1354</v>
      </c>
      <c r="B1377" s="8" t="s">
        <v>57</v>
      </c>
      <c r="C1377" s="8" t="s">
        <v>6360</v>
      </c>
      <c r="D1377" s="8">
        <v>82.0</v>
      </c>
    </row>
    <row r="1378">
      <c r="A1378" s="8" t="s">
        <v>214</v>
      </c>
      <c r="B1378" s="8" t="s">
        <v>449</v>
      </c>
      <c r="C1378" s="8" t="s">
        <v>6376</v>
      </c>
      <c r="D1378" s="8">
        <v>69.0</v>
      </c>
    </row>
    <row r="1379">
      <c r="A1379" s="8" t="s">
        <v>214</v>
      </c>
      <c r="B1379" s="8" t="s">
        <v>78</v>
      </c>
      <c r="C1379" s="8" t="s">
        <v>6345</v>
      </c>
      <c r="D1379" s="8">
        <v>79.0</v>
      </c>
    </row>
    <row r="1380">
      <c r="A1380" s="8" t="s">
        <v>214</v>
      </c>
      <c r="B1380" s="8" t="s">
        <v>918</v>
      </c>
      <c r="C1380" s="8" t="s">
        <v>6358</v>
      </c>
      <c r="D1380" s="8">
        <v>66.0</v>
      </c>
    </row>
    <row r="1381">
      <c r="A1381" s="8" t="s">
        <v>214</v>
      </c>
      <c r="B1381" s="8" t="s">
        <v>1494</v>
      </c>
      <c r="C1381" s="8" t="s">
        <v>6370</v>
      </c>
      <c r="D1381" s="8">
        <v>63.0</v>
      </c>
    </row>
    <row r="1382">
      <c r="A1382" s="8" t="s">
        <v>214</v>
      </c>
      <c r="B1382" s="8" t="s">
        <v>599</v>
      </c>
      <c r="C1382" s="8" t="s">
        <v>6365</v>
      </c>
      <c r="D1382" s="8">
        <v>83.0</v>
      </c>
    </row>
    <row r="1383">
      <c r="A1383" s="8" t="s">
        <v>214</v>
      </c>
      <c r="B1383" s="8" t="s">
        <v>766</v>
      </c>
      <c r="C1383" s="8" t="s">
        <v>6355</v>
      </c>
      <c r="D1383" s="8">
        <v>68.0</v>
      </c>
    </row>
    <row r="1384">
      <c r="A1384" s="8" t="s">
        <v>214</v>
      </c>
      <c r="B1384" s="8" t="s">
        <v>213</v>
      </c>
      <c r="C1384" s="8" t="s">
        <v>6369</v>
      </c>
      <c r="D1384" s="8">
        <v>70.0</v>
      </c>
    </row>
    <row r="1385">
      <c r="A1385" s="8" t="s">
        <v>214</v>
      </c>
      <c r="B1385" s="8" t="s">
        <v>1616</v>
      </c>
      <c r="C1385" s="8" t="s">
        <v>6365</v>
      </c>
      <c r="D1385" s="8">
        <v>69.0</v>
      </c>
    </row>
    <row r="1386">
      <c r="A1386" s="8" t="s">
        <v>214</v>
      </c>
      <c r="B1386" s="8" t="s">
        <v>729</v>
      </c>
      <c r="C1386" s="8" t="s">
        <v>6356</v>
      </c>
      <c r="D1386" s="8">
        <v>84.0</v>
      </c>
    </row>
    <row r="1387">
      <c r="A1387" s="8" t="s">
        <v>214</v>
      </c>
      <c r="B1387" s="8" t="s">
        <v>918</v>
      </c>
      <c r="C1387" s="8" t="s">
        <v>6359</v>
      </c>
      <c r="D1387" s="8">
        <v>80.0</v>
      </c>
    </row>
    <row r="1388">
      <c r="A1388" s="8" t="s">
        <v>214</v>
      </c>
      <c r="B1388" s="8" t="s">
        <v>3108</v>
      </c>
      <c r="C1388" s="8" t="s">
        <v>6362</v>
      </c>
      <c r="D1388" s="8">
        <v>78.0</v>
      </c>
    </row>
    <row r="1389">
      <c r="A1389" s="8" t="s">
        <v>214</v>
      </c>
      <c r="B1389" s="8" t="s">
        <v>1279</v>
      </c>
      <c r="C1389" s="8" t="s">
        <v>6363</v>
      </c>
      <c r="D1389" s="8">
        <v>64.0</v>
      </c>
    </row>
    <row r="1390">
      <c r="A1390" s="8" t="s">
        <v>214</v>
      </c>
      <c r="B1390" s="8" t="s">
        <v>2351</v>
      </c>
      <c r="C1390" s="8" t="s">
        <v>6344</v>
      </c>
      <c r="D1390" s="8">
        <v>78.0</v>
      </c>
    </row>
    <row r="1391">
      <c r="A1391" s="8" t="s">
        <v>214</v>
      </c>
      <c r="B1391" s="8" t="s">
        <v>395</v>
      </c>
      <c r="C1391" s="8" t="s">
        <v>6359</v>
      </c>
      <c r="D1391" s="8">
        <v>81.0</v>
      </c>
    </row>
    <row r="1392">
      <c r="A1392" s="8" t="s">
        <v>214</v>
      </c>
      <c r="B1392" s="8" t="s">
        <v>1875</v>
      </c>
      <c r="C1392" s="8" t="s">
        <v>6348</v>
      </c>
      <c r="D1392" s="8">
        <v>72.0</v>
      </c>
    </row>
    <row r="1393">
      <c r="A1393" s="8" t="s">
        <v>905</v>
      </c>
      <c r="B1393" s="8" t="s">
        <v>904</v>
      </c>
      <c r="C1393" s="8" t="s">
        <v>6355</v>
      </c>
      <c r="D1393" s="8">
        <v>76.0</v>
      </c>
    </row>
    <row r="1394">
      <c r="A1394" s="8" t="s">
        <v>1791</v>
      </c>
      <c r="B1394" s="8" t="s">
        <v>1790</v>
      </c>
      <c r="C1394" s="8" t="s">
        <v>6359</v>
      </c>
      <c r="D1394" s="8">
        <v>66.0</v>
      </c>
    </row>
    <row r="1395">
      <c r="A1395" s="8" t="s">
        <v>2282</v>
      </c>
      <c r="B1395" s="8" t="s">
        <v>1055</v>
      </c>
      <c r="C1395" s="8" t="s">
        <v>6344</v>
      </c>
      <c r="D1395" s="8">
        <v>70.0</v>
      </c>
    </row>
    <row r="1396">
      <c r="A1396" s="8" t="s">
        <v>6409</v>
      </c>
      <c r="B1396" s="8" t="s">
        <v>2932</v>
      </c>
      <c r="C1396" s="8" t="s">
        <v>6345</v>
      </c>
      <c r="D1396" s="8">
        <v>70.0</v>
      </c>
    </row>
    <row r="1397">
      <c r="A1397" s="8" t="s">
        <v>6409</v>
      </c>
      <c r="B1397" s="8" t="s">
        <v>511</v>
      </c>
      <c r="C1397" s="8" t="s">
        <v>6368</v>
      </c>
      <c r="D1397" s="8">
        <v>73.0</v>
      </c>
    </row>
    <row r="1398">
      <c r="A1398" s="8" t="s">
        <v>6410</v>
      </c>
      <c r="B1398" s="8" t="s">
        <v>2443</v>
      </c>
      <c r="C1398" s="8" t="s">
        <v>6368</v>
      </c>
      <c r="D1398" s="8">
        <v>68.0</v>
      </c>
    </row>
    <row r="1399">
      <c r="A1399" s="8" t="s">
        <v>5332</v>
      </c>
      <c r="B1399" s="8" t="s">
        <v>498</v>
      </c>
      <c r="C1399" s="8" t="s">
        <v>6374</v>
      </c>
      <c r="D1399" s="8">
        <v>76.0</v>
      </c>
    </row>
    <row r="1400">
      <c r="A1400" s="8" t="s">
        <v>824</v>
      </c>
      <c r="B1400" s="8" t="s">
        <v>823</v>
      </c>
      <c r="C1400" s="8" t="s">
        <v>6362</v>
      </c>
      <c r="D1400" s="8">
        <v>73.0</v>
      </c>
    </row>
    <row r="1401">
      <c r="A1401" s="8" t="s">
        <v>896</v>
      </c>
      <c r="B1401" s="8" t="s">
        <v>895</v>
      </c>
      <c r="C1401" s="8" t="s">
        <v>6378</v>
      </c>
      <c r="D1401" s="8">
        <v>77.0</v>
      </c>
    </row>
    <row r="1402">
      <c r="A1402" s="8" t="s">
        <v>2823</v>
      </c>
      <c r="B1402" s="8" t="s">
        <v>931</v>
      </c>
      <c r="C1402" s="8" t="s">
        <v>6369</v>
      </c>
      <c r="D1402" s="8">
        <v>72.0</v>
      </c>
    </row>
    <row r="1403">
      <c r="A1403" s="8" t="s">
        <v>2997</v>
      </c>
      <c r="B1403" s="8" t="s">
        <v>2996</v>
      </c>
      <c r="C1403" s="8" t="s">
        <v>6345</v>
      </c>
      <c r="D1403" s="8">
        <v>66.0</v>
      </c>
    </row>
    <row r="1404">
      <c r="A1404" s="8" t="s">
        <v>1042</v>
      </c>
      <c r="B1404" s="8" t="s">
        <v>1041</v>
      </c>
      <c r="C1404" s="8" t="s">
        <v>6356</v>
      </c>
      <c r="D1404" s="8">
        <v>76.0</v>
      </c>
    </row>
    <row r="1405">
      <c r="A1405" s="8" t="s">
        <v>761</v>
      </c>
      <c r="B1405" s="8" t="s">
        <v>402</v>
      </c>
      <c r="C1405" s="8" t="s">
        <v>6358</v>
      </c>
      <c r="D1405" s="8">
        <v>81.0</v>
      </c>
    </row>
    <row r="1406">
      <c r="A1406" s="8" t="s">
        <v>761</v>
      </c>
      <c r="B1406" s="8" t="s">
        <v>208</v>
      </c>
      <c r="C1406" s="8" t="s">
        <v>6367</v>
      </c>
      <c r="D1406" s="8">
        <v>75.0</v>
      </c>
    </row>
    <row r="1407">
      <c r="A1407" s="8" t="s">
        <v>761</v>
      </c>
      <c r="B1407" s="8" t="s">
        <v>402</v>
      </c>
      <c r="C1407" s="8" t="s">
        <v>6347</v>
      </c>
      <c r="D1407" s="8">
        <v>87.0</v>
      </c>
    </row>
    <row r="1408">
      <c r="A1408" s="8" t="s">
        <v>728</v>
      </c>
      <c r="B1408" s="8" t="s">
        <v>727</v>
      </c>
      <c r="C1408" s="8" t="s">
        <v>6357</v>
      </c>
      <c r="D1408" s="8">
        <v>85.0</v>
      </c>
    </row>
    <row r="1409">
      <c r="A1409" s="8" t="s">
        <v>728</v>
      </c>
      <c r="B1409" s="8" t="s">
        <v>727</v>
      </c>
      <c r="C1409" s="8" t="s">
        <v>6357</v>
      </c>
      <c r="D1409" s="8">
        <v>88.0</v>
      </c>
    </row>
    <row r="1410">
      <c r="A1410" s="8" t="s">
        <v>1879</v>
      </c>
      <c r="B1410" s="8" t="s">
        <v>732</v>
      </c>
      <c r="C1410" s="8" t="s">
        <v>6355</v>
      </c>
      <c r="D1410" s="8">
        <v>75.0</v>
      </c>
    </row>
    <row r="1411">
      <c r="A1411" s="8" t="s">
        <v>1409</v>
      </c>
      <c r="B1411" s="8" t="s">
        <v>498</v>
      </c>
      <c r="C1411" s="8" t="s">
        <v>6348</v>
      </c>
      <c r="D1411" s="8">
        <v>87.0</v>
      </c>
    </row>
    <row r="1412">
      <c r="A1412" s="8" t="s">
        <v>1409</v>
      </c>
      <c r="B1412" s="8" t="s">
        <v>498</v>
      </c>
      <c r="C1412" s="8" t="s">
        <v>6348</v>
      </c>
      <c r="D1412" s="8">
        <v>82.0</v>
      </c>
    </row>
    <row r="1413">
      <c r="A1413" s="8" t="s">
        <v>1226</v>
      </c>
      <c r="B1413" s="8" t="s">
        <v>284</v>
      </c>
      <c r="C1413" s="8" t="s">
        <v>6368</v>
      </c>
      <c r="D1413" s="8">
        <v>69.0</v>
      </c>
    </row>
    <row r="1414">
      <c r="A1414" s="8" t="s">
        <v>552</v>
      </c>
      <c r="B1414" s="8" t="s">
        <v>441</v>
      </c>
      <c r="C1414" s="8" t="s">
        <v>6355</v>
      </c>
      <c r="D1414" s="8">
        <v>76.0</v>
      </c>
    </row>
    <row r="1415">
      <c r="A1415" s="8" t="s">
        <v>552</v>
      </c>
      <c r="B1415" s="8" t="s">
        <v>389</v>
      </c>
      <c r="C1415" s="8" t="s">
        <v>6375</v>
      </c>
      <c r="D1415" s="8">
        <v>87.0</v>
      </c>
    </row>
    <row r="1416">
      <c r="A1416" s="8" t="s">
        <v>2002</v>
      </c>
      <c r="B1416" s="8" t="s">
        <v>2001</v>
      </c>
      <c r="C1416" s="8" t="s">
        <v>6365</v>
      </c>
      <c r="D1416" s="8">
        <v>73.0</v>
      </c>
    </row>
    <row r="1417">
      <c r="A1417" s="8" t="s">
        <v>1650</v>
      </c>
      <c r="B1417" s="8" t="s">
        <v>1649</v>
      </c>
      <c r="C1417" s="8" t="s">
        <v>6347</v>
      </c>
      <c r="D1417" s="8">
        <v>77.0</v>
      </c>
    </row>
    <row r="1418">
      <c r="A1418" s="8" t="s">
        <v>64</v>
      </c>
      <c r="B1418" s="8" t="s">
        <v>1560</v>
      </c>
      <c r="C1418" s="8" t="s">
        <v>6377</v>
      </c>
      <c r="D1418" s="8">
        <v>77.0</v>
      </c>
    </row>
    <row r="1419">
      <c r="A1419" s="8" t="s">
        <v>64</v>
      </c>
      <c r="B1419" s="8" t="s">
        <v>827</v>
      </c>
      <c r="C1419" s="8" t="s">
        <v>6349</v>
      </c>
      <c r="D1419" s="8">
        <v>78.0</v>
      </c>
    </row>
    <row r="1420">
      <c r="A1420" s="8" t="s">
        <v>64</v>
      </c>
      <c r="B1420" s="8" t="s">
        <v>63</v>
      </c>
      <c r="C1420" s="8" t="s">
        <v>6352</v>
      </c>
      <c r="D1420" s="8">
        <v>86.0</v>
      </c>
    </row>
    <row r="1421">
      <c r="A1421" s="8" t="s">
        <v>768</v>
      </c>
      <c r="B1421" s="8" t="s">
        <v>767</v>
      </c>
      <c r="C1421" s="8" t="s">
        <v>6365</v>
      </c>
      <c r="D1421" s="8">
        <v>80.0</v>
      </c>
    </row>
    <row r="1422">
      <c r="A1422" s="8" t="s">
        <v>1512</v>
      </c>
      <c r="B1422" s="8" t="s">
        <v>94</v>
      </c>
      <c r="C1422" s="8" t="s">
        <v>6358</v>
      </c>
      <c r="D1422" s="8">
        <v>63.0</v>
      </c>
    </row>
    <row r="1423">
      <c r="A1423" s="8" t="s">
        <v>673</v>
      </c>
      <c r="B1423" s="8" t="s">
        <v>672</v>
      </c>
      <c r="C1423" s="8" t="s">
        <v>6373</v>
      </c>
      <c r="D1423" s="8">
        <v>79.0</v>
      </c>
    </row>
    <row r="1424">
      <c r="A1424" s="8" t="s">
        <v>942</v>
      </c>
      <c r="B1424" s="8" t="s">
        <v>941</v>
      </c>
      <c r="C1424" s="8" t="s">
        <v>6368</v>
      </c>
      <c r="D1424" s="8">
        <v>62.0</v>
      </c>
    </row>
    <row r="1425">
      <c r="A1425" s="8" t="s">
        <v>507</v>
      </c>
      <c r="B1425" s="8" t="s">
        <v>506</v>
      </c>
      <c r="C1425" s="8" t="s">
        <v>6360</v>
      </c>
      <c r="D1425" s="8">
        <v>88.0</v>
      </c>
    </row>
    <row r="1426">
      <c r="A1426" s="8" t="s">
        <v>524</v>
      </c>
      <c r="B1426" s="8" t="s">
        <v>523</v>
      </c>
      <c r="C1426" s="8" t="s">
        <v>6362</v>
      </c>
      <c r="D1426" s="8">
        <v>73.0</v>
      </c>
    </row>
    <row r="1427">
      <c r="A1427" s="8" t="s">
        <v>524</v>
      </c>
      <c r="B1427" s="8" t="s">
        <v>62</v>
      </c>
      <c r="C1427" s="8" t="s">
        <v>6378</v>
      </c>
      <c r="D1427" s="8">
        <v>62.0</v>
      </c>
    </row>
    <row r="1428">
      <c r="A1428" s="8" t="s">
        <v>524</v>
      </c>
      <c r="B1428" s="8" t="s">
        <v>3091</v>
      </c>
      <c r="C1428" s="8" t="s">
        <v>6364</v>
      </c>
      <c r="D1428" s="8">
        <v>61.0</v>
      </c>
    </row>
    <row r="1429">
      <c r="A1429" s="8" t="s">
        <v>5363</v>
      </c>
      <c r="B1429" s="8" t="s">
        <v>90</v>
      </c>
      <c r="C1429" s="8" t="s">
        <v>6361</v>
      </c>
      <c r="D1429" s="8">
        <v>64.0</v>
      </c>
    </row>
    <row r="1430">
      <c r="A1430" s="8" t="s">
        <v>5365</v>
      </c>
      <c r="B1430" s="8" t="s">
        <v>646</v>
      </c>
      <c r="C1430" s="8" t="s">
        <v>6368</v>
      </c>
      <c r="D1430" s="8">
        <v>88.0</v>
      </c>
    </row>
    <row r="1431">
      <c r="A1431" s="8" t="s">
        <v>5365</v>
      </c>
      <c r="B1431" s="8" t="s">
        <v>646</v>
      </c>
      <c r="C1431" s="8" t="s">
        <v>6368</v>
      </c>
      <c r="D1431" s="8">
        <v>92.0</v>
      </c>
    </row>
    <row r="1432">
      <c r="A1432" s="8" t="s">
        <v>42</v>
      </c>
      <c r="B1432" s="8" t="s">
        <v>99</v>
      </c>
      <c r="C1432" s="8" t="s">
        <v>6376</v>
      </c>
      <c r="D1432" s="8">
        <v>67.0</v>
      </c>
    </row>
    <row r="1433">
      <c r="A1433" s="8" t="s">
        <v>2690</v>
      </c>
      <c r="B1433" s="8" t="s">
        <v>2689</v>
      </c>
      <c r="C1433" s="8" t="s">
        <v>6353</v>
      </c>
      <c r="D1433" s="8">
        <v>81.0</v>
      </c>
    </row>
    <row r="1434">
      <c r="A1434" s="8" t="s">
        <v>2273</v>
      </c>
      <c r="B1434" s="8" t="s">
        <v>3110</v>
      </c>
      <c r="C1434" s="8" t="s">
        <v>6374</v>
      </c>
      <c r="D1434" s="8">
        <v>76.0</v>
      </c>
    </row>
    <row r="1435">
      <c r="A1435" s="8" t="s">
        <v>1574</v>
      </c>
      <c r="B1435" s="8" t="s">
        <v>1573</v>
      </c>
      <c r="C1435" s="8" t="s">
        <v>6355</v>
      </c>
      <c r="D1435" s="8">
        <v>71.0</v>
      </c>
    </row>
    <row r="1436">
      <c r="A1436" s="8" t="s">
        <v>2151</v>
      </c>
      <c r="B1436" s="8" t="s">
        <v>2937</v>
      </c>
      <c r="C1436" s="8" t="s">
        <v>6372</v>
      </c>
      <c r="D1436" s="8">
        <v>69.0</v>
      </c>
    </row>
    <row r="1437">
      <c r="A1437" s="8" t="s">
        <v>2151</v>
      </c>
      <c r="B1437" s="8" t="s">
        <v>2943</v>
      </c>
      <c r="C1437" s="8" t="s">
        <v>6373</v>
      </c>
      <c r="D1437" s="8">
        <v>67.0</v>
      </c>
    </row>
    <row r="1438">
      <c r="A1438" s="8" t="s">
        <v>2151</v>
      </c>
      <c r="B1438" s="8" t="s">
        <v>1183</v>
      </c>
      <c r="C1438" s="8" t="s">
        <v>6376</v>
      </c>
      <c r="D1438" s="8">
        <v>71.0</v>
      </c>
    </row>
    <row r="1439">
      <c r="A1439" s="8" t="s">
        <v>2151</v>
      </c>
      <c r="B1439" s="8" t="s">
        <v>2150</v>
      </c>
      <c r="C1439" s="8" t="s">
        <v>6346</v>
      </c>
      <c r="D1439" s="8">
        <v>67.0</v>
      </c>
    </row>
    <row r="1440">
      <c r="A1440" s="8" t="s">
        <v>1172</v>
      </c>
      <c r="B1440" s="8" t="s">
        <v>510</v>
      </c>
      <c r="C1440" s="8" t="s">
        <v>6359</v>
      </c>
      <c r="D1440" s="8">
        <v>79.0</v>
      </c>
    </row>
    <row r="1441">
      <c r="A1441" s="8" t="s">
        <v>1172</v>
      </c>
      <c r="B1441" s="8" t="s">
        <v>1794</v>
      </c>
      <c r="C1441" s="8" t="s">
        <v>6346</v>
      </c>
      <c r="D1441" s="8">
        <v>84.0</v>
      </c>
    </row>
    <row r="1442">
      <c r="A1442" s="8" t="s">
        <v>1172</v>
      </c>
      <c r="B1442" s="8" t="s">
        <v>1336</v>
      </c>
      <c r="C1442" s="8" t="s">
        <v>6360</v>
      </c>
      <c r="D1442" s="8">
        <v>65.0</v>
      </c>
    </row>
    <row r="1443">
      <c r="A1443" s="8" t="s">
        <v>1172</v>
      </c>
      <c r="B1443" s="8" t="s">
        <v>78</v>
      </c>
      <c r="C1443" s="8" t="s">
        <v>6378</v>
      </c>
      <c r="D1443" s="8">
        <v>81.0</v>
      </c>
    </row>
    <row r="1444">
      <c r="A1444" s="8" t="s">
        <v>2721</v>
      </c>
      <c r="B1444" s="8" t="s">
        <v>2720</v>
      </c>
      <c r="C1444" s="8" t="s">
        <v>6347</v>
      </c>
      <c r="D1444" s="8">
        <v>71.0</v>
      </c>
    </row>
    <row r="1445">
      <c r="A1445" s="8" t="s">
        <v>580</v>
      </c>
      <c r="B1445" s="8" t="s">
        <v>579</v>
      </c>
      <c r="C1445" s="8" t="s">
        <v>6346</v>
      </c>
      <c r="D1445" s="8">
        <v>69.0</v>
      </c>
    </row>
    <row r="1446">
      <c r="A1446" s="8" t="s">
        <v>295</v>
      </c>
      <c r="B1446" s="8" t="s">
        <v>218</v>
      </c>
      <c r="C1446" s="8" t="s">
        <v>6345</v>
      </c>
      <c r="D1446" s="8">
        <v>83.0</v>
      </c>
    </row>
    <row r="1447">
      <c r="A1447" s="8" t="s">
        <v>1620</v>
      </c>
      <c r="B1447" s="8" t="s">
        <v>1619</v>
      </c>
      <c r="C1447" s="8" t="s">
        <v>6354</v>
      </c>
      <c r="D1447" s="8">
        <v>71.0</v>
      </c>
    </row>
    <row r="1448">
      <c r="A1448" s="8" t="s">
        <v>2752</v>
      </c>
      <c r="B1448" s="8" t="s">
        <v>361</v>
      </c>
      <c r="C1448" s="8" t="s">
        <v>6364</v>
      </c>
      <c r="D1448" s="8">
        <v>66.0</v>
      </c>
    </row>
    <row r="1449">
      <c r="A1449" s="8" t="s">
        <v>211</v>
      </c>
      <c r="B1449" s="8" t="s">
        <v>812</v>
      </c>
      <c r="C1449" s="8" t="s">
        <v>6353</v>
      </c>
      <c r="D1449" s="8">
        <v>75.0</v>
      </c>
    </row>
    <row r="1450">
      <c r="A1450" s="8" t="s">
        <v>94</v>
      </c>
      <c r="B1450" s="8" t="s">
        <v>1036</v>
      </c>
      <c r="C1450" s="8" t="s">
        <v>6374</v>
      </c>
      <c r="D1450" s="8">
        <v>62.0</v>
      </c>
    </row>
    <row r="1451">
      <c r="A1451" s="8" t="s">
        <v>391</v>
      </c>
      <c r="B1451" s="8" t="s">
        <v>91</v>
      </c>
      <c r="C1451" s="8" t="s">
        <v>6365</v>
      </c>
      <c r="D1451" s="8">
        <v>84.0</v>
      </c>
    </row>
    <row r="1452">
      <c r="A1452" s="8" t="s">
        <v>391</v>
      </c>
      <c r="B1452" s="8" t="s">
        <v>91</v>
      </c>
      <c r="C1452" s="8" t="s">
        <v>6365</v>
      </c>
      <c r="D1452" s="8">
        <v>88.0</v>
      </c>
    </row>
    <row r="1453">
      <c r="A1453" s="8" t="s">
        <v>222</v>
      </c>
      <c r="B1453" s="8" t="s">
        <v>62</v>
      </c>
      <c r="C1453" s="8" t="s">
        <v>6345</v>
      </c>
      <c r="D1453" s="8">
        <v>71.0</v>
      </c>
    </row>
    <row r="1454">
      <c r="A1454" s="8" t="s">
        <v>222</v>
      </c>
      <c r="B1454" s="8" t="s">
        <v>67</v>
      </c>
      <c r="C1454" s="8" t="s">
        <v>6354</v>
      </c>
      <c r="D1454" s="8">
        <v>81.0</v>
      </c>
    </row>
    <row r="1455">
      <c r="A1455" s="8" t="s">
        <v>222</v>
      </c>
      <c r="B1455" s="8" t="s">
        <v>221</v>
      </c>
      <c r="C1455" s="8" t="s">
        <v>6372</v>
      </c>
      <c r="D1455" s="8">
        <v>65.0</v>
      </c>
    </row>
    <row r="1456">
      <c r="A1456" s="8" t="s">
        <v>222</v>
      </c>
      <c r="B1456" s="8" t="s">
        <v>1745</v>
      </c>
      <c r="C1456" s="8" t="s">
        <v>6346</v>
      </c>
      <c r="D1456" s="8">
        <v>76.0</v>
      </c>
    </row>
    <row r="1457">
      <c r="A1457" s="8" t="s">
        <v>222</v>
      </c>
      <c r="B1457" s="8" t="s">
        <v>2029</v>
      </c>
      <c r="C1457" s="8" t="s">
        <v>6350</v>
      </c>
      <c r="D1457" s="8">
        <v>68.0</v>
      </c>
    </row>
    <row r="1458">
      <c r="A1458" s="8" t="s">
        <v>58</v>
      </c>
      <c r="B1458" s="8" t="s">
        <v>2925</v>
      </c>
      <c r="C1458" s="8" t="s">
        <v>6378</v>
      </c>
      <c r="D1458" s="8">
        <v>71.0</v>
      </c>
    </row>
    <row r="1459">
      <c r="A1459" s="8" t="s">
        <v>58</v>
      </c>
      <c r="B1459" s="8" t="s">
        <v>1430</v>
      </c>
      <c r="C1459" s="8" t="s">
        <v>6369</v>
      </c>
      <c r="D1459" s="8">
        <v>64.0</v>
      </c>
    </row>
    <row r="1460">
      <c r="A1460" s="8" t="s">
        <v>58</v>
      </c>
      <c r="B1460" s="8" t="s">
        <v>57</v>
      </c>
      <c r="C1460" s="8" t="s">
        <v>6345</v>
      </c>
      <c r="D1460" s="8">
        <v>77.0</v>
      </c>
    </row>
    <row r="1461">
      <c r="A1461" s="8" t="s">
        <v>58</v>
      </c>
      <c r="B1461" s="8" t="s">
        <v>1036</v>
      </c>
      <c r="C1461" s="8" t="s">
        <v>6344</v>
      </c>
      <c r="D1461" s="8">
        <v>88.0</v>
      </c>
    </row>
    <row r="1462">
      <c r="A1462" s="8" t="s">
        <v>58</v>
      </c>
      <c r="B1462" s="8" t="s">
        <v>1036</v>
      </c>
      <c r="C1462" s="8" t="s">
        <v>6349</v>
      </c>
      <c r="D1462" s="8">
        <v>83.0</v>
      </c>
    </row>
    <row r="1463">
      <c r="A1463" s="8" t="s">
        <v>58</v>
      </c>
      <c r="B1463" s="8" t="s">
        <v>1036</v>
      </c>
      <c r="C1463" s="8" t="s">
        <v>6367</v>
      </c>
      <c r="D1463" s="8">
        <v>82.0</v>
      </c>
    </row>
    <row r="1464">
      <c r="A1464" s="8" t="s">
        <v>58</v>
      </c>
      <c r="B1464" s="8" t="s">
        <v>1036</v>
      </c>
      <c r="C1464" s="8" t="s">
        <v>6344</v>
      </c>
      <c r="D1464" s="8">
        <v>84.0</v>
      </c>
    </row>
    <row r="1465">
      <c r="A1465" s="8" t="s">
        <v>58</v>
      </c>
      <c r="B1465" s="8" t="s">
        <v>248</v>
      </c>
      <c r="C1465" s="8" t="s">
        <v>6348</v>
      </c>
      <c r="D1465" s="8">
        <v>73.0</v>
      </c>
    </row>
    <row r="1466">
      <c r="A1466" s="8" t="s">
        <v>58</v>
      </c>
      <c r="B1466" s="8" t="s">
        <v>1036</v>
      </c>
      <c r="C1466" s="8" t="s">
        <v>6344</v>
      </c>
      <c r="D1466" s="8">
        <v>86.0</v>
      </c>
    </row>
    <row r="1467">
      <c r="A1467" s="8" t="s">
        <v>58</v>
      </c>
      <c r="B1467" s="8" t="s">
        <v>1036</v>
      </c>
      <c r="C1467" s="8" t="s">
        <v>6344</v>
      </c>
      <c r="D1467" s="8">
        <v>90.0</v>
      </c>
    </row>
    <row r="1468">
      <c r="A1468" s="8" t="s">
        <v>3150</v>
      </c>
      <c r="B1468" s="8" t="s">
        <v>1675</v>
      </c>
      <c r="C1468" s="8" t="s">
        <v>6352</v>
      </c>
      <c r="D1468" s="8">
        <v>63.0</v>
      </c>
    </row>
    <row r="1469">
      <c r="A1469" s="8" t="s">
        <v>747</v>
      </c>
      <c r="B1469" s="8" t="s">
        <v>194</v>
      </c>
      <c r="C1469" s="8" t="s">
        <v>6355</v>
      </c>
      <c r="D1469" s="8">
        <v>69.0</v>
      </c>
    </row>
    <row r="1470">
      <c r="A1470" s="8" t="s">
        <v>3131</v>
      </c>
      <c r="B1470" s="8" t="s">
        <v>617</v>
      </c>
      <c r="C1470" s="8" t="s">
        <v>6378</v>
      </c>
      <c r="D1470" s="8">
        <v>70.0</v>
      </c>
    </row>
    <row r="1471">
      <c r="A1471" s="8" t="s">
        <v>320</v>
      </c>
      <c r="B1471" s="8" t="s">
        <v>620</v>
      </c>
      <c r="C1471" s="8" t="s">
        <v>6353</v>
      </c>
      <c r="D1471" s="8">
        <v>77.0</v>
      </c>
    </row>
    <row r="1472">
      <c r="A1472" s="8" t="s">
        <v>320</v>
      </c>
      <c r="B1472" s="8" t="s">
        <v>2862</v>
      </c>
      <c r="C1472" s="8" t="s">
        <v>6364</v>
      </c>
      <c r="D1472" s="8">
        <v>60.0</v>
      </c>
    </row>
    <row r="1473">
      <c r="A1473" s="8" t="s">
        <v>320</v>
      </c>
      <c r="B1473" s="8" t="s">
        <v>319</v>
      </c>
      <c r="C1473" s="8" t="s">
        <v>6354</v>
      </c>
      <c r="D1473" s="8">
        <v>72.0</v>
      </c>
    </row>
    <row r="1474">
      <c r="A1474" s="8" t="s">
        <v>320</v>
      </c>
      <c r="B1474" s="8" t="s">
        <v>739</v>
      </c>
      <c r="C1474" s="8" t="s">
        <v>6369</v>
      </c>
      <c r="D1474" s="8">
        <v>89.0</v>
      </c>
    </row>
    <row r="1475">
      <c r="A1475" s="8" t="s">
        <v>320</v>
      </c>
      <c r="B1475" s="8" t="s">
        <v>2694</v>
      </c>
      <c r="C1475" s="8" t="s">
        <v>6362</v>
      </c>
      <c r="D1475" s="8">
        <v>70.0</v>
      </c>
    </row>
    <row r="1476">
      <c r="A1476" s="8" t="s">
        <v>320</v>
      </c>
      <c r="B1476" s="8" t="s">
        <v>1785</v>
      </c>
      <c r="C1476" s="8" t="s">
        <v>6354</v>
      </c>
      <c r="D1476" s="8">
        <v>70.0</v>
      </c>
    </row>
    <row r="1477">
      <c r="A1477" s="8" t="s">
        <v>6411</v>
      </c>
      <c r="B1477" s="8" t="s">
        <v>3076</v>
      </c>
      <c r="C1477" s="8" t="s">
        <v>6360</v>
      </c>
      <c r="D1477" s="8">
        <v>74.0</v>
      </c>
    </row>
    <row r="1478">
      <c r="A1478" s="8" t="s">
        <v>163</v>
      </c>
      <c r="B1478" s="8" t="s">
        <v>106</v>
      </c>
      <c r="C1478" s="8" t="s">
        <v>6365</v>
      </c>
      <c r="D1478" s="8">
        <v>69.0</v>
      </c>
    </row>
    <row r="1479">
      <c r="A1479" s="8" t="s">
        <v>163</v>
      </c>
      <c r="B1479" s="8" t="s">
        <v>1477</v>
      </c>
      <c r="C1479" s="8" t="s">
        <v>6375</v>
      </c>
      <c r="D1479" s="8">
        <v>72.0</v>
      </c>
    </row>
    <row r="1480">
      <c r="A1480" s="8" t="s">
        <v>1353</v>
      </c>
      <c r="B1480" s="8" t="s">
        <v>57</v>
      </c>
      <c r="C1480" s="8" t="s">
        <v>6365</v>
      </c>
      <c r="D1480" s="8">
        <v>70.0</v>
      </c>
    </row>
    <row r="1481">
      <c r="A1481" s="8" t="s">
        <v>2770</v>
      </c>
      <c r="B1481" s="8" t="s">
        <v>2769</v>
      </c>
      <c r="C1481" s="8" t="s">
        <v>6345</v>
      </c>
      <c r="D1481" s="8">
        <v>68.0</v>
      </c>
    </row>
    <row r="1482">
      <c r="A1482" s="8" t="s">
        <v>283</v>
      </c>
      <c r="B1482" s="8" t="s">
        <v>106</v>
      </c>
      <c r="C1482" s="8" t="s">
        <v>6357</v>
      </c>
      <c r="D1482" s="8">
        <v>71.0</v>
      </c>
    </row>
    <row r="1483">
      <c r="A1483" s="8" t="s">
        <v>283</v>
      </c>
      <c r="B1483" s="8" t="s">
        <v>427</v>
      </c>
      <c r="C1483" s="8" t="s">
        <v>6362</v>
      </c>
      <c r="D1483" s="8">
        <v>75.0</v>
      </c>
    </row>
    <row r="1484">
      <c r="A1484" s="8" t="s">
        <v>283</v>
      </c>
      <c r="B1484" s="8" t="s">
        <v>486</v>
      </c>
      <c r="C1484" s="8" t="s">
        <v>6354</v>
      </c>
      <c r="D1484" s="8">
        <v>84.0</v>
      </c>
    </row>
    <row r="1485">
      <c r="A1485" s="8" t="s">
        <v>283</v>
      </c>
      <c r="B1485" s="8" t="s">
        <v>99</v>
      </c>
      <c r="C1485" s="8" t="s">
        <v>6356</v>
      </c>
      <c r="D1485" s="8">
        <v>73.0</v>
      </c>
    </row>
    <row r="1486">
      <c r="A1486" s="8" t="s">
        <v>283</v>
      </c>
      <c r="B1486" s="8" t="s">
        <v>282</v>
      </c>
      <c r="C1486" s="8" t="s">
        <v>6375</v>
      </c>
      <c r="D1486" s="8">
        <v>86.0</v>
      </c>
    </row>
    <row r="1487">
      <c r="A1487" s="8" t="s">
        <v>1386</v>
      </c>
      <c r="B1487" s="8" t="s">
        <v>106</v>
      </c>
      <c r="C1487" s="8" t="s">
        <v>6362</v>
      </c>
      <c r="D1487" s="8">
        <v>79.0</v>
      </c>
    </row>
    <row r="1488">
      <c r="A1488" s="8" t="s">
        <v>1742</v>
      </c>
      <c r="B1488" s="8" t="s">
        <v>498</v>
      </c>
      <c r="C1488" s="8" t="s">
        <v>6374</v>
      </c>
      <c r="D1488" s="8">
        <v>70.0</v>
      </c>
    </row>
    <row r="1489">
      <c r="A1489" s="8" t="s">
        <v>549</v>
      </c>
      <c r="B1489" s="8" t="s">
        <v>2136</v>
      </c>
      <c r="C1489" s="8" t="s">
        <v>6361</v>
      </c>
      <c r="D1489" s="8">
        <v>76.0</v>
      </c>
    </row>
    <row r="1490">
      <c r="A1490" s="8" t="s">
        <v>549</v>
      </c>
      <c r="B1490" s="8" t="s">
        <v>2935</v>
      </c>
      <c r="C1490" s="8" t="s">
        <v>6371</v>
      </c>
      <c r="D1490" s="8">
        <v>76.0</v>
      </c>
    </row>
    <row r="1491">
      <c r="A1491" s="8" t="s">
        <v>549</v>
      </c>
      <c r="B1491" s="8" t="s">
        <v>946</v>
      </c>
      <c r="C1491" s="8" t="s">
        <v>6350</v>
      </c>
      <c r="D1491" s="8">
        <v>68.0</v>
      </c>
    </row>
    <row r="1492">
      <c r="A1492" s="8" t="s">
        <v>549</v>
      </c>
      <c r="B1492" s="8" t="s">
        <v>208</v>
      </c>
      <c r="C1492" s="8" t="s">
        <v>6346</v>
      </c>
      <c r="D1492" s="8">
        <v>82.0</v>
      </c>
    </row>
    <row r="1493">
      <c r="A1493" s="8" t="s">
        <v>3088</v>
      </c>
      <c r="B1493" s="8" t="s">
        <v>5428</v>
      </c>
      <c r="C1493" s="8" t="s">
        <v>6349</v>
      </c>
      <c r="D1493" s="8">
        <v>80.0</v>
      </c>
    </row>
    <row r="1494">
      <c r="A1494" s="8" t="s">
        <v>95</v>
      </c>
      <c r="B1494" s="8" t="s">
        <v>94</v>
      </c>
      <c r="C1494" s="8" t="s">
        <v>6355</v>
      </c>
      <c r="D1494" s="8">
        <v>78.0</v>
      </c>
    </row>
    <row r="1495">
      <c r="A1495" s="8" t="s">
        <v>505</v>
      </c>
      <c r="B1495" s="8" t="s">
        <v>504</v>
      </c>
      <c r="C1495" s="8" t="s">
        <v>6346</v>
      </c>
      <c r="D1495" s="8">
        <v>80.0</v>
      </c>
    </row>
    <row r="1496">
      <c r="A1496" s="8" t="s">
        <v>505</v>
      </c>
      <c r="B1496" s="8" t="s">
        <v>1687</v>
      </c>
      <c r="C1496" s="8" t="s">
        <v>6376</v>
      </c>
      <c r="D1496" s="8">
        <v>70.0</v>
      </c>
    </row>
    <row r="1497">
      <c r="A1497" s="8" t="s">
        <v>505</v>
      </c>
      <c r="B1497" s="8" t="s">
        <v>89</v>
      </c>
      <c r="C1497" s="8" t="s">
        <v>6356</v>
      </c>
      <c r="D1497" s="8">
        <v>65.0</v>
      </c>
    </row>
    <row r="1498">
      <c r="A1498" s="8" t="s">
        <v>247</v>
      </c>
      <c r="B1498" s="8" t="s">
        <v>389</v>
      </c>
      <c r="C1498" s="8" t="s">
        <v>6371</v>
      </c>
      <c r="D1498" s="8">
        <v>69.0</v>
      </c>
    </row>
    <row r="1499">
      <c r="A1499" s="8" t="s">
        <v>247</v>
      </c>
      <c r="B1499" s="8" t="s">
        <v>609</v>
      </c>
      <c r="C1499" s="8" t="s">
        <v>6368</v>
      </c>
      <c r="D1499" s="8">
        <v>63.0</v>
      </c>
    </row>
    <row r="1500">
      <c r="A1500" s="8" t="s">
        <v>247</v>
      </c>
      <c r="B1500" s="8" t="s">
        <v>2807</v>
      </c>
      <c r="C1500" s="8" t="s">
        <v>6376</v>
      </c>
      <c r="D1500" s="8">
        <v>78.0</v>
      </c>
    </row>
    <row r="1501">
      <c r="A1501" s="8" t="s">
        <v>247</v>
      </c>
      <c r="B1501" s="8" t="s">
        <v>44</v>
      </c>
      <c r="C1501" s="8" t="s">
        <v>6357</v>
      </c>
      <c r="D1501" s="8">
        <v>85.0</v>
      </c>
    </row>
    <row r="1502">
      <c r="A1502" s="8" t="s">
        <v>247</v>
      </c>
      <c r="B1502" s="8" t="s">
        <v>2833</v>
      </c>
      <c r="C1502" s="8" t="s">
        <v>6358</v>
      </c>
      <c r="D1502" s="8">
        <v>62.0</v>
      </c>
    </row>
    <row r="1503">
      <c r="A1503" s="8" t="s">
        <v>247</v>
      </c>
      <c r="B1503" s="8" t="s">
        <v>766</v>
      </c>
      <c r="C1503" s="8" t="s">
        <v>6345</v>
      </c>
      <c r="D1503" s="8">
        <v>67.0</v>
      </c>
    </row>
    <row r="1504">
      <c r="A1504" s="8" t="s">
        <v>247</v>
      </c>
      <c r="B1504" s="8" t="s">
        <v>3060</v>
      </c>
      <c r="C1504" s="8" t="s">
        <v>6371</v>
      </c>
      <c r="D1504" s="8">
        <v>70.0</v>
      </c>
    </row>
    <row r="1505">
      <c r="A1505" s="8" t="s">
        <v>247</v>
      </c>
      <c r="B1505" s="8" t="s">
        <v>2742</v>
      </c>
      <c r="C1505" s="8" t="s">
        <v>6359</v>
      </c>
      <c r="D1505" s="8">
        <v>73.0</v>
      </c>
    </row>
    <row r="1506">
      <c r="A1506" s="8" t="s">
        <v>247</v>
      </c>
      <c r="B1506" s="8" t="s">
        <v>3019</v>
      </c>
      <c r="C1506" s="8" t="s">
        <v>6363</v>
      </c>
      <c r="D1506" s="8">
        <v>62.0</v>
      </c>
    </row>
    <row r="1507">
      <c r="A1507" s="8" t="s">
        <v>247</v>
      </c>
      <c r="B1507" s="8" t="s">
        <v>396</v>
      </c>
      <c r="C1507" s="8" t="s">
        <v>6374</v>
      </c>
      <c r="D1507" s="8">
        <v>68.0</v>
      </c>
    </row>
    <row r="1508">
      <c r="A1508" s="8" t="s">
        <v>247</v>
      </c>
      <c r="B1508" s="8" t="s">
        <v>313</v>
      </c>
      <c r="C1508" s="8" t="s">
        <v>6365</v>
      </c>
      <c r="D1508" s="8">
        <v>67.0</v>
      </c>
    </row>
    <row r="1509">
      <c r="A1509" s="8" t="s">
        <v>247</v>
      </c>
      <c r="B1509" s="8" t="s">
        <v>1246</v>
      </c>
      <c r="C1509" s="8" t="s">
        <v>6378</v>
      </c>
      <c r="D1509" s="8">
        <v>75.0</v>
      </c>
    </row>
    <row r="1510">
      <c r="A1510" s="8" t="s">
        <v>247</v>
      </c>
      <c r="B1510" s="8" t="s">
        <v>246</v>
      </c>
      <c r="C1510" s="8" t="s">
        <v>6362</v>
      </c>
      <c r="D1510" s="8">
        <v>82.0</v>
      </c>
    </row>
    <row r="1511">
      <c r="A1511" s="8" t="s">
        <v>247</v>
      </c>
      <c r="B1511" s="8" t="s">
        <v>1864</v>
      </c>
      <c r="C1511" s="8" t="s">
        <v>6373</v>
      </c>
      <c r="D1511" s="8">
        <v>65.0</v>
      </c>
    </row>
    <row r="1512">
      <c r="A1512" s="8" t="s">
        <v>247</v>
      </c>
      <c r="B1512" s="8" t="s">
        <v>267</v>
      </c>
      <c r="C1512" s="8" t="s">
        <v>6368</v>
      </c>
      <c r="D1512" s="8">
        <v>85.0</v>
      </c>
    </row>
    <row r="1513">
      <c r="A1513" s="8" t="s">
        <v>247</v>
      </c>
      <c r="B1513" s="8" t="s">
        <v>78</v>
      </c>
      <c r="C1513" s="8" t="s">
        <v>6349</v>
      </c>
      <c r="D1513" s="8">
        <v>81.0</v>
      </c>
    </row>
    <row r="1514">
      <c r="A1514" s="8" t="s">
        <v>247</v>
      </c>
      <c r="B1514" s="8" t="s">
        <v>78</v>
      </c>
      <c r="C1514" s="8" t="s">
        <v>6364</v>
      </c>
      <c r="D1514" s="8">
        <v>73.0</v>
      </c>
    </row>
    <row r="1515">
      <c r="A1515" s="8" t="s">
        <v>247</v>
      </c>
      <c r="B1515" s="8" t="s">
        <v>1757</v>
      </c>
      <c r="C1515" s="8" t="s">
        <v>6349</v>
      </c>
      <c r="D1515" s="8">
        <v>77.0</v>
      </c>
    </row>
    <row r="1516">
      <c r="A1516" s="8" t="s">
        <v>247</v>
      </c>
      <c r="B1516" s="8" t="s">
        <v>1525</v>
      </c>
      <c r="C1516" s="8" t="s">
        <v>6354</v>
      </c>
      <c r="D1516" s="8">
        <v>81.0</v>
      </c>
    </row>
    <row r="1517">
      <c r="A1517" s="8" t="s">
        <v>247</v>
      </c>
      <c r="B1517" s="8" t="s">
        <v>460</v>
      </c>
      <c r="C1517" s="8" t="s">
        <v>6368</v>
      </c>
      <c r="D1517" s="8">
        <v>67.0</v>
      </c>
    </row>
    <row r="1518">
      <c r="A1518" s="8" t="s">
        <v>206</v>
      </c>
      <c r="B1518" s="8" t="s">
        <v>205</v>
      </c>
      <c r="C1518" s="8" t="s">
        <v>6361</v>
      </c>
      <c r="D1518" s="8">
        <v>76.0</v>
      </c>
    </row>
    <row r="1519">
      <c r="A1519" s="8" t="s">
        <v>236</v>
      </c>
      <c r="B1519" s="8" t="s">
        <v>235</v>
      </c>
      <c r="C1519" s="8" t="s">
        <v>6369</v>
      </c>
      <c r="D1519" s="8">
        <v>75.0</v>
      </c>
    </row>
    <row r="1520">
      <c r="A1520" s="8" t="s">
        <v>236</v>
      </c>
      <c r="B1520" s="8" t="s">
        <v>2776</v>
      </c>
      <c r="C1520" s="8" t="s">
        <v>6376</v>
      </c>
      <c r="D1520" s="8">
        <v>75.0</v>
      </c>
    </row>
    <row r="1521">
      <c r="A1521" s="8" t="s">
        <v>471</v>
      </c>
      <c r="B1521" s="8" t="s">
        <v>2843</v>
      </c>
      <c r="C1521" s="8" t="s">
        <v>6348</v>
      </c>
      <c r="D1521" s="8">
        <v>73.0</v>
      </c>
    </row>
    <row r="1522">
      <c r="A1522" s="8" t="s">
        <v>471</v>
      </c>
      <c r="B1522" s="8" t="s">
        <v>470</v>
      </c>
      <c r="C1522" s="8" t="s">
        <v>6357</v>
      </c>
      <c r="D1522" s="8">
        <v>80.0</v>
      </c>
    </row>
    <row r="1523">
      <c r="A1523" s="8" t="s">
        <v>471</v>
      </c>
      <c r="B1523" s="8" t="s">
        <v>588</v>
      </c>
      <c r="C1523" s="8" t="s">
        <v>6356</v>
      </c>
      <c r="D1523" s="8">
        <v>71.0</v>
      </c>
    </row>
    <row r="1524">
      <c r="A1524" s="8" t="s">
        <v>471</v>
      </c>
      <c r="B1524" s="8" t="s">
        <v>927</v>
      </c>
      <c r="C1524" s="8" t="s">
        <v>6361</v>
      </c>
      <c r="D1524" s="8">
        <v>64.0</v>
      </c>
    </row>
    <row r="1525">
      <c r="A1525" s="8" t="s">
        <v>471</v>
      </c>
      <c r="B1525" s="8" t="s">
        <v>638</v>
      </c>
      <c r="C1525" s="8" t="s">
        <v>6367</v>
      </c>
      <c r="D1525" s="8">
        <v>73.0</v>
      </c>
    </row>
    <row r="1526">
      <c r="A1526" s="8" t="s">
        <v>471</v>
      </c>
      <c r="B1526" s="8" t="s">
        <v>3118</v>
      </c>
      <c r="C1526" s="8" t="s">
        <v>6350</v>
      </c>
      <c r="D1526" s="8">
        <v>71.0</v>
      </c>
    </row>
    <row r="1527">
      <c r="A1527" s="8" t="s">
        <v>471</v>
      </c>
      <c r="B1527" s="8" t="s">
        <v>2858</v>
      </c>
      <c r="C1527" s="8" t="s">
        <v>6349</v>
      </c>
      <c r="D1527" s="8">
        <v>83.0</v>
      </c>
    </row>
    <row r="1528">
      <c r="A1528" s="8" t="s">
        <v>695</v>
      </c>
      <c r="B1528" s="8" t="s">
        <v>3130</v>
      </c>
      <c r="C1528" s="8" t="s">
        <v>6375</v>
      </c>
      <c r="D1528" s="8">
        <v>71.0</v>
      </c>
    </row>
    <row r="1529">
      <c r="A1529" s="8" t="s">
        <v>695</v>
      </c>
      <c r="B1529" s="8" t="s">
        <v>325</v>
      </c>
      <c r="C1529" s="8" t="s">
        <v>6352</v>
      </c>
      <c r="D1529" s="8">
        <v>74.0</v>
      </c>
    </row>
    <row r="1530">
      <c r="A1530" s="8" t="s">
        <v>2143</v>
      </c>
      <c r="B1530" s="8" t="s">
        <v>106</v>
      </c>
      <c r="C1530" s="8" t="s">
        <v>6359</v>
      </c>
      <c r="D1530" s="8">
        <v>71.0</v>
      </c>
    </row>
    <row r="1531">
      <c r="A1531" s="8" t="s">
        <v>2143</v>
      </c>
      <c r="B1531" s="8" t="s">
        <v>2142</v>
      </c>
      <c r="C1531" s="8" t="s">
        <v>6367</v>
      </c>
      <c r="D1531" s="8">
        <v>79.0</v>
      </c>
    </row>
    <row r="1532">
      <c r="A1532" s="8" t="s">
        <v>2143</v>
      </c>
      <c r="B1532" s="8" t="s">
        <v>163</v>
      </c>
      <c r="C1532" s="8" t="s">
        <v>6361</v>
      </c>
      <c r="D1532" s="8">
        <v>74.0</v>
      </c>
    </row>
    <row r="1533">
      <c r="A1533" s="8" t="s">
        <v>965</v>
      </c>
      <c r="B1533" s="8" t="s">
        <v>42</v>
      </c>
      <c r="C1533" s="8" t="s">
        <v>6346</v>
      </c>
      <c r="D1533" s="8">
        <v>78.0</v>
      </c>
    </row>
    <row r="1534">
      <c r="A1534" s="8" t="s">
        <v>2814</v>
      </c>
      <c r="B1534" s="8" t="s">
        <v>703</v>
      </c>
      <c r="C1534" s="8" t="s">
        <v>6347</v>
      </c>
      <c r="D1534" s="8">
        <v>66.0</v>
      </c>
    </row>
    <row r="1535">
      <c r="A1535" s="8" t="s">
        <v>2172</v>
      </c>
      <c r="B1535" s="8" t="s">
        <v>42</v>
      </c>
      <c r="C1535" s="8" t="s">
        <v>6376</v>
      </c>
      <c r="D1535" s="8">
        <v>69.0</v>
      </c>
    </row>
    <row r="1536">
      <c r="A1536" s="8" t="s">
        <v>3140</v>
      </c>
      <c r="B1536" s="8" t="s">
        <v>451</v>
      </c>
      <c r="C1536" s="8" t="s">
        <v>6375</v>
      </c>
      <c r="D1536" s="8">
        <v>74.0</v>
      </c>
    </row>
    <row r="1537">
      <c r="A1537" s="8" t="s">
        <v>2852</v>
      </c>
      <c r="B1537" s="8" t="s">
        <v>2851</v>
      </c>
      <c r="C1537" s="8" t="s">
        <v>6374</v>
      </c>
      <c r="D1537" s="8">
        <v>69.0</v>
      </c>
    </row>
    <row r="1538">
      <c r="A1538" s="8" t="s">
        <v>2881</v>
      </c>
      <c r="B1538" s="8" t="s">
        <v>956</v>
      </c>
      <c r="C1538" s="8" t="s">
        <v>6363</v>
      </c>
      <c r="D1538" s="8">
        <v>87.0</v>
      </c>
    </row>
    <row r="1539">
      <c r="A1539" s="8" t="s">
        <v>2007</v>
      </c>
      <c r="B1539" s="8" t="s">
        <v>1055</v>
      </c>
      <c r="C1539" s="8" t="s">
        <v>6374</v>
      </c>
      <c r="D1539" s="8">
        <v>65.0</v>
      </c>
    </row>
    <row r="1540">
      <c r="A1540" s="8" t="s">
        <v>2007</v>
      </c>
      <c r="B1540" s="8" t="s">
        <v>78</v>
      </c>
      <c r="C1540" s="8" t="s">
        <v>6377</v>
      </c>
      <c r="D1540" s="8">
        <v>70.0</v>
      </c>
    </row>
    <row r="1541">
      <c r="A1541" s="8" t="s">
        <v>2007</v>
      </c>
      <c r="B1541" s="8" t="s">
        <v>2006</v>
      </c>
      <c r="C1541" s="8" t="s">
        <v>6355</v>
      </c>
      <c r="D1541" s="8">
        <v>73.0</v>
      </c>
    </row>
    <row r="1542">
      <c r="A1542" s="8" t="s">
        <v>1733</v>
      </c>
      <c r="B1542" s="8" t="s">
        <v>726</v>
      </c>
      <c r="C1542" s="8" t="s">
        <v>6357</v>
      </c>
      <c r="D1542" s="8">
        <v>65.0</v>
      </c>
    </row>
    <row r="1543">
      <c r="A1543" s="8" t="s">
        <v>914</v>
      </c>
      <c r="B1543" s="8" t="s">
        <v>913</v>
      </c>
      <c r="C1543" s="8" t="s">
        <v>6362</v>
      </c>
      <c r="D1543" s="8">
        <v>75.0</v>
      </c>
    </row>
    <row r="1544">
      <c r="A1544" s="8" t="s">
        <v>914</v>
      </c>
      <c r="B1544" s="8" t="s">
        <v>1471</v>
      </c>
      <c r="C1544" s="8" t="s">
        <v>6369</v>
      </c>
      <c r="D1544" s="8">
        <v>67.0</v>
      </c>
    </row>
    <row r="1545">
      <c r="A1545" s="8" t="s">
        <v>699</v>
      </c>
      <c r="B1545" s="8" t="s">
        <v>520</v>
      </c>
      <c r="C1545" s="8" t="s">
        <v>6356</v>
      </c>
      <c r="D1545" s="8">
        <v>79.0</v>
      </c>
    </row>
    <row r="1546">
      <c r="A1546" s="8" t="s">
        <v>131</v>
      </c>
      <c r="B1546" s="8" t="s">
        <v>130</v>
      </c>
      <c r="C1546" s="8" t="s">
        <v>6367</v>
      </c>
      <c r="D1546" s="8">
        <v>86.0</v>
      </c>
    </row>
    <row r="1547">
      <c r="A1547" s="8" t="s">
        <v>131</v>
      </c>
      <c r="B1547" s="8" t="s">
        <v>130</v>
      </c>
      <c r="C1547" s="8" t="s">
        <v>6367</v>
      </c>
      <c r="D1547" s="8">
        <v>89.0</v>
      </c>
    </row>
    <row r="1548">
      <c r="A1548" s="8" t="s">
        <v>405</v>
      </c>
      <c r="B1548" s="8" t="s">
        <v>404</v>
      </c>
      <c r="C1548" s="8" t="s">
        <v>6345</v>
      </c>
      <c r="D1548" s="8">
        <v>72.0</v>
      </c>
    </row>
    <row r="1549">
      <c r="A1549" s="8" t="s">
        <v>2910</v>
      </c>
      <c r="B1549" s="8" t="s">
        <v>1237</v>
      </c>
      <c r="C1549" s="8" t="s">
        <v>6376</v>
      </c>
      <c r="D1549" s="8">
        <v>81.0</v>
      </c>
    </row>
    <row r="1550">
      <c r="A1550" s="8" t="s">
        <v>2910</v>
      </c>
      <c r="B1550" s="8" t="s">
        <v>1237</v>
      </c>
      <c r="C1550" s="8" t="s">
        <v>6376</v>
      </c>
      <c r="D1550" s="8">
        <v>86.0</v>
      </c>
    </row>
    <row r="1551">
      <c r="A1551" s="8" t="s">
        <v>2170</v>
      </c>
      <c r="B1551" s="8" t="s">
        <v>2169</v>
      </c>
      <c r="C1551" s="8" t="s">
        <v>6349</v>
      </c>
      <c r="D1551" s="8">
        <v>86.0</v>
      </c>
    </row>
    <row r="1552">
      <c r="A1552" s="8" t="s">
        <v>2707</v>
      </c>
      <c r="B1552" s="8" t="s">
        <v>2064</v>
      </c>
      <c r="C1552" s="8" t="s">
        <v>6376</v>
      </c>
      <c r="D1552" s="8">
        <v>78.0</v>
      </c>
    </row>
    <row r="1553">
      <c r="A1553" s="8" t="s">
        <v>1948</v>
      </c>
      <c r="B1553" s="8" t="s">
        <v>1947</v>
      </c>
      <c r="C1553" s="8" t="s">
        <v>6358</v>
      </c>
      <c r="D1553" s="8">
        <v>70.0</v>
      </c>
    </row>
    <row r="1554">
      <c r="A1554" s="8" t="s">
        <v>3070</v>
      </c>
      <c r="B1554" s="8" t="s">
        <v>3069</v>
      </c>
      <c r="C1554" s="8" t="s">
        <v>6370</v>
      </c>
      <c r="D1554" s="8">
        <v>72.0</v>
      </c>
    </row>
    <row r="1555">
      <c r="A1555" s="8" t="s">
        <v>556</v>
      </c>
      <c r="B1555" s="8" t="s">
        <v>2870</v>
      </c>
      <c r="C1555" s="8" t="s">
        <v>6353</v>
      </c>
      <c r="D1555" s="8">
        <v>82.0</v>
      </c>
    </row>
    <row r="1556">
      <c r="A1556" s="8" t="s">
        <v>556</v>
      </c>
      <c r="B1556" s="8" t="s">
        <v>1183</v>
      </c>
      <c r="C1556" s="8" t="s">
        <v>6372</v>
      </c>
      <c r="D1556" s="8">
        <v>71.0</v>
      </c>
    </row>
    <row r="1557">
      <c r="A1557" s="8" t="s">
        <v>1165</v>
      </c>
      <c r="B1557" s="8" t="s">
        <v>1164</v>
      </c>
      <c r="C1557" s="8" t="s">
        <v>6355</v>
      </c>
      <c r="D1557" s="8">
        <v>66.0</v>
      </c>
    </row>
    <row r="1558">
      <c r="A1558" s="8" t="s">
        <v>111</v>
      </c>
      <c r="B1558" s="8" t="s">
        <v>110</v>
      </c>
      <c r="C1558" s="8" t="s">
        <v>6355</v>
      </c>
      <c r="D1558" s="8">
        <v>78.0</v>
      </c>
    </row>
    <row r="1559">
      <c r="A1559" s="8" t="s">
        <v>111</v>
      </c>
      <c r="B1559" s="8" t="s">
        <v>154</v>
      </c>
      <c r="C1559" s="8" t="s">
        <v>6370</v>
      </c>
      <c r="D1559" s="8">
        <v>76.0</v>
      </c>
    </row>
    <row r="1560">
      <c r="A1560" s="8" t="s">
        <v>111</v>
      </c>
      <c r="B1560" s="8" t="s">
        <v>1601</v>
      </c>
      <c r="C1560" s="8" t="s">
        <v>6350</v>
      </c>
      <c r="D1560" s="8">
        <v>68.0</v>
      </c>
    </row>
    <row r="1561">
      <c r="A1561" s="8" t="s">
        <v>111</v>
      </c>
      <c r="B1561" s="8" t="s">
        <v>599</v>
      </c>
      <c r="C1561" s="8" t="s">
        <v>6368</v>
      </c>
      <c r="D1561" s="8">
        <v>74.0</v>
      </c>
    </row>
    <row r="1562">
      <c r="A1562" s="8" t="s">
        <v>111</v>
      </c>
      <c r="B1562" s="8" t="s">
        <v>349</v>
      </c>
      <c r="C1562" s="8" t="s">
        <v>6352</v>
      </c>
      <c r="D1562" s="8">
        <v>72.0</v>
      </c>
    </row>
    <row r="1563">
      <c r="A1563" s="8" t="s">
        <v>33</v>
      </c>
      <c r="B1563" s="8" t="s">
        <v>32</v>
      </c>
      <c r="C1563" s="8" t="s">
        <v>6372</v>
      </c>
      <c r="D1563" s="8">
        <v>68.0</v>
      </c>
    </row>
    <row r="1564">
      <c r="A1564" s="8" t="s">
        <v>33</v>
      </c>
      <c r="B1564" s="8" t="s">
        <v>1532</v>
      </c>
      <c r="C1564" s="8" t="s">
        <v>6345</v>
      </c>
      <c r="D1564" s="8">
        <v>73.0</v>
      </c>
    </row>
    <row r="1565">
      <c r="A1565" s="8" t="s">
        <v>33</v>
      </c>
      <c r="B1565" s="8" t="s">
        <v>643</v>
      </c>
      <c r="C1565" s="8" t="s">
        <v>6350</v>
      </c>
      <c r="D1565" s="8">
        <v>71.0</v>
      </c>
    </row>
    <row r="1566">
      <c r="A1566" s="8" t="s">
        <v>33</v>
      </c>
      <c r="B1566" s="8" t="s">
        <v>909</v>
      </c>
      <c r="C1566" s="8" t="s">
        <v>6368</v>
      </c>
      <c r="D1566" s="8">
        <v>74.0</v>
      </c>
    </row>
    <row r="1567">
      <c r="A1567" s="8" t="s">
        <v>33</v>
      </c>
      <c r="B1567" s="8" t="s">
        <v>96</v>
      </c>
      <c r="C1567" s="8" t="s">
        <v>6353</v>
      </c>
      <c r="D1567" s="8">
        <v>85.0</v>
      </c>
    </row>
    <row r="1568">
      <c r="A1568" s="8" t="s">
        <v>33</v>
      </c>
      <c r="B1568" s="8" t="s">
        <v>2897</v>
      </c>
      <c r="C1568" s="8" t="s">
        <v>6358</v>
      </c>
      <c r="D1568" s="8">
        <v>69.0</v>
      </c>
    </row>
    <row r="1569">
      <c r="A1569" s="8" t="s">
        <v>33</v>
      </c>
      <c r="B1569" s="8" t="s">
        <v>2908</v>
      </c>
      <c r="C1569" s="8" t="s">
        <v>6357</v>
      </c>
      <c r="D1569" s="8">
        <v>68.0</v>
      </c>
    </row>
    <row r="1570">
      <c r="A1570" s="8" t="s">
        <v>33</v>
      </c>
      <c r="B1570" s="8" t="s">
        <v>67</v>
      </c>
      <c r="C1570" s="8" t="s">
        <v>6372</v>
      </c>
      <c r="D1570" s="8">
        <v>85.0</v>
      </c>
    </row>
    <row r="1571">
      <c r="A1571" s="8" t="s">
        <v>33</v>
      </c>
      <c r="B1571" s="8" t="s">
        <v>2723</v>
      </c>
      <c r="C1571" s="8" t="s">
        <v>6353</v>
      </c>
      <c r="D1571" s="8">
        <v>66.0</v>
      </c>
    </row>
    <row r="1572">
      <c r="A1572" s="8" t="s">
        <v>33</v>
      </c>
      <c r="B1572" s="8" t="s">
        <v>392</v>
      </c>
      <c r="C1572" s="8" t="s">
        <v>6369</v>
      </c>
      <c r="D1572" s="8">
        <v>74.0</v>
      </c>
    </row>
    <row r="1573">
      <c r="A1573" s="8" t="s">
        <v>33</v>
      </c>
      <c r="B1573" s="8" t="s">
        <v>1313</v>
      </c>
      <c r="C1573" s="8" t="s">
        <v>6367</v>
      </c>
      <c r="D1573" s="8">
        <v>68.0</v>
      </c>
    </row>
    <row r="1574">
      <c r="A1574" s="8" t="s">
        <v>33</v>
      </c>
      <c r="B1574" s="8" t="s">
        <v>1721</v>
      </c>
      <c r="C1574" s="8" t="s">
        <v>6356</v>
      </c>
      <c r="D1574" s="8">
        <v>75.0</v>
      </c>
    </row>
    <row r="1575">
      <c r="A1575" s="8" t="s">
        <v>33</v>
      </c>
      <c r="B1575" s="8" t="s">
        <v>242</v>
      </c>
      <c r="C1575" s="8" t="s">
        <v>6372</v>
      </c>
      <c r="D1575" s="8">
        <v>80.0</v>
      </c>
    </row>
    <row r="1576">
      <c r="A1576" s="8" t="s">
        <v>33</v>
      </c>
      <c r="B1576" s="8" t="s">
        <v>3093</v>
      </c>
      <c r="C1576" s="8" t="s">
        <v>6362</v>
      </c>
      <c r="D1576" s="8">
        <v>71.0</v>
      </c>
    </row>
    <row r="1577">
      <c r="A1577" s="8" t="s">
        <v>33</v>
      </c>
      <c r="B1577" s="8" t="s">
        <v>1463</v>
      </c>
      <c r="C1577" s="8" t="s">
        <v>6347</v>
      </c>
      <c r="D1577" s="8">
        <v>81.0</v>
      </c>
    </row>
    <row r="1578">
      <c r="A1578" s="8" t="s">
        <v>33</v>
      </c>
      <c r="B1578" s="8" t="s">
        <v>3054</v>
      </c>
      <c r="C1578" s="8" t="s">
        <v>6361</v>
      </c>
      <c r="D1578" s="8">
        <v>77.0</v>
      </c>
    </row>
    <row r="1579">
      <c r="A1579" s="8" t="s">
        <v>33</v>
      </c>
      <c r="B1579" s="8" t="s">
        <v>1264</v>
      </c>
      <c r="C1579" s="8" t="s">
        <v>6364</v>
      </c>
      <c r="D1579" s="8">
        <v>61.0</v>
      </c>
    </row>
    <row r="1580">
      <c r="A1580" s="8" t="s">
        <v>33</v>
      </c>
      <c r="B1580" s="8" t="s">
        <v>417</v>
      </c>
      <c r="C1580" s="8" t="s">
        <v>6375</v>
      </c>
      <c r="D1580" s="8">
        <v>71.0</v>
      </c>
    </row>
    <row r="1581">
      <c r="A1581" s="8" t="s">
        <v>33</v>
      </c>
      <c r="B1581" s="8" t="s">
        <v>589</v>
      </c>
      <c r="C1581" s="8" t="s">
        <v>6363</v>
      </c>
      <c r="D1581" s="8">
        <v>80.0</v>
      </c>
    </row>
    <row r="1582">
      <c r="A1582" s="8" t="s">
        <v>33</v>
      </c>
      <c r="B1582" s="8" t="s">
        <v>2064</v>
      </c>
      <c r="C1582" s="8" t="s">
        <v>6372</v>
      </c>
      <c r="D1582" s="8">
        <v>87.0</v>
      </c>
    </row>
    <row r="1583">
      <c r="A1583" s="8" t="s">
        <v>33</v>
      </c>
      <c r="B1583" s="8" t="s">
        <v>67</v>
      </c>
      <c r="C1583" s="8" t="s">
        <v>6372</v>
      </c>
      <c r="D1583" s="8">
        <v>88.0</v>
      </c>
    </row>
    <row r="1584">
      <c r="A1584" s="8" t="s">
        <v>176</v>
      </c>
      <c r="B1584" s="8" t="s">
        <v>318</v>
      </c>
      <c r="C1584" s="8" t="s">
        <v>6353</v>
      </c>
      <c r="D1584" s="8">
        <v>83.0</v>
      </c>
    </row>
    <row r="1585">
      <c r="A1585" s="8" t="s">
        <v>176</v>
      </c>
      <c r="B1585" s="8" t="s">
        <v>1482</v>
      </c>
      <c r="C1585" s="8" t="s">
        <v>6370</v>
      </c>
      <c r="D1585" s="8">
        <v>78.0</v>
      </c>
    </row>
    <row r="1586">
      <c r="A1586" s="8" t="s">
        <v>176</v>
      </c>
      <c r="B1586" s="8" t="s">
        <v>175</v>
      </c>
      <c r="C1586" s="8" t="s">
        <v>6362</v>
      </c>
      <c r="D1586" s="8">
        <v>69.0</v>
      </c>
    </row>
    <row r="1587">
      <c r="A1587" s="8" t="s">
        <v>176</v>
      </c>
      <c r="B1587" s="8" t="s">
        <v>954</v>
      </c>
      <c r="C1587" s="8" t="s">
        <v>6367</v>
      </c>
      <c r="D1587" s="8">
        <v>80.0</v>
      </c>
    </row>
    <row r="1588">
      <c r="A1588" s="8" t="s">
        <v>176</v>
      </c>
      <c r="B1588" s="8" t="s">
        <v>1761</v>
      </c>
      <c r="C1588" s="8" t="s">
        <v>6377</v>
      </c>
      <c r="D1588" s="8">
        <v>63.0</v>
      </c>
    </row>
    <row r="1589">
      <c r="A1589" s="8" t="s">
        <v>176</v>
      </c>
      <c r="B1589" s="8" t="s">
        <v>835</v>
      </c>
      <c r="C1589" s="8" t="s">
        <v>6361</v>
      </c>
      <c r="D1589" s="8">
        <v>66.0</v>
      </c>
    </row>
    <row r="1590">
      <c r="A1590" s="8" t="s">
        <v>176</v>
      </c>
      <c r="B1590" s="8" t="s">
        <v>318</v>
      </c>
      <c r="C1590" s="8" t="s">
        <v>6353</v>
      </c>
      <c r="D1590" s="8">
        <v>89.0</v>
      </c>
    </row>
    <row r="1591">
      <c r="A1591" s="8" t="s">
        <v>908</v>
      </c>
      <c r="B1591" s="8" t="s">
        <v>907</v>
      </c>
      <c r="C1591" s="8" t="s">
        <v>6361</v>
      </c>
      <c r="D1591" s="8">
        <v>77.0</v>
      </c>
    </row>
    <row r="1592">
      <c r="A1592" s="8" t="s">
        <v>634</v>
      </c>
      <c r="B1592" s="8" t="s">
        <v>99</v>
      </c>
      <c r="C1592" s="8" t="s">
        <v>6347</v>
      </c>
      <c r="D1592" s="8">
        <v>68.0</v>
      </c>
    </row>
    <row r="1593">
      <c r="A1593" s="8" t="s">
        <v>634</v>
      </c>
      <c r="B1593" s="8" t="s">
        <v>89</v>
      </c>
      <c r="C1593" s="8" t="s">
        <v>6370</v>
      </c>
      <c r="D1593" s="8">
        <v>66.0</v>
      </c>
    </row>
    <row r="1594">
      <c r="A1594" s="8" t="s">
        <v>634</v>
      </c>
      <c r="B1594" s="8" t="s">
        <v>1396</v>
      </c>
      <c r="C1594" s="8" t="s">
        <v>6367</v>
      </c>
      <c r="D1594" s="8">
        <v>73.0</v>
      </c>
    </row>
    <row r="1595">
      <c r="A1595" s="8" t="s">
        <v>634</v>
      </c>
      <c r="B1595" s="8" t="s">
        <v>57</v>
      </c>
      <c r="C1595" s="8" t="s">
        <v>6371</v>
      </c>
      <c r="D1595" s="8">
        <v>74.0</v>
      </c>
    </row>
    <row r="1596">
      <c r="A1596" s="8" t="s">
        <v>634</v>
      </c>
      <c r="B1596" s="8" t="s">
        <v>944</v>
      </c>
      <c r="C1596" s="8" t="s">
        <v>6376</v>
      </c>
      <c r="D1596" s="8">
        <v>74.0</v>
      </c>
    </row>
    <row r="1597">
      <c r="A1597" s="8" t="s">
        <v>416</v>
      </c>
      <c r="B1597" s="8" t="s">
        <v>415</v>
      </c>
      <c r="C1597" s="8" t="s">
        <v>6368</v>
      </c>
      <c r="D1597" s="8">
        <v>81.0</v>
      </c>
    </row>
    <row r="1598">
      <c r="A1598" s="8" t="s">
        <v>1613</v>
      </c>
      <c r="B1598" s="8" t="s">
        <v>1612</v>
      </c>
      <c r="C1598" s="8" t="s">
        <v>6367</v>
      </c>
      <c r="D1598" s="8">
        <v>65.0</v>
      </c>
    </row>
    <row r="1599">
      <c r="A1599" s="8" t="s">
        <v>922</v>
      </c>
      <c r="B1599" s="8" t="s">
        <v>921</v>
      </c>
      <c r="C1599" s="8" t="s">
        <v>6363</v>
      </c>
      <c r="D1599" s="8">
        <v>74.0</v>
      </c>
    </row>
    <row r="1600">
      <c r="A1600" s="8" t="s">
        <v>922</v>
      </c>
      <c r="B1600" s="8" t="s">
        <v>2182</v>
      </c>
      <c r="C1600" s="8" t="s">
        <v>6356</v>
      </c>
      <c r="D1600" s="8">
        <v>66.0</v>
      </c>
    </row>
    <row r="1601">
      <c r="A1601" s="8" t="s">
        <v>922</v>
      </c>
      <c r="B1601" s="8" t="s">
        <v>3104</v>
      </c>
      <c r="C1601" s="8" t="s">
        <v>6349</v>
      </c>
      <c r="D1601" s="8">
        <v>80.0</v>
      </c>
    </row>
    <row r="1602">
      <c r="A1602" s="8" t="s">
        <v>1666</v>
      </c>
      <c r="B1602" s="8" t="s">
        <v>78</v>
      </c>
      <c r="C1602" s="8" t="s">
        <v>6367</v>
      </c>
      <c r="D1602" s="8">
        <v>75.0</v>
      </c>
    </row>
    <row r="1603">
      <c r="A1603" s="8" t="s">
        <v>2941</v>
      </c>
      <c r="B1603" s="8" t="s">
        <v>2940</v>
      </c>
      <c r="C1603" s="8" t="s">
        <v>6364</v>
      </c>
      <c r="D1603" s="8">
        <v>65.0</v>
      </c>
    </row>
    <row r="1604">
      <c r="A1604" s="8" t="s">
        <v>385</v>
      </c>
      <c r="B1604" s="8" t="s">
        <v>384</v>
      </c>
      <c r="C1604" s="8" t="s">
        <v>6344</v>
      </c>
      <c r="D1604" s="8">
        <v>84.0</v>
      </c>
    </row>
    <row r="1605">
      <c r="A1605" s="8" t="s">
        <v>385</v>
      </c>
      <c r="B1605" s="8" t="s">
        <v>698</v>
      </c>
      <c r="C1605" s="8" t="s">
        <v>6344</v>
      </c>
      <c r="D1605" s="8">
        <v>84.0</v>
      </c>
    </row>
    <row r="1606">
      <c r="A1606" s="8" t="s">
        <v>385</v>
      </c>
      <c r="B1606" s="8" t="s">
        <v>698</v>
      </c>
      <c r="C1606" s="8" t="s">
        <v>6344</v>
      </c>
      <c r="D1606" s="8">
        <v>90.0</v>
      </c>
    </row>
    <row r="1607">
      <c r="A1607" s="8" t="s">
        <v>3123</v>
      </c>
      <c r="B1607" s="8" t="s">
        <v>34</v>
      </c>
      <c r="C1607" s="8" t="s">
        <v>6363</v>
      </c>
      <c r="D1607" s="8">
        <v>71.0</v>
      </c>
    </row>
    <row r="1608">
      <c r="A1608" s="8" t="s">
        <v>719</v>
      </c>
      <c r="B1608" s="8" t="s">
        <v>718</v>
      </c>
      <c r="C1608" s="8" t="s">
        <v>6345</v>
      </c>
      <c r="D1608" s="8">
        <v>83.0</v>
      </c>
    </row>
    <row r="1609">
      <c r="A1609" s="8" t="s">
        <v>719</v>
      </c>
      <c r="B1609" s="8" t="s">
        <v>1867</v>
      </c>
      <c r="C1609" s="8" t="s">
        <v>6357</v>
      </c>
      <c r="D1609" s="8">
        <v>72.0</v>
      </c>
    </row>
    <row r="1610">
      <c r="A1610" s="8" t="s">
        <v>137</v>
      </c>
      <c r="B1610" s="8" t="s">
        <v>136</v>
      </c>
      <c r="C1610" s="8" t="s">
        <v>6375</v>
      </c>
      <c r="D1610" s="8">
        <v>83.0</v>
      </c>
    </row>
    <row r="1611">
      <c r="A1611" s="8" t="s">
        <v>137</v>
      </c>
      <c r="B1611" s="8" t="s">
        <v>136</v>
      </c>
      <c r="C1611" s="8" t="s">
        <v>6346</v>
      </c>
      <c r="D1611" s="8">
        <v>66.0</v>
      </c>
    </row>
    <row r="1612">
      <c r="A1612" s="8" t="s">
        <v>137</v>
      </c>
      <c r="B1612" s="8" t="s">
        <v>61</v>
      </c>
      <c r="C1612" s="8" t="s">
        <v>6344</v>
      </c>
      <c r="D1612" s="8">
        <v>66.0</v>
      </c>
    </row>
    <row r="1613">
      <c r="A1613" s="8" t="s">
        <v>137</v>
      </c>
      <c r="B1613" s="8" t="s">
        <v>2715</v>
      </c>
      <c r="C1613" s="8" t="s">
        <v>6354</v>
      </c>
      <c r="D1613" s="8">
        <v>70.0</v>
      </c>
    </row>
    <row r="1614">
      <c r="A1614" s="8" t="s">
        <v>137</v>
      </c>
      <c r="B1614" s="8" t="s">
        <v>389</v>
      </c>
      <c r="C1614" s="8" t="s">
        <v>6350</v>
      </c>
      <c r="D1614" s="8">
        <v>74.0</v>
      </c>
    </row>
    <row r="1615">
      <c r="A1615" s="8" t="s">
        <v>137</v>
      </c>
      <c r="B1615" s="8" t="s">
        <v>1003</v>
      </c>
      <c r="C1615" s="8" t="s">
        <v>6369</v>
      </c>
      <c r="D1615" s="8">
        <v>77.0</v>
      </c>
    </row>
    <row r="1616">
      <c r="A1616" s="8" t="s">
        <v>137</v>
      </c>
      <c r="B1616" s="8" t="s">
        <v>90</v>
      </c>
      <c r="C1616" s="8" t="s">
        <v>6355</v>
      </c>
      <c r="D1616" s="8">
        <v>62.0</v>
      </c>
    </row>
    <row r="1617">
      <c r="A1617" s="8" t="s">
        <v>137</v>
      </c>
      <c r="B1617" s="8" t="s">
        <v>864</v>
      </c>
      <c r="C1617" s="8" t="s">
        <v>6359</v>
      </c>
      <c r="D1617" s="8">
        <v>64.0</v>
      </c>
    </row>
    <row r="1618">
      <c r="A1618" s="8" t="s">
        <v>137</v>
      </c>
      <c r="B1618" s="8" t="s">
        <v>656</v>
      </c>
      <c r="C1618" s="8" t="s">
        <v>6357</v>
      </c>
      <c r="D1618" s="8">
        <v>77.0</v>
      </c>
    </row>
    <row r="1619">
      <c r="A1619" s="8" t="s">
        <v>137</v>
      </c>
      <c r="B1619" s="8" t="s">
        <v>2744</v>
      </c>
      <c r="C1619" s="8" t="s">
        <v>6367</v>
      </c>
      <c r="D1619" s="8">
        <v>82.0</v>
      </c>
    </row>
    <row r="1620">
      <c r="A1620" s="8" t="s">
        <v>137</v>
      </c>
      <c r="B1620" s="8" t="s">
        <v>794</v>
      </c>
      <c r="C1620" s="8" t="s">
        <v>6344</v>
      </c>
      <c r="D1620" s="8">
        <v>69.0</v>
      </c>
    </row>
    <row r="1621">
      <c r="A1621" s="8" t="s">
        <v>137</v>
      </c>
      <c r="B1621" s="8" t="s">
        <v>62</v>
      </c>
      <c r="C1621" s="8" t="s">
        <v>6348</v>
      </c>
      <c r="D1621" s="8">
        <v>75.0</v>
      </c>
    </row>
    <row r="1622">
      <c r="A1622" s="8" t="s">
        <v>137</v>
      </c>
      <c r="B1622" s="8" t="s">
        <v>2849</v>
      </c>
      <c r="C1622" s="8" t="s">
        <v>6349</v>
      </c>
      <c r="D1622" s="8">
        <v>71.0</v>
      </c>
    </row>
    <row r="1623">
      <c r="A1623" s="8" t="s">
        <v>137</v>
      </c>
      <c r="B1623" s="8" t="s">
        <v>1287</v>
      </c>
      <c r="C1623" s="8" t="s">
        <v>6367</v>
      </c>
      <c r="D1623" s="8">
        <v>81.0</v>
      </c>
    </row>
    <row r="1624">
      <c r="A1624" s="8" t="s">
        <v>137</v>
      </c>
      <c r="B1624" s="8" t="s">
        <v>62</v>
      </c>
      <c r="C1624" s="8" t="s">
        <v>6349</v>
      </c>
      <c r="D1624" s="8">
        <v>86.0</v>
      </c>
    </row>
    <row r="1625">
      <c r="A1625" s="8" t="s">
        <v>137</v>
      </c>
      <c r="B1625" s="8" t="s">
        <v>263</v>
      </c>
      <c r="C1625" s="8" t="s">
        <v>6377</v>
      </c>
      <c r="D1625" s="8">
        <v>67.0</v>
      </c>
    </row>
    <row r="1626">
      <c r="A1626" s="8" t="s">
        <v>137</v>
      </c>
      <c r="B1626" s="8" t="s">
        <v>305</v>
      </c>
      <c r="C1626" s="8" t="s">
        <v>6353</v>
      </c>
      <c r="D1626" s="8">
        <v>73.0</v>
      </c>
    </row>
    <row r="1627">
      <c r="A1627" s="8" t="s">
        <v>137</v>
      </c>
      <c r="B1627" s="8" t="s">
        <v>3135</v>
      </c>
      <c r="C1627" s="8" t="s">
        <v>6364</v>
      </c>
      <c r="D1627" s="8">
        <v>77.0</v>
      </c>
    </row>
    <row r="1628">
      <c r="A1628" s="8" t="s">
        <v>137</v>
      </c>
      <c r="B1628" s="8" t="s">
        <v>2112</v>
      </c>
      <c r="C1628" s="8" t="s">
        <v>6374</v>
      </c>
      <c r="D1628" s="8">
        <v>75.0</v>
      </c>
    </row>
    <row r="1629">
      <c r="A1629" s="8" t="s">
        <v>137</v>
      </c>
      <c r="B1629" s="8" t="s">
        <v>200</v>
      </c>
      <c r="C1629" s="8" t="s">
        <v>6371</v>
      </c>
      <c r="D1629" s="8">
        <v>79.0</v>
      </c>
    </row>
    <row r="1630">
      <c r="A1630" s="8" t="s">
        <v>183</v>
      </c>
      <c r="B1630" s="8" t="s">
        <v>967</v>
      </c>
      <c r="C1630" s="8" t="s">
        <v>6360</v>
      </c>
      <c r="D1630" s="8">
        <v>71.0</v>
      </c>
    </row>
    <row r="1631">
      <c r="A1631" s="8" t="s">
        <v>183</v>
      </c>
      <c r="B1631" s="8" t="s">
        <v>188</v>
      </c>
      <c r="C1631" s="8" t="s">
        <v>6371</v>
      </c>
      <c r="D1631" s="8">
        <v>68.0</v>
      </c>
    </row>
    <row r="1632">
      <c r="A1632" s="8" t="s">
        <v>183</v>
      </c>
      <c r="B1632" s="8" t="s">
        <v>835</v>
      </c>
      <c r="C1632" s="8" t="s">
        <v>6369</v>
      </c>
      <c r="D1632" s="8">
        <v>75.0</v>
      </c>
    </row>
    <row r="1633">
      <c r="A1633" s="8" t="s">
        <v>183</v>
      </c>
      <c r="B1633" s="8" t="s">
        <v>62</v>
      </c>
      <c r="C1633" s="8" t="s">
        <v>6357</v>
      </c>
      <c r="D1633" s="8">
        <v>67.0</v>
      </c>
    </row>
    <row r="1634">
      <c r="A1634" s="8" t="s">
        <v>183</v>
      </c>
      <c r="B1634" s="8" t="s">
        <v>2810</v>
      </c>
      <c r="C1634" s="8" t="s">
        <v>6362</v>
      </c>
      <c r="D1634" s="8">
        <v>76.0</v>
      </c>
    </row>
    <row r="1635">
      <c r="A1635" s="8" t="s">
        <v>183</v>
      </c>
      <c r="B1635" s="8" t="s">
        <v>415</v>
      </c>
      <c r="C1635" s="8" t="s">
        <v>6344</v>
      </c>
      <c r="D1635" s="8">
        <v>78.0</v>
      </c>
    </row>
    <row r="1636">
      <c r="A1636" s="8" t="s">
        <v>183</v>
      </c>
      <c r="B1636" s="8" t="s">
        <v>777</v>
      </c>
      <c r="C1636" s="8" t="s">
        <v>6378</v>
      </c>
      <c r="D1636" s="8">
        <v>69.0</v>
      </c>
    </row>
    <row r="1637">
      <c r="A1637" s="8" t="s">
        <v>183</v>
      </c>
      <c r="B1637" s="8" t="s">
        <v>1164</v>
      </c>
      <c r="C1637" s="8" t="s">
        <v>6360</v>
      </c>
      <c r="D1637" s="8">
        <v>84.0</v>
      </c>
    </row>
    <row r="1638">
      <c r="A1638" s="8" t="s">
        <v>183</v>
      </c>
      <c r="B1638" s="8" t="s">
        <v>1328</v>
      </c>
      <c r="C1638" s="8" t="s">
        <v>6375</v>
      </c>
      <c r="D1638" s="8">
        <v>79.0</v>
      </c>
    </row>
    <row r="1639">
      <c r="A1639" s="8" t="s">
        <v>183</v>
      </c>
      <c r="B1639" s="8" t="s">
        <v>519</v>
      </c>
      <c r="C1639" s="8" t="s">
        <v>6352</v>
      </c>
      <c r="D1639" s="8">
        <v>76.0</v>
      </c>
    </row>
    <row r="1640">
      <c r="A1640" s="8" t="s">
        <v>183</v>
      </c>
      <c r="B1640" s="8" t="s">
        <v>361</v>
      </c>
      <c r="C1640" s="8" t="s">
        <v>6355</v>
      </c>
      <c r="D1640" s="8">
        <v>84.0</v>
      </c>
    </row>
    <row r="1641">
      <c r="A1641" s="8" t="s">
        <v>183</v>
      </c>
      <c r="B1641" s="8" t="s">
        <v>78</v>
      </c>
      <c r="C1641" s="8" t="s">
        <v>6344</v>
      </c>
      <c r="D1641" s="8">
        <v>77.0</v>
      </c>
    </row>
    <row r="1642">
      <c r="A1642" s="8" t="s">
        <v>183</v>
      </c>
      <c r="B1642" s="8" t="s">
        <v>539</v>
      </c>
      <c r="C1642" s="8" t="s">
        <v>6368</v>
      </c>
      <c r="D1642" s="8">
        <v>79.0</v>
      </c>
    </row>
    <row r="1643">
      <c r="A1643" s="8" t="s">
        <v>183</v>
      </c>
      <c r="B1643" s="8" t="s">
        <v>61</v>
      </c>
      <c r="C1643" s="8" t="s">
        <v>6371</v>
      </c>
      <c r="D1643" s="8">
        <v>73.0</v>
      </c>
    </row>
    <row r="1644">
      <c r="A1644" s="8" t="s">
        <v>183</v>
      </c>
      <c r="B1644" s="8" t="s">
        <v>422</v>
      </c>
      <c r="C1644" s="8" t="s">
        <v>6365</v>
      </c>
      <c r="D1644" s="8">
        <v>78.0</v>
      </c>
    </row>
    <row r="1645">
      <c r="A1645" s="8" t="s">
        <v>183</v>
      </c>
      <c r="B1645" s="8" t="s">
        <v>207</v>
      </c>
      <c r="C1645" s="8" t="s">
        <v>6352</v>
      </c>
      <c r="D1645" s="8">
        <v>79.0</v>
      </c>
    </row>
    <row r="1646">
      <c r="A1646" s="8" t="s">
        <v>183</v>
      </c>
      <c r="B1646" s="8" t="s">
        <v>717</v>
      </c>
      <c r="C1646" s="8" t="s">
        <v>6347</v>
      </c>
      <c r="D1646" s="8">
        <v>70.0</v>
      </c>
    </row>
    <row r="1647">
      <c r="A1647" s="8" t="s">
        <v>183</v>
      </c>
      <c r="B1647" s="8" t="s">
        <v>427</v>
      </c>
      <c r="C1647" s="8" t="s">
        <v>6364</v>
      </c>
      <c r="D1647" s="8">
        <v>61.0</v>
      </c>
    </row>
    <row r="1648">
      <c r="A1648" s="8" t="s">
        <v>183</v>
      </c>
      <c r="B1648" s="8" t="s">
        <v>278</v>
      </c>
      <c r="C1648" s="8" t="s">
        <v>6365</v>
      </c>
      <c r="D1648" s="8">
        <v>76.0</v>
      </c>
    </row>
    <row r="1649">
      <c r="A1649" s="8" t="s">
        <v>183</v>
      </c>
      <c r="B1649" s="8" t="s">
        <v>2115</v>
      </c>
      <c r="C1649" s="8" t="s">
        <v>6347</v>
      </c>
      <c r="D1649" s="8">
        <v>75.0</v>
      </c>
    </row>
    <row r="1650">
      <c r="A1650" s="8" t="s">
        <v>183</v>
      </c>
      <c r="B1650" s="8" t="s">
        <v>1055</v>
      </c>
      <c r="C1650" s="8" t="s">
        <v>6374</v>
      </c>
      <c r="D1650" s="8">
        <v>69.0</v>
      </c>
    </row>
    <row r="1651">
      <c r="A1651" s="8" t="s">
        <v>183</v>
      </c>
      <c r="B1651" s="8" t="s">
        <v>1894</v>
      </c>
      <c r="C1651" s="8" t="s">
        <v>6356</v>
      </c>
      <c r="D1651" s="8">
        <v>79.0</v>
      </c>
    </row>
    <row r="1652">
      <c r="A1652" s="8" t="s">
        <v>183</v>
      </c>
      <c r="B1652" s="8" t="s">
        <v>361</v>
      </c>
      <c r="C1652" s="8" t="s">
        <v>6355</v>
      </c>
      <c r="D1652" s="8">
        <v>88.0</v>
      </c>
    </row>
    <row r="1653">
      <c r="A1653" s="8" t="s">
        <v>1219</v>
      </c>
      <c r="B1653" s="8" t="s">
        <v>1218</v>
      </c>
      <c r="C1653" s="8" t="s">
        <v>6353</v>
      </c>
      <c r="D1653" s="8">
        <v>73.0</v>
      </c>
    </row>
    <row r="1654">
      <c r="A1654" s="8" t="s">
        <v>2341</v>
      </c>
      <c r="B1654" s="8" t="s">
        <v>66</v>
      </c>
      <c r="C1654" s="8" t="s">
        <v>6347</v>
      </c>
      <c r="D1654" s="8">
        <v>78.0</v>
      </c>
    </row>
    <row r="1655">
      <c r="A1655" s="8" t="s">
        <v>985</v>
      </c>
      <c r="B1655" s="8" t="s">
        <v>3105</v>
      </c>
      <c r="C1655" s="8" t="s">
        <v>6360</v>
      </c>
      <c r="D1655" s="8">
        <v>78.0</v>
      </c>
    </row>
    <row r="1656">
      <c r="A1656" s="8" t="s">
        <v>985</v>
      </c>
      <c r="B1656" s="8" t="s">
        <v>984</v>
      </c>
      <c r="C1656" s="8" t="s">
        <v>6373</v>
      </c>
      <c r="D1656" s="8">
        <v>76.0</v>
      </c>
    </row>
    <row r="1657">
      <c r="A1657" s="8" t="s">
        <v>427</v>
      </c>
      <c r="B1657" s="8" t="s">
        <v>426</v>
      </c>
      <c r="C1657" s="8" t="s">
        <v>6373</v>
      </c>
      <c r="D1657" s="8">
        <v>81.0</v>
      </c>
    </row>
    <row r="1658">
      <c r="A1658" s="8" t="s">
        <v>427</v>
      </c>
      <c r="B1658" s="8" t="s">
        <v>1235</v>
      </c>
      <c r="C1658" s="8" t="s">
        <v>6349</v>
      </c>
      <c r="D1658" s="8">
        <v>74.0</v>
      </c>
    </row>
    <row r="1659">
      <c r="A1659" s="8" t="s">
        <v>427</v>
      </c>
      <c r="B1659" s="8" t="s">
        <v>1648</v>
      </c>
      <c r="C1659" s="8" t="s">
        <v>6359</v>
      </c>
      <c r="D1659" s="8">
        <v>77.0</v>
      </c>
    </row>
    <row r="1660">
      <c r="A1660" s="8" t="s">
        <v>425</v>
      </c>
      <c r="B1660" s="8" t="s">
        <v>3031</v>
      </c>
      <c r="C1660" s="8" t="s">
        <v>6372</v>
      </c>
      <c r="D1660" s="8">
        <v>80.0</v>
      </c>
    </row>
    <row r="1661">
      <c r="A1661" s="8" t="s">
        <v>2202</v>
      </c>
      <c r="B1661" s="8" t="s">
        <v>2201</v>
      </c>
      <c r="C1661" s="8" t="s">
        <v>6370</v>
      </c>
      <c r="D1661" s="8">
        <v>75.0</v>
      </c>
    </row>
    <row r="1662">
      <c r="A1662" s="8" t="s">
        <v>2746</v>
      </c>
      <c r="B1662" s="8" t="s">
        <v>2745</v>
      </c>
      <c r="C1662" s="8" t="s">
        <v>6346</v>
      </c>
      <c r="D1662" s="8">
        <v>65.0</v>
      </c>
    </row>
    <row r="1663">
      <c r="A1663" s="8" t="s">
        <v>1678</v>
      </c>
      <c r="B1663" s="8" t="s">
        <v>835</v>
      </c>
      <c r="C1663" s="8" t="s">
        <v>6355</v>
      </c>
      <c r="D1663" s="8">
        <v>68.0</v>
      </c>
    </row>
    <row r="1664">
      <c r="A1664" s="8" t="s">
        <v>146</v>
      </c>
      <c r="B1664" s="8" t="s">
        <v>765</v>
      </c>
      <c r="C1664" s="8" t="s">
        <v>6370</v>
      </c>
      <c r="D1664" s="8">
        <v>78.0</v>
      </c>
    </row>
    <row r="1665">
      <c r="A1665" s="8" t="s">
        <v>146</v>
      </c>
      <c r="B1665" s="8" t="s">
        <v>355</v>
      </c>
      <c r="C1665" s="8" t="s">
        <v>6368</v>
      </c>
      <c r="D1665" s="8">
        <v>81.0</v>
      </c>
    </row>
    <row r="1666">
      <c r="A1666" s="8" t="s">
        <v>146</v>
      </c>
      <c r="B1666" s="8" t="s">
        <v>1795</v>
      </c>
      <c r="C1666" s="8" t="s">
        <v>6357</v>
      </c>
      <c r="D1666" s="8">
        <v>70.0</v>
      </c>
    </row>
    <row r="1667">
      <c r="A1667" s="8" t="s">
        <v>1378</v>
      </c>
      <c r="B1667" s="8" t="s">
        <v>1377</v>
      </c>
      <c r="C1667" s="8" t="s">
        <v>6350</v>
      </c>
      <c r="D1667" s="8">
        <v>65.0</v>
      </c>
    </row>
    <row r="1668">
      <c r="A1668" s="8" t="s">
        <v>1905</v>
      </c>
      <c r="B1668" s="8" t="s">
        <v>2730</v>
      </c>
      <c r="C1668" s="8" t="s">
        <v>6378</v>
      </c>
      <c r="D1668" s="8">
        <v>77.0</v>
      </c>
    </row>
    <row r="1669">
      <c r="A1669" s="8" t="s">
        <v>2794</v>
      </c>
      <c r="B1669" s="8" t="s">
        <v>1446</v>
      </c>
      <c r="C1669" s="8" t="s">
        <v>6369</v>
      </c>
      <c r="D1669" s="8">
        <v>65.0</v>
      </c>
    </row>
    <row r="1670">
      <c r="A1670" s="8" t="s">
        <v>1908</v>
      </c>
      <c r="B1670" s="8" t="s">
        <v>3136</v>
      </c>
      <c r="C1670" s="8" t="s">
        <v>6355</v>
      </c>
      <c r="D1670" s="8">
        <v>77.0</v>
      </c>
    </row>
    <row r="1671">
      <c r="A1671" s="8" t="s">
        <v>733</v>
      </c>
      <c r="B1671" s="8" t="s">
        <v>732</v>
      </c>
      <c r="C1671" s="8" t="s">
        <v>6377</v>
      </c>
      <c r="D1671" s="8">
        <v>84.0</v>
      </c>
    </row>
    <row r="1672">
      <c r="A1672" s="8" t="s">
        <v>1008</v>
      </c>
      <c r="B1672" s="8" t="s">
        <v>1007</v>
      </c>
      <c r="C1672" s="8" t="s">
        <v>6358</v>
      </c>
      <c r="D1672" s="8">
        <v>67.0</v>
      </c>
    </row>
    <row r="1673">
      <c r="A1673" s="8" t="s">
        <v>2113</v>
      </c>
      <c r="B1673" s="8" t="s">
        <v>252</v>
      </c>
      <c r="C1673" s="8" t="s">
        <v>6377</v>
      </c>
      <c r="D1673" s="8">
        <v>83.0</v>
      </c>
    </row>
    <row r="1674">
      <c r="A1674" s="8" t="s">
        <v>2113</v>
      </c>
      <c r="B1674" s="8" t="s">
        <v>360</v>
      </c>
      <c r="C1674" s="8" t="s">
        <v>6346</v>
      </c>
      <c r="D1674" s="8">
        <v>85.0</v>
      </c>
    </row>
    <row r="1675">
      <c r="A1675" s="8" t="s">
        <v>375</v>
      </c>
      <c r="B1675" s="8" t="s">
        <v>374</v>
      </c>
      <c r="C1675" s="8" t="s">
        <v>6361</v>
      </c>
      <c r="D1675" s="8">
        <v>65.0</v>
      </c>
    </row>
    <row r="1676">
      <c r="A1676" s="8" t="s">
        <v>2685</v>
      </c>
      <c r="B1676" s="8" t="s">
        <v>2684</v>
      </c>
      <c r="C1676" s="8" t="s">
        <v>6368</v>
      </c>
      <c r="D1676" s="8">
        <v>65.0</v>
      </c>
    </row>
    <row r="1677">
      <c r="A1677" s="8" t="s">
        <v>317</v>
      </c>
      <c r="B1677" s="8" t="s">
        <v>367</v>
      </c>
      <c r="C1677" s="8" t="s">
        <v>6362</v>
      </c>
      <c r="D1677" s="8">
        <v>69.0</v>
      </c>
    </row>
    <row r="1678">
      <c r="A1678" s="8" t="s">
        <v>317</v>
      </c>
      <c r="B1678" s="8" t="s">
        <v>1631</v>
      </c>
      <c r="C1678" s="8" t="s">
        <v>6375</v>
      </c>
      <c r="D1678" s="8">
        <v>67.0</v>
      </c>
    </row>
    <row r="1679">
      <c r="A1679" s="8" t="s">
        <v>317</v>
      </c>
      <c r="B1679" s="8" t="s">
        <v>316</v>
      </c>
      <c r="C1679" s="8" t="s">
        <v>6348</v>
      </c>
      <c r="D1679" s="8">
        <v>82.0</v>
      </c>
    </row>
    <row r="1680">
      <c r="A1680" s="8" t="s">
        <v>317</v>
      </c>
      <c r="B1680" s="8" t="s">
        <v>1464</v>
      </c>
      <c r="C1680" s="8" t="s">
        <v>6361</v>
      </c>
      <c r="D1680" s="8">
        <v>72.0</v>
      </c>
    </row>
    <row r="1681">
      <c r="A1681" s="8" t="s">
        <v>317</v>
      </c>
      <c r="B1681" s="8" t="s">
        <v>2983</v>
      </c>
      <c r="C1681" s="8" t="s">
        <v>6354</v>
      </c>
      <c r="D1681" s="8">
        <v>67.0</v>
      </c>
    </row>
    <row r="1682">
      <c r="A1682" s="8" t="s">
        <v>317</v>
      </c>
      <c r="B1682" s="8" t="s">
        <v>1561</v>
      </c>
      <c r="C1682" s="8" t="s">
        <v>6377</v>
      </c>
      <c r="D1682" s="8">
        <v>67.0</v>
      </c>
    </row>
    <row r="1683">
      <c r="A1683" s="8" t="s">
        <v>322</v>
      </c>
      <c r="B1683" s="8" t="s">
        <v>321</v>
      </c>
      <c r="C1683" s="8" t="s">
        <v>6349</v>
      </c>
      <c r="D1683" s="8">
        <v>71.0</v>
      </c>
    </row>
    <row r="1684">
      <c r="A1684" s="8" t="s">
        <v>322</v>
      </c>
      <c r="B1684" s="8" t="s">
        <v>1804</v>
      </c>
      <c r="C1684" s="8" t="s">
        <v>6375</v>
      </c>
      <c r="D1684" s="8">
        <v>72.0</v>
      </c>
    </row>
    <row r="1685">
      <c r="A1685" s="8" t="s">
        <v>322</v>
      </c>
      <c r="B1685" s="8" t="s">
        <v>1568</v>
      </c>
      <c r="C1685" s="8" t="s">
        <v>6345</v>
      </c>
      <c r="D1685" s="8">
        <v>72.0</v>
      </c>
    </row>
    <row r="1686">
      <c r="A1686" s="8" t="s">
        <v>322</v>
      </c>
      <c r="B1686" s="8" t="s">
        <v>1614</v>
      </c>
      <c r="C1686" s="8" t="s">
        <v>6378</v>
      </c>
      <c r="D1686" s="8">
        <v>71.0</v>
      </c>
    </row>
    <row r="1687">
      <c r="A1687" s="8" t="s">
        <v>2149</v>
      </c>
      <c r="B1687" s="8" t="s">
        <v>2148</v>
      </c>
      <c r="C1687" s="8" t="s">
        <v>6349</v>
      </c>
      <c r="D1687" s="8">
        <v>67.0</v>
      </c>
    </row>
    <row r="1688">
      <c r="A1688" s="8" t="s">
        <v>2696</v>
      </c>
      <c r="B1688" s="8" t="s">
        <v>2695</v>
      </c>
      <c r="C1688" s="8" t="s">
        <v>6364</v>
      </c>
      <c r="D1688" s="8">
        <v>61.0</v>
      </c>
    </row>
    <row r="1689">
      <c r="A1689" s="8" t="s">
        <v>1855</v>
      </c>
      <c r="B1689" s="8" t="s">
        <v>284</v>
      </c>
      <c r="C1689" s="8" t="s">
        <v>6371</v>
      </c>
      <c r="D1689" s="8">
        <v>75.0</v>
      </c>
    </row>
    <row r="1690">
      <c r="A1690" s="8" t="s">
        <v>229</v>
      </c>
      <c r="B1690" s="8" t="s">
        <v>228</v>
      </c>
      <c r="C1690" s="8" t="s">
        <v>6357</v>
      </c>
      <c r="D1690" s="8">
        <v>88.0</v>
      </c>
    </row>
    <row r="1691">
      <c r="A1691" s="8" t="s">
        <v>229</v>
      </c>
      <c r="B1691" s="8" t="s">
        <v>228</v>
      </c>
      <c r="C1691" s="8" t="s">
        <v>6357</v>
      </c>
      <c r="D1691" s="8">
        <v>92.0</v>
      </c>
    </row>
    <row r="1692">
      <c r="A1692" s="8" t="s">
        <v>1036</v>
      </c>
      <c r="B1692" s="8" t="s">
        <v>1035</v>
      </c>
      <c r="C1692" s="8" t="s">
        <v>6364</v>
      </c>
      <c r="D1692" s="8">
        <v>71.0</v>
      </c>
    </row>
    <row r="1693">
      <c r="A1693" s="8" t="s">
        <v>607</v>
      </c>
      <c r="B1693" s="8" t="s">
        <v>606</v>
      </c>
      <c r="C1693" s="8" t="s">
        <v>6371</v>
      </c>
      <c r="D1693" s="8">
        <v>65.0</v>
      </c>
    </row>
    <row r="1694">
      <c r="A1694" s="8" t="s">
        <v>220</v>
      </c>
      <c r="B1694" s="8" t="s">
        <v>1073</v>
      </c>
      <c r="C1694" s="8" t="s">
        <v>6375</v>
      </c>
      <c r="D1694" s="8">
        <v>81.0</v>
      </c>
    </row>
    <row r="1695">
      <c r="A1695" s="8" t="s">
        <v>1197</v>
      </c>
      <c r="B1695" s="8" t="s">
        <v>1196</v>
      </c>
      <c r="C1695" s="8" t="s">
        <v>6378</v>
      </c>
      <c r="D1695" s="8">
        <v>73.0</v>
      </c>
    </row>
    <row r="1696">
      <c r="A1696" s="8" t="s">
        <v>742</v>
      </c>
      <c r="B1696" s="8" t="s">
        <v>741</v>
      </c>
      <c r="C1696" s="8" t="s">
        <v>6353</v>
      </c>
      <c r="D1696" s="8">
        <v>72.0</v>
      </c>
    </row>
    <row r="1697">
      <c r="A1697" s="8" t="s">
        <v>1907</v>
      </c>
      <c r="B1697" s="8" t="s">
        <v>2821</v>
      </c>
      <c r="C1697" s="8" t="s">
        <v>6362</v>
      </c>
      <c r="D1697" s="8">
        <v>63.0</v>
      </c>
    </row>
    <row r="1698">
      <c r="A1698" s="8" t="s">
        <v>1907</v>
      </c>
      <c r="B1698" s="8" t="s">
        <v>1906</v>
      </c>
      <c r="C1698" s="8" t="s">
        <v>6376</v>
      </c>
      <c r="D1698" s="8">
        <v>70.0</v>
      </c>
    </row>
    <row r="1699">
      <c r="A1699" s="8" t="s">
        <v>231</v>
      </c>
      <c r="B1699" s="8" t="s">
        <v>894</v>
      </c>
      <c r="C1699" s="8" t="s">
        <v>6365</v>
      </c>
      <c r="D1699" s="8">
        <v>75.0</v>
      </c>
    </row>
    <row r="1700">
      <c r="A1700" s="8" t="s">
        <v>231</v>
      </c>
      <c r="B1700" s="8" t="s">
        <v>1327</v>
      </c>
      <c r="C1700" s="8" t="s">
        <v>6350</v>
      </c>
      <c r="D1700" s="8">
        <v>70.0</v>
      </c>
    </row>
    <row r="1701">
      <c r="A1701" s="8" t="s">
        <v>231</v>
      </c>
      <c r="B1701" s="8" t="s">
        <v>372</v>
      </c>
      <c r="C1701" s="8" t="s">
        <v>6375</v>
      </c>
      <c r="D1701" s="8">
        <v>79.0</v>
      </c>
    </row>
    <row r="1702">
      <c r="A1702" s="8" t="s">
        <v>231</v>
      </c>
      <c r="B1702" s="8" t="s">
        <v>1223</v>
      </c>
      <c r="C1702" s="8" t="s">
        <v>6359</v>
      </c>
      <c r="D1702" s="8">
        <v>79.0</v>
      </c>
    </row>
    <row r="1703">
      <c r="A1703" s="8" t="s">
        <v>231</v>
      </c>
      <c r="B1703" s="8" t="s">
        <v>674</v>
      </c>
      <c r="C1703" s="8" t="s">
        <v>6344</v>
      </c>
      <c r="D1703" s="8">
        <v>64.0</v>
      </c>
    </row>
    <row r="1704">
      <c r="A1704" s="8" t="s">
        <v>231</v>
      </c>
      <c r="B1704" s="8" t="s">
        <v>396</v>
      </c>
      <c r="C1704" s="8" t="s">
        <v>6358</v>
      </c>
      <c r="D1704" s="8">
        <v>76.0</v>
      </c>
    </row>
    <row r="1705">
      <c r="A1705" s="8" t="s">
        <v>231</v>
      </c>
      <c r="B1705" s="8" t="s">
        <v>230</v>
      </c>
      <c r="C1705" s="8" t="s">
        <v>6370</v>
      </c>
      <c r="D1705" s="8">
        <v>62.0</v>
      </c>
    </row>
    <row r="1706">
      <c r="A1706" s="8" t="s">
        <v>231</v>
      </c>
      <c r="B1706" s="8" t="s">
        <v>1097</v>
      </c>
      <c r="C1706" s="8" t="s">
        <v>6367</v>
      </c>
      <c r="D1706" s="8">
        <v>74.0</v>
      </c>
    </row>
    <row r="1707">
      <c r="A1707" s="8" t="s">
        <v>231</v>
      </c>
      <c r="B1707" s="8" t="s">
        <v>2992</v>
      </c>
      <c r="C1707" s="8" t="s">
        <v>6355</v>
      </c>
      <c r="D1707" s="8">
        <v>80.0</v>
      </c>
    </row>
    <row r="1708">
      <c r="A1708" s="8" t="s">
        <v>231</v>
      </c>
      <c r="B1708" s="8" t="s">
        <v>5641</v>
      </c>
      <c r="C1708" s="8" t="s">
        <v>6345</v>
      </c>
      <c r="D1708" s="8">
        <v>71.0</v>
      </c>
    </row>
    <row r="1709">
      <c r="A1709" s="8" t="s">
        <v>231</v>
      </c>
      <c r="B1709" s="8" t="s">
        <v>2681</v>
      </c>
      <c r="C1709" s="8" t="s">
        <v>6353</v>
      </c>
      <c r="D1709" s="8">
        <v>75.0</v>
      </c>
    </row>
    <row r="1710">
      <c r="A1710" s="8" t="s">
        <v>231</v>
      </c>
      <c r="B1710" s="8" t="s">
        <v>1325</v>
      </c>
      <c r="C1710" s="8" t="s">
        <v>6371</v>
      </c>
      <c r="D1710" s="8">
        <v>70.0</v>
      </c>
    </row>
    <row r="1711">
      <c r="A1711" s="8" t="s">
        <v>231</v>
      </c>
      <c r="B1711" s="8" t="s">
        <v>2045</v>
      </c>
      <c r="C1711" s="8" t="s">
        <v>6353</v>
      </c>
      <c r="D1711" s="8">
        <v>72.0</v>
      </c>
    </row>
    <row r="1712">
      <c r="A1712" s="8" t="s">
        <v>231</v>
      </c>
      <c r="B1712" s="8" t="s">
        <v>220</v>
      </c>
      <c r="C1712" s="8" t="s">
        <v>6376</v>
      </c>
      <c r="D1712" s="8">
        <v>69.0</v>
      </c>
    </row>
    <row r="1713">
      <c r="A1713" s="8" t="s">
        <v>231</v>
      </c>
      <c r="B1713" s="8" t="s">
        <v>1405</v>
      </c>
      <c r="C1713" s="8" t="s">
        <v>6377</v>
      </c>
      <c r="D1713" s="8">
        <v>76.0</v>
      </c>
    </row>
    <row r="1714">
      <c r="A1714" s="8" t="s">
        <v>1017</v>
      </c>
      <c r="B1714" s="8" t="s">
        <v>1016</v>
      </c>
      <c r="C1714" s="8" t="s">
        <v>6357</v>
      </c>
      <c r="D1714" s="8">
        <v>80.0</v>
      </c>
    </row>
    <row r="1715">
      <c r="A1715" s="8" t="s">
        <v>1784</v>
      </c>
      <c r="B1715" s="8" t="s">
        <v>3052</v>
      </c>
      <c r="C1715" s="8" t="s">
        <v>6367</v>
      </c>
      <c r="D1715" s="8">
        <v>76.0</v>
      </c>
    </row>
    <row r="1716">
      <c r="A1716" s="8" t="s">
        <v>476</v>
      </c>
      <c r="B1716" s="8" t="s">
        <v>89</v>
      </c>
      <c r="C1716" s="8" t="s">
        <v>6360</v>
      </c>
      <c r="D1716" s="8">
        <v>68.0</v>
      </c>
    </row>
    <row r="1717">
      <c r="A1717" s="8" t="s">
        <v>476</v>
      </c>
      <c r="B1717" s="8" t="s">
        <v>475</v>
      </c>
      <c r="C1717" s="8" t="s">
        <v>6375</v>
      </c>
      <c r="D1717" s="8">
        <v>84.0</v>
      </c>
    </row>
    <row r="1718">
      <c r="A1718" s="8" t="s">
        <v>2239</v>
      </c>
      <c r="B1718" s="8" t="s">
        <v>628</v>
      </c>
      <c r="C1718" s="8" t="s">
        <v>6346</v>
      </c>
      <c r="D1718" s="8">
        <v>71.0</v>
      </c>
    </row>
    <row r="1719">
      <c r="A1719" s="8" t="s">
        <v>1621</v>
      </c>
      <c r="B1719" s="8" t="s">
        <v>106</v>
      </c>
      <c r="C1719" s="8" t="s">
        <v>6374</v>
      </c>
      <c r="D1719" s="8">
        <v>69.0</v>
      </c>
    </row>
    <row r="1720">
      <c r="A1720" s="8" t="s">
        <v>1621</v>
      </c>
      <c r="B1720" s="8" t="s">
        <v>1034</v>
      </c>
      <c r="C1720" s="8" t="s">
        <v>6360</v>
      </c>
      <c r="D1720" s="8">
        <v>74.0</v>
      </c>
    </row>
    <row r="1721">
      <c r="A1721" s="8" t="s">
        <v>2972</v>
      </c>
      <c r="B1721" s="8" t="s">
        <v>2971</v>
      </c>
      <c r="C1721" s="8" t="s">
        <v>6364</v>
      </c>
      <c r="D1721" s="8">
        <v>63.0</v>
      </c>
    </row>
    <row r="1722">
      <c r="A1722" s="8" t="s">
        <v>2357</v>
      </c>
      <c r="B1722" s="8" t="s">
        <v>2356</v>
      </c>
      <c r="C1722" s="8" t="s">
        <v>6361</v>
      </c>
      <c r="D1722" s="8">
        <v>73.0</v>
      </c>
    </row>
    <row r="1723">
      <c r="A1723" s="8" t="s">
        <v>6444</v>
      </c>
      <c r="B1723" s="8" t="s">
        <v>1200</v>
      </c>
      <c r="C1723" s="8" t="s">
        <v>6360</v>
      </c>
      <c r="D1723" s="8">
        <v>78.0</v>
      </c>
    </row>
    <row r="1724">
      <c r="A1724" s="8" t="s">
        <v>1530</v>
      </c>
      <c r="B1724" s="8" t="s">
        <v>1529</v>
      </c>
      <c r="C1724" s="8" t="s">
        <v>6376</v>
      </c>
      <c r="D1724" s="8">
        <v>74.0</v>
      </c>
    </row>
    <row r="1725">
      <c r="A1725" s="8" t="s">
        <v>2826</v>
      </c>
      <c r="B1725" s="8" t="s">
        <v>2825</v>
      </c>
      <c r="C1725" s="8" t="s">
        <v>6378</v>
      </c>
      <c r="D1725" s="8">
        <v>63.0</v>
      </c>
    </row>
    <row r="1726">
      <c r="A1726" s="8" t="s">
        <v>1084</v>
      </c>
      <c r="B1726" s="8" t="s">
        <v>2679</v>
      </c>
      <c r="C1726" s="8" t="s">
        <v>6348</v>
      </c>
      <c r="D1726" s="8">
        <v>89.0</v>
      </c>
    </row>
    <row r="1727">
      <c r="A1727" s="8" t="s">
        <v>1084</v>
      </c>
      <c r="B1727" s="8" t="s">
        <v>2679</v>
      </c>
      <c r="C1727" s="8" t="s">
        <v>6348</v>
      </c>
      <c r="D1727" s="8">
        <v>87.0</v>
      </c>
    </row>
    <row r="1728">
      <c r="A1728" s="8" t="s">
        <v>1927</v>
      </c>
      <c r="B1728" s="8" t="s">
        <v>1926</v>
      </c>
      <c r="C1728" s="8" t="s">
        <v>6357</v>
      </c>
      <c r="D1728" s="8">
        <v>67.0</v>
      </c>
    </row>
    <row r="1729">
      <c r="A1729" s="8" t="s">
        <v>819</v>
      </c>
      <c r="B1729" s="8" t="s">
        <v>84</v>
      </c>
      <c r="C1729" s="8" t="s">
        <v>6348</v>
      </c>
      <c r="D1729" s="8">
        <v>80.0</v>
      </c>
    </row>
    <row r="1730">
      <c r="A1730" s="8" t="s">
        <v>123</v>
      </c>
      <c r="B1730" s="8" t="s">
        <v>668</v>
      </c>
      <c r="C1730" s="8" t="s">
        <v>6352</v>
      </c>
      <c r="D1730" s="8">
        <v>71.0</v>
      </c>
    </row>
    <row r="1731">
      <c r="A1731" s="8" t="s">
        <v>1724</v>
      </c>
      <c r="B1731" s="8" t="s">
        <v>1723</v>
      </c>
      <c r="C1731" s="8" t="s">
        <v>6355</v>
      </c>
      <c r="D1731" s="8">
        <v>72.0</v>
      </c>
    </row>
    <row r="1732">
      <c r="A1732" s="8" t="s">
        <v>1627</v>
      </c>
      <c r="B1732" s="8" t="s">
        <v>1625</v>
      </c>
      <c r="C1732" s="8" t="s">
        <v>6348</v>
      </c>
      <c r="D1732" s="8">
        <v>65.0</v>
      </c>
    </row>
    <row r="1733">
      <c r="A1733" s="8" t="s">
        <v>2062</v>
      </c>
      <c r="B1733" s="8" t="s">
        <v>3032</v>
      </c>
      <c r="C1733" s="8" t="s">
        <v>6370</v>
      </c>
      <c r="D1733" s="8">
        <v>76.0</v>
      </c>
    </row>
    <row r="1734">
      <c r="A1734" s="8" t="s">
        <v>2062</v>
      </c>
      <c r="B1734" s="8" t="s">
        <v>106</v>
      </c>
      <c r="C1734" s="8" t="s">
        <v>6367</v>
      </c>
      <c r="D1734" s="8">
        <v>75.0</v>
      </c>
    </row>
    <row r="1735">
      <c r="A1735" s="8" t="s">
        <v>2758</v>
      </c>
      <c r="B1735" s="8" t="s">
        <v>2757</v>
      </c>
      <c r="C1735" s="8" t="s">
        <v>6364</v>
      </c>
      <c r="D1735" s="8">
        <v>61.0</v>
      </c>
    </row>
    <row r="1736">
      <c r="A1736" s="8" t="s">
        <v>2974</v>
      </c>
      <c r="B1736" s="8" t="s">
        <v>2973</v>
      </c>
      <c r="C1736" s="8" t="s">
        <v>6345</v>
      </c>
      <c r="D1736" s="8">
        <v>67.0</v>
      </c>
    </row>
    <row r="1737">
      <c r="A1737" s="8" t="s">
        <v>6445</v>
      </c>
      <c r="B1737" s="8" t="s">
        <v>78</v>
      </c>
      <c r="C1737" s="8" t="s">
        <v>6349</v>
      </c>
      <c r="D1737" s="8">
        <v>77.0</v>
      </c>
    </row>
    <row r="1738">
      <c r="A1738" s="8" t="s">
        <v>6445</v>
      </c>
      <c r="B1738" s="8" t="s">
        <v>1183</v>
      </c>
      <c r="C1738" s="8" t="s">
        <v>6376</v>
      </c>
      <c r="D1738" s="8">
        <v>73.0</v>
      </c>
    </row>
    <row r="1739">
      <c r="A1739" s="8" t="s">
        <v>1542</v>
      </c>
      <c r="B1739" s="8" t="s">
        <v>766</v>
      </c>
      <c r="C1739" s="8" t="s">
        <v>6356</v>
      </c>
      <c r="D1739" s="8">
        <v>68.0</v>
      </c>
    </row>
    <row r="1740">
      <c r="A1740" s="8" t="s">
        <v>1276</v>
      </c>
      <c r="B1740" s="8" t="s">
        <v>2777</v>
      </c>
      <c r="C1740" s="8" t="s">
        <v>6373</v>
      </c>
      <c r="D1740" s="8">
        <v>68.0</v>
      </c>
    </row>
    <row r="1741">
      <c r="A1741" s="8" t="s">
        <v>1004</v>
      </c>
      <c r="B1741" s="8" t="s">
        <v>1550</v>
      </c>
      <c r="C1741" s="8" t="s">
        <v>6378</v>
      </c>
      <c r="D1741" s="8">
        <v>71.0</v>
      </c>
    </row>
    <row r="1742">
      <c r="A1742" s="8" t="s">
        <v>771</v>
      </c>
      <c r="B1742" s="8" t="s">
        <v>5676</v>
      </c>
      <c r="C1742" s="8" t="s">
        <v>6359</v>
      </c>
      <c r="D1742" s="8">
        <v>77.0</v>
      </c>
    </row>
    <row r="1743">
      <c r="A1743" s="8" t="s">
        <v>771</v>
      </c>
      <c r="B1743" s="8" t="s">
        <v>5678</v>
      </c>
      <c r="C1743" s="8" t="s">
        <v>6360</v>
      </c>
      <c r="D1743" s="8">
        <v>69.0</v>
      </c>
    </row>
    <row r="1744">
      <c r="A1744" s="8" t="s">
        <v>771</v>
      </c>
      <c r="B1744" s="8" t="s">
        <v>1437</v>
      </c>
      <c r="C1744" s="8" t="s">
        <v>6365</v>
      </c>
      <c r="D1744" s="8">
        <v>75.0</v>
      </c>
    </row>
    <row r="1745">
      <c r="A1745" s="8" t="s">
        <v>194</v>
      </c>
      <c r="B1745" s="8" t="s">
        <v>193</v>
      </c>
      <c r="C1745" s="8" t="s">
        <v>6362</v>
      </c>
      <c r="D1745" s="8">
        <v>79.0</v>
      </c>
    </row>
    <row r="1746">
      <c r="A1746" s="8" t="s">
        <v>194</v>
      </c>
      <c r="B1746" s="8" t="s">
        <v>3018</v>
      </c>
      <c r="C1746" s="8" t="s">
        <v>6367</v>
      </c>
      <c r="D1746" s="8">
        <v>81.0</v>
      </c>
    </row>
    <row r="1747">
      <c r="A1747" s="8" t="s">
        <v>194</v>
      </c>
      <c r="B1747" s="8" t="s">
        <v>2915</v>
      </c>
      <c r="C1747" s="8" t="s">
        <v>6373</v>
      </c>
      <c r="D1747" s="8">
        <v>78.0</v>
      </c>
    </row>
    <row r="1748">
      <c r="A1748" s="8" t="s">
        <v>194</v>
      </c>
      <c r="B1748" s="8" t="s">
        <v>1000</v>
      </c>
      <c r="C1748" s="8" t="s">
        <v>6367</v>
      </c>
      <c r="D1748" s="8">
        <v>76.0</v>
      </c>
    </row>
    <row r="1749">
      <c r="A1749" s="8" t="s">
        <v>194</v>
      </c>
      <c r="B1749" s="8" t="s">
        <v>364</v>
      </c>
      <c r="C1749" s="8" t="s">
        <v>6345</v>
      </c>
      <c r="D1749" s="8">
        <v>73.0</v>
      </c>
    </row>
    <row r="1750">
      <c r="A1750" s="8" t="s">
        <v>194</v>
      </c>
      <c r="B1750" s="8" t="s">
        <v>2976</v>
      </c>
      <c r="C1750" s="8" t="s">
        <v>6348</v>
      </c>
      <c r="D1750" s="8">
        <v>75.0</v>
      </c>
    </row>
    <row r="1751">
      <c r="A1751" s="8" t="s">
        <v>194</v>
      </c>
      <c r="B1751" s="8" t="s">
        <v>308</v>
      </c>
      <c r="C1751" s="8" t="s">
        <v>6349</v>
      </c>
      <c r="D1751" s="8">
        <v>82.0</v>
      </c>
    </row>
    <row r="1752">
      <c r="A1752" s="8" t="s">
        <v>194</v>
      </c>
      <c r="B1752" s="8" t="s">
        <v>126</v>
      </c>
      <c r="C1752" s="8" t="s">
        <v>6352</v>
      </c>
      <c r="D1752" s="8">
        <v>88.0</v>
      </c>
    </row>
    <row r="1753">
      <c r="A1753" s="8" t="s">
        <v>194</v>
      </c>
      <c r="B1753" s="8" t="s">
        <v>193</v>
      </c>
      <c r="C1753" s="8" t="s">
        <v>6362</v>
      </c>
      <c r="D1753" s="8">
        <v>85.0</v>
      </c>
    </row>
    <row r="1754">
      <c r="A1754" s="8" t="s">
        <v>628</v>
      </c>
      <c r="B1754" s="8" t="s">
        <v>1282</v>
      </c>
      <c r="C1754" s="8" t="s">
        <v>6364</v>
      </c>
      <c r="D1754" s="8">
        <v>72.0</v>
      </c>
    </row>
    <row r="1755">
      <c r="A1755" s="8" t="s">
        <v>628</v>
      </c>
      <c r="B1755" s="8" t="s">
        <v>627</v>
      </c>
      <c r="C1755" s="8" t="s">
        <v>6375</v>
      </c>
      <c r="D1755" s="8">
        <v>73.0</v>
      </c>
    </row>
    <row r="1756">
      <c r="A1756" s="8" t="s">
        <v>628</v>
      </c>
      <c r="B1756" s="8" t="s">
        <v>3016</v>
      </c>
      <c r="C1756" s="8" t="s">
        <v>6370</v>
      </c>
      <c r="D1756" s="8">
        <v>79.0</v>
      </c>
    </row>
    <row r="1757">
      <c r="A1757" s="8" t="s">
        <v>1522</v>
      </c>
      <c r="B1757" s="8" t="s">
        <v>1237</v>
      </c>
      <c r="C1757" s="8" t="s">
        <v>6363</v>
      </c>
      <c r="D1757" s="8">
        <v>74.0</v>
      </c>
    </row>
    <row r="1758">
      <c r="A1758" s="8" t="s">
        <v>401</v>
      </c>
      <c r="B1758" s="8" t="s">
        <v>400</v>
      </c>
      <c r="C1758" s="8" t="s">
        <v>6370</v>
      </c>
      <c r="D1758" s="8">
        <v>81.0</v>
      </c>
    </row>
    <row r="1759">
      <c r="A1759" s="8" t="s">
        <v>1298</v>
      </c>
      <c r="B1759" s="8" t="s">
        <v>306</v>
      </c>
      <c r="C1759" s="8" t="s">
        <v>6370</v>
      </c>
      <c r="D1759" s="8">
        <v>62.0</v>
      </c>
    </row>
    <row r="1760">
      <c r="A1760" s="8" t="s">
        <v>1860</v>
      </c>
      <c r="B1760" s="8" t="s">
        <v>1859</v>
      </c>
      <c r="C1760" s="8" t="s">
        <v>6358</v>
      </c>
      <c r="D1760" s="8">
        <v>66.0</v>
      </c>
    </row>
    <row r="1761">
      <c r="A1761" s="8" t="s">
        <v>1368</v>
      </c>
      <c r="B1761" s="8" t="s">
        <v>1367</v>
      </c>
      <c r="C1761" s="8" t="s">
        <v>6360</v>
      </c>
      <c r="D1761" s="8">
        <v>72.0</v>
      </c>
    </row>
    <row r="1762">
      <c r="A1762" s="8" t="s">
        <v>1384</v>
      </c>
      <c r="B1762" s="8" t="s">
        <v>106</v>
      </c>
      <c r="C1762" s="8" t="s">
        <v>6376</v>
      </c>
      <c r="D1762" s="8">
        <v>68.0</v>
      </c>
    </row>
    <row r="1763">
      <c r="A1763" s="8" t="s">
        <v>1746</v>
      </c>
      <c r="B1763" s="8" t="s">
        <v>500</v>
      </c>
      <c r="C1763" s="8" t="s">
        <v>6357</v>
      </c>
      <c r="D1763" s="8">
        <v>67.0</v>
      </c>
    </row>
    <row r="1764">
      <c r="A1764" s="8" t="s">
        <v>2124</v>
      </c>
      <c r="B1764" s="8" t="s">
        <v>3086</v>
      </c>
      <c r="C1764" s="8" t="s">
        <v>6370</v>
      </c>
      <c r="D1764" s="8">
        <v>74.0</v>
      </c>
    </row>
    <row r="1765">
      <c r="A1765" s="8" t="s">
        <v>2124</v>
      </c>
      <c r="B1765" s="8" t="s">
        <v>2081</v>
      </c>
      <c r="C1765" s="8" t="s">
        <v>6352</v>
      </c>
      <c r="D1765" s="8">
        <v>78.0</v>
      </c>
    </row>
    <row r="1766">
      <c r="A1766" s="8" t="s">
        <v>48</v>
      </c>
      <c r="B1766" s="8" t="s">
        <v>47</v>
      </c>
      <c r="C1766" s="8" t="s">
        <v>6344</v>
      </c>
      <c r="D1766" s="8">
        <v>82.0</v>
      </c>
    </row>
    <row r="1767">
      <c r="A1767" s="8" t="s">
        <v>690</v>
      </c>
      <c r="B1767" s="8" t="s">
        <v>3081</v>
      </c>
      <c r="C1767" s="8" t="s">
        <v>6354</v>
      </c>
      <c r="D1767" s="8">
        <v>67.0</v>
      </c>
    </row>
    <row r="1768">
      <c r="A1768" s="8" t="s">
        <v>690</v>
      </c>
      <c r="B1768" s="8" t="s">
        <v>1155</v>
      </c>
      <c r="C1768" s="8" t="s">
        <v>6362</v>
      </c>
      <c r="D1768" s="8">
        <v>75.0</v>
      </c>
    </row>
    <row r="1769">
      <c r="A1769" s="8" t="s">
        <v>668</v>
      </c>
      <c r="B1769" s="8" t="s">
        <v>2802</v>
      </c>
      <c r="C1769" s="8" t="s">
        <v>6356</v>
      </c>
      <c r="D1769" s="8">
        <v>82.0</v>
      </c>
    </row>
    <row r="1770">
      <c r="A1770" s="8" t="s">
        <v>668</v>
      </c>
      <c r="B1770" s="8" t="s">
        <v>667</v>
      </c>
      <c r="C1770" s="8" t="s">
        <v>6361</v>
      </c>
      <c r="D1770" s="8">
        <v>75.0</v>
      </c>
    </row>
    <row r="1771">
      <c r="A1771" s="8" t="s">
        <v>668</v>
      </c>
      <c r="B1771" s="8" t="s">
        <v>2802</v>
      </c>
      <c r="C1771" s="8" t="s">
        <v>6356</v>
      </c>
      <c r="D1771" s="8">
        <v>87.0</v>
      </c>
    </row>
    <row r="1772">
      <c r="A1772" s="8" t="s">
        <v>1639</v>
      </c>
      <c r="B1772" s="8" t="s">
        <v>1638</v>
      </c>
      <c r="C1772" s="8" t="s">
        <v>6356</v>
      </c>
      <c r="D1772" s="8">
        <v>62.0</v>
      </c>
    </row>
    <row r="1773">
      <c r="A1773" s="8" t="s">
        <v>1107</v>
      </c>
      <c r="B1773" s="8" t="s">
        <v>99</v>
      </c>
      <c r="C1773" s="8" t="s">
        <v>6370</v>
      </c>
      <c r="D1773" s="8">
        <v>77.0</v>
      </c>
    </row>
    <row r="1774">
      <c r="A1774" s="8" t="s">
        <v>1107</v>
      </c>
      <c r="B1774" s="8" t="s">
        <v>106</v>
      </c>
      <c r="C1774" s="8" t="s">
        <v>6350</v>
      </c>
      <c r="D1774" s="8">
        <v>78.0</v>
      </c>
    </row>
    <row r="1775">
      <c r="A1775" s="8" t="s">
        <v>340</v>
      </c>
      <c r="B1775" s="8" t="s">
        <v>339</v>
      </c>
      <c r="C1775" s="8" t="s">
        <v>6359</v>
      </c>
      <c r="D1775" s="8">
        <v>78.0</v>
      </c>
    </row>
    <row r="1776">
      <c r="A1776" s="8" t="s">
        <v>2700</v>
      </c>
      <c r="B1776" s="8" t="s">
        <v>858</v>
      </c>
      <c r="C1776" s="8" t="s">
        <v>6345</v>
      </c>
      <c r="D1776" s="8">
        <v>67.0</v>
      </c>
    </row>
    <row r="1777">
      <c r="A1777" s="8" t="s">
        <v>1148</v>
      </c>
      <c r="B1777" s="8" t="s">
        <v>1147</v>
      </c>
      <c r="C1777" s="8" t="s">
        <v>6353</v>
      </c>
      <c r="D1777" s="8">
        <v>76.0</v>
      </c>
    </row>
    <row r="1778">
      <c r="A1778" s="8" t="s">
        <v>1576</v>
      </c>
      <c r="B1778" s="8" t="s">
        <v>1575</v>
      </c>
      <c r="C1778" s="8" t="s">
        <v>6347</v>
      </c>
      <c r="D1778" s="8">
        <v>64.0</v>
      </c>
    </row>
    <row r="1779">
      <c r="A1779" s="8" t="s">
        <v>2200</v>
      </c>
      <c r="B1779" s="8" t="s">
        <v>220</v>
      </c>
      <c r="C1779" s="8" t="s">
        <v>6361</v>
      </c>
      <c r="D1779" s="8">
        <v>79.0</v>
      </c>
    </row>
    <row r="1780">
      <c r="A1780" s="8" t="s">
        <v>900</v>
      </c>
      <c r="B1780" s="8" t="s">
        <v>899</v>
      </c>
      <c r="C1780" s="8" t="s">
        <v>6378</v>
      </c>
      <c r="D1780" s="8">
        <v>77.0</v>
      </c>
    </row>
    <row r="1781">
      <c r="A1781" s="8" t="s">
        <v>900</v>
      </c>
      <c r="B1781" s="8" t="s">
        <v>2924</v>
      </c>
      <c r="C1781" s="8" t="s">
        <v>6364</v>
      </c>
      <c r="D1781" s="8">
        <v>68.0</v>
      </c>
    </row>
    <row r="1782">
      <c r="A1782" s="8" t="s">
        <v>900</v>
      </c>
      <c r="B1782" s="8" t="s">
        <v>451</v>
      </c>
      <c r="C1782" s="8" t="s">
        <v>6361</v>
      </c>
      <c r="D1782" s="8">
        <v>74.0</v>
      </c>
    </row>
    <row r="1783">
      <c r="A1783" s="8" t="s">
        <v>900</v>
      </c>
      <c r="B1783" s="8" t="s">
        <v>1681</v>
      </c>
      <c r="C1783" s="8" t="s">
        <v>6367</v>
      </c>
      <c r="D1783" s="8">
        <v>65.0</v>
      </c>
    </row>
    <row r="1784">
      <c r="A1784" s="8" t="s">
        <v>3026</v>
      </c>
      <c r="B1784" s="8" t="s">
        <v>3025</v>
      </c>
      <c r="C1784" s="8" t="s">
        <v>6355</v>
      </c>
      <c r="D1784" s="8">
        <v>73.0</v>
      </c>
    </row>
    <row r="1785">
      <c r="A1785" s="8" t="s">
        <v>804</v>
      </c>
      <c r="B1785" s="8" t="s">
        <v>946</v>
      </c>
      <c r="C1785" s="8" t="s">
        <v>6371</v>
      </c>
      <c r="D1785" s="8">
        <v>64.0</v>
      </c>
    </row>
    <row r="1786">
      <c r="A1786" s="8" t="s">
        <v>804</v>
      </c>
      <c r="B1786" s="8" t="s">
        <v>890</v>
      </c>
      <c r="C1786" s="8" t="s">
        <v>6370</v>
      </c>
      <c r="D1786" s="8">
        <v>78.0</v>
      </c>
    </row>
    <row r="1787">
      <c r="A1787" s="8" t="s">
        <v>804</v>
      </c>
      <c r="B1787" s="8" t="s">
        <v>803</v>
      </c>
      <c r="C1787" s="8" t="s">
        <v>6354</v>
      </c>
      <c r="D1787" s="8">
        <v>78.0</v>
      </c>
    </row>
    <row r="1788">
      <c r="A1788" s="8" t="s">
        <v>2189</v>
      </c>
      <c r="B1788" s="8" t="s">
        <v>2188</v>
      </c>
      <c r="C1788" s="8" t="s">
        <v>6347</v>
      </c>
      <c r="D1788" s="8">
        <v>78.0</v>
      </c>
    </row>
    <row r="1789">
      <c r="A1789" s="8" t="s">
        <v>191</v>
      </c>
      <c r="B1789" s="8" t="s">
        <v>190</v>
      </c>
      <c r="C1789" s="8" t="s">
        <v>6345</v>
      </c>
      <c r="D1789" s="8">
        <v>70.0</v>
      </c>
    </row>
    <row r="1790">
      <c r="A1790" s="8" t="s">
        <v>988</v>
      </c>
      <c r="B1790" s="8" t="s">
        <v>987</v>
      </c>
      <c r="C1790" s="8" t="s">
        <v>6356</v>
      </c>
      <c r="D1790" s="8">
        <v>65.0</v>
      </c>
    </row>
    <row r="1791">
      <c r="A1791" s="8" t="s">
        <v>1065</v>
      </c>
      <c r="B1791" s="8" t="s">
        <v>451</v>
      </c>
      <c r="C1791" s="8" t="s">
        <v>6357</v>
      </c>
      <c r="D1791" s="8">
        <v>77.0</v>
      </c>
    </row>
    <row r="1792">
      <c r="A1792" s="8" t="s">
        <v>155</v>
      </c>
      <c r="B1792" s="8" t="s">
        <v>2853</v>
      </c>
      <c r="C1792" s="8" t="s">
        <v>6345</v>
      </c>
      <c r="D1792" s="8">
        <v>67.0</v>
      </c>
    </row>
    <row r="1793">
      <c r="A1793" s="8" t="s">
        <v>155</v>
      </c>
      <c r="B1793" s="8" t="s">
        <v>154</v>
      </c>
      <c r="C1793" s="8" t="s">
        <v>6368</v>
      </c>
      <c r="D1793" s="8">
        <v>78.0</v>
      </c>
    </row>
    <row r="1794">
      <c r="A1794" s="8" t="s">
        <v>497</v>
      </c>
      <c r="B1794" s="8" t="s">
        <v>496</v>
      </c>
      <c r="C1794" s="8" t="s">
        <v>6355</v>
      </c>
      <c r="D1794" s="8">
        <v>81.0</v>
      </c>
    </row>
    <row r="1795">
      <c r="A1795" s="8" t="s">
        <v>483</v>
      </c>
      <c r="B1795" s="8" t="s">
        <v>1177</v>
      </c>
      <c r="C1795" s="8" t="s">
        <v>6374</v>
      </c>
      <c r="D1795" s="8">
        <v>74.0</v>
      </c>
    </row>
    <row r="1796">
      <c r="A1796" s="8" t="s">
        <v>483</v>
      </c>
      <c r="B1796" s="8" t="s">
        <v>482</v>
      </c>
      <c r="C1796" s="8" t="s">
        <v>6350</v>
      </c>
      <c r="D1796" s="8">
        <v>78.0</v>
      </c>
    </row>
    <row r="1797">
      <c r="A1797" s="8" t="s">
        <v>483</v>
      </c>
      <c r="B1797" s="8" t="s">
        <v>1911</v>
      </c>
      <c r="C1797" s="8" t="s">
        <v>6376</v>
      </c>
      <c r="D1797" s="8">
        <v>84.0</v>
      </c>
    </row>
    <row r="1798">
      <c r="A1798" s="8" t="s">
        <v>483</v>
      </c>
      <c r="B1798" s="8" t="s">
        <v>1911</v>
      </c>
      <c r="C1798" s="8" t="s">
        <v>6365</v>
      </c>
      <c r="D1798" s="8">
        <v>85.0</v>
      </c>
    </row>
    <row r="1799">
      <c r="A1799" s="8" t="s">
        <v>483</v>
      </c>
      <c r="B1799" s="8" t="s">
        <v>1911</v>
      </c>
      <c r="C1799" s="8" t="s">
        <v>6362</v>
      </c>
      <c r="D1799" s="8">
        <v>83.0</v>
      </c>
    </row>
    <row r="1800">
      <c r="A1800" s="8" t="s">
        <v>483</v>
      </c>
      <c r="B1800" s="8" t="s">
        <v>1911</v>
      </c>
      <c r="C1800" s="8" t="s">
        <v>6362</v>
      </c>
      <c r="D1800" s="8">
        <v>87.0</v>
      </c>
    </row>
    <row r="1801">
      <c r="A1801" s="8" t="s">
        <v>483</v>
      </c>
      <c r="B1801" s="8" t="s">
        <v>1911</v>
      </c>
      <c r="C1801" s="8" t="s">
        <v>6365</v>
      </c>
      <c r="D1801" s="8">
        <v>91.0</v>
      </c>
    </row>
    <row r="1802">
      <c r="A1802" s="8" t="s">
        <v>1749</v>
      </c>
      <c r="B1802" s="8" t="s">
        <v>1748</v>
      </c>
      <c r="C1802" s="8" t="s">
        <v>6359</v>
      </c>
      <c r="D1802" s="8">
        <v>62.0</v>
      </c>
    </row>
    <row r="1803">
      <c r="A1803" s="8" t="s">
        <v>1749</v>
      </c>
      <c r="B1803" s="8" t="s">
        <v>1280</v>
      </c>
      <c r="C1803" s="8" t="s">
        <v>6371</v>
      </c>
      <c r="D1803" s="8">
        <v>75.0</v>
      </c>
    </row>
    <row r="1804">
      <c r="A1804" s="8" t="s">
        <v>585</v>
      </c>
      <c r="B1804" s="8" t="s">
        <v>385</v>
      </c>
      <c r="C1804" s="8" t="s">
        <v>6376</v>
      </c>
      <c r="D1804" s="8">
        <v>83.0</v>
      </c>
    </row>
    <row r="1805">
      <c r="A1805" s="8" t="s">
        <v>585</v>
      </c>
      <c r="B1805" s="8" t="s">
        <v>1800</v>
      </c>
      <c r="C1805" s="8" t="s">
        <v>6369</v>
      </c>
      <c r="D1805" s="8">
        <v>69.0</v>
      </c>
    </row>
    <row r="1806">
      <c r="A1806" s="8" t="s">
        <v>585</v>
      </c>
      <c r="B1806" s="8" t="s">
        <v>1164</v>
      </c>
      <c r="C1806" s="8" t="s">
        <v>6354</v>
      </c>
      <c r="D1806" s="8">
        <v>77.0</v>
      </c>
    </row>
    <row r="1807">
      <c r="A1807" s="8" t="s">
        <v>585</v>
      </c>
      <c r="B1807" s="8" t="s">
        <v>1164</v>
      </c>
      <c r="C1807" s="8" t="s">
        <v>6354</v>
      </c>
      <c r="D1807" s="8">
        <v>87.0</v>
      </c>
    </row>
    <row r="1808">
      <c r="A1808" s="8" t="s">
        <v>598</v>
      </c>
      <c r="B1808" s="8" t="s">
        <v>597</v>
      </c>
      <c r="C1808" s="8" t="s">
        <v>6352</v>
      </c>
      <c r="D1808" s="8">
        <v>67.0</v>
      </c>
    </row>
    <row r="1809">
      <c r="A1809" s="8" t="s">
        <v>598</v>
      </c>
      <c r="B1809" s="8" t="s">
        <v>2818</v>
      </c>
      <c r="C1809" s="8" t="s">
        <v>6346</v>
      </c>
      <c r="D1809" s="8">
        <v>70.0</v>
      </c>
    </row>
    <row r="1810">
      <c r="A1810" s="8" t="s">
        <v>1786</v>
      </c>
      <c r="B1810" s="8" t="s">
        <v>1835</v>
      </c>
      <c r="C1810" s="8" t="s">
        <v>6377</v>
      </c>
      <c r="D1810" s="8">
        <v>70.0</v>
      </c>
    </row>
    <row r="1811">
      <c r="A1811" s="8" t="s">
        <v>1786</v>
      </c>
      <c r="B1811" s="8" t="s">
        <v>308</v>
      </c>
      <c r="C1811" s="8" t="s">
        <v>6378</v>
      </c>
      <c r="D1811" s="8">
        <v>68.0</v>
      </c>
    </row>
    <row r="1812">
      <c r="A1812" s="8" t="s">
        <v>3036</v>
      </c>
      <c r="B1812" s="8" t="s">
        <v>1031</v>
      </c>
      <c r="C1812" s="8" t="s">
        <v>6347</v>
      </c>
      <c r="D1812" s="8">
        <v>63.0</v>
      </c>
    </row>
    <row r="1813">
      <c r="A1813" s="8" t="s">
        <v>2347</v>
      </c>
      <c r="B1813" s="8" t="s">
        <v>268</v>
      </c>
      <c r="C1813" s="8" t="s">
        <v>6371</v>
      </c>
      <c r="D1813" s="8">
        <v>70.0</v>
      </c>
    </row>
    <row r="1814">
      <c r="A1814" s="8" t="s">
        <v>939</v>
      </c>
      <c r="B1814" s="8" t="s">
        <v>537</v>
      </c>
      <c r="C1814" s="8" t="s">
        <v>6365</v>
      </c>
      <c r="D1814" s="8">
        <v>65.0</v>
      </c>
    </row>
    <row r="1815">
      <c r="A1815" s="8" t="s">
        <v>1769</v>
      </c>
      <c r="B1815" s="8" t="s">
        <v>888</v>
      </c>
      <c r="C1815" s="8" t="s">
        <v>6375</v>
      </c>
      <c r="D1815" s="8">
        <v>74.0</v>
      </c>
    </row>
    <row r="1816">
      <c r="A1816" s="8" t="s">
        <v>642</v>
      </c>
      <c r="B1816" s="8" t="s">
        <v>641</v>
      </c>
      <c r="C1816" s="8" t="s">
        <v>6348</v>
      </c>
      <c r="D1816" s="8">
        <v>72.0</v>
      </c>
    </row>
    <row r="1817">
      <c r="A1817" s="8" t="s">
        <v>642</v>
      </c>
      <c r="B1817" s="8" t="s">
        <v>2380</v>
      </c>
      <c r="C1817" s="8" t="s">
        <v>6345</v>
      </c>
      <c r="D1817" s="8">
        <v>68.0</v>
      </c>
    </row>
    <row r="1818">
      <c r="A1818" s="8" t="s">
        <v>1487</v>
      </c>
      <c r="B1818" s="8" t="s">
        <v>282</v>
      </c>
      <c r="C1818" s="8" t="s">
        <v>6344</v>
      </c>
      <c r="D1818" s="8">
        <v>70.0</v>
      </c>
    </row>
    <row r="1819">
      <c r="A1819" s="8" t="s">
        <v>2101</v>
      </c>
      <c r="B1819" s="8" t="s">
        <v>2100</v>
      </c>
      <c r="C1819" s="8" t="s">
        <v>6361</v>
      </c>
      <c r="D1819" s="8">
        <v>72.0</v>
      </c>
    </row>
    <row r="1820">
      <c r="A1820" s="8" t="s">
        <v>1274</v>
      </c>
      <c r="B1820" s="8" t="s">
        <v>1273</v>
      </c>
      <c r="C1820" s="8" t="s">
        <v>6371</v>
      </c>
      <c r="D1820" s="8">
        <v>69.0</v>
      </c>
    </row>
    <row r="1821">
      <c r="A1821" s="8" t="s">
        <v>1173</v>
      </c>
      <c r="B1821" s="8" t="s">
        <v>61</v>
      </c>
      <c r="C1821" s="8" t="s">
        <v>6372</v>
      </c>
      <c r="D1821" s="8">
        <v>64.0</v>
      </c>
    </row>
    <row r="1822">
      <c r="A1822" s="8" t="s">
        <v>1173</v>
      </c>
      <c r="B1822" s="8" t="s">
        <v>1582</v>
      </c>
      <c r="C1822" s="8" t="s">
        <v>6373</v>
      </c>
      <c r="D1822" s="8">
        <v>78.0</v>
      </c>
    </row>
    <row r="1823">
      <c r="A1823" s="8" t="s">
        <v>1173</v>
      </c>
      <c r="B1823" s="8" t="s">
        <v>267</v>
      </c>
      <c r="C1823" s="8" t="s">
        <v>6355</v>
      </c>
      <c r="D1823" s="8">
        <v>62.0</v>
      </c>
    </row>
    <row r="1824">
      <c r="A1824" s="8" t="s">
        <v>286</v>
      </c>
      <c r="B1824" s="8" t="s">
        <v>284</v>
      </c>
      <c r="C1824" s="8" t="s">
        <v>6347</v>
      </c>
      <c r="D1824" s="8">
        <v>85.0</v>
      </c>
    </row>
    <row r="1825">
      <c r="A1825" s="8" t="s">
        <v>286</v>
      </c>
      <c r="B1825" s="8" t="s">
        <v>284</v>
      </c>
      <c r="C1825" s="8" t="s">
        <v>6347</v>
      </c>
      <c r="D1825" s="8">
        <v>88.0</v>
      </c>
    </row>
    <row r="1826">
      <c r="A1826" s="8" t="s">
        <v>1444</v>
      </c>
      <c r="B1826" s="8" t="s">
        <v>154</v>
      </c>
      <c r="C1826" s="8" t="s">
        <v>6356</v>
      </c>
      <c r="D1826" s="8">
        <v>90.0</v>
      </c>
    </row>
    <row r="1827">
      <c r="A1827" s="8" t="s">
        <v>1444</v>
      </c>
      <c r="B1827" s="8" t="s">
        <v>154</v>
      </c>
      <c r="C1827" s="8" t="s">
        <v>6356</v>
      </c>
      <c r="D1827" s="8">
        <v>85.0</v>
      </c>
    </row>
    <row r="1828">
      <c r="A1828" s="8" t="s">
        <v>485</v>
      </c>
      <c r="B1828" s="8" t="s">
        <v>484</v>
      </c>
      <c r="C1828" s="8" t="s">
        <v>6362</v>
      </c>
      <c r="D1828" s="8">
        <v>77.0</v>
      </c>
    </row>
    <row r="1829">
      <c r="A1829" s="8" t="s">
        <v>370</v>
      </c>
      <c r="B1829" s="8" t="s">
        <v>369</v>
      </c>
      <c r="C1829" s="8" t="s">
        <v>6348</v>
      </c>
      <c r="D1829" s="8">
        <v>76.0</v>
      </c>
    </row>
    <row r="1830">
      <c r="A1830" s="8" t="s">
        <v>315</v>
      </c>
      <c r="B1830" s="8" t="s">
        <v>2663</v>
      </c>
      <c r="C1830" s="8" t="s">
        <v>6374</v>
      </c>
      <c r="D1830" s="8">
        <v>63.0</v>
      </c>
    </row>
    <row r="1831">
      <c r="A1831" s="8" t="s">
        <v>315</v>
      </c>
      <c r="B1831" s="8" t="s">
        <v>97</v>
      </c>
      <c r="C1831" s="8" t="s">
        <v>6375</v>
      </c>
      <c r="D1831" s="8">
        <v>74.0</v>
      </c>
    </row>
    <row r="1832">
      <c r="A1832" s="8" t="s">
        <v>315</v>
      </c>
      <c r="B1832" s="8" t="s">
        <v>314</v>
      </c>
      <c r="C1832" s="8" t="s">
        <v>6356</v>
      </c>
      <c r="D1832" s="8">
        <v>87.0</v>
      </c>
    </row>
    <row r="1833">
      <c r="A1833" s="8" t="s">
        <v>74</v>
      </c>
      <c r="B1833" s="8" t="s">
        <v>260</v>
      </c>
      <c r="C1833" s="8" t="s">
        <v>6356</v>
      </c>
      <c r="D1833" s="8">
        <v>68.0</v>
      </c>
    </row>
    <row r="1834">
      <c r="A1834" s="8" t="s">
        <v>612</v>
      </c>
      <c r="B1834" s="8" t="s">
        <v>611</v>
      </c>
      <c r="C1834" s="8" t="s">
        <v>6353</v>
      </c>
      <c r="D1834" s="8">
        <v>83.0</v>
      </c>
    </row>
    <row r="1835">
      <c r="A1835" s="8" t="s">
        <v>612</v>
      </c>
      <c r="B1835" s="8" t="s">
        <v>1172</v>
      </c>
      <c r="C1835" s="8" t="s">
        <v>6349</v>
      </c>
      <c r="D1835" s="8">
        <v>68.0</v>
      </c>
    </row>
    <row r="1836">
      <c r="A1836" s="8" t="s">
        <v>2838</v>
      </c>
      <c r="B1836" s="8" t="s">
        <v>2837</v>
      </c>
      <c r="C1836" s="8" t="s">
        <v>6345</v>
      </c>
      <c r="D1836" s="8">
        <v>66.0</v>
      </c>
    </row>
    <row r="1837">
      <c r="A1837" s="8" t="s">
        <v>1563</v>
      </c>
      <c r="B1837" s="8" t="s">
        <v>1967</v>
      </c>
      <c r="C1837" s="8" t="s">
        <v>6352</v>
      </c>
      <c r="D1837" s="8">
        <v>72.0</v>
      </c>
    </row>
    <row r="1838">
      <c r="A1838" s="8" t="s">
        <v>1452</v>
      </c>
      <c r="B1838" s="8" t="s">
        <v>1451</v>
      </c>
      <c r="C1838" s="8" t="s">
        <v>6374</v>
      </c>
      <c r="D1838" s="8">
        <v>67.0</v>
      </c>
    </row>
    <row r="1839">
      <c r="A1839" s="8" t="s">
        <v>1961</v>
      </c>
      <c r="B1839" s="8" t="s">
        <v>1960</v>
      </c>
      <c r="C1839" s="8" t="s">
        <v>6361</v>
      </c>
      <c r="D1839" s="8">
        <v>78.0</v>
      </c>
    </row>
    <row r="1840">
      <c r="A1840" s="8" t="s">
        <v>2655</v>
      </c>
      <c r="B1840" s="8" t="s">
        <v>460</v>
      </c>
      <c r="C1840" s="8" t="s">
        <v>6372</v>
      </c>
      <c r="D1840" s="8">
        <v>80.0</v>
      </c>
    </row>
    <row r="1841">
      <c r="A1841" s="8" t="s">
        <v>2655</v>
      </c>
      <c r="B1841" s="8" t="s">
        <v>1516</v>
      </c>
      <c r="C1841" s="8" t="s">
        <v>6377</v>
      </c>
      <c r="D1841" s="8">
        <v>71.0</v>
      </c>
    </row>
    <row r="1842">
      <c r="A1842" s="8" t="s">
        <v>421</v>
      </c>
      <c r="B1842" s="8" t="s">
        <v>1149</v>
      </c>
      <c r="C1842" s="8" t="s">
        <v>6348</v>
      </c>
      <c r="D1842" s="8">
        <v>75.0</v>
      </c>
    </row>
    <row r="1843">
      <c r="A1843" s="8" t="s">
        <v>421</v>
      </c>
      <c r="B1843" s="8" t="s">
        <v>1391</v>
      </c>
      <c r="C1843" s="8" t="s">
        <v>6360</v>
      </c>
      <c r="D1843" s="8">
        <v>69.0</v>
      </c>
    </row>
    <row r="1844">
      <c r="A1844" s="8" t="s">
        <v>421</v>
      </c>
      <c r="B1844" s="8" t="s">
        <v>420</v>
      </c>
      <c r="C1844" s="8" t="s">
        <v>6365</v>
      </c>
      <c r="D1844" s="8">
        <v>76.0</v>
      </c>
    </row>
    <row r="1845">
      <c r="A1845" s="8" t="s">
        <v>2923</v>
      </c>
      <c r="B1845" s="8" t="s">
        <v>164</v>
      </c>
      <c r="C1845" s="8" t="s">
        <v>6354</v>
      </c>
      <c r="D1845" s="8">
        <v>80.0</v>
      </c>
    </row>
    <row r="1846">
      <c r="A1846" s="8" t="s">
        <v>1941</v>
      </c>
      <c r="B1846" s="8" t="s">
        <v>2185</v>
      </c>
      <c r="C1846" s="8" t="s">
        <v>6348</v>
      </c>
      <c r="D1846" s="8">
        <v>67.0</v>
      </c>
    </row>
    <row r="1847">
      <c r="A1847" s="8" t="s">
        <v>936</v>
      </c>
      <c r="B1847" s="8" t="s">
        <v>935</v>
      </c>
      <c r="C1847" s="8" t="s">
        <v>6357</v>
      </c>
      <c r="D1847" s="8">
        <v>80.0</v>
      </c>
    </row>
    <row r="1848">
      <c r="A1848" s="8" t="s">
        <v>72</v>
      </c>
      <c r="B1848" s="8" t="s">
        <v>71</v>
      </c>
      <c r="C1848" s="8" t="s">
        <v>6356</v>
      </c>
      <c r="D1848" s="8">
        <v>83.0</v>
      </c>
    </row>
    <row r="1849">
      <c r="A1849" s="8" t="s">
        <v>1075</v>
      </c>
      <c r="B1849" s="8" t="s">
        <v>636</v>
      </c>
      <c r="C1849" s="8" t="s">
        <v>6378</v>
      </c>
      <c r="D1849" s="8">
        <v>80.0</v>
      </c>
    </row>
    <row r="1850">
      <c r="A1850" s="8" t="s">
        <v>337</v>
      </c>
      <c r="B1850" s="8" t="s">
        <v>325</v>
      </c>
      <c r="C1850" s="8" t="s">
        <v>6373</v>
      </c>
      <c r="D1850" s="8">
        <v>71.0</v>
      </c>
    </row>
    <row r="1851">
      <c r="A1851" s="8" t="s">
        <v>337</v>
      </c>
      <c r="B1851" s="8" t="s">
        <v>1922</v>
      </c>
      <c r="C1851" s="8" t="s">
        <v>6352</v>
      </c>
      <c r="D1851" s="8">
        <v>73.0</v>
      </c>
    </row>
    <row r="1852">
      <c r="A1852" s="8" t="s">
        <v>337</v>
      </c>
      <c r="B1852" s="8" t="s">
        <v>2873</v>
      </c>
      <c r="C1852" s="8" t="s">
        <v>6370</v>
      </c>
      <c r="D1852" s="8">
        <v>75.0</v>
      </c>
    </row>
    <row r="1853">
      <c r="A1853" s="8" t="s">
        <v>337</v>
      </c>
      <c r="B1853" s="8" t="s">
        <v>2668</v>
      </c>
      <c r="C1853" s="8" t="s">
        <v>6364</v>
      </c>
      <c r="D1853" s="8">
        <v>61.0</v>
      </c>
    </row>
    <row r="1854">
      <c r="A1854" s="8" t="s">
        <v>337</v>
      </c>
      <c r="B1854" s="8" t="s">
        <v>3103</v>
      </c>
      <c r="C1854" s="8" t="s">
        <v>6361</v>
      </c>
      <c r="D1854" s="8">
        <v>73.0</v>
      </c>
    </row>
    <row r="1855">
      <c r="A1855" s="8" t="s">
        <v>337</v>
      </c>
      <c r="B1855" s="8" t="s">
        <v>2962</v>
      </c>
      <c r="C1855" s="8" t="s">
        <v>6364</v>
      </c>
      <c r="D1855" s="8">
        <v>72.0</v>
      </c>
    </row>
    <row r="1856">
      <c r="A1856" s="8" t="s">
        <v>337</v>
      </c>
      <c r="B1856" s="8" t="s">
        <v>336</v>
      </c>
      <c r="C1856" s="8" t="s">
        <v>6372</v>
      </c>
      <c r="D1856" s="8">
        <v>82.0</v>
      </c>
    </row>
    <row r="1857">
      <c r="A1857" s="8" t="s">
        <v>337</v>
      </c>
      <c r="B1857" s="8" t="s">
        <v>2820</v>
      </c>
      <c r="C1857" s="8" t="s">
        <v>6367</v>
      </c>
      <c r="D1857" s="8">
        <v>75.0</v>
      </c>
    </row>
    <row r="1858">
      <c r="A1858" s="8" t="s">
        <v>337</v>
      </c>
      <c r="B1858" s="8" t="s">
        <v>61</v>
      </c>
      <c r="C1858" s="8" t="s">
        <v>6370</v>
      </c>
      <c r="D1858" s="8">
        <v>68.0</v>
      </c>
    </row>
    <row r="1859">
      <c r="A1859" s="8" t="s">
        <v>337</v>
      </c>
      <c r="B1859" s="8" t="s">
        <v>594</v>
      </c>
      <c r="C1859" s="8" t="s">
        <v>6347</v>
      </c>
      <c r="D1859" s="8">
        <v>77.0</v>
      </c>
    </row>
    <row r="1860">
      <c r="A1860" s="8" t="s">
        <v>337</v>
      </c>
      <c r="B1860" s="8" t="s">
        <v>62</v>
      </c>
      <c r="C1860" s="8" t="s">
        <v>6348</v>
      </c>
      <c r="D1860" s="8">
        <v>66.0</v>
      </c>
    </row>
    <row r="1861">
      <c r="A1861" s="8" t="s">
        <v>337</v>
      </c>
      <c r="B1861" s="8" t="s">
        <v>233</v>
      </c>
      <c r="C1861" s="8" t="s">
        <v>6357</v>
      </c>
      <c r="D1861" s="8">
        <v>81.0</v>
      </c>
    </row>
    <row r="1862">
      <c r="A1862" s="8" t="s">
        <v>2647</v>
      </c>
      <c r="B1862" s="8" t="s">
        <v>2646</v>
      </c>
      <c r="C1862" s="8" t="s">
        <v>6344</v>
      </c>
      <c r="D1862" s="8">
        <v>75.0</v>
      </c>
    </row>
    <row r="1863">
      <c r="A1863" s="8" t="s">
        <v>1033</v>
      </c>
      <c r="B1863" s="8" t="s">
        <v>389</v>
      </c>
      <c r="C1863" s="8" t="s">
        <v>6377</v>
      </c>
      <c r="D1863" s="8">
        <v>73.0</v>
      </c>
    </row>
    <row r="1864">
      <c r="A1864" s="8" t="s">
        <v>1033</v>
      </c>
      <c r="B1864" s="8" t="s">
        <v>3077</v>
      </c>
      <c r="C1864" s="8" t="s">
        <v>6345</v>
      </c>
      <c r="D1864" s="8">
        <v>71.0</v>
      </c>
    </row>
    <row r="1865">
      <c r="A1865" s="8" t="s">
        <v>1033</v>
      </c>
      <c r="B1865" s="8" t="s">
        <v>99</v>
      </c>
      <c r="C1865" s="8" t="s">
        <v>6374</v>
      </c>
      <c r="D1865" s="8">
        <v>71.0</v>
      </c>
    </row>
    <row r="1866">
      <c r="A1866" s="8" t="s">
        <v>1033</v>
      </c>
      <c r="B1866" s="8" t="s">
        <v>441</v>
      </c>
      <c r="C1866" s="8" t="s">
        <v>6350</v>
      </c>
      <c r="D1866" s="8">
        <v>67.0</v>
      </c>
    </row>
    <row r="1867">
      <c r="A1867" s="8" t="s">
        <v>310</v>
      </c>
      <c r="B1867" s="8" t="s">
        <v>3029</v>
      </c>
      <c r="C1867" s="8" t="s">
        <v>6357</v>
      </c>
      <c r="D1867" s="8">
        <v>83.0</v>
      </c>
    </row>
    <row r="1868">
      <c r="A1868" s="8" t="s">
        <v>383</v>
      </c>
      <c r="B1868" s="8" t="s">
        <v>2942</v>
      </c>
      <c r="C1868" s="8" t="s">
        <v>6375</v>
      </c>
      <c r="D1868" s="8">
        <v>79.0</v>
      </c>
    </row>
    <row r="1869">
      <c r="A1869" s="8" t="s">
        <v>383</v>
      </c>
      <c r="B1869" s="8" t="s">
        <v>931</v>
      </c>
      <c r="C1869" s="8" t="s">
        <v>6352</v>
      </c>
      <c r="D1869" s="8">
        <v>66.0</v>
      </c>
    </row>
    <row r="1870">
      <c r="A1870" s="8" t="s">
        <v>383</v>
      </c>
      <c r="B1870" s="8" t="s">
        <v>382</v>
      </c>
      <c r="C1870" s="8" t="s">
        <v>6376</v>
      </c>
      <c r="D1870" s="8">
        <v>85.0</v>
      </c>
    </row>
    <row r="1871">
      <c r="A1871" s="8" t="s">
        <v>2903</v>
      </c>
      <c r="B1871" s="8" t="s">
        <v>2902</v>
      </c>
      <c r="C1871" s="8" t="s">
        <v>6348</v>
      </c>
      <c r="D1871" s="8">
        <v>72.0</v>
      </c>
    </row>
    <row r="1872">
      <c r="A1872" s="8" t="s">
        <v>1534</v>
      </c>
      <c r="B1872" s="8" t="s">
        <v>1533</v>
      </c>
      <c r="C1872" s="8" t="s">
        <v>6353</v>
      </c>
      <c r="D1872" s="8">
        <v>62.0</v>
      </c>
    </row>
    <row r="1873">
      <c r="A1873" s="8" t="s">
        <v>1929</v>
      </c>
      <c r="B1873" s="8" t="s">
        <v>1928</v>
      </c>
      <c r="C1873" s="8" t="s">
        <v>6348</v>
      </c>
      <c r="D1873" s="8">
        <v>62.0</v>
      </c>
    </row>
    <row r="1874">
      <c r="A1874" s="8" t="s">
        <v>394</v>
      </c>
      <c r="B1874" s="8" t="s">
        <v>1276</v>
      </c>
      <c r="C1874" s="8" t="s">
        <v>6364</v>
      </c>
      <c r="D1874" s="8">
        <v>61.0</v>
      </c>
    </row>
    <row r="1875">
      <c r="A1875" s="8" t="s">
        <v>394</v>
      </c>
      <c r="B1875" s="8" t="s">
        <v>393</v>
      </c>
      <c r="C1875" s="8" t="s">
        <v>6363</v>
      </c>
      <c r="D1875" s="8">
        <v>81.0</v>
      </c>
    </row>
    <row r="1876">
      <c r="A1876" s="8" t="s">
        <v>1091</v>
      </c>
      <c r="B1876" s="8" t="s">
        <v>2688</v>
      </c>
      <c r="C1876" s="8" t="s">
        <v>6356</v>
      </c>
      <c r="D1876" s="8">
        <v>71.0</v>
      </c>
    </row>
    <row r="1877">
      <c r="A1877" s="8" t="s">
        <v>1091</v>
      </c>
      <c r="B1877" s="8" t="s">
        <v>2920</v>
      </c>
      <c r="C1877" s="8" t="s">
        <v>6361</v>
      </c>
      <c r="D1877" s="8">
        <v>66.0</v>
      </c>
    </row>
    <row r="1878">
      <c r="A1878" s="8" t="s">
        <v>1091</v>
      </c>
      <c r="B1878" s="8" t="s">
        <v>1421</v>
      </c>
      <c r="C1878" s="8" t="s">
        <v>6375</v>
      </c>
      <c r="D1878" s="8">
        <v>82.0</v>
      </c>
    </row>
    <row r="1879">
      <c r="A1879" s="8" t="s">
        <v>1091</v>
      </c>
      <c r="B1879" s="8" t="s">
        <v>2868</v>
      </c>
      <c r="C1879" s="8" t="s">
        <v>6360</v>
      </c>
      <c r="D1879" s="8">
        <v>76.0</v>
      </c>
    </row>
    <row r="1880">
      <c r="A1880" s="8" t="s">
        <v>1624</v>
      </c>
      <c r="B1880" s="8" t="s">
        <v>548</v>
      </c>
      <c r="C1880" s="8" t="s">
        <v>6367</v>
      </c>
      <c r="D1880" s="8">
        <v>79.0</v>
      </c>
    </row>
    <row r="1881">
      <c r="A1881" s="8" t="s">
        <v>1624</v>
      </c>
      <c r="B1881" s="8" t="s">
        <v>2909</v>
      </c>
      <c r="C1881" s="8" t="s">
        <v>6356</v>
      </c>
      <c r="D1881" s="8">
        <v>94.0</v>
      </c>
    </row>
    <row r="1882">
      <c r="A1882" s="8" t="s">
        <v>1624</v>
      </c>
      <c r="B1882" s="8" t="s">
        <v>377</v>
      </c>
      <c r="C1882" s="8" t="s">
        <v>6346</v>
      </c>
      <c r="D1882" s="8">
        <v>72.0</v>
      </c>
    </row>
    <row r="1883">
      <c r="A1883" s="8" t="s">
        <v>2948</v>
      </c>
      <c r="B1883" s="8" t="s">
        <v>1219</v>
      </c>
      <c r="C1883" s="8" t="s">
        <v>6378</v>
      </c>
      <c r="D1883" s="8">
        <v>72.0</v>
      </c>
    </row>
    <row r="1884">
      <c r="A1884" s="8" t="s">
        <v>992</v>
      </c>
      <c r="B1884" s="8" t="s">
        <v>991</v>
      </c>
      <c r="C1884" s="8" t="s">
        <v>6368</v>
      </c>
      <c r="D1884" s="8">
        <v>72.0</v>
      </c>
    </row>
    <row r="1885">
      <c r="A1885" s="8" t="s">
        <v>2419</v>
      </c>
      <c r="B1885" s="8" t="s">
        <v>99</v>
      </c>
      <c r="C1885" s="8" t="s">
        <v>6359</v>
      </c>
      <c r="D1885" s="8">
        <v>79.0</v>
      </c>
    </row>
    <row r="1886">
      <c r="A1886" s="8" t="s">
        <v>597</v>
      </c>
      <c r="B1886" s="8" t="s">
        <v>661</v>
      </c>
      <c r="C1886" s="8" t="s">
        <v>6369</v>
      </c>
      <c r="D1886" s="8">
        <v>75.0</v>
      </c>
    </row>
    <row r="1887">
      <c r="A1887" s="8" t="s">
        <v>597</v>
      </c>
      <c r="B1887" s="8" t="s">
        <v>472</v>
      </c>
      <c r="C1887" s="8" t="s">
        <v>6361</v>
      </c>
      <c r="D1887" s="8">
        <v>68.0</v>
      </c>
    </row>
    <row r="1888">
      <c r="A1888" s="8" t="s">
        <v>1300</v>
      </c>
      <c r="B1888" s="8" t="s">
        <v>1299</v>
      </c>
      <c r="C1888" s="8" t="s">
        <v>6359</v>
      </c>
      <c r="D1888" s="8">
        <v>69.0</v>
      </c>
    </row>
    <row r="1889">
      <c r="A1889" s="8" t="s">
        <v>2104</v>
      </c>
      <c r="B1889" s="8" t="s">
        <v>916</v>
      </c>
      <c r="C1889" s="8" t="s">
        <v>6363</v>
      </c>
      <c r="D1889" s="8">
        <v>74.0</v>
      </c>
    </row>
    <row r="1890">
      <c r="A1890" s="8" t="s">
        <v>1793</v>
      </c>
      <c r="B1890" s="8" t="s">
        <v>683</v>
      </c>
      <c r="C1890" s="8" t="s">
        <v>6352</v>
      </c>
      <c r="D1890" s="8">
        <v>73.0</v>
      </c>
    </row>
    <row r="1891">
      <c r="A1891" s="8" t="s">
        <v>409</v>
      </c>
      <c r="B1891" s="8" t="s">
        <v>796</v>
      </c>
      <c r="C1891" s="8" t="s">
        <v>6348</v>
      </c>
      <c r="D1891" s="8">
        <v>72.0</v>
      </c>
    </row>
    <row r="1892">
      <c r="A1892" s="8" t="s">
        <v>409</v>
      </c>
      <c r="B1892" s="8" t="s">
        <v>2831</v>
      </c>
      <c r="C1892" s="8" t="s">
        <v>6344</v>
      </c>
      <c r="D1892" s="8">
        <v>63.0</v>
      </c>
    </row>
    <row r="1893">
      <c r="A1893" s="8" t="s">
        <v>409</v>
      </c>
      <c r="B1893" s="8" t="s">
        <v>451</v>
      </c>
      <c r="C1893" s="8" t="s">
        <v>6371</v>
      </c>
      <c r="D1893" s="8">
        <v>87.0</v>
      </c>
    </row>
    <row r="1894">
      <c r="A1894" s="8" t="s">
        <v>409</v>
      </c>
      <c r="B1894" s="8" t="s">
        <v>408</v>
      </c>
      <c r="C1894" s="8" t="s">
        <v>6344</v>
      </c>
      <c r="D1894" s="8">
        <v>79.0</v>
      </c>
    </row>
    <row r="1895">
      <c r="A1895" s="8" t="s">
        <v>409</v>
      </c>
      <c r="B1895" s="8" t="s">
        <v>852</v>
      </c>
      <c r="C1895" s="8" t="s">
        <v>6345</v>
      </c>
      <c r="D1895" s="8">
        <v>74.0</v>
      </c>
    </row>
    <row r="1896">
      <c r="A1896" s="8" t="s">
        <v>409</v>
      </c>
      <c r="B1896" s="8" t="s">
        <v>2109</v>
      </c>
      <c r="C1896" s="8" t="s">
        <v>6372</v>
      </c>
      <c r="D1896" s="8">
        <v>66.0</v>
      </c>
    </row>
    <row r="1897">
      <c r="A1897" s="8" t="s">
        <v>409</v>
      </c>
      <c r="B1897" s="8" t="s">
        <v>408</v>
      </c>
      <c r="C1897" s="8" t="s">
        <v>6344</v>
      </c>
      <c r="D1897" s="8">
        <v>87.0</v>
      </c>
    </row>
    <row r="1898">
      <c r="A1898" s="8" t="s">
        <v>67</v>
      </c>
      <c r="B1898" s="8" t="s">
        <v>392</v>
      </c>
      <c r="C1898" s="8" t="s">
        <v>6369</v>
      </c>
      <c r="D1898" s="8">
        <v>76.0</v>
      </c>
    </row>
    <row r="1899">
      <c r="A1899" s="8" t="s">
        <v>67</v>
      </c>
      <c r="B1899" s="8" t="s">
        <v>460</v>
      </c>
      <c r="C1899" s="8" t="s">
        <v>6362</v>
      </c>
      <c r="D1899" s="8">
        <v>79.0</v>
      </c>
    </row>
    <row r="1900">
      <c r="A1900" s="8" t="s">
        <v>67</v>
      </c>
      <c r="B1900" s="8" t="s">
        <v>326</v>
      </c>
      <c r="C1900" s="8" t="s">
        <v>6347</v>
      </c>
      <c r="D1900" s="8">
        <v>79.0</v>
      </c>
    </row>
    <row r="1901">
      <c r="A1901" s="8" t="s">
        <v>67</v>
      </c>
      <c r="B1901" s="8" t="s">
        <v>522</v>
      </c>
      <c r="C1901" s="8" t="s">
        <v>6360</v>
      </c>
      <c r="D1901" s="8">
        <v>63.0</v>
      </c>
    </row>
    <row r="1902">
      <c r="A1902" s="8" t="s">
        <v>67</v>
      </c>
      <c r="B1902" s="8" t="s">
        <v>99</v>
      </c>
      <c r="C1902" s="8" t="s">
        <v>6360</v>
      </c>
      <c r="D1902" s="8">
        <v>69.0</v>
      </c>
    </row>
    <row r="1903">
      <c r="A1903" s="8" t="s">
        <v>67</v>
      </c>
      <c r="B1903" s="8" t="s">
        <v>926</v>
      </c>
      <c r="C1903" s="8" t="s">
        <v>6350</v>
      </c>
      <c r="D1903" s="8">
        <v>72.0</v>
      </c>
    </row>
    <row r="1904">
      <c r="A1904" s="8" t="s">
        <v>67</v>
      </c>
      <c r="B1904" s="8" t="s">
        <v>61</v>
      </c>
      <c r="C1904" s="8" t="s">
        <v>6364</v>
      </c>
      <c r="D1904" s="8">
        <v>69.0</v>
      </c>
    </row>
    <row r="1905">
      <c r="A1905" s="8" t="s">
        <v>67</v>
      </c>
      <c r="B1905" s="8" t="s">
        <v>5842</v>
      </c>
      <c r="C1905" s="8" t="s">
        <v>6348</v>
      </c>
      <c r="D1905" s="8">
        <v>65.0</v>
      </c>
    </row>
    <row r="1906">
      <c r="A1906" s="8" t="s">
        <v>67</v>
      </c>
      <c r="B1906" s="8" t="s">
        <v>704</v>
      </c>
      <c r="C1906" s="8" t="s">
        <v>6345</v>
      </c>
      <c r="D1906" s="8">
        <v>75.0</v>
      </c>
    </row>
    <row r="1907">
      <c r="A1907" s="8" t="s">
        <v>67</v>
      </c>
      <c r="B1907" s="8" t="s">
        <v>522</v>
      </c>
      <c r="C1907" s="8" t="s">
        <v>6358</v>
      </c>
      <c r="D1907" s="8">
        <v>74.0</v>
      </c>
    </row>
    <row r="1908">
      <c r="A1908" s="8" t="s">
        <v>67</v>
      </c>
      <c r="B1908" s="8" t="s">
        <v>725</v>
      </c>
      <c r="C1908" s="8" t="s">
        <v>6360</v>
      </c>
      <c r="D1908" s="8">
        <v>78.0</v>
      </c>
    </row>
    <row r="1909">
      <c r="A1909" s="8" t="s">
        <v>67</v>
      </c>
      <c r="B1909" s="8" t="s">
        <v>66</v>
      </c>
      <c r="C1909" s="8" t="s">
        <v>6360</v>
      </c>
      <c r="D1909" s="8">
        <v>76.0</v>
      </c>
    </row>
    <row r="1910">
      <c r="A1910" s="8" t="s">
        <v>67</v>
      </c>
      <c r="B1910" s="8" t="s">
        <v>3008</v>
      </c>
      <c r="C1910" s="8" t="s">
        <v>6365</v>
      </c>
      <c r="D1910" s="8">
        <v>79.0</v>
      </c>
    </row>
    <row r="1911">
      <c r="A1911" s="8" t="s">
        <v>67</v>
      </c>
      <c r="B1911" s="8" t="s">
        <v>700</v>
      </c>
      <c r="C1911" s="8" t="s">
        <v>6361</v>
      </c>
      <c r="D1911" s="8">
        <v>75.0</v>
      </c>
    </row>
    <row r="1912">
      <c r="A1912" s="8" t="s">
        <v>67</v>
      </c>
      <c r="B1912" s="8" t="s">
        <v>1196</v>
      </c>
      <c r="C1912" s="8" t="s">
        <v>6350</v>
      </c>
      <c r="D1912" s="8">
        <v>66.0</v>
      </c>
    </row>
    <row r="1913">
      <c r="A1913" s="8" t="s">
        <v>67</v>
      </c>
      <c r="B1913" s="8" t="s">
        <v>227</v>
      </c>
      <c r="C1913" s="8" t="s">
        <v>6354</v>
      </c>
      <c r="D1913" s="8">
        <v>77.0</v>
      </c>
    </row>
    <row r="1914">
      <c r="A1914" s="8" t="s">
        <v>67</v>
      </c>
      <c r="B1914" s="8" t="s">
        <v>291</v>
      </c>
      <c r="C1914" s="8" t="s">
        <v>6370</v>
      </c>
      <c r="D1914" s="8">
        <v>84.0</v>
      </c>
    </row>
    <row r="1915">
      <c r="A1915" s="8" t="s">
        <v>67</v>
      </c>
      <c r="B1915" s="8" t="s">
        <v>1987</v>
      </c>
      <c r="C1915" s="8" t="s">
        <v>6376</v>
      </c>
      <c r="D1915" s="8">
        <v>73.0</v>
      </c>
    </row>
    <row r="1916">
      <c r="A1916" s="8" t="s">
        <v>67</v>
      </c>
      <c r="B1916" s="8" t="s">
        <v>636</v>
      </c>
      <c r="C1916" s="8" t="s">
        <v>6370</v>
      </c>
      <c r="D1916" s="8">
        <v>75.0</v>
      </c>
    </row>
    <row r="1917">
      <c r="A1917" s="8" t="s">
        <v>67</v>
      </c>
      <c r="B1917" s="8" t="s">
        <v>3035</v>
      </c>
      <c r="C1917" s="8" t="s">
        <v>6372</v>
      </c>
      <c r="D1917" s="8">
        <v>81.0</v>
      </c>
    </row>
    <row r="1918">
      <c r="A1918" s="8" t="s">
        <v>67</v>
      </c>
      <c r="B1918" s="8" t="s">
        <v>1583</v>
      </c>
      <c r="C1918" s="8" t="s">
        <v>6349</v>
      </c>
      <c r="D1918" s="8">
        <v>85.0</v>
      </c>
    </row>
    <row r="1919">
      <c r="A1919" s="8" t="s">
        <v>67</v>
      </c>
      <c r="B1919" s="8" t="s">
        <v>561</v>
      </c>
      <c r="C1919" s="8" t="s">
        <v>6361</v>
      </c>
      <c r="D1919" s="8">
        <v>73.0</v>
      </c>
    </row>
    <row r="1920">
      <c r="A1920" s="8" t="s">
        <v>67</v>
      </c>
      <c r="B1920" s="8" t="s">
        <v>2146</v>
      </c>
      <c r="C1920" s="8" t="s">
        <v>6362</v>
      </c>
      <c r="D1920" s="8">
        <v>68.0</v>
      </c>
    </row>
    <row r="1921">
      <c r="A1921" s="8" t="s">
        <v>67</v>
      </c>
      <c r="B1921" s="8" t="s">
        <v>291</v>
      </c>
      <c r="C1921" s="8" t="s">
        <v>6370</v>
      </c>
      <c r="D1921" s="8">
        <v>90.0</v>
      </c>
    </row>
    <row r="1922">
      <c r="A1922" s="8" t="s">
        <v>41</v>
      </c>
      <c r="B1922" s="8" t="s">
        <v>396</v>
      </c>
      <c r="C1922" s="8" t="s">
        <v>6353</v>
      </c>
      <c r="D1922" s="8">
        <v>82.0</v>
      </c>
    </row>
    <row r="1923">
      <c r="A1923" s="8" t="s">
        <v>41</v>
      </c>
      <c r="B1923" s="8" t="s">
        <v>1301</v>
      </c>
      <c r="C1923" s="8" t="s">
        <v>6364</v>
      </c>
      <c r="D1923" s="8">
        <v>70.0</v>
      </c>
    </row>
    <row r="1924">
      <c r="A1924" s="8" t="s">
        <v>41</v>
      </c>
      <c r="B1924" s="8" t="s">
        <v>1169</v>
      </c>
      <c r="C1924" s="8" t="s">
        <v>6357</v>
      </c>
      <c r="D1924" s="8">
        <v>75.0</v>
      </c>
    </row>
    <row r="1925">
      <c r="A1925" s="8" t="s">
        <v>41</v>
      </c>
      <c r="B1925" s="8" t="s">
        <v>1992</v>
      </c>
      <c r="C1925" s="8" t="s">
        <v>6344</v>
      </c>
      <c r="D1925" s="8">
        <v>66.0</v>
      </c>
    </row>
    <row r="1926">
      <c r="A1926" s="8" t="s">
        <v>41</v>
      </c>
      <c r="B1926" s="8" t="s">
        <v>2698</v>
      </c>
      <c r="C1926" s="8" t="s">
        <v>6352</v>
      </c>
      <c r="D1926" s="8">
        <v>78.0</v>
      </c>
    </row>
    <row r="1927">
      <c r="A1927" s="8" t="s">
        <v>41</v>
      </c>
      <c r="B1927" s="8" t="s">
        <v>1675</v>
      </c>
      <c r="C1927" s="8" t="s">
        <v>6347</v>
      </c>
      <c r="D1927" s="8">
        <v>72.0</v>
      </c>
    </row>
    <row r="1928">
      <c r="A1928" s="8" t="s">
        <v>41</v>
      </c>
      <c r="B1928" s="8" t="s">
        <v>3045</v>
      </c>
      <c r="C1928" s="8" t="s">
        <v>6357</v>
      </c>
      <c r="D1928" s="8">
        <v>71.0</v>
      </c>
    </row>
    <row r="1929">
      <c r="A1929" s="8" t="s">
        <v>41</v>
      </c>
      <c r="B1929" s="8" t="s">
        <v>2643</v>
      </c>
      <c r="C1929" s="8" t="s">
        <v>6359</v>
      </c>
      <c r="D1929" s="8">
        <v>70.0</v>
      </c>
    </row>
    <row r="1930">
      <c r="A1930" s="8" t="s">
        <v>41</v>
      </c>
      <c r="B1930" s="8" t="s">
        <v>2326</v>
      </c>
      <c r="C1930" s="8" t="s">
        <v>6378</v>
      </c>
      <c r="D1930" s="8">
        <v>77.0</v>
      </c>
    </row>
    <row r="1931">
      <c r="A1931" s="8" t="s">
        <v>41</v>
      </c>
      <c r="B1931" s="8" t="s">
        <v>716</v>
      </c>
      <c r="C1931" s="8" t="s">
        <v>6350</v>
      </c>
      <c r="D1931" s="8">
        <v>72.0</v>
      </c>
    </row>
    <row r="1932">
      <c r="A1932" s="8" t="s">
        <v>41</v>
      </c>
      <c r="B1932" s="8" t="s">
        <v>284</v>
      </c>
      <c r="C1932" s="8" t="s">
        <v>6363</v>
      </c>
      <c r="D1932" s="8">
        <v>68.0</v>
      </c>
    </row>
    <row r="1933">
      <c r="A1933" s="8" t="s">
        <v>41</v>
      </c>
      <c r="B1933" s="8" t="s">
        <v>40</v>
      </c>
      <c r="C1933" s="8" t="s">
        <v>6367</v>
      </c>
      <c r="D1933" s="8">
        <v>84.0</v>
      </c>
    </row>
    <row r="1934">
      <c r="A1934" s="8" t="s">
        <v>2216</v>
      </c>
      <c r="B1934" s="8" t="s">
        <v>2215</v>
      </c>
      <c r="C1934" s="8" t="s">
        <v>6370</v>
      </c>
      <c r="D1934" s="8">
        <v>74.0</v>
      </c>
    </row>
    <row r="1935">
      <c r="A1935" s="8" t="s">
        <v>2738</v>
      </c>
      <c r="B1935" s="8" t="s">
        <v>2737</v>
      </c>
      <c r="C1935" s="8" t="s">
        <v>6358</v>
      </c>
      <c r="D1935" s="8">
        <v>70.0</v>
      </c>
    </row>
    <row r="1936">
      <c r="A1936" s="8" t="s">
        <v>1334</v>
      </c>
      <c r="B1936" s="8" t="s">
        <v>3037</v>
      </c>
      <c r="C1936" s="8" t="s">
        <v>6346</v>
      </c>
      <c r="D1936" s="8">
        <v>66.0</v>
      </c>
    </row>
    <row r="1937">
      <c r="A1937" s="8" t="s">
        <v>1334</v>
      </c>
      <c r="B1937" s="8" t="s">
        <v>1050</v>
      </c>
      <c r="C1937" s="8" t="s">
        <v>6373</v>
      </c>
      <c r="D1937" s="8">
        <v>81.0</v>
      </c>
    </row>
    <row r="1938">
      <c r="A1938" s="8" t="s">
        <v>1771</v>
      </c>
      <c r="B1938" s="8" t="s">
        <v>1770</v>
      </c>
      <c r="C1938" s="8" t="s">
        <v>6357</v>
      </c>
      <c r="D1938" s="8">
        <v>77.0</v>
      </c>
    </row>
    <row r="1939">
      <c r="A1939" s="8" t="s">
        <v>2309</v>
      </c>
      <c r="B1939" s="8" t="s">
        <v>643</v>
      </c>
      <c r="C1939" s="8" t="s">
        <v>6348</v>
      </c>
      <c r="D1939" s="8">
        <v>79.0</v>
      </c>
    </row>
    <row r="1940">
      <c r="A1940" s="8" t="s">
        <v>3148</v>
      </c>
      <c r="B1940" s="8" t="s">
        <v>3147</v>
      </c>
      <c r="C1940" s="8" t="s">
        <v>6352</v>
      </c>
      <c r="D1940" s="8">
        <v>73.0</v>
      </c>
    </row>
    <row r="1941">
      <c r="A1941" s="8" t="s">
        <v>1031</v>
      </c>
      <c r="B1941" s="8" t="s">
        <v>593</v>
      </c>
      <c r="C1941" s="8" t="s">
        <v>6344</v>
      </c>
      <c r="D1941" s="8">
        <v>70.0</v>
      </c>
    </row>
    <row r="1942">
      <c r="A1942" s="8" t="s">
        <v>162</v>
      </c>
      <c r="B1942" s="8" t="s">
        <v>1138</v>
      </c>
      <c r="C1942" s="8" t="s">
        <v>6344</v>
      </c>
      <c r="D1942" s="8">
        <v>67.0</v>
      </c>
    </row>
    <row r="1943">
      <c r="A1943" s="8" t="s">
        <v>162</v>
      </c>
      <c r="B1943" s="8" t="s">
        <v>61</v>
      </c>
      <c r="C1943" s="8" t="s">
        <v>6368</v>
      </c>
      <c r="D1943" s="8">
        <v>73.0</v>
      </c>
    </row>
    <row r="1944">
      <c r="A1944" s="8" t="s">
        <v>162</v>
      </c>
      <c r="B1944" s="8" t="s">
        <v>42</v>
      </c>
      <c r="C1944" s="8" t="s">
        <v>6374</v>
      </c>
      <c r="D1944" s="8">
        <v>86.0</v>
      </c>
    </row>
    <row r="1945">
      <c r="A1945" s="8" t="s">
        <v>162</v>
      </c>
      <c r="B1945" s="8" t="s">
        <v>972</v>
      </c>
      <c r="C1945" s="8" t="s">
        <v>6357</v>
      </c>
      <c r="D1945" s="8">
        <v>65.0</v>
      </c>
    </row>
    <row r="1946">
      <c r="A1946" s="8" t="s">
        <v>162</v>
      </c>
      <c r="B1946" s="8" t="s">
        <v>2939</v>
      </c>
      <c r="C1946" s="8" t="s">
        <v>6353</v>
      </c>
      <c r="D1946" s="8">
        <v>70.0</v>
      </c>
    </row>
    <row r="1947">
      <c r="A1947" s="8" t="s">
        <v>162</v>
      </c>
      <c r="B1947" s="8" t="s">
        <v>1826</v>
      </c>
      <c r="C1947" s="8" t="s">
        <v>6372</v>
      </c>
      <c r="D1947" s="8">
        <v>72.0</v>
      </c>
    </row>
    <row r="1948">
      <c r="A1948" s="8" t="s">
        <v>162</v>
      </c>
      <c r="B1948" s="8" t="s">
        <v>441</v>
      </c>
      <c r="C1948" s="8" t="s">
        <v>6370</v>
      </c>
      <c r="D1948" s="8">
        <v>90.0</v>
      </c>
    </row>
    <row r="1949">
      <c r="A1949" s="8" t="s">
        <v>162</v>
      </c>
      <c r="B1949" s="8" t="s">
        <v>441</v>
      </c>
      <c r="C1949" s="8" t="s">
        <v>6370</v>
      </c>
      <c r="D1949" s="8">
        <v>83.0</v>
      </c>
    </row>
    <row r="1950">
      <c r="A1950" s="8" t="s">
        <v>162</v>
      </c>
      <c r="B1950" s="8" t="s">
        <v>441</v>
      </c>
      <c r="C1950" s="8" t="s">
        <v>6370</v>
      </c>
      <c r="D1950" s="8">
        <v>82.0</v>
      </c>
    </row>
    <row r="1951">
      <c r="A1951" s="8" t="s">
        <v>162</v>
      </c>
      <c r="B1951" s="8" t="s">
        <v>441</v>
      </c>
      <c r="C1951" s="8" t="s">
        <v>6370</v>
      </c>
      <c r="D1951" s="8">
        <v>86.0</v>
      </c>
    </row>
    <row r="1952">
      <c r="A1952" s="8" t="s">
        <v>162</v>
      </c>
      <c r="B1952" s="8" t="s">
        <v>441</v>
      </c>
      <c r="C1952" s="8" t="s">
        <v>6370</v>
      </c>
      <c r="D1952" s="8">
        <v>84.0</v>
      </c>
    </row>
    <row r="1953">
      <c r="A1953" s="8" t="s">
        <v>938</v>
      </c>
      <c r="B1953" s="8" t="s">
        <v>937</v>
      </c>
      <c r="C1953" s="8" t="s">
        <v>6358</v>
      </c>
      <c r="D1953" s="8">
        <v>75.0</v>
      </c>
    </row>
    <row r="1954">
      <c r="A1954" s="8" t="s">
        <v>1858</v>
      </c>
      <c r="B1954" s="8" t="s">
        <v>2860</v>
      </c>
      <c r="C1954" s="8" t="s">
        <v>6371</v>
      </c>
      <c r="D1954" s="8">
        <v>84.0</v>
      </c>
    </row>
    <row r="1955">
      <c r="A1955" s="8" t="s">
        <v>1858</v>
      </c>
      <c r="B1955" s="8" t="s">
        <v>1857</v>
      </c>
      <c r="C1955" s="8" t="s">
        <v>6357</v>
      </c>
      <c r="D1955" s="8">
        <v>68.0</v>
      </c>
    </row>
    <row r="1956">
      <c r="A1956" s="8" t="s">
        <v>560</v>
      </c>
      <c r="B1956" s="8" t="s">
        <v>559</v>
      </c>
      <c r="C1956" s="8" t="s">
        <v>6358</v>
      </c>
      <c r="D1956" s="8">
        <v>74.0</v>
      </c>
    </row>
    <row r="1957">
      <c r="A1957" s="8" t="s">
        <v>2993</v>
      </c>
      <c r="B1957" s="8" t="s">
        <v>2992</v>
      </c>
      <c r="C1957" s="8" t="s">
        <v>6347</v>
      </c>
      <c r="D1957" s="8">
        <v>64.0</v>
      </c>
    </row>
    <row r="1958">
      <c r="A1958" s="8" t="s">
        <v>793</v>
      </c>
      <c r="B1958" s="8" t="s">
        <v>1144</v>
      </c>
      <c r="C1958" s="8" t="s">
        <v>6377</v>
      </c>
      <c r="D1958" s="8">
        <v>76.0</v>
      </c>
    </row>
    <row r="1959">
      <c r="A1959" s="8" t="s">
        <v>793</v>
      </c>
      <c r="B1959" s="8" t="s">
        <v>305</v>
      </c>
      <c r="C1959" s="8" t="s">
        <v>6376</v>
      </c>
      <c r="D1959" s="8">
        <v>75.0</v>
      </c>
    </row>
    <row r="1960">
      <c r="A1960" s="8" t="s">
        <v>1521</v>
      </c>
      <c r="B1960" s="8" t="s">
        <v>1520</v>
      </c>
      <c r="C1960" s="8" t="s">
        <v>6376</v>
      </c>
      <c r="D1960" s="8">
        <v>66.0</v>
      </c>
    </row>
    <row r="1961">
      <c r="A1961" s="8" t="s">
        <v>1295</v>
      </c>
      <c r="B1961" s="8" t="s">
        <v>1294</v>
      </c>
      <c r="C1961" s="8" t="s">
        <v>6363</v>
      </c>
      <c r="D1961" s="8">
        <v>74.0</v>
      </c>
    </row>
    <row r="1962">
      <c r="A1962" s="8" t="s">
        <v>1295</v>
      </c>
      <c r="B1962" s="8" t="s">
        <v>99</v>
      </c>
      <c r="C1962" s="8" t="s">
        <v>6348</v>
      </c>
      <c r="D1962" s="8">
        <v>65.0</v>
      </c>
    </row>
    <row r="1963">
      <c r="A1963" s="8" t="s">
        <v>1295</v>
      </c>
      <c r="B1963" s="8" t="s">
        <v>2896</v>
      </c>
      <c r="C1963" s="8" t="s">
        <v>6358</v>
      </c>
      <c r="D1963" s="8">
        <v>78.0</v>
      </c>
    </row>
    <row r="1964">
      <c r="A1964" s="8" t="s">
        <v>1295</v>
      </c>
      <c r="B1964" s="8" t="s">
        <v>834</v>
      </c>
      <c r="C1964" s="8" t="s">
        <v>6346</v>
      </c>
      <c r="D1964" s="8">
        <v>63.0</v>
      </c>
    </row>
    <row r="1965">
      <c r="A1965" s="8" t="s">
        <v>1241</v>
      </c>
      <c r="B1965" s="8" t="s">
        <v>741</v>
      </c>
      <c r="C1965" s="8" t="s">
        <v>6345</v>
      </c>
      <c r="D1965" s="8">
        <v>75.0</v>
      </c>
    </row>
    <row r="1966">
      <c r="A1966" s="8" t="s">
        <v>1241</v>
      </c>
      <c r="B1966" s="8" t="s">
        <v>444</v>
      </c>
      <c r="C1966" s="8" t="s">
        <v>6369</v>
      </c>
      <c r="D1966" s="8">
        <v>80.0</v>
      </c>
    </row>
    <row r="1967">
      <c r="A1967" s="8" t="s">
        <v>1241</v>
      </c>
      <c r="B1967" s="8" t="s">
        <v>111</v>
      </c>
      <c r="C1967" s="8" t="s">
        <v>6362</v>
      </c>
      <c r="D1967" s="8">
        <v>82.0</v>
      </c>
    </row>
    <row r="1968">
      <c r="A1968" s="8" t="s">
        <v>1821</v>
      </c>
      <c r="B1968" s="8" t="s">
        <v>522</v>
      </c>
      <c r="C1968" s="8" t="s">
        <v>6371</v>
      </c>
      <c r="D1968" s="8">
        <v>71.0</v>
      </c>
    </row>
    <row r="1969">
      <c r="A1969" s="8" t="s">
        <v>1080</v>
      </c>
      <c r="B1969" s="8" t="s">
        <v>1079</v>
      </c>
      <c r="C1969" s="8" t="s">
        <v>6363</v>
      </c>
      <c r="D1969" s="8">
        <v>79.0</v>
      </c>
    </row>
    <row r="1970">
      <c r="A1970" s="8" t="s">
        <v>1822</v>
      </c>
      <c r="B1970" s="8" t="s">
        <v>522</v>
      </c>
      <c r="C1970" s="8" t="s">
        <v>6371</v>
      </c>
      <c r="D1970" s="8">
        <v>80.0</v>
      </c>
    </row>
    <row r="1971">
      <c r="A1971" s="8" t="s">
        <v>3145</v>
      </c>
      <c r="B1971" s="8" t="s">
        <v>455</v>
      </c>
      <c r="C1971" s="8" t="s">
        <v>6376</v>
      </c>
      <c r="D1971" s="8">
        <v>72.0</v>
      </c>
    </row>
    <row r="1972">
      <c r="A1972" s="8" t="s">
        <v>2830</v>
      </c>
      <c r="B1972" s="8" t="s">
        <v>1181</v>
      </c>
      <c r="C1972" s="8" t="s">
        <v>6370</v>
      </c>
      <c r="D1972" s="8">
        <v>69.0</v>
      </c>
    </row>
    <row r="1973">
      <c r="A1973" s="8" t="s">
        <v>832</v>
      </c>
      <c r="B1973" s="8" t="s">
        <v>78</v>
      </c>
      <c r="C1973" s="8" t="s">
        <v>6350</v>
      </c>
      <c r="D1973" s="8">
        <v>78.0</v>
      </c>
    </row>
    <row r="1974">
      <c r="A1974" s="8" t="s">
        <v>709</v>
      </c>
      <c r="B1974" s="8" t="s">
        <v>89</v>
      </c>
      <c r="C1974" s="8" t="s">
        <v>6363</v>
      </c>
      <c r="D1974" s="8">
        <v>75.0</v>
      </c>
    </row>
    <row r="1975">
      <c r="A1975" s="8" t="s">
        <v>787</v>
      </c>
      <c r="B1975" s="8" t="s">
        <v>786</v>
      </c>
      <c r="C1975" s="8" t="s">
        <v>6365</v>
      </c>
      <c r="D1975" s="8">
        <v>82.0</v>
      </c>
    </row>
    <row r="1976">
      <c r="A1976" s="8" t="s">
        <v>787</v>
      </c>
      <c r="B1976" s="8" t="s">
        <v>1424</v>
      </c>
      <c r="C1976" s="8" t="s">
        <v>6356</v>
      </c>
      <c r="D1976" s="8">
        <v>73.0</v>
      </c>
    </row>
    <row r="1977">
      <c r="A1977" s="8" t="s">
        <v>787</v>
      </c>
      <c r="B1977" s="8" t="s">
        <v>1584</v>
      </c>
      <c r="C1977" s="8" t="s">
        <v>6349</v>
      </c>
      <c r="D1977" s="8">
        <v>78.0</v>
      </c>
    </row>
    <row r="1978">
      <c r="A1978" s="8" t="s">
        <v>1310</v>
      </c>
      <c r="B1978" s="8" t="s">
        <v>1454</v>
      </c>
      <c r="C1978" s="8" t="s">
        <v>6375</v>
      </c>
      <c r="D1978" s="8">
        <v>68.0</v>
      </c>
    </row>
    <row r="1979">
      <c r="A1979" s="8" t="s">
        <v>297</v>
      </c>
      <c r="B1979" s="8" t="s">
        <v>296</v>
      </c>
      <c r="C1979" s="8" t="s">
        <v>6359</v>
      </c>
      <c r="D1979" s="8">
        <v>67.0</v>
      </c>
    </row>
    <row r="1980">
      <c r="A1980" s="8" t="s">
        <v>869</v>
      </c>
      <c r="B1980" s="8" t="s">
        <v>868</v>
      </c>
      <c r="C1980" s="8" t="s">
        <v>6376</v>
      </c>
      <c r="D1980" s="8">
        <v>70.0</v>
      </c>
    </row>
    <row r="1981">
      <c r="A1981" s="8" t="s">
        <v>878</v>
      </c>
      <c r="B1981" s="8" t="s">
        <v>877</v>
      </c>
      <c r="C1981" s="8" t="s">
        <v>6377</v>
      </c>
      <c r="D1981" s="8">
        <v>71.0</v>
      </c>
    </row>
    <row r="1982">
      <c r="A1982" s="8" t="s">
        <v>2161</v>
      </c>
      <c r="B1982" s="8" t="s">
        <v>2869</v>
      </c>
      <c r="C1982" s="8" t="s">
        <v>6375</v>
      </c>
      <c r="D1982" s="8">
        <v>77.0</v>
      </c>
    </row>
    <row r="1983">
      <c r="A1983" s="8" t="s">
        <v>1642</v>
      </c>
      <c r="B1983" s="8" t="s">
        <v>62</v>
      </c>
      <c r="C1983" s="8" t="s">
        <v>6377</v>
      </c>
      <c r="D1983" s="8">
        <v>66.0</v>
      </c>
    </row>
    <row r="1984">
      <c r="A1984" s="8" t="s">
        <v>1545</v>
      </c>
      <c r="B1984" s="8" t="s">
        <v>1036</v>
      </c>
      <c r="C1984" s="8" t="s">
        <v>6345</v>
      </c>
      <c r="D1984" s="8">
        <v>68.0</v>
      </c>
    </row>
    <row r="1985">
      <c r="A1985" s="8" t="s">
        <v>1995</v>
      </c>
      <c r="B1985" s="8" t="s">
        <v>62</v>
      </c>
      <c r="C1985" s="8" t="s">
        <v>6356</v>
      </c>
      <c r="D1985" s="8">
        <v>75.0</v>
      </c>
    </row>
    <row r="1986">
      <c r="A1986" s="8" t="s">
        <v>1901</v>
      </c>
      <c r="B1986" s="8" t="s">
        <v>1900</v>
      </c>
      <c r="C1986" s="8" t="s">
        <v>6362</v>
      </c>
      <c r="D1986" s="8">
        <v>77.0</v>
      </c>
    </row>
    <row r="1987">
      <c r="A1987" s="8" t="s">
        <v>746</v>
      </c>
      <c r="B1987" s="8" t="s">
        <v>1293</v>
      </c>
      <c r="C1987" s="8" t="s">
        <v>6344</v>
      </c>
      <c r="D1987" s="8">
        <v>71.0</v>
      </c>
    </row>
    <row r="1988">
      <c r="A1988" s="8" t="s">
        <v>746</v>
      </c>
      <c r="B1988" s="8" t="s">
        <v>395</v>
      </c>
      <c r="C1988" s="8" t="s">
        <v>6378</v>
      </c>
      <c r="D1988" s="8">
        <v>74.0</v>
      </c>
    </row>
    <row r="1989">
      <c r="A1989" s="8" t="s">
        <v>746</v>
      </c>
      <c r="B1989" s="8" t="s">
        <v>1049</v>
      </c>
      <c r="C1989" s="8" t="s">
        <v>6373</v>
      </c>
      <c r="D1989" s="8">
        <v>79.0</v>
      </c>
    </row>
    <row r="1990">
      <c r="A1990" s="8" t="s">
        <v>746</v>
      </c>
      <c r="B1990" s="8" t="s">
        <v>1156</v>
      </c>
      <c r="C1990" s="8" t="s">
        <v>6377</v>
      </c>
      <c r="D1990" s="8">
        <v>70.0</v>
      </c>
    </row>
    <row r="1991">
      <c r="A1991" s="8" t="s">
        <v>2739</v>
      </c>
      <c r="B1991" s="8" t="s">
        <v>1407</v>
      </c>
      <c r="C1991" s="8" t="s">
        <v>6365</v>
      </c>
      <c r="D1991" s="8">
        <v>69.0</v>
      </c>
    </row>
    <row r="1992">
      <c r="A1992" s="8" t="s">
        <v>2739</v>
      </c>
      <c r="B1992" s="8" t="s">
        <v>2938</v>
      </c>
      <c r="C1992" s="8" t="s">
        <v>6370</v>
      </c>
      <c r="D1992" s="8">
        <v>71.0</v>
      </c>
    </row>
    <row r="1993">
      <c r="A1993" s="8" t="s">
        <v>548</v>
      </c>
      <c r="B1993" s="8" t="s">
        <v>547</v>
      </c>
      <c r="C1993" s="8" t="s">
        <v>6367</v>
      </c>
      <c r="D1993" s="8">
        <v>69.0</v>
      </c>
    </row>
    <row r="1994">
      <c r="A1994" s="8" t="s">
        <v>2918</v>
      </c>
      <c r="B1994" s="8" t="s">
        <v>2917</v>
      </c>
      <c r="C1994" s="8" t="s">
        <v>6363</v>
      </c>
      <c r="D1994" s="8">
        <v>70.0</v>
      </c>
    </row>
    <row r="1995">
      <c r="A1995" s="8" t="s">
        <v>576</v>
      </c>
      <c r="B1995" s="8" t="s">
        <v>575</v>
      </c>
      <c r="C1995" s="8" t="s">
        <v>6345</v>
      </c>
      <c r="D1995" s="8">
        <v>73.0</v>
      </c>
    </row>
    <row r="1996">
      <c r="A1996" s="8" t="s">
        <v>2726</v>
      </c>
      <c r="B1996" s="8" t="s">
        <v>357</v>
      </c>
      <c r="C1996" s="8" t="s">
        <v>6373</v>
      </c>
      <c r="D1996" s="8">
        <v>68.0</v>
      </c>
    </row>
    <row r="1997">
      <c r="A1997" s="8" t="s">
        <v>2726</v>
      </c>
      <c r="B1997" s="8" t="s">
        <v>2929</v>
      </c>
      <c r="C1997" s="8" t="s">
        <v>6353</v>
      </c>
      <c r="D1997" s="8">
        <v>63.0</v>
      </c>
    </row>
    <row r="1998">
      <c r="A1998" s="8" t="s">
        <v>454</v>
      </c>
      <c r="B1998" s="8" t="s">
        <v>453</v>
      </c>
      <c r="C1998" s="8" t="s">
        <v>6375</v>
      </c>
      <c r="D1998" s="8">
        <v>79.0</v>
      </c>
    </row>
    <row r="1999">
      <c r="A1999" s="8" t="s">
        <v>1429</v>
      </c>
      <c r="B1999" s="8" t="s">
        <v>1147</v>
      </c>
      <c r="C1999" s="8" t="s">
        <v>6365</v>
      </c>
      <c r="D1999" s="8">
        <v>85.0</v>
      </c>
    </row>
    <row r="2000">
      <c r="A2000" s="8" t="s">
        <v>88</v>
      </c>
      <c r="B2000" s="8" t="s">
        <v>1905</v>
      </c>
      <c r="C2000" s="8" t="s">
        <v>6358</v>
      </c>
      <c r="D2000" s="8">
        <v>65.0</v>
      </c>
    </row>
    <row r="2001">
      <c r="A2001" s="8" t="s">
        <v>88</v>
      </c>
      <c r="B2001" s="8" t="s">
        <v>87</v>
      </c>
      <c r="C2001" s="8" t="s">
        <v>6362</v>
      </c>
      <c r="D2001" s="8">
        <v>85.0</v>
      </c>
    </row>
    <row r="2002">
      <c r="A2002" s="8" t="s">
        <v>88</v>
      </c>
      <c r="B2002" s="8" t="s">
        <v>636</v>
      </c>
      <c r="C2002" s="8" t="s">
        <v>6358</v>
      </c>
      <c r="D2002" s="8">
        <v>71.0</v>
      </c>
    </row>
    <row r="2003">
      <c r="A2003" s="8" t="s">
        <v>88</v>
      </c>
      <c r="B2003" s="8" t="s">
        <v>1660</v>
      </c>
      <c r="C2003" s="8" t="s">
        <v>6365</v>
      </c>
      <c r="D2003" s="8">
        <v>64.0</v>
      </c>
    </row>
    <row r="2004">
      <c r="A2004" s="8" t="s">
        <v>694</v>
      </c>
      <c r="B2004" s="8" t="s">
        <v>1319</v>
      </c>
      <c r="C2004" s="8" t="s">
        <v>6368</v>
      </c>
      <c r="D2004" s="8">
        <v>81.0</v>
      </c>
    </row>
    <row r="2005">
      <c r="A2005" s="8" t="s">
        <v>694</v>
      </c>
      <c r="B2005" s="8" t="s">
        <v>693</v>
      </c>
      <c r="C2005" s="8" t="s">
        <v>6362</v>
      </c>
      <c r="D2005" s="8">
        <v>84.0</v>
      </c>
    </row>
    <row r="2006">
      <c r="A2006" s="8" t="s">
        <v>694</v>
      </c>
      <c r="B2006" s="8" t="s">
        <v>693</v>
      </c>
      <c r="C2006" s="8" t="s">
        <v>6345</v>
      </c>
      <c r="D2006" s="8">
        <v>88.0</v>
      </c>
    </row>
    <row r="2007">
      <c r="A2007" s="8" t="s">
        <v>2659</v>
      </c>
      <c r="B2007" s="8" t="s">
        <v>212</v>
      </c>
      <c r="C2007" s="8" t="s">
        <v>6347</v>
      </c>
      <c r="D2007" s="8">
        <v>76.0</v>
      </c>
    </row>
    <row r="2008">
      <c r="A2008" s="8" t="s">
        <v>1035</v>
      </c>
      <c r="B2008" s="8" t="s">
        <v>796</v>
      </c>
      <c r="C2008" s="8" t="s">
        <v>6348</v>
      </c>
      <c r="D2008" s="8">
        <v>78.0</v>
      </c>
    </row>
    <row r="2009">
      <c r="A2009" s="8" t="s">
        <v>3017</v>
      </c>
      <c r="B2009" s="8" t="s">
        <v>1955</v>
      </c>
      <c r="C2009" s="8" t="s">
        <v>6368</v>
      </c>
      <c r="D2009" s="8">
        <v>68.0</v>
      </c>
    </row>
    <row r="2010">
      <c r="A2010" s="8" t="s">
        <v>167</v>
      </c>
      <c r="B2010" s="8" t="s">
        <v>1884</v>
      </c>
      <c r="C2010" s="8" t="s">
        <v>6353</v>
      </c>
      <c r="D2010" s="8">
        <v>65.0</v>
      </c>
    </row>
    <row r="2011">
      <c r="A2011" s="8" t="s">
        <v>167</v>
      </c>
      <c r="B2011" s="8" t="s">
        <v>166</v>
      </c>
      <c r="C2011" s="8" t="s">
        <v>6378</v>
      </c>
      <c r="D2011" s="8">
        <v>79.0</v>
      </c>
    </row>
    <row r="2012">
      <c r="A2012" s="8" t="s">
        <v>167</v>
      </c>
      <c r="B2012" s="8" t="s">
        <v>2855</v>
      </c>
      <c r="C2012" s="8" t="s">
        <v>6371</v>
      </c>
      <c r="D2012" s="8">
        <v>83.0</v>
      </c>
    </row>
    <row r="2013">
      <c r="A2013" s="8" t="s">
        <v>167</v>
      </c>
      <c r="B2013" s="8" t="s">
        <v>1675</v>
      </c>
      <c r="C2013" s="8" t="s">
        <v>6356</v>
      </c>
      <c r="D2013" s="8">
        <v>88.0</v>
      </c>
    </row>
    <row r="2014">
      <c r="A2014" s="8" t="s">
        <v>167</v>
      </c>
      <c r="B2014" s="8" t="s">
        <v>2855</v>
      </c>
      <c r="C2014" s="8" t="s">
        <v>6354</v>
      </c>
      <c r="D2014" s="8">
        <v>82.0</v>
      </c>
    </row>
    <row r="2015">
      <c r="A2015" s="8" t="s">
        <v>167</v>
      </c>
      <c r="B2015" s="8" t="s">
        <v>1675</v>
      </c>
      <c r="C2015" s="8" t="s">
        <v>6356</v>
      </c>
      <c r="D2015" s="8">
        <v>83.0</v>
      </c>
    </row>
    <row r="2016">
      <c r="A2016" s="8" t="s">
        <v>167</v>
      </c>
      <c r="B2016" s="8" t="s">
        <v>2855</v>
      </c>
      <c r="C2016" s="8" t="s">
        <v>6371</v>
      </c>
      <c r="D2016" s="8">
        <v>88.0</v>
      </c>
    </row>
    <row r="2017">
      <c r="A2017" s="8" t="s">
        <v>167</v>
      </c>
      <c r="B2017" s="8" t="s">
        <v>1675</v>
      </c>
      <c r="C2017" s="8" t="s">
        <v>6356</v>
      </c>
      <c r="D2017" s="8">
        <v>82.0</v>
      </c>
    </row>
    <row r="2018">
      <c r="A2018" s="8" t="s">
        <v>167</v>
      </c>
      <c r="B2018" s="8" t="s">
        <v>1675</v>
      </c>
      <c r="C2018" s="8" t="s">
        <v>6356</v>
      </c>
      <c r="D2018" s="8">
        <v>84.0</v>
      </c>
    </row>
    <row r="2019">
      <c r="A2019" s="8" t="s">
        <v>167</v>
      </c>
      <c r="B2019" s="8" t="s">
        <v>1675</v>
      </c>
      <c r="C2019" s="8" t="s">
        <v>6356</v>
      </c>
      <c r="D2019" s="8">
        <v>86.0</v>
      </c>
    </row>
    <row r="2020">
      <c r="A2020" s="8" t="s">
        <v>167</v>
      </c>
      <c r="B2020" s="8" t="s">
        <v>2855</v>
      </c>
      <c r="C2020" s="8" t="s">
        <v>6371</v>
      </c>
      <c r="D2020" s="8">
        <v>90.0</v>
      </c>
    </row>
    <row r="2021">
      <c r="A2021" s="8" t="s">
        <v>167</v>
      </c>
      <c r="B2021" s="8" t="s">
        <v>2855</v>
      </c>
      <c r="C2021" s="8" t="s">
        <v>6365</v>
      </c>
      <c r="D2021" s="8">
        <v>86.0</v>
      </c>
    </row>
    <row r="2022">
      <c r="A2022" s="8" t="s">
        <v>167</v>
      </c>
      <c r="B2022" s="8" t="s">
        <v>2855</v>
      </c>
      <c r="C2022" s="8" t="s">
        <v>6365</v>
      </c>
      <c r="D2022" s="8">
        <v>84.0</v>
      </c>
    </row>
    <row r="2023">
      <c r="A2023" s="8" t="s">
        <v>167</v>
      </c>
      <c r="B2023" s="8" t="s">
        <v>1675</v>
      </c>
      <c r="C2023" s="8" t="s">
        <v>6356</v>
      </c>
      <c r="D2023" s="8">
        <v>90.0</v>
      </c>
    </row>
    <row r="2024">
      <c r="A2024" s="8" t="s">
        <v>759</v>
      </c>
      <c r="B2024" s="8" t="s">
        <v>220</v>
      </c>
      <c r="C2024" s="8" t="s">
        <v>6373</v>
      </c>
      <c r="D2024" s="8">
        <v>76.0</v>
      </c>
    </row>
    <row r="2025">
      <c r="A2025" s="8" t="s">
        <v>759</v>
      </c>
      <c r="B2025" s="8" t="s">
        <v>758</v>
      </c>
      <c r="C2025" s="8" t="s">
        <v>6375</v>
      </c>
      <c r="D2025" s="8">
        <v>66.0</v>
      </c>
    </row>
    <row r="2026">
      <c r="A2026" s="8" t="s">
        <v>759</v>
      </c>
      <c r="B2026" s="8" t="s">
        <v>115</v>
      </c>
      <c r="C2026" s="8" t="s">
        <v>6345</v>
      </c>
      <c r="D2026" s="8">
        <v>81.0</v>
      </c>
    </row>
    <row r="2027">
      <c r="A2027" s="8" t="s">
        <v>759</v>
      </c>
      <c r="B2027" s="8" t="s">
        <v>1264</v>
      </c>
      <c r="C2027" s="8" t="s">
        <v>6364</v>
      </c>
      <c r="D2027" s="8">
        <v>63.0</v>
      </c>
    </row>
    <row r="2028">
      <c r="A2028" s="8" t="s">
        <v>3102</v>
      </c>
      <c r="B2028" s="8" t="s">
        <v>5967</v>
      </c>
      <c r="C2028" s="8" t="s">
        <v>6360</v>
      </c>
      <c r="D2028" s="8">
        <v>71.0</v>
      </c>
    </row>
    <row r="2029">
      <c r="A2029" s="8" t="s">
        <v>1552</v>
      </c>
      <c r="B2029" s="8" t="s">
        <v>1551</v>
      </c>
      <c r="C2029" s="8" t="s">
        <v>6365</v>
      </c>
      <c r="D2029" s="8">
        <v>64.0</v>
      </c>
    </row>
    <row r="2030">
      <c r="A2030" s="8" t="s">
        <v>5970</v>
      </c>
      <c r="B2030" s="8" t="s">
        <v>1752</v>
      </c>
      <c r="C2030" s="8" t="s">
        <v>6363</v>
      </c>
      <c r="D2030" s="8">
        <v>75.0</v>
      </c>
    </row>
    <row r="2031">
      <c r="A2031" s="8" t="s">
        <v>450</v>
      </c>
      <c r="B2031" s="8" t="s">
        <v>78</v>
      </c>
      <c r="C2031" s="8" t="s">
        <v>6353</v>
      </c>
      <c r="D2031" s="8">
        <v>75.0</v>
      </c>
    </row>
    <row r="2032">
      <c r="A2032" s="8" t="s">
        <v>6447</v>
      </c>
      <c r="B2032" s="8" t="s">
        <v>1676</v>
      </c>
      <c r="C2032" s="8" t="s">
        <v>6346</v>
      </c>
      <c r="D2032" s="8">
        <v>77.0</v>
      </c>
    </row>
    <row r="2033">
      <c r="A2033" s="8" t="s">
        <v>6447</v>
      </c>
      <c r="B2033" s="8" t="s">
        <v>490</v>
      </c>
      <c r="C2033" s="8" t="s">
        <v>6377</v>
      </c>
      <c r="D2033" s="8">
        <v>78.0</v>
      </c>
    </row>
    <row r="2034">
      <c r="A2034" s="8" t="s">
        <v>6447</v>
      </c>
      <c r="B2034" s="8" t="s">
        <v>2892</v>
      </c>
      <c r="C2034" s="8" t="s">
        <v>6353</v>
      </c>
      <c r="D2034" s="8">
        <v>80.0</v>
      </c>
    </row>
    <row r="2035">
      <c r="A2035" s="8" t="s">
        <v>6447</v>
      </c>
      <c r="B2035" s="8" t="s">
        <v>825</v>
      </c>
      <c r="C2035" s="8" t="s">
        <v>6364</v>
      </c>
      <c r="D2035" s="8">
        <v>76.0</v>
      </c>
    </row>
    <row r="2036">
      <c r="A2036" s="8" t="s">
        <v>6447</v>
      </c>
      <c r="B2036" s="8" t="s">
        <v>2934</v>
      </c>
      <c r="C2036" s="8" t="s">
        <v>6347</v>
      </c>
      <c r="D2036" s="8">
        <v>73.0</v>
      </c>
    </row>
    <row r="2037">
      <c r="A2037" s="8" t="s">
        <v>6447</v>
      </c>
      <c r="B2037" s="8" t="s">
        <v>284</v>
      </c>
      <c r="C2037" s="8" t="s">
        <v>6353</v>
      </c>
      <c r="D2037" s="8">
        <v>74.0</v>
      </c>
    </row>
    <row r="2038">
      <c r="A2038" s="8" t="s">
        <v>6447</v>
      </c>
      <c r="B2038" s="8" t="s">
        <v>389</v>
      </c>
      <c r="C2038" s="8" t="s">
        <v>6350</v>
      </c>
      <c r="D2038" s="8">
        <v>68.0</v>
      </c>
    </row>
    <row r="2039">
      <c r="A2039" s="8" t="s">
        <v>6447</v>
      </c>
      <c r="B2039" s="8" t="s">
        <v>448</v>
      </c>
      <c r="C2039" s="8" t="s">
        <v>6368</v>
      </c>
      <c r="D2039" s="8">
        <v>80.0</v>
      </c>
    </row>
    <row r="2040">
      <c r="A2040" s="8" t="s">
        <v>6447</v>
      </c>
      <c r="B2040" s="8" t="s">
        <v>874</v>
      </c>
      <c r="C2040" s="8" t="s">
        <v>6370</v>
      </c>
      <c r="D2040" s="8">
        <v>72.0</v>
      </c>
    </row>
    <row r="2041">
      <c r="A2041" s="8" t="s">
        <v>6447</v>
      </c>
      <c r="B2041" s="8" t="s">
        <v>268</v>
      </c>
      <c r="C2041" s="8" t="s">
        <v>6361</v>
      </c>
      <c r="D2041" s="8">
        <v>76.0</v>
      </c>
    </row>
    <row r="2042">
      <c r="A2042" s="8" t="s">
        <v>6447</v>
      </c>
      <c r="B2042" s="8" t="s">
        <v>222</v>
      </c>
      <c r="C2042" s="8" t="s">
        <v>6352</v>
      </c>
      <c r="D2042" s="8">
        <v>71.0</v>
      </c>
    </row>
    <row r="2043">
      <c r="A2043" s="8" t="s">
        <v>6447</v>
      </c>
      <c r="B2043" s="8" t="s">
        <v>2892</v>
      </c>
      <c r="C2043" s="8" t="s">
        <v>6353</v>
      </c>
      <c r="D2043" s="8">
        <v>86.0</v>
      </c>
    </row>
    <row r="2044">
      <c r="A2044" s="8" t="s">
        <v>6448</v>
      </c>
      <c r="B2044" s="8" t="s">
        <v>1252</v>
      </c>
      <c r="C2044" s="8" t="s">
        <v>6373</v>
      </c>
      <c r="D2044" s="8">
        <v>74.0</v>
      </c>
    </row>
    <row r="2045">
      <c r="A2045" s="8" t="s">
        <v>6448</v>
      </c>
      <c r="B2045" s="8" t="s">
        <v>539</v>
      </c>
      <c r="C2045" s="8" t="s">
        <v>6361</v>
      </c>
      <c r="D2045" s="8">
        <v>84.0</v>
      </c>
    </row>
    <row r="2046">
      <c r="A2046" s="8" t="s">
        <v>1732</v>
      </c>
      <c r="B2046" s="8" t="s">
        <v>1731</v>
      </c>
      <c r="C2046" s="8" t="s">
        <v>6374</v>
      </c>
      <c r="D2046" s="8">
        <v>72.0</v>
      </c>
    </row>
    <row r="2047">
      <c r="A2047" s="8" t="s">
        <v>618</v>
      </c>
      <c r="B2047" s="8" t="s">
        <v>617</v>
      </c>
      <c r="C2047" s="8" t="s">
        <v>6376</v>
      </c>
      <c r="D2047" s="8">
        <v>78.0</v>
      </c>
    </row>
    <row r="2048">
      <c r="A2048" s="8" t="s">
        <v>287</v>
      </c>
      <c r="B2048" s="8" t="s">
        <v>284</v>
      </c>
      <c r="C2048" s="8" t="s">
        <v>6345</v>
      </c>
      <c r="D2048" s="8">
        <v>69.0</v>
      </c>
    </row>
    <row r="2049">
      <c r="A2049" s="8" t="s">
        <v>1970</v>
      </c>
      <c r="B2049" s="8" t="s">
        <v>1969</v>
      </c>
      <c r="C2049" s="8" t="s">
        <v>6354</v>
      </c>
      <c r="D2049" s="8">
        <v>75.0</v>
      </c>
    </row>
    <row r="2050">
      <c r="A2050" s="8" t="s">
        <v>2187</v>
      </c>
      <c r="B2050" s="8" t="s">
        <v>2186</v>
      </c>
      <c r="C2050" s="8" t="s">
        <v>6372</v>
      </c>
      <c r="D2050" s="8">
        <v>77.0</v>
      </c>
    </row>
    <row r="2051">
      <c r="A2051" s="8" t="s">
        <v>489</v>
      </c>
      <c r="B2051" s="8" t="s">
        <v>2718</v>
      </c>
      <c r="C2051" s="8" t="s">
        <v>6364</v>
      </c>
      <c r="D2051" s="8">
        <v>72.0</v>
      </c>
    </row>
    <row r="2052">
      <c r="A2052" s="8" t="s">
        <v>489</v>
      </c>
      <c r="B2052" s="8" t="s">
        <v>488</v>
      </c>
      <c r="C2052" s="8" t="s">
        <v>6376</v>
      </c>
      <c r="D2052" s="8">
        <v>76.0</v>
      </c>
    </row>
    <row r="2053">
      <c r="A2053" s="8" t="s">
        <v>1803</v>
      </c>
      <c r="B2053" s="8" t="s">
        <v>2936</v>
      </c>
      <c r="C2053" s="8" t="s">
        <v>6371</v>
      </c>
      <c r="D2053" s="8">
        <v>70.0</v>
      </c>
    </row>
    <row r="2054">
      <c r="A2054" s="8" t="s">
        <v>1803</v>
      </c>
      <c r="B2054" s="8" t="s">
        <v>1802</v>
      </c>
      <c r="C2054" s="8" t="s">
        <v>6359</v>
      </c>
      <c r="D2054" s="8">
        <v>65.0</v>
      </c>
    </row>
    <row r="2055">
      <c r="A2055" s="8" t="s">
        <v>1803</v>
      </c>
      <c r="B2055" s="8" t="s">
        <v>2008</v>
      </c>
      <c r="C2055" s="8" t="s">
        <v>6345</v>
      </c>
      <c r="D2055" s="8">
        <v>66.0</v>
      </c>
    </row>
    <row r="2056">
      <c r="A2056" s="8" t="s">
        <v>1803</v>
      </c>
      <c r="B2056" s="8" t="s">
        <v>42</v>
      </c>
      <c r="C2056" s="8" t="s">
        <v>6346</v>
      </c>
      <c r="D2056" s="8">
        <v>66.0</v>
      </c>
    </row>
    <row r="2057">
      <c r="A2057" s="8" t="s">
        <v>1503</v>
      </c>
      <c r="B2057" s="8" t="s">
        <v>1502</v>
      </c>
      <c r="C2057" s="8" t="s">
        <v>6373</v>
      </c>
      <c r="D2057" s="8">
        <v>67.0</v>
      </c>
    </row>
    <row r="2058">
      <c r="A2058" s="8" t="s">
        <v>1973</v>
      </c>
      <c r="B2058" s="8" t="s">
        <v>1972</v>
      </c>
      <c r="C2058" s="8" t="s">
        <v>6357</v>
      </c>
      <c r="D2058" s="8">
        <v>68.0</v>
      </c>
    </row>
    <row r="2059">
      <c r="A2059" s="8" t="s">
        <v>1538</v>
      </c>
      <c r="B2059" s="8" t="s">
        <v>1537</v>
      </c>
      <c r="C2059" s="8" t="s">
        <v>6359</v>
      </c>
      <c r="D2059" s="8">
        <v>64.0</v>
      </c>
    </row>
    <row r="2060">
      <c r="A2060" s="8" t="s">
        <v>1370</v>
      </c>
      <c r="B2060" s="8" t="s">
        <v>1369</v>
      </c>
      <c r="C2060" s="8" t="s">
        <v>6361</v>
      </c>
      <c r="D2060" s="8">
        <v>71.0</v>
      </c>
    </row>
    <row r="2061">
      <c r="A2061" s="8" t="s">
        <v>1741</v>
      </c>
      <c r="B2061" s="8" t="s">
        <v>1740</v>
      </c>
      <c r="C2061" s="8" t="s">
        <v>6359</v>
      </c>
      <c r="D2061" s="8">
        <v>79.0</v>
      </c>
    </row>
    <row r="2062">
      <c r="A2062" s="8" t="s">
        <v>2159</v>
      </c>
      <c r="B2062" s="8" t="s">
        <v>389</v>
      </c>
      <c r="C2062" s="8" t="s">
        <v>6345</v>
      </c>
      <c r="D2062" s="8">
        <v>70.0</v>
      </c>
    </row>
    <row r="2063">
      <c r="A2063" s="8" t="s">
        <v>2198</v>
      </c>
      <c r="B2063" s="8" t="s">
        <v>1264</v>
      </c>
      <c r="C2063" s="8" t="s">
        <v>6356</v>
      </c>
      <c r="D2063" s="8">
        <v>71.0</v>
      </c>
    </row>
    <row r="2064">
      <c r="A2064" s="8" t="s">
        <v>516</v>
      </c>
      <c r="B2064" s="8" t="s">
        <v>515</v>
      </c>
      <c r="C2064" s="8" t="s">
        <v>6346</v>
      </c>
      <c r="D2064" s="8">
        <v>82.0</v>
      </c>
    </row>
    <row r="2065">
      <c r="A2065" s="8" t="s">
        <v>1713</v>
      </c>
      <c r="B2065" s="8" t="s">
        <v>1712</v>
      </c>
      <c r="C2065" s="8" t="s">
        <v>6365</v>
      </c>
      <c r="D2065" s="8">
        <v>66.0</v>
      </c>
    </row>
    <row r="2066">
      <c r="A2066" s="8" t="s">
        <v>2970</v>
      </c>
      <c r="B2066" s="8" t="s">
        <v>2969</v>
      </c>
      <c r="C2066" s="8" t="s">
        <v>6357</v>
      </c>
      <c r="D2066" s="8">
        <v>65.0</v>
      </c>
    </row>
    <row r="2067">
      <c r="A2067" s="8" t="s">
        <v>2673</v>
      </c>
      <c r="B2067" s="8" t="s">
        <v>2310</v>
      </c>
      <c r="C2067" s="8" t="s">
        <v>6370</v>
      </c>
      <c r="D2067" s="8">
        <v>62.0</v>
      </c>
    </row>
    <row r="2068">
      <c r="A2068" s="8" t="s">
        <v>2882</v>
      </c>
      <c r="B2068" s="8" t="s">
        <v>956</v>
      </c>
      <c r="C2068" s="8" t="s">
        <v>6365</v>
      </c>
      <c r="D2068" s="8">
        <v>70.0</v>
      </c>
    </row>
    <row r="2069">
      <c r="A2069" s="8" t="s">
        <v>2063</v>
      </c>
      <c r="B2069" s="8" t="s">
        <v>354</v>
      </c>
      <c r="C2069" s="8" t="s">
        <v>6346</v>
      </c>
      <c r="D2069" s="8">
        <v>76.0</v>
      </c>
    </row>
    <row r="2070">
      <c r="A2070" s="8" t="s">
        <v>1114</v>
      </c>
      <c r="B2070" s="8" t="s">
        <v>868</v>
      </c>
      <c r="C2070" s="8" t="s">
        <v>6347</v>
      </c>
      <c r="D2070" s="8">
        <v>62.0</v>
      </c>
    </row>
    <row r="2071">
      <c r="A2071" s="8" t="s">
        <v>465</v>
      </c>
      <c r="B2071" s="8" t="s">
        <v>3142</v>
      </c>
      <c r="C2071" s="8" t="s">
        <v>6353</v>
      </c>
      <c r="D2071" s="8">
        <v>77.0</v>
      </c>
    </row>
    <row r="2072">
      <c r="A2072" s="8" t="s">
        <v>465</v>
      </c>
      <c r="B2072" s="8" t="s">
        <v>464</v>
      </c>
      <c r="C2072" s="8" t="s">
        <v>6374</v>
      </c>
      <c r="D2072" s="8">
        <v>72.0</v>
      </c>
    </row>
    <row r="2073">
      <c r="A2073" s="8" t="s">
        <v>465</v>
      </c>
      <c r="B2073" s="8" t="s">
        <v>1675</v>
      </c>
      <c r="C2073" s="8" t="s">
        <v>6367</v>
      </c>
      <c r="D2073" s="8">
        <v>80.0</v>
      </c>
    </row>
    <row r="2074">
      <c r="A2074" s="8" t="s">
        <v>441</v>
      </c>
      <c r="B2074" s="8" t="s">
        <v>743</v>
      </c>
      <c r="C2074" s="8" t="s">
        <v>6354</v>
      </c>
      <c r="D2074" s="8">
        <v>82.0</v>
      </c>
    </row>
    <row r="2075">
      <c r="A2075" s="8" t="s">
        <v>441</v>
      </c>
      <c r="B2075" s="8" t="s">
        <v>688</v>
      </c>
      <c r="C2075" s="8" t="s">
        <v>6359</v>
      </c>
      <c r="D2075" s="8">
        <v>78.0</v>
      </c>
    </row>
    <row r="2076">
      <c r="A2076" s="8" t="s">
        <v>441</v>
      </c>
      <c r="B2076" s="8" t="s">
        <v>1541</v>
      </c>
      <c r="C2076" s="8" t="s">
        <v>6369</v>
      </c>
      <c r="D2076" s="8">
        <v>72.0</v>
      </c>
    </row>
    <row r="2077">
      <c r="A2077" s="8" t="s">
        <v>441</v>
      </c>
      <c r="B2077" s="8" t="s">
        <v>1188</v>
      </c>
      <c r="C2077" s="8" t="s">
        <v>6369</v>
      </c>
      <c r="D2077" s="8">
        <v>62.0</v>
      </c>
    </row>
    <row r="2078">
      <c r="A2078" s="8" t="s">
        <v>441</v>
      </c>
      <c r="B2078" s="8" t="s">
        <v>1468</v>
      </c>
      <c r="C2078" s="8" t="s">
        <v>6375</v>
      </c>
      <c r="D2078" s="8">
        <v>68.0</v>
      </c>
    </row>
    <row r="2079">
      <c r="A2079" s="8" t="s">
        <v>441</v>
      </c>
      <c r="B2079" s="8" t="s">
        <v>1428</v>
      </c>
      <c r="C2079" s="8" t="s">
        <v>6353</v>
      </c>
      <c r="D2079" s="8">
        <v>77.0</v>
      </c>
    </row>
    <row r="2080">
      <c r="A2080" s="8" t="s">
        <v>538</v>
      </c>
      <c r="B2080" s="8" t="s">
        <v>537</v>
      </c>
      <c r="C2080" s="8" t="s">
        <v>6349</v>
      </c>
      <c r="D2080" s="8">
        <v>62.0</v>
      </c>
    </row>
    <row r="2081">
      <c r="A2081" s="8" t="s">
        <v>1994</v>
      </c>
      <c r="B2081" s="8" t="s">
        <v>441</v>
      </c>
      <c r="C2081" s="8" t="s">
        <v>6354</v>
      </c>
      <c r="D2081" s="8">
        <v>74.0</v>
      </c>
    </row>
    <row r="2082">
      <c r="A2082" s="8" t="s">
        <v>114</v>
      </c>
      <c r="B2082" s="8" t="s">
        <v>1214</v>
      </c>
      <c r="C2082" s="8" t="s">
        <v>6362</v>
      </c>
      <c r="D2082" s="8">
        <v>72.0</v>
      </c>
    </row>
    <row r="2083">
      <c r="A2083" s="8" t="s">
        <v>114</v>
      </c>
      <c r="B2083" s="8" t="s">
        <v>210</v>
      </c>
      <c r="C2083" s="8" t="s">
        <v>6347</v>
      </c>
      <c r="D2083" s="8">
        <v>69.0</v>
      </c>
    </row>
    <row r="2084">
      <c r="A2084" s="8" t="s">
        <v>114</v>
      </c>
      <c r="B2084" s="8" t="s">
        <v>2811</v>
      </c>
      <c r="C2084" s="8" t="s">
        <v>6349</v>
      </c>
      <c r="D2084" s="8">
        <v>78.0</v>
      </c>
    </row>
    <row r="2085">
      <c r="A2085" s="8" t="s">
        <v>114</v>
      </c>
      <c r="B2085" s="8" t="s">
        <v>2841</v>
      </c>
      <c r="C2085" s="8" t="s">
        <v>6355</v>
      </c>
      <c r="D2085" s="8">
        <v>84.0</v>
      </c>
    </row>
    <row r="2086">
      <c r="A2086" s="8" t="s">
        <v>114</v>
      </c>
      <c r="B2086" s="8" t="s">
        <v>2841</v>
      </c>
      <c r="C2086" s="8" t="s">
        <v>6376</v>
      </c>
      <c r="D2086" s="8">
        <v>83.0</v>
      </c>
    </row>
    <row r="2087">
      <c r="A2087" s="8" t="s">
        <v>114</v>
      </c>
      <c r="B2087" s="8" t="s">
        <v>2841</v>
      </c>
      <c r="C2087" s="8" t="s">
        <v>6361</v>
      </c>
      <c r="D2087" s="8">
        <v>82.0</v>
      </c>
    </row>
    <row r="2088">
      <c r="A2088" s="8" t="s">
        <v>114</v>
      </c>
      <c r="B2088" s="8" t="s">
        <v>2841</v>
      </c>
      <c r="C2088" s="8" t="s">
        <v>6376</v>
      </c>
      <c r="D2088" s="8">
        <v>86.0</v>
      </c>
    </row>
    <row r="2089">
      <c r="A2089" s="8" t="s">
        <v>114</v>
      </c>
      <c r="B2089" s="8" t="s">
        <v>2841</v>
      </c>
      <c r="C2089" s="8" t="s">
        <v>6376</v>
      </c>
      <c r="D2089" s="8">
        <v>88.0</v>
      </c>
    </row>
    <row r="2090">
      <c r="A2090" s="8" t="s">
        <v>114</v>
      </c>
      <c r="B2090" s="8" t="s">
        <v>2841</v>
      </c>
      <c r="C2090" s="8" t="s">
        <v>6376</v>
      </c>
      <c r="D2090" s="8">
        <v>90.0</v>
      </c>
    </row>
    <row r="2091">
      <c r="A2091" s="8" t="s">
        <v>114</v>
      </c>
      <c r="B2091" s="8" t="s">
        <v>2811</v>
      </c>
      <c r="C2091" s="8" t="s">
        <v>6349</v>
      </c>
      <c r="D2091" s="8">
        <v>85.0</v>
      </c>
    </row>
    <row r="2092">
      <c r="A2092" s="8" t="s">
        <v>1101</v>
      </c>
      <c r="B2092" s="8" t="s">
        <v>78</v>
      </c>
      <c r="C2092" s="8" t="s">
        <v>6348</v>
      </c>
      <c r="D2092" s="8">
        <v>63.0</v>
      </c>
    </row>
    <row r="2093">
      <c r="A2093" s="8" t="s">
        <v>1101</v>
      </c>
      <c r="B2093" s="8" t="s">
        <v>1100</v>
      </c>
      <c r="C2093" s="8" t="s">
        <v>6378</v>
      </c>
      <c r="D2093" s="8">
        <v>79.0</v>
      </c>
    </row>
    <row r="2094">
      <c r="A2094" s="8" t="s">
        <v>1996</v>
      </c>
      <c r="B2094" s="8" t="s">
        <v>444</v>
      </c>
      <c r="C2094" s="8" t="s">
        <v>6371</v>
      </c>
      <c r="D2094" s="8">
        <v>72.0</v>
      </c>
    </row>
    <row r="2095">
      <c r="A2095" s="8" t="s">
        <v>2433</v>
      </c>
      <c r="B2095" s="8" t="s">
        <v>2432</v>
      </c>
      <c r="C2095" s="8" t="s">
        <v>6353</v>
      </c>
      <c r="D2095" s="8">
        <v>73.0</v>
      </c>
    </row>
    <row r="2096">
      <c r="A2096" s="8" t="s">
        <v>801</v>
      </c>
      <c r="B2096" s="8" t="s">
        <v>99</v>
      </c>
      <c r="C2096" s="8" t="s">
        <v>6346</v>
      </c>
      <c r="D2096" s="8">
        <v>85.0</v>
      </c>
    </row>
    <row r="2097">
      <c r="A2097" s="8" t="s">
        <v>1190</v>
      </c>
      <c r="B2097" s="8" t="s">
        <v>1189</v>
      </c>
      <c r="C2097" s="8" t="s">
        <v>6357</v>
      </c>
      <c r="D2097" s="8">
        <v>62.0</v>
      </c>
    </row>
    <row r="2098">
      <c r="A2098" s="8" t="s">
        <v>2982</v>
      </c>
      <c r="B2098" s="8" t="s">
        <v>2981</v>
      </c>
      <c r="C2098" s="8" t="s">
        <v>6345</v>
      </c>
      <c r="D2098" s="8">
        <v>73.0</v>
      </c>
    </row>
    <row r="2099">
      <c r="A2099" s="8" t="s">
        <v>2804</v>
      </c>
      <c r="B2099" s="8" t="s">
        <v>2803</v>
      </c>
      <c r="C2099" s="8" t="s">
        <v>6347</v>
      </c>
      <c r="D2099" s="8">
        <v>65.0</v>
      </c>
    </row>
    <row r="2100">
      <c r="A2100" s="8" t="s">
        <v>2804</v>
      </c>
      <c r="B2100" s="8" t="s">
        <v>2963</v>
      </c>
      <c r="C2100" s="8" t="s">
        <v>6365</v>
      </c>
      <c r="D2100" s="8">
        <v>76.0</v>
      </c>
    </row>
    <row r="2101">
      <c r="A2101" s="8" t="s">
        <v>983</v>
      </c>
      <c r="B2101" s="8" t="s">
        <v>99</v>
      </c>
      <c r="C2101" s="8" t="s">
        <v>6373</v>
      </c>
      <c r="D2101" s="8">
        <v>71.0</v>
      </c>
    </row>
    <row r="2102">
      <c r="A2102" s="8" t="s">
        <v>983</v>
      </c>
      <c r="B2102" s="8" t="s">
        <v>3127</v>
      </c>
      <c r="C2102" s="8" t="s">
        <v>6349</v>
      </c>
      <c r="D2102" s="8">
        <v>73.0</v>
      </c>
    </row>
    <row r="2103">
      <c r="A2103" s="8" t="s">
        <v>983</v>
      </c>
      <c r="B2103" s="8" t="s">
        <v>427</v>
      </c>
      <c r="C2103" s="8" t="s">
        <v>6377</v>
      </c>
      <c r="D2103" s="8">
        <v>74.0</v>
      </c>
    </row>
    <row r="2104">
      <c r="A2104" s="8" t="s">
        <v>983</v>
      </c>
      <c r="B2104" s="8" t="s">
        <v>78</v>
      </c>
      <c r="C2104" s="8" t="s">
        <v>6374</v>
      </c>
      <c r="D2104" s="8">
        <v>76.0</v>
      </c>
    </row>
    <row r="2105">
      <c r="A2105" s="8" t="s">
        <v>77</v>
      </c>
      <c r="B2105" s="8" t="s">
        <v>76</v>
      </c>
      <c r="C2105" s="8" t="s">
        <v>6367</v>
      </c>
      <c r="D2105" s="8">
        <v>82.0</v>
      </c>
    </row>
    <row r="2106">
      <c r="A2106" s="8" t="s">
        <v>77</v>
      </c>
      <c r="B2106" s="8" t="s">
        <v>1772</v>
      </c>
      <c r="C2106" s="8" t="s">
        <v>6368</v>
      </c>
      <c r="D2106" s="8">
        <v>75.0</v>
      </c>
    </row>
    <row r="2107">
      <c r="A2107" s="8" t="s">
        <v>77</v>
      </c>
      <c r="B2107" s="8" t="s">
        <v>76</v>
      </c>
      <c r="C2107" s="8" t="s">
        <v>6367</v>
      </c>
      <c r="D2107" s="8">
        <v>86.0</v>
      </c>
    </row>
    <row r="2108">
      <c r="A2108" s="8" t="s">
        <v>418</v>
      </c>
      <c r="B2108" s="8" t="s">
        <v>3005</v>
      </c>
      <c r="C2108" s="8" t="s">
        <v>6378</v>
      </c>
      <c r="D2108" s="8">
        <v>75.0</v>
      </c>
    </row>
    <row r="2109">
      <c r="A2109" s="8" t="s">
        <v>861</v>
      </c>
      <c r="B2109" s="8" t="s">
        <v>224</v>
      </c>
      <c r="C2109" s="8" t="s">
        <v>6378</v>
      </c>
      <c r="D2109" s="8">
        <v>76.0</v>
      </c>
    </row>
    <row r="2110">
      <c r="A2110" s="8" t="s">
        <v>861</v>
      </c>
      <c r="B2110" s="8" t="s">
        <v>2913</v>
      </c>
      <c r="C2110" s="8" t="s">
        <v>6364</v>
      </c>
      <c r="D2110" s="8">
        <v>68.0</v>
      </c>
    </row>
    <row r="2111">
      <c r="A2111" s="8" t="s">
        <v>861</v>
      </c>
      <c r="B2111" s="8" t="s">
        <v>2788</v>
      </c>
      <c r="C2111" s="8" t="s">
        <v>6345</v>
      </c>
      <c r="D2111" s="8">
        <v>66.0</v>
      </c>
    </row>
    <row r="2112">
      <c r="A2112" s="8" t="s">
        <v>640</v>
      </c>
      <c r="B2112" s="8" t="s">
        <v>639</v>
      </c>
      <c r="C2112" s="8" t="s">
        <v>6349</v>
      </c>
      <c r="D2112" s="8">
        <v>80.0</v>
      </c>
    </row>
    <row r="2113">
      <c r="A2113" s="8" t="s">
        <v>1126</v>
      </c>
      <c r="B2113" s="8" t="s">
        <v>877</v>
      </c>
      <c r="C2113" s="8" t="s">
        <v>6372</v>
      </c>
      <c r="D2113" s="8">
        <v>82.0</v>
      </c>
    </row>
    <row r="2114">
      <c r="A2114" s="8" t="s">
        <v>789</v>
      </c>
      <c r="B2114" s="8" t="s">
        <v>788</v>
      </c>
      <c r="C2114" s="8" t="s">
        <v>6353</v>
      </c>
      <c r="D2114" s="8">
        <v>76.0</v>
      </c>
    </row>
    <row r="2115">
      <c r="A2115" s="8" t="s">
        <v>62</v>
      </c>
      <c r="B2115" s="8" t="s">
        <v>2768</v>
      </c>
      <c r="C2115" s="8" t="s">
        <v>6347</v>
      </c>
      <c r="D2115" s="8">
        <v>64.0</v>
      </c>
    </row>
    <row r="2116">
      <c r="A2116" s="8" t="s">
        <v>62</v>
      </c>
      <c r="B2116" s="8" t="s">
        <v>168</v>
      </c>
      <c r="C2116" s="8" t="s">
        <v>6349</v>
      </c>
      <c r="D2116" s="8">
        <v>85.0</v>
      </c>
    </row>
    <row r="2117">
      <c r="A2117" s="8" t="s">
        <v>62</v>
      </c>
      <c r="B2117" s="8" t="s">
        <v>2760</v>
      </c>
      <c r="C2117" s="8" t="s">
        <v>6369</v>
      </c>
      <c r="D2117" s="8">
        <v>83.0</v>
      </c>
    </row>
    <row r="2118">
      <c r="A2118" s="8" t="s">
        <v>62</v>
      </c>
      <c r="B2118" s="8" t="s">
        <v>1296</v>
      </c>
      <c r="C2118" s="8" t="s">
        <v>6378</v>
      </c>
      <c r="D2118" s="8">
        <v>74.0</v>
      </c>
    </row>
    <row r="2119">
      <c r="A2119" s="8" t="s">
        <v>2661</v>
      </c>
      <c r="B2119" s="8" t="s">
        <v>2660</v>
      </c>
      <c r="C2119" s="8" t="s">
        <v>6348</v>
      </c>
      <c r="D2119" s="8">
        <v>62.0</v>
      </c>
    </row>
    <row r="2120">
      <c r="A2120" s="8" t="s">
        <v>1209</v>
      </c>
      <c r="B2120" s="8" t="s">
        <v>194</v>
      </c>
      <c r="C2120" s="8" t="s">
        <v>6363</v>
      </c>
      <c r="D2120" s="8">
        <v>64.0</v>
      </c>
    </row>
    <row r="2121">
      <c r="A2121" s="8" t="s">
        <v>1209</v>
      </c>
      <c r="B2121" s="8" t="s">
        <v>78</v>
      </c>
      <c r="C2121" s="8" t="s">
        <v>6367</v>
      </c>
      <c r="D2121" s="8">
        <v>71.0</v>
      </c>
    </row>
    <row r="2122">
      <c r="A2122" s="8" t="s">
        <v>1209</v>
      </c>
      <c r="B2122" s="8" t="s">
        <v>1055</v>
      </c>
      <c r="C2122" s="8" t="s">
        <v>6367</v>
      </c>
      <c r="D2122" s="8">
        <v>62.0</v>
      </c>
    </row>
    <row r="2123">
      <c r="A2123" s="8" t="s">
        <v>1209</v>
      </c>
      <c r="B2123" s="8" t="s">
        <v>2415</v>
      </c>
      <c r="C2123" s="8" t="s">
        <v>6370</v>
      </c>
      <c r="D2123" s="8">
        <v>69.0</v>
      </c>
    </row>
    <row r="2124">
      <c r="A2124" s="8" t="s">
        <v>1209</v>
      </c>
      <c r="B2124" s="8" t="s">
        <v>1208</v>
      </c>
      <c r="C2124" s="8" t="s">
        <v>6375</v>
      </c>
      <c r="D2124" s="8">
        <v>81.0</v>
      </c>
    </row>
    <row r="2125">
      <c r="A2125" s="8" t="s">
        <v>3146</v>
      </c>
      <c r="B2125" s="8" t="s">
        <v>455</v>
      </c>
      <c r="C2125" s="8" t="s">
        <v>6373</v>
      </c>
      <c r="D2125" s="8">
        <v>69.0</v>
      </c>
    </row>
    <row r="2126">
      <c r="A2126" s="8" t="s">
        <v>2817</v>
      </c>
      <c r="B2126" s="8" t="s">
        <v>268</v>
      </c>
      <c r="C2126" s="8" t="s">
        <v>6364</v>
      </c>
      <c r="D2126" s="8">
        <v>72.0</v>
      </c>
    </row>
    <row r="2127">
      <c r="A2127" s="8" t="s">
        <v>2864</v>
      </c>
      <c r="B2127" s="8" t="s">
        <v>389</v>
      </c>
      <c r="C2127" s="8" t="s">
        <v>6353</v>
      </c>
      <c r="D2127" s="8">
        <v>66.0</v>
      </c>
    </row>
    <row r="2128">
      <c r="A2128" s="8" t="s">
        <v>883</v>
      </c>
      <c r="B2128" s="8" t="s">
        <v>2824</v>
      </c>
      <c r="C2128" s="8" t="s">
        <v>6357</v>
      </c>
      <c r="D2128" s="8">
        <v>86.0</v>
      </c>
    </row>
    <row r="2129">
      <c r="A2129" s="8" t="s">
        <v>883</v>
      </c>
      <c r="B2129" s="8" t="s">
        <v>61</v>
      </c>
      <c r="C2129" s="8" t="s">
        <v>6363</v>
      </c>
      <c r="D2129" s="8">
        <v>77.0</v>
      </c>
    </row>
    <row r="2130">
      <c r="A2130" s="8" t="s">
        <v>15</v>
      </c>
      <c r="B2130" s="8" t="s">
        <v>358</v>
      </c>
      <c r="C2130" s="8" t="s">
        <v>6365</v>
      </c>
      <c r="D2130" s="8">
        <v>71.0</v>
      </c>
    </row>
    <row r="2131">
      <c r="A2131" s="8" t="s">
        <v>15</v>
      </c>
      <c r="B2131" s="8" t="s">
        <v>389</v>
      </c>
      <c r="C2131" s="8" t="s">
        <v>6371</v>
      </c>
      <c r="D2131" s="8">
        <v>74.0</v>
      </c>
    </row>
    <row r="2132">
      <c r="A2132" s="8" t="s">
        <v>15</v>
      </c>
      <c r="B2132" s="8" t="s">
        <v>600</v>
      </c>
      <c r="C2132" s="8" t="s">
        <v>6349</v>
      </c>
      <c r="D2132" s="8">
        <v>74.0</v>
      </c>
    </row>
    <row r="2133">
      <c r="A2133" s="8" t="s">
        <v>15</v>
      </c>
      <c r="B2133" s="8" t="s">
        <v>14</v>
      </c>
      <c r="C2133" s="8" t="s">
        <v>6362</v>
      </c>
      <c r="D2133" s="8">
        <v>88.0</v>
      </c>
    </row>
    <row r="2134">
      <c r="A2134" s="8" t="s">
        <v>15</v>
      </c>
      <c r="B2134" s="8" t="s">
        <v>14</v>
      </c>
      <c r="C2134" s="8" t="s">
        <v>6362</v>
      </c>
      <c r="D2134" s="8">
        <v>92.0</v>
      </c>
    </row>
    <row r="2135">
      <c r="A2135" s="8" t="s">
        <v>1986</v>
      </c>
      <c r="B2135" s="8" t="s">
        <v>2691</v>
      </c>
      <c r="C2135" s="8" t="s">
        <v>6346</v>
      </c>
      <c r="D2135" s="8">
        <v>80.0</v>
      </c>
    </row>
    <row r="2136">
      <c r="A2136" s="8" t="s">
        <v>1986</v>
      </c>
      <c r="B2136" s="8" t="s">
        <v>2691</v>
      </c>
      <c r="C2136" s="8" t="s">
        <v>6346</v>
      </c>
      <c r="D2136" s="8">
        <v>87.0</v>
      </c>
    </row>
    <row r="2137">
      <c r="A2137" s="8" t="s">
        <v>1233</v>
      </c>
      <c r="B2137" s="8" t="s">
        <v>94</v>
      </c>
      <c r="C2137" s="8" t="s">
        <v>6349</v>
      </c>
      <c r="D2137" s="8">
        <v>68.0</v>
      </c>
    </row>
    <row r="2138">
      <c r="A2138" s="8" t="s">
        <v>140</v>
      </c>
      <c r="B2138" s="8" t="s">
        <v>946</v>
      </c>
      <c r="C2138" s="8" t="s">
        <v>6367</v>
      </c>
      <c r="D2138" s="8">
        <v>80.0</v>
      </c>
    </row>
    <row r="2139">
      <c r="A2139" s="8" t="s">
        <v>140</v>
      </c>
      <c r="B2139" s="8" t="s">
        <v>921</v>
      </c>
      <c r="C2139" s="8" t="s">
        <v>6378</v>
      </c>
      <c r="D2139" s="8">
        <v>75.0</v>
      </c>
    </row>
    <row r="2140">
      <c r="A2140" s="8" t="s">
        <v>140</v>
      </c>
      <c r="B2140" s="8" t="s">
        <v>1260</v>
      </c>
      <c r="C2140" s="8" t="s">
        <v>6350</v>
      </c>
      <c r="D2140" s="8">
        <v>65.0</v>
      </c>
    </row>
    <row r="2141">
      <c r="A2141" s="8" t="s">
        <v>140</v>
      </c>
      <c r="B2141" s="8" t="s">
        <v>969</v>
      </c>
      <c r="C2141" s="8" t="s">
        <v>6347</v>
      </c>
      <c r="D2141" s="8">
        <v>78.0</v>
      </c>
    </row>
    <row r="2142">
      <c r="A2142" s="8" t="s">
        <v>140</v>
      </c>
      <c r="B2142" s="8" t="s">
        <v>139</v>
      </c>
      <c r="C2142" s="8" t="s">
        <v>6370</v>
      </c>
      <c r="D2142" s="8">
        <v>67.0</v>
      </c>
    </row>
    <row r="2143">
      <c r="A2143" s="8" t="s">
        <v>434</v>
      </c>
      <c r="B2143" s="8" t="s">
        <v>99</v>
      </c>
      <c r="C2143" s="8" t="s">
        <v>6369</v>
      </c>
      <c r="D2143" s="8">
        <v>76.0</v>
      </c>
    </row>
    <row r="2144">
      <c r="A2144" s="8" t="s">
        <v>1897</v>
      </c>
      <c r="B2144" s="8" t="s">
        <v>1896</v>
      </c>
      <c r="C2144" s="8" t="s">
        <v>6347</v>
      </c>
      <c r="D2144" s="8">
        <v>64.0</v>
      </c>
    </row>
    <row r="2145">
      <c r="A2145" s="8" t="s">
        <v>1119</v>
      </c>
      <c r="B2145" s="8" t="s">
        <v>1118</v>
      </c>
      <c r="C2145" s="8" t="s">
        <v>6350</v>
      </c>
      <c r="D2145" s="8">
        <v>62.0</v>
      </c>
    </row>
    <row r="2146">
      <c r="A2146" s="8" t="s">
        <v>2017</v>
      </c>
      <c r="B2146" s="8" t="s">
        <v>104</v>
      </c>
      <c r="C2146" s="8" t="s">
        <v>6353</v>
      </c>
      <c r="D2146" s="8">
        <v>71.0</v>
      </c>
    </row>
    <row r="2147">
      <c r="A2147" s="8" t="s">
        <v>1053</v>
      </c>
      <c r="B2147" s="8" t="s">
        <v>1052</v>
      </c>
      <c r="C2147" s="8" t="s">
        <v>6365</v>
      </c>
      <c r="D2147" s="8">
        <v>79.0</v>
      </c>
    </row>
    <row r="2148">
      <c r="A2148" s="8" t="s">
        <v>1053</v>
      </c>
      <c r="B2148" s="8" t="s">
        <v>2781</v>
      </c>
      <c r="C2148" s="8" t="s">
        <v>6347</v>
      </c>
      <c r="D2148" s="8">
        <v>68.0</v>
      </c>
    </row>
    <row r="2149">
      <c r="A2149" s="8" t="s">
        <v>1320</v>
      </c>
      <c r="B2149" s="8" t="s">
        <v>1043</v>
      </c>
      <c r="C2149" s="8" t="s">
        <v>6369</v>
      </c>
      <c r="D2149" s="8">
        <v>82.0</v>
      </c>
    </row>
    <row r="2150">
      <c r="A2150" s="8" t="s">
        <v>244</v>
      </c>
      <c r="B2150" s="8" t="s">
        <v>2703</v>
      </c>
      <c r="C2150" s="8" t="s">
        <v>6363</v>
      </c>
      <c r="D2150" s="8">
        <v>70.0</v>
      </c>
    </row>
    <row r="2151">
      <c r="A2151" s="8" t="s">
        <v>79</v>
      </c>
      <c r="B2151" s="8" t="s">
        <v>78</v>
      </c>
      <c r="C2151" s="8" t="s">
        <v>6355</v>
      </c>
      <c r="D2151" s="8">
        <v>77.0</v>
      </c>
    </row>
    <row r="2152">
      <c r="A2152" s="8" t="s">
        <v>2714</v>
      </c>
      <c r="B2152" s="8" t="s">
        <v>2713</v>
      </c>
      <c r="C2152" s="8" t="s">
        <v>6345</v>
      </c>
      <c r="D2152" s="8">
        <v>71.0</v>
      </c>
    </row>
    <row r="2153">
      <c r="A2153" s="8" t="s">
        <v>1434</v>
      </c>
      <c r="B2153" s="8" t="s">
        <v>1433</v>
      </c>
      <c r="C2153" s="8" t="s">
        <v>6349</v>
      </c>
      <c r="D2153" s="8">
        <v>64.0</v>
      </c>
    </row>
    <row r="2154">
      <c r="A2154" s="8" t="s">
        <v>1434</v>
      </c>
      <c r="B2154" s="8" t="s">
        <v>1200</v>
      </c>
      <c r="C2154" s="8" t="s">
        <v>6357</v>
      </c>
      <c r="D2154" s="8">
        <v>65.0</v>
      </c>
    </row>
    <row r="2155">
      <c r="A2155" s="8" t="s">
        <v>472</v>
      </c>
      <c r="B2155" s="8" t="s">
        <v>687</v>
      </c>
      <c r="C2155" s="8" t="s">
        <v>6374</v>
      </c>
      <c r="D2155" s="8">
        <v>87.0</v>
      </c>
    </row>
    <row r="2156">
      <c r="A2156" s="8" t="s">
        <v>472</v>
      </c>
      <c r="B2156" s="8" t="s">
        <v>35</v>
      </c>
      <c r="C2156" s="8" t="s">
        <v>6344</v>
      </c>
      <c r="D2156" s="8">
        <v>77.0</v>
      </c>
    </row>
    <row r="2157">
      <c r="A2157" s="8" t="s">
        <v>472</v>
      </c>
      <c r="B2157" s="8" t="s">
        <v>599</v>
      </c>
      <c r="C2157" s="8" t="s">
        <v>6348</v>
      </c>
      <c r="D2157" s="8">
        <v>69.0</v>
      </c>
    </row>
    <row r="2158">
      <c r="A2158" s="8" t="s">
        <v>472</v>
      </c>
      <c r="B2158" s="8" t="s">
        <v>290</v>
      </c>
      <c r="C2158" s="8" t="s">
        <v>6373</v>
      </c>
      <c r="D2158" s="8">
        <v>87.0</v>
      </c>
    </row>
    <row r="2159">
      <c r="A2159" s="8" t="s">
        <v>472</v>
      </c>
      <c r="B2159" s="8" t="s">
        <v>687</v>
      </c>
      <c r="C2159" s="8" t="s">
        <v>6374</v>
      </c>
      <c r="D2159" s="8">
        <v>91.0</v>
      </c>
    </row>
    <row r="2160">
      <c r="A2160" s="8" t="s">
        <v>472</v>
      </c>
      <c r="B2160" s="8" t="s">
        <v>290</v>
      </c>
      <c r="C2160" s="8" t="s">
        <v>6373</v>
      </c>
      <c r="D2160" s="8">
        <v>91.0</v>
      </c>
    </row>
    <row r="2161">
      <c r="A2161" s="8" t="s">
        <v>1633</v>
      </c>
      <c r="B2161" s="8" t="s">
        <v>2912</v>
      </c>
      <c r="C2161" s="8" t="s">
        <v>6371</v>
      </c>
      <c r="D2161" s="8">
        <v>77.0</v>
      </c>
    </row>
    <row r="2162">
      <c r="A2162" s="8" t="s">
        <v>1633</v>
      </c>
      <c r="B2162" s="8" t="s">
        <v>1965</v>
      </c>
      <c r="C2162" s="8" t="s">
        <v>6364</v>
      </c>
      <c r="D2162" s="8">
        <v>80.0</v>
      </c>
    </row>
    <row r="2163">
      <c r="A2163" s="8" t="s">
        <v>1633</v>
      </c>
      <c r="B2163" s="8" t="s">
        <v>913</v>
      </c>
      <c r="C2163" s="8" t="s">
        <v>6371</v>
      </c>
      <c r="D2163" s="8">
        <v>66.0</v>
      </c>
    </row>
    <row r="2164">
      <c r="A2164" s="8" t="s">
        <v>6105</v>
      </c>
      <c r="B2164" s="8" t="s">
        <v>1055</v>
      </c>
      <c r="C2164" s="8" t="s">
        <v>6345</v>
      </c>
      <c r="D2164" s="8">
        <v>85.0</v>
      </c>
    </row>
    <row r="2165">
      <c r="A2165" s="8" t="s">
        <v>6105</v>
      </c>
      <c r="B2165" s="8" t="s">
        <v>1055</v>
      </c>
      <c r="C2165" s="8" t="s">
        <v>6345</v>
      </c>
      <c r="D2165" s="8">
        <v>88.0</v>
      </c>
    </row>
    <row r="2166">
      <c r="A2166" s="8" t="s">
        <v>6108</v>
      </c>
      <c r="B2166" s="8" t="s">
        <v>99</v>
      </c>
      <c r="C2166" s="8" t="s">
        <v>6349</v>
      </c>
      <c r="D2166" s="8">
        <v>75.0</v>
      </c>
    </row>
    <row r="2167">
      <c r="A2167" s="8" t="s">
        <v>6110</v>
      </c>
      <c r="B2167" s="8" t="s">
        <v>389</v>
      </c>
      <c r="C2167" s="8" t="s">
        <v>6374</v>
      </c>
      <c r="D2167" s="8">
        <v>62.0</v>
      </c>
    </row>
    <row r="2168">
      <c r="A2168" s="8" t="s">
        <v>2465</v>
      </c>
      <c r="B2168" s="8" t="s">
        <v>1772</v>
      </c>
      <c r="C2168" s="8" t="s">
        <v>6345</v>
      </c>
      <c r="D2168" s="8">
        <v>76.0</v>
      </c>
    </row>
    <row r="2169">
      <c r="A2169" s="8" t="s">
        <v>2247</v>
      </c>
      <c r="B2169" s="8" t="s">
        <v>99</v>
      </c>
      <c r="C2169" s="8" t="s">
        <v>6373</v>
      </c>
      <c r="D2169" s="8">
        <v>72.0</v>
      </c>
    </row>
    <row r="2170">
      <c r="A2170" s="8" t="s">
        <v>334</v>
      </c>
      <c r="B2170" s="8" t="s">
        <v>766</v>
      </c>
      <c r="C2170" s="8" t="s">
        <v>6345</v>
      </c>
      <c r="D2170" s="8">
        <v>79.0</v>
      </c>
    </row>
    <row r="2171">
      <c r="A2171" s="8" t="s">
        <v>334</v>
      </c>
      <c r="B2171" s="8" t="s">
        <v>441</v>
      </c>
      <c r="C2171" s="8" t="s">
        <v>6356</v>
      </c>
      <c r="D2171" s="8">
        <v>73.0</v>
      </c>
    </row>
    <row r="2172">
      <c r="A2172" s="8" t="s">
        <v>334</v>
      </c>
      <c r="B2172" s="8" t="s">
        <v>106</v>
      </c>
      <c r="C2172" s="8" t="s">
        <v>6362</v>
      </c>
      <c r="D2172" s="8">
        <v>79.0</v>
      </c>
    </row>
    <row r="2173">
      <c r="A2173" s="8" t="s">
        <v>334</v>
      </c>
      <c r="B2173" s="8" t="s">
        <v>78</v>
      </c>
      <c r="C2173" s="8" t="s">
        <v>6370</v>
      </c>
      <c r="D2173" s="8">
        <v>87.0</v>
      </c>
    </row>
    <row r="2174">
      <c r="A2174" s="8" t="s">
        <v>1397</v>
      </c>
      <c r="B2174" s="8" t="s">
        <v>246</v>
      </c>
      <c r="C2174" s="8" t="s">
        <v>6378</v>
      </c>
      <c r="D2174" s="8">
        <v>67.0</v>
      </c>
    </row>
    <row r="2175">
      <c r="A2175" s="8" t="s">
        <v>1143</v>
      </c>
      <c r="B2175" s="8" t="s">
        <v>1142</v>
      </c>
      <c r="C2175" s="8" t="s">
        <v>6358</v>
      </c>
      <c r="D2175" s="8">
        <v>69.0</v>
      </c>
    </row>
    <row r="2176">
      <c r="A2176" s="8" t="s">
        <v>1408</v>
      </c>
      <c r="B2176" s="8" t="s">
        <v>1407</v>
      </c>
      <c r="C2176" s="8" t="s">
        <v>6377</v>
      </c>
      <c r="D2176" s="8">
        <v>72.0</v>
      </c>
    </row>
    <row r="2177">
      <c r="A2177" s="8" t="s">
        <v>1408</v>
      </c>
      <c r="B2177" s="8" t="s">
        <v>1675</v>
      </c>
      <c r="C2177" s="8" t="s">
        <v>6357</v>
      </c>
      <c r="D2177" s="8">
        <v>66.0</v>
      </c>
    </row>
    <row r="2178">
      <c r="A2178" s="8" t="s">
        <v>1028</v>
      </c>
      <c r="B2178" s="8" t="s">
        <v>78</v>
      </c>
      <c r="C2178" s="8" t="s">
        <v>6344</v>
      </c>
      <c r="D2178" s="8">
        <v>80.0</v>
      </c>
    </row>
    <row r="2179">
      <c r="A2179" s="8" t="s">
        <v>1028</v>
      </c>
      <c r="B2179" s="8" t="s">
        <v>61</v>
      </c>
      <c r="C2179" s="8" t="s">
        <v>6355</v>
      </c>
      <c r="D2179" s="8">
        <v>70.0</v>
      </c>
    </row>
    <row r="2180">
      <c r="A2180" s="8" t="s">
        <v>1028</v>
      </c>
      <c r="B2180" s="8" t="s">
        <v>1027</v>
      </c>
      <c r="C2180" s="8" t="s">
        <v>6365</v>
      </c>
      <c r="D2180" s="8">
        <v>75.0</v>
      </c>
    </row>
    <row r="2181">
      <c r="A2181" s="8" t="s">
        <v>865</v>
      </c>
      <c r="B2181" s="8" t="s">
        <v>913</v>
      </c>
      <c r="C2181" s="8" t="s">
        <v>6362</v>
      </c>
      <c r="D2181" s="8">
        <v>81.0</v>
      </c>
    </row>
    <row r="2182">
      <c r="A2182" s="8" t="s">
        <v>865</v>
      </c>
      <c r="B2182" s="8" t="s">
        <v>1772</v>
      </c>
      <c r="C2182" s="8" t="s">
        <v>6349</v>
      </c>
      <c r="D2182" s="8">
        <v>68.0</v>
      </c>
    </row>
    <row r="2183">
      <c r="A2183" s="8" t="s">
        <v>865</v>
      </c>
      <c r="B2183" s="8" t="s">
        <v>78</v>
      </c>
      <c r="C2183" s="8" t="s">
        <v>6374</v>
      </c>
      <c r="D2183" s="8">
        <v>63.0</v>
      </c>
    </row>
    <row r="2184">
      <c r="A2184" s="8" t="s">
        <v>865</v>
      </c>
      <c r="B2184" s="8" t="s">
        <v>715</v>
      </c>
      <c r="C2184" s="8" t="s">
        <v>6350</v>
      </c>
      <c r="D2184" s="8">
        <v>72.0</v>
      </c>
    </row>
    <row r="2185">
      <c r="A2185" s="8" t="s">
        <v>865</v>
      </c>
      <c r="B2185" s="8" t="s">
        <v>1834</v>
      </c>
      <c r="C2185" s="8" t="s">
        <v>6349</v>
      </c>
      <c r="D2185" s="8">
        <v>73.0</v>
      </c>
    </row>
    <row r="2186">
      <c r="A2186" s="8" t="s">
        <v>865</v>
      </c>
      <c r="B2186" s="8" t="s">
        <v>864</v>
      </c>
      <c r="C2186" s="8" t="s">
        <v>6359</v>
      </c>
      <c r="D2186" s="8">
        <v>79.0</v>
      </c>
    </row>
    <row r="2187">
      <c r="A2187" s="8" t="s">
        <v>865</v>
      </c>
      <c r="B2187" s="8" t="s">
        <v>594</v>
      </c>
      <c r="C2187" s="8" t="s">
        <v>6370</v>
      </c>
      <c r="D2187" s="8">
        <v>70.0</v>
      </c>
    </row>
    <row r="2188">
      <c r="A2188" s="8" t="s">
        <v>1194</v>
      </c>
      <c r="B2188" s="8" t="s">
        <v>1193</v>
      </c>
      <c r="C2188" s="8" t="s">
        <v>6376</v>
      </c>
      <c r="D2188" s="8">
        <v>72.0</v>
      </c>
    </row>
    <row r="2189">
      <c r="A2189" s="8" t="s">
        <v>3010</v>
      </c>
      <c r="B2189" s="8" t="s">
        <v>223</v>
      </c>
      <c r="C2189" s="8" t="s">
        <v>6364</v>
      </c>
      <c r="D2189" s="8">
        <v>66.0</v>
      </c>
    </row>
    <row r="2190">
      <c r="A2190" s="8" t="s">
        <v>713</v>
      </c>
      <c r="B2190" s="8" t="s">
        <v>2968</v>
      </c>
      <c r="C2190" s="8" t="s">
        <v>6362</v>
      </c>
      <c r="D2190" s="8">
        <v>70.0</v>
      </c>
    </row>
    <row r="2191">
      <c r="A2191" s="8" t="s">
        <v>713</v>
      </c>
      <c r="B2191" s="8" t="s">
        <v>537</v>
      </c>
      <c r="C2191" s="8" t="s">
        <v>6357</v>
      </c>
      <c r="D2191" s="8">
        <v>72.0</v>
      </c>
    </row>
    <row r="2192">
      <c r="A2192" s="8" t="s">
        <v>713</v>
      </c>
      <c r="B2192" s="8" t="s">
        <v>1685</v>
      </c>
      <c r="C2192" s="8" t="s">
        <v>6370</v>
      </c>
      <c r="D2192" s="8">
        <v>70.0</v>
      </c>
    </row>
    <row r="2193">
      <c r="A2193" s="8" t="s">
        <v>713</v>
      </c>
      <c r="B2193" s="8" t="s">
        <v>1797</v>
      </c>
      <c r="C2193" s="8" t="s">
        <v>6363</v>
      </c>
      <c r="D2193" s="8">
        <v>70.0</v>
      </c>
    </row>
    <row r="2194">
      <c r="A2194" s="8" t="s">
        <v>553</v>
      </c>
      <c r="B2194" s="8" t="s">
        <v>389</v>
      </c>
      <c r="C2194" s="8" t="s">
        <v>6378</v>
      </c>
      <c r="D2194" s="8">
        <v>82.0</v>
      </c>
    </row>
    <row r="2195">
      <c r="A2195" s="8" t="s">
        <v>170</v>
      </c>
      <c r="B2195" s="8" t="s">
        <v>169</v>
      </c>
      <c r="C2195" s="8" t="s">
        <v>6370</v>
      </c>
      <c r="D2195" s="8">
        <v>74.0</v>
      </c>
    </row>
    <row r="2196">
      <c r="A2196" s="8" t="s">
        <v>170</v>
      </c>
      <c r="B2196" s="8" t="s">
        <v>1265</v>
      </c>
      <c r="C2196" s="8" t="s">
        <v>6355</v>
      </c>
      <c r="D2196" s="8">
        <v>79.0</v>
      </c>
    </row>
    <row r="2197">
      <c r="A2197" s="8" t="s">
        <v>170</v>
      </c>
      <c r="B2197" s="8" t="s">
        <v>1019</v>
      </c>
      <c r="C2197" s="8" t="s">
        <v>6372</v>
      </c>
      <c r="D2197" s="8">
        <v>71.0</v>
      </c>
    </row>
    <row r="2198">
      <c r="A2198" s="8" t="s">
        <v>1045</v>
      </c>
      <c r="B2198" s="8" t="s">
        <v>99</v>
      </c>
      <c r="C2198" s="8" t="s">
        <v>6354</v>
      </c>
      <c r="D2198" s="8">
        <v>66.0</v>
      </c>
    </row>
    <row r="2199">
      <c r="A2199" s="8" t="s">
        <v>1141</v>
      </c>
      <c r="B2199" s="8" t="s">
        <v>1140</v>
      </c>
      <c r="C2199" s="8" t="s">
        <v>6349</v>
      </c>
      <c r="D2199" s="8">
        <v>77.0</v>
      </c>
    </row>
    <row r="2200">
      <c r="A2200" s="8" t="s">
        <v>676</v>
      </c>
      <c r="B2200" s="8" t="s">
        <v>675</v>
      </c>
      <c r="C2200" s="8" t="s">
        <v>6350</v>
      </c>
      <c r="D2200" s="8">
        <v>82.0</v>
      </c>
    </row>
    <row r="2201">
      <c r="A2201" s="8" t="s">
        <v>676</v>
      </c>
      <c r="B2201" s="8" t="s">
        <v>858</v>
      </c>
      <c r="C2201" s="8" t="s">
        <v>6359</v>
      </c>
      <c r="D2201" s="8">
        <v>63.0</v>
      </c>
    </row>
    <row r="2202">
      <c r="A2202" s="8" t="s">
        <v>676</v>
      </c>
      <c r="B2202" s="8" t="s">
        <v>1716</v>
      </c>
      <c r="C2202" s="8" t="s">
        <v>6350</v>
      </c>
      <c r="D2202" s="8">
        <v>74.0</v>
      </c>
    </row>
    <row r="2203">
      <c r="A2203" s="8" t="s">
        <v>676</v>
      </c>
      <c r="B2203" s="8" t="s">
        <v>1243</v>
      </c>
      <c r="C2203" s="8" t="s">
        <v>6368</v>
      </c>
      <c r="D2203" s="8">
        <v>68.0</v>
      </c>
    </row>
    <row r="2204">
      <c r="A2204" s="8" t="s">
        <v>676</v>
      </c>
      <c r="B2204" s="8" t="s">
        <v>1438</v>
      </c>
      <c r="C2204" s="8" t="s">
        <v>6358</v>
      </c>
      <c r="D2204" s="8">
        <v>64.0</v>
      </c>
    </row>
    <row r="2205">
      <c r="A2205" s="8" t="s">
        <v>676</v>
      </c>
      <c r="B2205" s="8" t="s">
        <v>795</v>
      </c>
      <c r="C2205" s="8" t="s">
        <v>6346</v>
      </c>
      <c r="D2205" s="8">
        <v>71.0</v>
      </c>
    </row>
    <row r="2206">
      <c r="A2206" s="8" t="s">
        <v>676</v>
      </c>
      <c r="B2206" s="8" t="s">
        <v>1198</v>
      </c>
      <c r="C2206" s="8" t="s">
        <v>6357</v>
      </c>
      <c r="D2206" s="8">
        <v>78.0</v>
      </c>
    </row>
    <row r="2207">
      <c r="A2207" s="8" t="s">
        <v>676</v>
      </c>
      <c r="B2207" s="8" t="s">
        <v>1221</v>
      </c>
      <c r="C2207" s="8" t="s">
        <v>6350</v>
      </c>
      <c r="D2207" s="8">
        <v>76.0</v>
      </c>
    </row>
    <row r="2208">
      <c r="A2208" s="8" t="s">
        <v>676</v>
      </c>
      <c r="B2208" s="8" t="s">
        <v>210</v>
      </c>
      <c r="C2208" s="8" t="s">
        <v>6369</v>
      </c>
      <c r="D2208" s="8">
        <v>73.0</v>
      </c>
    </row>
    <row r="2209">
      <c r="A2209" s="8" t="s">
        <v>676</v>
      </c>
      <c r="B2209" s="8" t="s">
        <v>1242</v>
      </c>
      <c r="C2209" s="8" t="s">
        <v>6354</v>
      </c>
      <c r="D2209" s="8">
        <v>64.0</v>
      </c>
    </row>
    <row r="2210">
      <c r="A2210" s="8" t="s">
        <v>676</v>
      </c>
      <c r="B2210" s="8" t="s">
        <v>1120</v>
      </c>
      <c r="C2210" s="8" t="s">
        <v>6370</v>
      </c>
      <c r="D2210" s="8">
        <v>63.0</v>
      </c>
    </row>
    <row r="2211">
      <c r="A2211" s="8" t="s">
        <v>676</v>
      </c>
      <c r="B2211" s="8" t="s">
        <v>1234</v>
      </c>
      <c r="C2211" s="8" t="s">
        <v>6371</v>
      </c>
      <c r="D2211" s="8">
        <v>77.0</v>
      </c>
    </row>
    <row r="2212">
      <c r="A2212" s="8" t="s">
        <v>676</v>
      </c>
      <c r="B2212" s="8" t="s">
        <v>1410</v>
      </c>
      <c r="C2212" s="8" t="s">
        <v>6365</v>
      </c>
      <c r="D2212" s="8">
        <v>67.0</v>
      </c>
    </row>
    <row r="2213">
      <c r="A2213" s="8" t="s">
        <v>676</v>
      </c>
      <c r="B2213" s="8" t="s">
        <v>675</v>
      </c>
      <c r="C2213" s="8" t="s">
        <v>6350</v>
      </c>
      <c r="D2213" s="8">
        <v>87.0</v>
      </c>
    </row>
    <row r="2214">
      <c r="A2214" s="8" t="s">
        <v>1881</v>
      </c>
      <c r="B2214" s="8" t="s">
        <v>94</v>
      </c>
      <c r="C2214" s="8" t="s">
        <v>6361</v>
      </c>
      <c r="D2214" s="8">
        <v>75.0</v>
      </c>
    </row>
    <row r="2215">
      <c r="A2215" s="8" t="s">
        <v>978</v>
      </c>
      <c r="B2215" s="8" t="s">
        <v>977</v>
      </c>
      <c r="C2215" s="8" t="s">
        <v>6358</v>
      </c>
      <c r="D2215" s="8">
        <v>86.0</v>
      </c>
    </row>
    <row r="2216">
      <c r="A2216" s="8" t="s">
        <v>867</v>
      </c>
      <c r="B2216" s="8" t="s">
        <v>866</v>
      </c>
      <c r="C2216" s="8" t="s">
        <v>6361</v>
      </c>
      <c r="D2216" s="8">
        <v>63.0</v>
      </c>
    </row>
    <row r="2217">
      <c r="A2217" s="8" t="s">
        <v>867</v>
      </c>
      <c r="B2217" s="8" t="s">
        <v>537</v>
      </c>
      <c r="C2217" s="8" t="s">
        <v>6373</v>
      </c>
      <c r="D2217" s="8">
        <v>83.0</v>
      </c>
    </row>
    <row r="2218">
      <c r="A2218" s="8" t="s">
        <v>836</v>
      </c>
      <c r="B2218" s="8" t="s">
        <v>78</v>
      </c>
      <c r="C2218" s="8" t="s">
        <v>6344</v>
      </c>
      <c r="D2218" s="8">
        <v>79.0</v>
      </c>
    </row>
    <row r="2219">
      <c r="A2219" s="8" t="s">
        <v>836</v>
      </c>
      <c r="B2219" s="8" t="s">
        <v>110</v>
      </c>
      <c r="C2219" s="8" t="s">
        <v>6353</v>
      </c>
      <c r="D2219" s="8">
        <v>71.0</v>
      </c>
    </row>
    <row r="2220">
      <c r="A2220" s="8" t="s">
        <v>442</v>
      </c>
      <c r="B2220" s="8" t="s">
        <v>441</v>
      </c>
      <c r="C2220" s="8" t="s">
        <v>6377</v>
      </c>
      <c r="D2220" s="8">
        <v>80.0</v>
      </c>
    </row>
    <row r="2221">
      <c r="A2221" s="8" t="s">
        <v>802</v>
      </c>
      <c r="B2221" s="8" t="s">
        <v>99</v>
      </c>
      <c r="C2221" s="8" t="s">
        <v>6374</v>
      </c>
      <c r="D2221" s="8">
        <v>88.0</v>
      </c>
    </row>
    <row r="2222">
      <c r="A2222" s="8" t="s">
        <v>501</v>
      </c>
      <c r="B2222" s="8" t="s">
        <v>359</v>
      </c>
      <c r="C2222" s="8" t="s">
        <v>6374</v>
      </c>
      <c r="D2222" s="8">
        <v>78.0</v>
      </c>
    </row>
    <row r="2223">
      <c r="A2223" s="8" t="s">
        <v>501</v>
      </c>
      <c r="B2223" s="8" t="s">
        <v>276</v>
      </c>
      <c r="C2223" s="8" t="s">
        <v>6373</v>
      </c>
      <c r="D2223" s="8">
        <v>71.0</v>
      </c>
    </row>
    <row r="2224">
      <c r="A2224" s="8" t="s">
        <v>188</v>
      </c>
      <c r="B2224" s="8" t="s">
        <v>187</v>
      </c>
      <c r="C2224" s="8" t="s">
        <v>6368</v>
      </c>
      <c r="D2224" s="8">
        <v>73.0</v>
      </c>
    </row>
    <row r="2225">
      <c r="A2225" s="8" t="s">
        <v>1715</v>
      </c>
      <c r="B2225" s="8" t="s">
        <v>1714</v>
      </c>
      <c r="C2225" s="8" t="s">
        <v>6367</v>
      </c>
      <c r="D2225" s="8">
        <v>72.0</v>
      </c>
    </row>
    <row r="2226">
      <c r="A2226" s="8" t="s">
        <v>3001</v>
      </c>
      <c r="B2226" s="8" t="s">
        <v>2220</v>
      </c>
      <c r="C2226" s="8" t="s">
        <v>6356</v>
      </c>
      <c r="D2226" s="8">
        <v>70.0</v>
      </c>
    </row>
    <row r="2227">
      <c r="A2227" s="8" t="s">
        <v>2390</v>
      </c>
      <c r="B2227" s="8" t="s">
        <v>2389</v>
      </c>
      <c r="C2227" s="8" t="s">
        <v>6344</v>
      </c>
      <c r="D2227" s="8">
        <v>73.0</v>
      </c>
    </row>
    <row r="2228">
      <c r="A2228" s="8" t="s">
        <v>1213</v>
      </c>
      <c r="B2228" s="8" t="s">
        <v>1212</v>
      </c>
      <c r="C2228" s="8" t="s">
        <v>6358</v>
      </c>
      <c r="D2228" s="8">
        <v>66.0</v>
      </c>
    </row>
    <row r="2229">
      <c r="A2229" s="8" t="s">
        <v>2779</v>
      </c>
      <c r="B2229" s="8" t="s">
        <v>2778</v>
      </c>
      <c r="C2229" s="8" t="s">
        <v>6373</v>
      </c>
      <c r="D2229" s="8">
        <v>67.0</v>
      </c>
    </row>
    <row r="2230">
      <c r="A2230" s="8" t="s">
        <v>2654</v>
      </c>
      <c r="B2230" s="8" t="s">
        <v>57</v>
      </c>
      <c r="C2230" s="8" t="s">
        <v>6376</v>
      </c>
      <c r="D2230" s="8">
        <v>70.0</v>
      </c>
    </row>
    <row r="2231">
      <c r="A2231" s="8" t="s">
        <v>583</v>
      </c>
      <c r="B2231" s="8" t="s">
        <v>582</v>
      </c>
      <c r="C2231" s="8" t="s">
        <v>6368</v>
      </c>
      <c r="D2231" s="8">
        <v>77.0</v>
      </c>
    </row>
    <row r="2232">
      <c r="A2232" s="8" t="s">
        <v>84</v>
      </c>
      <c r="B2232" s="8" t="s">
        <v>2834</v>
      </c>
      <c r="C2232" s="8" t="s">
        <v>6360</v>
      </c>
      <c r="D2232" s="8">
        <v>76.0</v>
      </c>
    </row>
    <row r="2233">
      <c r="A2233" s="8" t="s">
        <v>84</v>
      </c>
      <c r="B2233" s="8" t="s">
        <v>61</v>
      </c>
      <c r="C2233" s="8" t="s">
        <v>6370</v>
      </c>
      <c r="D2233" s="8">
        <v>80.0</v>
      </c>
    </row>
    <row r="2234">
      <c r="A2234" s="8" t="s">
        <v>84</v>
      </c>
      <c r="B2234" s="8" t="s">
        <v>2711</v>
      </c>
      <c r="C2234" s="8" t="s">
        <v>6369</v>
      </c>
      <c r="D2234" s="8">
        <v>74.0</v>
      </c>
    </row>
    <row r="2235">
      <c r="A2235" s="8" t="s">
        <v>84</v>
      </c>
      <c r="B2235" s="8" t="s">
        <v>61</v>
      </c>
      <c r="C2235" s="8" t="s">
        <v>6370</v>
      </c>
      <c r="D2235" s="8">
        <v>86.0</v>
      </c>
    </row>
    <row r="2236">
      <c r="A2236" s="8" t="s">
        <v>845</v>
      </c>
      <c r="B2236" s="8" t="s">
        <v>2678</v>
      </c>
      <c r="C2236" s="8" t="s">
        <v>6372</v>
      </c>
      <c r="D2236" s="8">
        <v>78.0</v>
      </c>
    </row>
    <row r="2237">
      <c r="A2237" s="8" t="s">
        <v>1598</v>
      </c>
      <c r="B2237" s="8" t="s">
        <v>2692</v>
      </c>
      <c r="C2237" s="8" t="s">
        <v>6356</v>
      </c>
      <c r="D2237" s="8">
        <v>66.0</v>
      </c>
    </row>
    <row r="2238">
      <c r="A2238" s="8" t="s">
        <v>619</v>
      </c>
      <c r="B2238" s="8" t="s">
        <v>1087</v>
      </c>
      <c r="C2238" s="8" t="s">
        <v>6355</v>
      </c>
      <c r="D2238" s="8">
        <v>72.0</v>
      </c>
    </row>
    <row r="2239">
      <c r="A2239" s="8" t="s">
        <v>619</v>
      </c>
      <c r="B2239" s="8" t="s">
        <v>78</v>
      </c>
      <c r="C2239" s="8" t="s">
        <v>6368</v>
      </c>
      <c r="D2239" s="8">
        <v>79.0</v>
      </c>
    </row>
    <row r="2240">
      <c r="A2240" s="8" t="s">
        <v>619</v>
      </c>
      <c r="B2240" s="8" t="s">
        <v>752</v>
      </c>
      <c r="C2240" s="8" t="s">
        <v>6367</v>
      </c>
      <c r="D2240" s="8">
        <v>70.0</v>
      </c>
    </row>
    <row r="2241">
      <c r="A2241" s="8" t="s">
        <v>1640</v>
      </c>
      <c r="B2241" s="8" t="s">
        <v>3013</v>
      </c>
      <c r="C2241" s="8" t="s">
        <v>6350</v>
      </c>
      <c r="D2241" s="8">
        <v>74.0</v>
      </c>
    </row>
    <row r="2242">
      <c r="A2242" s="8" t="s">
        <v>1640</v>
      </c>
      <c r="B2242" s="8" t="s">
        <v>1655</v>
      </c>
      <c r="C2242" s="8" t="s">
        <v>6362</v>
      </c>
      <c r="D2242" s="8">
        <v>73.0</v>
      </c>
    </row>
    <row r="2243">
      <c r="A2243" s="8" t="s">
        <v>1640</v>
      </c>
      <c r="B2243" s="8" t="s">
        <v>441</v>
      </c>
      <c r="C2243" s="8" t="s">
        <v>6347</v>
      </c>
      <c r="D2243" s="8">
        <v>73.0</v>
      </c>
    </row>
    <row r="2244">
      <c r="A2244" s="8" t="s">
        <v>2980</v>
      </c>
      <c r="B2244" s="8" t="s">
        <v>2979</v>
      </c>
      <c r="C2244" s="8" t="s">
        <v>6352</v>
      </c>
      <c r="D2244" s="8">
        <v>64.0</v>
      </c>
    </row>
    <row r="2245">
      <c r="A2245" s="8" t="s">
        <v>270</v>
      </c>
      <c r="B2245" s="8" t="s">
        <v>268</v>
      </c>
      <c r="C2245" s="8" t="s">
        <v>6344</v>
      </c>
      <c r="D2245" s="8">
        <v>75.0</v>
      </c>
    </row>
    <row r="2246">
      <c r="A2246" s="8" t="s">
        <v>2011</v>
      </c>
      <c r="B2246" s="8" t="s">
        <v>2010</v>
      </c>
      <c r="C2246" s="8" t="s">
        <v>6360</v>
      </c>
      <c r="D2246" s="8">
        <v>78.0</v>
      </c>
    </row>
    <row r="2247">
      <c r="A2247" s="8" t="s">
        <v>2011</v>
      </c>
      <c r="B2247" s="8" t="s">
        <v>2010</v>
      </c>
      <c r="C2247" s="8" t="s">
        <v>6360</v>
      </c>
      <c r="D2247" s="8">
        <v>87.0</v>
      </c>
    </row>
    <row r="2248">
      <c r="A2248" s="8" t="s">
        <v>265</v>
      </c>
      <c r="B2248" s="8" t="s">
        <v>264</v>
      </c>
      <c r="C2248" s="8" t="s">
        <v>6345</v>
      </c>
      <c r="D2248" s="8">
        <v>76.0</v>
      </c>
    </row>
    <row r="2249">
      <c r="A2249" s="8" t="s">
        <v>403</v>
      </c>
      <c r="B2249" s="8" t="s">
        <v>402</v>
      </c>
      <c r="C2249" s="8" t="s">
        <v>6363</v>
      </c>
      <c r="D2249" s="8">
        <v>88.0</v>
      </c>
    </row>
    <row r="2250">
      <c r="A2250" s="8" t="s">
        <v>1694</v>
      </c>
      <c r="B2250" s="8" t="s">
        <v>646</v>
      </c>
      <c r="C2250" s="8" t="s">
        <v>6349</v>
      </c>
      <c r="D2250" s="8">
        <v>74.0</v>
      </c>
    </row>
    <row r="2251">
      <c r="A2251" s="8" t="s">
        <v>2759</v>
      </c>
      <c r="B2251" s="8" t="s">
        <v>61</v>
      </c>
      <c r="C2251" s="8" t="s">
        <v>6345</v>
      </c>
      <c r="D2251" s="8">
        <v>78.0</v>
      </c>
    </row>
    <row r="2252">
      <c r="A2252" s="8" t="s">
        <v>1152</v>
      </c>
      <c r="B2252" s="8" t="s">
        <v>1151</v>
      </c>
      <c r="C2252" s="8" t="s">
        <v>6352</v>
      </c>
      <c r="D2252" s="8">
        <v>62.0</v>
      </c>
    </row>
    <row r="2253">
      <c r="A2253" s="8" t="s">
        <v>658</v>
      </c>
      <c r="B2253" s="8" t="s">
        <v>657</v>
      </c>
      <c r="C2253" s="8" t="s">
        <v>6350</v>
      </c>
      <c r="D2253" s="8">
        <v>82.0</v>
      </c>
    </row>
    <row r="2254">
      <c r="A2254" s="8" t="s">
        <v>633</v>
      </c>
      <c r="B2254" s="8" t="s">
        <v>632</v>
      </c>
      <c r="C2254" s="8" t="s">
        <v>6347</v>
      </c>
      <c r="D2254" s="8">
        <v>68.0</v>
      </c>
    </row>
    <row r="2255">
      <c r="A2255" s="8" t="s">
        <v>1799</v>
      </c>
      <c r="B2255" s="8" t="s">
        <v>2799</v>
      </c>
      <c r="C2255" s="8" t="s">
        <v>6348</v>
      </c>
      <c r="D2255" s="8">
        <v>75.0</v>
      </c>
    </row>
    <row r="2256">
      <c r="A2256" s="8" t="s">
        <v>1618</v>
      </c>
      <c r="B2256" s="8" t="s">
        <v>1617</v>
      </c>
      <c r="C2256" s="8" t="s">
        <v>6375</v>
      </c>
      <c r="D2256" s="8">
        <v>72.0</v>
      </c>
    </row>
    <row r="2257">
      <c r="A2257" s="8" t="s">
        <v>542</v>
      </c>
      <c r="B2257" s="8" t="s">
        <v>1602</v>
      </c>
      <c r="C2257" s="8" t="s">
        <v>6372</v>
      </c>
      <c r="D2257" s="8">
        <v>68.0</v>
      </c>
    </row>
    <row r="2258">
      <c r="A2258" s="8" t="s">
        <v>542</v>
      </c>
      <c r="B2258" s="8" t="s">
        <v>541</v>
      </c>
      <c r="C2258" s="8" t="s">
        <v>6369</v>
      </c>
      <c r="D2258" s="8">
        <v>69.0</v>
      </c>
    </row>
    <row r="2259">
      <c r="A2259" s="8" t="s">
        <v>185</v>
      </c>
      <c r="B2259" s="8" t="s">
        <v>389</v>
      </c>
      <c r="C2259" s="8" t="s">
        <v>6353</v>
      </c>
      <c r="D2259" s="8">
        <v>69.0</v>
      </c>
    </row>
    <row r="2260">
      <c r="A2260" s="8" t="s">
        <v>185</v>
      </c>
      <c r="B2260" s="8" t="s">
        <v>184</v>
      </c>
      <c r="C2260" s="8" t="s">
        <v>6354</v>
      </c>
      <c r="D2260" s="8">
        <v>79.0</v>
      </c>
    </row>
    <row r="2261">
      <c r="A2261" s="8" t="s">
        <v>791</v>
      </c>
      <c r="B2261" s="8" t="s">
        <v>790</v>
      </c>
      <c r="C2261" s="8" t="s">
        <v>6356</v>
      </c>
      <c r="D2261" s="8">
        <v>79.0</v>
      </c>
    </row>
    <row r="2262">
      <c r="A2262" s="8" t="s">
        <v>587</v>
      </c>
      <c r="B2262" s="8" t="s">
        <v>586</v>
      </c>
      <c r="C2262" s="8" t="s">
        <v>6358</v>
      </c>
      <c r="D2262" s="8">
        <v>82.0</v>
      </c>
    </row>
    <row r="2263">
      <c r="A2263" s="8" t="s">
        <v>587</v>
      </c>
      <c r="B2263" s="8" t="s">
        <v>586</v>
      </c>
      <c r="C2263" s="8" t="s">
        <v>6358</v>
      </c>
      <c r="D2263" s="8">
        <v>87.0</v>
      </c>
    </row>
    <row r="2264">
      <c r="A2264" s="8" t="s">
        <v>1519</v>
      </c>
      <c r="B2264" s="8" t="s">
        <v>1518</v>
      </c>
      <c r="C2264" s="8" t="s">
        <v>6349</v>
      </c>
      <c r="D2264" s="8">
        <v>80.0</v>
      </c>
    </row>
    <row r="2265">
      <c r="A2265" s="8" t="s">
        <v>1046</v>
      </c>
      <c r="B2265" s="8" t="s">
        <v>1476</v>
      </c>
      <c r="C2265" s="8" t="s">
        <v>6352</v>
      </c>
      <c r="D2265" s="8">
        <v>69.0</v>
      </c>
    </row>
    <row r="2266">
      <c r="A2266" s="8" t="s">
        <v>1046</v>
      </c>
      <c r="B2266" s="8" t="s">
        <v>2732</v>
      </c>
      <c r="C2266" s="8" t="s">
        <v>6360</v>
      </c>
      <c r="D2266" s="8">
        <v>65.0</v>
      </c>
    </row>
    <row r="2267">
      <c r="A2267" s="8" t="s">
        <v>1046</v>
      </c>
      <c r="B2267" s="8" t="s">
        <v>1564</v>
      </c>
      <c r="C2267" s="8" t="s">
        <v>6363</v>
      </c>
      <c r="D2267" s="8">
        <v>72.0</v>
      </c>
    </row>
    <row r="2268">
      <c r="A2268" s="8" t="s">
        <v>1046</v>
      </c>
      <c r="B2268" s="8" t="s">
        <v>1297</v>
      </c>
      <c r="C2268" s="8" t="s">
        <v>6373</v>
      </c>
      <c r="D2268" s="8">
        <v>66.0</v>
      </c>
    </row>
    <row r="2269">
      <c r="A2269" s="8" t="s">
        <v>1046</v>
      </c>
      <c r="B2269" s="8" t="s">
        <v>2796</v>
      </c>
      <c r="C2269" s="8" t="s">
        <v>6358</v>
      </c>
      <c r="D2269" s="8">
        <v>79.0</v>
      </c>
    </row>
    <row r="2270">
      <c r="A2270" s="8" t="s">
        <v>1046</v>
      </c>
      <c r="B2270" s="8" t="s">
        <v>1045</v>
      </c>
      <c r="C2270" s="8" t="s">
        <v>6362</v>
      </c>
      <c r="D2270" s="8">
        <v>75.0</v>
      </c>
    </row>
    <row r="2271">
      <c r="A2271" s="8" t="s">
        <v>1046</v>
      </c>
      <c r="B2271" s="8" t="s">
        <v>2321</v>
      </c>
      <c r="C2271" s="8" t="s">
        <v>6349</v>
      </c>
      <c r="D2271" s="8">
        <v>66.0</v>
      </c>
    </row>
    <row r="2272">
      <c r="A2272" s="8" t="s">
        <v>1046</v>
      </c>
      <c r="B2272" s="8" t="s">
        <v>3016</v>
      </c>
      <c r="C2272" s="8" t="s">
        <v>6346</v>
      </c>
      <c r="D2272" s="8">
        <v>69.0</v>
      </c>
    </row>
    <row r="2273">
      <c r="A2273" s="8" t="s">
        <v>1046</v>
      </c>
      <c r="B2273" s="8" t="s">
        <v>2126</v>
      </c>
      <c r="C2273" s="8" t="s">
        <v>6348</v>
      </c>
      <c r="D2273" s="8">
        <v>77.0</v>
      </c>
    </row>
    <row r="2274">
      <c r="A2274" s="8" t="s">
        <v>1046</v>
      </c>
      <c r="B2274" s="8" t="s">
        <v>2088</v>
      </c>
      <c r="C2274" s="8" t="s">
        <v>6371</v>
      </c>
      <c r="D2274" s="8">
        <v>72.0</v>
      </c>
    </row>
    <row r="2275">
      <c r="A2275" s="8" t="s">
        <v>692</v>
      </c>
      <c r="B2275" s="8" t="s">
        <v>691</v>
      </c>
      <c r="C2275" s="8" t="s">
        <v>6360</v>
      </c>
      <c r="D2275" s="8">
        <v>71.0</v>
      </c>
    </row>
    <row r="2276">
      <c r="A2276" s="8" t="s">
        <v>692</v>
      </c>
      <c r="B2276" s="8" t="s">
        <v>2839</v>
      </c>
      <c r="C2276" s="8" t="s">
        <v>6347</v>
      </c>
      <c r="D2276" s="8">
        <v>79.0</v>
      </c>
    </row>
    <row r="2277">
      <c r="A2277" s="8" t="s">
        <v>692</v>
      </c>
      <c r="B2277" s="8" t="s">
        <v>1453</v>
      </c>
      <c r="C2277" s="8" t="s">
        <v>6348</v>
      </c>
      <c r="D2277" s="8">
        <v>70.0</v>
      </c>
    </row>
    <row r="2278">
      <c r="A2278" s="8" t="s">
        <v>692</v>
      </c>
      <c r="B2278" s="8" t="s">
        <v>208</v>
      </c>
      <c r="C2278" s="8" t="s">
        <v>6350</v>
      </c>
      <c r="D2278" s="8">
        <v>81.0</v>
      </c>
    </row>
    <row r="2279">
      <c r="A2279" s="8" t="s">
        <v>692</v>
      </c>
      <c r="B2279" s="8" t="s">
        <v>2999</v>
      </c>
      <c r="C2279" s="8" t="s">
        <v>6346</v>
      </c>
      <c r="D2279" s="8">
        <v>71.0</v>
      </c>
    </row>
    <row r="2280">
      <c r="A2280" s="8" t="s">
        <v>1317</v>
      </c>
      <c r="B2280" s="8" t="s">
        <v>1373</v>
      </c>
      <c r="C2280" s="8" t="s">
        <v>6371</v>
      </c>
      <c r="D2280" s="8">
        <v>73.0</v>
      </c>
    </row>
    <row r="2281">
      <c r="A2281" s="8" t="s">
        <v>1317</v>
      </c>
      <c r="B2281" s="8" t="s">
        <v>637</v>
      </c>
      <c r="C2281" s="8" t="s">
        <v>6367</v>
      </c>
      <c r="D2281" s="8">
        <v>76.0</v>
      </c>
    </row>
    <row r="2282">
      <c r="A2282" s="8" t="s">
        <v>1317</v>
      </c>
      <c r="B2282" s="8" t="s">
        <v>3064</v>
      </c>
      <c r="C2282" s="8" t="s">
        <v>6367</v>
      </c>
      <c r="D2282" s="8">
        <v>75.0</v>
      </c>
    </row>
    <row r="2283">
      <c r="A2283" s="8" t="s">
        <v>1317</v>
      </c>
      <c r="B2283" s="8" t="s">
        <v>3021</v>
      </c>
      <c r="C2283" s="8" t="s">
        <v>6349</v>
      </c>
      <c r="D2283" s="8">
        <v>83.0</v>
      </c>
    </row>
    <row r="2284">
      <c r="A2284" s="8" t="s">
        <v>1317</v>
      </c>
      <c r="B2284" s="8" t="s">
        <v>3021</v>
      </c>
      <c r="C2284" s="8" t="s">
        <v>6349</v>
      </c>
      <c r="D2284" s="8">
        <v>84.0</v>
      </c>
    </row>
    <row r="2285">
      <c r="A2285" s="8" t="s">
        <v>1317</v>
      </c>
      <c r="B2285" s="8" t="s">
        <v>3021</v>
      </c>
      <c r="C2285" s="8" t="s">
        <v>6349</v>
      </c>
      <c r="D2285" s="8">
        <v>82.0</v>
      </c>
    </row>
    <row r="2286">
      <c r="A2286" s="8" t="s">
        <v>1317</v>
      </c>
      <c r="B2286" s="8" t="s">
        <v>3021</v>
      </c>
      <c r="C2286" s="8" t="s">
        <v>6349</v>
      </c>
      <c r="D2286" s="8">
        <v>88.0</v>
      </c>
    </row>
    <row r="2287">
      <c r="A2287" s="8" t="s">
        <v>1317</v>
      </c>
      <c r="B2287" s="8" t="s">
        <v>3021</v>
      </c>
      <c r="C2287" s="8" t="s">
        <v>6349</v>
      </c>
      <c r="D2287" s="8">
        <v>86.0</v>
      </c>
    </row>
    <row r="2288">
      <c r="A2288" s="8" t="s">
        <v>1317</v>
      </c>
      <c r="B2288" s="8" t="s">
        <v>3021</v>
      </c>
      <c r="C2288" s="8" t="s">
        <v>6349</v>
      </c>
      <c r="D2288" s="8">
        <v>90.0</v>
      </c>
    </row>
    <row r="2289">
      <c r="A2289" s="8" t="s">
        <v>1990</v>
      </c>
      <c r="B2289" s="8" t="s">
        <v>1989</v>
      </c>
      <c r="C2289" s="8" t="s">
        <v>6345</v>
      </c>
      <c r="D2289" s="8">
        <v>73.0</v>
      </c>
    </row>
    <row r="2290">
      <c r="A2290" s="8" t="s">
        <v>1201</v>
      </c>
      <c r="B2290" s="8" t="s">
        <v>1200</v>
      </c>
      <c r="C2290" s="8" t="s">
        <v>6347</v>
      </c>
      <c r="D2290" s="8">
        <v>75.0</v>
      </c>
    </row>
    <row r="2291">
      <c r="A2291" s="8" t="s">
        <v>596</v>
      </c>
      <c r="B2291" s="8" t="s">
        <v>78</v>
      </c>
      <c r="C2291" s="8" t="s">
        <v>6373</v>
      </c>
      <c r="D2291" s="8">
        <v>76.0</v>
      </c>
    </row>
    <row r="2292">
      <c r="A2292" s="8" t="s">
        <v>596</v>
      </c>
      <c r="B2292" s="8" t="s">
        <v>6236</v>
      </c>
      <c r="C2292" s="8" t="s">
        <v>6354</v>
      </c>
      <c r="D2292" s="8">
        <v>71.0</v>
      </c>
    </row>
    <row r="2293">
      <c r="A2293" s="8" t="s">
        <v>596</v>
      </c>
      <c r="B2293" s="8" t="s">
        <v>233</v>
      </c>
      <c r="C2293" s="8" t="s">
        <v>6374</v>
      </c>
      <c r="D2293" s="8">
        <v>77.0</v>
      </c>
    </row>
    <row r="2294">
      <c r="A2294" s="8" t="s">
        <v>596</v>
      </c>
      <c r="B2294" s="8" t="s">
        <v>2030</v>
      </c>
      <c r="C2294" s="8" t="s">
        <v>6345</v>
      </c>
      <c r="D2294" s="8">
        <v>63.0</v>
      </c>
    </row>
    <row r="2295">
      <c r="A2295" s="8" t="s">
        <v>596</v>
      </c>
      <c r="B2295" s="8" t="s">
        <v>1178</v>
      </c>
      <c r="C2295" s="8" t="s">
        <v>6368</v>
      </c>
      <c r="D2295" s="8">
        <v>72.0</v>
      </c>
    </row>
    <row r="2296">
      <c r="A2296" s="8" t="s">
        <v>596</v>
      </c>
      <c r="B2296" s="8" t="s">
        <v>500</v>
      </c>
      <c r="C2296" s="8" t="s">
        <v>6378</v>
      </c>
      <c r="D2296" s="8">
        <v>70.0</v>
      </c>
    </row>
    <row r="2297">
      <c r="A2297" s="8" t="s">
        <v>596</v>
      </c>
      <c r="B2297" s="8" t="s">
        <v>595</v>
      </c>
      <c r="C2297" s="8" t="s">
        <v>6365</v>
      </c>
      <c r="D2297" s="8">
        <v>88.0</v>
      </c>
    </row>
    <row r="2298">
      <c r="A2298" s="8" t="s">
        <v>1920</v>
      </c>
      <c r="B2298" s="8" t="s">
        <v>1919</v>
      </c>
      <c r="C2298" s="8" t="s">
        <v>6346</v>
      </c>
      <c r="D2298" s="8">
        <v>81.0</v>
      </c>
    </row>
    <row r="2299">
      <c r="A2299" s="8" t="s">
        <v>6244</v>
      </c>
      <c r="B2299" s="8" t="s">
        <v>99</v>
      </c>
      <c r="C2299" s="8" t="s">
        <v>6367</v>
      </c>
      <c r="D2299" s="8">
        <v>70.0</v>
      </c>
    </row>
    <row r="2300">
      <c r="A2300" s="8" t="s">
        <v>480</v>
      </c>
      <c r="B2300" s="8" t="s">
        <v>563</v>
      </c>
      <c r="C2300" s="8" t="s">
        <v>6363</v>
      </c>
      <c r="D2300" s="8">
        <v>73.0</v>
      </c>
    </row>
    <row r="2301">
      <c r="A2301" s="8" t="s">
        <v>480</v>
      </c>
      <c r="B2301" s="8" t="s">
        <v>1037</v>
      </c>
      <c r="C2301" s="8" t="s">
        <v>6347</v>
      </c>
      <c r="D2301" s="8">
        <v>69.0</v>
      </c>
    </row>
    <row r="2302">
      <c r="A2302" s="8" t="s">
        <v>480</v>
      </c>
      <c r="B2302" s="8" t="s">
        <v>1327</v>
      </c>
      <c r="C2302" s="8" t="s">
        <v>6370</v>
      </c>
      <c r="D2302" s="8">
        <v>75.0</v>
      </c>
    </row>
    <row r="2303">
      <c r="A2303" s="8" t="s">
        <v>480</v>
      </c>
      <c r="B2303" s="8" t="s">
        <v>1348</v>
      </c>
      <c r="C2303" s="8" t="s">
        <v>6353</v>
      </c>
      <c r="D2303" s="8">
        <v>72.0</v>
      </c>
    </row>
    <row r="2304">
      <c r="A2304" s="8" t="s">
        <v>480</v>
      </c>
      <c r="B2304" s="8" t="s">
        <v>678</v>
      </c>
      <c r="C2304" s="8" t="s">
        <v>6375</v>
      </c>
      <c r="D2304" s="8">
        <v>84.0</v>
      </c>
    </row>
    <row r="2305">
      <c r="A2305" s="8" t="s">
        <v>480</v>
      </c>
      <c r="B2305" s="8" t="s">
        <v>919</v>
      </c>
      <c r="C2305" s="8" t="s">
        <v>6358</v>
      </c>
      <c r="D2305" s="8">
        <v>79.0</v>
      </c>
    </row>
    <row r="2306">
      <c r="A2306" s="8" t="s">
        <v>480</v>
      </c>
      <c r="B2306" s="8" t="s">
        <v>502</v>
      </c>
      <c r="C2306" s="8" t="s">
        <v>6358</v>
      </c>
      <c r="D2306" s="8">
        <v>80.0</v>
      </c>
    </row>
    <row r="2307">
      <c r="A2307" s="8" t="s">
        <v>480</v>
      </c>
      <c r="B2307" s="8" t="s">
        <v>1934</v>
      </c>
      <c r="C2307" s="8" t="s">
        <v>6364</v>
      </c>
      <c r="D2307" s="8">
        <v>67.0</v>
      </c>
    </row>
    <row r="2308">
      <c r="A2308" s="8" t="s">
        <v>480</v>
      </c>
      <c r="B2308" s="8" t="s">
        <v>1366</v>
      </c>
      <c r="C2308" s="8" t="s">
        <v>6369</v>
      </c>
      <c r="D2308" s="8">
        <v>60.0</v>
      </c>
    </row>
    <row r="2309">
      <c r="A2309" s="8" t="s">
        <v>480</v>
      </c>
      <c r="B2309" s="8" t="s">
        <v>573</v>
      </c>
      <c r="C2309" s="8" t="s">
        <v>6349</v>
      </c>
      <c r="D2309" s="8">
        <v>79.0</v>
      </c>
    </row>
    <row r="2310">
      <c r="A2310" s="8" t="s">
        <v>480</v>
      </c>
      <c r="B2310" s="8" t="s">
        <v>1264</v>
      </c>
      <c r="C2310" s="8" t="s">
        <v>6369</v>
      </c>
      <c r="D2310" s="8">
        <v>67.0</v>
      </c>
    </row>
    <row r="2311">
      <c r="A2311" s="8" t="s">
        <v>480</v>
      </c>
      <c r="B2311" s="8" t="s">
        <v>106</v>
      </c>
      <c r="C2311" s="8" t="s">
        <v>6370</v>
      </c>
      <c r="D2311" s="8">
        <v>83.0</v>
      </c>
    </row>
    <row r="2312">
      <c r="A2312" s="8" t="s">
        <v>480</v>
      </c>
      <c r="B2312" s="8" t="s">
        <v>402</v>
      </c>
      <c r="C2312" s="8" t="s">
        <v>6359</v>
      </c>
      <c r="D2312" s="8">
        <v>82.0</v>
      </c>
    </row>
    <row r="2313">
      <c r="A2313" s="8" t="s">
        <v>480</v>
      </c>
      <c r="B2313" s="8" t="s">
        <v>2243</v>
      </c>
      <c r="C2313" s="8" t="s">
        <v>6367</v>
      </c>
      <c r="D2313" s="8">
        <v>68.0</v>
      </c>
    </row>
    <row r="2314">
      <c r="A2314" s="8" t="s">
        <v>750</v>
      </c>
      <c r="B2314" s="8" t="s">
        <v>1960</v>
      </c>
      <c r="C2314" s="8" t="s">
        <v>6364</v>
      </c>
      <c r="D2314" s="8">
        <v>69.0</v>
      </c>
    </row>
    <row r="2315">
      <c r="A2315" s="8" t="s">
        <v>750</v>
      </c>
      <c r="B2315" s="8" t="s">
        <v>396</v>
      </c>
      <c r="C2315" s="8" t="s">
        <v>6374</v>
      </c>
      <c r="D2315" s="8">
        <v>88.0</v>
      </c>
    </row>
    <row r="2316">
      <c r="A2316" s="8" t="s">
        <v>2102</v>
      </c>
      <c r="B2316" s="8" t="s">
        <v>636</v>
      </c>
      <c r="C2316" s="8" t="s">
        <v>6363</v>
      </c>
      <c r="D2316" s="8">
        <v>66.0</v>
      </c>
    </row>
    <row r="2317">
      <c r="A2317" s="8" t="s">
        <v>2102</v>
      </c>
      <c r="B2317" s="8" t="s">
        <v>1796</v>
      </c>
      <c r="C2317" s="8" t="s">
        <v>6361</v>
      </c>
      <c r="D2317" s="8">
        <v>69.0</v>
      </c>
    </row>
    <row r="2318">
      <c r="A2318" s="8" t="s">
        <v>1814</v>
      </c>
      <c r="B2318" s="8" t="s">
        <v>1813</v>
      </c>
      <c r="C2318" s="8" t="s">
        <v>6377</v>
      </c>
      <c r="D2318" s="8">
        <v>77.0</v>
      </c>
    </row>
    <row r="2319">
      <c r="A2319" s="8" t="s">
        <v>1856</v>
      </c>
      <c r="B2319" s="8" t="s">
        <v>284</v>
      </c>
      <c r="C2319" s="8" t="s">
        <v>6345</v>
      </c>
      <c r="D2319" s="8">
        <v>75.0</v>
      </c>
    </row>
    <row r="2320">
      <c r="A2320" s="8" t="s">
        <v>2848</v>
      </c>
      <c r="B2320" s="8" t="s">
        <v>2135</v>
      </c>
      <c r="C2320" s="8" t="s">
        <v>6370</v>
      </c>
      <c r="D2320" s="8">
        <v>67.0</v>
      </c>
    </row>
    <row r="2321">
      <c r="A2321" s="8"/>
      <c r="B2321" s="8"/>
      <c r="C2321" s="8"/>
      <c r="D2321" s="8"/>
    </row>
    <row r="2322">
      <c r="A2322" s="8"/>
      <c r="B2322" s="8"/>
      <c r="C2322" s="8"/>
      <c r="D2322" s="8"/>
    </row>
    <row r="2323">
      <c r="A2323" s="8"/>
      <c r="B2323" s="8"/>
      <c r="C2323" s="8"/>
      <c r="D2323" s="8"/>
    </row>
    <row r="2324">
      <c r="A2324" s="8"/>
      <c r="B2324" s="8"/>
      <c r="C2324" s="8"/>
      <c r="D2324" s="8"/>
    </row>
    <row r="2325">
      <c r="A2325" s="8"/>
      <c r="B2325" s="8"/>
      <c r="C2325" s="8"/>
      <c r="D2325" s="8"/>
    </row>
    <row r="2326">
      <c r="A2326" s="8"/>
      <c r="B2326" s="8"/>
      <c r="C2326" s="8"/>
      <c r="D2326" s="8"/>
    </row>
    <row r="2327">
      <c r="A2327" s="8"/>
      <c r="B2327" s="8"/>
      <c r="C2327" s="8"/>
      <c r="D2327" s="8"/>
    </row>
    <row r="2328">
      <c r="A2328" s="8"/>
      <c r="B2328" s="8"/>
      <c r="C2328" s="8"/>
      <c r="D2328" s="8"/>
    </row>
    <row r="2329">
      <c r="A2329" s="8"/>
      <c r="B2329" s="8"/>
      <c r="C2329" s="8"/>
      <c r="D2329" s="8"/>
    </row>
    <row r="2330">
      <c r="A2330" s="8"/>
      <c r="B2330" s="8"/>
      <c r="C2330" s="8"/>
      <c r="D2330" s="8"/>
    </row>
    <row r="2331">
      <c r="A2331" s="8"/>
      <c r="B2331" s="8"/>
      <c r="C2331" s="8"/>
      <c r="D2331" s="8"/>
    </row>
    <row r="2332">
      <c r="A2332" s="8"/>
      <c r="B2332" s="8"/>
      <c r="C2332" s="8"/>
      <c r="D2332" s="8"/>
    </row>
    <row r="2333">
      <c r="A2333" s="8"/>
      <c r="B2333" s="8"/>
      <c r="C2333" s="8"/>
      <c r="D2333" s="8"/>
    </row>
    <row r="2334">
      <c r="A2334" s="8"/>
      <c r="B2334" s="8"/>
      <c r="C2334" s="8"/>
      <c r="D2334" s="8"/>
    </row>
    <row r="2335">
      <c r="A2335" s="8"/>
      <c r="B2335" s="8"/>
      <c r="C2335" s="8"/>
      <c r="D2335" s="8"/>
    </row>
    <row r="2336">
      <c r="A2336" s="8"/>
      <c r="B2336" s="8"/>
      <c r="C2336" s="8"/>
      <c r="D2336" s="8"/>
    </row>
    <row r="2337">
      <c r="A2337" s="8"/>
      <c r="B2337" s="8"/>
      <c r="C2337" s="8"/>
      <c r="D2337" s="8"/>
    </row>
    <row r="2338">
      <c r="A2338" s="8"/>
      <c r="B2338" s="8"/>
      <c r="C2338" s="8"/>
      <c r="D2338" s="8"/>
    </row>
    <row r="2339">
      <c r="A2339" s="8"/>
      <c r="B2339" s="8"/>
      <c r="C2339" s="8"/>
      <c r="D2339" s="8"/>
    </row>
    <row r="2340">
      <c r="A2340" s="8"/>
      <c r="B2340" s="8"/>
      <c r="C2340" s="8"/>
      <c r="D2340" s="8"/>
    </row>
    <row r="2341">
      <c r="A2341" s="8"/>
      <c r="B2341" s="8"/>
      <c r="C2341" s="8"/>
      <c r="D2341" s="8"/>
    </row>
    <row r="2342">
      <c r="A2342" s="8"/>
      <c r="B2342" s="8"/>
      <c r="C2342" s="8"/>
      <c r="D2342" s="8"/>
    </row>
    <row r="2343">
      <c r="A2343" s="8"/>
      <c r="B2343" s="8"/>
      <c r="C2343" s="8"/>
      <c r="D2343" s="8"/>
    </row>
    <row r="2344">
      <c r="A2344" s="8"/>
      <c r="B2344" s="8"/>
      <c r="C2344" s="8"/>
      <c r="D2344" s="8"/>
    </row>
    <row r="2345">
      <c r="A2345" s="8"/>
      <c r="B2345" s="8"/>
      <c r="C2345" s="8"/>
      <c r="D2345" s="8"/>
    </row>
    <row r="2346">
      <c r="A2346" s="8"/>
      <c r="B2346" s="8"/>
      <c r="C2346" s="8"/>
      <c r="D2346" s="8"/>
    </row>
    <row r="2347">
      <c r="A2347" s="8"/>
      <c r="B2347" s="8"/>
      <c r="C2347" s="8"/>
      <c r="D2347" s="8"/>
    </row>
    <row r="2348">
      <c r="A2348" s="8"/>
      <c r="B2348" s="8"/>
      <c r="C2348" s="8"/>
      <c r="D2348" s="8"/>
    </row>
    <row r="2349">
      <c r="A2349" s="8"/>
      <c r="B2349" s="8"/>
      <c r="C2349" s="8"/>
      <c r="D2349" s="8"/>
    </row>
    <row r="2350">
      <c r="A2350" s="8"/>
      <c r="B2350" s="8"/>
      <c r="C2350" s="8"/>
      <c r="D2350" s="8"/>
    </row>
    <row r="2351">
      <c r="A2351" s="8"/>
      <c r="B2351" s="8"/>
      <c r="C2351" s="8"/>
      <c r="D2351" s="8"/>
    </row>
    <row r="2352">
      <c r="A2352" s="8"/>
      <c r="B2352" s="8"/>
      <c r="C2352" s="8"/>
      <c r="D2352" s="8"/>
    </row>
    <row r="2353">
      <c r="A2353" s="8"/>
      <c r="B2353" s="8"/>
      <c r="C2353" s="8"/>
      <c r="D2353" s="8"/>
    </row>
    <row r="2354">
      <c r="A2354" s="8"/>
      <c r="B2354" s="8"/>
      <c r="C2354" s="8"/>
      <c r="D2354" s="8"/>
    </row>
    <row r="2355">
      <c r="A2355" s="8"/>
      <c r="B2355" s="8"/>
      <c r="C2355" s="8"/>
      <c r="D2355" s="8"/>
    </row>
    <row r="2356">
      <c r="A2356" s="8"/>
      <c r="B2356" s="8"/>
      <c r="C2356" s="8"/>
      <c r="D2356" s="8"/>
    </row>
    <row r="2357">
      <c r="A2357" s="8"/>
      <c r="B2357" s="8"/>
      <c r="C2357" s="8"/>
      <c r="D2357" s="8"/>
    </row>
    <row r="2358">
      <c r="A2358" s="8"/>
      <c r="B2358" s="8"/>
      <c r="C2358" s="8"/>
      <c r="D2358" s="8"/>
    </row>
    <row r="2359">
      <c r="A2359" s="8"/>
      <c r="B2359" s="8"/>
      <c r="C2359" s="8"/>
      <c r="D2359" s="8"/>
    </row>
    <row r="2360">
      <c r="A2360" s="8"/>
      <c r="B2360" s="8"/>
      <c r="C2360" s="8"/>
      <c r="D2360" s="8"/>
    </row>
    <row r="2361">
      <c r="A2361" s="8"/>
      <c r="B2361" s="8"/>
      <c r="C2361" s="8"/>
      <c r="D2361" s="8"/>
    </row>
    <row r="2362">
      <c r="A2362" s="8"/>
      <c r="B2362" s="8"/>
      <c r="C2362" s="8"/>
      <c r="D2362" s="8"/>
    </row>
    <row r="2363">
      <c r="A2363" s="8"/>
      <c r="B2363" s="8"/>
      <c r="C2363" s="8"/>
      <c r="D2363" s="8"/>
    </row>
    <row r="2364">
      <c r="A2364" s="8"/>
      <c r="B2364" s="8"/>
      <c r="C2364" s="8"/>
      <c r="D2364" s="8"/>
    </row>
    <row r="2365">
      <c r="A2365" s="8"/>
      <c r="B2365" s="8"/>
      <c r="C2365" s="8"/>
      <c r="D2365" s="8"/>
    </row>
    <row r="2366">
      <c r="A2366" s="8"/>
      <c r="B2366" s="8"/>
      <c r="C2366" s="8"/>
      <c r="D2366" s="8"/>
    </row>
    <row r="2367">
      <c r="A2367" s="8"/>
      <c r="B2367" s="8"/>
      <c r="C2367" s="8"/>
      <c r="D2367" s="8"/>
    </row>
    <row r="2368">
      <c r="A2368" s="8"/>
      <c r="B2368" s="8"/>
      <c r="C2368" s="8"/>
      <c r="D2368" s="8"/>
    </row>
    <row r="2369">
      <c r="A2369" s="8"/>
      <c r="B2369" s="8"/>
      <c r="C2369" s="8"/>
      <c r="D2369" s="8"/>
    </row>
    <row r="2370">
      <c r="A2370" s="8"/>
      <c r="B2370" s="8"/>
      <c r="C2370" s="8"/>
      <c r="D2370" s="8"/>
    </row>
    <row r="2371">
      <c r="A2371" s="8"/>
      <c r="B2371" s="8"/>
      <c r="C2371" s="8"/>
      <c r="D2371" s="8"/>
    </row>
    <row r="2372">
      <c r="A2372" s="8"/>
      <c r="B2372" s="8"/>
      <c r="C2372" s="8"/>
      <c r="D2372" s="8"/>
    </row>
    <row r="2373">
      <c r="A2373" s="8"/>
      <c r="B2373" s="8"/>
      <c r="C2373" s="8"/>
      <c r="D2373" s="8"/>
    </row>
    <row r="2374">
      <c r="A2374" s="8"/>
      <c r="B2374" s="8"/>
      <c r="C2374" s="8"/>
      <c r="D2374" s="8"/>
    </row>
    <row r="2375">
      <c r="A2375" s="8"/>
      <c r="B2375" s="8"/>
      <c r="C2375" s="8"/>
      <c r="D2375" s="8"/>
    </row>
    <row r="2376">
      <c r="A2376" s="8"/>
      <c r="B2376" s="8"/>
      <c r="C2376" s="8"/>
      <c r="D2376" s="8"/>
    </row>
    <row r="2377">
      <c r="A2377" s="8"/>
      <c r="B2377" s="8"/>
      <c r="C2377" s="8"/>
      <c r="D2377" s="8"/>
    </row>
    <row r="2378">
      <c r="A2378" s="8"/>
      <c r="B2378" s="8"/>
      <c r="C2378" s="8"/>
      <c r="D2378" s="8"/>
    </row>
    <row r="2379">
      <c r="A2379" s="8"/>
      <c r="B2379" s="8"/>
      <c r="C2379" s="8"/>
      <c r="D2379" s="8"/>
    </row>
    <row r="2380">
      <c r="A2380" s="8"/>
      <c r="B2380" s="8"/>
      <c r="C2380" s="8"/>
      <c r="D2380" s="8"/>
    </row>
    <row r="2381">
      <c r="A2381" s="8"/>
      <c r="B2381" s="8"/>
      <c r="C2381" s="8"/>
      <c r="D2381" s="8"/>
    </row>
    <row r="2382">
      <c r="A2382" s="8"/>
      <c r="B2382" s="8"/>
      <c r="C2382" s="8"/>
      <c r="D2382" s="8"/>
    </row>
    <row r="2383">
      <c r="A2383" s="8"/>
      <c r="B2383" s="8"/>
      <c r="C2383" s="8"/>
      <c r="D2383" s="8"/>
    </row>
    <row r="2384">
      <c r="A2384" s="8"/>
      <c r="B2384" s="8"/>
      <c r="C2384" s="8"/>
      <c r="D2384" s="8"/>
    </row>
    <row r="2385">
      <c r="A2385" s="8"/>
      <c r="B2385" s="8"/>
      <c r="C2385" s="8"/>
      <c r="D2385" s="8"/>
    </row>
    <row r="2386">
      <c r="A2386" s="8"/>
      <c r="B2386" s="8"/>
      <c r="C2386" s="8"/>
      <c r="D2386" s="8"/>
    </row>
    <row r="2387">
      <c r="A2387" s="8"/>
      <c r="B2387" s="8"/>
      <c r="C2387" s="8"/>
      <c r="D2387" s="8"/>
    </row>
    <row r="2388">
      <c r="A2388" s="8"/>
      <c r="B2388" s="8"/>
      <c r="C2388" s="8"/>
      <c r="D2388" s="8"/>
    </row>
    <row r="2389">
      <c r="A2389" s="8"/>
      <c r="B2389" s="8"/>
      <c r="C2389" s="8"/>
      <c r="D2389" s="8"/>
    </row>
    <row r="2390">
      <c r="A2390" s="8"/>
      <c r="B2390" s="8"/>
      <c r="C2390" s="8"/>
      <c r="D2390" s="8"/>
    </row>
    <row r="2391">
      <c r="A2391" s="8"/>
      <c r="B2391" s="8"/>
      <c r="C2391" s="8"/>
      <c r="D2391" s="8"/>
    </row>
    <row r="2392">
      <c r="A2392" s="8"/>
      <c r="B2392" s="8"/>
      <c r="C2392" s="8"/>
      <c r="D2392" s="8"/>
    </row>
    <row r="2393">
      <c r="A2393" s="8"/>
      <c r="B2393" s="8"/>
      <c r="C2393" s="8"/>
      <c r="D2393" s="8"/>
    </row>
    <row r="2394">
      <c r="A2394" s="8"/>
      <c r="B2394" s="8"/>
      <c r="C2394" s="8"/>
      <c r="D2394" s="8"/>
    </row>
    <row r="2395">
      <c r="A2395" s="8"/>
      <c r="B2395" s="8"/>
      <c r="C2395" s="8"/>
      <c r="D2395" s="8"/>
    </row>
    <row r="2396">
      <c r="A2396" s="8"/>
      <c r="B2396" s="8"/>
      <c r="C2396" s="8"/>
      <c r="D2396" s="8"/>
    </row>
    <row r="2397">
      <c r="A2397" s="8"/>
      <c r="B2397" s="8"/>
      <c r="C2397" s="8"/>
      <c r="D2397" s="8"/>
    </row>
    <row r="2398">
      <c r="A2398" s="8"/>
      <c r="B2398" s="8"/>
      <c r="C2398" s="8"/>
      <c r="D2398" s="8"/>
    </row>
    <row r="2399">
      <c r="A2399" s="8"/>
      <c r="B2399" s="8"/>
      <c r="C2399" s="8"/>
      <c r="D2399" s="8"/>
    </row>
    <row r="2400">
      <c r="A2400" s="8"/>
      <c r="B2400" s="8"/>
      <c r="C2400" s="8"/>
      <c r="D2400" s="8"/>
    </row>
    <row r="2401">
      <c r="A2401" s="8"/>
      <c r="B2401" s="8"/>
      <c r="C2401" s="8"/>
      <c r="D2401" s="8"/>
    </row>
    <row r="2402">
      <c r="A2402" s="8"/>
      <c r="B2402" s="8"/>
      <c r="C2402" s="8"/>
      <c r="D2402" s="8"/>
    </row>
    <row r="2403">
      <c r="A2403" s="8"/>
      <c r="B2403" s="8"/>
      <c r="C2403" s="8"/>
      <c r="D2403" s="8"/>
    </row>
    <row r="2404">
      <c r="A2404" s="8"/>
      <c r="B2404" s="8"/>
      <c r="C2404" s="8"/>
      <c r="D2404" s="8"/>
    </row>
    <row r="2405">
      <c r="A2405" s="8"/>
      <c r="B2405" s="8"/>
      <c r="C2405" s="8"/>
      <c r="D2405" s="8"/>
    </row>
    <row r="2406">
      <c r="A2406" s="8"/>
      <c r="B2406" s="8"/>
      <c r="C2406" s="8"/>
      <c r="D2406" s="8"/>
    </row>
    <row r="2407">
      <c r="A2407" s="8"/>
      <c r="B2407" s="8"/>
      <c r="C2407" s="8"/>
      <c r="D2407" s="8"/>
    </row>
    <row r="2408">
      <c r="A2408" s="8"/>
      <c r="B2408" s="8"/>
      <c r="C2408" s="8"/>
      <c r="D2408" s="8"/>
    </row>
    <row r="2409">
      <c r="A2409" s="8"/>
      <c r="B2409" s="8"/>
      <c r="C2409" s="8"/>
      <c r="D2409" s="8"/>
    </row>
    <row r="2410">
      <c r="A2410" s="8"/>
      <c r="B2410" s="8"/>
      <c r="C2410" s="8"/>
      <c r="D2410" s="8"/>
    </row>
    <row r="2411">
      <c r="A2411" s="8"/>
      <c r="B2411" s="8"/>
      <c r="C2411" s="8"/>
      <c r="D2411" s="8"/>
    </row>
    <row r="2412">
      <c r="A2412" s="8"/>
      <c r="B2412" s="8"/>
      <c r="C2412" s="8"/>
      <c r="D2412" s="8"/>
    </row>
    <row r="2413">
      <c r="A2413" s="8"/>
      <c r="B2413" s="8"/>
      <c r="C2413" s="8"/>
      <c r="D2413" s="8"/>
    </row>
    <row r="2414">
      <c r="A2414" s="8"/>
      <c r="B2414" s="8"/>
      <c r="C2414" s="8"/>
      <c r="D2414" s="8"/>
    </row>
    <row r="2415">
      <c r="A2415" s="8"/>
      <c r="B2415" s="8"/>
      <c r="C2415" s="8"/>
      <c r="D2415" s="8"/>
    </row>
    <row r="2416">
      <c r="A2416" s="8"/>
      <c r="B2416" s="8"/>
      <c r="C2416" s="8"/>
      <c r="D2416" s="8"/>
    </row>
    <row r="2417">
      <c r="A2417" s="8"/>
      <c r="B2417" s="8"/>
      <c r="C2417" s="8"/>
      <c r="D2417" s="8"/>
    </row>
    <row r="2418">
      <c r="A2418" s="8"/>
      <c r="B2418" s="8"/>
      <c r="C2418" s="8"/>
      <c r="D2418" s="8"/>
    </row>
    <row r="2419">
      <c r="A2419" s="8"/>
      <c r="B2419" s="8"/>
      <c r="C2419" s="8"/>
      <c r="D2419" s="8"/>
    </row>
    <row r="2420">
      <c r="A2420" s="8"/>
      <c r="B2420" s="8"/>
      <c r="C2420" s="8"/>
      <c r="D2420" s="8"/>
    </row>
    <row r="2421">
      <c r="A2421" s="8"/>
      <c r="B2421" s="8"/>
      <c r="C2421" s="8"/>
      <c r="D2421" s="8"/>
    </row>
    <row r="2422">
      <c r="A2422" s="8"/>
      <c r="B2422" s="8"/>
      <c r="C2422" s="8"/>
      <c r="D2422" s="8"/>
    </row>
    <row r="2423">
      <c r="A2423" s="8"/>
      <c r="B2423" s="8"/>
      <c r="C2423" s="8"/>
      <c r="D2423" s="8"/>
    </row>
    <row r="2424">
      <c r="A2424" s="8"/>
      <c r="B2424" s="8"/>
      <c r="C2424" s="8"/>
      <c r="D2424" s="8"/>
    </row>
    <row r="2425">
      <c r="A2425" s="8"/>
      <c r="B2425" s="8"/>
      <c r="C2425" s="8"/>
      <c r="D2425" s="8"/>
    </row>
    <row r="2426">
      <c r="A2426" s="8"/>
      <c r="B2426" s="8"/>
      <c r="C2426" s="8"/>
      <c r="D2426" s="8"/>
    </row>
    <row r="2427">
      <c r="A2427" s="8"/>
      <c r="B2427" s="8"/>
      <c r="C2427" s="8"/>
      <c r="D2427" s="8"/>
    </row>
    <row r="2428">
      <c r="A2428" s="8"/>
      <c r="B2428" s="8"/>
      <c r="C2428" s="8"/>
      <c r="D2428" s="8"/>
    </row>
    <row r="2429">
      <c r="A2429" s="8"/>
      <c r="B2429" s="8"/>
      <c r="C2429" s="8"/>
      <c r="D2429" s="8"/>
    </row>
    <row r="2430">
      <c r="A2430" s="8"/>
      <c r="B2430" s="8"/>
      <c r="C2430" s="8"/>
      <c r="D2430" s="8"/>
    </row>
    <row r="2431">
      <c r="A2431" s="8"/>
      <c r="B2431" s="8"/>
      <c r="C2431" s="8"/>
      <c r="D2431" s="8"/>
    </row>
    <row r="2432">
      <c r="A2432" s="8"/>
      <c r="B2432" s="8"/>
      <c r="C2432" s="8"/>
      <c r="D2432" s="8"/>
    </row>
    <row r="2433">
      <c r="A2433" s="8"/>
      <c r="B2433" s="8"/>
      <c r="C2433" s="8"/>
      <c r="D2433" s="8"/>
    </row>
    <row r="2434">
      <c r="A2434" s="8"/>
      <c r="B2434" s="8"/>
      <c r="C2434" s="8"/>
      <c r="D2434" s="8"/>
    </row>
    <row r="2435">
      <c r="A2435" s="8"/>
      <c r="B2435" s="8"/>
      <c r="C2435" s="8"/>
      <c r="D2435" s="8"/>
    </row>
    <row r="2436">
      <c r="A2436" s="8"/>
      <c r="B2436" s="8"/>
      <c r="C2436" s="8"/>
      <c r="D2436" s="8"/>
    </row>
    <row r="2437">
      <c r="A2437" s="8"/>
      <c r="B2437" s="8"/>
      <c r="C2437" s="8"/>
      <c r="D2437" s="8"/>
    </row>
    <row r="2438">
      <c r="A2438" s="8"/>
      <c r="B2438" s="8"/>
      <c r="C2438" s="8"/>
      <c r="D2438" s="8"/>
    </row>
    <row r="2439">
      <c r="A2439" s="8"/>
      <c r="B2439" s="8"/>
      <c r="C2439" s="8"/>
      <c r="D2439" s="8"/>
    </row>
    <row r="2440">
      <c r="A2440" s="8"/>
      <c r="B2440" s="8"/>
      <c r="C2440" s="8"/>
      <c r="D2440" s="8"/>
    </row>
    <row r="2441">
      <c r="A2441" s="8"/>
      <c r="B2441" s="8"/>
      <c r="C2441" s="8"/>
      <c r="D2441" s="8"/>
    </row>
    <row r="2442">
      <c r="A2442" s="8"/>
      <c r="B2442" s="8"/>
      <c r="C2442" s="8"/>
      <c r="D2442" s="8"/>
    </row>
    <row r="2443">
      <c r="A2443" s="8"/>
      <c r="B2443" s="8"/>
      <c r="C2443" s="8"/>
      <c r="D2443" s="8"/>
    </row>
    <row r="2444">
      <c r="A2444" s="8"/>
      <c r="B2444" s="8"/>
      <c r="C2444" s="8"/>
      <c r="D2444" s="8"/>
    </row>
    <row r="2445">
      <c r="A2445" s="8"/>
      <c r="B2445" s="8"/>
      <c r="C2445" s="8"/>
      <c r="D2445" s="8"/>
    </row>
    <row r="2446">
      <c r="A2446" s="8"/>
      <c r="B2446" s="8"/>
      <c r="C2446" s="8"/>
      <c r="D2446" s="8"/>
    </row>
    <row r="2447">
      <c r="A2447" s="8"/>
      <c r="B2447" s="8"/>
      <c r="C2447" s="8"/>
      <c r="D2447" s="8"/>
    </row>
    <row r="2448">
      <c r="A2448" s="8"/>
      <c r="B2448" s="8"/>
      <c r="C2448" s="8"/>
      <c r="D2448" s="8"/>
    </row>
    <row r="2449">
      <c r="A2449" s="8"/>
      <c r="B2449" s="8"/>
      <c r="C2449" s="8"/>
      <c r="D2449" s="8"/>
    </row>
    <row r="2450">
      <c r="A2450" s="8"/>
      <c r="B2450" s="8"/>
      <c r="C2450" s="8"/>
      <c r="D2450" s="8"/>
    </row>
    <row r="2451">
      <c r="A2451" s="8"/>
      <c r="B2451" s="8"/>
      <c r="C2451" s="8"/>
      <c r="D2451" s="8"/>
    </row>
    <row r="2452">
      <c r="A2452" s="8"/>
      <c r="B2452" s="8"/>
      <c r="C2452" s="8"/>
      <c r="D2452" s="8"/>
    </row>
    <row r="2453">
      <c r="A2453" s="8"/>
      <c r="B2453" s="8"/>
      <c r="C2453" s="8"/>
      <c r="D2453" s="8"/>
    </row>
    <row r="2454">
      <c r="A2454" s="8"/>
      <c r="B2454" s="8"/>
      <c r="C2454" s="8"/>
      <c r="D2454" s="8"/>
    </row>
    <row r="2455">
      <c r="A2455" s="8"/>
      <c r="B2455" s="8"/>
      <c r="C2455" s="8"/>
      <c r="D2455" s="8"/>
    </row>
    <row r="2456">
      <c r="A2456" s="8"/>
      <c r="B2456" s="8"/>
      <c r="C2456" s="8"/>
      <c r="D2456" s="8"/>
    </row>
    <row r="2457">
      <c r="A2457" s="8"/>
      <c r="B2457" s="8"/>
      <c r="C2457" s="8"/>
      <c r="D2457" s="8"/>
    </row>
    <row r="2458">
      <c r="A2458" s="8"/>
      <c r="B2458" s="8"/>
      <c r="C2458" s="8"/>
      <c r="D2458" s="8"/>
    </row>
    <row r="2459">
      <c r="A2459" s="8"/>
      <c r="B2459" s="8"/>
      <c r="C2459" s="8"/>
      <c r="D2459" s="8"/>
    </row>
    <row r="2460">
      <c r="A2460" s="8"/>
      <c r="B2460" s="8"/>
      <c r="C2460" s="8"/>
      <c r="D2460" s="8"/>
    </row>
    <row r="2461">
      <c r="A2461" s="8"/>
      <c r="B2461" s="8"/>
      <c r="C2461" s="8"/>
      <c r="D2461" s="8"/>
    </row>
    <row r="2462">
      <c r="A2462" s="8"/>
      <c r="B2462" s="8"/>
      <c r="C2462" s="8"/>
      <c r="D2462" s="8"/>
    </row>
    <row r="2463">
      <c r="A2463" s="8"/>
      <c r="B2463" s="8"/>
      <c r="C2463" s="8"/>
      <c r="D2463" s="8"/>
    </row>
    <row r="2464">
      <c r="A2464" s="8"/>
      <c r="B2464" s="8"/>
      <c r="C2464" s="8"/>
      <c r="D2464" s="8"/>
    </row>
    <row r="2465">
      <c r="A2465" s="8"/>
      <c r="B2465" s="8"/>
      <c r="C2465" s="8"/>
      <c r="D2465" s="8"/>
    </row>
    <row r="2466">
      <c r="A2466" s="8"/>
      <c r="B2466" s="8"/>
      <c r="C2466" s="8"/>
      <c r="D2466" s="8"/>
    </row>
    <row r="2467">
      <c r="A2467" s="8"/>
      <c r="B2467" s="8"/>
      <c r="C2467" s="8"/>
      <c r="D2467" s="8"/>
    </row>
    <row r="2468">
      <c r="A2468" s="8"/>
      <c r="B2468" s="8"/>
      <c r="C2468" s="8"/>
      <c r="D2468" s="8"/>
    </row>
    <row r="2469">
      <c r="A2469" s="8"/>
      <c r="B2469" s="8"/>
      <c r="C2469" s="8"/>
      <c r="D2469" s="8"/>
    </row>
    <row r="2470">
      <c r="A2470" s="8"/>
      <c r="B2470" s="8"/>
      <c r="C2470" s="8"/>
      <c r="D2470" s="8"/>
    </row>
    <row r="2471">
      <c r="A2471" s="8"/>
      <c r="B2471" s="8"/>
      <c r="C2471" s="8"/>
      <c r="D2471" s="8"/>
    </row>
    <row r="2472">
      <c r="A2472" s="8"/>
      <c r="B2472" s="8"/>
      <c r="C2472" s="8"/>
      <c r="D2472" s="8"/>
    </row>
    <row r="2473">
      <c r="A2473" s="8"/>
      <c r="B2473" s="8"/>
      <c r="C2473" s="8"/>
      <c r="D2473" s="8"/>
    </row>
    <row r="2474">
      <c r="A2474" s="8"/>
      <c r="B2474" s="8"/>
      <c r="C2474" s="8"/>
      <c r="D2474" s="8"/>
    </row>
    <row r="2475">
      <c r="A2475" s="8"/>
      <c r="B2475" s="8"/>
      <c r="C2475" s="8"/>
      <c r="D2475" s="8"/>
    </row>
    <row r="2476">
      <c r="A2476" s="8"/>
      <c r="B2476" s="8"/>
      <c r="C2476" s="8"/>
      <c r="D2476" s="8"/>
    </row>
    <row r="2477">
      <c r="A2477" s="8"/>
      <c r="B2477" s="8"/>
      <c r="C2477" s="8"/>
      <c r="D2477" s="8"/>
    </row>
    <row r="2478">
      <c r="A2478" s="8"/>
      <c r="B2478" s="8"/>
      <c r="C2478" s="8"/>
      <c r="D2478" s="8"/>
    </row>
    <row r="2479">
      <c r="A2479" s="8"/>
      <c r="B2479" s="8"/>
      <c r="C2479" s="8"/>
      <c r="D2479" s="8"/>
    </row>
    <row r="2480">
      <c r="A2480" s="8"/>
      <c r="B2480" s="8"/>
      <c r="C2480" s="8"/>
      <c r="D2480" s="8"/>
    </row>
    <row r="2481">
      <c r="A2481" s="8"/>
      <c r="B2481" s="8"/>
      <c r="C2481" s="8"/>
      <c r="D2481" s="8"/>
    </row>
    <row r="2482">
      <c r="A2482" s="8"/>
      <c r="B2482" s="8"/>
      <c r="C2482" s="8"/>
      <c r="D2482" s="8"/>
    </row>
    <row r="2483">
      <c r="A2483" s="8"/>
      <c r="B2483" s="8"/>
      <c r="C2483" s="8"/>
      <c r="D2483" s="8"/>
    </row>
    <row r="2484">
      <c r="A2484" s="8"/>
      <c r="B2484" s="8"/>
      <c r="C2484" s="8"/>
      <c r="D2484" s="8"/>
    </row>
    <row r="2485">
      <c r="A2485" s="8"/>
      <c r="B2485" s="8"/>
      <c r="C2485" s="8"/>
      <c r="D2485" s="8"/>
    </row>
    <row r="2486">
      <c r="A2486" s="8"/>
      <c r="B2486" s="8"/>
      <c r="C2486" s="8"/>
      <c r="D2486" s="8"/>
    </row>
    <row r="2487">
      <c r="A2487" s="8"/>
      <c r="B2487" s="8"/>
      <c r="C2487" s="8"/>
      <c r="D2487" s="8"/>
    </row>
    <row r="2488">
      <c r="A2488" s="8"/>
      <c r="B2488" s="8"/>
      <c r="C2488" s="8"/>
      <c r="D2488" s="8"/>
    </row>
    <row r="2489">
      <c r="A2489" s="8"/>
      <c r="B2489" s="8"/>
      <c r="C2489" s="8"/>
      <c r="D2489" s="8"/>
    </row>
    <row r="2490">
      <c r="A2490" s="8"/>
      <c r="B2490" s="8"/>
      <c r="C2490" s="8"/>
      <c r="D2490" s="8"/>
    </row>
    <row r="2491">
      <c r="A2491" s="8"/>
      <c r="B2491" s="8"/>
      <c r="C2491" s="8"/>
      <c r="D2491" s="8"/>
    </row>
    <row r="2492">
      <c r="A2492" s="8"/>
      <c r="B2492" s="8"/>
      <c r="C2492" s="8"/>
      <c r="D2492" s="8"/>
    </row>
    <row r="2493">
      <c r="A2493" s="8"/>
      <c r="B2493" s="8"/>
      <c r="C2493" s="8"/>
      <c r="D2493" s="8"/>
    </row>
    <row r="2494">
      <c r="A2494" s="8"/>
      <c r="B2494" s="8"/>
      <c r="C2494" s="8"/>
      <c r="D2494" s="8"/>
    </row>
    <row r="2495">
      <c r="A2495" s="8"/>
      <c r="B2495" s="8"/>
      <c r="C2495" s="8"/>
      <c r="D2495" s="8"/>
    </row>
    <row r="2496">
      <c r="A2496" s="8"/>
      <c r="B2496" s="8"/>
      <c r="C2496" s="8"/>
      <c r="D2496" s="8"/>
    </row>
    <row r="2497">
      <c r="A2497" s="8"/>
      <c r="B2497" s="8"/>
      <c r="C2497" s="8"/>
      <c r="D2497" s="8"/>
    </row>
    <row r="2498">
      <c r="A2498" s="8"/>
      <c r="B2498" s="8"/>
      <c r="C2498" s="8"/>
      <c r="D2498" s="8"/>
    </row>
    <row r="2499">
      <c r="A2499" s="8"/>
      <c r="B2499" s="8"/>
      <c r="C2499" s="8"/>
      <c r="D2499" s="8"/>
    </row>
    <row r="2500">
      <c r="A2500" s="8"/>
      <c r="B2500" s="8"/>
      <c r="C2500" s="8"/>
      <c r="D2500" s="8"/>
    </row>
    <row r="2501">
      <c r="A2501" s="8"/>
      <c r="B2501" s="8"/>
      <c r="C2501" s="8"/>
      <c r="D2501" s="8"/>
    </row>
    <row r="2502">
      <c r="A2502" s="8"/>
      <c r="B2502" s="8"/>
      <c r="C2502" s="8"/>
      <c r="D2502" s="8"/>
    </row>
    <row r="2503">
      <c r="A2503" s="8"/>
      <c r="B2503" s="8"/>
      <c r="C2503" s="8"/>
      <c r="D2503" s="8"/>
    </row>
    <row r="2504">
      <c r="A2504" s="8"/>
      <c r="B2504" s="8"/>
      <c r="C2504" s="8"/>
      <c r="D2504" s="8"/>
    </row>
    <row r="2505">
      <c r="A2505" s="8"/>
      <c r="B2505" s="8"/>
      <c r="C2505" s="8"/>
      <c r="D2505" s="8"/>
    </row>
    <row r="2506">
      <c r="A2506" s="8"/>
      <c r="B2506" s="8"/>
      <c r="C2506" s="8"/>
      <c r="D2506" s="8"/>
    </row>
    <row r="2507">
      <c r="A2507" s="8"/>
      <c r="B2507" s="8"/>
      <c r="C2507" s="8"/>
      <c r="D2507" s="8"/>
    </row>
    <row r="2508">
      <c r="A2508" s="8"/>
      <c r="B2508" s="8"/>
      <c r="C2508" s="8"/>
      <c r="D2508" s="8"/>
    </row>
    <row r="2509">
      <c r="A2509" s="8"/>
      <c r="B2509" s="8"/>
      <c r="C2509" s="8"/>
      <c r="D2509" s="8"/>
    </row>
    <row r="2510">
      <c r="A2510" s="8"/>
      <c r="B2510" s="8"/>
      <c r="C2510" s="8"/>
      <c r="D2510" s="8"/>
    </row>
    <row r="2511">
      <c r="A2511" s="8"/>
      <c r="B2511" s="8"/>
      <c r="C2511" s="8"/>
      <c r="D2511" s="8"/>
    </row>
    <row r="2512">
      <c r="A2512" s="8"/>
      <c r="B2512" s="8"/>
      <c r="C2512" s="8"/>
      <c r="D2512" s="8"/>
    </row>
    <row r="2513">
      <c r="A2513" s="8"/>
      <c r="B2513" s="8"/>
      <c r="C2513" s="8"/>
      <c r="D2513" s="8"/>
    </row>
    <row r="2514">
      <c r="A2514" s="8"/>
      <c r="B2514" s="8"/>
      <c r="C2514" s="8"/>
      <c r="D2514" s="8"/>
    </row>
    <row r="2515">
      <c r="A2515" s="8"/>
      <c r="B2515" s="8"/>
      <c r="C2515" s="8"/>
      <c r="D2515" s="8"/>
    </row>
    <row r="2516">
      <c r="A2516" s="8"/>
      <c r="B2516" s="8"/>
      <c r="C2516" s="8"/>
      <c r="D2516" s="8"/>
    </row>
    <row r="2517">
      <c r="A2517" s="8"/>
      <c r="B2517" s="8"/>
      <c r="C2517" s="8"/>
      <c r="D2517" s="8"/>
    </row>
    <row r="2518">
      <c r="A2518" s="8"/>
      <c r="B2518" s="8"/>
      <c r="C2518" s="8"/>
      <c r="D2518" s="8"/>
    </row>
    <row r="2519">
      <c r="A2519" s="8"/>
      <c r="B2519" s="8"/>
      <c r="C2519" s="8"/>
      <c r="D2519" s="8"/>
    </row>
    <row r="2520">
      <c r="A2520" s="8"/>
      <c r="B2520" s="8"/>
      <c r="C2520" s="8"/>
      <c r="D2520" s="8"/>
    </row>
    <row r="2521">
      <c r="A2521" s="8"/>
      <c r="B2521" s="8"/>
      <c r="C2521" s="8"/>
      <c r="D2521" s="8"/>
    </row>
    <row r="2522">
      <c r="A2522" s="8"/>
      <c r="B2522" s="8"/>
      <c r="C2522" s="8"/>
      <c r="D2522" s="8"/>
    </row>
    <row r="2523">
      <c r="A2523" s="8"/>
      <c r="B2523" s="8"/>
      <c r="C2523" s="8"/>
      <c r="D2523" s="8"/>
    </row>
    <row r="2524">
      <c r="A2524" s="8"/>
      <c r="B2524" s="8"/>
      <c r="C2524" s="8"/>
      <c r="D2524" s="8"/>
    </row>
    <row r="2525">
      <c r="A2525" s="8"/>
      <c r="B2525" s="8"/>
      <c r="C2525" s="8"/>
      <c r="D2525" s="8"/>
    </row>
    <row r="2526">
      <c r="A2526" s="8"/>
      <c r="B2526" s="8"/>
      <c r="C2526" s="8"/>
      <c r="D2526" s="8"/>
    </row>
    <row r="2527">
      <c r="A2527" s="8"/>
      <c r="B2527" s="8"/>
      <c r="C2527" s="8"/>
      <c r="D2527" s="8"/>
    </row>
    <row r="2528">
      <c r="A2528" s="8"/>
      <c r="B2528" s="8"/>
      <c r="C2528" s="8"/>
      <c r="D2528" s="8"/>
    </row>
    <row r="2529">
      <c r="A2529" s="8"/>
      <c r="B2529" s="8"/>
      <c r="C2529" s="8"/>
      <c r="D2529" s="8"/>
    </row>
    <row r="2530">
      <c r="A2530" s="8"/>
      <c r="B2530" s="8"/>
      <c r="C2530" s="8"/>
      <c r="D2530" s="8"/>
    </row>
    <row r="2531">
      <c r="A2531" s="8"/>
      <c r="B2531" s="8"/>
      <c r="C2531" s="8"/>
      <c r="D2531" s="8"/>
    </row>
    <row r="2532">
      <c r="A2532" s="8"/>
      <c r="B2532" s="8"/>
      <c r="C2532" s="8"/>
      <c r="D2532" s="8"/>
    </row>
    <row r="2533">
      <c r="A2533" s="8"/>
      <c r="B2533" s="8"/>
      <c r="C2533" s="8"/>
      <c r="D2533" s="8"/>
    </row>
    <row r="2534">
      <c r="A2534" s="8"/>
      <c r="B2534" s="8"/>
      <c r="C2534" s="8"/>
      <c r="D2534" s="8"/>
    </row>
    <row r="2535">
      <c r="A2535" s="8"/>
      <c r="B2535" s="8"/>
      <c r="C2535" s="8"/>
      <c r="D2535" s="8"/>
    </row>
    <row r="2536">
      <c r="A2536" s="8"/>
      <c r="B2536" s="8"/>
      <c r="C2536" s="8"/>
      <c r="D2536" s="8"/>
    </row>
    <row r="2537">
      <c r="A2537" s="8"/>
      <c r="B2537" s="8"/>
      <c r="C2537" s="8"/>
      <c r="D2537" s="8"/>
    </row>
    <row r="2538">
      <c r="A2538" s="8"/>
      <c r="B2538" s="8"/>
      <c r="C2538" s="8"/>
      <c r="D2538" s="8"/>
    </row>
    <row r="2539">
      <c r="A2539" s="8"/>
      <c r="B2539" s="8"/>
      <c r="C2539" s="8"/>
      <c r="D2539" s="8"/>
    </row>
    <row r="2540">
      <c r="A2540" s="8"/>
      <c r="B2540" s="8"/>
      <c r="C2540" s="8"/>
      <c r="D2540" s="8"/>
    </row>
    <row r="2541">
      <c r="A2541" s="8"/>
      <c r="B2541" s="8"/>
      <c r="C2541" s="8"/>
      <c r="D2541" s="8"/>
    </row>
    <row r="2542">
      <c r="A2542" s="8"/>
      <c r="B2542" s="8"/>
      <c r="C2542" s="8"/>
      <c r="D2542" s="8"/>
    </row>
    <row r="2543">
      <c r="A2543" s="8"/>
      <c r="B2543" s="8"/>
      <c r="C2543" s="8"/>
      <c r="D2543" s="8"/>
    </row>
    <row r="2544">
      <c r="A2544" s="8"/>
      <c r="B2544" s="8"/>
      <c r="C2544" s="8"/>
      <c r="D2544" s="8"/>
    </row>
    <row r="2545">
      <c r="A2545" s="8"/>
      <c r="B2545" s="8"/>
      <c r="C2545" s="8"/>
      <c r="D2545" s="8"/>
    </row>
    <row r="2546">
      <c r="A2546" s="8"/>
      <c r="B2546" s="8"/>
      <c r="C2546" s="8"/>
      <c r="D2546" s="8"/>
    </row>
    <row r="2547">
      <c r="A2547" s="8"/>
      <c r="B2547" s="8"/>
      <c r="C2547" s="8"/>
      <c r="D2547" s="8"/>
    </row>
    <row r="2548">
      <c r="A2548" s="8"/>
      <c r="B2548" s="8"/>
      <c r="C2548" s="8"/>
      <c r="D2548" s="8"/>
    </row>
    <row r="2549">
      <c r="A2549" s="8"/>
      <c r="B2549" s="8"/>
      <c r="C2549" s="8"/>
      <c r="D2549" s="8"/>
    </row>
    <row r="2550">
      <c r="A2550" s="8"/>
      <c r="B2550" s="8"/>
      <c r="C2550" s="8"/>
      <c r="D2550" s="8"/>
    </row>
    <row r="2551">
      <c r="A2551" s="8"/>
      <c r="B2551" s="8"/>
      <c r="C2551" s="8"/>
      <c r="D2551" s="8"/>
    </row>
    <row r="2552">
      <c r="A2552" s="8"/>
      <c r="B2552" s="8"/>
      <c r="C2552" s="8"/>
      <c r="D2552" s="8"/>
    </row>
    <row r="2553">
      <c r="A2553" s="8"/>
      <c r="B2553" s="8"/>
      <c r="C2553" s="8"/>
      <c r="D2553" s="8"/>
    </row>
    <row r="2554">
      <c r="A2554" s="8"/>
      <c r="B2554" s="8"/>
      <c r="C2554" s="8"/>
      <c r="D2554" s="8"/>
    </row>
    <row r="2555">
      <c r="A2555" s="8"/>
      <c r="B2555" s="8"/>
      <c r="C2555" s="8"/>
      <c r="D2555" s="8"/>
    </row>
    <row r="2556">
      <c r="A2556" s="8"/>
      <c r="B2556" s="8"/>
      <c r="C2556" s="8"/>
      <c r="D2556" s="8"/>
    </row>
    <row r="2557">
      <c r="A2557" s="8"/>
      <c r="B2557" s="8"/>
      <c r="C2557" s="8"/>
      <c r="D2557" s="8"/>
    </row>
    <row r="2558">
      <c r="A2558" s="8"/>
      <c r="B2558" s="8"/>
      <c r="C2558" s="8"/>
      <c r="D2558" s="8"/>
    </row>
    <row r="2559">
      <c r="A2559" s="8"/>
      <c r="B2559" s="8"/>
      <c r="C2559" s="8"/>
      <c r="D2559" s="8"/>
    </row>
    <row r="2560">
      <c r="A2560" s="8"/>
      <c r="B2560" s="8"/>
      <c r="C2560" s="8"/>
      <c r="D2560" s="8"/>
    </row>
    <row r="2561">
      <c r="A2561" s="8"/>
      <c r="B2561" s="8"/>
      <c r="C2561" s="8"/>
      <c r="D2561" s="8"/>
    </row>
    <row r="2562">
      <c r="A2562" s="8"/>
      <c r="B2562" s="8"/>
      <c r="C2562" s="8"/>
      <c r="D2562" s="8"/>
    </row>
    <row r="2563">
      <c r="A2563" s="8"/>
      <c r="B2563" s="8"/>
      <c r="C2563" s="8"/>
      <c r="D2563" s="8"/>
    </row>
    <row r="2564">
      <c r="A2564" s="8"/>
      <c r="B2564" s="8"/>
      <c r="C2564" s="8"/>
      <c r="D2564" s="8"/>
    </row>
    <row r="2565">
      <c r="A2565" s="8"/>
      <c r="B2565" s="8"/>
      <c r="C2565" s="8"/>
      <c r="D2565" s="8"/>
    </row>
    <row r="2566">
      <c r="A2566" s="8"/>
      <c r="B2566" s="8"/>
      <c r="C2566" s="8"/>
      <c r="D2566" s="8"/>
    </row>
    <row r="2567">
      <c r="A2567" s="8"/>
      <c r="B2567" s="8"/>
      <c r="C2567" s="8"/>
      <c r="D2567" s="8"/>
    </row>
    <row r="2568">
      <c r="A2568" s="8"/>
      <c r="B2568" s="8"/>
      <c r="C2568" s="8"/>
      <c r="D2568" s="8"/>
    </row>
    <row r="2569">
      <c r="A2569" s="8"/>
      <c r="B2569" s="8"/>
      <c r="C2569" s="8"/>
      <c r="D2569" s="8"/>
    </row>
    <row r="2570">
      <c r="A2570" s="8"/>
      <c r="B2570" s="8"/>
      <c r="C2570" s="8"/>
      <c r="D2570" s="8"/>
    </row>
    <row r="2571">
      <c r="A2571" s="8"/>
      <c r="B2571" s="8"/>
      <c r="C2571" s="8"/>
      <c r="D2571" s="8"/>
    </row>
    <row r="2572">
      <c r="A2572" s="8"/>
      <c r="B2572" s="8"/>
      <c r="C2572" s="8"/>
      <c r="D2572" s="8"/>
    </row>
    <row r="2573">
      <c r="A2573" s="8"/>
      <c r="B2573" s="8"/>
      <c r="C2573" s="8"/>
      <c r="D2573" s="8"/>
    </row>
    <row r="2574">
      <c r="A2574" s="8"/>
      <c r="B2574" s="8"/>
      <c r="C2574" s="8"/>
      <c r="D2574" s="8"/>
    </row>
    <row r="2575">
      <c r="A2575" s="8"/>
      <c r="B2575" s="8"/>
      <c r="C2575" s="8"/>
      <c r="D2575" s="8"/>
    </row>
    <row r="2576">
      <c r="A2576" s="8"/>
      <c r="B2576" s="8"/>
      <c r="C2576" s="8"/>
      <c r="D2576" s="8"/>
    </row>
    <row r="2577">
      <c r="A2577" s="8"/>
      <c r="B2577" s="8"/>
      <c r="C2577" s="8"/>
      <c r="D2577" s="8"/>
    </row>
    <row r="2578">
      <c r="A2578" s="8"/>
      <c r="B2578" s="8"/>
      <c r="C2578" s="8"/>
      <c r="D2578" s="8"/>
    </row>
    <row r="2579">
      <c r="A2579" s="8"/>
      <c r="B2579" s="8"/>
      <c r="C2579" s="8"/>
      <c r="D2579" s="8"/>
    </row>
    <row r="2580">
      <c r="A2580" s="8"/>
      <c r="B2580" s="8"/>
      <c r="C2580" s="8"/>
      <c r="D2580" s="8"/>
    </row>
    <row r="2581">
      <c r="A2581" s="8"/>
      <c r="B2581" s="8"/>
      <c r="C2581" s="8"/>
      <c r="D2581" s="8"/>
    </row>
    <row r="2582">
      <c r="A2582" s="8"/>
      <c r="B2582" s="8"/>
      <c r="C2582" s="8"/>
      <c r="D2582" s="8"/>
    </row>
    <row r="2583">
      <c r="A2583" s="8"/>
      <c r="B2583" s="8"/>
      <c r="C2583" s="8"/>
      <c r="D2583" s="8"/>
    </row>
    <row r="2584">
      <c r="A2584" s="8"/>
      <c r="B2584" s="8"/>
      <c r="C2584" s="8"/>
      <c r="D2584" s="8"/>
    </row>
    <row r="2585">
      <c r="A2585" s="8"/>
      <c r="B2585" s="8"/>
      <c r="C2585" s="8"/>
      <c r="D2585" s="8"/>
    </row>
    <row r="2586">
      <c r="A2586" s="8"/>
      <c r="B2586" s="8"/>
      <c r="C2586" s="8"/>
      <c r="D2586" s="8"/>
    </row>
    <row r="2587">
      <c r="A2587" s="8"/>
      <c r="B2587" s="8"/>
      <c r="C2587" s="8"/>
      <c r="D2587" s="8"/>
    </row>
    <row r="2588">
      <c r="A2588" s="8"/>
      <c r="B2588" s="8"/>
      <c r="C2588" s="8"/>
      <c r="D2588" s="8"/>
    </row>
    <row r="2589">
      <c r="A2589" s="8"/>
      <c r="B2589" s="8"/>
      <c r="C2589" s="8"/>
      <c r="D2589" s="8"/>
    </row>
    <row r="2590">
      <c r="A2590" s="8"/>
      <c r="B2590" s="8"/>
      <c r="C2590" s="8"/>
      <c r="D2590" s="8"/>
    </row>
    <row r="2591">
      <c r="A2591" s="8"/>
      <c r="B2591" s="8"/>
      <c r="C2591" s="8"/>
      <c r="D2591" s="8"/>
    </row>
    <row r="2592">
      <c r="A2592" s="8"/>
      <c r="B2592" s="8"/>
      <c r="C2592" s="8"/>
      <c r="D2592" s="8"/>
    </row>
    <row r="2593">
      <c r="A2593" s="8"/>
      <c r="B2593" s="8"/>
      <c r="C2593" s="8"/>
      <c r="D2593" s="8"/>
    </row>
    <row r="2594">
      <c r="A2594" s="8"/>
      <c r="B2594" s="8"/>
      <c r="C2594" s="8"/>
      <c r="D2594" s="8"/>
    </row>
    <row r="2595">
      <c r="A2595" s="8"/>
      <c r="B2595" s="8"/>
      <c r="C2595" s="8"/>
      <c r="D2595" s="8"/>
    </row>
    <row r="2596">
      <c r="A2596" s="8"/>
      <c r="B2596" s="8"/>
      <c r="C2596" s="8"/>
      <c r="D2596" s="8"/>
    </row>
    <row r="2597">
      <c r="A2597" s="8"/>
      <c r="B2597" s="8"/>
      <c r="C2597" s="8"/>
      <c r="D2597" s="8"/>
    </row>
    <row r="2598">
      <c r="A2598" s="8"/>
      <c r="B2598" s="8"/>
      <c r="C2598" s="8"/>
      <c r="D2598" s="8"/>
    </row>
    <row r="2599">
      <c r="A2599" s="8"/>
      <c r="B2599" s="8"/>
      <c r="C2599" s="8"/>
      <c r="D2599" s="8"/>
    </row>
    <row r="2600">
      <c r="A2600" s="8"/>
      <c r="B2600" s="8"/>
      <c r="C2600" s="8"/>
      <c r="D2600" s="8"/>
    </row>
    <row r="2601">
      <c r="A2601" s="8"/>
      <c r="B2601" s="8"/>
      <c r="C2601" s="8"/>
      <c r="D2601" s="8"/>
    </row>
    <row r="2602">
      <c r="A2602" s="8"/>
      <c r="B2602" s="8"/>
      <c r="C2602" s="8"/>
      <c r="D2602" s="8"/>
    </row>
    <row r="2603">
      <c r="A2603" s="8"/>
      <c r="B2603" s="8"/>
      <c r="C2603" s="8"/>
      <c r="D2603" s="8"/>
    </row>
    <row r="2604">
      <c r="A2604" s="8"/>
      <c r="B2604" s="8"/>
      <c r="C2604" s="8"/>
      <c r="D2604" s="8"/>
    </row>
    <row r="2605">
      <c r="A2605" s="8"/>
      <c r="B2605" s="8"/>
      <c r="C2605" s="8"/>
      <c r="D2605" s="8"/>
    </row>
    <row r="2606">
      <c r="A2606" s="8"/>
      <c r="B2606" s="8"/>
      <c r="C2606" s="8"/>
      <c r="D2606" s="8"/>
    </row>
    <row r="2607">
      <c r="A2607" s="8"/>
      <c r="B2607" s="8"/>
      <c r="C2607" s="8"/>
      <c r="D2607" s="8"/>
    </row>
    <row r="2608">
      <c r="A2608" s="8"/>
      <c r="B2608" s="8"/>
      <c r="C2608" s="8"/>
      <c r="D2608" s="8"/>
    </row>
    <row r="2609">
      <c r="A2609" s="8"/>
      <c r="B2609" s="8"/>
      <c r="C2609" s="8"/>
      <c r="D2609" s="8"/>
    </row>
    <row r="2610">
      <c r="A2610" s="8"/>
      <c r="B2610" s="8"/>
      <c r="C2610" s="8"/>
      <c r="D2610" s="8"/>
    </row>
    <row r="2611">
      <c r="A2611" s="8"/>
      <c r="B2611" s="8"/>
      <c r="C2611" s="8"/>
      <c r="D2611" s="8"/>
    </row>
    <row r="2612">
      <c r="A2612" s="8"/>
      <c r="B2612" s="8"/>
      <c r="C2612" s="8"/>
      <c r="D2612" s="8"/>
    </row>
    <row r="2613">
      <c r="A2613" s="8"/>
      <c r="B2613" s="8"/>
      <c r="C2613" s="8"/>
      <c r="D2613" s="8"/>
    </row>
    <row r="2614">
      <c r="A2614" s="8"/>
      <c r="B2614" s="8"/>
      <c r="C2614" s="8"/>
      <c r="D2614" s="8"/>
    </row>
    <row r="2615">
      <c r="A2615" s="8"/>
      <c r="B2615" s="8"/>
      <c r="C2615" s="8"/>
      <c r="D2615" s="8"/>
    </row>
    <row r="2616">
      <c r="A2616" s="8"/>
      <c r="B2616" s="8"/>
      <c r="C2616" s="8"/>
      <c r="D2616" s="8"/>
    </row>
    <row r="2617">
      <c r="A2617" s="8"/>
      <c r="B2617" s="8"/>
      <c r="C2617" s="8"/>
      <c r="D2617" s="8"/>
    </row>
    <row r="2618">
      <c r="A2618" s="8"/>
      <c r="B2618" s="8"/>
      <c r="C2618" s="8"/>
      <c r="D2618" s="8"/>
    </row>
    <row r="2619">
      <c r="A2619" s="8"/>
      <c r="B2619" s="8"/>
      <c r="C2619" s="8"/>
      <c r="D2619" s="8"/>
    </row>
    <row r="2620">
      <c r="A2620" s="8"/>
      <c r="B2620" s="8"/>
      <c r="C2620" s="8"/>
      <c r="D2620" s="8"/>
    </row>
    <row r="2621">
      <c r="A2621" s="8"/>
      <c r="B2621" s="8"/>
      <c r="C2621" s="8"/>
      <c r="D2621" s="8"/>
    </row>
    <row r="2622">
      <c r="A2622" s="8"/>
      <c r="B2622" s="8"/>
      <c r="C2622" s="8"/>
      <c r="D2622" s="8"/>
    </row>
    <row r="2623">
      <c r="A2623" s="8"/>
      <c r="B2623" s="8"/>
      <c r="C2623" s="8"/>
      <c r="D2623" s="8"/>
    </row>
    <row r="2624">
      <c r="A2624" s="8"/>
      <c r="B2624" s="8"/>
      <c r="C2624" s="8"/>
      <c r="D2624" s="8"/>
    </row>
    <row r="2625">
      <c r="A2625" s="8"/>
      <c r="B2625" s="8"/>
      <c r="C2625" s="8"/>
      <c r="D2625" s="8"/>
    </row>
    <row r="2626">
      <c r="A2626" s="8"/>
      <c r="B2626" s="8"/>
      <c r="C2626" s="8"/>
      <c r="D2626" s="8"/>
    </row>
    <row r="2627">
      <c r="A2627" s="8"/>
      <c r="B2627" s="8"/>
      <c r="C2627" s="8"/>
      <c r="D2627" s="8"/>
    </row>
    <row r="2628">
      <c r="A2628" s="8"/>
      <c r="B2628" s="8"/>
      <c r="C2628" s="8"/>
      <c r="D2628" s="8"/>
    </row>
    <row r="2629">
      <c r="A2629" s="8"/>
      <c r="B2629" s="8"/>
      <c r="C2629" s="8"/>
      <c r="D2629" s="8"/>
    </row>
    <row r="2630">
      <c r="A2630" s="8"/>
      <c r="B2630" s="8"/>
      <c r="C2630" s="8"/>
      <c r="D2630" s="8"/>
    </row>
    <row r="2631">
      <c r="A2631" s="8"/>
      <c r="B2631" s="8"/>
      <c r="C2631" s="8"/>
      <c r="D2631" s="8"/>
    </row>
    <row r="2632">
      <c r="A2632" s="8"/>
      <c r="B2632" s="8"/>
      <c r="C2632" s="8"/>
      <c r="D2632" s="8"/>
    </row>
    <row r="2633">
      <c r="A2633" s="8"/>
      <c r="B2633" s="8"/>
      <c r="C2633" s="8"/>
      <c r="D2633" s="8"/>
    </row>
    <row r="2634">
      <c r="A2634" s="8"/>
      <c r="B2634" s="8"/>
      <c r="C2634" s="8"/>
      <c r="D2634" s="8"/>
    </row>
    <row r="2635">
      <c r="A2635" s="8"/>
      <c r="B2635" s="8"/>
      <c r="C2635" s="8"/>
      <c r="D2635" s="8"/>
    </row>
    <row r="2636">
      <c r="A2636" s="8"/>
      <c r="B2636" s="8"/>
      <c r="C2636" s="8"/>
      <c r="D2636" s="8"/>
    </row>
    <row r="2637">
      <c r="A2637" s="8"/>
      <c r="B2637" s="8"/>
      <c r="C2637" s="8"/>
      <c r="D2637" s="8"/>
    </row>
    <row r="2638">
      <c r="A2638" s="8"/>
      <c r="B2638" s="8"/>
      <c r="C2638" s="8"/>
      <c r="D2638" s="8"/>
    </row>
    <row r="2639">
      <c r="A2639" s="8"/>
      <c r="B2639" s="8"/>
      <c r="C2639" s="8"/>
      <c r="D2639" s="8"/>
    </row>
    <row r="2640">
      <c r="A2640" s="8"/>
      <c r="B2640" s="8"/>
      <c r="C2640" s="8"/>
      <c r="D2640" s="8"/>
    </row>
    <row r="2641">
      <c r="A2641" s="8"/>
      <c r="B2641" s="8"/>
      <c r="C2641" s="8"/>
      <c r="D2641" s="8"/>
    </row>
    <row r="2642">
      <c r="A2642" s="8"/>
      <c r="B2642" s="8"/>
      <c r="C2642" s="8"/>
      <c r="D2642" s="8"/>
    </row>
    <row r="2643">
      <c r="A2643" s="8"/>
      <c r="B2643" s="8"/>
      <c r="C2643" s="8"/>
      <c r="D2643" s="8"/>
    </row>
    <row r="2644">
      <c r="A2644" s="8"/>
      <c r="B2644" s="8"/>
      <c r="C2644" s="8"/>
      <c r="D2644" s="8"/>
    </row>
    <row r="2645">
      <c r="A2645" s="8"/>
      <c r="B2645" s="8"/>
      <c r="C2645" s="8"/>
      <c r="D2645" s="8"/>
    </row>
    <row r="2646">
      <c r="A2646" s="8"/>
      <c r="B2646" s="8"/>
      <c r="C2646" s="8"/>
      <c r="D2646" s="8"/>
    </row>
    <row r="2647">
      <c r="A2647" s="8"/>
      <c r="B2647" s="8"/>
      <c r="C2647" s="8"/>
      <c r="D2647" s="8"/>
    </row>
    <row r="2648">
      <c r="A2648" s="8"/>
      <c r="B2648" s="8"/>
      <c r="C2648" s="8"/>
      <c r="D2648" s="8"/>
    </row>
    <row r="2649">
      <c r="A2649" s="8"/>
      <c r="B2649" s="8"/>
      <c r="C2649" s="8"/>
      <c r="D2649" s="8"/>
    </row>
    <row r="2650">
      <c r="A2650" s="8"/>
      <c r="B2650" s="8"/>
      <c r="C2650" s="8"/>
      <c r="D2650" s="8"/>
    </row>
    <row r="2651">
      <c r="A2651" s="8"/>
      <c r="B2651" s="8"/>
      <c r="C2651" s="8"/>
      <c r="D2651" s="8"/>
    </row>
    <row r="2652">
      <c r="A2652" s="8"/>
      <c r="B2652" s="8"/>
      <c r="C2652" s="8"/>
      <c r="D2652" s="8"/>
    </row>
    <row r="2653">
      <c r="A2653" s="8"/>
      <c r="B2653" s="8"/>
      <c r="C2653" s="8"/>
      <c r="D2653" s="8"/>
    </row>
    <row r="2654">
      <c r="A2654" s="8"/>
      <c r="B2654" s="8"/>
      <c r="C2654" s="8"/>
      <c r="D2654" s="8"/>
    </row>
    <row r="2655">
      <c r="A2655" s="8"/>
      <c r="B2655" s="8"/>
      <c r="C2655" s="8"/>
      <c r="D2655" s="8"/>
    </row>
    <row r="2656">
      <c r="A2656" s="8"/>
      <c r="B2656" s="8"/>
      <c r="C2656" s="8"/>
      <c r="D2656" s="8"/>
    </row>
    <row r="2657">
      <c r="A2657" s="8"/>
      <c r="B2657" s="8"/>
      <c r="C2657" s="8"/>
      <c r="D2657" s="8"/>
    </row>
    <row r="2658">
      <c r="A2658" s="8"/>
      <c r="B2658" s="8"/>
      <c r="C2658" s="8"/>
      <c r="D2658" s="8"/>
    </row>
    <row r="2659">
      <c r="A2659" s="8"/>
      <c r="B2659" s="8"/>
      <c r="C2659" s="8"/>
      <c r="D2659" s="8"/>
    </row>
    <row r="2660">
      <c r="A2660" s="8"/>
      <c r="B2660" s="8"/>
      <c r="C2660" s="8"/>
      <c r="D2660" s="8"/>
    </row>
    <row r="2661">
      <c r="A2661" s="8"/>
      <c r="B2661" s="8"/>
      <c r="C2661" s="8"/>
      <c r="D2661" s="8"/>
    </row>
    <row r="2662">
      <c r="A2662" s="8"/>
      <c r="B2662" s="8"/>
      <c r="C2662" s="8"/>
      <c r="D2662" s="8"/>
    </row>
    <row r="2663">
      <c r="A2663" s="8"/>
      <c r="B2663" s="8"/>
      <c r="C2663" s="8"/>
      <c r="D2663" s="8"/>
    </row>
    <row r="2664">
      <c r="A2664" s="8"/>
      <c r="B2664" s="8"/>
      <c r="C2664" s="8"/>
      <c r="D2664" s="8"/>
    </row>
    <row r="2665">
      <c r="A2665" s="8"/>
      <c r="B2665" s="8"/>
      <c r="C2665" s="8"/>
      <c r="D2665" s="8"/>
    </row>
    <row r="2666">
      <c r="A2666" s="8"/>
      <c r="B2666" s="8"/>
      <c r="C2666" s="8"/>
      <c r="D2666" s="8"/>
    </row>
    <row r="2667">
      <c r="A2667" s="8"/>
      <c r="B2667" s="8"/>
      <c r="C2667" s="8"/>
      <c r="D2667" s="8"/>
    </row>
    <row r="2668">
      <c r="A2668" s="8"/>
      <c r="B2668" s="8"/>
      <c r="C2668" s="8"/>
      <c r="D2668" s="8"/>
    </row>
    <row r="2669">
      <c r="A2669" s="8"/>
      <c r="B2669" s="8"/>
      <c r="C2669" s="8"/>
      <c r="D2669" s="8"/>
    </row>
    <row r="2670">
      <c r="A2670" s="8"/>
      <c r="B2670" s="8"/>
      <c r="C2670" s="8"/>
      <c r="D2670" s="8"/>
    </row>
    <row r="2671">
      <c r="A2671" s="8"/>
      <c r="B2671" s="8"/>
      <c r="C2671" s="8"/>
      <c r="D2671" s="8"/>
    </row>
    <row r="2672">
      <c r="A2672" s="8"/>
      <c r="B2672" s="8"/>
      <c r="C2672" s="8"/>
      <c r="D2672" s="8"/>
    </row>
    <row r="2673">
      <c r="A2673" s="8"/>
      <c r="B2673" s="8"/>
      <c r="C2673" s="8"/>
      <c r="D2673" s="8"/>
    </row>
    <row r="2674">
      <c r="A2674" s="8"/>
      <c r="B2674" s="8"/>
      <c r="C2674" s="8"/>
      <c r="D2674" s="8"/>
    </row>
    <row r="2675">
      <c r="A2675" s="8"/>
      <c r="B2675" s="8"/>
      <c r="C2675" s="8"/>
      <c r="D2675" s="8"/>
    </row>
    <row r="2676">
      <c r="A2676" s="8"/>
      <c r="B2676" s="8"/>
      <c r="C2676" s="8"/>
      <c r="D2676" s="8"/>
    </row>
    <row r="2677">
      <c r="A2677" s="8"/>
      <c r="B2677" s="8"/>
      <c r="C2677" s="8"/>
      <c r="D2677" s="8"/>
    </row>
    <row r="2678">
      <c r="A2678" s="8"/>
      <c r="B2678" s="8"/>
      <c r="C2678" s="8"/>
      <c r="D2678" s="8"/>
    </row>
    <row r="2679">
      <c r="A2679" s="8"/>
      <c r="B2679" s="8"/>
      <c r="C2679" s="8"/>
      <c r="D2679" s="8"/>
    </row>
    <row r="2680">
      <c r="A2680" s="8"/>
      <c r="B2680" s="8"/>
      <c r="C2680" s="8"/>
      <c r="D2680" s="8"/>
    </row>
    <row r="2681">
      <c r="A2681" s="8"/>
      <c r="B2681" s="8"/>
      <c r="C2681" s="8"/>
      <c r="D2681" s="8"/>
    </row>
    <row r="2682">
      <c r="A2682" s="8"/>
      <c r="B2682" s="8"/>
      <c r="C2682" s="8"/>
      <c r="D2682" s="8"/>
    </row>
    <row r="2683">
      <c r="A2683" s="8"/>
      <c r="B2683" s="8"/>
      <c r="C2683" s="8"/>
      <c r="D2683" s="8"/>
    </row>
    <row r="2684">
      <c r="A2684" s="8"/>
      <c r="B2684" s="8"/>
      <c r="C2684" s="8"/>
      <c r="D2684" s="8"/>
    </row>
    <row r="2685">
      <c r="A2685" s="8"/>
      <c r="B2685" s="8"/>
      <c r="C2685" s="8"/>
      <c r="D2685" s="8"/>
    </row>
    <row r="2686">
      <c r="A2686" s="8"/>
      <c r="B2686" s="8"/>
      <c r="C2686" s="8"/>
      <c r="D2686" s="8"/>
    </row>
    <row r="2687">
      <c r="A2687" s="8"/>
      <c r="B2687" s="8"/>
      <c r="C2687" s="8"/>
      <c r="D2687" s="8"/>
    </row>
    <row r="2688">
      <c r="A2688" s="8"/>
      <c r="B2688" s="8"/>
      <c r="C2688" s="8"/>
      <c r="D2688" s="8"/>
    </row>
    <row r="2689">
      <c r="A2689" s="8"/>
      <c r="B2689" s="8"/>
      <c r="C2689" s="8"/>
      <c r="D2689" s="8"/>
    </row>
    <row r="2690">
      <c r="A2690" s="8"/>
      <c r="B2690" s="8"/>
      <c r="C2690" s="8"/>
      <c r="D2690" s="8"/>
    </row>
    <row r="2691">
      <c r="A2691" s="8"/>
      <c r="B2691" s="8"/>
      <c r="C2691" s="8"/>
      <c r="D2691" s="8"/>
    </row>
    <row r="2692">
      <c r="A2692" s="8"/>
      <c r="B2692" s="8"/>
      <c r="C2692" s="8"/>
      <c r="D2692" s="8"/>
    </row>
    <row r="2693">
      <c r="A2693" s="8"/>
      <c r="B2693" s="8"/>
      <c r="C2693" s="8"/>
      <c r="D2693" s="8"/>
    </row>
    <row r="2694">
      <c r="A2694" s="8"/>
      <c r="B2694" s="8"/>
      <c r="C2694" s="8"/>
      <c r="D2694" s="8"/>
    </row>
    <row r="2695">
      <c r="A2695" s="8"/>
      <c r="B2695" s="8"/>
      <c r="C2695" s="8"/>
      <c r="D2695" s="8"/>
    </row>
    <row r="2696">
      <c r="A2696" s="8"/>
      <c r="B2696" s="8"/>
      <c r="C2696" s="8"/>
      <c r="D2696" s="8"/>
    </row>
    <row r="2697">
      <c r="A2697" s="8"/>
      <c r="B2697" s="8"/>
      <c r="C2697" s="8"/>
      <c r="D2697" s="8"/>
    </row>
    <row r="2698">
      <c r="A2698" s="8"/>
      <c r="B2698" s="8"/>
      <c r="C2698" s="8"/>
      <c r="D2698" s="8"/>
    </row>
    <row r="2699">
      <c r="A2699" s="8"/>
      <c r="B2699" s="8"/>
      <c r="C2699" s="8"/>
      <c r="D2699" s="8"/>
    </row>
    <row r="2700">
      <c r="A2700" s="8"/>
      <c r="B2700" s="8"/>
      <c r="C2700" s="8"/>
      <c r="D2700" s="8"/>
    </row>
    <row r="2701">
      <c r="A2701" s="8"/>
      <c r="B2701" s="8"/>
      <c r="C2701" s="8"/>
      <c r="D2701" s="8"/>
    </row>
    <row r="2702">
      <c r="A2702" s="8"/>
      <c r="B2702" s="8"/>
      <c r="C2702" s="8"/>
      <c r="D2702" s="8"/>
    </row>
    <row r="2703">
      <c r="A2703" s="8"/>
      <c r="B2703" s="8"/>
      <c r="C2703" s="8"/>
      <c r="D2703" s="8"/>
    </row>
    <row r="2704">
      <c r="A2704" s="8"/>
      <c r="B2704" s="8"/>
      <c r="C2704" s="8"/>
      <c r="D2704" s="8"/>
    </row>
    <row r="2705">
      <c r="A2705" s="8"/>
      <c r="B2705" s="8"/>
      <c r="C2705" s="8"/>
      <c r="D2705" s="8"/>
    </row>
    <row r="2706">
      <c r="A2706" s="8"/>
      <c r="B2706" s="8"/>
      <c r="C2706" s="8"/>
      <c r="D2706" s="8"/>
    </row>
    <row r="2707">
      <c r="A2707" s="8"/>
      <c r="B2707" s="8"/>
      <c r="C2707" s="8"/>
      <c r="D2707" s="8"/>
    </row>
    <row r="2708">
      <c r="A2708" s="8"/>
      <c r="B2708" s="8"/>
      <c r="C2708" s="8"/>
      <c r="D2708" s="8"/>
    </row>
    <row r="2709">
      <c r="A2709" s="8"/>
      <c r="B2709" s="8"/>
      <c r="C2709" s="8"/>
      <c r="D2709" s="8"/>
    </row>
    <row r="2710">
      <c r="A2710" s="8"/>
      <c r="B2710" s="8"/>
      <c r="C2710" s="8"/>
      <c r="D2710" s="8"/>
    </row>
    <row r="2711">
      <c r="A2711" s="8"/>
      <c r="B2711" s="8"/>
      <c r="C2711" s="8"/>
      <c r="D2711" s="8"/>
    </row>
    <row r="2712">
      <c r="A2712" s="8"/>
      <c r="B2712" s="8"/>
      <c r="C2712" s="8"/>
      <c r="D2712" s="8"/>
    </row>
    <row r="2713">
      <c r="A2713" s="8"/>
      <c r="B2713" s="8"/>
      <c r="C2713" s="8"/>
      <c r="D2713" s="8"/>
    </row>
    <row r="2714">
      <c r="A2714" s="8"/>
      <c r="B2714" s="8"/>
      <c r="C2714" s="8"/>
      <c r="D2714" s="8"/>
    </row>
    <row r="2715">
      <c r="A2715" s="8"/>
      <c r="B2715" s="8"/>
      <c r="C2715" s="8"/>
      <c r="D2715" s="8"/>
    </row>
    <row r="2716">
      <c r="A2716" s="8"/>
      <c r="B2716" s="8"/>
      <c r="C2716" s="8"/>
      <c r="D2716" s="8"/>
    </row>
    <row r="2717">
      <c r="A2717" s="8"/>
      <c r="B2717" s="8"/>
      <c r="C2717" s="8"/>
      <c r="D2717" s="8"/>
    </row>
    <row r="2718">
      <c r="A2718" s="8"/>
      <c r="B2718" s="8"/>
      <c r="C2718" s="8"/>
      <c r="D2718" s="8"/>
    </row>
    <row r="2719">
      <c r="A2719" s="8"/>
      <c r="B2719" s="8"/>
      <c r="C2719" s="8"/>
      <c r="D2719" s="8"/>
    </row>
    <row r="2720">
      <c r="A2720" s="8"/>
      <c r="B2720" s="8"/>
      <c r="C2720" s="8"/>
      <c r="D2720" s="8"/>
    </row>
    <row r="2721">
      <c r="A2721" s="8"/>
      <c r="B2721" s="8"/>
      <c r="C2721" s="8"/>
      <c r="D2721" s="8"/>
    </row>
    <row r="2722">
      <c r="A2722" s="8"/>
      <c r="B2722" s="8"/>
      <c r="C2722" s="8"/>
      <c r="D2722" s="8"/>
    </row>
    <row r="2723">
      <c r="A2723" s="8"/>
      <c r="B2723" s="8"/>
      <c r="C2723" s="8"/>
      <c r="D2723" s="8"/>
    </row>
    <row r="2724">
      <c r="A2724" s="8"/>
      <c r="B2724" s="8"/>
      <c r="C2724" s="8"/>
      <c r="D2724" s="8"/>
    </row>
    <row r="2725">
      <c r="A2725" s="8"/>
      <c r="B2725" s="8"/>
      <c r="C2725" s="8"/>
      <c r="D2725" s="8"/>
    </row>
    <row r="2726">
      <c r="A2726" s="8"/>
      <c r="B2726" s="8"/>
      <c r="C2726" s="8"/>
      <c r="D2726" s="8"/>
    </row>
    <row r="2727">
      <c r="A2727" s="8"/>
      <c r="B2727" s="8"/>
      <c r="C2727" s="8"/>
      <c r="D2727" s="8"/>
    </row>
    <row r="2728">
      <c r="A2728" s="8"/>
      <c r="B2728" s="8"/>
      <c r="C2728" s="8"/>
      <c r="D2728" s="8"/>
    </row>
    <row r="2729">
      <c r="A2729" s="8"/>
      <c r="B2729" s="8"/>
      <c r="C2729" s="8"/>
      <c r="D2729" s="8"/>
    </row>
    <row r="2730">
      <c r="A2730" s="8"/>
      <c r="B2730" s="8"/>
      <c r="C2730" s="8"/>
      <c r="D2730" s="8"/>
    </row>
    <row r="2731">
      <c r="A2731" s="8"/>
      <c r="B2731" s="8"/>
      <c r="C2731" s="8"/>
      <c r="D2731" s="8"/>
    </row>
    <row r="2732">
      <c r="A2732" s="8"/>
      <c r="B2732" s="8"/>
      <c r="C2732" s="8"/>
      <c r="D2732" s="8"/>
    </row>
    <row r="2733">
      <c r="A2733" s="8"/>
      <c r="B2733" s="8"/>
      <c r="C2733" s="8"/>
      <c r="D2733" s="8"/>
    </row>
    <row r="2734">
      <c r="A2734" s="8"/>
      <c r="B2734" s="8"/>
      <c r="C2734" s="8"/>
      <c r="D2734" s="8"/>
    </row>
    <row r="2735">
      <c r="A2735" s="8"/>
      <c r="B2735" s="8"/>
      <c r="C2735" s="8"/>
      <c r="D2735" s="8"/>
    </row>
    <row r="2736">
      <c r="A2736" s="8"/>
      <c r="B2736" s="8"/>
      <c r="C2736" s="8"/>
      <c r="D2736" s="8"/>
    </row>
    <row r="2737">
      <c r="A2737" s="8"/>
      <c r="B2737" s="8"/>
      <c r="C2737" s="8"/>
      <c r="D2737" s="8"/>
    </row>
    <row r="2738">
      <c r="A2738" s="8"/>
      <c r="B2738" s="8"/>
      <c r="C2738" s="8"/>
      <c r="D2738" s="8"/>
    </row>
    <row r="2739">
      <c r="A2739" s="8"/>
      <c r="B2739" s="8"/>
      <c r="C2739" s="8"/>
      <c r="D2739" s="8"/>
    </row>
    <row r="2740">
      <c r="A2740" s="8"/>
      <c r="B2740" s="8"/>
      <c r="C2740" s="8"/>
      <c r="D2740" s="8"/>
    </row>
    <row r="2741">
      <c r="A2741" s="8"/>
      <c r="B2741" s="8"/>
      <c r="C2741" s="8"/>
      <c r="D2741" s="8"/>
    </row>
    <row r="2742">
      <c r="A2742" s="8"/>
      <c r="B2742" s="8"/>
      <c r="C2742" s="8"/>
      <c r="D2742" s="8"/>
    </row>
    <row r="2743">
      <c r="A2743" s="8"/>
      <c r="B2743" s="8"/>
      <c r="C2743" s="8"/>
      <c r="D2743" s="8"/>
    </row>
    <row r="2744">
      <c r="A2744" s="8"/>
      <c r="B2744" s="8"/>
      <c r="C2744" s="8"/>
      <c r="D2744" s="8"/>
    </row>
    <row r="2745">
      <c r="A2745" s="8"/>
      <c r="B2745" s="8"/>
      <c r="C2745" s="8"/>
      <c r="D2745" s="8"/>
    </row>
    <row r="2746">
      <c r="A2746" s="8"/>
      <c r="B2746" s="8"/>
      <c r="C2746" s="8"/>
      <c r="D2746" s="8"/>
    </row>
    <row r="2747">
      <c r="A2747" s="8"/>
      <c r="B2747" s="8"/>
      <c r="C2747" s="8"/>
      <c r="D2747" s="8"/>
    </row>
    <row r="2748">
      <c r="A2748" s="8"/>
      <c r="B2748" s="8"/>
      <c r="C2748" s="8"/>
      <c r="D2748" s="8"/>
    </row>
    <row r="2749">
      <c r="A2749" s="8"/>
      <c r="B2749" s="8"/>
      <c r="C2749" s="8"/>
      <c r="D2749" s="8"/>
    </row>
    <row r="2750">
      <c r="A2750" s="8"/>
      <c r="B2750" s="8"/>
      <c r="C2750" s="8"/>
      <c r="D2750" s="8"/>
    </row>
    <row r="2751">
      <c r="A2751" s="8"/>
      <c r="B2751" s="8"/>
      <c r="C2751" s="8"/>
      <c r="D2751" s="8"/>
    </row>
    <row r="2752">
      <c r="A2752" s="8"/>
      <c r="B2752" s="8"/>
      <c r="C2752" s="8"/>
      <c r="D2752" s="8"/>
    </row>
    <row r="2753">
      <c r="A2753" s="8"/>
      <c r="B2753" s="8"/>
      <c r="C2753" s="8"/>
      <c r="D2753" s="8"/>
    </row>
    <row r="2754">
      <c r="A2754" s="8"/>
      <c r="B2754" s="8"/>
      <c r="C2754" s="8"/>
      <c r="D2754" s="8"/>
    </row>
    <row r="2755">
      <c r="A2755" s="8"/>
      <c r="B2755" s="8"/>
      <c r="C2755" s="8"/>
      <c r="D2755" s="8"/>
    </row>
    <row r="2756">
      <c r="A2756" s="8"/>
      <c r="B2756" s="8"/>
      <c r="C2756" s="8"/>
      <c r="D2756" s="8"/>
    </row>
    <row r="2757">
      <c r="A2757" s="8"/>
      <c r="B2757" s="8"/>
      <c r="C2757" s="8"/>
      <c r="D2757" s="8"/>
    </row>
    <row r="2758">
      <c r="A2758" s="8"/>
      <c r="B2758" s="8"/>
      <c r="C2758" s="8"/>
      <c r="D2758" s="8"/>
    </row>
    <row r="2759">
      <c r="A2759" s="8"/>
      <c r="B2759" s="8"/>
      <c r="C2759" s="8"/>
      <c r="D2759" s="8"/>
    </row>
    <row r="2760">
      <c r="A2760" s="8"/>
      <c r="B2760" s="8"/>
      <c r="C2760" s="8"/>
      <c r="D2760" s="8"/>
    </row>
    <row r="2761">
      <c r="A2761" s="8"/>
      <c r="B2761" s="8"/>
      <c r="C2761" s="8"/>
      <c r="D2761" s="8"/>
    </row>
    <row r="2762">
      <c r="A2762" s="8"/>
      <c r="B2762" s="8"/>
      <c r="C2762" s="8"/>
      <c r="D2762" s="8"/>
    </row>
    <row r="2763">
      <c r="A2763" s="8"/>
      <c r="B2763" s="8"/>
      <c r="C2763" s="8"/>
      <c r="D2763" s="8"/>
    </row>
    <row r="2764">
      <c r="A2764" s="8"/>
      <c r="B2764" s="8"/>
      <c r="C2764" s="8"/>
      <c r="D2764" s="8"/>
    </row>
    <row r="2765">
      <c r="A2765" s="8"/>
      <c r="B2765" s="8"/>
      <c r="C2765" s="8"/>
      <c r="D2765" s="8"/>
    </row>
    <row r="2766">
      <c r="A2766" s="8"/>
      <c r="B2766" s="8"/>
      <c r="C2766" s="8"/>
      <c r="D2766" s="8"/>
    </row>
    <row r="2767">
      <c r="A2767" s="8"/>
      <c r="B2767" s="8"/>
      <c r="C2767" s="8"/>
      <c r="D2767" s="8"/>
    </row>
    <row r="2768">
      <c r="A2768" s="8"/>
      <c r="B2768" s="8"/>
      <c r="C2768" s="8"/>
      <c r="D2768" s="8"/>
    </row>
    <row r="2769">
      <c r="A2769" s="8"/>
      <c r="B2769" s="8"/>
      <c r="C2769" s="8"/>
      <c r="D2769" s="8"/>
    </row>
    <row r="2770">
      <c r="A2770" s="8"/>
      <c r="B2770" s="8"/>
      <c r="C2770" s="8"/>
      <c r="D2770" s="8"/>
    </row>
    <row r="2771">
      <c r="A2771" s="8"/>
      <c r="B2771" s="8"/>
      <c r="C2771" s="8"/>
      <c r="D2771" s="8"/>
    </row>
    <row r="2772">
      <c r="A2772" s="8"/>
      <c r="B2772" s="8"/>
      <c r="C2772" s="8"/>
      <c r="D2772" s="8"/>
    </row>
    <row r="2773">
      <c r="A2773" s="8"/>
      <c r="B2773" s="8"/>
      <c r="C2773" s="8"/>
      <c r="D2773" s="8"/>
    </row>
    <row r="2774">
      <c r="A2774" s="8"/>
      <c r="B2774" s="8"/>
      <c r="C2774" s="8"/>
      <c r="D2774" s="8"/>
    </row>
    <row r="2775">
      <c r="A2775" s="8"/>
      <c r="B2775" s="8"/>
      <c r="C2775" s="8"/>
      <c r="D2775" s="8"/>
    </row>
    <row r="2776">
      <c r="A2776" s="8"/>
      <c r="B2776" s="8"/>
      <c r="C2776" s="8"/>
      <c r="D2776" s="8"/>
    </row>
    <row r="2777">
      <c r="A2777" s="8"/>
      <c r="B2777" s="8"/>
      <c r="C2777" s="8"/>
      <c r="D2777" s="8"/>
    </row>
    <row r="2778">
      <c r="A2778" s="8"/>
      <c r="B2778" s="8"/>
      <c r="C2778" s="8"/>
      <c r="D2778" s="8"/>
    </row>
    <row r="2779">
      <c r="A2779" s="8"/>
      <c r="B2779" s="8"/>
      <c r="C2779" s="8"/>
      <c r="D2779" s="8"/>
    </row>
    <row r="2780">
      <c r="A2780" s="8"/>
      <c r="B2780" s="8"/>
      <c r="C2780" s="8"/>
      <c r="D2780" s="8"/>
    </row>
    <row r="2781">
      <c r="A2781" s="8"/>
      <c r="B2781" s="8"/>
      <c r="C2781" s="8"/>
      <c r="D2781" s="8"/>
    </row>
    <row r="2782">
      <c r="A2782" s="8"/>
      <c r="B2782" s="8"/>
      <c r="C2782" s="8"/>
      <c r="D2782" s="8"/>
    </row>
    <row r="2783">
      <c r="A2783" s="8"/>
      <c r="B2783" s="8"/>
      <c r="C2783" s="8"/>
      <c r="D2783" s="8"/>
    </row>
    <row r="2784">
      <c r="A2784" s="8"/>
      <c r="B2784" s="8"/>
      <c r="C2784" s="8"/>
      <c r="D2784" s="8"/>
    </row>
    <row r="2785">
      <c r="A2785" s="8"/>
      <c r="B2785" s="8"/>
      <c r="C2785" s="8"/>
      <c r="D2785" s="8"/>
    </row>
    <row r="2786">
      <c r="A2786" s="8"/>
      <c r="B2786" s="8"/>
      <c r="C2786" s="8"/>
      <c r="D2786" s="8"/>
    </row>
    <row r="2787">
      <c r="A2787" s="8"/>
      <c r="B2787" s="8"/>
      <c r="C2787" s="8"/>
      <c r="D2787" s="8"/>
    </row>
    <row r="2788">
      <c r="A2788" s="8"/>
      <c r="B2788" s="8"/>
      <c r="C2788" s="8"/>
      <c r="D2788" s="8"/>
    </row>
    <row r="2789">
      <c r="A2789" s="8"/>
      <c r="B2789" s="8"/>
      <c r="C2789" s="8"/>
      <c r="D2789" s="8"/>
    </row>
    <row r="2790">
      <c r="A2790" s="8"/>
      <c r="B2790" s="8"/>
      <c r="C2790" s="8"/>
      <c r="D2790" s="8"/>
    </row>
    <row r="2791">
      <c r="A2791" s="8"/>
      <c r="B2791" s="8"/>
      <c r="C2791" s="8"/>
      <c r="D2791" s="8"/>
    </row>
    <row r="2792">
      <c r="A2792" s="8"/>
      <c r="B2792" s="8"/>
      <c r="C2792" s="8"/>
      <c r="D2792" s="8"/>
    </row>
    <row r="2793">
      <c r="A2793" s="8"/>
      <c r="B2793" s="8"/>
      <c r="C2793" s="8"/>
      <c r="D2793" s="8"/>
    </row>
    <row r="2794">
      <c r="A2794" s="8"/>
      <c r="B2794" s="8"/>
      <c r="C2794" s="8"/>
      <c r="D2794" s="8"/>
    </row>
    <row r="2795">
      <c r="A2795" s="8"/>
      <c r="B2795" s="8"/>
      <c r="C2795" s="8"/>
      <c r="D2795" s="8"/>
    </row>
    <row r="2796">
      <c r="A2796" s="8"/>
      <c r="B2796" s="8"/>
      <c r="C2796" s="8"/>
      <c r="D2796" s="8"/>
    </row>
    <row r="2797">
      <c r="A2797" s="8"/>
      <c r="B2797" s="8"/>
      <c r="C2797" s="8"/>
      <c r="D2797" s="8"/>
    </row>
    <row r="2798">
      <c r="A2798" s="8"/>
      <c r="B2798" s="8"/>
      <c r="C2798" s="8"/>
      <c r="D2798" s="8"/>
    </row>
    <row r="2799">
      <c r="A2799" s="8"/>
      <c r="B2799" s="8"/>
      <c r="C2799" s="8"/>
      <c r="D2799" s="8"/>
    </row>
    <row r="2800">
      <c r="A2800" s="8"/>
      <c r="B2800" s="8"/>
      <c r="C2800" s="8"/>
      <c r="D2800" s="8"/>
    </row>
    <row r="2801">
      <c r="A2801" s="8"/>
      <c r="B2801" s="8"/>
      <c r="C2801" s="8"/>
      <c r="D2801" s="8"/>
    </row>
    <row r="2802">
      <c r="A2802" s="8"/>
      <c r="B2802" s="8"/>
      <c r="C2802" s="8"/>
      <c r="D2802" s="8"/>
    </row>
    <row r="2803">
      <c r="A2803" s="8"/>
      <c r="B2803" s="8"/>
      <c r="C2803" s="8"/>
      <c r="D2803" s="8"/>
    </row>
    <row r="2804">
      <c r="A2804" s="8"/>
      <c r="B2804" s="8"/>
      <c r="C2804" s="8"/>
      <c r="D2804" s="8"/>
    </row>
    <row r="2805">
      <c r="A2805" s="8"/>
      <c r="B2805" s="8"/>
      <c r="C2805" s="8"/>
      <c r="D2805" s="8"/>
    </row>
    <row r="2806">
      <c r="A2806" s="8"/>
      <c r="B2806" s="8"/>
      <c r="C2806" s="8"/>
      <c r="D2806" s="8"/>
    </row>
    <row r="2807">
      <c r="A2807" s="8"/>
      <c r="B2807" s="8"/>
      <c r="C2807" s="8"/>
      <c r="D2807" s="8"/>
    </row>
    <row r="2808">
      <c r="A2808" s="8"/>
      <c r="B2808" s="8"/>
      <c r="C2808" s="8"/>
      <c r="D2808" s="8"/>
    </row>
    <row r="2809">
      <c r="A2809" s="8"/>
      <c r="B2809" s="8"/>
      <c r="C2809" s="8"/>
      <c r="D2809" s="8"/>
    </row>
    <row r="2810">
      <c r="A2810" s="8"/>
      <c r="B2810" s="8"/>
      <c r="C2810" s="8"/>
      <c r="D2810" s="8"/>
    </row>
    <row r="2811">
      <c r="A2811" s="8"/>
      <c r="B2811" s="8"/>
      <c r="C2811" s="8"/>
      <c r="D2811" s="8"/>
    </row>
    <row r="2812">
      <c r="A2812" s="8"/>
      <c r="B2812" s="8"/>
      <c r="C2812" s="8"/>
      <c r="D2812" s="8"/>
    </row>
    <row r="2813">
      <c r="A2813" s="8"/>
      <c r="B2813" s="8"/>
      <c r="C2813" s="8"/>
      <c r="D2813" s="8"/>
    </row>
    <row r="2814">
      <c r="A2814" s="8"/>
      <c r="B2814" s="8"/>
      <c r="C2814" s="8"/>
      <c r="D2814" s="8"/>
    </row>
    <row r="2815">
      <c r="A2815" s="8"/>
      <c r="B2815" s="8"/>
      <c r="C2815" s="8"/>
      <c r="D2815" s="8"/>
    </row>
    <row r="2816">
      <c r="A2816" s="8"/>
      <c r="B2816" s="8"/>
      <c r="C2816" s="8"/>
      <c r="D2816" s="8"/>
    </row>
    <row r="2817">
      <c r="A2817" s="8"/>
      <c r="B2817" s="8"/>
      <c r="C2817" s="8"/>
      <c r="D2817" s="8"/>
    </row>
    <row r="2818">
      <c r="A2818" s="8"/>
      <c r="B2818" s="8"/>
      <c r="C2818" s="8"/>
      <c r="D2818" s="8"/>
    </row>
    <row r="2819">
      <c r="A2819" s="8"/>
      <c r="B2819" s="8"/>
      <c r="C2819" s="8"/>
      <c r="D2819" s="8"/>
    </row>
    <row r="2820">
      <c r="A2820" s="8"/>
      <c r="B2820" s="8"/>
      <c r="C2820" s="8"/>
      <c r="D2820" s="8"/>
    </row>
    <row r="2821">
      <c r="A2821" s="8"/>
      <c r="B2821" s="8"/>
      <c r="C2821" s="8"/>
      <c r="D2821" s="8"/>
    </row>
    <row r="2822">
      <c r="A2822" s="8"/>
      <c r="B2822" s="8"/>
      <c r="C2822" s="8"/>
      <c r="D2822" s="8"/>
    </row>
    <row r="2823">
      <c r="A2823" s="8"/>
      <c r="B2823" s="8"/>
      <c r="C2823" s="8"/>
      <c r="D2823" s="8"/>
    </row>
    <row r="2824">
      <c r="A2824" s="8"/>
      <c r="B2824" s="8"/>
      <c r="C2824" s="8"/>
      <c r="D2824" s="8"/>
    </row>
    <row r="2825">
      <c r="A2825" s="8"/>
      <c r="B2825" s="8"/>
      <c r="C2825" s="8"/>
      <c r="D2825" s="8"/>
    </row>
    <row r="2826">
      <c r="A2826" s="8"/>
      <c r="B2826" s="8"/>
      <c r="C2826" s="8"/>
      <c r="D2826" s="8"/>
    </row>
    <row r="2827">
      <c r="A2827" s="8"/>
      <c r="B2827" s="8"/>
      <c r="C2827" s="8"/>
      <c r="D2827" s="8"/>
    </row>
    <row r="2828">
      <c r="A2828" s="8"/>
      <c r="B2828" s="8"/>
      <c r="C2828" s="8"/>
      <c r="D2828" s="8"/>
    </row>
    <row r="2829">
      <c r="A2829" s="8"/>
      <c r="B2829" s="8"/>
      <c r="C2829" s="8"/>
      <c r="D2829" s="8"/>
    </row>
    <row r="2830">
      <c r="A2830" s="8"/>
      <c r="B2830" s="8"/>
      <c r="C2830" s="8"/>
      <c r="D2830" s="8"/>
    </row>
    <row r="2831">
      <c r="A2831" s="8"/>
      <c r="B2831" s="8"/>
      <c r="C2831" s="8"/>
      <c r="D2831" s="8"/>
    </row>
    <row r="2832">
      <c r="A2832" s="8"/>
      <c r="B2832" s="8"/>
      <c r="C2832" s="8"/>
      <c r="D2832" s="8"/>
    </row>
    <row r="2833">
      <c r="A2833" s="8"/>
      <c r="B2833" s="8"/>
      <c r="C2833" s="8"/>
      <c r="D2833" s="8"/>
    </row>
    <row r="2834">
      <c r="A2834" s="8"/>
      <c r="B2834" s="8"/>
      <c r="C2834" s="8"/>
      <c r="D2834" s="8"/>
    </row>
    <row r="2835">
      <c r="A2835" s="8"/>
      <c r="B2835" s="8"/>
      <c r="C2835" s="8"/>
      <c r="D2835" s="8"/>
    </row>
    <row r="2836">
      <c r="A2836" s="8"/>
      <c r="B2836" s="8"/>
      <c r="C2836" s="8"/>
      <c r="D2836" s="8"/>
    </row>
    <row r="2837">
      <c r="A2837" s="8"/>
      <c r="B2837" s="8"/>
      <c r="C2837" s="8"/>
      <c r="D2837" s="8"/>
    </row>
    <row r="2838">
      <c r="A2838" s="8"/>
      <c r="B2838" s="8"/>
      <c r="C2838" s="8"/>
      <c r="D2838" s="8"/>
    </row>
    <row r="2839">
      <c r="A2839" s="8"/>
      <c r="B2839" s="8"/>
      <c r="C2839" s="8"/>
      <c r="D2839" s="8"/>
    </row>
    <row r="2840">
      <c r="A2840" s="8"/>
      <c r="B2840" s="8"/>
      <c r="C2840" s="8"/>
      <c r="D2840" s="8"/>
    </row>
    <row r="2841">
      <c r="A2841" s="8"/>
      <c r="B2841" s="8"/>
      <c r="C2841" s="8"/>
      <c r="D2841" s="8"/>
    </row>
    <row r="2842">
      <c r="A2842" s="8"/>
      <c r="B2842" s="8"/>
      <c r="C2842" s="8"/>
      <c r="D2842" s="8"/>
    </row>
    <row r="2843">
      <c r="A2843" s="8"/>
      <c r="B2843" s="8"/>
      <c r="C2843" s="8"/>
      <c r="D2843" s="8"/>
    </row>
    <row r="2844">
      <c r="A2844" s="8"/>
      <c r="B2844" s="8"/>
      <c r="C2844" s="8"/>
      <c r="D2844" s="8"/>
    </row>
    <row r="2845">
      <c r="A2845" s="8"/>
      <c r="B2845" s="8"/>
      <c r="C2845" s="8"/>
      <c r="D2845" s="8"/>
    </row>
    <row r="2846">
      <c r="A2846" s="8"/>
      <c r="B2846" s="8"/>
      <c r="C2846" s="8"/>
      <c r="D2846" s="8"/>
    </row>
    <row r="2847">
      <c r="A2847" s="8"/>
      <c r="B2847" s="8"/>
      <c r="C2847" s="8"/>
      <c r="D2847" s="8"/>
    </row>
    <row r="2848">
      <c r="A2848" s="8"/>
      <c r="B2848" s="8"/>
      <c r="C2848" s="8"/>
      <c r="D2848" s="8"/>
    </row>
    <row r="2849">
      <c r="A2849" s="8"/>
      <c r="B2849" s="8"/>
      <c r="C2849" s="8"/>
      <c r="D2849" s="8"/>
    </row>
    <row r="2850">
      <c r="A2850" s="8"/>
      <c r="B2850" s="8"/>
      <c r="C2850" s="8"/>
      <c r="D2850" s="8"/>
    </row>
    <row r="2851">
      <c r="A2851" s="8"/>
      <c r="B2851" s="8"/>
      <c r="C2851" s="8"/>
      <c r="D2851" s="8"/>
    </row>
    <row r="2852">
      <c r="A2852" s="8"/>
      <c r="B2852" s="8"/>
      <c r="C2852" s="8"/>
      <c r="D2852" s="8"/>
    </row>
    <row r="2853">
      <c r="A2853" s="8"/>
      <c r="B2853" s="8"/>
      <c r="C2853" s="8"/>
      <c r="D2853" s="8"/>
    </row>
    <row r="2854">
      <c r="A2854" s="8"/>
      <c r="B2854" s="8"/>
      <c r="C2854" s="8"/>
      <c r="D2854" s="8"/>
    </row>
    <row r="2855">
      <c r="A2855" s="8"/>
      <c r="B2855" s="8"/>
      <c r="C2855" s="8"/>
      <c r="D2855" s="8"/>
    </row>
    <row r="2856">
      <c r="A2856" s="8"/>
      <c r="B2856" s="8"/>
      <c r="C2856" s="8"/>
      <c r="D2856" s="8"/>
    </row>
    <row r="2857">
      <c r="A2857" s="8"/>
      <c r="B2857" s="8"/>
      <c r="C2857" s="8"/>
      <c r="D2857" s="8"/>
    </row>
    <row r="2858">
      <c r="A2858" s="8"/>
      <c r="B2858" s="8"/>
      <c r="C2858" s="8"/>
      <c r="D2858" s="8"/>
    </row>
    <row r="2859">
      <c r="A2859" s="8"/>
      <c r="B2859" s="8"/>
      <c r="C2859" s="8"/>
      <c r="D2859" s="8"/>
    </row>
    <row r="2860">
      <c r="A2860" s="8"/>
      <c r="B2860" s="8"/>
      <c r="C2860" s="8"/>
      <c r="D2860" s="8"/>
    </row>
    <row r="2861">
      <c r="A2861" s="8"/>
      <c r="B2861" s="8"/>
      <c r="C2861" s="8"/>
      <c r="D2861" s="8"/>
    </row>
    <row r="2862">
      <c r="A2862" s="8"/>
      <c r="B2862" s="8"/>
      <c r="C2862" s="8"/>
      <c r="D2862" s="8"/>
    </row>
    <row r="2863">
      <c r="A2863" s="8"/>
      <c r="B2863" s="8"/>
      <c r="C2863" s="8"/>
      <c r="D2863" s="8"/>
    </row>
    <row r="2864">
      <c r="A2864" s="8"/>
      <c r="B2864" s="8"/>
      <c r="C2864" s="8"/>
      <c r="D2864" s="8"/>
    </row>
    <row r="2865">
      <c r="A2865" s="8"/>
      <c r="B2865" s="8"/>
      <c r="C2865" s="8"/>
      <c r="D2865" s="8"/>
    </row>
    <row r="2866">
      <c r="A2866" s="8"/>
      <c r="B2866" s="8"/>
      <c r="C2866" s="8"/>
      <c r="D2866" s="8"/>
    </row>
    <row r="2867">
      <c r="A2867" s="8"/>
      <c r="B2867" s="8"/>
      <c r="C2867" s="8"/>
      <c r="D2867" s="8"/>
    </row>
    <row r="2868">
      <c r="A2868" s="8"/>
      <c r="B2868" s="8"/>
      <c r="C2868" s="8"/>
      <c r="D2868" s="8"/>
    </row>
    <row r="2869">
      <c r="A2869" s="8"/>
      <c r="B2869" s="8"/>
      <c r="C2869" s="8"/>
      <c r="D2869" s="8"/>
    </row>
    <row r="2870">
      <c r="A2870" s="8"/>
      <c r="B2870" s="8"/>
      <c r="C2870" s="8"/>
      <c r="D2870" s="8"/>
    </row>
    <row r="2871">
      <c r="A2871" s="8"/>
      <c r="B2871" s="8"/>
      <c r="C2871" s="8"/>
      <c r="D2871" s="8"/>
    </row>
    <row r="2872">
      <c r="A2872" s="8"/>
      <c r="B2872" s="8"/>
      <c r="C2872" s="8"/>
      <c r="D2872" s="8"/>
    </row>
    <row r="2873">
      <c r="A2873" s="8"/>
      <c r="B2873" s="8"/>
      <c r="C2873" s="8"/>
      <c r="D2873" s="8"/>
    </row>
    <row r="2874">
      <c r="A2874" s="8"/>
      <c r="B2874" s="8"/>
      <c r="C2874" s="8"/>
      <c r="D2874" s="8"/>
    </row>
    <row r="2875">
      <c r="A2875" s="8"/>
      <c r="B2875" s="8"/>
      <c r="C2875" s="8"/>
      <c r="D2875" s="8"/>
    </row>
    <row r="2876">
      <c r="A2876" s="8"/>
      <c r="B2876" s="8"/>
      <c r="C2876" s="8"/>
      <c r="D2876" s="8"/>
    </row>
    <row r="2877">
      <c r="A2877" s="8"/>
      <c r="B2877" s="8"/>
      <c r="C2877" s="8"/>
      <c r="D2877" s="8"/>
    </row>
    <row r="2878">
      <c r="A2878" s="8"/>
      <c r="B2878" s="8"/>
      <c r="C2878" s="8"/>
      <c r="D2878" s="8"/>
    </row>
    <row r="2879">
      <c r="A2879" s="8"/>
      <c r="B2879" s="8"/>
      <c r="C2879" s="8"/>
      <c r="D2879" s="8"/>
    </row>
    <row r="2880">
      <c r="A2880" s="8"/>
      <c r="B2880" s="8"/>
      <c r="C2880" s="8"/>
      <c r="D2880" s="8"/>
    </row>
    <row r="2881">
      <c r="A2881" s="8"/>
      <c r="B2881" s="8"/>
      <c r="C2881" s="8"/>
      <c r="D2881" s="8"/>
    </row>
    <row r="2882">
      <c r="A2882" s="8"/>
      <c r="B2882" s="8"/>
      <c r="C2882" s="8"/>
      <c r="D2882" s="8"/>
    </row>
    <row r="2883">
      <c r="A2883" s="8"/>
      <c r="B2883" s="8"/>
      <c r="C2883" s="8"/>
      <c r="D2883" s="8"/>
    </row>
    <row r="2884">
      <c r="A2884" s="8"/>
      <c r="B2884" s="8"/>
      <c r="C2884" s="8"/>
      <c r="D2884" s="8"/>
    </row>
    <row r="2885">
      <c r="A2885" s="8"/>
      <c r="B2885" s="8"/>
      <c r="C2885" s="8"/>
      <c r="D2885" s="8"/>
    </row>
    <row r="2886">
      <c r="A2886" s="8"/>
      <c r="B2886" s="8"/>
      <c r="C2886" s="8"/>
      <c r="D2886" s="8"/>
    </row>
    <row r="2887">
      <c r="A2887" s="8"/>
      <c r="B2887" s="8"/>
      <c r="C2887" s="8"/>
      <c r="D2887" s="8"/>
    </row>
    <row r="2888">
      <c r="A2888" s="8"/>
      <c r="B2888" s="8"/>
      <c r="C2888" s="8"/>
      <c r="D2888" s="8"/>
    </row>
    <row r="2889">
      <c r="A2889" s="8"/>
      <c r="B2889" s="8"/>
      <c r="C2889" s="8"/>
      <c r="D2889" s="8"/>
    </row>
    <row r="2890">
      <c r="A2890" s="8"/>
      <c r="B2890" s="8"/>
      <c r="C2890" s="8"/>
      <c r="D2890" s="8"/>
    </row>
    <row r="2891">
      <c r="A2891" s="8"/>
      <c r="B2891" s="8"/>
      <c r="C2891" s="8"/>
      <c r="D2891" s="8"/>
    </row>
    <row r="2892">
      <c r="A2892" s="8"/>
      <c r="B2892" s="8"/>
      <c r="C2892" s="8"/>
      <c r="D2892" s="8"/>
    </row>
    <row r="2893">
      <c r="A2893" s="8"/>
      <c r="B2893" s="8"/>
      <c r="C2893" s="8"/>
      <c r="D2893" s="8"/>
    </row>
    <row r="2894">
      <c r="A2894" s="8"/>
      <c r="B2894" s="8"/>
      <c r="C2894" s="8"/>
      <c r="D2894" s="8"/>
    </row>
    <row r="2895">
      <c r="A2895" s="8"/>
      <c r="B2895" s="8"/>
      <c r="C2895" s="8"/>
      <c r="D2895" s="8"/>
    </row>
    <row r="2896">
      <c r="A2896" s="8"/>
      <c r="B2896" s="8"/>
      <c r="C2896" s="8"/>
      <c r="D2896" s="8"/>
    </row>
    <row r="2897">
      <c r="A2897" s="8"/>
      <c r="B2897" s="8"/>
      <c r="C2897" s="8"/>
      <c r="D2897" s="8"/>
    </row>
    <row r="2898">
      <c r="A2898" s="8"/>
      <c r="B2898" s="8"/>
      <c r="C2898" s="8"/>
      <c r="D2898" s="8"/>
    </row>
    <row r="2899">
      <c r="A2899" s="8"/>
      <c r="B2899" s="8"/>
      <c r="C2899" s="8"/>
      <c r="D2899" s="8"/>
    </row>
    <row r="2900">
      <c r="A2900" s="8"/>
      <c r="B2900" s="8"/>
      <c r="C2900" s="8"/>
      <c r="D2900" s="8"/>
    </row>
    <row r="2901">
      <c r="A2901" s="8"/>
      <c r="B2901" s="8"/>
      <c r="C2901" s="8"/>
      <c r="D2901" s="8"/>
    </row>
    <row r="2902">
      <c r="A2902" s="8"/>
      <c r="B2902" s="8"/>
      <c r="C2902" s="8"/>
      <c r="D2902" s="8"/>
    </row>
    <row r="2903">
      <c r="A2903" s="8"/>
      <c r="B2903" s="8"/>
      <c r="C2903" s="8"/>
      <c r="D2903" s="8"/>
    </row>
    <row r="2904">
      <c r="A2904" s="8"/>
      <c r="B2904" s="8"/>
      <c r="C2904" s="8"/>
      <c r="D2904" s="8"/>
    </row>
    <row r="2905">
      <c r="A2905" s="8"/>
      <c r="B2905" s="8"/>
      <c r="C2905" s="8"/>
      <c r="D2905" s="8"/>
    </row>
    <row r="2906">
      <c r="A2906" s="8"/>
      <c r="B2906" s="8"/>
      <c r="C2906" s="8"/>
      <c r="D2906" s="8"/>
    </row>
    <row r="2907">
      <c r="A2907" s="8"/>
      <c r="B2907" s="8"/>
      <c r="C2907" s="8"/>
      <c r="D2907" s="8"/>
    </row>
    <row r="2908">
      <c r="A2908" s="8"/>
      <c r="B2908" s="8"/>
      <c r="C2908" s="8"/>
      <c r="D2908" s="8"/>
    </row>
    <row r="2909">
      <c r="A2909" s="8"/>
      <c r="B2909" s="8"/>
      <c r="C2909" s="8"/>
      <c r="D2909" s="8"/>
    </row>
    <row r="2910">
      <c r="A2910" s="8"/>
      <c r="B2910" s="8"/>
      <c r="C2910" s="8"/>
      <c r="D2910" s="8"/>
    </row>
    <row r="2911">
      <c r="A2911" s="8"/>
      <c r="B2911" s="8"/>
      <c r="C2911" s="8"/>
      <c r="D2911" s="8"/>
    </row>
    <row r="2912">
      <c r="A2912" s="8"/>
      <c r="B2912" s="8"/>
      <c r="C2912" s="8"/>
      <c r="D2912" s="8"/>
    </row>
    <row r="2913">
      <c r="A2913" s="8"/>
      <c r="B2913" s="8"/>
      <c r="C2913" s="8"/>
      <c r="D2913" s="8"/>
    </row>
    <row r="2914">
      <c r="A2914" s="8"/>
      <c r="B2914" s="8"/>
      <c r="C2914" s="8"/>
      <c r="D2914" s="8"/>
    </row>
    <row r="2915">
      <c r="A2915" s="8"/>
      <c r="B2915" s="8"/>
      <c r="C2915" s="8"/>
      <c r="D2915" s="8"/>
    </row>
    <row r="2916">
      <c r="A2916" s="8"/>
      <c r="B2916" s="8"/>
      <c r="C2916" s="8"/>
      <c r="D2916" s="8"/>
    </row>
    <row r="2917">
      <c r="A2917" s="8"/>
      <c r="B2917" s="8"/>
      <c r="C2917" s="8"/>
      <c r="D2917" s="8"/>
    </row>
    <row r="2918">
      <c r="A2918" s="8"/>
      <c r="B2918" s="8"/>
      <c r="C2918" s="8"/>
      <c r="D2918" s="8"/>
    </row>
    <row r="2919">
      <c r="A2919" s="8"/>
      <c r="B2919" s="8"/>
      <c r="C2919" s="8"/>
      <c r="D2919" s="8"/>
    </row>
    <row r="2920">
      <c r="A2920" s="8"/>
      <c r="B2920" s="8"/>
      <c r="C2920" s="8"/>
      <c r="D2920" s="8"/>
    </row>
    <row r="2921">
      <c r="A2921" s="8"/>
      <c r="B2921" s="8"/>
      <c r="C2921" s="8"/>
      <c r="D2921" s="8"/>
    </row>
    <row r="2922">
      <c r="A2922" s="8"/>
      <c r="B2922" s="8"/>
      <c r="C2922" s="8"/>
      <c r="D2922" s="8"/>
    </row>
    <row r="2923">
      <c r="A2923" s="8"/>
      <c r="B2923" s="8"/>
      <c r="C2923" s="8"/>
      <c r="D2923" s="8"/>
    </row>
    <row r="2924">
      <c r="A2924" s="8"/>
      <c r="B2924" s="8"/>
      <c r="C2924" s="8"/>
      <c r="D2924" s="8"/>
    </row>
    <row r="2925">
      <c r="A2925" s="8"/>
      <c r="B2925" s="8"/>
      <c r="C2925" s="8"/>
      <c r="D2925" s="8"/>
    </row>
    <row r="2926">
      <c r="A2926" s="8"/>
      <c r="B2926" s="8"/>
      <c r="C2926" s="8"/>
      <c r="D2926" s="8"/>
    </row>
    <row r="2927">
      <c r="A2927" s="8"/>
      <c r="B2927" s="8"/>
      <c r="C2927" s="8"/>
      <c r="D2927" s="8"/>
    </row>
    <row r="2928">
      <c r="A2928" s="8"/>
      <c r="B2928" s="8"/>
      <c r="C2928" s="8"/>
      <c r="D2928" s="8"/>
    </row>
    <row r="2929">
      <c r="A2929" s="8"/>
      <c r="B2929" s="8"/>
      <c r="C2929" s="8"/>
      <c r="D2929" s="8"/>
    </row>
    <row r="2930">
      <c r="A2930" s="8"/>
      <c r="B2930" s="8"/>
      <c r="C2930" s="8"/>
      <c r="D2930" s="8"/>
    </row>
    <row r="2931">
      <c r="A2931" s="8"/>
      <c r="B2931" s="8"/>
      <c r="C2931" s="8"/>
      <c r="D2931" s="8"/>
    </row>
    <row r="2932">
      <c r="A2932" s="8"/>
      <c r="B2932" s="8"/>
      <c r="C2932" s="8"/>
      <c r="D2932" s="8"/>
    </row>
    <row r="2933">
      <c r="A2933" s="8"/>
      <c r="B2933" s="8"/>
      <c r="C2933" s="8"/>
      <c r="D2933" s="8"/>
    </row>
    <row r="2934">
      <c r="A2934" s="8"/>
      <c r="B2934" s="8"/>
      <c r="C2934" s="8"/>
      <c r="D2934" s="8"/>
    </row>
    <row r="2935">
      <c r="A2935" s="8"/>
      <c r="B2935" s="8"/>
      <c r="C2935" s="8"/>
      <c r="D2935" s="8"/>
    </row>
    <row r="2936">
      <c r="A2936" s="8"/>
      <c r="B2936" s="8"/>
      <c r="C2936" s="8"/>
      <c r="D2936" s="8"/>
    </row>
    <row r="2937">
      <c r="A2937" s="8"/>
      <c r="B2937" s="8"/>
      <c r="C2937" s="8"/>
      <c r="D2937" s="8"/>
    </row>
    <row r="2938">
      <c r="A2938" s="8"/>
      <c r="B2938" s="8"/>
      <c r="C2938" s="8"/>
      <c r="D2938" s="8"/>
    </row>
    <row r="2939">
      <c r="A2939" s="8"/>
      <c r="B2939" s="8"/>
      <c r="C2939" s="8"/>
      <c r="D2939" s="8"/>
    </row>
    <row r="2940">
      <c r="A2940" s="8"/>
      <c r="B2940" s="8"/>
      <c r="C2940" s="8"/>
      <c r="D2940" s="8"/>
    </row>
    <row r="2941">
      <c r="A2941" s="8"/>
      <c r="B2941" s="8"/>
      <c r="C2941" s="8"/>
      <c r="D2941" s="8"/>
    </row>
    <row r="2942">
      <c r="A2942" s="8"/>
      <c r="B2942" s="8"/>
      <c r="C2942" s="8"/>
      <c r="D2942" s="8"/>
    </row>
    <row r="2943">
      <c r="A2943" s="8"/>
      <c r="B2943" s="8"/>
      <c r="C2943" s="8"/>
      <c r="D2943" s="8"/>
    </row>
    <row r="2944">
      <c r="A2944" s="8"/>
      <c r="B2944" s="8"/>
      <c r="C2944" s="8"/>
      <c r="D2944" s="8"/>
    </row>
    <row r="2945">
      <c r="A2945" s="8"/>
      <c r="B2945" s="8"/>
      <c r="C2945" s="8"/>
      <c r="D2945" s="8"/>
    </row>
    <row r="2946">
      <c r="A2946" s="8"/>
      <c r="B2946" s="8"/>
      <c r="C2946" s="8"/>
      <c r="D2946" s="8"/>
    </row>
    <row r="2947">
      <c r="A2947" s="8"/>
      <c r="B2947" s="8"/>
      <c r="C2947" s="8"/>
      <c r="D2947" s="8"/>
    </row>
    <row r="2948">
      <c r="A2948" s="8"/>
      <c r="B2948" s="8"/>
      <c r="C2948" s="8"/>
      <c r="D2948" s="8"/>
    </row>
    <row r="2949">
      <c r="A2949" s="8"/>
      <c r="B2949" s="8"/>
      <c r="C2949" s="8"/>
      <c r="D2949" s="8"/>
    </row>
    <row r="2950">
      <c r="A2950" s="8"/>
      <c r="B2950" s="8"/>
      <c r="C2950" s="8"/>
      <c r="D2950" s="8"/>
    </row>
    <row r="2951">
      <c r="A2951" s="8"/>
      <c r="B2951" s="8"/>
      <c r="C2951" s="8"/>
      <c r="D2951" s="8"/>
    </row>
    <row r="2952">
      <c r="A2952" s="8"/>
      <c r="B2952" s="8"/>
      <c r="C2952" s="8"/>
      <c r="D2952" s="8"/>
    </row>
    <row r="2953">
      <c r="A2953" s="8"/>
      <c r="B2953" s="8"/>
      <c r="C2953" s="8"/>
      <c r="D2953" s="8"/>
    </row>
    <row r="2954">
      <c r="A2954" s="8"/>
      <c r="B2954" s="8"/>
      <c r="C2954" s="8"/>
      <c r="D2954" s="8"/>
    </row>
    <row r="2955">
      <c r="A2955" s="8"/>
      <c r="B2955" s="8"/>
      <c r="C2955" s="8"/>
      <c r="D2955" s="8"/>
    </row>
    <row r="2956">
      <c r="A2956" s="8"/>
      <c r="B2956" s="8"/>
      <c r="C2956" s="8"/>
      <c r="D2956" s="8"/>
    </row>
    <row r="2957">
      <c r="A2957" s="8"/>
      <c r="B2957" s="8"/>
      <c r="C2957" s="8"/>
      <c r="D2957" s="8"/>
    </row>
    <row r="2958">
      <c r="A2958" s="8"/>
      <c r="B2958" s="8"/>
      <c r="C2958" s="8"/>
      <c r="D2958" s="8"/>
    </row>
    <row r="2959">
      <c r="A2959" s="8"/>
      <c r="B2959" s="8"/>
      <c r="C2959" s="8"/>
      <c r="D2959" s="8"/>
    </row>
    <row r="2960">
      <c r="A2960" s="8"/>
      <c r="B2960" s="8"/>
      <c r="C2960" s="8"/>
      <c r="D2960" s="8"/>
    </row>
    <row r="2961">
      <c r="A2961" s="8"/>
      <c r="B2961" s="8"/>
      <c r="C2961" s="8"/>
      <c r="D2961" s="8"/>
    </row>
    <row r="2962">
      <c r="A2962" s="8"/>
      <c r="B2962" s="8"/>
      <c r="C2962" s="8"/>
      <c r="D2962" s="8"/>
    </row>
    <row r="2963">
      <c r="A2963" s="8"/>
      <c r="B2963" s="8"/>
      <c r="C2963" s="8"/>
      <c r="D2963" s="8"/>
    </row>
    <row r="2964">
      <c r="A2964" s="8"/>
      <c r="B2964" s="8"/>
      <c r="C2964" s="8"/>
      <c r="D2964" s="8"/>
    </row>
    <row r="2965">
      <c r="A2965" s="8"/>
      <c r="B2965" s="8"/>
      <c r="C2965" s="8"/>
      <c r="D2965" s="8"/>
    </row>
    <row r="2966">
      <c r="A2966" s="8"/>
      <c r="B2966" s="8"/>
      <c r="C2966" s="8"/>
      <c r="D2966" s="8"/>
    </row>
    <row r="2967">
      <c r="A2967" s="8"/>
      <c r="B2967" s="8"/>
      <c r="C2967" s="8"/>
      <c r="D2967" s="8"/>
    </row>
    <row r="2968">
      <c r="A2968" s="8"/>
      <c r="B2968" s="8"/>
      <c r="C2968" s="8"/>
      <c r="D2968" s="8"/>
    </row>
    <row r="2969">
      <c r="A2969" s="8"/>
      <c r="B2969" s="8"/>
      <c r="C2969" s="8"/>
      <c r="D2969" s="8"/>
    </row>
    <row r="2970">
      <c r="A2970" s="8"/>
      <c r="B2970" s="8"/>
      <c r="C2970" s="8"/>
      <c r="D2970" s="8"/>
    </row>
    <row r="2971">
      <c r="A2971" s="8"/>
      <c r="B2971" s="8"/>
      <c r="C2971" s="8"/>
      <c r="D2971" s="8"/>
    </row>
    <row r="2972">
      <c r="A2972" s="8"/>
      <c r="B2972" s="8"/>
      <c r="C2972" s="8"/>
      <c r="D2972" s="8"/>
    </row>
    <row r="2973">
      <c r="A2973" s="8"/>
      <c r="B2973" s="8"/>
      <c r="C2973" s="8"/>
      <c r="D2973" s="8"/>
    </row>
    <row r="2974">
      <c r="A2974" s="8"/>
      <c r="B2974" s="8"/>
      <c r="C2974" s="8"/>
      <c r="D2974" s="8"/>
    </row>
    <row r="2975">
      <c r="A2975" s="8"/>
      <c r="B2975" s="8"/>
      <c r="C2975" s="8"/>
      <c r="D2975" s="8"/>
    </row>
    <row r="2976">
      <c r="A2976" s="8"/>
      <c r="B2976" s="8"/>
      <c r="C2976" s="8"/>
      <c r="D2976" s="8"/>
    </row>
    <row r="2977">
      <c r="A2977" s="8"/>
      <c r="B2977" s="8"/>
      <c r="C2977" s="8"/>
      <c r="D2977" s="8"/>
    </row>
    <row r="2978">
      <c r="A2978" s="8"/>
      <c r="B2978" s="8"/>
      <c r="C2978" s="8"/>
      <c r="D2978" s="8"/>
    </row>
    <row r="2979">
      <c r="A2979" s="8"/>
      <c r="B2979" s="8"/>
      <c r="C2979" s="8"/>
      <c r="D2979" s="8"/>
    </row>
    <row r="2980">
      <c r="A2980" s="8"/>
      <c r="B2980" s="8"/>
      <c r="C2980" s="8"/>
      <c r="D2980" s="8"/>
    </row>
    <row r="2981">
      <c r="A2981" s="8"/>
      <c r="B2981" s="8"/>
      <c r="C2981" s="8"/>
      <c r="D2981" s="8"/>
    </row>
    <row r="2982">
      <c r="A2982" s="8"/>
      <c r="B2982" s="8"/>
      <c r="C2982" s="8"/>
      <c r="D2982" s="8"/>
    </row>
    <row r="2983">
      <c r="A2983" s="8"/>
      <c r="B2983" s="8"/>
      <c r="C2983" s="8"/>
      <c r="D2983" s="8"/>
    </row>
    <row r="2984">
      <c r="A2984" s="8"/>
      <c r="B2984" s="8"/>
      <c r="C2984" s="8"/>
      <c r="D2984" s="8"/>
    </row>
    <row r="2985">
      <c r="A2985" s="8"/>
      <c r="B2985" s="8"/>
      <c r="C2985" s="8"/>
      <c r="D2985" s="8"/>
    </row>
    <row r="2986">
      <c r="A2986" s="8"/>
      <c r="B2986" s="8"/>
      <c r="C2986" s="8"/>
      <c r="D2986" s="8"/>
    </row>
    <row r="2987">
      <c r="A2987" s="8"/>
      <c r="B2987" s="8"/>
      <c r="C2987" s="8"/>
      <c r="D2987" s="8"/>
    </row>
    <row r="2988">
      <c r="A2988" s="8"/>
      <c r="B2988" s="8"/>
      <c r="C2988" s="8"/>
      <c r="D2988" s="8"/>
    </row>
    <row r="2989">
      <c r="A2989" s="8"/>
      <c r="B2989" s="8"/>
      <c r="C2989" s="8"/>
      <c r="D2989" s="8"/>
    </row>
    <row r="2990">
      <c r="A2990" s="8"/>
      <c r="B2990" s="8"/>
      <c r="C2990" s="8"/>
      <c r="D2990" s="8"/>
    </row>
    <row r="2991">
      <c r="A2991" s="8"/>
      <c r="B2991" s="8"/>
      <c r="C2991" s="8"/>
      <c r="D2991" s="8"/>
    </row>
    <row r="2992">
      <c r="A2992" s="8"/>
      <c r="B2992" s="8"/>
      <c r="C2992" s="8"/>
      <c r="D2992" s="8"/>
    </row>
    <row r="2993">
      <c r="A2993" s="8"/>
      <c r="B2993" s="8"/>
      <c r="C2993" s="8"/>
      <c r="D2993" s="8"/>
    </row>
    <row r="2994">
      <c r="A2994" s="8"/>
      <c r="B2994" s="8"/>
      <c r="C2994" s="8"/>
      <c r="D2994" s="8"/>
    </row>
    <row r="2995">
      <c r="A2995" s="8"/>
      <c r="B2995" s="8"/>
      <c r="C2995" s="8"/>
      <c r="D2995" s="8"/>
    </row>
    <row r="2996">
      <c r="A2996" s="8"/>
      <c r="B2996" s="8"/>
      <c r="C2996" s="8"/>
      <c r="D2996" s="8"/>
    </row>
    <row r="2997">
      <c r="A2997" s="8"/>
      <c r="B2997" s="8"/>
      <c r="C2997" s="8"/>
      <c r="D2997" s="8"/>
    </row>
    <row r="2998">
      <c r="A2998" s="8"/>
      <c r="B2998" s="8"/>
      <c r="C2998" s="8"/>
      <c r="D2998" s="8"/>
    </row>
    <row r="2999">
      <c r="A2999" s="8"/>
      <c r="B2999" s="8"/>
      <c r="C2999" s="8"/>
      <c r="D2999" s="8"/>
    </row>
    <row r="3000">
      <c r="A3000" s="8"/>
      <c r="B3000" s="8"/>
      <c r="C3000" s="8"/>
      <c r="D3000" s="8"/>
    </row>
    <row r="3001">
      <c r="A3001" s="8"/>
      <c r="B3001" s="8"/>
      <c r="C3001" s="8"/>
      <c r="D3001" s="8"/>
    </row>
    <row r="3002">
      <c r="A3002" s="8"/>
      <c r="B3002" s="8"/>
      <c r="C3002" s="8"/>
      <c r="D3002" s="8"/>
    </row>
    <row r="3003">
      <c r="A3003" s="8"/>
      <c r="B3003" s="8"/>
      <c r="C3003" s="8"/>
      <c r="D3003" s="8"/>
    </row>
    <row r="3004">
      <c r="A3004" s="8"/>
      <c r="B3004" s="8"/>
      <c r="C3004" s="8"/>
      <c r="D3004" s="8"/>
    </row>
    <row r="3005">
      <c r="A3005" s="8"/>
      <c r="B3005" s="8"/>
      <c r="C3005" s="8"/>
      <c r="D3005" s="8"/>
    </row>
    <row r="3006">
      <c r="A3006" s="8"/>
      <c r="B3006" s="8"/>
      <c r="C3006" s="8"/>
      <c r="D3006" s="8"/>
    </row>
    <row r="3007">
      <c r="A3007" s="8"/>
      <c r="B3007" s="8"/>
      <c r="C3007" s="8"/>
      <c r="D3007" s="8"/>
    </row>
    <row r="3008">
      <c r="A3008" s="8"/>
      <c r="B3008" s="8"/>
      <c r="C3008" s="8"/>
      <c r="D3008" s="8"/>
    </row>
    <row r="3009">
      <c r="A3009" s="8"/>
      <c r="B3009" s="8"/>
      <c r="C3009" s="8"/>
      <c r="D3009" s="8"/>
    </row>
    <row r="3010">
      <c r="A3010" s="8"/>
      <c r="B3010" s="8"/>
      <c r="C3010" s="8"/>
      <c r="D3010" s="8"/>
    </row>
    <row r="3011">
      <c r="A3011" s="8"/>
      <c r="B3011" s="8"/>
      <c r="C3011" s="8"/>
      <c r="D3011" s="8"/>
    </row>
    <row r="3012">
      <c r="A3012" s="8"/>
      <c r="B3012" s="8"/>
      <c r="C3012" s="8"/>
      <c r="D3012" s="8"/>
    </row>
    <row r="3013">
      <c r="A3013" s="8"/>
      <c r="B3013" s="8"/>
      <c r="C3013" s="8"/>
      <c r="D3013" s="8"/>
    </row>
    <row r="3014">
      <c r="A3014" s="8"/>
      <c r="B3014" s="8"/>
      <c r="C3014" s="8"/>
      <c r="D3014" s="8"/>
    </row>
    <row r="3015">
      <c r="A3015" s="8"/>
      <c r="B3015" s="8"/>
      <c r="C3015" s="8"/>
      <c r="D3015" s="8"/>
    </row>
    <row r="3016">
      <c r="A3016" s="8"/>
      <c r="B3016" s="8"/>
      <c r="C3016" s="8"/>
      <c r="D3016" s="8"/>
    </row>
    <row r="3017">
      <c r="A3017" s="8"/>
      <c r="B3017" s="8"/>
      <c r="C3017" s="8"/>
      <c r="D3017" s="8"/>
    </row>
    <row r="3018">
      <c r="A3018" s="8"/>
      <c r="B3018" s="8"/>
      <c r="C3018" s="8"/>
      <c r="D3018" s="8"/>
    </row>
    <row r="3019">
      <c r="A3019" s="8"/>
      <c r="B3019" s="8"/>
      <c r="C3019" s="8"/>
      <c r="D3019" s="8"/>
    </row>
    <row r="3020">
      <c r="A3020" s="8"/>
      <c r="B3020" s="8"/>
      <c r="C3020" s="8"/>
      <c r="D3020" s="8"/>
    </row>
    <row r="3021">
      <c r="A3021" s="8"/>
      <c r="B3021" s="8"/>
      <c r="C3021" s="8"/>
      <c r="D3021" s="8"/>
    </row>
    <row r="3022">
      <c r="A3022" s="8"/>
      <c r="B3022" s="8"/>
      <c r="C3022" s="8"/>
      <c r="D3022" s="8"/>
    </row>
    <row r="3023">
      <c r="A3023" s="8"/>
      <c r="B3023" s="8"/>
      <c r="C3023" s="8"/>
      <c r="D3023" s="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3.14"/>
    <col customWidth="1" min="2" max="2" width="18.29"/>
    <col customWidth="1" min="3" max="3" width="7.14"/>
    <col customWidth="1" min="4" max="4" width="11.43"/>
    <col customWidth="1" min="5" max="5" width="7.14"/>
  </cols>
  <sheetData>
    <row r="1">
      <c r="A1" s="21" t="s">
        <v>3</v>
      </c>
      <c r="B1" s="21" t="s">
        <v>1</v>
      </c>
      <c r="C1" s="21" t="s">
        <v>4</v>
      </c>
      <c r="D1" s="21" t="s">
        <v>8</v>
      </c>
      <c r="E1" s="21" t="s">
        <v>9</v>
      </c>
    </row>
    <row r="2">
      <c r="A2" s="8" t="s">
        <v>6343</v>
      </c>
      <c r="B2" s="8" t="s">
        <v>2762</v>
      </c>
      <c r="C2" s="8" t="s">
        <v>24</v>
      </c>
      <c r="D2" s="8" t="s">
        <v>6412</v>
      </c>
      <c r="E2" s="8">
        <v>73.0</v>
      </c>
    </row>
    <row r="3">
      <c r="A3" s="8" t="s">
        <v>6343</v>
      </c>
      <c r="B3" s="8" t="s">
        <v>653</v>
      </c>
      <c r="C3" s="8" t="s">
        <v>93</v>
      </c>
      <c r="D3" s="8" t="s">
        <v>6413</v>
      </c>
      <c r="E3" s="8">
        <v>88.0</v>
      </c>
    </row>
    <row r="4">
      <c r="A4" s="8" t="s">
        <v>6343</v>
      </c>
      <c r="B4" s="8" t="s">
        <v>946</v>
      </c>
      <c r="C4" s="8" t="s">
        <v>138</v>
      </c>
      <c r="D4" s="8" t="s">
        <v>6414</v>
      </c>
      <c r="E4" s="8">
        <v>63.0</v>
      </c>
    </row>
    <row r="5">
      <c r="A5" s="8" t="s">
        <v>6343</v>
      </c>
      <c r="B5" s="8" t="s">
        <v>1191</v>
      </c>
      <c r="C5" s="8" t="s">
        <v>192</v>
      </c>
      <c r="D5" s="8" t="s">
        <v>6415</v>
      </c>
      <c r="E5" s="8">
        <v>60.0</v>
      </c>
    </row>
    <row r="6">
      <c r="A6" s="8" t="s">
        <v>6343</v>
      </c>
      <c r="B6" s="8" t="s">
        <v>2793</v>
      </c>
      <c r="C6" s="8" t="s">
        <v>215</v>
      </c>
      <c r="D6" s="8" t="s">
        <v>6416</v>
      </c>
      <c r="E6" s="8">
        <v>55.0</v>
      </c>
    </row>
    <row r="7">
      <c r="A7" s="8" t="s">
        <v>6343</v>
      </c>
      <c r="B7" s="8" t="s">
        <v>268</v>
      </c>
      <c r="C7" s="8" t="s">
        <v>65</v>
      </c>
      <c r="D7" s="8" t="s">
        <v>6417</v>
      </c>
      <c r="E7" s="8">
        <v>94.0</v>
      </c>
    </row>
    <row r="8">
      <c r="A8" s="8" t="s">
        <v>6343</v>
      </c>
      <c r="B8" s="8" t="s">
        <v>738</v>
      </c>
      <c r="C8" s="8" t="s">
        <v>186</v>
      </c>
      <c r="D8" s="8" t="s">
        <v>6418</v>
      </c>
      <c r="E8" s="8">
        <v>72.0</v>
      </c>
    </row>
    <row r="9">
      <c r="A9" s="8" t="s">
        <v>6343</v>
      </c>
      <c r="B9" s="8" t="s">
        <v>872</v>
      </c>
      <c r="C9" s="8" t="s">
        <v>132</v>
      </c>
      <c r="D9" s="8" t="s">
        <v>6413</v>
      </c>
      <c r="E9" s="8">
        <v>72.0</v>
      </c>
    </row>
    <row r="10">
      <c r="A10" s="8" t="s">
        <v>6343</v>
      </c>
      <c r="B10" s="8" t="s">
        <v>755</v>
      </c>
      <c r="C10" s="8" t="s">
        <v>16</v>
      </c>
      <c r="D10" s="8" t="s">
        <v>6417</v>
      </c>
      <c r="E10" s="8">
        <v>73.0</v>
      </c>
    </row>
    <row r="11">
      <c r="A11" s="8" t="s">
        <v>6351</v>
      </c>
      <c r="B11" s="8" t="s">
        <v>173</v>
      </c>
      <c r="C11" s="8" t="s">
        <v>141</v>
      </c>
      <c r="D11" s="8" t="s">
        <v>6419</v>
      </c>
      <c r="E11" s="8">
        <v>80.0</v>
      </c>
    </row>
    <row r="12">
      <c r="A12" s="8" t="s">
        <v>3916</v>
      </c>
      <c r="B12" s="8" t="s">
        <v>308</v>
      </c>
      <c r="C12" s="8" t="s">
        <v>122</v>
      </c>
      <c r="D12" s="8" t="s">
        <v>6420</v>
      </c>
      <c r="E12" s="8">
        <v>72.0</v>
      </c>
    </row>
    <row r="13">
      <c r="A13" s="8" t="s">
        <v>3396</v>
      </c>
      <c r="B13" s="8" t="s">
        <v>3395</v>
      </c>
      <c r="C13" s="8" t="s">
        <v>93</v>
      </c>
      <c r="D13" s="8" t="s">
        <v>6414</v>
      </c>
      <c r="E13" s="8">
        <v>61.0</v>
      </c>
    </row>
    <row r="14">
      <c r="A14" s="8" t="s">
        <v>98</v>
      </c>
      <c r="B14" s="8" t="s">
        <v>879</v>
      </c>
      <c r="C14" s="8" t="s">
        <v>93</v>
      </c>
      <c r="D14" s="8" t="s">
        <v>6413</v>
      </c>
      <c r="E14" s="8">
        <v>78.0</v>
      </c>
    </row>
    <row r="15">
      <c r="A15" s="8" t="s">
        <v>98</v>
      </c>
      <c r="B15" s="8" t="s">
        <v>3228</v>
      </c>
      <c r="C15" s="8" t="s">
        <v>65</v>
      </c>
      <c r="D15" s="8" t="s">
        <v>6419</v>
      </c>
      <c r="E15" s="8">
        <v>71.0</v>
      </c>
    </row>
    <row r="16">
      <c r="A16" s="8" t="s">
        <v>98</v>
      </c>
      <c r="B16" s="8" t="s">
        <v>284</v>
      </c>
      <c r="C16" s="8" t="s">
        <v>70</v>
      </c>
      <c r="D16" s="8" t="s">
        <v>6421</v>
      </c>
      <c r="E16" s="8">
        <v>70.0</v>
      </c>
    </row>
    <row r="17">
      <c r="A17" s="8" t="s">
        <v>98</v>
      </c>
      <c r="B17" s="8" t="s">
        <v>3393</v>
      </c>
      <c r="C17" s="8" t="s">
        <v>24</v>
      </c>
      <c r="D17" s="8" t="s">
        <v>6421</v>
      </c>
      <c r="E17" s="8">
        <v>66.0</v>
      </c>
    </row>
    <row r="18">
      <c r="A18" s="8" t="s">
        <v>98</v>
      </c>
      <c r="B18" s="8" t="s">
        <v>3020</v>
      </c>
      <c r="C18" s="8" t="s">
        <v>261</v>
      </c>
      <c r="D18" s="8" t="s">
        <v>6421</v>
      </c>
      <c r="E18" s="8">
        <v>83.0</v>
      </c>
    </row>
    <row r="19">
      <c r="A19" s="8" t="s">
        <v>98</v>
      </c>
      <c r="B19" s="8" t="s">
        <v>1237</v>
      </c>
      <c r="C19" s="8" t="s">
        <v>215</v>
      </c>
      <c r="D19" s="8" t="s">
        <v>6422</v>
      </c>
      <c r="E19" s="8">
        <v>76.0</v>
      </c>
    </row>
    <row r="20">
      <c r="A20" s="8" t="s">
        <v>98</v>
      </c>
      <c r="B20" s="8" t="s">
        <v>1328</v>
      </c>
      <c r="C20" s="8" t="s">
        <v>53</v>
      </c>
      <c r="D20" s="8" t="s">
        <v>6423</v>
      </c>
      <c r="E20" s="8">
        <v>64.0</v>
      </c>
    </row>
    <row r="21">
      <c r="A21" s="8" t="s">
        <v>98</v>
      </c>
      <c r="B21" s="8" t="s">
        <v>1392</v>
      </c>
      <c r="C21" s="8" t="s">
        <v>65</v>
      </c>
      <c r="D21" s="8" t="s">
        <v>6422</v>
      </c>
      <c r="E21" s="8">
        <v>67.0</v>
      </c>
    </row>
    <row r="22">
      <c r="A22" s="8" t="s">
        <v>98</v>
      </c>
      <c r="B22" s="8" t="s">
        <v>3287</v>
      </c>
      <c r="C22" s="8" t="s">
        <v>93</v>
      </c>
      <c r="D22" s="8" t="s">
        <v>6424</v>
      </c>
      <c r="E22" s="8">
        <v>62.0</v>
      </c>
    </row>
    <row r="23">
      <c r="A23" s="8" t="s">
        <v>98</v>
      </c>
      <c r="B23" s="8" t="s">
        <v>477</v>
      </c>
      <c r="C23" s="8" t="s">
        <v>24</v>
      </c>
      <c r="D23" s="8" t="s">
        <v>6419</v>
      </c>
      <c r="E23" s="8">
        <v>45.0</v>
      </c>
    </row>
    <row r="24">
      <c r="A24" s="8" t="s">
        <v>98</v>
      </c>
      <c r="B24" s="8" t="s">
        <v>669</v>
      </c>
      <c r="C24" s="8" t="s">
        <v>215</v>
      </c>
      <c r="D24" s="8" t="s">
        <v>6414</v>
      </c>
      <c r="E24" s="8">
        <v>99.0</v>
      </c>
    </row>
    <row r="25">
      <c r="A25" s="8" t="s">
        <v>98</v>
      </c>
      <c r="B25" s="8" t="s">
        <v>97</v>
      </c>
      <c r="C25" s="8" t="s">
        <v>16</v>
      </c>
      <c r="D25" s="8" t="s">
        <v>6421</v>
      </c>
      <c r="E25" s="8">
        <v>98.0</v>
      </c>
    </row>
    <row r="26">
      <c r="A26" s="8" t="s">
        <v>952</v>
      </c>
      <c r="B26" s="8" t="s">
        <v>284</v>
      </c>
      <c r="C26" s="8" t="s">
        <v>122</v>
      </c>
      <c r="D26" s="8" t="s">
        <v>6413</v>
      </c>
      <c r="E26" s="8">
        <v>80.0</v>
      </c>
    </row>
    <row r="27">
      <c r="A27" s="8" t="s">
        <v>3163</v>
      </c>
      <c r="B27" s="8" t="s">
        <v>2310</v>
      </c>
      <c r="C27" s="8" t="s">
        <v>93</v>
      </c>
      <c r="D27" s="8" t="s">
        <v>6420</v>
      </c>
      <c r="E27" s="8">
        <v>64.0</v>
      </c>
    </row>
    <row r="28">
      <c r="A28" s="8" t="s">
        <v>11</v>
      </c>
      <c r="B28" s="8" t="s">
        <v>373</v>
      </c>
      <c r="C28" s="8" t="s">
        <v>75</v>
      </c>
      <c r="D28" s="8" t="s">
        <v>6425</v>
      </c>
      <c r="E28" s="8">
        <v>67.0</v>
      </c>
    </row>
    <row r="29">
      <c r="A29" s="8" t="s">
        <v>11</v>
      </c>
      <c r="B29" s="8" t="s">
        <v>2687</v>
      </c>
      <c r="C29" s="8" t="s">
        <v>46</v>
      </c>
      <c r="D29" s="8" t="s">
        <v>6425</v>
      </c>
      <c r="E29" s="8">
        <v>65.0</v>
      </c>
    </row>
    <row r="30">
      <c r="A30" s="8" t="s">
        <v>11</v>
      </c>
      <c r="B30" s="8" t="s">
        <v>284</v>
      </c>
      <c r="C30" s="8" t="s">
        <v>93</v>
      </c>
      <c r="D30" s="8" t="s">
        <v>6417</v>
      </c>
      <c r="E30" s="8">
        <v>81.0</v>
      </c>
    </row>
    <row r="31">
      <c r="A31" s="8" t="s">
        <v>11</v>
      </c>
      <c r="B31" s="8" t="s">
        <v>1202</v>
      </c>
      <c r="C31" s="8" t="s">
        <v>65</v>
      </c>
      <c r="D31" s="8" t="s">
        <v>6426</v>
      </c>
      <c r="E31" s="8">
        <v>76.0</v>
      </c>
    </row>
    <row r="32">
      <c r="A32" s="8" t="s">
        <v>11</v>
      </c>
      <c r="B32" s="8" t="s">
        <v>1175</v>
      </c>
      <c r="C32" s="8" t="s">
        <v>215</v>
      </c>
      <c r="D32" s="8" t="s">
        <v>6412</v>
      </c>
      <c r="E32" s="8">
        <v>66.0</v>
      </c>
    </row>
    <row r="33">
      <c r="A33" s="8" t="s">
        <v>11</v>
      </c>
      <c r="B33" s="8" t="s">
        <v>2984</v>
      </c>
      <c r="C33" s="8" t="s">
        <v>75</v>
      </c>
      <c r="D33" s="8" t="s">
        <v>6421</v>
      </c>
      <c r="E33" s="8">
        <v>61.0</v>
      </c>
    </row>
    <row r="34">
      <c r="A34" s="8" t="s">
        <v>11</v>
      </c>
      <c r="B34" s="8" t="s">
        <v>1968</v>
      </c>
      <c r="C34" s="8" t="s">
        <v>24</v>
      </c>
      <c r="D34" s="8" t="s">
        <v>6427</v>
      </c>
      <c r="E34" s="8">
        <v>75.0</v>
      </c>
    </row>
    <row r="35">
      <c r="A35" s="8" t="s">
        <v>11</v>
      </c>
      <c r="B35" s="8" t="s">
        <v>10</v>
      </c>
      <c r="C35" s="8" t="s">
        <v>12</v>
      </c>
      <c r="D35" s="8" t="s">
        <v>6428</v>
      </c>
      <c r="E35" s="8">
        <v>84.0</v>
      </c>
    </row>
    <row r="36">
      <c r="A36" s="8" t="s">
        <v>11</v>
      </c>
      <c r="B36" s="8" t="s">
        <v>605</v>
      </c>
      <c r="C36" s="8" t="s">
        <v>65</v>
      </c>
      <c r="D36" s="8" t="s">
        <v>6429</v>
      </c>
      <c r="E36" s="8">
        <v>81.0</v>
      </c>
    </row>
    <row r="37">
      <c r="A37" s="8" t="s">
        <v>809</v>
      </c>
      <c r="B37" s="8" t="s">
        <v>2812</v>
      </c>
      <c r="C37" s="8" t="s">
        <v>59</v>
      </c>
      <c r="D37" s="8" t="s">
        <v>6426</v>
      </c>
      <c r="E37" s="8">
        <v>65.0</v>
      </c>
    </row>
    <row r="38">
      <c r="A38" s="8" t="s">
        <v>1331</v>
      </c>
      <c r="B38" s="8" t="s">
        <v>1330</v>
      </c>
      <c r="C38" s="8" t="s">
        <v>122</v>
      </c>
      <c r="D38" s="8" t="s">
        <v>6430</v>
      </c>
      <c r="E38" s="8">
        <v>71.0</v>
      </c>
    </row>
    <row r="39">
      <c r="A39" s="8" t="s">
        <v>3946</v>
      </c>
      <c r="B39" s="8" t="s">
        <v>208</v>
      </c>
      <c r="C39" s="8" t="s">
        <v>93</v>
      </c>
      <c r="D39" s="8" t="s">
        <v>6423</v>
      </c>
      <c r="E39" s="8">
        <v>74.0</v>
      </c>
    </row>
    <row r="40">
      <c r="A40" s="8" t="s">
        <v>127</v>
      </c>
      <c r="B40" s="8" t="s">
        <v>126</v>
      </c>
      <c r="C40" s="8" t="s">
        <v>70</v>
      </c>
      <c r="D40" s="8" t="s">
        <v>6418</v>
      </c>
      <c r="E40" s="8">
        <v>84.0</v>
      </c>
    </row>
    <row r="41">
      <c r="A41" s="8" t="s">
        <v>127</v>
      </c>
      <c r="B41" s="8" t="s">
        <v>253</v>
      </c>
      <c r="C41" s="8" t="s">
        <v>138</v>
      </c>
      <c r="D41" s="8" t="s">
        <v>6431</v>
      </c>
      <c r="E41" s="8">
        <v>77.0</v>
      </c>
    </row>
    <row r="42">
      <c r="A42" s="8" t="s">
        <v>127</v>
      </c>
      <c r="B42" s="8" t="s">
        <v>1406</v>
      </c>
      <c r="C42" s="8" t="s">
        <v>192</v>
      </c>
      <c r="D42" s="8" t="s">
        <v>6422</v>
      </c>
      <c r="E42" s="8">
        <v>60.0</v>
      </c>
    </row>
    <row r="43">
      <c r="A43" s="8" t="s">
        <v>127</v>
      </c>
      <c r="B43" s="8" t="s">
        <v>1074</v>
      </c>
      <c r="C43" s="8" t="s">
        <v>80</v>
      </c>
      <c r="D43" s="8" t="s">
        <v>6427</v>
      </c>
      <c r="E43" s="8">
        <v>80.0</v>
      </c>
    </row>
    <row r="44">
      <c r="A44" s="8" t="s">
        <v>127</v>
      </c>
      <c r="B44" s="8" t="s">
        <v>1005</v>
      </c>
      <c r="C44" s="8" t="s">
        <v>80</v>
      </c>
      <c r="D44" s="8" t="s">
        <v>6432</v>
      </c>
      <c r="E44" s="8">
        <v>67.0</v>
      </c>
    </row>
    <row r="45">
      <c r="A45" s="8" t="s">
        <v>2028</v>
      </c>
      <c r="B45" s="8" t="s">
        <v>2027</v>
      </c>
      <c r="C45" s="8" t="s">
        <v>93</v>
      </c>
      <c r="D45" s="8" t="s">
        <v>6422</v>
      </c>
      <c r="E45" s="8">
        <v>71.0</v>
      </c>
    </row>
    <row r="46">
      <c r="A46" s="8" t="s">
        <v>1991</v>
      </c>
      <c r="B46" s="8" t="s">
        <v>224</v>
      </c>
      <c r="C46" s="8" t="s">
        <v>53</v>
      </c>
      <c r="D46" s="8" t="s">
        <v>6422</v>
      </c>
      <c r="E46" s="8">
        <v>75.0</v>
      </c>
    </row>
    <row r="47">
      <c r="A47" s="8" t="s">
        <v>3422</v>
      </c>
      <c r="B47" s="8" t="s">
        <v>3421</v>
      </c>
      <c r="C47" s="8" t="s">
        <v>122</v>
      </c>
      <c r="D47" s="8" t="s">
        <v>6433</v>
      </c>
      <c r="E47" s="8">
        <v>74.0</v>
      </c>
    </row>
    <row r="48">
      <c r="A48" s="8" t="s">
        <v>957</v>
      </c>
      <c r="B48" s="8" t="s">
        <v>205</v>
      </c>
      <c r="C48" s="8" t="s">
        <v>70</v>
      </c>
      <c r="D48" s="8" t="s">
        <v>6434</v>
      </c>
      <c r="E48" s="8">
        <v>69.0</v>
      </c>
    </row>
    <row r="49">
      <c r="A49" s="8" t="s">
        <v>957</v>
      </c>
      <c r="B49" s="8" t="s">
        <v>956</v>
      </c>
      <c r="C49" s="8" t="s">
        <v>80</v>
      </c>
      <c r="D49" s="8" t="s">
        <v>6431</v>
      </c>
      <c r="E49" s="8">
        <v>57.0</v>
      </c>
    </row>
    <row r="50">
      <c r="A50" s="8" t="s">
        <v>957</v>
      </c>
      <c r="B50" s="8" t="s">
        <v>2667</v>
      </c>
      <c r="C50" s="8" t="s">
        <v>59</v>
      </c>
      <c r="D50" s="8" t="s">
        <v>6428</v>
      </c>
      <c r="E50" s="8">
        <v>76.0</v>
      </c>
    </row>
    <row r="51">
      <c r="A51" s="8" t="s">
        <v>957</v>
      </c>
      <c r="B51" s="8" t="s">
        <v>1034</v>
      </c>
      <c r="C51" s="8" t="s">
        <v>122</v>
      </c>
      <c r="D51" s="8" t="s">
        <v>6420</v>
      </c>
      <c r="E51" s="8">
        <v>73.0</v>
      </c>
    </row>
    <row r="52">
      <c r="A52" s="8" t="s">
        <v>534</v>
      </c>
      <c r="B52" s="8" t="s">
        <v>533</v>
      </c>
      <c r="C52" s="8" t="s">
        <v>138</v>
      </c>
      <c r="D52" s="8" t="s">
        <v>6427</v>
      </c>
      <c r="E52" s="8">
        <v>83.0</v>
      </c>
    </row>
    <row r="53">
      <c r="A53" s="8" t="s">
        <v>234</v>
      </c>
      <c r="B53" s="8" t="s">
        <v>233</v>
      </c>
      <c r="C53" s="8" t="s">
        <v>122</v>
      </c>
      <c r="D53" s="8" t="s">
        <v>6428</v>
      </c>
      <c r="E53" s="8">
        <v>74.0</v>
      </c>
    </row>
    <row r="54">
      <c r="A54" s="8" t="s">
        <v>3428</v>
      </c>
      <c r="B54" s="8" t="s">
        <v>3427</v>
      </c>
      <c r="C54" s="8" t="s">
        <v>93</v>
      </c>
      <c r="D54" s="8" t="s">
        <v>6435</v>
      </c>
      <c r="E54" s="8">
        <v>61.0</v>
      </c>
    </row>
    <row r="55">
      <c r="A55" s="8" t="s">
        <v>1910</v>
      </c>
      <c r="B55" s="8" t="s">
        <v>1908</v>
      </c>
      <c r="C55" s="8" t="s">
        <v>215</v>
      </c>
      <c r="D55" s="8" t="s">
        <v>6418</v>
      </c>
      <c r="E55" s="8">
        <v>65.0</v>
      </c>
    </row>
    <row r="56">
      <c r="A56" s="8" t="s">
        <v>2748</v>
      </c>
      <c r="B56" s="8" t="s">
        <v>1381</v>
      </c>
      <c r="C56" s="8" t="s">
        <v>122</v>
      </c>
      <c r="D56" s="8" t="s">
        <v>6436</v>
      </c>
      <c r="E56" s="8">
        <v>83.0</v>
      </c>
    </row>
    <row r="57">
      <c r="A57" s="8" t="s">
        <v>2748</v>
      </c>
      <c r="B57" s="8" t="s">
        <v>2747</v>
      </c>
      <c r="C57" s="8" t="s">
        <v>261</v>
      </c>
      <c r="D57" s="8" t="s">
        <v>6426</v>
      </c>
      <c r="E57" s="8">
        <v>68.0</v>
      </c>
    </row>
    <row r="58">
      <c r="A58" s="8" t="s">
        <v>3262</v>
      </c>
      <c r="B58" s="8" t="s">
        <v>3261</v>
      </c>
      <c r="C58" s="8" t="s">
        <v>53</v>
      </c>
      <c r="D58" s="8" t="s">
        <v>6419</v>
      </c>
      <c r="E58" s="8">
        <v>63.0</v>
      </c>
    </row>
    <row r="59">
      <c r="A59" s="8" t="s">
        <v>1064</v>
      </c>
      <c r="B59" s="8" t="s">
        <v>451</v>
      </c>
      <c r="C59" s="8" t="s">
        <v>65</v>
      </c>
      <c r="D59" s="8" t="s">
        <v>6437</v>
      </c>
      <c r="E59" s="8">
        <v>74.0</v>
      </c>
    </row>
    <row r="60">
      <c r="A60" s="8" t="s">
        <v>1064</v>
      </c>
      <c r="B60" s="8" t="s">
        <v>2928</v>
      </c>
      <c r="C60" s="8" t="s">
        <v>53</v>
      </c>
      <c r="D60" s="8" t="s">
        <v>6435</v>
      </c>
      <c r="E60" s="8">
        <v>70.0</v>
      </c>
    </row>
    <row r="61">
      <c r="A61" s="8" t="s">
        <v>3437</v>
      </c>
      <c r="B61" s="8" t="s">
        <v>99</v>
      </c>
      <c r="C61" s="8" t="s">
        <v>59</v>
      </c>
      <c r="D61" s="8" t="s">
        <v>6438</v>
      </c>
      <c r="E61" s="8">
        <v>85.0</v>
      </c>
    </row>
    <row r="62">
      <c r="A62" s="8" t="s">
        <v>423</v>
      </c>
      <c r="B62" s="8" t="s">
        <v>1959</v>
      </c>
      <c r="C62" s="8" t="s">
        <v>12</v>
      </c>
      <c r="D62" s="8" t="s">
        <v>6425</v>
      </c>
      <c r="E62" s="8">
        <v>71.0</v>
      </c>
    </row>
    <row r="63">
      <c r="A63" s="8" t="s">
        <v>423</v>
      </c>
      <c r="B63" s="8" t="s">
        <v>308</v>
      </c>
      <c r="C63" s="8" t="s">
        <v>65</v>
      </c>
      <c r="D63" s="8" t="s">
        <v>6422</v>
      </c>
      <c r="E63" s="8">
        <v>72.0</v>
      </c>
    </row>
    <row r="64">
      <c r="A64" s="8" t="s">
        <v>998</v>
      </c>
      <c r="B64" s="8" t="s">
        <v>997</v>
      </c>
      <c r="C64" s="8" t="s">
        <v>186</v>
      </c>
      <c r="D64" s="8" t="s">
        <v>6414</v>
      </c>
      <c r="E64" s="8">
        <v>77.0</v>
      </c>
    </row>
    <row r="65">
      <c r="A65" s="8" t="s">
        <v>447</v>
      </c>
      <c r="B65" s="8" t="s">
        <v>446</v>
      </c>
      <c r="C65" s="8" t="s">
        <v>46</v>
      </c>
      <c r="D65" s="8" t="s">
        <v>6439</v>
      </c>
      <c r="E65" s="8">
        <v>81.0</v>
      </c>
    </row>
    <row r="66">
      <c r="A66" s="8" t="s">
        <v>3479</v>
      </c>
      <c r="B66" s="8" t="s">
        <v>3478</v>
      </c>
      <c r="C66" s="8" t="s">
        <v>16</v>
      </c>
      <c r="D66" s="8" t="s">
        <v>6431</v>
      </c>
      <c r="E66" s="8">
        <v>58.0</v>
      </c>
    </row>
    <row r="67">
      <c r="A67" s="8" t="s">
        <v>100</v>
      </c>
      <c r="B67" s="8" t="s">
        <v>1683</v>
      </c>
      <c r="C67" s="8" t="s">
        <v>59</v>
      </c>
      <c r="D67" s="8" t="s">
        <v>6418</v>
      </c>
      <c r="E67" s="8">
        <v>68.0</v>
      </c>
    </row>
    <row r="68">
      <c r="A68" s="8" t="s">
        <v>100</v>
      </c>
      <c r="B68" s="8" t="s">
        <v>1297</v>
      </c>
      <c r="C68" s="8" t="s">
        <v>132</v>
      </c>
      <c r="D68" s="8" t="s">
        <v>6417</v>
      </c>
      <c r="E68" s="8">
        <v>58.0</v>
      </c>
    </row>
    <row r="69">
      <c r="A69" s="8" t="s">
        <v>100</v>
      </c>
      <c r="B69" s="8" t="s">
        <v>248</v>
      </c>
      <c r="C69" s="8" t="s">
        <v>93</v>
      </c>
      <c r="D69" s="8" t="s">
        <v>6420</v>
      </c>
      <c r="E69" s="8">
        <v>67.0</v>
      </c>
    </row>
    <row r="70">
      <c r="A70" s="8" t="s">
        <v>100</v>
      </c>
      <c r="B70" s="8" t="s">
        <v>677</v>
      </c>
      <c r="C70" s="8" t="s">
        <v>24</v>
      </c>
      <c r="D70" s="8" t="s">
        <v>6413</v>
      </c>
      <c r="E70" s="8">
        <v>64.0</v>
      </c>
    </row>
    <row r="71">
      <c r="A71" s="8" t="s">
        <v>100</v>
      </c>
      <c r="B71" s="8" t="s">
        <v>3351</v>
      </c>
      <c r="C71" s="8" t="s">
        <v>138</v>
      </c>
      <c r="D71" s="8" t="s">
        <v>6424</v>
      </c>
      <c r="E71" s="8">
        <v>60.0</v>
      </c>
    </row>
    <row r="72">
      <c r="A72" s="8" t="s">
        <v>100</v>
      </c>
      <c r="B72" s="8" t="s">
        <v>99</v>
      </c>
      <c r="C72" s="8" t="s">
        <v>16</v>
      </c>
      <c r="D72" s="8" t="s">
        <v>6437</v>
      </c>
      <c r="E72" s="8">
        <v>81.0</v>
      </c>
    </row>
    <row r="73">
      <c r="A73" s="8" t="s">
        <v>100</v>
      </c>
      <c r="B73" s="8" t="s">
        <v>323</v>
      </c>
      <c r="C73" s="8" t="s">
        <v>16</v>
      </c>
      <c r="D73" s="8" t="s">
        <v>6423</v>
      </c>
      <c r="E73" s="8">
        <v>61.0</v>
      </c>
    </row>
    <row r="74">
      <c r="A74" s="8" t="s">
        <v>100</v>
      </c>
      <c r="B74" s="8" t="s">
        <v>1163</v>
      </c>
      <c r="C74" s="8" t="s">
        <v>65</v>
      </c>
      <c r="D74" s="8" t="s">
        <v>6417</v>
      </c>
      <c r="E74" s="8">
        <v>61.0</v>
      </c>
    </row>
    <row r="75">
      <c r="A75" s="8" t="s">
        <v>100</v>
      </c>
      <c r="B75" s="8" t="s">
        <v>94</v>
      </c>
      <c r="C75" s="8" t="s">
        <v>75</v>
      </c>
      <c r="D75" s="8" t="s">
        <v>6435</v>
      </c>
      <c r="E75" s="8">
        <v>70.0</v>
      </c>
    </row>
    <row r="76">
      <c r="A76" s="8" t="s">
        <v>100</v>
      </c>
      <c r="B76" s="8" t="s">
        <v>2670</v>
      </c>
      <c r="C76" s="8" t="s">
        <v>132</v>
      </c>
      <c r="D76" s="8" t="s">
        <v>6440</v>
      </c>
      <c r="E76" s="8">
        <v>62.0</v>
      </c>
    </row>
    <row r="77">
      <c r="A77" s="8" t="s">
        <v>100</v>
      </c>
      <c r="B77" s="8" t="s">
        <v>1705</v>
      </c>
      <c r="C77" s="8" t="s">
        <v>75</v>
      </c>
      <c r="D77" s="8" t="s">
        <v>6429</v>
      </c>
      <c r="E77" s="8">
        <v>79.0</v>
      </c>
    </row>
    <row r="78">
      <c r="A78" s="8" t="s">
        <v>100</v>
      </c>
      <c r="B78" s="8" t="s">
        <v>498</v>
      </c>
      <c r="C78" s="8" t="s">
        <v>70</v>
      </c>
      <c r="D78" s="8" t="s">
        <v>6433</v>
      </c>
      <c r="E78" s="8">
        <v>67.0</v>
      </c>
    </row>
    <row r="79">
      <c r="A79" s="8" t="s">
        <v>100</v>
      </c>
      <c r="B79" s="8" t="s">
        <v>772</v>
      </c>
      <c r="C79" s="8" t="s">
        <v>138</v>
      </c>
      <c r="D79" s="8" t="s">
        <v>6418</v>
      </c>
      <c r="E79" s="8">
        <v>72.0</v>
      </c>
    </row>
    <row r="80">
      <c r="A80" s="8" t="s">
        <v>100</v>
      </c>
      <c r="B80" s="8" t="s">
        <v>1362</v>
      </c>
      <c r="C80" s="8" t="s">
        <v>261</v>
      </c>
      <c r="D80" s="8" t="s">
        <v>6441</v>
      </c>
      <c r="E80" s="8">
        <v>72.0</v>
      </c>
    </row>
    <row r="81">
      <c r="A81" s="8" t="s">
        <v>100</v>
      </c>
      <c r="B81" s="8" t="s">
        <v>163</v>
      </c>
      <c r="C81" s="8" t="s">
        <v>141</v>
      </c>
      <c r="D81" s="8" t="s">
        <v>6431</v>
      </c>
      <c r="E81" s="8">
        <v>91.0</v>
      </c>
    </row>
    <row r="82">
      <c r="A82" s="8" t="s">
        <v>650</v>
      </c>
      <c r="B82" s="8" t="s">
        <v>649</v>
      </c>
      <c r="C82" s="8" t="s">
        <v>70</v>
      </c>
      <c r="D82" s="8" t="s">
        <v>6434</v>
      </c>
      <c r="E82" s="8">
        <v>75.0</v>
      </c>
    </row>
    <row r="83">
      <c r="A83" s="8" t="s">
        <v>650</v>
      </c>
      <c r="B83" s="8" t="s">
        <v>1905</v>
      </c>
      <c r="C83" s="8" t="s">
        <v>70</v>
      </c>
      <c r="D83" s="8" t="s">
        <v>6442</v>
      </c>
      <c r="E83" s="8">
        <v>75.0</v>
      </c>
    </row>
    <row r="84">
      <c r="A84" s="8" t="s">
        <v>3185</v>
      </c>
      <c r="B84" s="8" t="s">
        <v>106</v>
      </c>
      <c r="C84" s="8" t="s">
        <v>261</v>
      </c>
      <c r="D84" s="8" t="s">
        <v>6433</v>
      </c>
      <c r="E84" s="8">
        <v>73.0</v>
      </c>
    </row>
    <row r="85">
      <c r="A85" s="8" t="s">
        <v>1240</v>
      </c>
      <c r="B85" s="8" t="s">
        <v>1239</v>
      </c>
      <c r="C85" s="8" t="s">
        <v>132</v>
      </c>
      <c r="D85" s="8" t="s">
        <v>6426</v>
      </c>
      <c r="E85" s="8">
        <v>85.0</v>
      </c>
    </row>
    <row r="86">
      <c r="A86" s="8" t="s">
        <v>460</v>
      </c>
      <c r="B86" s="8" t="s">
        <v>3162</v>
      </c>
      <c r="C86" s="8" t="s">
        <v>75</v>
      </c>
      <c r="D86" s="8" t="s">
        <v>6424</v>
      </c>
      <c r="E86" s="8">
        <v>81.0</v>
      </c>
    </row>
    <row r="87">
      <c r="A87" s="8" t="s">
        <v>460</v>
      </c>
      <c r="B87" s="8" t="s">
        <v>308</v>
      </c>
      <c r="C87" s="8" t="s">
        <v>65</v>
      </c>
      <c r="D87" s="8" t="s">
        <v>6413</v>
      </c>
      <c r="E87" s="8">
        <v>87.0</v>
      </c>
    </row>
    <row r="88">
      <c r="A88" s="8" t="s">
        <v>460</v>
      </c>
      <c r="B88" s="8" t="s">
        <v>240</v>
      </c>
      <c r="C88" s="8" t="s">
        <v>215</v>
      </c>
      <c r="D88" s="8" t="s">
        <v>6437</v>
      </c>
      <c r="E88" s="8">
        <v>77.0</v>
      </c>
    </row>
    <row r="89">
      <c r="A89" s="8" t="s">
        <v>460</v>
      </c>
      <c r="B89" s="8" t="s">
        <v>945</v>
      </c>
      <c r="C89" s="8" t="s">
        <v>65</v>
      </c>
      <c r="D89" s="8" t="s">
        <v>6413</v>
      </c>
      <c r="E89" s="8">
        <v>81.0</v>
      </c>
    </row>
    <row r="90">
      <c r="A90" s="8" t="s">
        <v>1306</v>
      </c>
      <c r="B90" s="8" t="s">
        <v>409</v>
      </c>
      <c r="C90" s="8" t="s">
        <v>65</v>
      </c>
      <c r="D90" s="8" t="s">
        <v>6417</v>
      </c>
      <c r="E90" s="8">
        <v>62.0</v>
      </c>
    </row>
    <row r="91">
      <c r="A91" s="8" t="s">
        <v>551</v>
      </c>
      <c r="B91" s="8" t="s">
        <v>550</v>
      </c>
      <c r="C91" s="8" t="s">
        <v>65</v>
      </c>
      <c r="D91" s="8" t="s">
        <v>6424</v>
      </c>
      <c r="E91" s="8">
        <v>87.0</v>
      </c>
    </row>
    <row r="92">
      <c r="A92" s="8" t="s">
        <v>1853</v>
      </c>
      <c r="B92" s="8" t="s">
        <v>1862</v>
      </c>
      <c r="C92" s="8" t="s">
        <v>70</v>
      </c>
      <c r="D92" s="8" t="s">
        <v>6418</v>
      </c>
      <c r="E92" s="8">
        <v>76.0</v>
      </c>
    </row>
    <row r="93">
      <c r="A93" s="8" t="s">
        <v>2756</v>
      </c>
      <c r="B93" s="8" t="s">
        <v>2755</v>
      </c>
      <c r="C93" s="8" t="s">
        <v>65</v>
      </c>
      <c r="D93" s="8" t="s">
        <v>6433</v>
      </c>
      <c r="E93" s="8">
        <v>74.0</v>
      </c>
    </row>
    <row r="94">
      <c r="A94" s="8" t="s">
        <v>1411</v>
      </c>
      <c r="B94" s="8" t="s">
        <v>500</v>
      </c>
      <c r="C94" s="8" t="s">
        <v>65</v>
      </c>
      <c r="D94" s="8" t="s">
        <v>6438</v>
      </c>
      <c r="E94" s="8">
        <v>87.0</v>
      </c>
    </row>
    <row r="95">
      <c r="A95" s="8" t="s">
        <v>2785</v>
      </c>
      <c r="B95" s="8" t="s">
        <v>2784</v>
      </c>
      <c r="C95" s="8" t="s">
        <v>65</v>
      </c>
      <c r="D95" s="8" t="s">
        <v>6413</v>
      </c>
      <c r="E95" s="8">
        <v>63.0</v>
      </c>
    </row>
    <row r="96">
      <c r="A96" s="8" t="s">
        <v>1069</v>
      </c>
      <c r="B96" s="8" t="s">
        <v>1068</v>
      </c>
      <c r="C96" s="8" t="s">
        <v>70</v>
      </c>
      <c r="D96" s="8" t="s">
        <v>6420</v>
      </c>
      <c r="E96" s="8">
        <v>78.0</v>
      </c>
    </row>
    <row r="97">
      <c r="A97" s="8" t="s">
        <v>3050</v>
      </c>
      <c r="B97" s="8" t="s">
        <v>3049</v>
      </c>
      <c r="C97" s="8" t="s">
        <v>75</v>
      </c>
      <c r="D97" s="8" t="s">
        <v>6441</v>
      </c>
      <c r="E97" s="8">
        <v>72.0</v>
      </c>
    </row>
    <row r="98">
      <c r="A98" s="8" t="s">
        <v>277</v>
      </c>
      <c r="B98" s="8" t="s">
        <v>368</v>
      </c>
      <c r="C98" s="8" t="s">
        <v>65</v>
      </c>
      <c r="D98" s="8" t="s">
        <v>6419</v>
      </c>
      <c r="E98" s="8">
        <v>72.0</v>
      </c>
    </row>
    <row r="99">
      <c r="A99" s="8" t="s">
        <v>277</v>
      </c>
      <c r="B99" s="8" t="s">
        <v>276</v>
      </c>
      <c r="C99" s="8" t="s">
        <v>65</v>
      </c>
      <c r="D99" s="8" t="s">
        <v>6430</v>
      </c>
      <c r="E99" s="8">
        <v>76.0</v>
      </c>
    </row>
    <row r="100">
      <c r="A100" s="8" t="s">
        <v>277</v>
      </c>
      <c r="B100" s="8" t="s">
        <v>78</v>
      </c>
      <c r="C100" s="8" t="s">
        <v>70</v>
      </c>
      <c r="D100" s="8" t="s">
        <v>6432</v>
      </c>
      <c r="E100" s="8">
        <v>69.0</v>
      </c>
    </row>
    <row r="101">
      <c r="A101" s="8" t="s">
        <v>277</v>
      </c>
      <c r="B101" s="8" t="s">
        <v>99</v>
      </c>
      <c r="C101" s="8" t="s">
        <v>46</v>
      </c>
      <c r="D101" s="8" t="s">
        <v>6417</v>
      </c>
      <c r="E101" s="8">
        <v>74.0</v>
      </c>
    </row>
    <row r="102">
      <c r="A102" s="8" t="s">
        <v>277</v>
      </c>
      <c r="B102" s="8" t="s">
        <v>1381</v>
      </c>
      <c r="C102" s="8" t="s">
        <v>138</v>
      </c>
      <c r="D102" s="8" t="s">
        <v>6415</v>
      </c>
      <c r="E102" s="8">
        <v>78.0</v>
      </c>
    </row>
    <row r="103">
      <c r="A103" s="8" t="s">
        <v>277</v>
      </c>
      <c r="B103" s="8" t="s">
        <v>305</v>
      </c>
      <c r="C103" s="8" t="s">
        <v>65</v>
      </c>
      <c r="D103" s="8" t="s">
        <v>6431</v>
      </c>
      <c r="E103" s="8">
        <v>72.0</v>
      </c>
    </row>
    <row r="104">
      <c r="A104" s="8" t="s">
        <v>277</v>
      </c>
      <c r="B104" s="8" t="s">
        <v>2828</v>
      </c>
      <c r="C104" s="8" t="s">
        <v>80</v>
      </c>
      <c r="D104" s="8" t="s">
        <v>6434</v>
      </c>
      <c r="E104" s="8">
        <v>74.0</v>
      </c>
    </row>
    <row r="105">
      <c r="A105" s="8" t="s">
        <v>55</v>
      </c>
      <c r="B105" s="8" t="s">
        <v>887</v>
      </c>
      <c r="C105" s="8" t="s">
        <v>132</v>
      </c>
      <c r="D105" s="8" t="s">
        <v>6414</v>
      </c>
      <c r="E105" s="8">
        <v>65.0</v>
      </c>
    </row>
    <row r="106">
      <c r="A106" s="8" t="s">
        <v>55</v>
      </c>
      <c r="B106" s="8" t="s">
        <v>312</v>
      </c>
      <c r="C106" s="8" t="s">
        <v>192</v>
      </c>
      <c r="D106" s="8" t="s">
        <v>6429</v>
      </c>
      <c r="E106" s="8">
        <v>78.0</v>
      </c>
    </row>
    <row r="107">
      <c r="A107" s="8" t="s">
        <v>55</v>
      </c>
      <c r="B107" s="8" t="s">
        <v>1702</v>
      </c>
      <c r="C107" s="8" t="s">
        <v>122</v>
      </c>
      <c r="D107" s="8" t="s">
        <v>6417</v>
      </c>
      <c r="E107" s="8">
        <v>68.0</v>
      </c>
    </row>
    <row r="108">
      <c r="A108" s="8" t="s">
        <v>55</v>
      </c>
      <c r="B108" s="8" t="s">
        <v>835</v>
      </c>
      <c r="C108" s="8" t="s">
        <v>80</v>
      </c>
      <c r="D108" s="8" t="s">
        <v>6425</v>
      </c>
      <c r="E108" s="8">
        <v>78.0</v>
      </c>
    </row>
    <row r="109">
      <c r="A109" s="8" t="s">
        <v>55</v>
      </c>
      <c r="B109" s="8" t="s">
        <v>1187</v>
      </c>
      <c r="C109" s="8" t="s">
        <v>65</v>
      </c>
      <c r="D109" s="8" t="s">
        <v>6436</v>
      </c>
      <c r="E109" s="8">
        <v>74.0</v>
      </c>
    </row>
    <row r="110">
      <c r="A110" s="8" t="s">
        <v>55</v>
      </c>
      <c r="B110" s="8" t="s">
        <v>54</v>
      </c>
      <c r="C110" s="8" t="s">
        <v>46</v>
      </c>
      <c r="D110" s="8" t="s">
        <v>6414</v>
      </c>
      <c r="E110" s="8">
        <v>89.0</v>
      </c>
    </row>
    <row r="111">
      <c r="A111" s="8" t="s">
        <v>55</v>
      </c>
      <c r="B111" s="8" t="s">
        <v>2103</v>
      </c>
      <c r="C111" s="8" t="s">
        <v>12</v>
      </c>
      <c r="D111" s="8" t="s">
        <v>6415</v>
      </c>
      <c r="E111" s="8">
        <v>75.0</v>
      </c>
    </row>
    <row r="112">
      <c r="A112" s="8" t="s">
        <v>55</v>
      </c>
      <c r="B112" s="8" t="s">
        <v>3473</v>
      </c>
      <c r="C112" s="8" t="s">
        <v>132</v>
      </c>
      <c r="D112" s="8" t="s">
        <v>6437</v>
      </c>
      <c r="E112" s="8">
        <v>75.0</v>
      </c>
    </row>
    <row r="113">
      <c r="A113" s="8" t="s">
        <v>55</v>
      </c>
      <c r="B113" s="8" t="s">
        <v>577</v>
      </c>
      <c r="C113" s="8" t="s">
        <v>16</v>
      </c>
      <c r="D113" s="8" t="s">
        <v>6428</v>
      </c>
      <c r="E113" s="8">
        <v>90.0</v>
      </c>
    </row>
    <row r="114">
      <c r="A114" s="8" t="s">
        <v>55</v>
      </c>
      <c r="B114" s="8" t="s">
        <v>993</v>
      </c>
      <c r="C114" s="8" t="s">
        <v>75</v>
      </c>
      <c r="D114" s="8" t="s">
        <v>6441</v>
      </c>
      <c r="E114" s="8">
        <v>84.0</v>
      </c>
    </row>
    <row r="115">
      <c r="A115" s="8" t="s">
        <v>1567</v>
      </c>
      <c r="B115" s="8" t="s">
        <v>1566</v>
      </c>
      <c r="C115" s="8" t="s">
        <v>75</v>
      </c>
      <c r="D115" s="8" t="s">
        <v>6418</v>
      </c>
      <c r="E115" s="8">
        <v>74.0</v>
      </c>
    </row>
    <row r="116">
      <c r="A116" s="8" t="s">
        <v>43</v>
      </c>
      <c r="B116" s="8" t="s">
        <v>42</v>
      </c>
      <c r="C116" s="8" t="s">
        <v>38</v>
      </c>
      <c r="D116" s="8" t="s">
        <v>6441</v>
      </c>
      <c r="E116" s="8">
        <v>79.0</v>
      </c>
    </row>
    <row r="117">
      <c r="A117" s="8" t="s">
        <v>43</v>
      </c>
      <c r="B117" s="8" t="s">
        <v>1207</v>
      </c>
      <c r="C117" s="8" t="s">
        <v>261</v>
      </c>
      <c r="D117" s="8" t="s">
        <v>6412</v>
      </c>
      <c r="E117" s="8">
        <v>82.0</v>
      </c>
    </row>
    <row r="118">
      <c r="A118" s="8" t="s">
        <v>43</v>
      </c>
      <c r="B118" s="8" t="s">
        <v>284</v>
      </c>
      <c r="C118" s="8" t="s">
        <v>65</v>
      </c>
      <c r="D118" s="8" t="s">
        <v>6442</v>
      </c>
      <c r="E118" s="8">
        <v>64.0</v>
      </c>
    </row>
    <row r="119">
      <c r="A119" s="8" t="s">
        <v>43</v>
      </c>
      <c r="B119" s="8" t="s">
        <v>2901</v>
      </c>
      <c r="C119" s="8" t="s">
        <v>75</v>
      </c>
      <c r="D119" s="8" t="s">
        <v>6431</v>
      </c>
      <c r="E119" s="8">
        <v>84.0</v>
      </c>
    </row>
    <row r="120">
      <c r="A120" s="8" t="s">
        <v>43</v>
      </c>
      <c r="B120" s="8" t="s">
        <v>258</v>
      </c>
      <c r="C120" s="8" t="s">
        <v>16</v>
      </c>
      <c r="D120" s="8" t="s">
        <v>6417</v>
      </c>
      <c r="E120" s="8">
        <v>84.0</v>
      </c>
    </row>
    <row r="121">
      <c r="A121" s="8" t="s">
        <v>1089</v>
      </c>
      <c r="B121" s="8" t="s">
        <v>1088</v>
      </c>
      <c r="C121" s="8" t="s">
        <v>138</v>
      </c>
      <c r="D121" s="8" t="s">
        <v>6423</v>
      </c>
      <c r="E121" s="8">
        <v>63.0</v>
      </c>
    </row>
    <row r="122">
      <c r="A122" s="8" t="s">
        <v>212</v>
      </c>
      <c r="B122" s="8" t="s">
        <v>1166</v>
      </c>
      <c r="C122" s="8" t="s">
        <v>141</v>
      </c>
      <c r="D122" s="8" t="s">
        <v>6443</v>
      </c>
      <c r="E122" s="8">
        <v>64.0</v>
      </c>
    </row>
    <row r="123">
      <c r="A123" s="8" t="s">
        <v>212</v>
      </c>
      <c r="B123" s="8" t="s">
        <v>844</v>
      </c>
      <c r="C123" s="8" t="s">
        <v>53</v>
      </c>
      <c r="D123" s="8" t="s">
        <v>6429</v>
      </c>
      <c r="E123" s="8">
        <v>79.0</v>
      </c>
    </row>
    <row r="124">
      <c r="A124" s="8" t="s">
        <v>212</v>
      </c>
      <c r="B124" s="8" t="s">
        <v>3448</v>
      </c>
      <c r="C124" s="8" t="s">
        <v>75</v>
      </c>
      <c r="D124" s="8" t="s">
        <v>6415</v>
      </c>
      <c r="E124" s="8">
        <v>67.0</v>
      </c>
    </row>
    <row r="125">
      <c r="A125" s="8" t="s">
        <v>212</v>
      </c>
      <c r="B125" s="8" t="s">
        <v>89</v>
      </c>
      <c r="C125" s="8" t="s">
        <v>80</v>
      </c>
      <c r="D125" s="8" t="s">
        <v>6429</v>
      </c>
      <c r="E125" s="8">
        <v>67.0</v>
      </c>
    </row>
    <row r="126">
      <c r="A126" s="8" t="s">
        <v>212</v>
      </c>
      <c r="B126" s="8" t="s">
        <v>250</v>
      </c>
      <c r="C126" s="8" t="s">
        <v>46</v>
      </c>
      <c r="D126" s="8" t="s">
        <v>6428</v>
      </c>
      <c r="E126" s="8">
        <v>83.0</v>
      </c>
    </row>
    <row r="127">
      <c r="A127" s="8" t="s">
        <v>212</v>
      </c>
      <c r="B127" s="8" t="s">
        <v>3249</v>
      </c>
      <c r="C127" s="8" t="s">
        <v>24</v>
      </c>
      <c r="D127" s="8" t="s">
        <v>6415</v>
      </c>
      <c r="E127" s="8">
        <v>83.0</v>
      </c>
    </row>
    <row r="128">
      <c r="A128" s="8" t="s">
        <v>212</v>
      </c>
      <c r="B128" s="8" t="s">
        <v>2900</v>
      </c>
      <c r="C128" s="8" t="s">
        <v>192</v>
      </c>
      <c r="D128" s="8" t="s">
        <v>6435</v>
      </c>
      <c r="E128" s="8">
        <v>70.0</v>
      </c>
    </row>
    <row r="129">
      <c r="A129" s="8" t="s">
        <v>212</v>
      </c>
      <c r="B129" s="8" t="s">
        <v>2893</v>
      </c>
      <c r="C129" s="8" t="s">
        <v>138</v>
      </c>
      <c r="D129" s="8" t="s">
        <v>6416</v>
      </c>
      <c r="E129" s="8">
        <v>61.0</v>
      </c>
    </row>
    <row r="130">
      <c r="A130" s="8" t="s">
        <v>212</v>
      </c>
      <c r="B130" s="8" t="s">
        <v>106</v>
      </c>
      <c r="C130" s="8" t="s">
        <v>93</v>
      </c>
      <c r="D130" s="8" t="s">
        <v>6442</v>
      </c>
      <c r="E130" s="8">
        <v>79.0</v>
      </c>
    </row>
    <row r="131">
      <c r="A131" s="8" t="s">
        <v>212</v>
      </c>
      <c r="B131" s="8" t="s">
        <v>314</v>
      </c>
      <c r="C131" s="8" t="s">
        <v>261</v>
      </c>
      <c r="D131" s="8" t="s">
        <v>6437</v>
      </c>
      <c r="E131" s="8">
        <v>70.0</v>
      </c>
    </row>
    <row r="132">
      <c r="A132" s="8" t="s">
        <v>212</v>
      </c>
      <c r="B132" s="8" t="s">
        <v>1067</v>
      </c>
      <c r="C132" s="8" t="s">
        <v>215</v>
      </c>
      <c r="D132" s="8" t="s">
        <v>6420</v>
      </c>
      <c r="E132" s="8">
        <v>69.0</v>
      </c>
    </row>
    <row r="133">
      <c r="A133" s="8" t="s">
        <v>212</v>
      </c>
      <c r="B133" s="8" t="s">
        <v>1121</v>
      </c>
      <c r="C133" s="8" t="s">
        <v>53</v>
      </c>
      <c r="D133" s="8" t="s">
        <v>6439</v>
      </c>
      <c r="E133" s="8">
        <v>66.0</v>
      </c>
    </row>
    <row r="134">
      <c r="A134" s="8" t="s">
        <v>212</v>
      </c>
      <c r="B134" s="8" t="s">
        <v>389</v>
      </c>
      <c r="C134" s="8" t="s">
        <v>138</v>
      </c>
      <c r="D134" s="8" t="s">
        <v>6440</v>
      </c>
      <c r="E134" s="8">
        <v>62.0</v>
      </c>
    </row>
    <row r="135">
      <c r="A135" s="8" t="s">
        <v>212</v>
      </c>
      <c r="B135" s="8" t="s">
        <v>3117</v>
      </c>
      <c r="C135" s="8" t="s">
        <v>186</v>
      </c>
      <c r="D135" s="8" t="s">
        <v>6428</v>
      </c>
      <c r="E135" s="8">
        <v>66.0</v>
      </c>
    </row>
    <row r="136">
      <c r="A136" s="8" t="s">
        <v>212</v>
      </c>
      <c r="B136" s="8" t="s">
        <v>940</v>
      </c>
      <c r="C136" s="8" t="s">
        <v>186</v>
      </c>
      <c r="D136" s="8" t="s">
        <v>6442</v>
      </c>
      <c r="E136" s="8">
        <v>74.0</v>
      </c>
    </row>
    <row r="137">
      <c r="A137" s="8" t="s">
        <v>212</v>
      </c>
      <c r="B137" s="8" t="s">
        <v>3202</v>
      </c>
      <c r="C137" s="8" t="s">
        <v>93</v>
      </c>
      <c r="D137" s="8" t="s">
        <v>6438</v>
      </c>
      <c r="E137" s="8">
        <v>60.0</v>
      </c>
    </row>
    <row r="138">
      <c r="A138" s="8" t="s">
        <v>82</v>
      </c>
      <c r="B138" s="8" t="s">
        <v>81</v>
      </c>
      <c r="C138" s="8" t="s">
        <v>192</v>
      </c>
      <c r="D138" s="8" t="s">
        <v>6419</v>
      </c>
      <c r="E138" s="8">
        <v>75.0</v>
      </c>
    </row>
    <row r="139">
      <c r="A139" s="8" t="s">
        <v>680</v>
      </c>
      <c r="B139" s="8" t="s">
        <v>3246</v>
      </c>
      <c r="C139" s="8" t="s">
        <v>80</v>
      </c>
      <c r="D139" s="8" t="s">
        <v>6429</v>
      </c>
      <c r="E139" s="8">
        <v>71.0</v>
      </c>
    </row>
    <row r="140">
      <c r="A140" s="8" t="s">
        <v>245</v>
      </c>
      <c r="B140" s="8" t="s">
        <v>2114</v>
      </c>
      <c r="C140" s="8" t="s">
        <v>24</v>
      </c>
      <c r="D140" s="8" t="s">
        <v>6432</v>
      </c>
      <c r="E140" s="8">
        <v>87.0</v>
      </c>
    </row>
    <row r="141">
      <c r="A141" s="8" t="s">
        <v>245</v>
      </c>
      <c r="B141" s="8" t="s">
        <v>2953</v>
      </c>
      <c r="C141" s="8" t="s">
        <v>186</v>
      </c>
      <c r="D141" s="8" t="s">
        <v>6428</v>
      </c>
      <c r="E141" s="8">
        <v>68.0</v>
      </c>
    </row>
    <row r="142">
      <c r="A142" s="8" t="s">
        <v>245</v>
      </c>
      <c r="B142" s="8" t="s">
        <v>921</v>
      </c>
      <c r="C142" s="8" t="s">
        <v>46</v>
      </c>
      <c r="D142" s="8" t="s">
        <v>6436</v>
      </c>
      <c r="E142" s="8">
        <v>71.0</v>
      </c>
    </row>
    <row r="143">
      <c r="A143" s="8" t="s">
        <v>245</v>
      </c>
      <c r="B143" s="8" t="s">
        <v>1181</v>
      </c>
      <c r="C143" s="8" t="s">
        <v>93</v>
      </c>
      <c r="D143" s="8" t="s">
        <v>6438</v>
      </c>
      <c r="E143" s="8">
        <v>61.0</v>
      </c>
    </row>
    <row r="144">
      <c r="A144" s="8" t="s">
        <v>245</v>
      </c>
      <c r="B144" s="8" t="s">
        <v>106</v>
      </c>
      <c r="C144" s="8" t="s">
        <v>65</v>
      </c>
      <c r="D144" s="8" t="s">
        <v>6439</v>
      </c>
      <c r="E144" s="8">
        <v>97.0</v>
      </c>
    </row>
    <row r="145">
      <c r="A145" s="8" t="s">
        <v>3137</v>
      </c>
      <c r="B145" s="8" t="s">
        <v>78</v>
      </c>
      <c r="C145" s="8" t="s">
        <v>53</v>
      </c>
      <c r="D145" s="8" t="s">
        <v>6420</v>
      </c>
      <c r="E145" s="8">
        <v>65.0</v>
      </c>
    </row>
    <row r="146">
      <c r="A146" s="8" t="s">
        <v>179</v>
      </c>
      <c r="B146" s="8" t="s">
        <v>178</v>
      </c>
      <c r="C146" s="8" t="s">
        <v>93</v>
      </c>
      <c r="D146" s="8" t="s">
        <v>6412</v>
      </c>
      <c r="E146" s="8">
        <v>94.0</v>
      </c>
    </row>
    <row r="147">
      <c r="A147" s="8" t="s">
        <v>3075</v>
      </c>
      <c r="B147" s="8" t="s">
        <v>1625</v>
      </c>
      <c r="C147" s="8" t="s">
        <v>65</v>
      </c>
      <c r="D147" s="8" t="s">
        <v>6440</v>
      </c>
      <c r="E147" s="8">
        <v>74.0</v>
      </c>
    </row>
    <row r="148">
      <c r="A148" s="8" t="s">
        <v>2884</v>
      </c>
      <c r="B148" s="8" t="s">
        <v>2883</v>
      </c>
      <c r="C148" s="8" t="s">
        <v>132</v>
      </c>
      <c r="D148" s="8" t="s">
        <v>6416</v>
      </c>
      <c r="E148" s="8">
        <v>63.0</v>
      </c>
    </row>
    <row r="149">
      <c r="A149" s="8" t="s">
        <v>1363</v>
      </c>
      <c r="B149" s="8" t="s">
        <v>639</v>
      </c>
      <c r="C149" s="8" t="s">
        <v>215</v>
      </c>
      <c r="D149" s="8" t="s">
        <v>6422</v>
      </c>
      <c r="E149" s="8">
        <v>75.0</v>
      </c>
    </row>
    <row r="150">
      <c r="A150" s="8" t="s">
        <v>3187</v>
      </c>
      <c r="B150" s="8" t="s">
        <v>2064</v>
      </c>
      <c r="C150" s="8" t="s">
        <v>138</v>
      </c>
      <c r="D150" s="8" t="s">
        <v>6420</v>
      </c>
      <c r="E150" s="8">
        <v>71.0</v>
      </c>
    </row>
    <row r="151">
      <c r="A151" s="8" t="s">
        <v>3169</v>
      </c>
      <c r="B151" s="8" t="s">
        <v>3168</v>
      </c>
      <c r="C151" s="8" t="s">
        <v>65</v>
      </c>
      <c r="D151" s="8" t="s">
        <v>6413</v>
      </c>
      <c r="E151" s="8">
        <v>70.0</v>
      </c>
    </row>
    <row r="152">
      <c r="A152" s="8" t="s">
        <v>1964</v>
      </c>
      <c r="B152" s="8" t="s">
        <v>1031</v>
      </c>
      <c r="C152" s="8" t="s">
        <v>65</v>
      </c>
      <c r="D152" s="8" t="s">
        <v>6432</v>
      </c>
      <c r="E152" s="8">
        <v>64.0</v>
      </c>
    </row>
    <row r="153">
      <c r="A153" s="8" t="s">
        <v>1245</v>
      </c>
      <c r="B153" s="8" t="s">
        <v>106</v>
      </c>
      <c r="C153" s="8" t="s">
        <v>186</v>
      </c>
      <c r="D153" s="8" t="s">
        <v>6433</v>
      </c>
      <c r="E153" s="8">
        <v>69.0</v>
      </c>
    </row>
    <row r="154">
      <c r="A154" s="8" t="s">
        <v>1245</v>
      </c>
      <c r="B154" s="8" t="s">
        <v>3368</v>
      </c>
      <c r="C154" s="8" t="s">
        <v>53</v>
      </c>
      <c r="D154" s="8" t="s">
        <v>6439</v>
      </c>
      <c r="E154" s="8">
        <v>74.0</v>
      </c>
    </row>
    <row r="155">
      <c r="A155" s="8" t="s">
        <v>1245</v>
      </c>
      <c r="B155" s="8" t="s">
        <v>1244</v>
      </c>
      <c r="C155" s="8" t="s">
        <v>93</v>
      </c>
      <c r="D155" s="8" t="s">
        <v>6418</v>
      </c>
      <c r="E155" s="8">
        <v>61.0</v>
      </c>
    </row>
    <row r="156">
      <c r="A156" s="8" t="s">
        <v>1726</v>
      </c>
      <c r="B156" s="8" t="s">
        <v>1725</v>
      </c>
      <c r="C156" s="8" t="s">
        <v>93</v>
      </c>
      <c r="D156" s="8" t="s">
        <v>6439</v>
      </c>
      <c r="E156" s="8">
        <v>78.0</v>
      </c>
    </row>
    <row r="157">
      <c r="A157" s="8" t="s">
        <v>3209</v>
      </c>
      <c r="B157" s="8" t="s">
        <v>3208</v>
      </c>
      <c r="C157" s="8" t="s">
        <v>24</v>
      </c>
      <c r="D157" s="8" t="s">
        <v>6432</v>
      </c>
      <c r="E157" s="8">
        <v>67.0</v>
      </c>
    </row>
    <row r="158">
      <c r="A158" s="8" t="s">
        <v>3210</v>
      </c>
      <c r="B158" s="8" t="s">
        <v>349</v>
      </c>
      <c r="C158" s="8" t="s">
        <v>186</v>
      </c>
      <c r="D158" s="8" t="s">
        <v>6413</v>
      </c>
      <c r="E158" s="8">
        <v>68.0</v>
      </c>
    </row>
    <row r="159">
      <c r="A159" s="8" t="s">
        <v>464</v>
      </c>
      <c r="B159" s="8" t="s">
        <v>3040</v>
      </c>
      <c r="C159" s="8" t="s">
        <v>24</v>
      </c>
      <c r="D159" s="8" t="s">
        <v>6440</v>
      </c>
      <c r="E159" s="8">
        <v>74.0</v>
      </c>
    </row>
    <row r="160">
      <c r="A160" s="8" t="s">
        <v>464</v>
      </c>
      <c r="B160" s="8" t="s">
        <v>3099</v>
      </c>
      <c r="C160" s="8" t="s">
        <v>24</v>
      </c>
      <c r="D160" s="8" t="s">
        <v>6412</v>
      </c>
      <c r="E160" s="8">
        <v>63.0</v>
      </c>
    </row>
    <row r="161">
      <c r="A161" s="8" t="s">
        <v>464</v>
      </c>
      <c r="B161" s="8" t="s">
        <v>389</v>
      </c>
      <c r="C161" s="8" t="s">
        <v>122</v>
      </c>
      <c r="D161" s="8" t="s">
        <v>6423</v>
      </c>
      <c r="E161" s="8">
        <v>70.0</v>
      </c>
    </row>
    <row r="162">
      <c r="A162" s="8" t="s">
        <v>464</v>
      </c>
      <c r="B162" s="8" t="s">
        <v>1843</v>
      </c>
      <c r="C162" s="8" t="s">
        <v>24</v>
      </c>
      <c r="D162" s="8" t="s">
        <v>6431</v>
      </c>
      <c r="E162" s="8">
        <v>77.0</v>
      </c>
    </row>
    <row r="163">
      <c r="A163" s="8" t="s">
        <v>464</v>
      </c>
      <c r="B163" s="8" t="s">
        <v>1200</v>
      </c>
      <c r="C163" s="8" t="s">
        <v>149</v>
      </c>
      <c r="D163" s="8" t="s">
        <v>6438</v>
      </c>
      <c r="E163" s="8">
        <v>72.0</v>
      </c>
    </row>
    <row r="164">
      <c r="A164" s="8" t="s">
        <v>464</v>
      </c>
      <c r="B164" s="8" t="s">
        <v>389</v>
      </c>
      <c r="C164" s="8" t="s">
        <v>261</v>
      </c>
      <c r="D164" s="8" t="s">
        <v>6426</v>
      </c>
      <c r="E164" s="8">
        <v>68.0</v>
      </c>
    </row>
    <row r="165">
      <c r="A165" s="8" t="s">
        <v>464</v>
      </c>
      <c r="B165" s="8" t="s">
        <v>61</v>
      </c>
      <c r="C165" s="8" t="s">
        <v>16</v>
      </c>
      <c r="D165" s="8" t="s">
        <v>6433</v>
      </c>
      <c r="E165" s="8">
        <v>68.0</v>
      </c>
    </row>
    <row r="166">
      <c r="A166" s="8" t="s">
        <v>464</v>
      </c>
      <c r="B166" s="8" t="s">
        <v>1614</v>
      </c>
      <c r="C166" s="8" t="s">
        <v>75</v>
      </c>
      <c r="D166" s="8" t="s">
        <v>6429</v>
      </c>
      <c r="E166" s="8">
        <v>63.0</v>
      </c>
    </row>
    <row r="167">
      <c r="A167" s="8" t="s">
        <v>464</v>
      </c>
      <c r="B167" s="8" t="s">
        <v>851</v>
      </c>
      <c r="C167" s="8" t="s">
        <v>141</v>
      </c>
      <c r="D167" s="8" t="s">
        <v>6414</v>
      </c>
      <c r="E167" s="8">
        <v>62.0</v>
      </c>
    </row>
    <row r="168">
      <c r="A168" s="8" t="s">
        <v>1063</v>
      </c>
      <c r="B168" s="8" t="s">
        <v>1911</v>
      </c>
      <c r="C168" s="8" t="s">
        <v>215</v>
      </c>
      <c r="D168" s="8" t="s">
        <v>6425</v>
      </c>
      <c r="E168" s="8">
        <v>66.0</v>
      </c>
    </row>
    <row r="169">
      <c r="A169" s="8" t="s">
        <v>1063</v>
      </c>
      <c r="B169" s="8" t="s">
        <v>1675</v>
      </c>
      <c r="C169" s="8" t="s">
        <v>46</v>
      </c>
      <c r="D169" s="8" t="s">
        <v>6415</v>
      </c>
      <c r="E169" s="8">
        <v>59.0</v>
      </c>
    </row>
    <row r="170">
      <c r="A170" s="8" t="s">
        <v>1063</v>
      </c>
      <c r="B170" s="8" t="s">
        <v>3269</v>
      </c>
      <c r="C170" s="8" t="s">
        <v>132</v>
      </c>
      <c r="D170" s="8" t="s">
        <v>6413</v>
      </c>
      <c r="E170" s="8">
        <v>62.0</v>
      </c>
    </row>
    <row r="171">
      <c r="A171" s="8" t="s">
        <v>1063</v>
      </c>
      <c r="B171" s="8" t="s">
        <v>1062</v>
      </c>
      <c r="C171" s="8" t="s">
        <v>186</v>
      </c>
      <c r="D171" s="8" t="s">
        <v>6423</v>
      </c>
      <c r="E171" s="8">
        <v>79.0</v>
      </c>
    </row>
    <row r="172">
      <c r="A172" s="8" t="s">
        <v>1129</v>
      </c>
      <c r="B172" s="8" t="s">
        <v>498</v>
      </c>
      <c r="C172" s="8" t="s">
        <v>149</v>
      </c>
      <c r="D172" s="8" t="s">
        <v>6429</v>
      </c>
      <c r="E172" s="8">
        <v>65.0</v>
      </c>
    </row>
    <row r="173">
      <c r="A173" s="8" t="s">
        <v>6379</v>
      </c>
      <c r="B173" s="8" t="s">
        <v>361</v>
      </c>
      <c r="C173" s="8" t="s">
        <v>65</v>
      </c>
      <c r="D173" s="8" t="s">
        <v>6431</v>
      </c>
      <c r="E173" s="8">
        <v>58.0</v>
      </c>
    </row>
    <row r="174">
      <c r="A174" s="8" t="s">
        <v>6379</v>
      </c>
      <c r="B174" s="8" t="s">
        <v>1174</v>
      </c>
      <c r="C174" s="8" t="s">
        <v>186</v>
      </c>
      <c r="D174" s="8" t="s">
        <v>6425</v>
      </c>
      <c r="E174" s="8">
        <v>65.0</v>
      </c>
    </row>
    <row r="175">
      <c r="A175" s="8" t="s">
        <v>6379</v>
      </c>
      <c r="B175" s="8" t="s">
        <v>911</v>
      </c>
      <c r="C175" s="8" t="s">
        <v>75</v>
      </c>
      <c r="D175" s="8" t="s">
        <v>6439</v>
      </c>
      <c r="E175" s="8">
        <v>73.0</v>
      </c>
    </row>
    <row r="176">
      <c r="A176" s="8" t="s">
        <v>6446</v>
      </c>
      <c r="B176" s="8" t="s">
        <v>232</v>
      </c>
      <c r="C176" s="8" t="s">
        <v>93</v>
      </c>
      <c r="D176" s="8" t="s">
        <v>6427</v>
      </c>
      <c r="E176" s="8">
        <v>71.0</v>
      </c>
    </row>
    <row r="177">
      <c r="A177" s="8" t="s">
        <v>764</v>
      </c>
      <c r="B177" s="8" t="s">
        <v>763</v>
      </c>
      <c r="C177" s="8" t="s">
        <v>59</v>
      </c>
      <c r="D177" s="8" t="s">
        <v>6428</v>
      </c>
      <c r="E177" s="8">
        <v>78.0</v>
      </c>
    </row>
    <row r="178">
      <c r="A178" s="8" t="s">
        <v>2729</v>
      </c>
      <c r="B178" s="8" t="s">
        <v>2728</v>
      </c>
      <c r="C178" s="8" t="s">
        <v>192</v>
      </c>
      <c r="D178" s="8" t="s">
        <v>6413</v>
      </c>
      <c r="E178" s="8">
        <v>83.0</v>
      </c>
    </row>
    <row r="179">
      <c r="A179" s="8" t="s">
        <v>860</v>
      </c>
      <c r="B179" s="8" t="s">
        <v>859</v>
      </c>
      <c r="C179" s="8" t="s">
        <v>93</v>
      </c>
      <c r="D179" s="8" t="s">
        <v>6416</v>
      </c>
      <c r="E179" s="8">
        <v>75.0</v>
      </c>
    </row>
    <row r="180">
      <c r="A180" s="8" t="s">
        <v>479</v>
      </c>
      <c r="B180" s="8" t="s">
        <v>3030</v>
      </c>
      <c r="C180" s="8" t="s">
        <v>24</v>
      </c>
      <c r="D180" s="8" t="s">
        <v>6421</v>
      </c>
      <c r="E180" s="8">
        <v>65.0</v>
      </c>
    </row>
    <row r="181">
      <c r="A181" s="8" t="s">
        <v>479</v>
      </c>
      <c r="B181" s="8" t="s">
        <v>478</v>
      </c>
      <c r="C181" s="8" t="s">
        <v>24</v>
      </c>
      <c r="D181" s="8" t="s">
        <v>6423</v>
      </c>
      <c r="E181" s="8">
        <v>46.0</v>
      </c>
    </row>
    <row r="182">
      <c r="A182" s="8" t="s">
        <v>479</v>
      </c>
      <c r="B182" s="8" t="s">
        <v>460</v>
      </c>
      <c r="C182" s="8" t="s">
        <v>122</v>
      </c>
      <c r="D182" s="8" t="s">
        <v>6424</v>
      </c>
      <c r="E182" s="8">
        <v>68.0</v>
      </c>
    </row>
    <row r="183">
      <c r="A183" s="8" t="s">
        <v>50</v>
      </c>
      <c r="B183" s="8" t="s">
        <v>2840</v>
      </c>
      <c r="C183" s="8" t="s">
        <v>186</v>
      </c>
      <c r="D183" s="8" t="s">
        <v>6438</v>
      </c>
      <c r="E183" s="8">
        <v>66.0</v>
      </c>
    </row>
    <row r="184">
      <c r="A184" s="8" t="s">
        <v>50</v>
      </c>
      <c r="B184" s="8" t="s">
        <v>2857</v>
      </c>
      <c r="C184" s="8" t="s">
        <v>46</v>
      </c>
      <c r="D184" s="8" t="s">
        <v>6440</v>
      </c>
      <c r="E184" s="8">
        <v>66.0</v>
      </c>
    </row>
    <row r="185">
      <c r="A185" s="8" t="s">
        <v>50</v>
      </c>
      <c r="B185" s="8" t="s">
        <v>1220</v>
      </c>
      <c r="C185" s="8" t="s">
        <v>24</v>
      </c>
      <c r="D185" s="8" t="s">
        <v>6413</v>
      </c>
      <c r="E185" s="8">
        <v>66.0</v>
      </c>
    </row>
    <row r="186">
      <c r="A186" s="8" t="s">
        <v>50</v>
      </c>
      <c r="B186" s="8" t="s">
        <v>1379</v>
      </c>
      <c r="C186" s="8" t="s">
        <v>75</v>
      </c>
      <c r="D186" s="8" t="s">
        <v>6440</v>
      </c>
      <c r="E186" s="8">
        <v>63.0</v>
      </c>
    </row>
    <row r="187">
      <c r="A187" s="8" t="s">
        <v>50</v>
      </c>
      <c r="B187" s="8" t="s">
        <v>49</v>
      </c>
      <c r="C187" s="8" t="s">
        <v>16</v>
      </c>
      <c r="D187" s="8" t="s">
        <v>6439</v>
      </c>
      <c r="E187" s="8">
        <v>91.0</v>
      </c>
    </row>
    <row r="188">
      <c r="A188" s="8" t="s">
        <v>50</v>
      </c>
      <c r="B188" s="8" t="s">
        <v>284</v>
      </c>
      <c r="C188" s="8" t="s">
        <v>141</v>
      </c>
      <c r="D188" s="8" t="s">
        <v>6423</v>
      </c>
      <c r="E188" s="8">
        <v>83.0</v>
      </c>
    </row>
    <row r="189">
      <c r="A189" s="8" t="s">
        <v>50</v>
      </c>
      <c r="B189" s="8" t="s">
        <v>266</v>
      </c>
      <c r="C189" s="8" t="s">
        <v>141</v>
      </c>
      <c r="D189" s="8" t="s">
        <v>6431</v>
      </c>
      <c r="E189" s="8">
        <v>66.0</v>
      </c>
    </row>
    <row r="190">
      <c r="A190" s="8" t="s">
        <v>50</v>
      </c>
      <c r="B190" s="8" t="s">
        <v>2150</v>
      </c>
      <c r="C190" s="8" t="s">
        <v>186</v>
      </c>
      <c r="D190" s="8" t="s">
        <v>6441</v>
      </c>
      <c r="E190" s="8">
        <v>63.0</v>
      </c>
    </row>
    <row r="191">
      <c r="A191" s="8" t="s">
        <v>50</v>
      </c>
      <c r="B191" s="8" t="s">
        <v>3179</v>
      </c>
      <c r="C191" s="8" t="s">
        <v>186</v>
      </c>
      <c r="D191" s="8" t="s">
        <v>6441</v>
      </c>
      <c r="E191" s="8">
        <v>61.0</v>
      </c>
    </row>
    <row r="192">
      <c r="A192" s="8" t="s">
        <v>50</v>
      </c>
      <c r="B192" s="8" t="s">
        <v>1801</v>
      </c>
      <c r="C192" s="8" t="s">
        <v>186</v>
      </c>
      <c r="D192" s="8" t="s">
        <v>6429</v>
      </c>
      <c r="E192" s="8">
        <v>65.0</v>
      </c>
    </row>
    <row r="193">
      <c r="A193" s="8" t="s">
        <v>1255</v>
      </c>
      <c r="B193" s="8" t="s">
        <v>1254</v>
      </c>
      <c r="C193" s="8" t="s">
        <v>186</v>
      </c>
      <c r="D193" s="8" t="s">
        <v>6434</v>
      </c>
      <c r="E193" s="8">
        <v>82.0</v>
      </c>
    </row>
    <row r="194">
      <c r="A194" s="8" t="s">
        <v>2683</v>
      </c>
      <c r="B194" s="8" t="s">
        <v>2682</v>
      </c>
      <c r="C194" s="8" t="s">
        <v>93</v>
      </c>
      <c r="D194" s="8" t="s">
        <v>6417</v>
      </c>
      <c r="E194" s="8">
        <v>69.0</v>
      </c>
    </row>
    <row r="195">
      <c r="A195" s="8" t="s">
        <v>35</v>
      </c>
      <c r="B195" s="8" t="s">
        <v>34</v>
      </c>
      <c r="C195" s="8" t="s">
        <v>24</v>
      </c>
      <c r="D195" s="8" t="s">
        <v>6435</v>
      </c>
      <c r="E195" s="8">
        <v>80.0</v>
      </c>
    </row>
    <row r="196">
      <c r="A196" s="8" t="s">
        <v>686</v>
      </c>
      <c r="B196" s="8" t="s">
        <v>2791</v>
      </c>
      <c r="C196" s="8" t="s">
        <v>65</v>
      </c>
      <c r="D196" s="8" t="s">
        <v>6412</v>
      </c>
      <c r="E196" s="8">
        <v>71.0</v>
      </c>
    </row>
    <row r="197">
      <c r="A197" s="8" t="s">
        <v>686</v>
      </c>
      <c r="B197" s="8" t="s">
        <v>222</v>
      </c>
      <c r="C197" s="8" t="s">
        <v>122</v>
      </c>
      <c r="D197" s="8" t="s">
        <v>6437</v>
      </c>
      <c r="E197" s="8">
        <v>78.0</v>
      </c>
    </row>
    <row r="198">
      <c r="A198" s="8" t="s">
        <v>503</v>
      </c>
      <c r="B198" s="8" t="s">
        <v>3220</v>
      </c>
      <c r="C198" s="8" t="s">
        <v>70</v>
      </c>
      <c r="D198" s="8" t="s">
        <v>6427</v>
      </c>
      <c r="E198" s="8">
        <v>74.0</v>
      </c>
    </row>
    <row r="199">
      <c r="A199" s="8" t="s">
        <v>754</v>
      </c>
      <c r="B199" s="8" t="s">
        <v>753</v>
      </c>
      <c r="C199" s="8" t="s">
        <v>215</v>
      </c>
      <c r="D199" s="8" t="s">
        <v>6442</v>
      </c>
      <c r="E199" s="8">
        <v>74.0</v>
      </c>
    </row>
    <row r="200">
      <c r="A200" s="8" t="s">
        <v>847</v>
      </c>
      <c r="B200" s="8" t="s">
        <v>1287</v>
      </c>
      <c r="C200" s="8" t="s">
        <v>70</v>
      </c>
      <c r="D200" s="8" t="s">
        <v>6412</v>
      </c>
      <c r="E200" s="8">
        <v>69.0</v>
      </c>
    </row>
    <row r="201">
      <c r="A201" s="8" t="s">
        <v>847</v>
      </c>
      <c r="B201" s="8" t="s">
        <v>3410</v>
      </c>
      <c r="C201" s="8" t="s">
        <v>65</v>
      </c>
      <c r="D201" s="8" t="s">
        <v>6426</v>
      </c>
      <c r="E201" s="8">
        <v>60.0</v>
      </c>
    </row>
    <row r="202">
      <c r="A202" s="8" t="s">
        <v>2388</v>
      </c>
      <c r="B202" s="8" t="s">
        <v>2220</v>
      </c>
      <c r="C202" s="8" t="s">
        <v>70</v>
      </c>
      <c r="D202" s="8" t="s">
        <v>6440</v>
      </c>
      <c r="E202" s="8">
        <v>81.0</v>
      </c>
    </row>
    <row r="203">
      <c r="A203" s="8" t="s">
        <v>1044</v>
      </c>
      <c r="B203" s="8" t="s">
        <v>3502</v>
      </c>
      <c r="C203" s="8" t="s">
        <v>138</v>
      </c>
      <c r="D203" s="8" t="s">
        <v>6412</v>
      </c>
      <c r="E203" s="8">
        <v>68.0</v>
      </c>
    </row>
    <row r="204">
      <c r="A204" s="8" t="s">
        <v>1044</v>
      </c>
      <c r="B204" s="8" t="s">
        <v>1043</v>
      </c>
      <c r="C204" s="8" t="s">
        <v>132</v>
      </c>
      <c r="D204" s="8" t="s">
        <v>6412</v>
      </c>
      <c r="E204" s="8">
        <v>68.0</v>
      </c>
    </row>
    <row r="205">
      <c r="A205" s="8" t="s">
        <v>3176</v>
      </c>
      <c r="B205" s="8" t="s">
        <v>1962</v>
      </c>
      <c r="C205" s="8" t="s">
        <v>70</v>
      </c>
      <c r="D205" s="8" t="s">
        <v>6429</v>
      </c>
      <c r="E205" s="8">
        <v>72.0</v>
      </c>
    </row>
    <row r="206">
      <c r="A206" s="8" t="s">
        <v>514</v>
      </c>
      <c r="B206" s="8" t="s">
        <v>513</v>
      </c>
      <c r="C206" s="8" t="s">
        <v>16</v>
      </c>
      <c r="D206" s="8" t="s">
        <v>6419</v>
      </c>
      <c r="E206" s="8">
        <v>72.0</v>
      </c>
    </row>
    <row r="207">
      <c r="A207" s="8" t="s">
        <v>1090</v>
      </c>
      <c r="B207" s="8" t="s">
        <v>106</v>
      </c>
      <c r="C207" s="8" t="s">
        <v>53</v>
      </c>
      <c r="D207" s="8" t="s">
        <v>6413</v>
      </c>
      <c r="E207" s="8">
        <v>68.0</v>
      </c>
    </row>
    <row r="208">
      <c r="A208" s="8" t="s">
        <v>1090</v>
      </c>
      <c r="B208" s="8" t="s">
        <v>3496</v>
      </c>
      <c r="C208" s="8" t="s">
        <v>12</v>
      </c>
      <c r="D208" s="8" t="s">
        <v>6433</v>
      </c>
      <c r="E208" s="8">
        <v>72.0</v>
      </c>
    </row>
    <row r="209">
      <c r="A209" s="8" t="s">
        <v>647</v>
      </c>
      <c r="B209" s="8" t="s">
        <v>646</v>
      </c>
      <c r="C209" s="8" t="s">
        <v>24</v>
      </c>
      <c r="D209" s="8" t="s">
        <v>6422</v>
      </c>
      <c r="E209" s="8">
        <v>65.0</v>
      </c>
    </row>
    <row r="210">
      <c r="A210" s="8" t="s">
        <v>647</v>
      </c>
      <c r="B210" s="8" t="s">
        <v>1619</v>
      </c>
      <c r="C210" s="8" t="s">
        <v>70</v>
      </c>
      <c r="D210" s="8" t="s">
        <v>6426</v>
      </c>
      <c r="E210" s="8">
        <v>54.0</v>
      </c>
    </row>
    <row r="211">
      <c r="A211" s="8" t="s">
        <v>647</v>
      </c>
      <c r="B211" s="8" t="s">
        <v>1132</v>
      </c>
      <c r="C211" s="8" t="s">
        <v>93</v>
      </c>
      <c r="D211" s="8" t="s">
        <v>6414</v>
      </c>
      <c r="E211" s="8">
        <v>65.0</v>
      </c>
    </row>
    <row r="212">
      <c r="A212" s="8" t="s">
        <v>647</v>
      </c>
      <c r="B212" s="8" t="s">
        <v>1485</v>
      </c>
      <c r="C212" s="8" t="s">
        <v>24</v>
      </c>
      <c r="D212" s="8" t="s">
        <v>6442</v>
      </c>
      <c r="E212" s="8">
        <v>67.0</v>
      </c>
    </row>
    <row r="213">
      <c r="A213" s="8" t="s">
        <v>647</v>
      </c>
      <c r="B213" s="8" t="s">
        <v>1526</v>
      </c>
      <c r="C213" s="8" t="s">
        <v>186</v>
      </c>
      <c r="D213" s="8" t="s">
        <v>6421</v>
      </c>
      <c r="E213" s="8">
        <v>74.0</v>
      </c>
    </row>
    <row r="214">
      <c r="A214" s="8" t="s">
        <v>647</v>
      </c>
      <c r="B214" s="8" t="s">
        <v>857</v>
      </c>
      <c r="C214" s="8" t="s">
        <v>16</v>
      </c>
      <c r="D214" s="8" t="s">
        <v>6413</v>
      </c>
      <c r="E214" s="8">
        <v>77.0</v>
      </c>
    </row>
    <row r="215">
      <c r="A215" s="8" t="s">
        <v>624</v>
      </c>
      <c r="B215" s="8" t="s">
        <v>623</v>
      </c>
      <c r="C215" s="8" t="s">
        <v>93</v>
      </c>
      <c r="D215" s="8" t="s">
        <v>6431</v>
      </c>
      <c r="E215" s="8">
        <v>71.0</v>
      </c>
    </row>
    <row r="216">
      <c r="A216" s="8" t="s">
        <v>399</v>
      </c>
      <c r="B216" s="8" t="s">
        <v>1250</v>
      </c>
      <c r="C216" s="8" t="s">
        <v>93</v>
      </c>
      <c r="D216" s="8" t="s">
        <v>6415</v>
      </c>
      <c r="E216" s="8">
        <v>74.0</v>
      </c>
    </row>
    <row r="217">
      <c r="A217" s="8" t="s">
        <v>399</v>
      </c>
      <c r="B217" s="8" t="s">
        <v>398</v>
      </c>
      <c r="C217" s="8" t="s">
        <v>149</v>
      </c>
      <c r="D217" s="8" t="s">
        <v>6427</v>
      </c>
      <c r="E217" s="8">
        <v>73.0</v>
      </c>
    </row>
    <row r="218">
      <c r="A218" s="8" t="s">
        <v>399</v>
      </c>
      <c r="B218" s="8" t="s">
        <v>1468</v>
      </c>
      <c r="C218" s="8" t="s">
        <v>149</v>
      </c>
      <c r="D218" s="8" t="s">
        <v>6425</v>
      </c>
      <c r="E218" s="8">
        <v>70.0</v>
      </c>
    </row>
    <row r="219">
      <c r="A219" s="8" t="s">
        <v>399</v>
      </c>
      <c r="B219" s="8" t="s">
        <v>611</v>
      </c>
      <c r="C219" s="8" t="s">
        <v>186</v>
      </c>
      <c r="D219" s="8" t="s">
        <v>6433</v>
      </c>
      <c r="E219" s="8">
        <v>93.0</v>
      </c>
    </row>
    <row r="220">
      <c r="A220" s="8" t="s">
        <v>2025</v>
      </c>
      <c r="B220" s="8" t="s">
        <v>3141</v>
      </c>
      <c r="C220" s="8" t="s">
        <v>65</v>
      </c>
      <c r="D220" s="8" t="s">
        <v>6426</v>
      </c>
      <c r="E220" s="8">
        <v>62.0</v>
      </c>
    </row>
    <row r="221">
      <c r="A221" s="8" t="s">
        <v>1604</v>
      </c>
      <c r="B221" s="8" t="s">
        <v>3143</v>
      </c>
      <c r="C221" s="8" t="s">
        <v>38</v>
      </c>
      <c r="D221" s="8" t="s">
        <v>6425</v>
      </c>
      <c r="E221" s="8">
        <v>77.0</v>
      </c>
    </row>
    <row r="222">
      <c r="A222" s="8" t="s">
        <v>1604</v>
      </c>
      <c r="B222" s="8" t="s">
        <v>1603</v>
      </c>
      <c r="C222" s="8" t="s">
        <v>149</v>
      </c>
      <c r="D222" s="8" t="s">
        <v>6423</v>
      </c>
      <c r="E222" s="8">
        <v>65.0</v>
      </c>
    </row>
    <row r="223">
      <c r="A223" s="8" t="s">
        <v>1604</v>
      </c>
      <c r="B223" s="8" t="s">
        <v>2871</v>
      </c>
      <c r="C223" s="8" t="s">
        <v>16</v>
      </c>
      <c r="D223" s="8" t="s">
        <v>6420</v>
      </c>
      <c r="E223" s="8">
        <v>64.0</v>
      </c>
    </row>
    <row r="224">
      <c r="A224" s="8" t="s">
        <v>1604</v>
      </c>
      <c r="B224" s="8" t="s">
        <v>3377</v>
      </c>
      <c r="C224" s="8" t="s">
        <v>38</v>
      </c>
      <c r="D224" s="8" t="s">
        <v>6413</v>
      </c>
      <c r="E224" s="8">
        <v>77.0</v>
      </c>
    </row>
    <row r="225">
      <c r="A225" s="8" t="s">
        <v>436</v>
      </c>
      <c r="B225" s="8" t="s">
        <v>1018</v>
      </c>
      <c r="C225" s="8" t="s">
        <v>93</v>
      </c>
      <c r="D225" s="8" t="s">
        <v>6412</v>
      </c>
      <c r="E225" s="8">
        <v>77.0</v>
      </c>
    </row>
    <row r="226">
      <c r="A226" s="8" t="s">
        <v>436</v>
      </c>
      <c r="B226" s="8" t="s">
        <v>2007</v>
      </c>
      <c r="C226" s="8" t="s">
        <v>65</v>
      </c>
      <c r="D226" s="8" t="s">
        <v>6414</v>
      </c>
      <c r="E226" s="8">
        <v>64.0</v>
      </c>
    </row>
    <row r="227">
      <c r="A227" s="8" t="s">
        <v>436</v>
      </c>
      <c r="B227" s="8" t="s">
        <v>756</v>
      </c>
      <c r="C227" s="8" t="s">
        <v>80</v>
      </c>
      <c r="D227" s="8" t="s">
        <v>6433</v>
      </c>
      <c r="E227" s="8">
        <v>78.0</v>
      </c>
    </row>
    <row r="228">
      <c r="A228" s="8" t="s">
        <v>436</v>
      </c>
      <c r="B228" s="8" t="s">
        <v>435</v>
      </c>
      <c r="C228" s="8" t="s">
        <v>46</v>
      </c>
      <c r="D228" s="8" t="s">
        <v>6427</v>
      </c>
      <c r="E228" s="8">
        <v>67.0</v>
      </c>
    </row>
    <row r="229">
      <c r="A229" s="8" t="s">
        <v>436</v>
      </c>
      <c r="B229" s="8" t="s">
        <v>1572</v>
      </c>
      <c r="C229" s="8" t="s">
        <v>38</v>
      </c>
      <c r="D229" s="8" t="s">
        <v>6422</v>
      </c>
      <c r="E229" s="8">
        <v>73.0</v>
      </c>
    </row>
    <row r="230">
      <c r="A230" s="8" t="s">
        <v>1204</v>
      </c>
      <c r="B230" s="8" t="s">
        <v>1064</v>
      </c>
      <c r="C230" s="8" t="s">
        <v>46</v>
      </c>
      <c r="D230" s="8" t="s">
        <v>6413</v>
      </c>
      <c r="E230" s="8">
        <v>73.0</v>
      </c>
    </row>
    <row r="231">
      <c r="A231" s="8" t="s">
        <v>1204</v>
      </c>
      <c r="B231" s="8" t="s">
        <v>208</v>
      </c>
      <c r="C231" s="8" t="s">
        <v>215</v>
      </c>
      <c r="D231" s="8" t="s">
        <v>6438</v>
      </c>
      <c r="E231" s="8">
        <v>61.0</v>
      </c>
    </row>
    <row r="232">
      <c r="A232" s="8" t="s">
        <v>1204</v>
      </c>
      <c r="B232" s="8" t="s">
        <v>2393</v>
      </c>
      <c r="C232" s="8" t="s">
        <v>70</v>
      </c>
      <c r="D232" s="8" t="s">
        <v>6432</v>
      </c>
      <c r="E232" s="8">
        <v>79.0</v>
      </c>
    </row>
    <row r="233">
      <c r="A233" s="8" t="s">
        <v>1413</v>
      </c>
      <c r="B233" s="8" t="s">
        <v>1412</v>
      </c>
      <c r="C233" s="8" t="s">
        <v>65</v>
      </c>
      <c r="D233" s="8" t="s">
        <v>6436</v>
      </c>
      <c r="E233" s="8">
        <v>86.0</v>
      </c>
    </row>
    <row r="234">
      <c r="A234" s="8" t="s">
        <v>121</v>
      </c>
      <c r="B234" s="8" t="s">
        <v>2315</v>
      </c>
      <c r="C234" s="8" t="s">
        <v>93</v>
      </c>
      <c r="D234" s="8" t="s">
        <v>6435</v>
      </c>
      <c r="E234" s="8">
        <v>71.0</v>
      </c>
    </row>
    <row r="235">
      <c r="A235" s="8" t="s">
        <v>121</v>
      </c>
      <c r="B235" s="8" t="s">
        <v>62</v>
      </c>
      <c r="C235" s="8" t="s">
        <v>75</v>
      </c>
      <c r="D235" s="8" t="s">
        <v>6420</v>
      </c>
      <c r="E235" s="8">
        <v>67.0</v>
      </c>
    </row>
    <row r="236">
      <c r="A236" s="8" t="s">
        <v>121</v>
      </c>
      <c r="B236" s="8" t="s">
        <v>224</v>
      </c>
      <c r="C236" s="8" t="s">
        <v>132</v>
      </c>
      <c r="D236" s="8" t="s">
        <v>6424</v>
      </c>
      <c r="E236" s="8">
        <v>89.0</v>
      </c>
    </row>
    <row r="237">
      <c r="A237" s="8" t="s">
        <v>121</v>
      </c>
      <c r="B237" s="8" t="s">
        <v>78</v>
      </c>
      <c r="C237" s="8" t="s">
        <v>24</v>
      </c>
      <c r="D237" s="8" t="s">
        <v>6428</v>
      </c>
      <c r="E237" s="8">
        <v>71.0</v>
      </c>
    </row>
    <row r="238">
      <c r="A238" s="8" t="s">
        <v>121</v>
      </c>
      <c r="B238" s="8" t="s">
        <v>324</v>
      </c>
      <c r="C238" s="8" t="s">
        <v>65</v>
      </c>
      <c r="D238" s="8" t="s">
        <v>6430</v>
      </c>
      <c r="E238" s="8">
        <v>69.0</v>
      </c>
    </row>
    <row r="239">
      <c r="A239" s="8" t="s">
        <v>121</v>
      </c>
      <c r="B239" s="8" t="s">
        <v>3134</v>
      </c>
      <c r="C239" s="8" t="s">
        <v>70</v>
      </c>
      <c r="D239" s="8" t="s">
        <v>6440</v>
      </c>
      <c r="E239" s="8">
        <v>65.0</v>
      </c>
    </row>
    <row r="240">
      <c r="A240" s="8" t="s">
        <v>121</v>
      </c>
      <c r="B240" s="8" t="s">
        <v>2798</v>
      </c>
      <c r="C240" s="8" t="s">
        <v>75</v>
      </c>
      <c r="D240" s="8" t="s">
        <v>6422</v>
      </c>
      <c r="E240" s="8">
        <v>70.0</v>
      </c>
    </row>
    <row r="241">
      <c r="A241" s="8" t="s">
        <v>121</v>
      </c>
      <c r="B241" s="8" t="s">
        <v>3230</v>
      </c>
      <c r="C241" s="8" t="s">
        <v>16</v>
      </c>
      <c r="D241" s="8" t="s">
        <v>6415</v>
      </c>
      <c r="E241" s="8">
        <v>61.0</v>
      </c>
    </row>
    <row r="242">
      <c r="A242" s="8" t="s">
        <v>121</v>
      </c>
      <c r="B242" s="8" t="s">
        <v>1022</v>
      </c>
      <c r="C242" s="8" t="s">
        <v>132</v>
      </c>
      <c r="D242" s="8" t="s">
        <v>6416</v>
      </c>
      <c r="E242" s="8">
        <v>86.0</v>
      </c>
    </row>
    <row r="243">
      <c r="A243" s="8" t="s">
        <v>121</v>
      </c>
      <c r="B243" s="8" t="s">
        <v>444</v>
      </c>
      <c r="C243" s="8" t="s">
        <v>122</v>
      </c>
      <c r="D243" s="8" t="s">
        <v>6417</v>
      </c>
      <c r="E243" s="8">
        <v>67.0</v>
      </c>
    </row>
    <row r="244">
      <c r="A244" s="8" t="s">
        <v>121</v>
      </c>
      <c r="B244" s="8" t="s">
        <v>460</v>
      </c>
      <c r="C244" s="8" t="s">
        <v>16</v>
      </c>
      <c r="D244" s="8" t="s">
        <v>6413</v>
      </c>
      <c r="E244" s="8">
        <v>63.0</v>
      </c>
    </row>
    <row r="245">
      <c r="A245" s="8" t="s">
        <v>121</v>
      </c>
      <c r="B245" s="8" t="s">
        <v>474</v>
      </c>
      <c r="C245" s="8" t="s">
        <v>70</v>
      </c>
      <c r="D245" s="8" t="s">
        <v>6436</v>
      </c>
      <c r="E245" s="8">
        <v>72.0</v>
      </c>
    </row>
    <row r="246">
      <c r="A246" s="8" t="s">
        <v>121</v>
      </c>
      <c r="B246" s="8" t="s">
        <v>78</v>
      </c>
      <c r="C246" s="8" t="s">
        <v>122</v>
      </c>
      <c r="D246" s="8" t="s">
        <v>6435</v>
      </c>
      <c r="E246" s="8">
        <v>82.0</v>
      </c>
    </row>
    <row r="247">
      <c r="A247" s="8" t="s">
        <v>121</v>
      </c>
      <c r="B247" s="8" t="s">
        <v>120</v>
      </c>
      <c r="C247" s="8" t="s">
        <v>122</v>
      </c>
      <c r="D247" s="8" t="s">
        <v>6432</v>
      </c>
      <c r="E247" s="8">
        <v>82.0</v>
      </c>
    </row>
    <row r="248">
      <c r="A248" s="8" t="s">
        <v>121</v>
      </c>
      <c r="B248" s="8" t="s">
        <v>662</v>
      </c>
      <c r="C248" s="8" t="s">
        <v>138</v>
      </c>
      <c r="D248" s="8" t="s">
        <v>6420</v>
      </c>
      <c r="E248" s="8">
        <v>66.0</v>
      </c>
    </row>
    <row r="249">
      <c r="A249" s="8" t="s">
        <v>121</v>
      </c>
      <c r="B249" s="8" t="s">
        <v>2277</v>
      </c>
      <c r="C249" s="8" t="s">
        <v>53</v>
      </c>
      <c r="D249" s="8" t="s">
        <v>6415</v>
      </c>
      <c r="E249" s="8">
        <v>62.0</v>
      </c>
    </row>
    <row r="250">
      <c r="A250" s="8" t="s">
        <v>121</v>
      </c>
      <c r="B250" s="8" t="s">
        <v>877</v>
      </c>
      <c r="C250" s="8" t="s">
        <v>65</v>
      </c>
      <c r="D250" s="8" t="s">
        <v>6418</v>
      </c>
      <c r="E250" s="8">
        <v>72.0</v>
      </c>
    </row>
    <row r="251">
      <c r="A251" s="8" t="s">
        <v>121</v>
      </c>
      <c r="B251" s="8" t="s">
        <v>956</v>
      </c>
      <c r="C251" s="8" t="s">
        <v>80</v>
      </c>
      <c r="D251" s="8" t="s">
        <v>6436</v>
      </c>
      <c r="E251" s="8">
        <v>62.0</v>
      </c>
    </row>
    <row r="252">
      <c r="A252" s="8" t="s">
        <v>121</v>
      </c>
      <c r="B252" s="8" t="s">
        <v>405</v>
      </c>
      <c r="C252" s="8" t="s">
        <v>186</v>
      </c>
      <c r="D252" s="8" t="s">
        <v>6412</v>
      </c>
      <c r="E252" s="8">
        <v>86.0</v>
      </c>
    </row>
    <row r="253">
      <c r="A253" s="8" t="s">
        <v>121</v>
      </c>
      <c r="B253" s="8" t="s">
        <v>3126</v>
      </c>
      <c r="C253" s="8" t="s">
        <v>16</v>
      </c>
      <c r="D253" s="8" t="s">
        <v>6434</v>
      </c>
      <c r="E253" s="8">
        <v>68.0</v>
      </c>
    </row>
    <row r="254">
      <c r="A254" s="8" t="s">
        <v>121</v>
      </c>
      <c r="B254" s="8" t="s">
        <v>451</v>
      </c>
      <c r="C254" s="8" t="s">
        <v>70</v>
      </c>
      <c r="D254" s="8" t="s">
        <v>6417</v>
      </c>
      <c r="E254" s="8">
        <v>64.0</v>
      </c>
    </row>
    <row r="255">
      <c r="A255" s="8" t="s">
        <v>121</v>
      </c>
      <c r="B255" s="8" t="s">
        <v>1158</v>
      </c>
      <c r="C255" s="8" t="s">
        <v>215</v>
      </c>
      <c r="D255" s="8" t="s">
        <v>6434</v>
      </c>
      <c r="E255" s="8">
        <v>68.0</v>
      </c>
    </row>
    <row r="256">
      <c r="A256" s="8" t="s">
        <v>121</v>
      </c>
      <c r="B256" s="8" t="s">
        <v>78</v>
      </c>
      <c r="C256" s="8" t="s">
        <v>93</v>
      </c>
      <c r="D256" s="8" t="s">
        <v>6419</v>
      </c>
      <c r="E256" s="8">
        <v>69.0</v>
      </c>
    </row>
    <row r="257">
      <c r="A257" s="8" t="s">
        <v>121</v>
      </c>
      <c r="B257" s="8" t="s">
        <v>405</v>
      </c>
      <c r="C257" s="8" t="s">
        <v>65</v>
      </c>
      <c r="D257" s="8" t="s">
        <v>6425</v>
      </c>
      <c r="E257" s="8">
        <v>85.0</v>
      </c>
    </row>
    <row r="258">
      <c r="A258" s="8" t="s">
        <v>121</v>
      </c>
      <c r="B258" s="8" t="s">
        <v>1024</v>
      </c>
      <c r="C258" s="8" t="s">
        <v>149</v>
      </c>
      <c r="D258" s="8" t="s">
        <v>6440</v>
      </c>
      <c r="E258" s="8">
        <v>69.0</v>
      </c>
    </row>
    <row r="259">
      <c r="A259" s="8" t="s">
        <v>121</v>
      </c>
      <c r="B259" s="8" t="s">
        <v>203</v>
      </c>
      <c r="C259" s="8" t="s">
        <v>215</v>
      </c>
      <c r="D259" s="8" t="s">
        <v>6424</v>
      </c>
      <c r="E259" s="8">
        <v>95.0</v>
      </c>
    </row>
    <row r="260">
      <c r="A260" s="8" t="s">
        <v>121</v>
      </c>
      <c r="B260" s="8" t="s">
        <v>968</v>
      </c>
      <c r="C260" s="8" t="s">
        <v>141</v>
      </c>
      <c r="D260" s="8" t="s">
        <v>6413</v>
      </c>
      <c r="E260" s="8">
        <v>85.0</v>
      </c>
    </row>
    <row r="261">
      <c r="A261" s="8" t="s">
        <v>121</v>
      </c>
      <c r="B261" s="8" t="s">
        <v>2887</v>
      </c>
      <c r="C261" s="8" t="s">
        <v>65</v>
      </c>
      <c r="D261" s="8" t="s">
        <v>6417</v>
      </c>
      <c r="E261" s="8">
        <v>82.0</v>
      </c>
    </row>
    <row r="262">
      <c r="A262" s="8" t="s">
        <v>121</v>
      </c>
      <c r="B262" s="8" t="s">
        <v>757</v>
      </c>
      <c r="C262" s="8" t="s">
        <v>12</v>
      </c>
      <c r="D262" s="8" t="s">
        <v>6412</v>
      </c>
      <c r="E262" s="8">
        <v>80.0</v>
      </c>
    </row>
    <row r="263">
      <c r="A263" s="8" t="s">
        <v>121</v>
      </c>
      <c r="B263" s="8" t="s">
        <v>144</v>
      </c>
      <c r="C263" s="8" t="s">
        <v>93</v>
      </c>
      <c r="D263" s="8" t="s">
        <v>6435</v>
      </c>
      <c r="E263" s="8">
        <v>79.0</v>
      </c>
    </row>
    <row r="264">
      <c r="A264" s="8" t="s">
        <v>1262</v>
      </c>
      <c r="B264" s="8" t="s">
        <v>402</v>
      </c>
      <c r="C264" s="8" t="s">
        <v>65</v>
      </c>
      <c r="D264" s="8" t="s">
        <v>6434</v>
      </c>
      <c r="E264" s="8">
        <v>73.0</v>
      </c>
    </row>
    <row r="265">
      <c r="A265" s="8" t="s">
        <v>1872</v>
      </c>
      <c r="B265" s="8" t="s">
        <v>1871</v>
      </c>
      <c r="C265" s="8" t="s">
        <v>93</v>
      </c>
      <c r="D265" s="8" t="s">
        <v>6412</v>
      </c>
      <c r="E265" s="8">
        <v>68.0</v>
      </c>
    </row>
    <row r="266">
      <c r="A266" s="8" t="s">
        <v>1308</v>
      </c>
      <c r="B266" s="8" t="s">
        <v>1307</v>
      </c>
      <c r="C266" s="8" t="s">
        <v>53</v>
      </c>
      <c r="D266" s="8" t="s">
        <v>6434</v>
      </c>
      <c r="E266" s="8">
        <v>66.0</v>
      </c>
    </row>
    <row r="267">
      <c r="A267" s="8" t="s">
        <v>2806</v>
      </c>
      <c r="B267" s="8" t="s">
        <v>2805</v>
      </c>
      <c r="C267" s="8" t="s">
        <v>149</v>
      </c>
      <c r="D267" s="8" t="s">
        <v>6434</v>
      </c>
      <c r="E267" s="8">
        <v>69.0</v>
      </c>
    </row>
    <row r="268">
      <c r="A268" s="8" t="s">
        <v>780</v>
      </c>
      <c r="B268" s="8" t="s">
        <v>817</v>
      </c>
      <c r="C268" s="8" t="s">
        <v>215</v>
      </c>
      <c r="D268" s="8" t="s">
        <v>6435</v>
      </c>
      <c r="E268" s="8">
        <v>69.0</v>
      </c>
    </row>
    <row r="269">
      <c r="A269" s="8" t="s">
        <v>780</v>
      </c>
      <c r="B269" s="8" t="s">
        <v>779</v>
      </c>
      <c r="C269" s="8" t="s">
        <v>149</v>
      </c>
      <c r="D269" s="8" t="s">
        <v>6440</v>
      </c>
      <c r="E269" s="8">
        <v>69.0</v>
      </c>
    </row>
    <row r="270">
      <c r="A270" s="8" t="s">
        <v>780</v>
      </c>
      <c r="B270" s="8" t="s">
        <v>2822</v>
      </c>
      <c r="C270" s="8" t="s">
        <v>93</v>
      </c>
      <c r="D270" s="8" t="s">
        <v>6426</v>
      </c>
      <c r="E270" s="8">
        <v>88.0</v>
      </c>
    </row>
    <row r="271">
      <c r="A271" s="8" t="s">
        <v>780</v>
      </c>
      <c r="B271" s="8" t="s">
        <v>251</v>
      </c>
      <c r="C271" s="8" t="s">
        <v>24</v>
      </c>
      <c r="D271" s="8" t="s">
        <v>6424</v>
      </c>
      <c r="E271" s="8">
        <v>82.0</v>
      </c>
    </row>
    <row r="272">
      <c r="A272" s="8" t="s">
        <v>3174</v>
      </c>
      <c r="B272" s="8" t="s">
        <v>3173</v>
      </c>
      <c r="C272" s="8" t="s">
        <v>65</v>
      </c>
      <c r="D272" s="8" t="s">
        <v>6441</v>
      </c>
      <c r="E272" s="8">
        <v>69.0</v>
      </c>
    </row>
    <row r="273">
      <c r="A273" s="8" t="s">
        <v>1570</v>
      </c>
      <c r="B273" s="8" t="s">
        <v>1569</v>
      </c>
      <c r="C273" s="8" t="s">
        <v>65</v>
      </c>
      <c r="D273" s="8" t="s">
        <v>6435</v>
      </c>
      <c r="E273" s="8">
        <v>74.0</v>
      </c>
    </row>
    <row r="274">
      <c r="A274" s="8" t="s">
        <v>161</v>
      </c>
      <c r="B274" s="8" t="s">
        <v>160</v>
      </c>
      <c r="C274" s="8" t="s">
        <v>38</v>
      </c>
      <c r="D274" s="8" t="s">
        <v>6423</v>
      </c>
      <c r="E274" s="8">
        <v>78.0</v>
      </c>
    </row>
    <row r="275">
      <c r="A275" s="8" t="s">
        <v>161</v>
      </c>
      <c r="B275" s="8" t="s">
        <v>284</v>
      </c>
      <c r="C275" s="8" t="s">
        <v>141</v>
      </c>
      <c r="D275" s="8" t="s">
        <v>6425</v>
      </c>
      <c r="E275" s="8">
        <v>64.0</v>
      </c>
    </row>
    <row r="276">
      <c r="A276" s="8" t="s">
        <v>161</v>
      </c>
      <c r="B276" s="8" t="s">
        <v>1203</v>
      </c>
      <c r="C276" s="8" t="s">
        <v>16</v>
      </c>
      <c r="D276" s="8" t="s">
        <v>6421</v>
      </c>
      <c r="E276" s="8">
        <v>69.0</v>
      </c>
    </row>
    <row r="277">
      <c r="A277" s="8" t="s">
        <v>157</v>
      </c>
      <c r="B277" s="8" t="s">
        <v>156</v>
      </c>
      <c r="C277" s="8" t="s">
        <v>16</v>
      </c>
      <c r="D277" s="8" t="s">
        <v>6422</v>
      </c>
      <c r="E277" s="8">
        <v>75.0</v>
      </c>
    </row>
    <row r="278">
      <c r="A278" s="8" t="s">
        <v>157</v>
      </c>
      <c r="B278" s="8" t="s">
        <v>2977</v>
      </c>
      <c r="C278" s="8" t="s">
        <v>59</v>
      </c>
      <c r="D278" s="8" t="s">
        <v>6423</v>
      </c>
      <c r="E278" s="8">
        <v>85.0</v>
      </c>
    </row>
    <row r="279">
      <c r="A279" s="8" t="s">
        <v>157</v>
      </c>
      <c r="B279" s="8" t="s">
        <v>1288</v>
      </c>
      <c r="C279" s="8" t="s">
        <v>93</v>
      </c>
      <c r="D279" s="8" t="s">
        <v>6431</v>
      </c>
      <c r="E279" s="8">
        <v>76.0</v>
      </c>
    </row>
    <row r="280">
      <c r="A280" s="8" t="s">
        <v>157</v>
      </c>
      <c r="B280" s="8" t="s">
        <v>1579</v>
      </c>
      <c r="C280" s="8" t="s">
        <v>215</v>
      </c>
      <c r="D280" s="8" t="s">
        <v>6421</v>
      </c>
      <c r="E280" s="8">
        <v>57.0</v>
      </c>
    </row>
    <row r="281">
      <c r="A281" s="8" t="s">
        <v>157</v>
      </c>
      <c r="B281" s="8" t="s">
        <v>833</v>
      </c>
      <c r="C281" s="8" t="s">
        <v>132</v>
      </c>
      <c r="D281" s="8" t="s">
        <v>6440</v>
      </c>
      <c r="E281" s="8">
        <v>78.0</v>
      </c>
    </row>
    <row r="282">
      <c r="A282" s="8" t="s">
        <v>157</v>
      </c>
      <c r="B282" s="8" t="s">
        <v>419</v>
      </c>
      <c r="C282" s="8" t="s">
        <v>65</v>
      </c>
      <c r="D282" s="8" t="s">
        <v>6416</v>
      </c>
      <c r="E282" s="8">
        <v>77.0</v>
      </c>
    </row>
    <row r="283">
      <c r="A283" s="8" t="s">
        <v>157</v>
      </c>
      <c r="B283" s="8" t="s">
        <v>982</v>
      </c>
      <c r="C283" s="8" t="s">
        <v>149</v>
      </c>
      <c r="D283" s="8" t="s">
        <v>6439</v>
      </c>
      <c r="E283" s="8">
        <v>65.0</v>
      </c>
    </row>
    <row r="284">
      <c r="A284" s="8" t="s">
        <v>157</v>
      </c>
      <c r="B284" s="8" t="s">
        <v>1276</v>
      </c>
      <c r="C284" s="8" t="s">
        <v>24</v>
      </c>
      <c r="D284" s="8" t="s">
        <v>6440</v>
      </c>
      <c r="E284" s="8">
        <v>65.0</v>
      </c>
    </row>
    <row r="285">
      <c r="A285" s="8" t="s">
        <v>157</v>
      </c>
      <c r="B285" s="8" t="s">
        <v>460</v>
      </c>
      <c r="C285" s="8" t="s">
        <v>93</v>
      </c>
      <c r="D285" s="8" t="s">
        <v>6439</v>
      </c>
      <c r="E285" s="8">
        <v>65.0</v>
      </c>
    </row>
    <row r="286">
      <c r="A286" s="8" t="s">
        <v>157</v>
      </c>
      <c r="B286" s="8" t="s">
        <v>44</v>
      </c>
      <c r="C286" s="8" t="s">
        <v>186</v>
      </c>
      <c r="D286" s="8" t="s">
        <v>6434</v>
      </c>
      <c r="E286" s="8">
        <v>61.0</v>
      </c>
    </row>
    <row r="287">
      <c r="A287" s="8" t="s">
        <v>157</v>
      </c>
      <c r="B287" s="8" t="s">
        <v>3425</v>
      </c>
      <c r="C287" s="8" t="s">
        <v>132</v>
      </c>
      <c r="D287" s="8" t="s">
        <v>6428</v>
      </c>
      <c r="E287" s="8">
        <v>74.0</v>
      </c>
    </row>
    <row r="288">
      <c r="A288" s="8" t="s">
        <v>157</v>
      </c>
      <c r="B288" s="8" t="s">
        <v>1149</v>
      </c>
      <c r="C288" s="8" t="s">
        <v>93</v>
      </c>
      <c r="D288" s="8" t="s">
        <v>6413</v>
      </c>
      <c r="E288" s="8">
        <v>65.0</v>
      </c>
    </row>
    <row r="289">
      <c r="A289" s="8" t="s">
        <v>157</v>
      </c>
      <c r="B289" s="8" t="s">
        <v>3023</v>
      </c>
      <c r="C289" s="8" t="s">
        <v>138</v>
      </c>
      <c r="D289" s="8" t="s">
        <v>6429</v>
      </c>
      <c r="E289" s="8">
        <v>80.0</v>
      </c>
    </row>
    <row r="290">
      <c r="A290" s="8" t="s">
        <v>157</v>
      </c>
      <c r="B290" s="8" t="s">
        <v>3221</v>
      </c>
      <c r="C290" s="8" t="s">
        <v>186</v>
      </c>
      <c r="D290" s="8" t="s">
        <v>6434</v>
      </c>
      <c r="E290" s="8">
        <v>78.0</v>
      </c>
    </row>
    <row r="291">
      <c r="A291" s="8" t="s">
        <v>157</v>
      </c>
      <c r="B291" s="8" t="s">
        <v>537</v>
      </c>
      <c r="C291" s="8" t="s">
        <v>70</v>
      </c>
      <c r="D291" s="8" t="s">
        <v>6431</v>
      </c>
      <c r="E291" s="8">
        <v>72.0</v>
      </c>
    </row>
    <row r="292">
      <c r="A292" s="8" t="s">
        <v>487</v>
      </c>
      <c r="B292" s="8" t="s">
        <v>1250</v>
      </c>
      <c r="C292" s="8" t="s">
        <v>93</v>
      </c>
      <c r="D292" s="8" t="s">
        <v>6423</v>
      </c>
      <c r="E292" s="8">
        <v>78.0</v>
      </c>
    </row>
    <row r="293">
      <c r="A293" s="8" t="s">
        <v>487</v>
      </c>
      <c r="B293" s="8" t="s">
        <v>486</v>
      </c>
      <c r="C293" s="8" t="s">
        <v>65</v>
      </c>
      <c r="D293" s="8" t="s">
        <v>6442</v>
      </c>
      <c r="E293" s="8">
        <v>74.0</v>
      </c>
    </row>
    <row r="294">
      <c r="A294" s="8" t="s">
        <v>1093</v>
      </c>
      <c r="B294" s="8" t="s">
        <v>1092</v>
      </c>
      <c r="C294" s="8" t="s">
        <v>93</v>
      </c>
      <c r="D294" s="8" t="s">
        <v>6443</v>
      </c>
      <c r="E294" s="8">
        <v>71.0</v>
      </c>
    </row>
    <row r="295">
      <c r="A295" s="8" t="s">
        <v>3273</v>
      </c>
      <c r="B295" s="8" t="s">
        <v>325</v>
      </c>
      <c r="C295" s="8" t="s">
        <v>65</v>
      </c>
      <c r="D295" s="8" t="s">
        <v>6419</v>
      </c>
      <c r="E295" s="8">
        <v>63.0</v>
      </c>
    </row>
    <row r="296">
      <c r="A296" s="8" t="s">
        <v>109</v>
      </c>
      <c r="B296" s="8" t="s">
        <v>36</v>
      </c>
      <c r="C296" s="8" t="s">
        <v>38</v>
      </c>
      <c r="D296" s="8" t="s">
        <v>6443</v>
      </c>
      <c r="E296" s="8">
        <v>76.0</v>
      </c>
    </row>
    <row r="297">
      <c r="A297" s="8" t="s">
        <v>243</v>
      </c>
      <c r="B297" s="8" t="s">
        <v>2743</v>
      </c>
      <c r="C297" s="8" t="s">
        <v>186</v>
      </c>
      <c r="D297" s="8" t="s">
        <v>6422</v>
      </c>
      <c r="E297" s="8">
        <v>68.0</v>
      </c>
    </row>
    <row r="298">
      <c r="A298" s="8" t="s">
        <v>243</v>
      </c>
      <c r="B298" s="8" t="s">
        <v>2978</v>
      </c>
      <c r="C298" s="8" t="s">
        <v>16</v>
      </c>
      <c r="D298" s="8" t="s">
        <v>6443</v>
      </c>
      <c r="E298" s="8">
        <v>75.0</v>
      </c>
    </row>
    <row r="299">
      <c r="A299" s="8" t="s">
        <v>731</v>
      </c>
      <c r="B299" s="8" t="s">
        <v>730</v>
      </c>
      <c r="C299" s="8" t="s">
        <v>215</v>
      </c>
      <c r="D299" s="8" t="s">
        <v>6435</v>
      </c>
      <c r="E299" s="8">
        <v>69.0</v>
      </c>
    </row>
    <row r="300">
      <c r="A300" s="8" t="s">
        <v>224</v>
      </c>
      <c r="B300" s="8" t="s">
        <v>223</v>
      </c>
      <c r="C300" s="8" t="s">
        <v>138</v>
      </c>
      <c r="D300" s="8" t="s">
        <v>6431</v>
      </c>
      <c r="E300" s="8">
        <v>76.0</v>
      </c>
    </row>
    <row r="301">
      <c r="A301" s="8" t="s">
        <v>224</v>
      </c>
      <c r="B301" s="8" t="s">
        <v>677</v>
      </c>
      <c r="C301" s="8" t="s">
        <v>186</v>
      </c>
      <c r="D301" s="8" t="s">
        <v>6436</v>
      </c>
      <c r="E301" s="8">
        <v>60.0</v>
      </c>
    </row>
    <row r="302">
      <c r="A302" s="8" t="s">
        <v>249</v>
      </c>
      <c r="B302" s="8" t="s">
        <v>248</v>
      </c>
      <c r="C302" s="8" t="s">
        <v>186</v>
      </c>
      <c r="D302" s="8" t="s">
        <v>6440</v>
      </c>
      <c r="E302" s="8">
        <v>72.0</v>
      </c>
    </row>
    <row r="303">
      <c r="A303" s="8" t="s">
        <v>249</v>
      </c>
      <c r="B303" s="8" t="s">
        <v>368</v>
      </c>
      <c r="C303" s="8" t="s">
        <v>65</v>
      </c>
      <c r="D303" s="8" t="s">
        <v>6422</v>
      </c>
      <c r="E303" s="8">
        <v>71.0</v>
      </c>
    </row>
    <row r="304">
      <c r="A304" s="8" t="s">
        <v>249</v>
      </c>
      <c r="B304" s="8" t="s">
        <v>280</v>
      </c>
      <c r="C304" s="8" t="s">
        <v>59</v>
      </c>
      <c r="D304" s="8" t="s">
        <v>6438</v>
      </c>
      <c r="E304" s="8">
        <v>84.0</v>
      </c>
    </row>
    <row r="305">
      <c r="A305" s="8" t="s">
        <v>249</v>
      </c>
      <c r="B305" s="8" t="s">
        <v>3267</v>
      </c>
      <c r="C305" s="8" t="s">
        <v>122</v>
      </c>
      <c r="D305" s="8" t="s">
        <v>6420</v>
      </c>
      <c r="E305" s="8">
        <v>68.0</v>
      </c>
    </row>
    <row r="306">
      <c r="A306" s="8" t="s">
        <v>354</v>
      </c>
      <c r="B306" s="8" t="s">
        <v>353</v>
      </c>
      <c r="C306" s="8" t="s">
        <v>149</v>
      </c>
      <c r="D306" s="8" t="s">
        <v>6421</v>
      </c>
      <c r="E306" s="8">
        <v>86.0</v>
      </c>
    </row>
    <row r="307">
      <c r="A307" s="8" t="s">
        <v>354</v>
      </c>
      <c r="B307" s="8" t="s">
        <v>3215</v>
      </c>
      <c r="C307" s="8" t="s">
        <v>138</v>
      </c>
      <c r="D307" s="8" t="s">
        <v>6441</v>
      </c>
      <c r="E307" s="8">
        <v>64.0</v>
      </c>
    </row>
    <row r="308">
      <c r="A308" s="8" t="s">
        <v>354</v>
      </c>
      <c r="B308" s="8" t="s">
        <v>621</v>
      </c>
      <c r="C308" s="8" t="s">
        <v>46</v>
      </c>
      <c r="D308" s="8" t="s">
        <v>6437</v>
      </c>
      <c r="E308" s="8">
        <v>66.0</v>
      </c>
    </row>
    <row r="309">
      <c r="A309" s="8" t="s">
        <v>354</v>
      </c>
      <c r="B309" s="8" t="s">
        <v>2658</v>
      </c>
      <c r="C309" s="8" t="s">
        <v>38</v>
      </c>
      <c r="D309" s="8" t="s">
        <v>6426</v>
      </c>
      <c r="E309" s="8">
        <v>85.0</v>
      </c>
    </row>
    <row r="310">
      <c r="A310" s="8" t="s">
        <v>871</v>
      </c>
      <c r="B310" s="8" t="s">
        <v>2994</v>
      </c>
      <c r="C310" s="8" t="s">
        <v>16</v>
      </c>
      <c r="D310" s="8" t="s">
        <v>6440</v>
      </c>
      <c r="E310" s="8">
        <v>69.0</v>
      </c>
    </row>
    <row r="311">
      <c r="A311" s="8" t="s">
        <v>871</v>
      </c>
      <c r="B311" s="8" t="s">
        <v>932</v>
      </c>
      <c r="C311" s="8" t="s">
        <v>186</v>
      </c>
      <c r="D311" s="8" t="s">
        <v>6414</v>
      </c>
      <c r="E311" s="8">
        <v>60.0</v>
      </c>
    </row>
    <row r="312">
      <c r="A312" s="8" t="s">
        <v>871</v>
      </c>
      <c r="B312" s="8" t="s">
        <v>3100</v>
      </c>
      <c r="C312" s="8" t="s">
        <v>65</v>
      </c>
      <c r="D312" s="8" t="s">
        <v>6424</v>
      </c>
      <c r="E312" s="8">
        <v>61.0</v>
      </c>
    </row>
    <row r="313">
      <c r="A313" s="8" t="s">
        <v>871</v>
      </c>
      <c r="B313" s="8" t="s">
        <v>870</v>
      </c>
      <c r="C313" s="8" t="s">
        <v>93</v>
      </c>
      <c r="D313" s="8" t="s">
        <v>6427</v>
      </c>
      <c r="E313" s="8">
        <v>76.0</v>
      </c>
    </row>
    <row r="314">
      <c r="A314" s="8" t="s">
        <v>3098</v>
      </c>
      <c r="B314" s="8" t="s">
        <v>3097</v>
      </c>
      <c r="C314" s="8" t="s">
        <v>192</v>
      </c>
      <c r="D314" s="8" t="s">
        <v>6423</v>
      </c>
      <c r="E314" s="8">
        <v>68.0</v>
      </c>
    </row>
    <row r="315">
      <c r="A315" s="8" t="s">
        <v>2653</v>
      </c>
      <c r="B315" s="8" t="s">
        <v>2652</v>
      </c>
      <c r="C315" s="8" t="s">
        <v>53</v>
      </c>
      <c r="D315" s="8" t="s">
        <v>6417</v>
      </c>
      <c r="E315" s="8">
        <v>60.0</v>
      </c>
    </row>
    <row r="316">
      <c r="A316" s="8" t="s">
        <v>3303</v>
      </c>
      <c r="B316" s="8" t="s">
        <v>3302</v>
      </c>
      <c r="C316" s="8" t="s">
        <v>24</v>
      </c>
      <c r="D316" s="8" t="s">
        <v>6429</v>
      </c>
      <c r="E316" s="8">
        <v>71.0</v>
      </c>
    </row>
    <row r="317">
      <c r="A317" s="8" t="s">
        <v>1160</v>
      </c>
      <c r="B317" s="8" t="s">
        <v>1159</v>
      </c>
      <c r="C317" s="8" t="s">
        <v>53</v>
      </c>
      <c r="D317" s="8" t="s">
        <v>6439</v>
      </c>
      <c r="E317" s="8">
        <v>75.0</v>
      </c>
    </row>
    <row r="318">
      <c r="A318" s="8" t="s">
        <v>2037</v>
      </c>
      <c r="B318" s="8" t="s">
        <v>1891</v>
      </c>
      <c r="C318" s="8" t="s">
        <v>80</v>
      </c>
      <c r="D318" s="8" t="s">
        <v>6419</v>
      </c>
      <c r="E318" s="8">
        <v>74.0</v>
      </c>
    </row>
    <row r="319">
      <c r="A319" s="8" t="s">
        <v>1844</v>
      </c>
      <c r="B319" s="8" t="s">
        <v>1200</v>
      </c>
      <c r="C319" s="8" t="s">
        <v>65</v>
      </c>
      <c r="D319" s="8" t="s">
        <v>6428</v>
      </c>
      <c r="E319" s="8">
        <v>64.0</v>
      </c>
    </row>
    <row r="320">
      <c r="A320" s="8" t="s">
        <v>433</v>
      </c>
      <c r="B320" s="8" t="s">
        <v>432</v>
      </c>
      <c r="C320" s="8" t="s">
        <v>93</v>
      </c>
      <c r="D320" s="8" t="s">
        <v>6440</v>
      </c>
      <c r="E320" s="8">
        <v>76.0</v>
      </c>
    </row>
    <row r="321">
      <c r="A321" s="8" t="s">
        <v>1210</v>
      </c>
      <c r="B321" s="8" t="s">
        <v>405</v>
      </c>
      <c r="C321" s="8" t="s">
        <v>65</v>
      </c>
      <c r="D321" s="8" t="s">
        <v>6424</v>
      </c>
      <c r="E321" s="8">
        <v>54.0</v>
      </c>
    </row>
    <row r="322">
      <c r="A322" s="8" t="s">
        <v>1210</v>
      </c>
      <c r="B322" s="8" t="s">
        <v>2926</v>
      </c>
      <c r="C322" s="8" t="s">
        <v>93</v>
      </c>
      <c r="D322" s="8" t="s">
        <v>6415</v>
      </c>
      <c r="E322" s="8">
        <v>85.0</v>
      </c>
    </row>
    <row r="323">
      <c r="A323" s="8" t="s">
        <v>1210</v>
      </c>
      <c r="B323" s="8" t="s">
        <v>284</v>
      </c>
      <c r="C323" s="8" t="s">
        <v>80</v>
      </c>
      <c r="D323" s="8" t="s">
        <v>6442</v>
      </c>
      <c r="E323" s="8">
        <v>84.0</v>
      </c>
    </row>
    <row r="324">
      <c r="A324" s="8" t="s">
        <v>1210</v>
      </c>
      <c r="B324" s="8" t="s">
        <v>646</v>
      </c>
      <c r="C324" s="8" t="s">
        <v>149</v>
      </c>
      <c r="D324" s="8" t="s">
        <v>6442</v>
      </c>
      <c r="E324" s="8">
        <v>71.0</v>
      </c>
    </row>
    <row r="325">
      <c r="A325" s="8" t="s">
        <v>6380</v>
      </c>
      <c r="B325" s="8" t="s">
        <v>1581</v>
      </c>
      <c r="C325" s="8" t="s">
        <v>70</v>
      </c>
      <c r="D325" s="8" t="s">
        <v>6433</v>
      </c>
      <c r="E325" s="8">
        <v>74.0</v>
      </c>
    </row>
    <row r="326">
      <c r="A326" s="8" t="s">
        <v>6380</v>
      </c>
      <c r="B326" s="8" t="s">
        <v>3442</v>
      </c>
      <c r="C326" s="8" t="s">
        <v>70</v>
      </c>
      <c r="D326" s="8" t="s">
        <v>6437</v>
      </c>
      <c r="E326" s="8">
        <v>76.0</v>
      </c>
    </row>
    <row r="327">
      <c r="A327" s="8" t="s">
        <v>6380</v>
      </c>
      <c r="B327" s="8" t="s">
        <v>986</v>
      </c>
      <c r="C327" s="8" t="s">
        <v>186</v>
      </c>
      <c r="D327" s="8" t="s">
        <v>6435</v>
      </c>
      <c r="E327" s="8">
        <v>89.0</v>
      </c>
    </row>
    <row r="328">
      <c r="A328" s="8" t="s">
        <v>6380</v>
      </c>
      <c r="B328" s="8" t="s">
        <v>1372</v>
      </c>
      <c r="C328" s="8" t="s">
        <v>16</v>
      </c>
      <c r="D328" s="8" t="s">
        <v>6422</v>
      </c>
      <c r="E328" s="8">
        <v>72.0</v>
      </c>
    </row>
    <row r="329">
      <c r="A329" s="8" t="s">
        <v>6380</v>
      </c>
      <c r="B329" s="8" t="s">
        <v>636</v>
      </c>
      <c r="C329" s="8" t="s">
        <v>70</v>
      </c>
      <c r="D329" s="8" t="s">
        <v>6412</v>
      </c>
      <c r="E329" s="8">
        <v>85.0</v>
      </c>
    </row>
    <row r="330">
      <c r="A330" s="8" t="s">
        <v>6380</v>
      </c>
      <c r="B330" s="8" t="s">
        <v>3061</v>
      </c>
      <c r="C330" s="8" t="s">
        <v>93</v>
      </c>
      <c r="D330" s="8" t="s">
        <v>6424</v>
      </c>
      <c r="E330" s="8">
        <v>61.0</v>
      </c>
    </row>
    <row r="331">
      <c r="A331" s="8" t="s">
        <v>6380</v>
      </c>
      <c r="B331" s="8" t="s">
        <v>1321</v>
      </c>
      <c r="C331" s="8" t="s">
        <v>24</v>
      </c>
      <c r="D331" s="8" t="s">
        <v>6417</v>
      </c>
      <c r="E331" s="8">
        <v>69.0</v>
      </c>
    </row>
    <row r="332">
      <c r="A332" s="8" t="s">
        <v>6380</v>
      </c>
      <c r="B332" s="8" t="s">
        <v>520</v>
      </c>
      <c r="C332" s="8" t="s">
        <v>93</v>
      </c>
      <c r="D332" s="8" t="s">
        <v>6431</v>
      </c>
      <c r="E332" s="8">
        <v>68.0</v>
      </c>
    </row>
    <row r="333">
      <c r="A333" s="8" t="s">
        <v>6380</v>
      </c>
      <c r="B333" s="8" t="s">
        <v>451</v>
      </c>
      <c r="C333" s="8" t="s">
        <v>122</v>
      </c>
      <c r="D333" s="8" t="s">
        <v>6427</v>
      </c>
      <c r="E333" s="8">
        <v>71.0</v>
      </c>
    </row>
    <row r="334">
      <c r="A334" s="8" t="s">
        <v>6380</v>
      </c>
      <c r="B334" s="8" t="s">
        <v>3251</v>
      </c>
      <c r="C334" s="8" t="s">
        <v>24</v>
      </c>
      <c r="D334" s="8" t="s">
        <v>6434</v>
      </c>
      <c r="E334" s="8">
        <v>81.0</v>
      </c>
    </row>
    <row r="335">
      <c r="A335" s="8" t="s">
        <v>1021</v>
      </c>
      <c r="B335" s="8" t="s">
        <v>1020</v>
      </c>
      <c r="C335" s="8" t="s">
        <v>12</v>
      </c>
      <c r="D335" s="8" t="s">
        <v>6437</v>
      </c>
      <c r="E335" s="8">
        <v>79.0</v>
      </c>
    </row>
    <row r="336">
      <c r="A336" s="8" t="s">
        <v>143</v>
      </c>
      <c r="B336" s="8" t="s">
        <v>142</v>
      </c>
      <c r="C336" s="8" t="s">
        <v>215</v>
      </c>
      <c r="D336" s="8" t="s">
        <v>6413</v>
      </c>
      <c r="E336" s="8">
        <v>91.0</v>
      </c>
    </row>
    <row r="337">
      <c r="A337" s="8" t="s">
        <v>1376</v>
      </c>
      <c r="B337" s="8" t="s">
        <v>3324</v>
      </c>
      <c r="C337" s="8" t="s">
        <v>138</v>
      </c>
      <c r="D337" s="8" t="s">
        <v>6429</v>
      </c>
      <c r="E337" s="8">
        <v>64.0</v>
      </c>
    </row>
    <row r="338">
      <c r="A338" s="8" t="s">
        <v>1376</v>
      </c>
      <c r="B338" s="8" t="s">
        <v>3080</v>
      </c>
      <c r="C338" s="8" t="s">
        <v>12</v>
      </c>
      <c r="D338" s="8" t="s">
        <v>6424</v>
      </c>
      <c r="E338" s="8">
        <v>80.0</v>
      </c>
    </row>
    <row r="339">
      <c r="A339" s="8" t="s">
        <v>1376</v>
      </c>
      <c r="B339" s="8" t="s">
        <v>1375</v>
      </c>
      <c r="C339" s="8" t="s">
        <v>132</v>
      </c>
      <c r="D339" s="8" t="s">
        <v>6426</v>
      </c>
      <c r="E339" s="8">
        <v>66.0</v>
      </c>
    </row>
    <row r="340">
      <c r="A340" s="8" t="s">
        <v>1376</v>
      </c>
      <c r="B340" s="8" t="s">
        <v>1720</v>
      </c>
      <c r="C340" s="8" t="s">
        <v>122</v>
      </c>
      <c r="D340" s="8" t="s">
        <v>6443</v>
      </c>
      <c r="E340" s="8">
        <v>70.0</v>
      </c>
    </row>
    <row r="341">
      <c r="A341" s="8" t="s">
        <v>1915</v>
      </c>
      <c r="B341" s="8" t="s">
        <v>3403</v>
      </c>
      <c r="C341" s="8" t="s">
        <v>80</v>
      </c>
      <c r="D341" s="8" t="s">
        <v>6443</v>
      </c>
      <c r="E341" s="8">
        <v>72.0</v>
      </c>
    </row>
    <row r="342">
      <c r="A342" s="8" t="s">
        <v>407</v>
      </c>
      <c r="B342" s="8" t="s">
        <v>389</v>
      </c>
      <c r="C342" s="8" t="s">
        <v>215</v>
      </c>
      <c r="D342" s="8" t="s">
        <v>6443</v>
      </c>
      <c r="E342" s="8">
        <v>71.0</v>
      </c>
    </row>
    <row r="343">
      <c r="A343" s="8" t="s">
        <v>407</v>
      </c>
      <c r="B343" s="8" t="s">
        <v>62</v>
      </c>
      <c r="C343" s="8" t="s">
        <v>122</v>
      </c>
      <c r="D343" s="8" t="s">
        <v>6437</v>
      </c>
      <c r="E343" s="8">
        <v>73.0</v>
      </c>
    </row>
    <row r="344">
      <c r="A344" s="8" t="s">
        <v>407</v>
      </c>
      <c r="B344" s="8" t="s">
        <v>308</v>
      </c>
      <c r="C344" s="8" t="s">
        <v>46</v>
      </c>
      <c r="D344" s="8" t="s">
        <v>6413</v>
      </c>
      <c r="E344" s="8">
        <v>76.0</v>
      </c>
    </row>
    <row r="345">
      <c r="A345" s="8" t="s">
        <v>407</v>
      </c>
      <c r="B345" s="8" t="s">
        <v>406</v>
      </c>
      <c r="C345" s="8" t="s">
        <v>16</v>
      </c>
      <c r="D345" s="8" t="s">
        <v>6441</v>
      </c>
      <c r="E345" s="8">
        <v>88.0</v>
      </c>
    </row>
    <row r="346">
      <c r="A346" s="8" t="s">
        <v>52</v>
      </c>
      <c r="B346" s="8" t="s">
        <v>1261</v>
      </c>
      <c r="C346" s="8" t="s">
        <v>65</v>
      </c>
      <c r="D346" s="8" t="s">
        <v>6427</v>
      </c>
      <c r="E346" s="8">
        <v>83.0</v>
      </c>
    </row>
    <row r="347">
      <c r="A347" s="8" t="s">
        <v>52</v>
      </c>
      <c r="B347" s="8" t="s">
        <v>1984</v>
      </c>
      <c r="C347" s="8" t="s">
        <v>93</v>
      </c>
      <c r="D347" s="8" t="s">
        <v>6439</v>
      </c>
      <c r="E347" s="8">
        <v>69.0</v>
      </c>
    </row>
    <row r="348">
      <c r="A348" s="8" t="s">
        <v>52</v>
      </c>
      <c r="B348" s="8" t="s">
        <v>379</v>
      </c>
      <c r="C348" s="8" t="s">
        <v>138</v>
      </c>
      <c r="D348" s="8" t="s">
        <v>6439</v>
      </c>
      <c r="E348" s="8">
        <v>81.0</v>
      </c>
    </row>
    <row r="349">
      <c r="A349" s="8" t="s">
        <v>52</v>
      </c>
      <c r="B349" s="8" t="s">
        <v>1237</v>
      </c>
      <c r="C349" s="8" t="s">
        <v>53</v>
      </c>
      <c r="D349" s="8" t="s">
        <v>6426</v>
      </c>
      <c r="E349" s="8">
        <v>62.0</v>
      </c>
    </row>
    <row r="350">
      <c r="A350" s="8" t="s">
        <v>52</v>
      </c>
      <c r="B350" s="8" t="s">
        <v>463</v>
      </c>
      <c r="C350" s="8" t="s">
        <v>70</v>
      </c>
      <c r="D350" s="8" t="s">
        <v>6441</v>
      </c>
      <c r="E350" s="8">
        <v>68.0</v>
      </c>
    </row>
    <row r="351">
      <c r="A351" s="8" t="s">
        <v>52</v>
      </c>
      <c r="B351" s="8" t="s">
        <v>654</v>
      </c>
      <c r="C351" s="8" t="s">
        <v>24</v>
      </c>
      <c r="D351" s="8" t="s">
        <v>6426</v>
      </c>
      <c r="E351" s="8">
        <v>83.0</v>
      </c>
    </row>
    <row r="352">
      <c r="A352" s="8" t="s">
        <v>52</v>
      </c>
      <c r="B352" s="8" t="s">
        <v>51</v>
      </c>
      <c r="C352" s="8" t="s">
        <v>138</v>
      </c>
      <c r="D352" s="8" t="s">
        <v>6415</v>
      </c>
      <c r="E352" s="8">
        <v>89.0</v>
      </c>
    </row>
    <row r="353">
      <c r="A353" s="8" t="s">
        <v>52</v>
      </c>
      <c r="B353" s="8" t="s">
        <v>901</v>
      </c>
      <c r="C353" s="8" t="s">
        <v>149</v>
      </c>
      <c r="D353" s="8" t="s">
        <v>6443</v>
      </c>
      <c r="E353" s="8">
        <v>71.0</v>
      </c>
    </row>
    <row r="354">
      <c r="A354" s="8" t="s">
        <v>52</v>
      </c>
      <c r="B354" s="8" t="s">
        <v>1171</v>
      </c>
      <c r="C354" s="8" t="s">
        <v>149</v>
      </c>
      <c r="D354" s="8" t="s">
        <v>6436</v>
      </c>
      <c r="E354" s="8">
        <v>71.0</v>
      </c>
    </row>
    <row r="355">
      <c r="A355" s="8" t="s">
        <v>52</v>
      </c>
      <c r="B355" s="8" t="s">
        <v>15</v>
      </c>
      <c r="C355" s="8" t="s">
        <v>141</v>
      </c>
      <c r="D355" s="8" t="s">
        <v>6418</v>
      </c>
      <c r="E355" s="8">
        <v>61.0</v>
      </c>
    </row>
    <row r="356">
      <c r="A356" s="8" t="s">
        <v>52</v>
      </c>
      <c r="B356" s="8" t="s">
        <v>263</v>
      </c>
      <c r="C356" s="8" t="s">
        <v>215</v>
      </c>
      <c r="D356" s="8" t="s">
        <v>6418</v>
      </c>
      <c r="E356" s="8">
        <v>92.0</v>
      </c>
    </row>
    <row r="357">
      <c r="A357" s="8" t="s">
        <v>2957</v>
      </c>
      <c r="B357" s="8" t="s">
        <v>2956</v>
      </c>
      <c r="C357" s="8" t="s">
        <v>93</v>
      </c>
      <c r="D357" s="8" t="s">
        <v>6441</v>
      </c>
      <c r="E357" s="8">
        <v>80.0</v>
      </c>
    </row>
    <row r="358">
      <c r="A358" s="8" t="s">
        <v>3011</v>
      </c>
      <c r="B358" s="8" t="s">
        <v>1012</v>
      </c>
      <c r="C358" s="8" t="s">
        <v>138</v>
      </c>
      <c r="D358" s="8" t="s">
        <v>6432</v>
      </c>
      <c r="E358" s="8">
        <v>68.0</v>
      </c>
    </row>
    <row r="359">
      <c r="A359" s="8" t="s">
        <v>1211</v>
      </c>
      <c r="B359" s="8" t="s">
        <v>284</v>
      </c>
      <c r="C359" s="8" t="s">
        <v>16</v>
      </c>
      <c r="D359" s="8" t="s">
        <v>6430</v>
      </c>
      <c r="E359" s="8">
        <v>66.0</v>
      </c>
    </row>
    <row r="360">
      <c r="A360" s="8" t="s">
        <v>881</v>
      </c>
      <c r="B360" s="8" t="s">
        <v>741</v>
      </c>
      <c r="C360" s="8" t="s">
        <v>53</v>
      </c>
      <c r="D360" s="8" t="s">
        <v>6417</v>
      </c>
      <c r="E360" s="8">
        <v>66.0</v>
      </c>
    </row>
    <row r="361">
      <c r="A361" s="8" t="s">
        <v>881</v>
      </c>
      <c r="B361" s="8" t="s">
        <v>61</v>
      </c>
      <c r="C361" s="8" t="s">
        <v>122</v>
      </c>
      <c r="D361" s="8" t="s">
        <v>6435</v>
      </c>
      <c r="E361" s="8">
        <v>66.0</v>
      </c>
    </row>
    <row r="362">
      <c r="A362" s="8" t="s">
        <v>881</v>
      </c>
      <c r="B362" s="8" t="s">
        <v>1268</v>
      </c>
      <c r="C362" s="8" t="s">
        <v>215</v>
      </c>
      <c r="D362" s="8" t="s">
        <v>6443</v>
      </c>
      <c r="E362" s="8">
        <v>71.0</v>
      </c>
    </row>
    <row r="363">
      <c r="A363" s="8" t="s">
        <v>881</v>
      </c>
      <c r="B363" s="8" t="s">
        <v>2698</v>
      </c>
      <c r="C363" s="8" t="s">
        <v>59</v>
      </c>
      <c r="D363" s="8" t="s">
        <v>6430</v>
      </c>
      <c r="E363" s="8">
        <v>72.0</v>
      </c>
    </row>
    <row r="364">
      <c r="A364" s="8" t="s">
        <v>366</v>
      </c>
      <c r="B364" s="8" t="s">
        <v>937</v>
      </c>
      <c r="C364" s="8" t="s">
        <v>65</v>
      </c>
      <c r="D364" s="8" t="s">
        <v>6412</v>
      </c>
      <c r="E364" s="8">
        <v>76.0</v>
      </c>
    </row>
    <row r="365">
      <c r="A365" s="8" t="s">
        <v>366</v>
      </c>
      <c r="B365" s="8" t="s">
        <v>365</v>
      </c>
      <c r="C365" s="8" t="s">
        <v>138</v>
      </c>
      <c r="D365" s="8" t="s">
        <v>6417</v>
      </c>
      <c r="E365" s="8">
        <v>86.0</v>
      </c>
    </row>
    <row r="366">
      <c r="A366" s="8" t="s">
        <v>366</v>
      </c>
      <c r="B366" s="8" t="s">
        <v>718</v>
      </c>
      <c r="C366" s="8" t="s">
        <v>70</v>
      </c>
      <c r="D366" s="8" t="s">
        <v>6422</v>
      </c>
      <c r="E366" s="8">
        <v>83.0</v>
      </c>
    </row>
    <row r="367">
      <c r="A367" s="8" t="s">
        <v>366</v>
      </c>
      <c r="B367" s="8" t="s">
        <v>1050</v>
      </c>
      <c r="C367" s="8" t="s">
        <v>122</v>
      </c>
      <c r="D367" s="8" t="s">
        <v>6434</v>
      </c>
      <c r="E367" s="8">
        <v>68.0</v>
      </c>
    </row>
    <row r="368">
      <c r="A368" s="8" t="s">
        <v>366</v>
      </c>
      <c r="B368" s="8" t="s">
        <v>444</v>
      </c>
      <c r="C368" s="8" t="s">
        <v>53</v>
      </c>
      <c r="D368" s="8" t="s">
        <v>6414</v>
      </c>
      <c r="E368" s="8">
        <v>62.0</v>
      </c>
    </row>
    <row r="369">
      <c r="A369" s="8" t="s">
        <v>1286</v>
      </c>
      <c r="B369" s="8" t="s">
        <v>1005</v>
      </c>
      <c r="C369" s="8" t="s">
        <v>138</v>
      </c>
      <c r="D369" s="8" t="s">
        <v>6413</v>
      </c>
      <c r="E369" s="8">
        <v>60.0</v>
      </c>
    </row>
    <row r="370">
      <c r="A370" s="8" t="s">
        <v>1118</v>
      </c>
      <c r="B370" s="8" t="s">
        <v>2983</v>
      </c>
      <c r="C370" s="8" t="s">
        <v>16</v>
      </c>
      <c r="D370" s="8" t="s">
        <v>6419</v>
      </c>
      <c r="E370" s="8">
        <v>83.0</v>
      </c>
    </row>
    <row r="371">
      <c r="A371" s="8" t="s">
        <v>1118</v>
      </c>
      <c r="B371" s="8" t="s">
        <v>1335</v>
      </c>
      <c r="C371" s="8" t="s">
        <v>16</v>
      </c>
      <c r="D371" s="8" t="s">
        <v>6424</v>
      </c>
      <c r="E371" s="8">
        <v>79.0</v>
      </c>
    </row>
    <row r="372">
      <c r="A372" s="8" t="s">
        <v>1118</v>
      </c>
      <c r="B372" s="8" t="s">
        <v>3474</v>
      </c>
      <c r="C372" s="8" t="s">
        <v>24</v>
      </c>
      <c r="D372" s="8" t="s">
        <v>6413</v>
      </c>
      <c r="E372" s="8">
        <v>46.0</v>
      </c>
    </row>
    <row r="373">
      <c r="A373" s="8" t="s">
        <v>289</v>
      </c>
      <c r="B373" s="8" t="s">
        <v>288</v>
      </c>
      <c r="C373" s="8" t="s">
        <v>16</v>
      </c>
      <c r="D373" s="8" t="s">
        <v>6429</v>
      </c>
      <c r="E373" s="8">
        <v>73.0</v>
      </c>
    </row>
    <row r="374">
      <c r="A374" s="8" t="s">
        <v>494</v>
      </c>
      <c r="B374" s="8" t="s">
        <v>530</v>
      </c>
      <c r="C374" s="8" t="s">
        <v>93</v>
      </c>
      <c r="D374" s="8" t="s">
        <v>6432</v>
      </c>
      <c r="E374" s="8">
        <v>86.0</v>
      </c>
    </row>
    <row r="375">
      <c r="A375" s="8" t="s">
        <v>494</v>
      </c>
      <c r="B375" s="8" t="s">
        <v>2234</v>
      </c>
      <c r="C375" s="8" t="s">
        <v>122</v>
      </c>
      <c r="D375" s="8" t="s">
        <v>6414</v>
      </c>
      <c r="E375" s="8">
        <v>64.0</v>
      </c>
    </row>
    <row r="376">
      <c r="A376" s="8" t="s">
        <v>494</v>
      </c>
      <c r="B376" s="8" t="s">
        <v>567</v>
      </c>
      <c r="C376" s="8" t="s">
        <v>24</v>
      </c>
      <c r="D376" s="8" t="s">
        <v>6412</v>
      </c>
      <c r="E376" s="8">
        <v>41.0</v>
      </c>
    </row>
    <row r="377">
      <c r="A377" s="8" t="s">
        <v>976</v>
      </c>
      <c r="B377" s="8" t="s">
        <v>975</v>
      </c>
      <c r="C377" s="8" t="s">
        <v>53</v>
      </c>
      <c r="D377" s="8" t="s">
        <v>6433</v>
      </c>
      <c r="E377" s="8">
        <v>68.0</v>
      </c>
    </row>
    <row r="378">
      <c r="A378" s="8" t="s">
        <v>329</v>
      </c>
      <c r="B378" s="8" t="s">
        <v>996</v>
      </c>
      <c r="C378" s="8" t="s">
        <v>149</v>
      </c>
      <c r="D378" s="8" t="s">
        <v>6417</v>
      </c>
      <c r="E378" s="8">
        <v>72.0</v>
      </c>
    </row>
    <row r="379">
      <c r="A379" s="8" t="s">
        <v>329</v>
      </c>
      <c r="B379" s="8" t="s">
        <v>3394</v>
      </c>
      <c r="C379" s="8" t="s">
        <v>70</v>
      </c>
      <c r="D379" s="8" t="s">
        <v>6417</v>
      </c>
      <c r="E379" s="8">
        <v>71.0</v>
      </c>
    </row>
    <row r="380">
      <c r="A380" s="8" t="s">
        <v>329</v>
      </c>
      <c r="B380" s="8" t="s">
        <v>328</v>
      </c>
      <c r="C380" s="8" t="s">
        <v>122</v>
      </c>
      <c r="D380" s="8" t="s">
        <v>6442</v>
      </c>
      <c r="E380" s="8">
        <v>74.0</v>
      </c>
    </row>
    <row r="381">
      <c r="A381" s="8" t="s">
        <v>1401</v>
      </c>
      <c r="B381" s="8" t="s">
        <v>248</v>
      </c>
      <c r="C381" s="8" t="s">
        <v>24</v>
      </c>
      <c r="D381" s="8" t="s">
        <v>6417</v>
      </c>
      <c r="E381" s="8">
        <v>67.0</v>
      </c>
    </row>
    <row r="382">
      <c r="A382" s="8" t="s">
        <v>117</v>
      </c>
      <c r="B382" s="8" t="s">
        <v>561</v>
      </c>
      <c r="C382" s="8" t="s">
        <v>16</v>
      </c>
      <c r="D382" s="8" t="s">
        <v>6412</v>
      </c>
      <c r="E382" s="8">
        <v>68.0</v>
      </c>
    </row>
    <row r="383">
      <c r="A383" s="8" t="s">
        <v>117</v>
      </c>
      <c r="B383" s="8" t="s">
        <v>2832</v>
      </c>
      <c r="C383" s="8" t="s">
        <v>65</v>
      </c>
      <c r="D383" s="8" t="s">
        <v>6440</v>
      </c>
      <c r="E383" s="8">
        <v>70.0</v>
      </c>
    </row>
    <row r="384">
      <c r="A384" s="8" t="s">
        <v>117</v>
      </c>
      <c r="B384" s="8" t="s">
        <v>78</v>
      </c>
      <c r="C384" s="8" t="s">
        <v>65</v>
      </c>
      <c r="D384" s="8" t="s">
        <v>6419</v>
      </c>
      <c r="E384" s="8">
        <v>72.0</v>
      </c>
    </row>
    <row r="385">
      <c r="A385" s="8" t="s">
        <v>117</v>
      </c>
      <c r="B385" s="8" t="s">
        <v>116</v>
      </c>
      <c r="C385" s="8" t="s">
        <v>16</v>
      </c>
      <c r="D385" s="8" t="s">
        <v>6413</v>
      </c>
      <c r="E385" s="8">
        <v>67.0</v>
      </c>
    </row>
    <row r="386">
      <c r="A386" s="8" t="s">
        <v>117</v>
      </c>
      <c r="B386" s="8" t="s">
        <v>1032</v>
      </c>
      <c r="C386" s="8" t="s">
        <v>75</v>
      </c>
      <c r="D386" s="8" t="s">
        <v>6434</v>
      </c>
      <c r="E386" s="8">
        <v>64.0</v>
      </c>
    </row>
    <row r="387">
      <c r="A387" s="8" t="s">
        <v>3121</v>
      </c>
      <c r="B387" s="8" t="s">
        <v>3120</v>
      </c>
      <c r="C387" s="8" t="s">
        <v>75</v>
      </c>
      <c r="D387" s="8" t="s">
        <v>6424</v>
      </c>
      <c r="E387" s="8">
        <v>76.0</v>
      </c>
    </row>
    <row r="388">
      <c r="A388" s="8" t="s">
        <v>554</v>
      </c>
      <c r="B388" s="8" t="s">
        <v>284</v>
      </c>
      <c r="C388" s="8" t="s">
        <v>59</v>
      </c>
      <c r="D388" s="8" t="s">
        <v>6419</v>
      </c>
      <c r="E388" s="8">
        <v>88.0</v>
      </c>
    </row>
    <row r="389">
      <c r="A389" s="8" t="s">
        <v>554</v>
      </c>
      <c r="B389" s="8" t="s">
        <v>659</v>
      </c>
      <c r="C389" s="8" t="s">
        <v>12</v>
      </c>
      <c r="D389" s="8" t="s">
        <v>6440</v>
      </c>
      <c r="E389" s="8">
        <v>76.0</v>
      </c>
    </row>
    <row r="390">
      <c r="A390" s="8" t="s">
        <v>3079</v>
      </c>
      <c r="B390" s="8" t="s">
        <v>3078</v>
      </c>
      <c r="C390" s="8" t="s">
        <v>93</v>
      </c>
      <c r="D390" s="8" t="s">
        <v>6443</v>
      </c>
      <c r="E390" s="8">
        <v>62.0</v>
      </c>
    </row>
    <row r="391">
      <c r="A391" s="8" t="s">
        <v>3079</v>
      </c>
      <c r="B391" s="8" t="s">
        <v>825</v>
      </c>
      <c r="C391" s="8" t="s">
        <v>138</v>
      </c>
      <c r="D391" s="8" t="s">
        <v>6426</v>
      </c>
      <c r="E391" s="8">
        <v>60.0</v>
      </c>
    </row>
    <row r="392">
      <c r="A392" s="8" t="s">
        <v>3128</v>
      </c>
      <c r="B392" s="8" t="s">
        <v>3127</v>
      </c>
      <c r="C392" s="8" t="s">
        <v>70</v>
      </c>
      <c r="D392" s="8" t="s">
        <v>6437</v>
      </c>
      <c r="E392" s="8">
        <v>76.0</v>
      </c>
    </row>
    <row r="393">
      <c r="A393" s="8" t="s">
        <v>357</v>
      </c>
      <c r="B393" s="8" t="s">
        <v>3051</v>
      </c>
      <c r="C393" s="8" t="s">
        <v>70</v>
      </c>
      <c r="D393" s="8" t="s">
        <v>6426</v>
      </c>
      <c r="E393" s="8">
        <v>82.0</v>
      </c>
    </row>
    <row r="394">
      <c r="A394" s="8" t="s">
        <v>357</v>
      </c>
      <c r="B394" s="8" t="s">
        <v>3316</v>
      </c>
      <c r="C394" s="8" t="s">
        <v>93</v>
      </c>
      <c r="D394" s="8" t="s">
        <v>6430</v>
      </c>
      <c r="E394" s="8">
        <v>70.0</v>
      </c>
    </row>
    <row r="395">
      <c r="A395" s="8" t="s">
        <v>357</v>
      </c>
      <c r="B395" s="8" t="s">
        <v>89</v>
      </c>
      <c r="C395" s="8" t="s">
        <v>215</v>
      </c>
      <c r="D395" s="8" t="s">
        <v>6415</v>
      </c>
      <c r="E395" s="8">
        <v>73.0</v>
      </c>
    </row>
    <row r="396">
      <c r="A396" s="8" t="s">
        <v>357</v>
      </c>
      <c r="B396" s="8" t="s">
        <v>3084</v>
      </c>
      <c r="C396" s="8" t="s">
        <v>138</v>
      </c>
      <c r="D396" s="8" t="s">
        <v>6442</v>
      </c>
      <c r="E396" s="8">
        <v>69.0</v>
      </c>
    </row>
    <row r="397">
      <c r="A397" s="8" t="s">
        <v>357</v>
      </c>
      <c r="B397" s="8" t="s">
        <v>2898</v>
      </c>
      <c r="C397" s="8" t="s">
        <v>46</v>
      </c>
      <c r="D397" s="8" t="s">
        <v>6427</v>
      </c>
      <c r="E397" s="8">
        <v>73.0</v>
      </c>
    </row>
    <row r="398">
      <c r="A398" s="8" t="s">
        <v>357</v>
      </c>
      <c r="B398" s="8" t="s">
        <v>389</v>
      </c>
      <c r="C398" s="8" t="s">
        <v>65</v>
      </c>
      <c r="D398" s="8" t="s">
        <v>6441</v>
      </c>
      <c r="E398" s="8">
        <v>73.0</v>
      </c>
    </row>
    <row r="399">
      <c r="A399" s="8" t="s">
        <v>357</v>
      </c>
      <c r="B399" s="8" t="s">
        <v>389</v>
      </c>
      <c r="C399" s="8" t="s">
        <v>138</v>
      </c>
      <c r="D399" s="8" t="s">
        <v>6441</v>
      </c>
      <c r="E399" s="8">
        <v>83.0</v>
      </c>
    </row>
    <row r="400">
      <c r="A400" s="8" t="s">
        <v>357</v>
      </c>
      <c r="B400" s="8" t="s">
        <v>165</v>
      </c>
      <c r="C400" s="8" t="s">
        <v>24</v>
      </c>
      <c r="D400" s="8" t="s">
        <v>6430</v>
      </c>
      <c r="E400" s="8">
        <v>86.0</v>
      </c>
    </row>
    <row r="401">
      <c r="A401" s="8" t="s">
        <v>544</v>
      </c>
      <c r="B401" s="8" t="s">
        <v>543</v>
      </c>
      <c r="C401" s="8" t="s">
        <v>24</v>
      </c>
      <c r="D401" s="8" t="s">
        <v>6443</v>
      </c>
      <c r="E401" s="8">
        <v>51.0</v>
      </c>
    </row>
    <row r="402">
      <c r="A402" s="8" t="s">
        <v>1278</v>
      </c>
      <c r="B402" s="8" t="s">
        <v>1277</v>
      </c>
      <c r="C402" s="8" t="s">
        <v>65</v>
      </c>
      <c r="D402" s="8" t="s">
        <v>6440</v>
      </c>
      <c r="E402" s="8">
        <v>66.0</v>
      </c>
    </row>
    <row r="403">
      <c r="A403" s="8" t="s">
        <v>198</v>
      </c>
      <c r="B403" s="8" t="s">
        <v>3248</v>
      </c>
      <c r="C403" s="8" t="s">
        <v>132</v>
      </c>
      <c r="D403" s="8" t="s">
        <v>6436</v>
      </c>
      <c r="E403" s="8">
        <v>59.0</v>
      </c>
    </row>
    <row r="404">
      <c r="A404" s="8" t="s">
        <v>198</v>
      </c>
      <c r="B404" s="8" t="s">
        <v>197</v>
      </c>
      <c r="C404" s="8" t="s">
        <v>16</v>
      </c>
      <c r="D404" s="8" t="s">
        <v>6418</v>
      </c>
      <c r="E404" s="8">
        <v>70.0</v>
      </c>
    </row>
    <row r="405">
      <c r="A405" s="8" t="s">
        <v>198</v>
      </c>
      <c r="B405" s="8" t="s">
        <v>1305</v>
      </c>
      <c r="C405" s="8" t="s">
        <v>141</v>
      </c>
      <c r="D405" s="8" t="s">
        <v>6416</v>
      </c>
      <c r="E405" s="8">
        <v>63.0</v>
      </c>
    </row>
    <row r="406">
      <c r="A406" s="8" t="s">
        <v>928</v>
      </c>
      <c r="B406" s="8" t="s">
        <v>268</v>
      </c>
      <c r="C406" s="8" t="s">
        <v>149</v>
      </c>
      <c r="D406" s="8" t="s">
        <v>6442</v>
      </c>
      <c r="E406" s="8">
        <v>70.0</v>
      </c>
    </row>
    <row r="407">
      <c r="A407" s="8" t="s">
        <v>1594</v>
      </c>
      <c r="B407" s="8" t="s">
        <v>1301</v>
      </c>
      <c r="C407" s="8" t="s">
        <v>65</v>
      </c>
      <c r="D407" s="8" t="s">
        <v>6428</v>
      </c>
      <c r="E407" s="8">
        <v>67.0</v>
      </c>
    </row>
    <row r="408">
      <c r="A408" s="8" t="s">
        <v>1691</v>
      </c>
      <c r="B408" s="8" t="s">
        <v>1690</v>
      </c>
      <c r="C408" s="8" t="s">
        <v>93</v>
      </c>
      <c r="D408" s="8" t="s">
        <v>6442</v>
      </c>
      <c r="E408" s="8">
        <v>76.0</v>
      </c>
    </row>
    <row r="409">
      <c r="A409" s="8" t="s">
        <v>275</v>
      </c>
      <c r="B409" s="8" t="s">
        <v>444</v>
      </c>
      <c r="C409" s="8" t="s">
        <v>70</v>
      </c>
      <c r="D409" s="8" t="s">
        <v>6416</v>
      </c>
      <c r="E409" s="8">
        <v>77.0</v>
      </c>
    </row>
    <row r="410">
      <c r="A410" s="8" t="s">
        <v>275</v>
      </c>
      <c r="B410" s="8" t="s">
        <v>1031</v>
      </c>
      <c r="C410" s="8" t="s">
        <v>132</v>
      </c>
      <c r="D410" s="8" t="s">
        <v>6441</v>
      </c>
      <c r="E410" s="8">
        <v>70.0</v>
      </c>
    </row>
    <row r="411">
      <c r="A411" s="8" t="s">
        <v>275</v>
      </c>
      <c r="B411" s="8" t="s">
        <v>2859</v>
      </c>
      <c r="C411" s="8" t="s">
        <v>70</v>
      </c>
      <c r="D411" s="8" t="s">
        <v>6413</v>
      </c>
      <c r="E411" s="8">
        <v>80.0</v>
      </c>
    </row>
    <row r="412">
      <c r="A412" s="8" t="s">
        <v>275</v>
      </c>
      <c r="B412" s="8" t="s">
        <v>223</v>
      </c>
      <c r="C412" s="8" t="s">
        <v>132</v>
      </c>
      <c r="D412" s="8" t="s">
        <v>6413</v>
      </c>
      <c r="E412" s="8">
        <v>68.0</v>
      </c>
    </row>
    <row r="413">
      <c r="A413" s="8" t="s">
        <v>275</v>
      </c>
      <c r="B413" s="8" t="s">
        <v>3199</v>
      </c>
      <c r="C413" s="8" t="s">
        <v>138</v>
      </c>
      <c r="D413" s="8" t="s">
        <v>6438</v>
      </c>
      <c r="E413" s="8">
        <v>64.0</v>
      </c>
    </row>
    <row r="414">
      <c r="A414" s="8" t="s">
        <v>275</v>
      </c>
      <c r="B414" s="8" t="s">
        <v>3308</v>
      </c>
      <c r="C414" s="8" t="s">
        <v>65</v>
      </c>
      <c r="D414" s="8" t="s">
        <v>6419</v>
      </c>
      <c r="E414" s="8">
        <v>60.0</v>
      </c>
    </row>
    <row r="415">
      <c r="A415" s="8" t="s">
        <v>275</v>
      </c>
      <c r="B415" s="8" t="s">
        <v>248</v>
      </c>
      <c r="C415" s="8" t="s">
        <v>53</v>
      </c>
      <c r="D415" s="8" t="s">
        <v>6416</v>
      </c>
      <c r="E415" s="8">
        <v>67.0</v>
      </c>
    </row>
    <row r="416">
      <c r="A416" s="8" t="s">
        <v>275</v>
      </c>
      <c r="B416" s="8" t="s">
        <v>1118</v>
      </c>
      <c r="C416" s="8" t="s">
        <v>70</v>
      </c>
      <c r="D416" s="8" t="s">
        <v>6433</v>
      </c>
      <c r="E416" s="8">
        <v>66.0</v>
      </c>
    </row>
    <row r="417">
      <c r="A417" s="8" t="s">
        <v>275</v>
      </c>
      <c r="B417" s="8" t="s">
        <v>1925</v>
      </c>
      <c r="C417" s="8" t="s">
        <v>215</v>
      </c>
      <c r="D417" s="8" t="s">
        <v>6431</v>
      </c>
      <c r="E417" s="8">
        <v>62.0</v>
      </c>
    </row>
    <row r="418">
      <c r="A418" s="8" t="s">
        <v>275</v>
      </c>
      <c r="B418" s="8" t="s">
        <v>106</v>
      </c>
      <c r="C418" s="8" t="s">
        <v>65</v>
      </c>
      <c r="D418" s="8" t="s">
        <v>6417</v>
      </c>
      <c r="E418" s="8">
        <v>61.0</v>
      </c>
    </row>
    <row r="419">
      <c r="A419" s="8" t="s">
        <v>275</v>
      </c>
      <c r="B419" s="8" t="s">
        <v>395</v>
      </c>
      <c r="C419" s="8" t="s">
        <v>138</v>
      </c>
      <c r="D419" s="8" t="s">
        <v>6424</v>
      </c>
      <c r="E419" s="8">
        <v>80.0</v>
      </c>
    </row>
    <row r="420">
      <c r="A420" s="8" t="s">
        <v>275</v>
      </c>
      <c r="B420" s="8" t="s">
        <v>971</v>
      </c>
      <c r="C420" s="8" t="s">
        <v>24</v>
      </c>
      <c r="D420" s="8" t="s">
        <v>6441</v>
      </c>
      <c r="E420" s="8">
        <v>62.0</v>
      </c>
    </row>
    <row r="421">
      <c r="A421" s="8" t="s">
        <v>275</v>
      </c>
      <c r="B421" s="8" t="s">
        <v>1891</v>
      </c>
      <c r="C421" s="8" t="s">
        <v>122</v>
      </c>
      <c r="D421" s="8" t="s">
        <v>6426</v>
      </c>
      <c r="E421" s="8">
        <v>84.0</v>
      </c>
    </row>
    <row r="422">
      <c r="A422" s="8" t="s">
        <v>275</v>
      </c>
      <c r="B422" s="8" t="s">
        <v>274</v>
      </c>
      <c r="C422" s="8" t="s">
        <v>65</v>
      </c>
      <c r="D422" s="8" t="s">
        <v>6436</v>
      </c>
      <c r="E422" s="8">
        <v>83.0</v>
      </c>
    </row>
    <row r="423">
      <c r="A423" s="8" t="s">
        <v>275</v>
      </c>
      <c r="B423" s="8" t="s">
        <v>90</v>
      </c>
      <c r="C423" s="8" t="s">
        <v>149</v>
      </c>
      <c r="D423" s="8" t="s">
        <v>6434</v>
      </c>
      <c r="E423" s="8">
        <v>72.0</v>
      </c>
    </row>
    <row r="424">
      <c r="A424" s="8" t="s">
        <v>275</v>
      </c>
      <c r="B424" s="8" t="s">
        <v>469</v>
      </c>
      <c r="C424" s="8" t="s">
        <v>192</v>
      </c>
      <c r="D424" s="8" t="s">
        <v>6418</v>
      </c>
      <c r="E424" s="8">
        <v>66.0</v>
      </c>
    </row>
    <row r="425">
      <c r="A425" s="8" t="s">
        <v>275</v>
      </c>
      <c r="B425" s="8" t="s">
        <v>3389</v>
      </c>
      <c r="C425" s="8" t="s">
        <v>24</v>
      </c>
      <c r="D425" s="8" t="s">
        <v>6415</v>
      </c>
      <c r="E425" s="8">
        <v>63.0</v>
      </c>
    </row>
    <row r="426">
      <c r="A426" s="8" t="s">
        <v>275</v>
      </c>
      <c r="B426" s="8" t="s">
        <v>164</v>
      </c>
      <c r="C426" s="8" t="s">
        <v>65</v>
      </c>
      <c r="D426" s="8" t="s">
        <v>6435</v>
      </c>
      <c r="E426" s="8">
        <v>68.0</v>
      </c>
    </row>
    <row r="427">
      <c r="A427" s="8" t="s">
        <v>275</v>
      </c>
      <c r="B427" s="8" t="s">
        <v>1264</v>
      </c>
      <c r="C427" s="8" t="s">
        <v>65</v>
      </c>
      <c r="D427" s="8" t="s">
        <v>6435</v>
      </c>
      <c r="E427" s="8">
        <v>65.0</v>
      </c>
    </row>
    <row r="428">
      <c r="A428" s="8" t="s">
        <v>275</v>
      </c>
      <c r="B428" s="8" t="s">
        <v>284</v>
      </c>
      <c r="C428" s="8" t="s">
        <v>215</v>
      </c>
      <c r="D428" s="8" t="s">
        <v>6422</v>
      </c>
      <c r="E428" s="8">
        <v>61.0</v>
      </c>
    </row>
    <row r="429">
      <c r="A429" s="8" t="s">
        <v>275</v>
      </c>
      <c r="B429" s="8" t="s">
        <v>284</v>
      </c>
      <c r="C429" s="8" t="s">
        <v>215</v>
      </c>
      <c r="D429" s="8" t="s">
        <v>6437</v>
      </c>
      <c r="E429" s="8">
        <v>84.0</v>
      </c>
    </row>
    <row r="430">
      <c r="A430" s="8" t="s">
        <v>275</v>
      </c>
      <c r="B430" s="8" t="s">
        <v>1130</v>
      </c>
      <c r="C430" s="8" t="s">
        <v>65</v>
      </c>
      <c r="D430" s="8" t="s">
        <v>6437</v>
      </c>
      <c r="E430" s="8">
        <v>76.0</v>
      </c>
    </row>
    <row r="431">
      <c r="A431" s="8" t="s">
        <v>275</v>
      </c>
      <c r="B431" s="8" t="s">
        <v>1674</v>
      </c>
      <c r="C431" s="8" t="s">
        <v>138</v>
      </c>
      <c r="D431" s="8" t="s">
        <v>6435</v>
      </c>
      <c r="E431" s="8">
        <v>72.0</v>
      </c>
    </row>
    <row r="432">
      <c r="A432" s="8" t="s">
        <v>275</v>
      </c>
      <c r="B432" s="8" t="s">
        <v>2919</v>
      </c>
      <c r="C432" s="8" t="s">
        <v>80</v>
      </c>
      <c r="D432" s="8" t="s">
        <v>6424</v>
      </c>
      <c r="E432" s="8">
        <v>70.0</v>
      </c>
    </row>
    <row r="433">
      <c r="A433" s="8" t="s">
        <v>275</v>
      </c>
      <c r="B433" s="8" t="s">
        <v>716</v>
      </c>
      <c r="C433" s="8" t="s">
        <v>149</v>
      </c>
      <c r="D433" s="8" t="s">
        <v>6439</v>
      </c>
      <c r="E433" s="8">
        <v>71.0</v>
      </c>
    </row>
    <row r="434">
      <c r="A434" s="8" t="s">
        <v>275</v>
      </c>
      <c r="B434" s="8" t="s">
        <v>1225</v>
      </c>
      <c r="C434" s="8" t="s">
        <v>59</v>
      </c>
      <c r="D434" s="8" t="s">
        <v>6432</v>
      </c>
      <c r="E434" s="8">
        <v>57.0</v>
      </c>
    </row>
    <row r="435">
      <c r="A435" s="8" t="s">
        <v>275</v>
      </c>
      <c r="B435" s="8" t="s">
        <v>2835</v>
      </c>
      <c r="C435" s="8" t="s">
        <v>93</v>
      </c>
      <c r="D435" s="8" t="s">
        <v>6412</v>
      </c>
      <c r="E435" s="8">
        <v>94.0</v>
      </c>
    </row>
    <row r="436">
      <c r="A436" s="8" t="s">
        <v>275</v>
      </c>
      <c r="B436" s="8" t="s">
        <v>284</v>
      </c>
      <c r="C436" s="8" t="s">
        <v>38</v>
      </c>
      <c r="D436" s="8" t="s">
        <v>6442</v>
      </c>
      <c r="E436" s="8">
        <v>83.0</v>
      </c>
    </row>
    <row r="437">
      <c r="A437" s="8" t="s">
        <v>275</v>
      </c>
      <c r="B437" s="8" t="s">
        <v>1464</v>
      </c>
      <c r="C437" s="8" t="s">
        <v>149</v>
      </c>
      <c r="D437" s="8" t="s">
        <v>6432</v>
      </c>
      <c r="E437" s="8">
        <v>71.0</v>
      </c>
    </row>
    <row r="438">
      <c r="A438" s="8" t="s">
        <v>275</v>
      </c>
      <c r="B438" s="8" t="s">
        <v>3337</v>
      </c>
      <c r="C438" s="8" t="s">
        <v>93</v>
      </c>
      <c r="D438" s="8" t="s">
        <v>6412</v>
      </c>
      <c r="E438" s="8">
        <v>68.0</v>
      </c>
    </row>
    <row r="439">
      <c r="A439" s="8" t="s">
        <v>275</v>
      </c>
      <c r="B439" s="8" t="s">
        <v>1263</v>
      </c>
      <c r="C439" s="8" t="s">
        <v>93</v>
      </c>
      <c r="D439" s="8" t="s">
        <v>6428</v>
      </c>
      <c r="E439" s="8">
        <v>64.0</v>
      </c>
    </row>
    <row r="440">
      <c r="A440" s="8" t="s">
        <v>275</v>
      </c>
      <c r="B440" s="8" t="s">
        <v>2741</v>
      </c>
      <c r="C440" s="8" t="s">
        <v>192</v>
      </c>
      <c r="D440" s="8" t="s">
        <v>6426</v>
      </c>
      <c r="E440" s="8">
        <v>71.0</v>
      </c>
    </row>
    <row r="441">
      <c r="A441" s="8" t="s">
        <v>275</v>
      </c>
      <c r="B441" s="8" t="s">
        <v>3402</v>
      </c>
      <c r="C441" s="8" t="s">
        <v>80</v>
      </c>
      <c r="D441" s="8" t="s">
        <v>6427</v>
      </c>
      <c r="E441" s="8">
        <v>70.0</v>
      </c>
    </row>
    <row r="442">
      <c r="A442" s="8" t="s">
        <v>275</v>
      </c>
      <c r="B442" s="8" t="s">
        <v>1250</v>
      </c>
      <c r="C442" s="8" t="s">
        <v>53</v>
      </c>
      <c r="D442" s="8" t="s">
        <v>6432</v>
      </c>
      <c r="E442" s="8">
        <v>68.0</v>
      </c>
    </row>
    <row r="443">
      <c r="A443" s="8" t="s">
        <v>275</v>
      </c>
      <c r="B443" s="8" t="s">
        <v>99</v>
      </c>
      <c r="C443" s="8" t="s">
        <v>138</v>
      </c>
      <c r="D443" s="8" t="s">
        <v>6417</v>
      </c>
      <c r="E443" s="8">
        <v>67.0</v>
      </c>
    </row>
    <row r="444">
      <c r="A444" s="8" t="s">
        <v>275</v>
      </c>
      <c r="B444" s="8" t="s">
        <v>652</v>
      </c>
      <c r="C444" s="8" t="s">
        <v>12</v>
      </c>
      <c r="D444" s="8" t="s">
        <v>6439</v>
      </c>
      <c r="E444" s="8">
        <v>82.0</v>
      </c>
    </row>
    <row r="445">
      <c r="A445" s="8" t="s">
        <v>275</v>
      </c>
      <c r="B445" s="8" t="s">
        <v>1848</v>
      </c>
      <c r="C445" s="8" t="s">
        <v>65</v>
      </c>
      <c r="D445" s="8" t="s">
        <v>6426</v>
      </c>
      <c r="E445" s="8">
        <v>75.0</v>
      </c>
    </row>
    <row r="446">
      <c r="A446" s="8" t="s">
        <v>726</v>
      </c>
      <c r="B446" s="8" t="s">
        <v>1417</v>
      </c>
      <c r="C446" s="8" t="s">
        <v>215</v>
      </c>
      <c r="D446" s="8" t="s">
        <v>6434</v>
      </c>
      <c r="E446" s="8">
        <v>70.0</v>
      </c>
    </row>
    <row r="447">
      <c r="A447" s="8" t="s">
        <v>726</v>
      </c>
      <c r="B447" s="8" t="s">
        <v>1014</v>
      </c>
      <c r="C447" s="8" t="s">
        <v>122</v>
      </c>
      <c r="D447" s="8" t="s">
        <v>6421</v>
      </c>
      <c r="E447" s="8">
        <v>66.0</v>
      </c>
    </row>
    <row r="448">
      <c r="A448" s="8" t="s">
        <v>726</v>
      </c>
      <c r="B448" s="8" t="s">
        <v>2827</v>
      </c>
      <c r="C448" s="8" t="s">
        <v>16</v>
      </c>
      <c r="D448" s="8" t="s">
        <v>6440</v>
      </c>
      <c r="E448" s="8">
        <v>66.0</v>
      </c>
    </row>
    <row r="449">
      <c r="A449" s="8" t="s">
        <v>726</v>
      </c>
      <c r="B449" s="8" t="s">
        <v>2182</v>
      </c>
      <c r="C449" s="8" t="s">
        <v>70</v>
      </c>
      <c r="D449" s="8" t="s">
        <v>6441</v>
      </c>
      <c r="E449" s="8">
        <v>81.0</v>
      </c>
    </row>
    <row r="450">
      <c r="A450" s="8" t="s">
        <v>726</v>
      </c>
      <c r="B450" s="8" t="s">
        <v>1337</v>
      </c>
      <c r="C450" s="8" t="s">
        <v>132</v>
      </c>
      <c r="D450" s="8" t="s">
        <v>6417</v>
      </c>
      <c r="E450" s="8">
        <v>66.0</v>
      </c>
    </row>
    <row r="451">
      <c r="A451" s="8" t="s">
        <v>726</v>
      </c>
      <c r="B451" s="8" t="s">
        <v>958</v>
      </c>
      <c r="C451" s="8" t="s">
        <v>186</v>
      </c>
      <c r="D451" s="8" t="s">
        <v>6443</v>
      </c>
      <c r="E451" s="8">
        <v>82.0</v>
      </c>
    </row>
    <row r="452">
      <c r="A452" s="8" t="s">
        <v>726</v>
      </c>
      <c r="B452" s="8" t="s">
        <v>284</v>
      </c>
      <c r="C452" s="8" t="s">
        <v>53</v>
      </c>
      <c r="D452" s="8" t="s">
        <v>6427</v>
      </c>
      <c r="E452" s="8">
        <v>73.0</v>
      </c>
    </row>
    <row r="453">
      <c r="A453" s="8" t="s">
        <v>2945</v>
      </c>
      <c r="B453" s="8" t="s">
        <v>137</v>
      </c>
      <c r="C453" s="8" t="s">
        <v>70</v>
      </c>
      <c r="D453" s="8" t="s">
        <v>6428</v>
      </c>
      <c r="E453" s="8">
        <v>75.0</v>
      </c>
    </row>
    <row r="454">
      <c r="A454" s="8" t="s">
        <v>1736</v>
      </c>
      <c r="B454" s="8" t="s">
        <v>90</v>
      </c>
      <c r="C454" s="8" t="s">
        <v>80</v>
      </c>
      <c r="D454" s="8" t="s">
        <v>6435</v>
      </c>
      <c r="E454" s="8">
        <v>65.0</v>
      </c>
    </row>
    <row r="455">
      <c r="A455" s="8" t="s">
        <v>90</v>
      </c>
      <c r="B455" s="8" t="s">
        <v>89</v>
      </c>
      <c r="C455" s="8" t="s">
        <v>24</v>
      </c>
      <c r="D455" s="8" t="s">
        <v>6417</v>
      </c>
      <c r="E455" s="8">
        <v>56.0</v>
      </c>
    </row>
    <row r="456">
      <c r="A456" s="8" t="s">
        <v>165</v>
      </c>
      <c r="B456" s="8" t="s">
        <v>164</v>
      </c>
      <c r="C456" s="8" t="s">
        <v>59</v>
      </c>
      <c r="D456" s="8" t="s">
        <v>6421</v>
      </c>
      <c r="E456" s="8">
        <v>82.0</v>
      </c>
    </row>
    <row r="457">
      <c r="A457" s="8" t="s">
        <v>165</v>
      </c>
      <c r="B457" s="8" t="s">
        <v>3223</v>
      </c>
      <c r="C457" s="8" t="s">
        <v>46</v>
      </c>
      <c r="D457" s="8" t="s">
        <v>6442</v>
      </c>
      <c r="E457" s="8">
        <v>60.0</v>
      </c>
    </row>
    <row r="458">
      <c r="A458" s="8" t="s">
        <v>925</v>
      </c>
      <c r="B458" s="8" t="s">
        <v>924</v>
      </c>
      <c r="C458" s="8" t="s">
        <v>192</v>
      </c>
      <c r="D458" s="8" t="s">
        <v>6428</v>
      </c>
      <c r="E458" s="8">
        <v>81.0</v>
      </c>
    </row>
    <row r="459">
      <c r="A459" s="8" t="s">
        <v>925</v>
      </c>
      <c r="B459" s="8" t="s">
        <v>1168</v>
      </c>
      <c r="C459" s="8" t="s">
        <v>192</v>
      </c>
      <c r="D459" s="8" t="s">
        <v>6417</v>
      </c>
      <c r="E459" s="8">
        <v>63.0</v>
      </c>
    </row>
    <row r="460">
      <c r="A460" s="8" t="s">
        <v>2666</v>
      </c>
      <c r="B460" s="8" t="s">
        <v>2665</v>
      </c>
      <c r="C460" s="8" t="s">
        <v>215</v>
      </c>
      <c r="D460" s="8" t="s">
        <v>6433</v>
      </c>
      <c r="E460" s="8">
        <v>86.0</v>
      </c>
    </row>
    <row r="461">
      <c r="A461" s="8" t="s">
        <v>352</v>
      </c>
      <c r="B461" s="8" t="s">
        <v>351</v>
      </c>
      <c r="C461" s="8" t="s">
        <v>75</v>
      </c>
      <c r="D461" s="8" t="s">
        <v>6417</v>
      </c>
      <c r="E461" s="8">
        <v>77.0</v>
      </c>
    </row>
    <row r="462">
      <c r="A462" s="8" t="s">
        <v>2933</v>
      </c>
      <c r="B462" s="8" t="s">
        <v>582</v>
      </c>
      <c r="C462" s="8" t="s">
        <v>122</v>
      </c>
      <c r="D462" s="8" t="s">
        <v>6426</v>
      </c>
      <c r="E462" s="8">
        <v>75.0</v>
      </c>
    </row>
    <row r="463">
      <c r="A463" s="8" t="s">
        <v>1048</v>
      </c>
      <c r="B463" s="8" t="s">
        <v>1047</v>
      </c>
      <c r="C463" s="8" t="s">
        <v>24</v>
      </c>
      <c r="D463" s="8" t="s">
        <v>6438</v>
      </c>
      <c r="E463" s="8">
        <v>75.0</v>
      </c>
    </row>
    <row r="464">
      <c r="A464" s="8" t="s">
        <v>3293</v>
      </c>
      <c r="B464" s="8" t="s">
        <v>1181</v>
      </c>
      <c r="C464" s="8" t="s">
        <v>65</v>
      </c>
      <c r="D464" s="8" t="s">
        <v>6439</v>
      </c>
      <c r="E464" s="8">
        <v>68.0</v>
      </c>
    </row>
    <row r="465">
      <c r="A465" s="8" t="s">
        <v>3253</v>
      </c>
      <c r="B465" s="8" t="s">
        <v>3252</v>
      </c>
      <c r="C465" s="8" t="s">
        <v>24</v>
      </c>
      <c r="D465" s="8" t="s">
        <v>6418</v>
      </c>
      <c r="E465" s="8">
        <v>80.0</v>
      </c>
    </row>
    <row r="466">
      <c r="A466" s="8" t="s">
        <v>362</v>
      </c>
      <c r="B466" s="8" t="s">
        <v>1231</v>
      </c>
      <c r="C466" s="8" t="s">
        <v>65</v>
      </c>
      <c r="D466" s="8" t="s">
        <v>6412</v>
      </c>
      <c r="E466" s="8">
        <v>68.0</v>
      </c>
    </row>
    <row r="467">
      <c r="A467" s="8" t="s">
        <v>362</v>
      </c>
      <c r="B467" s="8" t="s">
        <v>3415</v>
      </c>
      <c r="C467" s="8" t="s">
        <v>93</v>
      </c>
      <c r="D467" s="8" t="s">
        <v>6426</v>
      </c>
      <c r="E467" s="8">
        <v>71.0</v>
      </c>
    </row>
    <row r="468">
      <c r="A468" s="8" t="s">
        <v>362</v>
      </c>
      <c r="B468" s="8" t="s">
        <v>1414</v>
      </c>
      <c r="C468" s="8" t="s">
        <v>65</v>
      </c>
      <c r="D468" s="8" t="s">
        <v>6417</v>
      </c>
      <c r="E468" s="8">
        <v>68.0</v>
      </c>
    </row>
    <row r="469">
      <c r="A469" s="8" t="s">
        <v>362</v>
      </c>
      <c r="B469" s="8" t="s">
        <v>1217</v>
      </c>
      <c r="C469" s="8" t="s">
        <v>16</v>
      </c>
      <c r="D469" s="8" t="s">
        <v>6443</v>
      </c>
      <c r="E469" s="8">
        <v>75.0</v>
      </c>
    </row>
    <row r="470">
      <c r="A470" s="8" t="s">
        <v>362</v>
      </c>
      <c r="B470" s="8" t="s">
        <v>1058</v>
      </c>
      <c r="C470" s="8" t="s">
        <v>141</v>
      </c>
      <c r="D470" s="8" t="s">
        <v>6427</v>
      </c>
      <c r="E470" s="8">
        <v>86.0</v>
      </c>
    </row>
    <row r="471">
      <c r="A471" s="8" t="s">
        <v>362</v>
      </c>
      <c r="B471" s="8" t="s">
        <v>61</v>
      </c>
      <c r="C471" s="8" t="s">
        <v>80</v>
      </c>
      <c r="D471" s="8" t="s">
        <v>6414</v>
      </c>
      <c r="E471" s="8">
        <v>65.0</v>
      </c>
    </row>
    <row r="472">
      <c r="A472" s="8" t="s">
        <v>362</v>
      </c>
      <c r="B472" s="8" t="s">
        <v>2985</v>
      </c>
      <c r="C472" s="8" t="s">
        <v>12</v>
      </c>
      <c r="D472" s="8" t="s">
        <v>6443</v>
      </c>
      <c r="E472" s="8">
        <v>74.0</v>
      </c>
    </row>
    <row r="473">
      <c r="A473" s="8" t="s">
        <v>362</v>
      </c>
      <c r="B473" s="8" t="s">
        <v>1059</v>
      </c>
      <c r="C473" s="8" t="s">
        <v>132</v>
      </c>
      <c r="D473" s="8" t="s">
        <v>6414</v>
      </c>
      <c r="E473" s="8">
        <v>69.0</v>
      </c>
    </row>
    <row r="474">
      <c r="A474" s="8" t="s">
        <v>349</v>
      </c>
      <c r="B474" s="8" t="s">
        <v>1665</v>
      </c>
      <c r="C474" s="8" t="s">
        <v>24</v>
      </c>
      <c r="D474" s="8" t="s">
        <v>6420</v>
      </c>
      <c r="E474" s="8">
        <v>67.0</v>
      </c>
    </row>
    <row r="475">
      <c r="A475" s="8" t="s">
        <v>349</v>
      </c>
      <c r="B475" s="8" t="s">
        <v>1645</v>
      </c>
      <c r="C475" s="8" t="s">
        <v>132</v>
      </c>
      <c r="D475" s="8" t="s">
        <v>6419</v>
      </c>
      <c r="E475" s="8">
        <v>65.0</v>
      </c>
    </row>
    <row r="476">
      <c r="A476" s="8" t="s">
        <v>349</v>
      </c>
      <c r="B476" s="8" t="s">
        <v>348</v>
      </c>
      <c r="C476" s="8" t="s">
        <v>65</v>
      </c>
      <c r="D476" s="8" t="s">
        <v>6442</v>
      </c>
      <c r="E476" s="8">
        <v>81.0</v>
      </c>
    </row>
    <row r="477">
      <c r="A477" s="8" t="s">
        <v>349</v>
      </c>
      <c r="B477" s="8" t="s">
        <v>1474</v>
      </c>
      <c r="C477" s="8" t="s">
        <v>24</v>
      </c>
      <c r="D477" s="8" t="s">
        <v>6422</v>
      </c>
      <c r="E477" s="8">
        <v>67.0</v>
      </c>
    </row>
    <row r="478">
      <c r="A478" s="8" t="s">
        <v>285</v>
      </c>
      <c r="B478" s="8" t="s">
        <v>3320</v>
      </c>
      <c r="C478" s="8" t="s">
        <v>24</v>
      </c>
      <c r="D478" s="8" t="s">
        <v>6428</v>
      </c>
      <c r="E478" s="8">
        <v>67.0</v>
      </c>
    </row>
    <row r="479">
      <c r="A479" s="8" t="s">
        <v>285</v>
      </c>
      <c r="B479" s="8" t="s">
        <v>284</v>
      </c>
      <c r="C479" s="8" t="s">
        <v>80</v>
      </c>
      <c r="D479" s="8" t="s">
        <v>6441</v>
      </c>
      <c r="E479" s="8">
        <v>65.0</v>
      </c>
    </row>
    <row r="480">
      <c r="A480" s="8" t="s">
        <v>285</v>
      </c>
      <c r="B480" s="8" t="s">
        <v>1475</v>
      </c>
      <c r="C480" s="8" t="s">
        <v>24</v>
      </c>
      <c r="D480" s="8" t="s">
        <v>6439</v>
      </c>
      <c r="E480" s="8">
        <v>47.0</v>
      </c>
    </row>
    <row r="481">
      <c r="A481" s="8" t="s">
        <v>219</v>
      </c>
      <c r="B481" s="8" t="s">
        <v>636</v>
      </c>
      <c r="C481" s="8" t="s">
        <v>80</v>
      </c>
      <c r="D481" s="8" t="s">
        <v>6430</v>
      </c>
      <c r="E481" s="8">
        <v>69.0</v>
      </c>
    </row>
    <row r="482">
      <c r="A482" s="8" t="s">
        <v>219</v>
      </c>
      <c r="B482" s="8" t="s">
        <v>218</v>
      </c>
      <c r="C482" s="8" t="s">
        <v>16</v>
      </c>
      <c r="D482" s="8" t="s">
        <v>6416</v>
      </c>
      <c r="E482" s="8">
        <v>67.0</v>
      </c>
    </row>
    <row r="483">
      <c r="A483" s="8" t="s">
        <v>3034</v>
      </c>
      <c r="B483" s="8" t="s">
        <v>3033</v>
      </c>
      <c r="C483" s="8" t="s">
        <v>38</v>
      </c>
      <c r="D483" s="8" t="s">
        <v>6430</v>
      </c>
      <c r="E483" s="8">
        <v>73.0</v>
      </c>
    </row>
    <row r="484">
      <c r="A484" s="8" t="s">
        <v>1131</v>
      </c>
      <c r="B484" s="8" t="s">
        <v>1023</v>
      </c>
      <c r="C484" s="8" t="s">
        <v>16</v>
      </c>
      <c r="D484" s="8" t="s">
        <v>6427</v>
      </c>
      <c r="E484" s="8">
        <v>57.0</v>
      </c>
    </row>
    <row r="485">
      <c r="A485" s="8" t="s">
        <v>1131</v>
      </c>
      <c r="B485" s="8" t="s">
        <v>3166</v>
      </c>
      <c r="C485" s="8" t="s">
        <v>12</v>
      </c>
      <c r="D485" s="8" t="s">
        <v>6427</v>
      </c>
      <c r="E485" s="8">
        <v>75.0</v>
      </c>
    </row>
    <row r="486">
      <c r="A486" s="8" t="s">
        <v>1131</v>
      </c>
      <c r="B486" s="8" t="s">
        <v>3294</v>
      </c>
      <c r="C486" s="8" t="s">
        <v>24</v>
      </c>
      <c r="D486" s="8" t="s">
        <v>6442</v>
      </c>
      <c r="E486" s="8">
        <v>64.0</v>
      </c>
    </row>
    <row r="487">
      <c r="A487" s="8" t="s">
        <v>1131</v>
      </c>
      <c r="B487" s="8" t="s">
        <v>1253</v>
      </c>
      <c r="C487" s="8" t="s">
        <v>75</v>
      </c>
      <c r="D487" s="8" t="s">
        <v>6412</v>
      </c>
      <c r="E487" s="8">
        <v>66.0</v>
      </c>
    </row>
    <row r="488">
      <c r="A488" s="8" t="s">
        <v>1131</v>
      </c>
      <c r="B488" s="8" t="s">
        <v>195</v>
      </c>
      <c r="C488" s="8" t="s">
        <v>16</v>
      </c>
      <c r="D488" s="8" t="s">
        <v>6438</v>
      </c>
      <c r="E488" s="8">
        <v>69.0</v>
      </c>
    </row>
    <row r="489">
      <c r="A489" s="8" t="s">
        <v>1131</v>
      </c>
      <c r="B489" s="8" t="s">
        <v>2674</v>
      </c>
      <c r="C489" s="8" t="s">
        <v>53</v>
      </c>
      <c r="D489" s="8" t="s">
        <v>6414</v>
      </c>
      <c r="E489" s="8">
        <v>78.0</v>
      </c>
    </row>
    <row r="490">
      <c r="A490" s="8" t="s">
        <v>1251</v>
      </c>
      <c r="B490" s="8" t="s">
        <v>581</v>
      </c>
      <c r="C490" s="8" t="s">
        <v>149</v>
      </c>
      <c r="D490" s="8" t="s">
        <v>6436</v>
      </c>
      <c r="E490" s="8">
        <v>67.0</v>
      </c>
    </row>
    <row r="491">
      <c r="A491" s="8" t="s">
        <v>500</v>
      </c>
      <c r="B491" s="8" t="s">
        <v>1222</v>
      </c>
      <c r="C491" s="8" t="s">
        <v>65</v>
      </c>
      <c r="D491" s="8" t="s">
        <v>6414</v>
      </c>
      <c r="E491" s="8">
        <v>74.0</v>
      </c>
    </row>
    <row r="492">
      <c r="A492" s="8" t="s">
        <v>500</v>
      </c>
      <c r="B492" s="8" t="s">
        <v>3300</v>
      </c>
      <c r="C492" s="8" t="s">
        <v>24</v>
      </c>
      <c r="D492" s="8" t="s">
        <v>6438</v>
      </c>
      <c r="E492" s="8">
        <v>69.0</v>
      </c>
    </row>
    <row r="493">
      <c r="A493" s="8" t="s">
        <v>3188</v>
      </c>
      <c r="B493" s="8" t="s">
        <v>2064</v>
      </c>
      <c r="C493" s="8" t="s">
        <v>122</v>
      </c>
      <c r="D493" s="8" t="s">
        <v>6425</v>
      </c>
      <c r="E493" s="8">
        <v>71.0</v>
      </c>
    </row>
    <row r="494">
      <c r="A494" s="8" t="s">
        <v>776</v>
      </c>
      <c r="B494" s="8" t="s">
        <v>775</v>
      </c>
      <c r="C494" s="8" t="s">
        <v>65</v>
      </c>
      <c r="D494" s="8" t="s">
        <v>6438</v>
      </c>
      <c r="E494" s="8">
        <v>78.0</v>
      </c>
    </row>
    <row r="495">
      <c r="A495" s="8" t="s">
        <v>1637</v>
      </c>
      <c r="B495" s="8" t="s">
        <v>1636</v>
      </c>
      <c r="C495" s="8" t="s">
        <v>93</v>
      </c>
      <c r="D495" s="8" t="s">
        <v>6415</v>
      </c>
      <c r="E495" s="8">
        <v>72.0</v>
      </c>
    </row>
    <row r="496">
      <c r="A496" s="8" t="s">
        <v>518</v>
      </c>
      <c r="B496" s="8" t="s">
        <v>517</v>
      </c>
      <c r="C496" s="8" t="s">
        <v>46</v>
      </c>
      <c r="D496" s="8" t="s">
        <v>6430</v>
      </c>
      <c r="E496" s="8">
        <v>84.0</v>
      </c>
    </row>
    <row r="497">
      <c r="A497" s="8" t="s">
        <v>304</v>
      </c>
      <c r="B497" s="8" t="s">
        <v>220</v>
      </c>
      <c r="C497" s="8" t="s">
        <v>186</v>
      </c>
      <c r="D497" s="8" t="s">
        <v>6412</v>
      </c>
      <c r="E497" s="8">
        <v>66.0</v>
      </c>
    </row>
    <row r="498">
      <c r="A498" s="8" t="s">
        <v>304</v>
      </c>
      <c r="B498" s="8" t="s">
        <v>700</v>
      </c>
      <c r="C498" s="8" t="s">
        <v>70</v>
      </c>
      <c r="D498" s="8" t="s">
        <v>6413</v>
      </c>
      <c r="E498" s="8">
        <v>65.0</v>
      </c>
    </row>
    <row r="499">
      <c r="A499" s="8" t="s">
        <v>304</v>
      </c>
      <c r="B499" s="8" t="s">
        <v>745</v>
      </c>
      <c r="C499" s="8" t="s">
        <v>141</v>
      </c>
      <c r="D499" s="8" t="s">
        <v>6421</v>
      </c>
      <c r="E499" s="8">
        <v>82.0</v>
      </c>
    </row>
    <row r="500">
      <c r="A500" s="8" t="s">
        <v>304</v>
      </c>
      <c r="B500" s="8" t="s">
        <v>877</v>
      </c>
      <c r="C500" s="8" t="s">
        <v>65</v>
      </c>
      <c r="D500" s="8" t="s">
        <v>6443</v>
      </c>
      <c r="E500" s="8">
        <v>78.0</v>
      </c>
    </row>
    <row r="501">
      <c r="A501" s="8" t="s">
        <v>304</v>
      </c>
      <c r="B501" s="8" t="s">
        <v>44</v>
      </c>
      <c r="C501" s="8" t="s">
        <v>122</v>
      </c>
      <c r="D501" s="8" t="s">
        <v>6419</v>
      </c>
      <c r="E501" s="8">
        <v>74.0</v>
      </c>
    </row>
    <row r="502">
      <c r="A502" s="8" t="s">
        <v>304</v>
      </c>
      <c r="B502" s="8" t="s">
        <v>1264</v>
      </c>
      <c r="C502" s="8" t="s">
        <v>80</v>
      </c>
      <c r="D502" s="8" t="s">
        <v>6434</v>
      </c>
      <c r="E502" s="8">
        <v>70.0</v>
      </c>
    </row>
    <row r="503">
      <c r="A503" s="8" t="s">
        <v>304</v>
      </c>
      <c r="B503" s="8" t="s">
        <v>308</v>
      </c>
      <c r="C503" s="8" t="s">
        <v>46</v>
      </c>
      <c r="D503" s="8" t="s">
        <v>6420</v>
      </c>
      <c r="E503" s="8">
        <v>70.0</v>
      </c>
    </row>
    <row r="504">
      <c r="A504" s="8" t="s">
        <v>304</v>
      </c>
      <c r="B504" s="8" t="s">
        <v>1511</v>
      </c>
      <c r="C504" s="8" t="s">
        <v>132</v>
      </c>
      <c r="D504" s="8" t="s">
        <v>6423</v>
      </c>
      <c r="E504" s="8">
        <v>67.0</v>
      </c>
    </row>
    <row r="505">
      <c r="A505" s="8" t="s">
        <v>304</v>
      </c>
      <c r="B505" s="8" t="s">
        <v>918</v>
      </c>
      <c r="C505" s="8" t="s">
        <v>65</v>
      </c>
      <c r="D505" s="8" t="s">
        <v>6418</v>
      </c>
      <c r="E505" s="8">
        <v>70.0</v>
      </c>
    </row>
    <row r="506">
      <c r="A506" s="8" t="s">
        <v>304</v>
      </c>
      <c r="B506" s="8" t="s">
        <v>3333</v>
      </c>
      <c r="C506" s="8" t="s">
        <v>53</v>
      </c>
      <c r="D506" s="8" t="s">
        <v>6440</v>
      </c>
      <c r="E506" s="8">
        <v>65.0</v>
      </c>
    </row>
    <row r="507">
      <c r="A507" s="8" t="s">
        <v>304</v>
      </c>
      <c r="B507" s="8" t="s">
        <v>61</v>
      </c>
      <c r="C507" s="8" t="s">
        <v>65</v>
      </c>
      <c r="D507" s="8" t="s">
        <v>6423</v>
      </c>
      <c r="E507" s="8">
        <v>79.0</v>
      </c>
    </row>
    <row r="508">
      <c r="A508" s="8" t="s">
        <v>304</v>
      </c>
      <c r="B508" s="8" t="s">
        <v>2906</v>
      </c>
      <c r="C508" s="8" t="s">
        <v>122</v>
      </c>
      <c r="D508" s="8" t="s">
        <v>6432</v>
      </c>
      <c r="E508" s="8">
        <v>80.0</v>
      </c>
    </row>
    <row r="509">
      <c r="A509" s="8" t="s">
        <v>304</v>
      </c>
      <c r="B509" s="8" t="s">
        <v>1055</v>
      </c>
      <c r="C509" s="8" t="s">
        <v>93</v>
      </c>
      <c r="D509" s="8" t="s">
        <v>6440</v>
      </c>
      <c r="E509" s="8">
        <v>71.0</v>
      </c>
    </row>
    <row r="510">
      <c r="A510" s="8" t="s">
        <v>1775</v>
      </c>
      <c r="B510" s="8" t="s">
        <v>1774</v>
      </c>
      <c r="C510" s="8" t="s">
        <v>93</v>
      </c>
      <c r="D510" s="8" t="s">
        <v>6441</v>
      </c>
      <c r="E510" s="8">
        <v>69.0</v>
      </c>
    </row>
    <row r="511">
      <c r="A511" s="8" t="s">
        <v>748</v>
      </c>
      <c r="B511" s="8" t="s">
        <v>1330</v>
      </c>
      <c r="C511" s="8" t="s">
        <v>138</v>
      </c>
      <c r="D511" s="8" t="s">
        <v>6420</v>
      </c>
      <c r="E511" s="8">
        <v>64.0</v>
      </c>
    </row>
    <row r="512">
      <c r="A512" s="8" t="s">
        <v>748</v>
      </c>
      <c r="B512" s="8" t="s">
        <v>2774</v>
      </c>
      <c r="C512" s="8" t="s">
        <v>141</v>
      </c>
      <c r="D512" s="8" t="s">
        <v>6431</v>
      </c>
      <c r="E512" s="8">
        <v>60.0</v>
      </c>
    </row>
    <row r="513">
      <c r="A513" s="8" t="s">
        <v>748</v>
      </c>
      <c r="B513" s="8" t="s">
        <v>747</v>
      </c>
      <c r="C513" s="8" t="s">
        <v>149</v>
      </c>
      <c r="D513" s="8" t="s">
        <v>6420</v>
      </c>
      <c r="E513" s="8">
        <v>69.0</v>
      </c>
    </row>
    <row r="514">
      <c r="A514" s="8" t="s">
        <v>1515</v>
      </c>
      <c r="B514" s="8" t="s">
        <v>1514</v>
      </c>
      <c r="C514" s="8" t="s">
        <v>59</v>
      </c>
      <c r="D514" s="8" t="s">
        <v>6414</v>
      </c>
      <c r="E514" s="8">
        <v>62.0</v>
      </c>
    </row>
    <row r="515">
      <c r="A515" s="8" t="s">
        <v>1515</v>
      </c>
      <c r="B515" s="8" t="s">
        <v>260</v>
      </c>
      <c r="C515" s="8" t="s">
        <v>186</v>
      </c>
      <c r="D515" s="8" t="s">
        <v>6438</v>
      </c>
      <c r="E515" s="8">
        <v>66.0</v>
      </c>
    </row>
    <row r="516">
      <c r="A516" s="8" t="s">
        <v>1515</v>
      </c>
      <c r="B516" s="8" t="s">
        <v>3297</v>
      </c>
      <c r="C516" s="8" t="s">
        <v>261</v>
      </c>
      <c r="D516" s="8" t="s">
        <v>6414</v>
      </c>
      <c r="E516" s="8">
        <v>78.0</v>
      </c>
    </row>
    <row r="517">
      <c r="A517" s="8" t="s">
        <v>3042</v>
      </c>
      <c r="B517" s="8" t="s">
        <v>3041</v>
      </c>
      <c r="C517" s="8" t="s">
        <v>93</v>
      </c>
      <c r="D517" s="8" t="s">
        <v>6439</v>
      </c>
      <c r="E517" s="8">
        <v>71.0</v>
      </c>
    </row>
    <row r="518">
      <c r="A518" s="8" t="s">
        <v>3489</v>
      </c>
      <c r="B518" s="8" t="s">
        <v>3488</v>
      </c>
      <c r="C518" s="8" t="s">
        <v>122</v>
      </c>
      <c r="D518" s="8" t="s">
        <v>6431</v>
      </c>
      <c r="E518" s="8">
        <v>73.0</v>
      </c>
    </row>
    <row r="519">
      <c r="A519" s="8" t="s">
        <v>307</v>
      </c>
      <c r="B519" s="8" t="s">
        <v>2277</v>
      </c>
      <c r="C519" s="8" t="s">
        <v>132</v>
      </c>
      <c r="D519" s="8" t="s">
        <v>6440</v>
      </c>
      <c r="E519" s="8">
        <v>63.0</v>
      </c>
    </row>
    <row r="520">
      <c r="A520" s="8" t="s">
        <v>307</v>
      </c>
      <c r="B520" s="8" t="s">
        <v>306</v>
      </c>
      <c r="C520" s="8" t="s">
        <v>186</v>
      </c>
      <c r="D520" s="8" t="s">
        <v>6418</v>
      </c>
      <c r="E520" s="8">
        <v>77.0</v>
      </c>
    </row>
    <row r="521">
      <c r="A521" s="8" t="s">
        <v>307</v>
      </c>
      <c r="B521" s="8" t="s">
        <v>2914</v>
      </c>
      <c r="C521" s="8" t="s">
        <v>93</v>
      </c>
      <c r="D521" s="8" t="s">
        <v>6432</v>
      </c>
      <c r="E521" s="8">
        <v>72.0</v>
      </c>
    </row>
    <row r="522">
      <c r="A522" s="8" t="s">
        <v>4404</v>
      </c>
      <c r="B522" s="8" t="s">
        <v>1508</v>
      </c>
      <c r="C522" s="8" t="s">
        <v>93</v>
      </c>
      <c r="D522" s="8" t="s">
        <v>6427</v>
      </c>
      <c r="E522" s="8">
        <v>71.0</v>
      </c>
    </row>
    <row r="523">
      <c r="A523" s="8" t="s">
        <v>2745</v>
      </c>
      <c r="B523" s="8" t="s">
        <v>3272</v>
      </c>
      <c r="C523" s="8" t="s">
        <v>24</v>
      </c>
      <c r="D523" s="8" t="s">
        <v>6435</v>
      </c>
      <c r="E523" s="8">
        <v>77.0</v>
      </c>
    </row>
    <row r="524">
      <c r="A524" s="8" t="s">
        <v>1015</v>
      </c>
      <c r="B524" s="8" t="s">
        <v>700</v>
      </c>
      <c r="C524" s="8" t="s">
        <v>186</v>
      </c>
      <c r="D524" s="8" t="s">
        <v>6425</v>
      </c>
      <c r="E524" s="8">
        <v>60.0</v>
      </c>
    </row>
    <row r="525">
      <c r="A525" s="8" t="s">
        <v>1015</v>
      </c>
      <c r="B525" s="8" t="s">
        <v>2229</v>
      </c>
      <c r="C525" s="8" t="s">
        <v>65</v>
      </c>
      <c r="D525" s="8" t="s">
        <v>6441</v>
      </c>
      <c r="E525" s="8">
        <v>73.0</v>
      </c>
    </row>
    <row r="526">
      <c r="A526" s="8" t="s">
        <v>1015</v>
      </c>
      <c r="B526" s="8" t="s">
        <v>421</v>
      </c>
      <c r="C526" s="8" t="s">
        <v>80</v>
      </c>
      <c r="D526" s="8" t="s">
        <v>6423</v>
      </c>
      <c r="E526" s="8">
        <v>61.0</v>
      </c>
    </row>
    <row r="527">
      <c r="A527" s="8" t="s">
        <v>3414</v>
      </c>
      <c r="B527" s="8" t="s">
        <v>786</v>
      </c>
      <c r="C527" s="8" t="s">
        <v>75</v>
      </c>
      <c r="D527" s="8" t="s">
        <v>6427</v>
      </c>
      <c r="E527" s="8">
        <v>63.0</v>
      </c>
    </row>
    <row r="528">
      <c r="A528" s="8" t="s">
        <v>1489</v>
      </c>
      <c r="B528" s="8" t="s">
        <v>2883</v>
      </c>
      <c r="C528" s="8" t="s">
        <v>46</v>
      </c>
      <c r="D528" s="8" t="s">
        <v>6420</v>
      </c>
      <c r="E528" s="8">
        <v>72.0</v>
      </c>
    </row>
    <row r="529">
      <c r="A529" s="8" t="s">
        <v>1489</v>
      </c>
      <c r="B529" s="8" t="s">
        <v>284</v>
      </c>
      <c r="C529" s="8" t="s">
        <v>93</v>
      </c>
      <c r="D529" s="8" t="s">
        <v>6436</v>
      </c>
      <c r="E529" s="8">
        <v>69.0</v>
      </c>
    </row>
    <row r="530">
      <c r="A530" s="8" t="s">
        <v>6383</v>
      </c>
      <c r="B530" s="8" t="s">
        <v>528</v>
      </c>
      <c r="C530" s="8" t="s">
        <v>93</v>
      </c>
      <c r="D530" s="8" t="s">
        <v>6420</v>
      </c>
      <c r="E530" s="8">
        <v>74.0</v>
      </c>
    </row>
    <row r="531">
      <c r="A531" s="8" t="s">
        <v>6383</v>
      </c>
      <c r="B531" s="8" t="s">
        <v>57</v>
      </c>
      <c r="C531" s="8" t="s">
        <v>186</v>
      </c>
      <c r="D531" s="8" t="s">
        <v>6437</v>
      </c>
      <c r="E531" s="8">
        <v>66.0</v>
      </c>
    </row>
    <row r="532">
      <c r="A532" s="8" t="s">
        <v>6383</v>
      </c>
      <c r="B532" s="8" t="s">
        <v>1202</v>
      </c>
      <c r="C532" s="8" t="s">
        <v>46</v>
      </c>
      <c r="D532" s="8" t="s">
        <v>6419</v>
      </c>
      <c r="E532" s="8">
        <v>71.0</v>
      </c>
    </row>
    <row r="533">
      <c r="A533" s="8" t="s">
        <v>6383</v>
      </c>
      <c r="B533" s="8" t="s">
        <v>154</v>
      </c>
      <c r="C533" s="8" t="s">
        <v>70</v>
      </c>
      <c r="D533" s="8" t="s">
        <v>6436</v>
      </c>
      <c r="E533" s="8">
        <v>63.0</v>
      </c>
    </row>
    <row r="534">
      <c r="A534" s="8" t="s">
        <v>6383</v>
      </c>
      <c r="B534" s="8" t="s">
        <v>1587</v>
      </c>
      <c r="C534" s="8" t="s">
        <v>122</v>
      </c>
      <c r="D534" s="8" t="s">
        <v>6434</v>
      </c>
      <c r="E534" s="8">
        <v>67.0</v>
      </c>
    </row>
    <row r="535">
      <c r="A535" s="8" t="s">
        <v>6383</v>
      </c>
      <c r="B535" s="8" t="s">
        <v>3472</v>
      </c>
      <c r="C535" s="8" t="s">
        <v>24</v>
      </c>
      <c r="D535" s="8" t="s">
        <v>6431</v>
      </c>
      <c r="E535" s="8">
        <v>66.0</v>
      </c>
    </row>
    <row r="536">
      <c r="A536" s="8" t="s">
        <v>6383</v>
      </c>
      <c r="B536" s="8" t="s">
        <v>1055</v>
      </c>
      <c r="C536" s="8" t="s">
        <v>93</v>
      </c>
      <c r="D536" s="8" t="s">
        <v>6437</v>
      </c>
      <c r="E536" s="8">
        <v>63.0</v>
      </c>
    </row>
    <row r="537">
      <c r="A537" s="8" t="s">
        <v>6383</v>
      </c>
      <c r="B537" s="8" t="s">
        <v>808</v>
      </c>
      <c r="C537" s="8" t="s">
        <v>80</v>
      </c>
      <c r="D537" s="8" t="s">
        <v>6416</v>
      </c>
      <c r="E537" s="8">
        <v>84.0</v>
      </c>
    </row>
    <row r="538">
      <c r="A538" s="8" t="s">
        <v>6383</v>
      </c>
      <c r="B538" s="8" t="s">
        <v>682</v>
      </c>
      <c r="C538" s="8" t="s">
        <v>149</v>
      </c>
      <c r="D538" s="8" t="s">
        <v>6425</v>
      </c>
      <c r="E538" s="8">
        <v>75.0</v>
      </c>
    </row>
    <row r="539">
      <c r="A539" s="8" t="s">
        <v>6383</v>
      </c>
      <c r="B539" s="8" t="s">
        <v>284</v>
      </c>
      <c r="C539" s="8" t="s">
        <v>122</v>
      </c>
      <c r="D539" s="8" t="s">
        <v>6422</v>
      </c>
      <c r="E539" s="8">
        <v>64.0</v>
      </c>
    </row>
    <row r="540">
      <c r="A540" s="8" t="s">
        <v>4443</v>
      </c>
      <c r="B540" s="8" t="s">
        <v>99</v>
      </c>
      <c r="C540" s="8" t="s">
        <v>93</v>
      </c>
      <c r="D540" s="8" t="s">
        <v>6423</v>
      </c>
      <c r="E540" s="8">
        <v>67.0</v>
      </c>
    </row>
    <row r="541">
      <c r="A541" s="8" t="s">
        <v>4423</v>
      </c>
      <c r="B541" s="8" t="s">
        <v>2098</v>
      </c>
      <c r="C541" s="8" t="s">
        <v>70</v>
      </c>
      <c r="D541" s="8" t="s">
        <v>6434</v>
      </c>
      <c r="E541" s="8">
        <v>71.0</v>
      </c>
    </row>
    <row r="542">
      <c r="A542" s="8" t="s">
        <v>4425</v>
      </c>
      <c r="B542" s="8" t="s">
        <v>3038</v>
      </c>
      <c r="C542" s="8" t="s">
        <v>192</v>
      </c>
      <c r="D542" s="8" t="s">
        <v>6423</v>
      </c>
      <c r="E542" s="8">
        <v>76.0</v>
      </c>
    </row>
    <row r="543">
      <c r="A543" s="8" t="s">
        <v>4427</v>
      </c>
      <c r="B543" s="8" t="s">
        <v>106</v>
      </c>
      <c r="C543" s="8" t="s">
        <v>65</v>
      </c>
      <c r="D543" s="8" t="s">
        <v>6432</v>
      </c>
      <c r="E543" s="8">
        <v>57.0</v>
      </c>
    </row>
    <row r="544">
      <c r="A544" s="8" t="s">
        <v>2967</v>
      </c>
      <c r="B544" s="8" t="s">
        <v>2966</v>
      </c>
      <c r="C544" s="8" t="s">
        <v>53</v>
      </c>
      <c r="D544" s="8" t="s">
        <v>6437</v>
      </c>
      <c r="E544" s="8">
        <v>67.0</v>
      </c>
    </row>
    <row r="545">
      <c r="A545" s="8" t="s">
        <v>1823</v>
      </c>
      <c r="B545" s="8" t="s">
        <v>1183</v>
      </c>
      <c r="C545" s="8" t="s">
        <v>215</v>
      </c>
      <c r="D545" s="8" t="s">
        <v>6441</v>
      </c>
      <c r="E545" s="8">
        <v>69.0</v>
      </c>
    </row>
    <row r="546">
      <c r="A546" s="8" t="s">
        <v>3430</v>
      </c>
      <c r="B546" s="8" t="s">
        <v>3429</v>
      </c>
      <c r="C546" s="8" t="s">
        <v>65</v>
      </c>
      <c r="D546" s="8" t="s">
        <v>6430</v>
      </c>
      <c r="E546" s="8">
        <v>63.0</v>
      </c>
    </row>
    <row r="547">
      <c r="A547" s="8" t="s">
        <v>3444</v>
      </c>
      <c r="B547" s="8" t="s">
        <v>318</v>
      </c>
      <c r="C547" s="8" t="s">
        <v>192</v>
      </c>
      <c r="D547" s="8" t="s">
        <v>6439</v>
      </c>
      <c r="E547" s="8">
        <v>70.0</v>
      </c>
    </row>
    <row r="548">
      <c r="A548" s="8" t="s">
        <v>1290</v>
      </c>
      <c r="B548" s="8" t="s">
        <v>1289</v>
      </c>
      <c r="C548" s="8" t="s">
        <v>16</v>
      </c>
      <c r="D548" s="8" t="s">
        <v>6442</v>
      </c>
      <c r="E548" s="8">
        <v>86.0</v>
      </c>
    </row>
    <row r="549">
      <c r="A549" s="8" t="s">
        <v>671</v>
      </c>
      <c r="B549" s="8" t="s">
        <v>670</v>
      </c>
      <c r="C549" s="8" t="s">
        <v>132</v>
      </c>
      <c r="D549" s="8" t="s">
        <v>6440</v>
      </c>
      <c r="E549" s="8">
        <v>71.0</v>
      </c>
    </row>
    <row r="550">
      <c r="A550" s="8" t="s">
        <v>1811</v>
      </c>
      <c r="B550" s="8" t="s">
        <v>62</v>
      </c>
      <c r="C550" s="8" t="s">
        <v>132</v>
      </c>
      <c r="D550" s="8" t="s">
        <v>6424</v>
      </c>
      <c r="E550" s="8">
        <v>64.0</v>
      </c>
    </row>
    <row r="551">
      <c r="A551" s="8" t="s">
        <v>258</v>
      </c>
      <c r="B551" s="8" t="s">
        <v>2749</v>
      </c>
      <c r="C551" s="8" t="s">
        <v>70</v>
      </c>
      <c r="D551" s="8" t="s">
        <v>6428</v>
      </c>
      <c r="E551" s="8">
        <v>61.0</v>
      </c>
    </row>
    <row r="552">
      <c r="A552" s="8" t="s">
        <v>1644</v>
      </c>
      <c r="B552" s="8" t="s">
        <v>195</v>
      </c>
      <c r="C552" s="8" t="s">
        <v>70</v>
      </c>
      <c r="D552" s="8" t="s">
        <v>6429</v>
      </c>
      <c r="E552" s="8">
        <v>80.0</v>
      </c>
    </row>
    <row r="553">
      <c r="A553" s="8" t="s">
        <v>1644</v>
      </c>
      <c r="B553" s="8" t="s">
        <v>1041</v>
      </c>
      <c r="C553" s="8" t="s">
        <v>122</v>
      </c>
      <c r="D553" s="8" t="s">
        <v>6425</v>
      </c>
      <c r="E553" s="8">
        <v>71.0</v>
      </c>
    </row>
    <row r="554">
      <c r="A554" s="8" t="s">
        <v>1009</v>
      </c>
      <c r="B554" s="8" t="s">
        <v>497</v>
      </c>
      <c r="C554" s="8" t="s">
        <v>93</v>
      </c>
      <c r="D554" s="8" t="s">
        <v>6421</v>
      </c>
      <c r="E554" s="8">
        <v>77.0</v>
      </c>
    </row>
    <row r="555">
      <c r="A555" s="8" t="s">
        <v>3482</v>
      </c>
      <c r="B555" s="8" t="s">
        <v>472</v>
      </c>
      <c r="C555" s="8" t="s">
        <v>192</v>
      </c>
      <c r="D555" s="8" t="s">
        <v>6436</v>
      </c>
      <c r="E555" s="8">
        <v>59.0</v>
      </c>
    </row>
    <row r="556">
      <c r="A556" s="8" t="s">
        <v>3458</v>
      </c>
      <c r="B556" s="8" t="s">
        <v>3457</v>
      </c>
      <c r="C556" s="8" t="s">
        <v>93</v>
      </c>
      <c r="D556" s="8" t="s">
        <v>6418</v>
      </c>
      <c r="E556" s="8">
        <v>68.0</v>
      </c>
    </row>
    <row r="557">
      <c r="A557" s="8" t="s">
        <v>1060</v>
      </c>
      <c r="B557" s="8" t="s">
        <v>451</v>
      </c>
      <c r="C557" s="8" t="s">
        <v>53</v>
      </c>
      <c r="D557" s="8" t="s">
        <v>6442</v>
      </c>
      <c r="E557" s="8">
        <v>73.0</v>
      </c>
    </row>
    <row r="558">
      <c r="A558" s="8" t="s">
        <v>1060</v>
      </c>
      <c r="B558" s="8" t="s">
        <v>78</v>
      </c>
      <c r="C558" s="8" t="s">
        <v>70</v>
      </c>
      <c r="D558" s="8" t="s">
        <v>6415</v>
      </c>
      <c r="E558" s="8">
        <v>76.0</v>
      </c>
    </row>
    <row r="559">
      <c r="A559" s="8" t="s">
        <v>1113</v>
      </c>
      <c r="B559" s="8" t="s">
        <v>1112</v>
      </c>
      <c r="C559" s="8" t="s">
        <v>65</v>
      </c>
      <c r="D559" s="8" t="s">
        <v>6441</v>
      </c>
      <c r="E559" s="8">
        <v>58.0</v>
      </c>
    </row>
    <row r="560">
      <c r="A560" s="8" t="s">
        <v>438</v>
      </c>
      <c r="B560" s="8" t="s">
        <v>437</v>
      </c>
      <c r="C560" s="8" t="s">
        <v>122</v>
      </c>
      <c r="D560" s="8" t="s">
        <v>6432</v>
      </c>
      <c r="E560" s="8">
        <v>69.0</v>
      </c>
    </row>
    <row r="561">
      <c r="A561" s="8" t="s">
        <v>378</v>
      </c>
      <c r="B561" s="8" t="s">
        <v>377</v>
      </c>
      <c r="C561" s="8" t="s">
        <v>122</v>
      </c>
      <c r="D561" s="8" t="s">
        <v>6425</v>
      </c>
      <c r="E561" s="8">
        <v>89.0</v>
      </c>
    </row>
    <row r="562">
      <c r="A562" s="8" t="s">
        <v>1216</v>
      </c>
      <c r="B562" s="8" t="s">
        <v>1215</v>
      </c>
      <c r="C562" s="8" t="s">
        <v>93</v>
      </c>
      <c r="D562" s="8" t="s">
        <v>6431</v>
      </c>
      <c r="E562" s="8">
        <v>68.0</v>
      </c>
    </row>
    <row r="563">
      <c r="A563" s="8" t="s">
        <v>3371</v>
      </c>
      <c r="B563" s="8" t="s">
        <v>1264</v>
      </c>
      <c r="C563" s="8" t="s">
        <v>215</v>
      </c>
      <c r="D563" s="8" t="s">
        <v>6442</v>
      </c>
      <c r="E563" s="8">
        <v>70.0</v>
      </c>
    </row>
    <row r="564">
      <c r="A564" s="8" t="s">
        <v>4479</v>
      </c>
      <c r="B564" s="8" t="s">
        <v>3452</v>
      </c>
      <c r="C564" s="8" t="s">
        <v>65</v>
      </c>
      <c r="D564" s="8" t="s">
        <v>6415</v>
      </c>
      <c r="E564" s="8">
        <v>64.0</v>
      </c>
    </row>
    <row r="565">
      <c r="A565" s="8" t="s">
        <v>241</v>
      </c>
      <c r="B565" s="8" t="s">
        <v>1442</v>
      </c>
      <c r="C565" s="8" t="s">
        <v>132</v>
      </c>
      <c r="D565" s="8" t="s">
        <v>6432</v>
      </c>
      <c r="E565" s="8">
        <v>76.0</v>
      </c>
    </row>
    <row r="566">
      <c r="A566" s="8" t="s">
        <v>241</v>
      </c>
      <c r="B566" s="8" t="s">
        <v>240</v>
      </c>
      <c r="C566" s="8" t="s">
        <v>12</v>
      </c>
      <c r="D566" s="8" t="s">
        <v>6442</v>
      </c>
      <c r="E566" s="8">
        <v>84.0</v>
      </c>
    </row>
    <row r="567">
      <c r="A567" s="8" t="s">
        <v>241</v>
      </c>
      <c r="B567" s="8" t="s">
        <v>3436</v>
      </c>
      <c r="C567" s="8" t="s">
        <v>53</v>
      </c>
      <c r="D567" s="8" t="s">
        <v>6427</v>
      </c>
      <c r="E567" s="8">
        <v>74.0</v>
      </c>
    </row>
    <row r="568">
      <c r="A568" s="8" t="s">
        <v>241</v>
      </c>
      <c r="B568" s="8" t="s">
        <v>3257</v>
      </c>
      <c r="C568" s="8" t="s">
        <v>46</v>
      </c>
      <c r="D568" s="8" t="s">
        <v>6441</v>
      </c>
      <c r="E568" s="8">
        <v>66.0</v>
      </c>
    </row>
    <row r="569">
      <c r="A569" s="8" t="s">
        <v>241</v>
      </c>
      <c r="B569" s="8" t="s">
        <v>1974</v>
      </c>
      <c r="C569" s="8" t="s">
        <v>149</v>
      </c>
      <c r="D569" s="8" t="s">
        <v>6442</v>
      </c>
      <c r="E569" s="8">
        <v>62.0</v>
      </c>
    </row>
    <row r="570">
      <c r="A570" s="8" t="s">
        <v>197</v>
      </c>
      <c r="B570" s="8" t="s">
        <v>2894</v>
      </c>
      <c r="C570" s="8" t="s">
        <v>70</v>
      </c>
      <c r="D570" s="8" t="s">
        <v>6418</v>
      </c>
      <c r="E570" s="8">
        <v>63.0</v>
      </c>
    </row>
    <row r="571">
      <c r="A571" s="8" t="s">
        <v>197</v>
      </c>
      <c r="B571" s="8" t="s">
        <v>292</v>
      </c>
      <c r="C571" s="8" t="s">
        <v>141</v>
      </c>
      <c r="D571" s="8" t="s">
        <v>6422</v>
      </c>
      <c r="E571" s="8">
        <v>71.0</v>
      </c>
    </row>
    <row r="572">
      <c r="A572" s="8" t="s">
        <v>197</v>
      </c>
      <c r="B572" s="8" t="s">
        <v>979</v>
      </c>
      <c r="C572" s="8" t="s">
        <v>122</v>
      </c>
      <c r="D572" s="8" t="s">
        <v>6439</v>
      </c>
      <c r="E572" s="8">
        <v>69.0</v>
      </c>
    </row>
    <row r="573">
      <c r="A573" s="8" t="s">
        <v>197</v>
      </c>
      <c r="B573" s="8" t="s">
        <v>3184</v>
      </c>
      <c r="C573" s="8" t="s">
        <v>65</v>
      </c>
      <c r="D573" s="8" t="s">
        <v>6427</v>
      </c>
      <c r="E573" s="8">
        <v>65.0</v>
      </c>
    </row>
    <row r="574">
      <c r="A574" s="8" t="s">
        <v>197</v>
      </c>
      <c r="B574" s="8" t="s">
        <v>2958</v>
      </c>
      <c r="C574" s="8" t="s">
        <v>75</v>
      </c>
      <c r="D574" s="8" t="s">
        <v>6419</v>
      </c>
      <c r="E574" s="8">
        <v>63.0</v>
      </c>
    </row>
    <row r="575">
      <c r="A575" s="8" t="s">
        <v>197</v>
      </c>
      <c r="B575" s="8" t="s">
        <v>1387</v>
      </c>
      <c r="C575" s="8" t="s">
        <v>149</v>
      </c>
      <c r="D575" s="8" t="s">
        <v>6431</v>
      </c>
      <c r="E575" s="8">
        <v>61.0</v>
      </c>
    </row>
    <row r="576">
      <c r="A576" s="8" t="s">
        <v>197</v>
      </c>
      <c r="B576" s="8" t="s">
        <v>602</v>
      </c>
      <c r="C576" s="8" t="s">
        <v>192</v>
      </c>
      <c r="D576" s="8" t="s">
        <v>6437</v>
      </c>
      <c r="E576" s="8">
        <v>75.0</v>
      </c>
    </row>
    <row r="577">
      <c r="A577" s="8" t="s">
        <v>1846</v>
      </c>
      <c r="B577" s="8" t="s">
        <v>1380</v>
      </c>
      <c r="C577" s="8" t="s">
        <v>138</v>
      </c>
      <c r="D577" s="8" t="s">
        <v>6429</v>
      </c>
      <c r="E577" s="8">
        <v>86.0</v>
      </c>
    </row>
    <row r="578">
      <c r="A578" s="8" t="s">
        <v>3244</v>
      </c>
      <c r="B578" s="8" t="s">
        <v>3243</v>
      </c>
      <c r="C578" s="8" t="s">
        <v>59</v>
      </c>
      <c r="D578" s="8" t="s">
        <v>6418</v>
      </c>
      <c r="E578" s="8">
        <v>75.0</v>
      </c>
    </row>
    <row r="579">
      <c r="A579" s="8" t="s">
        <v>134</v>
      </c>
      <c r="B579" s="8" t="s">
        <v>3504</v>
      </c>
      <c r="C579" s="8" t="s">
        <v>70</v>
      </c>
      <c r="D579" s="8" t="s">
        <v>6435</v>
      </c>
      <c r="E579" s="8">
        <v>82.0</v>
      </c>
    </row>
    <row r="580">
      <c r="A580" s="8" t="s">
        <v>134</v>
      </c>
      <c r="B580" s="8" t="s">
        <v>133</v>
      </c>
      <c r="C580" s="8" t="s">
        <v>65</v>
      </c>
      <c r="D580" s="8" t="s">
        <v>6436</v>
      </c>
      <c r="E580" s="8">
        <v>78.0</v>
      </c>
    </row>
    <row r="581">
      <c r="A581" s="8" t="s">
        <v>134</v>
      </c>
      <c r="B581" s="8" t="s">
        <v>608</v>
      </c>
      <c r="C581" s="8" t="s">
        <v>186</v>
      </c>
      <c r="D581" s="8" t="s">
        <v>6427</v>
      </c>
      <c r="E581" s="8">
        <v>84.0</v>
      </c>
    </row>
    <row r="582">
      <c r="A582" s="8" t="s">
        <v>134</v>
      </c>
      <c r="B582" s="8" t="s">
        <v>1484</v>
      </c>
      <c r="C582" s="8" t="s">
        <v>132</v>
      </c>
      <c r="D582" s="8" t="s">
        <v>6429</v>
      </c>
      <c r="E582" s="8">
        <v>68.0</v>
      </c>
    </row>
    <row r="583">
      <c r="A583" s="8" t="s">
        <v>134</v>
      </c>
      <c r="B583" s="8" t="s">
        <v>1310</v>
      </c>
      <c r="C583" s="8" t="s">
        <v>122</v>
      </c>
      <c r="D583" s="8" t="s">
        <v>6443</v>
      </c>
      <c r="E583" s="8">
        <v>82.0</v>
      </c>
    </row>
    <row r="584">
      <c r="A584" s="8" t="s">
        <v>134</v>
      </c>
      <c r="B584" s="8" t="s">
        <v>1658</v>
      </c>
      <c r="C584" s="8" t="s">
        <v>261</v>
      </c>
      <c r="D584" s="8" t="s">
        <v>6443</v>
      </c>
      <c r="E584" s="8">
        <v>70.0</v>
      </c>
    </row>
    <row r="585">
      <c r="A585" s="8" t="s">
        <v>1445</v>
      </c>
      <c r="B585" s="8" t="s">
        <v>2792</v>
      </c>
      <c r="C585" s="8" t="s">
        <v>138</v>
      </c>
      <c r="D585" s="8" t="s">
        <v>6413</v>
      </c>
      <c r="E585" s="8">
        <v>76.0</v>
      </c>
    </row>
    <row r="586">
      <c r="A586" s="8" t="s">
        <v>953</v>
      </c>
      <c r="B586" s="8" t="s">
        <v>284</v>
      </c>
      <c r="C586" s="8" t="s">
        <v>138</v>
      </c>
      <c r="D586" s="8" t="s">
        <v>6423</v>
      </c>
      <c r="E586" s="8">
        <v>78.0</v>
      </c>
    </row>
    <row r="587">
      <c r="A587" s="8" t="s">
        <v>1559</v>
      </c>
      <c r="B587" s="8" t="s">
        <v>1558</v>
      </c>
      <c r="C587" s="8" t="s">
        <v>70</v>
      </c>
      <c r="D587" s="8" t="s">
        <v>6434</v>
      </c>
      <c r="E587" s="8">
        <v>65.0</v>
      </c>
    </row>
    <row r="588">
      <c r="A588" s="8" t="s">
        <v>645</v>
      </c>
      <c r="B588" s="8" t="s">
        <v>644</v>
      </c>
      <c r="C588" s="8" t="s">
        <v>186</v>
      </c>
      <c r="D588" s="8" t="s">
        <v>6423</v>
      </c>
      <c r="E588" s="8">
        <v>62.0</v>
      </c>
    </row>
    <row r="589">
      <c r="A589" s="8" t="s">
        <v>1643</v>
      </c>
      <c r="B589" s="8" t="s">
        <v>444</v>
      </c>
      <c r="C589" s="8" t="s">
        <v>80</v>
      </c>
      <c r="D589" s="8" t="s">
        <v>6425</v>
      </c>
      <c r="E589" s="8">
        <v>69.0</v>
      </c>
    </row>
    <row r="590">
      <c r="A590" s="8" t="s">
        <v>1643</v>
      </c>
      <c r="B590" s="8" t="s">
        <v>1625</v>
      </c>
      <c r="C590" s="8" t="s">
        <v>80</v>
      </c>
      <c r="D590" s="8" t="s">
        <v>6412</v>
      </c>
      <c r="E590" s="8">
        <v>83.0</v>
      </c>
    </row>
    <row r="591">
      <c r="A591" s="8" t="s">
        <v>800</v>
      </c>
      <c r="B591" s="8" t="s">
        <v>2895</v>
      </c>
      <c r="C591" s="8" t="s">
        <v>138</v>
      </c>
      <c r="D591" s="8" t="s">
        <v>6438</v>
      </c>
      <c r="E591" s="8">
        <v>60.0</v>
      </c>
    </row>
    <row r="592">
      <c r="A592" s="8" t="s">
        <v>800</v>
      </c>
      <c r="B592" s="8" t="s">
        <v>955</v>
      </c>
      <c r="C592" s="8" t="s">
        <v>122</v>
      </c>
      <c r="D592" s="8" t="s">
        <v>6436</v>
      </c>
      <c r="E592" s="8">
        <v>62.0</v>
      </c>
    </row>
    <row r="593">
      <c r="A593" s="8" t="s">
        <v>800</v>
      </c>
      <c r="B593" s="8" t="s">
        <v>3301</v>
      </c>
      <c r="C593" s="8" t="s">
        <v>93</v>
      </c>
      <c r="D593" s="8" t="s">
        <v>6443</v>
      </c>
      <c r="E593" s="8">
        <v>61.0</v>
      </c>
    </row>
    <row r="594">
      <c r="A594" s="8" t="s">
        <v>800</v>
      </c>
      <c r="B594" s="8" t="s">
        <v>1571</v>
      </c>
      <c r="C594" s="8" t="s">
        <v>138</v>
      </c>
      <c r="D594" s="8" t="s">
        <v>6432</v>
      </c>
      <c r="E594" s="8">
        <v>66.0</v>
      </c>
    </row>
    <row r="595">
      <c r="A595" s="8" t="s">
        <v>800</v>
      </c>
      <c r="B595" s="8" t="s">
        <v>950</v>
      </c>
      <c r="C595" s="8" t="s">
        <v>65</v>
      </c>
      <c r="D595" s="8" t="s">
        <v>6423</v>
      </c>
      <c r="E595" s="8">
        <v>61.0</v>
      </c>
    </row>
    <row r="596">
      <c r="A596" s="8" t="s">
        <v>800</v>
      </c>
      <c r="B596" s="8" t="s">
        <v>3055</v>
      </c>
      <c r="C596" s="8" t="s">
        <v>93</v>
      </c>
      <c r="D596" s="8" t="s">
        <v>6420</v>
      </c>
      <c r="E596" s="8">
        <v>89.0</v>
      </c>
    </row>
    <row r="597">
      <c r="A597" s="8" t="s">
        <v>800</v>
      </c>
      <c r="B597" s="8" t="s">
        <v>486</v>
      </c>
      <c r="C597" s="8" t="s">
        <v>93</v>
      </c>
      <c r="D597" s="8" t="s">
        <v>6428</v>
      </c>
      <c r="E597" s="8">
        <v>82.0</v>
      </c>
    </row>
    <row r="598">
      <c r="A598" s="8" t="s">
        <v>886</v>
      </c>
      <c r="B598" s="8" t="s">
        <v>885</v>
      </c>
      <c r="C598" s="8" t="s">
        <v>93</v>
      </c>
      <c r="D598" s="8" t="s">
        <v>6417</v>
      </c>
      <c r="E598" s="8">
        <v>73.0</v>
      </c>
    </row>
    <row r="599">
      <c r="A599" s="8" t="s">
        <v>2022</v>
      </c>
      <c r="B599" s="8" t="s">
        <v>1675</v>
      </c>
      <c r="C599" s="8" t="s">
        <v>261</v>
      </c>
      <c r="D599" s="8" t="s">
        <v>6441</v>
      </c>
      <c r="E599" s="8">
        <v>74.0</v>
      </c>
    </row>
    <row r="600">
      <c r="A600" s="8" t="s">
        <v>1338</v>
      </c>
      <c r="B600" s="8" t="s">
        <v>3454</v>
      </c>
      <c r="C600" s="8" t="s">
        <v>80</v>
      </c>
      <c r="D600" s="8" t="s">
        <v>6432</v>
      </c>
      <c r="E600" s="8">
        <v>71.0</v>
      </c>
    </row>
    <row r="601">
      <c r="A601" s="8" t="s">
        <v>1338</v>
      </c>
      <c r="B601" s="8" t="s">
        <v>78</v>
      </c>
      <c r="C601" s="8" t="s">
        <v>149</v>
      </c>
      <c r="D601" s="8" t="s">
        <v>6414</v>
      </c>
      <c r="E601" s="8">
        <v>66.0</v>
      </c>
    </row>
    <row r="602">
      <c r="A602" s="8" t="s">
        <v>1338</v>
      </c>
      <c r="B602" s="8" t="s">
        <v>1818</v>
      </c>
      <c r="C602" s="8" t="s">
        <v>132</v>
      </c>
      <c r="D602" s="8" t="s">
        <v>6424</v>
      </c>
      <c r="E602" s="8">
        <v>61.0</v>
      </c>
    </row>
    <row r="603">
      <c r="A603" s="8" t="s">
        <v>153</v>
      </c>
      <c r="B603" s="8" t="s">
        <v>2937</v>
      </c>
      <c r="C603" s="8" t="s">
        <v>70</v>
      </c>
      <c r="D603" s="8" t="s">
        <v>6442</v>
      </c>
      <c r="E603" s="8">
        <v>77.0</v>
      </c>
    </row>
    <row r="604">
      <c r="A604" s="8" t="s">
        <v>153</v>
      </c>
      <c r="B604" s="8" t="s">
        <v>3071</v>
      </c>
      <c r="C604" s="8" t="s">
        <v>70</v>
      </c>
      <c r="D604" s="8" t="s">
        <v>6424</v>
      </c>
      <c r="E604" s="8">
        <v>83.0</v>
      </c>
    </row>
    <row r="605">
      <c r="A605" s="8" t="s">
        <v>153</v>
      </c>
      <c r="B605" s="8" t="s">
        <v>152</v>
      </c>
      <c r="C605" s="8" t="s">
        <v>24</v>
      </c>
      <c r="D605" s="8" t="s">
        <v>6420</v>
      </c>
      <c r="E605" s="8">
        <v>74.0</v>
      </c>
    </row>
    <row r="606">
      <c r="A606" s="8" t="s">
        <v>153</v>
      </c>
      <c r="B606" s="8" t="s">
        <v>1329</v>
      </c>
      <c r="C606" s="8" t="s">
        <v>24</v>
      </c>
      <c r="D606" s="8" t="s">
        <v>6435</v>
      </c>
      <c r="E606" s="8">
        <v>68.0</v>
      </c>
    </row>
    <row r="607">
      <c r="A607" s="8" t="s">
        <v>2845</v>
      </c>
      <c r="B607" s="8" t="s">
        <v>2844</v>
      </c>
      <c r="C607" s="8" t="s">
        <v>65</v>
      </c>
      <c r="D607" s="8" t="s">
        <v>6439</v>
      </c>
      <c r="E607" s="8">
        <v>72.0</v>
      </c>
    </row>
    <row r="608">
      <c r="A608" s="8" t="s">
        <v>1876</v>
      </c>
      <c r="B608" s="8" t="s">
        <v>42</v>
      </c>
      <c r="C608" s="8" t="s">
        <v>186</v>
      </c>
      <c r="D608" s="8" t="s">
        <v>6440</v>
      </c>
      <c r="E608" s="8">
        <v>72.0</v>
      </c>
    </row>
    <row r="609">
      <c r="A609" s="8" t="s">
        <v>792</v>
      </c>
      <c r="B609" s="8" t="s">
        <v>305</v>
      </c>
      <c r="C609" s="8" t="s">
        <v>93</v>
      </c>
      <c r="D609" s="8" t="s">
        <v>6440</v>
      </c>
      <c r="E609" s="8">
        <v>68.0</v>
      </c>
    </row>
    <row r="610">
      <c r="A610" s="8" t="s">
        <v>792</v>
      </c>
      <c r="B610" s="8" t="s">
        <v>3461</v>
      </c>
      <c r="C610" s="8" t="s">
        <v>215</v>
      </c>
      <c r="D610" s="8" t="s">
        <v>6418</v>
      </c>
      <c r="E610" s="8">
        <v>72.0</v>
      </c>
    </row>
    <row r="611">
      <c r="A611" s="8" t="s">
        <v>792</v>
      </c>
      <c r="B611" s="8" t="s">
        <v>1905</v>
      </c>
      <c r="C611" s="8" t="s">
        <v>93</v>
      </c>
      <c r="D611" s="8" t="s">
        <v>6428</v>
      </c>
      <c r="E611" s="8">
        <v>72.0</v>
      </c>
    </row>
    <row r="612">
      <c r="A612" s="8" t="s">
        <v>1057</v>
      </c>
      <c r="B612" s="8" t="s">
        <v>2031</v>
      </c>
      <c r="C612" s="8" t="s">
        <v>93</v>
      </c>
      <c r="D612" s="8" t="s">
        <v>6441</v>
      </c>
      <c r="E612" s="8">
        <v>74.0</v>
      </c>
    </row>
    <row r="613">
      <c r="A613" s="8" t="s">
        <v>1057</v>
      </c>
      <c r="B613" s="8" t="s">
        <v>78</v>
      </c>
      <c r="C613" s="8" t="s">
        <v>149</v>
      </c>
      <c r="D613" s="8" t="s">
        <v>6441</v>
      </c>
      <c r="E613" s="8">
        <v>70.0</v>
      </c>
    </row>
    <row r="614">
      <c r="A614" s="8" t="s">
        <v>2995</v>
      </c>
      <c r="B614" s="8" t="s">
        <v>1005</v>
      </c>
      <c r="C614" s="8" t="s">
        <v>93</v>
      </c>
      <c r="D614" s="8" t="s">
        <v>6416</v>
      </c>
      <c r="E614" s="8">
        <v>67.0</v>
      </c>
    </row>
    <row r="615">
      <c r="A615" s="8" t="s">
        <v>555</v>
      </c>
      <c r="B615" s="8" t="s">
        <v>284</v>
      </c>
      <c r="C615" s="8" t="s">
        <v>215</v>
      </c>
      <c r="D615" s="8" t="s">
        <v>6429</v>
      </c>
      <c r="E615" s="8">
        <v>76.0</v>
      </c>
    </row>
    <row r="616">
      <c r="A616" s="8" t="s">
        <v>1071</v>
      </c>
      <c r="B616" s="8" t="s">
        <v>835</v>
      </c>
      <c r="C616" s="8" t="s">
        <v>65</v>
      </c>
      <c r="D616" s="8" t="s">
        <v>6421</v>
      </c>
      <c r="E616" s="8">
        <v>84.0</v>
      </c>
    </row>
    <row r="617">
      <c r="A617" s="8" t="s">
        <v>506</v>
      </c>
      <c r="B617" s="8" t="s">
        <v>1004</v>
      </c>
      <c r="C617" s="8" t="s">
        <v>122</v>
      </c>
      <c r="D617" s="8" t="s">
        <v>6428</v>
      </c>
      <c r="E617" s="8">
        <v>70.0</v>
      </c>
    </row>
    <row r="618">
      <c r="A618" s="8" t="s">
        <v>506</v>
      </c>
      <c r="B618" s="8" t="s">
        <v>1247</v>
      </c>
      <c r="C618" s="8" t="s">
        <v>59</v>
      </c>
      <c r="D618" s="8" t="s">
        <v>6441</v>
      </c>
      <c r="E618" s="8">
        <v>66.0</v>
      </c>
    </row>
    <row r="619">
      <c r="A619" s="8" t="s">
        <v>506</v>
      </c>
      <c r="B619" s="8" t="s">
        <v>2952</v>
      </c>
      <c r="C619" s="8" t="s">
        <v>24</v>
      </c>
      <c r="D619" s="8" t="s">
        <v>6429</v>
      </c>
      <c r="E619" s="8">
        <v>67.0</v>
      </c>
    </row>
    <row r="620">
      <c r="A620" s="8" t="s">
        <v>506</v>
      </c>
      <c r="B620" s="8" t="s">
        <v>915</v>
      </c>
      <c r="C620" s="8" t="s">
        <v>70</v>
      </c>
      <c r="D620" s="8" t="s">
        <v>6423</v>
      </c>
      <c r="E620" s="8">
        <v>61.0</v>
      </c>
    </row>
    <row r="621">
      <c r="A621" s="8" t="s">
        <v>506</v>
      </c>
      <c r="B621" s="8" t="s">
        <v>638</v>
      </c>
      <c r="C621" s="8" t="s">
        <v>141</v>
      </c>
      <c r="D621" s="8" t="s">
        <v>6436</v>
      </c>
      <c r="E621" s="8">
        <v>78.0</v>
      </c>
    </row>
    <row r="622">
      <c r="A622" s="8" t="s">
        <v>506</v>
      </c>
      <c r="B622" s="8" t="s">
        <v>1483</v>
      </c>
      <c r="C622" s="8" t="s">
        <v>138</v>
      </c>
      <c r="D622" s="8" t="s">
        <v>6442</v>
      </c>
      <c r="E622" s="8">
        <v>79.0</v>
      </c>
    </row>
    <row r="623">
      <c r="A623" s="8" t="s">
        <v>506</v>
      </c>
      <c r="B623" s="8" t="s">
        <v>2205</v>
      </c>
      <c r="C623" s="8" t="s">
        <v>24</v>
      </c>
      <c r="D623" s="8" t="s">
        <v>6443</v>
      </c>
      <c r="E623" s="8">
        <v>78.0</v>
      </c>
    </row>
    <row r="624">
      <c r="A624" s="8" t="s">
        <v>506</v>
      </c>
      <c r="B624" s="8" t="s">
        <v>974</v>
      </c>
      <c r="C624" s="8" t="s">
        <v>122</v>
      </c>
      <c r="D624" s="8" t="s">
        <v>6417</v>
      </c>
      <c r="E624" s="8">
        <v>60.0</v>
      </c>
    </row>
    <row r="625">
      <c r="A625" s="8" t="s">
        <v>506</v>
      </c>
      <c r="B625" s="8" t="s">
        <v>843</v>
      </c>
      <c r="C625" s="8" t="s">
        <v>46</v>
      </c>
      <c r="D625" s="8" t="s">
        <v>6421</v>
      </c>
      <c r="E625" s="8">
        <v>91.0</v>
      </c>
    </row>
    <row r="626">
      <c r="A626" s="8" t="s">
        <v>506</v>
      </c>
      <c r="B626" s="8" t="s">
        <v>1275</v>
      </c>
      <c r="C626" s="8" t="s">
        <v>122</v>
      </c>
      <c r="D626" s="8" t="s">
        <v>6418</v>
      </c>
      <c r="E626" s="8">
        <v>72.0</v>
      </c>
    </row>
    <row r="627">
      <c r="A627" s="8" t="s">
        <v>506</v>
      </c>
      <c r="B627" s="8" t="s">
        <v>389</v>
      </c>
      <c r="C627" s="8" t="s">
        <v>70</v>
      </c>
      <c r="D627" s="8" t="s">
        <v>6419</v>
      </c>
      <c r="E627" s="8">
        <v>94.0</v>
      </c>
    </row>
    <row r="628">
      <c r="A628" s="8" t="s">
        <v>506</v>
      </c>
      <c r="B628" s="8" t="s">
        <v>1969</v>
      </c>
      <c r="C628" s="8" t="s">
        <v>46</v>
      </c>
      <c r="D628" s="8" t="s">
        <v>6438</v>
      </c>
      <c r="E628" s="8">
        <v>69.0</v>
      </c>
    </row>
    <row r="629">
      <c r="A629" s="8" t="s">
        <v>506</v>
      </c>
      <c r="B629" s="8" t="s">
        <v>3507</v>
      </c>
      <c r="C629" s="8" t="s">
        <v>75</v>
      </c>
      <c r="D629" s="8" t="s">
        <v>6441</v>
      </c>
      <c r="E629" s="8">
        <v>69.0</v>
      </c>
    </row>
    <row r="630">
      <c r="A630" s="8" t="s">
        <v>506</v>
      </c>
      <c r="B630" s="8" t="s">
        <v>841</v>
      </c>
      <c r="C630" s="8" t="s">
        <v>93</v>
      </c>
      <c r="D630" s="8" t="s">
        <v>6438</v>
      </c>
      <c r="E630" s="8">
        <v>82.0</v>
      </c>
    </row>
    <row r="631">
      <c r="A631" s="8" t="s">
        <v>506</v>
      </c>
      <c r="B631" s="8" t="s">
        <v>1264</v>
      </c>
      <c r="C631" s="8" t="s">
        <v>65</v>
      </c>
      <c r="D631" s="8" t="s">
        <v>6433</v>
      </c>
      <c r="E631" s="8">
        <v>66.0</v>
      </c>
    </row>
    <row r="632">
      <c r="A632" s="8" t="s">
        <v>506</v>
      </c>
      <c r="B632" s="8" t="s">
        <v>508</v>
      </c>
      <c r="C632" s="8" t="s">
        <v>132</v>
      </c>
      <c r="D632" s="8" t="s">
        <v>6439</v>
      </c>
      <c r="E632" s="8">
        <v>88.0</v>
      </c>
    </row>
    <row r="633">
      <c r="A633" s="8" t="s">
        <v>506</v>
      </c>
      <c r="B633" s="8" t="s">
        <v>389</v>
      </c>
      <c r="C633" s="8" t="s">
        <v>24</v>
      </c>
      <c r="D633" s="8" t="s">
        <v>6439</v>
      </c>
      <c r="E633" s="8">
        <v>64.0</v>
      </c>
    </row>
    <row r="634">
      <c r="A634" s="8" t="s">
        <v>506</v>
      </c>
      <c r="B634" s="8" t="s">
        <v>956</v>
      </c>
      <c r="C634" s="8" t="s">
        <v>138</v>
      </c>
      <c r="D634" s="8" t="s">
        <v>6437</v>
      </c>
      <c r="E634" s="8">
        <v>64.0</v>
      </c>
    </row>
    <row r="635">
      <c r="A635" s="8" t="s">
        <v>506</v>
      </c>
      <c r="B635" s="8" t="s">
        <v>2787</v>
      </c>
      <c r="C635" s="8" t="s">
        <v>16</v>
      </c>
      <c r="D635" s="8" t="s">
        <v>6415</v>
      </c>
      <c r="E635" s="8">
        <v>62.0</v>
      </c>
    </row>
    <row r="636">
      <c r="A636" s="8" t="s">
        <v>506</v>
      </c>
      <c r="B636" s="8" t="s">
        <v>2675</v>
      </c>
      <c r="C636" s="8" t="s">
        <v>59</v>
      </c>
      <c r="D636" s="8" t="s">
        <v>6433</v>
      </c>
      <c r="E636" s="8">
        <v>66.0</v>
      </c>
    </row>
    <row r="637">
      <c r="A637" s="8" t="s">
        <v>506</v>
      </c>
      <c r="B637" s="8" t="s">
        <v>593</v>
      </c>
      <c r="C637" s="8" t="s">
        <v>132</v>
      </c>
      <c r="D637" s="8" t="s">
        <v>6434</v>
      </c>
      <c r="E637" s="8">
        <v>66.0</v>
      </c>
    </row>
    <row r="638">
      <c r="A638" s="8" t="s">
        <v>506</v>
      </c>
      <c r="B638" s="8" t="s">
        <v>89</v>
      </c>
      <c r="C638" s="8" t="s">
        <v>186</v>
      </c>
      <c r="D638" s="8" t="s">
        <v>6436</v>
      </c>
      <c r="E638" s="8">
        <v>81.0</v>
      </c>
    </row>
    <row r="639">
      <c r="A639" s="8" t="s">
        <v>61</v>
      </c>
      <c r="B639" s="8" t="s">
        <v>232</v>
      </c>
      <c r="C639" s="8" t="s">
        <v>16</v>
      </c>
      <c r="D639" s="8" t="s">
        <v>6425</v>
      </c>
      <c r="E639" s="8">
        <v>73.0</v>
      </c>
    </row>
    <row r="640">
      <c r="A640" s="8" t="s">
        <v>1808</v>
      </c>
      <c r="B640" s="8" t="s">
        <v>1807</v>
      </c>
      <c r="C640" s="8" t="s">
        <v>122</v>
      </c>
      <c r="D640" s="8" t="s">
        <v>6415</v>
      </c>
      <c r="E640" s="8">
        <v>65.0</v>
      </c>
    </row>
    <row r="641">
      <c r="A641" s="8" t="s">
        <v>1808</v>
      </c>
      <c r="B641" s="8" t="s">
        <v>2850</v>
      </c>
      <c r="C641" s="8" t="s">
        <v>93</v>
      </c>
      <c r="D641" s="8" t="s">
        <v>6421</v>
      </c>
      <c r="E641" s="8">
        <v>74.0</v>
      </c>
    </row>
    <row r="642">
      <c r="A642" s="8" t="s">
        <v>2889</v>
      </c>
      <c r="B642" s="8" t="s">
        <v>2888</v>
      </c>
      <c r="C642" s="8" t="s">
        <v>122</v>
      </c>
      <c r="D642" s="8" t="s">
        <v>6426</v>
      </c>
      <c r="E642" s="8">
        <v>64.0</v>
      </c>
    </row>
    <row r="643">
      <c r="A643" s="8" t="s">
        <v>1977</v>
      </c>
      <c r="B643" s="8" t="s">
        <v>1976</v>
      </c>
      <c r="C643" s="8" t="s">
        <v>215</v>
      </c>
      <c r="D643" s="8" t="s">
        <v>6413</v>
      </c>
      <c r="E643" s="8">
        <v>71.0</v>
      </c>
    </row>
    <row r="644">
      <c r="A644" s="8" t="s">
        <v>3400</v>
      </c>
      <c r="B644" s="8" t="s">
        <v>2221</v>
      </c>
      <c r="C644" s="8" t="s">
        <v>53</v>
      </c>
      <c r="D644" s="8" t="s">
        <v>6434</v>
      </c>
      <c r="E644" s="8">
        <v>64.0</v>
      </c>
    </row>
    <row r="645">
      <c r="A645" s="8" t="s">
        <v>4527</v>
      </c>
      <c r="B645" s="8" t="s">
        <v>937</v>
      </c>
      <c r="C645" s="8" t="s">
        <v>70</v>
      </c>
      <c r="D645" s="8" t="s">
        <v>6412</v>
      </c>
      <c r="E645" s="8">
        <v>68.0</v>
      </c>
    </row>
    <row r="646">
      <c r="A646" s="8" t="s">
        <v>4529</v>
      </c>
      <c r="B646" s="8" t="s">
        <v>62</v>
      </c>
      <c r="C646" s="8" t="s">
        <v>65</v>
      </c>
      <c r="D646" s="8" t="s">
        <v>6437</v>
      </c>
      <c r="E646" s="8">
        <v>69.0</v>
      </c>
    </row>
    <row r="647">
      <c r="A647" s="8" t="s">
        <v>4531</v>
      </c>
      <c r="B647" s="8" t="s">
        <v>185</v>
      </c>
      <c r="C647" s="8" t="s">
        <v>149</v>
      </c>
      <c r="D647" s="8" t="s">
        <v>6435</v>
      </c>
      <c r="E647" s="8">
        <v>67.0</v>
      </c>
    </row>
    <row r="648">
      <c r="A648" s="8" t="s">
        <v>4533</v>
      </c>
      <c r="B648" s="8" t="s">
        <v>1081</v>
      </c>
      <c r="C648" s="8" t="s">
        <v>93</v>
      </c>
      <c r="D648" s="8" t="s">
        <v>6437</v>
      </c>
      <c r="E648" s="8">
        <v>64.0</v>
      </c>
    </row>
    <row r="649">
      <c r="A649" s="8" t="s">
        <v>4533</v>
      </c>
      <c r="B649" s="8" t="s">
        <v>89</v>
      </c>
      <c r="C649" s="8" t="s">
        <v>93</v>
      </c>
      <c r="D649" s="8" t="s">
        <v>6418</v>
      </c>
      <c r="E649" s="8">
        <v>63.0</v>
      </c>
    </row>
    <row r="650">
      <c r="A650" s="8" t="s">
        <v>4535</v>
      </c>
      <c r="B650" s="8" t="s">
        <v>99</v>
      </c>
      <c r="C650" s="8" t="s">
        <v>70</v>
      </c>
      <c r="D650" s="8" t="s">
        <v>6415</v>
      </c>
      <c r="E650" s="8">
        <v>65.0</v>
      </c>
    </row>
    <row r="651">
      <c r="A651" s="8" t="s">
        <v>4537</v>
      </c>
      <c r="B651" s="8" t="s">
        <v>142</v>
      </c>
      <c r="C651" s="8" t="s">
        <v>59</v>
      </c>
      <c r="D651" s="8" t="s">
        <v>6431</v>
      </c>
      <c r="E651" s="8">
        <v>73.0</v>
      </c>
    </row>
    <row r="652">
      <c r="A652" s="8" t="s">
        <v>974</v>
      </c>
      <c r="B652" s="8" t="s">
        <v>1517</v>
      </c>
      <c r="C652" s="8" t="s">
        <v>138</v>
      </c>
      <c r="D652" s="8" t="s">
        <v>6421</v>
      </c>
      <c r="E652" s="8">
        <v>67.0</v>
      </c>
    </row>
    <row r="653">
      <c r="A653" s="8" t="s">
        <v>974</v>
      </c>
      <c r="B653" s="8" t="s">
        <v>973</v>
      </c>
      <c r="C653" s="8" t="s">
        <v>192</v>
      </c>
      <c r="D653" s="8" t="s">
        <v>6441</v>
      </c>
      <c r="E653" s="8">
        <v>65.0</v>
      </c>
    </row>
    <row r="654">
      <c r="A654" s="8" t="s">
        <v>943</v>
      </c>
      <c r="B654" s="8" t="s">
        <v>3056</v>
      </c>
      <c r="C654" s="8" t="s">
        <v>65</v>
      </c>
      <c r="D654" s="8" t="s">
        <v>6422</v>
      </c>
      <c r="E654" s="8">
        <v>65.0</v>
      </c>
    </row>
    <row r="655">
      <c r="A655" s="8" t="s">
        <v>943</v>
      </c>
      <c r="B655" s="8" t="s">
        <v>897</v>
      </c>
      <c r="C655" s="8" t="s">
        <v>93</v>
      </c>
      <c r="D655" s="8" t="s">
        <v>6433</v>
      </c>
      <c r="E655" s="8">
        <v>64.0</v>
      </c>
    </row>
    <row r="656">
      <c r="A656" s="8" t="s">
        <v>943</v>
      </c>
      <c r="B656" s="8" t="s">
        <v>1199</v>
      </c>
      <c r="C656" s="8" t="s">
        <v>80</v>
      </c>
      <c r="D656" s="8" t="s">
        <v>6427</v>
      </c>
      <c r="E656" s="8">
        <v>66.0</v>
      </c>
    </row>
    <row r="657">
      <c r="A657" s="8" t="s">
        <v>943</v>
      </c>
      <c r="B657" s="8" t="s">
        <v>1330</v>
      </c>
      <c r="C657" s="8" t="s">
        <v>70</v>
      </c>
      <c r="D657" s="8" t="s">
        <v>6438</v>
      </c>
      <c r="E657" s="8">
        <v>74.0</v>
      </c>
    </row>
    <row r="658">
      <c r="A658" s="8" t="s">
        <v>943</v>
      </c>
      <c r="B658" s="8" t="s">
        <v>715</v>
      </c>
      <c r="C658" s="8" t="s">
        <v>65</v>
      </c>
      <c r="D658" s="8" t="s">
        <v>6434</v>
      </c>
      <c r="E658" s="8">
        <v>91.0</v>
      </c>
    </row>
    <row r="659">
      <c r="A659" s="8" t="s">
        <v>3211</v>
      </c>
      <c r="B659" s="8" t="s">
        <v>877</v>
      </c>
      <c r="C659" s="8" t="s">
        <v>122</v>
      </c>
      <c r="D659" s="8" t="s">
        <v>6430</v>
      </c>
      <c r="E659" s="8">
        <v>65.0</v>
      </c>
    </row>
    <row r="660">
      <c r="A660" s="8" t="s">
        <v>1192</v>
      </c>
      <c r="B660" s="8" t="s">
        <v>1183</v>
      </c>
      <c r="C660" s="8" t="s">
        <v>80</v>
      </c>
      <c r="D660" s="8" t="s">
        <v>6416</v>
      </c>
      <c r="E660" s="8">
        <v>79.0</v>
      </c>
    </row>
    <row r="661">
      <c r="A661" s="8" t="s">
        <v>1192</v>
      </c>
      <c r="B661" s="8" t="s">
        <v>106</v>
      </c>
      <c r="C661" s="8" t="s">
        <v>122</v>
      </c>
      <c r="D661" s="8" t="s">
        <v>6423</v>
      </c>
      <c r="E661" s="8">
        <v>66.0</v>
      </c>
    </row>
    <row r="662">
      <c r="A662" s="8" t="s">
        <v>1192</v>
      </c>
      <c r="B662" s="8" t="s">
        <v>3149</v>
      </c>
      <c r="C662" s="8" t="s">
        <v>65</v>
      </c>
      <c r="D662" s="8" t="s">
        <v>6421</v>
      </c>
      <c r="E662" s="8">
        <v>66.0</v>
      </c>
    </row>
    <row r="663">
      <c r="A663" s="8" t="s">
        <v>1672</v>
      </c>
      <c r="B663" s="8" t="s">
        <v>3144</v>
      </c>
      <c r="C663" s="8" t="s">
        <v>215</v>
      </c>
      <c r="D663" s="8" t="s">
        <v>6436</v>
      </c>
      <c r="E663" s="8">
        <v>69.0</v>
      </c>
    </row>
    <row r="664">
      <c r="A664" s="8" t="s">
        <v>1662</v>
      </c>
      <c r="B664" s="8" t="s">
        <v>1661</v>
      </c>
      <c r="C664" s="8" t="s">
        <v>65</v>
      </c>
      <c r="D664" s="8" t="s">
        <v>6413</v>
      </c>
      <c r="E664" s="8">
        <v>75.0</v>
      </c>
    </row>
    <row r="665">
      <c r="A665" s="8" t="s">
        <v>684</v>
      </c>
      <c r="B665" s="8" t="s">
        <v>683</v>
      </c>
      <c r="C665" s="8" t="s">
        <v>59</v>
      </c>
      <c r="D665" s="8" t="s">
        <v>6437</v>
      </c>
      <c r="E665" s="8">
        <v>78.0</v>
      </c>
    </row>
    <row r="666">
      <c r="A666" s="8" t="s">
        <v>684</v>
      </c>
      <c r="B666" s="8" t="s">
        <v>3115</v>
      </c>
      <c r="C666" s="8" t="s">
        <v>93</v>
      </c>
      <c r="D666" s="8" t="s">
        <v>6434</v>
      </c>
      <c r="E666" s="8">
        <v>62.0</v>
      </c>
    </row>
    <row r="667">
      <c r="A667" s="8" t="s">
        <v>1389</v>
      </c>
      <c r="B667" s="8" t="s">
        <v>1388</v>
      </c>
      <c r="C667" s="8" t="s">
        <v>138</v>
      </c>
      <c r="D667" s="8" t="s">
        <v>6422</v>
      </c>
      <c r="E667" s="8">
        <v>79.0</v>
      </c>
    </row>
    <row r="668">
      <c r="A668" s="8" t="s">
        <v>1854</v>
      </c>
      <c r="B668" s="8" t="s">
        <v>284</v>
      </c>
      <c r="C668" s="8" t="s">
        <v>186</v>
      </c>
      <c r="D668" s="8" t="s">
        <v>6431</v>
      </c>
      <c r="E668" s="8">
        <v>81.0</v>
      </c>
    </row>
    <row r="669">
      <c r="A669" s="8" t="s">
        <v>4555</v>
      </c>
      <c r="B669" s="8" t="s">
        <v>1183</v>
      </c>
      <c r="C669" s="8" t="s">
        <v>93</v>
      </c>
      <c r="D669" s="8" t="s">
        <v>6427</v>
      </c>
      <c r="E669" s="8">
        <v>65.0</v>
      </c>
    </row>
    <row r="670">
      <c r="A670" s="8" t="s">
        <v>2955</v>
      </c>
      <c r="B670" s="8" t="s">
        <v>2954</v>
      </c>
      <c r="C670" s="8" t="s">
        <v>53</v>
      </c>
      <c r="D670" s="8" t="s">
        <v>6428</v>
      </c>
      <c r="E670" s="8">
        <v>63.0</v>
      </c>
    </row>
    <row r="671">
      <c r="A671" s="8" t="s">
        <v>3386</v>
      </c>
      <c r="B671" s="8" t="s">
        <v>3385</v>
      </c>
      <c r="C671" s="8" t="s">
        <v>93</v>
      </c>
      <c r="D671" s="8" t="s">
        <v>6431</v>
      </c>
      <c r="E671" s="8">
        <v>66.0</v>
      </c>
    </row>
    <row r="672">
      <c r="A672" s="8" t="s">
        <v>330</v>
      </c>
      <c r="B672" s="8" t="s">
        <v>34</v>
      </c>
      <c r="C672" s="8" t="s">
        <v>59</v>
      </c>
      <c r="D672" s="8" t="s">
        <v>6422</v>
      </c>
      <c r="E672" s="8">
        <v>68.0</v>
      </c>
    </row>
    <row r="673">
      <c r="A673" s="8" t="s">
        <v>105</v>
      </c>
      <c r="B673" s="8" t="s">
        <v>104</v>
      </c>
      <c r="C673" s="8" t="s">
        <v>24</v>
      </c>
      <c r="D673" s="8" t="s">
        <v>6423</v>
      </c>
      <c r="E673" s="8">
        <v>93.0</v>
      </c>
    </row>
    <row r="674">
      <c r="A674" s="8" t="s">
        <v>2129</v>
      </c>
      <c r="B674" s="8" t="s">
        <v>537</v>
      </c>
      <c r="C674" s="8" t="s">
        <v>80</v>
      </c>
      <c r="D674" s="8" t="s">
        <v>6433</v>
      </c>
      <c r="E674" s="8">
        <v>68.0</v>
      </c>
    </row>
    <row r="675">
      <c r="A675" s="8" t="s">
        <v>2702</v>
      </c>
      <c r="B675" s="8" t="s">
        <v>2701</v>
      </c>
      <c r="C675" s="8" t="s">
        <v>93</v>
      </c>
      <c r="D675" s="8" t="s">
        <v>6418</v>
      </c>
      <c r="E675" s="8">
        <v>79.0</v>
      </c>
    </row>
    <row r="676">
      <c r="A676" s="8" t="s">
        <v>148</v>
      </c>
      <c r="B676" s="8" t="s">
        <v>147</v>
      </c>
      <c r="C676" s="8" t="s">
        <v>149</v>
      </c>
      <c r="D676" s="8" t="s">
        <v>6426</v>
      </c>
      <c r="E676" s="8">
        <v>80.0</v>
      </c>
    </row>
    <row r="677">
      <c r="A677" s="8" t="s">
        <v>2959</v>
      </c>
      <c r="B677" s="8" t="s">
        <v>767</v>
      </c>
      <c r="C677" s="8" t="s">
        <v>70</v>
      </c>
      <c r="D677" s="8" t="s">
        <v>6423</v>
      </c>
      <c r="E677" s="8">
        <v>91.0</v>
      </c>
    </row>
    <row r="678">
      <c r="A678" s="8" t="s">
        <v>964</v>
      </c>
      <c r="B678" s="8" t="s">
        <v>524</v>
      </c>
      <c r="C678" s="8" t="s">
        <v>215</v>
      </c>
      <c r="D678" s="8" t="s">
        <v>6442</v>
      </c>
      <c r="E678" s="8">
        <v>79.0</v>
      </c>
    </row>
    <row r="679">
      <c r="A679" s="8" t="s">
        <v>1735</v>
      </c>
      <c r="B679" s="8" t="s">
        <v>308</v>
      </c>
      <c r="C679" s="8" t="s">
        <v>65</v>
      </c>
      <c r="D679" s="8" t="s">
        <v>6437</v>
      </c>
      <c r="E679" s="8">
        <v>65.0</v>
      </c>
    </row>
    <row r="680">
      <c r="A680" s="8" t="s">
        <v>1735</v>
      </c>
      <c r="B680" s="8" t="s">
        <v>2667</v>
      </c>
      <c r="C680" s="8" t="s">
        <v>65</v>
      </c>
      <c r="D680" s="8" t="s">
        <v>6439</v>
      </c>
      <c r="E680" s="8">
        <v>62.0</v>
      </c>
    </row>
    <row r="681">
      <c r="A681" s="8" t="s">
        <v>964</v>
      </c>
      <c r="B681" s="8" t="s">
        <v>104</v>
      </c>
      <c r="C681" s="8" t="s">
        <v>138</v>
      </c>
      <c r="D681" s="8" t="s">
        <v>6412</v>
      </c>
      <c r="E681" s="8">
        <v>70.0</v>
      </c>
    </row>
    <row r="682">
      <c r="A682" s="8" t="s">
        <v>363</v>
      </c>
      <c r="B682" s="8" t="s">
        <v>61</v>
      </c>
      <c r="C682" s="8" t="s">
        <v>186</v>
      </c>
      <c r="D682" s="8" t="s">
        <v>6440</v>
      </c>
      <c r="E682" s="8">
        <v>74.0</v>
      </c>
    </row>
    <row r="683">
      <c r="A683" s="8" t="s">
        <v>327</v>
      </c>
      <c r="B683" s="8" t="s">
        <v>62</v>
      </c>
      <c r="C683" s="8" t="s">
        <v>65</v>
      </c>
      <c r="D683" s="8" t="s">
        <v>6412</v>
      </c>
      <c r="E683" s="8">
        <v>87.0</v>
      </c>
    </row>
    <row r="684">
      <c r="A684" s="8" t="s">
        <v>2813</v>
      </c>
      <c r="B684" s="8" t="s">
        <v>1174</v>
      </c>
      <c r="C684" s="8" t="s">
        <v>93</v>
      </c>
      <c r="D684" s="8" t="s">
        <v>6421</v>
      </c>
      <c r="E684" s="8">
        <v>68.0</v>
      </c>
    </row>
    <row r="685">
      <c r="A685" s="8" t="s">
        <v>708</v>
      </c>
      <c r="B685" s="8" t="s">
        <v>89</v>
      </c>
      <c r="C685" s="8" t="s">
        <v>24</v>
      </c>
      <c r="D685" s="8" t="s">
        <v>6437</v>
      </c>
      <c r="E685" s="8">
        <v>70.0</v>
      </c>
    </row>
    <row r="686">
      <c r="A686" s="8" t="s">
        <v>2854</v>
      </c>
      <c r="B686" s="8" t="s">
        <v>944</v>
      </c>
      <c r="C686" s="8" t="s">
        <v>80</v>
      </c>
      <c r="D686" s="8" t="s">
        <v>6423</v>
      </c>
      <c r="E686" s="8">
        <v>66.0</v>
      </c>
    </row>
    <row r="687">
      <c r="A687" s="8" t="s">
        <v>467</v>
      </c>
      <c r="B687" s="8" t="s">
        <v>466</v>
      </c>
      <c r="C687" s="8" t="s">
        <v>215</v>
      </c>
      <c r="D687" s="8" t="s">
        <v>6438</v>
      </c>
      <c r="E687" s="8">
        <v>65.0</v>
      </c>
    </row>
    <row r="688">
      <c r="A688" s="8" t="s">
        <v>562</v>
      </c>
      <c r="B688" s="8" t="s">
        <v>561</v>
      </c>
      <c r="C688" s="8" t="s">
        <v>46</v>
      </c>
      <c r="D688" s="8" t="s">
        <v>6423</v>
      </c>
      <c r="E688" s="8">
        <v>68.0</v>
      </c>
    </row>
    <row r="689">
      <c r="A689" s="8" t="s">
        <v>1498</v>
      </c>
      <c r="B689" s="8" t="s">
        <v>1497</v>
      </c>
      <c r="C689" s="8" t="s">
        <v>46</v>
      </c>
      <c r="D689" s="8" t="s">
        <v>6438</v>
      </c>
      <c r="E689" s="8">
        <v>69.0</v>
      </c>
    </row>
    <row r="690">
      <c r="A690" s="8" t="s">
        <v>1285</v>
      </c>
      <c r="B690" s="8" t="s">
        <v>389</v>
      </c>
      <c r="C690" s="8" t="s">
        <v>192</v>
      </c>
      <c r="D690" s="8" t="s">
        <v>6423</v>
      </c>
      <c r="E690" s="8">
        <v>61.0</v>
      </c>
    </row>
    <row r="691">
      <c r="A691" s="8" t="s">
        <v>1285</v>
      </c>
      <c r="B691" s="8" t="s">
        <v>3015</v>
      </c>
      <c r="C691" s="8" t="s">
        <v>93</v>
      </c>
      <c r="D691" s="8" t="s">
        <v>6434</v>
      </c>
      <c r="E691" s="8">
        <v>62.0</v>
      </c>
    </row>
    <row r="692">
      <c r="A692" s="8" t="s">
        <v>1285</v>
      </c>
      <c r="B692" s="8" t="s">
        <v>1284</v>
      </c>
      <c r="C692" s="8" t="s">
        <v>186</v>
      </c>
      <c r="D692" s="8" t="s">
        <v>6432</v>
      </c>
      <c r="E692" s="8">
        <v>76.0</v>
      </c>
    </row>
    <row r="693">
      <c r="A693" s="8" t="s">
        <v>697</v>
      </c>
      <c r="B693" s="8" t="s">
        <v>696</v>
      </c>
      <c r="C693" s="8" t="s">
        <v>132</v>
      </c>
      <c r="D693" s="8" t="s">
        <v>6428</v>
      </c>
      <c r="E693" s="8">
        <v>69.0</v>
      </c>
    </row>
    <row r="694">
      <c r="A694" s="8" t="s">
        <v>569</v>
      </c>
      <c r="B694" s="8" t="s">
        <v>601</v>
      </c>
      <c r="C694" s="8" t="s">
        <v>122</v>
      </c>
      <c r="D694" s="8" t="s">
        <v>6440</v>
      </c>
      <c r="E694" s="8">
        <v>65.0</v>
      </c>
    </row>
    <row r="695">
      <c r="A695" s="8" t="s">
        <v>569</v>
      </c>
      <c r="B695" s="8" t="s">
        <v>190</v>
      </c>
      <c r="C695" s="8" t="s">
        <v>192</v>
      </c>
      <c r="D695" s="8" t="s">
        <v>6427</v>
      </c>
      <c r="E695" s="8">
        <v>66.0</v>
      </c>
    </row>
    <row r="696">
      <c r="A696" s="8" t="s">
        <v>863</v>
      </c>
      <c r="B696" s="8" t="s">
        <v>862</v>
      </c>
      <c r="C696" s="8" t="s">
        <v>186</v>
      </c>
      <c r="D696" s="8" t="s">
        <v>6419</v>
      </c>
      <c r="E696" s="8">
        <v>80.0</v>
      </c>
    </row>
    <row r="697">
      <c r="A697" s="8" t="s">
        <v>3435</v>
      </c>
      <c r="B697" s="8" t="s">
        <v>3434</v>
      </c>
      <c r="C697" s="8" t="s">
        <v>59</v>
      </c>
      <c r="D697" s="8" t="s">
        <v>6425</v>
      </c>
      <c r="E697" s="8">
        <v>62.0</v>
      </c>
    </row>
    <row r="698">
      <c r="A698" s="8" t="s">
        <v>445</v>
      </c>
      <c r="B698" s="8" t="s">
        <v>444</v>
      </c>
      <c r="C698" s="8" t="s">
        <v>65</v>
      </c>
      <c r="D698" s="8" t="s">
        <v>6427</v>
      </c>
      <c r="E698" s="8">
        <v>69.0</v>
      </c>
    </row>
    <row r="699">
      <c r="A699" s="8" t="s">
        <v>493</v>
      </c>
      <c r="B699" s="8" t="s">
        <v>406</v>
      </c>
      <c r="C699" s="8" t="s">
        <v>149</v>
      </c>
      <c r="D699" s="8" t="s">
        <v>6434</v>
      </c>
      <c r="E699" s="8">
        <v>78.0</v>
      </c>
    </row>
    <row r="700">
      <c r="A700" s="8" t="s">
        <v>493</v>
      </c>
      <c r="B700" s="8" t="s">
        <v>492</v>
      </c>
      <c r="C700" s="8" t="s">
        <v>24</v>
      </c>
      <c r="D700" s="8" t="s">
        <v>6416</v>
      </c>
      <c r="E700" s="8">
        <v>72.0</v>
      </c>
    </row>
    <row r="701">
      <c r="A701" s="8" t="s">
        <v>493</v>
      </c>
      <c r="B701" s="8" t="s">
        <v>2042</v>
      </c>
      <c r="C701" s="8" t="s">
        <v>215</v>
      </c>
      <c r="D701" s="8" t="s">
        <v>6424</v>
      </c>
      <c r="E701" s="8">
        <v>75.0</v>
      </c>
    </row>
    <row r="702">
      <c r="A702" s="8" t="s">
        <v>493</v>
      </c>
      <c r="B702" s="8" t="s">
        <v>622</v>
      </c>
      <c r="C702" s="8" t="s">
        <v>138</v>
      </c>
      <c r="D702" s="8" t="s">
        <v>6412</v>
      </c>
      <c r="E702" s="8">
        <v>81.0</v>
      </c>
    </row>
    <row r="703">
      <c r="A703" s="8" t="s">
        <v>493</v>
      </c>
      <c r="B703" s="8" t="s">
        <v>1468</v>
      </c>
      <c r="C703" s="8" t="s">
        <v>24</v>
      </c>
      <c r="D703" s="8" t="s">
        <v>6421</v>
      </c>
      <c r="E703" s="8">
        <v>44.0</v>
      </c>
    </row>
    <row r="704">
      <c r="A704" s="8" t="s">
        <v>493</v>
      </c>
      <c r="B704" s="8" t="s">
        <v>47</v>
      </c>
      <c r="C704" s="8" t="s">
        <v>59</v>
      </c>
      <c r="D704" s="8" t="s">
        <v>6436</v>
      </c>
      <c r="E704" s="8">
        <v>72.0</v>
      </c>
    </row>
    <row r="705">
      <c r="A705" s="8" t="s">
        <v>493</v>
      </c>
      <c r="B705" s="8" t="s">
        <v>636</v>
      </c>
      <c r="C705" s="8" t="s">
        <v>16</v>
      </c>
      <c r="D705" s="8" t="s">
        <v>6441</v>
      </c>
      <c r="E705" s="8">
        <v>69.0</v>
      </c>
    </row>
    <row r="706">
      <c r="A706" s="8" t="s">
        <v>493</v>
      </c>
      <c r="B706" s="8" t="s">
        <v>448</v>
      </c>
      <c r="C706" s="8" t="s">
        <v>261</v>
      </c>
      <c r="D706" s="8" t="s">
        <v>6432</v>
      </c>
      <c r="E706" s="8">
        <v>61.0</v>
      </c>
    </row>
    <row r="707">
      <c r="A707" s="8" t="s">
        <v>493</v>
      </c>
      <c r="B707" s="8" t="s">
        <v>144</v>
      </c>
      <c r="C707" s="8" t="s">
        <v>16</v>
      </c>
      <c r="D707" s="8" t="s">
        <v>6438</v>
      </c>
      <c r="E707" s="8">
        <v>89.0</v>
      </c>
    </row>
    <row r="708">
      <c r="A708" s="8" t="s">
        <v>1473</v>
      </c>
      <c r="B708" s="8" t="s">
        <v>389</v>
      </c>
      <c r="C708" s="8" t="s">
        <v>186</v>
      </c>
      <c r="D708" s="8" t="s">
        <v>6437</v>
      </c>
      <c r="E708" s="8">
        <v>83.0</v>
      </c>
    </row>
    <row r="709">
      <c r="A709" s="8" t="s">
        <v>1473</v>
      </c>
      <c r="B709" s="8" t="s">
        <v>146</v>
      </c>
      <c r="C709" s="8" t="s">
        <v>53</v>
      </c>
      <c r="D709" s="8" t="s">
        <v>6423</v>
      </c>
      <c r="E709" s="8">
        <v>79.0</v>
      </c>
    </row>
    <row r="710">
      <c r="A710" s="8" t="s">
        <v>1473</v>
      </c>
      <c r="B710" s="8" t="s">
        <v>877</v>
      </c>
      <c r="C710" s="8" t="s">
        <v>261</v>
      </c>
      <c r="D710" s="8" t="s">
        <v>6431</v>
      </c>
      <c r="E710" s="8">
        <v>75.0</v>
      </c>
    </row>
    <row r="711">
      <c r="A711" s="8" t="s">
        <v>1473</v>
      </c>
      <c r="B711" s="8" t="s">
        <v>284</v>
      </c>
      <c r="C711" s="8" t="s">
        <v>93</v>
      </c>
      <c r="D711" s="8" t="s">
        <v>6440</v>
      </c>
      <c r="E711" s="8">
        <v>63.0</v>
      </c>
    </row>
    <row r="712">
      <c r="A712" s="8" t="s">
        <v>1473</v>
      </c>
      <c r="B712" s="8" t="s">
        <v>637</v>
      </c>
      <c r="C712" s="8" t="s">
        <v>70</v>
      </c>
      <c r="D712" s="8" t="s">
        <v>6423</v>
      </c>
      <c r="E712" s="8">
        <v>79.0</v>
      </c>
    </row>
    <row r="713">
      <c r="A713" s="8" t="s">
        <v>1473</v>
      </c>
      <c r="B713" s="8" t="s">
        <v>709</v>
      </c>
      <c r="C713" s="8" t="s">
        <v>122</v>
      </c>
      <c r="D713" s="8" t="s">
        <v>6431</v>
      </c>
      <c r="E713" s="8">
        <v>75.0</v>
      </c>
    </row>
    <row r="714">
      <c r="A714" s="8" t="s">
        <v>1473</v>
      </c>
      <c r="B714" s="8" t="s">
        <v>1496</v>
      </c>
      <c r="C714" s="8" t="s">
        <v>192</v>
      </c>
      <c r="D714" s="8" t="s">
        <v>6443</v>
      </c>
      <c r="E714" s="8">
        <v>66.0</v>
      </c>
    </row>
    <row r="715">
      <c r="A715" s="8" t="s">
        <v>1029</v>
      </c>
      <c r="B715" s="8" t="s">
        <v>99</v>
      </c>
      <c r="C715" s="8" t="s">
        <v>80</v>
      </c>
      <c r="D715" s="8" t="s">
        <v>6417</v>
      </c>
      <c r="E715" s="8">
        <v>65.0</v>
      </c>
    </row>
    <row r="716">
      <c r="A716" s="8" t="s">
        <v>209</v>
      </c>
      <c r="B716" s="8" t="s">
        <v>208</v>
      </c>
      <c r="C716" s="8" t="s">
        <v>65</v>
      </c>
      <c r="D716" s="8" t="s">
        <v>6426</v>
      </c>
      <c r="E716" s="8">
        <v>87.0</v>
      </c>
    </row>
    <row r="717">
      <c r="A717" s="8" t="s">
        <v>2276</v>
      </c>
      <c r="B717" s="8" t="s">
        <v>34</v>
      </c>
      <c r="C717" s="8" t="s">
        <v>16</v>
      </c>
      <c r="D717" s="8" t="s">
        <v>6434</v>
      </c>
      <c r="E717" s="8">
        <v>76.0</v>
      </c>
    </row>
    <row r="718">
      <c r="A718" s="8" t="s">
        <v>1339</v>
      </c>
      <c r="B718" s="8" t="s">
        <v>78</v>
      </c>
      <c r="C718" s="8" t="s">
        <v>122</v>
      </c>
      <c r="D718" s="8" t="s">
        <v>6417</v>
      </c>
      <c r="E718" s="8">
        <v>61.0</v>
      </c>
    </row>
    <row r="719">
      <c r="A719" s="8" t="s">
        <v>1339</v>
      </c>
      <c r="B719" s="8" t="s">
        <v>3044</v>
      </c>
      <c r="C719" s="8" t="s">
        <v>93</v>
      </c>
      <c r="D719" s="8" t="s">
        <v>6433</v>
      </c>
      <c r="E719" s="8">
        <v>79.0</v>
      </c>
    </row>
    <row r="720">
      <c r="A720" s="8" t="s">
        <v>903</v>
      </c>
      <c r="B720" s="8" t="s">
        <v>902</v>
      </c>
      <c r="C720" s="8" t="s">
        <v>80</v>
      </c>
      <c r="D720" s="8" t="s">
        <v>6416</v>
      </c>
      <c r="E720" s="8">
        <v>67.0</v>
      </c>
    </row>
    <row r="721">
      <c r="A721" s="8" t="s">
        <v>2167</v>
      </c>
      <c r="B721" s="8" t="s">
        <v>2166</v>
      </c>
      <c r="C721" s="8" t="s">
        <v>16</v>
      </c>
      <c r="D721" s="8" t="s">
        <v>6443</v>
      </c>
      <c r="E721" s="8">
        <v>75.0</v>
      </c>
    </row>
    <row r="722">
      <c r="A722" s="8" t="s">
        <v>816</v>
      </c>
      <c r="B722" s="8" t="s">
        <v>2064</v>
      </c>
      <c r="C722" s="8" t="s">
        <v>122</v>
      </c>
      <c r="D722" s="8" t="s">
        <v>6443</v>
      </c>
      <c r="E722" s="8">
        <v>79.0</v>
      </c>
    </row>
    <row r="723">
      <c r="A723" s="8" t="s">
        <v>816</v>
      </c>
      <c r="B723" s="8" t="s">
        <v>815</v>
      </c>
      <c r="C723" s="8" t="s">
        <v>93</v>
      </c>
      <c r="D723" s="8" t="s">
        <v>6431</v>
      </c>
      <c r="E723" s="8">
        <v>89.0</v>
      </c>
    </row>
    <row r="724">
      <c r="A724" s="8" t="s">
        <v>816</v>
      </c>
      <c r="B724" s="8" t="s">
        <v>956</v>
      </c>
      <c r="C724" s="8" t="s">
        <v>192</v>
      </c>
      <c r="D724" s="8" t="s">
        <v>6432</v>
      </c>
      <c r="E724" s="8">
        <v>67.0</v>
      </c>
    </row>
    <row r="725">
      <c r="A725" s="8" t="s">
        <v>1654</v>
      </c>
      <c r="B725" s="8" t="s">
        <v>1653</v>
      </c>
      <c r="C725" s="8" t="s">
        <v>122</v>
      </c>
      <c r="D725" s="8" t="s">
        <v>6424</v>
      </c>
      <c r="E725" s="8">
        <v>64.0</v>
      </c>
    </row>
    <row r="726">
      <c r="A726" s="8" t="s">
        <v>1082</v>
      </c>
      <c r="B726" s="8" t="s">
        <v>1276</v>
      </c>
      <c r="C726" s="8" t="s">
        <v>65</v>
      </c>
      <c r="D726" s="8" t="s">
        <v>6415</v>
      </c>
      <c r="E726" s="8">
        <v>81.0</v>
      </c>
    </row>
    <row r="727">
      <c r="A727" s="8" t="s">
        <v>1096</v>
      </c>
      <c r="B727" s="8" t="s">
        <v>2927</v>
      </c>
      <c r="C727" s="8" t="s">
        <v>70</v>
      </c>
      <c r="D727" s="8" t="s">
        <v>6421</v>
      </c>
      <c r="E727" s="8">
        <v>66.0</v>
      </c>
    </row>
    <row r="728">
      <c r="A728" s="8" t="s">
        <v>1096</v>
      </c>
      <c r="B728" s="8" t="s">
        <v>1095</v>
      </c>
      <c r="C728" s="8" t="s">
        <v>59</v>
      </c>
      <c r="D728" s="8" t="s">
        <v>6426</v>
      </c>
      <c r="E728" s="8">
        <v>62.0</v>
      </c>
    </row>
    <row r="729">
      <c r="A729" s="8" t="s">
        <v>217</v>
      </c>
      <c r="B729" s="8" t="s">
        <v>99</v>
      </c>
      <c r="C729" s="8" t="s">
        <v>65</v>
      </c>
      <c r="D729" s="8" t="s">
        <v>6440</v>
      </c>
      <c r="E729" s="8">
        <v>70.0</v>
      </c>
    </row>
    <row r="730">
      <c r="A730" s="8" t="s">
        <v>217</v>
      </c>
      <c r="B730" s="8" t="s">
        <v>1448</v>
      </c>
      <c r="C730" s="8" t="s">
        <v>65</v>
      </c>
      <c r="D730" s="8" t="s">
        <v>6441</v>
      </c>
      <c r="E730" s="8">
        <v>76.0</v>
      </c>
    </row>
    <row r="731">
      <c r="A731" s="8" t="s">
        <v>217</v>
      </c>
      <c r="B731" s="8" t="s">
        <v>918</v>
      </c>
      <c r="C731" s="8" t="s">
        <v>65</v>
      </c>
      <c r="D731" s="8" t="s">
        <v>6431</v>
      </c>
      <c r="E731" s="8">
        <v>62.0</v>
      </c>
    </row>
    <row r="732">
      <c r="A732" s="8" t="s">
        <v>217</v>
      </c>
      <c r="B732" s="8" t="s">
        <v>3340</v>
      </c>
      <c r="C732" s="8" t="s">
        <v>65</v>
      </c>
      <c r="D732" s="8" t="s">
        <v>6436</v>
      </c>
      <c r="E732" s="8">
        <v>63.0</v>
      </c>
    </row>
    <row r="733">
      <c r="A733" s="8" t="s">
        <v>217</v>
      </c>
      <c r="B733" s="8" t="s">
        <v>2255</v>
      </c>
      <c r="C733" s="8" t="s">
        <v>65</v>
      </c>
      <c r="D733" s="8" t="s">
        <v>6440</v>
      </c>
      <c r="E733" s="8">
        <v>64.0</v>
      </c>
    </row>
    <row r="734">
      <c r="A734" s="8" t="s">
        <v>217</v>
      </c>
      <c r="B734" s="8" t="s">
        <v>441</v>
      </c>
      <c r="C734" s="8" t="s">
        <v>215</v>
      </c>
      <c r="D734" s="8" t="s">
        <v>6425</v>
      </c>
      <c r="E734" s="8">
        <v>71.0</v>
      </c>
    </row>
    <row r="735">
      <c r="A735" s="8" t="s">
        <v>217</v>
      </c>
      <c r="B735" s="8" t="s">
        <v>216</v>
      </c>
      <c r="C735" s="8" t="s">
        <v>80</v>
      </c>
      <c r="D735" s="8" t="s">
        <v>6436</v>
      </c>
      <c r="E735" s="8">
        <v>92.0</v>
      </c>
    </row>
    <row r="736">
      <c r="A736" s="8" t="s">
        <v>735</v>
      </c>
      <c r="B736" s="8" t="s">
        <v>734</v>
      </c>
      <c r="C736" s="8" t="s">
        <v>53</v>
      </c>
      <c r="D736" s="8" t="s">
        <v>6425</v>
      </c>
      <c r="E736" s="8">
        <v>80.0</v>
      </c>
    </row>
    <row r="737">
      <c r="A737" s="8" t="s">
        <v>917</v>
      </c>
      <c r="B737" s="8" t="s">
        <v>916</v>
      </c>
      <c r="C737" s="8" t="s">
        <v>70</v>
      </c>
      <c r="D737" s="8" t="s">
        <v>6431</v>
      </c>
      <c r="E737" s="8">
        <v>89.0</v>
      </c>
    </row>
    <row r="738">
      <c r="A738" s="8" t="s">
        <v>856</v>
      </c>
      <c r="B738" s="8" t="s">
        <v>855</v>
      </c>
      <c r="C738" s="8" t="s">
        <v>70</v>
      </c>
      <c r="D738" s="8" t="s">
        <v>6412</v>
      </c>
      <c r="E738" s="8">
        <v>73.0</v>
      </c>
    </row>
    <row r="739">
      <c r="A739" s="8" t="s">
        <v>3358</v>
      </c>
      <c r="B739" s="8" t="s">
        <v>582</v>
      </c>
      <c r="C739" s="8" t="s">
        <v>59</v>
      </c>
      <c r="D739" s="8" t="s">
        <v>6433</v>
      </c>
      <c r="E739" s="8">
        <v>59.0</v>
      </c>
    </row>
    <row r="740">
      <c r="A740" s="8" t="s">
        <v>2450</v>
      </c>
      <c r="B740" s="8" t="s">
        <v>3359</v>
      </c>
      <c r="C740" s="8" t="s">
        <v>93</v>
      </c>
      <c r="D740" s="8" t="s">
        <v>6440</v>
      </c>
      <c r="E740" s="8">
        <v>67.0</v>
      </c>
    </row>
    <row r="741">
      <c r="A741" s="8" t="s">
        <v>2450</v>
      </c>
      <c r="B741" s="8" t="s">
        <v>582</v>
      </c>
      <c r="C741" s="8" t="s">
        <v>93</v>
      </c>
      <c r="D741" s="8" t="s">
        <v>6438</v>
      </c>
      <c r="E741" s="8">
        <v>60.0</v>
      </c>
    </row>
    <row r="742">
      <c r="A742" s="8" t="s">
        <v>2450</v>
      </c>
      <c r="B742" s="8" t="s">
        <v>3356</v>
      </c>
      <c r="C742" s="8" t="s">
        <v>80</v>
      </c>
      <c r="D742" s="8" t="s">
        <v>6432</v>
      </c>
      <c r="E742" s="8">
        <v>67.0</v>
      </c>
    </row>
    <row r="743">
      <c r="A743" s="8" t="s">
        <v>2706</v>
      </c>
      <c r="B743" s="8" t="s">
        <v>2064</v>
      </c>
      <c r="C743" s="8" t="s">
        <v>65</v>
      </c>
      <c r="D743" s="8" t="s">
        <v>6442</v>
      </c>
      <c r="E743" s="8">
        <v>91.0</v>
      </c>
    </row>
    <row r="744">
      <c r="A744" s="8" t="s">
        <v>3068</v>
      </c>
      <c r="B744" s="8" t="s">
        <v>3067</v>
      </c>
      <c r="C744" s="8" t="s">
        <v>192</v>
      </c>
      <c r="D744" s="8" t="s">
        <v>6441</v>
      </c>
      <c r="E744" s="8">
        <v>65.0</v>
      </c>
    </row>
    <row r="745">
      <c r="A745" s="8" t="s">
        <v>3335</v>
      </c>
      <c r="B745" s="8" t="s">
        <v>94</v>
      </c>
      <c r="C745" s="8" t="s">
        <v>65</v>
      </c>
      <c r="D745" s="8" t="s">
        <v>6430</v>
      </c>
      <c r="E745" s="8">
        <v>65.0</v>
      </c>
    </row>
    <row r="746">
      <c r="A746" s="8" t="s">
        <v>1457</v>
      </c>
      <c r="B746" s="8" t="s">
        <v>698</v>
      </c>
      <c r="C746" s="8" t="s">
        <v>46</v>
      </c>
      <c r="D746" s="8" t="s">
        <v>6424</v>
      </c>
      <c r="E746" s="8">
        <v>64.0</v>
      </c>
    </row>
    <row r="747">
      <c r="A747" s="8" t="s">
        <v>744</v>
      </c>
      <c r="B747" s="8" t="s">
        <v>94</v>
      </c>
      <c r="C747" s="8" t="s">
        <v>70</v>
      </c>
      <c r="D747" s="8" t="s">
        <v>6436</v>
      </c>
      <c r="E747" s="8">
        <v>82.0</v>
      </c>
    </row>
    <row r="748">
      <c r="A748" s="8" t="s">
        <v>744</v>
      </c>
      <c r="B748" s="8" t="s">
        <v>1619</v>
      </c>
      <c r="C748" s="8" t="s">
        <v>24</v>
      </c>
      <c r="D748" s="8" t="s">
        <v>6427</v>
      </c>
      <c r="E748" s="8">
        <v>78.0</v>
      </c>
    </row>
    <row r="749">
      <c r="A749" s="8" t="s">
        <v>744</v>
      </c>
      <c r="B749" s="8" t="s">
        <v>263</v>
      </c>
      <c r="C749" s="8" t="s">
        <v>215</v>
      </c>
      <c r="D749" s="8" t="s">
        <v>6433</v>
      </c>
      <c r="E749" s="8">
        <v>68.0</v>
      </c>
    </row>
    <row r="750">
      <c r="A750" s="8" t="s">
        <v>744</v>
      </c>
      <c r="B750" s="8" t="s">
        <v>1422</v>
      </c>
      <c r="C750" s="8" t="s">
        <v>149</v>
      </c>
      <c r="D750" s="8" t="s">
        <v>6430</v>
      </c>
      <c r="E750" s="8">
        <v>76.0</v>
      </c>
    </row>
    <row r="751">
      <c r="A751" s="8" t="s">
        <v>2989</v>
      </c>
      <c r="B751" s="8" t="s">
        <v>1279</v>
      </c>
      <c r="C751" s="8" t="s">
        <v>122</v>
      </c>
      <c r="D751" s="8" t="s">
        <v>6412</v>
      </c>
      <c r="E751" s="8">
        <v>74.0</v>
      </c>
    </row>
    <row r="752">
      <c r="A752" s="8" t="s">
        <v>172</v>
      </c>
      <c r="B752" s="8" t="s">
        <v>2773</v>
      </c>
      <c r="C752" s="8" t="s">
        <v>215</v>
      </c>
      <c r="D752" s="8" t="s">
        <v>6414</v>
      </c>
      <c r="E752" s="8">
        <v>78.0</v>
      </c>
    </row>
    <row r="753">
      <c r="A753" s="8" t="s">
        <v>172</v>
      </c>
      <c r="B753" s="8" t="s">
        <v>57</v>
      </c>
      <c r="C753" s="8" t="s">
        <v>59</v>
      </c>
      <c r="D753" s="8" t="s">
        <v>6443</v>
      </c>
      <c r="E753" s="8">
        <v>61.0</v>
      </c>
    </row>
    <row r="754">
      <c r="A754" s="8" t="s">
        <v>172</v>
      </c>
      <c r="B754" s="8" t="s">
        <v>171</v>
      </c>
      <c r="C754" s="8" t="s">
        <v>93</v>
      </c>
      <c r="D754" s="8" t="s">
        <v>6425</v>
      </c>
      <c r="E754" s="8">
        <v>89.0</v>
      </c>
    </row>
    <row r="755">
      <c r="A755" s="8" t="s">
        <v>31</v>
      </c>
      <c r="B755" s="8" t="s">
        <v>2719</v>
      </c>
      <c r="C755" s="8" t="s">
        <v>80</v>
      </c>
      <c r="D755" s="8" t="s">
        <v>6420</v>
      </c>
      <c r="E755" s="8">
        <v>70.0</v>
      </c>
    </row>
    <row r="756">
      <c r="A756" s="8" t="s">
        <v>31</v>
      </c>
      <c r="B756" s="8" t="s">
        <v>3201</v>
      </c>
      <c r="C756" s="8" t="s">
        <v>186</v>
      </c>
      <c r="D756" s="8" t="s">
        <v>6424</v>
      </c>
      <c r="E756" s="8">
        <v>57.0</v>
      </c>
    </row>
    <row r="757">
      <c r="A757" s="8" t="s">
        <v>31</v>
      </c>
      <c r="B757" s="8" t="s">
        <v>343</v>
      </c>
      <c r="C757" s="8" t="s">
        <v>132</v>
      </c>
      <c r="D757" s="8" t="s">
        <v>6421</v>
      </c>
      <c r="E757" s="8">
        <v>67.0</v>
      </c>
    </row>
    <row r="758">
      <c r="A758" s="8" t="s">
        <v>31</v>
      </c>
      <c r="B758" s="8" t="s">
        <v>284</v>
      </c>
      <c r="C758" s="8" t="s">
        <v>80</v>
      </c>
      <c r="D758" s="8" t="s">
        <v>6422</v>
      </c>
      <c r="E758" s="8">
        <v>69.0</v>
      </c>
    </row>
    <row r="759">
      <c r="A759" s="8" t="s">
        <v>31</v>
      </c>
      <c r="B759" s="8" t="s">
        <v>30</v>
      </c>
      <c r="C759" s="8" t="s">
        <v>24</v>
      </c>
      <c r="D759" s="8" t="s">
        <v>6420</v>
      </c>
      <c r="E759" s="8">
        <v>49.0</v>
      </c>
    </row>
    <row r="760">
      <c r="A760" s="8" t="s">
        <v>669</v>
      </c>
      <c r="B760" s="8" t="s">
        <v>3073</v>
      </c>
      <c r="C760" s="8" t="s">
        <v>46</v>
      </c>
      <c r="D760" s="8" t="s">
        <v>6412</v>
      </c>
      <c r="E760" s="8">
        <v>67.0</v>
      </c>
    </row>
    <row r="761">
      <c r="A761" s="8" t="s">
        <v>669</v>
      </c>
      <c r="B761" s="8" t="s">
        <v>2990</v>
      </c>
      <c r="C761" s="8" t="s">
        <v>46</v>
      </c>
      <c r="D761" s="8" t="s">
        <v>6438</v>
      </c>
      <c r="E761" s="8">
        <v>89.0</v>
      </c>
    </row>
    <row r="762">
      <c r="A762" s="8" t="s">
        <v>669</v>
      </c>
      <c r="B762" s="8" t="s">
        <v>2397</v>
      </c>
      <c r="C762" s="8" t="s">
        <v>53</v>
      </c>
      <c r="D762" s="8" t="s">
        <v>6435</v>
      </c>
      <c r="E762" s="8">
        <v>59.0</v>
      </c>
    </row>
    <row r="763">
      <c r="A763" s="8" t="s">
        <v>669</v>
      </c>
      <c r="B763" s="8" t="s">
        <v>1187</v>
      </c>
      <c r="C763" s="8" t="s">
        <v>132</v>
      </c>
      <c r="D763" s="8" t="s">
        <v>6437</v>
      </c>
      <c r="E763" s="8">
        <v>60.0</v>
      </c>
    </row>
    <row r="764">
      <c r="A764" s="8" t="s">
        <v>2705</v>
      </c>
      <c r="B764" s="8" t="s">
        <v>106</v>
      </c>
      <c r="C764" s="8" t="s">
        <v>93</v>
      </c>
      <c r="D764" s="8" t="s">
        <v>6421</v>
      </c>
      <c r="E764" s="8">
        <v>62.0</v>
      </c>
    </row>
    <row r="765">
      <c r="A765" s="8" t="s">
        <v>2731</v>
      </c>
      <c r="B765" s="8" t="s">
        <v>90</v>
      </c>
      <c r="C765" s="8" t="s">
        <v>132</v>
      </c>
      <c r="D765" s="8" t="s">
        <v>6432</v>
      </c>
      <c r="E765" s="8">
        <v>63.0</v>
      </c>
    </row>
    <row r="766">
      <c r="A766" s="8" t="s">
        <v>1943</v>
      </c>
      <c r="B766" s="8" t="s">
        <v>3007</v>
      </c>
      <c r="C766" s="8" t="s">
        <v>70</v>
      </c>
      <c r="D766" s="8" t="s">
        <v>6424</v>
      </c>
      <c r="E766" s="8">
        <v>73.0</v>
      </c>
    </row>
    <row r="767">
      <c r="A767" s="8" t="s">
        <v>2173</v>
      </c>
      <c r="B767" s="8" t="s">
        <v>284</v>
      </c>
      <c r="C767" s="8" t="s">
        <v>38</v>
      </c>
      <c r="D767" s="8" t="s">
        <v>6424</v>
      </c>
      <c r="E767" s="8">
        <v>76.0</v>
      </c>
    </row>
    <row r="768">
      <c r="A768" s="8" t="s">
        <v>1314</v>
      </c>
      <c r="B768" s="8" t="s">
        <v>99</v>
      </c>
      <c r="C768" s="8" t="s">
        <v>46</v>
      </c>
      <c r="D768" s="8" t="s">
        <v>6426</v>
      </c>
      <c r="E768" s="8">
        <v>72.0</v>
      </c>
    </row>
    <row r="769">
      <c r="A769" s="8" t="s">
        <v>4656</v>
      </c>
      <c r="B769" s="8" t="s">
        <v>535</v>
      </c>
      <c r="C769" s="8" t="s">
        <v>186</v>
      </c>
      <c r="D769" s="8" t="s">
        <v>6436</v>
      </c>
      <c r="E769" s="8">
        <v>89.0</v>
      </c>
    </row>
    <row r="770">
      <c r="A770" s="8" t="s">
        <v>2863</v>
      </c>
      <c r="B770" s="8" t="s">
        <v>389</v>
      </c>
      <c r="C770" s="8" t="s">
        <v>93</v>
      </c>
      <c r="D770" s="8" t="s">
        <v>6422</v>
      </c>
      <c r="E770" s="8">
        <v>69.0</v>
      </c>
    </row>
    <row r="771">
      <c r="A771" s="8" t="s">
        <v>591</v>
      </c>
      <c r="B771" s="8" t="s">
        <v>590</v>
      </c>
      <c r="C771" s="8" t="s">
        <v>122</v>
      </c>
      <c r="D771" s="8" t="s">
        <v>6431</v>
      </c>
      <c r="E771" s="8">
        <v>79.0</v>
      </c>
    </row>
    <row r="772">
      <c r="A772" s="8" t="s">
        <v>1267</v>
      </c>
      <c r="B772" s="8" t="s">
        <v>1266</v>
      </c>
      <c r="C772" s="8" t="s">
        <v>65</v>
      </c>
      <c r="D772" s="8" t="s">
        <v>6428</v>
      </c>
      <c r="E772" s="8">
        <v>80.0</v>
      </c>
    </row>
    <row r="773">
      <c r="A773" s="8" t="s">
        <v>3237</v>
      </c>
      <c r="B773" s="8" t="s">
        <v>3236</v>
      </c>
      <c r="C773" s="8" t="s">
        <v>65</v>
      </c>
      <c r="D773" s="8" t="s">
        <v>6426</v>
      </c>
      <c r="E773" s="8">
        <v>64.0</v>
      </c>
    </row>
    <row r="774">
      <c r="A774" s="8" t="s">
        <v>387</v>
      </c>
      <c r="B774" s="8" t="s">
        <v>386</v>
      </c>
      <c r="C774" s="8" t="s">
        <v>65</v>
      </c>
      <c r="D774" s="8" t="s">
        <v>6432</v>
      </c>
      <c r="E774" s="8">
        <v>76.0</v>
      </c>
    </row>
    <row r="775">
      <c r="A775" s="8" t="s">
        <v>3283</v>
      </c>
      <c r="B775" s="8" t="s">
        <v>700</v>
      </c>
      <c r="C775" s="8" t="s">
        <v>93</v>
      </c>
      <c r="D775" s="8" t="s">
        <v>6413</v>
      </c>
      <c r="E775" s="8">
        <v>66.0</v>
      </c>
    </row>
    <row r="776">
      <c r="A776" s="8" t="s">
        <v>1850</v>
      </c>
      <c r="B776" s="8" t="s">
        <v>389</v>
      </c>
      <c r="C776" s="8" t="s">
        <v>132</v>
      </c>
      <c r="D776" s="8" t="s">
        <v>6419</v>
      </c>
      <c r="E776" s="8">
        <v>71.0</v>
      </c>
    </row>
    <row r="777">
      <c r="A777" s="8" t="s">
        <v>397</v>
      </c>
      <c r="B777" s="8" t="s">
        <v>396</v>
      </c>
      <c r="C777" s="8" t="s">
        <v>70</v>
      </c>
      <c r="D777" s="8" t="s">
        <v>6426</v>
      </c>
      <c r="E777" s="8">
        <v>83.0</v>
      </c>
    </row>
    <row r="778">
      <c r="A778" s="8" t="s">
        <v>397</v>
      </c>
      <c r="B778" s="8" t="s">
        <v>1531</v>
      </c>
      <c r="C778" s="8" t="s">
        <v>192</v>
      </c>
      <c r="D778" s="8" t="s">
        <v>6440</v>
      </c>
      <c r="E778" s="8">
        <v>60.0</v>
      </c>
    </row>
    <row r="779">
      <c r="A779" s="8" t="s">
        <v>397</v>
      </c>
      <c r="B779" s="8" t="s">
        <v>2671</v>
      </c>
      <c r="C779" s="8" t="s">
        <v>65</v>
      </c>
      <c r="D779" s="8" t="s">
        <v>6433</v>
      </c>
      <c r="E779" s="8">
        <v>89.0</v>
      </c>
    </row>
    <row r="780">
      <c r="A780" s="8" t="s">
        <v>565</v>
      </c>
      <c r="B780" s="8" t="s">
        <v>564</v>
      </c>
      <c r="C780" s="8" t="s">
        <v>93</v>
      </c>
      <c r="D780" s="8" t="s">
        <v>6417</v>
      </c>
      <c r="E780" s="8">
        <v>78.0</v>
      </c>
    </row>
    <row r="781">
      <c r="A781" s="8" t="s">
        <v>2657</v>
      </c>
      <c r="B781" s="8" t="s">
        <v>636</v>
      </c>
      <c r="C781" s="8" t="s">
        <v>65</v>
      </c>
      <c r="D781" s="8" t="s">
        <v>6434</v>
      </c>
      <c r="E781" s="8">
        <v>62.0</v>
      </c>
    </row>
    <row r="782">
      <c r="A782" s="8" t="s">
        <v>20</v>
      </c>
      <c r="B782" s="8" t="s">
        <v>2872</v>
      </c>
      <c r="C782" s="8" t="s">
        <v>38</v>
      </c>
      <c r="D782" s="8" t="s">
        <v>6432</v>
      </c>
      <c r="E782" s="8">
        <v>72.0</v>
      </c>
    </row>
    <row r="783">
      <c r="A783" s="8" t="s">
        <v>20</v>
      </c>
      <c r="B783" s="8" t="s">
        <v>103</v>
      </c>
      <c r="C783" s="8" t="s">
        <v>16</v>
      </c>
      <c r="D783" s="8" t="s">
        <v>6419</v>
      </c>
      <c r="E783" s="8">
        <v>66.0</v>
      </c>
    </row>
    <row r="784">
      <c r="A784" s="8" t="s">
        <v>20</v>
      </c>
      <c r="B784" s="8" t="s">
        <v>19</v>
      </c>
      <c r="C784" s="8" t="s">
        <v>16</v>
      </c>
      <c r="D784" s="8" t="s">
        <v>6418</v>
      </c>
      <c r="E784" s="8">
        <v>92.0</v>
      </c>
    </row>
    <row r="785">
      <c r="A785" s="8" t="s">
        <v>107</v>
      </c>
      <c r="B785" s="8" t="s">
        <v>106</v>
      </c>
      <c r="C785" s="8" t="s">
        <v>46</v>
      </c>
      <c r="D785" s="8" t="s">
        <v>6434</v>
      </c>
      <c r="E785" s="8">
        <v>86.0</v>
      </c>
    </row>
    <row r="786">
      <c r="A786" s="8" t="s">
        <v>1486</v>
      </c>
      <c r="B786" s="8" t="s">
        <v>2866</v>
      </c>
      <c r="C786" s="8" t="s">
        <v>70</v>
      </c>
      <c r="D786" s="8" t="s">
        <v>6443</v>
      </c>
      <c r="E786" s="8">
        <v>80.0</v>
      </c>
    </row>
    <row r="787">
      <c r="A787" s="8" t="s">
        <v>1486</v>
      </c>
      <c r="B787" s="8" t="s">
        <v>421</v>
      </c>
      <c r="C787" s="8" t="s">
        <v>59</v>
      </c>
      <c r="D787" s="8" t="s">
        <v>6431</v>
      </c>
      <c r="E787" s="8">
        <v>71.0</v>
      </c>
    </row>
    <row r="788">
      <c r="A788" s="8" t="s">
        <v>1486</v>
      </c>
      <c r="B788" s="8" t="s">
        <v>3310</v>
      </c>
      <c r="C788" s="8" t="s">
        <v>192</v>
      </c>
      <c r="D788" s="8" t="s">
        <v>6425</v>
      </c>
      <c r="E788" s="8">
        <v>75.0</v>
      </c>
    </row>
    <row r="789">
      <c r="A789" s="8" t="s">
        <v>707</v>
      </c>
      <c r="B789" s="8" t="s">
        <v>706</v>
      </c>
      <c r="C789" s="8" t="s">
        <v>192</v>
      </c>
      <c r="D789" s="8" t="s">
        <v>6436</v>
      </c>
      <c r="E789" s="8">
        <v>77.0</v>
      </c>
    </row>
    <row r="790">
      <c r="A790" s="8" t="s">
        <v>37</v>
      </c>
      <c r="B790" s="8" t="s">
        <v>715</v>
      </c>
      <c r="C790" s="8" t="s">
        <v>12</v>
      </c>
      <c r="D790" s="8" t="s">
        <v>6416</v>
      </c>
      <c r="E790" s="8">
        <v>74.0</v>
      </c>
    </row>
    <row r="791">
      <c r="A791" s="8" t="s">
        <v>37</v>
      </c>
      <c r="B791" s="8" t="s">
        <v>3493</v>
      </c>
      <c r="C791" s="8" t="s">
        <v>16</v>
      </c>
      <c r="D791" s="8" t="s">
        <v>6435</v>
      </c>
      <c r="E791" s="8">
        <v>60.0</v>
      </c>
    </row>
    <row r="792">
      <c r="A792" s="8" t="s">
        <v>37</v>
      </c>
      <c r="B792" s="8" t="s">
        <v>36</v>
      </c>
      <c r="C792" s="8" t="s">
        <v>38</v>
      </c>
      <c r="D792" s="8" t="s">
        <v>6437</v>
      </c>
      <c r="E792" s="8">
        <v>81.0</v>
      </c>
    </row>
    <row r="793">
      <c r="A793" s="8" t="s">
        <v>273</v>
      </c>
      <c r="B793" s="8" t="s">
        <v>1330</v>
      </c>
      <c r="C793" s="8" t="s">
        <v>70</v>
      </c>
      <c r="D793" s="8" t="s">
        <v>6420</v>
      </c>
      <c r="E793" s="8">
        <v>68.0</v>
      </c>
    </row>
    <row r="794">
      <c r="A794" s="8" t="s">
        <v>273</v>
      </c>
      <c r="B794" s="8" t="s">
        <v>62</v>
      </c>
      <c r="C794" s="8" t="s">
        <v>93</v>
      </c>
      <c r="D794" s="8" t="s">
        <v>6436</v>
      </c>
      <c r="E794" s="8">
        <v>61.0</v>
      </c>
    </row>
    <row r="795">
      <c r="A795" s="8" t="s">
        <v>273</v>
      </c>
      <c r="B795" s="8" t="s">
        <v>460</v>
      </c>
      <c r="C795" s="8" t="s">
        <v>24</v>
      </c>
      <c r="D795" s="8" t="s">
        <v>6436</v>
      </c>
      <c r="E795" s="8">
        <v>80.0</v>
      </c>
    </row>
    <row r="796">
      <c r="A796" s="8" t="s">
        <v>273</v>
      </c>
      <c r="B796" s="8" t="s">
        <v>89</v>
      </c>
      <c r="C796" s="8" t="s">
        <v>65</v>
      </c>
      <c r="D796" s="8" t="s">
        <v>6425</v>
      </c>
      <c r="E796" s="8">
        <v>71.0</v>
      </c>
    </row>
    <row r="797">
      <c r="A797" s="8" t="s">
        <v>273</v>
      </c>
      <c r="B797" s="8" t="s">
        <v>3284</v>
      </c>
      <c r="C797" s="8" t="s">
        <v>93</v>
      </c>
      <c r="D797" s="8" t="s">
        <v>6424</v>
      </c>
      <c r="E797" s="8">
        <v>71.0</v>
      </c>
    </row>
    <row r="798">
      <c r="A798" s="8" t="s">
        <v>3339</v>
      </c>
      <c r="B798" s="8" t="s">
        <v>3338</v>
      </c>
      <c r="C798" s="8" t="s">
        <v>80</v>
      </c>
      <c r="D798" s="8" t="s">
        <v>6432</v>
      </c>
      <c r="E798" s="8">
        <v>81.0</v>
      </c>
    </row>
    <row r="799">
      <c r="A799" s="8" t="s">
        <v>1399</v>
      </c>
      <c r="B799" s="8" t="s">
        <v>349</v>
      </c>
      <c r="C799" s="8" t="s">
        <v>186</v>
      </c>
      <c r="D799" s="8" t="s">
        <v>6434</v>
      </c>
      <c r="E799" s="8">
        <v>61.0</v>
      </c>
    </row>
    <row r="800">
      <c r="A800" s="8" t="s">
        <v>1399</v>
      </c>
      <c r="B800" s="8" t="s">
        <v>2765</v>
      </c>
      <c r="C800" s="8" t="s">
        <v>59</v>
      </c>
      <c r="D800" s="8" t="s">
        <v>6440</v>
      </c>
      <c r="E800" s="8">
        <v>64.0</v>
      </c>
    </row>
    <row r="801">
      <c r="A801" s="8" t="s">
        <v>6388</v>
      </c>
      <c r="B801" s="8" t="s">
        <v>2916</v>
      </c>
      <c r="C801" s="8" t="s">
        <v>16</v>
      </c>
      <c r="D801" s="8" t="s">
        <v>6438</v>
      </c>
      <c r="E801" s="8">
        <v>70.0</v>
      </c>
    </row>
    <row r="802">
      <c r="A802" s="8" t="s">
        <v>6388</v>
      </c>
      <c r="B802" s="8" t="s">
        <v>689</v>
      </c>
      <c r="C802" s="8" t="s">
        <v>93</v>
      </c>
      <c r="D802" s="8" t="s">
        <v>6414</v>
      </c>
      <c r="E802" s="8">
        <v>74.0</v>
      </c>
    </row>
    <row r="803">
      <c r="A803" s="8" t="s">
        <v>443</v>
      </c>
      <c r="B803" s="8" t="s">
        <v>3503</v>
      </c>
      <c r="C803" s="8" t="s">
        <v>192</v>
      </c>
      <c r="D803" s="8" t="s">
        <v>6416</v>
      </c>
      <c r="E803" s="8">
        <v>66.0</v>
      </c>
    </row>
    <row r="804">
      <c r="A804" s="8" t="s">
        <v>443</v>
      </c>
      <c r="B804" s="8" t="s">
        <v>3383</v>
      </c>
      <c r="C804" s="8" t="s">
        <v>138</v>
      </c>
      <c r="D804" s="8" t="s">
        <v>6437</v>
      </c>
      <c r="E804" s="8">
        <v>57.0</v>
      </c>
    </row>
    <row r="805">
      <c r="A805" s="8" t="s">
        <v>443</v>
      </c>
      <c r="B805" s="8" t="s">
        <v>427</v>
      </c>
      <c r="C805" s="8" t="s">
        <v>122</v>
      </c>
      <c r="D805" s="8" t="s">
        <v>6422</v>
      </c>
      <c r="E805" s="8">
        <v>72.0</v>
      </c>
    </row>
    <row r="806">
      <c r="A806" s="8" t="s">
        <v>443</v>
      </c>
      <c r="B806" s="8" t="s">
        <v>3090</v>
      </c>
      <c r="C806" s="8" t="s">
        <v>80</v>
      </c>
      <c r="D806" s="8" t="s">
        <v>6433</v>
      </c>
      <c r="E806" s="8">
        <v>94.0</v>
      </c>
    </row>
    <row r="807">
      <c r="A807" s="8" t="s">
        <v>443</v>
      </c>
      <c r="B807" s="8" t="s">
        <v>613</v>
      </c>
      <c r="C807" s="8" t="s">
        <v>75</v>
      </c>
      <c r="D807" s="8" t="s">
        <v>6413</v>
      </c>
      <c r="E807" s="8">
        <v>70.0</v>
      </c>
    </row>
    <row r="808">
      <c r="A808" s="8" t="s">
        <v>201</v>
      </c>
      <c r="B808" s="8" t="s">
        <v>3449</v>
      </c>
      <c r="C808" s="8" t="s">
        <v>138</v>
      </c>
      <c r="D808" s="8" t="s">
        <v>6419</v>
      </c>
      <c r="E808" s="8">
        <v>62.0</v>
      </c>
    </row>
    <row r="809">
      <c r="A809" s="8" t="s">
        <v>201</v>
      </c>
      <c r="B809" s="8" t="s">
        <v>3413</v>
      </c>
      <c r="C809" s="8" t="s">
        <v>80</v>
      </c>
      <c r="D809" s="8" t="s">
        <v>6443</v>
      </c>
      <c r="E809" s="8">
        <v>68.0</v>
      </c>
    </row>
    <row r="810">
      <c r="A810" s="8" t="s">
        <v>201</v>
      </c>
      <c r="B810" s="8" t="s">
        <v>200</v>
      </c>
      <c r="C810" s="8" t="s">
        <v>24</v>
      </c>
      <c r="D810" s="8" t="s">
        <v>6441</v>
      </c>
      <c r="E810" s="8">
        <v>70.0</v>
      </c>
    </row>
    <row r="811">
      <c r="A811" s="8" t="s">
        <v>1347</v>
      </c>
      <c r="B811" s="8" t="s">
        <v>1346</v>
      </c>
      <c r="C811" s="8" t="s">
        <v>138</v>
      </c>
      <c r="D811" s="8" t="s">
        <v>6430</v>
      </c>
      <c r="E811" s="8">
        <v>63.0</v>
      </c>
    </row>
    <row r="812">
      <c r="A812" s="8" t="s">
        <v>1347</v>
      </c>
      <c r="B812" s="8" t="s">
        <v>208</v>
      </c>
      <c r="C812" s="8" t="s">
        <v>192</v>
      </c>
      <c r="D812" s="8" t="s">
        <v>6427</v>
      </c>
      <c r="E812" s="8">
        <v>71.0</v>
      </c>
    </row>
    <row r="813">
      <c r="A813" s="8" t="s">
        <v>1347</v>
      </c>
      <c r="B813" s="8" t="s">
        <v>1455</v>
      </c>
      <c r="C813" s="8" t="s">
        <v>122</v>
      </c>
      <c r="D813" s="8" t="s">
        <v>6427</v>
      </c>
      <c r="E813" s="8">
        <v>81.0</v>
      </c>
    </row>
    <row r="814">
      <c r="A814" s="8" t="s">
        <v>1347</v>
      </c>
      <c r="B814" s="8" t="s">
        <v>2009</v>
      </c>
      <c r="C814" s="8" t="s">
        <v>138</v>
      </c>
      <c r="D814" s="8" t="s">
        <v>6438</v>
      </c>
      <c r="E814" s="8">
        <v>69.0</v>
      </c>
    </row>
    <row r="815">
      <c r="A815" s="8" t="s">
        <v>1347</v>
      </c>
      <c r="B815" s="8" t="s">
        <v>3327</v>
      </c>
      <c r="C815" s="8" t="s">
        <v>70</v>
      </c>
      <c r="D815" s="8" t="s">
        <v>6433</v>
      </c>
      <c r="E815" s="8">
        <v>82.0</v>
      </c>
    </row>
    <row r="816">
      <c r="A816" s="8" t="s">
        <v>1347</v>
      </c>
      <c r="B816" s="8" t="s">
        <v>2998</v>
      </c>
      <c r="C816" s="8" t="s">
        <v>192</v>
      </c>
      <c r="D816" s="8" t="s">
        <v>6434</v>
      </c>
      <c r="E816" s="8">
        <v>74.0</v>
      </c>
    </row>
    <row r="817">
      <c r="A817" s="8" t="s">
        <v>3022</v>
      </c>
      <c r="B817" s="8" t="s">
        <v>308</v>
      </c>
      <c r="C817" s="8" t="s">
        <v>53</v>
      </c>
      <c r="D817" s="8" t="s">
        <v>6429</v>
      </c>
      <c r="E817" s="8">
        <v>56.0</v>
      </c>
    </row>
    <row r="818">
      <c r="A818" s="8" t="s">
        <v>3314</v>
      </c>
      <c r="B818" s="8" t="s">
        <v>208</v>
      </c>
      <c r="C818" s="8" t="s">
        <v>186</v>
      </c>
      <c r="D818" s="8" t="s">
        <v>6428</v>
      </c>
      <c r="E818" s="8">
        <v>65.0</v>
      </c>
    </row>
    <row r="819">
      <c r="A819" s="8" t="s">
        <v>3250</v>
      </c>
      <c r="B819" s="8" t="s">
        <v>1170</v>
      </c>
      <c r="C819" s="8" t="s">
        <v>215</v>
      </c>
      <c r="D819" s="8" t="s">
        <v>6420</v>
      </c>
      <c r="E819" s="8">
        <v>67.0</v>
      </c>
    </row>
    <row r="820">
      <c r="A820" s="8" t="s">
        <v>3002</v>
      </c>
      <c r="B820" s="8" t="s">
        <v>1579</v>
      </c>
      <c r="C820" s="8" t="s">
        <v>59</v>
      </c>
      <c r="D820" s="8" t="s">
        <v>6414</v>
      </c>
      <c r="E820" s="8">
        <v>66.0</v>
      </c>
    </row>
    <row r="821">
      <c r="A821" s="8" t="s">
        <v>1592</v>
      </c>
      <c r="B821" s="8" t="s">
        <v>305</v>
      </c>
      <c r="C821" s="8" t="s">
        <v>53</v>
      </c>
      <c r="D821" s="8" t="s">
        <v>6436</v>
      </c>
      <c r="E821" s="8">
        <v>75.0</v>
      </c>
    </row>
    <row r="822">
      <c r="A822" s="8" t="s">
        <v>29</v>
      </c>
      <c r="B822" s="8" t="s">
        <v>1301</v>
      </c>
      <c r="C822" s="8" t="s">
        <v>65</v>
      </c>
      <c r="D822" s="8" t="s">
        <v>6439</v>
      </c>
      <c r="E822" s="8">
        <v>76.0</v>
      </c>
    </row>
    <row r="823">
      <c r="A823" s="8" t="s">
        <v>29</v>
      </c>
      <c r="B823" s="8" t="s">
        <v>1684</v>
      </c>
      <c r="C823" s="8" t="s">
        <v>93</v>
      </c>
      <c r="D823" s="8" t="s">
        <v>6425</v>
      </c>
      <c r="E823" s="8">
        <v>77.0</v>
      </c>
    </row>
    <row r="824">
      <c r="A824" s="8" t="s">
        <v>29</v>
      </c>
      <c r="B824" s="8" t="s">
        <v>1467</v>
      </c>
      <c r="C824" s="8" t="s">
        <v>53</v>
      </c>
      <c r="D824" s="8" t="s">
        <v>6422</v>
      </c>
      <c r="E824" s="8">
        <v>69.0</v>
      </c>
    </row>
    <row r="825">
      <c r="A825" s="8" t="s">
        <v>29</v>
      </c>
      <c r="B825" s="8" t="s">
        <v>28</v>
      </c>
      <c r="C825" s="8" t="s">
        <v>16</v>
      </c>
      <c r="D825" s="8" t="s">
        <v>6425</v>
      </c>
      <c r="E825" s="8">
        <v>80.0</v>
      </c>
    </row>
    <row r="826">
      <c r="A826" s="8" t="s">
        <v>1528</v>
      </c>
      <c r="B826" s="8" t="s">
        <v>1527</v>
      </c>
      <c r="C826" s="8" t="s">
        <v>70</v>
      </c>
      <c r="D826" s="8" t="s">
        <v>6440</v>
      </c>
      <c r="E826" s="8">
        <v>70.0</v>
      </c>
    </row>
    <row r="827">
      <c r="A827" s="8" t="s">
        <v>1528</v>
      </c>
      <c r="B827" s="8" t="s">
        <v>2135</v>
      </c>
      <c r="C827" s="8" t="s">
        <v>70</v>
      </c>
      <c r="D827" s="8" t="s">
        <v>6438</v>
      </c>
      <c r="E827" s="8">
        <v>65.0</v>
      </c>
    </row>
    <row r="828">
      <c r="A828" s="8" t="s">
        <v>1528</v>
      </c>
      <c r="B828" s="8" t="s">
        <v>1944</v>
      </c>
      <c r="C828" s="8" t="s">
        <v>122</v>
      </c>
      <c r="D828" s="8" t="s">
        <v>6424</v>
      </c>
      <c r="E828" s="8">
        <v>69.0</v>
      </c>
    </row>
    <row r="829">
      <c r="A829" s="8" t="s">
        <v>1528</v>
      </c>
      <c r="B829" s="8" t="s">
        <v>42</v>
      </c>
      <c r="C829" s="8" t="s">
        <v>59</v>
      </c>
      <c r="D829" s="8" t="s">
        <v>6429</v>
      </c>
      <c r="E829" s="8">
        <v>65.0</v>
      </c>
    </row>
    <row r="830">
      <c r="A830" s="8" t="s">
        <v>3233</v>
      </c>
      <c r="B830" s="8" t="s">
        <v>3232</v>
      </c>
      <c r="C830" s="8" t="s">
        <v>215</v>
      </c>
      <c r="D830" s="8" t="s">
        <v>6422</v>
      </c>
      <c r="E830" s="8">
        <v>83.0</v>
      </c>
    </row>
    <row r="831">
      <c r="A831" s="8" t="s">
        <v>226</v>
      </c>
      <c r="B831" s="8" t="s">
        <v>225</v>
      </c>
      <c r="C831" s="8" t="s">
        <v>65</v>
      </c>
      <c r="D831" s="8" t="s">
        <v>6412</v>
      </c>
      <c r="E831" s="8">
        <v>89.0</v>
      </c>
    </row>
    <row r="832">
      <c r="A832" s="8" t="s">
        <v>226</v>
      </c>
      <c r="B832" s="8" t="s">
        <v>2891</v>
      </c>
      <c r="C832" s="8" t="s">
        <v>59</v>
      </c>
      <c r="D832" s="8" t="s">
        <v>6429</v>
      </c>
      <c r="E832" s="8">
        <v>72.0</v>
      </c>
    </row>
    <row r="833">
      <c r="A833" s="8" t="s">
        <v>226</v>
      </c>
      <c r="B833" s="8" t="s">
        <v>1557</v>
      </c>
      <c r="C833" s="8" t="s">
        <v>138</v>
      </c>
      <c r="D833" s="8" t="s">
        <v>6443</v>
      </c>
      <c r="E833" s="8">
        <v>74.0</v>
      </c>
    </row>
    <row r="834">
      <c r="A834" s="8" t="s">
        <v>3205</v>
      </c>
      <c r="B834" s="8" t="s">
        <v>3204</v>
      </c>
      <c r="C834" s="8" t="s">
        <v>46</v>
      </c>
      <c r="D834" s="8" t="s">
        <v>6442</v>
      </c>
      <c r="E834" s="8">
        <v>65.0</v>
      </c>
    </row>
    <row r="835">
      <c r="A835" s="8" t="s">
        <v>1443</v>
      </c>
      <c r="B835" s="8" t="s">
        <v>913</v>
      </c>
      <c r="C835" s="8" t="s">
        <v>46</v>
      </c>
      <c r="D835" s="8" t="s">
        <v>6425</v>
      </c>
      <c r="E835" s="8">
        <v>71.0</v>
      </c>
    </row>
    <row r="836">
      <c r="A836" s="8" t="s">
        <v>129</v>
      </c>
      <c r="B836" s="8" t="s">
        <v>732</v>
      </c>
      <c r="C836" s="8" t="s">
        <v>186</v>
      </c>
      <c r="D836" s="8" t="s">
        <v>6429</v>
      </c>
      <c r="E836" s="8">
        <v>80.0</v>
      </c>
    </row>
    <row r="837">
      <c r="A837" s="8" t="s">
        <v>129</v>
      </c>
      <c r="B837" s="8" t="s">
        <v>1303</v>
      </c>
      <c r="C837" s="8" t="s">
        <v>93</v>
      </c>
      <c r="D837" s="8" t="s">
        <v>6436</v>
      </c>
      <c r="E837" s="8">
        <v>76.0</v>
      </c>
    </row>
    <row r="838">
      <c r="A838" s="8" t="s">
        <v>129</v>
      </c>
      <c r="B838" s="8" t="s">
        <v>3499</v>
      </c>
      <c r="C838" s="8" t="s">
        <v>65</v>
      </c>
      <c r="D838" s="8" t="s">
        <v>6423</v>
      </c>
      <c r="E838" s="8">
        <v>69.0</v>
      </c>
    </row>
    <row r="839">
      <c r="A839" s="8" t="s">
        <v>129</v>
      </c>
      <c r="B839" s="8" t="s">
        <v>1428</v>
      </c>
      <c r="C839" s="8" t="s">
        <v>65</v>
      </c>
      <c r="D839" s="8" t="s">
        <v>6423</v>
      </c>
      <c r="E839" s="8">
        <v>86.0</v>
      </c>
    </row>
    <row r="840">
      <c r="A840" s="8" t="s">
        <v>129</v>
      </c>
      <c r="B840" s="8" t="s">
        <v>570</v>
      </c>
      <c r="C840" s="8" t="s">
        <v>141</v>
      </c>
      <c r="D840" s="8" t="s">
        <v>6427</v>
      </c>
      <c r="E840" s="8">
        <v>69.0</v>
      </c>
    </row>
    <row r="841">
      <c r="A841" s="8" t="s">
        <v>129</v>
      </c>
      <c r="B841" s="8" t="s">
        <v>451</v>
      </c>
      <c r="C841" s="8" t="s">
        <v>53</v>
      </c>
      <c r="D841" s="8" t="s">
        <v>6429</v>
      </c>
      <c r="E841" s="8">
        <v>61.0</v>
      </c>
    </row>
    <row r="842">
      <c r="A842" s="8" t="s">
        <v>129</v>
      </c>
      <c r="B842" s="8" t="s">
        <v>1343</v>
      </c>
      <c r="C842" s="8" t="s">
        <v>141</v>
      </c>
      <c r="D842" s="8" t="s">
        <v>6430</v>
      </c>
      <c r="E842" s="8">
        <v>73.0</v>
      </c>
    </row>
    <row r="843">
      <c r="A843" s="8" t="s">
        <v>129</v>
      </c>
      <c r="B843" s="8" t="s">
        <v>1669</v>
      </c>
      <c r="C843" s="8" t="s">
        <v>149</v>
      </c>
      <c r="D843" s="8" t="s">
        <v>6417</v>
      </c>
      <c r="E843" s="8">
        <v>72.0</v>
      </c>
    </row>
    <row r="844">
      <c r="A844" s="8" t="s">
        <v>129</v>
      </c>
      <c r="B844" s="8" t="s">
        <v>1161</v>
      </c>
      <c r="C844" s="8" t="s">
        <v>24</v>
      </c>
      <c r="D844" s="8" t="s">
        <v>6420</v>
      </c>
      <c r="E844" s="8">
        <v>81.0</v>
      </c>
    </row>
    <row r="845">
      <c r="A845" s="8" t="s">
        <v>129</v>
      </c>
      <c r="B845" s="8" t="s">
        <v>1012</v>
      </c>
      <c r="C845" s="8" t="s">
        <v>192</v>
      </c>
      <c r="D845" s="8" t="s">
        <v>6422</v>
      </c>
      <c r="E845" s="8">
        <v>77.0</v>
      </c>
    </row>
    <row r="846">
      <c r="A846" s="8" t="s">
        <v>129</v>
      </c>
      <c r="B846" s="8" t="s">
        <v>648</v>
      </c>
      <c r="C846" s="8" t="s">
        <v>192</v>
      </c>
      <c r="D846" s="8" t="s">
        <v>6437</v>
      </c>
      <c r="E846" s="8">
        <v>94.0</v>
      </c>
    </row>
    <row r="847">
      <c r="A847" s="8" t="s">
        <v>129</v>
      </c>
      <c r="B847" s="8" t="s">
        <v>681</v>
      </c>
      <c r="C847" s="8" t="s">
        <v>46</v>
      </c>
      <c r="D847" s="8" t="s">
        <v>6437</v>
      </c>
      <c r="E847" s="8">
        <v>76.0</v>
      </c>
    </row>
    <row r="848">
      <c r="A848" s="8" t="s">
        <v>129</v>
      </c>
      <c r="B848" s="8" t="s">
        <v>767</v>
      </c>
      <c r="C848" s="8" t="s">
        <v>80</v>
      </c>
      <c r="D848" s="8" t="s">
        <v>6437</v>
      </c>
      <c r="E848" s="8">
        <v>70.0</v>
      </c>
    </row>
    <row r="849">
      <c r="A849" s="8" t="s">
        <v>129</v>
      </c>
      <c r="B849" s="8" t="s">
        <v>1599</v>
      </c>
      <c r="C849" s="8" t="s">
        <v>24</v>
      </c>
      <c r="D849" s="8" t="s">
        <v>6431</v>
      </c>
      <c r="E849" s="8">
        <v>70.0</v>
      </c>
    </row>
    <row r="850">
      <c r="A850" s="8" t="s">
        <v>129</v>
      </c>
      <c r="B850" s="8" t="s">
        <v>1041</v>
      </c>
      <c r="C850" s="8" t="s">
        <v>24</v>
      </c>
      <c r="D850" s="8" t="s">
        <v>6440</v>
      </c>
      <c r="E850" s="8">
        <v>63.0</v>
      </c>
    </row>
    <row r="851">
      <c r="A851" s="8" t="s">
        <v>129</v>
      </c>
      <c r="B851" s="8" t="s">
        <v>3397</v>
      </c>
      <c r="C851" s="8" t="s">
        <v>59</v>
      </c>
      <c r="D851" s="8" t="s">
        <v>6425</v>
      </c>
      <c r="E851" s="8">
        <v>58.0</v>
      </c>
    </row>
    <row r="852">
      <c r="A852" s="8" t="s">
        <v>129</v>
      </c>
      <c r="B852" s="8" t="s">
        <v>128</v>
      </c>
      <c r="C852" s="8" t="s">
        <v>80</v>
      </c>
      <c r="D852" s="8" t="s">
        <v>6435</v>
      </c>
      <c r="E852" s="8">
        <v>93.0</v>
      </c>
    </row>
    <row r="853">
      <c r="A853" s="8" t="s">
        <v>527</v>
      </c>
      <c r="B853" s="8" t="s">
        <v>3082</v>
      </c>
      <c r="C853" s="8" t="s">
        <v>24</v>
      </c>
      <c r="D853" s="8" t="s">
        <v>6428</v>
      </c>
      <c r="E853" s="8">
        <v>66.0</v>
      </c>
    </row>
    <row r="854">
      <c r="A854" s="8" t="s">
        <v>527</v>
      </c>
      <c r="B854" s="8" t="s">
        <v>89</v>
      </c>
      <c r="C854" s="8" t="s">
        <v>192</v>
      </c>
      <c r="D854" s="8" t="s">
        <v>6418</v>
      </c>
      <c r="E854" s="8">
        <v>63.0</v>
      </c>
    </row>
    <row r="855">
      <c r="A855" s="8" t="s">
        <v>527</v>
      </c>
      <c r="B855" s="8" t="s">
        <v>3158</v>
      </c>
      <c r="C855" s="8" t="s">
        <v>141</v>
      </c>
      <c r="D855" s="8" t="s">
        <v>6434</v>
      </c>
      <c r="E855" s="8">
        <v>60.0</v>
      </c>
    </row>
    <row r="856">
      <c r="A856" s="8" t="s">
        <v>1940</v>
      </c>
      <c r="B856" s="8" t="s">
        <v>500</v>
      </c>
      <c r="C856" s="8" t="s">
        <v>132</v>
      </c>
      <c r="D856" s="8" t="s">
        <v>6439</v>
      </c>
      <c r="E856" s="8">
        <v>62.0</v>
      </c>
    </row>
    <row r="857">
      <c r="A857" s="8" t="s">
        <v>1940</v>
      </c>
      <c r="B857" s="8" t="s">
        <v>1939</v>
      </c>
      <c r="C857" s="8" t="s">
        <v>149</v>
      </c>
      <c r="D857" s="8" t="s">
        <v>6433</v>
      </c>
      <c r="E857" s="8">
        <v>75.0</v>
      </c>
    </row>
    <row r="858">
      <c r="A858" s="8" t="s">
        <v>1940</v>
      </c>
      <c r="B858" s="8" t="s">
        <v>3129</v>
      </c>
      <c r="C858" s="8" t="s">
        <v>138</v>
      </c>
      <c r="D858" s="8" t="s">
        <v>6414</v>
      </c>
      <c r="E858" s="8">
        <v>72.0</v>
      </c>
    </row>
    <row r="859">
      <c r="A859" s="8" t="s">
        <v>177</v>
      </c>
      <c r="B859" s="8" t="s">
        <v>1781</v>
      </c>
      <c r="C859" s="8" t="s">
        <v>24</v>
      </c>
      <c r="D859" s="8" t="s">
        <v>6425</v>
      </c>
      <c r="E859" s="8">
        <v>75.0</v>
      </c>
    </row>
    <row r="860">
      <c r="A860" s="8" t="s">
        <v>177</v>
      </c>
      <c r="B860" s="8" t="s">
        <v>99</v>
      </c>
      <c r="C860" s="8" t="s">
        <v>75</v>
      </c>
      <c r="D860" s="8" t="s">
        <v>6426</v>
      </c>
      <c r="E860" s="8">
        <v>73.0</v>
      </c>
    </row>
    <row r="861">
      <c r="A861" s="8" t="s">
        <v>177</v>
      </c>
      <c r="B861" s="8" t="s">
        <v>1094</v>
      </c>
      <c r="C861" s="8" t="s">
        <v>75</v>
      </c>
      <c r="D861" s="8" t="s">
        <v>6419</v>
      </c>
      <c r="E861" s="8">
        <v>68.0</v>
      </c>
    </row>
    <row r="862">
      <c r="A862" s="8" t="s">
        <v>272</v>
      </c>
      <c r="B862" s="8" t="s">
        <v>271</v>
      </c>
      <c r="C862" s="8" t="s">
        <v>215</v>
      </c>
      <c r="D862" s="8" t="s">
        <v>6429</v>
      </c>
      <c r="E862" s="8">
        <v>86.0</v>
      </c>
    </row>
    <row r="863">
      <c r="A863" s="8" t="s">
        <v>342</v>
      </c>
      <c r="B863" s="8" t="s">
        <v>897</v>
      </c>
      <c r="C863" s="8" t="s">
        <v>70</v>
      </c>
      <c r="D863" s="8" t="s">
        <v>6442</v>
      </c>
      <c r="E863" s="8">
        <v>90.0</v>
      </c>
    </row>
    <row r="864">
      <c r="A864" s="8" t="s">
        <v>342</v>
      </c>
      <c r="B864" s="8" t="s">
        <v>341</v>
      </c>
      <c r="C864" s="8" t="s">
        <v>215</v>
      </c>
      <c r="D864" s="8" t="s">
        <v>6420</v>
      </c>
      <c r="E864" s="8">
        <v>84.0</v>
      </c>
    </row>
    <row r="865">
      <c r="A865" s="8" t="s">
        <v>3418</v>
      </c>
      <c r="B865" s="8" t="s">
        <v>308</v>
      </c>
      <c r="C865" s="8" t="s">
        <v>93</v>
      </c>
      <c r="D865" s="8" t="s">
        <v>6413</v>
      </c>
      <c r="E865" s="8">
        <v>62.0</v>
      </c>
    </row>
    <row r="866">
      <c r="A866" s="8" t="s">
        <v>1540</v>
      </c>
      <c r="B866" s="8" t="s">
        <v>1539</v>
      </c>
      <c r="C866" s="8" t="s">
        <v>93</v>
      </c>
      <c r="D866" s="8" t="s">
        <v>6416</v>
      </c>
      <c r="E866" s="8">
        <v>70.0</v>
      </c>
    </row>
    <row r="867">
      <c r="A867" s="8" t="s">
        <v>1108</v>
      </c>
      <c r="B867" s="8" t="s">
        <v>106</v>
      </c>
      <c r="C867" s="8" t="s">
        <v>138</v>
      </c>
      <c r="D867" s="8" t="s">
        <v>6438</v>
      </c>
      <c r="E867" s="8">
        <v>62.0</v>
      </c>
    </row>
    <row r="868">
      <c r="A868" s="8" t="s">
        <v>3214</v>
      </c>
      <c r="B868" s="8" t="s">
        <v>500</v>
      </c>
      <c r="C868" s="8" t="s">
        <v>46</v>
      </c>
      <c r="D868" s="8" t="s">
        <v>6428</v>
      </c>
      <c r="E868" s="8">
        <v>64.0</v>
      </c>
    </row>
    <row r="869">
      <c r="A869" s="8" t="s">
        <v>63</v>
      </c>
      <c r="B869" s="8" t="s">
        <v>3096</v>
      </c>
      <c r="C869" s="8" t="s">
        <v>70</v>
      </c>
      <c r="D869" s="8" t="s">
        <v>6439</v>
      </c>
      <c r="E869" s="8">
        <v>66.0</v>
      </c>
    </row>
    <row r="870">
      <c r="A870" s="8" t="s">
        <v>664</v>
      </c>
      <c r="B870" s="8" t="s">
        <v>145</v>
      </c>
      <c r="C870" s="8" t="s">
        <v>122</v>
      </c>
      <c r="D870" s="8" t="s">
        <v>6424</v>
      </c>
      <c r="E870" s="8">
        <v>91.0</v>
      </c>
    </row>
    <row r="871">
      <c r="A871" s="8" t="s">
        <v>1505</v>
      </c>
      <c r="B871" s="8" t="s">
        <v>1504</v>
      </c>
      <c r="C871" s="8" t="s">
        <v>75</v>
      </c>
      <c r="D871" s="8" t="s">
        <v>6432</v>
      </c>
      <c r="E871" s="8">
        <v>79.0</v>
      </c>
    </row>
    <row r="872">
      <c r="A872" s="8" t="s">
        <v>3133</v>
      </c>
      <c r="B872" s="8" t="s">
        <v>3132</v>
      </c>
      <c r="C872" s="8" t="s">
        <v>70</v>
      </c>
      <c r="D872" s="8" t="s">
        <v>6441</v>
      </c>
      <c r="E872" s="8">
        <v>69.0</v>
      </c>
    </row>
    <row r="873">
      <c r="A873" s="8" t="s">
        <v>2793</v>
      </c>
      <c r="B873" s="8" t="s">
        <v>3323</v>
      </c>
      <c r="C873" s="8" t="s">
        <v>215</v>
      </c>
      <c r="D873" s="8" t="s">
        <v>6439</v>
      </c>
      <c r="E873" s="8">
        <v>61.0</v>
      </c>
    </row>
    <row r="874">
      <c r="A874" s="8" t="s">
        <v>69</v>
      </c>
      <c r="B874" s="8" t="s">
        <v>3151</v>
      </c>
      <c r="C874" s="8" t="s">
        <v>53</v>
      </c>
      <c r="D874" s="8" t="s">
        <v>6437</v>
      </c>
      <c r="E874" s="8">
        <v>69.0</v>
      </c>
    </row>
    <row r="875">
      <c r="A875" s="8" t="s">
        <v>69</v>
      </c>
      <c r="B875" s="8" t="s">
        <v>68</v>
      </c>
      <c r="C875" s="8" t="s">
        <v>70</v>
      </c>
      <c r="D875" s="8" t="s">
        <v>6428</v>
      </c>
      <c r="E875" s="8">
        <v>83.0</v>
      </c>
    </row>
    <row r="876">
      <c r="A876" s="8" t="s">
        <v>69</v>
      </c>
      <c r="B876" s="8" t="s">
        <v>90</v>
      </c>
      <c r="C876" s="8" t="s">
        <v>138</v>
      </c>
      <c r="D876" s="8" t="s">
        <v>6433</v>
      </c>
      <c r="E876" s="8">
        <v>82.0</v>
      </c>
    </row>
    <row r="877">
      <c r="A877" s="8" t="s">
        <v>2376</v>
      </c>
      <c r="B877" s="8" t="s">
        <v>3295</v>
      </c>
      <c r="C877" s="8" t="s">
        <v>65</v>
      </c>
      <c r="D877" s="8" t="s">
        <v>6440</v>
      </c>
      <c r="E877" s="8">
        <v>63.0</v>
      </c>
    </row>
    <row r="878">
      <c r="A878" s="8" t="s">
        <v>2922</v>
      </c>
      <c r="B878" s="8" t="s">
        <v>2921</v>
      </c>
      <c r="C878" s="8" t="s">
        <v>65</v>
      </c>
      <c r="D878" s="8" t="s">
        <v>6426</v>
      </c>
      <c r="E878" s="8">
        <v>62.0</v>
      </c>
    </row>
    <row r="879">
      <c r="A879" s="8" t="s">
        <v>2922</v>
      </c>
      <c r="B879" s="8" t="s">
        <v>3176</v>
      </c>
      <c r="C879" s="8" t="s">
        <v>53</v>
      </c>
      <c r="D879" s="8" t="s">
        <v>6440</v>
      </c>
      <c r="E879" s="8">
        <v>59.0</v>
      </c>
    </row>
    <row r="880">
      <c r="A880" s="8" t="s">
        <v>2922</v>
      </c>
      <c r="B880" s="8" t="s">
        <v>3074</v>
      </c>
      <c r="C880" s="8" t="s">
        <v>261</v>
      </c>
      <c r="D880" s="8" t="s">
        <v>6427</v>
      </c>
      <c r="E880" s="8">
        <v>73.0</v>
      </c>
    </row>
    <row r="881">
      <c r="A881" s="8" t="s">
        <v>3028</v>
      </c>
      <c r="B881" s="8" t="s">
        <v>3027</v>
      </c>
      <c r="C881" s="8" t="s">
        <v>215</v>
      </c>
      <c r="D881" s="8" t="s">
        <v>6419</v>
      </c>
      <c r="E881" s="8">
        <v>72.0</v>
      </c>
    </row>
    <row r="882">
      <c r="A882" s="8" t="s">
        <v>724</v>
      </c>
      <c r="B882" s="8" t="s">
        <v>276</v>
      </c>
      <c r="C882" s="8" t="s">
        <v>24</v>
      </c>
      <c r="D882" s="8" t="s">
        <v>6438</v>
      </c>
      <c r="E882" s="8">
        <v>61.0</v>
      </c>
    </row>
    <row r="883">
      <c r="A883" s="8" t="s">
        <v>724</v>
      </c>
      <c r="B883" s="8" t="s">
        <v>396</v>
      </c>
      <c r="C883" s="8" t="s">
        <v>186</v>
      </c>
      <c r="D883" s="8" t="s">
        <v>6419</v>
      </c>
      <c r="E883" s="8">
        <v>58.0</v>
      </c>
    </row>
    <row r="884">
      <c r="A884" s="8" t="s">
        <v>724</v>
      </c>
      <c r="B884" s="8" t="s">
        <v>455</v>
      </c>
      <c r="C884" s="8" t="s">
        <v>122</v>
      </c>
      <c r="D884" s="8" t="s">
        <v>6424</v>
      </c>
      <c r="E884" s="8">
        <v>70.0</v>
      </c>
    </row>
    <row r="885">
      <c r="A885" s="8" t="s">
        <v>724</v>
      </c>
      <c r="B885" s="8" t="s">
        <v>208</v>
      </c>
      <c r="C885" s="8" t="s">
        <v>132</v>
      </c>
      <c r="D885" s="8" t="s">
        <v>6438</v>
      </c>
      <c r="E885" s="8">
        <v>84.0</v>
      </c>
    </row>
    <row r="886">
      <c r="A886" s="8" t="s">
        <v>724</v>
      </c>
      <c r="B886" s="8" t="s">
        <v>3311</v>
      </c>
      <c r="C886" s="8" t="s">
        <v>141</v>
      </c>
      <c r="D886" s="8" t="s">
        <v>6443</v>
      </c>
      <c r="E886" s="8">
        <v>65.0</v>
      </c>
    </row>
    <row r="887">
      <c r="A887" s="8" t="s">
        <v>1743</v>
      </c>
      <c r="B887" s="8" t="s">
        <v>1130</v>
      </c>
      <c r="C887" s="8" t="s">
        <v>93</v>
      </c>
      <c r="D887" s="8" t="s">
        <v>6438</v>
      </c>
      <c r="E887" s="8">
        <v>75.0</v>
      </c>
    </row>
    <row r="888">
      <c r="A888" s="8" t="s">
        <v>854</v>
      </c>
      <c r="B888" s="8" t="s">
        <v>853</v>
      </c>
      <c r="C888" s="8" t="s">
        <v>46</v>
      </c>
      <c r="D888" s="8" t="s">
        <v>6412</v>
      </c>
      <c r="E888" s="8">
        <v>77.0</v>
      </c>
    </row>
    <row r="889">
      <c r="A889" s="8" t="s">
        <v>252</v>
      </c>
      <c r="B889" s="8" t="s">
        <v>251</v>
      </c>
      <c r="C889" s="8" t="s">
        <v>24</v>
      </c>
      <c r="D889" s="8" t="s">
        <v>6422</v>
      </c>
      <c r="E889" s="8">
        <v>70.0</v>
      </c>
    </row>
    <row r="890">
      <c r="A890" s="8" t="s">
        <v>252</v>
      </c>
      <c r="B890" s="8" t="s">
        <v>2815</v>
      </c>
      <c r="C890" s="8" t="s">
        <v>16</v>
      </c>
      <c r="D890" s="8" t="s">
        <v>6418</v>
      </c>
      <c r="E890" s="8">
        <v>62.0</v>
      </c>
    </row>
    <row r="891">
      <c r="A891" s="8" t="s">
        <v>252</v>
      </c>
      <c r="B891" s="8" t="s">
        <v>267</v>
      </c>
      <c r="C891" s="8" t="s">
        <v>16</v>
      </c>
      <c r="D891" s="8" t="s">
        <v>6441</v>
      </c>
      <c r="E891" s="8">
        <v>59.0</v>
      </c>
    </row>
    <row r="892">
      <c r="A892" s="8" t="s">
        <v>3058</v>
      </c>
      <c r="B892" s="8" t="s">
        <v>99</v>
      </c>
      <c r="C892" s="8" t="s">
        <v>138</v>
      </c>
      <c r="D892" s="8" t="s">
        <v>6433</v>
      </c>
      <c r="E892" s="8">
        <v>61.0</v>
      </c>
    </row>
    <row r="893">
      <c r="A893" s="8" t="s">
        <v>3058</v>
      </c>
      <c r="B893" s="8" t="s">
        <v>3423</v>
      </c>
      <c r="C893" s="8" t="s">
        <v>141</v>
      </c>
      <c r="D893" s="8" t="s">
        <v>6426</v>
      </c>
      <c r="E893" s="8">
        <v>54.0</v>
      </c>
    </row>
    <row r="894">
      <c r="A894" s="8" t="s">
        <v>2809</v>
      </c>
      <c r="B894" s="8" t="s">
        <v>2808</v>
      </c>
      <c r="C894" s="8" t="s">
        <v>149</v>
      </c>
      <c r="D894" s="8" t="s">
        <v>6422</v>
      </c>
      <c r="E894" s="8">
        <v>71.0</v>
      </c>
    </row>
    <row r="895">
      <c r="A895" s="8" t="s">
        <v>2783</v>
      </c>
      <c r="B895" s="8" t="s">
        <v>2782</v>
      </c>
      <c r="C895" s="8" t="s">
        <v>24</v>
      </c>
      <c r="D895" s="8" t="s">
        <v>6437</v>
      </c>
      <c r="E895" s="8">
        <v>74.0</v>
      </c>
    </row>
    <row r="896">
      <c r="A896" s="8" t="s">
        <v>930</v>
      </c>
      <c r="B896" s="8" t="s">
        <v>929</v>
      </c>
      <c r="C896" s="8" t="s">
        <v>138</v>
      </c>
      <c r="D896" s="8" t="s">
        <v>6436</v>
      </c>
      <c r="E896" s="8">
        <v>63.0</v>
      </c>
    </row>
    <row r="897">
      <c r="A897" s="8" t="s">
        <v>239</v>
      </c>
      <c r="B897" s="8" t="s">
        <v>99</v>
      </c>
      <c r="C897" s="8" t="s">
        <v>16</v>
      </c>
      <c r="D897" s="8" t="s">
        <v>6425</v>
      </c>
      <c r="E897" s="8">
        <v>72.0</v>
      </c>
    </row>
    <row r="898">
      <c r="A898" s="8" t="s">
        <v>239</v>
      </c>
      <c r="B898" s="8" t="s">
        <v>238</v>
      </c>
      <c r="C898" s="8" t="s">
        <v>122</v>
      </c>
      <c r="D898" s="8" t="s">
        <v>6417</v>
      </c>
      <c r="E898" s="8">
        <v>91.0</v>
      </c>
    </row>
    <row r="899">
      <c r="A899" s="8" t="s">
        <v>1635</v>
      </c>
      <c r="B899" s="8" t="s">
        <v>1634</v>
      </c>
      <c r="C899" s="8" t="s">
        <v>24</v>
      </c>
      <c r="D899" s="8" t="s">
        <v>6442</v>
      </c>
      <c r="E899" s="8">
        <v>74.0</v>
      </c>
    </row>
    <row r="900">
      <c r="A900" s="8" t="s">
        <v>546</v>
      </c>
      <c r="B900" s="8" t="s">
        <v>389</v>
      </c>
      <c r="C900" s="8" t="s">
        <v>138</v>
      </c>
      <c r="D900" s="8" t="s">
        <v>6426</v>
      </c>
      <c r="E900" s="8">
        <v>71.0</v>
      </c>
    </row>
    <row r="901">
      <c r="A901" s="8" t="s">
        <v>546</v>
      </c>
      <c r="B901" s="8" t="s">
        <v>906</v>
      </c>
      <c r="C901" s="8" t="s">
        <v>46</v>
      </c>
      <c r="D901" s="8" t="s">
        <v>6433</v>
      </c>
      <c r="E901" s="8">
        <v>69.0</v>
      </c>
    </row>
    <row r="902">
      <c r="A902" s="8" t="s">
        <v>546</v>
      </c>
      <c r="B902" s="8" t="s">
        <v>1499</v>
      </c>
      <c r="C902" s="8" t="s">
        <v>24</v>
      </c>
      <c r="D902" s="8" t="s">
        <v>6422</v>
      </c>
      <c r="E902" s="8">
        <v>72.0</v>
      </c>
    </row>
    <row r="903">
      <c r="A903" s="8" t="s">
        <v>546</v>
      </c>
      <c r="B903" s="8" t="s">
        <v>3157</v>
      </c>
      <c r="C903" s="8" t="s">
        <v>70</v>
      </c>
      <c r="D903" s="8" t="s">
        <v>6443</v>
      </c>
      <c r="E903" s="8">
        <v>63.0</v>
      </c>
    </row>
    <row r="904">
      <c r="A904" s="8" t="s">
        <v>546</v>
      </c>
      <c r="B904" s="8" t="s">
        <v>545</v>
      </c>
      <c r="C904" s="8" t="s">
        <v>80</v>
      </c>
      <c r="D904" s="8" t="s">
        <v>6417</v>
      </c>
      <c r="E904" s="8">
        <v>75.0</v>
      </c>
    </row>
    <row r="905">
      <c r="A905" s="8" t="s">
        <v>294</v>
      </c>
      <c r="B905" s="8" t="s">
        <v>218</v>
      </c>
      <c r="C905" s="8" t="s">
        <v>122</v>
      </c>
      <c r="D905" s="8" t="s">
        <v>6426</v>
      </c>
      <c r="E905" s="8">
        <v>90.0</v>
      </c>
    </row>
    <row r="906">
      <c r="A906" s="8" t="s">
        <v>294</v>
      </c>
      <c r="B906" s="8" t="s">
        <v>3304</v>
      </c>
      <c r="C906" s="8" t="s">
        <v>53</v>
      </c>
      <c r="D906" s="8" t="s">
        <v>6430</v>
      </c>
      <c r="E906" s="8">
        <v>79.0</v>
      </c>
    </row>
    <row r="907">
      <c r="A907" s="8" t="s">
        <v>294</v>
      </c>
      <c r="B907" s="8" t="s">
        <v>902</v>
      </c>
      <c r="C907" s="8" t="s">
        <v>24</v>
      </c>
      <c r="D907" s="8" t="s">
        <v>6414</v>
      </c>
      <c r="E907" s="8">
        <v>75.0</v>
      </c>
    </row>
    <row r="908">
      <c r="A908" s="8" t="s">
        <v>882</v>
      </c>
      <c r="B908" s="8" t="s">
        <v>61</v>
      </c>
      <c r="C908" s="8" t="s">
        <v>65</v>
      </c>
      <c r="D908" s="8" t="s">
        <v>6432</v>
      </c>
      <c r="E908" s="8">
        <v>64.0</v>
      </c>
    </row>
    <row r="909">
      <c r="A909" s="8" t="s">
        <v>1481</v>
      </c>
      <c r="B909" s="8" t="s">
        <v>1480</v>
      </c>
      <c r="C909" s="8" t="s">
        <v>149</v>
      </c>
      <c r="D909" s="8" t="s">
        <v>6433</v>
      </c>
      <c r="E909" s="8">
        <v>73.0</v>
      </c>
    </row>
    <row r="910">
      <c r="A910" s="8" t="s">
        <v>1358</v>
      </c>
      <c r="B910" s="8" t="s">
        <v>1357</v>
      </c>
      <c r="C910" s="8" t="s">
        <v>65</v>
      </c>
      <c r="D910" s="8" t="s">
        <v>6421</v>
      </c>
      <c r="E910" s="8">
        <v>67.0</v>
      </c>
    </row>
    <row r="911">
      <c r="A911" s="8" t="s">
        <v>3281</v>
      </c>
      <c r="B911" s="8" t="s">
        <v>3280</v>
      </c>
      <c r="C911" s="8" t="s">
        <v>141</v>
      </c>
      <c r="D911" s="8" t="s">
        <v>6441</v>
      </c>
      <c r="E911" s="8">
        <v>71.0</v>
      </c>
    </row>
    <row r="912">
      <c r="A912" s="8" t="s">
        <v>604</v>
      </c>
      <c r="B912" s="8" t="s">
        <v>603</v>
      </c>
      <c r="C912" s="8" t="s">
        <v>12</v>
      </c>
      <c r="D912" s="8" t="s">
        <v>6438</v>
      </c>
      <c r="E912" s="8">
        <v>66.0</v>
      </c>
    </row>
    <row r="913">
      <c r="A913" s="8" t="s">
        <v>848</v>
      </c>
      <c r="B913" s="8" t="s">
        <v>847</v>
      </c>
      <c r="C913" s="8" t="s">
        <v>70</v>
      </c>
      <c r="D913" s="8" t="s">
        <v>6417</v>
      </c>
      <c r="E913" s="8">
        <v>86.0</v>
      </c>
    </row>
    <row r="914">
      <c r="A914" s="8" t="s">
        <v>3003</v>
      </c>
      <c r="B914" s="8" t="s">
        <v>1579</v>
      </c>
      <c r="C914" s="8" t="s">
        <v>149</v>
      </c>
      <c r="D914" s="8" t="s">
        <v>6419</v>
      </c>
      <c r="E914" s="8">
        <v>60.0</v>
      </c>
    </row>
    <row r="915">
      <c r="A915" s="8" t="s">
        <v>517</v>
      </c>
      <c r="B915" s="8" t="s">
        <v>3286</v>
      </c>
      <c r="C915" s="8" t="s">
        <v>261</v>
      </c>
      <c r="D915" s="8" t="s">
        <v>6436</v>
      </c>
      <c r="E915" s="8">
        <v>67.0</v>
      </c>
    </row>
    <row r="916">
      <c r="A916" s="8" t="s">
        <v>3009</v>
      </c>
      <c r="B916" s="8" t="s">
        <v>2054</v>
      </c>
      <c r="C916" s="8" t="s">
        <v>80</v>
      </c>
      <c r="D916" s="8" t="s">
        <v>6420</v>
      </c>
      <c r="E916" s="8">
        <v>82.0</v>
      </c>
    </row>
    <row r="917">
      <c r="A917" s="8" t="s">
        <v>325</v>
      </c>
      <c r="B917" s="8" t="s">
        <v>3085</v>
      </c>
      <c r="C917" s="8" t="s">
        <v>65</v>
      </c>
      <c r="D917" s="8" t="s">
        <v>6420</v>
      </c>
      <c r="E917" s="8">
        <v>87.0</v>
      </c>
    </row>
    <row r="918">
      <c r="A918" s="8" t="s">
        <v>1206</v>
      </c>
      <c r="B918" s="8" t="s">
        <v>1205</v>
      </c>
      <c r="C918" s="8" t="s">
        <v>122</v>
      </c>
      <c r="D918" s="8" t="s">
        <v>6431</v>
      </c>
      <c r="E918" s="8">
        <v>82.0</v>
      </c>
    </row>
    <row r="919">
      <c r="A919" s="8" t="s">
        <v>203</v>
      </c>
      <c r="B919" s="8" t="s">
        <v>926</v>
      </c>
      <c r="C919" s="8" t="s">
        <v>75</v>
      </c>
      <c r="D919" s="8" t="s">
        <v>6420</v>
      </c>
      <c r="E919" s="8">
        <v>69.0</v>
      </c>
    </row>
    <row r="920">
      <c r="A920" s="8" t="s">
        <v>203</v>
      </c>
      <c r="B920" s="8" t="s">
        <v>202</v>
      </c>
      <c r="C920" s="8" t="s">
        <v>12</v>
      </c>
      <c r="D920" s="8" t="s">
        <v>6441</v>
      </c>
      <c r="E920" s="8">
        <v>76.0</v>
      </c>
    </row>
    <row r="921">
      <c r="A921" s="8" t="s">
        <v>124</v>
      </c>
      <c r="B921" s="8" t="s">
        <v>970</v>
      </c>
      <c r="C921" s="8" t="s">
        <v>141</v>
      </c>
      <c r="D921" s="8" t="s">
        <v>6434</v>
      </c>
      <c r="E921" s="8">
        <v>78.0</v>
      </c>
    </row>
    <row r="922">
      <c r="A922" s="8" t="s">
        <v>124</v>
      </c>
      <c r="B922" s="8" t="s">
        <v>123</v>
      </c>
      <c r="C922" s="8" t="s">
        <v>24</v>
      </c>
      <c r="D922" s="8" t="s">
        <v>6441</v>
      </c>
      <c r="E922" s="8">
        <v>92.0</v>
      </c>
    </row>
    <row r="923">
      <c r="A923" s="8" t="s">
        <v>124</v>
      </c>
      <c r="B923" s="8" t="s">
        <v>3407</v>
      </c>
      <c r="C923" s="8" t="s">
        <v>132</v>
      </c>
      <c r="D923" s="8" t="s">
        <v>6430</v>
      </c>
      <c r="E923" s="8">
        <v>61.0</v>
      </c>
    </row>
    <row r="924">
      <c r="A924" s="8" t="s">
        <v>124</v>
      </c>
      <c r="B924" s="8" t="s">
        <v>335</v>
      </c>
      <c r="C924" s="8" t="s">
        <v>12</v>
      </c>
      <c r="D924" s="8" t="s">
        <v>6414</v>
      </c>
      <c r="E924" s="8">
        <v>79.0</v>
      </c>
    </row>
    <row r="925">
      <c r="A925" s="8" t="s">
        <v>124</v>
      </c>
      <c r="B925" s="8" t="s">
        <v>308</v>
      </c>
      <c r="C925" s="8" t="s">
        <v>46</v>
      </c>
      <c r="D925" s="8" t="s">
        <v>6420</v>
      </c>
      <c r="E925" s="8">
        <v>71.0</v>
      </c>
    </row>
    <row r="926">
      <c r="A926" s="8" t="s">
        <v>1626</v>
      </c>
      <c r="B926" s="8" t="s">
        <v>1625</v>
      </c>
      <c r="C926" s="8" t="s">
        <v>215</v>
      </c>
      <c r="D926" s="8" t="s">
        <v>6428</v>
      </c>
      <c r="E926" s="8">
        <v>61.0</v>
      </c>
    </row>
    <row r="927">
      <c r="A927" s="8" t="s">
        <v>2736</v>
      </c>
      <c r="B927" s="8" t="s">
        <v>2735</v>
      </c>
      <c r="C927" s="8" t="s">
        <v>80</v>
      </c>
      <c r="D927" s="8" t="s">
        <v>6421</v>
      </c>
      <c r="E927" s="8">
        <v>82.0</v>
      </c>
    </row>
    <row r="928">
      <c r="A928" s="8" t="s">
        <v>1951</v>
      </c>
      <c r="B928" s="8" t="s">
        <v>1950</v>
      </c>
      <c r="C928" s="8" t="s">
        <v>186</v>
      </c>
      <c r="D928" s="8" t="s">
        <v>6419</v>
      </c>
      <c r="E928" s="8">
        <v>73.0</v>
      </c>
    </row>
    <row r="929">
      <c r="A929" s="8" t="s">
        <v>2066</v>
      </c>
      <c r="B929" s="8" t="s">
        <v>3106</v>
      </c>
      <c r="C929" s="8" t="s">
        <v>24</v>
      </c>
      <c r="D929" s="8" t="s">
        <v>6419</v>
      </c>
      <c r="E929" s="8">
        <v>63.0</v>
      </c>
    </row>
    <row r="930">
      <c r="A930" s="8" t="s">
        <v>2828</v>
      </c>
      <c r="B930" s="8" t="s">
        <v>1322</v>
      </c>
      <c r="C930" s="8" t="s">
        <v>149</v>
      </c>
      <c r="D930" s="8" t="s">
        <v>6424</v>
      </c>
      <c r="E930" s="8">
        <v>70.0</v>
      </c>
    </row>
    <row r="931">
      <c r="A931" s="8" t="s">
        <v>2965</v>
      </c>
      <c r="B931" s="8" t="s">
        <v>2964</v>
      </c>
      <c r="C931" s="8" t="s">
        <v>122</v>
      </c>
      <c r="D931" s="8" t="s">
        <v>6420</v>
      </c>
      <c r="E931" s="8">
        <v>78.0</v>
      </c>
    </row>
    <row r="932">
      <c r="A932" s="8" t="s">
        <v>934</v>
      </c>
      <c r="B932" s="8" t="s">
        <v>1550</v>
      </c>
      <c r="C932" s="8" t="s">
        <v>186</v>
      </c>
      <c r="D932" s="8" t="s">
        <v>6417</v>
      </c>
      <c r="E932" s="8">
        <v>62.0</v>
      </c>
    </row>
    <row r="933">
      <c r="A933" s="8" t="s">
        <v>2949</v>
      </c>
      <c r="B933" s="8" t="s">
        <v>402</v>
      </c>
      <c r="C933" s="8" t="s">
        <v>93</v>
      </c>
      <c r="D933" s="8" t="s">
        <v>6419</v>
      </c>
      <c r="E933" s="8">
        <v>66.0</v>
      </c>
    </row>
    <row r="934">
      <c r="A934" s="8" t="s">
        <v>1467</v>
      </c>
      <c r="B934" s="8" t="s">
        <v>1491</v>
      </c>
      <c r="C934" s="8" t="s">
        <v>192</v>
      </c>
      <c r="D934" s="8" t="s">
        <v>6427</v>
      </c>
      <c r="E934" s="8">
        <v>72.0</v>
      </c>
    </row>
    <row r="935">
      <c r="A935" s="8" t="s">
        <v>377</v>
      </c>
      <c r="B935" s="8" t="s">
        <v>1727</v>
      </c>
      <c r="C935" s="8" t="s">
        <v>12</v>
      </c>
      <c r="D935" s="8" t="s">
        <v>6441</v>
      </c>
      <c r="E935" s="8">
        <v>72.0</v>
      </c>
    </row>
    <row r="936">
      <c r="A936" s="8" t="s">
        <v>377</v>
      </c>
      <c r="B936" s="8" t="s">
        <v>99</v>
      </c>
      <c r="C936" s="8" t="s">
        <v>80</v>
      </c>
      <c r="D936" s="8" t="s">
        <v>6429</v>
      </c>
      <c r="E936" s="8">
        <v>93.0</v>
      </c>
    </row>
    <row r="937">
      <c r="A937" s="8" t="s">
        <v>2473</v>
      </c>
      <c r="B937" s="8" t="s">
        <v>888</v>
      </c>
      <c r="C937" s="8" t="s">
        <v>65</v>
      </c>
      <c r="D937" s="8" t="s">
        <v>6423</v>
      </c>
      <c r="E937" s="8">
        <v>73.0</v>
      </c>
    </row>
    <row r="938">
      <c r="A938" s="8" t="s">
        <v>1229</v>
      </c>
      <c r="B938" s="8" t="s">
        <v>1228</v>
      </c>
      <c r="C938" s="8" t="s">
        <v>186</v>
      </c>
      <c r="D938" s="8" t="s">
        <v>6436</v>
      </c>
      <c r="E938" s="8">
        <v>59.0</v>
      </c>
    </row>
    <row r="939">
      <c r="A939" s="8" t="s">
        <v>1954</v>
      </c>
      <c r="B939" s="8" t="s">
        <v>1953</v>
      </c>
      <c r="C939" s="8" t="s">
        <v>138</v>
      </c>
      <c r="D939" s="8" t="s">
        <v>6428</v>
      </c>
      <c r="E939" s="8">
        <v>69.0</v>
      </c>
    </row>
    <row r="940">
      <c r="A940" s="8" t="s">
        <v>4827</v>
      </c>
      <c r="B940" s="8" t="s">
        <v>2879</v>
      </c>
      <c r="C940" s="8" t="s">
        <v>53</v>
      </c>
      <c r="D940" s="8" t="s">
        <v>6418</v>
      </c>
      <c r="E940" s="8">
        <v>73.0</v>
      </c>
    </row>
    <row r="941">
      <c r="A941" s="8" t="s">
        <v>2839</v>
      </c>
      <c r="B941" s="8" t="s">
        <v>3006</v>
      </c>
      <c r="C941" s="8" t="s">
        <v>186</v>
      </c>
      <c r="D941" s="8" t="s">
        <v>6413</v>
      </c>
      <c r="E941" s="8">
        <v>66.0</v>
      </c>
    </row>
    <row r="942">
      <c r="A942" s="8" t="s">
        <v>637</v>
      </c>
      <c r="B942" s="8" t="s">
        <v>636</v>
      </c>
      <c r="C942" s="8" t="s">
        <v>138</v>
      </c>
      <c r="D942" s="8" t="s">
        <v>6428</v>
      </c>
      <c r="E942" s="8">
        <v>76.0</v>
      </c>
    </row>
    <row r="943">
      <c r="A943" s="8" t="s">
        <v>637</v>
      </c>
      <c r="B943" s="8" t="s">
        <v>2885</v>
      </c>
      <c r="C943" s="8" t="s">
        <v>24</v>
      </c>
      <c r="D943" s="8" t="s">
        <v>6412</v>
      </c>
      <c r="E943" s="8">
        <v>61.0</v>
      </c>
    </row>
    <row r="944">
      <c r="A944" s="8" t="s">
        <v>1333</v>
      </c>
      <c r="B944" s="8" t="s">
        <v>1332</v>
      </c>
      <c r="C944" s="8" t="s">
        <v>93</v>
      </c>
      <c r="D944" s="8" t="s">
        <v>6421</v>
      </c>
      <c r="E944" s="8">
        <v>62.0</v>
      </c>
    </row>
    <row r="945">
      <c r="A945" s="8" t="s">
        <v>380</v>
      </c>
      <c r="B945" s="8" t="s">
        <v>644</v>
      </c>
      <c r="C945" s="8" t="s">
        <v>53</v>
      </c>
      <c r="D945" s="8" t="s">
        <v>6416</v>
      </c>
      <c r="E945" s="8">
        <v>60.0</v>
      </c>
    </row>
    <row r="946">
      <c r="A946" s="8" t="s">
        <v>1200</v>
      </c>
      <c r="B946" s="8" t="s">
        <v>451</v>
      </c>
      <c r="C946" s="8" t="s">
        <v>93</v>
      </c>
      <c r="D946" s="8" t="s">
        <v>6443</v>
      </c>
      <c r="E946" s="8">
        <v>69.0</v>
      </c>
    </row>
    <row r="947">
      <c r="A947" s="8" t="s">
        <v>702</v>
      </c>
      <c r="B947" s="8" t="s">
        <v>701</v>
      </c>
      <c r="C947" s="8" t="s">
        <v>141</v>
      </c>
      <c r="D947" s="8" t="s">
        <v>6427</v>
      </c>
      <c r="E947" s="8">
        <v>69.0</v>
      </c>
    </row>
    <row r="948">
      <c r="A948" s="8" t="s">
        <v>1380</v>
      </c>
      <c r="B948" s="8" t="s">
        <v>637</v>
      </c>
      <c r="C948" s="8" t="s">
        <v>24</v>
      </c>
      <c r="D948" s="8" t="s">
        <v>6432</v>
      </c>
      <c r="E948" s="8">
        <v>82.0</v>
      </c>
    </row>
    <row r="949">
      <c r="A949" s="8" t="s">
        <v>1312</v>
      </c>
      <c r="B949" s="8" t="s">
        <v>3426</v>
      </c>
      <c r="C949" s="8" t="s">
        <v>59</v>
      </c>
      <c r="D949" s="8" t="s">
        <v>6430</v>
      </c>
      <c r="E949" s="8">
        <v>61.0</v>
      </c>
    </row>
    <row r="950">
      <c r="A950" s="8" t="s">
        <v>1312</v>
      </c>
      <c r="B950" s="8" t="s">
        <v>1311</v>
      </c>
      <c r="C950" s="8" t="s">
        <v>149</v>
      </c>
      <c r="D950" s="8" t="s">
        <v>6438</v>
      </c>
      <c r="E950" s="8">
        <v>67.0</v>
      </c>
    </row>
    <row r="951">
      <c r="A951" s="8" t="s">
        <v>2716</v>
      </c>
      <c r="B951" s="8" t="s">
        <v>142</v>
      </c>
      <c r="C951" s="8" t="s">
        <v>192</v>
      </c>
      <c r="D951" s="8" t="s">
        <v>6443</v>
      </c>
      <c r="E951" s="8">
        <v>70.0</v>
      </c>
    </row>
    <row r="952">
      <c r="A952" s="8" t="s">
        <v>1555</v>
      </c>
      <c r="B952" s="8" t="s">
        <v>1554</v>
      </c>
      <c r="C952" s="8" t="s">
        <v>215</v>
      </c>
      <c r="D952" s="8" t="s">
        <v>6429</v>
      </c>
      <c r="E952" s="8">
        <v>65.0</v>
      </c>
    </row>
    <row r="953">
      <c r="A953" s="8" t="s">
        <v>3370</v>
      </c>
      <c r="B953" s="8" t="s">
        <v>3369</v>
      </c>
      <c r="C953" s="8" t="s">
        <v>24</v>
      </c>
      <c r="D953" s="8" t="s">
        <v>6419</v>
      </c>
      <c r="E953" s="8">
        <v>66.0</v>
      </c>
    </row>
    <row r="954">
      <c r="A954" s="8" t="s">
        <v>1611</v>
      </c>
      <c r="B954" s="8" t="s">
        <v>1610</v>
      </c>
      <c r="C954" s="8" t="s">
        <v>75</v>
      </c>
      <c r="D954" s="8" t="s">
        <v>6424</v>
      </c>
      <c r="E954" s="8">
        <v>69.0</v>
      </c>
    </row>
    <row r="955">
      <c r="A955" s="8" t="s">
        <v>1611</v>
      </c>
      <c r="B955" s="8" t="s">
        <v>1958</v>
      </c>
      <c r="C955" s="8" t="s">
        <v>122</v>
      </c>
      <c r="D955" s="8" t="s">
        <v>6432</v>
      </c>
      <c r="E955" s="8">
        <v>68.0</v>
      </c>
    </row>
    <row r="956">
      <c r="A956" s="8" t="s">
        <v>1611</v>
      </c>
      <c r="B956" s="8" t="s">
        <v>2664</v>
      </c>
      <c r="C956" s="8" t="s">
        <v>75</v>
      </c>
      <c r="D956" s="8" t="s">
        <v>6415</v>
      </c>
      <c r="E956" s="8">
        <v>68.0</v>
      </c>
    </row>
    <row r="957">
      <c r="A957" s="8" t="s">
        <v>948</v>
      </c>
      <c r="B957" s="8" t="s">
        <v>1895</v>
      </c>
      <c r="C957" s="8" t="s">
        <v>65</v>
      </c>
      <c r="D957" s="8" t="s">
        <v>6412</v>
      </c>
      <c r="E957" s="8">
        <v>67.0</v>
      </c>
    </row>
    <row r="958">
      <c r="A958" s="8" t="s">
        <v>948</v>
      </c>
      <c r="B958" s="8" t="s">
        <v>389</v>
      </c>
      <c r="C958" s="8" t="s">
        <v>192</v>
      </c>
      <c r="D958" s="8" t="s">
        <v>6414</v>
      </c>
      <c r="E958" s="8">
        <v>60.0</v>
      </c>
    </row>
    <row r="959">
      <c r="A959" s="8" t="s">
        <v>948</v>
      </c>
      <c r="B959" s="8" t="s">
        <v>683</v>
      </c>
      <c r="C959" s="8" t="s">
        <v>65</v>
      </c>
      <c r="D959" s="8" t="s">
        <v>6415</v>
      </c>
      <c r="E959" s="8">
        <v>67.0</v>
      </c>
    </row>
    <row r="960">
      <c r="A960" s="8" t="s">
        <v>948</v>
      </c>
      <c r="B960" s="8" t="s">
        <v>2677</v>
      </c>
      <c r="C960" s="8" t="s">
        <v>149</v>
      </c>
      <c r="D960" s="8" t="s">
        <v>6437</v>
      </c>
      <c r="E960" s="8">
        <v>67.0</v>
      </c>
    </row>
    <row r="961">
      <c r="A961" s="8" t="s">
        <v>948</v>
      </c>
      <c r="B961" s="8" t="s">
        <v>1137</v>
      </c>
      <c r="C961" s="8" t="s">
        <v>70</v>
      </c>
      <c r="D961" s="8" t="s">
        <v>6443</v>
      </c>
      <c r="E961" s="8">
        <v>82.0</v>
      </c>
    </row>
    <row r="962">
      <c r="A962" s="8" t="s">
        <v>948</v>
      </c>
      <c r="B962" s="8" t="s">
        <v>3191</v>
      </c>
      <c r="C962" s="8" t="s">
        <v>65</v>
      </c>
      <c r="D962" s="8" t="s">
        <v>6432</v>
      </c>
      <c r="E962" s="8">
        <v>61.0</v>
      </c>
    </row>
    <row r="963">
      <c r="A963" s="8" t="s">
        <v>722</v>
      </c>
      <c r="B963" s="8" t="s">
        <v>3509</v>
      </c>
      <c r="C963" s="8" t="s">
        <v>65</v>
      </c>
      <c r="D963" s="8" t="s">
        <v>6438</v>
      </c>
      <c r="E963" s="8">
        <v>60.0</v>
      </c>
    </row>
    <row r="964">
      <c r="A964" s="8" t="s">
        <v>6392</v>
      </c>
      <c r="B964" s="8" t="s">
        <v>813</v>
      </c>
      <c r="C964" s="8" t="s">
        <v>141</v>
      </c>
      <c r="D964" s="8" t="s">
        <v>6443</v>
      </c>
      <c r="E964" s="8">
        <v>84.0</v>
      </c>
    </row>
    <row r="965">
      <c r="A965" s="8" t="s">
        <v>6393</v>
      </c>
      <c r="B965" s="8" t="s">
        <v>1258</v>
      </c>
      <c r="C965" s="8" t="s">
        <v>70</v>
      </c>
      <c r="D965" s="8" t="s">
        <v>6433</v>
      </c>
      <c r="E965" s="8">
        <v>63.0</v>
      </c>
    </row>
    <row r="966">
      <c r="A966" s="8" t="s">
        <v>6394</v>
      </c>
      <c r="B966" s="8" t="s">
        <v>220</v>
      </c>
      <c r="C966" s="8" t="s">
        <v>65</v>
      </c>
      <c r="D966" s="8" t="s">
        <v>6419</v>
      </c>
      <c r="E966" s="8">
        <v>73.0</v>
      </c>
    </row>
    <row r="967">
      <c r="A967" s="8" t="s">
        <v>6394</v>
      </c>
      <c r="B967" s="8" t="s">
        <v>448</v>
      </c>
      <c r="C967" s="8" t="s">
        <v>215</v>
      </c>
      <c r="D967" s="8" t="s">
        <v>6434</v>
      </c>
      <c r="E967" s="8">
        <v>98.0</v>
      </c>
    </row>
    <row r="968">
      <c r="A968" s="8" t="s">
        <v>6394</v>
      </c>
      <c r="B968" s="8" t="s">
        <v>830</v>
      </c>
      <c r="C968" s="8" t="s">
        <v>192</v>
      </c>
      <c r="D968" s="8" t="s">
        <v>6426</v>
      </c>
      <c r="E968" s="8">
        <v>81.0</v>
      </c>
    </row>
    <row r="969">
      <c r="A969" s="8" t="s">
        <v>6394</v>
      </c>
      <c r="B969" s="8" t="s">
        <v>2763</v>
      </c>
      <c r="C969" s="8" t="s">
        <v>141</v>
      </c>
      <c r="D969" s="8" t="s">
        <v>6417</v>
      </c>
      <c r="E969" s="8">
        <v>66.0</v>
      </c>
    </row>
    <row r="970">
      <c r="A970" s="8" t="s">
        <v>6394</v>
      </c>
      <c r="B970" s="8" t="s">
        <v>158</v>
      </c>
      <c r="C970" s="8" t="s">
        <v>24</v>
      </c>
      <c r="D970" s="8" t="s">
        <v>6441</v>
      </c>
      <c r="E970" s="8">
        <v>44.0</v>
      </c>
    </row>
    <row r="971">
      <c r="A971" s="8" t="s">
        <v>6395</v>
      </c>
      <c r="B971" s="8" t="s">
        <v>439</v>
      </c>
      <c r="C971" s="8" t="s">
        <v>75</v>
      </c>
      <c r="D971" s="8" t="s">
        <v>6426</v>
      </c>
      <c r="E971" s="8">
        <v>77.0</v>
      </c>
    </row>
    <row r="972">
      <c r="A972" s="8" t="s">
        <v>6449</v>
      </c>
      <c r="B972" s="8" t="s">
        <v>3090</v>
      </c>
      <c r="C972" s="8" t="s">
        <v>59</v>
      </c>
      <c r="D972" s="8" t="s">
        <v>6425</v>
      </c>
      <c r="E972" s="8">
        <v>73.0</v>
      </c>
    </row>
    <row r="973">
      <c r="A973" s="8" t="s">
        <v>4867</v>
      </c>
      <c r="B973" s="8" t="s">
        <v>260</v>
      </c>
      <c r="C973" s="8" t="s">
        <v>149</v>
      </c>
      <c r="D973" s="8" t="s">
        <v>6415</v>
      </c>
      <c r="E973" s="8">
        <v>78.0</v>
      </c>
    </row>
    <row r="974">
      <c r="A974" s="8" t="s">
        <v>429</v>
      </c>
      <c r="B974" s="8" t="s">
        <v>428</v>
      </c>
      <c r="C974" s="8" t="s">
        <v>53</v>
      </c>
      <c r="D974" s="8" t="s">
        <v>6428</v>
      </c>
      <c r="E974" s="8">
        <v>79.0</v>
      </c>
    </row>
    <row r="975">
      <c r="A975" s="8" t="s">
        <v>3401</v>
      </c>
      <c r="B975" s="8" t="s">
        <v>1579</v>
      </c>
      <c r="C975" s="8" t="s">
        <v>93</v>
      </c>
      <c r="D975" s="8" t="s">
        <v>6429</v>
      </c>
      <c r="E975" s="8">
        <v>65.0</v>
      </c>
    </row>
    <row r="976">
      <c r="A976" s="8" t="s">
        <v>2214</v>
      </c>
      <c r="B976" s="8" t="s">
        <v>2213</v>
      </c>
      <c r="C976" s="8" t="s">
        <v>192</v>
      </c>
      <c r="D976" s="8" t="s">
        <v>6443</v>
      </c>
      <c r="E976" s="8">
        <v>76.0</v>
      </c>
    </row>
    <row r="977">
      <c r="A977" s="8" t="s">
        <v>2425</v>
      </c>
      <c r="B977" s="8" t="s">
        <v>2656</v>
      </c>
      <c r="C977" s="8" t="s">
        <v>24</v>
      </c>
      <c r="D977" s="8" t="s">
        <v>6423</v>
      </c>
      <c r="E977" s="8">
        <v>75.0</v>
      </c>
    </row>
    <row r="978">
      <c r="A978" s="8" t="s">
        <v>2425</v>
      </c>
      <c r="B978" s="8" t="s">
        <v>3175</v>
      </c>
      <c r="C978" s="8" t="s">
        <v>65</v>
      </c>
      <c r="D978" s="8" t="s">
        <v>6420</v>
      </c>
      <c r="E978" s="8">
        <v>64.0</v>
      </c>
    </row>
    <row r="979">
      <c r="A979" s="8" t="s">
        <v>360</v>
      </c>
      <c r="B979" s="8" t="s">
        <v>359</v>
      </c>
      <c r="C979" s="8" t="s">
        <v>215</v>
      </c>
      <c r="D979" s="8" t="s">
        <v>6431</v>
      </c>
      <c r="E979" s="8">
        <v>69.0</v>
      </c>
    </row>
    <row r="980">
      <c r="A980" s="8" t="s">
        <v>360</v>
      </c>
      <c r="B980" s="8" t="s">
        <v>3094</v>
      </c>
      <c r="C980" s="8" t="s">
        <v>192</v>
      </c>
      <c r="D980" s="8" t="s">
        <v>6429</v>
      </c>
      <c r="E980" s="8">
        <v>63.0</v>
      </c>
    </row>
    <row r="981">
      <c r="A981" s="8" t="s">
        <v>360</v>
      </c>
      <c r="B981" s="8" t="s">
        <v>509</v>
      </c>
      <c r="C981" s="8" t="s">
        <v>24</v>
      </c>
      <c r="D981" s="8" t="s">
        <v>6428</v>
      </c>
      <c r="E981" s="8">
        <v>79.0</v>
      </c>
    </row>
    <row r="982">
      <c r="A982" s="8" t="s">
        <v>360</v>
      </c>
      <c r="B982" s="8" t="s">
        <v>460</v>
      </c>
      <c r="C982" s="8" t="s">
        <v>141</v>
      </c>
      <c r="D982" s="8" t="s">
        <v>6418</v>
      </c>
      <c r="E982" s="8">
        <v>59.0</v>
      </c>
    </row>
    <row r="983">
      <c r="A983" s="8" t="s">
        <v>360</v>
      </c>
      <c r="B983" s="8" t="s">
        <v>1410</v>
      </c>
      <c r="C983" s="8" t="s">
        <v>149</v>
      </c>
      <c r="D983" s="8" t="s">
        <v>6423</v>
      </c>
      <c r="E983" s="8">
        <v>86.0</v>
      </c>
    </row>
    <row r="984">
      <c r="A984" s="8" t="s">
        <v>360</v>
      </c>
      <c r="B984" s="8" t="s">
        <v>2944</v>
      </c>
      <c r="C984" s="8" t="s">
        <v>75</v>
      </c>
      <c r="D984" s="8" t="s">
        <v>6428</v>
      </c>
      <c r="E984" s="8">
        <v>82.0</v>
      </c>
    </row>
    <row r="985">
      <c r="A985" s="8" t="s">
        <v>1103</v>
      </c>
      <c r="B985" s="8" t="s">
        <v>1102</v>
      </c>
      <c r="C985" s="8" t="s">
        <v>16</v>
      </c>
      <c r="D985" s="8" t="s">
        <v>6436</v>
      </c>
      <c r="E985" s="8">
        <v>72.0</v>
      </c>
    </row>
    <row r="986">
      <c r="A986" s="8" t="s">
        <v>3439</v>
      </c>
      <c r="B986" s="8" t="s">
        <v>99</v>
      </c>
      <c r="C986" s="8" t="s">
        <v>138</v>
      </c>
      <c r="D986" s="8" t="s">
        <v>6426</v>
      </c>
      <c r="E986" s="8">
        <v>72.0</v>
      </c>
    </row>
    <row r="987">
      <c r="A987" s="8" t="s">
        <v>3024</v>
      </c>
      <c r="B987" s="8" t="s">
        <v>97</v>
      </c>
      <c r="C987" s="8" t="s">
        <v>70</v>
      </c>
      <c r="D987" s="8" t="s">
        <v>6426</v>
      </c>
      <c r="E987" s="8">
        <v>78.0</v>
      </c>
    </row>
    <row r="988">
      <c r="A988" s="8" t="s">
        <v>3321</v>
      </c>
      <c r="B988" s="8" t="s">
        <v>389</v>
      </c>
      <c r="C988" s="8" t="s">
        <v>80</v>
      </c>
      <c r="D988" s="8" t="s">
        <v>6425</v>
      </c>
      <c r="E988" s="8">
        <v>58.0</v>
      </c>
    </row>
    <row r="989">
      <c r="A989" s="8" t="s">
        <v>1124</v>
      </c>
      <c r="B989" s="8" t="s">
        <v>1123</v>
      </c>
      <c r="C989" s="8" t="s">
        <v>53</v>
      </c>
      <c r="D989" s="8" t="s">
        <v>6434</v>
      </c>
      <c r="E989" s="8">
        <v>86.0</v>
      </c>
    </row>
    <row r="990">
      <c r="A990" s="8" t="s">
        <v>1630</v>
      </c>
      <c r="B990" s="8" t="s">
        <v>1629</v>
      </c>
      <c r="C990" s="8" t="s">
        <v>65</v>
      </c>
      <c r="D990" s="8" t="s">
        <v>6434</v>
      </c>
      <c r="E990" s="8">
        <v>73.0</v>
      </c>
    </row>
    <row r="991">
      <c r="A991" s="8" t="s">
        <v>3411</v>
      </c>
      <c r="B991" s="8" t="s">
        <v>1012</v>
      </c>
      <c r="C991" s="8" t="s">
        <v>149</v>
      </c>
      <c r="D991" s="8" t="s">
        <v>6437</v>
      </c>
      <c r="E991" s="8">
        <v>73.0</v>
      </c>
    </row>
    <row r="992">
      <c r="A992" s="8" t="s">
        <v>458</v>
      </c>
      <c r="B992" s="8" t="s">
        <v>457</v>
      </c>
      <c r="C992" s="8" t="s">
        <v>192</v>
      </c>
      <c r="D992" s="8" t="s">
        <v>6432</v>
      </c>
      <c r="E992" s="8">
        <v>83.0</v>
      </c>
    </row>
    <row r="993">
      <c r="A993" s="8" t="s">
        <v>2786</v>
      </c>
      <c r="B993" s="8" t="s">
        <v>1164</v>
      </c>
      <c r="C993" s="8" t="s">
        <v>132</v>
      </c>
      <c r="D993" s="8" t="s">
        <v>6421</v>
      </c>
      <c r="E993" s="8">
        <v>76.0</v>
      </c>
    </row>
    <row r="994">
      <c r="A994" s="8" t="s">
        <v>299</v>
      </c>
      <c r="B994" s="8" t="s">
        <v>97</v>
      </c>
      <c r="C994" s="8" t="s">
        <v>46</v>
      </c>
      <c r="D994" s="8" t="s">
        <v>6439</v>
      </c>
      <c r="E994" s="8">
        <v>65.0</v>
      </c>
    </row>
    <row r="995">
      <c r="A995" s="8" t="s">
        <v>299</v>
      </c>
      <c r="B995" s="8" t="s">
        <v>1728</v>
      </c>
      <c r="C995" s="8" t="s">
        <v>24</v>
      </c>
      <c r="D995" s="8" t="s">
        <v>6412</v>
      </c>
      <c r="E995" s="8">
        <v>74.0</v>
      </c>
    </row>
    <row r="996">
      <c r="A996" s="8" t="s">
        <v>299</v>
      </c>
      <c r="B996" s="8" t="s">
        <v>681</v>
      </c>
      <c r="C996" s="8" t="s">
        <v>46</v>
      </c>
      <c r="D996" s="8" t="s">
        <v>6417</v>
      </c>
      <c r="E996" s="8">
        <v>70.0</v>
      </c>
    </row>
    <row r="997">
      <c r="A997" s="8" t="s">
        <v>299</v>
      </c>
      <c r="B997" s="8" t="s">
        <v>67</v>
      </c>
      <c r="C997" s="8" t="s">
        <v>186</v>
      </c>
      <c r="D997" s="8" t="s">
        <v>6421</v>
      </c>
      <c r="E997" s="8">
        <v>76.0</v>
      </c>
    </row>
    <row r="998">
      <c r="A998" s="8" t="s">
        <v>299</v>
      </c>
      <c r="B998" s="8" t="s">
        <v>897</v>
      </c>
      <c r="C998" s="8" t="s">
        <v>12</v>
      </c>
      <c r="D998" s="8" t="s">
        <v>6417</v>
      </c>
      <c r="E998" s="8">
        <v>75.0</v>
      </c>
    </row>
    <row r="999">
      <c r="A999" s="8" t="s">
        <v>299</v>
      </c>
      <c r="B999" s="8" t="s">
        <v>1436</v>
      </c>
      <c r="C999" s="8" t="s">
        <v>141</v>
      </c>
      <c r="D999" s="8" t="s">
        <v>6414</v>
      </c>
      <c r="E999" s="8">
        <v>61.0</v>
      </c>
    </row>
    <row r="1000">
      <c r="A1000" s="8" t="s">
        <v>299</v>
      </c>
      <c r="B1000" s="8" t="s">
        <v>2890</v>
      </c>
      <c r="C1000" s="8" t="s">
        <v>65</v>
      </c>
      <c r="D1000" s="8" t="s">
        <v>6418</v>
      </c>
      <c r="E1000" s="8">
        <v>61.0</v>
      </c>
    </row>
    <row r="1001">
      <c r="A1001" s="8" t="s">
        <v>299</v>
      </c>
      <c r="B1001" s="8" t="s">
        <v>298</v>
      </c>
      <c r="C1001" s="8" t="s">
        <v>24</v>
      </c>
      <c r="D1001" s="8" t="s">
        <v>6414</v>
      </c>
      <c r="E1001" s="8">
        <v>44.0</v>
      </c>
    </row>
    <row r="1002">
      <c r="A1002" s="8" t="s">
        <v>299</v>
      </c>
      <c r="B1002" s="8" t="s">
        <v>1304</v>
      </c>
      <c r="C1002" s="8" t="s">
        <v>16</v>
      </c>
      <c r="D1002" s="8" t="s">
        <v>6420</v>
      </c>
      <c r="E1002" s="8">
        <v>63.0</v>
      </c>
    </row>
    <row r="1003">
      <c r="A1003" s="8" t="s">
        <v>299</v>
      </c>
      <c r="B1003" s="8" t="s">
        <v>1099</v>
      </c>
      <c r="C1003" s="8" t="s">
        <v>141</v>
      </c>
      <c r="D1003" s="8" t="s">
        <v>6415</v>
      </c>
      <c r="E1003" s="8">
        <v>60.0</v>
      </c>
    </row>
    <row r="1004">
      <c r="A1004" s="8" t="s">
        <v>299</v>
      </c>
      <c r="B1004" s="8" t="s">
        <v>164</v>
      </c>
      <c r="C1004" s="8" t="s">
        <v>46</v>
      </c>
      <c r="D1004" s="8" t="s">
        <v>6431</v>
      </c>
      <c r="E1004" s="8">
        <v>77.0</v>
      </c>
    </row>
    <row r="1005">
      <c r="A1005" s="8" t="s">
        <v>1176</v>
      </c>
      <c r="B1005" s="8" t="s">
        <v>700</v>
      </c>
      <c r="C1005" s="8" t="s">
        <v>65</v>
      </c>
      <c r="D1005" s="8" t="s">
        <v>6415</v>
      </c>
      <c r="E1005" s="8">
        <v>67.0</v>
      </c>
    </row>
    <row r="1006">
      <c r="A1006" s="8" t="s">
        <v>1488</v>
      </c>
      <c r="B1006" s="8" t="s">
        <v>389</v>
      </c>
      <c r="C1006" s="8" t="s">
        <v>122</v>
      </c>
      <c r="D1006" s="8" t="s">
        <v>6429</v>
      </c>
      <c r="E1006" s="8">
        <v>69.0</v>
      </c>
    </row>
    <row r="1007">
      <c r="A1007" s="8" t="s">
        <v>1128</v>
      </c>
      <c r="B1007" s="8" t="s">
        <v>2960</v>
      </c>
      <c r="C1007" s="8" t="s">
        <v>93</v>
      </c>
      <c r="D1007" s="8" t="s">
        <v>6413</v>
      </c>
      <c r="E1007" s="8">
        <v>67.0</v>
      </c>
    </row>
    <row r="1008">
      <c r="A1008" s="8" t="s">
        <v>1128</v>
      </c>
      <c r="B1008" s="8" t="s">
        <v>498</v>
      </c>
      <c r="C1008" s="8" t="s">
        <v>93</v>
      </c>
      <c r="D1008" s="8" t="s">
        <v>6431</v>
      </c>
      <c r="E1008" s="8">
        <v>79.0</v>
      </c>
    </row>
    <row r="1009">
      <c r="A1009" s="8" t="s">
        <v>1128</v>
      </c>
      <c r="B1009" s="8" t="s">
        <v>6396</v>
      </c>
      <c r="C1009" s="8" t="s">
        <v>93</v>
      </c>
      <c r="D1009" s="8" t="s">
        <v>6413</v>
      </c>
      <c r="E1009" s="8">
        <v>86.0</v>
      </c>
    </row>
    <row r="1010">
      <c r="A1010" s="8" t="s">
        <v>1128</v>
      </c>
      <c r="B1010" s="8" t="s">
        <v>1952</v>
      </c>
      <c r="C1010" s="8" t="s">
        <v>53</v>
      </c>
      <c r="D1010" s="8" t="s">
        <v>6420</v>
      </c>
      <c r="E1010" s="8">
        <v>67.0</v>
      </c>
    </row>
    <row r="1011">
      <c r="A1011" s="8" t="s">
        <v>1128</v>
      </c>
      <c r="B1011" s="8" t="s">
        <v>315</v>
      </c>
      <c r="C1011" s="8" t="s">
        <v>70</v>
      </c>
      <c r="D1011" s="8" t="s">
        <v>6438</v>
      </c>
      <c r="E1011" s="8">
        <v>77.0</v>
      </c>
    </row>
    <row r="1012">
      <c r="A1012" s="8" t="s">
        <v>1128</v>
      </c>
      <c r="B1012" s="8" t="s">
        <v>762</v>
      </c>
      <c r="C1012" s="8" t="s">
        <v>93</v>
      </c>
      <c r="D1012" s="8" t="s">
        <v>6424</v>
      </c>
      <c r="E1012" s="8">
        <v>70.0</v>
      </c>
    </row>
    <row r="1013">
      <c r="A1013" s="8" t="s">
        <v>2197</v>
      </c>
      <c r="B1013" s="8" t="s">
        <v>405</v>
      </c>
      <c r="C1013" s="8" t="s">
        <v>65</v>
      </c>
      <c r="D1013" s="8" t="s">
        <v>6440</v>
      </c>
      <c r="E1013" s="8">
        <v>69.0</v>
      </c>
    </row>
    <row r="1014">
      <c r="A1014" s="8" t="s">
        <v>2790</v>
      </c>
      <c r="B1014" s="8" t="s">
        <v>685</v>
      </c>
      <c r="C1014" s="8" t="s">
        <v>261</v>
      </c>
      <c r="D1014" s="8" t="s">
        <v>6423</v>
      </c>
      <c r="E1014" s="8">
        <v>78.0</v>
      </c>
    </row>
    <row r="1015">
      <c r="A1015" s="8" t="s">
        <v>2021</v>
      </c>
      <c r="B1015" s="8" t="s">
        <v>357</v>
      </c>
      <c r="C1015" s="8" t="s">
        <v>70</v>
      </c>
      <c r="D1015" s="8" t="s">
        <v>6412</v>
      </c>
      <c r="E1015" s="8">
        <v>84.0</v>
      </c>
    </row>
    <row r="1016">
      <c r="A1016" s="8" t="s">
        <v>2021</v>
      </c>
      <c r="B1016" s="8" t="s">
        <v>78</v>
      </c>
      <c r="C1016" s="8" t="s">
        <v>70</v>
      </c>
      <c r="D1016" s="8" t="s">
        <v>6421</v>
      </c>
      <c r="E1016" s="8">
        <v>72.0</v>
      </c>
    </row>
    <row r="1017">
      <c r="A1017" s="8" t="s">
        <v>2021</v>
      </c>
      <c r="B1017" s="8" t="s">
        <v>284</v>
      </c>
      <c r="C1017" s="8" t="s">
        <v>65</v>
      </c>
      <c r="D1017" s="8" t="s">
        <v>6432</v>
      </c>
      <c r="E1017" s="8">
        <v>61.0</v>
      </c>
    </row>
    <row r="1018">
      <c r="A1018" s="8" t="s">
        <v>1402</v>
      </c>
      <c r="B1018" s="8" t="s">
        <v>1682</v>
      </c>
      <c r="C1018" s="8" t="s">
        <v>93</v>
      </c>
      <c r="D1018" s="8" t="s">
        <v>6420</v>
      </c>
      <c r="E1018" s="8">
        <v>66.0</v>
      </c>
    </row>
    <row r="1019">
      <c r="A1019" s="8" t="s">
        <v>1402</v>
      </c>
      <c r="B1019" s="8" t="s">
        <v>248</v>
      </c>
      <c r="C1019" s="8" t="s">
        <v>80</v>
      </c>
      <c r="D1019" s="8" t="s">
        <v>6412</v>
      </c>
      <c r="E1019" s="8">
        <v>62.0</v>
      </c>
    </row>
    <row r="1020">
      <c r="A1020" s="8" t="s">
        <v>1402</v>
      </c>
      <c r="B1020" s="8" t="s">
        <v>835</v>
      </c>
      <c r="C1020" s="8" t="s">
        <v>192</v>
      </c>
      <c r="D1020" s="8" t="s">
        <v>6440</v>
      </c>
      <c r="E1020" s="8">
        <v>81.0</v>
      </c>
    </row>
    <row r="1021">
      <c r="A1021" s="8" t="s">
        <v>810</v>
      </c>
      <c r="B1021" s="8" t="s">
        <v>441</v>
      </c>
      <c r="C1021" s="8" t="s">
        <v>93</v>
      </c>
      <c r="D1021" s="8" t="s">
        <v>6443</v>
      </c>
      <c r="E1021" s="8">
        <v>81.0</v>
      </c>
    </row>
    <row r="1022">
      <c r="A1022" s="8" t="s">
        <v>1026</v>
      </c>
      <c r="B1022" s="8" t="s">
        <v>1025</v>
      </c>
      <c r="C1022" s="8" t="s">
        <v>192</v>
      </c>
      <c r="D1022" s="8" t="s">
        <v>6442</v>
      </c>
      <c r="E1022" s="8">
        <v>55.0</v>
      </c>
    </row>
    <row r="1023">
      <c r="A1023" s="8" t="s">
        <v>1670</v>
      </c>
      <c r="B1023" s="8" t="s">
        <v>1669</v>
      </c>
      <c r="C1023" s="8" t="s">
        <v>16</v>
      </c>
      <c r="D1023" s="8" t="s">
        <v>6426</v>
      </c>
      <c r="E1023" s="8">
        <v>81.0</v>
      </c>
    </row>
    <row r="1024">
      <c r="A1024" s="8" t="s">
        <v>260</v>
      </c>
      <c r="B1024" s="8" t="s">
        <v>452</v>
      </c>
      <c r="C1024" s="8" t="s">
        <v>24</v>
      </c>
      <c r="D1024" s="8" t="s">
        <v>6437</v>
      </c>
      <c r="E1024" s="8">
        <v>43.0</v>
      </c>
    </row>
    <row r="1025">
      <c r="A1025" s="8" t="s">
        <v>260</v>
      </c>
      <c r="B1025" s="8" t="s">
        <v>3296</v>
      </c>
      <c r="C1025" s="8" t="s">
        <v>24</v>
      </c>
      <c r="D1025" s="8" t="s">
        <v>6442</v>
      </c>
      <c r="E1025" s="8">
        <v>73.0</v>
      </c>
    </row>
    <row r="1026">
      <c r="A1026" s="8" t="s">
        <v>260</v>
      </c>
      <c r="B1026" s="8" t="s">
        <v>2228</v>
      </c>
      <c r="C1026" s="8" t="s">
        <v>192</v>
      </c>
      <c r="D1026" s="8" t="s">
        <v>6413</v>
      </c>
      <c r="E1026" s="8">
        <v>67.0</v>
      </c>
    </row>
    <row r="1027">
      <c r="A1027" s="8" t="s">
        <v>260</v>
      </c>
      <c r="B1027" s="8" t="s">
        <v>4923</v>
      </c>
      <c r="C1027" s="8" t="s">
        <v>24</v>
      </c>
      <c r="D1027" s="8" t="s">
        <v>6436</v>
      </c>
      <c r="E1027" s="8">
        <v>67.0</v>
      </c>
    </row>
    <row r="1028">
      <c r="A1028" s="8" t="s">
        <v>260</v>
      </c>
      <c r="B1028" s="8" t="s">
        <v>356</v>
      </c>
      <c r="C1028" s="8" t="s">
        <v>75</v>
      </c>
      <c r="D1028" s="8" t="s">
        <v>6440</v>
      </c>
      <c r="E1028" s="8">
        <v>82.0</v>
      </c>
    </row>
    <row r="1029">
      <c r="A1029" s="8" t="s">
        <v>260</v>
      </c>
      <c r="B1029" s="8" t="s">
        <v>944</v>
      </c>
      <c r="C1029" s="8" t="s">
        <v>149</v>
      </c>
      <c r="D1029" s="8" t="s">
        <v>6435</v>
      </c>
      <c r="E1029" s="8">
        <v>69.0</v>
      </c>
    </row>
    <row r="1030">
      <c r="A1030" s="8" t="s">
        <v>260</v>
      </c>
      <c r="B1030" s="8" t="s">
        <v>663</v>
      </c>
      <c r="C1030" s="8" t="s">
        <v>59</v>
      </c>
      <c r="D1030" s="8" t="s">
        <v>6438</v>
      </c>
      <c r="E1030" s="8">
        <v>59.0</v>
      </c>
    </row>
    <row r="1031">
      <c r="A1031" s="8" t="s">
        <v>260</v>
      </c>
      <c r="B1031" s="8" t="s">
        <v>1055</v>
      </c>
      <c r="C1031" s="8" t="s">
        <v>70</v>
      </c>
      <c r="D1031" s="8" t="s">
        <v>6436</v>
      </c>
      <c r="E1031" s="8">
        <v>81.0</v>
      </c>
    </row>
    <row r="1032">
      <c r="A1032" s="8" t="s">
        <v>260</v>
      </c>
      <c r="B1032" s="8" t="s">
        <v>1744</v>
      </c>
      <c r="C1032" s="8" t="s">
        <v>70</v>
      </c>
      <c r="D1032" s="8" t="s">
        <v>6439</v>
      </c>
      <c r="E1032" s="8">
        <v>71.0</v>
      </c>
    </row>
    <row r="1033">
      <c r="A1033" s="8" t="s">
        <v>260</v>
      </c>
      <c r="B1033" s="8" t="s">
        <v>1098</v>
      </c>
      <c r="C1033" s="8" t="s">
        <v>93</v>
      </c>
      <c r="D1033" s="8" t="s">
        <v>6441</v>
      </c>
      <c r="E1033" s="8">
        <v>81.0</v>
      </c>
    </row>
    <row r="1034">
      <c r="A1034" s="8" t="s">
        <v>260</v>
      </c>
      <c r="B1034" s="8" t="s">
        <v>1393</v>
      </c>
      <c r="C1034" s="8" t="s">
        <v>53</v>
      </c>
      <c r="D1034" s="8" t="s">
        <v>6443</v>
      </c>
      <c r="E1034" s="8">
        <v>60.0</v>
      </c>
    </row>
    <row r="1035">
      <c r="A1035" s="8" t="s">
        <v>260</v>
      </c>
      <c r="B1035" s="8" t="s">
        <v>377</v>
      </c>
      <c r="C1035" s="8" t="s">
        <v>59</v>
      </c>
      <c r="D1035" s="8" t="s">
        <v>6439</v>
      </c>
      <c r="E1035" s="8">
        <v>86.0</v>
      </c>
    </row>
    <row r="1036">
      <c r="A1036" s="8" t="s">
        <v>260</v>
      </c>
      <c r="B1036" s="8" t="s">
        <v>371</v>
      </c>
      <c r="C1036" s="8" t="s">
        <v>141</v>
      </c>
      <c r="D1036" s="8" t="s">
        <v>6436</v>
      </c>
      <c r="E1036" s="8">
        <v>63.0</v>
      </c>
    </row>
    <row r="1037">
      <c r="A1037" s="8" t="s">
        <v>260</v>
      </c>
      <c r="B1037" s="8" t="s">
        <v>3450</v>
      </c>
      <c r="C1037" s="8" t="s">
        <v>141</v>
      </c>
      <c r="D1037" s="8" t="s">
        <v>6426</v>
      </c>
      <c r="E1037" s="8">
        <v>71.0</v>
      </c>
    </row>
    <row r="1038">
      <c r="A1038" s="8" t="s">
        <v>260</v>
      </c>
      <c r="B1038" s="8" t="s">
        <v>259</v>
      </c>
      <c r="C1038" s="8" t="s">
        <v>261</v>
      </c>
      <c r="D1038" s="8" t="s">
        <v>6436</v>
      </c>
      <c r="E1038" s="8">
        <v>84.0</v>
      </c>
    </row>
    <row r="1039">
      <c r="A1039" s="8" t="s">
        <v>260</v>
      </c>
      <c r="B1039" s="8" t="s">
        <v>455</v>
      </c>
      <c r="C1039" s="8" t="s">
        <v>65</v>
      </c>
      <c r="D1039" s="8" t="s">
        <v>6443</v>
      </c>
      <c r="E1039" s="8">
        <v>64.0</v>
      </c>
    </row>
    <row r="1040">
      <c r="A1040" s="8" t="s">
        <v>499</v>
      </c>
      <c r="B1040" s="8" t="s">
        <v>760</v>
      </c>
      <c r="C1040" s="8" t="s">
        <v>122</v>
      </c>
      <c r="D1040" s="8" t="s">
        <v>6443</v>
      </c>
      <c r="E1040" s="8">
        <v>72.0</v>
      </c>
    </row>
    <row r="1041">
      <c r="A1041" s="8" t="s">
        <v>499</v>
      </c>
      <c r="B1041" s="8" t="s">
        <v>2740</v>
      </c>
      <c r="C1041" s="8" t="s">
        <v>53</v>
      </c>
      <c r="D1041" s="8" t="s">
        <v>6443</v>
      </c>
      <c r="E1041" s="8">
        <v>85.0</v>
      </c>
    </row>
    <row r="1042">
      <c r="A1042" s="8" t="s">
        <v>889</v>
      </c>
      <c r="B1042" s="8" t="s">
        <v>888</v>
      </c>
      <c r="C1042" s="8" t="s">
        <v>75</v>
      </c>
      <c r="D1042" s="8" t="s">
        <v>6436</v>
      </c>
      <c r="E1042" s="8">
        <v>65.0</v>
      </c>
    </row>
    <row r="1043">
      <c r="A1043" s="8" t="s">
        <v>1136</v>
      </c>
      <c r="B1043" s="8" t="s">
        <v>1135</v>
      </c>
      <c r="C1043" s="8" t="s">
        <v>65</v>
      </c>
      <c r="D1043" s="8" t="s">
        <v>6416</v>
      </c>
      <c r="E1043" s="8">
        <v>82.0</v>
      </c>
    </row>
    <row r="1044">
      <c r="A1044" s="8" t="s">
        <v>411</v>
      </c>
      <c r="B1044" s="8" t="s">
        <v>410</v>
      </c>
      <c r="C1044" s="8" t="s">
        <v>261</v>
      </c>
      <c r="D1044" s="8" t="s">
        <v>6438</v>
      </c>
      <c r="E1044" s="8">
        <v>72.0</v>
      </c>
    </row>
    <row r="1045">
      <c r="A1045" s="8" t="s">
        <v>1106</v>
      </c>
      <c r="B1045" s="8" t="s">
        <v>106</v>
      </c>
      <c r="C1045" s="8" t="s">
        <v>75</v>
      </c>
      <c r="D1045" s="8" t="s">
        <v>6414</v>
      </c>
      <c r="E1045" s="8">
        <v>69.0</v>
      </c>
    </row>
    <row r="1046">
      <c r="A1046" s="8" t="s">
        <v>388</v>
      </c>
      <c r="B1046" s="8" t="s">
        <v>282</v>
      </c>
      <c r="C1046" s="8" t="s">
        <v>93</v>
      </c>
      <c r="D1046" s="8" t="s">
        <v>6425</v>
      </c>
      <c r="E1046" s="8">
        <v>89.0</v>
      </c>
    </row>
    <row r="1047">
      <c r="A1047" s="8" t="s">
        <v>1040</v>
      </c>
      <c r="B1047" s="8" t="s">
        <v>1039</v>
      </c>
      <c r="C1047" s="8" t="s">
        <v>192</v>
      </c>
      <c r="D1047" s="8" t="s">
        <v>6422</v>
      </c>
      <c r="E1047" s="8">
        <v>72.0</v>
      </c>
    </row>
    <row r="1048">
      <c r="A1048" s="8" t="s">
        <v>196</v>
      </c>
      <c r="B1048" s="8" t="s">
        <v>3216</v>
      </c>
      <c r="C1048" s="8" t="s">
        <v>215</v>
      </c>
      <c r="D1048" s="8" t="s">
        <v>6412</v>
      </c>
      <c r="E1048" s="8">
        <v>71.0</v>
      </c>
    </row>
    <row r="1049">
      <c r="A1049" s="8" t="s">
        <v>196</v>
      </c>
      <c r="B1049" s="8" t="s">
        <v>195</v>
      </c>
      <c r="C1049" s="8" t="s">
        <v>24</v>
      </c>
      <c r="D1049" s="8" t="s">
        <v>6438</v>
      </c>
      <c r="E1049" s="8">
        <v>85.0</v>
      </c>
    </row>
    <row r="1050">
      <c r="A1050" s="8" t="s">
        <v>196</v>
      </c>
      <c r="B1050" s="8" t="s">
        <v>3152</v>
      </c>
      <c r="C1050" s="8" t="s">
        <v>65</v>
      </c>
      <c r="D1050" s="8" t="s">
        <v>6420</v>
      </c>
      <c r="E1050" s="8">
        <v>69.0</v>
      </c>
    </row>
    <row r="1051">
      <c r="A1051" s="8" t="s">
        <v>196</v>
      </c>
      <c r="B1051" s="8" t="s">
        <v>1809</v>
      </c>
      <c r="C1051" s="8" t="s">
        <v>16</v>
      </c>
      <c r="D1051" s="8" t="s">
        <v>6414</v>
      </c>
      <c r="E1051" s="8">
        <v>73.0</v>
      </c>
    </row>
    <row r="1052">
      <c r="A1052" s="8" t="s">
        <v>196</v>
      </c>
      <c r="B1052" s="8" t="s">
        <v>1270</v>
      </c>
      <c r="C1052" s="8" t="s">
        <v>53</v>
      </c>
      <c r="D1052" s="8" t="s">
        <v>6441</v>
      </c>
      <c r="E1052" s="8">
        <v>60.0</v>
      </c>
    </row>
    <row r="1053">
      <c r="A1053" s="8" t="s">
        <v>196</v>
      </c>
      <c r="B1053" s="8" t="s">
        <v>3111</v>
      </c>
      <c r="C1053" s="8" t="s">
        <v>149</v>
      </c>
      <c r="D1053" s="8" t="s">
        <v>6419</v>
      </c>
      <c r="E1053" s="8">
        <v>84.0</v>
      </c>
    </row>
    <row r="1054">
      <c r="A1054" s="8" t="s">
        <v>625</v>
      </c>
      <c r="B1054" s="8" t="s">
        <v>455</v>
      </c>
      <c r="C1054" s="8" t="s">
        <v>65</v>
      </c>
      <c r="D1054" s="8" t="s">
        <v>6429</v>
      </c>
      <c r="E1054" s="8">
        <v>73.0</v>
      </c>
    </row>
    <row r="1055">
      <c r="A1055" s="8" t="s">
        <v>481</v>
      </c>
      <c r="B1055" s="8" t="s">
        <v>106</v>
      </c>
      <c r="C1055" s="8" t="s">
        <v>65</v>
      </c>
      <c r="D1055" s="8" t="s">
        <v>6419</v>
      </c>
      <c r="E1055" s="8">
        <v>74.0</v>
      </c>
    </row>
    <row r="1056">
      <c r="A1056" s="8" t="s">
        <v>2080</v>
      </c>
      <c r="B1056" s="8" t="s">
        <v>61</v>
      </c>
      <c r="C1056" s="8" t="s">
        <v>186</v>
      </c>
      <c r="D1056" s="8" t="s">
        <v>6420</v>
      </c>
      <c r="E1056" s="8">
        <v>74.0</v>
      </c>
    </row>
    <row r="1057">
      <c r="A1057" s="8" t="s">
        <v>1588</v>
      </c>
      <c r="B1057" s="8" t="s">
        <v>223</v>
      </c>
      <c r="C1057" s="8" t="s">
        <v>122</v>
      </c>
      <c r="D1057" s="8" t="s">
        <v>6433</v>
      </c>
      <c r="E1057" s="8">
        <v>73.0</v>
      </c>
    </row>
    <row r="1058">
      <c r="A1058" s="8" t="s">
        <v>1668</v>
      </c>
      <c r="B1058" s="8" t="s">
        <v>3404</v>
      </c>
      <c r="C1058" s="8" t="s">
        <v>132</v>
      </c>
      <c r="D1058" s="8" t="s">
        <v>6435</v>
      </c>
      <c r="E1058" s="8">
        <v>64.0</v>
      </c>
    </row>
    <row r="1059">
      <c r="A1059" s="8" t="s">
        <v>1668</v>
      </c>
      <c r="B1059" s="8" t="s">
        <v>451</v>
      </c>
      <c r="C1059" s="8" t="s">
        <v>192</v>
      </c>
      <c r="D1059" s="8" t="s">
        <v>6413</v>
      </c>
      <c r="E1059" s="8">
        <v>62.0</v>
      </c>
    </row>
    <row r="1060">
      <c r="A1060" s="8" t="s">
        <v>2867</v>
      </c>
      <c r="B1060" s="8" t="s">
        <v>284</v>
      </c>
      <c r="C1060" s="8" t="s">
        <v>122</v>
      </c>
      <c r="D1060" s="8" t="s">
        <v>6425</v>
      </c>
      <c r="E1060" s="8">
        <v>64.0</v>
      </c>
    </row>
    <row r="1061">
      <c r="A1061" s="8" t="s">
        <v>1227</v>
      </c>
      <c r="B1061" s="8" t="s">
        <v>282</v>
      </c>
      <c r="C1061" s="8" t="s">
        <v>215</v>
      </c>
      <c r="D1061" s="8" t="s">
        <v>6437</v>
      </c>
      <c r="E1061" s="8">
        <v>68.0</v>
      </c>
    </row>
    <row r="1062">
      <c r="A1062" s="8" t="s">
        <v>1227</v>
      </c>
      <c r="B1062" s="8" t="s">
        <v>284</v>
      </c>
      <c r="C1062" s="8" t="s">
        <v>59</v>
      </c>
      <c r="D1062" s="8" t="s">
        <v>6419</v>
      </c>
      <c r="E1062" s="8">
        <v>76.0</v>
      </c>
    </row>
    <row r="1063">
      <c r="A1063" s="8" t="s">
        <v>1227</v>
      </c>
      <c r="B1063" s="8" t="s">
        <v>377</v>
      </c>
      <c r="C1063" s="8" t="s">
        <v>132</v>
      </c>
      <c r="D1063" s="8" t="s">
        <v>6426</v>
      </c>
      <c r="E1063" s="8">
        <v>66.0</v>
      </c>
    </row>
    <row r="1064">
      <c r="A1064" s="8" t="s">
        <v>1227</v>
      </c>
      <c r="B1064" s="8" t="s">
        <v>1226</v>
      </c>
      <c r="C1064" s="8" t="s">
        <v>65</v>
      </c>
      <c r="D1064" s="8" t="s">
        <v>6415</v>
      </c>
      <c r="E1064" s="8">
        <v>88.0</v>
      </c>
    </row>
    <row r="1065">
      <c r="A1065" s="8" t="s">
        <v>45</v>
      </c>
      <c r="B1065" s="8" t="s">
        <v>1419</v>
      </c>
      <c r="C1065" s="8" t="s">
        <v>24</v>
      </c>
      <c r="D1065" s="8" t="s">
        <v>6430</v>
      </c>
      <c r="E1065" s="8">
        <v>66.0</v>
      </c>
    </row>
    <row r="1066">
      <c r="A1066" s="8" t="s">
        <v>45</v>
      </c>
      <c r="B1066" s="8" t="s">
        <v>769</v>
      </c>
      <c r="C1066" s="8" t="s">
        <v>12</v>
      </c>
      <c r="D1066" s="8" t="s">
        <v>6413</v>
      </c>
      <c r="E1066" s="8">
        <v>78.0</v>
      </c>
    </row>
    <row r="1067">
      <c r="A1067" s="8" t="s">
        <v>45</v>
      </c>
      <c r="B1067" s="8" t="s">
        <v>820</v>
      </c>
      <c r="C1067" s="8" t="s">
        <v>93</v>
      </c>
      <c r="D1067" s="8" t="s">
        <v>6432</v>
      </c>
      <c r="E1067" s="8">
        <v>86.0</v>
      </c>
    </row>
    <row r="1068">
      <c r="A1068" s="8" t="s">
        <v>45</v>
      </c>
      <c r="B1068" s="8" t="s">
        <v>44</v>
      </c>
      <c r="C1068" s="8" t="s">
        <v>46</v>
      </c>
      <c r="D1068" s="8" t="s">
        <v>6424</v>
      </c>
      <c r="E1068" s="8">
        <v>87.0</v>
      </c>
    </row>
    <row r="1069">
      <c r="A1069" s="8" t="s">
        <v>45</v>
      </c>
      <c r="B1069" s="8" t="s">
        <v>290</v>
      </c>
      <c r="C1069" s="8" t="s">
        <v>141</v>
      </c>
      <c r="D1069" s="8" t="s">
        <v>6424</v>
      </c>
      <c r="E1069" s="8">
        <v>76.0</v>
      </c>
    </row>
    <row r="1070">
      <c r="A1070" s="8" t="s">
        <v>45</v>
      </c>
      <c r="B1070" s="8" t="s">
        <v>216</v>
      </c>
      <c r="C1070" s="8" t="s">
        <v>93</v>
      </c>
      <c r="D1070" s="8" t="s">
        <v>6443</v>
      </c>
      <c r="E1070" s="8">
        <v>81.0</v>
      </c>
    </row>
    <row r="1071">
      <c r="A1071" s="8" t="s">
        <v>45</v>
      </c>
      <c r="B1071" s="8" t="s">
        <v>1622</v>
      </c>
      <c r="C1071" s="8" t="s">
        <v>46</v>
      </c>
      <c r="D1071" s="8" t="s">
        <v>6421</v>
      </c>
      <c r="E1071" s="8">
        <v>69.0</v>
      </c>
    </row>
    <row r="1072">
      <c r="A1072" s="8" t="s">
        <v>45</v>
      </c>
      <c r="B1072" s="8" t="s">
        <v>414</v>
      </c>
      <c r="C1072" s="8" t="s">
        <v>138</v>
      </c>
      <c r="D1072" s="8" t="s">
        <v>6425</v>
      </c>
      <c r="E1072" s="8">
        <v>88.0</v>
      </c>
    </row>
    <row r="1073">
      <c r="A1073" s="8" t="s">
        <v>45</v>
      </c>
      <c r="B1073" s="8" t="s">
        <v>56</v>
      </c>
      <c r="C1073" s="8" t="s">
        <v>24</v>
      </c>
      <c r="D1073" s="8" t="s">
        <v>6442</v>
      </c>
      <c r="E1073" s="8">
        <v>90.0</v>
      </c>
    </row>
    <row r="1074">
      <c r="A1074" s="8" t="s">
        <v>1385</v>
      </c>
      <c r="B1074" s="8" t="s">
        <v>106</v>
      </c>
      <c r="C1074" s="8" t="s">
        <v>53</v>
      </c>
      <c r="D1074" s="8" t="s">
        <v>6432</v>
      </c>
      <c r="E1074" s="8">
        <v>80.0</v>
      </c>
    </row>
    <row r="1075">
      <c r="A1075" s="8" t="s">
        <v>1162</v>
      </c>
      <c r="B1075" s="8" t="s">
        <v>897</v>
      </c>
      <c r="C1075" s="8" t="s">
        <v>93</v>
      </c>
      <c r="D1075" s="8" t="s">
        <v>6426</v>
      </c>
      <c r="E1075" s="8">
        <v>68.0</v>
      </c>
    </row>
    <row r="1076">
      <c r="A1076" s="8" t="s">
        <v>1186</v>
      </c>
      <c r="B1076" s="8" t="s">
        <v>1185</v>
      </c>
      <c r="C1076" s="8" t="s">
        <v>122</v>
      </c>
      <c r="D1076" s="8" t="s">
        <v>6439</v>
      </c>
      <c r="E1076" s="8">
        <v>73.0</v>
      </c>
    </row>
    <row r="1077">
      <c r="A1077" s="8" t="s">
        <v>635</v>
      </c>
      <c r="B1077" s="8" t="s">
        <v>460</v>
      </c>
      <c r="C1077" s="8" t="s">
        <v>70</v>
      </c>
      <c r="D1077" s="8" t="s">
        <v>6435</v>
      </c>
      <c r="E1077" s="8">
        <v>72.0</v>
      </c>
    </row>
    <row r="1078">
      <c r="A1078" s="8" t="s">
        <v>2651</v>
      </c>
      <c r="B1078" s="8" t="s">
        <v>2650</v>
      </c>
      <c r="C1078" s="8" t="s">
        <v>70</v>
      </c>
      <c r="D1078" s="8" t="s">
        <v>6415</v>
      </c>
      <c r="E1078" s="8">
        <v>87.0</v>
      </c>
    </row>
    <row r="1079">
      <c r="A1079" s="8" t="s">
        <v>2651</v>
      </c>
      <c r="B1079" s="8" t="s">
        <v>3004</v>
      </c>
      <c r="C1079" s="8" t="s">
        <v>261</v>
      </c>
      <c r="D1079" s="8" t="s">
        <v>6434</v>
      </c>
      <c r="E1079" s="8">
        <v>81.0</v>
      </c>
    </row>
    <row r="1080">
      <c r="A1080" s="8" t="s">
        <v>2651</v>
      </c>
      <c r="B1080" s="8" t="s">
        <v>2704</v>
      </c>
      <c r="C1080" s="8" t="s">
        <v>122</v>
      </c>
      <c r="D1080" s="8" t="s">
        <v>6425</v>
      </c>
      <c r="E1080" s="8">
        <v>67.0</v>
      </c>
    </row>
    <row r="1081">
      <c r="A1081" s="8" t="s">
        <v>3306</v>
      </c>
      <c r="B1081" s="8" t="s">
        <v>1200</v>
      </c>
      <c r="C1081" s="8" t="s">
        <v>215</v>
      </c>
      <c r="D1081" s="8" t="s">
        <v>6427</v>
      </c>
      <c r="E1081" s="8">
        <v>76.0</v>
      </c>
    </row>
    <row r="1082">
      <c r="A1082" s="8" t="s">
        <v>1051</v>
      </c>
      <c r="B1082" s="8" t="s">
        <v>1050</v>
      </c>
      <c r="C1082" s="8" t="s">
        <v>192</v>
      </c>
      <c r="D1082" s="8" t="s">
        <v>6424</v>
      </c>
      <c r="E1082" s="8">
        <v>72.0</v>
      </c>
    </row>
    <row r="1083">
      <c r="A1083" s="8" t="s">
        <v>1971</v>
      </c>
      <c r="B1083" s="8" t="s">
        <v>99</v>
      </c>
      <c r="C1083" s="8" t="s">
        <v>186</v>
      </c>
      <c r="D1083" s="8" t="s">
        <v>6442</v>
      </c>
      <c r="E1083" s="8">
        <v>75.0</v>
      </c>
    </row>
    <row r="1084">
      <c r="A1084" s="8" t="s">
        <v>1722</v>
      </c>
      <c r="B1084" s="8" t="s">
        <v>106</v>
      </c>
      <c r="C1084" s="8" t="s">
        <v>186</v>
      </c>
      <c r="D1084" s="8" t="s">
        <v>6423</v>
      </c>
      <c r="E1084" s="8">
        <v>64.0</v>
      </c>
    </row>
    <row r="1085">
      <c r="A1085" s="8" t="s">
        <v>1495</v>
      </c>
      <c r="B1085" s="8" t="s">
        <v>557</v>
      </c>
      <c r="C1085" s="8" t="s">
        <v>192</v>
      </c>
      <c r="D1085" s="8" t="s">
        <v>6429</v>
      </c>
      <c r="E1085" s="8">
        <v>64.0</v>
      </c>
    </row>
    <row r="1086">
      <c r="A1086" s="8" t="s">
        <v>898</v>
      </c>
      <c r="B1086" s="8" t="s">
        <v>897</v>
      </c>
      <c r="C1086" s="8" t="s">
        <v>53</v>
      </c>
      <c r="D1086" s="8" t="s">
        <v>6421</v>
      </c>
      <c r="E1086" s="8">
        <v>69.0</v>
      </c>
    </row>
    <row r="1087">
      <c r="A1087" s="8" t="s">
        <v>712</v>
      </c>
      <c r="B1087" s="8" t="s">
        <v>1195</v>
      </c>
      <c r="C1087" s="8" t="s">
        <v>24</v>
      </c>
      <c r="D1087" s="8" t="s">
        <v>6412</v>
      </c>
      <c r="E1087" s="8">
        <v>74.0</v>
      </c>
    </row>
    <row r="1088">
      <c r="A1088" s="8" t="s">
        <v>712</v>
      </c>
      <c r="B1088" s="8" t="s">
        <v>460</v>
      </c>
      <c r="C1088" s="8" t="s">
        <v>132</v>
      </c>
      <c r="D1088" s="8" t="s">
        <v>6434</v>
      </c>
      <c r="E1088" s="8">
        <v>72.0</v>
      </c>
    </row>
    <row r="1089">
      <c r="A1089" s="8" t="s">
        <v>712</v>
      </c>
      <c r="B1089" s="8" t="s">
        <v>3219</v>
      </c>
      <c r="C1089" s="8" t="s">
        <v>24</v>
      </c>
      <c r="D1089" s="8" t="s">
        <v>6432</v>
      </c>
      <c r="E1089" s="8">
        <v>72.0</v>
      </c>
    </row>
    <row r="1090">
      <c r="A1090" s="8" t="s">
        <v>712</v>
      </c>
      <c r="B1090" s="8" t="s">
        <v>1157</v>
      </c>
      <c r="C1090" s="8" t="s">
        <v>16</v>
      </c>
      <c r="D1090" s="8" t="s">
        <v>6417</v>
      </c>
      <c r="E1090" s="8">
        <v>65.0</v>
      </c>
    </row>
    <row r="1091">
      <c r="A1091" s="8" t="s">
        <v>712</v>
      </c>
      <c r="B1091" s="8" t="s">
        <v>711</v>
      </c>
      <c r="C1091" s="8" t="s">
        <v>80</v>
      </c>
      <c r="D1091" s="8" t="s">
        <v>6442</v>
      </c>
      <c r="E1091" s="8">
        <v>75.0</v>
      </c>
    </row>
    <row r="1092">
      <c r="A1092" s="8" t="s">
        <v>712</v>
      </c>
      <c r="B1092" s="8" t="s">
        <v>835</v>
      </c>
      <c r="C1092" s="8" t="s">
        <v>75</v>
      </c>
      <c r="D1092" s="8" t="s">
        <v>6440</v>
      </c>
      <c r="E1092" s="8">
        <v>72.0</v>
      </c>
    </row>
    <row r="1093">
      <c r="A1093" s="8" t="s">
        <v>712</v>
      </c>
      <c r="B1093" s="8" t="s">
        <v>2861</v>
      </c>
      <c r="C1093" s="8" t="s">
        <v>65</v>
      </c>
      <c r="D1093" s="8" t="s">
        <v>6421</v>
      </c>
      <c r="E1093" s="8">
        <v>68.0</v>
      </c>
    </row>
    <row r="1094">
      <c r="A1094" s="8" t="s">
        <v>712</v>
      </c>
      <c r="B1094" s="8" t="s">
        <v>2907</v>
      </c>
      <c r="C1094" s="8" t="s">
        <v>38</v>
      </c>
      <c r="D1094" s="8" t="s">
        <v>6428</v>
      </c>
      <c r="E1094" s="8">
        <v>75.0</v>
      </c>
    </row>
    <row r="1095">
      <c r="A1095" s="8" t="s">
        <v>1404</v>
      </c>
      <c r="B1095" s="8" t="s">
        <v>1403</v>
      </c>
      <c r="C1095" s="8" t="s">
        <v>65</v>
      </c>
      <c r="D1095" s="8" t="s">
        <v>6437</v>
      </c>
      <c r="E1095" s="8">
        <v>68.0</v>
      </c>
    </row>
    <row r="1096">
      <c r="A1096" s="8" t="s">
        <v>3318</v>
      </c>
      <c r="B1096" s="8" t="s">
        <v>282</v>
      </c>
      <c r="C1096" s="8" t="s">
        <v>53</v>
      </c>
      <c r="D1096" s="8" t="s">
        <v>6438</v>
      </c>
      <c r="E1096" s="8">
        <v>71.0</v>
      </c>
    </row>
    <row r="1097">
      <c r="A1097" s="8" t="s">
        <v>1470</v>
      </c>
      <c r="B1097" s="8" t="s">
        <v>1187</v>
      </c>
      <c r="C1097" s="8" t="s">
        <v>75</v>
      </c>
      <c r="D1097" s="8" t="s">
        <v>6439</v>
      </c>
      <c r="E1097" s="8">
        <v>66.0</v>
      </c>
    </row>
    <row r="1098">
      <c r="A1098" s="8" t="s">
        <v>3506</v>
      </c>
      <c r="B1098" s="8" t="s">
        <v>3505</v>
      </c>
      <c r="C1098" s="8" t="s">
        <v>122</v>
      </c>
      <c r="D1098" s="8" t="s">
        <v>6430</v>
      </c>
      <c r="E1098" s="8">
        <v>70.0</v>
      </c>
    </row>
    <row r="1099">
      <c r="A1099" s="8" t="s">
        <v>1072</v>
      </c>
      <c r="B1099" s="8" t="s">
        <v>835</v>
      </c>
      <c r="C1099" s="8" t="s">
        <v>24</v>
      </c>
      <c r="D1099" s="8" t="s">
        <v>6425</v>
      </c>
      <c r="E1099" s="8">
        <v>66.0</v>
      </c>
    </row>
    <row r="1100">
      <c r="A1100" s="8" t="s">
        <v>798</v>
      </c>
      <c r="B1100" s="8" t="s">
        <v>797</v>
      </c>
      <c r="C1100" s="8" t="s">
        <v>149</v>
      </c>
      <c r="D1100" s="8" t="s">
        <v>6429</v>
      </c>
      <c r="E1100" s="8">
        <v>68.0</v>
      </c>
    </row>
    <row r="1101">
      <c r="A1101" s="8" t="s">
        <v>798</v>
      </c>
      <c r="B1101" s="8" t="s">
        <v>1076</v>
      </c>
      <c r="C1101" s="8" t="s">
        <v>59</v>
      </c>
      <c r="D1101" s="8" t="s">
        <v>6432</v>
      </c>
      <c r="E1101" s="8">
        <v>80.0</v>
      </c>
    </row>
    <row r="1102">
      <c r="A1102" s="8" t="s">
        <v>798</v>
      </c>
      <c r="B1102" s="8" t="s">
        <v>1510</v>
      </c>
      <c r="C1102" s="8" t="s">
        <v>122</v>
      </c>
      <c r="D1102" s="8" t="s">
        <v>6420</v>
      </c>
      <c r="E1102" s="8">
        <v>63.0</v>
      </c>
    </row>
    <row r="1103">
      <c r="A1103" s="8" t="s">
        <v>798</v>
      </c>
      <c r="B1103" s="8" t="s">
        <v>3000</v>
      </c>
      <c r="C1103" s="8" t="s">
        <v>132</v>
      </c>
      <c r="D1103" s="8" t="s">
        <v>6413</v>
      </c>
      <c r="E1103" s="8">
        <v>69.0</v>
      </c>
    </row>
    <row r="1104">
      <c r="A1104" s="8" t="s">
        <v>798</v>
      </c>
      <c r="B1104" s="8" t="s">
        <v>546</v>
      </c>
      <c r="C1104" s="8" t="s">
        <v>186</v>
      </c>
      <c r="D1104" s="8" t="s">
        <v>6428</v>
      </c>
      <c r="E1104" s="8">
        <v>66.0</v>
      </c>
    </row>
    <row r="1105">
      <c r="A1105" s="8" t="s">
        <v>822</v>
      </c>
      <c r="B1105" s="8" t="s">
        <v>2911</v>
      </c>
      <c r="C1105" s="8" t="s">
        <v>65</v>
      </c>
      <c r="D1105" s="8" t="s">
        <v>6435</v>
      </c>
      <c r="E1105" s="8">
        <v>83.0</v>
      </c>
    </row>
    <row r="1106">
      <c r="A1106" s="8" t="s">
        <v>822</v>
      </c>
      <c r="B1106" s="8" t="s">
        <v>3198</v>
      </c>
      <c r="C1106" s="8" t="s">
        <v>59</v>
      </c>
      <c r="D1106" s="8" t="s">
        <v>6441</v>
      </c>
      <c r="E1106" s="8">
        <v>64.0</v>
      </c>
    </row>
    <row r="1107">
      <c r="A1107" s="8" t="s">
        <v>822</v>
      </c>
      <c r="B1107" s="8" t="s">
        <v>90</v>
      </c>
      <c r="C1107" s="8" t="s">
        <v>93</v>
      </c>
      <c r="D1107" s="8" t="s">
        <v>6440</v>
      </c>
      <c r="E1107" s="8">
        <v>64.0</v>
      </c>
    </row>
    <row r="1108">
      <c r="A1108" s="8" t="s">
        <v>822</v>
      </c>
      <c r="B1108" s="8" t="s">
        <v>597</v>
      </c>
      <c r="C1108" s="8" t="s">
        <v>65</v>
      </c>
      <c r="D1108" s="8" t="s">
        <v>6419</v>
      </c>
      <c r="E1108" s="8">
        <v>67.0</v>
      </c>
    </row>
    <row r="1109">
      <c r="A1109" s="8" t="s">
        <v>822</v>
      </c>
      <c r="B1109" s="8" t="s">
        <v>963</v>
      </c>
      <c r="C1109" s="8" t="s">
        <v>70</v>
      </c>
      <c r="D1109" s="8" t="s">
        <v>6427</v>
      </c>
      <c r="E1109" s="8">
        <v>74.0</v>
      </c>
    </row>
    <row r="1110">
      <c r="A1110" s="8" t="s">
        <v>822</v>
      </c>
      <c r="B1110" s="8" t="s">
        <v>821</v>
      </c>
      <c r="C1110" s="8" t="s">
        <v>149</v>
      </c>
      <c r="D1110" s="8" t="s">
        <v>6428</v>
      </c>
      <c r="E1110" s="8">
        <v>64.0</v>
      </c>
    </row>
    <row r="1111">
      <c r="A1111" s="8" t="s">
        <v>822</v>
      </c>
      <c r="B1111" s="8" t="s">
        <v>486</v>
      </c>
      <c r="C1111" s="8" t="s">
        <v>65</v>
      </c>
      <c r="D1111" s="8" t="s">
        <v>6430</v>
      </c>
      <c r="E1111" s="8">
        <v>63.0</v>
      </c>
    </row>
    <row r="1112">
      <c r="A1112" s="8" t="s">
        <v>822</v>
      </c>
      <c r="B1112" s="8" t="s">
        <v>2190</v>
      </c>
      <c r="C1112" s="8" t="s">
        <v>70</v>
      </c>
      <c r="D1112" s="8" t="s">
        <v>6426</v>
      </c>
      <c r="E1112" s="8">
        <v>71.0</v>
      </c>
    </row>
    <row r="1113">
      <c r="A1113" s="8" t="s">
        <v>822</v>
      </c>
      <c r="B1113" s="8" t="s">
        <v>1623</v>
      </c>
      <c r="C1113" s="8" t="s">
        <v>24</v>
      </c>
      <c r="D1113" s="8" t="s">
        <v>6416</v>
      </c>
      <c r="E1113" s="8">
        <v>71.0</v>
      </c>
    </row>
    <row r="1114">
      <c r="A1114" s="8" t="s">
        <v>822</v>
      </c>
      <c r="B1114" s="8" t="s">
        <v>2697</v>
      </c>
      <c r="C1114" s="8" t="s">
        <v>93</v>
      </c>
      <c r="D1114" s="8" t="s">
        <v>6423</v>
      </c>
      <c r="E1114" s="8">
        <v>59.0</v>
      </c>
    </row>
    <row r="1115">
      <c r="A1115" s="8" t="s">
        <v>822</v>
      </c>
      <c r="B1115" s="8" t="s">
        <v>2876</v>
      </c>
      <c r="C1115" s="8" t="s">
        <v>65</v>
      </c>
      <c r="D1115" s="8" t="s">
        <v>6422</v>
      </c>
      <c r="E1115" s="8">
        <v>77.0</v>
      </c>
    </row>
    <row r="1116">
      <c r="A1116" s="8" t="s">
        <v>822</v>
      </c>
      <c r="B1116" s="8" t="s">
        <v>552</v>
      </c>
      <c r="C1116" s="8" t="s">
        <v>93</v>
      </c>
      <c r="D1116" s="8" t="s">
        <v>6433</v>
      </c>
      <c r="E1116" s="8">
        <v>76.0</v>
      </c>
    </row>
    <row r="1117">
      <c r="A1117" s="8" t="s">
        <v>822</v>
      </c>
      <c r="B1117" s="8" t="s">
        <v>3510</v>
      </c>
      <c r="C1117" s="8" t="s">
        <v>141</v>
      </c>
      <c r="D1117" s="8" t="s">
        <v>6422</v>
      </c>
      <c r="E1117" s="8">
        <v>82.0</v>
      </c>
    </row>
    <row r="1118">
      <c r="A1118" s="8" t="s">
        <v>822</v>
      </c>
      <c r="B1118" s="8" t="s">
        <v>537</v>
      </c>
      <c r="C1118" s="8" t="s">
        <v>70</v>
      </c>
      <c r="D1118" s="8" t="s">
        <v>6417</v>
      </c>
      <c r="E1118" s="8">
        <v>82.0</v>
      </c>
    </row>
    <row r="1119">
      <c r="A1119" s="8" t="s">
        <v>981</v>
      </c>
      <c r="B1119" s="8" t="s">
        <v>980</v>
      </c>
      <c r="C1119" s="8" t="s">
        <v>70</v>
      </c>
      <c r="D1119" s="8" t="s">
        <v>6429</v>
      </c>
      <c r="E1119" s="8">
        <v>80.0</v>
      </c>
    </row>
    <row r="1120">
      <c r="A1120" s="8" t="s">
        <v>558</v>
      </c>
      <c r="B1120" s="8" t="s">
        <v>2819</v>
      </c>
      <c r="C1120" s="8" t="s">
        <v>24</v>
      </c>
      <c r="D1120" s="8" t="s">
        <v>6419</v>
      </c>
      <c r="E1120" s="8">
        <v>77.0</v>
      </c>
    </row>
    <row r="1121">
      <c r="A1121" s="8" t="s">
        <v>558</v>
      </c>
      <c r="B1121" s="8" t="s">
        <v>617</v>
      </c>
      <c r="C1121" s="8" t="s">
        <v>80</v>
      </c>
      <c r="D1121" s="8" t="s">
        <v>6421</v>
      </c>
      <c r="E1121" s="8">
        <v>59.0</v>
      </c>
    </row>
    <row r="1122">
      <c r="A1122" s="8" t="s">
        <v>558</v>
      </c>
      <c r="B1122" s="8" t="s">
        <v>1780</v>
      </c>
      <c r="C1122" s="8" t="s">
        <v>132</v>
      </c>
      <c r="D1122" s="8" t="s">
        <v>6435</v>
      </c>
      <c r="E1122" s="8">
        <v>68.0</v>
      </c>
    </row>
    <row r="1123">
      <c r="A1123" s="8" t="s">
        <v>558</v>
      </c>
      <c r="B1123" s="8" t="s">
        <v>557</v>
      </c>
      <c r="C1123" s="8" t="s">
        <v>65</v>
      </c>
      <c r="D1123" s="8" t="s">
        <v>6433</v>
      </c>
      <c r="E1123" s="8">
        <v>80.0</v>
      </c>
    </row>
    <row r="1124">
      <c r="A1124" s="8" t="s">
        <v>2987</v>
      </c>
      <c r="B1124" s="8" t="s">
        <v>2986</v>
      </c>
      <c r="C1124" s="8" t="s">
        <v>149</v>
      </c>
      <c r="D1124" s="8" t="s">
        <v>6413</v>
      </c>
      <c r="E1124" s="8">
        <v>77.0</v>
      </c>
    </row>
    <row r="1125">
      <c r="A1125" s="8" t="s">
        <v>2710</v>
      </c>
      <c r="B1125" s="8" t="s">
        <v>2709</v>
      </c>
      <c r="C1125" s="8" t="s">
        <v>132</v>
      </c>
      <c r="D1125" s="8" t="s">
        <v>6415</v>
      </c>
      <c r="E1125" s="8">
        <v>72.0</v>
      </c>
    </row>
    <row r="1126">
      <c r="A1126" s="8" t="s">
        <v>665</v>
      </c>
      <c r="B1126" s="8" t="s">
        <v>502</v>
      </c>
      <c r="C1126" s="8" t="s">
        <v>24</v>
      </c>
      <c r="D1126" s="8" t="s">
        <v>6423</v>
      </c>
      <c r="E1126" s="8">
        <v>66.0</v>
      </c>
    </row>
    <row r="1127">
      <c r="A1127" s="8" t="s">
        <v>3258</v>
      </c>
      <c r="B1127" s="8" t="s">
        <v>916</v>
      </c>
      <c r="C1127" s="8" t="s">
        <v>186</v>
      </c>
      <c r="D1127" s="8" t="s">
        <v>6427</v>
      </c>
      <c r="E1127" s="8">
        <v>88.0</v>
      </c>
    </row>
    <row r="1128">
      <c r="A1128" s="8" t="s">
        <v>279</v>
      </c>
      <c r="B1128" s="8" t="s">
        <v>278</v>
      </c>
      <c r="C1128" s="8" t="s">
        <v>215</v>
      </c>
      <c r="D1128" s="8" t="s">
        <v>6430</v>
      </c>
      <c r="E1128" s="8">
        <v>81.0</v>
      </c>
    </row>
    <row r="1129">
      <c r="A1129" s="8" t="s">
        <v>279</v>
      </c>
      <c r="B1129" s="8" t="s">
        <v>3487</v>
      </c>
      <c r="C1129" s="8" t="s">
        <v>149</v>
      </c>
      <c r="D1129" s="8" t="s">
        <v>6428</v>
      </c>
      <c r="E1129" s="8">
        <v>62.0</v>
      </c>
    </row>
    <row r="1130">
      <c r="A1130" s="8" t="s">
        <v>3235</v>
      </c>
      <c r="B1130" s="8" t="s">
        <v>3234</v>
      </c>
      <c r="C1130" s="8" t="s">
        <v>132</v>
      </c>
      <c r="D1130" s="8" t="s">
        <v>6425</v>
      </c>
      <c r="E1130" s="8">
        <v>61.0</v>
      </c>
    </row>
    <row r="1131">
      <c r="A1131" s="8" t="s">
        <v>884</v>
      </c>
      <c r="B1131" s="8" t="s">
        <v>260</v>
      </c>
      <c r="C1131" s="8" t="s">
        <v>24</v>
      </c>
      <c r="D1131" s="8" t="s">
        <v>6439</v>
      </c>
      <c r="E1131" s="8">
        <v>78.0</v>
      </c>
    </row>
    <row r="1132">
      <c r="A1132" s="8" t="s">
        <v>1659</v>
      </c>
      <c r="B1132" s="8" t="s">
        <v>825</v>
      </c>
      <c r="C1132" s="8" t="s">
        <v>138</v>
      </c>
      <c r="D1132" s="8" t="s">
        <v>6438</v>
      </c>
      <c r="E1132" s="8">
        <v>72.0</v>
      </c>
    </row>
    <row r="1133">
      <c r="A1133" s="8" t="s">
        <v>826</v>
      </c>
      <c r="B1133" s="8" t="s">
        <v>825</v>
      </c>
      <c r="C1133" s="8" t="s">
        <v>80</v>
      </c>
      <c r="D1133" s="8" t="s">
        <v>6422</v>
      </c>
      <c r="E1133" s="8">
        <v>80.0</v>
      </c>
    </row>
    <row r="1134">
      <c r="A1134" s="8" t="s">
        <v>204</v>
      </c>
      <c r="B1134" s="8" t="s">
        <v>99</v>
      </c>
      <c r="C1134" s="8" t="s">
        <v>93</v>
      </c>
      <c r="D1134" s="8" t="s">
        <v>6435</v>
      </c>
      <c r="E1134" s="8">
        <v>86.0</v>
      </c>
    </row>
    <row r="1135">
      <c r="A1135" s="8" t="s">
        <v>204</v>
      </c>
      <c r="B1135" s="8" t="s">
        <v>3446</v>
      </c>
      <c r="C1135" s="8" t="s">
        <v>215</v>
      </c>
      <c r="D1135" s="8" t="s">
        <v>6423</v>
      </c>
      <c r="E1135" s="8">
        <v>58.0</v>
      </c>
    </row>
    <row r="1136">
      <c r="A1136" s="8" t="s">
        <v>204</v>
      </c>
      <c r="B1136" s="8" t="s">
        <v>203</v>
      </c>
      <c r="C1136" s="8" t="s">
        <v>24</v>
      </c>
      <c r="D1136" s="8" t="s">
        <v>6433</v>
      </c>
      <c r="E1136" s="8">
        <v>93.0</v>
      </c>
    </row>
    <row r="1137">
      <c r="A1137" s="8" t="s">
        <v>204</v>
      </c>
      <c r="B1137" s="8" t="s">
        <v>923</v>
      </c>
      <c r="C1137" s="8" t="s">
        <v>16</v>
      </c>
      <c r="D1137" s="8" t="s">
        <v>6436</v>
      </c>
      <c r="E1137" s="8">
        <v>77.0</v>
      </c>
    </row>
    <row r="1138">
      <c r="A1138" s="8" t="s">
        <v>102</v>
      </c>
      <c r="B1138" s="8" t="s">
        <v>574</v>
      </c>
      <c r="C1138" s="8" t="s">
        <v>141</v>
      </c>
      <c r="D1138" s="8" t="s">
        <v>6442</v>
      </c>
      <c r="E1138" s="8">
        <v>66.0</v>
      </c>
    </row>
    <row r="1139">
      <c r="A1139" s="8" t="s">
        <v>102</v>
      </c>
      <c r="B1139" s="8" t="s">
        <v>232</v>
      </c>
      <c r="C1139" s="8" t="s">
        <v>16</v>
      </c>
      <c r="D1139" s="8" t="s">
        <v>6441</v>
      </c>
      <c r="E1139" s="8">
        <v>64.0</v>
      </c>
    </row>
    <row r="1140">
      <c r="A1140" s="8" t="s">
        <v>102</v>
      </c>
      <c r="B1140" s="8" t="s">
        <v>870</v>
      </c>
      <c r="C1140" s="8" t="s">
        <v>16</v>
      </c>
      <c r="D1140" s="8" t="s">
        <v>6421</v>
      </c>
      <c r="E1140" s="8">
        <v>62.0</v>
      </c>
    </row>
    <row r="1141">
      <c r="A1141" s="8" t="s">
        <v>102</v>
      </c>
      <c r="B1141" s="8" t="s">
        <v>3172</v>
      </c>
      <c r="C1141" s="8" t="s">
        <v>132</v>
      </c>
      <c r="D1141" s="8" t="s">
        <v>6429</v>
      </c>
      <c r="E1141" s="8">
        <v>83.0</v>
      </c>
    </row>
    <row r="1142">
      <c r="A1142" s="8" t="s">
        <v>102</v>
      </c>
      <c r="B1142" s="8" t="s">
        <v>101</v>
      </c>
      <c r="C1142" s="8" t="s">
        <v>46</v>
      </c>
      <c r="D1142" s="8" t="s">
        <v>6422</v>
      </c>
      <c r="E1142" s="8">
        <v>81.0</v>
      </c>
    </row>
    <row r="1143">
      <c r="A1143" s="8" t="s">
        <v>102</v>
      </c>
      <c r="B1143" s="8" t="s">
        <v>3298</v>
      </c>
      <c r="C1143" s="8" t="s">
        <v>141</v>
      </c>
      <c r="D1143" s="8" t="s">
        <v>6426</v>
      </c>
      <c r="E1143" s="8">
        <v>74.0</v>
      </c>
    </row>
    <row r="1144">
      <c r="A1144" s="8" t="s">
        <v>102</v>
      </c>
      <c r="B1144" s="8" t="s">
        <v>2672</v>
      </c>
      <c r="C1144" s="8" t="s">
        <v>149</v>
      </c>
      <c r="D1144" s="8" t="s">
        <v>6432</v>
      </c>
      <c r="E1144" s="8">
        <v>72.0</v>
      </c>
    </row>
    <row r="1145">
      <c r="A1145" s="8" t="s">
        <v>102</v>
      </c>
      <c r="B1145" s="8" t="s">
        <v>62</v>
      </c>
      <c r="C1145" s="8" t="s">
        <v>186</v>
      </c>
      <c r="D1145" s="8" t="s">
        <v>6421</v>
      </c>
      <c r="E1145" s="8">
        <v>71.0</v>
      </c>
    </row>
    <row r="1146">
      <c r="A1146" s="8" t="s">
        <v>102</v>
      </c>
      <c r="B1146" s="8" t="s">
        <v>1139</v>
      </c>
      <c r="C1146" s="8" t="s">
        <v>132</v>
      </c>
      <c r="D1146" s="8" t="s">
        <v>6420</v>
      </c>
      <c r="E1146" s="8">
        <v>66.0</v>
      </c>
    </row>
    <row r="1147">
      <c r="A1147" s="8" t="s">
        <v>102</v>
      </c>
      <c r="B1147" s="8" t="s">
        <v>2877</v>
      </c>
      <c r="C1147" s="8" t="s">
        <v>261</v>
      </c>
      <c r="D1147" s="8" t="s">
        <v>6421</v>
      </c>
      <c r="E1147" s="8">
        <v>63.0</v>
      </c>
    </row>
    <row r="1148">
      <c r="A1148" s="8" t="s">
        <v>102</v>
      </c>
      <c r="B1148" s="8" t="s">
        <v>104</v>
      </c>
      <c r="C1148" s="8" t="s">
        <v>186</v>
      </c>
      <c r="D1148" s="8" t="s">
        <v>6424</v>
      </c>
      <c r="E1148" s="8">
        <v>60.0</v>
      </c>
    </row>
    <row r="1149">
      <c r="A1149" s="8" t="s">
        <v>102</v>
      </c>
      <c r="B1149" s="8" t="s">
        <v>1600</v>
      </c>
      <c r="C1149" s="8" t="s">
        <v>59</v>
      </c>
      <c r="D1149" s="8" t="s">
        <v>6443</v>
      </c>
      <c r="E1149" s="8">
        <v>69.0</v>
      </c>
    </row>
    <row r="1150">
      <c r="A1150" s="8" t="s">
        <v>102</v>
      </c>
      <c r="B1150" s="8" t="s">
        <v>873</v>
      </c>
      <c r="C1150" s="8" t="s">
        <v>24</v>
      </c>
      <c r="D1150" s="8" t="s">
        <v>6436</v>
      </c>
      <c r="E1150" s="8">
        <v>41.0</v>
      </c>
    </row>
    <row r="1151">
      <c r="A1151" s="8" t="s">
        <v>102</v>
      </c>
      <c r="B1151" s="8" t="s">
        <v>1318</v>
      </c>
      <c r="C1151" s="8" t="s">
        <v>75</v>
      </c>
      <c r="D1151" s="8" t="s">
        <v>6436</v>
      </c>
      <c r="E1151" s="8">
        <v>76.0</v>
      </c>
    </row>
    <row r="1152">
      <c r="A1152" s="8" t="s">
        <v>102</v>
      </c>
      <c r="B1152" s="8" t="s">
        <v>1180</v>
      </c>
      <c r="C1152" s="8" t="s">
        <v>149</v>
      </c>
      <c r="D1152" s="8" t="s">
        <v>6428</v>
      </c>
      <c r="E1152" s="8">
        <v>72.0</v>
      </c>
    </row>
    <row r="1153">
      <c r="A1153" s="8" t="s">
        <v>102</v>
      </c>
      <c r="B1153" s="8" t="s">
        <v>3161</v>
      </c>
      <c r="C1153" s="8" t="s">
        <v>70</v>
      </c>
      <c r="D1153" s="8" t="s">
        <v>6430</v>
      </c>
      <c r="E1153" s="8">
        <v>69.0</v>
      </c>
    </row>
    <row r="1154">
      <c r="A1154" s="8" t="s">
        <v>102</v>
      </c>
      <c r="B1154" s="8" t="s">
        <v>2196</v>
      </c>
      <c r="C1154" s="8" t="s">
        <v>70</v>
      </c>
      <c r="D1154" s="8" t="s">
        <v>6417</v>
      </c>
      <c r="E1154" s="8">
        <v>79.0</v>
      </c>
    </row>
    <row r="1155">
      <c r="A1155" s="8" t="s">
        <v>102</v>
      </c>
      <c r="B1155" s="8" t="s">
        <v>3494</v>
      </c>
      <c r="C1155" s="8" t="s">
        <v>122</v>
      </c>
      <c r="D1155" s="8" t="s">
        <v>6431</v>
      </c>
      <c r="E1155" s="8">
        <v>68.0</v>
      </c>
    </row>
    <row r="1156">
      <c r="A1156" s="8" t="s">
        <v>102</v>
      </c>
      <c r="B1156" s="8" t="s">
        <v>78</v>
      </c>
      <c r="C1156" s="8" t="s">
        <v>70</v>
      </c>
      <c r="D1156" s="8" t="s">
        <v>6422</v>
      </c>
      <c r="E1156" s="8">
        <v>72.0</v>
      </c>
    </row>
    <row r="1157">
      <c r="A1157" s="8" t="s">
        <v>102</v>
      </c>
      <c r="B1157" s="8" t="s">
        <v>112</v>
      </c>
      <c r="C1157" s="8" t="s">
        <v>16</v>
      </c>
      <c r="D1157" s="8" t="s">
        <v>6435</v>
      </c>
      <c r="E1157" s="8">
        <v>81.0</v>
      </c>
    </row>
    <row r="1158">
      <c r="A1158" s="8" t="s">
        <v>102</v>
      </c>
      <c r="B1158" s="8" t="s">
        <v>376</v>
      </c>
      <c r="C1158" s="8" t="s">
        <v>93</v>
      </c>
      <c r="D1158" s="8" t="s">
        <v>6443</v>
      </c>
      <c r="E1158" s="8">
        <v>81.0</v>
      </c>
    </row>
    <row r="1159">
      <c r="A1159" s="8" t="s">
        <v>102</v>
      </c>
      <c r="B1159" s="8" t="s">
        <v>62</v>
      </c>
      <c r="C1159" s="8" t="s">
        <v>46</v>
      </c>
      <c r="D1159" s="8" t="s">
        <v>6443</v>
      </c>
      <c r="E1159" s="8">
        <v>92.0</v>
      </c>
    </row>
    <row r="1160">
      <c r="A1160" s="8" t="s">
        <v>850</v>
      </c>
      <c r="B1160" s="8" t="s">
        <v>3447</v>
      </c>
      <c r="C1160" s="8" t="s">
        <v>16</v>
      </c>
      <c r="D1160" s="8" t="s">
        <v>6437</v>
      </c>
      <c r="E1160" s="8">
        <v>62.0</v>
      </c>
    </row>
    <row r="1161">
      <c r="A1161" s="8" t="s">
        <v>850</v>
      </c>
      <c r="B1161" s="8" t="s">
        <v>711</v>
      </c>
      <c r="C1161" s="8" t="s">
        <v>138</v>
      </c>
      <c r="D1161" s="8" t="s">
        <v>6434</v>
      </c>
      <c r="E1161" s="8">
        <v>65.0</v>
      </c>
    </row>
    <row r="1162">
      <c r="A1162" s="8" t="s">
        <v>850</v>
      </c>
      <c r="B1162" s="8" t="s">
        <v>849</v>
      </c>
      <c r="C1162" s="8" t="s">
        <v>75</v>
      </c>
      <c r="D1162" s="8" t="s">
        <v>6443</v>
      </c>
      <c r="E1162" s="8">
        <v>84.0</v>
      </c>
    </row>
    <row r="1163">
      <c r="A1163" s="8" t="s">
        <v>1249</v>
      </c>
      <c r="B1163" s="8" t="s">
        <v>3312</v>
      </c>
      <c r="C1163" s="8" t="s">
        <v>122</v>
      </c>
      <c r="D1163" s="8" t="s">
        <v>6442</v>
      </c>
      <c r="E1163" s="8">
        <v>64.0</v>
      </c>
    </row>
    <row r="1164">
      <c r="A1164" s="8" t="s">
        <v>1249</v>
      </c>
      <c r="B1164" s="8" t="s">
        <v>205</v>
      </c>
      <c r="C1164" s="8" t="s">
        <v>141</v>
      </c>
      <c r="D1164" s="8" t="s">
        <v>6433</v>
      </c>
      <c r="E1164" s="8">
        <v>70.0</v>
      </c>
    </row>
    <row r="1165">
      <c r="A1165" s="8" t="s">
        <v>1249</v>
      </c>
      <c r="B1165" s="8" t="s">
        <v>1709</v>
      </c>
      <c r="C1165" s="8" t="s">
        <v>138</v>
      </c>
      <c r="D1165" s="8" t="s">
        <v>6432</v>
      </c>
      <c r="E1165" s="8">
        <v>88.0</v>
      </c>
    </row>
    <row r="1166">
      <c r="A1166" s="8" t="s">
        <v>1249</v>
      </c>
      <c r="B1166" s="8" t="s">
        <v>1248</v>
      </c>
      <c r="C1166" s="8" t="s">
        <v>122</v>
      </c>
      <c r="D1166" s="8" t="s">
        <v>6416</v>
      </c>
      <c r="E1166" s="8">
        <v>60.0</v>
      </c>
    </row>
    <row r="1167">
      <c r="A1167" s="8" t="s">
        <v>23</v>
      </c>
      <c r="B1167" s="8" t="s">
        <v>279</v>
      </c>
      <c r="C1167" s="8" t="s">
        <v>132</v>
      </c>
      <c r="D1167" s="8" t="s">
        <v>6425</v>
      </c>
      <c r="E1167" s="8">
        <v>77.0</v>
      </c>
    </row>
    <row r="1168">
      <c r="A1168" s="8" t="s">
        <v>23</v>
      </c>
      <c r="B1168" s="8" t="s">
        <v>829</v>
      </c>
      <c r="C1168" s="8" t="s">
        <v>149</v>
      </c>
      <c r="D1168" s="8" t="s">
        <v>6419</v>
      </c>
      <c r="E1168" s="8">
        <v>68.0</v>
      </c>
    </row>
    <row r="1169">
      <c r="A1169" s="8" t="s">
        <v>23</v>
      </c>
      <c r="B1169" s="8" t="s">
        <v>402</v>
      </c>
      <c r="C1169" s="8" t="s">
        <v>132</v>
      </c>
      <c r="D1169" s="8" t="s">
        <v>6430</v>
      </c>
      <c r="E1169" s="8">
        <v>76.0</v>
      </c>
    </row>
    <row r="1170">
      <c r="A1170" s="8" t="s">
        <v>23</v>
      </c>
      <c r="B1170" s="8" t="s">
        <v>601</v>
      </c>
      <c r="C1170" s="8" t="s">
        <v>59</v>
      </c>
      <c r="D1170" s="8" t="s">
        <v>6428</v>
      </c>
      <c r="E1170" s="8">
        <v>79.0</v>
      </c>
    </row>
    <row r="1171">
      <c r="A1171" s="8" t="s">
        <v>23</v>
      </c>
      <c r="B1171" s="8" t="s">
        <v>106</v>
      </c>
      <c r="C1171" s="8" t="s">
        <v>65</v>
      </c>
      <c r="D1171" s="8" t="s">
        <v>6419</v>
      </c>
      <c r="E1171" s="8">
        <v>84.0</v>
      </c>
    </row>
    <row r="1172">
      <c r="A1172" s="8" t="s">
        <v>23</v>
      </c>
      <c r="B1172" s="8" t="s">
        <v>597</v>
      </c>
      <c r="C1172" s="8" t="s">
        <v>65</v>
      </c>
      <c r="D1172" s="8" t="s">
        <v>6417</v>
      </c>
      <c r="E1172" s="8">
        <v>77.0</v>
      </c>
    </row>
    <row r="1173">
      <c r="A1173" s="8" t="s">
        <v>23</v>
      </c>
      <c r="B1173" s="8" t="s">
        <v>575</v>
      </c>
      <c r="C1173" s="8" t="s">
        <v>59</v>
      </c>
      <c r="D1173" s="8" t="s">
        <v>6442</v>
      </c>
      <c r="E1173" s="8">
        <v>65.0</v>
      </c>
    </row>
    <row r="1174">
      <c r="A1174" s="8" t="s">
        <v>23</v>
      </c>
      <c r="B1174" s="8" t="s">
        <v>3092</v>
      </c>
      <c r="C1174" s="8" t="s">
        <v>186</v>
      </c>
      <c r="D1174" s="8" t="s">
        <v>6427</v>
      </c>
      <c r="E1174" s="8">
        <v>65.0</v>
      </c>
    </row>
    <row r="1175">
      <c r="A1175" s="8" t="s">
        <v>23</v>
      </c>
      <c r="B1175" s="8" t="s">
        <v>282</v>
      </c>
      <c r="C1175" s="8" t="s">
        <v>138</v>
      </c>
      <c r="D1175" s="8" t="s">
        <v>6427</v>
      </c>
      <c r="E1175" s="8">
        <v>65.0</v>
      </c>
    </row>
    <row r="1176">
      <c r="A1176" s="8" t="s">
        <v>23</v>
      </c>
      <c r="B1176" s="8" t="s">
        <v>2886</v>
      </c>
      <c r="C1176" s="8" t="s">
        <v>261</v>
      </c>
      <c r="D1176" s="8" t="s">
        <v>6418</v>
      </c>
      <c r="E1176" s="8">
        <v>80.0</v>
      </c>
    </row>
    <row r="1177">
      <c r="A1177" s="8" t="s">
        <v>23</v>
      </c>
      <c r="B1177" s="8" t="s">
        <v>22</v>
      </c>
      <c r="C1177" s="8" t="s">
        <v>24</v>
      </c>
      <c r="D1177" s="8" t="s">
        <v>6415</v>
      </c>
      <c r="E1177" s="8">
        <v>48.0</v>
      </c>
    </row>
    <row r="1178">
      <c r="A1178" s="8" t="s">
        <v>23</v>
      </c>
      <c r="B1178" s="8" t="s">
        <v>2816</v>
      </c>
      <c r="C1178" s="8" t="s">
        <v>132</v>
      </c>
      <c r="D1178" s="8" t="s">
        <v>6443</v>
      </c>
      <c r="E1178" s="8">
        <v>82.0</v>
      </c>
    </row>
    <row r="1179">
      <c r="A1179" s="8" t="s">
        <v>23</v>
      </c>
      <c r="B1179" s="8" t="s">
        <v>1005</v>
      </c>
      <c r="C1179" s="8" t="s">
        <v>24</v>
      </c>
      <c r="D1179" s="8" t="s">
        <v>6418</v>
      </c>
      <c r="E1179" s="8">
        <v>71.0</v>
      </c>
    </row>
    <row r="1180">
      <c r="A1180" s="8" t="s">
        <v>23</v>
      </c>
      <c r="B1180" s="8" t="s">
        <v>3467</v>
      </c>
      <c r="C1180" s="8" t="s">
        <v>149</v>
      </c>
      <c r="D1180" s="8" t="s">
        <v>6422</v>
      </c>
      <c r="E1180" s="8">
        <v>64.0</v>
      </c>
    </row>
    <row r="1181">
      <c r="A1181" s="8" t="s">
        <v>23</v>
      </c>
      <c r="B1181" s="8" t="s">
        <v>389</v>
      </c>
      <c r="C1181" s="8" t="s">
        <v>80</v>
      </c>
      <c r="D1181" s="8" t="s">
        <v>6414</v>
      </c>
      <c r="E1181" s="8">
        <v>74.0</v>
      </c>
    </row>
    <row r="1182">
      <c r="A1182" s="8" t="s">
        <v>23</v>
      </c>
      <c r="B1182" s="8" t="s">
        <v>1632</v>
      </c>
      <c r="C1182" s="8" t="s">
        <v>141</v>
      </c>
      <c r="D1182" s="8" t="s">
        <v>6414</v>
      </c>
      <c r="E1182" s="8">
        <v>76.0</v>
      </c>
    </row>
    <row r="1183">
      <c r="A1183" s="8" t="s">
        <v>23</v>
      </c>
      <c r="B1183" s="8" t="s">
        <v>3492</v>
      </c>
      <c r="C1183" s="8" t="s">
        <v>141</v>
      </c>
      <c r="D1183" s="8" t="s">
        <v>6435</v>
      </c>
      <c r="E1183" s="8">
        <v>72.0</v>
      </c>
    </row>
    <row r="1184">
      <c r="A1184" s="8" t="s">
        <v>92</v>
      </c>
      <c r="B1184" s="8" t="s">
        <v>91</v>
      </c>
      <c r="C1184" s="8" t="s">
        <v>93</v>
      </c>
      <c r="D1184" s="8" t="s">
        <v>6434</v>
      </c>
      <c r="E1184" s="8">
        <v>83.0</v>
      </c>
    </row>
    <row r="1185">
      <c r="A1185" s="8" t="s">
        <v>92</v>
      </c>
      <c r="B1185" s="8" t="s">
        <v>1915</v>
      </c>
      <c r="C1185" s="8" t="s">
        <v>138</v>
      </c>
      <c r="D1185" s="8" t="s">
        <v>6421</v>
      </c>
      <c r="E1185" s="8">
        <v>61.0</v>
      </c>
    </row>
    <row r="1186">
      <c r="A1186" s="8" t="s">
        <v>92</v>
      </c>
      <c r="B1186" s="8" t="s">
        <v>933</v>
      </c>
      <c r="C1186" s="8" t="s">
        <v>122</v>
      </c>
      <c r="D1186" s="8" t="s">
        <v>6428</v>
      </c>
      <c r="E1186" s="8">
        <v>76.0</v>
      </c>
    </row>
    <row r="1187">
      <c r="A1187" s="8" t="s">
        <v>92</v>
      </c>
      <c r="B1187" s="8" t="s">
        <v>2751</v>
      </c>
      <c r="C1187" s="8" t="s">
        <v>80</v>
      </c>
      <c r="D1187" s="8" t="s">
        <v>6423</v>
      </c>
      <c r="E1187" s="8">
        <v>84.0</v>
      </c>
    </row>
    <row r="1188">
      <c r="A1188" s="8" t="s">
        <v>532</v>
      </c>
      <c r="B1188" s="8" t="s">
        <v>714</v>
      </c>
      <c r="C1188" s="8" t="s">
        <v>65</v>
      </c>
      <c r="D1188" s="8" t="s">
        <v>6438</v>
      </c>
      <c r="E1188" s="8">
        <v>64.0</v>
      </c>
    </row>
    <row r="1189">
      <c r="A1189" s="8" t="s">
        <v>532</v>
      </c>
      <c r="B1189" s="8" t="s">
        <v>3349</v>
      </c>
      <c r="C1189" s="8" t="s">
        <v>122</v>
      </c>
      <c r="D1189" s="8" t="s">
        <v>6439</v>
      </c>
      <c r="E1189" s="8">
        <v>61.0</v>
      </c>
    </row>
    <row r="1190">
      <c r="A1190" s="8" t="s">
        <v>532</v>
      </c>
      <c r="B1190" s="8" t="s">
        <v>531</v>
      </c>
      <c r="C1190" s="8" t="s">
        <v>38</v>
      </c>
      <c r="D1190" s="8" t="s">
        <v>6414</v>
      </c>
      <c r="E1190" s="8">
        <v>86.0</v>
      </c>
    </row>
    <row r="1191">
      <c r="A1191" s="8" t="s">
        <v>389</v>
      </c>
      <c r="B1191" s="8" t="s">
        <v>468</v>
      </c>
      <c r="C1191" s="8" t="s">
        <v>93</v>
      </c>
      <c r="D1191" s="8" t="s">
        <v>6420</v>
      </c>
      <c r="E1191" s="8">
        <v>69.0</v>
      </c>
    </row>
    <row r="1192">
      <c r="A1192" s="8" t="s">
        <v>3160</v>
      </c>
      <c r="B1192" s="8" t="s">
        <v>3159</v>
      </c>
      <c r="C1192" s="8" t="s">
        <v>93</v>
      </c>
      <c r="D1192" s="8" t="s">
        <v>6427</v>
      </c>
      <c r="E1192" s="8">
        <v>67.0</v>
      </c>
    </row>
    <row r="1193">
      <c r="A1193" s="8" t="s">
        <v>1544</v>
      </c>
      <c r="B1193" s="8" t="s">
        <v>1543</v>
      </c>
      <c r="C1193" s="8" t="s">
        <v>65</v>
      </c>
      <c r="D1193" s="8" t="s">
        <v>6428</v>
      </c>
      <c r="E1193" s="8">
        <v>59.0</v>
      </c>
    </row>
    <row r="1194">
      <c r="A1194" s="8" t="s">
        <v>181</v>
      </c>
      <c r="B1194" s="8" t="s">
        <v>705</v>
      </c>
      <c r="C1194" s="8" t="s">
        <v>132</v>
      </c>
      <c r="D1194" s="8" t="s">
        <v>6425</v>
      </c>
      <c r="E1194" s="8">
        <v>62.0</v>
      </c>
    </row>
    <row r="1195">
      <c r="A1195" s="8" t="s">
        <v>181</v>
      </c>
      <c r="B1195" s="8" t="s">
        <v>651</v>
      </c>
      <c r="C1195" s="8" t="s">
        <v>186</v>
      </c>
      <c r="D1195" s="8" t="s">
        <v>6428</v>
      </c>
      <c r="E1195" s="8">
        <v>68.0</v>
      </c>
    </row>
    <row r="1196">
      <c r="A1196" s="8" t="s">
        <v>181</v>
      </c>
      <c r="B1196" s="8" t="s">
        <v>67</v>
      </c>
      <c r="C1196" s="8" t="s">
        <v>38</v>
      </c>
      <c r="D1196" s="8" t="s">
        <v>6433</v>
      </c>
      <c r="E1196" s="8">
        <v>77.0</v>
      </c>
    </row>
    <row r="1197">
      <c r="A1197" s="8" t="s">
        <v>181</v>
      </c>
      <c r="B1197" s="8" t="s">
        <v>3229</v>
      </c>
      <c r="C1197" s="8" t="s">
        <v>24</v>
      </c>
      <c r="D1197" s="8" t="s">
        <v>6424</v>
      </c>
      <c r="E1197" s="8">
        <v>44.0</v>
      </c>
    </row>
    <row r="1198">
      <c r="A1198" s="8" t="s">
        <v>181</v>
      </c>
      <c r="B1198" s="8" t="s">
        <v>910</v>
      </c>
      <c r="C1198" s="8" t="s">
        <v>141</v>
      </c>
      <c r="D1198" s="8" t="s">
        <v>6438</v>
      </c>
      <c r="E1198" s="8">
        <v>63.0</v>
      </c>
    </row>
    <row r="1199">
      <c r="A1199" s="8" t="s">
        <v>181</v>
      </c>
      <c r="B1199" s="8" t="s">
        <v>3212</v>
      </c>
      <c r="C1199" s="8" t="s">
        <v>24</v>
      </c>
      <c r="D1199" s="8" t="s">
        <v>6438</v>
      </c>
      <c r="E1199" s="8">
        <v>42.0</v>
      </c>
    </row>
    <row r="1200">
      <c r="A1200" s="8" t="s">
        <v>181</v>
      </c>
      <c r="B1200" s="8" t="s">
        <v>180</v>
      </c>
      <c r="C1200" s="8" t="s">
        <v>24</v>
      </c>
      <c r="D1200" s="8" t="s">
        <v>6434</v>
      </c>
      <c r="E1200" s="8">
        <v>42.0</v>
      </c>
    </row>
    <row r="1201">
      <c r="A1201" s="8" t="s">
        <v>842</v>
      </c>
      <c r="B1201" s="8" t="s">
        <v>3200</v>
      </c>
      <c r="C1201" s="8" t="s">
        <v>59</v>
      </c>
      <c r="D1201" s="8" t="s">
        <v>6425</v>
      </c>
      <c r="E1201" s="8">
        <v>74.0</v>
      </c>
    </row>
    <row r="1202">
      <c r="A1202" s="8" t="s">
        <v>842</v>
      </c>
      <c r="B1202" s="8" t="s">
        <v>284</v>
      </c>
      <c r="C1202" s="8" t="s">
        <v>93</v>
      </c>
      <c r="D1202" s="8" t="s">
        <v>6436</v>
      </c>
      <c r="E1202" s="8">
        <v>62.0</v>
      </c>
    </row>
    <row r="1203">
      <c r="A1203" s="8" t="s">
        <v>842</v>
      </c>
      <c r="B1203" s="8" t="s">
        <v>500</v>
      </c>
      <c r="C1203" s="8" t="s">
        <v>75</v>
      </c>
      <c r="D1203" s="8" t="s">
        <v>6442</v>
      </c>
      <c r="E1203" s="8">
        <v>77.0</v>
      </c>
    </row>
    <row r="1204">
      <c r="A1204" s="8" t="s">
        <v>842</v>
      </c>
      <c r="B1204" s="8" t="s">
        <v>1625</v>
      </c>
      <c r="C1204" s="8" t="s">
        <v>70</v>
      </c>
      <c r="D1204" s="8" t="s">
        <v>6441</v>
      </c>
      <c r="E1204" s="8">
        <v>84.0</v>
      </c>
    </row>
    <row r="1205">
      <c r="A1205" s="8" t="s">
        <v>842</v>
      </c>
      <c r="B1205" s="8" t="s">
        <v>460</v>
      </c>
      <c r="C1205" s="8" t="s">
        <v>138</v>
      </c>
      <c r="D1205" s="8" t="s">
        <v>6416</v>
      </c>
      <c r="E1205" s="8">
        <v>73.0</v>
      </c>
    </row>
    <row r="1206">
      <c r="A1206" s="8" t="s">
        <v>842</v>
      </c>
      <c r="B1206" s="8" t="s">
        <v>78</v>
      </c>
      <c r="C1206" s="8" t="s">
        <v>70</v>
      </c>
      <c r="D1206" s="8" t="s">
        <v>6430</v>
      </c>
      <c r="E1206" s="8">
        <v>64.0</v>
      </c>
    </row>
    <row r="1207">
      <c r="A1207" s="8" t="s">
        <v>842</v>
      </c>
      <c r="B1207" s="8" t="s">
        <v>2795</v>
      </c>
      <c r="C1207" s="8" t="s">
        <v>59</v>
      </c>
      <c r="D1207" s="8" t="s">
        <v>6436</v>
      </c>
      <c r="E1207" s="8">
        <v>73.0</v>
      </c>
    </row>
    <row r="1208">
      <c r="A1208" s="8" t="s">
        <v>842</v>
      </c>
      <c r="B1208" s="8" t="s">
        <v>1390</v>
      </c>
      <c r="C1208" s="8" t="s">
        <v>215</v>
      </c>
      <c r="D1208" s="8" t="s">
        <v>6427</v>
      </c>
      <c r="E1208" s="8">
        <v>69.0</v>
      </c>
    </row>
    <row r="1209">
      <c r="A1209" s="8" t="s">
        <v>842</v>
      </c>
      <c r="B1209" s="8" t="s">
        <v>1673</v>
      </c>
      <c r="C1209" s="8" t="s">
        <v>215</v>
      </c>
      <c r="D1209" s="8" t="s">
        <v>6413</v>
      </c>
      <c r="E1209" s="8">
        <v>63.0</v>
      </c>
    </row>
    <row r="1210">
      <c r="A1210" s="8" t="s">
        <v>842</v>
      </c>
      <c r="B1210" s="8" t="s">
        <v>3326</v>
      </c>
      <c r="C1210" s="8" t="s">
        <v>65</v>
      </c>
      <c r="D1210" s="8" t="s">
        <v>6423</v>
      </c>
      <c r="E1210" s="8">
        <v>58.0</v>
      </c>
    </row>
    <row r="1211">
      <c r="A1211" s="8" t="s">
        <v>842</v>
      </c>
      <c r="B1211" s="8" t="s">
        <v>636</v>
      </c>
      <c r="C1211" s="8" t="s">
        <v>186</v>
      </c>
      <c r="D1211" s="8" t="s">
        <v>6427</v>
      </c>
      <c r="E1211" s="8">
        <v>66.0</v>
      </c>
    </row>
    <row r="1212">
      <c r="A1212" s="8" t="s">
        <v>1975</v>
      </c>
      <c r="B1212" s="8" t="s">
        <v>99</v>
      </c>
      <c r="C1212" s="8" t="s">
        <v>24</v>
      </c>
      <c r="D1212" s="8" t="s">
        <v>6423</v>
      </c>
      <c r="E1212" s="8">
        <v>74.0</v>
      </c>
    </row>
    <row r="1213">
      <c r="A1213" s="8" t="s">
        <v>710</v>
      </c>
      <c r="B1213" s="8" t="s">
        <v>377</v>
      </c>
      <c r="C1213" s="8" t="s">
        <v>141</v>
      </c>
      <c r="D1213" s="8" t="s">
        <v>6440</v>
      </c>
      <c r="E1213" s="8">
        <v>69.0</v>
      </c>
    </row>
    <row r="1214">
      <c r="A1214" s="8" t="s">
        <v>263</v>
      </c>
      <c r="B1214" s="8" t="s">
        <v>1005</v>
      </c>
      <c r="C1214" s="8" t="s">
        <v>122</v>
      </c>
      <c r="D1214" s="8" t="s">
        <v>6415</v>
      </c>
      <c r="E1214" s="8">
        <v>76.0</v>
      </c>
    </row>
    <row r="1215">
      <c r="A1215" s="8" t="s">
        <v>263</v>
      </c>
      <c r="B1215" s="8" t="s">
        <v>533</v>
      </c>
      <c r="C1215" s="8" t="s">
        <v>186</v>
      </c>
      <c r="D1215" s="8" t="s">
        <v>6424</v>
      </c>
      <c r="E1215" s="8">
        <v>85.0</v>
      </c>
    </row>
    <row r="1216">
      <c r="A1216" s="8" t="s">
        <v>263</v>
      </c>
      <c r="B1216" s="8" t="s">
        <v>223</v>
      </c>
      <c r="C1216" s="8" t="s">
        <v>24</v>
      </c>
      <c r="D1216" s="8" t="s">
        <v>6416</v>
      </c>
      <c r="E1216" s="8">
        <v>91.0</v>
      </c>
    </row>
    <row r="1217">
      <c r="A1217" s="8" t="s">
        <v>263</v>
      </c>
      <c r="B1217" s="8" t="s">
        <v>389</v>
      </c>
      <c r="C1217" s="8" t="s">
        <v>70</v>
      </c>
      <c r="D1217" s="8" t="s">
        <v>6430</v>
      </c>
      <c r="E1217" s="8">
        <v>64.0</v>
      </c>
    </row>
    <row r="1218">
      <c r="A1218" s="8" t="s">
        <v>263</v>
      </c>
      <c r="B1218" s="8" t="s">
        <v>3475</v>
      </c>
      <c r="C1218" s="8" t="s">
        <v>70</v>
      </c>
      <c r="D1218" s="8" t="s">
        <v>6440</v>
      </c>
      <c r="E1218" s="8">
        <v>68.0</v>
      </c>
    </row>
    <row r="1219">
      <c r="A1219" s="8" t="s">
        <v>263</v>
      </c>
      <c r="B1219" s="8" t="s">
        <v>282</v>
      </c>
      <c r="C1219" s="8" t="s">
        <v>53</v>
      </c>
      <c r="D1219" s="8" t="s">
        <v>6440</v>
      </c>
      <c r="E1219" s="8">
        <v>69.0</v>
      </c>
    </row>
    <row r="1220">
      <c r="A1220" s="8" t="s">
        <v>263</v>
      </c>
      <c r="B1220" s="8" t="s">
        <v>441</v>
      </c>
      <c r="C1220" s="8" t="s">
        <v>65</v>
      </c>
      <c r="D1220" s="8" t="s">
        <v>6412</v>
      </c>
      <c r="E1220" s="8">
        <v>65.0</v>
      </c>
    </row>
    <row r="1221">
      <c r="A1221" s="8" t="s">
        <v>263</v>
      </c>
      <c r="B1221" s="8" t="s">
        <v>1302</v>
      </c>
      <c r="C1221" s="8" t="s">
        <v>75</v>
      </c>
      <c r="D1221" s="8" t="s">
        <v>6433</v>
      </c>
      <c r="E1221" s="8">
        <v>64.0</v>
      </c>
    </row>
    <row r="1222">
      <c r="A1222" s="8" t="s">
        <v>263</v>
      </c>
      <c r="B1222" s="8" t="s">
        <v>1200</v>
      </c>
      <c r="C1222" s="8" t="s">
        <v>70</v>
      </c>
      <c r="D1222" s="8" t="s">
        <v>6427</v>
      </c>
      <c r="E1222" s="8">
        <v>85.0</v>
      </c>
    </row>
    <row r="1223">
      <c r="A1223" s="8" t="s">
        <v>263</v>
      </c>
      <c r="B1223" s="8" t="s">
        <v>778</v>
      </c>
      <c r="C1223" s="8" t="s">
        <v>80</v>
      </c>
      <c r="D1223" s="8" t="s">
        <v>6430</v>
      </c>
      <c r="E1223" s="8">
        <v>70.0</v>
      </c>
    </row>
    <row r="1224">
      <c r="A1224" s="8" t="s">
        <v>263</v>
      </c>
      <c r="B1224" s="8" t="s">
        <v>666</v>
      </c>
      <c r="C1224" s="8" t="s">
        <v>80</v>
      </c>
      <c r="D1224" s="8" t="s">
        <v>6439</v>
      </c>
      <c r="E1224" s="8">
        <v>70.0</v>
      </c>
    </row>
    <row r="1225">
      <c r="A1225" s="8" t="s">
        <v>263</v>
      </c>
      <c r="B1225" s="8" t="s">
        <v>262</v>
      </c>
      <c r="C1225" s="8" t="s">
        <v>46</v>
      </c>
      <c r="D1225" s="8" t="s">
        <v>6437</v>
      </c>
      <c r="E1225" s="8">
        <v>64.0</v>
      </c>
    </row>
    <row r="1226">
      <c r="A1226" s="8" t="s">
        <v>263</v>
      </c>
      <c r="B1226" s="8" t="s">
        <v>747</v>
      </c>
      <c r="C1226" s="8" t="s">
        <v>93</v>
      </c>
      <c r="D1226" s="8" t="s">
        <v>6415</v>
      </c>
      <c r="E1226" s="8">
        <v>63.0</v>
      </c>
    </row>
    <row r="1227">
      <c r="A1227" s="8" t="s">
        <v>263</v>
      </c>
      <c r="B1227" s="8" t="s">
        <v>648</v>
      </c>
      <c r="C1227" s="8" t="s">
        <v>38</v>
      </c>
      <c r="D1227" s="8" t="s">
        <v>6439</v>
      </c>
      <c r="E1227" s="8">
        <v>78.0</v>
      </c>
    </row>
    <row r="1228">
      <c r="A1228" s="8" t="s">
        <v>263</v>
      </c>
      <c r="B1228" s="8" t="s">
        <v>1877</v>
      </c>
      <c r="C1228" s="8" t="s">
        <v>24</v>
      </c>
      <c r="D1228" s="8" t="s">
        <v>6440</v>
      </c>
      <c r="E1228" s="8">
        <v>72.0</v>
      </c>
    </row>
    <row r="1229">
      <c r="A1229" s="8" t="s">
        <v>263</v>
      </c>
      <c r="B1229" s="8" t="s">
        <v>78</v>
      </c>
      <c r="C1229" s="8" t="s">
        <v>122</v>
      </c>
      <c r="D1229" s="8" t="s">
        <v>6425</v>
      </c>
      <c r="E1229" s="8">
        <v>60.0</v>
      </c>
    </row>
    <row r="1230">
      <c r="A1230" s="8" t="s">
        <v>263</v>
      </c>
      <c r="B1230" s="8" t="s">
        <v>1453</v>
      </c>
      <c r="C1230" s="8" t="s">
        <v>12</v>
      </c>
      <c r="D1230" s="8" t="s">
        <v>6423</v>
      </c>
      <c r="E1230" s="8">
        <v>70.0</v>
      </c>
    </row>
    <row r="1231">
      <c r="A1231" s="8" t="s">
        <v>263</v>
      </c>
      <c r="B1231" s="8" t="s">
        <v>3485</v>
      </c>
      <c r="C1231" s="8" t="s">
        <v>186</v>
      </c>
      <c r="D1231" s="8" t="s">
        <v>6421</v>
      </c>
      <c r="E1231" s="8">
        <v>62.0</v>
      </c>
    </row>
    <row r="1232">
      <c r="A1232" s="8" t="s">
        <v>263</v>
      </c>
      <c r="B1232" s="8" t="s">
        <v>146</v>
      </c>
      <c r="C1232" s="8" t="s">
        <v>75</v>
      </c>
      <c r="D1232" s="8" t="s">
        <v>6427</v>
      </c>
      <c r="E1232" s="8">
        <v>68.0</v>
      </c>
    </row>
    <row r="1233">
      <c r="A1233" s="8" t="s">
        <v>263</v>
      </c>
      <c r="B1233" s="8" t="s">
        <v>1164</v>
      </c>
      <c r="C1233" s="8" t="s">
        <v>186</v>
      </c>
      <c r="D1233" s="8" t="s">
        <v>6417</v>
      </c>
      <c r="E1233" s="8">
        <v>61.0</v>
      </c>
    </row>
    <row r="1234">
      <c r="A1234" s="8" t="s">
        <v>263</v>
      </c>
      <c r="B1234" s="8" t="s">
        <v>3392</v>
      </c>
      <c r="C1234" s="8" t="s">
        <v>65</v>
      </c>
      <c r="D1234" s="8" t="s">
        <v>6443</v>
      </c>
      <c r="E1234" s="8">
        <v>64.0</v>
      </c>
    </row>
    <row r="1235">
      <c r="A1235" s="8" t="s">
        <v>263</v>
      </c>
      <c r="B1235" s="8" t="s">
        <v>3194</v>
      </c>
      <c r="C1235" s="8" t="s">
        <v>122</v>
      </c>
      <c r="D1235" s="8" t="s">
        <v>6442</v>
      </c>
      <c r="E1235" s="8">
        <v>62.0</v>
      </c>
    </row>
    <row r="1236">
      <c r="A1236" s="8" t="s">
        <v>263</v>
      </c>
      <c r="B1236" s="8" t="s">
        <v>2024</v>
      </c>
      <c r="C1236" s="8" t="s">
        <v>215</v>
      </c>
      <c r="D1236" s="8" t="s">
        <v>6417</v>
      </c>
      <c r="E1236" s="8">
        <v>76.0</v>
      </c>
    </row>
    <row r="1237">
      <c r="A1237" s="8" t="s">
        <v>263</v>
      </c>
      <c r="B1237" s="8" t="s">
        <v>762</v>
      </c>
      <c r="C1237" s="8" t="s">
        <v>149</v>
      </c>
      <c r="D1237" s="8" t="s">
        <v>6430</v>
      </c>
      <c r="E1237" s="8">
        <v>72.0</v>
      </c>
    </row>
    <row r="1238">
      <c r="A1238" s="8" t="s">
        <v>263</v>
      </c>
      <c r="B1238" s="8" t="s">
        <v>537</v>
      </c>
      <c r="C1238" s="8" t="s">
        <v>122</v>
      </c>
      <c r="D1238" s="8" t="s">
        <v>6420</v>
      </c>
      <c r="E1238" s="8">
        <v>72.0</v>
      </c>
    </row>
    <row r="1239">
      <c r="A1239" s="8" t="s">
        <v>263</v>
      </c>
      <c r="B1239" s="8" t="s">
        <v>785</v>
      </c>
      <c r="C1239" s="8" t="s">
        <v>192</v>
      </c>
      <c r="D1239" s="8" t="s">
        <v>6436</v>
      </c>
      <c r="E1239" s="8">
        <v>67.0</v>
      </c>
    </row>
    <row r="1240">
      <c r="A1240" s="8" t="s">
        <v>263</v>
      </c>
      <c r="B1240" s="8" t="s">
        <v>164</v>
      </c>
      <c r="C1240" s="8" t="s">
        <v>65</v>
      </c>
      <c r="D1240" s="8" t="s">
        <v>6424</v>
      </c>
      <c r="E1240" s="8">
        <v>81.0</v>
      </c>
    </row>
    <row r="1241">
      <c r="A1241" s="8" t="s">
        <v>2961</v>
      </c>
      <c r="B1241" s="8" t="s">
        <v>220</v>
      </c>
      <c r="C1241" s="8" t="s">
        <v>65</v>
      </c>
      <c r="D1241" s="8" t="s">
        <v>6421</v>
      </c>
      <c r="E1241" s="8">
        <v>91.0</v>
      </c>
    </row>
    <row r="1242">
      <c r="A1242" s="8" t="s">
        <v>91</v>
      </c>
      <c r="B1242" s="8" t="s">
        <v>2727</v>
      </c>
      <c r="C1242" s="8" t="s">
        <v>75</v>
      </c>
      <c r="D1242" s="8" t="s">
        <v>6437</v>
      </c>
      <c r="E1242" s="8">
        <v>58.0</v>
      </c>
    </row>
    <row r="1243">
      <c r="A1243" s="8" t="s">
        <v>301</v>
      </c>
      <c r="B1243" s="8" t="s">
        <v>2930</v>
      </c>
      <c r="C1243" s="8" t="s">
        <v>16</v>
      </c>
      <c r="D1243" s="8" t="s">
        <v>6440</v>
      </c>
      <c r="E1243" s="8">
        <v>73.0</v>
      </c>
    </row>
    <row r="1244">
      <c r="A1244" s="8" t="s">
        <v>301</v>
      </c>
      <c r="B1244" s="8" t="s">
        <v>3348</v>
      </c>
      <c r="C1244" s="8" t="s">
        <v>186</v>
      </c>
      <c r="D1244" s="8" t="s">
        <v>6437</v>
      </c>
      <c r="E1244" s="8">
        <v>73.0</v>
      </c>
    </row>
    <row r="1245">
      <c r="A1245" s="8" t="s">
        <v>301</v>
      </c>
      <c r="B1245" s="8" t="s">
        <v>1023</v>
      </c>
      <c r="C1245" s="8" t="s">
        <v>93</v>
      </c>
      <c r="D1245" s="8" t="s">
        <v>6417</v>
      </c>
      <c r="E1245" s="8">
        <v>72.0</v>
      </c>
    </row>
    <row r="1246">
      <c r="A1246" s="8" t="s">
        <v>301</v>
      </c>
      <c r="B1246" s="8" t="s">
        <v>3053</v>
      </c>
      <c r="C1246" s="8" t="s">
        <v>75</v>
      </c>
      <c r="D1246" s="8" t="s">
        <v>6427</v>
      </c>
      <c r="E1246" s="8">
        <v>89.0</v>
      </c>
    </row>
    <row r="1247">
      <c r="A1247" s="8" t="s">
        <v>301</v>
      </c>
      <c r="B1247" s="8" t="s">
        <v>2913</v>
      </c>
      <c r="C1247" s="8" t="s">
        <v>65</v>
      </c>
      <c r="D1247" s="8" t="s">
        <v>6431</v>
      </c>
      <c r="E1247" s="8">
        <v>57.0</v>
      </c>
    </row>
    <row r="1248">
      <c r="A1248" s="8" t="s">
        <v>301</v>
      </c>
      <c r="B1248" s="8" t="s">
        <v>1187</v>
      </c>
      <c r="C1248" s="8" t="s">
        <v>93</v>
      </c>
      <c r="D1248" s="8" t="s">
        <v>6421</v>
      </c>
      <c r="E1248" s="8">
        <v>61.0</v>
      </c>
    </row>
    <row r="1249">
      <c r="A1249" s="8" t="s">
        <v>301</v>
      </c>
      <c r="B1249" s="8" t="s">
        <v>1150</v>
      </c>
      <c r="C1249" s="8" t="s">
        <v>65</v>
      </c>
      <c r="D1249" s="8" t="s">
        <v>6416</v>
      </c>
      <c r="E1249" s="8">
        <v>75.0</v>
      </c>
    </row>
    <row r="1250">
      <c r="A1250" s="8" t="s">
        <v>301</v>
      </c>
      <c r="B1250" s="8" t="s">
        <v>783</v>
      </c>
      <c r="C1250" s="8" t="s">
        <v>65</v>
      </c>
      <c r="D1250" s="8" t="s">
        <v>6414</v>
      </c>
      <c r="E1250" s="8">
        <v>72.0</v>
      </c>
    </row>
    <row r="1251">
      <c r="A1251" s="8" t="s">
        <v>301</v>
      </c>
      <c r="B1251" s="8" t="s">
        <v>2851</v>
      </c>
      <c r="C1251" s="8" t="s">
        <v>65</v>
      </c>
      <c r="D1251" s="8" t="s">
        <v>6426</v>
      </c>
      <c r="E1251" s="8">
        <v>71.0</v>
      </c>
    </row>
    <row r="1252">
      <c r="A1252" s="8" t="s">
        <v>301</v>
      </c>
      <c r="B1252" s="8" t="s">
        <v>3334</v>
      </c>
      <c r="C1252" s="8" t="s">
        <v>75</v>
      </c>
      <c r="D1252" s="8" t="s">
        <v>6418</v>
      </c>
      <c r="E1252" s="8">
        <v>69.0</v>
      </c>
    </row>
    <row r="1253">
      <c r="A1253" s="8" t="s">
        <v>301</v>
      </c>
      <c r="B1253" s="8" t="s">
        <v>284</v>
      </c>
      <c r="C1253" s="8" t="s">
        <v>80</v>
      </c>
      <c r="D1253" s="8" t="s">
        <v>6421</v>
      </c>
      <c r="E1253" s="8">
        <v>74.0</v>
      </c>
    </row>
    <row r="1254">
      <c r="A1254" s="8" t="s">
        <v>301</v>
      </c>
      <c r="B1254" s="8" t="s">
        <v>1469</v>
      </c>
      <c r="C1254" s="8" t="s">
        <v>186</v>
      </c>
      <c r="D1254" s="8" t="s">
        <v>6416</v>
      </c>
      <c r="E1254" s="8">
        <v>64.0</v>
      </c>
    </row>
    <row r="1255">
      <c r="A1255" s="8" t="s">
        <v>301</v>
      </c>
      <c r="B1255" s="8" t="s">
        <v>1170</v>
      </c>
      <c r="C1255" s="8" t="s">
        <v>70</v>
      </c>
      <c r="D1255" s="8" t="s">
        <v>6428</v>
      </c>
      <c r="E1255" s="8">
        <v>61.0</v>
      </c>
    </row>
    <row r="1256">
      <c r="A1256" s="8" t="s">
        <v>301</v>
      </c>
      <c r="B1256" s="8" t="s">
        <v>537</v>
      </c>
      <c r="C1256" s="8" t="s">
        <v>24</v>
      </c>
      <c r="D1256" s="8" t="s">
        <v>6418</v>
      </c>
      <c r="E1256" s="8">
        <v>74.0</v>
      </c>
    </row>
    <row r="1257">
      <c r="A1257" s="8" t="s">
        <v>301</v>
      </c>
      <c r="B1257" s="8" t="s">
        <v>2179</v>
      </c>
      <c r="C1257" s="8" t="s">
        <v>65</v>
      </c>
      <c r="D1257" s="8" t="s">
        <v>6417</v>
      </c>
      <c r="E1257" s="8">
        <v>68.0</v>
      </c>
    </row>
    <row r="1258">
      <c r="A1258" s="8" t="s">
        <v>301</v>
      </c>
      <c r="B1258" s="8" t="s">
        <v>1164</v>
      </c>
      <c r="C1258" s="8" t="s">
        <v>192</v>
      </c>
      <c r="D1258" s="8" t="s">
        <v>6416</v>
      </c>
      <c r="E1258" s="8">
        <v>67.0</v>
      </c>
    </row>
    <row r="1259">
      <c r="A1259" s="8" t="s">
        <v>301</v>
      </c>
      <c r="B1259" s="8" t="s">
        <v>1400</v>
      </c>
      <c r="C1259" s="8" t="s">
        <v>59</v>
      </c>
      <c r="D1259" s="8" t="s">
        <v>6423</v>
      </c>
      <c r="E1259" s="8">
        <v>64.0</v>
      </c>
    </row>
    <row r="1260">
      <c r="A1260" s="8" t="s">
        <v>301</v>
      </c>
      <c r="B1260" s="8" t="s">
        <v>2878</v>
      </c>
      <c r="C1260" s="8" t="s">
        <v>59</v>
      </c>
      <c r="D1260" s="8" t="s">
        <v>6431</v>
      </c>
      <c r="E1260" s="8">
        <v>62.0</v>
      </c>
    </row>
    <row r="1261">
      <c r="A1261" s="8" t="s">
        <v>301</v>
      </c>
      <c r="B1261" s="8" t="s">
        <v>566</v>
      </c>
      <c r="C1261" s="8" t="s">
        <v>132</v>
      </c>
      <c r="D1261" s="8" t="s">
        <v>6423</v>
      </c>
      <c r="E1261" s="8">
        <v>80.0</v>
      </c>
    </row>
    <row r="1262">
      <c r="A1262" s="8" t="s">
        <v>301</v>
      </c>
      <c r="B1262" s="8" t="s">
        <v>698</v>
      </c>
      <c r="C1262" s="8" t="s">
        <v>65</v>
      </c>
      <c r="D1262" s="8" t="s">
        <v>6443</v>
      </c>
      <c r="E1262" s="8">
        <v>78.0</v>
      </c>
    </row>
    <row r="1263">
      <c r="A1263" s="8" t="s">
        <v>301</v>
      </c>
      <c r="B1263" s="8" t="s">
        <v>828</v>
      </c>
      <c r="C1263" s="8" t="s">
        <v>149</v>
      </c>
      <c r="D1263" s="8" t="s">
        <v>6413</v>
      </c>
      <c r="E1263" s="8">
        <v>70.0</v>
      </c>
    </row>
    <row r="1264">
      <c r="A1264" s="8" t="s">
        <v>301</v>
      </c>
      <c r="B1264" s="8" t="s">
        <v>396</v>
      </c>
      <c r="C1264" s="8" t="s">
        <v>59</v>
      </c>
      <c r="D1264" s="8" t="s">
        <v>6440</v>
      </c>
      <c r="E1264" s="8">
        <v>68.0</v>
      </c>
    </row>
    <row r="1265">
      <c r="A1265" s="8" t="s">
        <v>301</v>
      </c>
      <c r="B1265" s="8" t="s">
        <v>3181</v>
      </c>
      <c r="C1265" s="8" t="s">
        <v>65</v>
      </c>
      <c r="D1265" s="8" t="s">
        <v>6443</v>
      </c>
      <c r="E1265" s="8">
        <v>64.0</v>
      </c>
    </row>
    <row r="1266">
      <c r="A1266" s="8" t="s">
        <v>301</v>
      </c>
      <c r="B1266" s="8" t="s">
        <v>104</v>
      </c>
      <c r="C1266" s="8" t="s">
        <v>132</v>
      </c>
      <c r="D1266" s="8" t="s">
        <v>6434</v>
      </c>
      <c r="E1266" s="8">
        <v>62.0</v>
      </c>
    </row>
    <row r="1267">
      <c r="A1267" s="8" t="s">
        <v>301</v>
      </c>
      <c r="B1267" s="8" t="s">
        <v>460</v>
      </c>
      <c r="C1267" s="8" t="s">
        <v>141</v>
      </c>
      <c r="D1267" s="8" t="s">
        <v>6426</v>
      </c>
      <c r="E1267" s="8">
        <v>61.0</v>
      </c>
    </row>
    <row r="1268">
      <c r="A1268" s="8" t="s">
        <v>301</v>
      </c>
      <c r="B1268" s="8" t="s">
        <v>1505</v>
      </c>
      <c r="C1268" s="8" t="s">
        <v>53</v>
      </c>
      <c r="D1268" s="8" t="s">
        <v>6414</v>
      </c>
      <c r="E1268" s="8">
        <v>63.0</v>
      </c>
    </row>
    <row r="1269">
      <c r="A1269" s="8" t="s">
        <v>301</v>
      </c>
      <c r="B1269" s="8" t="s">
        <v>740</v>
      </c>
      <c r="C1269" s="8" t="s">
        <v>12</v>
      </c>
      <c r="D1269" s="8" t="s">
        <v>6432</v>
      </c>
      <c r="E1269" s="8">
        <v>76.0</v>
      </c>
    </row>
    <row r="1270">
      <c r="A1270" s="8" t="s">
        <v>301</v>
      </c>
      <c r="B1270" s="8" t="s">
        <v>389</v>
      </c>
      <c r="C1270" s="8" t="s">
        <v>93</v>
      </c>
      <c r="D1270" s="8" t="s">
        <v>6413</v>
      </c>
      <c r="E1270" s="8">
        <v>66.0</v>
      </c>
    </row>
    <row r="1271">
      <c r="A1271" s="8" t="s">
        <v>301</v>
      </c>
      <c r="B1271" s="8" t="s">
        <v>389</v>
      </c>
      <c r="C1271" s="8" t="s">
        <v>16</v>
      </c>
      <c r="D1271" s="8" t="s">
        <v>6425</v>
      </c>
      <c r="E1271" s="8">
        <v>63.0</v>
      </c>
    </row>
    <row r="1272">
      <c r="A1272" s="8" t="s">
        <v>301</v>
      </c>
      <c r="B1272" s="8" t="s">
        <v>638</v>
      </c>
      <c r="C1272" s="8" t="s">
        <v>141</v>
      </c>
      <c r="D1272" s="8" t="s">
        <v>6424</v>
      </c>
      <c r="E1272" s="8">
        <v>61.0</v>
      </c>
    </row>
    <row r="1273">
      <c r="A1273" s="8" t="s">
        <v>301</v>
      </c>
      <c r="B1273" s="8" t="s">
        <v>308</v>
      </c>
      <c r="C1273" s="8" t="s">
        <v>93</v>
      </c>
      <c r="D1273" s="8" t="s">
        <v>6426</v>
      </c>
      <c r="E1273" s="8">
        <v>72.0</v>
      </c>
    </row>
    <row r="1274">
      <c r="A1274" s="8" t="s">
        <v>301</v>
      </c>
      <c r="B1274" s="8" t="s">
        <v>1716</v>
      </c>
      <c r="C1274" s="8" t="s">
        <v>122</v>
      </c>
      <c r="D1274" s="8" t="s">
        <v>6428</v>
      </c>
      <c r="E1274" s="8">
        <v>71.0</v>
      </c>
    </row>
    <row r="1275">
      <c r="A1275" s="8" t="s">
        <v>301</v>
      </c>
      <c r="B1275" s="8" t="s">
        <v>3362</v>
      </c>
      <c r="C1275" s="8" t="s">
        <v>59</v>
      </c>
      <c r="D1275" s="8" t="s">
        <v>6413</v>
      </c>
      <c r="E1275" s="8">
        <v>69.0</v>
      </c>
    </row>
    <row r="1276">
      <c r="A1276" s="8" t="s">
        <v>301</v>
      </c>
      <c r="B1276" s="8" t="s">
        <v>751</v>
      </c>
      <c r="C1276" s="8" t="s">
        <v>215</v>
      </c>
      <c r="D1276" s="8" t="s">
        <v>6419</v>
      </c>
      <c r="E1276" s="8">
        <v>66.0</v>
      </c>
    </row>
    <row r="1277">
      <c r="A1277" s="8" t="s">
        <v>301</v>
      </c>
      <c r="B1277" s="8" t="s">
        <v>89</v>
      </c>
      <c r="C1277" s="8" t="s">
        <v>24</v>
      </c>
      <c r="D1277" s="8" t="s">
        <v>6431</v>
      </c>
      <c r="E1277" s="8">
        <v>54.0</v>
      </c>
    </row>
    <row r="1278">
      <c r="A1278" s="8" t="s">
        <v>301</v>
      </c>
      <c r="B1278" s="8" t="s">
        <v>300</v>
      </c>
      <c r="C1278" s="8" t="s">
        <v>93</v>
      </c>
      <c r="D1278" s="8" t="s">
        <v>6416</v>
      </c>
      <c r="E1278" s="8">
        <v>90.0</v>
      </c>
    </row>
    <row r="1279">
      <c r="A1279" s="8" t="s">
        <v>1283</v>
      </c>
      <c r="B1279" s="8" t="s">
        <v>2847</v>
      </c>
      <c r="C1279" s="8" t="s">
        <v>93</v>
      </c>
      <c r="D1279" s="8" t="s">
        <v>6416</v>
      </c>
      <c r="E1279" s="8">
        <v>64.0</v>
      </c>
    </row>
    <row r="1280">
      <c r="A1280" s="8" t="s">
        <v>1283</v>
      </c>
      <c r="B1280" s="8" t="s">
        <v>1766</v>
      </c>
      <c r="C1280" s="8" t="s">
        <v>16</v>
      </c>
      <c r="D1280" s="8" t="s">
        <v>6439</v>
      </c>
      <c r="E1280" s="8">
        <v>72.0</v>
      </c>
    </row>
    <row r="1281">
      <c r="A1281" s="8" t="s">
        <v>1283</v>
      </c>
      <c r="B1281" s="8" t="s">
        <v>1282</v>
      </c>
      <c r="C1281" s="8" t="s">
        <v>24</v>
      </c>
      <c r="D1281" s="8" t="s">
        <v>6431</v>
      </c>
      <c r="E1281" s="8">
        <v>64.0</v>
      </c>
    </row>
    <row r="1282">
      <c r="A1282" s="8" t="s">
        <v>1283</v>
      </c>
      <c r="B1282" s="8" t="s">
        <v>1450</v>
      </c>
      <c r="C1282" s="8" t="s">
        <v>132</v>
      </c>
      <c r="D1282" s="8" t="s">
        <v>6422</v>
      </c>
      <c r="E1282" s="8">
        <v>69.0</v>
      </c>
    </row>
    <row r="1283">
      <c r="A1283" s="8" t="s">
        <v>1283</v>
      </c>
      <c r="B1283" s="8" t="s">
        <v>2992</v>
      </c>
      <c r="C1283" s="8" t="s">
        <v>59</v>
      </c>
      <c r="D1283" s="8" t="s">
        <v>6432</v>
      </c>
      <c r="E1283" s="8">
        <v>68.0</v>
      </c>
    </row>
    <row r="1284">
      <c r="A1284" s="8" t="s">
        <v>1283</v>
      </c>
      <c r="B1284" s="8" t="s">
        <v>350</v>
      </c>
      <c r="C1284" s="8" t="s">
        <v>65</v>
      </c>
      <c r="D1284" s="8" t="s">
        <v>6427</v>
      </c>
      <c r="E1284" s="8">
        <v>70.0</v>
      </c>
    </row>
    <row r="1285">
      <c r="A1285" s="8" t="s">
        <v>3347</v>
      </c>
      <c r="B1285" s="8" t="s">
        <v>3346</v>
      </c>
      <c r="C1285" s="8" t="s">
        <v>132</v>
      </c>
      <c r="D1285" s="8" t="s">
        <v>6423</v>
      </c>
      <c r="E1285" s="8">
        <v>61.0</v>
      </c>
    </row>
    <row r="1286">
      <c r="A1286" s="8" t="s">
        <v>1880</v>
      </c>
      <c r="B1286" s="8" t="s">
        <v>94</v>
      </c>
      <c r="C1286" s="8" t="s">
        <v>93</v>
      </c>
      <c r="D1286" s="8" t="s">
        <v>6442</v>
      </c>
      <c r="E1286" s="8">
        <v>75.0</v>
      </c>
    </row>
    <row r="1287">
      <c r="A1287" s="8" t="s">
        <v>3156</v>
      </c>
      <c r="B1287" s="8" t="s">
        <v>3155</v>
      </c>
      <c r="C1287" s="8" t="s">
        <v>93</v>
      </c>
      <c r="D1287" s="8" t="s">
        <v>6426</v>
      </c>
      <c r="E1287" s="8">
        <v>72.0</v>
      </c>
    </row>
    <row r="1288">
      <c r="A1288" s="8" t="s">
        <v>2421</v>
      </c>
      <c r="B1288" s="8" t="s">
        <v>2420</v>
      </c>
      <c r="C1288" s="8" t="s">
        <v>65</v>
      </c>
      <c r="D1288" s="8" t="s">
        <v>6439</v>
      </c>
      <c r="E1288" s="8">
        <v>73.0</v>
      </c>
    </row>
    <row r="1289">
      <c r="A1289" s="8" t="s">
        <v>151</v>
      </c>
      <c r="B1289" s="8" t="s">
        <v>805</v>
      </c>
      <c r="C1289" s="8" t="s">
        <v>186</v>
      </c>
      <c r="D1289" s="8" t="s">
        <v>6440</v>
      </c>
      <c r="E1289" s="8">
        <v>63.0</v>
      </c>
    </row>
    <row r="1290">
      <c r="A1290" s="8" t="s">
        <v>151</v>
      </c>
      <c r="B1290" s="8" t="s">
        <v>150</v>
      </c>
      <c r="C1290" s="8" t="s">
        <v>65</v>
      </c>
      <c r="D1290" s="8" t="s">
        <v>6436</v>
      </c>
      <c r="E1290" s="8">
        <v>89.0</v>
      </c>
    </row>
    <row r="1291">
      <c r="A1291" s="8" t="s">
        <v>151</v>
      </c>
      <c r="B1291" s="8" t="s">
        <v>3307</v>
      </c>
      <c r="C1291" s="8" t="s">
        <v>261</v>
      </c>
      <c r="D1291" s="8" t="s">
        <v>6440</v>
      </c>
      <c r="E1291" s="8">
        <v>63.0</v>
      </c>
    </row>
    <row r="1292">
      <c r="A1292" s="8" t="s">
        <v>5167</v>
      </c>
      <c r="B1292" s="8" t="s">
        <v>1757</v>
      </c>
      <c r="C1292" s="8" t="s">
        <v>149</v>
      </c>
      <c r="D1292" s="8" t="s">
        <v>6434</v>
      </c>
      <c r="E1292" s="8">
        <v>70.0</v>
      </c>
    </row>
    <row r="1293">
      <c r="A1293" s="8" t="s">
        <v>390</v>
      </c>
      <c r="B1293" s="8" t="s">
        <v>284</v>
      </c>
      <c r="C1293" s="8" t="s">
        <v>65</v>
      </c>
      <c r="D1293" s="8" t="s">
        <v>6431</v>
      </c>
      <c r="E1293" s="8">
        <v>98.0</v>
      </c>
    </row>
    <row r="1294">
      <c r="A1294" s="8" t="s">
        <v>2991</v>
      </c>
      <c r="B1294" s="8" t="s">
        <v>62</v>
      </c>
      <c r="C1294" s="8" t="s">
        <v>24</v>
      </c>
      <c r="D1294" s="8" t="s">
        <v>6415</v>
      </c>
      <c r="E1294" s="8">
        <v>81.0</v>
      </c>
    </row>
    <row r="1295">
      <c r="A1295" s="8" t="s">
        <v>2991</v>
      </c>
      <c r="B1295" s="8" t="s">
        <v>3122</v>
      </c>
      <c r="C1295" s="8" t="s">
        <v>122</v>
      </c>
      <c r="D1295" s="8" t="s">
        <v>6415</v>
      </c>
      <c r="E1295" s="8">
        <v>65.0</v>
      </c>
    </row>
    <row r="1296">
      <c r="A1296" s="8" t="s">
        <v>2991</v>
      </c>
      <c r="B1296" s="8" t="s">
        <v>2213</v>
      </c>
      <c r="C1296" s="8" t="s">
        <v>215</v>
      </c>
      <c r="D1296" s="8" t="s">
        <v>6441</v>
      </c>
      <c r="E1296" s="8">
        <v>83.0</v>
      </c>
    </row>
    <row r="1297">
      <c r="A1297" s="8" t="s">
        <v>3420</v>
      </c>
      <c r="B1297" s="8" t="s">
        <v>3419</v>
      </c>
      <c r="C1297" s="8" t="s">
        <v>93</v>
      </c>
      <c r="D1297" s="8" t="s">
        <v>6419</v>
      </c>
      <c r="E1297" s="8">
        <v>68.0</v>
      </c>
    </row>
    <row r="1298">
      <c r="A1298" s="8" t="s">
        <v>3264</v>
      </c>
      <c r="B1298" s="8" t="s">
        <v>3263</v>
      </c>
      <c r="C1298" s="8" t="s">
        <v>53</v>
      </c>
      <c r="D1298" s="8" t="s">
        <v>6416</v>
      </c>
      <c r="E1298" s="8">
        <v>76.0</v>
      </c>
    </row>
    <row r="1299">
      <c r="A1299" s="8" t="s">
        <v>495</v>
      </c>
      <c r="B1299" s="8" t="s">
        <v>494</v>
      </c>
      <c r="C1299" s="8" t="s">
        <v>215</v>
      </c>
      <c r="D1299" s="8" t="s">
        <v>6423</v>
      </c>
      <c r="E1299" s="8">
        <v>86.0</v>
      </c>
    </row>
    <row r="1300">
      <c r="A1300" s="8" t="s">
        <v>381</v>
      </c>
      <c r="B1300" s="8" t="s">
        <v>1238</v>
      </c>
      <c r="C1300" s="8" t="s">
        <v>186</v>
      </c>
      <c r="D1300" s="8" t="s">
        <v>6437</v>
      </c>
      <c r="E1300" s="8">
        <v>72.0</v>
      </c>
    </row>
    <row r="1301">
      <c r="A1301" s="8" t="s">
        <v>381</v>
      </c>
      <c r="B1301" s="8" t="s">
        <v>1380</v>
      </c>
      <c r="C1301" s="8" t="s">
        <v>65</v>
      </c>
      <c r="D1301" s="8" t="s">
        <v>6439</v>
      </c>
      <c r="E1301" s="8">
        <v>71.0</v>
      </c>
    </row>
    <row r="1302">
      <c r="A1302" s="8" t="s">
        <v>381</v>
      </c>
      <c r="B1302" s="8" t="s">
        <v>655</v>
      </c>
      <c r="C1302" s="8" t="s">
        <v>141</v>
      </c>
      <c r="D1302" s="8" t="s">
        <v>6433</v>
      </c>
      <c r="E1302" s="8">
        <v>80.0</v>
      </c>
    </row>
    <row r="1303">
      <c r="A1303" s="8" t="s">
        <v>381</v>
      </c>
      <c r="B1303" s="8" t="s">
        <v>3116</v>
      </c>
      <c r="C1303" s="8" t="s">
        <v>38</v>
      </c>
      <c r="D1303" s="8" t="s">
        <v>6421</v>
      </c>
      <c r="E1303" s="8">
        <v>75.0</v>
      </c>
    </row>
    <row r="1304">
      <c r="A1304" s="8" t="s">
        <v>381</v>
      </c>
      <c r="B1304" s="8" t="s">
        <v>1164</v>
      </c>
      <c r="C1304" s="8" t="s">
        <v>80</v>
      </c>
      <c r="D1304" s="8" t="s">
        <v>6426</v>
      </c>
      <c r="E1304" s="8">
        <v>73.0</v>
      </c>
    </row>
    <row r="1305">
      <c r="A1305" s="8" t="s">
        <v>381</v>
      </c>
      <c r="B1305" s="8" t="s">
        <v>1181</v>
      </c>
      <c r="C1305" s="8" t="s">
        <v>122</v>
      </c>
      <c r="D1305" s="8" t="s">
        <v>6424</v>
      </c>
      <c r="E1305" s="8">
        <v>64.0</v>
      </c>
    </row>
    <row r="1306">
      <c r="A1306" s="8" t="s">
        <v>381</v>
      </c>
      <c r="B1306" s="8" t="s">
        <v>767</v>
      </c>
      <c r="C1306" s="8" t="s">
        <v>149</v>
      </c>
      <c r="D1306" s="8" t="s">
        <v>6412</v>
      </c>
      <c r="E1306" s="8">
        <v>62.0</v>
      </c>
    </row>
    <row r="1307">
      <c r="A1307" s="8" t="s">
        <v>381</v>
      </c>
      <c r="B1307" s="8" t="s">
        <v>3445</v>
      </c>
      <c r="C1307" s="8" t="s">
        <v>53</v>
      </c>
      <c r="D1307" s="8" t="s">
        <v>6423</v>
      </c>
      <c r="E1307" s="8">
        <v>58.0</v>
      </c>
    </row>
    <row r="1308">
      <c r="A1308" s="8" t="s">
        <v>381</v>
      </c>
      <c r="B1308" s="8" t="s">
        <v>380</v>
      </c>
      <c r="C1308" s="8" t="s">
        <v>53</v>
      </c>
      <c r="D1308" s="8" t="s">
        <v>6437</v>
      </c>
      <c r="E1308" s="8">
        <v>93.0</v>
      </c>
    </row>
    <row r="1309">
      <c r="A1309" s="8" t="s">
        <v>381</v>
      </c>
      <c r="B1309" s="8" t="s">
        <v>1615</v>
      </c>
      <c r="C1309" s="8" t="s">
        <v>80</v>
      </c>
      <c r="D1309" s="8" t="s">
        <v>6412</v>
      </c>
      <c r="E1309" s="8">
        <v>72.0</v>
      </c>
    </row>
    <row r="1310">
      <c r="A1310" s="8" t="s">
        <v>381</v>
      </c>
      <c r="B1310" s="8" t="s">
        <v>677</v>
      </c>
      <c r="C1310" s="8" t="s">
        <v>122</v>
      </c>
      <c r="D1310" s="8" t="s">
        <v>6438</v>
      </c>
      <c r="E1310" s="8">
        <v>70.0</v>
      </c>
    </row>
    <row r="1311">
      <c r="A1311" s="8" t="s">
        <v>381</v>
      </c>
      <c r="B1311" s="8" t="s">
        <v>579</v>
      </c>
      <c r="C1311" s="8" t="s">
        <v>132</v>
      </c>
      <c r="D1311" s="8" t="s">
        <v>6421</v>
      </c>
      <c r="E1311" s="8">
        <v>67.0</v>
      </c>
    </row>
    <row r="1312">
      <c r="A1312" s="8" t="s">
        <v>381</v>
      </c>
      <c r="B1312" s="8" t="s">
        <v>61</v>
      </c>
      <c r="C1312" s="8" t="s">
        <v>70</v>
      </c>
      <c r="D1312" s="8" t="s">
        <v>6414</v>
      </c>
      <c r="E1312" s="8">
        <v>64.0</v>
      </c>
    </row>
    <row r="1313">
      <c r="A1313" s="8" t="s">
        <v>381</v>
      </c>
      <c r="B1313" s="8" t="s">
        <v>877</v>
      </c>
      <c r="C1313" s="8" t="s">
        <v>93</v>
      </c>
      <c r="D1313" s="8" t="s">
        <v>6436</v>
      </c>
      <c r="E1313" s="8">
        <v>73.0</v>
      </c>
    </row>
    <row r="1314">
      <c r="A1314" s="8" t="s">
        <v>381</v>
      </c>
      <c r="B1314" s="8" t="s">
        <v>1607</v>
      </c>
      <c r="C1314" s="8" t="s">
        <v>46</v>
      </c>
      <c r="D1314" s="8" t="s">
        <v>6433</v>
      </c>
      <c r="E1314" s="8">
        <v>64.0</v>
      </c>
    </row>
    <row r="1315">
      <c r="A1315" s="8" t="s">
        <v>381</v>
      </c>
      <c r="B1315" s="8" t="s">
        <v>592</v>
      </c>
      <c r="C1315" s="8" t="s">
        <v>75</v>
      </c>
      <c r="D1315" s="8" t="s">
        <v>6425</v>
      </c>
      <c r="E1315" s="8">
        <v>86.0</v>
      </c>
    </row>
    <row r="1316">
      <c r="A1316" s="8" t="s">
        <v>381</v>
      </c>
      <c r="B1316" s="8" t="s">
        <v>934</v>
      </c>
      <c r="C1316" s="8" t="s">
        <v>65</v>
      </c>
      <c r="D1316" s="8" t="s">
        <v>6431</v>
      </c>
      <c r="E1316" s="8">
        <v>73.0</v>
      </c>
    </row>
    <row r="1317">
      <c r="A1317" s="8" t="s">
        <v>381</v>
      </c>
      <c r="B1317" s="8" t="s">
        <v>473</v>
      </c>
      <c r="C1317" s="8" t="s">
        <v>93</v>
      </c>
      <c r="D1317" s="8" t="s">
        <v>6419</v>
      </c>
      <c r="E1317" s="8">
        <v>72.0</v>
      </c>
    </row>
    <row r="1318">
      <c r="A1318" s="8" t="s">
        <v>381</v>
      </c>
      <c r="B1318" s="8" t="s">
        <v>609</v>
      </c>
      <c r="C1318" s="8" t="s">
        <v>12</v>
      </c>
      <c r="D1318" s="8" t="s">
        <v>6435</v>
      </c>
      <c r="E1318" s="8">
        <v>87.0</v>
      </c>
    </row>
    <row r="1319">
      <c r="A1319" s="8" t="s">
        <v>1110</v>
      </c>
      <c r="B1319" s="8" t="s">
        <v>1109</v>
      </c>
      <c r="C1319" s="8" t="s">
        <v>93</v>
      </c>
      <c r="D1319" s="8" t="s">
        <v>6440</v>
      </c>
      <c r="E1319" s="8">
        <v>69.0</v>
      </c>
    </row>
    <row r="1320">
      <c r="A1320" s="8" t="s">
        <v>3468</v>
      </c>
      <c r="B1320" s="8" t="s">
        <v>444</v>
      </c>
      <c r="C1320" s="8" t="s">
        <v>70</v>
      </c>
      <c r="D1320" s="8" t="s">
        <v>6412</v>
      </c>
      <c r="E1320" s="8">
        <v>69.0</v>
      </c>
    </row>
    <row r="1321">
      <c r="A1321" s="8" t="s">
        <v>3119</v>
      </c>
      <c r="B1321" s="8" t="s">
        <v>1049</v>
      </c>
      <c r="C1321" s="8" t="s">
        <v>149</v>
      </c>
      <c r="D1321" s="8" t="s">
        <v>6438</v>
      </c>
      <c r="E1321" s="8">
        <v>66.0</v>
      </c>
    </row>
    <row r="1322">
      <c r="A1322" s="8" t="s">
        <v>6407</v>
      </c>
      <c r="B1322" s="8" t="s">
        <v>246</v>
      </c>
      <c r="C1322" s="8" t="s">
        <v>65</v>
      </c>
      <c r="D1322" s="8" t="s">
        <v>6440</v>
      </c>
      <c r="E1322" s="8">
        <v>65.0</v>
      </c>
    </row>
    <row r="1323">
      <c r="A1323" s="8" t="s">
        <v>6408</v>
      </c>
      <c r="B1323" s="8" t="s">
        <v>780</v>
      </c>
      <c r="C1323" s="8" t="s">
        <v>65</v>
      </c>
      <c r="D1323" s="8" t="s">
        <v>6438</v>
      </c>
      <c r="E1323" s="8">
        <v>62.0</v>
      </c>
    </row>
    <row r="1324">
      <c r="A1324" s="8" t="s">
        <v>6408</v>
      </c>
      <c r="B1324" s="8" t="s">
        <v>1457</v>
      </c>
      <c r="C1324" s="8" t="s">
        <v>192</v>
      </c>
      <c r="D1324" s="8" t="s">
        <v>6434</v>
      </c>
      <c r="E1324" s="8">
        <v>65.0</v>
      </c>
    </row>
    <row r="1325">
      <c r="A1325" s="8" t="s">
        <v>6408</v>
      </c>
      <c r="B1325" s="8" t="s">
        <v>455</v>
      </c>
      <c r="C1325" s="8" t="s">
        <v>59</v>
      </c>
      <c r="D1325" s="8" t="s">
        <v>6433</v>
      </c>
      <c r="E1325" s="8">
        <v>87.0</v>
      </c>
    </row>
    <row r="1326">
      <c r="A1326" s="8" t="s">
        <v>5203</v>
      </c>
      <c r="B1326" s="8" t="s">
        <v>78</v>
      </c>
      <c r="C1326" s="8" t="s">
        <v>93</v>
      </c>
      <c r="D1326" s="8" t="s">
        <v>6422</v>
      </c>
      <c r="E1326" s="8">
        <v>74.0</v>
      </c>
    </row>
    <row r="1327">
      <c r="A1327" s="8" t="s">
        <v>5239</v>
      </c>
      <c r="B1327" s="8" t="s">
        <v>2719</v>
      </c>
      <c r="C1327" s="8" t="s">
        <v>70</v>
      </c>
      <c r="D1327" s="8" t="s">
        <v>6427</v>
      </c>
      <c r="E1327" s="8">
        <v>72.0</v>
      </c>
    </row>
    <row r="1328">
      <c r="A1328" s="8" t="s">
        <v>5205</v>
      </c>
      <c r="B1328" s="8" t="s">
        <v>1440</v>
      </c>
      <c r="C1328" s="8" t="s">
        <v>12</v>
      </c>
      <c r="D1328" s="8" t="s">
        <v>6434</v>
      </c>
      <c r="E1328" s="8">
        <v>71.0</v>
      </c>
    </row>
    <row r="1329">
      <c r="A1329" s="8" t="s">
        <v>2775</v>
      </c>
      <c r="B1329" s="8" t="s">
        <v>895</v>
      </c>
      <c r="C1329" s="8" t="s">
        <v>75</v>
      </c>
      <c r="D1329" s="8" t="s">
        <v>6442</v>
      </c>
      <c r="E1329" s="8">
        <v>64.0</v>
      </c>
    </row>
    <row r="1330">
      <c r="A1330" s="8" t="s">
        <v>2734</v>
      </c>
      <c r="B1330" s="8" t="s">
        <v>165</v>
      </c>
      <c r="C1330" s="8" t="s">
        <v>65</v>
      </c>
      <c r="D1330" s="8" t="s">
        <v>6441</v>
      </c>
      <c r="E1330" s="8">
        <v>58.0</v>
      </c>
    </row>
    <row r="1331">
      <c r="A1331" s="8" t="s">
        <v>1917</v>
      </c>
      <c r="B1331" s="8" t="s">
        <v>2789</v>
      </c>
      <c r="C1331" s="8" t="s">
        <v>12</v>
      </c>
      <c r="D1331" s="8" t="s">
        <v>6429</v>
      </c>
      <c r="E1331" s="8">
        <v>77.0</v>
      </c>
    </row>
    <row r="1332">
      <c r="A1332" s="8" t="s">
        <v>1589</v>
      </c>
      <c r="B1332" s="8" t="s">
        <v>223</v>
      </c>
      <c r="C1332" s="8" t="s">
        <v>93</v>
      </c>
      <c r="D1332" s="8" t="s">
        <v>6423</v>
      </c>
      <c r="E1332" s="8">
        <v>64.0</v>
      </c>
    </row>
    <row r="1333">
      <c r="A1333" s="8" t="s">
        <v>1893</v>
      </c>
      <c r="B1333" s="8" t="s">
        <v>3245</v>
      </c>
      <c r="C1333" s="8" t="s">
        <v>122</v>
      </c>
      <c r="D1333" s="8" t="s">
        <v>6432</v>
      </c>
      <c r="E1333" s="8">
        <v>64.0</v>
      </c>
    </row>
    <row r="1334">
      <c r="A1334" s="8" t="s">
        <v>1893</v>
      </c>
      <c r="B1334" s="8" t="s">
        <v>389</v>
      </c>
      <c r="C1334" s="8" t="s">
        <v>132</v>
      </c>
      <c r="D1334" s="8" t="s">
        <v>6419</v>
      </c>
      <c r="E1334" s="8">
        <v>67.0</v>
      </c>
    </row>
    <row r="1335">
      <c r="A1335" s="8" t="s">
        <v>1586</v>
      </c>
      <c r="B1335" s="8" t="s">
        <v>1585</v>
      </c>
      <c r="C1335" s="8" t="s">
        <v>65</v>
      </c>
      <c r="D1335" s="8" t="s">
        <v>6412</v>
      </c>
      <c r="E1335" s="8">
        <v>64.0</v>
      </c>
    </row>
    <row r="1336">
      <c r="A1336" s="8" t="s">
        <v>2725</v>
      </c>
      <c r="B1336" s="8" t="s">
        <v>2724</v>
      </c>
      <c r="C1336" s="8" t="s">
        <v>192</v>
      </c>
      <c r="D1336" s="8" t="s">
        <v>6433</v>
      </c>
      <c r="E1336" s="8">
        <v>95.0</v>
      </c>
    </row>
    <row r="1337">
      <c r="A1337" s="8" t="s">
        <v>1416</v>
      </c>
      <c r="B1337" s="8" t="s">
        <v>1415</v>
      </c>
      <c r="C1337" s="8" t="s">
        <v>186</v>
      </c>
      <c r="D1337" s="8" t="s">
        <v>6435</v>
      </c>
      <c r="E1337" s="8">
        <v>71.0</v>
      </c>
    </row>
    <row r="1338">
      <c r="A1338" s="8" t="s">
        <v>2649</v>
      </c>
      <c r="B1338" s="8" t="s">
        <v>2648</v>
      </c>
      <c r="C1338" s="8" t="s">
        <v>65</v>
      </c>
      <c r="D1338" s="8" t="s">
        <v>6428</v>
      </c>
      <c r="E1338" s="8">
        <v>78.0</v>
      </c>
    </row>
    <row r="1339">
      <c r="A1339" s="8" t="s">
        <v>1117</v>
      </c>
      <c r="B1339" s="8" t="s">
        <v>1116</v>
      </c>
      <c r="C1339" s="8" t="s">
        <v>24</v>
      </c>
      <c r="D1339" s="8" t="s">
        <v>6439</v>
      </c>
      <c r="E1339" s="8">
        <v>42.0</v>
      </c>
    </row>
    <row r="1340">
      <c r="A1340" s="8" t="s">
        <v>1461</v>
      </c>
      <c r="B1340" s="8" t="s">
        <v>1460</v>
      </c>
      <c r="C1340" s="8" t="s">
        <v>59</v>
      </c>
      <c r="D1340" s="8" t="s">
        <v>6424</v>
      </c>
      <c r="E1340" s="8">
        <v>63.0</v>
      </c>
    </row>
    <row r="1341">
      <c r="A1341" s="8" t="s">
        <v>1086</v>
      </c>
      <c r="B1341" s="8" t="s">
        <v>1085</v>
      </c>
      <c r="C1341" s="8" t="s">
        <v>70</v>
      </c>
      <c r="D1341" s="8" t="s">
        <v>6422</v>
      </c>
      <c r="E1341" s="8">
        <v>68.0</v>
      </c>
    </row>
    <row r="1342">
      <c r="A1342" s="8" t="s">
        <v>572</v>
      </c>
      <c r="B1342" s="8" t="s">
        <v>571</v>
      </c>
      <c r="C1342" s="8" t="s">
        <v>138</v>
      </c>
      <c r="D1342" s="8" t="s">
        <v>6427</v>
      </c>
      <c r="E1342" s="8">
        <v>61.0</v>
      </c>
    </row>
    <row r="1343">
      <c r="A1343" s="8" t="s">
        <v>281</v>
      </c>
      <c r="B1343" s="8" t="s">
        <v>205</v>
      </c>
      <c r="C1343" s="8" t="s">
        <v>70</v>
      </c>
      <c r="D1343" s="8" t="s">
        <v>6437</v>
      </c>
      <c r="E1343" s="8">
        <v>75.0</v>
      </c>
    </row>
    <row r="1344">
      <c r="A1344" s="8" t="s">
        <v>281</v>
      </c>
      <c r="B1344" s="8" t="s">
        <v>208</v>
      </c>
      <c r="C1344" s="8" t="s">
        <v>93</v>
      </c>
      <c r="D1344" s="8" t="s">
        <v>6434</v>
      </c>
      <c r="E1344" s="8">
        <v>78.0</v>
      </c>
    </row>
    <row r="1345">
      <c r="A1345" s="8" t="s">
        <v>281</v>
      </c>
      <c r="B1345" s="8" t="s">
        <v>396</v>
      </c>
      <c r="C1345" s="8" t="s">
        <v>53</v>
      </c>
      <c r="D1345" s="8" t="s">
        <v>6419</v>
      </c>
      <c r="E1345" s="8">
        <v>63.0</v>
      </c>
    </row>
    <row r="1346">
      <c r="A1346" s="8" t="s">
        <v>1493</v>
      </c>
      <c r="B1346" s="8" t="s">
        <v>91</v>
      </c>
      <c r="C1346" s="8" t="s">
        <v>192</v>
      </c>
      <c r="D1346" s="8" t="s">
        <v>6438</v>
      </c>
      <c r="E1346" s="8">
        <v>81.0</v>
      </c>
    </row>
    <row r="1347">
      <c r="A1347" s="8" t="s">
        <v>1493</v>
      </c>
      <c r="B1347" s="8" t="s">
        <v>3325</v>
      </c>
      <c r="C1347" s="8" t="s">
        <v>215</v>
      </c>
      <c r="D1347" s="8" t="s">
        <v>6423</v>
      </c>
      <c r="E1347" s="8">
        <v>80.0</v>
      </c>
    </row>
    <row r="1348">
      <c r="A1348" s="8" t="s">
        <v>2754</v>
      </c>
      <c r="B1348" s="8" t="s">
        <v>2753</v>
      </c>
      <c r="C1348" s="8" t="s">
        <v>186</v>
      </c>
      <c r="D1348" s="8" t="s">
        <v>6419</v>
      </c>
      <c r="E1348" s="8">
        <v>76.0</v>
      </c>
    </row>
    <row r="1349">
      <c r="A1349" s="8" t="s">
        <v>3500</v>
      </c>
      <c r="B1349" s="8" t="s">
        <v>78</v>
      </c>
      <c r="C1349" s="8" t="s">
        <v>65</v>
      </c>
      <c r="D1349" s="8" t="s">
        <v>6433</v>
      </c>
      <c r="E1349" s="8">
        <v>63.0</v>
      </c>
    </row>
    <row r="1350">
      <c r="A1350" s="8" t="s">
        <v>1011</v>
      </c>
      <c r="B1350" s="8" t="s">
        <v>1010</v>
      </c>
      <c r="C1350" s="8" t="s">
        <v>38</v>
      </c>
      <c r="D1350" s="8" t="s">
        <v>6420</v>
      </c>
      <c r="E1350" s="8">
        <v>69.0</v>
      </c>
    </row>
    <row r="1351">
      <c r="A1351" s="8" t="s">
        <v>3240</v>
      </c>
      <c r="B1351" s="8" t="s">
        <v>3239</v>
      </c>
      <c r="C1351" s="8" t="s">
        <v>59</v>
      </c>
      <c r="D1351" s="8" t="s">
        <v>6412</v>
      </c>
      <c r="E1351" s="8">
        <v>63.0</v>
      </c>
    </row>
    <row r="1352">
      <c r="A1352" s="8" t="s">
        <v>1447</v>
      </c>
      <c r="B1352" s="8" t="s">
        <v>1446</v>
      </c>
      <c r="C1352" s="8" t="s">
        <v>192</v>
      </c>
      <c r="D1352" s="8" t="s">
        <v>6442</v>
      </c>
      <c r="E1352" s="8">
        <v>65.0</v>
      </c>
    </row>
    <row r="1353">
      <c r="A1353" s="8" t="s">
        <v>431</v>
      </c>
      <c r="B1353" s="8" t="s">
        <v>430</v>
      </c>
      <c r="C1353" s="8" t="s">
        <v>122</v>
      </c>
      <c r="D1353" s="8" t="s">
        <v>6441</v>
      </c>
      <c r="E1353" s="8">
        <v>88.0</v>
      </c>
    </row>
    <row r="1354">
      <c r="A1354" s="8" t="s">
        <v>3125</v>
      </c>
      <c r="B1354" s="8" t="s">
        <v>2280</v>
      </c>
      <c r="C1354" s="8" t="s">
        <v>93</v>
      </c>
      <c r="D1354" s="8" t="s">
        <v>6414</v>
      </c>
      <c r="E1354" s="8">
        <v>73.0</v>
      </c>
    </row>
    <row r="1355">
      <c r="A1355" s="8" t="s">
        <v>1918</v>
      </c>
      <c r="B1355" s="8" t="s">
        <v>1036</v>
      </c>
      <c r="C1355" s="8" t="s">
        <v>192</v>
      </c>
      <c r="D1355" s="8" t="s">
        <v>6431</v>
      </c>
      <c r="E1355" s="8">
        <v>83.0</v>
      </c>
    </row>
    <row r="1356">
      <c r="A1356" s="8" t="s">
        <v>3364</v>
      </c>
      <c r="B1356" s="8" t="s">
        <v>1263</v>
      </c>
      <c r="C1356" s="8" t="s">
        <v>149</v>
      </c>
      <c r="D1356" s="8" t="s">
        <v>6439</v>
      </c>
      <c r="E1356" s="8">
        <v>64.0</v>
      </c>
    </row>
    <row r="1357">
      <c r="A1357" s="8" t="s">
        <v>839</v>
      </c>
      <c r="B1357" s="8" t="s">
        <v>460</v>
      </c>
      <c r="C1357" s="8" t="s">
        <v>65</v>
      </c>
      <c r="D1357" s="8" t="s">
        <v>6432</v>
      </c>
      <c r="E1357" s="8">
        <v>89.0</v>
      </c>
    </row>
    <row r="1358">
      <c r="A1358" s="8" t="s">
        <v>839</v>
      </c>
      <c r="B1358" s="8" t="s">
        <v>308</v>
      </c>
      <c r="C1358" s="8" t="s">
        <v>186</v>
      </c>
      <c r="D1358" s="8" t="s">
        <v>6425</v>
      </c>
      <c r="E1358" s="8">
        <v>72.0</v>
      </c>
    </row>
    <row r="1359">
      <c r="A1359" s="8" t="s">
        <v>839</v>
      </c>
      <c r="B1359" s="8" t="s">
        <v>783</v>
      </c>
      <c r="C1359" s="8" t="s">
        <v>65</v>
      </c>
      <c r="D1359" s="8" t="s">
        <v>6435</v>
      </c>
      <c r="E1359" s="8">
        <v>61.0</v>
      </c>
    </row>
    <row r="1360">
      <c r="A1360" s="8" t="s">
        <v>1680</v>
      </c>
      <c r="B1360" s="8" t="s">
        <v>835</v>
      </c>
      <c r="C1360" s="8" t="s">
        <v>59</v>
      </c>
      <c r="D1360" s="8" t="s">
        <v>6439</v>
      </c>
      <c r="E1360" s="8">
        <v>64.0</v>
      </c>
    </row>
    <row r="1361">
      <c r="A1361" s="8" t="s">
        <v>782</v>
      </c>
      <c r="B1361" s="8" t="s">
        <v>781</v>
      </c>
      <c r="C1361" s="8" t="s">
        <v>93</v>
      </c>
      <c r="D1361" s="8" t="s">
        <v>6422</v>
      </c>
      <c r="E1361" s="8">
        <v>71.0</v>
      </c>
    </row>
    <row r="1362">
      <c r="A1362" s="8" t="s">
        <v>782</v>
      </c>
      <c r="B1362" s="8" t="s">
        <v>405</v>
      </c>
      <c r="C1362" s="8" t="s">
        <v>70</v>
      </c>
      <c r="D1362" s="8" t="s">
        <v>6416</v>
      </c>
      <c r="E1362" s="8">
        <v>67.0</v>
      </c>
    </row>
    <row r="1363">
      <c r="A1363" s="8" t="s">
        <v>782</v>
      </c>
      <c r="B1363" s="8" t="s">
        <v>3360</v>
      </c>
      <c r="C1363" s="8" t="s">
        <v>192</v>
      </c>
      <c r="D1363" s="8" t="s">
        <v>6438</v>
      </c>
      <c r="E1363" s="8">
        <v>66.0</v>
      </c>
    </row>
    <row r="1364">
      <c r="A1364" s="8" t="s">
        <v>782</v>
      </c>
      <c r="B1364" s="8" t="s">
        <v>1998</v>
      </c>
      <c r="C1364" s="8" t="s">
        <v>24</v>
      </c>
      <c r="D1364" s="8" t="s">
        <v>6430</v>
      </c>
      <c r="E1364" s="8">
        <v>68.0</v>
      </c>
    </row>
    <row r="1365">
      <c r="A1365" s="8" t="s">
        <v>782</v>
      </c>
      <c r="B1365" s="8" t="s">
        <v>99</v>
      </c>
      <c r="C1365" s="8" t="s">
        <v>261</v>
      </c>
      <c r="D1365" s="8" t="s">
        <v>6442</v>
      </c>
      <c r="E1365" s="8">
        <v>77.0</v>
      </c>
    </row>
    <row r="1366">
      <c r="A1366" s="8" t="s">
        <v>782</v>
      </c>
      <c r="B1366" s="8" t="s">
        <v>3083</v>
      </c>
      <c r="C1366" s="8" t="s">
        <v>192</v>
      </c>
      <c r="D1366" s="8" t="s">
        <v>6426</v>
      </c>
      <c r="E1366" s="8">
        <v>76.0</v>
      </c>
    </row>
    <row r="1367">
      <c r="A1367" s="8" t="s">
        <v>782</v>
      </c>
      <c r="B1367" s="8" t="s">
        <v>2875</v>
      </c>
      <c r="C1367" s="8" t="s">
        <v>186</v>
      </c>
      <c r="D1367" s="8" t="s">
        <v>6439</v>
      </c>
      <c r="E1367" s="8">
        <v>60.0</v>
      </c>
    </row>
    <row r="1368">
      <c r="A1368" s="8" t="s">
        <v>1596</v>
      </c>
      <c r="B1368" s="8" t="s">
        <v>409</v>
      </c>
      <c r="C1368" s="8" t="s">
        <v>93</v>
      </c>
      <c r="D1368" s="8" t="s">
        <v>6417</v>
      </c>
      <c r="E1368" s="8">
        <v>69.0</v>
      </c>
    </row>
    <row r="1369">
      <c r="A1369" s="8" t="s">
        <v>413</v>
      </c>
      <c r="B1369" s="8" t="s">
        <v>412</v>
      </c>
      <c r="C1369" s="8" t="s">
        <v>75</v>
      </c>
      <c r="D1369" s="8" t="s">
        <v>6438</v>
      </c>
      <c r="E1369" s="8">
        <v>92.0</v>
      </c>
    </row>
    <row r="1370">
      <c r="A1370" s="8" t="s">
        <v>3207</v>
      </c>
      <c r="B1370" s="8" t="s">
        <v>3206</v>
      </c>
      <c r="C1370" s="8" t="s">
        <v>16</v>
      </c>
      <c r="D1370" s="8" t="s">
        <v>6432</v>
      </c>
      <c r="E1370" s="8">
        <v>67.0</v>
      </c>
    </row>
    <row r="1371">
      <c r="A1371" s="8" t="s">
        <v>3207</v>
      </c>
      <c r="B1371" s="8" t="s">
        <v>1264</v>
      </c>
      <c r="C1371" s="8" t="s">
        <v>16</v>
      </c>
      <c r="D1371" s="8" t="s">
        <v>6442</v>
      </c>
      <c r="E1371" s="8">
        <v>67.0</v>
      </c>
    </row>
    <row r="1372">
      <c r="A1372" s="8" t="s">
        <v>347</v>
      </c>
      <c r="B1372" s="8" t="s">
        <v>35</v>
      </c>
      <c r="C1372" s="8" t="s">
        <v>65</v>
      </c>
      <c r="D1372" s="8" t="s">
        <v>6441</v>
      </c>
      <c r="E1372" s="8">
        <v>85.0</v>
      </c>
    </row>
    <row r="1373">
      <c r="A1373" s="8" t="s">
        <v>347</v>
      </c>
      <c r="B1373" s="8" t="s">
        <v>346</v>
      </c>
      <c r="C1373" s="8" t="s">
        <v>149</v>
      </c>
      <c r="D1373" s="8" t="s">
        <v>6440</v>
      </c>
      <c r="E1373" s="8">
        <v>75.0</v>
      </c>
    </row>
    <row r="1374">
      <c r="A1374" s="8" t="s">
        <v>723</v>
      </c>
      <c r="B1374" s="8" t="s">
        <v>722</v>
      </c>
      <c r="C1374" s="8" t="s">
        <v>192</v>
      </c>
      <c r="D1374" s="8" t="s">
        <v>6431</v>
      </c>
      <c r="E1374" s="8">
        <v>75.0</v>
      </c>
    </row>
    <row r="1375">
      <c r="A1375" s="8" t="s">
        <v>1134</v>
      </c>
      <c r="B1375" s="8" t="s">
        <v>1133</v>
      </c>
      <c r="C1375" s="8" t="s">
        <v>93</v>
      </c>
      <c r="D1375" s="8" t="s">
        <v>6418</v>
      </c>
      <c r="E1375" s="8">
        <v>71.0</v>
      </c>
    </row>
    <row r="1376">
      <c r="A1376" s="8" t="s">
        <v>961</v>
      </c>
      <c r="B1376" s="8" t="s">
        <v>918</v>
      </c>
      <c r="C1376" s="8" t="s">
        <v>93</v>
      </c>
      <c r="D1376" s="8" t="s">
        <v>6416</v>
      </c>
      <c r="E1376" s="8">
        <v>73.0</v>
      </c>
    </row>
    <row r="1377">
      <c r="A1377" s="8" t="s">
        <v>961</v>
      </c>
      <c r="B1377" s="8" t="s">
        <v>963</v>
      </c>
      <c r="C1377" s="8" t="s">
        <v>138</v>
      </c>
      <c r="D1377" s="8" t="s">
        <v>6428</v>
      </c>
      <c r="E1377" s="8">
        <v>74.0</v>
      </c>
    </row>
    <row r="1378">
      <c r="A1378" s="8" t="s">
        <v>961</v>
      </c>
      <c r="B1378" s="8" t="s">
        <v>960</v>
      </c>
      <c r="C1378" s="8" t="s">
        <v>46</v>
      </c>
      <c r="D1378" s="8" t="s">
        <v>6434</v>
      </c>
      <c r="E1378" s="8">
        <v>66.0</v>
      </c>
    </row>
    <row r="1379">
      <c r="A1379" s="8" t="s">
        <v>961</v>
      </c>
      <c r="B1379" s="8" t="s">
        <v>455</v>
      </c>
      <c r="C1379" s="8" t="s">
        <v>65</v>
      </c>
      <c r="D1379" s="8" t="s">
        <v>6427</v>
      </c>
      <c r="E1379" s="8">
        <v>77.0</v>
      </c>
    </row>
    <row r="1380">
      <c r="A1380" s="8" t="s">
        <v>1696</v>
      </c>
      <c r="B1380" s="8" t="s">
        <v>1695</v>
      </c>
      <c r="C1380" s="8" t="s">
        <v>186</v>
      </c>
      <c r="D1380" s="8" t="s">
        <v>6426</v>
      </c>
      <c r="E1380" s="8">
        <v>69.0</v>
      </c>
    </row>
    <row r="1381">
      <c r="A1381" s="8" t="s">
        <v>345</v>
      </c>
      <c r="B1381" s="8" t="s">
        <v>344</v>
      </c>
      <c r="C1381" s="8" t="s">
        <v>70</v>
      </c>
      <c r="D1381" s="8" t="s">
        <v>6432</v>
      </c>
      <c r="E1381" s="8">
        <v>69.0</v>
      </c>
    </row>
    <row r="1382">
      <c r="A1382" s="8" t="s">
        <v>892</v>
      </c>
      <c r="B1382" s="8" t="s">
        <v>1149</v>
      </c>
      <c r="C1382" s="8" t="s">
        <v>70</v>
      </c>
      <c r="D1382" s="8" t="s">
        <v>6435</v>
      </c>
      <c r="E1382" s="8">
        <v>76.0</v>
      </c>
    </row>
    <row r="1383">
      <c r="A1383" s="8" t="s">
        <v>892</v>
      </c>
      <c r="B1383" s="8" t="s">
        <v>1167</v>
      </c>
      <c r="C1383" s="8" t="s">
        <v>70</v>
      </c>
      <c r="D1383" s="8" t="s">
        <v>6432</v>
      </c>
      <c r="E1383" s="8">
        <v>57.0</v>
      </c>
    </row>
    <row r="1384">
      <c r="A1384" s="8" t="s">
        <v>892</v>
      </c>
      <c r="B1384" s="8" t="s">
        <v>2644</v>
      </c>
      <c r="C1384" s="8" t="s">
        <v>93</v>
      </c>
      <c r="D1384" s="8" t="s">
        <v>6437</v>
      </c>
      <c r="E1384" s="8">
        <v>67.0</v>
      </c>
    </row>
    <row r="1385">
      <c r="A1385" s="8" t="s">
        <v>333</v>
      </c>
      <c r="B1385" s="8" t="s">
        <v>655</v>
      </c>
      <c r="C1385" s="8" t="s">
        <v>65</v>
      </c>
      <c r="D1385" s="8" t="s">
        <v>6443</v>
      </c>
      <c r="E1385" s="8">
        <v>82.0</v>
      </c>
    </row>
    <row r="1386">
      <c r="A1386" s="8" t="s">
        <v>333</v>
      </c>
      <c r="B1386" s="8" t="s">
        <v>646</v>
      </c>
      <c r="C1386" s="8" t="s">
        <v>65</v>
      </c>
      <c r="D1386" s="8" t="s">
        <v>6435</v>
      </c>
      <c r="E1386" s="8">
        <v>63.0</v>
      </c>
    </row>
    <row r="1387">
      <c r="A1387" s="8" t="s">
        <v>333</v>
      </c>
      <c r="B1387" s="8" t="s">
        <v>1456</v>
      </c>
      <c r="C1387" s="8" t="s">
        <v>65</v>
      </c>
      <c r="D1387" s="8" t="s">
        <v>6420</v>
      </c>
      <c r="E1387" s="8">
        <v>74.0</v>
      </c>
    </row>
    <row r="1388">
      <c r="A1388" s="8" t="s">
        <v>333</v>
      </c>
      <c r="B1388" s="8" t="s">
        <v>1874</v>
      </c>
      <c r="C1388" s="8" t="s">
        <v>65</v>
      </c>
      <c r="D1388" s="8" t="s">
        <v>6433</v>
      </c>
      <c r="E1388" s="8">
        <v>66.0</v>
      </c>
    </row>
    <row r="1389">
      <c r="A1389" s="8" t="s">
        <v>333</v>
      </c>
      <c r="B1389" s="8" t="s">
        <v>90</v>
      </c>
      <c r="C1389" s="8" t="s">
        <v>138</v>
      </c>
      <c r="D1389" s="8" t="s">
        <v>6421</v>
      </c>
      <c r="E1389" s="8">
        <v>75.0</v>
      </c>
    </row>
    <row r="1390">
      <c r="A1390" s="8" t="s">
        <v>333</v>
      </c>
      <c r="B1390" s="8" t="s">
        <v>818</v>
      </c>
      <c r="C1390" s="8" t="s">
        <v>192</v>
      </c>
      <c r="D1390" s="8" t="s">
        <v>6418</v>
      </c>
      <c r="E1390" s="8">
        <v>82.0</v>
      </c>
    </row>
    <row r="1391">
      <c r="A1391" s="8" t="s">
        <v>333</v>
      </c>
      <c r="B1391" s="8" t="s">
        <v>1038</v>
      </c>
      <c r="C1391" s="8" t="s">
        <v>65</v>
      </c>
      <c r="D1391" s="8" t="s">
        <v>6415</v>
      </c>
      <c r="E1391" s="8">
        <v>80.0</v>
      </c>
    </row>
    <row r="1392">
      <c r="A1392" s="8" t="s">
        <v>333</v>
      </c>
      <c r="B1392" s="8" t="s">
        <v>332</v>
      </c>
      <c r="C1392" s="8" t="s">
        <v>75</v>
      </c>
      <c r="D1392" s="8" t="s">
        <v>6432</v>
      </c>
      <c r="E1392" s="8">
        <v>66.0</v>
      </c>
    </row>
    <row r="1393">
      <c r="A1393" s="8" t="s">
        <v>1105</v>
      </c>
      <c r="B1393" s="8" t="s">
        <v>487</v>
      </c>
      <c r="C1393" s="8" t="s">
        <v>80</v>
      </c>
      <c r="D1393" s="8" t="s">
        <v>6421</v>
      </c>
      <c r="E1393" s="8">
        <v>68.0</v>
      </c>
    </row>
    <row r="1394">
      <c r="A1394" s="8" t="s">
        <v>1105</v>
      </c>
      <c r="B1394" s="8" t="s">
        <v>1104</v>
      </c>
      <c r="C1394" s="8" t="s">
        <v>59</v>
      </c>
      <c r="D1394" s="8" t="s">
        <v>6429</v>
      </c>
      <c r="E1394" s="8">
        <v>66.0</v>
      </c>
    </row>
    <row r="1395">
      <c r="A1395" s="8" t="s">
        <v>1432</v>
      </c>
      <c r="B1395" s="8" t="s">
        <v>1431</v>
      </c>
      <c r="C1395" s="8" t="s">
        <v>70</v>
      </c>
      <c r="D1395" s="8" t="s">
        <v>6415</v>
      </c>
      <c r="E1395" s="8">
        <v>69.0</v>
      </c>
    </row>
    <row r="1396">
      <c r="A1396" s="8" t="s">
        <v>1830</v>
      </c>
      <c r="B1396" s="8" t="s">
        <v>1829</v>
      </c>
      <c r="C1396" s="8" t="s">
        <v>65</v>
      </c>
      <c r="D1396" s="8" t="s">
        <v>6438</v>
      </c>
      <c r="E1396" s="8">
        <v>62.0</v>
      </c>
    </row>
    <row r="1397">
      <c r="A1397" s="8" t="s">
        <v>721</v>
      </c>
      <c r="B1397" s="8" t="s">
        <v>2856</v>
      </c>
      <c r="C1397" s="8" t="s">
        <v>138</v>
      </c>
      <c r="D1397" s="8" t="s">
        <v>6420</v>
      </c>
      <c r="E1397" s="8">
        <v>78.0</v>
      </c>
    </row>
    <row r="1398">
      <c r="A1398" s="8" t="s">
        <v>721</v>
      </c>
      <c r="B1398" s="8" t="s">
        <v>834</v>
      </c>
      <c r="C1398" s="8" t="s">
        <v>138</v>
      </c>
      <c r="D1398" s="8" t="s">
        <v>6425</v>
      </c>
      <c r="E1398" s="8">
        <v>65.0</v>
      </c>
    </row>
    <row r="1399">
      <c r="A1399" s="8" t="s">
        <v>3139</v>
      </c>
      <c r="B1399" s="8" t="s">
        <v>78</v>
      </c>
      <c r="C1399" s="8" t="s">
        <v>70</v>
      </c>
      <c r="D1399" s="8" t="s">
        <v>6419</v>
      </c>
      <c r="E1399" s="8">
        <v>73.0</v>
      </c>
    </row>
    <row r="1400">
      <c r="A1400" s="8" t="s">
        <v>3344</v>
      </c>
      <c r="B1400" s="8" t="s">
        <v>396</v>
      </c>
      <c r="C1400" s="8" t="s">
        <v>65</v>
      </c>
      <c r="D1400" s="8" t="s">
        <v>6420</v>
      </c>
      <c r="E1400" s="8">
        <v>66.0</v>
      </c>
    </row>
    <row r="1401">
      <c r="A1401" s="8" t="s">
        <v>119</v>
      </c>
      <c r="B1401" s="8" t="s">
        <v>1055</v>
      </c>
      <c r="C1401" s="8" t="s">
        <v>65</v>
      </c>
      <c r="D1401" s="8" t="s">
        <v>6427</v>
      </c>
      <c r="E1401" s="8">
        <v>72.0</v>
      </c>
    </row>
    <row r="1402">
      <c r="A1402" s="8" t="s">
        <v>119</v>
      </c>
      <c r="B1402" s="8" t="s">
        <v>2950</v>
      </c>
      <c r="C1402" s="8" t="s">
        <v>186</v>
      </c>
      <c r="D1402" s="8" t="s">
        <v>6417</v>
      </c>
      <c r="E1402" s="8">
        <v>78.0</v>
      </c>
    </row>
    <row r="1403">
      <c r="A1403" s="8" t="s">
        <v>119</v>
      </c>
      <c r="B1403" s="8" t="s">
        <v>1006</v>
      </c>
      <c r="C1403" s="8" t="s">
        <v>59</v>
      </c>
      <c r="D1403" s="8" t="s">
        <v>6433</v>
      </c>
      <c r="E1403" s="8">
        <v>70.0</v>
      </c>
    </row>
    <row r="1404">
      <c r="A1404" s="8" t="s">
        <v>119</v>
      </c>
      <c r="B1404" s="8" t="s">
        <v>3378</v>
      </c>
      <c r="C1404" s="8" t="s">
        <v>65</v>
      </c>
      <c r="D1404" s="8" t="s">
        <v>6425</v>
      </c>
      <c r="E1404" s="8">
        <v>68.0</v>
      </c>
    </row>
    <row r="1405">
      <c r="A1405" s="8" t="s">
        <v>119</v>
      </c>
      <c r="B1405" s="8" t="s">
        <v>956</v>
      </c>
      <c r="C1405" s="8" t="s">
        <v>93</v>
      </c>
      <c r="D1405" s="8" t="s">
        <v>6421</v>
      </c>
      <c r="E1405" s="8">
        <v>71.0</v>
      </c>
    </row>
    <row r="1406">
      <c r="A1406" s="8" t="s">
        <v>119</v>
      </c>
      <c r="B1406" s="8" t="s">
        <v>61</v>
      </c>
      <c r="C1406" s="8" t="s">
        <v>186</v>
      </c>
      <c r="D1406" s="8" t="s">
        <v>6414</v>
      </c>
      <c r="E1406" s="8">
        <v>59.0</v>
      </c>
    </row>
    <row r="1407">
      <c r="A1407" s="8" t="s">
        <v>119</v>
      </c>
      <c r="B1407" s="8" t="s">
        <v>2764</v>
      </c>
      <c r="C1407" s="8" t="s">
        <v>59</v>
      </c>
      <c r="D1407" s="8" t="s">
        <v>6423</v>
      </c>
      <c r="E1407" s="8">
        <v>73.0</v>
      </c>
    </row>
    <row r="1408">
      <c r="A1408" s="8" t="s">
        <v>119</v>
      </c>
      <c r="B1408" s="8" t="s">
        <v>389</v>
      </c>
      <c r="C1408" s="8" t="s">
        <v>93</v>
      </c>
      <c r="D1408" s="8" t="s">
        <v>6434</v>
      </c>
      <c r="E1408" s="8">
        <v>80.0</v>
      </c>
    </row>
    <row r="1409">
      <c r="A1409" s="8" t="s">
        <v>119</v>
      </c>
      <c r="B1409" s="8" t="s">
        <v>1111</v>
      </c>
      <c r="C1409" s="8" t="s">
        <v>80</v>
      </c>
      <c r="D1409" s="8" t="s">
        <v>6423</v>
      </c>
      <c r="E1409" s="8">
        <v>76.0</v>
      </c>
    </row>
    <row r="1410">
      <c r="A1410" s="8" t="s">
        <v>119</v>
      </c>
      <c r="B1410" s="8" t="s">
        <v>626</v>
      </c>
      <c r="C1410" s="8" t="s">
        <v>132</v>
      </c>
      <c r="D1410" s="8" t="s">
        <v>6443</v>
      </c>
      <c r="E1410" s="8">
        <v>88.0</v>
      </c>
    </row>
    <row r="1411">
      <c r="A1411" s="8" t="s">
        <v>119</v>
      </c>
      <c r="B1411" s="8" t="s">
        <v>274</v>
      </c>
      <c r="C1411" s="8" t="s">
        <v>16</v>
      </c>
      <c r="D1411" s="8" t="s">
        <v>6443</v>
      </c>
      <c r="E1411" s="8">
        <v>66.0</v>
      </c>
    </row>
    <row r="1412">
      <c r="A1412" s="8" t="s">
        <v>119</v>
      </c>
      <c r="B1412" s="8" t="s">
        <v>3282</v>
      </c>
      <c r="C1412" s="8" t="s">
        <v>46</v>
      </c>
      <c r="D1412" s="8" t="s">
        <v>6431</v>
      </c>
      <c r="E1412" s="8">
        <v>64.0</v>
      </c>
    </row>
    <row r="1413">
      <c r="A1413" s="8" t="s">
        <v>119</v>
      </c>
      <c r="B1413" s="8" t="s">
        <v>581</v>
      </c>
      <c r="C1413" s="8" t="s">
        <v>24</v>
      </c>
      <c r="D1413" s="8" t="s">
        <v>6429</v>
      </c>
      <c r="E1413" s="8">
        <v>50.0</v>
      </c>
    </row>
    <row r="1414">
      <c r="A1414" s="8" t="s">
        <v>119</v>
      </c>
      <c r="B1414" s="8" t="s">
        <v>773</v>
      </c>
      <c r="C1414" s="8" t="s">
        <v>75</v>
      </c>
      <c r="D1414" s="8" t="s">
        <v>6426</v>
      </c>
      <c r="E1414" s="8">
        <v>70.0</v>
      </c>
    </row>
    <row r="1415">
      <c r="A1415" s="8" t="s">
        <v>119</v>
      </c>
      <c r="B1415" s="8" t="s">
        <v>118</v>
      </c>
      <c r="C1415" s="8" t="s">
        <v>38</v>
      </c>
      <c r="D1415" s="8" t="s">
        <v>6417</v>
      </c>
      <c r="E1415" s="8">
        <v>72.0</v>
      </c>
    </row>
    <row r="1416">
      <c r="A1416" s="8" t="s">
        <v>1609</v>
      </c>
      <c r="B1416" s="8" t="s">
        <v>1608</v>
      </c>
      <c r="C1416" s="8" t="s">
        <v>93</v>
      </c>
      <c r="D1416" s="8" t="s">
        <v>6430</v>
      </c>
      <c r="E1416" s="8">
        <v>66.0</v>
      </c>
    </row>
    <row r="1417">
      <c r="A1417" s="8" t="s">
        <v>3265</v>
      </c>
      <c r="B1417" s="8" t="s">
        <v>252</v>
      </c>
      <c r="C1417" s="8" t="s">
        <v>65</v>
      </c>
      <c r="D1417" s="8" t="s">
        <v>6441</v>
      </c>
      <c r="E1417" s="8">
        <v>60.0</v>
      </c>
    </row>
    <row r="1418">
      <c r="A1418" s="8" t="s">
        <v>1909</v>
      </c>
      <c r="B1418" s="8" t="s">
        <v>1908</v>
      </c>
      <c r="C1418" s="8" t="s">
        <v>70</v>
      </c>
      <c r="D1418" s="8" t="s">
        <v>6423</v>
      </c>
      <c r="E1418" s="8">
        <v>67.0</v>
      </c>
    </row>
    <row r="1419">
      <c r="A1419" s="8" t="s">
        <v>749</v>
      </c>
      <c r="B1419" s="8" t="s">
        <v>163</v>
      </c>
      <c r="C1419" s="8" t="s">
        <v>53</v>
      </c>
      <c r="D1419" s="8" t="s">
        <v>6438</v>
      </c>
      <c r="E1419" s="8">
        <v>97.0</v>
      </c>
    </row>
    <row r="1420">
      <c r="A1420" s="8" t="s">
        <v>2286</v>
      </c>
      <c r="B1420" s="8" t="s">
        <v>42</v>
      </c>
      <c r="C1420" s="8" t="s">
        <v>24</v>
      </c>
      <c r="D1420" s="8" t="s">
        <v>6420</v>
      </c>
      <c r="E1420" s="8">
        <v>72.0</v>
      </c>
    </row>
    <row r="1421">
      <c r="A1421" s="8" t="s">
        <v>3471</v>
      </c>
      <c r="B1421" s="8" t="s">
        <v>328</v>
      </c>
      <c r="C1421" s="8" t="s">
        <v>122</v>
      </c>
      <c r="D1421" s="8" t="s">
        <v>6420</v>
      </c>
      <c r="E1421" s="8">
        <v>65.0</v>
      </c>
    </row>
    <row r="1422">
      <c r="A1422" s="8" t="s">
        <v>462</v>
      </c>
      <c r="B1422" s="8" t="s">
        <v>461</v>
      </c>
      <c r="C1422" s="8" t="s">
        <v>186</v>
      </c>
      <c r="D1422" s="8" t="s">
        <v>6415</v>
      </c>
      <c r="E1422" s="8">
        <v>76.0</v>
      </c>
    </row>
    <row r="1423">
      <c r="A1423" s="8" t="s">
        <v>255</v>
      </c>
      <c r="B1423" s="8" t="s">
        <v>254</v>
      </c>
      <c r="C1423" s="8" t="s">
        <v>16</v>
      </c>
      <c r="D1423" s="8" t="s">
        <v>6416</v>
      </c>
      <c r="E1423" s="8">
        <v>85.0</v>
      </c>
    </row>
    <row r="1424">
      <c r="A1424" s="8" t="s">
        <v>3222</v>
      </c>
      <c r="B1424" s="8" t="s">
        <v>61</v>
      </c>
      <c r="C1424" s="8" t="s">
        <v>70</v>
      </c>
      <c r="D1424" s="8" t="s">
        <v>6439</v>
      </c>
      <c r="E1424" s="8">
        <v>71.0</v>
      </c>
    </row>
    <row r="1425">
      <c r="A1425" s="8" t="s">
        <v>3366</v>
      </c>
      <c r="B1425" s="8" t="s">
        <v>3365</v>
      </c>
      <c r="C1425" s="8" t="s">
        <v>53</v>
      </c>
      <c r="D1425" s="8" t="s">
        <v>6415</v>
      </c>
      <c r="E1425" s="8">
        <v>82.0</v>
      </c>
    </row>
    <row r="1426">
      <c r="A1426" s="8" t="s">
        <v>1360</v>
      </c>
      <c r="B1426" s="8" t="s">
        <v>1359</v>
      </c>
      <c r="C1426" s="8" t="s">
        <v>141</v>
      </c>
      <c r="D1426" s="8" t="s">
        <v>6421</v>
      </c>
      <c r="E1426" s="8">
        <v>66.0</v>
      </c>
    </row>
    <row r="1427">
      <c r="A1427" s="8" t="s">
        <v>2772</v>
      </c>
      <c r="B1427" s="8" t="s">
        <v>2771</v>
      </c>
      <c r="C1427" s="8" t="s">
        <v>138</v>
      </c>
      <c r="D1427" s="8" t="s">
        <v>6436</v>
      </c>
      <c r="E1427" s="8">
        <v>77.0</v>
      </c>
    </row>
    <row r="1428">
      <c r="A1428" s="8" t="s">
        <v>1756</v>
      </c>
      <c r="B1428" s="8" t="s">
        <v>3095</v>
      </c>
      <c r="C1428" s="8" t="s">
        <v>186</v>
      </c>
      <c r="D1428" s="8" t="s">
        <v>6432</v>
      </c>
      <c r="E1428" s="8">
        <v>75.0</v>
      </c>
    </row>
    <row r="1429">
      <c r="A1429" s="8" t="s">
        <v>3491</v>
      </c>
      <c r="B1429" s="8" t="s">
        <v>3490</v>
      </c>
      <c r="C1429" s="8" t="s">
        <v>132</v>
      </c>
      <c r="D1429" s="8" t="s">
        <v>6415</v>
      </c>
      <c r="E1429" s="8">
        <v>69.0</v>
      </c>
    </row>
    <row r="1430">
      <c r="A1430" s="8" t="s">
        <v>2846</v>
      </c>
      <c r="B1430" s="8" t="s">
        <v>274</v>
      </c>
      <c r="C1430" s="8" t="s">
        <v>65</v>
      </c>
      <c r="D1430" s="8" t="s">
        <v>6419</v>
      </c>
      <c r="E1430" s="8">
        <v>61.0</v>
      </c>
    </row>
    <row r="1431">
      <c r="A1431" s="8" t="s">
        <v>1699</v>
      </c>
      <c r="B1431" s="8" t="s">
        <v>877</v>
      </c>
      <c r="C1431" s="8" t="s">
        <v>192</v>
      </c>
      <c r="D1431" s="8" t="s">
        <v>6441</v>
      </c>
      <c r="E1431" s="8">
        <v>78.0</v>
      </c>
    </row>
    <row r="1432">
      <c r="A1432" s="8" t="s">
        <v>2767</v>
      </c>
      <c r="B1432" s="8" t="s">
        <v>2766</v>
      </c>
      <c r="C1432" s="8" t="s">
        <v>80</v>
      </c>
      <c r="D1432" s="8" t="s">
        <v>6434</v>
      </c>
      <c r="E1432" s="8">
        <v>68.0</v>
      </c>
    </row>
    <row r="1433">
      <c r="A1433" s="8" t="s">
        <v>1354</v>
      </c>
      <c r="B1433" s="8" t="s">
        <v>57</v>
      </c>
      <c r="C1433" s="8" t="s">
        <v>186</v>
      </c>
      <c r="D1433" s="8" t="s">
        <v>6426</v>
      </c>
      <c r="E1433" s="8">
        <v>80.0</v>
      </c>
    </row>
    <row r="1434">
      <c r="A1434" s="8" t="s">
        <v>214</v>
      </c>
      <c r="B1434" s="8" t="s">
        <v>78</v>
      </c>
      <c r="C1434" s="8" t="s">
        <v>122</v>
      </c>
      <c r="D1434" s="8" t="s">
        <v>6430</v>
      </c>
      <c r="E1434" s="8">
        <v>87.0</v>
      </c>
    </row>
    <row r="1435">
      <c r="A1435" s="8" t="s">
        <v>214</v>
      </c>
      <c r="B1435" s="8" t="s">
        <v>213</v>
      </c>
      <c r="C1435" s="8" t="s">
        <v>122</v>
      </c>
      <c r="D1435" s="8" t="s">
        <v>6441</v>
      </c>
      <c r="E1435" s="8">
        <v>72.0</v>
      </c>
    </row>
    <row r="1436">
      <c r="A1436" s="8" t="s">
        <v>214</v>
      </c>
      <c r="B1436" s="8" t="s">
        <v>599</v>
      </c>
      <c r="C1436" s="8" t="s">
        <v>24</v>
      </c>
      <c r="D1436" s="8" t="s">
        <v>6429</v>
      </c>
      <c r="E1436" s="8">
        <v>85.0</v>
      </c>
    </row>
    <row r="1437">
      <c r="A1437" s="8" t="s">
        <v>214</v>
      </c>
      <c r="B1437" s="8" t="s">
        <v>3108</v>
      </c>
      <c r="C1437" s="8" t="s">
        <v>186</v>
      </c>
      <c r="D1437" s="8" t="s">
        <v>6436</v>
      </c>
      <c r="E1437" s="8">
        <v>71.0</v>
      </c>
    </row>
    <row r="1438">
      <c r="A1438" s="8" t="s">
        <v>214</v>
      </c>
      <c r="B1438" s="8" t="s">
        <v>248</v>
      </c>
      <c r="C1438" s="8" t="s">
        <v>24</v>
      </c>
      <c r="D1438" s="8" t="s">
        <v>6429</v>
      </c>
      <c r="E1438" s="8">
        <v>57.0</v>
      </c>
    </row>
    <row r="1439">
      <c r="A1439" s="8" t="s">
        <v>214</v>
      </c>
      <c r="B1439" s="8" t="s">
        <v>395</v>
      </c>
      <c r="C1439" s="8" t="s">
        <v>132</v>
      </c>
      <c r="D1439" s="8" t="s">
        <v>6427</v>
      </c>
      <c r="E1439" s="8">
        <v>80.0</v>
      </c>
    </row>
    <row r="1440">
      <c r="A1440" s="8" t="s">
        <v>214</v>
      </c>
      <c r="B1440" s="8" t="s">
        <v>449</v>
      </c>
      <c r="C1440" s="8" t="s">
        <v>53</v>
      </c>
      <c r="D1440" s="8" t="s">
        <v>6442</v>
      </c>
      <c r="E1440" s="8">
        <v>73.0</v>
      </c>
    </row>
    <row r="1441">
      <c r="A1441" s="8" t="s">
        <v>214</v>
      </c>
      <c r="B1441" s="8" t="s">
        <v>1279</v>
      </c>
      <c r="C1441" s="8" t="s">
        <v>122</v>
      </c>
      <c r="D1441" s="8" t="s">
        <v>6412</v>
      </c>
      <c r="E1441" s="8">
        <v>64.0</v>
      </c>
    </row>
    <row r="1442">
      <c r="A1442" s="8" t="s">
        <v>214</v>
      </c>
      <c r="B1442" s="8" t="s">
        <v>918</v>
      </c>
      <c r="C1442" s="8" t="s">
        <v>93</v>
      </c>
      <c r="D1442" s="8" t="s">
        <v>6427</v>
      </c>
      <c r="E1442" s="8">
        <v>80.0</v>
      </c>
    </row>
    <row r="1443">
      <c r="A1443" s="8" t="s">
        <v>214</v>
      </c>
      <c r="B1443" s="8" t="s">
        <v>3260</v>
      </c>
      <c r="C1443" s="8" t="s">
        <v>141</v>
      </c>
      <c r="D1443" s="8" t="s">
        <v>6439</v>
      </c>
      <c r="E1443" s="8">
        <v>62.0</v>
      </c>
    </row>
    <row r="1444">
      <c r="A1444" s="8" t="s">
        <v>214</v>
      </c>
      <c r="B1444" s="8" t="s">
        <v>766</v>
      </c>
      <c r="C1444" s="8" t="s">
        <v>149</v>
      </c>
      <c r="D1444" s="8" t="s">
        <v>6421</v>
      </c>
      <c r="E1444" s="8">
        <v>66.0</v>
      </c>
    </row>
    <row r="1445">
      <c r="A1445" s="8" t="s">
        <v>214</v>
      </c>
      <c r="B1445" s="8" t="s">
        <v>918</v>
      </c>
      <c r="C1445" s="8" t="s">
        <v>141</v>
      </c>
      <c r="D1445" s="8" t="s">
        <v>6434</v>
      </c>
      <c r="E1445" s="8">
        <v>62.0</v>
      </c>
    </row>
    <row r="1446">
      <c r="A1446" s="8" t="s">
        <v>214</v>
      </c>
      <c r="B1446" s="8" t="s">
        <v>2351</v>
      </c>
      <c r="C1446" s="8" t="s">
        <v>53</v>
      </c>
      <c r="D1446" s="8" t="s">
        <v>6432</v>
      </c>
      <c r="E1446" s="8">
        <v>74.0</v>
      </c>
    </row>
    <row r="1447">
      <c r="A1447" s="8" t="s">
        <v>214</v>
      </c>
      <c r="B1447" s="8" t="s">
        <v>220</v>
      </c>
      <c r="C1447" s="8" t="s">
        <v>24</v>
      </c>
      <c r="D1447" s="8" t="s">
        <v>6422</v>
      </c>
      <c r="E1447" s="8">
        <v>44.0</v>
      </c>
    </row>
    <row r="1448">
      <c r="A1448" s="8" t="s">
        <v>214</v>
      </c>
      <c r="B1448" s="8" t="s">
        <v>729</v>
      </c>
      <c r="C1448" s="8" t="s">
        <v>261</v>
      </c>
      <c r="D1448" s="8" t="s">
        <v>6422</v>
      </c>
      <c r="E1448" s="8">
        <v>91.0</v>
      </c>
    </row>
    <row r="1449">
      <c r="A1449" s="8" t="s">
        <v>905</v>
      </c>
      <c r="B1449" s="8" t="s">
        <v>904</v>
      </c>
      <c r="C1449" s="8" t="s">
        <v>59</v>
      </c>
      <c r="D1449" s="8" t="s">
        <v>6421</v>
      </c>
      <c r="E1449" s="8">
        <v>71.0</v>
      </c>
    </row>
    <row r="1450">
      <c r="A1450" s="8" t="s">
        <v>6409</v>
      </c>
      <c r="B1450" s="8" t="s">
        <v>511</v>
      </c>
      <c r="C1450" s="8" t="s">
        <v>186</v>
      </c>
      <c r="D1450" s="8" t="s">
        <v>6439</v>
      </c>
      <c r="E1450" s="8">
        <v>66.0</v>
      </c>
    </row>
    <row r="1451">
      <c r="A1451" s="8" t="s">
        <v>6450</v>
      </c>
      <c r="B1451" s="8" t="s">
        <v>25</v>
      </c>
      <c r="C1451" s="8" t="s">
        <v>24</v>
      </c>
      <c r="D1451" s="8" t="s">
        <v>6442</v>
      </c>
      <c r="E1451" s="8">
        <v>48.0</v>
      </c>
    </row>
    <row r="1452">
      <c r="A1452" s="8" t="s">
        <v>6410</v>
      </c>
      <c r="B1452" s="8" t="s">
        <v>2443</v>
      </c>
      <c r="C1452" s="8" t="s">
        <v>215</v>
      </c>
      <c r="D1452" s="8" t="s">
        <v>6439</v>
      </c>
      <c r="E1452" s="8">
        <v>61.0</v>
      </c>
    </row>
    <row r="1453">
      <c r="A1453" s="8" t="s">
        <v>5332</v>
      </c>
      <c r="B1453" s="8" t="s">
        <v>498</v>
      </c>
      <c r="C1453" s="8" t="s">
        <v>149</v>
      </c>
      <c r="D1453" s="8" t="s">
        <v>6442</v>
      </c>
      <c r="E1453" s="8">
        <v>79.0</v>
      </c>
    </row>
    <row r="1454">
      <c r="A1454" s="8" t="s">
        <v>824</v>
      </c>
      <c r="B1454" s="8" t="s">
        <v>823</v>
      </c>
      <c r="C1454" s="8" t="s">
        <v>46</v>
      </c>
      <c r="D1454" s="8" t="s">
        <v>6436</v>
      </c>
      <c r="E1454" s="8">
        <v>68.0</v>
      </c>
    </row>
    <row r="1455">
      <c r="A1455" s="8" t="s">
        <v>3241</v>
      </c>
      <c r="B1455" s="8" t="s">
        <v>895</v>
      </c>
      <c r="C1455" s="8" t="s">
        <v>38</v>
      </c>
      <c r="D1455" s="8" t="s">
        <v>6440</v>
      </c>
      <c r="E1455" s="8">
        <v>72.0</v>
      </c>
    </row>
    <row r="1456">
      <c r="A1456" s="8" t="s">
        <v>2823</v>
      </c>
      <c r="B1456" s="8" t="s">
        <v>931</v>
      </c>
      <c r="C1456" s="8" t="s">
        <v>93</v>
      </c>
      <c r="D1456" s="8" t="s">
        <v>6421</v>
      </c>
      <c r="E1456" s="8">
        <v>72.0</v>
      </c>
    </row>
    <row r="1457">
      <c r="A1457" s="8" t="s">
        <v>2997</v>
      </c>
      <c r="B1457" s="8" t="s">
        <v>2996</v>
      </c>
      <c r="C1457" s="8" t="s">
        <v>93</v>
      </c>
      <c r="D1457" s="8" t="s">
        <v>6415</v>
      </c>
      <c r="E1457" s="8">
        <v>62.0</v>
      </c>
    </row>
    <row r="1458">
      <c r="A1458" s="8" t="s">
        <v>1042</v>
      </c>
      <c r="B1458" s="8" t="s">
        <v>1041</v>
      </c>
      <c r="C1458" s="8" t="s">
        <v>75</v>
      </c>
      <c r="D1458" s="8" t="s">
        <v>6420</v>
      </c>
      <c r="E1458" s="8">
        <v>71.0</v>
      </c>
    </row>
    <row r="1459">
      <c r="A1459" s="8" t="s">
        <v>761</v>
      </c>
      <c r="B1459" s="8" t="s">
        <v>1516</v>
      </c>
      <c r="C1459" s="8" t="s">
        <v>186</v>
      </c>
      <c r="D1459" s="8" t="s">
        <v>6435</v>
      </c>
      <c r="E1459" s="8">
        <v>54.0</v>
      </c>
    </row>
    <row r="1460">
      <c r="A1460" s="8" t="s">
        <v>761</v>
      </c>
      <c r="B1460" s="8" t="s">
        <v>402</v>
      </c>
      <c r="C1460" s="8" t="s">
        <v>70</v>
      </c>
      <c r="D1460" s="8" t="s">
        <v>6434</v>
      </c>
      <c r="E1460" s="8">
        <v>85.0</v>
      </c>
    </row>
    <row r="1461">
      <c r="A1461" s="8" t="s">
        <v>728</v>
      </c>
      <c r="B1461" s="8" t="s">
        <v>727</v>
      </c>
      <c r="C1461" s="8" t="s">
        <v>80</v>
      </c>
      <c r="D1461" s="8" t="s">
        <v>6414</v>
      </c>
      <c r="E1461" s="8">
        <v>82.0</v>
      </c>
    </row>
    <row r="1462">
      <c r="A1462" s="8" t="s">
        <v>3305</v>
      </c>
      <c r="B1462" s="8" t="s">
        <v>380</v>
      </c>
      <c r="C1462" s="8" t="s">
        <v>59</v>
      </c>
      <c r="D1462" s="8" t="s">
        <v>6427</v>
      </c>
      <c r="E1462" s="8">
        <v>80.0</v>
      </c>
    </row>
    <row r="1463">
      <c r="A1463" s="8" t="s">
        <v>3165</v>
      </c>
      <c r="B1463" s="8" t="s">
        <v>3164</v>
      </c>
      <c r="C1463" s="8" t="s">
        <v>186</v>
      </c>
      <c r="D1463" s="8" t="s">
        <v>6415</v>
      </c>
      <c r="E1463" s="8">
        <v>64.0</v>
      </c>
    </row>
    <row r="1464">
      <c r="A1464" s="8" t="s">
        <v>1879</v>
      </c>
      <c r="B1464" s="8" t="s">
        <v>890</v>
      </c>
      <c r="C1464" s="8" t="s">
        <v>70</v>
      </c>
      <c r="D1464" s="8" t="s">
        <v>6414</v>
      </c>
      <c r="E1464" s="8">
        <v>77.0</v>
      </c>
    </row>
    <row r="1465">
      <c r="A1465" s="8" t="s">
        <v>1879</v>
      </c>
      <c r="B1465" s="8" t="s">
        <v>732</v>
      </c>
      <c r="C1465" s="8" t="s">
        <v>24</v>
      </c>
      <c r="D1465" s="8" t="s">
        <v>6421</v>
      </c>
      <c r="E1465" s="8">
        <v>74.0</v>
      </c>
    </row>
    <row r="1466">
      <c r="A1466" s="8" t="s">
        <v>1409</v>
      </c>
      <c r="B1466" s="8" t="s">
        <v>498</v>
      </c>
      <c r="C1466" s="8" t="s">
        <v>192</v>
      </c>
      <c r="D1466" s="8" t="s">
        <v>6425</v>
      </c>
      <c r="E1466" s="8">
        <v>92.0</v>
      </c>
    </row>
    <row r="1467">
      <c r="A1467" s="8" t="s">
        <v>1409</v>
      </c>
      <c r="B1467" s="8" t="s">
        <v>1043</v>
      </c>
      <c r="C1467" s="8" t="s">
        <v>132</v>
      </c>
      <c r="D1467" s="8" t="s">
        <v>6418</v>
      </c>
      <c r="E1467" s="8">
        <v>60.0</v>
      </c>
    </row>
    <row r="1468">
      <c r="A1468" s="8" t="s">
        <v>1226</v>
      </c>
      <c r="B1468" s="8" t="s">
        <v>284</v>
      </c>
      <c r="C1468" s="8" t="s">
        <v>16</v>
      </c>
      <c r="D1468" s="8" t="s">
        <v>6439</v>
      </c>
      <c r="E1468" s="8">
        <v>66.0</v>
      </c>
    </row>
    <row r="1469">
      <c r="A1469" s="8" t="s">
        <v>552</v>
      </c>
      <c r="B1469" s="8" t="s">
        <v>441</v>
      </c>
      <c r="C1469" s="8" t="s">
        <v>75</v>
      </c>
      <c r="D1469" s="8" t="s">
        <v>6421</v>
      </c>
      <c r="E1469" s="8">
        <v>75.0</v>
      </c>
    </row>
    <row r="1470">
      <c r="A1470" s="8" t="s">
        <v>552</v>
      </c>
      <c r="B1470" s="8" t="s">
        <v>389</v>
      </c>
      <c r="C1470" s="8" t="s">
        <v>149</v>
      </c>
      <c r="D1470" s="8" t="s">
        <v>6424</v>
      </c>
      <c r="E1470" s="8">
        <v>90.0</v>
      </c>
    </row>
    <row r="1471">
      <c r="A1471" s="8" t="s">
        <v>2002</v>
      </c>
      <c r="B1471" s="8" t="s">
        <v>2001</v>
      </c>
      <c r="C1471" s="8" t="s">
        <v>65</v>
      </c>
      <c r="D1471" s="8" t="s">
        <v>6429</v>
      </c>
      <c r="E1471" s="8">
        <v>73.0</v>
      </c>
    </row>
    <row r="1472">
      <c r="A1472" s="8" t="s">
        <v>3497</v>
      </c>
      <c r="B1472" s="8" t="s">
        <v>232</v>
      </c>
      <c r="C1472" s="8" t="s">
        <v>80</v>
      </c>
      <c r="D1472" s="8" t="s">
        <v>6435</v>
      </c>
      <c r="E1472" s="8">
        <v>82.0</v>
      </c>
    </row>
    <row r="1473">
      <c r="A1473" s="8" t="s">
        <v>1650</v>
      </c>
      <c r="B1473" s="8" t="s">
        <v>1649</v>
      </c>
      <c r="C1473" s="8" t="s">
        <v>46</v>
      </c>
      <c r="D1473" s="8" t="s">
        <v>6415</v>
      </c>
      <c r="E1473" s="8">
        <v>78.0</v>
      </c>
    </row>
    <row r="1474">
      <c r="A1474" s="8" t="s">
        <v>784</v>
      </c>
      <c r="B1474" s="8" t="s">
        <v>783</v>
      </c>
      <c r="C1474" s="8" t="s">
        <v>186</v>
      </c>
      <c r="D1474" s="8" t="s">
        <v>6431</v>
      </c>
      <c r="E1474" s="8">
        <v>67.0</v>
      </c>
    </row>
    <row r="1475">
      <c r="A1475" s="8" t="s">
        <v>64</v>
      </c>
      <c r="B1475" s="8" t="s">
        <v>3498</v>
      </c>
      <c r="C1475" s="8" t="s">
        <v>138</v>
      </c>
      <c r="D1475" s="8" t="s">
        <v>6441</v>
      </c>
      <c r="E1475" s="8">
        <v>65.0</v>
      </c>
    </row>
    <row r="1476">
      <c r="A1476" s="8" t="s">
        <v>64</v>
      </c>
      <c r="B1476" s="8" t="s">
        <v>1560</v>
      </c>
      <c r="C1476" s="8" t="s">
        <v>122</v>
      </c>
      <c r="D1476" s="8" t="s">
        <v>6443</v>
      </c>
      <c r="E1476" s="8">
        <v>69.0</v>
      </c>
    </row>
    <row r="1477">
      <c r="A1477" s="8" t="s">
        <v>64</v>
      </c>
      <c r="B1477" s="8" t="s">
        <v>63</v>
      </c>
      <c r="C1477" s="8" t="s">
        <v>65</v>
      </c>
      <c r="D1477" s="8" t="s">
        <v>6419</v>
      </c>
      <c r="E1477" s="8">
        <v>90.0</v>
      </c>
    </row>
    <row r="1478">
      <c r="A1478" s="8" t="s">
        <v>64</v>
      </c>
      <c r="B1478" s="8" t="s">
        <v>827</v>
      </c>
      <c r="C1478" s="8" t="s">
        <v>132</v>
      </c>
      <c r="D1478" s="8" t="s">
        <v>6418</v>
      </c>
      <c r="E1478" s="8">
        <v>81.0</v>
      </c>
    </row>
    <row r="1479">
      <c r="A1479" s="8" t="s">
        <v>768</v>
      </c>
      <c r="B1479" s="8" t="s">
        <v>767</v>
      </c>
      <c r="C1479" s="8" t="s">
        <v>70</v>
      </c>
      <c r="D1479" s="8" t="s">
        <v>6429</v>
      </c>
      <c r="E1479" s="8">
        <v>84.0</v>
      </c>
    </row>
    <row r="1480">
      <c r="A1480" s="8" t="s">
        <v>1512</v>
      </c>
      <c r="B1480" s="8" t="s">
        <v>94</v>
      </c>
      <c r="C1480" s="8" t="s">
        <v>53</v>
      </c>
      <c r="D1480" s="8" t="s">
        <v>6438</v>
      </c>
      <c r="E1480" s="8">
        <v>62.0</v>
      </c>
    </row>
    <row r="1481">
      <c r="A1481" s="8" t="s">
        <v>3270</v>
      </c>
      <c r="B1481" s="8" t="s">
        <v>1454</v>
      </c>
      <c r="C1481" s="8" t="s">
        <v>46</v>
      </c>
      <c r="D1481" s="8" t="s">
        <v>6434</v>
      </c>
      <c r="E1481" s="8">
        <v>64.0</v>
      </c>
    </row>
    <row r="1482">
      <c r="A1482" s="8" t="s">
        <v>673</v>
      </c>
      <c r="B1482" s="8" t="s">
        <v>672</v>
      </c>
      <c r="C1482" s="8" t="s">
        <v>132</v>
      </c>
      <c r="D1482" s="8" t="s">
        <v>6437</v>
      </c>
      <c r="E1482" s="8">
        <v>78.0</v>
      </c>
    </row>
    <row r="1483">
      <c r="A1483" s="8" t="s">
        <v>3242</v>
      </c>
      <c r="B1483" s="8" t="s">
        <v>895</v>
      </c>
      <c r="C1483" s="8" t="s">
        <v>59</v>
      </c>
      <c r="D1483" s="8" t="s">
        <v>6428</v>
      </c>
      <c r="E1483" s="8">
        <v>64.0</v>
      </c>
    </row>
    <row r="1484">
      <c r="A1484" s="8" t="s">
        <v>942</v>
      </c>
      <c r="B1484" s="8" t="s">
        <v>941</v>
      </c>
      <c r="C1484" s="8" t="s">
        <v>138</v>
      </c>
      <c r="D1484" s="8" t="s">
        <v>6439</v>
      </c>
      <c r="E1484" s="8">
        <v>60.0</v>
      </c>
    </row>
    <row r="1485">
      <c r="A1485" s="8" t="s">
        <v>507</v>
      </c>
      <c r="B1485" s="8" t="s">
        <v>506</v>
      </c>
      <c r="C1485" s="8" t="s">
        <v>59</v>
      </c>
      <c r="D1485" s="8" t="s">
        <v>6426</v>
      </c>
      <c r="E1485" s="8">
        <v>84.0</v>
      </c>
    </row>
    <row r="1486">
      <c r="A1486" s="8" t="s">
        <v>524</v>
      </c>
      <c r="B1486" s="8" t="s">
        <v>62</v>
      </c>
      <c r="C1486" s="8" t="s">
        <v>138</v>
      </c>
      <c r="D1486" s="8" t="s">
        <v>6440</v>
      </c>
      <c r="E1486" s="8">
        <v>62.0</v>
      </c>
    </row>
    <row r="1487">
      <c r="A1487" s="8" t="s">
        <v>524</v>
      </c>
      <c r="B1487" s="8" t="s">
        <v>3384</v>
      </c>
      <c r="C1487" s="8" t="s">
        <v>215</v>
      </c>
      <c r="D1487" s="8" t="s">
        <v>6415</v>
      </c>
      <c r="E1487" s="8">
        <v>56.0</v>
      </c>
    </row>
    <row r="1488">
      <c r="A1488" s="8" t="s">
        <v>524</v>
      </c>
      <c r="B1488" s="8" t="s">
        <v>3091</v>
      </c>
      <c r="C1488" s="8" t="s">
        <v>186</v>
      </c>
      <c r="D1488" s="8" t="s">
        <v>6415</v>
      </c>
      <c r="E1488" s="8">
        <v>80.0</v>
      </c>
    </row>
    <row r="1489">
      <c r="A1489" s="8" t="s">
        <v>524</v>
      </c>
      <c r="B1489" s="8" t="s">
        <v>523</v>
      </c>
      <c r="C1489" s="8" t="s">
        <v>215</v>
      </c>
      <c r="D1489" s="8" t="s">
        <v>6436</v>
      </c>
      <c r="E1489" s="8">
        <v>75.0</v>
      </c>
    </row>
    <row r="1490">
      <c r="A1490" s="8" t="s">
        <v>5363</v>
      </c>
      <c r="B1490" s="8" t="s">
        <v>90</v>
      </c>
      <c r="C1490" s="8" t="s">
        <v>46</v>
      </c>
      <c r="D1490" s="8" t="s">
        <v>6428</v>
      </c>
      <c r="E1490" s="8">
        <v>66.0</v>
      </c>
    </row>
    <row r="1491">
      <c r="A1491" s="8" t="s">
        <v>5365</v>
      </c>
      <c r="B1491" s="8" t="s">
        <v>646</v>
      </c>
      <c r="C1491" s="8" t="s">
        <v>70</v>
      </c>
      <c r="D1491" s="8" t="s">
        <v>6439</v>
      </c>
      <c r="E1491" s="8">
        <v>97.0</v>
      </c>
    </row>
    <row r="1492">
      <c r="A1492" s="8" t="s">
        <v>42</v>
      </c>
      <c r="B1492" s="8" t="s">
        <v>99</v>
      </c>
      <c r="C1492" s="8" t="s">
        <v>24</v>
      </c>
      <c r="D1492" s="8" t="s">
        <v>6438</v>
      </c>
      <c r="E1492" s="8">
        <v>74.0</v>
      </c>
    </row>
    <row r="1493">
      <c r="A1493" s="8" t="s">
        <v>2690</v>
      </c>
      <c r="B1493" s="8" t="s">
        <v>2689</v>
      </c>
      <c r="C1493" s="8" t="s">
        <v>70</v>
      </c>
      <c r="D1493" s="8" t="s">
        <v>6424</v>
      </c>
      <c r="E1493" s="8">
        <v>85.0</v>
      </c>
    </row>
    <row r="1494">
      <c r="A1494" s="8" t="s">
        <v>2151</v>
      </c>
      <c r="B1494" s="8" t="s">
        <v>2943</v>
      </c>
      <c r="C1494" s="8" t="s">
        <v>192</v>
      </c>
      <c r="D1494" s="8" t="s">
        <v>6437</v>
      </c>
      <c r="E1494" s="8">
        <v>61.0</v>
      </c>
    </row>
    <row r="1495">
      <c r="A1495" s="8" t="s">
        <v>2151</v>
      </c>
      <c r="B1495" s="8" t="s">
        <v>2937</v>
      </c>
      <c r="C1495" s="8" t="s">
        <v>93</v>
      </c>
      <c r="D1495" s="8" t="s">
        <v>6442</v>
      </c>
      <c r="E1495" s="8">
        <v>70.0</v>
      </c>
    </row>
    <row r="1496">
      <c r="A1496" s="8" t="s">
        <v>1172</v>
      </c>
      <c r="B1496" s="8" t="s">
        <v>78</v>
      </c>
      <c r="C1496" s="8" t="s">
        <v>138</v>
      </c>
      <c r="D1496" s="8" t="s">
        <v>6440</v>
      </c>
      <c r="E1496" s="8">
        <v>85.0</v>
      </c>
    </row>
    <row r="1497">
      <c r="A1497" s="8" t="s">
        <v>1172</v>
      </c>
      <c r="B1497" s="8" t="s">
        <v>1794</v>
      </c>
      <c r="C1497" s="8" t="s">
        <v>70</v>
      </c>
      <c r="D1497" s="8" t="s">
        <v>6413</v>
      </c>
      <c r="E1497" s="8">
        <v>81.0</v>
      </c>
    </row>
    <row r="1498">
      <c r="A1498" s="8" t="s">
        <v>1172</v>
      </c>
      <c r="B1498" s="8" t="s">
        <v>1336</v>
      </c>
      <c r="C1498" s="8" t="s">
        <v>46</v>
      </c>
      <c r="D1498" s="8" t="s">
        <v>6426</v>
      </c>
      <c r="E1498" s="8">
        <v>63.0</v>
      </c>
    </row>
    <row r="1499">
      <c r="A1499" s="8" t="s">
        <v>1172</v>
      </c>
      <c r="B1499" s="8" t="s">
        <v>389</v>
      </c>
      <c r="C1499" s="8" t="s">
        <v>93</v>
      </c>
      <c r="D1499" s="8" t="s">
        <v>6430</v>
      </c>
      <c r="E1499" s="8">
        <v>71.0</v>
      </c>
    </row>
    <row r="1500">
      <c r="A1500" s="8" t="s">
        <v>1172</v>
      </c>
      <c r="B1500" s="8" t="s">
        <v>510</v>
      </c>
      <c r="C1500" s="8" t="s">
        <v>53</v>
      </c>
      <c r="D1500" s="8" t="s">
        <v>6427</v>
      </c>
      <c r="E1500" s="8">
        <v>77.0</v>
      </c>
    </row>
    <row r="1501">
      <c r="A1501" s="8" t="s">
        <v>2721</v>
      </c>
      <c r="B1501" s="8" t="s">
        <v>2720</v>
      </c>
      <c r="C1501" s="8" t="s">
        <v>65</v>
      </c>
      <c r="D1501" s="8" t="s">
        <v>6415</v>
      </c>
      <c r="E1501" s="8">
        <v>69.0</v>
      </c>
    </row>
    <row r="1502">
      <c r="A1502" s="8" t="s">
        <v>580</v>
      </c>
      <c r="B1502" s="8" t="s">
        <v>579</v>
      </c>
      <c r="C1502" s="8" t="s">
        <v>59</v>
      </c>
      <c r="D1502" s="8" t="s">
        <v>6413</v>
      </c>
      <c r="E1502" s="8">
        <v>72.0</v>
      </c>
    </row>
    <row r="1503">
      <c r="A1503" s="8" t="s">
        <v>295</v>
      </c>
      <c r="B1503" s="8" t="s">
        <v>218</v>
      </c>
      <c r="C1503" s="8" t="s">
        <v>70</v>
      </c>
      <c r="D1503" s="8" t="s">
        <v>6430</v>
      </c>
      <c r="E1503" s="8">
        <v>92.0</v>
      </c>
    </row>
    <row r="1504">
      <c r="A1504" s="8" t="s">
        <v>1620</v>
      </c>
      <c r="B1504" s="8" t="s">
        <v>1619</v>
      </c>
      <c r="C1504" s="8" t="s">
        <v>93</v>
      </c>
      <c r="D1504" s="8" t="s">
        <v>6423</v>
      </c>
      <c r="E1504" s="8">
        <v>68.0</v>
      </c>
    </row>
    <row r="1505">
      <c r="A1505" s="8" t="s">
        <v>3289</v>
      </c>
      <c r="B1505" s="8" t="s">
        <v>3288</v>
      </c>
      <c r="C1505" s="8" t="s">
        <v>122</v>
      </c>
      <c r="D1505" s="8" t="s">
        <v>6421</v>
      </c>
      <c r="E1505" s="8">
        <v>74.0</v>
      </c>
    </row>
    <row r="1506">
      <c r="A1506" s="8" t="s">
        <v>211</v>
      </c>
      <c r="B1506" s="8" t="s">
        <v>812</v>
      </c>
      <c r="C1506" s="8" t="s">
        <v>24</v>
      </c>
      <c r="D1506" s="8" t="s">
        <v>6431</v>
      </c>
      <c r="E1506" s="8">
        <v>70.0</v>
      </c>
    </row>
    <row r="1507">
      <c r="A1507" s="8" t="s">
        <v>94</v>
      </c>
      <c r="B1507" s="8" t="s">
        <v>1036</v>
      </c>
      <c r="C1507" s="8" t="s">
        <v>138</v>
      </c>
      <c r="D1507" s="8" t="s">
        <v>6442</v>
      </c>
      <c r="E1507" s="8">
        <v>63.0</v>
      </c>
    </row>
    <row r="1508">
      <c r="A1508" s="8" t="s">
        <v>391</v>
      </c>
      <c r="B1508" s="8" t="s">
        <v>91</v>
      </c>
      <c r="C1508" s="8" t="s">
        <v>122</v>
      </c>
      <c r="D1508" s="8" t="s">
        <v>6429</v>
      </c>
      <c r="E1508" s="8">
        <v>86.0</v>
      </c>
    </row>
    <row r="1509">
      <c r="A1509" s="8" t="s">
        <v>222</v>
      </c>
      <c r="B1509" s="8" t="s">
        <v>62</v>
      </c>
      <c r="C1509" s="8" t="s">
        <v>24</v>
      </c>
      <c r="D1509" s="8" t="s">
        <v>6430</v>
      </c>
      <c r="E1509" s="8">
        <v>60.0</v>
      </c>
    </row>
    <row r="1510">
      <c r="A1510" s="8" t="s">
        <v>222</v>
      </c>
      <c r="B1510" s="8" t="s">
        <v>221</v>
      </c>
      <c r="C1510" s="8" t="s">
        <v>24</v>
      </c>
      <c r="D1510" s="8" t="s">
        <v>6422</v>
      </c>
      <c r="E1510" s="8">
        <v>70.0</v>
      </c>
    </row>
    <row r="1511">
      <c r="A1511" s="8" t="s">
        <v>222</v>
      </c>
      <c r="B1511" s="8" t="s">
        <v>67</v>
      </c>
      <c r="C1511" s="8" t="s">
        <v>93</v>
      </c>
      <c r="D1511" s="8" t="s">
        <v>6423</v>
      </c>
      <c r="E1511" s="8">
        <v>86.0</v>
      </c>
    </row>
    <row r="1512">
      <c r="A1512" s="8" t="s">
        <v>2155</v>
      </c>
      <c r="B1512" s="8" t="s">
        <v>2040</v>
      </c>
      <c r="C1512" s="8" t="s">
        <v>80</v>
      </c>
      <c r="D1512" s="8" t="s">
        <v>6434</v>
      </c>
      <c r="E1512" s="8">
        <v>67.0</v>
      </c>
    </row>
    <row r="1513">
      <c r="A1513" s="8" t="s">
        <v>58</v>
      </c>
      <c r="B1513" s="8" t="s">
        <v>2925</v>
      </c>
      <c r="C1513" s="8" t="s">
        <v>59</v>
      </c>
      <c r="D1513" s="8" t="s">
        <v>6440</v>
      </c>
      <c r="E1513" s="8">
        <v>72.0</v>
      </c>
    </row>
    <row r="1514">
      <c r="A1514" s="8" t="s">
        <v>58</v>
      </c>
      <c r="B1514" s="8" t="s">
        <v>3460</v>
      </c>
      <c r="C1514" s="8" t="s">
        <v>70</v>
      </c>
      <c r="D1514" s="8" t="s">
        <v>6435</v>
      </c>
      <c r="E1514" s="8">
        <v>70.0</v>
      </c>
    </row>
    <row r="1515">
      <c r="A1515" s="8" t="s">
        <v>58</v>
      </c>
      <c r="B1515" s="8" t="s">
        <v>57</v>
      </c>
      <c r="C1515" s="8" t="s">
        <v>59</v>
      </c>
      <c r="D1515" s="8" t="s">
        <v>6430</v>
      </c>
      <c r="E1515" s="8">
        <v>84.0</v>
      </c>
    </row>
    <row r="1516">
      <c r="A1516" s="8" t="s">
        <v>58</v>
      </c>
      <c r="B1516" s="8" t="s">
        <v>1430</v>
      </c>
      <c r="C1516" s="8" t="s">
        <v>93</v>
      </c>
      <c r="D1516" s="8" t="s">
        <v>6412</v>
      </c>
      <c r="E1516" s="8">
        <v>70.0</v>
      </c>
    </row>
    <row r="1517">
      <c r="A1517" s="8" t="s">
        <v>58</v>
      </c>
      <c r="B1517" s="8" t="s">
        <v>665</v>
      </c>
      <c r="C1517" s="8" t="s">
        <v>80</v>
      </c>
      <c r="D1517" s="8" t="s">
        <v>6422</v>
      </c>
      <c r="E1517" s="8">
        <v>63.0</v>
      </c>
    </row>
    <row r="1518">
      <c r="A1518" s="8" t="s">
        <v>3150</v>
      </c>
      <c r="B1518" s="8" t="s">
        <v>1675</v>
      </c>
      <c r="C1518" s="8" t="s">
        <v>93</v>
      </c>
      <c r="D1518" s="8" t="s">
        <v>6416</v>
      </c>
      <c r="E1518" s="8">
        <v>62.0</v>
      </c>
    </row>
    <row r="1519">
      <c r="A1519" s="8" t="s">
        <v>1516</v>
      </c>
      <c r="B1519" s="8" t="s">
        <v>3484</v>
      </c>
      <c r="C1519" s="8" t="s">
        <v>122</v>
      </c>
      <c r="D1519" s="8" t="s">
        <v>6414</v>
      </c>
      <c r="E1519" s="8">
        <v>58.0</v>
      </c>
    </row>
    <row r="1520">
      <c r="A1520" s="8" t="s">
        <v>3131</v>
      </c>
      <c r="B1520" s="8" t="s">
        <v>617</v>
      </c>
      <c r="C1520" s="8" t="s">
        <v>65</v>
      </c>
      <c r="D1520" s="8" t="s">
        <v>6442</v>
      </c>
      <c r="E1520" s="8">
        <v>70.0</v>
      </c>
    </row>
    <row r="1521">
      <c r="A1521" s="8" t="s">
        <v>320</v>
      </c>
      <c r="B1521" s="8" t="s">
        <v>620</v>
      </c>
      <c r="C1521" s="8" t="s">
        <v>24</v>
      </c>
      <c r="D1521" s="8" t="s">
        <v>6433</v>
      </c>
      <c r="E1521" s="8">
        <v>76.0</v>
      </c>
    </row>
    <row r="1522">
      <c r="A1522" s="8" t="s">
        <v>320</v>
      </c>
      <c r="B1522" s="8" t="s">
        <v>2862</v>
      </c>
      <c r="C1522" s="8" t="s">
        <v>132</v>
      </c>
      <c r="D1522" s="8" t="s">
        <v>6433</v>
      </c>
      <c r="E1522" s="8">
        <v>75.0</v>
      </c>
    </row>
    <row r="1523">
      <c r="A1523" s="8" t="s">
        <v>320</v>
      </c>
      <c r="B1523" s="8" t="s">
        <v>319</v>
      </c>
      <c r="C1523" s="8" t="s">
        <v>24</v>
      </c>
      <c r="D1523" s="8" t="s">
        <v>6426</v>
      </c>
      <c r="E1523" s="8">
        <v>68.0</v>
      </c>
    </row>
    <row r="1524">
      <c r="A1524" s="8" t="s">
        <v>320</v>
      </c>
      <c r="B1524" s="8" t="s">
        <v>2694</v>
      </c>
      <c r="C1524" s="8" t="s">
        <v>141</v>
      </c>
      <c r="D1524" s="8" t="s">
        <v>6413</v>
      </c>
      <c r="E1524" s="8">
        <v>70.0</v>
      </c>
    </row>
    <row r="1525">
      <c r="A1525" s="8" t="s">
        <v>320</v>
      </c>
      <c r="B1525" s="8" t="s">
        <v>595</v>
      </c>
      <c r="C1525" s="8" t="s">
        <v>186</v>
      </c>
      <c r="D1525" s="8" t="s">
        <v>6428</v>
      </c>
      <c r="E1525" s="8">
        <v>58.0</v>
      </c>
    </row>
    <row r="1526">
      <c r="A1526" s="8" t="s">
        <v>320</v>
      </c>
      <c r="B1526" s="8" t="s">
        <v>739</v>
      </c>
      <c r="C1526" s="8" t="s">
        <v>186</v>
      </c>
      <c r="D1526" s="8" t="s">
        <v>6441</v>
      </c>
      <c r="E1526" s="8">
        <v>98.0</v>
      </c>
    </row>
    <row r="1527">
      <c r="A1527" s="8" t="s">
        <v>3481</v>
      </c>
      <c r="B1527" s="8" t="s">
        <v>3480</v>
      </c>
      <c r="C1527" s="8" t="s">
        <v>59</v>
      </c>
      <c r="D1527" s="8" t="s">
        <v>6416</v>
      </c>
      <c r="E1527" s="8">
        <v>58.0</v>
      </c>
    </row>
    <row r="1528">
      <c r="A1528" s="8" t="s">
        <v>163</v>
      </c>
      <c r="B1528" s="8" t="s">
        <v>106</v>
      </c>
      <c r="C1528" s="8" t="s">
        <v>70</v>
      </c>
      <c r="D1528" s="8" t="s">
        <v>6416</v>
      </c>
      <c r="E1528" s="8">
        <v>66.0</v>
      </c>
    </row>
    <row r="1529">
      <c r="A1529" s="8" t="s">
        <v>163</v>
      </c>
      <c r="B1529" s="8" t="s">
        <v>1477</v>
      </c>
      <c r="C1529" s="8" t="s">
        <v>65</v>
      </c>
      <c r="D1529" s="8" t="s">
        <v>6424</v>
      </c>
      <c r="E1529" s="8">
        <v>69.0</v>
      </c>
    </row>
    <row r="1530">
      <c r="A1530" s="8" t="s">
        <v>1353</v>
      </c>
      <c r="B1530" s="8" t="s">
        <v>57</v>
      </c>
      <c r="C1530" s="8" t="s">
        <v>93</v>
      </c>
      <c r="D1530" s="8" t="s">
        <v>6429</v>
      </c>
      <c r="E1530" s="8">
        <v>73.0</v>
      </c>
    </row>
    <row r="1531">
      <c r="A1531" s="8" t="s">
        <v>2770</v>
      </c>
      <c r="B1531" s="8" t="s">
        <v>2769</v>
      </c>
      <c r="C1531" s="8" t="s">
        <v>65</v>
      </c>
      <c r="D1531" s="8" t="s">
        <v>6421</v>
      </c>
      <c r="E1531" s="8">
        <v>66.0</v>
      </c>
    </row>
    <row r="1532">
      <c r="A1532" s="8" t="s">
        <v>283</v>
      </c>
      <c r="B1532" s="8" t="s">
        <v>427</v>
      </c>
      <c r="C1532" s="8" t="s">
        <v>65</v>
      </c>
      <c r="D1532" s="8" t="s">
        <v>6436</v>
      </c>
      <c r="E1532" s="8">
        <v>76.0</v>
      </c>
    </row>
    <row r="1533">
      <c r="A1533" s="8" t="s">
        <v>283</v>
      </c>
      <c r="B1533" s="8" t="s">
        <v>106</v>
      </c>
      <c r="C1533" s="8" t="s">
        <v>70</v>
      </c>
      <c r="D1533" s="8" t="s">
        <v>6414</v>
      </c>
      <c r="E1533" s="8">
        <v>65.0</v>
      </c>
    </row>
    <row r="1534">
      <c r="A1534" s="8" t="s">
        <v>283</v>
      </c>
      <c r="B1534" s="8" t="s">
        <v>99</v>
      </c>
      <c r="C1534" s="8" t="s">
        <v>59</v>
      </c>
      <c r="D1534" s="8" t="s">
        <v>6422</v>
      </c>
      <c r="E1534" s="8">
        <v>75.0</v>
      </c>
    </row>
    <row r="1535">
      <c r="A1535" s="8" t="s">
        <v>283</v>
      </c>
      <c r="B1535" s="8" t="s">
        <v>486</v>
      </c>
      <c r="C1535" s="8" t="s">
        <v>93</v>
      </c>
      <c r="D1535" s="8" t="s">
        <v>6436</v>
      </c>
      <c r="E1535" s="8">
        <v>92.0</v>
      </c>
    </row>
    <row r="1536">
      <c r="A1536" s="8" t="s">
        <v>283</v>
      </c>
      <c r="B1536" s="8" t="s">
        <v>282</v>
      </c>
      <c r="C1536" s="8" t="s">
        <v>192</v>
      </c>
      <c r="D1536" s="8" t="s">
        <v>6424</v>
      </c>
      <c r="E1536" s="8">
        <v>85.0</v>
      </c>
    </row>
    <row r="1537">
      <c r="A1537" s="8" t="s">
        <v>1386</v>
      </c>
      <c r="B1537" s="8" t="s">
        <v>106</v>
      </c>
      <c r="C1537" s="8" t="s">
        <v>122</v>
      </c>
      <c r="D1537" s="8" t="s">
        <v>6436</v>
      </c>
      <c r="E1537" s="8">
        <v>78.0</v>
      </c>
    </row>
    <row r="1538">
      <c r="A1538" s="8" t="s">
        <v>1742</v>
      </c>
      <c r="B1538" s="8" t="s">
        <v>498</v>
      </c>
      <c r="C1538" s="8" t="s">
        <v>122</v>
      </c>
      <c r="D1538" s="8" t="s">
        <v>6442</v>
      </c>
      <c r="E1538" s="8">
        <v>72.0</v>
      </c>
    </row>
    <row r="1539">
      <c r="A1539" s="8" t="s">
        <v>549</v>
      </c>
      <c r="B1539" s="8" t="s">
        <v>2136</v>
      </c>
      <c r="C1539" s="8" t="s">
        <v>80</v>
      </c>
      <c r="D1539" s="8" t="s">
        <v>6428</v>
      </c>
      <c r="E1539" s="8">
        <v>76.0</v>
      </c>
    </row>
    <row r="1540">
      <c r="A1540" s="8" t="s">
        <v>549</v>
      </c>
      <c r="B1540" s="8" t="s">
        <v>99</v>
      </c>
      <c r="C1540" s="8" t="s">
        <v>192</v>
      </c>
      <c r="D1540" s="8" t="s">
        <v>6434</v>
      </c>
      <c r="E1540" s="8">
        <v>59.0</v>
      </c>
    </row>
    <row r="1541">
      <c r="A1541" s="8" t="s">
        <v>549</v>
      </c>
      <c r="B1541" s="8" t="s">
        <v>208</v>
      </c>
      <c r="C1541" s="8" t="s">
        <v>122</v>
      </c>
      <c r="D1541" s="8" t="s">
        <v>6413</v>
      </c>
      <c r="E1541" s="8">
        <v>83.0</v>
      </c>
    </row>
    <row r="1542">
      <c r="A1542" s="8" t="s">
        <v>549</v>
      </c>
      <c r="B1542" s="8" t="s">
        <v>2935</v>
      </c>
      <c r="C1542" s="8" t="s">
        <v>122</v>
      </c>
      <c r="D1542" s="8" t="s">
        <v>6433</v>
      </c>
      <c r="E1542" s="8">
        <v>74.0</v>
      </c>
    </row>
    <row r="1543">
      <c r="A1543" s="8" t="s">
        <v>3279</v>
      </c>
      <c r="B1543" s="8" t="s">
        <v>3278</v>
      </c>
      <c r="C1543" s="8" t="s">
        <v>215</v>
      </c>
      <c r="D1543" s="8" t="s">
        <v>6413</v>
      </c>
      <c r="E1543" s="8">
        <v>68.0</v>
      </c>
    </row>
    <row r="1544">
      <c r="A1544" s="8" t="s">
        <v>3088</v>
      </c>
      <c r="B1544" s="8" t="s">
        <v>5428</v>
      </c>
      <c r="C1544" s="8" t="s">
        <v>186</v>
      </c>
      <c r="D1544" s="8" t="s">
        <v>6418</v>
      </c>
      <c r="E1544" s="8">
        <v>75.0</v>
      </c>
    </row>
    <row r="1545">
      <c r="A1545" s="8" t="s">
        <v>95</v>
      </c>
      <c r="B1545" s="8" t="s">
        <v>94</v>
      </c>
      <c r="C1545" s="8" t="s">
        <v>24</v>
      </c>
      <c r="D1545" s="8" t="s">
        <v>6413</v>
      </c>
      <c r="E1545" s="8">
        <v>77.0</v>
      </c>
    </row>
    <row r="1546">
      <c r="A1546" s="8" t="s">
        <v>505</v>
      </c>
      <c r="B1546" s="8" t="s">
        <v>504</v>
      </c>
      <c r="C1546" s="8" t="s">
        <v>122</v>
      </c>
      <c r="D1546" s="8" t="s">
        <v>6430</v>
      </c>
      <c r="E1546" s="8">
        <v>85.0</v>
      </c>
    </row>
    <row r="1547">
      <c r="A1547" s="8" t="s">
        <v>247</v>
      </c>
      <c r="B1547" s="8" t="s">
        <v>766</v>
      </c>
      <c r="C1547" s="8" t="s">
        <v>70</v>
      </c>
      <c r="D1547" s="8" t="s">
        <v>6418</v>
      </c>
      <c r="E1547" s="8">
        <v>65.0</v>
      </c>
    </row>
    <row r="1548">
      <c r="A1548" s="8" t="s">
        <v>247</v>
      </c>
      <c r="B1548" s="8" t="s">
        <v>3417</v>
      </c>
      <c r="C1548" s="8" t="s">
        <v>93</v>
      </c>
      <c r="D1548" s="8" t="s">
        <v>6434</v>
      </c>
      <c r="E1548" s="8">
        <v>68.0</v>
      </c>
    </row>
    <row r="1549">
      <c r="A1549" s="8" t="s">
        <v>247</v>
      </c>
      <c r="B1549" s="8" t="s">
        <v>396</v>
      </c>
      <c r="C1549" s="8" t="s">
        <v>141</v>
      </c>
      <c r="D1549" s="8" t="s">
        <v>6443</v>
      </c>
      <c r="E1549" s="8">
        <v>68.0</v>
      </c>
    </row>
    <row r="1550">
      <c r="A1550" s="8" t="s">
        <v>247</v>
      </c>
      <c r="B1550" s="8" t="s">
        <v>246</v>
      </c>
      <c r="C1550" s="8" t="s">
        <v>149</v>
      </c>
      <c r="D1550" s="8" t="s">
        <v>6436</v>
      </c>
      <c r="E1550" s="8">
        <v>88.0</v>
      </c>
    </row>
    <row r="1551">
      <c r="A1551" s="8" t="s">
        <v>247</v>
      </c>
      <c r="B1551" s="8" t="s">
        <v>1246</v>
      </c>
      <c r="C1551" s="8" t="s">
        <v>192</v>
      </c>
      <c r="D1551" s="8" t="s">
        <v>6440</v>
      </c>
      <c r="E1551" s="8">
        <v>74.0</v>
      </c>
    </row>
    <row r="1552">
      <c r="A1552" s="8" t="s">
        <v>247</v>
      </c>
      <c r="B1552" s="8" t="s">
        <v>609</v>
      </c>
      <c r="C1552" s="8" t="s">
        <v>65</v>
      </c>
      <c r="D1552" s="8" t="s">
        <v>6439</v>
      </c>
      <c r="E1552" s="8">
        <v>61.0</v>
      </c>
    </row>
    <row r="1553">
      <c r="A1553" s="8" t="s">
        <v>247</v>
      </c>
      <c r="B1553" s="8" t="s">
        <v>2833</v>
      </c>
      <c r="C1553" s="8" t="s">
        <v>122</v>
      </c>
      <c r="D1553" s="8" t="s">
        <v>6417</v>
      </c>
      <c r="E1553" s="8">
        <v>60.0</v>
      </c>
    </row>
    <row r="1554">
      <c r="A1554" s="8" t="s">
        <v>247</v>
      </c>
      <c r="B1554" s="8" t="s">
        <v>313</v>
      </c>
      <c r="C1554" s="8" t="s">
        <v>93</v>
      </c>
      <c r="D1554" s="8" t="s">
        <v>6429</v>
      </c>
      <c r="E1554" s="8">
        <v>70.0</v>
      </c>
    </row>
    <row r="1555">
      <c r="A1555" s="8" t="s">
        <v>247</v>
      </c>
      <c r="B1555" s="8" t="s">
        <v>1595</v>
      </c>
      <c r="C1555" s="8" t="s">
        <v>59</v>
      </c>
      <c r="D1555" s="8" t="s">
        <v>6437</v>
      </c>
      <c r="E1555" s="8">
        <v>63.0</v>
      </c>
    </row>
    <row r="1556">
      <c r="A1556" s="8" t="s">
        <v>247</v>
      </c>
      <c r="B1556" s="8" t="s">
        <v>3060</v>
      </c>
      <c r="C1556" s="8" t="s">
        <v>215</v>
      </c>
      <c r="D1556" s="8" t="s">
        <v>6424</v>
      </c>
      <c r="E1556" s="8">
        <v>72.0</v>
      </c>
    </row>
    <row r="1557">
      <c r="A1557" s="8" t="s">
        <v>247</v>
      </c>
      <c r="B1557" s="8" t="s">
        <v>78</v>
      </c>
      <c r="C1557" s="8" t="s">
        <v>80</v>
      </c>
      <c r="D1557" s="8" t="s">
        <v>6418</v>
      </c>
      <c r="E1557" s="8">
        <v>75.0</v>
      </c>
    </row>
    <row r="1558">
      <c r="A1558" s="8" t="s">
        <v>247</v>
      </c>
      <c r="B1558" s="8" t="s">
        <v>3217</v>
      </c>
      <c r="C1558" s="8" t="s">
        <v>80</v>
      </c>
      <c r="D1558" s="8" t="s">
        <v>6433</v>
      </c>
      <c r="E1558" s="8">
        <v>64.0</v>
      </c>
    </row>
    <row r="1559">
      <c r="A1559" s="8" t="s">
        <v>247</v>
      </c>
      <c r="B1559" s="8" t="s">
        <v>1525</v>
      </c>
      <c r="C1559" s="8" t="s">
        <v>16</v>
      </c>
      <c r="D1559" s="8" t="s">
        <v>6423</v>
      </c>
      <c r="E1559" s="8">
        <v>80.0</v>
      </c>
    </row>
    <row r="1560">
      <c r="A1560" s="8" t="s">
        <v>247</v>
      </c>
      <c r="B1560" s="8" t="s">
        <v>78</v>
      </c>
      <c r="C1560" s="8" t="s">
        <v>93</v>
      </c>
      <c r="D1560" s="8" t="s">
        <v>6440</v>
      </c>
      <c r="E1560" s="8">
        <v>74.0</v>
      </c>
    </row>
    <row r="1561">
      <c r="A1561" s="8" t="s">
        <v>247</v>
      </c>
      <c r="B1561" s="8" t="s">
        <v>500</v>
      </c>
      <c r="C1561" s="8" t="s">
        <v>93</v>
      </c>
      <c r="D1561" s="8" t="s">
        <v>6427</v>
      </c>
      <c r="E1561" s="8">
        <v>73.0</v>
      </c>
    </row>
    <row r="1562">
      <c r="A1562" s="8" t="s">
        <v>247</v>
      </c>
      <c r="B1562" s="8" t="s">
        <v>3190</v>
      </c>
      <c r="C1562" s="8" t="s">
        <v>93</v>
      </c>
      <c r="D1562" s="8" t="s">
        <v>6443</v>
      </c>
      <c r="E1562" s="8">
        <v>69.0</v>
      </c>
    </row>
    <row r="1563">
      <c r="A1563" s="8" t="s">
        <v>247</v>
      </c>
      <c r="B1563" s="8" t="s">
        <v>267</v>
      </c>
      <c r="C1563" s="8" t="s">
        <v>149</v>
      </c>
      <c r="D1563" s="8" t="s">
        <v>6439</v>
      </c>
      <c r="E1563" s="8">
        <v>88.0</v>
      </c>
    </row>
    <row r="1564">
      <c r="A1564" s="8" t="s">
        <v>247</v>
      </c>
      <c r="B1564" s="8" t="s">
        <v>44</v>
      </c>
      <c r="C1564" s="8" t="s">
        <v>93</v>
      </c>
      <c r="D1564" s="8" t="s">
        <v>6437</v>
      </c>
      <c r="E1564" s="8">
        <v>88.0</v>
      </c>
    </row>
    <row r="1565">
      <c r="A1565" s="8" t="s">
        <v>206</v>
      </c>
      <c r="B1565" s="8" t="s">
        <v>205</v>
      </c>
      <c r="C1565" s="8" t="s">
        <v>215</v>
      </c>
      <c r="D1565" s="8" t="s">
        <v>6428</v>
      </c>
      <c r="E1565" s="8">
        <v>70.0</v>
      </c>
    </row>
    <row r="1566">
      <c r="A1566" s="8" t="s">
        <v>236</v>
      </c>
      <c r="B1566" s="8" t="s">
        <v>2776</v>
      </c>
      <c r="C1566" s="8" t="s">
        <v>215</v>
      </c>
      <c r="D1566" s="8" t="s">
        <v>6438</v>
      </c>
      <c r="E1566" s="8">
        <v>76.0</v>
      </c>
    </row>
    <row r="1567">
      <c r="A1567" s="8" t="s">
        <v>236</v>
      </c>
      <c r="B1567" s="8" t="s">
        <v>235</v>
      </c>
      <c r="C1567" s="8" t="s">
        <v>215</v>
      </c>
      <c r="D1567" s="8" t="s">
        <v>6441</v>
      </c>
      <c r="E1567" s="8">
        <v>83.0</v>
      </c>
    </row>
    <row r="1568">
      <c r="A1568" s="8" t="s">
        <v>236</v>
      </c>
      <c r="B1568" s="8" t="s">
        <v>336</v>
      </c>
      <c r="C1568" s="8" t="s">
        <v>65</v>
      </c>
      <c r="D1568" s="8" t="s">
        <v>6443</v>
      </c>
      <c r="E1568" s="8">
        <v>60.0</v>
      </c>
    </row>
    <row r="1569">
      <c r="A1569" s="8" t="s">
        <v>471</v>
      </c>
      <c r="B1569" s="8" t="s">
        <v>588</v>
      </c>
      <c r="C1569" s="8" t="s">
        <v>186</v>
      </c>
      <c r="D1569" s="8" t="s">
        <v>6442</v>
      </c>
      <c r="E1569" s="8">
        <v>64.0</v>
      </c>
    </row>
    <row r="1570">
      <c r="A1570" s="8" t="s">
        <v>471</v>
      </c>
      <c r="B1570" s="8" t="s">
        <v>2843</v>
      </c>
      <c r="C1570" s="8" t="s">
        <v>53</v>
      </c>
      <c r="D1570" s="8" t="s">
        <v>6425</v>
      </c>
      <c r="E1570" s="8">
        <v>68.0</v>
      </c>
    </row>
    <row r="1571">
      <c r="A1571" s="8" t="s">
        <v>471</v>
      </c>
      <c r="B1571" s="8" t="s">
        <v>470</v>
      </c>
      <c r="C1571" s="8" t="s">
        <v>186</v>
      </c>
      <c r="D1571" s="8" t="s">
        <v>6414</v>
      </c>
      <c r="E1571" s="8">
        <v>77.0</v>
      </c>
    </row>
    <row r="1572">
      <c r="A1572" s="8" t="s">
        <v>471</v>
      </c>
      <c r="B1572" s="8" t="s">
        <v>384</v>
      </c>
      <c r="C1572" s="8" t="s">
        <v>70</v>
      </c>
      <c r="D1572" s="8" t="s">
        <v>6418</v>
      </c>
      <c r="E1572" s="8">
        <v>84.0</v>
      </c>
    </row>
    <row r="1573">
      <c r="A1573" s="8" t="s">
        <v>471</v>
      </c>
      <c r="B1573" s="8" t="s">
        <v>1960</v>
      </c>
      <c r="C1573" s="8" t="s">
        <v>16</v>
      </c>
      <c r="D1573" s="8" t="s">
        <v>6427</v>
      </c>
      <c r="E1573" s="8">
        <v>67.0</v>
      </c>
    </row>
    <row r="1574">
      <c r="A1574" s="8" t="s">
        <v>471</v>
      </c>
      <c r="B1574" s="8" t="s">
        <v>927</v>
      </c>
      <c r="C1574" s="8" t="s">
        <v>75</v>
      </c>
      <c r="D1574" s="8" t="s">
        <v>6433</v>
      </c>
      <c r="E1574" s="8">
        <v>71.0</v>
      </c>
    </row>
    <row r="1575">
      <c r="A1575" s="8" t="s">
        <v>695</v>
      </c>
      <c r="B1575" s="8" t="s">
        <v>325</v>
      </c>
      <c r="C1575" s="8" t="s">
        <v>53</v>
      </c>
      <c r="D1575" s="8" t="s">
        <v>6419</v>
      </c>
      <c r="E1575" s="8">
        <v>82.0</v>
      </c>
    </row>
    <row r="1576">
      <c r="A1576" s="8" t="s">
        <v>695</v>
      </c>
      <c r="B1576" s="8" t="s">
        <v>3130</v>
      </c>
      <c r="C1576" s="8" t="s">
        <v>65</v>
      </c>
      <c r="D1576" s="8" t="s">
        <v>6427</v>
      </c>
      <c r="E1576" s="8">
        <v>75.0</v>
      </c>
    </row>
    <row r="1577">
      <c r="A1577" s="8" t="s">
        <v>2143</v>
      </c>
      <c r="B1577" s="8" t="s">
        <v>106</v>
      </c>
      <c r="C1577" s="8" t="s">
        <v>65</v>
      </c>
      <c r="D1577" s="8" t="s">
        <v>6412</v>
      </c>
      <c r="E1577" s="8">
        <v>71.0</v>
      </c>
    </row>
    <row r="1578">
      <c r="A1578" s="8" t="s">
        <v>2143</v>
      </c>
      <c r="B1578" s="8" t="s">
        <v>2142</v>
      </c>
      <c r="C1578" s="8" t="s">
        <v>93</v>
      </c>
      <c r="D1578" s="8" t="s">
        <v>6435</v>
      </c>
      <c r="E1578" s="8">
        <v>75.0</v>
      </c>
    </row>
    <row r="1579">
      <c r="A1579" s="8" t="s">
        <v>2143</v>
      </c>
      <c r="B1579" s="8" t="s">
        <v>163</v>
      </c>
      <c r="C1579" s="8" t="s">
        <v>70</v>
      </c>
      <c r="D1579" s="8" t="s">
        <v>6428</v>
      </c>
      <c r="E1579" s="8">
        <v>72.0</v>
      </c>
    </row>
    <row r="1580">
      <c r="A1580" s="8" t="s">
        <v>965</v>
      </c>
      <c r="B1580" s="8" t="s">
        <v>42</v>
      </c>
      <c r="C1580" s="8" t="s">
        <v>65</v>
      </c>
      <c r="D1580" s="8" t="s">
        <v>6413</v>
      </c>
      <c r="E1580" s="8">
        <v>80.0</v>
      </c>
    </row>
    <row r="1581">
      <c r="A1581" s="8" t="s">
        <v>3336</v>
      </c>
      <c r="B1581" s="8" t="s">
        <v>94</v>
      </c>
      <c r="C1581" s="8" t="s">
        <v>215</v>
      </c>
      <c r="D1581" s="8" t="s">
        <v>6430</v>
      </c>
      <c r="E1581" s="8">
        <v>61.0</v>
      </c>
    </row>
    <row r="1582">
      <c r="A1582" s="8" t="s">
        <v>2814</v>
      </c>
      <c r="B1582" s="8" t="s">
        <v>703</v>
      </c>
      <c r="C1582" s="8" t="s">
        <v>24</v>
      </c>
      <c r="D1582" s="8" t="s">
        <v>6415</v>
      </c>
      <c r="E1582" s="8">
        <v>69.0</v>
      </c>
    </row>
    <row r="1583">
      <c r="A1583" s="8" t="s">
        <v>2172</v>
      </c>
      <c r="B1583" s="8" t="s">
        <v>42</v>
      </c>
      <c r="C1583" s="8" t="s">
        <v>186</v>
      </c>
      <c r="D1583" s="8" t="s">
        <v>6438</v>
      </c>
      <c r="E1583" s="8">
        <v>63.0</v>
      </c>
    </row>
    <row r="1584">
      <c r="A1584" s="8" t="s">
        <v>2881</v>
      </c>
      <c r="B1584" s="8" t="s">
        <v>956</v>
      </c>
      <c r="C1584" s="8" t="s">
        <v>38</v>
      </c>
      <c r="D1584" s="8" t="s">
        <v>6438</v>
      </c>
      <c r="E1584" s="8">
        <v>85.0</v>
      </c>
    </row>
    <row r="1585">
      <c r="A1585" s="8" t="s">
        <v>2007</v>
      </c>
      <c r="B1585" s="8" t="s">
        <v>78</v>
      </c>
      <c r="C1585" s="8" t="s">
        <v>261</v>
      </c>
      <c r="D1585" s="8" t="s">
        <v>6413</v>
      </c>
      <c r="E1585" s="8">
        <v>68.0</v>
      </c>
    </row>
    <row r="1586">
      <c r="A1586" s="8" t="s">
        <v>2007</v>
      </c>
      <c r="B1586" s="8" t="s">
        <v>1055</v>
      </c>
      <c r="C1586" s="8" t="s">
        <v>93</v>
      </c>
      <c r="D1586" s="8" t="s">
        <v>6442</v>
      </c>
      <c r="E1586" s="8">
        <v>65.0</v>
      </c>
    </row>
    <row r="1587">
      <c r="A1587" s="8" t="s">
        <v>1733</v>
      </c>
      <c r="B1587" s="8" t="s">
        <v>726</v>
      </c>
      <c r="C1587" s="8" t="s">
        <v>93</v>
      </c>
      <c r="D1587" s="8" t="s">
        <v>6414</v>
      </c>
      <c r="E1587" s="8">
        <v>62.0</v>
      </c>
    </row>
    <row r="1588">
      <c r="A1588" s="8" t="s">
        <v>914</v>
      </c>
      <c r="B1588" s="8" t="s">
        <v>3189</v>
      </c>
      <c r="C1588" s="8" t="s">
        <v>65</v>
      </c>
      <c r="D1588" s="8" t="s">
        <v>6419</v>
      </c>
      <c r="E1588" s="8">
        <v>62.0</v>
      </c>
    </row>
    <row r="1589">
      <c r="A1589" s="8" t="s">
        <v>914</v>
      </c>
      <c r="B1589" s="8" t="s">
        <v>913</v>
      </c>
      <c r="C1589" s="8" t="s">
        <v>53</v>
      </c>
      <c r="D1589" s="8" t="s">
        <v>6417</v>
      </c>
      <c r="E1589" s="8">
        <v>63.0</v>
      </c>
    </row>
    <row r="1590">
      <c r="A1590" s="8" t="s">
        <v>699</v>
      </c>
      <c r="B1590" s="8" t="s">
        <v>520</v>
      </c>
      <c r="C1590" s="8" t="s">
        <v>65</v>
      </c>
      <c r="D1590" s="8" t="s">
        <v>6422</v>
      </c>
      <c r="E1590" s="8">
        <v>73.0</v>
      </c>
    </row>
    <row r="1591">
      <c r="A1591" s="8" t="s">
        <v>131</v>
      </c>
      <c r="B1591" s="8" t="s">
        <v>130</v>
      </c>
      <c r="C1591" s="8" t="s">
        <v>132</v>
      </c>
      <c r="D1591" s="8" t="s">
        <v>6435</v>
      </c>
      <c r="E1591" s="8">
        <v>96.0</v>
      </c>
    </row>
    <row r="1592">
      <c r="A1592" s="8" t="s">
        <v>405</v>
      </c>
      <c r="B1592" s="8" t="s">
        <v>404</v>
      </c>
      <c r="C1592" s="8" t="s">
        <v>149</v>
      </c>
      <c r="D1592" s="8" t="s">
        <v>6438</v>
      </c>
      <c r="E1592" s="8">
        <v>71.0</v>
      </c>
    </row>
    <row r="1593">
      <c r="A1593" s="8" t="s">
        <v>2910</v>
      </c>
      <c r="B1593" s="8" t="s">
        <v>1237</v>
      </c>
      <c r="C1593" s="8" t="s">
        <v>70</v>
      </c>
      <c r="D1593" s="8" t="s">
        <v>6438</v>
      </c>
      <c r="E1593" s="8">
        <v>85.0</v>
      </c>
    </row>
    <row r="1594">
      <c r="A1594" s="8" t="s">
        <v>2170</v>
      </c>
      <c r="B1594" s="8" t="s">
        <v>2169</v>
      </c>
      <c r="C1594" s="8" t="s">
        <v>93</v>
      </c>
      <c r="D1594" s="8" t="s">
        <v>6418</v>
      </c>
      <c r="E1594" s="8">
        <v>76.0</v>
      </c>
    </row>
    <row r="1595">
      <c r="A1595" s="8" t="s">
        <v>2707</v>
      </c>
      <c r="B1595" s="8" t="s">
        <v>2064</v>
      </c>
      <c r="C1595" s="8" t="s">
        <v>65</v>
      </c>
      <c r="D1595" s="8" t="s">
        <v>6439</v>
      </c>
      <c r="E1595" s="8">
        <v>80.0</v>
      </c>
    </row>
    <row r="1596">
      <c r="A1596" s="8" t="s">
        <v>3170</v>
      </c>
      <c r="B1596" s="8" t="s">
        <v>136</v>
      </c>
      <c r="C1596" s="8" t="s">
        <v>24</v>
      </c>
      <c r="D1596" s="8" t="s">
        <v>6421</v>
      </c>
      <c r="E1596" s="8">
        <v>89.0</v>
      </c>
    </row>
    <row r="1597">
      <c r="A1597" s="8" t="s">
        <v>396</v>
      </c>
      <c r="B1597" s="8" t="s">
        <v>1480</v>
      </c>
      <c r="C1597" s="8" t="s">
        <v>215</v>
      </c>
      <c r="D1597" s="8" t="s">
        <v>6431</v>
      </c>
      <c r="E1597" s="8">
        <v>60.0</v>
      </c>
    </row>
    <row r="1598">
      <c r="A1598" s="8" t="s">
        <v>3070</v>
      </c>
      <c r="B1598" s="8" t="s">
        <v>3069</v>
      </c>
      <c r="C1598" s="8" t="s">
        <v>186</v>
      </c>
      <c r="D1598" s="8" t="s">
        <v>6416</v>
      </c>
      <c r="E1598" s="8">
        <v>62.0</v>
      </c>
    </row>
    <row r="1599">
      <c r="A1599" s="8" t="s">
        <v>556</v>
      </c>
      <c r="B1599" s="8" t="s">
        <v>2870</v>
      </c>
      <c r="C1599" s="8" t="s">
        <v>65</v>
      </c>
      <c r="D1599" s="8" t="s">
        <v>6420</v>
      </c>
      <c r="E1599" s="8">
        <v>84.0</v>
      </c>
    </row>
    <row r="1600">
      <c r="A1600" s="8" t="s">
        <v>1165</v>
      </c>
      <c r="B1600" s="8" t="s">
        <v>1164</v>
      </c>
      <c r="C1600" s="8" t="s">
        <v>192</v>
      </c>
      <c r="D1600" s="8" t="s">
        <v>6421</v>
      </c>
      <c r="E1600" s="8">
        <v>61.0</v>
      </c>
    </row>
    <row r="1601">
      <c r="A1601" s="8" t="s">
        <v>111</v>
      </c>
      <c r="B1601" s="8" t="s">
        <v>1601</v>
      </c>
      <c r="C1601" s="8" t="s">
        <v>24</v>
      </c>
      <c r="D1601" s="8" t="s">
        <v>6417</v>
      </c>
      <c r="E1601" s="8">
        <v>68.0</v>
      </c>
    </row>
    <row r="1602">
      <c r="A1602" s="8" t="s">
        <v>111</v>
      </c>
      <c r="B1602" s="8" t="s">
        <v>154</v>
      </c>
      <c r="C1602" s="8" t="s">
        <v>186</v>
      </c>
      <c r="D1602" s="8" t="s">
        <v>6416</v>
      </c>
      <c r="E1602" s="8">
        <v>83.0</v>
      </c>
    </row>
    <row r="1603">
      <c r="A1603" s="8" t="s">
        <v>111</v>
      </c>
      <c r="B1603" s="8" t="s">
        <v>110</v>
      </c>
      <c r="C1603" s="8" t="s">
        <v>12</v>
      </c>
      <c r="D1603" s="8" t="s">
        <v>6421</v>
      </c>
      <c r="E1603" s="8">
        <v>77.0</v>
      </c>
    </row>
    <row r="1604">
      <c r="A1604" s="8" t="s">
        <v>33</v>
      </c>
      <c r="B1604" s="8" t="s">
        <v>284</v>
      </c>
      <c r="C1604" s="8" t="s">
        <v>70</v>
      </c>
      <c r="D1604" s="8" t="s">
        <v>6416</v>
      </c>
      <c r="E1604" s="8">
        <v>69.0</v>
      </c>
    </row>
    <row r="1605">
      <c r="A1605" s="8" t="s">
        <v>33</v>
      </c>
      <c r="B1605" s="8" t="s">
        <v>2064</v>
      </c>
      <c r="C1605" s="8" t="s">
        <v>12</v>
      </c>
      <c r="D1605" s="8" t="s">
        <v>6431</v>
      </c>
      <c r="E1605" s="8">
        <v>85.0</v>
      </c>
    </row>
    <row r="1606">
      <c r="A1606" s="8" t="s">
        <v>33</v>
      </c>
      <c r="B1606" s="8" t="s">
        <v>32</v>
      </c>
      <c r="C1606" s="8" t="s">
        <v>16</v>
      </c>
      <c r="D1606" s="8" t="s">
        <v>6431</v>
      </c>
      <c r="E1606" s="8">
        <v>69.0</v>
      </c>
    </row>
    <row r="1607">
      <c r="A1607" s="8" t="s">
        <v>33</v>
      </c>
      <c r="B1607" s="8" t="s">
        <v>2897</v>
      </c>
      <c r="C1607" s="8" t="s">
        <v>24</v>
      </c>
      <c r="D1607" s="8" t="s">
        <v>6436</v>
      </c>
      <c r="E1607" s="8">
        <v>69.0</v>
      </c>
    </row>
    <row r="1608">
      <c r="A1608" s="8" t="s">
        <v>33</v>
      </c>
      <c r="B1608" s="8" t="s">
        <v>1061</v>
      </c>
      <c r="C1608" s="8" t="s">
        <v>38</v>
      </c>
      <c r="D1608" s="8" t="s">
        <v>6419</v>
      </c>
      <c r="E1608" s="8">
        <v>70.0</v>
      </c>
    </row>
    <row r="1609">
      <c r="A1609" s="8" t="s">
        <v>33</v>
      </c>
      <c r="B1609" s="8" t="s">
        <v>589</v>
      </c>
      <c r="C1609" s="8" t="s">
        <v>141</v>
      </c>
      <c r="D1609" s="8" t="s">
        <v>6412</v>
      </c>
      <c r="E1609" s="8">
        <v>88.0</v>
      </c>
    </row>
    <row r="1610">
      <c r="A1610" s="8" t="s">
        <v>33</v>
      </c>
      <c r="B1610" s="8" t="s">
        <v>96</v>
      </c>
      <c r="C1610" s="8" t="s">
        <v>12</v>
      </c>
      <c r="D1610" s="8" t="s">
        <v>6420</v>
      </c>
      <c r="E1610" s="8">
        <v>83.0</v>
      </c>
    </row>
    <row r="1611">
      <c r="A1611" s="8" t="s">
        <v>33</v>
      </c>
      <c r="B1611" s="8" t="s">
        <v>3054</v>
      </c>
      <c r="C1611" s="8" t="s">
        <v>141</v>
      </c>
      <c r="D1611" s="8" t="s">
        <v>6432</v>
      </c>
      <c r="E1611" s="8">
        <v>80.0</v>
      </c>
    </row>
    <row r="1612">
      <c r="A1612" s="8" t="s">
        <v>33</v>
      </c>
      <c r="B1612" s="8" t="s">
        <v>3433</v>
      </c>
      <c r="C1612" s="8" t="s">
        <v>16</v>
      </c>
      <c r="D1612" s="8" t="s">
        <v>6431</v>
      </c>
      <c r="E1612" s="8">
        <v>58.0</v>
      </c>
    </row>
    <row r="1613">
      <c r="A1613" s="8" t="s">
        <v>33</v>
      </c>
      <c r="B1613" s="8" t="s">
        <v>2723</v>
      </c>
      <c r="C1613" s="8" t="s">
        <v>16</v>
      </c>
      <c r="D1613" s="8" t="s">
        <v>6423</v>
      </c>
      <c r="E1613" s="8">
        <v>69.0</v>
      </c>
    </row>
    <row r="1614">
      <c r="A1614" s="8" t="s">
        <v>33</v>
      </c>
      <c r="B1614" s="8" t="s">
        <v>643</v>
      </c>
      <c r="C1614" s="8" t="s">
        <v>16</v>
      </c>
      <c r="D1614" s="8" t="s">
        <v>6422</v>
      </c>
      <c r="E1614" s="8">
        <v>72.0</v>
      </c>
    </row>
    <row r="1615">
      <c r="A1615" s="8" t="s">
        <v>33</v>
      </c>
      <c r="B1615" s="8" t="s">
        <v>909</v>
      </c>
      <c r="C1615" s="8" t="s">
        <v>46</v>
      </c>
      <c r="D1615" s="8" t="s">
        <v>6439</v>
      </c>
      <c r="E1615" s="8">
        <v>66.0</v>
      </c>
    </row>
    <row r="1616">
      <c r="A1616" s="8" t="s">
        <v>33</v>
      </c>
      <c r="B1616" s="8" t="s">
        <v>2908</v>
      </c>
      <c r="C1616" s="8" t="s">
        <v>138</v>
      </c>
      <c r="D1616" s="8" t="s">
        <v>6414</v>
      </c>
      <c r="E1616" s="8">
        <v>63.0</v>
      </c>
    </row>
    <row r="1617">
      <c r="A1617" s="8" t="s">
        <v>33</v>
      </c>
      <c r="B1617" s="8" t="s">
        <v>3256</v>
      </c>
      <c r="C1617" s="8" t="s">
        <v>70</v>
      </c>
      <c r="D1617" s="8" t="s">
        <v>6440</v>
      </c>
      <c r="E1617" s="8">
        <v>84.0</v>
      </c>
    </row>
    <row r="1618">
      <c r="A1618" s="8" t="s">
        <v>33</v>
      </c>
      <c r="B1618" s="8" t="s">
        <v>3093</v>
      </c>
      <c r="C1618" s="8" t="s">
        <v>132</v>
      </c>
      <c r="D1618" s="8" t="s">
        <v>6424</v>
      </c>
      <c r="E1618" s="8">
        <v>73.0</v>
      </c>
    </row>
    <row r="1619">
      <c r="A1619" s="8" t="s">
        <v>33</v>
      </c>
      <c r="B1619" s="8" t="s">
        <v>1224</v>
      </c>
      <c r="C1619" s="8" t="s">
        <v>24</v>
      </c>
      <c r="D1619" s="8" t="s">
        <v>6425</v>
      </c>
      <c r="E1619" s="8">
        <v>66.0</v>
      </c>
    </row>
    <row r="1620">
      <c r="A1620" s="8" t="s">
        <v>33</v>
      </c>
      <c r="B1620" s="8" t="s">
        <v>1264</v>
      </c>
      <c r="C1620" s="8" t="s">
        <v>16</v>
      </c>
      <c r="D1620" s="8" t="s">
        <v>6415</v>
      </c>
      <c r="E1620" s="8">
        <v>71.0</v>
      </c>
    </row>
    <row r="1621">
      <c r="A1621" s="8" t="s">
        <v>33</v>
      </c>
      <c r="B1621" s="8" t="s">
        <v>392</v>
      </c>
      <c r="C1621" s="8" t="s">
        <v>46</v>
      </c>
      <c r="D1621" s="8" t="s">
        <v>6441</v>
      </c>
      <c r="E1621" s="8">
        <v>78.0</v>
      </c>
    </row>
    <row r="1622">
      <c r="A1622" s="8" t="s">
        <v>33</v>
      </c>
      <c r="B1622" s="8" t="s">
        <v>3299</v>
      </c>
      <c r="C1622" s="8" t="s">
        <v>65</v>
      </c>
      <c r="D1622" s="8" t="s">
        <v>6416</v>
      </c>
      <c r="E1622" s="8">
        <v>64.0</v>
      </c>
    </row>
    <row r="1623">
      <c r="A1623" s="8" t="s">
        <v>33</v>
      </c>
      <c r="B1623" s="8" t="s">
        <v>242</v>
      </c>
      <c r="C1623" s="8" t="s">
        <v>38</v>
      </c>
      <c r="D1623" s="8" t="s">
        <v>6431</v>
      </c>
      <c r="E1623" s="8">
        <v>82.0</v>
      </c>
    </row>
    <row r="1624">
      <c r="A1624" s="8" t="s">
        <v>33</v>
      </c>
      <c r="B1624" s="8" t="s">
        <v>880</v>
      </c>
      <c r="C1624" s="8" t="s">
        <v>38</v>
      </c>
      <c r="D1624" s="8" t="s">
        <v>6415</v>
      </c>
      <c r="E1624" s="8">
        <v>78.0</v>
      </c>
    </row>
    <row r="1625">
      <c r="A1625" s="8" t="s">
        <v>33</v>
      </c>
      <c r="B1625" s="8" t="s">
        <v>3361</v>
      </c>
      <c r="C1625" s="8" t="s">
        <v>16</v>
      </c>
      <c r="D1625" s="8" t="s">
        <v>6424</v>
      </c>
      <c r="E1625" s="8">
        <v>67.0</v>
      </c>
    </row>
    <row r="1626">
      <c r="A1626" s="8" t="s">
        <v>33</v>
      </c>
      <c r="B1626" s="8" t="s">
        <v>1532</v>
      </c>
      <c r="C1626" s="8" t="s">
        <v>186</v>
      </c>
      <c r="D1626" s="8" t="s">
        <v>6430</v>
      </c>
      <c r="E1626" s="8">
        <v>65.0</v>
      </c>
    </row>
    <row r="1627">
      <c r="A1627" s="8" t="s">
        <v>33</v>
      </c>
      <c r="B1627" s="8" t="s">
        <v>2664</v>
      </c>
      <c r="C1627" s="8" t="s">
        <v>70</v>
      </c>
      <c r="D1627" s="8" t="s">
        <v>6420</v>
      </c>
      <c r="E1627" s="8">
        <v>75.0</v>
      </c>
    </row>
    <row r="1628">
      <c r="A1628" s="8" t="s">
        <v>33</v>
      </c>
      <c r="B1628" s="8" t="s">
        <v>67</v>
      </c>
      <c r="C1628" s="8" t="s">
        <v>16</v>
      </c>
      <c r="D1628" s="8" t="s">
        <v>6431</v>
      </c>
      <c r="E1628" s="8">
        <v>96.0</v>
      </c>
    </row>
    <row r="1629">
      <c r="A1629" s="8" t="s">
        <v>176</v>
      </c>
      <c r="B1629" s="8" t="s">
        <v>954</v>
      </c>
      <c r="C1629" s="8" t="s">
        <v>59</v>
      </c>
      <c r="D1629" s="8" t="s">
        <v>6435</v>
      </c>
      <c r="E1629" s="8">
        <v>70.0</v>
      </c>
    </row>
    <row r="1630">
      <c r="A1630" s="8" t="s">
        <v>176</v>
      </c>
      <c r="B1630" s="8" t="s">
        <v>1761</v>
      </c>
      <c r="C1630" s="8" t="s">
        <v>70</v>
      </c>
      <c r="D1630" s="8" t="s">
        <v>6443</v>
      </c>
      <c r="E1630" s="8">
        <v>63.0</v>
      </c>
    </row>
    <row r="1631">
      <c r="A1631" s="8" t="s">
        <v>176</v>
      </c>
      <c r="B1631" s="8" t="s">
        <v>175</v>
      </c>
      <c r="C1631" s="8" t="s">
        <v>65</v>
      </c>
      <c r="D1631" s="8" t="s">
        <v>6436</v>
      </c>
      <c r="E1631" s="8">
        <v>69.0</v>
      </c>
    </row>
    <row r="1632">
      <c r="A1632" s="8" t="s">
        <v>176</v>
      </c>
      <c r="B1632" s="8" t="s">
        <v>318</v>
      </c>
      <c r="C1632" s="8" t="s">
        <v>16</v>
      </c>
      <c r="D1632" s="8" t="s">
        <v>6420</v>
      </c>
      <c r="E1632" s="8">
        <v>87.0</v>
      </c>
    </row>
    <row r="1633">
      <c r="A1633" s="8" t="s">
        <v>176</v>
      </c>
      <c r="B1633" s="8" t="s">
        <v>3352</v>
      </c>
      <c r="C1633" s="8" t="s">
        <v>46</v>
      </c>
      <c r="D1633" s="8" t="s">
        <v>6443</v>
      </c>
      <c r="E1633" s="8">
        <v>71.0</v>
      </c>
    </row>
    <row r="1634">
      <c r="A1634" s="8" t="s">
        <v>176</v>
      </c>
      <c r="B1634" s="8" t="s">
        <v>1482</v>
      </c>
      <c r="C1634" s="8" t="s">
        <v>215</v>
      </c>
      <c r="D1634" s="8" t="s">
        <v>6416</v>
      </c>
      <c r="E1634" s="8">
        <v>66.0</v>
      </c>
    </row>
    <row r="1635">
      <c r="A1635" s="8" t="s">
        <v>908</v>
      </c>
      <c r="B1635" s="8" t="s">
        <v>907</v>
      </c>
      <c r="C1635" s="8" t="s">
        <v>192</v>
      </c>
      <c r="D1635" s="8" t="s">
        <v>6428</v>
      </c>
      <c r="E1635" s="8">
        <v>61.0</v>
      </c>
    </row>
    <row r="1636">
      <c r="A1636" s="8" t="s">
        <v>634</v>
      </c>
      <c r="B1636" s="8" t="s">
        <v>1396</v>
      </c>
      <c r="C1636" s="8" t="s">
        <v>93</v>
      </c>
      <c r="D1636" s="8" t="s">
        <v>6435</v>
      </c>
      <c r="E1636" s="8">
        <v>64.0</v>
      </c>
    </row>
    <row r="1637">
      <c r="A1637" s="8" t="s">
        <v>634</v>
      </c>
      <c r="B1637" s="8" t="s">
        <v>89</v>
      </c>
      <c r="C1637" s="8" t="s">
        <v>65</v>
      </c>
      <c r="D1637" s="8" t="s">
        <v>6416</v>
      </c>
      <c r="E1637" s="8">
        <v>63.0</v>
      </c>
    </row>
    <row r="1638">
      <c r="A1638" s="8" t="s">
        <v>634</v>
      </c>
      <c r="B1638" s="8" t="s">
        <v>57</v>
      </c>
      <c r="C1638" s="8" t="s">
        <v>192</v>
      </c>
      <c r="D1638" s="8" t="s">
        <v>6414</v>
      </c>
      <c r="E1638" s="8">
        <v>84.0</v>
      </c>
    </row>
    <row r="1639">
      <c r="A1639" s="8" t="s">
        <v>416</v>
      </c>
      <c r="B1639" s="8" t="s">
        <v>415</v>
      </c>
      <c r="C1639" s="8" t="s">
        <v>141</v>
      </c>
      <c r="D1639" s="8" t="s">
        <v>6439</v>
      </c>
      <c r="E1639" s="8">
        <v>85.0</v>
      </c>
    </row>
    <row r="1640">
      <c r="A1640" s="8" t="s">
        <v>922</v>
      </c>
      <c r="B1640" s="8" t="s">
        <v>3486</v>
      </c>
      <c r="C1640" s="8" t="s">
        <v>141</v>
      </c>
      <c r="D1640" s="8" t="s">
        <v>6432</v>
      </c>
      <c r="E1640" s="8">
        <v>67.0</v>
      </c>
    </row>
    <row r="1641">
      <c r="A1641" s="8" t="s">
        <v>922</v>
      </c>
      <c r="B1641" s="8" t="s">
        <v>2182</v>
      </c>
      <c r="C1641" s="8" t="s">
        <v>65</v>
      </c>
      <c r="D1641" s="8" t="s">
        <v>6421</v>
      </c>
      <c r="E1641" s="8">
        <v>62.0</v>
      </c>
    </row>
    <row r="1642">
      <c r="A1642" s="8" t="s">
        <v>922</v>
      </c>
      <c r="B1642" s="8" t="s">
        <v>921</v>
      </c>
      <c r="C1642" s="8" t="s">
        <v>75</v>
      </c>
      <c r="D1642" s="8" t="s">
        <v>6412</v>
      </c>
      <c r="E1642" s="8">
        <v>74.0</v>
      </c>
    </row>
    <row r="1643">
      <c r="A1643" s="8" t="s">
        <v>922</v>
      </c>
      <c r="B1643" s="8" t="s">
        <v>3104</v>
      </c>
      <c r="C1643" s="8" t="s">
        <v>141</v>
      </c>
      <c r="D1643" s="8" t="s">
        <v>6418</v>
      </c>
      <c r="E1643" s="8">
        <v>84.0</v>
      </c>
    </row>
    <row r="1644">
      <c r="A1644" s="8" t="s">
        <v>922</v>
      </c>
      <c r="B1644" s="8" t="s">
        <v>3106</v>
      </c>
      <c r="C1644" s="8" t="s">
        <v>138</v>
      </c>
      <c r="D1644" s="8" t="s">
        <v>6430</v>
      </c>
      <c r="E1644" s="8">
        <v>63.0</v>
      </c>
    </row>
    <row r="1645">
      <c r="A1645" s="8" t="s">
        <v>1666</v>
      </c>
      <c r="B1645" s="8" t="s">
        <v>78</v>
      </c>
      <c r="C1645" s="8" t="s">
        <v>24</v>
      </c>
      <c r="D1645" s="8" t="s">
        <v>6435</v>
      </c>
      <c r="E1645" s="8">
        <v>76.0</v>
      </c>
    </row>
    <row r="1646">
      <c r="A1646" s="8" t="s">
        <v>3154</v>
      </c>
      <c r="B1646" s="8" t="s">
        <v>3153</v>
      </c>
      <c r="C1646" s="8" t="s">
        <v>138</v>
      </c>
      <c r="D1646" s="8" t="s">
        <v>6423</v>
      </c>
      <c r="E1646" s="8">
        <v>60.0</v>
      </c>
    </row>
    <row r="1647">
      <c r="A1647" s="8" t="s">
        <v>385</v>
      </c>
      <c r="B1647" s="8" t="s">
        <v>384</v>
      </c>
      <c r="C1647" s="8" t="s">
        <v>215</v>
      </c>
      <c r="D1647" s="8" t="s">
        <v>6432</v>
      </c>
      <c r="E1647" s="8">
        <v>89.0</v>
      </c>
    </row>
    <row r="1648">
      <c r="A1648" s="8" t="s">
        <v>385</v>
      </c>
      <c r="B1648" s="8" t="s">
        <v>698</v>
      </c>
      <c r="C1648" s="8" t="s">
        <v>70</v>
      </c>
      <c r="D1648" s="8" t="s">
        <v>6432</v>
      </c>
      <c r="E1648" s="8">
        <v>87.0</v>
      </c>
    </row>
    <row r="1649">
      <c r="A1649" s="8" t="s">
        <v>3123</v>
      </c>
      <c r="B1649" s="8" t="s">
        <v>34</v>
      </c>
      <c r="C1649" s="8" t="s">
        <v>149</v>
      </c>
      <c r="D1649" s="8" t="s">
        <v>6412</v>
      </c>
      <c r="E1649" s="8">
        <v>73.0</v>
      </c>
    </row>
    <row r="1650">
      <c r="A1650" s="8" t="s">
        <v>719</v>
      </c>
      <c r="B1650" s="8" t="s">
        <v>718</v>
      </c>
      <c r="C1650" s="8" t="s">
        <v>192</v>
      </c>
      <c r="D1650" s="8" t="s">
        <v>6430</v>
      </c>
      <c r="E1650" s="8">
        <v>76.0</v>
      </c>
    </row>
    <row r="1651">
      <c r="A1651" s="8" t="s">
        <v>137</v>
      </c>
      <c r="B1651" s="8" t="s">
        <v>2715</v>
      </c>
      <c r="C1651" s="8" t="s">
        <v>65</v>
      </c>
      <c r="D1651" s="8" t="s">
        <v>6435</v>
      </c>
      <c r="E1651" s="8">
        <v>71.0</v>
      </c>
    </row>
    <row r="1652">
      <c r="A1652" s="8" t="s">
        <v>137</v>
      </c>
      <c r="B1652" s="8" t="s">
        <v>2849</v>
      </c>
      <c r="C1652" s="8" t="s">
        <v>24</v>
      </c>
      <c r="D1652" s="8" t="s">
        <v>6418</v>
      </c>
      <c r="E1652" s="8">
        <v>74.0</v>
      </c>
    </row>
    <row r="1653">
      <c r="A1653" s="8" t="s">
        <v>137</v>
      </c>
      <c r="B1653" s="8" t="s">
        <v>1003</v>
      </c>
      <c r="C1653" s="8" t="s">
        <v>38</v>
      </c>
      <c r="D1653" s="8" t="s">
        <v>6441</v>
      </c>
      <c r="E1653" s="8">
        <v>74.0</v>
      </c>
    </row>
    <row r="1654">
      <c r="A1654" s="8" t="s">
        <v>137</v>
      </c>
      <c r="B1654" s="8" t="s">
        <v>1380</v>
      </c>
      <c r="C1654" s="8" t="s">
        <v>93</v>
      </c>
      <c r="D1654" s="8" t="s">
        <v>6425</v>
      </c>
      <c r="E1654" s="8">
        <v>61.0</v>
      </c>
    </row>
    <row r="1655">
      <c r="A1655" s="8" t="s">
        <v>137</v>
      </c>
      <c r="B1655" s="8" t="s">
        <v>2744</v>
      </c>
      <c r="C1655" s="8" t="s">
        <v>65</v>
      </c>
      <c r="D1655" s="8" t="s">
        <v>6438</v>
      </c>
      <c r="E1655" s="8">
        <v>85.0</v>
      </c>
    </row>
    <row r="1656">
      <c r="A1656" s="8" t="s">
        <v>137</v>
      </c>
      <c r="B1656" s="8" t="s">
        <v>3382</v>
      </c>
      <c r="C1656" s="8" t="s">
        <v>149</v>
      </c>
      <c r="D1656" s="8" t="s">
        <v>6441</v>
      </c>
      <c r="E1656" s="8">
        <v>74.0</v>
      </c>
    </row>
    <row r="1657">
      <c r="A1657" s="8" t="s">
        <v>137</v>
      </c>
      <c r="B1657" s="8" t="s">
        <v>136</v>
      </c>
      <c r="C1657" s="8" t="s">
        <v>122</v>
      </c>
      <c r="D1657" s="8" t="s">
        <v>6413</v>
      </c>
      <c r="E1657" s="8">
        <v>67.0</v>
      </c>
    </row>
    <row r="1658">
      <c r="A1658" s="8" t="s">
        <v>137</v>
      </c>
      <c r="B1658" s="8" t="s">
        <v>1287</v>
      </c>
      <c r="C1658" s="8" t="s">
        <v>122</v>
      </c>
      <c r="D1658" s="8" t="s">
        <v>6435</v>
      </c>
      <c r="E1658" s="8">
        <v>79.0</v>
      </c>
    </row>
    <row r="1659">
      <c r="A1659" s="8" t="s">
        <v>137</v>
      </c>
      <c r="B1659" s="8" t="s">
        <v>510</v>
      </c>
      <c r="C1659" s="8" t="s">
        <v>65</v>
      </c>
      <c r="D1659" s="8" t="s">
        <v>6429</v>
      </c>
      <c r="E1659" s="8">
        <v>75.0</v>
      </c>
    </row>
    <row r="1660">
      <c r="A1660" s="8" t="s">
        <v>137</v>
      </c>
      <c r="B1660" s="8" t="s">
        <v>389</v>
      </c>
      <c r="C1660" s="8" t="s">
        <v>215</v>
      </c>
      <c r="D1660" s="8" t="s">
        <v>6417</v>
      </c>
      <c r="E1660" s="8">
        <v>76.0</v>
      </c>
    </row>
    <row r="1661">
      <c r="A1661" s="8" t="s">
        <v>137</v>
      </c>
      <c r="B1661" s="8" t="s">
        <v>3180</v>
      </c>
      <c r="C1661" s="8" t="s">
        <v>46</v>
      </c>
      <c r="D1661" s="8" t="s">
        <v>6425</v>
      </c>
      <c r="E1661" s="8">
        <v>67.0</v>
      </c>
    </row>
    <row r="1662">
      <c r="A1662" s="8" t="s">
        <v>137</v>
      </c>
      <c r="B1662" s="8" t="s">
        <v>62</v>
      </c>
      <c r="C1662" s="8" t="s">
        <v>65</v>
      </c>
      <c r="D1662" s="8" t="s">
        <v>6418</v>
      </c>
      <c r="E1662" s="8">
        <v>84.0</v>
      </c>
    </row>
    <row r="1663">
      <c r="A1663" s="8" t="s">
        <v>137</v>
      </c>
      <c r="B1663" s="8" t="s">
        <v>305</v>
      </c>
      <c r="C1663" s="8" t="s">
        <v>24</v>
      </c>
      <c r="D1663" s="8" t="s">
        <v>6420</v>
      </c>
      <c r="E1663" s="8">
        <v>71.0</v>
      </c>
    </row>
    <row r="1664">
      <c r="A1664" s="8" t="s">
        <v>137</v>
      </c>
      <c r="B1664" s="8" t="s">
        <v>3135</v>
      </c>
      <c r="C1664" s="8" t="s">
        <v>186</v>
      </c>
      <c r="D1664" s="8" t="s">
        <v>6433</v>
      </c>
      <c r="E1664" s="8">
        <v>70.0</v>
      </c>
    </row>
    <row r="1665">
      <c r="A1665" s="8" t="s">
        <v>137</v>
      </c>
      <c r="B1665" s="8" t="s">
        <v>62</v>
      </c>
      <c r="C1665" s="8" t="s">
        <v>80</v>
      </c>
      <c r="D1665" s="8" t="s">
        <v>6415</v>
      </c>
      <c r="E1665" s="8">
        <v>68.0</v>
      </c>
    </row>
    <row r="1666">
      <c r="A1666" s="8" t="s">
        <v>137</v>
      </c>
      <c r="B1666" s="8" t="s">
        <v>136</v>
      </c>
      <c r="C1666" s="8" t="s">
        <v>138</v>
      </c>
      <c r="D1666" s="8" t="s">
        <v>6433</v>
      </c>
      <c r="E1666" s="8">
        <v>90.0</v>
      </c>
    </row>
    <row r="1667">
      <c r="A1667" s="8" t="s">
        <v>137</v>
      </c>
      <c r="B1667" s="8" t="s">
        <v>302</v>
      </c>
      <c r="C1667" s="8" t="s">
        <v>132</v>
      </c>
      <c r="D1667" s="8" t="s">
        <v>6430</v>
      </c>
      <c r="E1667" s="8">
        <v>67.0</v>
      </c>
    </row>
    <row r="1668">
      <c r="A1668" s="8" t="s">
        <v>137</v>
      </c>
      <c r="B1668" s="8" t="s">
        <v>188</v>
      </c>
      <c r="C1668" s="8" t="s">
        <v>192</v>
      </c>
      <c r="D1668" s="8" t="s">
        <v>6433</v>
      </c>
      <c r="E1668" s="8">
        <v>65.0</v>
      </c>
    </row>
    <row r="1669">
      <c r="A1669" s="8" t="s">
        <v>137</v>
      </c>
      <c r="B1669" s="8" t="s">
        <v>794</v>
      </c>
      <c r="C1669" s="8" t="s">
        <v>132</v>
      </c>
      <c r="D1669" s="8" t="s">
        <v>6412</v>
      </c>
      <c r="E1669" s="8">
        <v>72.0</v>
      </c>
    </row>
    <row r="1670">
      <c r="A1670" s="8" t="s">
        <v>137</v>
      </c>
      <c r="B1670" s="8" t="s">
        <v>656</v>
      </c>
      <c r="C1670" s="8" t="s">
        <v>122</v>
      </c>
      <c r="D1670" s="8" t="s">
        <v>6414</v>
      </c>
      <c r="E1670" s="8">
        <v>81.0</v>
      </c>
    </row>
    <row r="1671">
      <c r="A1671" s="8" t="s">
        <v>183</v>
      </c>
      <c r="B1671" s="8" t="s">
        <v>61</v>
      </c>
      <c r="C1671" s="8" t="s">
        <v>70</v>
      </c>
      <c r="D1671" s="8" t="s">
        <v>6433</v>
      </c>
      <c r="E1671" s="8">
        <v>72.0</v>
      </c>
    </row>
    <row r="1672">
      <c r="A1672" s="8" t="s">
        <v>183</v>
      </c>
      <c r="B1672" s="8" t="s">
        <v>415</v>
      </c>
      <c r="C1672" s="8" t="s">
        <v>141</v>
      </c>
      <c r="D1672" s="8" t="s">
        <v>6415</v>
      </c>
      <c r="E1672" s="8">
        <v>77.0</v>
      </c>
    </row>
    <row r="1673">
      <c r="A1673" s="8" t="s">
        <v>183</v>
      </c>
      <c r="B1673" s="8" t="s">
        <v>361</v>
      </c>
      <c r="C1673" s="8" t="s">
        <v>215</v>
      </c>
      <c r="D1673" s="8" t="s">
        <v>6421</v>
      </c>
      <c r="E1673" s="8">
        <v>87.0</v>
      </c>
    </row>
    <row r="1674">
      <c r="A1674" s="8" t="s">
        <v>183</v>
      </c>
      <c r="B1674" s="8" t="s">
        <v>78</v>
      </c>
      <c r="C1674" s="8" t="s">
        <v>65</v>
      </c>
      <c r="D1674" s="8" t="s">
        <v>6432</v>
      </c>
      <c r="E1674" s="8">
        <v>79.0</v>
      </c>
    </row>
    <row r="1675">
      <c r="A1675" s="8" t="s">
        <v>183</v>
      </c>
      <c r="B1675" s="8" t="s">
        <v>3405</v>
      </c>
      <c r="C1675" s="8" t="s">
        <v>122</v>
      </c>
      <c r="D1675" s="8" t="s">
        <v>6414</v>
      </c>
      <c r="E1675" s="8">
        <v>69.0</v>
      </c>
    </row>
    <row r="1676">
      <c r="A1676" s="8" t="s">
        <v>183</v>
      </c>
      <c r="B1676" s="8" t="s">
        <v>263</v>
      </c>
      <c r="C1676" s="8" t="s">
        <v>93</v>
      </c>
      <c r="D1676" s="8" t="s">
        <v>6414</v>
      </c>
      <c r="E1676" s="8">
        <v>66.0</v>
      </c>
    </row>
    <row r="1677">
      <c r="A1677" s="8" t="s">
        <v>183</v>
      </c>
      <c r="B1677" s="8" t="s">
        <v>967</v>
      </c>
      <c r="C1677" s="8" t="s">
        <v>75</v>
      </c>
      <c r="D1677" s="8" t="s">
        <v>6426</v>
      </c>
      <c r="E1677" s="8">
        <v>65.0</v>
      </c>
    </row>
    <row r="1678">
      <c r="A1678" s="8" t="s">
        <v>183</v>
      </c>
      <c r="B1678" s="8" t="s">
        <v>2810</v>
      </c>
      <c r="C1678" s="8" t="s">
        <v>70</v>
      </c>
      <c r="D1678" s="8" t="s">
        <v>6436</v>
      </c>
      <c r="E1678" s="8">
        <v>77.0</v>
      </c>
    </row>
    <row r="1679">
      <c r="A1679" s="8" t="s">
        <v>183</v>
      </c>
      <c r="B1679" s="8" t="s">
        <v>3171</v>
      </c>
      <c r="C1679" s="8" t="s">
        <v>16</v>
      </c>
      <c r="D1679" s="8" t="s">
        <v>6432</v>
      </c>
      <c r="E1679" s="8">
        <v>61.0</v>
      </c>
    </row>
    <row r="1680">
      <c r="A1680" s="8" t="s">
        <v>183</v>
      </c>
      <c r="B1680" s="8" t="s">
        <v>182</v>
      </c>
      <c r="C1680" s="8" t="s">
        <v>24</v>
      </c>
      <c r="D1680" s="8" t="s">
        <v>6432</v>
      </c>
      <c r="E1680" s="8">
        <v>47.0</v>
      </c>
    </row>
    <row r="1681">
      <c r="A1681" s="8" t="s">
        <v>183</v>
      </c>
      <c r="B1681" s="8" t="s">
        <v>422</v>
      </c>
      <c r="C1681" s="8" t="s">
        <v>149</v>
      </c>
      <c r="D1681" s="8" t="s">
        <v>6429</v>
      </c>
      <c r="E1681" s="8">
        <v>73.0</v>
      </c>
    </row>
    <row r="1682">
      <c r="A1682" s="8" t="s">
        <v>183</v>
      </c>
      <c r="B1682" s="8" t="s">
        <v>717</v>
      </c>
      <c r="C1682" s="8" t="s">
        <v>186</v>
      </c>
      <c r="D1682" s="8" t="s">
        <v>6415</v>
      </c>
      <c r="E1682" s="8">
        <v>63.0</v>
      </c>
    </row>
    <row r="1683">
      <c r="A1683" s="8" t="s">
        <v>183</v>
      </c>
      <c r="B1683" s="8" t="s">
        <v>835</v>
      </c>
      <c r="C1683" s="8" t="s">
        <v>80</v>
      </c>
      <c r="D1683" s="8" t="s">
        <v>6441</v>
      </c>
      <c r="E1683" s="8">
        <v>81.0</v>
      </c>
    </row>
    <row r="1684">
      <c r="A1684" s="8" t="s">
        <v>183</v>
      </c>
      <c r="B1684" s="8" t="s">
        <v>427</v>
      </c>
      <c r="C1684" s="8" t="s">
        <v>80</v>
      </c>
      <c r="D1684" s="8" t="s">
        <v>6439</v>
      </c>
      <c r="E1684" s="8">
        <v>81.0</v>
      </c>
    </row>
    <row r="1685">
      <c r="A1685" s="8" t="s">
        <v>183</v>
      </c>
      <c r="B1685" s="8" t="s">
        <v>3476</v>
      </c>
      <c r="C1685" s="8" t="s">
        <v>261</v>
      </c>
      <c r="D1685" s="8" t="s">
        <v>6430</v>
      </c>
      <c r="E1685" s="8">
        <v>77.0</v>
      </c>
    </row>
    <row r="1686">
      <c r="A1686" s="8" t="s">
        <v>183</v>
      </c>
      <c r="B1686" s="8" t="s">
        <v>207</v>
      </c>
      <c r="C1686" s="8" t="s">
        <v>75</v>
      </c>
      <c r="D1686" s="8" t="s">
        <v>6419</v>
      </c>
      <c r="E1686" s="8">
        <v>77.0</v>
      </c>
    </row>
    <row r="1687">
      <c r="A1687" s="8" t="s">
        <v>183</v>
      </c>
      <c r="B1687" s="8" t="s">
        <v>303</v>
      </c>
      <c r="C1687" s="8" t="s">
        <v>75</v>
      </c>
      <c r="D1687" s="8" t="s">
        <v>6437</v>
      </c>
      <c r="E1687" s="8">
        <v>69.0</v>
      </c>
    </row>
    <row r="1688">
      <c r="A1688" s="8" t="s">
        <v>183</v>
      </c>
      <c r="B1688" s="8" t="s">
        <v>62</v>
      </c>
      <c r="C1688" s="8" t="s">
        <v>65</v>
      </c>
      <c r="D1688" s="8" t="s">
        <v>6414</v>
      </c>
      <c r="E1688" s="8">
        <v>63.0</v>
      </c>
    </row>
    <row r="1689">
      <c r="A1689" s="8" t="s">
        <v>183</v>
      </c>
      <c r="B1689" s="8" t="s">
        <v>1164</v>
      </c>
      <c r="C1689" s="8" t="s">
        <v>65</v>
      </c>
      <c r="D1689" s="8" t="s">
        <v>6426</v>
      </c>
      <c r="E1689" s="8">
        <v>90.0</v>
      </c>
    </row>
    <row r="1690">
      <c r="A1690" s="8" t="s">
        <v>183</v>
      </c>
      <c r="B1690" s="8" t="s">
        <v>1328</v>
      </c>
      <c r="C1690" s="8" t="s">
        <v>65</v>
      </c>
      <c r="D1690" s="8" t="s">
        <v>6435</v>
      </c>
      <c r="E1690" s="8">
        <v>82.0</v>
      </c>
    </row>
    <row r="1691">
      <c r="A1691" s="8" t="s">
        <v>183</v>
      </c>
      <c r="B1691" s="8" t="s">
        <v>777</v>
      </c>
      <c r="C1691" s="8" t="s">
        <v>215</v>
      </c>
      <c r="D1691" s="8" t="s">
        <v>6440</v>
      </c>
      <c r="E1691" s="8">
        <v>67.0</v>
      </c>
    </row>
    <row r="1692">
      <c r="A1692" s="8" t="s">
        <v>183</v>
      </c>
      <c r="B1692" s="8" t="s">
        <v>519</v>
      </c>
      <c r="C1692" s="8" t="s">
        <v>16</v>
      </c>
      <c r="D1692" s="8" t="s">
        <v>6427</v>
      </c>
      <c r="E1692" s="8">
        <v>74.0</v>
      </c>
    </row>
    <row r="1693">
      <c r="A1693" s="8" t="s">
        <v>1219</v>
      </c>
      <c r="B1693" s="8" t="s">
        <v>1218</v>
      </c>
      <c r="C1693" s="8" t="s">
        <v>192</v>
      </c>
      <c r="D1693" s="8" t="s">
        <v>6420</v>
      </c>
      <c r="E1693" s="8">
        <v>67.0</v>
      </c>
    </row>
    <row r="1694">
      <c r="A1694" s="8" t="s">
        <v>985</v>
      </c>
      <c r="B1694" s="8" t="s">
        <v>984</v>
      </c>
      <c r="C1694" s="8" t="s">
        <v>141</v>
      </c>
      <c r="D1694" s="8" t="s">
        <v>6437</v>
      </c>
      <c r="E1694" s="8">
        <v>80.0</v>
      </c>
    </row>
    <row r="1695">
      <c r="A1695" s="8" t="s">
        <v>985</v>
      </c>
      <c r="B1695" s="8" t="s">
        <v>3105</v>
      </c>
      <c r="C1695" s="8" t="s">
        <v>215</v>
      </c>
      <c r="D1695" s="8" t="s">
        <v>6427</v>
      </c>
      <c r="E1695" s="8">
        <v>71.0</v>
      </c>
    </row>
    <row r="1696">
      <c r="A1696" s="8" t="s">
        <v>985</v>
      </c>
      <c r="B1696" s="8" t="s">
        <v>3345</v>
      </c>
      <c r="C1696" s="8" t="s">
        <v>65</v>
      </c>
      <c r="D1696" s="8" t="s">
        <v>6415</v>
      </c>
      <c r="E1696" s="8">
        <v>60.0</v>
      </c>
    </row>
    <row r="1697">
      <c r="A1697" s="8" t="s">
        <v>427</v>
      </c>
      <c r="B1697" s="8" t="s">
        <v>426</v>
      </c>
      <c r="C1697" s="8" t="s">
        <v>149</v>
      </c>
      <c r="D1697" s="8" t="s">
        <v>6437</v>
      </c>
      <c r="E1697" s="8">
        <v>81.0</v>
      </c>
    </row>
    <row r="1698">
      <c r="A1698" s="8" t="s">
        <v>427</v>
      </c>
      <c r="B1698" s="8" t="s">
        <v>1648</v>
      </c>
      <c r="C1698" s="8" t="s">
        <v>16</v>
      </c>
      <c r="D1698" s="8" t="s">
        <v>6427</v>
      </c>
      <c r="E1698" s="8">
        <v>77.0</v>
      </c>
    </row>
    <row r="1699">
      <c r="A1699" s="8" t="s">
        <v>425</v>
      </c>
      <c r="B1699" s="8" t="s">
        <v>3031</v>
      </c>
      <c r="C1699" s="8" t="s">
        <v>65</v>
      </c>
      <c r="D1699" s="8" t="s">
        <v>6431</v>
      </c>
      <c r="E1699" s="8">
        <v>82.0</v>
      </c>
    </row>
    <row r="1700">
      <c r="A1700" s="8" t="s">
        <v>2202</v>
      </c>
      <c r="B1700" s="8" t="s">
        <v>2201</v>
      </c>
      <c r="C1700" s="8" t="s">
        <v>192</v>
      </c>
      <c r="D1700" s="8" t="s">
        <v>6416</v>
      </c>
      <c r="E1700" s="8">
        <v>68.0</v>
      </c>
    </row>
    <row r="1701">
      <c r="A1701" s="8" t="s">
        <v>3309</v>
      </c>
      <c r="B1701" s="8" t="s">
        <v>278</v>
      </c>
      <c r="C1701" s="8" t="s">
        <v>122</v>
      </c>
      <c r="D1701" s="8" t="s">
        <v>6437</v>
      </c>
      <c r="E1701" s="8">
        <v>65.0</v>
      </c>
    </row>
    <row r="1702">
      <c r="A1702" s="8" t="s">
        <v>1678</v>
      </c>
      <c r="B1702" s="8" t="s">
        <v>835</v>
      </c>
      <c r="C1702" s="8" t="s">
        <v>122</v>
      </c>
      <c r="D1702" s="8" t="s">
        <v>6421</v>
      </c>
      <c r="E1702" s="8">
        <v>72.0</v>
      </c>
    </row>
    <row r="1703">
      <c r="A1703" s="8" t="s">
        <v>146</v>
      </c>
      <c r="B1703" s="8" t="s">
        <v>355</v>
      </c>
      <c r="C1703" s="8" t="s">
        <v>192</v>
      </c>
      <c r="D1703" s="8" t="s">
        <v>6421</v>
      </c>
      <c r="E1703" s="8">
        <v>86.0</v>
      </c>
    </row>
    <row r="1704">
      <c r="A1704" s="8" t="s">
        <v>146</v>
      </c>
      <c r="B1704" s="8" t="s">
        <v>765</v>
      </c>
      <c r="C1704" s="8" t="s">
        <v>149</v>
      </c>
      <c r="D1704" s="8" t="s">
        <v>6416</v>
      </c>
      <c r="E1704" s="8">
        <v>85.0</v>
      </c>
    </row>
    <row r="1705">
      <c r="A1705" s="8" t="s">
        <v>146</v>
      </c>
      <c r="B1705" s="8" t="s">
        <v>145</v>
      </c>
      <c r="C1705" s="8" t="s">
        <v>24</v>
      </c>
      <c r="D1705" s="8" t="s">
        <v>6435</v>
      </c>
      <c r="E1705" s="8">
        <v>40.0</v>
      </c>
    </row>
    <row r="1706">
      <c r="A1706" s="8" t="s">
        <v>146</v>
      </c>
      <c r="B1706" s="8" t="s">
        <v>1795</v>
      </c>
      <c r="C1706" s="8" t="s">
        <v>215</v>
      </c>
      <c r="D1706" s="8" t="s">
        <v>6414</v>
      </c>
      <c r="E1706" s="8">
        <v>66.0</v>
      </c>
    </row>
    <row r="1707">
      <c r="A1707" s="8" t="s">
        <v>1378</v>
      </c>
      <c r="B1707" s="8" t="s">
        <v>1377</v>
      </c>
      <c r="C1707" s="8" t="s">
        <v>65</v>
      </c>
      <c r="D1707" s="8" t="s">
        <v>6429</v>
      </c>
      <c r="E1707" s="8">
        <v>62.0</v>
      </c>
    </row>
    <row r="1708">
      <c r="A1708" s="8" t="s">
        <v>1905</v>
      </c>
      <c r="B1708" s="8" t="s">
        <v>2730</v>
      </c>
      <c r="C1708" s="8" t="s">
        <v>93</v>
      </c>
      <c r="D1708" s="8" t="s">
        <v>6440</v>
      </c>
      <c r="E1708" s="8">
        <v>79.0</v>
      </c>
    </row>
    <row r="1709">
      <c r="A1709" s="8" t="s">
        <v>2794</v>
      </c>
      <c r="B1709" s="8" t="s">
        <v>1446</v>
      </c>
      <c r="C1709" s="8" t="s">
        <v>65</v>
      </c>
      <c r="D1709" s="8" t="s">
        <v>6441</v>
      </c>
      <c r="E1709" s="8">
        <v>63.0</v>
      </c>
    </row>
    <row r="1710">
      <c r="A1710" s="8" t="s">
        <v>1908</v>
      </c>
      <c r="B1710" s="8" t="s">
        <v>3136</v>
      </c>
      <c r="C1710" s="8" t="s">
        <v>215</v>
      </c>
      <c r="D1710" s="8" t="s">
        <v>6440</v>
      </c>
      <c r="E1710" s="8">
        <v>79.0</v>
      </c>
    </row>
    <row r="1711">
      <c r="A1711" s="8" t="s">
        <v>733</v>
      </c>
      <c r="B1711" s="8" t="s">
        <v>732</v>
      </c>
      <c r="C1711" s="8" t="s">
        <v>59</v>
      </c>
      <c r="D1711" s="8" t="s">
        <v>6424</v>
      </c>
      <c r="E1711" s="8">
        <v>77.0</v>
      </c>
    </row>
    <row r="1712">
      <c r="A1712" s="8" t="s">
        <v>733</v>
      </c>
      <c r="B1712" s="8" t="s">
        <v>3416</v>
      </c>
      <c r="C1712" s="8" t="s">
        <v>24</v>
      </c>
      <c r="D1712" s="8" t="s">
        <v>6413</v>
      </c>
      <c r="E1712" s="8">
        <v>73.0</v>
      </c>
    </row>
    <row r="1713">
      <c r="A1713" s="8" t="s">
        <v>1008</v>
      </c>
      <c r="B1713" s="8" t="s">
        <v>1007</v>
      </c>
      <c r="C1713" s="8" t="s">
        <v>24</v>
      </c>
      <c r="D1713" s="8" t="s">
        <v>6427</v>
      </c>
      <c r="E1713" s="8">
        <v>71.0</v>
      </c>
    </row>
    <row r="1714">
      <c r="A1714" s="8" t="s">
        <v>3469</v>
      </c>
      <c r="B1714" s="8" t="s">
        <v>444</v>
      </c>
      <c r="C1714" s="8" t="s">
        <v>80</v>
      </c>
      <c r="D1714" s="8" t="s">
        <v>6425</v>
      </c>
      <c r="E1714" s="8">
        <v>64.0</v>
      </c>
    </row>
    <row r="1715">
      <c r="A1715" s="8" t="s">
        <v>2113</v>
      </c>
      <c r="B1715" s="8" t="s">
        <v>360</v>
      </c>
      <c r="C1715" s="8" t="s">
        <v>186</v>
      </c>
      <c r="D1715" s="8" t="s">
        <v>6413</v>
      </c>
      <c r="E1715" s="8">
        <v>75.0</v>
      </c>
    </row>
    <row r="1716">
      <c r="A1716" s="8" t="s">
        <v>2113</v>
      </c>
      <c r="B1716" s="8" t="s">
        <v>252</v>
      </c>
      <c r="C1716" s="8" t="s">
        <v>215</v>
      </c>
      <c r="D1716" s="8" t="s">
        <v>6443</v>
      </c>
      <c r="E1716" s="8">
        <v>83.0</v>
      </c>
    </row>
    <row r="1717">
      <c r="A1717" s="8" t="s">
        <v>2113</v>
      </c>
      <c r="B1717" s="8" t="s">
        <v>1055</v>
      </c>
      <c r="C1717" s="8" t="s">
        <v>65</v>
      </c>
      <c r="D1717" s="8" t="s">
        <v>6440</v>
      </c>
      <c r="E1717" s="8">
        <v>63.0</v>
      </c>
    </row>
    <row r="1718">
      <c r="A1718" s="8" t="s">
        <v>375</v>
      </c>
      <c r="B1718" s="8" t="s">
        <v>374</v>
      </c>
      <c r="C1718" s="8" t="s">
        <v>53</v>
      </c>
      <c r="D1718" s="8" t="s">
        <v>6424</v>
      </c>
      <c r="E1718" s="8">
        <v>66.0</v>
      </c>
    </row>
    <row r="1719">
      <c r="A1719" s="8" t="s">
        <v>375</v>
      </c>
      <c r="B1719" s="8" t="s">
        <v>89</v>
      </c>
      <c r="C1719" s="8" t="s">
        <v>186</v>
      </c>
      <c r="D1719" s="8" t="s">
        <v>6438</v>
      </c>
      <c r="E1719" s="8">
        <v>60.0</v>
      </c>
    </row>
    <row r="1720">
      <c r="A1720" s="8" t="s">
        <v>2685</v>
      </c>
      <c r="B1720" s="8" t="s">
        <v>2684</v>
      </c>
      <c r="C1720" s="8" t="s">
        <v>192</v>
      </c>
      <c r="D1720" s="8" t="s">
        <v>6425</v>
      </c>
      <c r="E1720" s="8">
        <v>65.0</v>
      </c>
    </row>
    <row r="1721">
      <c r="A1721" s="8" t="s">
        <v>317</v>
      </c>
      <c r="B1721" s="8" t="s">
        <v>460</v>
      </c>
      <c r="C1721" s="8" t="s">
        <v>80</v>
      </c>
      <c r="D1721" s="8" t="s">
        <v>6415</v>
      </c>
      <c r="E1721" s="8">
        <v>72.0</v>
      </c>
    </row>
    <row r="1722">
      <c r="A1722" s="8" t="s">
        <v>317</v>
      </c>
      <c r="B1722" s="8" t="s">
        <v>316</v>
      </c>
      <c r="C1722" s="8" t="s">
        <v>46</v>
      </c>
      <c r="D1722" s="8" t="s">
        <v>6436</v>
      </c>
      <c r="E1722" s="8">
        <v>87.0</v>
      </c>
    </row>
    <row r="1723">
      <c r="A1723" s="8" t="s">
        <v>317</v>
      </c>
      <c r="B1723" s="8" t="s">
        <v>2983</v>
      </c>
      <c r="C1723" s="8" t="s">
        <v>186</v>
      </c>
      <c r="D1723" s="8" t="s">
        <v>6423</v>
      </c>
      <c r="E1723" s="8">
        <v>66.0</v>
      </c>
    </row>
    <row r="1724">
      <c r="A1724" s="8" t="s">
        <v>317</v>
      </c>
      <c r="B1724" s="8" t="s">
        <v>1561</v>
      </c>
      <c r="C1724" s="8" t="s">
        <v>138</v>
      </c>
      <c r="D1724" s="8" t="s">
        <v>6443</v>
      </c>
      <c r="E1724" s="8">
        <v>69.0</v>
      </c>
    </row>
    <row r="1725">
      <c r="A1725" s="8" t="s">
        <v>317</v>
      </c>
      <c r="B1725" s="8" t="s">
        <v>1464</v>
      </c>
      <c r="C1725" s="8" t="s">
        <v>93</v>
      </c>
      <c r="D1725" s="8" t="s">
        <v>6428</v>
      </c>
      <c r="E1725" s="8">
        <v>64.0</v>
      </c>
    </row>
    <row r="1726">
      <c r="A1726" s="8" t="s">
        <v>317</v>
      </c>
      <c r="B1726" s="8" t="s">
        <v>1631</v>
      </c>
      <c r="C1726" s="8" t="s">
        <v>16</v>
      </c>
      <c r="D1726" s="8" t="s">
        <v>6416</v>
      </c>
      <c r="E1726" s="8">
        <v>64.0</v>
      </c>
    </row>
    <row r="1727">
      <c r="A1727" s="8" t="s">
        <v>317</v>
      </c>
      <c r="B1727" s="8" t="s">
        <v>367</v>
      </c>
      <c r="C1727" s="8" t="s">
        <v>80</v>
      </c>
      <c r="D1727" s="8" t="s">
        <v>6436</v>
      </c>
      <c r="E1727" s="8">
        <v>65.0</v>
      </c>
    </row>
    <row r="1728">
      <c r="A1728" s="8" t="s">
        <v>322</v>
      </c>
      <c r="B1728" s="8" t="s">
        <v>1804</v>
      </c>
      <c r="C1728" s="8" t="s">
        <v>59</v>
      </c>
      <c r="D1728" s="8" t="s">
        <v>6424</v>
      </c>
      <c r="E1728" s="8">
        <v>61.0</v>
      </c>
    </row>
    <row r="1729">
      <c r="A1729" s="8" t="s">
        <v>322</v>
      </c>
      <c r="B1729" s="8" t="s">
        <v>1568</v>
      </c>
      <c r="C1729" s="8" t="s">
        <v>16</v>
      </c>
      <c r="D1729" s="8" t="s">
        <v>6430</v>
      </c>
      <c r="E1729" s="8">
        <v>72.0</v>
      </c>
    </row>
    <row r="1730">
      <c r="A1730" s="8" t="s">
        <v>322</v>
      </c>
      <c r="B1730" s="8" t="s">
        <v>321</v>
      </c>
      <c r="C1730" s="8" t="s">
        <v>53</v>
      </c>
      <c r="D1730" s="8" t="s">
        <v>6418</v>
      </c>
      <c r="E1730" s="8">
        <v>72.0</v>
      </c>
    </row>
    <row r="1731">
      <c r="A1731" s="8" t="s">
        <v>2696</v>
      </c>
      <c r="B1731" s="8" t="s">
        <v>2695</v>
      </c>
      <c r="C1731" s="8" t="s">
        <v>186</v>
      </c>
      <c r="D1731" s="8" t="s">
        <v>6422</v>
      </c>
      <c r="E1731" s="8">
        <v>88.0</v>
      </c>
    </row>
    <row r="1732">
      <c r="A1732" s="8" t="s">
        <v>1855</v>
      </c>
      <c r="B1732" s="8" t="s">
        <v>284</v>
      </c>
      <c r="C1732" s="8" t="s">
        <v>122</v>
      </c>
      <c r="D1732" s="8" t="s">
        <v>6433</v>
      </c>
      <c r="E1732" s="8">
        <v>71.0</v>
      </c>
    </row>
    <row r="1733">
      <c r="A1733" s="8" t="s">
        <v>229</v>
      </c>
      <c r="B1733" s="8" t="s">
        <v>228</v>
      </c>
      <c r="C1733" s="8" t="s">
        <v>122</v>
      </c>
      <c r="D1733" s="8" t="s">
        <v>6415</v>
      </c>
      <c r="E1733" s="8">
        <v>93.0</v>
      </c>
    </row>
    <row r="1734">
      <c r="A1734" s="8" t="s">
        <v>1036</v>
      </c>
      <c r="B1734" s="8" t="s">
        <v>1035</v>
      </c>
      <c r="C1734" s="8" t="s">
        <v>24</v>
      </c>
      <c r="D1734" s="8" t="s">
        <v>6413</v>
      </c>
      <c r="E1734" s="8">
        <v>66.0</v>
      </c>
    </row>
    <row r="1735">
      <c r="A1735" s="8" t="s">
        <v>607</v>
      </c>
      <c r="B1735" s="8" t="s">
        <v>606</v>
      </c>
      <c r="C1735" s="8" t="s">
        <v>93</v>
      </c>
      <c r="D1735" s="8" t="s">
        <v>6433</v>
      </c>
      <c r="E1735" s="8">
        <v>64.0</v>
      </c>
    </row>
    <row r="1736">
      <c r="A1736" s="8" t="s">
        <v>220</v>
      </c>
      <c r="B1736" s="8" t="s">
        <v>3443</v>
      </c>
      <c r="C1736" s="8" t="s">
        <v>65</v>
      </c>
      <c r="D1736" s="8" t="s">
        <v>6414</v>
      </c>
      <c r="E1736" s="8">
        <v>64.0</v>
      </c>
    </row>
    <row r="1737">
      <c r="A1737" s="8" t="s">
        <v>220</v>
      </c>
      <c r="B1737" s="8" t="s">
        <v>1073</v>
      </c>
      <c r="C1737" s="8" t="s">
        <v>65</v>
      </c>
      <c r="D1737" s="8" t="s">
        <v>6424</v>
      </c>
      <c r="E1737" s="8">
        <v>71.0</v>
      </c>
    </row>
    <row r="1738">
      <c r="A1738" s="8" t="s">
        <v>1197</v>
      </c>
      <c r="B1738" s="8" t="s">
        <v>1196</v>
      </c>
      <c r="C1738" s="8" t="s">
        <v>59</v>
      </c>
      <c r="D1738" s="8" t="s">
        <v>6415</v>
      </c>
      <c r="E1738" s="8">
        <v>70.0</v>
      </c>
    </row>
    <row r="1739">
      <c r="A1739" s="8" t="s">
        <v>742</v>
      </c>
      <c r="B1739" s="8" t="s">
        <v>741</v>
      </c>
      <c r="C1739" s="8" t="s">
        <v>93</v>
      </c>
      <c r="D1739" s="8" t="s">
        <v>6420</v>
      </c>
      <c r="E1739" s="8">
        <v>80.0</v>
      </c>
    </row>
    <row r="1740">
      <c r="A1740" s="8" t="s">
        <v>3285</v>
      </c>
      <c r="B1740" s="8" t="s">
        <v>2821</v>
      </c>
      <c r="C1740" s="8" t="s">
        <v>53</v>
      </c>
      <c r="D1740" s="8" t="s">
        <v>6414</v>
      </c>
      <c r="E1740" s="8">
        <v>62.0</v>
      </c>
    </row>
    <row r="1741">
      <c r="A1741" s="8" t="s">
        <v>231</v>
      </c>
      <c r="B1741" s="8" t="s">
        <v>3255</v>
      </c>
      <c r="C1741" s="8" t="s">
        <v>12</v>
      </c>
      <c r="D1741" s="8" t="s">
        <v>6426</v>
      </c>
      <c r="E1741" s="8">
        <v>78.0</v>
      </c>
    </row>
    <row r="1742">
      <c r="A1742" s="8" t="s">
        <v>231</v>
      </c>
      <c r="B1742" s="8" t="s">
        <v>396</v>
      </c>
      <c r="C1742" s="8" t="s">
        <v>141</v>
      </c>
      <c r="D1742" s="8" t="s">
        <v>6434</v>
      </c>
      <c r="E1742" s="8">
        <v>74.0</v>
      </c>
    </row>
    <row r="1743">
      <c r="A1743" s="8" t="s">
        <v>231</v>
      </c>
      <c r="B1743" s="8" t="s">
        <v>372</v>
      </c>
      <c r="C1743" s="8" t="s">
        <v>16</v>
      </c>
      <c r="D1743" s="8" t="s">
        <v>6424</v>
      </c>
      <c r="E1743" s="8">
        <v>71.0</v>
      </c>
    </row>
    <row r="1744">
      <c r="A1744" s="8" t="s">
        <v>231</v>
      </c>
      <c r="B1744" s="8" t="s">
        <v>230</v>
      </c>
      <c r="C1744" s="8" t="s">
        <v>141</v>
      </c>
      <c r="D1744" s="8" t="s">
        <v>6416</v>
      </c>
      <c r="E1744" s="8">
        <v>55.0</v>
      </c>
    </row>
    <row r="1745">
      <c r="A1745" s="8" t="s">
        <v>231</v>
      </c>
      <c r="B1745" s="8" t="s">
        <v>1325</v>
      </c>
      <c r="C1745" s="8" t="s">
        <v>24</v>
      </c>
      <c r="D1745" s="8" t="s">
        <v>6433</v>
      </c>
      <c r="E1745" s="8">
        <v>70.0</v>
      </c>
    </row>
    <row r="1746">
      <c r="A1746" s="8" t="s">
        <v>231</v>
      </c>
      <c r="B1746" s="8" t="s">
        <v>3247</v>
      </c>
      <c r="C1746" s="8" t="s">
        <v>122</v>
      </c>
      <c r="D1746" s="8" t="s">
        <v>6418</v>
      </c>
      <c r="E1746" s="8">
        <v>79.0</v>
      </c>
    </row>
    <row r="1747">
      <c r="A1747" s="8" t="s">
        <v>231</v>
      </c>
      <c r="B1747" s="8" t="s">
        <v>2681</v>
      </c>
      <c r="C1747" s="8" t="s">
        <v>186</v>
      </c>
      <c r="D1747" s="8" t="s">
        <v>6420</v>
      </c>
      <c r="E1747" s="8">
        <v>69.0</v>
      </c>
    </row>
    <row r="1748">
      <c r="A1748" s="8" t="s">
        <v>231</v>
      </c>
      <c r="B1748" s="8" t="s">
        <v>674</v>
      </c>
      <c r="C1748" s="8" t="s">
        <v>186</v>
      </c>
      <c r="D1748" s="8" t="s">
        <v>6432</v>
      </c>
      <c r="E1748" s="8">
        <v>62.0</v>
      </c>
    </row>
    <row r="1749">
      <c r="A1749" s="8" t="s">
        <v>231</v>
      </c>
      <c r="B1749" s="8" t="s">
        <v>5641</v>
      </c>
      <c r="C1749" s="8" t="s">
        <v>24</v>
      </c>
      <c r="D1749" s="8" t="s">
        <v>6430</v>
      </c>
      <c r="E1749" s="8">
        <v>76.0</v>
      </c>
    </row>
    <row r="1750">
      <c r="A1750" s="8" t="s">
        <v>231</v>
      </c>
      <c r="B1750" s="8" t="s">
        <v>1223</v>
      </c>
      <c r="C1750" s="8" t="s">
        <v>186</v>
      </c>
      <c r="D1750" s="8" t="s">
        <v>6427</v>
      </c>
      <c r="E1750" s="8">
        <v>75.0</v>
      </c>
    </row>
    <row r="1751">
      <c r="A1751" s="8" t="s">
        <v>231</v>
      </c>
      <c r="B1751" s="8" t="s">
        <v>1327</v>
      </c>
      <c r="C1751" s="8" t="s">
        <v>59</v>
      </c>
      <c r="D1751" s="8" t="s">
        <v>6417</v>
      </c>
      <c r="E1751" s="8">
        <v>67.0</v>
      </c>
    </row>
    <row r="1752">
      <c r="A1752" s="8" t="s">
        <v>231</v>
      </c>
      <c r="B1752" s="8" t="s">
        <v>894</v>
      </c>
      <c r="C1752" s="8" t="s">
        <v>141</v>
      </c>
      <c r="D1752" s="8" t="s">
        <v>6429</v>
      </c>
      <c r="E1752" s="8">
        <v>62.0</v>
      </c>
    </row>
    <row r="1753">
      <c r="A1753" s="8" t="s">
        <v>231</v>
      </c>
      <c r="B1753" s="8" t="s">
        <v>3379</v>
      </c>
      <c r="C1753" s="8" t="s">
        <v>12</v>
      </c>
      <c r="D1753" s="8" t="s">
        <v>6434</v>
      </c>
      <c r="E1753" s="8">
        <v>79.0</v>
      </c>
    </row>
    <row r="1754">
      <c r="A1754" s="8" t="s">
        <v>231</v>
      </c>
      <c r="B1754" s="8" t="s">
        <v>1097</v>
      </c>
      <c r="C1754" s="8" t="s">
        <v>24</v>
      </c>
      <c r="D1754" s="8" t="s">
        <v>6435</v>
      </c>
      <c r="E1754" s="8">
        <v>75.0</v>
      </c>
    </row>
    <row r="1755">
      <c r="A1755" s="8" t="s">
        <v>231</v>
      </c>
      <c r="B1755" s="8" t="s">
        <v>78</v>
      </c>
      <c r="C1755" s="8" t="s">
        <v>65</v>
      </c>
      <c r="D1755" s="8" t="s">
        <v>6431</v>
      </c>
      <c r="E1755" s="8">
        <v>70.0</v>
      </c>
    </row>
    <row r="1756">
      <c r="A1756" s="8" t="s">
        <v>231</v>
      </c>
      <c r="B1756" s="8" t="s">
        <v>78</v>
      </c>
      <c r="C1756" s="8" t="s">
        <v>138</v>
      </c>
      <c r="D1756" s="8" t="s">
        <v>6415</v>
      </c>
      <c r="E1756" s="8">
        <v>68.0</v>
      </c>
    </row>
    <row r="1757">
      <c r="A1757" s="8" t="s">
        <v>231</v>
      </c>
      <c r="B1757" s="8" t="s">
        <v>2992</v>
      </c>
      <c r="C1757" s="8" t="s">
        <v>53</v>
      </c>
      <c r="D1757" s="8" t="s">
        <v>6421</v>
      </c>
      <c r="E1757" s="8">
        <v>84.0</v>
      </c>
    </row>
    <row r="1758">
      <c r="A1758" s="8" t="s">
        <v>1017</v>
      </c>
      <c r="B1758" s="8" t="s">
        <v>1016</v>
      </c>
      <c r="C1758" s="8" t="s">
        <v>93</v>
      </c>
      <c r="D1758" s="8" t="s">
        <v>6414</v>
      </c>
      <c r="E1758" s="8">
        <v>79.0</v>
      </c>
    </row>
    <row r="1759">
      <c r="A1759" s="8" t="s">
        <v>1784</v>
      </c>
      <c r="B1759" s="8" t="s">
        <v>3052</v>
      </c>
      <c r="C1759" s="8" t="s">
        <v>75</v>
      </c>
      <c r="D1759" s="8" t="s">
        <v>6435</v>
      </c>
      <c r="E1759" s="8">
        <v>71.0</v>
      </c>
    </row>
    <row r="1760">
      <c r="A1760" s="8" t="s">
        <v>476</v>
      </c>
      <c r="B1760" s="8" t="s">
        <v>475</v>
      </c>
      <c r="C1760" s="8" t="s">
        <v>53</v>
      </c>
      <c r="D1760" s="8" t="s">
        <v>6424</v>
      </c>
      <c r="E1760" s="8">
        <v>84.0</v>
      </c>
    </row>
    <row r="1761">
      <c r="A1761" s="8" t="s">
        <v>3330</v>
      </c>
      <c r="B1761" s="8" t="s">
        <v>3329</v>
      </c>
      <c r="C1761" s="8" t="s">
        <v>122</v>
      </c>
      <c r="D1761" s="8" t="s">
        <v>6443</v>
      </c>
      <c r="E1761" s="8">
        <v>70.0</v>
      </c>
    </row>
    <row r="1762">
      <c r="A1762" s="8" t="s">
        <v>2239</v>
      </c>
      <c r="B1762" s="8" t="s">
        <v>628</v>
      </c>
      <c r="C1762" s="8" t="s">
        <v>24</v>
      </c>
      <c r="D1762" s="8" t="s">
        <v>6416</v>
      </c>
      <c r="E1762" s="8">
        <v>75.0</v>
      </c>
    </row>
    <row r="1763">
      <c r="A1763" s="8" t="s">
        <v>1621</v>
      </c>
      <c r="B1763" s="8" t="s">
        <v>106</v>
      </c>
      <c r="C1763" s="8" t="s">
        <v>65</v>
      </c>
      <c r="D1763" s="8" t="s">
        <v>6442</v>
      </c>
      <c r="E1763" s="8">
        <v>67.0</v>
      </c>
    </row>
    <row r="1764">
      <c r="A1764" s="8" t="s">
        <v>1621</v>
      </c>
      <c r="B1764" s="8" t="s">
        <v>1034</v>
      </c>
      <c r="C1764" s="8" t="s">
        <v>215</v>
      </c>
      <c r="D1764" s="8" t="s">
        <v>6426</v>
      </c>
      <c r="E1764" s="8">
        <v>75.0</v>
      </c>
    </row>
    <row r="1765">
      <c r="A1765" s="8" t="s">
        <v>2972</v>
      </c>
      <c r="B1765" s="8" t="s">
        <v>2971</v>
      </c>
      <c r="C1765" s="8" t="s">
        <v>215</v>
      </c>
      <c r="D1765" s="8" t="s">
        <v>6422</v>
      </c>
      <c r="E1765" s="8">
        <v>62.0</v>
      </c>
    </row>
    <row r="1766">
      <c r="A1766" s="8" t="s">
        <v>3197</v>
      </c>
      <c r="B1766" s="8" t="s">
        <v>3196</v>
      </c>
      <c r="C1766" s="8" t="s">
        <v>93</v>
      </c>
      <c r="D1766" s="8" t="s">
        <v>6442</v>
      </c>
      <c r="E1766" s="8">
        <v>76.0</v>
      </c>
    </row>
    <row r="1767">
      <c r="A1767" s="8" t="s">
        <v>3197</v>
      </c>
      <c r="B1767" s="8" t="s">
        <v>3259</v>
      </c>
      <c r="C1767" s="8" t="s">
        <v>24</v>
      </c>
      <c r="D1767" s="8" t="s">
        <v>6433</v>
      </c>
      <c r="E1767" s="8">
        <v>39.0</v>
      </c>
    </row>
    <row r="1768">
      <c r="A1768" s="8" t="s">
        <v>6444</v>
      </c>
      <c r="B1768" s="8" t="s">
        <v>1200</v>
      </c>
      <c r="C1768" s="8" t="s">
        <v>24</v>
      </c>
      <c r="D1768" s="8" t="s">
        <v>6426</v>
      </c>
      <c r="E1768" s="8">
        <v>82.0</v>
      </c>
    </row>
    <row r="1769">
      <c r="A1769" s="8" t="s">
        <v>1530</v>
      </c>
      <c r="B1769" s="8" t="s">
        <v>1529</v>
      </c>
      <c r="C1769" s="8" t="s">
        <v>80</v>
      </c>
      <c r="D1769" s="8" t="s">
        <v>6438</v>
      </c>
      <c r="E1769" s="8">
        <v>75.0</v>
      </c>
    </row>
    <row r="1770">
      <c r="A1770" s="8" t="s">
        <v>2826</v>
      </c>
      <c r="B1770" s="8" t="s">
        <v>2825</v>
      </c>
      <c r="C1770" s="8" t="s">
        <v>138</v>
      </c>
      <c r="D1770" s="8" t="s">
        <v>6418</v>
      </c>
      <c r="E1770" s="8">
        <v>62.0</v>
      </c>
    </row>
    <row r="1771">
      <c r="A1771" s="8" t="s">
        <v>630</v>
      </c>
      <c r="B1771" s="8" t="s">
        <v>629</v>
      </c>
      <c r="C1771" s="8" t="s">
        <v>149</v>
      </c>
      <c r="D1771" s="8" t="s">
        <v>6433</v>
      </c>
      <c r="E1771" s="8">
        <v>74.0</v>
      </c>
    </row>
    <row r="1772">
      <c r="A1772" s="8" t="s">
        <v>1084</v>
      </c>
      <c r="B1772" s="8" t="s">
        <v>2679</v>
      </c>
      <c r="C1772" s="8" t="s">
        <v>65</v>
      </c>
      <c r="D1772" s="8" t="s">
        <v>6425</v>
      </c>
      <c r="E1772" s="8">
        <v>93.0</v>
      </c>
    </row>
    <row r="1773">
      <c r="A1773" s="8" t="s">
        <v>819</v>
      </c>
      <c r="B1773" s="8" t="s">
        <v>84</v>
      </c>
      <c r="C1773" s="8" t="s">
        <v>215</v>
      </c>
      <c r="D1773" s="8" t="s">
        <v>6425</v>
      </c>
      <c r="E1773" s="8">
        <v>88.0</v>
      </c>
    </row>
    <row r="1774">
      <c r="A1774" s="8" t="s">
        <v>123</v>
      </c>
      <c r="B1774" s="8" t="s">
        <v>668</v>
      </c>
      <c r="C1774" s="8" t="s">
        <v>122</v>
      </c>
      <c r="D1774" s="8" t="s">
        <v>6419</v>
      </c>
      <c r="E1774" s="8">
        <v>59.0</v>
      </c>
    </row>
    <row r="1775">
      <c r="A1775" s="8" t="s">
        <v>1627</v>
      </c>
      <c r="B1775" s="8" t="s">
        <v>1625</v>
      </c>
      <c r="C1775" s="8" t="s">
        <v>192</v>
      </c>
      <c r="D1775" s="8" t="s">
        <v>6412</v>
      </c>
      <c r="E1775" s="8">
        <v>63.0</v>
      </c>
    </row>
    <row r="1776">
      <c r="A1776" s="8" t="s">
        <v>2062</v>
      </c>
      <c r="B1776" s="8" t="s">
        <v>3032</v>
      </c>
      <c r="C1776" s="8" t="s">
        <v>93</v>
      </c>
      <c r="D1776" s="8" t="s">
        <v>6442</v>
      </c>
      <c r="E1776" s="8">
        <v>83.0</v>
      </c>
    </row>
    <row r="1777">
      <c r="A1777" s="8" t="s">
        <v>2758</v>
      </c>
      <c r="B1777" s="8" t="s">
        <v>2757</v>
      </c>
      <c r="C1777" s="8" t="s">
        <v>70</v>
      </c>
      <c r="D1777" s="8" t="s">
        <v>6425</v>
      </c>
      <c r="E1777" s="8">
        <v>74.0</v>
      </c>
    </row>
    <row r="1778">
      <c r="A1778" s="8" t="s">
        <v>2974</v>
      </c>
      <c r="B1778" s="8" t="s">
        <v>2973</v>
      </c>
      <c r="C1778" s="8" t="s">
        <v>215</v>
      </c>
      <c r="D1778" s="8" t="s">
        <v>6425</v>
      </c>
      <c r="E1778" s="8">
        <v>67.0</v>
      </c>
    </row>
    <row r="1779">
      <c r="A1779" s="8" t="s">
        <v>6445</v>
      </c>
      <c r="B1779" s="8" t="s">
        <v>78</v>
      </c>
      <c r="C1779" s="8" t="s">
        <v>93</v>
      </c>
      <c r="D1779" s="8" t="s">
        <v>6418</v>
      </c>
      <c r="E1779" s="8">
        <v>74.0</v>
      </c>
    </row>
    <row r="1780">
      <c r="A1780" s="8" t="s">
        <v>6445</v>
      </c>
      <c r="B1780" s="8" t="s">
        <v>2081</v>
      </c>
      <c r="C1780" s="8" t="s">
        <v>59</v>
      </c>
      <c r="D1780" s="8" t="s">
        <v>6417</v>
      </c>
      <c r="E1780" s="8">
        <v>71.0</v>
      </c>
    </row>
    <row r="1781">
      <c r="A1781" s="8" t="s">
        <v>1542</v>
      </c>
      <c r="B1781" s="8" t="s">
        <v>766</v>
      </c>
      <c r="C1781" s="8" t="s">
        <v>46</v>
      </c>
      <c r="D1781" s="8" t="s">
        <v>6414</v>
      </c>
      <c r="E1781" s="8">
        <v>62.0</v>
      </c>
    </row>
    <row r="1782">
      <c r="A1782" s="8" t="s">
        <v>1276</v>
      </c>
      <c r="B1782" s="8" t="s">
        <v>2777</v>
      </c>
      <c r="C1782" s="8" t="s">
        <v>75</v>
      </c>
      <c r="D1782" s="8" t="s">
        <v>6437</v>
      </c>
      <c r="E1782" s="8">
        <v>69.0</v>
      </c>
    </row>
    <row r="1783">
      <c r="A1783" s="8" t="s">
        <v>771</v>
      </c>
      <c r="B1783" s="8" t="s">
        <v>5676</v>
      </c>
      <c r="C1783" s="8" t="s">
        <v>38</v>
      </c>
      <c r="D1783" s="8" t="s">
        <v>6427</v>
      </c>
      <c r="E1783" s="8">
        <v>79.0</v>
      </c>
    </row>
    <row r="1784">
      <c r="A1784" s="8" t="s">
        <v>771</v>
      </c>
      <c r="B1784" s="8" t="s">
        <v>1619</v>
      </c>
      <c r="C1784" s="8" t="s">
        <v>122</v>
      </c>
      <c r="D1784" s="8" t="s">
        <v>6417</v>
      </c>
      <c r="E1784" s="8">
        <v>72.0</v>
      </c>
    </row>
    <row r="1785">
      <c r="A1785" s="8" t="s">
        <v>771</v>
      </c>
      <c r="B1785" s="8" t="s">
        <v>5678</v>
      </c>
      <c r="C1785" s="8" t="s">
        <v>138</v>
      </c>
      <c r="D1785" s="8" t="s">
        <v>6420</v>
      </c>
      <c r="E1785" s="8">
        <v>64.0</v>
      </c>
    </row>
    <row r="1786">
      <c r="A1786" s="8" t="s">
        <v>771</v>
      </c>
      <c r="B1786" s="8" t="s">
        <v>1437</v>
      </c>
      <c r="C1786" s="8" t="s">
        <v>141</v>
      </c>
      <c r="D1786" s="8" t="s">
        <v>6429</v>
      </c>
      <c r="E1786" s="8">
        <v>73.0</v>
      </c>
    </row>
    <row r="1787">
      <c r="A1787" s="8" t="s">
        <v>194</v>
      </c>
      <c r="B1787" s="8" t="s">
        <v>308</v>
      </c>
      <c r="C1787" s="8" t="s">
        <v>93</v>
      </c>
      <c r="D1787" s="8" t="s">
        <v>6424</v>
      </c>
      <c r="E1787" s="8">
        <v>77.0</v>
      </c>
    </row>
    <row r="1788">
      <c r="A1788" s="8" t="s">
        <v>194</v>
      </c>
      <c r="B1788" s="8" t="s">
        <v>1000</v>
      </c>
      <c r="C1788" s="8" t="s">
        <v>186</v>
      </c>
      <c r="D1788" s="8" t="s">
        <v>6435</v>
      </c>
      <c r="E1788" s="8">
        <v>60.0</v>
      </c>
    </row>
    <row r="1789">
      <c r="A1789" s="8" t="s">
        <v>194</v>
      </c>
      <c r="B1789" s="8" t="s">
        <v>311</v>
      </c>
      <c r="C1789" s="8" t="s">
        <v>24</v>
      </c>
      <c r="D1789" s="8" t="s">
        <v>6427</v>
      </c>
      <c r="E1789" s="8">
        <v>41.0</v>
      </c>
    </row>
    <row r="1790">
      <c r="A1790" s="8" t="s">
        <v>194</v>
      </c>
      <c r="B1790" s="8" t="s">
        <v>364</v>
      </c>
      <c r="C1790" s="8" t="s">
        <v>261</v>
      </c>
      <c r="D1790" s="8" t="s">
        <v>6430</v>
      </c>
      <c r="E1790" s="8">
        <v>84.0</v>
      </c>
    </row>
    <row r="1791">
      <c r="A1791" s="8" t="s">
        <v>194</v>
      </c>
      <c r="B1791" s="8" t="s">
        <v>2976</v>
      </c>
      <c r="C1791" s="8" t="s">
        <v>75</v>
      </c>
      <c r="D1791" s="8" t="s">
        <v>6413</v>
      </c>
      <c r="E1791" s="8">
        <v>76.0</v>
      </c>
    </row>
    <row r="1792">
      <c r="A1792" s="8" t="s">
        <v>194</v>
      </c>
      <c r="B1792" s="8" t="s">
        <v>193</v>
      </c>
      <c r="C1792" s="8" t="s">
        <v>192</v>
      </c>
      <c r="D1792" s="8" t="s">
        <v>6436</v>
      </c>
      <c r="E1792" s="8">
        <v>77.0</v>
      </c>
    </row>
    <row r="1793">
      <c r="A1793" s="8" t="s">
        <v>194</v>
      </c>
      <c r="B1793" s="8" t="s">
        <v>2915</v>
      </c>
      <c r="C1793" s="8" t="s">
        <v>16</v>
      </c>
      <c r="D1793" s="8" t="s">
        <v>6437</v>
      </c>
      <c r="E1793" s="8">
        <v>76.0</v>
      </c>
    </row>
    <row r="1794">
      <c r="A1794" s="8" t="s">
        <v>194</v>
      </c>
      <c r="B1794" s="8" t="s">
        <v>94</v>
      </c>
      <c r="C1794" s="8" t="s">
        <v>141</v>
      </c>
      <c r="D1794" s="8" t="s">
        <v>6430</v>
      </c>
      <c r="E1794" s="8">
        <v>70.0</v>
      </c>
    </row>
    <row r="1795">
      <c r="A1795" s="8" t="s">
        <v>194</v>
      </c>
      <c r="B1795" s="8" t="s">
        <v>126</v>
      </c>
      <c r="C1795" s="8" t="s">
        <v>93</v>
      </c>
      <c r="D1795" s="8" t="s">
        <v>6419</v>
      </c>
      <c r="E1795" s="8">
        <v>91.0</v>
      </c>
    </row>
    <row r="1796">
      <c r="A1796" s="8" t="s">
        <v>628</v>
      </c>
      <c r="B1796" s="8" t="s">
        <v>1282</v>
      </c>
      <c r="C1796" s="8" t="s">
        <v>70</v>
      </c>
      <c r="D1796" s="8" t="s">
        <v>6425</v>
      </c>
      <c r="E1796" s="8">
        <v>77.0</v>
      </c>
    </row>
    <row r="1797">
      <c r="A1797" s="8" t="s">
        <v>628</v>
      </c>
      <c r="B1797" s="8" t="s">
        <v>786</v>
      </c>
      <c r="C1797" s="8" t="s">
        <v>65</v>
      </c>
      <c r="D1797" s="8" t="s">
        <v>6433</v>
      </c>
      <c r="E1797" s="8">
        <v>75.0</v>
      </c>
    </row>
    <row r="1798">
      <c r="A1798" s="8" t="s">
        <v>628</v>
      </c>
      <c r="B1798" s="8" t="s">
        <v>1043</v>
      </c>
      <c r="C1798" s="8" t="s">
        <v>65</v>
      </c>
      <c r="D1798" s="8" t="s">
        <v>6424</v>
      </c>
      <c r="E1798" s="8">
        <v>66.0</v>
      </c>
    </row>
    <row r="1799">
      <c r="A1799" s="8" t="s">
        <v>628</v>
      </c>
      <c r="B1799" s="8" t="s">
        <v>3398</v>
      </c>
      <c r="C1799" s="8" t="s">
        <v>53</v>
      </c>
      <c r="D1799" s="8" t="s">
        <v>6413</v>
      </c>
      <c r="E1799" s="8">
        <v>87.0</v>
      </c>
    </row>
    <row r="1800">
      <c r="A1800" s="8" t="s">
        <v>628</v>
      </c>
      <c r="B1800" s="8" t="s">
        <v>3363</v>
      </c>
      <c r="C1800" s="8" t="s">
        <v>65</v>
      </c>
      <c r="D1800" s="8" t="s">
        <v>6414</v>
      </c>
      <c r="E1800" s="8">
        <v>62.0</v>
      </c>
    </row>
    <row r="1801">
      <c r="A1801" s="8" t="s">
        <v>628</v>
      </c>
      <c r="B1801" s="8" t="s">
        <v>627</v>
      </c>
      <c r="C1801" s="8" t="s">
        <v>53</v>
      </c>
      <c r="D1801" s="8" t="s">
        <v>6420</v>
      </c>
      <c r="E1801" s="8">
        <v>75.0</v>
      </c>
    </row>
    <row r="1802">
      <c r="A1802" s="8" t="s">
        <v>1522</v>
      </c>
      <c r="B1802" s="8" t="s">
        <v>1237</v>
      </c>
      <c r="C1802" s="8" t="s">
        <v>16</v>
      </c>
      <c r="D1802" s="8" t="s">
        <v>6412</v>
      </c>
      <c r="E1802" s="8">
        <v>72.0</v>
      </c>
    </row>
    <row r="1803">
      <c r="A1803" s="8" t="s">
        <v>401</v>
      </c>
      <c r="B1803" s="8" t="s">
        <v>400</v>
      </c>
      <c r="C1803" s="8" t="s">
        <v>53</v>
      </c>
      <c r="D1803" s="8" t="s">
        <v>6427</v>
      </c>
      <c r="E1803" s="8">
        <v>84.0</v>
      </c>
    </row>
    <row r="1804">
      <c r="A1804" s="8" t="s">
        <v>1368</v>
      </c>
      <c r="B1804" s="8" t="s">
        <v>1367</v>
      </c>
      <c r="C1804" s="8" t="s">
        <v>70</v>
      </c>
      <c r="D1804" s="8" t="s">
        <v>6426</v>
      </c>
      <c r="E1804" s="8">
        <v>61.0</v>
      </c>
    </row>
    <row r="1805">
      <c r="A1805" s="8" t="s">
        <v>1368</v>
      </c>
      <c r="B1805" s="8" t="s">
        <v>444</v>
      </c>
      <c r="C1805" s="8" t="s">
        <v>80</v>
      </c>
      <c r="D1805" s="8" t="s">
        <v>6413</v>
      </c>
      <c r="E1805" s="8">
        <v>62.0</v>
      </c>
    </row>
    <row r="1806">
      <c r="A1806" s="8" t="s">
        <v>1384</v>
      </c>
      <c r="B1806" s="8" t="s">
        <v>106</v>
      </c>
      <c r="C1806" s="8" t="s">
        <v>24</v>
      </c>
      <c r="D1806" s="8" t="s">
        <v>6438</v>
      </c>
      <c r="E1806" s="8">
        <v>68.0</v>
      </c>
    </row>
    <row r="1807">
      <c r="A1807" s="8" t="s">
        <v>1746</v>
      </c>
      <c r="B1807" s="8" t="s">
        <v>500</v>
      </c>
      <c r="C1807" s="8" t="s">
        <v>65</v>
      </c>
      <c r="D1807" s="8" t="s">
        <v>6414</v>
      </c>
      <c r="E1807" s="8">
        <v>64.0</v>
      </c>
    </row>
    <row r="1808">
      <c r="A1808" s="8" t="s">
        <v>2124</v>
      </c>
      <c r="B1808" s="8" t="s">
        <v>3086</v>
      </c>
      <c r="C1808" s="8" t="s">
        <v>122</v>
      </c>
      <c r="D1808" s="8" t="s">
        <v>6416</v>
      </c>
      <c r="E1808" s="8">
        <v>71.0</v>
      </c>
    </row>
    <row r="1809">
      <c r="A1809" s="8" t="s">
        <v>2124</v>
      </c>
      <c r="B1809" s="8" t="s">
        <v>2081</v>
      </c>
      <c r="C1809" s="8" t="s">
        <v>12</v>
      </c>
      <c r="D1809" s="8" t="s">
        <v>6419</v>
      </c>
      <c r="E1809" s="8">
        <v>80.0</v>
      </c>
    </row>
    <row r="1810">
      <c r="A1810" s="8" t="s">
        <v>48</v>
      </c>
      <c r="B1810" s="8" t="s">
        <v>47</v>
      </c>
      <c r="C1810" s="8" t="s">
        <v>16</v>
      </c>
      <c r="D1810" s="8" t="s">
        <v>6432</v>
      </c>
      <c r="E1810" s="8">
        <v>84.0</v>
      </c>
    </row>
    <row r="1811">
      <c r="A1811" s="8" t="s">
        <v>690</v>
      </c>
      <c r="B1811" s="8" t="s">
        <v>1155</v>
      </c>
      <c r="C1811" s="8" t="s">
        <v>65</v>
      </c>
      <c r="D1811" s="8" t="s">
        <v>6428</v>
      </c>
      <c r="E1811" s="8">
        <v>73.0</v>
      </c>
    </row>
    <row r="1812">
      <c r="A1812" s="8" t="s">
        <v>690</v>
      </c>
      <c r="B1812" s="8" t="s">
        <v>689</v>
      </c>
      <c r="C1812" s="8" t="s">
        <v>93</v>
      </c>
      <c r="D1812" s="8" t="s">
        <v>6437</v>
      </c>
      <c r="E1812" s="8">
        <v>71.0</v>
      </c>
    </row>
    <row r="1813">
      <c r="A1813" s="8" t="s">
        <v>690</v>
      </c>
      <c r="B1813" s="8" t="s">
        <v>3081</v>
      </c>
      <c r="C1813" s="8" t="s">
        <v>24</v>
      </c>
      <c r="D1813" s="8" t="s">
        <v>6423</v>
      </c>
      <c r="E1813" s="8">
        <v>71.0</v>
      </c>
    </row>
    <row r="1814">
      <c r="A1814" s="8" t="s">
        <v>3186</v>
      </c>
      <c r="B1814" s="8" t="s">
        <v>106</v>
      </c>
      <c r="C1814" s="8" t="s">
        <v>65</v>
      </c>
      <c r="D1814" s="8" t="s">
        <v>6430</v>
      </c>
      <c r="E1814" s="8">
        <v>77.0</v>
      </c>
    </row>
    <row r="1815">
      <c r="A1815" s="8" t="s">
        <v>668</v>
      </c>
      <c r="B1815" s="8" t="s">
        <v>2802</v>
      </c>
      <c r="C1815" s="8" t="s">
        <v>65</v>
      </c>
      <c r="D1815" s="8" t="s">
        <v>6422</v>
      </c>
      <c r="E1815" s="8">
        <v>85.0</v>
      </c>
    </row>
    <row r="1816">
      <c r="A1816" s="8" t="s">
        <v>668</v>
      </c>
      <c r="B1816" s="8" t="s">
        <v>667</v>
      </c>
      <c r="C1816" s="8" t="s">
        <v>93</v>
      </c>
      <c r="D1816" s="8" t="s">
        <v>6433</v>
      </c>
      <c r="E1816" s="8">
        <v>70.0</v>
      </c>
    </row>
    <row r="1817">
      <c r="A1817" s="8" t="s">
        <v>1639</v>
      </c>
      <c r="B1817" s="8" t="s">
        <v>1638</v>
      </c>
      <c r="C1817" s="8" t="s">
        <v>59</v>
      </c>
      <c r="D1817" s="8" t="s">
        <v>6422</v>
      </c>
      <c r="E1817" s="8">
        <v>63.0</v>
      </c>
    </row>
    <row r="1818">
      <c r="A1818" s="8" t="s">
        <v>1107</v>
      </c>
      <c r="B1818" s="8" t="s">
        <v>99</v>
      </c>
      <c r="C1818" s="8" t="s">
        <v>59</v>
      </c>
      <c r="D1818" s="8" t="s">
        <v>6416</v>
      </c>
      <c r="E1818" s="8">
        <v>76.0</v>
      </c>
    </row>
    <row r="1819">
      <c r="A1819" s="8" t="s">
        <v>1107</v>
      </c>
      <c r="B1819" s="8" t="s">
        <v>106</v>
      </c>
      <c r="C1819" s="8" t="s">
        <v>186</v>
      </c>
      <c r="D1819" s="8" t="s">
        <v>6430</v>
      </c>
      <c r="E1819" s="8">
        <v>74.0</v>
      </c>
    </row>
    <row r="1820">
      <c r="A1820" s="8" t="s">
        <v>340</v>
      </c>
      <c r="B1820" s="8" t="s">
        <v>339</v>
      </c>
      <c r="C1820" s="8" t="s">
        <v>93</v>
      </c>
      <c r="D1820" s="8" t="s">
        <v>6427</v>
      </c>
      <c r="E1820" s="8">
        <v>81.0</v>
      </c>
    </row>
    <row r="1821">
      <c r="A1821" s="8" t="s">
        <v>340</v>
      </c>
      <c r="B1821" s="8" t="s">
        <v>3313</v>
      </c>
      <c r="C1821" s="8" t="s">
        <v>93</v>
      </c>
      <c r="D1821" s="8" t="s">
        <v>6422</v>
      </c>
      <c r="E1821" s="8">
        <v>62.0</v>
      </c>
    </row>
    <row r="1822">
      <c r="A1822" s="8" t="s">
        <v>2700</v>
      </c>
      <c r="B1822" s="8" t="s">
        <v>858</v>
      </c>
      <c r="C1822" s="8" t="s">
        <v>65</v>
      </c>
      <c r="D1822" s="8" t="s">
        <v>6428</v>
      </c>
      <c r="E1822" s="8">
        <v>65.0</v>
      </c>
    </row>
    <row r="1823">
      <c r="A1823" s="8" t="s">
        <v>1148</v>
      </c>
      <c r="B1823" s="8" t="s">
        <v>1147</v>
      </c>
      <c r="C1823" s="8" t="s">
        <v>93</v>
      </c>
      <c r="D1823" s="8" t="s">
        <v>6420</v>
      </c>
      <c r="E1823" s="8">
        <v>71.0</v>
      </c>
    </row>
    <row r="1824">
      <c r="A1824" s="8" t="s">
        <v>1576</v>
      </c>
      <c r="B1824" s="8" t="s">
        <v>3268</v>
      </c>
      <c r="C1824" s="8" t="s">
        <v>59</v>
      </c>
      <c r="D1824" s="8" t="s">
        <v>6412</v>
      </c>
      <c r="E1824" s="8">
        <v>57.0</v>
      </c>
    </row>
    <row r="1825">
      <c r="A1825" s="8" t="s">
        <v>900</v>
      </c>
      <c r="B1825" s="8" t="s">
        <v>451</v>
      </c>
      <c r="C1825" s="8" t="s">
        <v>93</v>
      </c>
      <c r="D1825" s="8" t="s">
        <v>6428</v>
      </c>
      <c r="E1825" s="8">
        <v>74.0</v>
      </c>
    </row>
    <row r="1826">
      <c r="A1826" s="8" t="s">
        <v>900</v>
      </c>
      <c r="B1826" s="8" t="s">
        <v>1681</v>
      </c>
      <c r="C1826" s="8" t="s">
        <v>65</v>
      </c>
      <c r="D1826" s="8" t="s">
        <v>6435</v>
      </c>
      <c r="E1826" s="8">
        <v>62.0</v>
      </c>
    </row>
    <row r="1827">
      <c r="A1827" s="8" t="s">
        <v>900</v>
      </c>
      <c r="B1827" s="8" t="s">
        <v>2924</v>
      </c>
      <c r="C1827" s="8" t="s">
        <v>192</v>
      </c>
      <c r="D1827" s="8" t="s">
        <v>6431</v>
      </c>
      <c r="E1827" s="8">
        <v>60.0</v>
      </c>
    </row>
    <row r="1828">
      <c r="A1828" s="8" t="s">
        <v>900</v>
      </c>
      <c r="B1828" s="8" t="s">
        <v>899</v>
      </c>
      <c r="C1828" s="8" t="s">
        <v>65</v>
      </c>
      <c r="D1828" s="8" t="s">
        <v>6440</v>
      </c>
      <c r="E1828" s="8">
        <v>79.0</v>
      </c>
    </row>
    <row r="1829">
      <c r="A1829" s="8" t="s">
        <v>3026</v>
      </c>
      <c r="B1829" s="8" t="s">
        <v>3025</v>
      </c>
      <c r="C1829" s="8" t="s">
        <v>93</v>
      </c>
      <c r="D1829" s="8" t="s">
        <v>6421</v>
      </c>
      <c r="E1829" s="8">
        <v>73.0</v>
      </c>
    </row>
    <row r="1830">
      <c r="A1830" s="8" t="s">
        <v>3226</v>
      </c>
      <c r="B1830" s="8" t="s">
        <v>3225</v>
      </c>
      <c r="C1830" s="8" t="s">
        <v>192</v>
      </c>
      <c r="D1830" s="8" t="s">
        <v>6427</v>
      </c>
      <c r="E1830" s="8">
        <v>80.0</v>
      </c>
    </row>
    <row r="1831">
      <c r="A1831" s="8" t="s">
        <v>804</v>
      </c>
      <c r="B1831" s="8" t="s">
        <v>3227</v>
      </c>
      <c r="C1831" s="8" t="s">
        <v>122</v>
      </c>
      <c r="D1831" s="8" t="s">
        <v>6422</v>
      </c>
      <c r="E1831" s="8">
        <v>76.0</v>
      </c>
    </row>
    <row r="1832">
      <c r="A1832" s="8" t="s">
        <v>804</v>
      </c>
      <c r="B1832" s="8" t="s">
        <v>946</v>
      </c>
      <c r="C1832" s="8" t="s">
        <v>138</v>
      </c>
      <c r="D1832" s="8" t="s">
        <v>6433</v>
      </c>
      <c r="E1832" s="8">
        <v>65.0</v>
      </c>
    </row>
    <row r="1833">
      <c r="A1833" s="8" t="s">
        <v>804</v>
      </c>
      <c r="B1833" s="8" t="s">
        <v>890</v>
      </c>
      <c r="C1833" s="8" t="s">
        <v>93</v>
      </c>
      <c r="D1833" s="8" t="s">
        <v>6416</v>
      </c>
      <c r="E1833" s="8">
        <v>71.0</v>
      </c>
    </row>
    <row r="1834">
      <c r="A1834" s="8" t="s">
        <v>804</v>
      </c>
      <c r="B1834" s="8" t="s">
        <v>803</v>
      </c>
      <c r="C1834" s="8" t="s">
        <v>75</v>
      </c>
      <c r="D1834" s="8" t="s">
        <v>6423</v>
      </c>
      <c r="E1834" s="8">
        <v>81.0</v>
      </c>
    </row>
    <row r="1835">
      <c r="A1835" s="8" t="s">
        <v>6451</v>
      </c>
      <c r="B1835" s="8" t="s">
        <v>1310</v>
      </c>
      <c r="C1835" s="8" t="s">
        <v>65</v>
      </c>
      <c r="D1835" s="8" t="s">
        <v>6429</v>
      </c>
      <c r="E1835" s="8">
        <v>61.0</v>
      </c>
    </row>
    <row r="1836">
      <c r="A1836" s="8" t="s">
        <v>5772</v>
      </c>
      <c r="B1836" s="8" t="s">
        <v>525</v>
      </c>
      <c r="C1836" s="8" t="s">
        <v>215</v>
      </c>
      <c r="D1836" s="8" t="s">
        <v>6431</v>
      </c>
      <c r="E1836" s="8">
        <v>75.0</v>
      </c>
    </row>
    <row r="1837">
      <c r="A1837" s="8" t="s">
        <v>2189</v>
      </c>
      <c r="B1837" s="8" t="s">
        <v>2188</v>
      </c>
      <c r="C1837" s="8" t="s">
        <v>59</v>
      </c>
      <c r="D1837" s="8" t="s">
        <v>6415</v>
      </c>
      <c r="E1837" s="8">
        <v>72.0</v>
      </c>
    </row>
    <row r="1838">
      <c r="A1838" s="8" t="s">
        <v>191</v>
      </c>
      <c r="B1838" s="8" t="s">
        <v>190</v>
      </c>
      <c r="C1838" s="8" t="s">
        <v>80</v>
      </c>
      <c r="D1838" s="8" t="s">
        <v>6418</v>
      </c>
      <c r="E1838" s="8">
        <v>75.0</v>
      </c>
    </row>
    <row r="1839">
      <c r="A1839" s="8" t="s">
        <v>988</v>
      </c>
      <c r="B1839" s="8" t="s">
        <v>987</v>
      </c>
      <c r="C1839" s="8" t="s">
        <v>70</v>
      </c>
      <c r="D1839" s="8" t="s">
        <v>6422</v>
      </c>
      <c r="E1839" s="8">
        <v>60.0</v>
      </c>
    </row>
    <row r="1840">
      <c r="A1840" s="8" t="s">
        <v>1272</v>
      </c>
      <c r="B1840" s="8" t="s">
        <v>1271</v>
      </c>
      <c r="C1840" s="8" t="s">
        <v>138</v>
      </c>
      <c r="D1840" s="8" t="s">
        <v>6437</v>
      </c>
      <c r="E1840" s="8">
        <v>65.0</v>
      </c>
    </row>
    <row r="1841">
      <c r="A1841" s="8" t="s">
        <v>1065</v>
      </c>
      <c r="B1841" s="8" t="s">
        <v>451</v>
      </c>
      <c r="C1841" s="8" t="s">
        <v>186</v>
      </c>
      <c r="D1841" s="8" t="s">
        <v>6437</v>
      </c>
      <c r="E1841" s="8">
        <v>79.0</v>
      </c>
    </row>
    <row r="1842">
      <c r="A1842" s="8" t="s">
        <v>155</v>
      </c>
      <c r="B1842" s="8" t="s">
        <v>154</v>
      </c>
      <c r="C1842" s="8" t="s">
        <v>75</v>
      </c>
      <c r="D1842" s="8" t="s">
        <v>6439</v>
      </c>
      <c r="E1842" s="8">
        <v>88.0</v>
      </c>
    </row>
    <row r="1843">
      <c r="A1843" s="8" t="s">
        <v>155</v>
      </c>
      <c r="B1843" s="8" t="s">
        <v>2853</v>
      </c>
      <c r="C1843" s="8" t="s">
        <v>53</v>
      </c>
      <c r="D1843" s="8" t="s">
        <v>6430</v>
      </c>
      <c r="E1843" s="8">
        <v>69.0</v>
      </c>
    </row>
    <row r="1844">
      <c r="A1844" s="8" t="s">
        <v>497</v>
      </c>
      <c r="B1844" s="8" t="s">
        <v>3464</v>
      </c>
      <c r="C1844" s="8" t="s">
        <v>24</v>
      </c>
      <c r="D1844" s="8" t="s">
        <v>6443</v>
      </c>
      <c r="E1844" s="8">
        <v>65.0</v>
      </c>
    </row>
    <row r="1845">
      <c r="A1845" s="8" t="s">
        <v>497</v>
      </c>
      <c r="B1845" s="8" t="s">
        <v>496</v>
      </c>
      <c r="C1845" s="8" t="s">
        <v>65</v>
      </c>
      <c r="D1845" s="8" t="s">
        <v>6421</v>
      </c>
      <c r="E1845" s="8">
        <v>87.0</v>
      </c>
    </row>
    <row r="1846">
      <c r="A1846" s="8" t="s">
        <v>497</v>
      </c>
      <c r="B1846" s="8" t="s">
        <v>1164</v>
      </c>
      <c r="C1846" s="8" t="s">
        <v>93</v>
      </c>
      <c r="D1846" s="8" t="s">
        <v>6432</v>
      </c>
      <c r="E1846" s="8">
        <v>65.0</v>
      </c>
    </row>
    <row r="1847">
      <c r="A1847" s="8" t="s">
        <v>483</v>
      </c>
      <c r="B1847" s="8" t="s">
        <v>1177</v>
      </c>
      <c r="C1847" s="8" t="s">
        <v>215</v>
      </c>
      <c r="D1847" s="8" t="s">
        <v>6442</v>
      </c>
      <c r="E1847" s="8">
        <v>74.0</v>
      </c>
    </row>
    <row r="1848">
      <c r="A1848" s="8" t="s">
        <v>483</v>
      </c>
      <c r="B1848" s="8" t="s">
        <v>482</v>
      </c>
      <c r="C1848" s="8" t="s">
        <v>12</v>
      </c>
      <c r="D1848" s="8" t="s">
        <v>6417</v>
      </c>
      <c r="E1848" s="8">
        <v>74.0</v>
      </c>
    </row>
    <row r="1849">
      <c r="A1849" s="8" t="s">
        <v>3292</v>
      </c>
      <c r="B1849" s="8" t="s">
        <v>1183</v>
      </c>
      <c r="C1849" s="8" t="s">
        <v>65</v>
      </c>
      <c r="D1849" s="8" t="s">
        <v>6443</v>
      </c>
      <c r="E1849" s="8">
        <v>62.0</v>
      </c>
    </row>
    <row r="1850">
      <c r="A1850" s="8" t="s">
        <v>585</v>
      </c>
      <c r="B1850" s="8" t="s">
        <v>385</v>
      </c>
      <c r="C1850" s="8" t="s">
        <v>93</v>
      </c>
      <c r="D1850" s="8" t="s">
        <v>6428</v>
      </c>
      <c r="E1850" s="8">
        <v>72.0</v>
      </c>
    </row>
    <row r="1851">
      <c r="A1851" s="8" t="s">
        <v>598</v>
      </c>
      <c r="B1851" s="8" t="s">
        <v>2818</v>
      </c>
      <c r="C1851" s="8" t="s">
        <v>65</v>
      </c>
      <c r="D1851" s="8" t="s">
        <v>6413</v>
      </c>
      <c r="E1851" s="8">
        <v>71.0</v>
      </c>
    </row>
    <row r="1852">
      <c r="A1852" s="8" t="s">
        <v>598</v>
      </c>
      <c r="B1852" s="8" t="s">
        <v>597</v>
      </c>
      <c r="C1852" s="8" t="s">
        <v>65</v>
      </c>
      <c r="D1852" s="8" t="s">
        <v>6430</v>
      </c>
      <c r="E1852" s="8">
        <v>66.0</v>
      </c>
    </row>
    <row r="1853">
      <c r="A1853" s="8" t="s">
        <v>1786</v>
      </c>
      <c r="B1853" s="8" t="s">
        <v>308</v>
      </c>
      <c r="C1853" s="8" t="s">
        <v>93</v>
      </c>
      <c r="D1853" s="8" t="s">
        <v>6422</v>
      </c>
      <c r="E1853" s="8">
        <v>76.0</v>
      </c>
    </row>
    <row r="1854">
      <c r="A1854" s="8" t="s">
        <v>1786</v>
      </c>
      <c r="B1854" s="8" t="s">
        <v>1835</v>
      </c>
      <c r="C1854" s="8" t="s">
        <v>65</v>
      </c>
      <c r="D1854" s="8" t="s">
        <v>6443</v>
      </c>
      <c r="E1854" s="8">
        <v>65.0</v>
      </c>
    </row>
    <row r="1855">
      <c r="A1855" s="8" t="s">
        <v>3036</v>
      </c>
      <c r="B1855" s="8" t="s">
        <v>1031</v>
      </c>
      <c r="C1855" s="8" t="s">
        <v>65</v>
      </c>
      <c r="D1855" s="8" t="s">
        <v>6415</v>
      </c>
      <c r="E1855" s="8">
        <v>63.0</v>
      </c>
    </row>
    <row r="1856">
      <c r="A1856" s="8" t="s">
        <v>939</v>
      </c>
      <c r="B1856" s="8" t="s">
        <v>537</v>
      </c>
      <c r="C1856" s="8" t="s">
        <v>46</v>
      </c>
      <c r="D1856" s="8" t="s">
        <v>6429</v>
      </c>
      <c r="E1856" s="8">
        <v>64.0</v>
      </c>
    </row>
    <row r="1857">
      <c r="A1857" s="8" t="s">
        <v>1769</v>
      </c>
      <c r="B1857" s="8" t="s">
        <v>888</v>
      </c>
      <c r="C1857" s="8" t="s">
        <v>93</v>
      </c>
      <c r="D1857" s="8" t="s">
        <v>6424</v>
      </c>
      <c r="E1857" s="8">
        <v>68.0</v>
      </c>
    </row>
    <row r="1858">
      <c r="A1858" s="8" t="s">
        <v>642</v>
      </c>
      <c r="B1858" s="8" t="s">
        <v>641</v>
      </c>
      <c r="C1858" s="8" t="s">
        <v>53</v>
      </c>
      <c r="D1858" s="8" t="s">
        <v>6422</v>
      </c>
      <c r="E1858" s="8">
        <v>73.0</v>
      </c>
    </row>
    <row r="1859">
      <c r="A1859" s="8" t="s">
        <v>1487</v>
      </c>
      <c r="B1859" s="8" t="s">
        <v>282</v>
      </c>
      <c r="C1859" s="8" t="s">
        <v>80</v>
      </c>
      <c r="D1859" s="8" t="s">
        <v>6432</v>
      </c>
      <c r="E1859" s="8">
        <v>70.0</v>
      </c>
    </row>
    <row r="1860">
      <c r="A1860" s="8" t="s">
        <v>1274</v>
      </c>
      <c r="B1860" s="8" t="s">
        <v>1273</v>
      </c>
      <c r="C1860" s="8" t="s">
        <v>132</v>
      </c>
      <c r="D1860" s="8" t="s">
        <v>6433</v>
      </c>
      <c r="E1860" s="8">
        <v>66.0</v>
      </c>
    </row>
    <row r="1861">
      <c r="A1861" s="8" t="s">
        <v>1173</v>
      </c>
      <c r="B1861" s="8" t="s">
        <v>1582</v>
      </c>
      <c r="C1861" s="8" t="s">
        <v>186</v>
      </c>
      <c r="D1861" s="8" t="s">
        <v>6430</v>
      </c>
      <c r="E1861" s="8">
        <v>73.0</v>
      </c>
    </row>
    <row r="1862">
      <c r="A1862" s="8" t="s">
        <v>1173</v>
      </c>
      <c r="B1862" s="8" t="s">
        <v>267</v>
      </c>
      <c r="C1862" s="8" t="s">
        <v>138</v>
      </c>
      <c r="D1862" s="8" t="s">
        <v>6421</v>
      </c>
      <c r="E1862" s="8">
        <v>61.0</v>
      </c>
    </row>
    <row r="1863">
      <c r="A1863" s="8" t="s">
        <v>1173</v>
      </c>
      <c r="B1863" s="8" t="s">
        <v>220</v>
      </c>
      <c r="C1863" s="8" t="s">
        <v>80</v>
      </c>
      <c r="D1863" s="8" t="s">
        <v>6438</v>
      </c>
      <c r="E1863" s="8">
        <v>79.0</v>
      </c>
    </row>
    <row r="1864">
      <c r="A1864" s="8" t="s">
        <v>286</v>
      </c>
      <c r="B1864" s="8" t="s">
        <v>284</v>
      </c>
      <c r="C1864" s="8" t="s">
        <v>192</v>
      </c>
      <c r="D1864" s="8" t="s">
        <v>6415</v>
      </c>
      <c r="E1864" s="8">
        <v>91.0</v>
      </c>
    </row>
    <row r="1865">
      <c r="A1865" s="8" t="s">
        <v>876</v>
      </c>
      <c r="B1865" s="8" t="s">
        <v>875</v>
      </c>
      <c r="C1865" s="8" t="s">
        <v>186</v>
      </c>
      <c r="D1865" s="8" t="s">
        <v>6437</v>
      </c>
      <c r="E1865" s="8">
        <v>55.0</v>
      </c>
    </row>
    <row r="1866">
      <c r="A1866" s="8" t="s">
        <v>1444</v>
      </c>
      <c r="B1866" s="8" t="s">
        <v>154</v>
      </c>
      <c r="C1866" s="8" t="s">
        <v>186</v>
      </c>
      <c r="D1866" s="8" t="s">
        <v>6422</v>
      </c>
      <c r="E1866" s="8">
        <v>76.0</v>
      </c>
    </row>
    <row r="1867">
      <c r="A1867" s="8" t="s">
        <v>485</v>
      </c>
      <c r="B1867" s="8" t="s">
        <v>484</v>
      </c>
      <c r="C1867" s="8" t="s">
        <v>70</v>
      </c>
      <c r="D1867" s="8" t="s">
        <v>6436</v>
      </c>
      <c r="E1867" s="8">
        <v>76.0</v>
      </c>
    </row>
    <row r="1868">
      <c r="A1868" s="8" t="s">
        <v>370</v>
      </c>
      <c r="B1868" s="8" t="s">
        <v>369</v>
      </c>
      <c r="C1868" s="8" t="s">
        <v>261</v>
      </c>
      <c r="D1868" s="8" t="s">
        <v>6425</v>
      </c>
      <c r="E1868" s="8">
        <v>79.0</v>
      </c>
    </row>
    <row r="1869">
      <c r="A1869" s="8" t="s">
        <v>840</v>
      </c>
      <c r="B1869" s="8" t="s">
        <v>1516</v>
      </c>
      <c r="C1869" s="8" t="s">
        <v>65</v>
      </c>
      <c r="D1869" s="8" t="s">
        <v>6443</v>
      </c>
      <c r="E1869" s="8">
        <v>66.0</v>
      </c>
    </row>
    <row r="1870">
      <c r="A1870" s="8" t="s">
        <v>840</v>
      </c>
      <c r="B1870" s="8" t="s">
        <v>460</v>
      </c>
      <c r="C1870" s="8" t="s">
        <v>80</v>
      </c>
      <c r="D1870" s="8" t="s">
        <v>6431</v>
      </c>
      <c r="E1870" s="8">
        <v>81.0</v>
      </c>
    </row>
    <row r="1871">
      <c r="A1871" s="8" t="s">
        <v>315</v>
      </c>
      <c r="B1871" s="8" t="s">
        <v>97</v>
      </c>
      <c r="C1871" s="8" t="s">
        <v>24</v>
      </c>
      <c r="D1871" s="8" t="s">
        <v>6421</v>
      </c>
      <c r="E1871" s="8">
        <v>78.0</v>
      </c>
    </row>
    <row r="1872">
      <c r="A1872" s="8" t="s">
        <v>315</v>
      </c>
      <c r="B1872" s="8" t="s">
        <v>2663</v>
      </c>
      <c r="C1872" s="8" t="s">
        <v>122</v>
      </c>
      <c r="D1872" s="8" t="s">
        <v>6442</v>
      </c>
      <c r="E1872" s="8">
        <v>63.0</v>
      </c>
    </row>
    <row r="1873">
      <c r="A1873" s="8" t="s">
        <v>315</v>
      </c>
      <c r="B1873" s="8" t="s">
        <v>314</v>
      </c>
      <c r="C1873" s="8" t="s">
        <v>93</v>
      </c>
      <c r="D1873" s="8" t="s">
        <v>6433</v>
      </c>
      <c r="E1873" s="8">
        <v>90.0</v>
      </c>
    </row>
    <row r="1874">
      <c r="A1874" s="8" t="s">
        <v>74</v>
      </c>
      <c r="B1874" s="8" t="s">
        <v>73</v>
      </c>
      <c r="C1874" s="8" t="s">
        <v>75</v>
      </c>
      <c r="D1874" s="8" t="s">
        <v>6430</v>
      </c>
      <c r="E1874" s="8">
        <v>88.0</v>
      </c>
    </row>
    <row r="1875">
      <c r="A1875" s="8" t="s">
        <v>612</v>
      </c>
      <c r="B1875" s="8" t="s">
        <v>611</v>
      </c>
      <c r="C1875" s="8" t="s">
        <v>149</v>
      </c>
      <c r="D1875" s="8" t="s">
        <v>6420</v>
      </c>
      <c r="E1875" s="8">
        <v>83.0</v>
      </c>
    </row>
    <row r="1876">
      <c r="A1876" s="8" t="s">
        <v>612</v>
      </c>
      <c r="B1876" s="8" t="s">
        <v>1236</v>
      </c>
      <c r="C1876" s="8" t="s">
        <v>24</v>
      </c>
      <c r="D1876" s="8" t="s">
        <v>6424</v>
      </c>
      <c r="E1876" s="8">
        <v>42.0</v>
      </c>
    </row>
    <row r="1877">
      <c r="A1877" s="8" t="s">
        <v>1563</v>
      </c>
      <c r="B1877" s="8" t="s">
        <v>3317</v>
      </c>
      <c r="C1877" s="8" t="s">
        <v>215</v>
      </c>
      <c r="D1877" s="8" t="s">
        <v>6421</v>
      </c>
      <c r="E1877" s="8">
        <v>73.0</v>
      </c>
    </row>
    <row r="1878">
      <c r="A1878" s="8" t="s">
        <v>1563</v>
      </c>
      <c r="B1878" s="8" t="s">
        <v>1562</v>
      </c>
      <c r="C1878" s="8" t="s">
        <v>261</v>
      </c>
      <c r="D1878" s="8" t="s">
        <v>6435</v>
      </c>
      <c r="E1878" s="8">
        <v>69.0</v>
      </c>
    </row>
    <row r="1879">
      <c r="A1879" s="8" t="s">
        <v>1563</v>
      </c>
      <c r="B1879" s="8" t="s">
        <v>1967</v>
      </c>
      <c r="C1879" s="8" t="s">
        <v>24</v>
      </c>
      <c r="D1879" s="8" t="s">
        <v>6419</v>
      </c>
      <c r="E1879" s="8">
        <v>64.0</v>
      </c>
    </row>
    <row r="1880">
      <c r="A1880" s="8" t="s">
        <v>1452</v>
      </c>
      <c r="B1880" s="8" t="s">
        <v>1451</v>
      </c>
      <c r="C1880" s="8" t="s">
        <v>24</v>
      </c>
      <c r="D1880" s="8" t="s">
        <v>6442</v>
      </c>
      <c r="E1880" s="8">
        <v>67.0</v>
      </c>
    </row>
    <row r="1881">
      <c r="A1881" s="8" t="s">
        <v>421</v>
      </c>
      <c r="B1881" s="8" t="s">
        <v>755</v>
      </c>
      <c r="C1881" s="8" t="s">
        <v>65</v>
      </c>
      <c r="D1881" s="8" t="s">
        <v>6434</v>
      </c>
      <c r="E1881" s="8">
        <v>64.0</v>
      </c>
    </row>
    <row r="1882">
      <c r="A1882" s="8" t="s">
        <v>421</v>
      </c>
      <c r="B1882" s="8" t="s">
        <v>1149</v>
      </c>
      <c r="C1882" s="8" t="s">
        <v>38</v>
      </c>
      <c r="D1882" s="8" t="s">
        <v>6412</v>
      </c>
      <c r="E1882" s="8">
        <v>74.0</v>
      </c>
    </row>
    <row r="1883">
      <c r="A1883" s="8" t="s">
        <v>421</v>
      </c>
      <c r="B1883" s="8" t="s">
        <v>1391</v>
      </c>
      <c r="C1883" s="8" t="s">
        <v>186</v>
      </c>
      <c r="D1883" s="8" t="s">
        <v>6426</v>
      </c>
      <c r="E1883" s="8">
        <v>61.0</v>
      </c>
    </row>
    <row r="1884">
      <c r="A1884" s="8" t="s">
        <v>421</v>
      </c>
      <c r="B1884" s="8" t="s">
        <v>420</v>
      </c>
      <c r="C1884" s="8" t="s">
        <v>46</v>
      </c>
      <c r="D1884" s="8" t="s">
        <v>6429</v>
      </c>
      <c r="E1884" s="8">
        <v>71.0</v>
      </c>
    </row>
    <row r="1885">
      <c r="A1885" s="8" t="s">
        <v>2923</v>
      </c>
      <c r="B1885" s="8" t="s">
        <v>164</v>
      </c>
      <c r="C1885" s="8" t="s">
        <v>65</v>
      </c>
      <c r="D1885" s="8" t="s">
        <v>6423</v>
      </c>
      <c r="E1885" s="8">
        <v>82.0</v>
      </c>
    </row>
    <row r="1886">
      <c r="A1886" s="8" t="s">
        <v>936</v>
      </c>
      <c r="B1886" s="8" t="s">
        <v>3286</v>
      </c>
      <c r="C1886" s="8" t="s">
        <v>24</v>
      </c>
      <c r="D1886" s="8" t="s">
        <v>6436</v>
      </c>
      <c r="E1886" s="8">
        <v>98.0</v>
      </c>
    </row>
    <row r="1887">
      <c r="A1887" s="8" t="s">
        <v>936</v>
      </c>
      <c r="B1887" s="8" t="s">
        <v>935</v>
      </c>
      <c r="C1887" s="8" t="s">
        <v>149</v>
      </c>
      <c r="D1887" s="8" t="s">
        <v>6414</v>
      </c>
      <c r="E1887" s="8">
        <v>77.0</v>
      </c>
    </row>
    <row r="1888">
      <c r="A1888" s="8" t="s">
        <v>936</v>
      </c>
      <c r="B1888" s="8" t="s">
        <v>3376</v>
      </c>
      <c r="C1888" s="8" t="s">
        <v>59</v>
      </c>
      <c r="D1888" s="8" t="s">
        <v>6436</v>
      </c>
      <c r="E1888" s="8">
        <v>78.0</v>
      </c>
    </row>
    <row r="1889">
      <c r="A1889" s="8" t="s">
        <v>72</v>
      </c>
      <c r="B1889" s="8" t="s">
        <v>71</v>
      </c>
      <c r="C1889" s="8" t="s">
        <v>12</v>
      </c>
      <c r="D1889" s="8" t="s">
        <v>6422</v>
      </c>
      <c r="E1889" s="8">
        <v>76.0</v>
      </c>
    </row>
    <row r="1890">
      <c r="A1890" s="8" t="s">
        <v>1075</v>
      </c>
      <c r="B1890" s="8" t="s">
        <v>636</v>
      </c>
      <c r="C1890" s="8" t="s">
        <v>65</v>
      </c>
      <c r="D1890" s="8" t="s">
        <v>6440</v>
      </c>
      <c r="E1890" s="8">
        <v>74.0</v>
      </c>
    </row>
    <row r="1891">
      <c r="A1891" s="8" t="s">
        <v>3466</v>
      </c>
      <c r="B1891" s="8" t="s">
        <v>3465</v>
      </c>
      <c r="C1891" s="8" t="s">
        <v>80</v>
      </c>
      <c r="D1891" s="8" t="s">
        <v>6418</v>
      </c>
      <c r="E1891" s="8">
        <v>67.0</v>
      </c>
    </row>
    <row r="1892">
      <c r="A1892" s="8" t="s">
        <v>337</v>
      </c>
      <c r="B1892" s="8" t="s">
        <v>3103</v>
      </c>
      <c r="C1892" s="8" t="s">
        <v>70</v>
      </c>
      <c r="D1892" s="8" t="s">
        <v>6428</v>
      </c>
      <c r="E1892" s="8">
        <v>76.0</v>
      </c>
    </row>
    <row r="1893">
      <c r="A1893" s="8" t="s">
        <v>337</v>
      </c>
      <c r="B1893" s="8" t="s">
        <v>62</v>
      </c>
      <c r="C1893" s="8" t="s">
        <v>122</v>
      </c>
      <c r="D1893" s="8" t="s">
        <v>6425</v>
      </c>
      <c r="E1893" s="8">
        <v>63.0</v>
      </c>
    </row>
    <row r="1894">
      <c r="A1894" s="8" t="s">
        <v>337</v>
      </c>
      <c r="B1894" s="8" t="s">
        <v>2873</v>
      </c>
      <c r="C1894" s="8" t="s">
        <v>70</v>
      </c>
      <c r="D1894" s="8" t="s">
        <v>6416</v>
      </c>
      <c r="E1894" s="8">
        <v>78.0</v>
      </c>
    </row>
    <row r="1895">
      <c r="A1895" s="8" t="s">
        <v>337</v>
      </c>
      <c r="B1895" s="8" t="s">
        <v>336</v>
      </c>
      <c r="C1895" s="8" t="s">
        <v>93</v>
      </c>
      <c r="D1895" s="8" t="s">
        <v>6431</v>
      </c>
      <c r="E1895" s="8">
        <v>80.0</v>
      </c>
    </row>
    <row r="1896">
      <c r="A1896" s="8" t="s">
        <v>337</v>
      </c>
      <c r="B1896" s="8" t="s">
        <v>3373</v>
      </c>
      <c r="C1896" s="8" t="s">
        <v>46</v>
      </c>
      <c r="D1896" s="8" t="s">
        <v>6433</v>
      </c>
      <c r="E1896" s="8">
        <v>61.0</v>
      </c>
    </row>
    <row r="1897">
      <c r="A1897" s="8" t="s">
        <v>337</v>
      </c>
      <c r="B1897" s="8" t="s">
        <v>2668</v>
      </c>
      <c r="C1897" s="8" t="s">
        <v>215</v>
      </c>
      <c r="D1897" s="8" t="s">
        <v>6426</v>
      </c>
      <c r="E1897" s="8">
        <v>80.0</v>
      </c>
    </row>
    <row r="1898">
      <c r="A1898" s="8" t="s">
        <v>337</v>
      </c>
      <c r="B1898" s="8" t="s">
        <v>3331</v>
      </c>
      <c r="C1898" s="8" t="s">
        <v>149</v>
      </c>
      <c r="D1898" s="8" t="s">
        <v>6421</v>
      </c>
      <c r="E1898" s="8">
        <v>63.0</v>
      </c>
    </row>
    <row r="1899">
      <c r="A1899" s="8" t="s">
        <v>337</v>
      </c>
      <c r="B1899" s="8" t="s">
        <v>1922</v>
      </c>
      <c r="C1899" s="8" t="s">
        <v>138</v>
      </c>
      <c r="D1899" s="8" t="s">
        <v>6419</v>
      </c>
      <c r="E1899" s="8">
        <v>76.0</v>
      </c>
    </row>
    <row r="1900">
      <c r="A1900" s="8" t="s">
        <v>337</v>
      </c>
      <c r="B1900" s="8" t="s">
        <v>293</v>
      </c>
      <c r="C1900" s="8" t="s">
        <v>93</v>
      </c>
      <c r="D1900" s="8" t="s">
        <v>6426</v>
      </c>
      <c r="E1900" s="8">
        <v>69.0</v>
      </c>
    </row>
    <row r="1901">
      <c r="A1901" s="8" t="s">
        <v>337</v>
      </c>
      <c r="B1901" s="8" t="s">
        <v>2962</v>
      </c>
      <c r="C1901" s="8" t="s">
        <v>93</v>
      </c>
      <c r="D1901" s="8" t="s">
        <v>6434</v>
      </c>
      <c r="E1901" s="8">
        <v>69.0</v>
      </c>
    </row>
    <row r="1902">
      <c r="A1902" s="8" t="s">
        <v>337</v>
      </c>
      <c r="B1902" s="8" t="s">
        <v>594</v>
      </c>
      <c r="C1902" s="8" t="s">
        <v>59</v>
      </c>
      <c r="D1902" s="8" t="s">
        <v>6414</v>
      </c>
      <c r="E1902" s="8">
        <v>81.0</v>
      </c>
    </row>
    <row r="1903">
      <c r="A1903" s="8" t="s">
        <v>337</v>
      </c>
      <c r="B1903" s="8" t="s">
        <v>2055</v>
      </c>
      <c r="C1903" s="8" t="s">
        <v>192</v>
      </c>
      <c r="D1903" s="8" t="s">
        <v>6442</v>
      </c>
      <c r="E1903" s="8">
        <v>72.0</v>
      </c>
    </row>
    <row r="1904">
      <c r="A1904" s="8" t="s">
        <v>337</v>
      </c>
      <c r="B1904" s="8" t="s">
        <v>325</v>
      </c>
      <c r="C1904" s="8" t="s">
        <v>80</v>
      </c>
      <c r="D1904" s="8" t="s">
        <v>6439</v>
      </c>
      <c r="E1904" s="8">
        <v>70.0</v>
      </c>
    </row>
    <row r="1905">
      <c r="A1905" s="8" t="s">
        <v>337</v>
      </c>
      <c r="B1905" s="8" t="s">
        <v>61</v>
      </c>
      <c r="C1905" s="8" t="s">
        <v>65</v>
      </c>
      <c r="D1905" s="8" t="s">
        <v>6416</v>
      </c>
      <c r="E1905" s="8">
        <v>65.0</v>
      </c>
    </row>
    <row r="1906">
      <c r="A1906" s="8" t="s">
        <v>337</v>
      </c>
      <c r="B1906" s="8" t="s">
        <v>233</v>
      </c>
      <c r="C1906" s="8" t="s">
        <v>65</v>
      </c>
      <c r="D1906" s="8" t="s">
        <v>6414</v>
      </c>
      <c r="E1906" s="8">
        <v>78.0</v>
      </c>
    </row>
    <row r="1907">
      <c r="A1907" s="8" t="s">
        <v>2647</v>
      </c>
      <c r="B1907" s="8" t="s">
        <v>2646</v>
      </c>
      <c r="C1907" s="8" t="s">
        <v>12</v>
      </c>
      <c r="D1907" s="8" t="s">
        <v>6426</v>
      </c>
      <c r="E1907" s="8">
        <v>73.0</v>
      </c>
    </row>
    <row r="1908">
      <c r="A1908" s="8" t="s">
        <v>306</v>
      </c>
      <c r="B1908" s="8" t="s">
        <v>197</v>
      </c>
      <c r="C1908" s="8" t="s">
        <v>93</v>
      </c>
      <c r="D1908" s="8" t="s">
        <v>6435</v>
      </c>
      <c r="E1908" s="8">
        <v>61.0</v>
      </c>
    </row>
    <row r="1909">
      <c r="A1909" s="8" t="s">
        <v>1033</v>
      </c>
      <c r="B1909" s="8" t="s">
        <v>99</v>
      </c>
      <c r="C1909" s="8" t="s">
        <v>70</v>
      </c>
      <c r="D1909" s="8" t="s">
        <v>6442</v>
      </c>
      <c r="E1909" s="8">
        <v>63.0</v>
      </c>
    </row>
    <row r="1910">
      <c r="A1910" s="8" t="s">
        <v>1033</v>
      </c>
      <c r="B1910" s="8" t="s">
        <v>3077</v>
      </c>
      <c r="C1910" s="8" t="s">
        <v>65</v>
      </c>
      <c r="D1910" s="8" t="s">
        <v>6430</v>
      </c>
      <c r="E1910" s="8">
        <v>71.0</v>
      </c>
    </row>
    <row r="1911">
      <c r="A1911" s="8" t="s">
        <v>1033</v>
      </c>
      <c r="B1911" s="8" t="s">
        <v>389</v>
      </c>
      <c r="C1911" s="8" t="s">
        <v>46</v>
      </c>
      <c r="D1911" s="8" t="s">
        <v>6443</v>
      </c>
      <c r="E1911" s="8">
        <v>70.0</v>
      </c>
    </row>
    <row r="1912">
      <c r="A1912" s="8" t="s">
        <v>310</v>
      </c>
      <c r="B1912" s="8" t="s">
        <v>3029</v>
      </c>
      <c r="C1912" s="8" t="s">
        <v>75</v>
      </c>
      <c r="D1912" s="8" t="s">
        <v>6414</v>
      </c>
      <c r="E1912" s="8">
        <v>79.0</v>
      </c>
    </row>
    <row r="1913">
      <c r="A1913" s="8" t="s">
        <v>383</v>
      </c>
      <c r="B1913" s="8" t="s">
        <v>835</v>
      </c>
      <c r="C1913" s="8" t="s">
        <v>65</v>
      </c>
      <c r="D1913" s="8" t="s">
        <v>6429</v>
      </c>
      <c r="E1913" s="8">
        <v>68.0</v>
      </c>
    </row>
    <row r="1914">
      <c r="A1914" s="8" t="s">
        <v>383</v>
      </c>
      <c r="B1914" s="8" t="s">
        <v>931</v>
      </c>
      <c r="C1914" s="8" t="s">
        <v>215</v>
      </c>
      <c r="D1914" s="8" t="s">
        <v>6419</v>
      </c>
      <c r="E1914" s="8">
        <v>65.0</v>
      </c>
    </row>
    <row r="1915">
      <c r="A1915" s="8" t="s">
        <v>383</v>
      </c>
      <c r="B1915" s="8" t="s">
        <v>382</v>
      </c>
      <c r="C1915" s="8" t="s">
        <v>141</v>
      </c>
      <c r="D1915" s="8" t="s">
        <v>6438</v>
      </c>
      <c r="E1915" s="8">
        <v>90.0</v>
      </c>
    </row>
    <row r="1916">
      <c r="A1916" s="8" t="s">
        <v>383</v>
      </c>
      <c r="B1916" s="8" t="s">
        <v>2942</v>
      </c>
      <c r="C1916" s="8" t="s">
        <v>80</v>
      </c>
      <c r="D1916" s="8" t="s">
        <v>6424</v>
      </c>
      <c r="E1916" s="8">
        <v>80.0</v>
      </c>
    </row>
    <row r="1917">
      <c r="A1917" s="8" t="s">
        <v>2903</v>
      </c>
      <c r="B1917" s="8" t="s">
        <v>2902</v>
      </c>
      <c r="C1917" s="8" t="s">
        <v>65</v>
      </c>
      <c r="D1917" s="8" t="s">
        <v>6425</v>
      </c>
      <c r="E1917" s="8">
        <v>67.0</v>
      </c>
    </row>
    <row r="1918">
      <c r="A1918" s="8" t="s">
        <v>1929</v>
      </c>
      <c r="B1918" s="8" t="s">
        <v>1928</v>
      </c>
      <c r="C1918" s="8" t="s">
        <v>138</v>
      </c>
      <c r="D1918" s="8" t="s">
        <v>6425</v>
      </c>
      <c r="E1918" s="8">
        <v>70.0</v>
      </c>
    </row>
    <row r="1919">
      <c r="A1919" s="8" t="s">
        <v>394</v>
      </c>
      <c r="B1919" s="8" t="s">
        <v>224</v>
      </c>
      <c r="C1919" s="8" t="s">
        <v>93</v>
      </c>
      <c r="D1919" s="8" t="s">
        <v>6424</v>
      </c>
      <c r="E1919" s="8">
        <v>70.0</v>
      </c>
    </row>
    <row r="1920">
      <c r="A1920" s="8" t="s">
        <v>394</v>
      </c>
      <c r="B1920" s="8" t="s">
        <v>1276</v>
      </c>
      <c r="C1920" s="8" t="s">
        <v>80</v>
      </c>
      <c r="D1920" s="8" t="s">
        <v>6437</v>
      </c>
      <c r="E1920" s="8">
        <v>85.0</v>
      </c>
    </row>
    <row r="1921">
      <c r="A1921" s="8" t="s">
        <v>1091</v>
      </c>
      <c r="B1921" s="8" t="s">
        <v>2220</v>
      </c>
      <c r="C1921" s="8" t="s">
        <v>53</v>
      </c>
      <c r="D1921" s="8" t="s">
        <v>6433</v>
      </c>
      <c r="E1921" s="8">
        <v>62.0</v>
      </c>
    </row>
    <row r="1922">
      <c r="A1922" s="8" t="s">
        <v>1091</v>
      </c>
      <c r="B1922" s="8" t="s">
        <v>2920</v>
      </c>
      <c r="C1922" s="8" t="s">
        <v>80</v>
      </c>
      <c r="D1922" s="8" t="s">
        <v>6440</v>
      </c>
      <c r="E1922" s="8">
        <v>63.0</v>
      </c>
    </row>
    <row r="1923">
      <c r="A1923" s="8" t="s">
        <v>1091</v>
      </c>
      <c r="B1923" s="8" t="s">
        <v>1421</v>
      </c>
      <c r="C1923" s="8" t="s">
        <v>93</v>
      </c>
      <c r="D1923" s="8" t="s">
        <v>6430</v>
      </c>
      <c r="E1923" s="8">
        <v>79.0</v>
      </c>
    </row>
    <row r="1924">
      <c r="A1924" s="8" t="s">
        <v>1091</v>
      </c>
      <c r="B1924" s="8" t="s">
        <v>393</v>
      </c>
      <c r="C1924" s="8" t="s">
        <v>132</v>
      </c>
      <c r="D1924" s="8" t="s">
        <v>6412</v>
      </c>
      <c r="E1924" s="8">
        <v>83.0</v>
      </c>
    </row>
    <row r="1925">
      <c r="A1925" s="8" t="s">
        <v>1091</v>
      </c>
      <c r="B1925" s="8" t="s">
        <v>194</v>
      </c>
      <c r="C1925" s="8" t="s">
        <v>141</v>
      </c>
      <c r="D1925" s="8" t="s">
        <v>6416</v>
      </c>
      <c r="E1925" s="8">
        <v>62.0</v>
      </c>
    </row>
    <row r="1926">
      <c r="A1926" s="8" t="s">
        <v>1091</v>
      </c>
      <c r="B1926" s="8" t="s">
        <v>2688</v>
      </c>
      <c r="C1926" s="8" t="s">
        <v>138</v>
      </c>
      <c r="D1926" s="8" t="s">
        <v>6422</v>
      </c>
      <c r="E1926" s="8">
        <v>67.0</v>
      </c>
    </row>
    <row r="1927">
      <c r="A1927" s="8" t="s">
        <v>1624</v>
      </c>
      <c r="B1927" s="8" t="s">
        <v>548</v>
      </c>
      <c r="C1927" s="8" t="s">
        <v>46</v>
      </c>
      <c r="D1927" s="8" t="s">
        <v>6435</v>
      </c>
      <c r="E1927" s="8">
        <v>80.0</v>
      </c>
    </row>
    <row r="1928">
      <c r="A1928" s="8" t="s">
        <v>2948</v>
      </c>
      <c r="B1928" s="8" t="s">
        <v>1219</v>
      </c>
      <c r="C1928" s="8" t="s">
        <v>80</v>
      </c>
      <c r="D1928" s="8" t="s">
        <v>6440</v>
      </c>
      <c r="E1928" s="8">
        <v>72.0</v>
      </c>
    </row>
    <row r="1929">
      <c r="A1929" s="8" t="s">
        <v>992</v>
      </c>
      <c r="B1929" s="8" t="s">
        <v>991</v>
      </c>
      <c r="C1929" s="8" t="s">
        <v>261</v>
      </c>
      <c r="D1929" s="8" t="s">
        <v>6439</v>
      </c>
      <c r="E1929" s="8">
        <v>80.0</v>
      </c>
    </row>
    <row r="1930">
      <c r="A1930" s="8" t="s">
        <v>597</v>
      </c>
      <c r="B1930" s="8" t="s">
        <v>472</v>
      </c>
      <c r="C1930" s="8" t="s">
        <v>24</v>
      </c>
      <c r="D1930" s="8" t="s">
        <v>6437</v>
      </c>
      <c r="E1930" s="8">
        <v>58.0</v>
      </c>
    </row>
    <row r="1931">
      <c r="A1931" s="8" t="s">
        <v>597</v>
      </c>
      <c r="B1931" s="8" t="s">
        <v>661</v>
      </c>
      <c r="C1931" s="8" t="s">
        <v>93</v>
      </c>
      <c r="D1931" s="8" t="s">
        <v>6439</v>
      </c>
      <c r="E1931" s="8">
        <v>80.0</v>
      </c>
    </row>
    <row r="1932">
      <c r="A1932" s="8" t="s">
        <v>1300</v>
      </c>
      <c r="B1932" s="8" t="s">
        <v>1299</v>
      </c>
      <c r="C1932" s="8" t="s">
        <v>53</v>
      </c>
      <c r="D1932" s="8" t="s">
        <v>6427</v>
      </c>
      <c r="E1932" s="8">
        <v>60.0</v>
      </c>
    </row>
    <row r="1933">
      <c r="A1933" s="8" t="s">
        <v>1793</v>
      </c>
      <c r="B1933" s="8" t="s">
        <v>683</v>
      </c>
      <c r="C1933" s="8" t="s">
        <v>192</v>
      </c>
      <c r="D1933" s="8" t="s">
        <v>6419</v>
      </c>
      <c r="E1933" s="8">
        <v>67.0</v>
      </c>
    </row>
    <row r="1934">
      <c r="A1934" s="8" t="s">
        <v>3409</v>
      </c>
      <c r="B1934" s="8" t="s">
        <v>3408</v>
      </c>
      <c r="C1934" s="8" t="s">
        <v>65</v>
      </c>
      <c r="D1934" s="8" t="s">
        <v>6427</v>
      </c>
      <c r="E1934" s="8">
        <v>71.0</v>
      </c>
    </row>
    <row r="1935">
      <c r="A1935" s="8" t="s">
        <v>409</v>
      </c>
      <c r="B1935" s="8" t="s">
        <v>408</v>
      </c>
      <c r="C1935" s="8" t="s">
        <v>46</v>
      </c>
      <c r="D1935" s="8" t="s">
        <v>6432</v>
      </c>
      <c r="E1935" s="8">
        <v>73.0</v>
      </c>
    </row>
    <row r="1936">
      <c r="A1936" s="8" t="s">
        <v>409</v>
      </c>
      <c r="B1936" s="8" t="s">
        <v>852</v>
      </c>
      <c r="C1936" s="8" t="s">
        <v>141</v>
      </c>
      <c r="D1936" s="8" t="s">
        <v>6417</v>
      </c>
      <c r="E1936" s="8">
        <v>78.0</v>
      </c>
    </row>
    <row r="1937">
      <c r="A1937" s="8" t="s">
        <v>409</v>
      </c>
      <c r="B1937" s="8" t="s">
        <v>796</v>
      </c>
      <c r="C1937" s="8" t="s">
        <v>65</v>
      </c>
      <c r="D1937" s="8" t="s">
        <v>6441</v>
      </c>
      <c r="E1937" s="8">
        <v>71.0</v>
      </c>
    </row>
    <row r="1938">
      <c r="A1938" s="8" t="s">
        <v>409</v>
      </c>
      <c r="B1938" s="8" t="s">
        <v>451</v>
      </c>
      <c r="C1938" s="8" t="s">
        <v>16</v>
      </c>
      <c r="D1938" s="8" t="s">
        <v>6433</v>
      </c>
      <c r="E1938" s="8">
        <v>90.0</v>
      </c>
    </row>
    <row r="1939">
      <c r="A1939" s="8" t="s">
        <v>67</v>
      </c>
      <c r="B1939" s="8" t="s">
        <v>3345</v>
      </c>
      <c r="C1939" s="8" t="s">
        <v>70</v>
      </c>
      <c r="D1939" s="8" t="s">
        <v>6424</v>
      </c>
      <c r="E1939" s="8">
        <v>82.0</v>
      </c>
    </row>
    <row r="1940">
      <c r="A1940" s="8" t="s">
        <v>67</v>
      </c>
      <c r="B1940" s="8" t="s">
        <v>1309</v>
      </c>
      <c r="C1940" s="8" t="s">
        <v>186</v>
      </c>
      <c r="D1940" s="8" t="s">
        <v>6439</v>
      </c>
      <c r="E1940" s="8">
        <v>81.0</v>
      </c>
    </row>
    <row r="1941">
      <c r="A1941" s="8" t="s">
        <v>67</v>
      </c>
      <c r="B1941" s="8" t="s">
        <v>409</v>
      </c>
      <c r="C1941" s="8" t="s">
        <v>215</v>
      </c>
      <c r="D1941" s="8" t="s">
        <v>6426</v>
      </c>
      <c r="E1941" s="8">
        <v>65.0</v>
      </c>
    </row>
    <row r="1942">
      <c r="A1942" s="8" t="s">
        <v>67</v>
      </c>
      <c r="B1942" s="8" t="s">
        <v>3343</v>
      </c>
      <c r="C1942" s="8" t="s">
        <v>16</v>
      </c>
      <c r="D1942" s="8" t="s">
        <v>6435</v>
      </c>
      <c r="E1942" s="8">
        <v>66.0</v>
      </c>
    </row>
    <row r="1943">
      <c r="A1943" s="8" t="s">
        <v>67</v>
      </c>
      <c r="B1943" s="8" t="s">
        <v>926</v>
      </c>
      <c r="C1943" s="8" t="s">
        <v>122</v>
      </c>
      <c r="D1943" s="8" t="s">
        <v>6417</v>
      </c>
      <c r="E1943" s="8">
        <v>68.0</v>
      </c>
    </row>
    <row r="1944">
      <c r="A1944" s="8" t="s">
        <v>67</v>
      </c>
      <c r="B1944" s="8" t="s">
        <v>700</v>
      </c>
      <c r="C1944" s="8" t="s">
        <v>65</v>
      </c>
      <c r="D1944" s="8" t="s">
        <v>6416</v>
      </c>
      <c r="E1944" s="8">
        <v>67.0</v>
      </c>
    </row>
    <row r="1945">
      <c r="A1945" s="8" t="s">
        <v>67</v>
      </c>
      <c r="B1945" s="8" t="s">
        <v>3224</v>
      </c>
      <c r="C1945" s="8" t="s">
        <v>215</v>
      </c>
      <c r="D1945" s="8" t="s">
        <v>6441</v>
      </c>
      <c r="E1945" s="8">
        <v>67.0</v>
      </c>
    </row>
    <row r="1946">
      <c r="A1946" s="8" t="s">
        <v>67</v>
      </c>
      <c r="B1946" s="8" t="s">
        <v>3342</v>
      </c>
      <c r="C1946" s="8" t="s">
        <v>24</v>
      </c>
      <c r="D1946" s="8" t="s">
        <v>6435</v>
      </c>
      <c r="E1946" s="8">
        <v>62.0</v>
      </c>
    </row>
    <row r="1947">
      <c r="A1947" s="8" t="s">
        <v>67</v>
      </c>
      <c r="B1947" s="8" t="s">
        <v>392</v>
      </c>
      <c r="C1947" s="8" t="s">
        <v>141</v>
      </c>
      <c r="D1947" s="8" t="s">
        <v>6441</v>
      </c>
      <c r="E1947" s="8">
        <v>81.0</v>
      </c>
    </row>
    <row r="1948">
      <c r="A1948" s="8" t="s">
        <v>67</v>
      </c>
      <c r="B1948" s="8" t="s">
        <v>704</v>
      </c>
      <c r="C1948" s="8" t="s">
        <v>75</v>
      </c>
      <c r="D1948" s="8" t="s">
        <v>6430</v>
      </c>
      <c r="E1948" s="8">
        <v>72.0</v>
      </c>
    </row>
    <row r="1949">
      <c r="A1949" s="8" t="s">
        <v>67</v>
      </c>
      <c r="B1949" s="8" t="s">
        <v>99</v>
      </c>
      <c r="C1949" s="8" t="s">
        <v>80</v>
      </c>
      <c r="D1949" s="8" t="s">
        <v>6426</v>
      </c>
      <c r="E1949" s="8">
        <v>62.0</v>
      </c>
    </row>
    <row r="1950">
      <c r="A1950" s="8" t="s">
        <v>67</v>
      </c>
      <c r="B1950" s="8" t="s">
        <v>1583</v>
      </c>
      <c r="C1950" s="8" t="s">
        <v>149</v>
      </c>
      <c r="D1950" s="8" t="s">
        <v>6418</v>
      </c>
      <c r="E1950" s="8">
        <v>78.0</v>
      </c>
    </row>
    <row r="1951">
      <c r="A1951" s="8" t="s">
        <v>67</v>
      </c>
      <c r="B1951" s="8" t="s">
        <v>636</v>
      </c>
      <c r="C1951" s="8" t="s">
        <v>53</v>
      </c>
      <c r="D1951" s="8" t="s">
        <v>6416</v>
      </c>
      <c r="E1951" s="8">
        <v>73.0</v>
      </c>
    </row>
    <row r="1952">
      <c r="A1952" s="8" t="s">
        <v>67</v>
      </c>
      <c r="B1952" s="8" t="s">
        <v>66</v>
      </c>
      <c r="C1952" s="8" t="s">
        <v>16</v>
      </c>
      <c r="D1952" s="8" t="s">
        <v>6426</v>
      </c>
      <c r="E1952" s="8">
        <v>69.0</v>
      </c>
    </row>
    <row r="1953">
      <c r="A1953" s="8" t="s">
        <v>67</v>
      </c>
      <c r="B1953" s="8" t="s">
        <v>561</v>
      </c>
      <c r="C1953" s="8" t="s">
        <v>141</v>
      </c>
      <c r="D1953" s="8" t="s">
        <v>6428</v>
      </c>
      <c r="E1953" s="8">
        <v>79.0</v>
      </c>
    </row>
    <row r="1954">
      <c r="A1954" s="8" t="s">
        <v>67</v>
      </c>
      <c r="B1954" s="8" t="s">
        <v>61</v>
      </c>
      <c r="C1954" s="8" t="s">
        <v>215</v>
      </c>
      <c r="D1954" s="8" t="s">
        <v>6430</v>
      </c>
      <c r="E1954" s="8">
        <v>71.0</v>
      </c>
    </row>
    <row r="1955">
      <c r="A1955" s="8" t="s">
        <v>67</v>
      </c>
      <c r="B1955" s="8" t="s">
        <v>5842</v>
      </c>
      <c r="C1955" s="8" t="s">
        <v>24</v>
      </c>
      <c r="D1955" s="8" t="s">
        <v>6438</v>
      </c>
      <c r="E1955" s="8">
        <v>67.0</v>
      </c>
    </row>
    <row r="1956">
      <c r="A1956" s="8" t="s">
        <v>67</v>
      </c>
      <c r="B1956" s="8" t="s">
        <v>522</v>
      </c>
      <c r="C1956" s="8" t="s">
        <v>16</v>
      </c>
      <c r="D1956" s="8" t="s">
        <v>6426</v>
      </c>
      <c r="E1956" s="8">
        <v>61.0</v>
      </c>
    </row>
    <row r="1957">
      <c r="A1957" s="8" t="s">
        <v>67</v>
      </c>
      <c r="B1957" s="8" t="s">
        <v>106</v>
      </c>
      <c r="C1957" s="8" t="s">
        <v>138</v>
      </c>
      <c r="D1957" s="8" t="s">
        <v>6417</v>
      </c>
      <c r="E1957" s="8">
        <v>59.0</v>
      </c>
    </row>
    <row r="1958">
      <c r="A1958" s="8" t="s">
        <v>67</v>
      </c>
      <c r="B1958" s="8" t="s">
        <v>766</v>
      </c>
      <c r="C1958" s="8" t="s">
        <v>192</v>
      </c>
      <c r="D1958" s="8" t="s">
        <v>6425</v>
      </c>
      <c r="E1958" s="8">
        <v>67.0</v>
      </c>
    </row>
    <row r="1959">
      <c r="A1959" s="8" t="s">
        <v>67</v>
      </c>
      <c r="B1959" s="8" t="s">
        <v>3035</v>
      </c>
      <c r="C1959" s="8" t="s">
        <v>149</v>
      </c>
      <c r="D1959" s="8" t="s">
        <v>6431</v>
      </c>
      <c r="E1959" s="8">
        <v>87.0</v>
      </c>
    </row>
    <row r="1960">
      <c r="A1960" s="8" t="s">
        <v>67</v>
      </c>
      <c r="B1960" s="8" t="s">
        <v>291</v>
      </c>
      <c r="C1960" s="8" t="s">
        <v>53</v>
      </c>
      <c r="D1960" s="8" t="s">
        <v>6416</v>
      </c>
      <c r="E1960" s="8">
        <v>86.0</v>
      </c>
    </row>
    <row r="1961">
      <c r="A1961" s="8" t="s">
        <v>67</v>
      </c>
      <c r="B1961" s="8" t="s">
        <v>1987</v>
      </c>
      <c r="C1961" s="8" t="s">
        <v>65</v>
      </c>
      <c r="D1961" s="8" t="s">
        <v>6442</v>
      </c>
      <c r="E1961" s="8">
        <v>74.0</v>
      </c>
    </row>
    <row r="1962">
      <c r="A1962" s="8" t="s">
        <v>67</v>
      </c>
      <c r="B1962" s="8" t="s">
        <v>522</v>
      </c>
      <c r="C1962" s="8" t="s">
        <v>24</v>
      </c>
      <c r="D1962" s="8" t="s">
        <v>6434</v>
      </c>
      <c r="E1962" s="8">
        <v>72.0</v>
      </c>
    </row>
    <row r="1963">
      <c r="A1963" s="8" t="s">
        <v>67</v>
      </c>
      <c r="B1963" s="8" t="s">
        <v>725</v>
      </c>
      <c r="C1963" s="8" t="s">
        <v>141</v>
      </c>
      <c r="D1963" s="8" t="s">
        <v>6435</v>
      </c>
      <c r="E1963" s="8">
        <v>71.0</v>
      </c>
    </row>
    <row r="1964">
      <c r="A1964" s="8" t="s">
        <v>67</v>
      </c>
      <c r="B1964" s="8" t="s">
        <v>3441</v>
      </c>
      <c r="C1964" s="8" t="s">
        <v>65</v>
      </c>
      <c r="D1964" s="8" t="s">
        <v>6420</v>
      </c>
      <c r="E1964" s="8">
        <v>61.0</v>
      </c>
    </row>
    <row r="1965">
      <c r="A1965" s="8" t="s">
        <v>67</v>
      </c>
      <c r="B1965" s="8" t="s">
        <v>1196</v>
      </c>
      <c r="C1965" s="8" t="s">
        <v>261</v>
      </c>
      <c r="D1965" s="8" t="s">
        <v>6417</v>
      </c>
      <c r="E1965" s="8">
        <v>78.0</v>
      </c>
    </row>
    <row r="1966">
      <c r="A1966" s="8" t="s">
        <v>67</v>
      </c>
      <c r="B1966" s="8" t="s">
        <v>326</v>
      </c>
      <c r="C1966" s="8" t="s">
        <v>16</v>
      </c>
      <c r="D1966" s="8" t="s">
        <v>6415</v>
      </c>
      <c r="E1966" s="8">
        <v>83.0</v>
      </c>
    </row>
    <row r="1967">
      <c r="A1967" s="8" t="s">
        <v>67</v>
      </c>
      <c r="B1967" s="8" t="s">
        <v>3195</v>
      </c>
      <c r="C1967" s="8" t="s">
        <v>122</v>
      </c>
      <c r="D1967" s="8" t="s">
        <v>6432</v>
      </c>
      <c r="E1967" s="8">
        <v>68.0</v>
      </c>
    </row>
    <row r="1968">
      <c r="A1968" s="8" t="s">
        <v>67</v>
      </c>
      <c r="B1968" s="8" t="s">
        <v>3008</v>
      </c>
      <c r="C1968" s="8" t="s">
        <v>38</v>
      </c>
      <c r="D1968" s="8" t="s">
        <v>6429</v>
      </c>
      <c r="E1968" s="8">
        <v>76.0</v>
      </c>
    </row>
    <row r="1969">
      <c r="A1969" s="8" t="s">
        <v>67</v>
      </c>
      <c r="B1969" s="8" t="s">
        <v>460</v>
      </c>
      <c r="C1969" s="8" t="s">
        <v>38</v>
      </c>
      <c r="D1969" s="8" t="s">
        <v>6436</v>
      </c>
      <c r="E1969" s="8">
        <v>75.0</v>
      </c>
    </row>
    <row r="1970">
      <c r="A1970" s="8" t="s">
        <v>67</v>
      </c>
      <c r="B1970" s="8" t="s">
        <v>227</v>
      </c>
      <c r="C1970" s="8" t="s">
        <v>12</v>
      </c>
      <c r="D1970" s="8" t="s">
        <v>6423</v>
      </c>
      <c r="E1970" s="8">
        <v>82.0</v>
      </c>
    </row>
    <row r="1971">
      <c r="A1971" s="8" t="s">
        <v>3463</v>
      </c>
      <c r="B1971" s="8" t="s">
        <v>3462</v>
      </c>
      <c r="C1971" s="8" t="s">
        <v>53</v>
      </c>
      <c r="D1971" s="8" t="s">
        <v>6418</v>
      </c>
      <c r="E1971" s="8">
        <v>62.0</v>
      </c>
    </row>
    <row r="1972">
      <c r="A1972" s="8" t="s">
        <v>41</v>
      </c>
      <c r="B1972" s="8" t="s">
        <v>2698</v>
      </c>
      <c r="C1972" s="8" t="s">
        <v>16</v>
      </c>
      <c r="D1972" s="8" t="s">
        <v>6429</v>
      </c>
      <c r="E1972" s="8">
        <v>83.0</v>
      </c>
    </row>
    <row r="1973">
      <c r="A1973" s="8" t="s">
        <v>41</v>
      </c>
      <c r="B1973" s="8" t="s">
        <v>40</v>
      </c>
      <c r="C1973" s="8" t="s">
        <v>38</v>
      </c>
      <c r="D1973" s="8" t="s">
        <v>6435</v>
      </c>
      <c r="E1973" s="8">
        <v>84.0</v>
      </c>
    </row>
    <row r="1974">
      <c r="A1974" s="8" t="s">
        <v>41</v>
      </c>
      <c r="B1974" s="8" t="s">
        <v>2643</v>
      </c>
      <c r="C1974" s="8" t="s">
        <v>59</v>
      </c>
      <c r="D1974" s="8" t="s">
        <v>6427</v>
      </c>
      <c r="E1974" s="8">
        <v>74.0</v>
      </c>
    </row>
    <row r="1975">
      <c r="A1975" s="8" t="s">
        <v>41</v>
      </c>
      <c r="B1975" s="8" t="s">
        <v>3353</v>
      </c>
      <c r="C1975" s="8" t="s">
        <v>138</v>
      </c>
      <c r="D1975" s="8" t="s">
        <v>6429</v>
      </c>
      <c r="E1975" s="8">
        <v>63.0</v>
      </c>
    </row>
    <row r="1976">
      <c r="A1976" s="8" t="s">
        <v>41</v>
      </c>
      <c r="B1976" s="8" t="s">
        <v>1992</v>
      </c>
      <c r="C1976" s="8" t="s">
        <v>149</v>
      </c>
      <c r="D1976" s="8" t="s">
        <v>6432</v>
      </c>
      <c r="E1976" s="8">
        <v>66.0</v>
      </c>
    </row>
    <row r="1977">
      <c r="A1977" s="8" t="s">
        <v>41</v>
      </c>
      <c r="B1977" s="8" t="s">
        <v>396</v>
      </c>
      <c r="C1977" s="8" t="s">
        <v>38</v>
      </c>
      <c r="D1977" s="8" t="s">
        <v>6420</v>
      </c>
      <c r="E1977" s="8">
        <v>81.0</v>
      </c>
    </row>
    <row r="1978">
      <c r="A1978" s="8" t="s">
        <v>41</v>
      </c>
      <c r="B1978" s="8" t="s">
        <v>1675</v>
      </c>
      <c r="C1978" s="8" t="s">
        <v>149</v>
      </c>
      <c r="D1978" s="8" t="s">
        <v>6415</v>
      </c>
      <c r="E1978" s="8">
        <v>70.0</v>
      </c>
    </row>
    <row r="1979">
      <c r="A1979" s="8" t="s">
        <v>41</v>
      </c>
      <c r="B1979" s="8" t="s">
        <v>1301</v>
      </c>
      <c r="C1979" s="8" t="s">
        <v>261</v>
      </c>
      <c r="D1979" s="8" t="s">
        <v>6414</v>
      </c>
      <c r="E1979" s="8">
        <v>68.0</v>
      </c>
    </row>
    <row r="1980">
      <c r="A1980" s="8" t="s">
        <v>2216</v>
      </c>
      <c r="B1980" s="8" t="s">
        <v>2215</v>
      </c>
      <c r="C1980" s="8" t="s">
        <v>70</v>
      </c>
      <c r="D1980" s="8" t="s">
        <v>6416</v>
      </c>
      <c r="E1980" s="8">
        <v>72.0</v>
      </c>
    </row>
    <row r="1981">
      <c r="A1981" s="8" t="s">
        <v>2738</v>
      </c>
      <c r="B1981" s="8" t="s">
        <v>2737</v>
      </c>
      <c r="C1981" s="8" t="s">
        <v>65</v>
      </c>
      <c r="D1981" s="8" t="s">
        <v>6439</v>
      </c>
      <c r="E1981" s="8">
        <v>75.0</v>
      </c>
    </row>
    <row r="1982">
      <c r="A1982" s="8" t="s">
        <v>1334</v>
      </c>
      <c r="B1982" s="8" t="s">
        <v>1050</v>
      </c>
      <c r="C1982" s="8" t="s">
        <v>65</v>
      </c>
      <c r="D1982" s="8" t="s">
        <v>6430</v>
      </c>
      <c r="E1982" s="8">
        <v>86.0</v>
      </c>
    </row>
    <row r="1983">
      <c r="A1983" s="8" t="s">
        <v>1334</v>
      </c>
      <c r="B1983" s="8" t="s">
        <v>3037</v>
      </c>
      <c r="C1983" s="8" t="s">
        <v>93</v>
      </c>
      <c r="D1983" s="8" t="s">
        <v>6442</v>
      </c>
      <c r="E1983" s="8">
        <v>64.0</v>
      </c>
    </row>
    <row r="1984">
      <c r="A1984" s="8" t="s">
        <v>1771</v>
      </c>
      <c r="B1984" s="8" t="s">
        <v>1770</v>
      </c>
      <c r="C1984" s="8" t="s">
        <v>59</v>
      </c>
      <c r="D1984" s="8" t="s">
        <v>6414</v>
      </c>
      <c r="E1984" s="8">
        <v>67.0</v>
      </c>
    </row>
    <row r="1985">
      <c r="A1985" s="8" t="s">
        <v>3148</v>
      </c>
      <c r="B1985" s="8" t="s">
        <v>3147</v>
      </c>
      <c r="C1985" s="8" t="s">
        <v>186</v>
      </c>
      <c r="D1985" s="8" t="s">
        <v>6419</v>
      </c>
      <c r="E1985" s="8">
        <v>69.0</v>
      </c>
    </row>
    <row r="1986">
      <c r="A1986" s="8" t="s">
        <v>1031</v>
      </c>
      <c r="B1986" s="8" t="s">
        <v>3387</v>
      </c>
      <c r="C1986" s="8" t="s">
        <v>24</v>
      </c>
      <c r="D1986" s="8" t="s">
        <v>6439</v>
      </c>
      <c r="E1986" s="8">
        <v>65.0</v>
      </c>
    </row>
    <row r="1987">
      <c r="A1987" s="8" t="s">
        <v>1031</v>
      </c>
      <c r="B1987" s="8" t="s">
        <v>3477</v>
      </c>
      <c r="C1987" s="8" t="s">
        <v>16</v>
      </c>
      <c r="D1987" s="8" t="s">
        <v>6428</v>
      </c>
      <c r="E1987" s="8">
        <v>66.0</v>
      </c>
    </row>
    <row r="1988">
      <c r="A1988" s="8" t="s">
        <v>3432</v>
      </c>
      <c r="B1988" s="8" t="s">
        <v>3431</v>
      </c>
      <c r="C1988" s="8" t="s">
        <v>122</v>
      </c>
      <c r="D1988" s="8" t="s">
        <v>6426</v>
      </c>
      <c r="E1988" s="8">
        <v>70.0</v>
      </c>
    </row>
    <row r="1989">
      <c r="A1989" s="8" t="s">
        <v>162</v>
      </c>
      <c r="B1989" s="8" t="s">
        <v>1034</v>
      </c>
      <c r="C1989" s="8" t="s">
        <v>186</v>
      </c>
      <c r="D1989" s="8" t="s">
        <v>6428</v>
      </c>
      <c r="E1989" s="8">
        <v>73.0</v>
      </c>
    </row>
    <row r="1990">
      <c r="A1990" s="8" t="s">
        <v>162</v>
      </c>
      <c r="B1990" s="8" t="s">
        <v>42</v>
      </c>
      <c r="C1990" s="8" t="s">
        <v>59</v>
      </c>
      <c r="D1990" s="8" t="s">
        <v>6442</v>
      </c>
      <c r="E1990" s="8">
        <v>91.0</v>
      </c>
    </row>
    <row r="1991">
      <c r="A1991" s="8" t="s">
        <v>162</v>
      </c>
      <c r="B1991" s="8" t="s">
        <v>1826</v>
      </c>
      <c r="C1991" s="8" t="s">
        <v>75</v>
      </c>
      <c r="D1991" s="8" t="s">
        <v>6431</v>
      </c>
      <c r="E1991" s="8">
        <v>70.0</v>
      </c>
    </row>
    <row r="1992">
      <c r="A1992" s="8" t="s">
        <v>162</v>
      </c>
      <c r="B1992" s="8" t="s">
        <v>972</v>
      </c>
      <c r="C1992" s="8" t="s">
        <v>16</v>
      </c>
      <c r="D1992" s="8" t="s">
        <v>6414</v>
      </c>
      <c r="E1992" s="8">
        <v>61.0</v>
      </c>
    </row>
    <row r="1993">
      <c r="A1993" s="8" t="s">
        <v>162</v>
      </c>
      <c r="B1993" s="8" t="s">
        <v>61</v>
      </c>
      <c r="C1993" s="8" t="s">
        <v>192</v>
      </c>
      <c r="D1993" s="8" t="s">
        <v>6439</v>
      </c>
      <c r="E1993" s="8">
        <v>73.0</v>
      </c>
    </row>
    <row r="1994">
      <c r="A1994" s="8" t="s">
        <v>162</v>
      </c>
      <c r="B1994" s="8" t="s">
        <v>2939</v>
      </c>
      <c r="C1994" s="8" t="s">
        <v>24</v>
      </c>
      <c r="D1994" s="8" t="s">
        <v>6432</v>
      </c>
      <c r="E1994" s="8">
        <v>67.0</v>
      </c>
    </row>
    <row r="1995">
      <c r="A1995" s="8" t="s">
        <v>162</v>
      </c>
      <c r="B1995" s="8" t="s">
        <v>99</v>
      </c>
      <c r="C1995" s="8" t="s">
        <v>93</v>
      </c>
      <c r="D1995" s="8" t="s">
        <v>6438</v>
      </c>
      <c r="E1995" s="8">
        <v>86.0</v>
      </c>
    </row>
    <row r="1996">
      <c r="A1996" s="8" t="s">
        <v>3322</v>
      </c>
      <c r="B1996" s="8" t="s">
        <v>284</v>
      </c>
      <c r="C1996" s="8" t="s">
        <v>65</v>
      </c>
      <c r="D1996" s="8" t="s">
        <v>6437</v>
      </c>
      <c r="E1996" s="8">
        <v>61.0</v>
      </c>
    </row>
    <row r="1997">
      <c r="A1997" s="8" t="s">
        <v>938</v>
      </c>
      <c r="B1997" s="8" t="s">
        <v>937</v>
      </c>
      <c r="C1997" s="8" t="s">
        <v>149</v>
      </c>
      <c r="D1997" s="8" t="s">
        <v>6430</v>
      </c>
      <c r="E1997" s="8">
        <v>71.0</v>
      </c>
    </row>
    <row r="1998">
      <c r="A1998" s="8" t="s">
        <v>1858</v>
      </c>
      <c r="B1998" s="8" t="s">
        <v>2860</v>
      </c>
      <c r="C1998" s="8" t="s">
        <v>12</v>
      </c>
      <c r="D1998" s="8" t="s">
        <v>6438</v>
      </c>
      <c r="E1998" s="8">
        <v>80.0</v>
      </c>
    </row>
    <row r="1999">
      <c r="A1999" s="8" t="s">
        <v>1858</v>
      </c>
      <c r="B1999" s="8" t="s">
        <v>3483</v>
      </c>
      <c r="C1999" s="8" t="s">
        <v>75</v>
      </c>
      <c r="D1999" s="8" t="s">
        <v>6423</v>
      </c>
      <c r="E1999" s="8">
        <v>64.0</v>
      </c>
    </row>
    <row r="2000">
      <c r="A2000" s="8" t="s">
        <v>560</v>
      </c>
      <c r="B2000" s="8" t="s">
        <v>559</v>
      </c>
      <c r="C2000" s="8" t="s">
        <v>141</v>
      </c>
      <c r="D2000" s="8" t="s">
        <v>6418</v>
      </c>
      <c r="E2000" s="8">
        <v>69.0</v>
      </c>
    </row>
    <row r="2001">
      <c r="A2001" s="8" t="s">
        <v>2993</v>
      </c>
      <c r="B2001" s="8" t="s">
        <v>2992</v>
      </c>
      <c r="C2001" s="8" t="s">
        <v>70</v>
      </c>
      <c r="D2001" s="8" t="s">
        <v>6415</v>
      </c>
      <c r="E2001" s="8">
        <v>62.0</v>
      </c>
    </row>
    <row r="2002">
      <c r="A2002" s="8" t="s">
        <v>3275</v>
      </c>
      <c r="B2002" s="8" t="s">
        <v>3274</v>
      </c>
      <c r="C2002" s="8" t="s">
        <v>93</v>
      </c>
      <c r="D2002" s="8" t="s">
        <v>6439</v>
      </c>
      <c r="E2002" s="8">
        <v>72.0</v>
      </c>
    </row>
    <row r="2003">
      <c r="A2003" s="8" t="s">
        <v>793</v>
      </c>
      <c r="B2003" s="8" t="s">
        <v>1144</v>
      </c>
      <c r="C2003" s="8" t="s">
        <v>24</v>
      </c>
      <c r="D2003" s="8" t="s">
        <v>6443</v>
      </c>
      <c r="E2003" s="8">
        <v>68.0</v>
      </c>
    </row>
    <row r="2004">
      <c r="A2004" s="8" t="s">
        <v>793</v>
      </c>
      <c r="B2004" s="8" t="s">
        <v>305</v>
      </c>
      <c r="C2004" s="8" t="s">
        <v>65</v>
      </c>
      <c r="D2004" s="8" t="s">
        <v>6438</v>
      </c>
      <c r="E2004" s="8">
        <v>73.0</v>
      </c>
    </row>
    <row r="2005">
      <c r="A2005" s="8" t="s">
        <v>1521</v>
      </c>
      <c r="B2005" s="8" t="s">
        <v>1520</v>
      </c>
      <c r="C2005" s="8" t="s">
        <v>192</v>
      </c>
      <c r="D2005" s="8" t="s">
        <v>6438</v>
      </c>
      <c r="E2005" s="8">
        <v>63.0</v>
      </c>
    </row>
    <row r="2006">
      <c r="A2006" s="8" t="s">
        <v>806</v>
      </c>
      <c r="B2006" s="8" t="s">
        <v>88</v>
      </c>
      <c r="C2006" s="8" t="s">
        <v>122</v>
      </c>
      <c r="D2006" s="8" t="s">
        <v>6429</v>
      </c>
      <c r="E2006" s="8">
        <v>65.0</v>
      </c>
    </row>
    <row r="2007">
      <c r="A2007" s="8" t="s">
        <v>811</v>
      </c>
      <c r="B2007" s="8" t="s">
        <v>62</v>
      </c>
      <c r="C2007" s="8" t="s">
        <v>80</v>
      </c>
      <c r="D2007" s="8" t="s">
        <v>6440</v>
      </c>
      <c r="E2007" s="8">
        <v>69.0</v>
      </c>
    </row>
    <row r="2008">
      <c r="A2008" s="8" t="s">
        <v>3266</v>
      </c>
      <c r="B2008" s="8" t="s">
        <v>2157</v>
      </c>
      <c r="C2008" s="8" t="s">
        <v>192</v>
      </c>
      <c r="D2008" s="8" t="s">
        <v>6430</v>
      </c>
      <c r="E2008" s="8">
        <v>61.0</v>
      </c>
    </row>
    <row r="2009">
      <c r="A2009" s="8" t="s">
        <v>1295</v>
      </c>
      <c r="B2009" s="8" t="s">
        <v>834</v>
      </c>
      <c r="C2009" s="8" t="s">
        <v>65</v>
      </c>
      <c r="D2009" s="8" t="s">
        <v>6413</v>
      </c>
      <c r="E2009" s="8">
        <v>57.0</v>
      </c>
    </row>
    <row r="2010">
      <c r="A2010" s="8" t="s">
        <v>1295</v>
      </c>
      <c r="B2010" s="8" t="s">
        <v>2896</v>
      </c>
      <c r="C2010" s="8" t="s">
        <v>38</v>
      </c>
      <c r="D2010" s="8" t="s">
        <v>6434</v>
      </c>
      <c r="E2010" s="8">
        <v>80.0</v>
      </c>
    </row>
    <row r="2011">
      <c r="A2011" s="8" t="s">
        <v>1295</v>
      </c>
      <c r="B2011" s="8" t="s">
        <v>3495</v>
      </c>
      <c r="C2011" s="8" t="s">
        <v>70</v>
      </c>
      <c r="D2011" s="8" t="s">
        <v>6425</v>
      </c>
      <c r="E2011" s="8">
        <v>82.0</v>
      </c>
    </row>
    <row r="2012">
      <c r="A2012" s="8" t="s">
        <v>1295</v>
      </c>
      <c r="B2012" s="8" t="s">
        <v>1294</v>
      </c>
      <c r="C2012" s="8" t="s">
        <v>59</v>
      </c>
      <c r="D2012" s="8" t="s">
        <v>6412</v>
      </c>
      <c r="E2012" s="8">
        <v>79.0</v>
      </c>
    </row>
    <row r="2013">
      <c r="A2013" s="8" t="s">
        <v>3319</v>
      </c>
      <c r="B2013" s="8" t="s">
        <v>282</v>
      </c>
      <c r="C2013" s="8" t="s">
        <v>215</v>
      </c>
      <c r="D2013" s="8" t="s">
        <v>6433</v>
      </c>
      <c r="E2013" s="8">
        <v>62.0</v>
      </c>
    </row>
    <row r="2014">
      <c r="A2014" s="8" t="s">
        <v>1241</v>
      </c>
      <c r="B2014" s="8" t="s">
        <v>537</v>
      </c>
      <c r="C2014" s="8" t="s">
        <v>65</v>
      </c>
      <c r="D2014" s="8" t="s">
        <v>6434</v>
      </c>
      <c r="E2014" s="8">
        <v>64.0</v>
      </c>
    </row>
    <row r="2015">
      <c r="A2015" s="8" t="s">
        <v>1241</v>
      </c>
      <c r="B2015" s="8" t="s">
        <v>741</v>
      </c>
      <c r="C2015" s="8" t="s">
        <v>138</v>
      </c>
      <c r="D2015" s="8" t="s">
        <v>6430</v>
      </c>
      <c r="E2015" s="8">
        <v>76.0</v>
      </c>
    </row>
    <row r="2016">
      <c r="A2016" s="8" t="s">
        <v>1241</v>
      </c>
      <c r="B2016" s="8" t="s">
        <v>111</v>
      </c>
      <c r="C2016" s="8" t="s">
        <v>132</v>
      </c>
      <c r="D2016" s="8" t="s">
        <v>6436</v>
      </c>
      <c r="E2016" s="8">
        <v>85.0</v>
      </c>
    </row>
    <row r="2017">
      <c r="A2017" s="8" t="s">
        <v>1241</v>
      </c>
      <c r="B2017" s="8" t="s">
        <v>444</v>
      </c>
      <c r="C2017" s="8" t="s">
        <v>53</v>
      </c>
      <c r="D2017" s="8" t="s">
        <v>6441</v>
      </c>
      <c r="E2017" s="8">
        <v>83.0</v>
      </c>
    </row>
    <row r="2018">
      <c r="A2018" s="8" t="s">
        <v>1080</v>
      </c>
      <c r="B2018" s="8" t="s">
        <v>1079</v>
      </c>
      <c r="C2018" s="8" t="s">
        <v>53</v>
      </c>
      <c r="D2018" s="8" t="s">
        <v>6412</v>
      </c>
      <c r="E2018" s="8">
        <v>81.0</v>
      </c>
    </row>
    <row r="2019">
      <c r="A2019" s="8" t="s">
        <v>1822</v>
      </c>
      <c r="B2019" s="8" t="s">
        <v>522</v>
      </c>
      <c r="C2019" s="8" t="s">
        <v>93</v>
      </c>
      <c r="D2019" s="8" t="s">
        <v>6433</v>
      </c>
      <c r="E2019" s="8">
        <v>70.0</v>
      </c>
    </row>
    <row r="2020">
      <c r="A2020" s="8" t="s">
        <v>3145</v>
      </c>
      <c r="B2020" s="8" t="s">
        <v>455</v>
      </c>
      <c r="C2020" s="8" t="s">
        <v>93</v>
      </c>
      <c r="D2020" s="8" t="s">
        <v>6430</v>
      </c>
      <c r="E2020" s="8">
        <v>75.0</v>
      </c>
    </row>
    <row r="2021">
      <c r="A2021" s="8" t="s">
        <v>3254</v>
      </c>
      <c r="B2021" s="8" t="s">
        <v>510</v>
      </c>
      <c r="C2021" s="8" t="s">
        <v>122</v>
      </c>
      <c r="D2021" s="8" t="s">
        <v>6429</v>
      </c>
      <c r="E2021" s="8">
        <v>83.0</v>
      </c>
    </row>
    <row r="2022">
      <c r="A2022" s="8" t="s">
        <v>990</v>
      </c>
      <c r="B2022" s="8" t="s">
        <v>989</v>
      </c>
      <c r="C2022" s="8" t="s">
        <v>192</v>
      </c>
      <c r="D2022" s="8" t="s">
        <v>6431</v>
      </c>
      <c r="E2022" s="8">
        <v>61.0</v>
      </c>
    </row>
    <row r="2023">
      <c r="A2023" s="8" t="s">
        <v>2087</v>
      </c>
      <c r="B2023" s="8" t="s">
        <v>3231</v>
      </c>
      <c r="C2023" s="8" t="s">
        <v>70</v>
      </c>
      <c r="D2023" s="8" t="s">
        <v>6425</v>
      </c>
      <c r="E2023" s="8">
        <v>74.0</v>
      </c>
    </row>
    <row r="2024">
      <c r="A2024" s="8" t="s">
        <v>832</v>
      </c>
      <c r="B2024" s="8" t="s">
        <v>3328</v>
      </c>
      <c r="C2024" s="8" t="s">
        <v>75</v>
      </c>
      <c r="D2024" s="8" t="s">
        <v>6416</v>
      </c>
      <c r="E2024" s="8">
        <v>71.0</v>
      </c>
    </row>
    <row r="2025">
      <c r="A2025" s="8" t="s">
        <v>832</v>
      </c>
      <c r="B2025" s="8" t="s">
        <v>78</v>
      </c>
      <c r="C2025" s="8" t="s">
        <v>192</v>
      </c>
      <c r="D2025" s="8" t="s">
        <v>6417</v>
      </c>
      <c r="E2025" s="8">
        <v>80.0</v>
      </c>
    </row>
    <row r="2026">
      <c r="A2026" s="8" t="s">
        <v>3355</v>
      </c>
      <c r="B2026" s="8" t="s">
        <v>3354</v>
      </c>
      <c r="C2026" s="8" t="s">
        <v>53</v>
      </c>
      <c r="D2026" s="8" t="s">
        <v>6436</v>
      </c>
      <c r="E2026" s="8">
        <v>74.0</v>
      </c>
    </row>
    <row r="2027">
      <c r="A2027" s="8" t="s">
        <v>709</v>
      </c>
      <c r="B2027" s="8" t="s">
        <v>89</v>
      </c>
      <c r="C2027" s="8" t="s">
        <v>215</v>
      </c>
      <c r="D2027" s="8" t="s">
        <v>6412</v>
      </c>
      <c r="E2027" s="8">
        <v>66.0</v>
      </c>
    </row>
    <row r="2028">
      <c r="A2028" s="8" t="s">
        <v>787</v>
      </c>
      <c r="B2028" s="8" t="s">
        <v>1579</v>
      </c>
      <c r="C2028" s="8" t="s">
        <v>93</v>
      </c>
      <c r="D2028" s="8" t="s">
        <v>6435</v>
      </c>
      <c r="E2028" s="8">
        <v>61.0</v>
      </c>
    </row>
    <row r="2029">
      <c r="A2029" s="8" t="s">
        <v>787</v>
      </c>
      <c r="B2029" s="8" t="s">
        <v>786</v>
      </c>
      <c r="C2029" s="8" t="s">
        <v>59</v>
      </c>
      <c r="D2029" s="8" t="s">
        <v>6440</v>
      </c>
      <c r="E2029" s="8">
        <v>81.0</v>
      </c>
    </row>
    <row r="2030">
      <c r="A2030" s="8" t="s">
        <v>787</v>
      </c>
      <c r="B2030" s="8" t="s">
        <v>1424</v>
      </c>
      <c r="C2030" s="8" t="s">
        <v>122</v>
      </c>
      <c r="D2030" s="8" t="s">
        <v>6413</v>
      </c>
      <c r="E2030" s="8">
        <v>69.0</v>
      </c>
    </row>
    <row r="2031">
      <c r="A2031" s="8" t="s">
        <v>787</v>
      </c>
      <c r="B2031" s="8" t="s">
        <v>1584</v>
      </c>
      <c r="C2031" s="8" t="s">
        <v>122</v>
      </c>
      <c r="D2031" s="8" t="s">
        <v>6418</v>
      </c>
      <c r="E2031" s="8">
        <v>78.0</v>
      </c>
    </row>
    <row r="2032">
      <c r="A2032" s="8" t="s">
        <v>1310</v>
      </c>
      <c r="B2032" s="8" t="s">
        <v>1454</v>
      </c>
      <c r="C2032" s="8" t="s">
        <v>65</v>
      </c>
      <c r="D2032" s="8" t="s">
        <v>6424</v>
      </c>
      <c r="E2032" s="8">
        <v>67.0</v>
      </c>
    </row>
    <row r="2033">
      <c r="A2033" s="8" t="s">
        <v>297</v>
      </c>
      <c r="B2033" s="8" t="s">
        <v>296</v>
      </c>
      <c r="C2033" s="8" t="s">
        <v>93</v>
      </c>
      <c r="D2033" s="8" t="s">
        <v>6427</v>
      </c>
      <c r="E2033" s="8">
        <v>65.0</v>
      </c>
    </row>
    <row r="2034">
      <c r="A2034" s="8" t="s">
        <v>869</v>
      </c>
      <c r="B2034" s="8" t="s">
        <v>868</v>
      </c>
      <c r="C2034" s="8" t="s">
        <v>59</v>
      </c>
      <c r="D2034" s="8" t="s">
        <v>6438</v>
      </c>
      <c r="E2034" s="8">
        <v>67.0</v>
      </c>
    </row>
    <row r="2035">
      <c r="A2035" s="8" t="s">
        <v>878</v>
      </c>
      <c r="B2035" s="8" t="s">
        <v>877</v>
      </c>
      <c r="C2035" s="8" t="s">
        <v>149</v>
      </c>
      <c r="D2035" s="8" t="s">
        <v>6443</v>
      </c>
      <c r="E2035" s="8">
        <v>68.0</v>
      </c>
    </row>
    <row r="2036">
      <c r="A2036" s="8" t="s">
        <v>2161</v>
      </c>
      <c r="B2036" s="8" t="s">
        <v>2869</v>
      </c>
      <c r="C2036" s="8" t="s">
        <v>93</v>
      </c>
      <c r="D2036" s="8" t="s">
        <v>6424</v>
      </c>
      <c r="E2036" s="8">
        <v>74.0</v>
      </c>
    </row>
    <row r="2037">
      <c r="A2037" s="8" t="s">
        <v>3372</v>
      </c>
      <c r="B2037" s="8" t="s">
        <v>1264</v>
      </c>
      <c r="C2037" s="8" t="s">
        <v>186</v>
      </c>
      <c r="D2037" s="8" t="s">
        <v>6434</v>
      </c>
      <c r="E2037" s="8">
        <v>75.0</v>
      </c>
    </row>
    <row r="2038">
      <c r="A2038" s="8" t="s">
        <v>1995</v>
      </c>
      <c r="B2038" s="8" t="s">
        <v>62</v>
      </c>
      <c r="C2038" s="8" t="s">
        <v>122</v>
      </c>
      <c r="D2038" s="8" t="s">
        <v>6422</v>
      </c>
      <c r="E2038" s="8">
        <v>79.0</v>
      </c>
    </row>
    <row r="2039">
      <c r="A2039" s="8" t="s">
        <v>746</v>
      </c>
      <c r="B2039" s="8" t="s">
        <v>395</v>
      </c>
      <c r="C2039" s="8" t="s">
        <v>141</v>
      </c>
      <c r="D2039" s="8" t="s">
        <v>6416</v>
      </c>
      <c r="E2039" s="8">
        <v>78.0</v>
      </c>
    </row>
    <row r="2040">
      <c r="A2040" s="8" t="s">
        <v>746</v>
      </c>
      <c r="B2040" s="8" t="s">
        <v>1293</v>
      </c>
      <c r="C2040" s="8" t="s">
        <v>132</v>
      </c>
      <c r="D2040" s="8" t="s">
        <v>6432</v>
      </c>
      <c r="E2040" s="8">
        <v>62.0</v>
      </c>
    </row>
    <row r="2041">
      <c r="A2041" s="8" t="s">
        <v>746</v>
      </c>
      <c r="B2041" s="8" t="s">
        <v>3391</v>
      </c>
      <c r="C2041" s="8" t="s">
        <v>186</v>
      </c>
      <c r="D2041" s="8" t="s">
        <v>6440</v>
      </c>
      <c r="E2041" s="8">
        <v>73.0</v>
      </c>
    </row>
    <row r="2042">
      <c r="A2042" s="8" t="s">
        <v>746</v>
      </c>
      <c r="B2042" s="8" t="s">
        <v>1156</v>
      </c>
      <c r="C2042" s="8" t="s">
        <v>75</v>
      </c>
      <c r="D2042" s="8" t="s">
        <v>6443</v>
      </c>
      <c r="E2042" s="8">
        <v>72.0</v>
      </c>
    </row>
    <row r="2043">
      <c r="A2043" s="8" t="s">
        <v>746</v>
      </c>
      <c r="B2043" s="8" t="s">
        <v>1049</v>
      </c>
      <c r="C2043" s="8" t="s">
        <v>70</v>
      </c>
      <c r="D2043" s="8" t="s">
        <v>6437</v>
      </c>
      <c r="E2043" s="8">
        <v>82.0</v>
      </c>
    </row>
    <row r="2044">
      <c r="A2044" s="8" t="s">
        <v>2739</v>
      </c>
      <c r="B2044" s="8" t="s">
        <v>2938</v>
      </c>
      <c r="C2044" s="8" t="s">
        <v>138</v>
      </c>
      <c r="D2044" s="8" t="s">
        <v>6416</v>
      </c>
      <c r="E2044" s="8">
        <v>70.0</v>
      </c>
    </row>
    <row r="2045">
      <c r="A2045" s="8" t="s">
        <v>2739</v>
      </c>
      <c r="B2045" s="8" t="s">
        <v>1407</v>
      </c>
      <c r="C2045" s="8" t="s">
        <v>65</v>
      </c>
      <c r="D2045" s="8" t="s">
        <v>6429</v>
      </c>
      <c r="E2045" s="8">
        <v>66.0</v>
      </c>
    </row>
    <row r="2046">
      <c r="A2046" s="8" t="s">
        <v>576</v>
      </c>
      <c r="B2046" s="8" t="s">
        <v>575</v>
      </c>
      <c r="C2046" s="8" t="s">
        <v>122</v>
      </c>
      <c r="D2046" s="8" t="s">
        <v>6441</v>
      </c>
      <c r="E2046" s="8">
        <v>75.0</v>
      </c>
    </row>
    <row r="2047">
      <c r="A2047" s="8" t="s">
        <v>2726</v>
      </c>
      <c r="B2047" s="8" t="s">
        <v>357</v>
      </c>
      <c r="C2047" s="8" t="s">
        <v>122</v>
      </c>
      <c r="D2047" s="8" t="s">
        <v>6413</v>
      </c>
      <c r="E2047" s="8">
        <v>71.0</v>
      </c>
    </row>
    <row r="2048">
      <c r="A2048" s="8" t="s">
        <v>454</v>
      </c>
      <c r="B2048" s="8" t="s">
        <v>453</v>
      </c>
      <c r="C2048" s="8" t="s">
        <v>141</v>
      </c>
      <c r="D2048" s="8" t="s">
        <v>6424</v>
      </c>
      <c r="E2048" s="8">
        <v>73.0</v>
      </c>
    </row>
    <row r="2049">
      <c r="A2049" s="8" t="s">
        <v>1429</v>
      </c>
      <c r="B2049" s="8" t="s">
        <v>1147</v>
      </c>
      <c r="C2049" s="8" t="s">
        <v>65</v>
      </c>
      <c r="D2049" s="8" t="s">
        <v>6429</v>
      </c>
      <c r="E2049" s="8">
        <v>86.0</v>
      </c>
    </row>
    <row r="2050">
      <c r="A2050" s="8" t="s">
        <v>3375</v>
      </c>
      <c r="B2050" s="8" t="s">
        <v>3374</v>
      </c>
      <c r="C2050" s="8" t="s">
        <v>46</v>
      </c>
      <c r="D2050" s="8" t="s">
        <v>6435</v>
      </c>
      <c r="E2050" s="8">
        <v>59.0</v>
      </c>
    </row>
    <row r="2051">
      <c r="A2051" s="8" t="s">
        <v>88</v>
      </c>
      <c r="B2051" s="8" t="s">
        <v>3388</v>
      </c>
      <c r="C2051" s="8" t="s">
        <v>122</v>
      </c>
      <c r="D2051" s="8" t="s">
        <v>6442</v>
      </c>
      <c r="E2051" s="8">
        <v>79.0</v>
      </c>
    </row>
    <row r="2052">
      <c r="A2052" s="8" t="s">
        <v>88</v>
      </c>
      <c r="B2052" s="8" t="s">
        <v>1905</v>
      </c>
      <c r="C2052" s="8" t="s">
        <v>16</v>
      </c>
      <c r="D2052" s="8" t="s">
        <v>6428</v>
      </c>
      <c r="E2052" s="8">
        <v>61.0</v>
      </c>
    </row>
    <row r="2053">
      <c r="A2053" s="8" t="s">
        <v>88</v>
      </c>
      <c r="B2053" s="8" t="s">
        <v>636</v>
      </c>
      <c r="C2053" s="8" t="s">
        <v>24</v>
      </c>
      <c r="D2053" s="8" t="s">
        <v>6434</v>
      </c>
      <c r="E2053" s="8">
        <v>65.0</v>
      </c>
    </row>
    <row r="2054">
      <c r="A2054" s="8" t="s">
        <v>88</v>
      </c>
      <c r="B2054" s="8" t="s">
        <v>87</v>
      </c>
      <c r="C2054" s="8" t="s">
        <v>12</v>
      </c>
      <c r="D2054" s="8" t="s">
        <v>6436</v>
      </c>
      <c r="E2054" s="8">
        <v>76.0</v>
      </c>
    </row>
    <row r="2055">
      <c r="A2055" s="8" t="s">
        <v>88</v>
      </c>
      <c r="B2055" s="8" t="s">
        <v>1660</v>
      </c>
      <c r="C2055" s="8" t="s">
        <v>215</v>
      </c>
      <c r="D2055" s="8" t="s">
        <v>6429</v>
      </c>
      <c r="E2055" s="8">
        <v>64.0</v>
      </c>
    </row>
    <row r="2056">
      <c r="A2056" s="8" t="s">
        <v>694</v>
      </c>
      <c r="B2056" s="8" t="s">
        <v>1319</v>
      </c>
      <c r="C2056" s="8" t="s">
        <v>215</v>
      </c>
      <c r="D2056" s="8" t="s">
        <v>6439</v>
      </c>
      <c r="E2056" s="8">
        <v>83.0</v>
      </c>
    </row>
    <row r="2057">
      <c r="A2057" s="8" t="s">
        <v>694</v>
      </c>
      <c r="B2057" s="8" t="s">
        <v>693</v>
      </c>
      <c r="C2057" s="8" t="s">
        <v>93</v>
      </c>
      <c r="D2057" s="8" t="s">
        <v>6436</v>
      </c>
      <c r="E2057" s="8">
        <v>83.0</v>
      </c>
    </row>
    <row r="2058">
      <c r="A2058" s="8" t="s">
        <v>2659</v>
      </c>
      <c r="B2058" s="8" t="s">
        <v>212</v>
      </c>
      <c r="C2058" s="8" t="s">
        <v>53</v>
      </c>
      <c r="D2058" s="8" t="s">
        <v>6418</v>
      </c>
      <c r="E2058" s="8">
        <v>72.0</v>
      </c>
    </row>
    <row r="2059">
      <c r="A2059" s="8" t="s">
        <v>1035</v>
      </c>
      <c r="B2059" s="8" t="s">
        <v>240</v>
      </c>
      <c r="C2059" s="8" t="s">
        <v>215</v>
      </c>
      <c r="D2059" s="8" t="s">
        <v>6426</v>
      </c>
      <c r="E2059" s="8">
        <v>60.0</v>
      </c>
    </row>
    <row r="2060">
      <c r="A2060" s="8" t="s">
        <v>1035</v>
      </c>
      <c r="B2060" s="8" t="s">
        <v>796</v>
      </c>
      <c r="C2060" s="8" t="s">
        <v>65</v>
      </c>
      <c r="D2060" s="8" t="s">
        <v>6425</v>
      </c>
      <c r="E2060" s="8">
        <v>80.0</v>
      </c>
    </row>
    <row r="2061">
      <c r="A2061" s="8" t="s">
        <v>1035</v>
      </c>
      <c r="B2061" s="8" t="s">
        <v>1264</v>
      </c>
      <c r="C2061" s="8" t="s">
        <v>93</v>
      </c>
      <c r="D2061" s="8" t="s">
        <v>6418</v>
      </c>
      <c r="E2061" s="8">
        <v>76.0</v>
      </c>
    </row>
    <row r="2062">
      <c r="A2062" s="8" t="s">
        <v>167</v>
      </c>
      <c r="B2062" s="8" t="s">
        <v>1884</v>
      </c>
      <c r="C2062" s="8" t="s">
        <v>59</v>
      </c>
      <c r="D2062" s="8" t="s">
        <v>6420</v>
      </c>
      <c r="E2062" s="8">
        <v>62.0</v>
      </c>
    </row>
    <row r="2063">
      <c r="A2063" s="8" t="s">
        <v>167</v>
      </c>
      <c r="B2063" s="8" t="s">
        <v>166</v>
      </c>
      <c r="C2063" s="8" t="s">
        <v>122</v>
      </c>
      <c r="D2063" s="8" t="s">
        <v>6440</v>
      </c>
      <c r="E2063" s="8">
        <v>75.0</v>
      </c>
    </row>
    <row r="2064">
      <c r="A2064" s="8" t="s">
        <v>759</v>
      </c>
      <c r="B2064" s="8" t="s">
        <v>389</v>
      </c>
      <c r="C2064" s="8" t="s">
        <v>186</v>
      </c>
      <c r="D2064" s="8" t="s">
        <v>6439</v>
      </c>
      <c r="E2064" s="8">
        <v>69.0</v>
      </c>
    </row>
    <row r="2065">
      <c r="A2065" s="8" t="s">
        <v>759</v>
      </c>
      <c r="B2065" s="8" t="s">
        <v>115</v>
      </c>
      <c r="C2065" s="8" t="s">
        <v>12</v>
      </c>
      <c r="D2065" s="8" t="s">
        <v>6430</v>
      </c>
      <c r="E2065" s="8">
        <v>76.0</v>
      </c>
    </row>
    <row r="2066">
      <c r="A2066" s="8" t="s">
        <v>759</v>
      </c>
      <c r="B2066" s="8" t="s">
        <v>77</v>
      </c>
      <c r="C2066" s="8" t="s">
        <v>80</v>
      </c>
      <c r="D2066" s="8" t="s">
        <v>6437</v>
      </c>
      <c r="E2066" s="8">
        <v>70.0</v>
      </c>
    </row>
    <row r="2067">
      <c r="A2067" s="8" t="s">
        <v>759</v>
      </c>
      <c r="B2067" s="8" t="s">
        <v>758</v>
      </c>
      <c r="C2067" s="8" t="s">
        <v>138</v>
      </c>
      <c r="D2067" s="8" t="s">
        <v>6424</v>
      </c>
      <c r="E2067" s="8">
        <v>68.0</v>
      </c>
    </row>
    <row r="2068">
      <c r="A2068" s="8" t="s">
        <v>759</v>
      </c>
      <c r="B2068" s="8" t="s">
        <v>220</v>
      </c>
      <c r="C2068" s="8" t="s">
        <v>93</v>
      </c>
      <c r="D2068" s="8" t="s">
        <v>6437</v>
      </c>
      <c r="E2068" s="8">
        <v>74.0</v>
      </c>
    </row>
    <row r="2069">
      <c r="A2069" s="8" t="s">
        <v>759</v>
      </c>
      <c r="B2069" s="8" t="s">
        <v>1264</v>
      </c>
      <c r="C2069" s="8" t="s">
        <v>149</v>
      </c>
      <c r="D2069" s="8" t="s">
        <v>6423</v>
      </c>
      <c r="E2069" s="8">
        <v>63.0</v>
      </c>
    </row>
    <row r="2070">
      <c r="A2070" s="8" t="s">
        <v>3102</v>
      </c>
      <c r="B2070" s="8" t="s">
        <v>5967</v>
      </c>
      <c r="C2070" s="8" t="s">
        <v>122</v>
      </c>
      <c r="D2070" s="8" t="s">
        <v>6426</v>
      </c>
      <c r="E2070" s="8">
        <v>67.0</v>
      </c>
    </row>
    <row r="2071">
      <c r="A2071" s="8" t="s">
        <v>1552</v>
      </c>
      <c r="B2071" s="8" t="s">
        <v>389</v>
      </c>
      <c r="C2071" s="8" t="s">
        <v>70</v>
      </c>
      <c r="D2071" s="8" t="s">
        <v>6415</v>
      </c>
      <c r="E2071" s="8">
        <v>67.0</v>
      </c>
    </row>
    <row r="2072">
      <c r="A2072" s="8" t="s">
        <v>5970</v>
      </c>
      <c r="B2072" s="8" t="s">
        <v>1752</v>
      </c>
      <c r="C2072" s="8" t="s">
        <v>192</v>
      </c>
      <c r="D2072" s="8" t="s">
        <v>6416</v>
      </c>
      <c r="E2072" s="8">
        <v>80.0</v>
      </c>
    </row>
    <row r="2073">
      <c r="A2073" s="8" t="s">
        <v>450</v>
      </c>
      <c r="B2073" s="8" t="s">
        <v>78</v>
      </c>
      <c r="C2073" s="8" t="s">
        <v>122</v>
      </c>
      <c r="D2073" s="8" t="s">
        <v>6423</v>
      </c>
      <c r="E2073" s="8">
        <v>72.0</v>
      </c>
    </row>
    <row r="2074">
      <c r="A2074" s="8" t="s">
        <v>6447</v>
      </c>
      <c r="B2074" s="8" t="s">
        <v>490</v>
      </c>
      <c r="C2074" s="8" t="s">
        <v>93</v>
      </c>
      <c r="D2074" s="8" t="s">
        <v>6438</v>
      </c>
      <c r="E2074" s="8">
        <v>74.0</v>
      </c>
    </row>
    <row r="2075">
      <c r="A2075" s="8" t="s">
        <v>6447</v>
      </c>
      <c r="B2075" s="8" t="s">
        <v>1676</v>
      </c>
      <c r="C2075" s="8" t="s">
        <v>70</v>
      </c>
      <c r="D2075" s="8" t="s">
        <v>6413</v>
      </c>
      <c r="E2075" s="8">
        <v>79.0</v>
      </c>
    </row>
    <row r="2076">
      <c r="A2076" s="8" t="s">
        <v>6447</v>
      </c>
      <c r="B2076" s="8" t="s">
        <v>2934</v>
      </c>
      <c r="C2076" s="8" t="s">
        <v>192</v>
      </c>
      <c r="D2076" s="8" t="s">
        <v>6415</v>
      </c>
      <c r="E2076" s="8">
        <v>76.0</v>
      </c>
    </row>
    <row r="2077">
      <c r="A2077" s="8" t="s">
        <v>6447</v>
      </c>
      <c r="B2077" s="8" t="s">
        <v>3508</v>
      </c>
      <c r="C2077" s="8" t="s">
        <v>16</v>
      </c>
      <c r="D2077" s="8" t="s">
        <v>6430</v>
      </c>
      <c r="E2077" s="8">
        <v>67.0</v>
      </c>
    </row>
    <row r="2078">
      <c r="A2078" s="8" t="s">
        <v>6447</v>
      </c>
      <c r="B2078" s="8" t="s">
        <v>448</v>
      </c>
      <c r="C2078" s="8" t="s">
        <v>59</v>
      </c>
      <c r="D2078" s="8" t="s">
        <v>6439</v>
      </c>
      <c r="E2078" s="8">
        <v>74.0</v>
      </c>
    </row>
    <row r="2079">
      <c r="A2079" s="8" t="s">
        <v>6447</v>
      </c>
      <c r="B2079" s="8" t="s">
        <v>268</v>
      </c>
      <c r="C2079" s="8" t="s">
        <v>80</v>
      </c>
      <c r="D2079" s="8" t="s">
        <v>6428</v>
      </c>
      <c r="E2079" s="8">
        <v>68.0</v>
      </c>
    </row>
    <row r="2080">
      <c r="A2080" s="8" t="s">
        <v>6447</v>
      </c>
      <c r="B2080" s="8" t="s">
        <v>222</v>
      </c>
      <c r="C2080" s="8" t="s">
        <v>70</v>
      </c>
      <c r="D2080" s="8" t="s">
        <v>6419</v>
      </c>
      <c r="E2080" s="8">
        <v>69.0</v>
      </c>
    </row>
    <row r="2081">
      <c r="A2081" s="8" t="s">
        <v>6447</v>
      </c>
      <c r="B2081" s="8" t="s">
        <v>825</v>
      </c>
      <c r="C2081" s="8" t="s">
        <v>192</v>
      </c>
      <c r="D2081" s="8" t="s">
        <v>6412</v>
      </c>
      <c r="E2081" s="8">
        <v>81.0</v>
      </c>
    </row>
    <row r="2082">
      <c r="A2082" s="8" t="s">
        <v>6447</v>
      </c>
      <c r="B2082" s="8" t="s">
        <v>2892</v>
      </c>
      <c r="C2082" s="8" t="s">
        <v>132</v>
      </c>
      <c r="D2082" s="8" t="s">
        <v>6420</v>
      </c>
      <c r="E2082" s="8">
        <v>87.0</v>
      </c>
    </row>
    <row r="2083">
      <c r="A2083" s="8" t="s">
        <v>6447</v>
      </c>
      <c r="B2083" s="8" t="s">
        <v>874</v>
      </c>
      <c r="C2083" s="8" t="s">
        <v>46</v>
      </c>
      <c r="D2083" s="8" t="s">
        <v>6429</v>
      </c>
      <c r="E2083" s="8">
        <v>68.0</v>
      </c>
    </row>
    <row r="2084">
      <c r="A2084" s="8" t="s">
        <v>6447</v>
      </c>
      <c r="B2084" s="8" t="s">
        <v>389</v>
      </c>
      <c r="C2084" s="8" t="s">
        <v>141</v>
      </c>
      <c r="D2084" s="8" t="s">
        <v>6417</v>
      </c>
      <c r="E2084" s="8">
        <v>67.0</v>
      </c>
    </row>
    <row r="2085">
      <c r="A2085" s="8" t="s">
        <v>6447</v>
      </c>
      <c r="B2085" s="8" t="s">
        <v>284</v>
      </c>
      <c r="C2085" s="8" t="s">
        <v>65</v>
      </c>
      <c r="D2085" s="8" t="s">
        <v>6420</v>
      </c>
      <c r="E2085" s="8">
        <v>69.0</v>
      </c>
    </row>
    <row r="2086">
      <c r="A2086" s="8" t="s">
        <v>6448</v>
      </c>
      <c r="B2086" s="8" t="s">
        <v>539</v>
      </c>
      <c r="C2086" s="8" t="s">
        <v>65</v>
      </c>
      <c r="D2086" s="8" t="s">
        <v>6428</v>
      </c>
      <c r="E2086" s="8">
        <v>88.0</v>
      </c>
    </row>
    <row r="2087">
      <c r="A2087" s="8" t="s">
        <v>6448</v>
      </c>
      <c r="B2087" s="8" t="s">
        <v>1252</v>
      </c>
      <c r="C2087" s="8" t="s">
        <v>122</v>
      </c>
      <c r="D2087" s="8" t="s">
        <v>6428</v>
      </c>
      <c r="E2087" s="8">
        <v>73.0</v>
      </c>
    </row>
    <row r="2088">
      <c r="A2088" s="8" t="s">
        <v>1732</v>
      </c>
      <c r="B2088" s="8" t="s">
        <v>1731</v>
      </c>
      <c r="C2088" s="8" t="s">
        <v>215</v>
      </c>
      <c r="D2088" s="8" t="s">
        <v>6442</v>
      </c>
      <c r="E2088" s="8">
        <v>75.0</v>
      </c>
    </row>
    <row r="2089">
      <c r="A2089" s="8" t="s">
        <v>618</v>
      </c>
      <c r="B2089" s="8" t="s">
        <v>617</v>
      </c>
      <c r="C2089" s="8" t="s">
        <v>59</v>
      </c>
      <c r="D2089" s="8" t="s">
        <v>6420</v>
      </c>
      <c r="E2089" s="8">
        <v>74.0</v>
      </c>
    </row>
    <row r="2090">
      <c r="A2090" s="8" t="s">
        <v>287</v>
      </c>
      <c r="B2090" s="8" t="s">
        <v>284</v>
      </c>
      <c r="C2090" s="8" t="s">
        <v>70</v>
      </c>
      <c r="D2090" s="8" t="s">
        <v>6438</v>
      </c>
      <c r="E2090" s="8">
        <v>72.0</v>
      </c>
    </row>
    <row r="2091">
      <c r="A2091" s="8" t="s">
        <v>1970</v>
      </c>
      <c r="B2091" s="8" t="s">
        <v>1969</v>
      </c>
      <c r="C2091" s="8" t="s">
        <v>65</v>
      </c>
      <c r="D2091" s="8" t="s">
        <v>6423</v>
      </c>
      <c r="E2091" s="8">
        <v>76.0</v>
      </c>
    </row>
    <row r="2092">
      <c r="A2092" s="8" t="s">
        <v>2187</v>
      </c>
      <c r="B2092" s="8" t="s">
        <v>2186</v>
      </c>
      <c r="C2092" s="8" t="s">
        <v>138</v>
      </c>
      <c r="D2092" s="8" t="s">
        <v>6431</v>
      </c>
      <c r="E2092" s="8">
        <v>75.0</v>
      </c>
    </row>
    <row r="2093">
      <c r="A2093" s="8" t="s">
        <v>3291</v>
      </c>
      <c r="B2093" s="8" t="s">
        <v>3290</v>
      </c>
      <c r="C2093" s="8" t="s">
        <v>59</v>
      </c>
      <c r="D2093" s="8" t="s">
        <v>6437</v>
      </c>
      <c r="E2093" s="8">
        <v>82.0</v>
      </c>
    </row>
    <row r="2094">
      <c r="A2094" s="8" t="s">
        <v>489</v>
      </c>
      <c r="B2094" s="8" t="s">
        <v>488</v>
      </c>
      <c r="C2094" s="8" t="s">
        <v>138</v>
      </c>
      <c r="D2094" s="8" t="s">
        <v>6422</v>
      </c>
      <c r="E2094" s="8">
        <v>77.0</v>
      </c>
    </row>
    <row r="2095">
      <c r="A2095" s="8" t="s">
        <v>489</v>
      </c>
      <c r="B2095" s="8" t="s">
        <v>2718</v>
      </c>
      <c r="C2095" s="8" t="s">
        <v>186</v>
      </c>
      <c r="D2095" s="8" t="s">
        <v>6443</v>
      </c>
      <c r="E2095" s="8">
        <v>65.0</v>
      </c>
    </row>
    <row r="2096">
      <c r="A2096" s="8" t="s">
        <v>1803</v>
      </c>
      <c r="B2096" s="8" t="s">
        <v>2008</v>
      </c>
      <c r="C2096" s="8" t="s">
        <v>53</v>
      </c>
      <c r="D2096" s="8" t="s">
        <v>6430</v>
      </c>
      <c r="E2096" s="8">
        <v>63.0</v>
      </c>
    </row>
    <row r="2097">
      <c r="A2097" s="8" t="s">
        <v>1803</v>
      </c>
      <c r="B2097" s="8" t="s">
        <v>2936</v>
      </c>
      <c r="C2097" s="8" t="s">
        <v>65</v>
      </c>
      <c r="D2097" s="8" t="s">
        <v>6433</v>
      </c>
      <c r="E2097" s="8">
        <v>67.0</v>
      </c>
    </row>
    <row r="2098">
      <c r="A2098" s="8" t="s">
        <v>1803</v>
      </c>
      <c r="B2098" s="8" t="s">
        <v>3406</v>
      </c>
      <c r="C2098" s="8" t="s">
        <v>24</v>
      </c>
      <c r="D2098" s="8" t="s">
        <v>6440</v>
      </c>
      <c r="E2098" s="8">
        <v>46.0</v>
      </c>
    </row>
    <row r="2099">
      <c r="A2099" s="8" t="s">
        <v>1503</v>
      </c>
      <c r="B2099" s="8" t="s">
        <v>1502</v>
      </c>
      <c r="C2099" s="8" t="s">
        <v>138</v>
      </c>
      <c r="D2099" s="8" t="s">
        <v>6437</v>
      </c>
      <c r="E2099" s="8">
        <v>69.0</v>
      </c>
    </row>
    <row r="2100">
      <c r="A2100" s="8" t="s">
        <v>1973</v>
      </c>
      <c r="B2100" s="8" t="s">
        <v>1972</v>
      </c>
      <c r="C2100" s="8" t="s">
        <v>122</v>
      </c>
      <c r="D2100" s="8" t="s">
        <v>6414</v>
      </c>
      <c r="E2100" s="8">
        <v>63.0</v>
      </c>
    </row>
    <row r="2101">
      <c r="A2101" s="8" t="s">
        <v>1538</v>
      </c>
      <c r="B2101" s="8" t="s">
        <v>1537</v>
      </c>
      <c r="C2101" s="8" t="s">
        <v>70</v>
      </c>
      <c r="D2101" s="8" t="s">
        <v>6435</v>
      </c>
      <c r="E2101" s="8">
        <v>62.0</v>
      </c>
    </row>
    <row r="2102">
      <c r="A2102" s="8" t="s">
        <v>1370</v>
      </c>
      <c r="B2102" s="8" t="s">
        <v>1369</v>
      </c>
      <c r="C2102" s="8" t="s">
        <v>215</v>
      </c>
      <c r="D2102" s="8" t="s">
        <v>6428</v>
      </c>
      <c r="E2102" s="8">
        <v>70.0</v>
      </c>
    </row>
    <row r="2103">
      <c r="A2103" s="8" t="s">
        <v>1741</v>
      </c>
      <c r="B2103" s="8" t="s">
        <v>1740</v>
      </c>
      <c r="C2103" s="8" t="s">
        <v>70</v>
      </c>
      <c r="D2103" s="8" t="s">
        <v>6427</v>
      </c>
      <c r="E2103" s="8">
        <v>72.0</v>
      </c>
    </row>
    <row r="2104">
      <c r="A2104" s="8" t="s">
        <v>516</v>
      </c>
      <c r="B2104" s="8" t="s">
        <v>515</v>
      </c>
      <c r="C2104" s="8" t="s">
        <v>80</v>
      </c>
      <c r="D2104" s="8" t="s">
        <v>6413</v>
      </c>
      <c r="E2104" s="8">
        <v>75.0</v>
      </c>
    </row>
    <row r="2105">
      <c r="A2105" s="8" t="s">
        <v>1713</v>
      </c>
      <c r="B2105" s="8" t="s">
        <v>1712</v>
      </c>
      <c r="C2105" s="8" t="s">
        <v>138</v>
      </c>
      <c r="D2105" s="8" t="s">
        <v>6429</v>
      </c>
      <c r="E2105" s="8">
        <v>62.0</v>
      </c>
    </row>
    <row r="2106">
      <c r="A2106" s="8" t="s">
        <v>2970</v>
      </c>
      <c r="B2106" s="8" t="s">
        <v>2969</v>
      </c>
      <c r="C2106" s="8" t="s">
        <v>93</v>
      </c>
      <c r="D2106" s="8" t="s">
        <v>6413</v>
      </c>
      <c r="E2106" s="8">
        <v>61.0</v>
      </c>
    </row>
    <row r="2107">
      <c r="A2107" s="8" t="s">
        <v>2673</v>
      </c>
      <c r="B2107" s="8" t="s">
        <v>2310</v>
      </c>
      <c r="C2107" s="8" t="s">
        <v>59</v>
      </c>
      <c r="D2107" s="8" t="s">
        <v>6426</v>
      </c>
      <c r="E2107" s="8">
        <v>61.0</v>
      </c>
    </row>
    <row r="2108">
      <c r="A2108" s="8" t="s">
        <v>2882</v>
      </c>
      <c r="B2108" s="8" t="s">
        <v>956</v>
      </c>
      <c r="C2108" s="8" t="s">
        <v>65</v>
      </c>
      <c r="D2108" s="8" t="s">
        <v>6425</v>
      </c>
      <c r="E2108" s="8">
        <v>67.0</v>
      </c>
    </row>
    <row r="2109">
      <c r="A2109" s="8" t="s">
        <v>1114</v>
      </c>
      <c r="B2109" s="8" t="s">
        <v>868</v>
      </c>
      <c r="C2109" s="8" t="s">
        <v>93</v>
      </c>
      <c r="D2109" s="8" t="s">
        <v>6418</v>
      </c>
      <c r="E2109" s="8">
        <v>62.0</v>
      </c>
    </row>
    <row r="2110">
      <c r="A2110" s="8" t="s">
        <v>465</v>
      </c>
      <c r="B2110" s="8" t="s">
        <v>1675</v>
      </c>
      <c r="C2110" s="8" t="s">
        <v>93</v>
      </c>
      <c r="D2110" s="8" t="s">
        <v>6435</v>
      </c>
      <c r="E2110" s="8">
        <v>80.0</v>
      </c>
    </row>
    <row r="2111">
      <c r="A2111" s="8" t="s">
        <v>465</v>
      </c>
      <c r="B2111" s="8" t="s">
        <v>464</v>
      </c>
      <c r="C2111" s="8" t="s">
        <v>65</v>
      </c>
      <c r="D2111" s="8" t="s">
        <v>6414</v>
      </c>
      <c r="E2111" s="8">
        <v>81.0</v>
      </c>
    </row>
    <row r="2112">
      <c r="A2112" s="8" t="s">
        <v>465</v>
      </c>
      <c r="B2112" s="8" t="s">
        <v>3142</v>
      </c>
      <c r="C2112" s="8" t="s">
        <v>192</v>
      </c>
      <c r="D2112" s="8" t="s">
        <v>6420</v>
      </c>
      <c r="E2112" s="8">
        <v>82.0</v>
      </c>
    </row>
    <row r="2113">
      <c r="A2113" s="8" t="s">
        <v>441</v>
      </c>
      <c r="B2113" s="8" t="s">
        <v>688</v>
      </c>
      <c r="C2113" s="8" t="s">
        <v>65</v>
      </c>
      <c r="D2113" s="8" t="s">
        <v>6431</v>
      </c>
      <c r="E2113" s="8">
        <v>79.0</v>
      </c>
    </row>
    <row r="2114">
      <c r="A2114" s="8" t="s">
        <v>441</v>
      </c>
      <c r="B2114" s="8" t="s">
        <v>783</v>
      </c>
      <c r="C2114" s="8" t="s">
        <v>93</v>
      </c>
      <c r="D2114" s="8" t="s">
        <v>6431</v>
      </c>
      <c r="E2114" s="8">
        <v>58.0</v>
      </c>
    </row>
    <row r="2115">
      <c r="A2115" s="8" t="s">
        <v>441</v>
      </c>
      <c r="B2115" s="8" t="s">
        <v>743</v>
      </c>
      <c r="C2115" s="8" t="s">
        <v>46</v>
      </c>
      <c r="D2115" s="8" t="s">
        <v>6423</v>
      </c>
      <c r="E2115" s="8">
        <v>88.0</v>
      </c>
    </row>
    <row r="2116">
      <c r="A2116" s="8" t="s">
        <v>441</v>
      </c>
      <c r="B2116" s="8" t="s">
        <v>1188</v>
      </c>
      <c r="C2116" s="8" t="s">
        <v>16</v>
      </c>
      <c r="D2116" s="8" t="s">
        <v>6429</v>
      </c>
      <c r="E2116" s="8">
        <v>58.0</v>
      </c>
    </row>
    <row r="2117">
      <c r="A2117" s="8" t="s">
        <v>441</v>
      </c>
      <c r="B2117" s="8" t="s">
        <v>1428</v>
      </c>
      <c r="C2117" s="8" t="s">
        <v>46</v>
      </c>
      <c r="D2117" s="8" t="s">
        <v>6420</v>
      </c>
      <c r="E2117" s="8">
        <v>82.0</v>
      </c>
    </row>
    <row r="2118">
      <c r="A2118" s="8" t="s">
        <v>441</v>
      </c>
      <c r="B2118" s="8" t="s">
        <v>1468</v>
      </c>
      <c r="C2118" s="8" t="s">
        <v>149</v>
      </c>
      <c r="D2118" s="8" t="s">
        <v>6424</v>
      </c>
      <c r="E2118" s="8">
        <v>69.0</v>
      </c>
    </row>
    <row r="2119">
      <c r="A2119" s="8" t="s">
        <v>441</v>
      </c>
      <c r="B2119" s="8" t="s">
        <v>1541</v>
      </c>
      <c r="C2119" s="8" t="s">
        <v>132</v>
      </c>
      <c r="D2119" s="8" t="s">
        <v>6441</v>
      </c>
      <c r="E2119" s="8">
        <v>73.0</v>
      </c>
    </row>
    <row r="2120">
      <c r="A2120" s="8" t="s">
        <v>538</v>
      </c>
      <c r="B2120" s="8" t="s">
        <v>537</v>
      </c>
      <c r="C2120" s="8" t="s">
        <v>16</v>
      </c>
      <c r="D2120" s="8" t="s">
        <v>6421</v>
      </c>
      <c r="E2120" s="8">
        <v>60.0</v>
      </c>
    </row>
    <row r="2121">
      <c r="A2121" s="8" t="s">
        <v>1994</v>
      </c>
      <c r="B2121" s="8" t="s">
        <v>441</v>
      </c>
      <c r="C2121" s="8" t="s">
        <v>65</v>
      </c>
      <c r="D2121" s="8" t="s">
        <v>6423</v>
      </c>
      <c r="E2121" s="8">
        <v>77.0</v>
      </c>
    </row>
    <row r="2122">
      <c r="A2122" s="8" t="s">
        <v>114</v>
      </c>
      <c r="B2122" s="8" t="s">
        <v>2811</v>
      </c>
      <c r="C2122" s="8" t="s">
        <v>65</v>
      </c>
      <c r="D2122" s="8" t="s">
        <v>6418</v>
      </c>
      <c r="E2122" s="8">
        <v>79.0</v>
      </c>
    </row>
    <row r="2123">
      <c r="A2123" s="8" t="s">
        <v>114</v>
      </c>
      <c r="B2123" s="8" t="s">
        <v>210</v>
      </c>
      <c r="C2123" s="8" t="s">
        <v>75</v>
      </c>
      <c r="D2123" s="8" t="s">
        <v>6415</v>
      </c>
      <c r="E2123" s="8">
        <v>69.0</v>
      </c>
    </row>
    <row r="2124">
      <c r="A2124" s="8" t="s">
        <v>114</v>
      </c>
      <c r="B2124" s="8" t="s">
        <v>1214</v>
      </c>
      <c r="C2124" s="8" t="s">
        <v>141</v>
      </c>
      <c r="D2124" s="8" t="s">
        <v>6436</v>
      </c>
      <c r="E2124" s="8">
        <v>65.0</v>
      </c>
    </row>
    <row r="2125">
      <c r="A2125" s="8" t="s">
        <v>1101</v>
      </c>
      <c r="B2125" s="8" t="s">
        <v>78</v>
      </c>
      <c r="C2125" s="8" t="s">
        <v>93</v>
      </c>
      <c r="D2125" s="8" t="s">
        <v>6441</v>
      </c>
      <c r="E2125" s="8">
        <v>62.0</v>
      </c>
    </row>
    <row r="2126">
      <c r="A2126" s="8" t="s">
        <v>1101</v>
      </c>
      <c r="B2126" s="8" t="s">
        <v>1100</v>
      </c>
      <c r="C2126" s="8" t="s">
        <v>16</v>
      </c>
      <c r="D2126" s="8" t="s">
        <v>6429</v>
      </c>
      <c r="E2126" s="8">
        <v>79.0</v>
      </c>
    </row>
    <row r="2127">
      <c r="A2127" s="8" t="s">
        <v>1996</v>
      </c>
      <c r="B2127" s="8" t="s">
        <v>444</v>
      </c>
      <c r="C2127" s="8" t="s">
        <v>80</v>
      </c>
      <c r="D2127" s="8" t="s">
        <v>6433</v>
      </c>
      <c r="E2127" s="8">
        <v>72.0</v>
      </c>
    </row>
    <row r="2128">
      <c r="A2128" s="8" t="s">
        <v>2433</v>
      </c>
      <c r="B2128" s="8" t="s">
        <v>2432</v>
      </c>
      <c r="C2128" s="8" t="s">
        <v>93</v>
      </c>
      <c r="D2128" s="8" t="s">
        <v>6420</v>
      </c>
      <c r="E2128" s="8">
        <v>73.0</v>
      </c>
    </row>
    <row r="2129">
      <c r="A2129" s="8" t="s">
        <v>801</v>
      </c>
      <c r="B2129" s="8" t="s">
        <v>99</v>
      </c>
      <c r="C2129" s="8" t="s">
        <v>59</v>
      </c>
      <c r="D2129" s="8" t="s">
        <v>6413</v>
      </c>
      <c r="E2129" s="8">
        <v>82.0</v>
      </c>
    </row>
    <row r="2130">
      <c r="A2130" s="8" t="s">
        <v>1190</v>
      </c>
      <c r="B2130" s="8" t="s">
        <v>1189</v>
      </c>
      <c r="C2130" s="8" t="s">
        <v>24</v>
      </c>
      <c r="D2130" s="8" t="s">
        <v>6414</v>
      </c>
      <c r="E2130" s="8">
        <v>62.0</v>
      </c>
    </row>
    <row r="2131">
      <c r="A2131" s="8" t="s">
        <v>2982</v>
      </c>
      <c r="B2131" s="8" t="s">
        <v>2981</v>
      </c>
      <c r="C2131" s="8" t="s">
        <v>215</v>
      </c>
      <c r="D2131" s="8" t="s">
        <v>6432</v>
      </c>
      <c r="E2131" s="8">
        <v>68.0</v>
      </c>
    </row>
    <row r="2132">
      <c r="A2132" s="8" t="s">
        <v>2804</v>
      </c>
      <c r="B2132" s="8" t="s">
        <v>2963</v>
      </c>
      <c r="C2132" s="8" t="s">
        <v>93</v>
      </c>
      <c r="D2132" s="8" t="s">
        <v>6429</v>
      </c>
      <c r="E2132" s="8">
        <v>85.0</v>
      </c>
    </row>
    <row r="2133">
      <c r="A2133" s="8" t="s">
        <v>2804</v>
      </c>
      <c r="B2133" s="8" t="s">
        <v>2803</v>
      </c>
      <c r="C2133" s="8" t="s">
        <v>186</v>
      </c>
      <c r="D2133" s="8" t="s">
        <v>6433</v>
      </c>
      <c r="E2133" s="8">
        <v>63.0</v>
      </c>
    </row>
    <row r="2134">
      <c r="A2134" s="8" t="s">
        <v>983</v>
      </c>
      <c r="B2134" s="8" t="s">
        <v>99</v>
      </c>
      <c r="C2134" s="8" t="s">
        <v>186</v>
      </c>
      <c r="D2134" s="8" t="s">
        <v>6437</v>
      </c>
      <c r="E2134" s="8">
        <v>60.0</v>
      </c>
    </row>
    <row r="2135">
      <c r="A2135" s="8" t="s">
        <v>983</v>
      </c>
      <c r="B2135" s="8" t="s">
        <v>3127</v>
      </c>
      <c r="C2135" s="8" t="s">
        <v>70</v>
      </c>
      <c r="D2135" s="8" t="s">
        <v>6435</v>
      </c>
      <c r="E2135" s="8">
        <v>81.0</v>
      </c>
    </row>
    <row r="2136">
      <c r="A2136" s="8" t="s">
        <v>983</v>
      </c>
      <c r="B2136" s="8" t="s">
        <v>78</v>
      </c>
      <c r="C2136" s="8" t="s">
        <v>65</v>
      </c>
      <c r="D2136" s="8" t="s">
        <v>6442</v>
      </c>
      <c r="E2136" s="8">
        <v>80.0</v>
      </c>
    </row>
    <row r="2137">
      <c r="A2137" s="8" t="s">
        <v>983</v>
      </c>
      <c r="B2137" s="8" t="s">
        <v>427</v>
      </c>
      <c r="C2137" s="8" t="s">
        <v>93</v>
      </c>
      <c r="D2137" s="8" t="s">
        <v>6437</v>
      </c>
      <c r="E2137" s="8">
        <v>79.0</v>
      </c>
    </row>
    <row r="2138">
      <c r="A2138" s="8" t="s">
        <v>77</v>
      </c>
      <c r="B2138" s="8" t="s">
        <v>293</v>
      </c>
      <c r="C2138" s="8" t="s">
        <v>215</v>
      </c>
      <c r="D2138" s="8" t="s">
        <v>6416</v>
      </c>
      <c r="E2138" s="8">
        <v>73.0</v>
      </c>
    </row>
    <row r="2139">
      <c r="A2139" s="8" t="s">
        <v>77</v>
      </c>
      <c r="B2139" s="8" t="s">
        <v>76</v>
      </c>
      <c r="C2139" s="8" t="s">
        <v>59</v>
      </c>
      <c r="D2139" s="8" t="s">
        <v>6435</v>
      </c>
      <c r="E2139" s="8">
        <v>86.0</v>
      </c>
    </row>
    <row r="2140">
      <c r="A2140" s="8" t="s">
        <v>418</v>
      </c>
      <c r="B2140" s="8" t="s">
        <v>3005</v>
      </c>
      <c r="C2140" s="8" t="s">
        <v>65</v>
      </c>
      <c r="D2140" s="8" t="s">
        <v>6416</v>
      </c>
      <c r="E2140" s="8">
        <v>83.0</v>
      </c>
    </row>
    <row r="2141">
      <c r="A2141" s="8" t="s">
        <v>861</v>
      </c>
      <c r="B2141" s="8" t="s">
        <v>224</v>
      </c>
      <c r="C2141" s="8" t="s">
        <v>192</v>
      </c>
      <c r="D2141" s="8" t="s">
        <v>6424</v>
      </c>
      <c r="E2141" s="8">
        <v>70.0</v>
      </c>
    </row>
    <row r="2142">
      <c r="A2142" s="8" t="s">
        <v>861</v>
      </c>
      <c r="B2142" s="8" t="s">
        <v>2913</v>
      </c>
      <c r="C2142" s="8" t="s">
        <v>70</v>
      </c>
      <c r="D2142" s="8" t="s">
        <v>6443</v>
      </c>
      <c r="E2142" s="8">
        <v>64.0</v>
      </c>
    </row>
    <row r="2143">
      <c r="A2143" s="8" t="s">
        <v>861</v>
      </c>
      <c r="B2143" s="8" t="s">
        <v>2788</v>
      </c>
      <c r="C2143" s="8" t="s">
        <v>138</v>
      </c>
      <c r="D2143" s="8" t="s">
        <v>6415</v>
      </c>
      <c r="E2143" s="8">
        <v>67.0</v>
      </c>
    </row>
    <row r="2144">
      <c r="A2144" s="8" t="s">
        <v>640</v>
      </c>
      <c r="B2144" s="8" t="s">
        <v>639</v>
      </c>
      <c r="C2144" s="8" t="s">
        <v>46</v>
      </c>
      <c r="D2144" s="8" t="s">
        <v>6418</v>
      </c>
      <c r="E2144" s="8">
        <v>85.0</v>
      </c>
    </row>
    <row r="2145">
      <c r="A2145" s="8" t="s">
        <v>640</v>
      </c>
      <c r="B2145" s="8" t="s">
        <v>825</v>
      </c>
      <c r="C2145" s="8" t="s">
        <v>70</v>
      </c>
      <c r="D2145" s="8" t="s">
        <v>6431</v>
      </c>
      <c r="E2145" s="8">
        <v>68.0</v>
      </c>
    </row>
    <row r="2146">
      <c r="A2146" s="8" t="s">
        <v>2313</v>
      </c>
      <c r="B2146" s="8" t="s">
        <v>1288</v>
      </c>
      <c r="C2146" s="8" t="s">
        <v>46</v>
      </c>
      <c r="D2146" s="8" t="s">
        <v>6415</v>
      </c>
      <c r="E2146" s="8">
        <v>65.0</v>
      </c>
    </row>
    <row r="2147">
      <c r="A2147" s="8" t="s">
        <v>3440</v>
      </c>
      <c r="B2147" s="8" t="s">
        <v>99</v>
      </c>
      <c r="C2147" s="8" t="s">
        <v>65</v>
      </c>
      <c r="D2147" s="8" t="s">
        <v>6428</v>
      </c>
      <c r="E2147" s="8">
        <v>63.0</v>
      </c>
    </row>
    <row r="2148">
      <c r="A2148" s="8" t="s">
        <v>1126</v>
      </c>
      <c r="B2148" s="8" t="s">
        <v>3367</v>
      </c>
      <c r="C2148" s="8" t="s">
        <v>93</v>
      </c>
      <c r="D2148" s="8" t="s">
        <v>6428</v>
      </c>
      <c r="E2148" s="8">
        <v>65.0</v>
      </c>
    </row>
    <row r="2149">
      <c r="A2149" s="8" t="s">
        <v>1126</v>
      </c>
      <c r="B2149" s="8" t="s">
        <v>877</v>
      </c>
      <c r="C2149" s="8" t="s">
        <v>70</v>
      </c>
      <c r="D2149" s="8" t="s">
        <v>6431</v>
      </c>
      <c r="E2149" s="8">
        <v>85.0</v>
      </c>
    </row>
    <row r="2150">
      <c r="A2150" s="8" t="s">
        <v>789</v>
      </c>
      <c r="B2150" s="8" t="s">
        <v>788</v>
      </c>
      <c r="C2150" s="8" t="s">
        <v>70</v>
      </c>
      <c r="D2150" s="8" t="s">
        <v>6420</v>
      </c>
      <c r="E2150" s="8">
        <v>82.0</v>
      </c>
    </row>
    <row r="2151">
      <c r="A2151" s="8" t="s">
        <v>62</v>
      </c>
      <c r="B2151" s="8" t="s">
        <v>2760</v>
      </c>
      <c r="C2151" s="8" t="s">
        <v>59</v>
      </c>
      <c r="D2151" s="8" t="s">
        <v>6441</v>
      </c>
      <c r="E2151" s="8">
        <v>87.0</v>
      </c>
    </row>
    <row r="2152">
      <c r="A2152" s="8" t="s">
        <v>62</v>
      </c>
      <c r="B2152" s="8" t="s">
        <v>1472</v>
      </c>
      <c r="C2152" s="8" t="s">
        <v>24</v>
      </c>
      <c r="D2152" s="8" t="s">
        <v>6428</v>
      </c>
      <c r="E2152" s="8">
        <v>43.0</v>
      </c>
    </row>
    <row r="2153">
      <c r="A2153" s="8" t="s">
        <v>62</v>
      </c>
      <c r="B2153" s="8" t="s">
        <v>1296</v>
      </c>
      <c r="C2153" s="8" t="s">
        <v>70</v>
      </c>
      <c r="D2153" s="8" t="s">
        <v>6433</v>
      </c>
      <c r="E2153" s="8">
        <v>83.0</v>
      </c>
    </row>
    <row r="2154">
      <c r="A2154" s="8" t="s">
        <v>62</v>
      </c>
      <c r="B2154" s="8" t="s">
        <v>2768</v>
      </c>
      <c r="C2154" s="8" t="s">
        <v>24</v>
      </c>
      <c r="D2154" s="8" t="s">
        <v>6415</v>
      </c>
      <c r="E2154" s="8">
        <v>62.0</v>
      </c>
    </row>
    <row r="2155">
      <c r="A2155" s="8" t="s">
        <v>62</v>
      </c>
      <c r="B2155" s="8" t="s">
        <v>2108</v>
      </c>
      <c r="C2155" s="8" t="s">
        <v>24</v>
      </c>
      <c r="D2155" s="8" t="s">
        <v>6418</v>
      </c>
      <c r="E2155" s="8">
        <v>62.0</v>
      </c>
    </row>
    <row r="2156">
      <c r="A2156" s="8" t="s">
        <v>62</v>
      </c>
      <c r="B2156" s="8" t="s">
        <v>168</v>
      </c>
      <c r="C2156" s="8" t="s">
        <v>38</v>
      </c>
      <c r="D2156" s="8" t="s">
        <v>6418</v>
      </c>
      <c r="E2156" s="8">
        <v>84.0</v>
      </c>
    </row>
    <row r="2157">
      <c r="A2157" s="8" t="s">
        <v>2661</v>
      </c>
      <c r="B2157" s="8" t="s">
        <v>2660</v>
      </c>
      <c r="C2157" s="8" t="s">
        <v>59</v>
      </c>
      <c r="D2157" s="8" t="s">
        <v>6420</v>
      </c>
      <c r="E2157" s="8">
        <v>61.0</v>
      </c>
    </row>
    <row r="2158">
      <c r="A2158" s="8" t="s">
        <v>1209</v>
      </c>
      <c r="B2158" s="8" t="s">
        <v>194</v>
      </c>
      <c r="C2158" s="8" t="s">
        <v>65</v>
      </c>
      <c r="D2158" s="8" t="s">
        <v>6435</v>
      </c>
      <c r="E2158" s="8">
        <v>63.0</v>
      </c>
    </row>
    <row r="2159">
      <c r="A2159" s="8" t="s">
        <v>1209</v>
      </c>
      <c r="B2159" s="8" t="s">
        <v>535</v>
      </c>
      <c r="C2159" s="8" t="s">
        <v>70</v>
      </c>
      <c r="D2159" s="8" t="s">
        <v>6422</v>
      </c>
      <c r="E2159" s="8">
        <v>80.0</v>
      </c>
    </row>
    <row r="2160">
      <c r="A2160" s="8" t="s">
        <v>1209</v>
      </c>
      <c r="B2160" s="8" t="s">
        <v>1055</v>
      </c>
      <c r="C2160" s="8" t="s">
        <v>65</v>
      </c>
      <c r="D2160" s="8" t="s">
        <v>6435</v>
      </c>
      <c r="E2160" s="8">
        <v>57.0</v>
      </c>
    </row>
    <row r="2161">
      <c r="A2161" s="8" t="s">
        <v>1209</v>
      </c>
      <c r="B2161" s="8" t="s">
        <v>78</v>
      </c>
      <c r="C2161" s="8" t="s">
        <v>59</v>
      </c>
      <c r="D2161" s="8" t="s">
        <v>6435</v>
      </c>
      <c r="E2161" s="8">
        <v>71.0</v>
      </c>
    </row>
    <row r="2162">
      <c r="A2162" s="8" t="s">
        <v>1209</v>
      </c>
      <c r="B2162" s="8" t="s">
        <v>1208</v>
      </c>
      <c r="C2162" s="8" t="s">
        <v>122</v>
      </c>
      <c r="D2162" s="8" t="s">
        <v>6424</v>
      </c>
      <c r="E2162" s="8">
        <v>81.0</v>
      </c>
    </row>
    <row r="2163">
      <c r="A2163" s="8" t="s">
        <v>1209</v>
      </c>
      <c r="B2163" s="8" t="s">
        <v>2310</v>
      </c>
      <c r="C2163" s="8" t="s">
        <v>141</v>
      </c>
      <c r="D2163" s="8" t="s">
        <v>6422</v>
      </c>
      <c r="E2163" s="8">
        <v>71.0</v>
      </c>
    </row>
    <row r="2164">
      <c r="A2164" s="8" t="s">
        <v>1209</v>
      </c>
      <c r="B2164" s="8" t="s">
        <v>3332</v>
      </c>
      <c r="C2164" s="8" t="s">
        <v>141</v>
      </c>
      <c r="D2164" s="8" t="s">
        <v>6423</v>
      </c>
      <c r="E2164" s="8">
        <v>70.0</v>
      </c>
    </row>
    <row r="2165">
      <c r="A2165" s="8" t="s">
        <v>883</v>
      </c>
      <c r="B2165" s="8" t="s">
        <v>2824</v>
      </c>
      <c r="C2165" s="8" t="s">
        <v>70</v>
      </c>
      <c r="D2165" s="8" t="s">
        <v>6414</v>
      </c>
      <c r="E2165" s="8">
        <v>85.0</v>
      </c>
    </row>
    <row r="2166">
      <c r="A2166" s="8" t="s">
        <v>883</v>
      </c>
      <c r="B2166" s="8" t="s">
        <v>61</v>
      </c>
      <c r="C2166" s="8" t="s">
        <v>186</v>
      </c>
      <c r="D2166" s="8" t="s">
        <v>6412</v>
      </c>
      <c r="E2166" s="8">
        <v>76.0</v>
      </c>
    </row>
    <row r="2167">
      <c r="A2167" s="8" t="s">
        <v>15</v>
      </c>
      <c r="B2167" s="8" t="s">
        <v>389</v>
      </c>
      <c r="C2167" s="8" t="s">
        <v>122</v>
      </c>
      <c r="D2167" s="8" t="s">
        <v>6429</v>
      </c>
      <c r="E2167" s="8">
        <v>71.0</v>
      </c>
    </row>
    <row r="2168">
      <c r="A2168" s="8" t="s">
        <v>15</v>
      </c>
      <c r="B2168" s="8" t="s">
        <v>600</v>
      </c>
      <c r="C2168" s="8" t="s">
        <v>16</v>
      </c>
      <c r="D2168" s="8" t="s">
        <v>6434</v>
      </c>
      <c r="E2168" s="8">
        <v>72.0</v>
      </c>
    </row>
    <row r="2169">
      <c r="A2169" s="8" t="s">
        <v>15</v>
      </c>
      <c r="B2169" s="8" t="s">
        <v>358</v>
      </c>
      <c r="C2169" s="8" t="s">
        <v>132</v>
      </c>
      <c r="D2169" s="8" t="s">
        <v>6427</v>
      </c>
      <c r="E2169" s="8">
        <v>72.0</v>
      </c>
    </row>
    <row r="2170">
      <c r="A2170" s="8" t="s">
        <v>15</v>
      </c>
      <c r="B2170" s="8" t="s">
        <v>14</v>
      </c>
      <c r="C2170" s="8" t="s">
        <v>16</v>
      </c>
      <c r="D2170" s="8" t="s">
        <v>6436</v>
      </c>
      <c r="E2170" s="8">
        <v>99.0</v>
      </c>
    </row>
    <row r="2171">
      <c r="A2171" s="8" t="s">
        <v>1986</v>
      </c>
      <c r="B2171" s="8" t="s">
        <v>2691</v>
      </c>
      <c r="C2171" s="8" t="s">
        <v>261</v>
      </c>
      <c r="D2171" s="8" t="s">
        <v>6413</v>
      </c>
      <c r="E2171" s="8">
        <v>69.0</v>
      </c>
    </row>
    <row r="2172">
      <c r="A2172" s="8" t="s">
        <v>1233</v>
      </c>
      <c r="B2172" s="8" t="s">
        <v>94</v>
      </c>
      <c r="C2172" s="8" t="s">
        <v>65</v>
      </c>
      <c r="D2172" s="8" t="s">
        <v>6418</v>
      </c>
      <c r="E2172" s="8">
        <v>62.0</v>
      </c>
    </row>
    <row r="2173">
      <c r="A2173" s="8" t="s">
        <v>140</v>
      </c>
      <c r="B2173" s="8" t="s">
        <v>946</v>
      </c>
      <c r="C2173" s="8" t="s">
        <v>192</v>
      </c>
      <c r="D2173" s="8" t="s">
        <v>6435</v>
      </c>
      <c r="E2173" s="8">
        <v>88.0</v>
      </c>
    </row>
    <row r="2174">
      <c r="A2174" s="8" t="s">
        <v>140</v>
      </c>
      <c r="B2174" s="8" t="s">
        <v>3357</v>
      </c>
      <c r="C2174" s="8" t="s">
        <v>122</v>
      </c>
      <c r="D2174" s="8" t="s">
        <v>6418</v>
      </c>
      <c r="E2174" s="8">
        <v>73.0</v>
      </c>
    </row>
    <row r="2175">
      <c r="A2175" s="8" t="s">
        <v>140</v>
      </c>
      <c r="B2175" s="8" t="s">
        <v>969</v>
      </c>
      <c r="C2175" s="8" t="s">
        <v>93</v>
      </c>
      <c r="D2175" s="8" t="s">
        <v>6415</v>
      </c>
      <c r="E2175" s="8">
        <v>76.0</v>
      </c>
    </row>
    <row r="2176">
      <c r="A2176" s="8" t="s">
        <v>140</v>
      </c>
      <c r="B2176" s="8" t="s">
        <v>139</v>
      </c>
      <c r="C2176" s="8" t="s">
        <v>141</v>
      </c>
      <c r="D2176" s="8" t="s">
        <v>6419</v>
      </c>
      <c r="E2176" s="8">
        <v>68.0</v>
      </c>
    </row>
    <row r="2177">
      <c r="A2177" s="8" t="s">
        <v>434</v>
      </c>
      <c r="B2177" s="8" t="s">
        <v>99</v>
      </c>
      <c r="C2177" s="8" t="s">
        <v>65</v>
      </c>
      <c r="D2177" s="8" t="s">
        <v>6424</v>
      </c>
      <c r="E2177" s="8">
        <v>78.0</v>
      </c>
    </row>
    <row r="2178">
      <c r="A2178" s="8" t="s">
        <v>2017</v>
      </c>
      <c r="B2178" s="8" t="s">
        <v>1200</v>
      </c>
      <c r="C2178" s="8" t="s">
        <v>93</v>
      </c>
      <c r="D2178" s="8" t="s">
        <v>6413</v>
      </c>
      <c r="E2178" s="8">
        <v>63.0</v>
      </c>
    </row>
    <row r="2179">
      <c r="A2179" s="8" t="s">
        <v>1053</v>
      </c>
      <c r="B2179" s="8" t="s">
        <v>2781</v>
      </c>
      <c r="C2179" s="8" t="s">
        <v>80</v>
      </c>
      <c r="D2179" s="8" t="s">
        <v>6430</v>
      </c>
      <c r="E2179" s="8">
        <v>62.0</v>
      </c>
    </row>
    <row r="2180">
      <c r="A2180" s="8" t="s">
        <v>1053</v>
      </c>
      <c r="B2180" s="8" t="s">
        <v>1052</v>
      </c>
      <c r="C2180" s="8" t="s">
        <v>93</v>
      </c>
      <c r="D2180" s="8" t="s">
        <v>6429</v>
      </c>
      <c r="E2180" s="8">
        <v>75.0</v>
      </c>
    </row>
    <row r="2181">
      <c r="A2181" s="8" t="s">
        <v>1320</v>
      </c>
      <c r="B2181" s="8" t="s">
        <v>1043</v>
      </c>
      <c r="C2181" s="8" t="s">
        <v>132</v>
      </c>
      <c r="D2181" s="8" t="s">
        <v>6441</v>
      </c>
      <c r="E2181" s="8">
        <v>77.0</v>
      </c>
    </row>
    <row r="2182">
      <c r="A2182" s="8" t="s">
        <v>2714</v>
      </c>
      <c r="B2182" s="8" t="s">
        <v>2713</v>
      </c>
      <c r="C2182" s="8" t="s">
        <v>70</v>
      </c>
      <c r="D2182" s="8" t="s">
        <v>6418</v>
      </c>
      <c r="E2182" s="8">
        <v>70.0</v>
      </c>
    </row>
    <row r="2183">
      <c r="A2183" s="8" t="s">
        <v>1434</v>
      </c>
      <c r="B2183" s="8" t="s">
        <v>1433</v>
      </c>
      <c r="C2183" s="8" t="s">
        <v>65</v>
      </c>
      <c r="D2183" s="8" t="s">
        <v>6418</v>
      </c>
      <c r="E2183" s="8">
        <v>63.0</v>
      </c>
    </row>
    <row r="2184">
      <c r="A2184" s="8" t="s">
        <v>472</v>
      </c>
      <c r="B2184" s="8" t="s">
        <v>290</v>
      </c>
      <c r="C2184" s="8" t="s">
        <v>24</v>
      </c>
      <c r="D2184" s="8" t="s">
        <v>6437</v>
      </c>
      <c r="E2184" s="8">
        <v>94.0</v>
      </c>
    </row>
    <row r="2185">
      <c r="A2185" s="8" t="s">
        <v>472</v>
      </c>
      <c r="B2185" s="8" t="s">
        <v>35</v>
      </c>
      <c r="C2185" s="8" t="s">
        <v>65</v>
      </c>
      <c r="D2185" s="8" t="s">
        <v>6432</v>
      </c>
      <c r="E2185" s="8">
        <v>80.0</v>
      </c>
    </row>
    <row r="2186">
      <c r="A2186" s="8" t="s">
        <v>472</v>
      </c>
      <c r="B2186" s="8" t="s">
        <v>599</v>
      </c>
      <c r="C2186" s="8" t="s">
        <v>65</v>
      </c>
      <c r="D2186" s="8" t="s">
        <v>6425</v>
      </c>
      <c r="E2186" s="8">
        <v>66.0</v>
      </c>
    </row>
    <row r="2187">
      <c r="A2187" s="8" t="s">
        <v>472</v>
      </c>
      <c r="B2187" s="8" t="s">
        <v>3459</v>
      </c>
      <c r="C2187" s="8" t="s">
        <v>141</v>
      </c>
      <c r="D2187" s="8" t="s">
        <v>6420</v>
      </c>
      <c r="E2187" s="8">
        <v>81.0</v>
      </c>
    </row>
    <row r="2188">
      <c r="A2188" s="8" t="s">
        <v>472</v>
      </c>
      <c r="B2188" s="8" t="s">
        <v>687</v>
      </c>
      <c r="C2188" s="8" t="s">
        <v>141</v>
      </c>
      <c r="D2188" s="8" t="s">
        <v>6442</v>
      </c>
      <c r="E2188" s="8">
        <v>93.0</v>
      </c>
    </row>
    <row r="2189">
      <c r="A2189" s="8" t="s">
        <v>1633</v>
      </c>
      <c r="B2189" s="8" t="s">
        <v>3350</v>
      </c>
      <c r="C2189" s="8" t="s">
        <v>65</v>
      </c>
      <c r="D2189" s="8" t="s">
        <v>6423</v>
      </c>
      <c r="E2189" s="8">
        <v>65.0</v>
      </c>
    </row>
    <row r="2190">
      <c r="A2190" s="8" t="s">
        <v>1633</v>
      </c>
      <c r="B2190" s="8" t="s">
        <v>1965</v>
      </c>
      <c r="C2190" s="8" t="s">
        <v>80</v>
      </c>
      <c r="D2190" s="8" t="s">
        <v>6432</v>
      </c>
      <c r="E2190" s="8">
        <v>79.0</v>
      </c>
    </row>
    <row r="2191">
      <c r="A2191" s="8" t="s">
        <v>6105</v>
      </c>
      <c r="B2191" s="8" t="s">
        <v>1055</v>
      </c>
      <c r="C2191" s="8" t="s">
        <v>93</v>
      </c>
      <c r="D2191" s="8" t="s">
        <v>6430</v>
      </c>
      <c r="E2191" s="8">
        <v>78.0</v>
      </c>
    </row>
    <row r="2192">
      <c r="A2192" s="8" t="s">
        <v>334</v>
      </c>
      <c r="B2192" s="8" t="s">
        <v>106</v>
      </c>
      <c r="C2192" s="8" t="s">
        <v>149</v>
      </c>
      <c r="D2192" s="8" t="s">
        <v>6422</v>
      </c>
      <c r="E2192" s="8">
        <v>75.0</v>
      </c>
    </row>
    <row r="2193">
      <c r="A2193" s="8" t="s">
        <v>334</v>
      </c>
      <c r="B2193" s="8" t="s">
        <v>441</v>
      </c>
      <c r="C2193" s="8" t="s">
        <v>65</v>
      </c>
      <c r="D2193" s="8" t="s">
        <v>6422</v>
      </c>
      <c r="E2193" s="8">
        <v>70.0</v>
      </c>
    </row>
    <row r="2194">
      <c r="A2194" s="8" t="s">
        <v>334</v>
      </c>
      <c r="B2194" s="8" t="s">
        <v>78</v>
      </c>
      <c r="C2194" s="8" t="s">
        <v>46</v>
      </c>
      <c r="D2194" s="8" t="s">
        <v>6416</v>
      </c>
      <c r="E2194" s="8">
        <v>95.0</v>
      </c>
    </row>
    <row r="2195">
      <c r="A2195" s="8" t="s">
        <v>334</v>
      </c>
      <c r="B2195" s="8" t="s">
        <v>766</v>
      </c>
      <c r="C2195" s="8" t="s">
        <v>59</v>
      </c>
      <c r="D2195" s="8" t="s">
        <v>6416</v>
      </c>
      <c r="E2195" s="8">
        <v>81.0</v>
      </c>
    </row>
    <row r="2196">
      <c r="A2196" s="8" t="s">
        <v>615</v>
      </c>
      <c r="B2196" s="8" t="s">
        <v>614</v>
      </c>
      <c r="C2196" s="8" t="s">
        <v>38</v>
      </c>
      <c r="D2196" s="8" t="s">
        <v>6416</v>
      </c>
      <c r="E2196" s="8">
        <v>79.0</v>
      </c>
    </row>
    <row r="2197">
      <c r="A2197" s="8" t="s">
        <v>1143</v>
      </c>
      <c r="B2197" s="8" t="s">
        <v>1142</v>
      </c>
      <c r="C2197" s="8" t="s">
        <v>93</v>
      </c>
      <c r="D2197" s="8" t="s">
        <v>6434</v>
      </c>
      <c r="E2197" s="8">
        <v>66.0</v>
      </c>
    </row>
    <row r="2198">
      <c r="A2198" s="8" t="s">
        <v>3182</v>
      </c>
      <c r="B2198" s="8" t="s">
        <v>2315</v>
      </c>
      <c r="C2198" s="8" t="s">
        <v>16</v>
      </c>
      <c r="D2198" s="8" t="s">
        <v>6433</v>
      </c>
      <c r="E2198" s="8">
        <v>64.0</v>
      </c>
    </row>
    <row r="2199">
      <c r="A2199" s="8" t="s">
        <v>1028</v>
      </c>
      <c r="B2199" s="8" t="s">
        <v>1027</v>
      </c>
      <c r="C2199" s="8" t="s">
        <v>16</v>
      </c>
      <c r="D2199" s="8" t="s">
        <v>6412</v>
      </c>
      <c r="E2199" s="8">
        <v>76.0</v>
      </c>
    </row>
    <row r="2200">
      <c r="A2200" s="8" t="s">
        <v>1028</v>
      </c>
      <c r="B2200" s="8" t="s">
        <v>3012</v>
      </c>
      <c r="C2200" s="8" t="s">
        <v>53</v>
      </c>
      <c r="D2200" s="8" t="s">
        <v>6415</v>
      </c>
      <c r="E2200" s="8">
        <v>67.0</v>
      </c>
    </row>
    <row r="2201">
      <c r="A2201" s="8" t="s">
        <v>1028</v>
      </c>
      <c r="B2201" s="8" t="s">
        <v>61</v>
      </c>
      <c r="C2201" s="8" t="s">
        <v>65</v>
      </c>
      <c r="D2201" s="8" t="s">
        <v>6421</v>
      </c>
      <c r="E2201" s="8">
        <v>64.0</v>
      </c>
    </row>
    <row r="2202">
      <c r="A2202" s="8" t="s">
        <v>1028</v>
      </c>
      <c r="B2202" s="8" t="s">
        <v>78</v>
      </c>
      <c r="C2202" s="8" t="s">
        <v>93</v>
      </c>
      <c r="D2202" s="8" t="s">
        <v>6432</v>
      </c>
      <c r="E2202" s="8">
        <v>66.0</v>
      </c>
    </row>
    <row r="2203">
      <c r="A2203" s="8" t="s">
        <v>1028</v>
      </c>
      <c r="B2203" s="8" t="s">
        <v>308</v>
      </c>
      <c r="C2203" s="8" t="s">
        <v>141</v>
      </c>
      <c r="D2203" s="8" t="s">
        <v>6431</v>
      </c>
      <c r="E2203" s="8">
        <v>64.0</v>
      </c>
    </row>
    <row r="2204">
      <c r="A2204" s="8" t="s">
        <v>1028</v>
      </c>
      <c r="B2204" s="8" t="s">
        <v>644</v>
      </c>
      <c r="C2204" s="8" t="s">
        <v>186</v>
      </c>
      <c r="D2204" s="8" t="s">
        <v>6436</v>
      </c>
      <c r="E2204" s="8">
        <v>57.0</v>
      </c>
    </row>
    <row r="2205">
      <c r="A2205" s="8" t="s">
        <v>865</v>
      </c>
      <c r="B2205" s="8" t="s">
        <v>3192</v>
      </c>
      <c r="C2205" s="8" t="s">
        <v>80</v>
      </c>
      <c r="D2205" s="8" t="s">
        <v>6443</v>
      </c>
      <c r="E2205" s="8">
        <v>61.0</v>
      </c>
    </row>
    <row r="2206">
      <c r="A2206" s="8" t="s">
        <v>865</v>
      </c>
      <c r="B2206" s="8" t="s">
        <v>715</v>
      </c>
      <c r="C2206" s="8" t="s">
        <v>75</v>
      </c>
      <c r="D2206" s="8" t="s">
        <v>6417</v>
      </c>
      <c r="E2206" s="8">
        <v>66.0</v>
      </c>
    </row>
    <row r="2207">
      <c r="A2207" s="8" t="s">
        <v>865</v>
      </c>
      <c r="B2207" s="8" t="s">
        <v>1834</v>
      </c>
      <c r="C2207" s="8" t="s">
        <v>138</v>
      </c>
      <c r="D2207" s="8" t="s">
        <v>6418</v>
      </c>
      <c r="E2207" s="8">
        <v>69.0</v>
      </c>
    </row>
    <row r="2208">
      <c r="A2208" s="8" t="s">
        <v>865</v>
      </c>
      <c r="B2208" s="8" t="s">
        <v>913</v>
      </c>
      <c r="C2208" s="8" t="s">
        <v>215</v>
      </c>
      <c r="D2208" s="8" t="s">
        <v>6436</v>
      </c>
      <c r="E2208" s="8">
        <v>82.0</v>
      </c>
    </row>
    <row r="2209">
      <c r="A2209" s="8" t="s">
        <v>865</v>
      </c>
      <c r="B2209" s="8" t="s">
        <v>864</v>
      </c>
      <c r="C2209" s="8" t="s">
        <v>24</v>
      </c>
      <c r="D2209" s="8" t="s">
        <v>6424</v>
      </c>
      <c r="E2209" s="8">
        <v>79.0</v>
      </c>
    </row>
    <row r="2210">
      <c r="A2210" s="8" t="s">
        <v>1194</v>
      </c>
      <c r="B2210" s="8" t="s">
        <v>1193</v>
      </c>
      <c r="C2210" s="8" t="s">
        <v>122</v>
      </c>
      <c r="D2210" s="8" t="s">
        <v>6438</v>
      </c>
      <c r="E2210" s="8">
        <v>65.0</v>
      </c>
    </row>
    <row r="2211">
      <c r="A2211" s="8" t="s">
        <v>3010</v>
      </c>
      <c r="B2211" s="8" t="s">
        <v>223</v>
      </c>
      <c r="C2211" s="8" t="s">
        <v>93</v>
      </c>
      <c r="D2211" s="8" t="s">
        <v>6432</v>
      </c>
      <c r="E2211" s="8">
        <v>66.0</v>
      </c>
    </row>
    <row r="2212">
      <c r="A2212" s="8" t="s">
        <v>713</v>
      </c>
      <c r="B2212" s="8" t="s">
        <v>2968</v>
      </c>
      <c r="C2212" s="8" t="s">
        <v>24</v>
      </c>
      <c r="D2212" s="8" t="s">
        <v>6419</v>
      </c>
      <c r="E2212" s="8">
        <v>74.0</v>
      </c>
    </row>
    <row r="2213">
      <c r="A2213" s="8" t="s">
        <v>713</v>
      </c>
      <c r="B2213" s="8" t="s">
        <v>537</v>
      </c>
      <c r="C2213" s="8" t="s">
        <v>93</v>
      </c>
      <c r="D2213" s="8" t="s">
        <v>6414</v>
      </c>
      <c r="E2213" s="8">
        <v>66.0</v>
      </c>
    </row>
    <row r="2214">
      <c r="A2214" s="8" t="s">
        <v>1578</v>
      </c>
      <c r="B2214" s="8" t="s">
        <v>1577</v>
      </c>
      <c r="C2214" s="8" t="s">
        <v>70</v>
      </c>
      <c r="D2214" s="8" t="s">
        <v>6428</v>
      </c>
      <c r="E2214" s="8">
        <v>65.0</v>
      </c>
    </row>
    <row r="2215">
      <c r="A2215" s="8" t="s">
        <v>553</v>
      </c>
      <c r="B2215" s="8" t="s">
        <v>389</v>
      </c>
      <c r="C2215" s="8" t="s">
        <v>93</v>
      </c>
      <c r="D2215" s="8" t="s">
        <v>6414</v>
      </c>
      <c r="E2215" s="8">
        <v>82.0</v>
      </c>
    </row>
    <row r="2216">
      <c r="A2216" s="8" t="s">
        <v>170</v>
      </c>
      <c r="B2216" s="8" t="s">
        <v>1265</v>
      </c>
      <c r="C2216" s="8" t="s">
        <v>70</v>
      </c>
      <c r="D2216" s="8" t="s">
        <v>6421</v>
      </c>
      <c r="E2216" s="8">
        <v>83.0</v>
      </c>
    </row>
    <row r="2217">
      <c r="A2217" s="8" t="s">
        <v>170</v>
      </c>
      <c r="B2217" s="8" t="s">
        <v>169</v>
      </c>
      <c r="C2217" s="8" t="s">
        <v>46</v>
      </c>
      <c r="D2217" s="8" t="s">
        <v>6416</v>
      </c>
      <c r="E2217" s="8">
        <v>74.0</v>
      </c>
    </row>
    <row r="2218">
      <c r="A2218" s="8" t="s">
        <v>170</v>
      </c>
      <c r="B2218" s="8" t="s">
        <v>1019</v>
      </c>
      <c r="C2218" s="8" t="s">
        <v>149</v>
      </c>
      <c r="D2218" s="8" t="s">
        <v>6412</v>
      </c>
      <c r="E2218" s="8">
        <v>70.0</v>
      </c>
    </row>
    <row r="2219">
      <c r="A2219" s="8" t="s">
        <v>1141</v>
      </c>
      <c r="B2219" s="8" t="s">
        <v>1140</v>
      </c>
      <c r="C2219" s="8" t="s">
        <v>122</v>
      </c>
      <c r="D2219" s="8" t="s">
        <v>6418</v>
      </c>
      <c r="E2219" s="8">
        <v>72.0</v>
      </c>
    </row>
    <row r="2220">
      <c r="A2220" s="8" t="s">
        <v>676</v>
      </c>
      <c r="B2220" s="8" t="s">
        <v>675</v>
      </c>
      <c r="C2220" s="8" t="s">
        <v>24</v>
      </c>
      <c r="D2220" s="8" t="s">
        <v>6417</v>
      </c>
      <c r="E2220" s="8">
        <v>91.0</v>
      </c>
    </row>
    <row r="2221">
      <c r="A2221" s="8" t="s">
        <v>676</v>
      </c>
      <c r="B2221" s="8" t="s">
        <v>1234</v>
      </c>
      <c r="C2221" s="8" t="s">
        <v>65</v>
      </c>
      <c r="D2221" s="8" t="s">
        <v>6433</v>
      </c>
      <c r="E2221" s="8">
        <v>80.0</v>
      </c>
    </row>
    <row r="2222">
      <c r="A2222" s="8" t="s">
        <v>676</v>
      </c>
      <c r="B2222" s="8" t="s">
        <v>1221</v>
      </c>
      <c r="C2222" s="8" t="s">
        <v>24</v>
      </c>
      <c r="D2222" s="8" t="s">
        <v>6417</v>
      </c>
      <c r="E2222" s="8">
        <v>69.0</v>
      </c>
    </row>
    <row r="2223">
      <c r="A2223" s="8" t="s">
        <v>676</v>
      </c>
      <c r="B2223" s="8" t="s">
        <v>1438</v>
      </c>
      <c r="C2223" s="8" t="s">
        <v>70</v>
      </c>
      <c r="D2223" s="8" t="s">
        <v>6434</v>
      </c>
      <c r="E2223" s="8">
        <v>64.0</v>
      </c>
    </row>
    <row r="2224">
      <c r="A2224" s="8" t="s">
        <v>676</v>
      </c>
      <c r="B2224" s="8" t="s">
        <v>1002</v>
      </c>
      <c r="C2224" s="8" t="s">
        <v>24</v>
      </c>
      <c r="D2224" s="8" t="s">
        <v>6433</v>
      </c>
      <c r="E2224" s="8">
        <v>47.0</v>
      </c>
    </row>
    <row r="2225">
      <c r="A2225" s="8" t="s">
        <v>676</v>
      </c>
      <c r="B2225" s="8" t="s">
        <v>1716</v>
      </c>
      <c r="C2225" s="8" t="s">
        <v>65</v>
      </c>
      <c r="D2225" s="8" t="s">
        <v>6417</v>
      </c>
      <c r="E2225" s="8">
        <v>74.0</v>
      </c>
    </row>
    <row r="2226">
      <c r="A2226" s="8" t="s">
        <v>676</v>
      </c>
      <c r="B2226" s="8" t="s">
        <v>858</v>
      </c>
      <c r="C2226" s="8" t="s">
        <v>16</v>
      </c>
      <c r="D2226" s="8" t="s">
        <v>6437</v>
      </c>
      <c r="E2226" s="8">
        <v>60.0</v>
      </c>
    </row>
    <row r="2227">
      <c r="A2227" s="8" t="s">
        <v>676</v>
      </c>
      <c r="B2227" s="8" t="s">
        <v>1198</v>
      </c>
      <c r="C2227" s="8" t="s">
        <v>24</v>
      </c>
      <c r="D2227" s="8" t="s">
        <v>6414</v>
      </c>
      <c r="E2227" s="8">
        <v>70.0</v>
      </c>
    </row>
    <row r="2228">
      <c r="A2228" s="8" t="s">
        <v>676</v>
      </c>
      <c r="B2228" s="8" t="s">
        <v>3390</v>
      </c>
      <c r="C2228" s="8" t="s">
        <v>93</v>
      </c>
      <c r="D2228" s="8" t="s">
        <v>6413</v>
      </c>
      <c r="E2228" s="8">
        <v>69.0</v>
      </c>
    </row>
    <row r="2229">
      <c r="A2229" s="8" t="s">
        <v>676</v>
      </c>
      <c r="B2229" s="8" t="s">
        <v>3412</v>
      </c>
      <c r="C2229" s="8" t="s">
        <v>261</v>
      </c>
      <c r="D2229" s="8" t="s">
        <v>6431</v>
      </c>
      <c r="E2229" s="8">
        <v>70.0</v>
      </c>
    </row>
    <row r="2230">
      <c r="A2230" s="8" t="s">
        <v>676</v>
      </c>
      <c r="B2230" s="8" t="s">
        <v>1243</v>
      </c>
      <c r="C2230" s="8" t="s">
        <v>186</v>
      </c>
      <c r="D2230" s="8" t="s">
        <v>6439</v>
      </c>
      <c r="E2230" s="8">
        <v>64.0</v>
      </c>
    </row>
    <row r="2231">
      <c r="A2231" s="8" t="s">
        <v>676</v>
      </c>
      <c r="B2231" s="8" t="s">
        <v>795</v>
      </c>
      <c r="C2231" s="8" t="s">
        <v>75</v>
      </c>
      <c r="D2231" s="8" t="s">
        <v>6413</v>
      </c>
      <c r="E2231" s="8">
        <v>68.0</v>
      </c>
    </row>
    <row r="2232">
      <c r="A2232" s="8" t="s">
        <v>676</v>
      </c>
      <c r="B2232" s="8" t="s">
        <v>210</v>
      </c>
      <c r="C2232" s="8" t="s">
        <v>141</v>
      </c>
      <c r="D2232" s="8" t="s">
        <v>6441</v>
      </c>
      <c r="E2232" s="8">
        <v>67.0</v>
      </c>
    </row>
    <row r="2233">
      <c r="A2233" s="8" t="s">
        <v>978</v>
      </c>
      <c r="B2233" s="8" t="s">
        <v>977</v>
      </c>
      <c r="C2233" s="8" t="s">
        <v>80</v>
      </c>
      <c r="D2233" s="8" t="s">
        <v>6419</v>
      </c>
      <c r="E2233" s="8">
        <v>87.0</v>
      </c>
    </row>
    <row r="2234">
      <c r="A2234" s="8" t="s">
        <v>867</v>
      </c>
      <c r="B2234" s="8" t="s">
        <v>537</v>
      </c>
      <c r="C2234" s="8" t="s">
        <v>65</v>
      </c>
      <c r="D2234" s="8" t="s">
        <v>6437</v>
      </c>
      <c r="E2234" s="8">
        <v>83.0</v>
      </c>
    </row>
    <row r="2235">
      <c r="A2235" s="8" t="s">
        <v>867</v>
      </c>
      <c r="B2235" s="8" t="s">
        <v>866</v>
      </c>
      <c r="C2235" s="8" t="s">
        <v>46</v>
      </c>
      <c r="D2235" s="8" t="s">
        <v>6432</v>
      </c>
      <c r="E2235" s="8">
        <v>62.0</v>
      </c>
    </row>
    <row r="2236">
      <c r="A2236" s="8" t="s">
        <v>836</v>
      </c>
      <c r="B2236" s="8" t="s">
        <v>78</v>
      </c>
      <c r="C2236" s="8" t="s">
        <v>65</v>
      </c>
      <c r="D2236" s="8" t="s">
        <v>6432</v>
      </c>
      <c r="E2236" s="8">
        <v>80.0</v>
      </c>
    </row>
    <row r="2237">
      <c r="A2237" s="8" t="s">
        <v>836</v>
      </c>
      <c r="B2237" s="8" t="s">
        <v>835</v>
      </c>
      <c r="C2237" s="8" t="s">
        <v>53</v>
      </c>
      <c r="D2237" s="8" t="s">
        <v>6438</v>
      </c>
      <c r="E2237" s="8">
        <v>62.0</v>
      </c>
    </row>
    <row r="2238">
      <c r="A2238" s="8" t="s">
        <v>442</v>
      </c>
      <c r="B2238" s="8" t="s">
        <v>441</v>
      </c>
      <c r="C2238" s="8" t="s">
        <v>16</v>
      </c>
      <c r="D2238" s="8" t="s">
        <v>6430</v>
      </c>
      <c r="E2238" s="8">
        <v>82.0</v>
      </c>
    </row>
    <row r="2239">
      <c r="A2239" s="8" t="s">
        <v>802</v>
      </c>
      <c r="B2239" s="8" t="s">
        <v>99</v>
      </c>
      <c r="C2239" s="8" t="s">
        <v>46</v>
      </c>
      <c r="D2239" s="8" t="s">
        <v>6442</v>
      </c>
      <c r="E2239" s="8">
        <v>94.0</v>
      </c>
    </row>
    <row r="2240">
      <c r="A2240" s="8" t="s">
        <v>501</v>
      </c>
      <c r="B2240" s="8" t="s">
        <v>359</v>
      </c>
      <c r="C2240" s="8" t="s">
        <v>138</v>
      </c>
      <c r="D2240" s="8" t="s">
        <v>6442</v>
      </c>
      <c r="E2240" s="8">
        <v>77.0</v>
      </c>
    </row>
    <row r="2241">
      <c r="A2241" s="8" t="s">
        <v>501</v>
      </c>
      <c r="B2241" s="8" t="s">
        <v>276</v>
      </c>
      <c r="C2241" s="8" t="s">
        <v>138</v>
      </c>
      <c r="D2241" s="8" t="s">
        <v>6443</v>
      </c>
      <c r="E2241" s="8">
        <v>69.0</v>
      </c>
    </row>
    <row r="2242">
      <c r="A2242" s="8" t="s">
        <v>3470</v>
      </c>
      <c r="B2242" s="8" t="s">
        <v>444</v>
      </c>
      <c r="C2242" s="8" t="s">
        <v>46</v>
      </c>
      <c r="D2242" s="8" t="s">
        <v>6441</v>
      </c>
      <c r="E2242" s="8">
        <v>66.0</v>
      </c>
    </row>
    <row r="2243">
      <c r="A2243" s="8" t="s">
        <v>188</v>
      </c>
      <c r="B2243" s="8" t="s">
        <v>187</v>
      </c>
      <c r="C2243" s="8" t="s">
        <v>138</v>
      </c>
      <c r="D2243" s="8" t="s">
        <v>6439</v>
      </c>
      <c r="E2243" s="8">
        <v>73.0</v>
      </c>
    </row>
    <row r="2244">
      <c r="A2244" s="8" t="s">
        <v>1715</v>
      </c>
      <c r="B2244" s="8" t="s">
        <v>1714</v>
      </c>
      <c r="C2244" s="8" t="s">
        <v>53</v>
      </c>
      <c r="D2244" s="8" t="s">
        <v>6435</v>
      </c>
      <c r="E2244" s="8">
        <v>71.0</v>
      </c>
    </row>
    <row r="2245">
      <c r="A2245" s="8" t="s">
        <v>3001</v>
      </c>
      <c r="B2245" s="8" t="s">
        <v>2220</v>
      </c>
      <c r="C2245" s="8" t="s">
        <v>192</v>
      </c>
      <c r="D2245" s="8" t="s">
        <v>6428</v>
      </c>
      <c r="E2245" s="8">
        <v>60.0</v>
      </c>
    </row>
    <row r="2246">
      <c r="A2246" s="8" t="s">
        <v>3183</v>
      </c>
      <c r="B2246" s="8" t="s">
        <v>1381</v>
      </c>
      <c r="C2246" s="8" t="s">
        <v>192</v>
      </c>
      <c r="D2246" s="8" t="s">
        <v>6419</v>
      </c>
      <c r="E2246" s="8">
        <v>77.0</v>
      </c>
    </row>
    <row r="2247">
      <c r="A2247" s="8" t="s">
        <v>1213</v>
      </c>
      <c r="B2247" s="8" t="s">
        <v>1212</v>
      </c>
      <c r="C2247" s="8" t="s">
        <v>138</v>
      </c>
      <c r="D2247" s="8" t="s">
        <v>6434</v>
      </c>
      <c r="E2247" s="8">
        <v>61.0</v>
      </c>
    </row>
    <row r="2248">
      <c r="A2248" s="8" t="s">
        <v>2779</v>
      </c>
      <c r="B2248" s="8" t="s">
        <v>2778</v>
      </c>
      <c r="C2248" s="8" t="s">
        <v>186</v>
      </c>
      <c r="D2248" s="8" t="s">
        <v>6437</v>
      </c>
      <c r="E2248" s="8">
        <v>62.0</v>
      </c>
    </row>
    <row r="2249">
      <c r="A2249" s="8" t="s">
        <v>949</v>
      </c>
      <c r="B2249" s="8" t="s">
        <v>23</v>
      </c>
      <c r="C2249" s="8" t="s">
        <v>149</v>
      </c>
      <c r="D2249" s="8" t="s">
        <v>6419</v>
      </c>
      <c r="E2249" s="8">
        <v>69.0</v>
      </c>
    </row>
    <row r="2250">
      <c r="A2250" s="8" t="s">
        <v>3380</v>
      </c>
      <c r="B2250" s="8" t="s">
        <v>2971</v>
      </c>
      <c r="C2250" s="8" t="s">
        <v>65</v>
      </c>
      <c r="D2250" s="8" t="s">
        <v>6442</v>
      </c>
      <c r="E2250" s="8">
        <v>64.0</v>
      </c>
    </row>
    <row r="2251">
      <c r="A2251" s="8" t="s">
        <v>2654</v>
      </c>
      <c r="B2251" s="8" t="s">
        <v>57</v>
      </c>
      <c r="C2251" s="8" t="s">
        <v>132</v>
      </c>
      <c r="D2251" s="8" t="s">
        <v>6438</v>
      </c>
      <c r="E2251" s="8">
        <v>67.0</v>
      </c>
    </row>
    <row r="2252">
      <c r="A2252" s="8" t="s">
        <v>3178</v>
      </c>
      <c r="B2252" s="8" t="s">
        <v>647</v>
      </c>
      <c r="C2252" s="8" t="s">
        <v>93</v>
      </c>
      <c r="D2252" s="8" t="s">
        <v>6425</v>
      </c>
      <c r="E2252" s="8">
        <v>72.0</v>
      </c>
    </row>
    <row r="2253">
      <c r="A2253" s="8" t="s">
        <v>583</v>
      </c>
      <c r="B2253" s="8" t="s">
        <v>582</v>
      </c>
      <c r="C2253" s="8" t="s">
        <v>24</v>
      </c>
      <c r="D2253" s="8" t="s">
        <v>6422</v>
      </c>
      <c r="E2253" s="8">
        <v>77.0</v>
      </c>
    </row>
    <row r="2254">
      <c r="A2254" s="8" t="s">
        <v>84</v>
      </c>
      <c r="B2254" s="8" t="s">
        <v>2834</v>
      </c>
      <c r="C2254" s="8" t="s">
        <v>93</v>
      </c>
      <c r="D2254" s="8" t="s">
        <v>6426</v>
      </c>
      <c r="E2254" s="8">
        <v>75.0</v>
      </c>
    </row>
    <row r="2255">
      <c r="A2255" s="8" t="s">
        <v>84</v>
      </c>
      <c r="B2255" s="8" t="s">
        <v>61</v>
      </c>
      <c r="C2255" s="8" t="s">
        <v>24</v>
      </c>
      <c r="D2255" s="8" t="s">
        <v>6416</v>
      </c>
      <c r="E2255" s="8">
        <v>80.0</v>
      </c>
    </row>
    <row r="2256">
      <c r="A2256" s="8" t="s">
        <v>84</v>
      </c>
      <c r="B2256" s="8" t="s">
        <v>486</v>
      </c>
      <c r="C2256" s="8" t="s">
        <v>122</v>
      </c>
      <c r="D2256" s="8" t="s">
        <v>6441</v>
      </c>
      <c r="E2256" s="8">
        <v>75.0</v>
      </c>
    </row>
    <row r="2257">
      <c r="A2257" s="8" t="s">
        <v>845</v>
      </c>
      <c r="B2257" s="8" t="s">
        <v>2678</v>
      </c>
      <c r="C2257" s="8" t="s">
        <v>53</v>
      </c>
      <c r="D2257" s="8" t="s">
        <v>6431</v>
      </c>
      <c r="E2257" s="8">
        <v>83.0</v>
      </c>
    </row>
    <row r="2258">
      <c r="A2258" s="8" t="s">
        <v>1598</v>
      </c>
      <c r="B2258" s="8" t="s">
        <v>3218</v>
      </c>
      <c r="C2258" s="8" t="s">
        <v>65</v>
      </c>
      <c r="D2258" s="8" t="s">
        <v>6427</v>
      </c>
      <c r="E2258" s="8">
        <v>77.0</v>
      </c>
    </row>
    <row r="2259">
      <c r="A2259" s="8" t="s">
        <v>1598</v>
      </c>
      <c r="B2259" s="8" t="s">
        <v>3381</v>
      </c>
      <c r="C2259" s="8" t="s">
        <v>53</v>
      </c>
      <c r="D2259" s="8" t="s">
        <v>6423</v>
      </c>
      <c r="E2259" s="8">
        <v>61.0</v>
      </c>
    </row>
    <row r="2260">
      <c r="A2260" s="8" t="s">
        <v>1598</v>
      </c>
      <c r="B2260" s="8" t="s">
        <v>2692</v>
      </c>
      <c r="C2260" s="8" t="s">
        <v>65</v>
      </c>
      <c r="D2260" s="8" t="s">
        <v>6422</v>
      </c>
      <c r="E2260" s="8">
        <v>61.0</v>
      </c>
    </row>
    <row r="2261">
      <c r="A2261" s="8" t="s">
        <v>619</v>
      </c>
      <c r="B2261" s="8" t="s">
        <v>78</v>
      </c>
      <c r="C2261" s="8" t="s">
        <v>186</v>
      </c>
      <c r="D2261" s="8" t="s">
        <v>6439</v>
      </c>
      <c r="E2261" s="8">
        <v>74.0</v>
      </c>
    </row>
    <row r="2262">
      <c r="A2262" s="8" t="s">
        <v>619</v>
      </c>
      <c r="B2262" s="8" t="s">
        <v>1087</v>
      </c>
      <c r="C2262" s="8" t="s">
        <v>53</v>
      </c>
      <c r="D2262" s="8" t="s">
        <v>6421</v>
      </c>
      <c r="E2262" s="8">
        <v>68.0</v>
      </c>
    </row>
    <row r="2263">
      <c r="A2263" s="8" t="s">
        <v>619</v>
      </c>
      <c r="B2263" s="8" t="s">
        <v>752</v>
      </c>
      <c r="C2263" s="8" t="s">
        <v>65</v>
      </c>
      <c r="D2263" s="8" t="s">
        <v>6435</v>
      </c>
      <c r="E2263" s="8">
        <v>66.0</v>
      </c>
    </row>
    <row r="2264">
      <c r="A2264" s="8" t="s">
        <v>1640</v>
      </c>
      <c r="B2264" s="8" t="s">
        <v>1655</v>
      </c>
      <c r="C2264" s="8" t="s">
        <v>122</v>
      </c>
      <c r="D2264" s="8" t="s">
        <v>6436</v>
      </c>
      <c r="E2264" s="8">
        <v>70.0</v>
      </c>
    </row>
    <row r="2265">
      <c r="A2265" s="8" t="s">
        <v>1640</v>
      </c>
      <c r="B2265" s="8" t="s">
        <v>441</v>
      </c>
      <c r="C2265" s="8" t="s">
        <v>122</v>
      </c>
      <c r="D2265" s="8" t="s">
        <v>6415</v>
      </c>
      <c r="E2265" s="8">
        <v>65.0</v>
      </c>
    </row>
    <row r="2266">
      <c r="A2266" s="8" t="s">
        <v>1640</v>
      </c>
      <c r="B2266" s="8" t="s">
        <v>3013</v>
      </c>
      <c r="C2266" s="8" t="s">
        <v>186</v>
      </c>
      <c r="D2266" s="8" t="s">
        <v>6417</v>
      </c>
      <c r="E2266" s="8">
        <v>80.0</v>
      </c>
    </row>
    <row r="2267">
      <c r="A2267" s="8" t="s">
        <v>3456</v>
      </c>
      <c r="B2267" s="8" t="s">
        <v>3455</v>
      </c>
      <c r="C2267" s="8" t="s">
        <v>80</v>
      </c>
      <c r="D2267" s="8" t="s">
        <v>6422</v>
      </c>
      <c r="E2267" s="8">
        <v>64.0</v>
      </c>
    </row>
    <row r="2268">
      <c r="A2268" s="8" t="s">
        <v>257</v>
      </c>
      <c r="B2268" s="8" t="s">
        <v>256</v>
      </c>
      <c r="C2268" s="8" t="s">
        <v>215</v>
      </c>
      <c r="D2268" s="8" t="s">
        <v>6424</v>
      </c>
      <c r="E2268" s="8">
        <v>79.0</v>
      </c>
    </row>
    <row r="2269">
      <c r="A2269" s="8" t="s">
        <v>2980</v>
      </c>
      <c r="B2269" s="8" t="s">
        <v>2979</v>
      </c>
      <c r="C2269" s="8" t="s">
        <v>149</v>
      </c>
      <c r="D2269" s="8" t="s">
        <v>6416</v>
      </c>
      <c r="E2269" s="8">
        <v>66.0</v>
      </c>
    </row>
    <row r="2270">
      <c r="A2270" s="8" t="s">
        <v>270</v>
      </c>
      <c r="B2270" s="8" t="s">
        <v>268</v>
      </c>
      <c r="C2270" s="8" t="s">
        <v>24</v>
      </c>
      <c r="D2270" s="8" t="s">
        <v>6412</v>
      </c>
      <c r="E2270" s="8">
        <v>81.0</v>
      </c>
    </row>
    <row r="2271">
      <c r="A2271" s="8" t="s">
        <v>265</v>
      </c>
      <c r="B2271" s="8" t="s">
        <v>264</v>
      </c>
      <c r="C2271" s="8" t="s">
        <v>132</v>
      </c>
      <c r="D2271" s="8" t="s">
        <v>6430</v>
      </c>
      <c r="E2271" s="8">
        <v>72.0</v>
      </c>
    </row>
    <row r="2272">
      <c r="A2272" s="8" t="s">
        <v>403</v>
      </c>
      <c r="B2272" s="8" t="s">
        <v>402</v>
      </c>
      <c r="C2272" s="8" t="s">
        <v>53</v>
      </c>
      <c r="D2272" s="8" t="s">
        <v>6412</v>
      </c>
      <c r="E2272" s="8">
        <v>99.0</v>
      </c>
    </row>
    <row r="2273">
      <c r="A2273" s="8" t="s">
        <v>1694</v>
      </c>
      <c r="B2273" s="8" t="s">
        <v>646</v>
      </c>
      <c r="C2273" s="8" t="s">
        <v>80</v>
      </c>
      <c r="D2273" s="8" t="s">
        <v>6418</v>
      </c>
      <c r="E2273" s="8">
        <v>74.0</v>
      </c>
    </row>
    <row r="2274">
      <c r="A2274" s="8" t="s">
        <v>2759</v>
      </c>
      <c r="B2274" s="8" t="s">
        <v>61</v>
      </c>
      <c r="C2274" s="8" t="s">
        <v>93</v>
      </c>
      <c r="D2274" s="8" t="s">
        <v>6428</v>
      </c>
      <c r="E2274" s="8">
        <v>86.0</v>
      </c>
    </row>
    <row r="2275">
      <c r="A2275" s="8" t="s">
        <v>1152</v>
      </c>
      <c r="B2275" s="8" t="s">
        <v>1151</v>
      </c>
      <c r="C2275" s="8" t="s">
        <v>59</v>
      </c>
      <c r="D2275" s="8" t="s">
        <v>6412</v>
      </c>
      <c r="E2275" s="8">
        <v>58.0</v>
      </c>
    </row>
    <row r="2276">
      <c r="A2276" s="8" t="s">
        <v>658</v>
      </c>
      <c r="B2276" s="8" t="s">
        <v>657</v>
      </c>
      <c r="C2276" s="8" t="s">
        <v>59</v>
      </c>
      <c r="D2276" s="8" t="s">
        <v>6417</v>
      </c>
      <c r="E2276" s="8">
        <v>87.0</v>
      </c>
    </row>
    <row r="2277">
      <c r="A2277" s="8" t="s">
        <v>1328</v>
      </c>
      <c r="B2277" s="8" t="s">
        <v>3271</v>
      </c>
      <c r="C2277" s="8" t="s">
        <v>215</v>
      </c>
      <c r="D2277" s="8" t="s">
        <v>6417</v>
      </c>
      <c r="E2277" s="8">
        <v>70.0</v>
      </c>
    </row>
    <row r="2278">
      <c r="A2278" s="8" t="s">
        <v>633</v>
      </c>
      <c r="B2278" s="8" t="s">
        <v>632</v>
      </c>
      <c r="C2278" s="8" t="s">
        <v>80</v>
      </c>
      <c r="D2278" s="8" t="s">
        <v>6415</v>
      </c>
      <c r="E2278" s="8">
        <v>69.0</v>
      </c>
    </row>
    <row r="2279">
      <c r="A2279" s="8" t="s">
        <v>3399</v>
      </c>
      <c r="B2279" s="8" t="s">
        <v>2220</v>
      </c>
      <c r="C2279" s="8" t="s">
        <v>65</v>
      </c>
      <c r="D2279" s="8" t="s">
        <v>6430</v>
      </c>
      <c r="E2279" s="8">
        <v>66.0</v>
      </c>
    </row>
    <row r="2280">
      <c r="A2280" s="8" t="s">
        <v>1799</v>
      </c>
      <c r="B2280" s="8" t="s">
        <v>1798</v>
      </c>
      <c r="C2280" s="8" t="s">
        <v>70</v>
      </c>
      <c r="D2280" s="8" t="s">
        <v>6425</v>
      </c>
      <c r="E2280" s="8">
        <v>73.0</v>
      </c>
    </row>
    <row r="2281">
      <c r="A2281" s="8" t="s">
        <v>3501</v>
      </c>
      <c r="B2281" s="8" t="s">
        <v>78</v>
      </c>
      <c r="C2281" s="8" t="s">
        <v>65</v>
      </c>
      <c r="D2281" s="8" t="s">
        <v>6434</v>
      </c>
      <c r="E2281" s="8">
        <v>62.0</v>
      </c>
    </row>
    <row r="2282">
      <c r="A2282" s="8" t="s">
        <v>1618</v>
      </c>
      <c r="B2282" s="8" t="s">
        <v>1617</v>
      </c>
      <c r="C2282" s="8" t="s">
        <v>70</v>
      </c>
      <c r="D2282" s="8" t="s">
        <v>6424</v>
      </c>
      <c r="E2282" s="8">
        <v>70.0</v>
      </c>
    </row>
    <row r="2283">
      <c r="A2283" s="8" t="s">
        <v>542</v>
      </c>
      <c r="B2283" s="8" t="s">
        <v>3424</v>
      </c>
      <c r="C2283" s="8" t="s">
        <v>24</v>
      </c>
      <c r="D2283" s="8" t="s">
        <v>6430</v>
      </c>
      <c r="E2283" s="8">
        <v>62.0</v>
      </c>
    </row>
    <row r="2284">
      <c r="A2284" s="8" t="s">
        <v>542</v>
      </c>
      <c r="B2284" s="8" t="s">
        <v>3341</v>
      </c>
      <c r="C2284" s="8" t="s">
        <v>16</v>
      </c>
      <c r="D2284" s="8" t="s">
        <v>6429</v>
      </c>
      <c r="E2284" s="8">
        <v>54.0</v>
      </c>
    </row>
    <row r="2285">
      <c r="A2285" s="8" t="s">
        <v>542</v>
      </c>
      <c r="B2285" s="8" t="s">
        <v>541</v>
      </c>
      <c r="C2285" s="8" t="s">
        <v>215</v>
      </c>
      <c r="D2285" s="8" t="s">
        <v>6441</v>
      </c>
      <c r="E2285" s="8">
        <v>72.0</v>
      </c>
    </row>
    <row r="2286">
      <c r="A2286" s="8" t="s">
        <v>542</v>
      </c>
      <c r="B2286" s="8" t="s">
        <v>1602</v>
      </c>
      <c r="C2286" s="8" t="s">
        <v>132</v>
      </c>
      <c r="D2286" s="8" t="s">
        <v>6431</v>
      </c>
      <c r="E2286" s="8">
        <v>64.0</v>
      </c>
    </row>
    <row r="2287">
      <c r="A2287" s="8" t="s">
        <v>185</v>
      </c>
      <c r="B2287" s="8" t="s">
        <v>389</v>
      </c>
      <c r="C2287" s="8" t="s">
        <v>141</v>
      </c>
      <c r="D2287" s="8" t="s">
        <v>6440</v>
      </c>
      <c r="E2287" s="8">
        <v>70.0</v>
      </c>
    </row>
    <row r="2288">
      <c r="A2288" s="8" t="s">
        <v>185</v>
      </c>
      <c r="B2288" s="8" t="s">
        <v>184</v>
      </c>
      <c r="C2288" s="8" t="s">
        <v>186</v>
      </c>
      <c r="D2288" s="8" t="s">
        <v>6423</v>
      </c>
      <c r="E2288" s="8">
        <v>82.0</v>
      </c>
    </row>
    <row r="2289">
      <c r="A2289" s="8" t="s">
        <v>791</v>
      </c>
      <c r="B2289" s="8" t="s">
        <v>790</v>
      </c>
      <c r="C2289" s="8" t="s">
        <v>141</v>
      </c>
      <c r="D2289" s="8" t="s">
        <v>6425</v>
      </c>
      <c r="E2289" s="8">
        <v>86.0</v>
      </c>
    </row>
    <row r="2290">
      <c r="A2290" s="8" t="s">
        <v>587</v>
      </c>
      <c r="B2290" s="8" t="s">
        <v>586</v>
      </c>
      <c r="C2290" s="8" t="s">
        <v>59</v>
      </c>
      <c r="D2290" s="8" t="s">
        <v>6434</v>
      </c>
      <c r="E2290" s="8">
        <v>87.0</v>
      </c>
    </row>
    <row r="2291">
      <c r="A2291" s="8" t="s">
        <v>1519</v>
      </c>
      <c r="B2291" s="8" t="s">
        <v>1518</v>
      </c>
      <c r="C2291" s="8" t="s">
        <v>12</v>
      </c>
      <c r="D2291" s="8" t="s">
        <v>6418</v>
      </c>
      <c r="E2291" s="8">
        <v>79.0</v>
      </c>
    </row>
    <row r="2292">
      <c r="A2292" s="8" t="s">
        <v>1046</v>
      </c>
      <c r="B2292" s="8" t="s">
        <v>3177</v>
      </c>
      <c r="C2292" s="8" t="s">
        <v>80</v>
      </c>
      <c r="D2292" s="8" t="s">
        <v>6416</v>
      </c>
      <c r="E2292" s="8">
        <v>77.0</v>
      </c>
    </row>
    <row r="2293">
      <c r="A2293" s="8" t="s">
        <v>1046</v>
      </c>
      <c r="B2293" s="8" t="s">
        <v>61</v>
      </c>
      <c r="C2293" s="8" t="s">
        <v>93</v>
      </c>
      <c r="D2293" s="8" t="s">
        <v>6422</v>
      </c>
      <c r="E2293" s="8">
        <v>70.0</v>
      </c>
    </row>
    <row r="2294">
      <c r="A2294" s="8" t="s">
        <v>1046</v>
      </c>
      <c r="B2294" s="8" t="s">
        <v>2796</v>
      </c>
      <c r="C2294" s="8" t="s">
        <v>65</v>
      </c>
      <c r="D2294" s="8" t="s">
        <v>6434</v>
      </c>
      <c r="E2294" s="8">
        <v>76.0</v>
      </c>
    </row>
    <row r="2295">
      <c r="A2295" s="8" t="s">
        <v>1046</v>
      </c>
      <c r="B2295" s="8" t="s">
        <v>1984</v>
      </c>
      <c r="C2295" s="8" t="s">
        <v>122</v>
      </c>
      <c r="D2295" s="8" t="s">
        <v>6429</v>
      </c>
      <c r="E2295" s="8">
        <v>70.0</v>
      </c>
    </row>
    <row r="2296">
      <c r="A2296" s="8" t="s">
        <v>1046</v>
      </c>
      <c r="B2296" s="8" t="s">
        <v>3203</v>
      </c>
      <c r="C2296" s="8" t="s">
        <v>215</v>
      </c>
      <c r="D2296" s="8" t="s">
        <v>6417</v>
      </c>
      <c r="E2296" s="8">
        <v>70.0</v>
      </c>
    </row>
    <row r="2297">
      <c r="A2297" s="8" t="s">
        <v>1046</v>
      </c>
      <c r="B2297" s="8" t="s">
        <v>1297</v>
      </c>
      <c r="C2297" s="8" t="s">
        <v>93</v>
      </c>
      <c r="D2297" s="8" t="s">
        <v>6422</v>
      </c>
      <c r="E2297" s="8">
        <v>67.0</v>
      </c>
    </row>
    <row r="2298">
      <c r="A2298" s="8" t="s">
        <v>1046</v>
      </c>
      <c r="B2298" s="8" t="s">
        <v>1045</v>
      </c>
      <c r="C2298" s="8" t="s">
        <v>24</v>
      </c>
      <c r="D2298" s="8" t="s">
        <v>6425</v>
      </c>
      <c r="E2298" s="8">
        <v>75.0</v>
      </c>
    </row>
    <row r="2299">
      <c r="A2299" s="8" t="s">
        <v>1046</v>
      </c>
      <c r="B2299" s="8" t="s">
        <v>1564</v>
      </c>
      <c r="C2299" s="8" t="s">
        <v>192</v>
      </c>
      <c r="D2299" s="8" t="s">
        <v>6412</v>
      </c>
      <c r="E2299" s="8">
        <v>69.0</v>
      </c>
    </row>
    <row r="2300">
      <c r="A2300" s="8" t="s">
        <v>1046</v>
      </c>
      <c r="B2300" s="8" t="s">
        <v>1476</v>
      </c>
      <c r="C2300" s="8" t="s">
        <v>46</v>
      </c>
      <c r="D2300" s="8" t="s">
        <v>6419</v>
      </c>
      <c r="E2300" s="8">
        <v>68.0</v>
      </c>
    </row>
    <row r="2301">
      <c r="A2301" s="8" t="s">
        <v>1046</v>
      </c>
      <c r="B2301" s="8" t="s">
        <v>358</v>
      </c>
      <c r="C2301" s="8" t="s">
        <v>186</v>
      </c>
      <c r="D2301" s="8" t="s">
        <v>6416</v>
      </c>
      <c r="E2301" s="8">
        <v>75.0</v>
      </c>
    </row>
    <row r="2302">
      <c r="A2302" s="8" t="s">
        <v>692</v>
      </c>
      <c r="B2302" s="8" t="s">
        <v>691</v>
      </c>
      <c r="C2302" s="8" t="s">
        <v>138</v>
      </c>
      <c r="D2302" s="8" t="s">
        <v>6426</v>
      </c>
      <c r="E2302" s="8">
        <v>76.0</v>
      </c>
    </row>
    <row r="2303">
      <c r="A2303" s="8" t="s">
        <v>692</v>
      </c>
      <c r="B2303" s="8" t="s">
        <v>3315</v>
      </c>
      <c r="C2303" s="8" t="s">
        <v>93</v>
      </c>
      <c r="D2303" s="8" t="s">
        <v>6417</v>
      </c>
      <c r="E2303" s="8">
        <v>73.0</v>
      </c>
    </row>
    <row r="2304">
      <c r="A2304" s="8" t="s">
        <v>692</v>
      </c>
      <c r="B2304" s="8" t="s">
        <v>1453</v>
      </c>
      <c r="C2304" s="8" t="s">
        <v>93</v>
      </c>
      <c r="D2304" s="8" t="s">
        <v>6439</v>
      </c>
      <c r="E2304" s="8">
        <v>84.0</v>
      </c>
    </row>
    <row r="2305">
      <c r="A2305" s="8" t="s">
        <v>692</v>
      </c>
      <c r="B2305" s="8" t="s">
        <v>2839</v>
      </c>
      <c r="C2305" s="8" t="s">
        <v>215</v>
      </c>
      <c r="D2305" s="8" t="s">
        <v>6415</v>
      </c>
      <c r="E2305" s="8">
        <v>83.0</v>
      </c>
    </row>
    <row r="2306">
      <c r="A2306" s="8" t="s">
        <v>1317</v>
      </c>
      <c r="B2306" s="8" t="s">
        <v>637</v>
      </c>
      <c r="C2306" s="8" t="s">
        <v>138</v>
      </c>
      <c r="D2306" s="8" t="s">
        <v>6435</v>
      </c>
      <c r="E2306" s="8">
        <v>66.0</v>
      </c>
    </row>
    <row r="2307">
      <c r="A2307" s="8" t="s">
        <v>1317</v>
      </c>
      <c r="B2307" s="8" t="s">
        <v>1373</v>
      </c>
      <c r="C2307" s="8" t="s">
        <v>132</v>
      </c>
      <c r="D2307" s="8" t="s">
        <v>6429</v>
      </c>
      <c r="E2307" s="8">
        <v>69.0</v>
      </c>
    </row>
    <row r="2308">
      <c r="A2308" s="8" t="s">
        <v>1317</v>
      </c>
      <c r="B2308" s="8" t="s">
        <v>3064</v>
      </c>
      <c r="C2308" s="8" t="s">
        <v>65</v>
      </c>
      <c r="D2308" s="8" t="s">
        <v>6418</v>
      </c>
      <c r="E2308" s="8">
        <v>81.0</v>
      </c>
    </row>
    <row r="2309">
      <c r="A2309" s="8" t="s">
        <v>1317</v>
      </c>
      <c r="B2309" s="8" t="s">
        <v>1675</v>
      </c>
      <c r="C2309" s="8" t="s">
        <v>59</v>
      </c>
      <c r="D2309" s="8" t="s">
        <v>6427</v>
      </c>
      <c r="E2309" s="8">
        <v>79.0</v>
      </c>
    </row>
    <row r="2310">
      <c r="A2310" s="8" t="s">
        <v>1182</v>
      </c>
      <c r="B2310" s="8" t="s">
        <v>1181</v>
      </c>
      <c r="C2310" s="8" t="s">
        <v>122</v>
      </c>
      <c r="D2310" s="8" t="s">
        <v>6436</v>
      </c>
      <c r="E2310" s="8">
        <v>65.0</v>
      </c>
    </row>
    <row r="2311">
      <c r="A2311" s="8" t="s">
        <v>1201</v>
      </c>
      <c r="B2311" s="8" t="s">
        <v>1200</v>
      </c>
      <c r="C2311" s="8" t="s">
        <v>93</v>
      </c>
      <c r="D2311" s="8" t="s">
        <v>6415</v>
      </c>
      <c r="E2311" s="8">
        <v>74.0</v>
      </c>
    </row>
    <row r="2312">
      <c r="A2312" s="8" t="s">
        <v>596</v>
      </c>
      <c r="B2312" s="8" t="s">
        <v>78</v>
      </c>
      <c r="C2312" s="8" t="s">
        <v>122</v>
      </c>
      <c r="D2312" s="8" t="s">
        <v>6419</v>
      </c>
      <c r="E2312" s="8">
        <v>60.0</v>
      </c>
    </row>
    <row r="2313">
      <c r="A2313" s="8" t="s">
        <v>596</v>
      </c>
      <c r="B2313" s="8" t="s">
        <v>595</v>
      </c>
      <c r="C2313" s="8" t="s">
        <v>93</v>
      </c>
      <c r="D2313" s="8" t="s">
        <v>6429</v>
      </c>
      <c r="E2313" s="8">
        <v>88.0</v>
      </c>
    </row>
    <row r="2314">
      <c r="A2314" s="8" t="s">
        <v>596</v>
      </c>
      <c r="B2314" s="8" t="s">
        <v>1178</v>
      </c>
      <c r="C2314" s="8" t="s">
        <v>24</v>
      </c>
      <c r="D2314" s="8" t="s">
        <v>6439</v>
      </c>
      <c r="E2314" s="8">
        <v>69.0</v>
      </c>
    </row>
    <row r="2315">
      <c r="A2315" s="8" t="s">
        <v>596</v>
      </c>
      <c r="B2315" s="8" t="s">
        <v>500</v>
      </c>
      <c r="C2315" s="8" t="s">
        <v>122</v>
      </c>
      <c r="D2315" s="8" t="s">
        <v>6443</v>
      </c>
      <c r="E2315" s="8">
        <v>70.0</v>
      </c>
    </row>
    <row r="2316">
      <c r="A2316" s="8" t="s">
        <v>596</v>
      </c>
      <c r="B2316" s="8" t="s">
        <v>233</v>
      </c>
      <c r="C2316" s="8" t="s">
        <v>192</v>
      </c>
      <c r="D2316" s="8" t="s">
        <v>6442</v>
      </c>
      <c r="E2316" s="8">
        <v>69.0</v>
      </c>
    </row>
    <row r="2317">
      <c r="A2317" s="8" t="s">
        <v>596</v>
      </c>
      <c r="B2317" s="8" t="s">
        <v>6236</v>
      </c>
      <c r="C2317" s="8" t="s">
        <v>75</v>
      </c>
      <c r="D2317" s="8" t="s">
        <v>6434</v>
      </c>
      <c r="E2317" s="8">
        <v>71.0</v>
      </c>
    </row>
    <row r="2318">
      <c r="A2318" s="8" t="s">
        <v>1920</v>
      </c>
      <c r="B2318" s="8" t="s">
        <v>1919</v>
      </c>
      <c r="C2318" s="8" t="s">
        <v>138</v>
      </c>
      <c r="D2318" s="8" t="s">
        <v>6413</v>
      </c>
      <c r="E2318" s="8">
        <v>77.0</v>
      </c>
    </row>
    <row r="2319">
      <c r="A2319" s="8" t="s">
        <v>6244</v>
      </c>
      <c r="B2319" s="8" t="s">
        <v>99</v>
      </c>
      <c r="C2319" s="8" t="s">
        <v>59</v>
      </c>
      <c r="D2319" s="8" t="s">
        <v>6435</v>
      </c>
      <c r="E2319" s="8">
        <v>71.0</v>
      </c>
    </row>
    <row r="2320">
      <c r="A2320" s="8" t="s">
        <v>737</v>
      </c>
      <c r="B2320" s="8" t="s">
        <v>736</v>
      </c>
      <c r="C2320" s="8" t="s">
        <v>75</v>
      </c>
      <c r="D2320" s="8" t="s">
        <v>6429</v>
      </c>
      <c r="E2320" s="8">
        <v>62.0</v>
      </c>
    </row>
    <row r="2321">
      <c r="A2321" s="8" t="s">
        <v>737</v>
      </c>
      <c r="B2321" s="8" t="s">
        <v>3238</v>
      </c>
      <c r="C2321" s="8" t="s">
        <v>16</v>
      </c>
      <c r="D2321" s="8" t="s">
        <v>6442</v>
      </c>
      <c r="E2321" s="8">
        <v>60.0</v>
      </c>
    </row>
    <row r="2322">
      <c r="A2322" s="8" t="s">
        <v>480</v>
      </c>
      <c r="B2322" s="8" t="s">
        <v>402</v>
      </c>
      <c r="C2322" s="8" t="s">
        <v>24</v>
      </c>
      <c r="D2322" s="8" t="s">
        <v>6427</v>
      </c>
      <c r="E2322" s="8">
        <v>86.0</v>
      </c>
    </row>
    <row r="2323">
      <c r="A2323" s="8" t="s">
        <v>480</v>
      </c>
      <c r="B2323" s="8" t="s">
        <v>563</v>
      </c>
      <c r="C2323" s="8" t="s">
        <v>138</v>
      </c>
      <c r="D2323" s="8" t="s">
        <v>6412</v>
      </c>
      <c r="E2323" s="8">
        <v>71.0</v>
      </c>
    </row>
    <row r="2324">
      <c r="A2324" s="8" t="s">
        <v>480</v>
      </c>
      <c r="B2324" s="8" t="s">
        <v>1366</v>
      </c>
      <c r="C2324" s="8" t="s">
        <v>149</v>
      </c>
      <c r="D2324" s="8" t="s">
        <v>6428</v>
      </c>
      <c r="E2324" s="8">
        <v>71.0</v>
      </c>
    </row>
    <row r="2325">
      <c r="A2325" s="8" t="s">
        <v>480</v>
      </c>
      <c r="B2325" s="8" t="s">
        <v>3213</v>
      </c>
      <c r="C2325" s="8" t="s">
        <v>24</v>
      </c>
      <c r="D2325" s="8" t="s">
        <v>6434</v>
      </c>
      <c r="E2325" s="8">
        <v>62.0</v>
      </c>
    </row>
    <row r="2326">
      <c r="A2326" s="8" t="s">
        <v>480</v>
      </c>
      <c r="B2326" s="8" t="s">
        <v>678</v>
      </c>
      <c r="C2326" s="8" t="s">
        <v>24</v>
      </c>
      <c r="D2326" s="8" t="s">
        <v>6424</v>
      </c>
      <c r="E2326" s="8">
        <v>85.0</v>
      </c>
    </row>
    <row r="2327">
      <c r="A2327" s="8" t="s">
        <v>480</v>
      </c>
      <c r="B2327" s="8" t="s">
        <v>1348</v>
      </c>
      <c r="C2327" s="8" t="s">
        <v>70</v>
      </c>
      <c r="D2327" s="8" t="s">
        <v>6420</v>
      </c>
      <c r="E2327" s="8">
        <v>74.0</v>
      </c>
    </row>
    <row r="2328">
      <c r="A2328" s="8" t="s">
        <v>480</v>
      </c>
      <c r="B2328" s="8" t="s">
        <v>1037</v>
      </c>
      <c r="C2328" s="8" t="s">
        <v>46</v>
      </c>
      <c r="D2328" s="8" t="s">
        <v>6443</v>
      </c>
      <c r="E2328" s="8">
        <v>66.0</v>
      </c>
    </row>
    <row r="2329">
      <c r="A2329" s="8" t="s">
        <v>480</v>
      </c>
      <c r="B2329" s="8" t="s">
        <v>106</v>
      </c>
      <c r="C2329" s="8" t="s">
        <v>186</v>
      </c>
      <c r="D2329" s="8" t="s">
        <v>6416</v>
      </c>
      <c r="E2329" s="8">
        <v>85.0</v>
      </c>
    </row>
    <row r="2330">
      <c r="A2330" s="8" t="s">
        <v>480</v>
      </c>
      <c r="B2330" s="8" t="s">
        <v>3451</v>
      </c>
      <c r="C2330" s="8" t="s">
        <v>149</v>
      </c>
      <c r="D2330" s="8" t="s">
        <v>6418</v>
      </c>
      <c r="E2330" s="8">
        <v>85.0</v>
      </c>
    </row>
    <row r="2331">
      <c r="A2331" s="8" t="s">
        <v>480</v>
      </c>
      <c r="B2331" s="8" t="s">
        <v>502</v>
      </c>
      <c r="C2331" s="8" t="s">
        <v>59</v>
      </c>
      <c r="D2331" s="8" t="s">
        <v>6434</v>
      </c>
      <c r="E2331" s="8">
        <v>71.0</v>
      </c>
    </row>
    <row r="2332">
      <c r="A2332" s="8" t="s">
        <v>480</v>
      </c>
      <c r="B2332" s="8" t="s">
        <v>1327</v>
      </c>
      <c r="C2332" s="8" t="s">
        <v>53</v>
      </c>
      <c r="D2332" s="8" t="s">
        <v>6416</v>
      </c>
      <c r="E2332" s="8">
        <v>62.0</v>
      </c>
    </row>
    <row r="2333">
      <c r="A2333" s="8" t="s">
        <v>480</v>
      </c>
      <c r="B2333" s="8" t="s">
        <v>919</v>
      </c>
      <c r="C2333" s="8" t="s">
        <v>141</v>
      </c>
      <c r="D2333" s="8" t="s">
        <v>6437</v>
      </c>
      <c r="E2333" s="8">
        <v>74.0</v>
      </c>
    </row>
    <row r="2334">
      <c r="A2334" s="8" t="s">
        <v>480</v>
      </c>
      <c r="B2334" s="8" t="s">
        <v>1264</v>
      </c>
      <c r="C2334" s="8" t="s">
        <v>138</v>
      </c>
      <c r="D2334" s="8" t="s">
        <v>6441</v>
      </c>
      <c r="E2334" s="8">
        <v>64.0</v>
      </c>
    </row>
    <row r="2335">
      <c r="A2335" s="8" t="s">
        <v>750</v>
      </c>
      <c r="B2335" s="8" t="s">
        <v>1960</v>
      </c>
      <c r="C2335" s="8" t="s">
        <v>93</v>
      </c>
      <c r="D2335" s="8" t="s">
        <v>6441</v>
      </c>
      <c r="E2335" s="8">
        <v>67.0</v>
      </c>
    </row>
    <row r="2336">
      <c r="A2336" s="8" t="s">
        <v>750</v>
      </c>
      <c r="B2336" s="8" t="s">
        <v>396</v>
      </c>
      <c r="C2336" s="8" t="s">
        <v>132</v>
      </c>
      <c r="D2336" s="8" t="s">
        <v>6442</v>
      </c>
      <c r="E2336" s="8">
        <v>95.0</v>
      </c>
    </row>
    <row r="2337">
      <c r="A2337" s="8" t="s">
        <v>2102</v>
      </c>
      <c r="B2337" s="8" t="s">
        <v>636</v>
      </c>
      <c r="C2337" s="8" t="s">
        <v>186</v>
      </c>
      <c r="D2337" s="8" t="s">
        <v>6412</v>
      </c>
      <c r="E2337" s="8">
        <v>60.0</v>
      </c>
    </row>
    <row r="2338">
      <c r="A2338" s="8" t="s">
        <v>86</v>
      </c>
      <c r="B2338" s="8" t="s">
        <v>85</v>
      </c>
      <c r="C2338" s="8" t="s">
        <v>24</v>
      </c>
      <c r="D2338" s="8" t="s">
        <v>6425</v>
      </c>
      <c r="E2338" s="8">
        <v>55.0</v>
      </c>
    </row>
    <row r="2339">
      <c r="A2339" s="8" t="s">
        <v>1814</v>
      </c>
      <c r="B2339" s="8" t="s">
        <v>1813</v>
      </c>
      <c r="C2339" s="8" t="s">
        <v>12</v>
      </c>
      <c r="D2339" s="8" t="s">
        <v>6443</v>
      </c>
      <c r="E2339" s="8">
        <v>73.0</v>
      </c>
    </row>
    <row r="2340">
      <c r="A2340" s="8" t="s">
        <v>1814</v>
      </c>
      <c r="B2340" s="8" t="s">
        <v>3167</v>
      </c>
      <c r="C2340" s="8" t="s">
        <v>75</v>
      </c>
      <c r="D2340" s="8" t="s">
        <v>6422</v>
      </c>
      <c r="E2340" s="8">
        <v>70.0</v>
      </c>
    </row>
    <row r="2341">
      <c r="A2341" s="8" t="s">
        <v>3277</v>
      </c>
      <c r="B2341" s="8" t="s">
        <v>3276</v>
      </c>
      <c r="C2341" s="8" t="s">
        <v>186</v>
      </c>
      <c r="D2341" s="8" t="s">
        <v>6419</v>
      </c>
      <c r="E2341" s="8">
        <v>65.0</v>
      </c>
    </row>
    <row r="2342">
      <c r="A2342" s="8" t="s">
        <v>1856</v>
      </c>
      <c r="B2342" s="8" t="s">
        <v>284</v>
      </c>
      <c r="C2342" s="8" t="s">
        <v>65</v>
      </c>
      <c r="D2342" s="8" t="s">
        <v>6430</v>
      </c>
      <c r="E2342" s="8">
        <v>74.0</v>
      </c>
    </row>
    <row r="2343">
      <c r="A2343" s="8" t="s">
        <v>2848</v>
      </c>
      <c r="B2343" s="8" t="s">
        <v>2135</v>
      </c>
      <c r="C2343" s="8" t="s">
        <v>122</v>
      </c>
      <c r="D2343" s="8" t="s">
        <v>6416</v>
      </c>
      <c r="E2343" s="8">
        <v>72.0</v>
      </c>
    </row>
    <row r="2344">
      <c r="A2344" s="8"/>
      <c r="B2344" s="8"/>
      <c r="C2344" s="8"/>
      <c r="D2344" s="8"/>
      <c r="E2344" s="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18.29"/>
    <col customWidth="1" min="3" max="3" width="7.14"/>
    <col customWidth="1" min="4" max="4" width="11.43"/>
    <col customWidth="1" min="5" max="5" width="7.14"/>
  </cols>
  <sheetData>
    <row r="1">
      <c r="A1" s="21" t="s">
        <v>3</v>
      </c>
      <c r="B1" s="21" t="s">
        <v>1</v>
      </c>
      <c r="C1" s="21" t="s">
        <v>4</v>
      </c>
      <c r="D1" s="21" t="s">
        <v>6</v>
      </c>
      <c r="E1" s="21" t="s">
        <v>7</v>
      </c>
    </row>
    <row r="2">
      <c r="A2" s="8" t="s">
        <v>6343</v>
      </c>
      <c r="B2" s="8" t="s">
        <v>653</v>
      </c>
      <c r="C2" s="8" t="s">
        <v>93</v>
      </c>
      <c r="D2" s="8" t="s">
        <v>6434</v>
      </c>
      <c r="E2" s="8">
        <v>73.0</v>
      </c>
    </row>
    <row r="3">
      <c r="A3" s="8" t="s">
        <v>6343</v>
      </c>
      <c r="B3" s="8" t="s">
        <v>872</v>
      </c>
      <c r="C3" s="8" t="s">
        <v>132</v>
      </c>
      <c r="D3" s="8" t="s">
        <v>6413</v>
      </c>
      <c r="E3" s="8">
        <v>69.0</v>
      </c>
    </row>
    <row r="4">
      <c r="A4" s="8" t="s">
        <v>6343</v>
      </c>
      <c r="B4" s="8" t="s">
        <v>268</v>
      </c>
      <c r="C4" s="8" t="s">
        <v>65</v>
      </c>
      <c r="D4" s="8" t="s">
        <v>6417</v>
      </c>
      <c r="E4" s="8">
        <v>93.0</v>
      </c>
    </row>
    <row r="5">
      <c r="A5" s="8" t="s">
        <v>6343</v>
      </c>
      <c r="B5" s="8" t="s">
        <v>738</v>
      </c>
      <c r="C5" s="8" t="s">
        <v>53</v>
      </c>
      <c r="D5" s="8" t="s">
        <v>6441</v>
      </c>
      <c r="E5" s="8">
        <v>74.0</v>
      </c>
    </row>
    <row r="6">
      <c r="A6" s="8" t="s">
        <v>6343</v>
      </c>
      <c r="B6" s="8" t="s">
        <v>755</v>
      </c>
      <c r="C6" s="8" t="s">
        <v>16</v>
      </c>
      <c r="D6" s="8" t="s">
        <v>6417</v>
      </c>
      <c r="E6" s="8">
        <v>73.0</v>
      </c>
    </row>
    <row r="7">
      <c r="A7" s="8" t="s">
        <v>6351</v>
      </c>
      <c r="B7" s="8" t="s">
        <v>173</v>
      </c>
      <c r="C7" s="8" t="s">
        <v>141</v>
      </c>
      <c r="D7" s="8" t="s">
        <v>6419</v>
      </c>
      <c r="E7" s="8">
        <v>71.0</v>
      </c>
    </row>
    <row r="8">
      <c r="A8" s="8" t="s">
        <v>3916</v>
      </c>
      <c r="B8" s="8" t="s">
        <v>308</v>
      </c>
      <c r="C8" s="8" t="s">
        <v>122</v>
      </c>
      <c r="D8" s="8" t="s">
        <v>6420</v>
      </c>
      <c r="E8" s="8">
        <v>72.0</v>
      </c>
    </row>
    <row r="9">
      <c r="A9" s="8" t="s">
        <v>98</v>
      </c>
      <c r="B9" s="8" t="s">
        <v>477</v>
      </c>
      <c r="C9" s="8" t="s">
        <v>24</v>
      </c>
      <c r="D9" s="8" t="s">
        <v>6427</v>
      </c>
      <c r="E9" s="8">
        <v>45.0</v>
      </c>
    </row>
    <row r="10">
      <c r="A10" s="8" t="s">
        <v>98</v>
      </c>
      <c r="B10" s="8" t="s">
        <v>1392</v>
      </c>
      <c r="C10" s="8" t="s">
        <v>65</v>
      </c>
      <c r="D10" s="8" t="s">
        <v>6422</v>
      </c>
      <c r="E10" s="8">
        <v>63.0</v>
      </c>
    </row>
    <row r="11">
      <c r="A11" s="8" t="s">
        <v>98</v>
      </c>
      <c r="B11" s="8" t="s">
        <v>879</v>
      </c>
      <c r="C11" s="8" t="s">
        <v>93</v>
      </c>
      <c r="D11" s="8" t="s">
        <v>6413</v>
      </c>
      <c r="E11" s="8">
        <v>78.0</v>
      </c>
    </row>
    <row r="12">
      <c r="A12" s="8" t="s">
        <v>98</v>
      </c>
      <c r="B12" s="8" t="s">
        <v>3228</v>
      </c>
      <c r="C12" s="8" t="s">
        <v>65</v>
      </c>
      <c r="D12" s="8" t="s">
        <v>6436</v>
      </c>
      <c r="E12" s="8">
        <v>71.0</v>
      </c>
    </row>
    <row r="13">
      <c r="A13" s="8" t="s">
        <v>98</v>
      </c>
      <c r="B13" s="8" t="s">
        <v>669</v>
      </c>
      <c r="C13" s="8" t="s">
        <v>122</v>
      </c>
      <c r="D13" s="8" t="s">
        <v>6414</v>
      </c>
      <c r="E13" s="8">
        <v>98.0</v>
      </c>
    </row>
    <row r="14">
      <c r="A14" s="8" t="s">
        <v>98</v>
      </c>
      <c r="B14" s="8" t="s">
        <v>2093</v>
      </c>
      <c r="C14" s="8" t="s">
        <v>149</v>
      </c>
      <c r="D14" s="8" t="s">
        <v>6417</v>
      </c>
      <c r="E14" s="8">
        <v>62.0</v>
      </c>
    </row>
    <row r="15">
      <c r="A15" s="8" t="s">
        <v>98</v>
      </c>
      <c r="B15" s="8" t="s">
        <v>1237</v>
      </c>
      <c r="C15" s="8" t="s">
        <v>59</v>
      </c>
      <c r="D15" s="8" t="s">
        <v>6422</v>
      </c>
      <c r="E15" s="8">
        <v>83.0</v>
      </c>
    </row>
    <row r="16">
      <c r="A16" s="8" t="s">
        <v>98</v>
      </c>
      <c r="B16" s="8" t="s">
        <v>767</v>
      </c>
      <c r="C16" s="8" t="s">
        <v>16</v>
      </c>
      <c r="D16" s="8" t="s">
        <v>6437</v>
      </c>
      <c r="E16" s="8">
        <v>63.0</v>
      </c>
    </row>
    <row r="17">
      <c r="A17" s="8" t="s">
        <v>98</v>
      </c>
      <c r="B17" s="8" t="s">
        <v>3020</v>
      </c>
      <c r="C17" s="8" t="s">
        <v>261</v>
      </c>
      <c r="D17" s="8" t="s">
        <v>6421</v>
      </c>
      <c r="E17" s="8">
        <v>71.0</v>
      </c>
    </row>
    <row r="18">
      <c r="A18" s="8" t="s">
        <v>98</v>
      </c>
      <c r="B18" s="8" t="s">
        <v>97</v>
      </c>
      <c r="C18" s="8" t="s">
        <v>16</v>
      </c>
      <c r="D18" s="8" t="s">
        <v>6421</v>
      </c>
      <c r="E18" s="8">
        <v>96.0</v>
      </c>
    </row>
    <row r="19">
      <c r="A19" s="8" t="s">
        <v>98</v>
      </c>
      <c r="B19" s="8" t="s">
        <v>1328</v>
      </c>
      <c r="C19" s="8" t="s">
        <v>59</v>
      </c>
      <c r="D19" s="8" t="s">
        <v>6423</v>
      </c>
      <c r="E19" s="8">
        <v>65.0</v>
      </c>
    </row>
    <row r="20">
      <c r="A20" s="8" t="s">
        <v>98</v>
      </c>
      <c r="B20" s="8" t="s">
        <v>78</v>
      </c>
      <c r="C20" s="8" t="s">
        <v>192</v>
      </c>
      <c r="D20" s="8" t="s">
        <v>6430</v>
      </c>
      <c r="E20" s="8">
        <v>77.0</v>
      </c>
    </row>
    <row r="21">
      <c r="A21" s="8" t="s">
        <v>952</v>
      </c>
      <c r="B21" s="8" t="s">
        <v>284</v>
      </c>
      <c r="C21" s="8" t="s">
        <v>122</v>
      </c>
      <c r="D21" s="8" t="s">
        <v>6413</v>
      </c>
      <c r="E21" s="8">
        <v>68.0</v>
      </c>
    </row>
    <row r="22">
      <c r="A22" s="8" t="s">
        <v>11</v>
      </c>
      <c r="B22" s="8" t="s">
        <v>3645</v>
      </c>
      <c r="C22" s="8" t="s">
        <v>24</v>
      </c>
      <c r="D22" s="8" t="s">
        <v>6420</v>
      </c>
      <c r="E22" s="8">
        <v>64.0</v>
      </c>
    </row>
    <row r="23">
      <c r="A23" s="8" t="s">
        <v>11</v>
      </c>
      <c r="B23" s="8" t="s">
        <v>373</v>
      </c>
      <c r="C23" s="8" t="s">
        <v>132</v>
      </c>
      <c r="D23" s="8" t="s">
        <v>6425</v>
      </c>
      <c r="E23" s="8">
        <v>66.0</v>
      </c>
    </row>
    <row r="24">
      <c r="A24" s="8" t="s">
        <v>11</v>
      </c>
      <c r="B24" s="8" t="s">
        <v>1175</v>
      </c>
      <c r="C24" s="8" t="s">
        <v>215</v>
      </c>
      <c r="D24" s="8" t="s">
        <v>6412</v>
      </c>
      <c r="E24" s="8">
        <v>68.0</v>
      </c>
    </row>
    <row r="25">
      <c r="A25" s="8" t="s">
        <v>11</v>
      </c>
      <c r="B25" s="8" t="s">
        <v>530</v>
      </c>
      <c r="C25" s="8" t="s">
        <v>186</v>
      </c>
      <c r="D25" s="8" t="s">
        <v>6416</v>
      </c>
      <c r="E25" s="8">
        <v>70.0</v>
      </c>
    </row>
    <row r="26">
      <c r="A26" s="8" t="s">
        <v>11</v>
      </c>
      <c r="B26" s="8" t="s">
        <v>1202</v>
      </c>
      <c r="C26" s="8" t="s">
        <v>65</v>
      </c>
      <c r="D26" s="8" t="s">
        <v>6426</v>
      </c>
      <c r="E26" s="8">
        <v>67.0</v>
      </c>
    </row>
    <row r="27">
      <c r="A27" s="8" t="s">
        <v>11</v>
      </c>
      <c r="B27" s="8" t="s">
        <v>284</v>
      </c>
      <c r="C27" s="8" t="s">
        <v>93</v>
      </c>
      <c r="D27" s="8" t="s">
        <v>6417</v>
      </c>
      <c r="E27" s="8">
        <v>88.0</v>
      </c>
    </row>
    <row r="28">
      <c r="A28" s="8" t="s">
        <v>11</v>
      </c>
      <c r="B28" s="8" t="s">
        <v>605</v>
      </c>
      <c r="C28" s="8" t="s">
        <v>65</v>
      </c>
      <c r="D28" s="8" t="s">
        <v>6429</v>
      </c>
      <c r="E28" s="8">
        <v>69.0</v>
      </c>
    </row>
    <row r="29">
      <c r="A29" s="8" t="s">
        <v>11</v>
      </c>
      <c r="B29" s="8" t="s">
        <v>10</v>
      </c>
      <c r="C29" s="8" t="s">
        <v>12</v>
      </c>
      <c r="D29" s="8" t="s">
        <v>6428</v>
      </c>
      <c r="E29" s="8">
        <v>84.0</v>
      </c>
    </row>
    <row r="30">
      <c r="A30" s="8" t="s">
        <v>809</v>
      </c>
      <c r="B30" s="8" t="s">
        <v>2812</v>
      </c>
      <c r="C30" s="8" t="s">
        <v>186</v>
      </c>
      <c r="D30" s="8" t="s">
        <v>6426</v>
      </c>
      <c r="E30" s="8">
        <v>61.0</v>
      </c>
    </row>
    <row r="31">
      <c r="A31" s="8" t="s">
        <v>1331</v>
      </c>
      <c r="B31" s="8" t="s">
        <v>1330</v>
      </c>
      <c r="C31" s="8" t="s">
        <v>122</v>
      </c>
      <c r="D31" s="8" t="s">
        <v>6430</v>
      </c>
      <c r="E31" s="8">
        <v>70.0</v>
      </c>
    </row>
    <row r="32">
      <c r="A32" s="8" t="s">
        <v>127</v>
      </c>
      <c r="B32" s="8" t="s">
        <v>1074</v>
      </c>
      <c r="C32" s="8" t="s">
        <v>80</v>
      </c>
      <c r="D32" s="8" t="s">
        <v>6427</v>
      </c>
      <c r="E32" s="8">
        <v>77.0</v>
      </c>
    </row>
    <row r="33">
      <c r="A33" s="8" t="s">
        <v>127</v>
      </c>
      <c r="B33" s="8" t="s">
        <v>253</v>
      </c>
      <c r="C33" s="8" t="s">
        <v>138</v>
      </c>
      <c r="D33" s="8" t="s">
        <v>6431</v>
      </c>
      <c r="E33" s="8">
        <v>77.0</v>
      </c>
    </row>
    <row r="34">
      <c r="A34" s="8" t="s">
        <v>127</v>
      </c>
      <c r="B34" s="8" t="s">
        <v>126</v>
      </c>
      <c r="C34" s="8" t="s">
        <v>70</v>
      </c>
      <c r="D34" s="8" t="s">
        <v>6429</v>
      </c>
      <c r="E34" s="8">
        <v>91.0</v>
      </c>
    </row>
    <row r="35">
      <c r="A35" s="8" t="s">
        <v>127</v>
      </c>
      <c r="B35" s="8" t="s">
        <v>1005</v>
      </c>
      <c r="C35" s="8" t="s">
        <v>80</v>
      </c>
      <c r="D35" s="8" t="s">
        <v>6432</v>
      </c>
      <c r="E35" s="8">
        <v>67.0</v>
      </c>
    </row>
    <row r="36">
      <c r="A36" s="8" t="s">
        <v>1991</v>
      </c>
      <c r="B36" s="8" t="s">
        <v>224</v>
      </c>
      <c r="C36" s="8" t="s">
        <v>53</v>
      </c>
      <c r="D36" s="8" t="s">
        <v>6422</v>
      </c>
      <c r="E36" s="8">
        <v>74.0</v>
      </c>
    </row>
    <row r="37">
      <c r="A37" s="8" t="s">
        <v>3422</v>
      </c>
      <c r="B37" s="8" t="s">
        <v>3421</v>
      </c>
      <c r="C37" s="8" t="s">
        <v>122</v>
      </c>
      <c r="D37" s="8" t="s">
        <v>6433</v>
      </c>
      <c r="E37" s="8">
        <v>74.0</v>
      </c>
    </row>
    <row r="38">
      <c r="A38" s="8" t="s">
        <v>957</v>
      </c>
      <c r="B38" s="8" t="s">
        <v>2667</v>
      </c>
      <c r="C38" s="8" t="s">
        <v>59</v>
      </c>
      <c r="D38" s="8" t="s">
        <v>6414</v>
      </c>
      <c r="E38" s="8">
        <v>77.0</v>
      </c>
    </row>
    <row r="39">
      <c r="A39" s="8" t="s">
        <v>957</v>
      </c>
      <c r="B39" s="8" t="s">
        <v>3605</v>
      </c>
      <c r="C39" s="8" t="s">
        <v>186</v>
      </c>
      <c r="D39" s="8" t="s">
        <v>6434</v>
      </c>
      <c r="E39" s="8">
        <v>74.0</v>
      </c>
    </row>
    <row r="40">
      <c r="A40" s="8" t="s">
        <v>957</v>
      </c>
      <c r="B40" s="8" t="s">
        <v>205</v>
      </c>
      <c r="C40" s="8" t="s">
        <v>70</v>
      </c>
      <c r="D40" s="8" t="s">
        <v>6434</v>
      </c>
      <c r="E40" s="8">
        <v>64.0</v>
      </c>
    </row>
    <row r="41">
      <c r="A41" s="8" t="s">
        <v>957</v>
      </c>
      <c r="B41" s="8" t="s">
        <v>956</v>
      </c>
      <c r="C41" s="8" t="s">
        <v>93</v>
      </c>
      <c r="D41" s="8" t="s">
        <v>6431</v>
      </c>
      <c r="E41" s="8">
        <v>61.0</v>
      </c>
    </row>
    <row r="42">
      <c r="A42" s="8" t="s">
        <v>957</v>
      </c>
      <c r="B42" s="8" t="s">
        <v>1034</v>
      </c>
      <c r="C42" s="8" t="s">
        <v>122</v>
      </c>
      <c r="D42" s="8" t="s">
        <v>6426</v>
      </c>
      <c r="E42" s="8">
        <v>73.0</v>
      </c>
    </row>
    <row r="43">
      <c r="A43" s="8" t="s">
        <v>534</v>
      </c>
      <c r="B43" s="8" t="s">
        <v>533</v>
      </c>
      <c r="C43" s="8" t="s">
        <v>138</v>
      </c>
      <c r="D43" s="8" t="s">
        <v>6427</v>
      </c>
      <c r="E43" s="8">
        <v>78.0</v>
      </c>
    </row>
    <row r="44">
      <c r="A44" s="8" t="s">
        <v>234</v>
      </c>
      <c r="B44" s="8" t="s">
        <v>233</v>
      </c>
      <c r="C44" s="8" t="s">
        <v>122</v>
      </c>
      <c r="D44" s="8" t="s">
        <v>6423</v>
      </c>
      <c r="E44" s="8">
        <v>74.0</v>
      </c>
    </row>
    <row r="45">
      <c r="A45" s="8" t="s">
        <v>3864</v>
      </c>
      <c r="B45" s="8" t="s">
        <v>3955</v>
      </c>
      <c r="C45" s="8" t="s">
        <v>122</v>
      </c>
      <c r="D45" s="8" t="s">
        <v>6437</v>
      </c>
      <c r="E45" s="8">
        <v>71.0</v>
      </c>
    </row>
    <row r="46">
      <c r="A46" s="8" t="s">
        <v>2748</v>
      </c>
      <c r="B46" s="8" t="s">
        <v>1381</v>
      </c>
      <c r="C46" s="8" t="s">
        <v>122</v>
      </c>
      <c r="D46" s="8" t="s">
        <v>6436</v>
      </c>
      <c r="E46" s="8">
        <v>77.0</v>
      </c>
    </row>
    <row r="47">
      <c r="A47" s="8" t="s">
        <v>2748</v>
      </c>
      <c r="B47" s="8" t="s">
        <v>2747</v>
      </c>
      <c r="C47" s="8" t="s">
        <v>24</v>
      </c>
      <c r="D47" s="8" t="s">
        <v>6426</v>
      </c>
      <c r="E47" s="8">
        <v>62.0</v>
      </c>
    </row>
    <row r="48">
      <c r="A48" s="8" t="s">
        <v>3262</v>
      </c>
      <c r="B48" s="8" t="s">
        <v>3261</v>
      </c>
      <c r="C48" s="8" t="s">
        <v>186</v>
      </c>
      <c r="D48" s="8" t="s">
        <v>6419</v>
      </c>
      <c r="E48" s="8">
        <v>61.0</v>
      </c>
    </row>
    <row r="49">
      <c r="A49" s="8" t="s">
        <v>1064</v>
      </c>
      <c r="B49" s="8" t="s">
        <v>2928</v>
      </c>
      <c r="C49" s="8" t="s">
        <v>186</v>
      </c>
      <c r="D49" s="8" t="s">
        <v>6435</v>
      </c>
      <c r="E49" s="8">
        <v>70.0</v>
      </c>
    </row>
    <row r="50">
      <c r="A50" s="8" t="s">
        <v>1064</v>
      </c>
      <c r="B50" s="8" t="s">
        <v>451</v>
      </c>
      <c r="C50" s="8" t="s">
        <v>65</v>
      </c>
      <c r="D50" s="8" t="s">
        <v>6437</v>
      </c>
      <c r="E50" s="8">
        <v>74.0</v>
      </c>
    </row>
    <row r="51">
      <c r="A51" s="8" t="s">
        <v>3437</v>
      </c>
      <c r="B51" s="8" t="s">
        <v>99</v>
      </c>
      <c r="C51" s="8" t="s">
        <v>59</v>
      </c>
      <c r="D51" s="8" t="s">
        <v>6438</v>
      </c>
      <c r="E51" s="8">
        <v>85.0</v>
      </c>
    </row>
    <row r="52">
      <c r="A52" s="8" t="s">
        <v>423</v>
      </c>
      <c r="B52" s="8" t="s">
        <v>308</v>
      </c>
      <c r="C52" s="8" t="s">
        <v>65</v>
      </c>
      <c r="D52" s="8" t="s">
        <v>6431</v>
      </c>
      <c r="E52" s="8">
        <v>67.0</v>
      </c>
    </row>
    <row r="53">
      <c r="A53" s="8" t="s">
        <v>998</v>
      </c>
      <c r="B53" s="8" t="s">
        <v>997</v>
      </c>
      <c r="C53" s="8" t="s">
        <v>186</v>
      </c>
      <c r="D53" s="8" t="s">
        <v>6414</v>
      </c>
      <c r="E53" s="8">
        <v>79.0</v>
      </c>
    </row>
    <row r="54">
      <c r="A54" s="8" t="s">
        <v>447</v>
      </c>
      <c r="B54" s="8" t="s">
        <v>446</v>
      </c>
      <c r="C54" s="8" t="s">
        <v>46</v>
      </c>
      <c r="D54" s="8" t="s">
        <v>6439</v>
      </c>
      <c r="E54" s="8">
        <v>70.0</v>
      </c>
    </row>
    <row r="55">
      <c r="A55" s="8" t="s">
        <v>100</v>
      </c>
      <c r="B55" s="8" t="s">
        <v>1705</v>
      </c>
      <c r="C55" s="8" t="s">
        <v>132</v>
      </c>
      <c r="D55" s="8" t="s">
        <v>6429</v>
      </c>
      <c r="E55" s="8">
        <v>81.0</v>
      </c>
    </row>
    <row r="56">
      <c r="A56" s="8" t="s">
        <v>100</v>
      </c>
      <c r="B56" s="8" t="s">
        <v>248</v>
      </c>
      <c r="C56" s="8" t="s">
        <v>93</v>
      </c>
      <c r="D56" s="8" t="s">
        <v>6420</v>
      </c>
      <c r="E56" s="8">
        <v>67.0</v>
      </c>
    </row>
    <row r="57">
      <c r="A57" s="8" t="s">
        <v>100</v>
      </c>
      <c r="B57" s="8" t="s">
        <v>498</v>
      </c>
      <c r="C57" s="8" t="s">
        <v>70</v>
      </c>
      <c r="D57" s="8" t="s">
        <v>6433</v>
      </c>
      <c r="E57" s="8">
        <v>69.0</v>
      </c>
    </row>
    <row r="58">
      <c r="A58" s="8" t="s">
        <v>100</v>
      </c>
      <c r="B58" s="8" t="s">
        <v>500</v>
      </c>
      <c r="C58" s="8" t="s">
        <v>75</v>
      </c>
      <c r="D58" s="8" t="s">
        <v>6417</v>
      </c>
      <c r="E58" s="8">
        <v>59.0</v>
      </c>
    </row>
    <row r="59">
      <c r="A59" s="8" t="s">
        <v>100</v>
      </c>
      <c r="B59" s="8" t="s">
        <v>94</v>
      </c>
      <c r="C59" s="8" t="s">
        <v>149</v>
      </c>
      <c r="D59" s="8" t="s">
        <v>6435</v>
      </c>
      <c r="E59" s="8">
        <v>69.0</v>
      </c>
    </row>
    <row r="60">
      <c r="A60" s="8" t="s">
        <v>100</v>
      </c>
      <c r="B60" s="8" t="s">
        <v>163</v>
      </c>
      <c r="C60" s="8" t="s">
        <v>141</v>
      </c>
      <c r="D60" s="8" t="s">
        <v>6431</v>
      </c>
      <c r="E60" s="8">
        <v>84.0</v>
      </c>
    </row>
    <row r="61">
      <c r="A61" s="8" t="s">
        <v>100</v>
      </c>
      <c r="B61" s="8" t="s">
        <v>3351</v>
      </c>
      <c r="C61" s="8" t="s">
        <v>215</v>
      </c>
      <c r="D61" s="8" t="s">
        <v>6424</v>
      </c>
      <c r="E61" s="8">
        <v>60.0</v>
      </c>
    </row>
    <row r="62">
      <c r="A62" s="8" t="s">
        <v>100</v>
      </c>
      <c r="B62" s="8" t="s">
        <v>772</v>
      </c>
      <c r="C62" s="8" t="s">
        <v>53</v>
      </c>
      <c r="D62" s="8" t="s">
        <v>6419</v>
      </c>
      <c r="E62" s="8">
        <v>71.0</v>
      </c>
    </row>
    <row r="63">
      <c r="A63" s="8" t="s">
        <v>100</v>
      </c>
      <c r="B63" s="8" t="s">
        <v>1297</v>
      </c>
      <c r="C63" s="8" t="s">
        <v>141</v>
      </c>
      <c r="D63" s="8" t="s">
        <v>6417</v>
      </c>
      <c r="E63" s="8">
        <v>57.0</v>
      </c>
    </row>
    <row r="64">
      <c r="A64" s="8" t="s">
        <v>100</v>
      </c>
      <c r="B64" s="8" t="s">
        <v>99</v>
      </c>
      <c r="C64" s="8" t="s">
        <v>16</v>
      </c>
      <c r="D64" s="8" t="s">
        <v>6437</v>
      </c>
      <c r="E64" s="8">
        <v>82.0</v>
      </c>
    </row>
    <row r="65">
      <c r="A65" s="8" t="s">
        <v>100</v>
      </c>
      <c r="B65" s="8" t="s">
        <v>323</v>
      </c>
      <c r="C65" s="8" t="s">
        <v>16</v>
      </c>
      <c r="D65" s="8" t="s">
        <v>6423</v>
      </c>
      <c r="E65" s="8">
        <v>63.0</v>
      </c>
    </row>
    <row r="66">
      <c r="A66" s="8" t="s">
        <v>650</v>
      </c>
      <c r="B66" s="8" t="s">
        <v>649</v>
      </c>
      <c r="C66" s="8" t="s">
        <v>70</v>
      </c>
      <c r="D66" s="8" t="s">
        <v>6434</v>
      </c>
      <c r="E66" s="8">
        <v>76.0</v>
      </c>
    </row>
    <row r="67">
      <c r="A67" s="8" t="s">
        <v>650</v>
      </c>
      <c r="B67" s="8" t="s">
        <v>1905</v>
      </c>
      <c r="C67" s="8" t="s">
        <v>70</v>
      </c>
      <c r="D67" s="8" t="s">
        <v>6442</v>
      </c>
      <c r="E67" s="8">
        <v>79.0</v>
      </c>
    </row>
    <row r="68">
      <c r="A68" s="8" t="s">
        <v>1240</v>
      </c>
      <c r="B68" s="8" t="s">
        <v>1239</v>
      </c>
      <c r="C68" s="8" t="s">
        <v>132</v>
      </c>
      <c r="D68" s="8" t="s">
        <v>6426</v>
      </c>
      <c r="E68" s="8">
        <v>77.0</v>
      </c>
    </row>
    <row r="69">
      <c r="A69" s="8" t="s">
        <v>460</v>
      </c>
      <c r="B69" s="8" t="s">
        <v>240</v>
      </c>
      <c r="C69" s="8" t="s">
        <v>215</v>
      </c>
      <c r="D69" s="8" t="s">
        <v>6437</v>
      </c>
      <c r="E69" s="8">
        <v>79.0</v>
      </c>
    </row>
    <row r="70">
      <c r="A70" s="8" t="s">
        <v>460</v>
      </c>
      <c r="B70" s="8" t="s">
        <v>3162</v>
      </c>
      <c r="C70" s="8" t="s">
        <v>75</v>
      </c>
      <c r="D70" s="8" t="s">
        <v>6424</v>
      </c>
      <c r="E70" s="8">
        <v>71.0</v>
      </c>
    </row>
    <row r="71">
      <c r="A71" s="8" t="s">
        <v>460</v>
      </c>
      <c r="B71" s="8" t="s">
        <v>945</v>
      </c>
      <c r="C71" s="8" t="s">
        <v>65</v>
      </c>
      <c r="D71" s="8" t="s">
        <v>6413</v>
      </c>
      <c r="E71" s="8">
        <v>85.0</v>
      </c>
    </row>
    <row r="72">
      <c r="A72" s="8" t="s">
        <v>460</v>
      </c>
      <c r="B72" s="8" t="s">
        <v>308</v>
      </c>
      <c r="C72" s="8" t="s">
        <v>65</v>
      </c>
      <c r="D72" s="8" t="s">
        <v>6413</v>
      </c>
      <c r="E72" s="8">
        <v>88.0</v>
      </c>
    </row>
    <row r="73">
      <c r="A73" s="8" t="s">
        <v>1306</v>
      </c>
      <c r="B73" s="8" t="s">
        <v>409</v>
      </c>
      <c r="C73" s="8" t="s">
        <v>65</v>
      </c>
      <c r="D73" s="8" t="s">
        <v>6417</v>
      </c>
      <c r="E73" s="8">
        <v>62.0</v>
      </c>
    </row>
    <row r="74">
      <c r="A74" s="8" t="s">
        <v>551</v>
      </c>
      <c r="B74" s="8" t="s">
        <v>550</v>
      </c>
      <c r="C74" s="8" t="s">
        <v>65</v>
      </c>
      <c r="D74" s="8" t="s">
        <v>6427</v>
      </c>
      <c r="E74" s="8">
        <v>91.0</v>
      </c>
    </row>
    <row r="75">
      <c r="A75" s="8" t="s">
        <v>3113</v>
      </c>
      <c r="B75" s="8" t="s">
        <v>3112</v>
      </c>
      <c r="C75" s="8" t="s">
        <v>93</v>
      </c>
      <c r="D75" s="8" t="s">
        <v>6426</v>
      </c>
      <c r="E75" s="8">
        <v>75.0</v>
      </c>
    </row>
    <row r="76">
      <c r="A76" s="8" t="s">
        <v>1853</v>
      </c>
      <c r="B76" s="8" t="s">
        <v>240</v>
      </c>
      <c r="C76" s="8" t="s">
        <v>132</v>
      </c>
      <c r="D76" s="8" t="s">
        <v>6443</v>
      </c>
      <c r="E76" s="8">
        <v>71.0</v>
      </c>
    </row>
    <row r="77">
      <c r="A77" s="8" t="s">
        <v>1411</v>
      </c>
      <c r="B77" s="8" t="s">
        <v>500</v>
      </c>
      <c r="C77" s="8" t="s">
        <v>65</v>
      </c>
      <c r="D77" s="8" t="s">
        <v>6438</v>
      </c>
      <c r="E77" s="8">
        <v>83.0</v>
      </c>
    </row>
    <row r="78">
      <c r="A78" s="8" t="s">
        <v>3683</v>
      </c>
      <c r="B78" s="8" t="s">
        <v>3682</v>
      </c>
      <c r="C78" s="8" t="s">
        <v>186</v>
      </c>
      <c r="D78" s="8" t="s">
        <v>6428</v>
      </c>
      <c r="E78" s="8">
        <v>59.0</v>
      </c>
    </row>
    <row r="79">
      <c r="A79" s="8" t="s">
        <v>1069</v>
      </c>
      <c r="B79" s="8" t="s">
        <v>1068</v>
      </c>
      <c r="C79" s="8" t="s">
        <v>70</v>
      </c>
      <c r="D79" s="8" t="s">
        <v>6420</v>
      </c>
      <c r="E79" s="8">
        <v>78.0</v>
      </c>
    </row>
    <row r="80">
      <c r="A80" s="8" t="s">
        <v>3578</v>
      </c>
      <c r="B80" s="8" t="s">
        <v>3577</v>
      </c>
      <c r="C80" s="8" t="s">
        <v>65</v>
      </c>
      <c r="D80" s="8" t="s">
        <v>6419</v>
      </c>
      <c r="E80" s="8">
        <v>61.0</v>
      </c>
    </row>
    <row r="81">
      <c r="A81" s="8" t="s">
        <v>277</v>
      </c>
      <c r="B81" s="8" t="s">
        <v>1381</v>
      </c>
      <c r="C81" s="8" t="s">
        <v>138</v>
      </c>
      <c r="D81" s="8" t="s">
        <v>6415</v>
      </c>
      <c r="E81" s="8">
        <v>70.0</v>
      </c>
    </row>
    <row r="82">
      <c r="A82" s="8" t="s">
        <v>277</v>
      </c>
      <c r="B82" s="8" t="s">
        <v>3192</v>
      </c>
      <c r="C82" s="8" t="s">
        <v>65</v>
      </c>
      <c r="D82" s="8" t="s">
        <v>6420</v>
      </c>
      <c r="E82" s="8">
        <v>70.0</v>
      </c>
    </row>
    <row r="83">
      <c r="A83" s="8" t="s">
        <v>277</v>
      </c>
      <c r="B83" s="8" t="s">
        <v>3604</v>
      </c>
      <c r="C83" s="8" t="s">
        <v>65</v>
      </c>
      <c r="D83" s="8" t="s">
        <v>6428</v>
      </c>
      <c r="E83" s="8">
        <v>52.0</v>
      </c>
    </row>
    <row r="84">
      <c r="A84" s="8" t="s">
        <v>277</v>
      </c>
      <c r="B84" s="8" t="s">
        <v>368</v>
      </c>
      <c r="C84" s="8" t="s">
        <v>70</v>
      </c>
      <c r="D84" s="8" t="s">
        <v>6419</v>
      </c>
      <c r="E84" s="8">
        <v>78.0</v>
      </c>
    </row>
    <row r="85">
      <c r="A85" s="8" t="s">
        <v>277</v>
      </c>
      <c r="B85" s="8" t="s">
        <v>2828</v>
      </c>
      <c r="C85" s="8" t="s">
        <v>80</v>
      </c>
      <c r="D85" s="8" t="s">
        <v>6434</v>
      </c>
      <c r="E85" s="8">
        <v>77.0</v>
      </c>
    </row>
    <row r="86">
      <c r="A86" s="8" t="s">
        <v>277</v>
      </c>
      <c r="B86" s="8" t="s">
        <v>276</v>
      </c>
      <c r="C86" s="8" t="s">
        <v>65</v>
      </c>
      <c r="D86" s="8" t="s">
        <v>6438</v>
      </c>
      <c r="E86" s="8">
        <v>73.0</v>
      </c>
    </row>
    <row r="87">
      <c r="A87" s="8" t="s">
        <v>277</v>
      </c>
      <c r="B87" s="8" t="s">
        <v>389</v>
      </c>
      <c r="C87" s="8" t="s">
        <v>65</v>
      </c>
      <c r="D87" s="8" t="s">
        <v>6423</v>
      </c>
      <c r="E87" s="8">
        <v>76.0</v>
      </c>
    </row>
    <row r="88">
      <c r="A88" s="8" t="s">
        <v>277</v>
      </c>
      <c r="B88" s="8" t="s">
        <v>305</v>
      </c>
      <c r="C88" s="8" t="s">
        <v>65</v>
      </c>
      <c r="D88" s="8" t="s">
        <v>6420</v>
      </c>
      <c r="E88" s="8">
        <v>71.0</v>
      </c>
    </row>
    <row r="89">
      <c r="A89" s="8" t="s">
        <v>277</v>
      </c>
      <c r="B89" s="8" t="s">
        <v>99</v>
      </c>
      <c r="C89" s="8" t="s">
        <v>149</v>
      </c>
      <c r="D89" s="8" t="s">
        <v>6429</v>
      </c>
      <c r="E89" s="8">
        <v>77.0</v>
      </c>
    </row>
    <row r="90">
      <c r="A90" s="8" t="s">
        <v>277</v>
      </c>
      <c r="B90" s="8" t="s">
        <v>78</v>
      </c>
      <c r="C90" s="8" t="s">
        <v>70</v>
      </c>
      <c r="D90" s="8" t="s">
        <v>6425</v>
      </c>
      <c r="E90" s="8">
        <v>72.0</v>
      </c>
    </row>
    <row r="91">
      <c r="A91" s="8" t="s">
        <v>55</v>
      </c>
      <c r="B91" s="8" t="s">
        <v>1702</v>
      </c>
      <c r="C91" s="8" t="s">
        <v>122</v>
      </c>
      <c r="D91" s="8" t="s">
        <v>6417</v>
      </c>
      <c r="E91" s="8">
        <v>67.0</v>
      </c>
    </row>
    <row r="92">
      <c r="A92" s="8" t="s">
        <v>55</v>
      </c>
      <c r="B92" s="8" t="s">
        <v>199</v>
      </c>
      <c r="C92" s="8" t="s">
        <v>24</v>
      </c>
      <c r="D92" s="8" t="s">
        <v>6426</v>
      </c>
      <c r="E92" s="8">
        <v>62.0</v>
      </c>
    </row>
    <row r="93">
      <c r="A93" s="8" t="s">
        <v>55</v>
      </c>
      <c r="B93" s="8" t="s">
        <v>887</v>
      </c>
      <c r="C93" s="8" t="s">
        <v>132</v>
      </c>
      <c r="D93" s="8" t="s">
        <v>6414</v>
      </c>
      <c r="E93" s="8">
        <v>64.0</v>
      </c>
    </row>
    <row r="94">
      <c r="A94" s="8" t="s">
        <v>55</v>
      </c>
      <c r="B94" s="8" t="s">
        <v>2103</v>
      </c>
      <c r="C94" s="8" t="s">
        <v>12</v>
      </c>
      <c r="D94" s="8" t="s">
        <v>6415</v>
      </c>
      <c r="E94" s="8">
        <v>76.0</v>
      </c>
    </row>
    <row r="95">
      <c r="A95" s="8" t="s">
        <v>55</v>
      </c>
      <c r="B95" s="8" t="s">
        <v>3646</v>
      </c>
      <c r="C95" s="8" t="s">
        <v>186</v>
      </c>
      <c r="D95" s="8" t="s">
        <v>6442</v>
      </c>
      <c r="E95" s="8">
        <v>71.0</v>
      </c>
    </row>
    <row r="96">
      <c r="A96" s="8" t="s">
        <v>55</v>
      </c>
      <c r="B96" s="8" t="s">
        <v>2195</v>
      </c>
      <c r="C96" s="8" t="s">
        <v>46</v>
      </c>
      <c r="D96" s="8" t="s">
        <v>6424</v>
      </c>
      <c r="E96" s="8">
        <v>75.0</v>
      </c>
    </row>
    <row r="97">
      <c r="A97" s="8" t="s">
        <v>55</v>
      </c>
      <c r="B97" s="8" t="s">
        <v>1187</v>
      </c>
      <c r="C97" s="8" t="s">
        <v>65</v>
      </c>
      <c r="D97" s="8" t="s">
        <v>6443</v>
      </c>
      <c r="E97" s="8">
        <v>73.0</v>
      </c>
    </row>
    <row r="98">
      <c r="A98" s="8" t="s">
        <v>55</v>
      </c>
      <c r="B98" s="8" t="s">
        <v>577</v>
      </c>
      <c r="C98" s="8" t="s">
        <v>16</v>
      </c>
      <c r="D98" s="8" t="s">
        <v>6428</v>
      </c>
      <c r="E98" s="8">
        <v>88.0</v>
      </c>
    </row>
    <row r="99">
      <c r="A99" s="8" t="s">
        <v>55</v>
      </c>
      <c r="B99" s="8" t="s">
        <v>582</v>
      </c>
      <c r="C99" s="8" t="s">
        <v>46</v>
      </c>
      <c r="D99" s="8" t="s">
        <v>6434</v>
      </c>
      <c r="E99" s="8">
        <v>70.0</v>
      </c>
    </row>
    <row r="100">
      <c r="A100" s="8" t="s">
        <v>55</v>
      </c>
      <c r="B100" s="8" t="s">
        <v>993</v>
      </c>
      <c r="C100" s="8" t="s">
        <v>75</v>
      </c>
      <c r="D100" s="8" t="s">
        <v>6441</v>
      </c>
      <c r="E100" s="8">
        <v>83.0</v>
      </c>
    </row>
    <row r="101">
      <c r="A101" s="8" t="s">
        <v>55</v>
      </c>
      <c r="B101" s="8" t="s">
        <v>312</v>
      </c>
      <c r="C101" s="8" t="s">
        <v>192</v>
      </c>
      <c r="D101" s="8" t="s">
        <v>6429</v>
      </c>
      <c r="E101" s="8">
        <v>78.0</v>
      </c>
    </row>
    <row r="102">
      <c r="A102" s="8" t="s">
        <v>55</v>
      </c>
      <c r="B102" s="8" t="s">
        <v>3473</v>
      </c>
      <c r="C102" s="8" t="s">
        <v>132</v>
      </c>
      <c r="D102" s="8" t="s">
        <v>6422</v>
      </c>
      <c r="E102" s="8">
        <v>71.0</v>
      </c>
    </row>
    <row r="103">
      <c r="A103" s="8" t="s">
        <v>55</v>
      </c>
      <c r="B103" s="8" t="s">
        <v>54</v>
      </c>
      <c r="C103" s="8" t="s">
        <v>46</v>
      </c>
      <c r="D103" s="8" t="s">
        <v>6417</v>
      </c>
      <c r="E103" s="8">
        <v>93.0</v>
      </c>
    </row>
    <row r="104">
      <c r="A104" s="8" t="s">
        <v>1567</v>
      </c>
      <c r="B104" s="8" t="s">
        <v>1566</v>
      </c>
      <c r="C104" s="8" t="s">
        <v>132</v>
      </c>
      <c r="D104" s="8" t="s">
        <v>6418</v>
      </c>
      <c r="E104" s="8">
        <v>70.0</v>
      </c>
    </row>
    <row r="105">
      <c r="A105" s="8" t="s">
        <v>43</v>
      </c>
      <c r="B105" s="8" t="s">
        <v>258</v>
      </c>
      <c r="C105" s="8" t="s">
        <v>16</v>
      </c>
      <c r="D105" s="8" t="s">
        <v>6417</v>
      </c>
      <c r="E105" s="8">
        <v>87.0</v>
      </c>
    </row>
    <row r="106">
      <c r="A106" s="8" t="s">
        <v>43</v>
      </c>
      <c r="B106" s="8" t="s">
        <v>3647</v>
      </c>
      <c r="C106" s="8" t="s">
        <v>141</v>
      </c>
      <c r="D106" s="8" t="s">
        <v>6423</v>
      </c>
      <c r="E106" s="8">
        <v>64.0</v>
      </c>
    </row>
    <row r="107">
      <c r="A107" s="8" t="s">
        <v>43</v>
      </c>
      <c r="B107" s="8" t="s">
        <v>1207</v>
      </c>
      <c r="C107" s="8" t="s">
        <v>261</v>
      </c>
      <c r="D107" s="8" t="s">
        <v>6412</v>
      </c>
      <c r="E107" s="8">
        <v>67.0</v>
      </c>
    </row>
    <row r="108">
      <c r="A108" s="8" t="s">
        <v>43</v>
      </c>
      <c r="B108" s="8" t="s">
        <v>284</v>
      </c>
      <c r="C108" s="8" t="s">
        <v>65</v>
      </c>
      <c r="D108" s="8" t="s">
        <v>6442</v>
      </c>
      <c r="E108" s="8">
        <v>60.0</v>
      </c>
    </row>
    <row r="109">
      <c r="A109" s="8" t="s">
        <v>43</v>
      </c>
      <c r="B109" s="8" t="s">
        <v>42</v>
      </c>
      <c r="C109" s="8" t="s">
        <v>38</v>
      </c>
      <c r="D109" s="8" t="s">
        <v>6443</v>
      </c>
      <c r="E109" s="8">
        <v>80.0</v>
      </c>
    </row>
    <row r="110">
      <c r="A110" s="8" t="s">
        <v>43</v>
      </c>
      <c r="B110" s="8" t="s">
        <v>2901</v>
      </c>
      <c r="C110" s="8" t="s">
        <v>75</v>
      </c>
      <c r="D110" s="8" t="s">
        <v>6431</v>
      </c>
      <c r="E110" s="8">
        <v>80.0</v>
      </c>
    </row>
    <row r="111">
      <c r="A111" s="8" t="s">
        <v>43</v>
      </c>
      <c r="B111" s="8" t="s">
        <v>3777</v>
      </c>
      <c r="C111" s="8" t="s">
        <v>59</v>
      </c>
      <c r="D111" s="8" t="s">
        <v>6437</v>
      </c>
      <c r="E111" s="8">
        <v>67.0</v>
      </c>
    </row>
    <row r="112">
      <c r="A112" s="8" t="s">
        <v>1089</v>
      </c>
      <c r="B112" s="8" t="s">
        <v>1088</v>
      </c>
      <c r="C112" s="8" t="s">
        <v>215</v>
      </c>
      <c r="D112" s="8" t="s">
        <v>6423</v>
      </c>
      <c r="E112" s="8">
        <v>61.0</v>
      </c>
    </row>
    <row r="113">
      <c r="A113" s="8" t="s">
        <v>3558</v>
      </c>
      <c r="B113" s="8" t="s">
        <v>3557</v>
      </c>
      <c r="C113" s="8" t="s">
        <v>65</v>
      </c>
      <c r="D113" s="8" t="s">
        <v>6420</v>
      </c>
      <c r="E113" s="8">
        <v>79.0</v>
      </c>
    </row>
    <row r="114">
      <c r="A114" s="8" t="s">
        <v>212</v>
      </c>
      <c r="B114" s="8" t="s">
        <v>844</v>
      </c>
      <c r="C114" s="8" t="s">
        <v>53</v>
      </c>
      <c r="D114" s="8" t="s">
        <v>6429</v>
      </c>
      <c r="E114" s="8">
        <v>88.0</v>
      </c>
    </row>
    <row r="115">
      <c r="A115" s="8" t="s">
        <v>212</v>
      </c>
      <c r="B115" s="8" t="s">
        <v>106</v>
      </c>
      <c r="C115" s="8" t="s">
        <v>93</v>
      </c>
      <c r="D115" s="8" t="s">
        <v>6442</v>
      </c>
      <c r="E115" s="8">
        <v>68.0</v>
      </c>
    </row>
    <row r="116">
      <c r="A116" s="8" t="s">
        <v>212</v>
      </c>
      <c r="B116" s="8" t="s">
        <v>250</v>
      </c>
      <c r="C116" s="8" t="s">
        <v>46</v>
      </c>
      <c r="D116" s="8" t="s">
        <v>6428</v>
      </c>
      <c r="E116" s="8">
        <v>81.0</v>
      </c>
    </row>
    <row r="117">
      <c r="A117" s="8" t="s">
        <v>212</v>
      </c>
      <c r="B117" s="8" t="s">
        <v>1121</v>
      </c>
      <c r="C117" s="8" t="s">
        <v>59</v>
      </c>
      <c r="D117" s="8" t="s">
        <v>6439</v>
      </c>
      <c r="E117" s="8">
        <v>62.0</v>
      </c>
    </row>
    <row r="118">
      <c r="A118" s="8" t="s">
        <v>212</v>
      </c>
      <c r="B118" s="8" t="s">
        <v>61</v>
      </c>
      <c r="C118" s="8" t="s">
        <v>149</v>
      </c>
      <c r="D118" s="8" t="s">
        <v>6422</v>
      </c>
      <c r="E118" s="8">
        <v>78.0</v>
      </c>
    </row>
    <row r="119">
      <c r="A119" s="8" t="s">
        <v>212</v>
      </c>
      <c r="B119" s="8" t="s">
        <v>3249</v>
      </c>
      <c r="C119" s="8" t="s">
        <v>24</v>
      </c>
      <c r="D119" s="8" t="s">
        <v>6423</v>
      </c>
      <c r="E119" s="8">
        <v>80.0</v>
      </c>
    </row>
    <row r="120">
      <c r="A120" s="8" t="s">
        <v>212</v>
      </c>
      <c r="B120" s="8" t="s">
        <v>89</v>
      </c>
      <c r="C120" s="8" t="s">
        <v>80</v>
      </c>
      <c r="D120" s="8" t="s">
        <v>6429</v>
      </c>
      <c r="E120" s="8">
        <v>68.0</v>
      </c>
    </row>
    <row r="121">
      <c r="A121" s="8" t="s">
        <v>212</v>
      </c>
      <c r="B121" s="8" t="s">
        <v>940</v>
      </c>
      <c r="C121" s="8" t="s">
        <v>53</v>
      </c>
      <c r="D121" s="8" t="s">
        <v>6442</v>
      </c>
      <c r="E121" s="8">
        <v>74.0</v>
      </c>
    </row>
    <row r="122">
      <c r="A122" s="8" t="s">
        <v>212</v>
      </c>
      <c r="B122" s="8" t="s">
        <v>3721</v>
      </c>
      <c r="C122" s="8" t="s">
        <v>80</v>
      </c>
      <c r="D122" s="8" t="s">
        <v>6435</v>
      </c>
      <c r="E122" s="8">
        <v>71.0</v>
      </c>
    </row>
    <row r="123">
      <c r="A123" s="8" t="s">
        <v>212</v>
      </c>
      <c r="B123" s="8" t="s">
        <v>314</v>
      </c>
      <c r="C123" s="8" t="s">
        <v>261</v>
      </c>
      <c r="D123" s="8" t="s">
        <v>6437</v>
      </c>
      <c r="E123" s="8">
        <v>81.0</v>
      </c>
    </row>
    <row r="124">
      <c r="A124" s="8" t="s">
        <v>212</v>
      </c>
      <c r="B124" s="8" t="s">
        <v>3448</v>
      </c>
      <c r="C124" s="8" t="s">
        <v>132</v>
      </c>
      <c r="D124" s="8" t="s">
        <v>6415</v>
      </c>
      <c r="E124" s="8">
        <v>62.0</v>
      </c>
    </row>
    <row r="125">
      <c r="A125" s="8" t="s">
        <v>212</v>
      </c>
      <c r="B125" s="8" t="s">
        <v>1067</v>
      </c>
      <c r="C125" s="8" t="s">
        <v>215</v>
      </c>
      <c r="D125" s="8" t="s">
        <v>6420</v>
      </c>
      <c r="E125" s="8">
        <v>66.0</v>
      </c>
    </row>
    <row r="126">
      <c r="A126" s="8" t="s">
        <v>82</v>
      </c>
      <c r="B126" s="8" t="s">
        <v>81</v>
      </c>
      <c r="C126" s="8" t="s">
        <v>192</v>
      </c>
      <c r="D126" s="8" t="s">
        <v>6422</v>
      </c>
      <c r="E126" s="8">
        <v>77.0</v>
      </c>
    </row>
    <row r="127">
      <c r="A127" s="8" t="s">
        <v>82</v>
      </c>
      <c r="B127" s="8" t="s">
        <v>293</v>
      </c>
      <c r="C127" s="8" t="s">
        <v>132</v>
      </c>
      <c r="D127" s="8" t="s">
        <v>6419</v>
      </c>
      <c r="E127" s="8">
        <v>64.0</v>
      </c>
    </row>
    <row r="128">
      <c r="A128" s="8" t="s">
        <v>680</v>
      </c>
      <c r="B128" s="8" t="s">
        <v>3628</v>
      </c>
      <c r="C128" s="8" t="s">
        <v>80</v>
      </c>
      <c r="D128" s="8" t="s">
        <v>6429</v>
      </c>
      <c r="E128" s="8">
        <v>72.0</v>
      </c>
    </row>
    <row r="129">
      <c r="A129" s="8" t="s">
        <v>245</v>
      </c>
      <c r="B129" s="8" t="s">
        <v>460</v>
      </c>
      <c r="C129" s="8" t="s">
        <v>80</v>
      </c>
      <c r="D129" s="8" t="s">
        <v>6434</v>
      </c>
      <c r="E129" s="8">
        <v>79.0</v>
      </c>
    </row>
    <row r="130">
      <c r="A130" s="8" t="s">
        <v>245</v>
      </c>
      <c r="B130" s="8" t="s">
        <v>638</v>
      </c>
      <c r="C130" s="8" t="s">
        <v>70</v>
      </c>
      <c r="D130" s="8" t="s">
        <v>6423</v>
      </c>
      <c r="E130" s="8">
        <v>76.0</v>
      </c>
    </row>
    <row r="131">
      <c r="A131" s="8" t="s">
        <v>245</v>
      </c>
      <c r="B131" s="8" t="s">
        <v>106</v>
      </c>
      <c r="C131" s="8" t="s">
        <v>65</v>
      </c>
      <c r="D131" s="8" t="s">
        <v>6439</v>
      </c>
      <c r="E131" s="8">
        <v>97.0</v>
      </c>
    </row>
    <row r="132">
      <c r="A132" s="8" t="s">
        <v>245</v>
      </c>
      <c r="B132" s="8" t="s">
        <v>2114</v>
      </c>
      <c r="C132" s="8" t="s">
        <v>24</v>
      </c>
      <c r="D132" s="8" t="s">
        <v>6432</v>
      </c>
      <c r="E132" s="8">
        <v>85.0</v>
      </c>
    </row>
    <row r="133">
      <c r="A133" s="8" t="s">
        <v>245</v>
      </c>
      <c r="B133" s="8" t="s">
        <v>3009</v>
      </c>
      <c r="C133" s="8" t="s">
        <v>192</v>
      </c>
      <c r="D133" s="8" t="s">
        <v>6412</v>
      </c>
      <c r="E133" s="8">
        <v>63.0</v>
      </c>
    </row>
    <row r="134">
      <c r="A134" s="8" t="s">
        <v>245</v>
      </c>
      <c r="B134" s="8" t="s">
        <v>2953</v>
      </c>
      <c r="C134" s="8" t="s">
        <v>186</v>
      </c>
      <c r="D134" s="8" t="s">
        <v>6428</v>
      </c>
      <c r="E134" s="8">
        <v>65.0</v>
      </c>
    </row>
    <row r="135">
      <c r="A135" s="8" t="s">
        <v>3657</v>
      </c>
      <c r="B135" s="8" t="s">
        <v>3656</v>
      </c>
      <c r="C135" s="8" t="s">
        <v>65</v>
      </c>
      <c r="D135" s="8" t="s">
        <v>6433</v>
      </c>
      <c r="E135" s="8">
        <v>65.0</v>
      </c>
    </row>
    <row r="136">
      <c r="A136" s="8" t="s">
        <v>3659</v>
      </c>
      <c r="B136" s="8" t="s">
        <v>700</v>
      </c>
      <c r="C136" s="8" t="s">
        <v>65</v>
      </c>
      <c r="D136" s="8" t="s">
        <v>6417</v>
      </c>
      <c r="E136" s="8">
        <v>59.0</v>
      </c>
    </row>
    <row r="137">
      <c r="A137" s="8" t="s">
        <v>3137</v>
      </c>
      <c r="B137" s="8" t="s">
        <v>78</v>
      </c>
      <c r="C137" s="8" t="s">
        <v>186</v>
      </c>
      <c r="D137" s="8" t="s">
        <v>6420</v>
      </c>
      <c r="E137" s="8">
        <v>65.0</v>
      </c>
    </row>
    <row r="138">
      <c r="A138" s="8" t="s">
        <v>3555</v>
      </c>
      <c r="B138" s="8" t="s">
        <v>647</v>
      </c>
      <c r="C138" s="8" t="s">
        <v>80</v>
      </c>
      <c r="D138" s="8" t="s">
        <v>6423</v>
      </c>
      <c r="E138" s="8">
        <v>75.0</v>
      </c>
    </row>
    <row r="139">
      <c r="A139" s="8" t="s">
        <v>179</v>
      </c>
      <c r="B139" s="8" t="s">
        <v>178</v>
      </c>
      <c r="C139" s="8" t="s">
        <v>93</v>
      </c>
      <c r="D139" s="8" t="s">
        <v>6412</v>
      </c>
      <c r="E139" s="8">
        <v>90.0</v>
      </c>
    </row>
    <row r="140">
      <c r="A140" s="8" t="s">
        <v>3639</v>
      </c>
      <c r="B140" s="8" t="s">
        <v>154</v>
      </c>
      <c r="C140" s="8" t="s">
        <v>70</v>
      </c>
      <c r="D140" s="8" t="s">
        <v>6415</v>
      </c>
      <c r="E140" s="8">
        <v>81.0</v>
      </c>
    </row>
    <row r="141">
      <c r="A141" s="8" t="s">
        <v>2884</v>
      </c>
      <c r="B141" s="8" t="s">
        <v>2883</v>
      </c>
      <c r="C141" s="8" t="s">
        <v>75</v>
      </c>
      <c r="D141" s="8" t="s">
        <v>6416</v>
      </c>
      <c r="E141" s="8">
        <v>62.0</v>
      </c>
    </row>
    <row r="142">
      <c r="A142" s="8" t="s">
        <v>1363</v>
      </c>
      <c r="B142" s="8" t="s">
        <v>639</v>
      </c>
      <c r="C142" s="8" t="s">
        <v>138</v>
      </c>
      <c r="D142" s="8" t="s">
        <v>6422</v>
      </c>
      <c r="E142" s="8">
        <v>77.0</v>
      </c>
    </row>
    <row r="143">
      <c r="A143" s="8" t="s">
        <v>3187</v>
      </c>
      <c r="B143" s="8" t="s">
        <v>2064</v>
      </c>
      <c r="C143" s="8" t="s">
        <v>138</v>
      </c>
      <c r="D143" s="8" t="s">
        <v>6443</v>
      </c>
      <c r="E143" s="8">
        <v>70.0</v>
      </c>
    </row>
    <row r="144">
      <c r="A144" s="8" t="s">
        <v>1245</v>
      </c>
      <c r="B144" s="8" t="s">
        <v>106</v>
      </c>
      <c r="C144" s="8" t="s">
        <v>186</v>
      </c>
      <c r="D144" s="8" t="s">
        <v>6435</v>
      </c>
      <c r="E144" s="8">
        <v>72.0</v>
      </c>
    </row>
    <row r="145">
      <c r="A145" s="8" t="s">
        <v>1245</v>
      </c>
      <c r="B145" s="8" t="s">
        <v>284</v>
      </c>
      <c r="C145" s="8" t="s">
        <v>215</v>
      </c>
      <c r="D145" s="8" t="s">
        <v>6428</v>
      </c>
      <c r="E145" s="8">
        <v>71.0</v>
      </c>
    </row>
    <row r="146">
      <c r="A146" s="8" t="s">
        <v>1245</v>
      </c>
      <c r="B146" s="8" t="s">
        <v>1237</v>
      </c>
      <c r="C146" s="8" t="s">
        <v>24</v>
      </c>
      <c r="D146" s="8" t="s">
        <v>6431</v>
      </c>
      <c r="E146" s="8">
        <v>67.0</v>
      </c>
    </row>
    <row r="147">
      <c r="A147" s="8" t="s">
        <v>1245</v>
      </c>
      <c r="B147" s="8" t="s">
        <v>3368</v>
      </c>
      <c r="C147" s="8" t="s">
        <v>53</v>
      </c>
      <c r="D147" s="8" t="s">
        <v>6439</v>
      </c>
      <c r="E147" s="8">
        <v>78.0</v>
      </c>
    </row>
    <row r="148">
      <c r="A148" s="8" t="s">
        <v>1726</v>
      </c>
      <c r="B148" s="8" t="s">
        <v>1725</v>
      </c>
      <c r="C148" s="8" t="s">
        <v>93</v>
      </c>
      <c r="D148" s="8" t="s">
        <v>6439</v>
      </c>
      <c r="E148" s="8">
        <v>72.0</v>
      </c>
    </row>
    <row r="149">
      <c r="A149" s="8" t="s">
        <v>3691</v>
      </c>
      <c r="B149" s="8" t="s">
        <v>208</v>
      </c>
      <c r="C149" s="8" t="s">
        <v>93</v>
      </c>
      <c r="D149" s="8" t="s">
        <v>6419</v>
      </c>
      <c r="E149" s="8">
        <v>69.0</v>
      </c>
    </row>
    <row r="150">
      <c r="A150" s="8" t="s">
        <v>3209</v>
      </c>
      <c r="B150" s="8" t="s">
        <v>3208</v>
      </c>
      <c r="C150" s="8" t="s">
        <v>24</v>
      </c>
      <c r="D150" s="8" t="s">
        <v>6432</v>
      </c>
      <c r="E150" s="8">
        <v>68.0</v>
      </c>
    </row>
    <row r="151">
      <c r="A151" s="8" t="s">
        <v>3210</v>
      </c>
      <c r="B151" s="8" t="s">
        <v>349</v>
      </c>
      <c r="C151" s="8" t="s">
        <v>186</v>
      </c>
      <c r="D151" s="8" t="s">
        <v>6429</v>
      </c>
      <c r="E151" s="8">
        <v>67.0</v>
      </c>
    </row>
    <row r="152">
      <c r="A152" s="8" t="s">
        <v>464</v>
      </c>
      <c r="B152" s="8" t="s">
        <v>851</v>
      </c>
      <c r="C152" s="8" t="s">
        <v>141</v>
      </c>
      <c r="D152" s="8" t="s">
        <v>6428</v>
      </c>
      <c r="E152" s="8">
        <v>63.0</v>
      </c>
    </row>
    <row r="153">
      <c r="A153" s="8" t="s">
        <v>464</v>
      </c>
      <c r="B153" s="8" t="s">
        <v>61</v>
      </c>
      <c r="C153" s="8" t="s">
        <v>16</v>
      </c>
      <c r="D153" s="8" t="s">
        <v>6443</v>
      </c>
      <c r="E153" s="8">
        <v>69.0</v>
      </c>
    </row>
    <row r="154">
      <c r="A154" s="8" t="s">
        <v>464</v>
      </c>
      <c r="B154" s="8" t="s">
        <v>1843</v>
      </c>
      <c r="C154" s="8" t="s">
        <v>24</v>
      </c>
      <c r="D154" s="8" t="s">
        <v>6431</v>
      </c>
      <c r="E154" s="8">
        <v>70.0</v>
      </c>
    </row>
    <row r="155">
      <c r="A155" s="8" t="s">
        <v>464</v>
      </c>
      <c r="B155" s="8" t="s">
        <v>1200</v>
      </c>
      <c r="C155" s="8" t="s">
        <v>149</v>
      </c>
      <c r="D155" s="8" t="s">
        <v>6438</v>
      </c>
      <c r="E155" s="8">
        <v>80.0</v>
      </c>
    </row>
    <row r="156">
      <c r="A156" s="8" t="s">
        <v>464</v>
      </c>
      <c r="B156" s="8" t="s">
        <v>389</v>
      </c>
      <c r="C156" s="8" t="s">
        <v>261</v>
      </c>
      <c r="D156" s="8" t="s">
        <v>6418</v>
      </c>
      <c r="E156" s="8">
        <v>70.0</v>
      </c>
    </row>
    <row r="157">
      <c r="A157" s="8" t="s">
        <v>464</v>
      </c>
      <c r="B157" s="8" t="s">
        <v>389</v>
      </c>
      <c r="C157" s="8" t="s">
        <v>122</v>
      </c>
      <c r="D157" s="8" t="s">
        <v>6423</v>
      </c>
      <c r="E157" s="8">
        <v>70.0</v>
      </c>
    </row>
    <row r="158">
      <c r="A158" s="8" t="s">
        <v>464</v>
      </c>
      <c r="B158" s="8" t="s">
        <v>774</v>
      </c>
      <c r="C158" s="8" t="s">
        <v>149</v>
      </c>
      <c r="D158" s="8" t="s">
        <v>6443</v>
      </c>
      <c r="E158" s="8">
        <v>71.0</v>
      </c>
    </row>
    <row r="159">
      <c r="A159" s="8" t="s">
        <v>464</v>
      </c>
      <c r="B159" s="8" t="s">
        <v>1013</v>
      </c>
      <c r="C159" s="8" t="s">
        <v>141</v>
      </c>
      <c r="D159" s="8" t="s">
        <v>6416</v>
      </c>
      <c r="E159" s="8">
        <v>63.0</v>
      </c>
    </row>
    <row r="160">
      <c r="A160" s="8" t="s">
        <v>464</v>
      </c>
      <c r="B160" s="8" t="s">
        <v>3040</v>
      </c>
      <c r="C160" s="8" t="s">
        <v>24</v>
      </c>
      <c r="D160" s="8" t="s">
        <v>6426</v>
      </c>
      <c r="E160" s="8">
        <v>78.0</v>
      </c>
    </row>
    <row r="161">
      <c r="A161" s="8" t="s">
        <v>464</v>
      </c>
      <c r="B161" s="8" t="s">
        <v>1614</v>
      </c>
      <c r="C161" s="8" t="s">
        <v>46</v>
      </c>
      <c r="D161" s="8" t="s">
        <v>6429</v>
      </c>
      <c r="E161" s="8">
        <v>63.0</v>
      </c>
    </row>
    <row r="162">
      <c r="A162" s="8" t="s">
        <v>1063</v>
      </c>
      <c r="B162" s="8" t="s">
        <v>1062</v>
      </c>
      <c r="C162" s="8" t="s">
        <v>186</v>
      </c>
      <c r="D162" s="8" t="s">
        <v>6423</v>
      </c>
      <c r="E162" s="8">
        <v>78.0</v>
      </c>
    </row>
    <row r="163">
      <c r="A163" s="8" t="s">
        <v>1063</v>
      </c>
      <c r="B163" s="8" t="s">
        <v>1675</v>
      </c>
      <c r="C163" s="8" t="s">
        <v>149</v>
      </c>
      <c r="D163" s="8" t="s">
        <v>6418</v>
      </c>
      <c r="E163" s="8">
        <v>60.0</v>
      </c>
    </row>
    <row r="164">
      <c r="A164" s="8" t="s">
        <v>3047</v>
      </c>
      <c r="B164" s="8" t="s">
        <v>3046</v>
      </c>
      <c r="C164" s="8" t="s">
        <v>122</v>
      </c>
      <c r="D164" s="8" t="s">
        <v>6424</v>
      </c>
      <c r="E164" s="8">
        <v>60.0</v>
      </c>
    </row>
    <row r="165">
      <c r="A165" s="8" t="s">
        <v>6379</v>
      </c>
      <c r="B165" s="8" t="s">
        <v>361</v>
      </c>
      <c r="C165" s="8" t="s">
        <v>16</v>
      </c>
      <c r="D165" s="8" t="s">
        <v>6425</v>
      </c>
      <c r="E165" s="8">
        <v>57.0</v>
      </c>
    </row>
    <row r="166">
      <c r="A166" s="8" t="s">
        <v>6379</v>
      </c>
      <c r="B166" s="8" t="s">
        <v>3618</v>
      </c>
      <c r="C166" s="8" t="s">
        <v>122</v>
      </c>
      <c r="D166" s="8" t="s">
        <v>6429</v>
      </c>
      <c r="E166" s="8">
        <v>63.0</v>
      </c>
    </row>
    <row r="167">
      <c r="A167" s="8" t="s">
        <v>6379</v>
      </c>
      <c r="B167" s="8" t="s">
        <v>911</v>
      </c>
      <c r="C167" s="8" t="s">
        <v>141</v>
      </c>
      <c r="D167" s="8" t="s">
        <v>6439</v>
      </c>
      <c r="E167" s="8">
        <v>65.0</v>
      </c>
    </row>
    <row r="168">
      <c r="A168" s="8" t="s">
        <v>6379</v>
      </c>
      <c r="B168" s="8" t="s">
        <v>1174</v>
      </c>
      <c r="C168" s="8" t="s">
        <v>186</v>
      </c>
      <c r="D168" s="8" t="s">
        <v>6425</v>
      </c>
      <c r="E168" s="8">
        <v>66.0</v>
      </c>
    </row>
    <row r="169">
      <c r="A169" s="8" t="s">
        <v>6446</v>
      </c>
      <c r="B169" s="8" t="s">
        <v>232</v>
      </c>
      <c r="C169" s="8" t="s">
        <v>93</v>
      </c>
      <c r="D169" s="8" t="s">
        <v>6423</v>
      </c>
      <c r="E169" s="8">
        <v>66.0</v>
      </c>
    </row>
    <row r="170">
      <c r="A170" s="8" t="s">
        <v>764</v>
      </c>
      <c r="B170" s="8" t="s">
        <v>763</v>
      </c>
      <c r="C170" s="8" t="s">
        <v>53</v>
      </c>
      <c r="D170" s="8" t="s">
        <v>6443</v>
      </c>
      <c r="E170" s="8">
        <v>76.0</v>
      </c>
    </row>
    <row r="171">
      <c r="A171" s="8" t="s">
        <v>1079</v>
      </c>
      <c r="B171" s="8" t="s">
        <v>284</v>
      </c>
      <c r="C171" s="8" t="s">
        <v>75</v>
      </c>
      <c r="D171" s="8" t="s">
        <v>6424</v>
      </c>
      <c r="E171" s="8">
        <v>72.0</v>
      </c>
    </row>
    <row r="172">
      <c r="A172" s="8" t="s">
        <v>2729</v>
      </c>
      <c r="B172" s="8" t="s">
        <v>2728</v>
      </c>
      <c r="C172" s="8" t="s">
        <v>192</v>
      </c>
      <c r="D172" s="8" t="s">
        <v>6442</v>
      </c>
      <c r="E172" s="8">
        <v>82.0</v>
      </c>
    </row>
    <row r="173">
      <c r="A173" s="8" t="s">
        <v>860</v>
      </c>
      <c r="B173" s="8" t="s">
        <v>859</v>
      </c>
      <c r="C173" s="8" t="s">
        <v>93</v>
      </c>
      <c r="D173" s="8" t="s">
        <v>6416</v>
      </c>
      <c r="E173" s="8">
        <v>81.0</v>
      </c>
    </row>
    <row r="174">
      <c r="A174" s="8" t="s">
        <v>479</v>
      </c>
      <c r="B174" s="8" t="s">
        <v>460</v>
      </c>
      <c r="C174" s="8" t="s">
        <v>122</v>
      </c>
      <c r="D174" s="8" t="s">
        <v>6424</v>
      </c>
      <c r="E174" s="8">
        <v>65.0</v>
      </c>
    </row>
    <row r="175">
      <c r="A175" s="8" t="s">
        <v>479</v>
      </c>
      <c r="B175" s="8" t="s">
        <v>478</v>
      </c>
      <c r="C175" s="8" t="s">
        <v>24</v>
      </c>
      <c r="D175" s="8" t="s">
        <v>6423</v>
      </c>
      <c r="E175" s="8">
        <v>46.0</v>
      </c>
    </row>
    <row r="176">
      <c r="A176" s="8" t="s">
        <v>479</v>
      </c>
      <c r="B176" s="8" t="s">
        <v>3030</v>
      </c>
      <c r="C176" s="8" t="s">
        <v>24</v>
      </c>
      <c r="D176" s="8" t="s">
        <v>6441</v>
      </c>
      <c r="E176" s="8">
        <v>65.0</v>
      </c>
    </row>
    <row r="177">
      <c r="A177" s="8" t="s">
        <v>50</v>
      </c>
      <c r="B177" s="8" t="s">
        <v>266</v>
      </c>
      <c r="C177" s="8" t="s">
        <v>75</v>
      </c>
      <c r="D177" s="8" t="s">
        <v>6431</v>
      </c>
      <c r="E177" s="8">
        <v>66.0</v>
      </c>
    </row>
    <row r="178">
      <c r="A178" s="8" t="s">
        <v>50</v>
      </c>
      <c r="B178" s="8" t="s">
        <v>2840</v>
      </c>
      <c r="C178" s="8" t="s">
        <v>186</v>
      </c>
      <c r="D178" s="8" t="s">
        <v>6438</v>
      </c>
      <c r="E178" s="8">
        <v>70.0</v>
      </c>
    </row>
    <row r="179">
      <c r="A179" s="8" t="s">
        <v>50</v>
      </c>
      <c r="B179" s="8" t="s">
        <v>2857</v>
      </c>
      <c r="C179" s="8" t="s">
        <v>46</v>
      </c>
      <c r="D179" s="8" t="s">
        <v>6440</v>
      </c>
      <c r="E179" s="8">
        <v>69.0</v>
      </c>
    </row>
    <row r="180">
      <c r="A180" s="8" t="s">
        <v>50</v>
      </c>
      <c r="B180" s="8" t="s">
        <v>2150</v>
      </c>
      <c r="C180" s="8" t="s">
        <v>59</v>
      </c>
      <c r="D180" s="8" t="s">
        <v>6441</v>
      </c>
      <c r="E180" s="8">
        <v>67.0</v>
      </c>
    </row>
    <row r="181">
      <c r="A181" s="8" t="s">
        <v>50</v>
      </c>
      <c r="B181" s="8" t="s">
        <v>284</v>
      </c>
      <c r="C181" s="8" t="s">
        <v>141</v>
      </c>
      <c r="D181" s="8" t="s">
        <v>6423</v>
      </c>
      <c r="E181" s="8">
        <v>74.0</v>
      </c>
    </row>
    <row r="182">
      <c r="A182" s="8" t="s">
        <v>50</v>
      </c>
      <c r="B182" s="8" t="s">
        <v>1220</v>
      </c>
      <c r="C182" s="8" t="s">
        <v>24</v>
      </c>
      <c r="D182" s="8" t="s">
        <v>6413</v>
      </c>
      <c r="E182" s="8">
        <v>64.0</v>
      </c>
    </row>
    <row r="183">
      <c r="A183" s="8" t="s">
        <v>50</v>
      </c>
      <c r="B183" s="8" t="s">
        <v>49</v>
      </c>
      <c r="C183" s="8" t="s">
        <v>16</v>
      </c>
      <c r="D183" s="8" t="s">
        <v>6439</v>
      </c>
      <c r="E183" s="8">
        <v>93.0</v>
      </c>
    </row>
    <row r="184">
      <c r="A184" s="8" t="s">
        <v>1255</v>
      </c>
      <c r="B184" s="8" t="s">
        <v>1254</v>
      </c>
      <c r="C184" s="8" t="s">
        <v>186</v>
      </c>
      <c r="D184" s="8" t="s">
        <v>6434</v>
      </c>
      <c r="E184" s="8">
        <v>77.0</v>
      </c>
    </row>
    <row r="185">
      <c r="A185" s="8" t="s">
        <v>2683</v>
      </c>
      <c r="B185" s="8" t="s">
        <v>2682</v>
      </c>
      <c r="C185" s="8" t="s">
        <v>93</v>
      </c>
      <c r="D185" s="8" t="s">
        <v>6441</v>
      </c>
      <c r="E185" s="8">
        <v>80.0</v>
      </c>
    </row>
    <row r="186">
      <c r="A186" s="8" t="s">
        <v>3567</v>
      </c>
      <c r="B186" s="8" t="s">
        <v>106</v>
      </c>
      <c r="C186" s="8" t="s">
        <v>53</v>
      </c>
      <c r="D186" s="8" t="s">
        <v>6421</v>
      </c>
      <c r="E186" s="8">
        <v>59.0</v>
      </c>
    </row>
    <row r="187">
      <c r="A187" s="8" t="s">
        <v>35</v>
      </c>
      <c r="B187" s="8" t="s">
        <v>34</v>
      </c>
      <c r="C187" s="8" t="s">
        <v>24</v>
      </c>
      <c r="D187" s="8" t="s">
        <v>6435</v>
      </c>
      <c r="E187" s="8">
        <v>81.0</v>
      </c>
    </row>
    <row r="188">
      <c r="A188" s="8" t="s">
        <v>136</v>
      </c>
      <c r="B188" s="8" t="s">
        <v>208</v>
      </c>
      <c r="C188" s="8" t="s">
        <v>80</v>
      </c>
      <c r="D188" s="8" t="s">
        <v>6425</v>
      </c>
      <c r="E188" s="8">
        <v>68.0</v>
      </c>
    </row>
    <row r="189">
      <c r="A189" s="8" t="s">
        <v>686</v>
      </c>
      <c r="B189" s="8" t="s">
        <v>685</v>
      </c>
      <c r="C189" s="8" t="s">
        <v>65</v>
      </c>
      <c r="D189" s="8" t="s">
        <v>6412</v>
      </c>
      <c r="E189" s="8">
        <v>71.0</v>
      </c>
    </row>
    <row r="190">
      <c r="A190" s="8" t="s">
        <v>686</v>
      </c>
      <c r="B190" s="8" t="s">
        <v>222</v>
      </c>
      <c r="C190" s="8" t="s">
        <v>122</v>
      </c>
      <c r="D190" s="8" t="s">
        <v>6424</v>
      </c>
      <c r="E190" s="8">
        <v>78.0</v>
      </c>
    </row>
    <row r="191">
      <c r="A191" s="8" t="s">
        <v>503</v>
      </c>
      <c r="B191" s="8" t="s">
        <v>502</v>
      </c>
      <c r="C191" s="8" t="s">
        <v>70</v>
      </c>
      <c r="D191" s="8" t="s">
        <v>6414</v>
      </c>
      <c r="E191" s="8">
        <v>74.0</v>
      </c>
    </row>
    <row r="192">
      <c r="A192" s="8" t="s">
        <v>754</v>
      </c>
      <c r="B192" s="8" t="s">
        <v>753</v>
      </c>
      <c r="C192" s="8" t="s">
        <v>138</v>
      </c>
      <c r="D192" s="8" t="s">
        <v>6442</v>
      </c>
      <c r="E192" s="8">
        <v>68.0</v>
      </c>
    </row>
    <row r="193">
      <c r="A193" s="8" t="s">
        <v>847</v>
      </c>
      <c r="B193" s="8" t="s">
        <v>1287</v>
      </c>
      <c r="C193" s="8" t="s">
        <v>70</v>
      </c>
      <c r="D193" s="8" t="s">
        <v>6440</v>
      </c>
      <c r="E193" s="8">
        <v>70.0</v>
      </c>
    </row>
    <row r="194">
      <c r="A194" s="8" t="s">
        <v>847</v>
      </c>
      <c r="B194" s="8" t="s">
        <v>3410</v>
      </c>
      <c r="C194" s="8" t="s">
        <v>65</v>
      </c>
      <c r="D194" s="8" t="s">
        <v>6426</v>
      </c>
      <c r="E194" s="8">
        <v>59.0</v>
      </c>
    </row>
    <row r="195">
      <c r="A195" s="8" t="s">
        <v>2388</v>
      </c>
      <c r="B195" s="8" t="s">
        <v>2220</v>
      </c>
      <c r="C195" s="8" t="s">
        <v>70</v>
      </c>
      <c r="D195" s="8" t="s">
        <v>6440</v>
      </c>
      <c r="E195" s="8">
        <v>78.0</v>
      </c>
    </row>
    <row r="196">
      <c r="A196" s="8" t="s">
        <v>1044</v>
      </c>
      <c r="B196" s="8" t="s">
        <v>1043</v>
      </c>
      <c r="C196" s="8" t="s">
        <v>132</v>
      </c>
      <c r="D196" s="8" t="s">
        <v>6415</v>
      </c>
      <c r="E196" s="8">
        <v>68.0</v>
      </c>
    </row>
    <row r="197">
      <c r="A197" s="8" t="s">
        <v>1044</v>
      </c>
      <c r="B197" s="8" t="s">
        <v>3502</v>
      </c>
      <c r="C197" s="8" t="s">
        <v>215</v>
      </c>
      <c r="D197" s="8" t="s">
        <v>6412</v>
      </c>
      <c r="E197" s="8">
        <v>67.0</v>
      </c>
    </row>
    <row r="198">
      <c r="A198" s="8" t="s">
        <v>3176</v>
      </c>
      <c r="B198" s="8" t="s">
        <v>1962</v>
      </c>
      <c r="C198" s="8" t="s">
        <v>70</v>
      </c>
      <c r="D198" s="8" t="s">
        <v>6423</v>
      </c>
      <c r="E198" s="8">
        <v>73.0</v>
      </c>
    </row>
    <row r="199">
      <c r="A199" s="8" t="s">
        <v>3896</v>
      </c>
      <c r="B199" s="8" t="s">
        <v>3895</v>
      </c>
      <c r="C199" s="8" t="s">
        <v>138</v>
      </c>
      <c r="D199" s="8" t="s">
        <v>6413</v>
      </c>
      <c r="E199" s="8">
        <v>74.0</v>
      </c>
    </row>
    <row r="200">
      <c r="A200" s="8" t="s">
        <v>514</v>
      </c>
      <c r="B200" s="8" t="s">
        <v>513</v>
      </c>
      <c r="C200" s="8" t="s">
        <v>16</v>
      </c>
      <c r="D200" s="8" t="s">
        <v>6422</v>
      </c>
      <c r="E200" s="8">
        <v>74.0</v>
      </c>
    </row>
    <row r="201">
      <c r="A201" s="8" t="s">
        <v>1090</v>
      </c>
      <c r="B201" s="8" t="s">
        <v>3496</v>
      </c>
      <c r="C201" s="8" t="s">
        <v>12</v>
      </c>
      <c r="D201" s="8" t="s">
        <v>6429</v>
      </c>
      <c r="E201" s="8">
        <v>81.0</v>
      </c>
    </row>
    <row r="202">
      <c r="A202" s="8" t="s">
        <v>647</v>
      </c>
      <c r="B202" s="8" t="s">
        <v>3524</v>
      </c>
      <c r="C202" s="8" t="s">
        <v>24</v>
      </c>
      <c r="D202" s="8" t="s">
        <v>6430</v>
      </c>
      <c r="E202" s="8">
        <v>63.0</v>
      </c>
    </row>
    <row r="203">
      <c r="A203" s="8" t="s">
        <v>647</v>
      </c>
      <c r="B203" s="8" t="s">
        <v>646</v>
      </c>
      <c r="C203" s="8" t="s">
        <v>24</v>
      </c>
      <c r="D203" s="8" t="s">
        <v>6422</v>
      </c>
      <c r="E203" s="8">
        <v>65.0</v>
      </c>
    </row>
    <row r="204">
      <c r="A204" s="8" t="s">
        <v>647</v>
      </c>
      <c r="B204" s="8" t="s">
        <v>857</v>
      </c>
      <c r="C204" s="8" t="s">
        <v>16</v>
      </c>
      <c r="D204" s="8" t="s">
        <v>6413</v>
      </c>
      <c r="E204" s="8">
        <v>82.0</v>
      </c>
    </row>
    <row r="205">
      <c r="A205" s="8" t="s">
        <v>647</v>
      </c>
      <c r="B205" s="8" t="s">
        <v>1132</v>
      </c>
      <c r="C205" s="8" t="s">
        <v>192</v>
      </c>
      <c r="D205" s="8" t="s">
        <v>6424</v>
      </c>
      <c r="E205" s="8">
        <v>67.0</v>
      </c>
    </row>
    <row r="206">
      <c r="A206" s="8" t="s">
        <v>647</v>
      </c>
      <c r="B206" s="8" t="s">
        <v>1526</v>
      </c>
      <c r="C206" s="8" t="s">
        <v>186</v>
      </c>
      <c r="D206" s="8" t="s">
        <v>6421</v>
      </c>
      <c r="E206" s="8">
        <v>67.0</v>
      </c>
    </row>
    <row r="207">
      <c r="A207" s="8" t="s">
        <v>624</v>
      </c>
      <c r="B207" s="8" t="s">
        <v>623</v>
      </c>
      <c r="C207" s="8" t="s">
        <v>93</v>
      </c>
      <c r="D207" s="8" t="s">
        <v>6423</v>
      </c>
      <c r="E207" s="8">
        <v>71.0</v>
      </c>
    </row>
    <row r="208">
      <c r="A208" s="8" t="s">
        <v>399</v>
      </c>
      <c r="B208" s="8" t="s">
        <v>1468</v>
      </c>
      <c r="C208" s="8" t="s">
        <v>149</v>
      </c>
      <c r="D208" s="8" t="s">
        <v>6425</v>
      </c>
      <c r="E208" s="8">
        <v>67.0</v>
      </c>
    </row>
    <row r="209">
      <c r="A209" s="8" t="s">
        <v>399</v>
      </c>
      <c r="B209" s="8" t="s">
        <v>398</v>
      </c>
      <c r="C209" s="8" t="s">
        <v>149</v>
      </c>
      <c r="D209" s="8" t="s">
        <v>6427</v>
      </c>
      <c r="E209" s="8">
        <v>75.0</v>
      </c>
    </row>
    <row r="210">
      <c r="A210" s="8" t="s">
        <v>399</v>
      </c>
      <c r="B210" s="8" t="s">
        <v>1250</v>
      </c>
      <c r="C210" s="8" t="s">
        <v>93</v>
      </c>
      <c r="D210" s="8" t="s">
        <v>6415</v>
      </c>
      <c r="E210" s="8">
        <v>71.0</v>
      </c>
    </row>
    <row r="211">
      <c r="A211" s="8" t="s">
        <v>399</v>
      </c>
      <c r="B211" s="8" t="s">
        <v>3811</v>
      </c>
      <c r="C211" s="8" t="s">
        <v>70</v>
      </c>
      <c r="D211" s="8" t="s">
        <v>6425</v>
      </c>
      <c r="E211" s="8">
        <v>73.0</v>
      </c>
    </row>
    <row r="212">
      <c r="A212" s="8" t="s">
        <v>399</v>
      </c>
      <c r="B212" s="8" t="s">
        <v>786</v>
      </c>
      <c r="C212" s="8" t="s">
        <v>215</v>
      </c>
      <c r="D212" s="8" t="s">
        <v>6418</v>
      </c>
      <c r="E212" s="8">
        <v>66.0</v>
      </c>
    </row>
    <row r="213">
      <c r="A213" s="8" t="s">
        <v>399</v>
      </c>
      <c r="B213" s="8" t="s">
        <v>611</v>
      </c>
      <c r="C213" s="8" t="s">
        <v>186</v>
      </c>
      <c r="D213" s="8" t="s">
        <v>6433</v>
      </c>
      <c r="E213" s="8">
        <v>88.0</v>
      </c>
    </row>
    <row r="214">
      <c r="A214" s="8" t="s">
        <v>1604</v>
      </c>
      <c r="B214" s="8" t="s">
        <v>3377</v>
      </c>
      <c r="C214" s="8" t="s">
        <v>38</v>
      </c>
      <c r="D214" s="8" t="s">
        <v>6413</v>
      </c>
      <c r="E214" s="8">
        <v>81.0</v>
      </c>
    </row>
    <row r="215">
      <c r="A215" s="8" t="s">
        <v>1604</v>
      </c>
      <c r="B215" s="8" t="s">
        <v>3143</v>
      </c>
      <c r="C215" s="8" t="s">
        <v>38</v>
      </c>
      <c r="D215" s="8" t="s">
        <v>6425</v>
      </c>
      <c r="E215" s="8">
        <v>76.0</v>
      </c>
    </row>
    <row r="216">
      <c r="A216" s="8" t="s">
        <v>436</v>
      </c>
      <c r="B216" s="8" t="s">
        <v>2007</v>
      </c>
      <c r="C216" s="8" t="s">
        <v>65</v>
      </c>
      <c r="D216" s="8" t="s">
        <v>6414</v>
      </c>
      <c r="E216" s="8">
        <v>63.0</v>
      </c>
    </row>
    <row r="217">
      <c r="A217" s="8" t="s">
        <v>436</v>
      </c>
      <c r="B217" s="8" t="s">
        <v>756</v>
      </c>
      <c r="C217" s="8" t="s">
        <v>80</v>
      </c>
      <c r="D217" s="8" t="s">
        <v>6426</v>
      </c>
      <c r="E217" s="8">
        <v>77.0</v>
      </c>
    </row>
    <row r="218">
      <c r="A218" s="8" t="s">
        <v>436</v>
      </c>
      <c r="B218" s="8" t="s">
        <v>1572</v>
      </c>
      <c r="C218" s="8" t="s">
        <v>38</v>
      </c>
      <c r="D218" s="8" t="s">
        <v>6422</v>
      </c>
      <c r="E218" s="8">
        <v>77.0</v>
      </c>
    </row>
    <row r="219">
      <c r="A219" s="8" t="s">
        <v>436</v>
      </c>
      <c r="B219" s="8" t="s">
        <v>1018</v>
      </c>
      <c r="C219" s="8" t="s">
        <v>93</v>
      </c>
      <c r="D219" s="8" t="s">
        <v>6412</v>
      </c>
      <c r="E219" s="8">
        <v>83.0</v>
      </c>
    </row>
    <row r="220">
      <c r="A220" s="8" t="s">
        <v>436</v>
      </c>
      <c r="B220" s="8" t="s">
        <v>435</v>
      </c>
      <c r="C220" s="8" t="s">
        <v>149</v>
      </c>
      <c r="D220" s="8" t="s">
        <v>6433</v>
      </c>
      <c r="E220" s="8">
        <v>74.0</v>
      </c>
    </row>
    <row r="221">
      <c r="A221" s="8" t="s">
        <v>3513</v>
      </c>
      <c r="B221" s="8" t="s">
        <v>235</v>
      </c>
      <c r="C221" s="8" t="s">
        <v>65</v>
      </c>
      <c r="D221" s="8" t="s">
        <v>6412</v>
      </c>
      <c r="E221" s="8">
        <v>60.0</v>
      </c>
    </row>
    <row r="222">
      <c r="A222" s="8" t="s">
        <v>1204</v>
      </c>
      <c r="B222" s="8" t="s">
        <v>1064</v>
      </c>
      <c r="C222" s="8" t="s">
        <v>46</v>
      </c>
      <c r="D222" s="8" t="s">
        <v>6415</v>
      </c>
      <c r="E222" s="8">
        <v>80.0</v>
      </c>
    </row>
    <row r="223">
      <c r="A223" s="8" t="s">
        <v>1204</v>
      </c>
      <c r="B223" s="8" t="s">
        <v>2393</v>
      </c>
      <c r="C223" s="8" t="s">
        <v>70</v>
      </c>
      <c r="D223" s="8" t="s">
        <v>6432</v>
      </c>
      <c r="E223" s="8">
        <v>79.0</v>
      </c>
    </row>
    <row r="224">
      <c r="A224" s="8" t="s">
        <v>3824</v>
      </c>
      <c r="B224" s="8" t="s">
        <v>597</v>
      </c>
      <c r="C224" s="8" t="s">
        <v>80</v>
      </c>
      <c r="D224" s="8" t="s">
        <v>6412</v>
      </c>
      <c r="E224" s="8">
        <v>72.0</v>
      </c>
    </row>
    <row r="225">
      <c r="A225" s="8" t="s">
        <v>1413</v>
      </c>
      <c r="B225" s="8" t="s">
        <v>1412</v>
      </c>
      <c r="C225" s="8" t="s">
        <v>65</v>
      </c>
      <c r="D225" s="8" t="s">
        <v>6418</v>
      </c>
      <c r="E225" s="8">
        <v>83.0</v>
      </c>
    </row>
    <row r="226">
      <c r="A226" s="8" t="s">
        <v>121</v>
      </c>
      <c r="B226" s="8" t="s">
        <v>460</v>
      </c>
      <c r="C226" s="8" t="s">
        <v>16</v>
      </c>
      <c r="D226" s="8" t="s">
        <v>6413</v>
      </c>
      <c r="E226" s="8">
        <v>65.0</v>
      </c>
    </row>
    <row r="227">
      <c r="A227" s="8" t="s">
        <v>121</v>
      </c>
      <c r="B227" s="8" t="s">
        <v>474</v>
      </c>
      <c r="C227" s="8" t="s">
        <v>70</v>
      </c>
      <c r="D227" s="8" t="s">
        <v>6436</v>
      </c>
      <c r="E227" s="8">
        <v>72.0</v>
      </c>
    </row>
    <row r="228">
      <c r="A228" s="8" t="s">
        <v>121</v>
      </c>
      <c r="B228" s="8" t="s">
        <v>3560</v>
      </c>
      <c r="C228" s="8" t="s">
        <v>24</v>
      </c>
      <c r="D228" s="8" t="s">
        <v>6440</v>
      </c>
      <c r="E228" s="8">
        <v>69.0</v>
      </c>
    </row>
    <row r="229">
      <c r="A229" s="8" t="s">
        <v>121</v>
      </c>
      <c r="B229" s="8" t="s">
        <v>2315</v>
      </c>
      <c r="C229" s="8" t="s">
        <v>93</v>
      </c>
      <c r="D229" s="8" t="s">
        <v>6427</v>
      </c>
      <c r="E229" s="8">
        <v>71.0</v>
      </c>
    </row>
    <row r="230">
      <c r="A230" s="8" t="s">
        <v>121</v>
      </c>
      <c r="B230" s="8" t="s">
        <v>224</v>
      </c>
      <c r="C230" s="8" t="s">
        <v>132</v>
      </c>
      <c r="D230" s="8" t="s">
        <v>6424</v>
      </c>
      <c r="E230" s="8">
        <v>80.0</v>
      </c>
    </row>
    <row r="231">
      <c r="A231" s="8" t="s">
        <v>121</v>
      </c>
      <c r="B231" s="8" t="s">
        <v>3571</v>
      </c>
      <c r="C231" s="8" t="s">
        <v>93</v>
      </c>
      <c r="D231" s="8" t="s">
        <v>6433</v>
      </c>
      <c r="E231" s="8">
        <v>73.0</v>
      </c>
    </row>
    <row r="232">
      <c r="A232" s="8" t="s">
        <v>121</v>
      </c>
      <c r="B232" s="8" t="s">
        <v>1723</v>
      </c>
      <c r="C232" s="8" t="s">
        <v>70</v>
      </c>
      <c r="D232" s="8" t="s">
        <v>6421</v>
      </c>
      <c r="E232" s="8">
        <v>61.0</v>
      </c>
    </row>
    <row r="233">
      <c r="A233" s="8" t="s">
        <v>121</v>
      </c>
      <c r="B233" s="8" t="s">
        <v>144</v>
      </c>
      <c r="C233" s="8" t="s">
        <v>93</v>
      </c>
      <c r="D233" s="8" t="s">
        <v>6442</v>
      </c>
      <c r="E233" s="8">
        <v>76.0</v>
      </c>
    </row>
    <row r="234">
      <c r="A234" s="8" t="s">
        <v>121</v>
      </c>
      <c r="B234" s="8" t="s">
        <v>1405</v>
      </c>
      <c r="C234" s="8" t="s">
        <v>186</v>
      </c>
      <c r="D234" s="8" t="s">
        <v>6414</v>
      </c>
      <c r="E234" s="8">
        <v>60.0</v>
      </c>
    </row>
    <row r="235">
      <c r="A235" s="8" t="s">
        <v>121</v>
      </c>
      <c r="B235" s="8" t="s">
        <v>877</v>
      </c>
      <c r="C235" s="8" t="s">
        <v>65</v>
      </c>
      <c r="D235" s="8" t="s">
        <v>6418</v>
      </c>
      <c r="E235" s="8">
        <v>69.0</v>
      </c>
    </row>
    <row r="236">
      <c r="A236" s="8" t="s">
        <v>121</v>
      </c>
      <c r="B236" s="8" t="s">
        <v>662</v>
      </c>
      <c r="C236" s="8" t="s">
        <v>53</v>
      </c>
      <c r="D236" s="8" t="s">
        <v>6420</v>
      </c>
      <c r="E236" s="8">
        <v>64.0</v>
      </c>
    </row>
    <row r="237">
      <c r="A237" s="8" t="s">
        <v>121</v>
      </c>
      <c r="B237" s="8" t="s">
        <v>1149</v>
      </c>
      <c r="C237" s="8" t="s">
        <v>93</v>
      </c>
      <c r="D237" s="8" t="s">
        <v>6418</v>
      </c>
      <c r="E237" s="8">
        <v>65.0</v>
      </c>
    </row>
    <row r="238">
      <c r="A238" s="8" t="s">
        <v>121</v>
      </c>
      <c r="B238" s="8" t="s">
        <v>3230</v>
      </c>
      <c r="C238" s="8" t="s">
        <v>16</v>
      </c>
      <c r="D238" s="8" t="s">
        <v>6415</v>
      </c>
      <c r="E238" s="8">
        <v>63.0</v>
      </c>
    </row>
    <row r="239">
      <c r="A239" s="8" t="s">
        <v>121</v>
      </c>
      <c r="B239" s="8" t="s">
        <v>1158</v>
      </c>
      <c r="C239" s="8" t="s">
        <v>138</v>
      </c>
      <c r="D239" s="8" t="s">
        <v>6434</v>
      </c>
      <c r="E239" s="8">
        <v>68.0</v>
      </c>
    </row>
    <row r="240">
      <c r="A240" s="8" t="s">
        <v>121</v>
      </c>
      <c r="B240" s="8" t="s">
        <v>913</v>
      </c>
      <c r="C240" s="8" t="s">
        <v>93</v>
      </c>
      <c r="D240" s="8" t="s">
        <v>6432</v>
      </c>
      <c r="E240" s="8">
        <v>78.0</v>
      </c>
    </row>
    <row r="241">
      <c r="A241" s="8" t="s">
        <v>121</v>
      </c>
      <c r="B241" s="8" t="s">
        <v>2798</v>
      </c>
      <c r="C241" s="8" t="s">
        <v>75</v>
      </c>
      <c r="D241" s="8" t="s">
        <v>6429</v>
      </c>
      <c r="E241" s="8">
        <v>72.0</v>
      </c>
    </row>
    <row r="242">
      <c r="A242" s="8" t="s">
        <v>121</v>
      </c>
      <c r="B242" s="8" t="s">
        <v>203</v>
      </c>
      <c r="C242" s="8" t="s">
        <v>215</v>
      </c>
      <c r="D242" s="8" t="s">
        <v>6424</v>
      </c>
      <c r="E242" s="8">
        <v>92.0</v>
      </c>
    </row>
    <row r="243">
      <c r="A243" s="8" t="s">
        <v>121</v>
      </c>
      <c r="B243" s="8" t="s">
        <v>89</v>
      </c>
      <c r="C243" s="8" t="s">
        <v>93</v>
      </c>
      <c r="D243" s="8" t="s">
        <v>6415</v>
      </c>
      <c r="E243" s="8">
        <v>71.0</v>
      </c>
    </row>
    <row r="244">
      <c r="A244" s="8" t="s">
        <v>121</v>
      </c>
      <c r="B244" s="8" t="s">
        <v>3680</v>
      </c>
      <c r="C244" s="8" t="s">
        <v>186</v>
      </c>
      <c r="D244" s="8" t="s">
        <v>6442</v>
      </c>
      <c r="E244" s="8">
        <v>68.0</v>
      </c>
    </row>
    <row r="245">
      <c r="A245" s="8" t="s">
        <v>121</v>
      </c>
      <c r="B245" s="8" t="s">
        <v>2887</v>
      </c>
      <c r="C245" s="8" t="s">
        <v>65</v>
      </c>
      <c r="D245" s="8" t="s">
        <v>6417</v>
      </c>
      <c r="E245" s="8">
        <v>77.0</v>
      </c>
    </row>
    <row r="246">
      <c r="A246" s="8" t="s">
        <v>121</v>
      </c>
      <c r="B246" s="8" t="s">
        <v>968</v>
      </c>
      <c r="C246" s="8" t="s">
        <v>132</v>
      </c>
      <c r="D246" s="8" t="s">
        <v>6413</v>
      </c>
      <c r="E246" s="8">
        <v>77.0</v>
      </c>
    </row>
    <row r="247">
      <c r="A247" s="8" t="s">
        <v>121</v>
      </c>
      <c r="B247" s="8" t="s">
        <v>405</v>
      </c>
      <c r="C247" s="8" t="s">
        <v>186</v>
      </c>
      <c r="D247" s="8" t="s">
        <v>6412</v>
      </c>
      <c r="E247" s="8">
        <v>90.0</v>
      </c>
    </row>
    <row r="248">
      <c r="A248" s="8" t="s">
        <v>121</v>
      </c>
      <c r="B248" s="8" t="s">
        <v>405</v>
      </c>
      <c r="C248" s="8" t="s">
        <v>65</v>
      </c>
      <c r="D248" s="8" t="s">
        <v>6440</v>
      </c>
      <c r="E248" s="8">
        <v>89.0</v>
      </c>
    </row>
    <row r="249">
      <c r="A249" s="8" t="s">
        <v>121</v>
      </c>
      <c r="B249" s="8" t="s">
        <v>757</v>
      </c>
      <c r="C249" s="8" t="s">
        <v>12</v>
      </c>
      <c r="D249" s="8" t="s">
        <v>6412</v>
      </c>
      <c r="E249" s="8">
        <v>82.0</v>
      </c>
    </row>
    <row r="250">
      <c r="A250" s="8" t="s">
        <v>121</v>
      </c>
      <c r="B250" s="8" t="s">
        <v>120</v>
      </c>
      <c r="C250" s="8" t="s">
        <v>122</v>
      </c>
      <c r="D250" s="8" t="s">
        <v>6432</v>
      </c>
      <c r="E250" s="8">
        <v>80.0</v>
      </c>
    </row>
    <row r="251">
      <c r="A251" s="8" t="s">
        <v>121</v>
      </c>
      <c r="B251" s="8" t="s">
        <v>769</v>
      </c>
      <c r="C251" s="8" t="s">
        <v>24</v>
      </c>
      <c r="D251" s="8" t="s">
        <v>6426</v>
      </c>
      <c r="E251" s="8">
        <v>72.0</v>
      </c>
    </row>
    <row r="252">
      <c r="A252" s="8" t="s">
        <v>121</v>
      </c>
      <c r="B252" s="8" t="s">
        <v>3796</v>
      </c>
      <c r="C252" s="8" t="s">
        <v>24</v>
      </c>
      <c r="D252" s="8" t="s">
        <v>6420</v>
      </c>
      <c r="E252" s="8">
        <v>74.0</v>
      </c>
    </row>
    <row r="253">
      <c r="A253" s="8" t="s">
        <v>121</v>
      </c>
      <c r="B253" s="8" t="s">
        <v>1022</v>
      </c>
      <c r="C253" s="8" t="s">
        <v>132</v>
      </c>
      <c r="D253" s="8" t="s">
        <v>6416</v>
      </c>
      <c r="E253" s="8">
        <v>78.0</v>
      </c>
    </row>
    <row r="254">
      <c r="A254" s="8" t="s">
        <v>121</v>
      </c>
      <c r="B254" s="8" t="s">
        <v>1024</v>
      </c>
      <c r="C254" s="8" t="s">
        <v>149</v>
      </c>
      <c r="D254" s="8" t="s">
        <v>6440</v>
      </c>
      <c r="E254" s="8">
        <v>66.0</v>
      </c>
    </row>
    <row r="255">
      <c r="A255" s="8" t="s">
        <v>121</v>
      </c>
      <c r="B255" s="8" t="s">
        <v>324</v>
      </c>
      <c r="C255" s="8" t="s">
        <v>65</v>
      </c>
      <c r="D255" s="8" t="s">
        <v>6417</v>
      </c>
      <c r="E255" s="8">
        <v>71.0</v>
      </c>
    </row>
    <row r="256">
      <c r="A256" s="8" t="s">
        <v>121</v>
      </c>
      <c r="B256" s="8" t="s">
        <v>62</v>
      </c>
      <c r="C256" s="8" t="s">
        <v>132</v>
      </c>
      <c r="D256" s="8" t="s">
        <v>6422</v>
      </c>
      <c r="E256" s="8">
        <v>67.0</v>
      </c>
    </row>
    <row r="257">
      <c r="A257" s="8" t="s">
        <v>121</v>
      </c>
      <c r="B257" s="8" t="s">
        <v>444</v>
      </c>
      <c r="C257" s="8" t="s">
        <v>122</v>
      </c>
      <c r="D257" s="8" t="s">
        <v>6417</v>
      </c>
      <c r="E257" s="8">
        <v>67.0</v>
      </c>
    </row>
    <row r="258">
      <c r="A258" s="8" t="s">
        <v>121</v>
      </c>
      <c r="B258" s="8" t="s">
        <v>2277</v>
      </c>
      <c r="C258" s="8" t="s">
        <v>59</v>
      </c>
      <c r="D258" s="8" t="s">
        <v>6429</v>
      </c>
      <c r="E258" s="8">
        <v>64.0</v>
      </c>
    </row>
    <row r="259">
      <c r="A259" s="8" t="s">
        <v>121</v>
      </c>
      <c r="B259" s="8" t="s">
        <v>3126</v>
      </c>
      <c r="C259" s="8" t="s">
        <v>16</v>
      </c>
      <c r="D259" s="8" t="s">
        <v>6434</v>
      </c>
      <c r="E259" s="8">
        <v>72.0</v>
      </c>
    </row>
    <row r="260">
      <c r="A260" s="8" t="s">
        <v>121</v>
      </c>
      <c r="B260" s="8" t="s">
        <v>3893</v>
      </c>
      <c r="C260" s="8" t="s">
        <v>70</v>
      </c>
      <c r="D260" s="8" t="s">
        <v>6441</v>
      </c>
      <c r="E260" s="8">
        <v>67.0</v>
      </c>
    </row>
    <row r="261">
      <c r="A261" s="8" t="s">
        <v>121</v>
      </c>
      <c r="B261" s="8" t="s">
        <v>78</v>
      </c>
      <c r="C261" s="8" t="s">
        <v>122</v>
      </c>
      <c r="D261" s="8" t="s">
        <v>6435</v>
      </c>
      <c r="E261" s="8">
        <v>84.0</v>
      </c>
    </row>
    <row r="262">
      <c r="A262" s="8" t="s">
        <v>121</v>
      </c>
      <c r="B262" s="8" t="s">
        <v>78</v>
      </c>
      <c r="C262" s="8" t="s">
        <v>24</v>
      </c>
      <c r="D262" s="8" t="s">
        <v>6433</v>
      </c>
      <c r="E262" s="8">
        <v>71.0</v>
      </c>
    </row>
    <row r="263">
      <c r="A263" s="8" t="s">
        <v>121</v>
      </c>
      <c r="B263" s="8" t="s">
        <v>78</v>
      </c>
      <c r="C263" s="8" t="s">
        <v>93</v>
      </c>
      <c r="D263" s="8" t="s">
        <v>6419</v>
      </c>
      <c r="E263" s="8">
        <v>66.0</v>
      </c>
    </row>
    <row r="264">
      <c r="A264" s="8" t="s">
        <v>1262</v>
      </c>
      <c r="B264" s="8" t="s">
        <v>402</v>
      </c>
      <c r="C264" s="8" t="s">
        <v>65</v>
      </c>
      <c r="D264" s="8" t="s">
        <v>6434</v>
      </c>
      <c r="E264" s="8">
        <v>71.0</v>
      </c>
    </row>
    <row r="265">
      <c r="A265" s="8" t="s">
        <v>2806</v>
      </c>
      <c r="B265" s="8" t="s">
        <v>2805</v>
      </c>
      <c r="C265" s="8" t="s">
        <v>149</v>
      </c>
      <c r="D265" s="8" t="s">
        <v>6440</v>
      </c>
      <c r="E265" s="8">
        <v>69.0</v>
      </c>
    </row>
    <row r="266">
      <c r="A266" s="8" t="s">
        <v>780</v>
      </c>
      <c r="B266" s="8" t="s">
        <v>251</v>
      </c>
      <c r="C266" s="8" t="s">
        <v>24</v>
      </c>
      <c r="D266" s="8" t="s">
        <v>6424</v>
      </c>
      <c r="E266" s="8">
        <v>79.0</v>
      </c>
    </row>
    <row r="267">
      <c r="A267" s="8" t="s">
        <v>780</v>
      </c>
      <c r="B267" s="8" t="s">
        <v>2822</v>
      </c>
      <c r="C267" s="8" t="s">
        <v>93</v>
      </c>
      <c r="D267" s="8" t="s">
        <v>6426</v>
      </c>
      <c r="E267" s="8">
        <v>85.0</v>
      </c>
    </row>
    <row r="268">
      <c r="A268" s="8" t="s">
        <v>780</v>
      </c>
      <c r="B268" s="8" t="s">
        <v>779</v>
      </c>
      <c r="C268" s="8" t="s">
        <v>149</v>
      </c>
      <c r="D268" s="8" t="s">
        <v>6440</v>
      </c>
      <c r="E268" s="8">
        <v>63.0</v>
      </c>
    </row>
    <row r="269">
      <c r="A269" s="8" t="s">
        <v>780</v>
      </c>
      <c r="B269" s="8" t="s">
        <v>817</v>
      </c>
      <c r="C269" s="8" t="s">
        <v>215</v>
      </c>
      <c r="D269" s="8" t="s">
        <v>6435</v>
      </c>
      <c r="E269" s="8">
        <v>64.0</v>
      </c>
    </row>
    <row r="270">
      <c r="A270" s="8" t="s">
        <v>3174</v>
      </c>
      <c r="B270" s="8" t="s">
        <v>3173</v>
      </c>
      <c r="C270" s="8" t="s">
        <v>65</v>
      </c>
      <c r="D270" s="8" t="s">
        <v>6441</v>
      </c>
      <c r="E270" s="8">
        <v>69.0</v>
      </c>
    </row>
    <row r="271">
      <c r="A271" s="8" t="s">
        <v>1570</v>
      </c>
      <c r="B271" s="8" t="s">
        <v>1569</v>
      </c>
      <c r="C271" s="8" t="s">
        <v>65</v>
      </c>
      <c r="D271" s="8" t="s">
        <v>6435</v>
      </c>
      <c r="E271" s="8">
        <v>70.0</v>
      </c>
    </row>
    <row r="272">
      <c r="A272" s="8" t="s">
        <v>161</v>
      </c>
      <c r="B272" s="8" t="s">
        <v>1203</v>
      </c>
      <c r="C272" s="8" t="s">
        <v>16</v>
      </c>
      <c r="D272" s="8" t="s">
        <v>6421</v>
      </c>
      <c r="E272" s="8">
        <v>70.0</v>
      </c>
    </row>
    <row r="273">
      <c r="A273" s="8" t="s">
        <v>161</v>
      </c>
      <c r="B273" s="8" t="s">
        <v>160</v>
      </c>
      <c r="C273" s="8" t="s">
        <v>38</v>
      </c>
      <c r="D273" s="8" t="s">
        <v>6423</v>
      </c>
      <c r="E273" s="8">
        <v>85.0</v>
      </c>
    </row>
    <row r="274">
      <c r="A274" s="8" t="s">
        <v>157</v>
      </c>
      <c r="B274" s="8" t="s">
        <v>3221</v>
      </c>
      <c r="C274" s="8" t="s">
        <v>186</v>
      </c>
      <c r="D274" s="8" t="s">
        <v>6434</v>
      </c>
      <c r="E274" s="8">
        <v>81.0</v>
      </c>
    </row>
    <row r="275">
      <c r="A275" s="8" t="s">
        <v>157</v>
      </c>
      <c r="B275" s="8" t="s">
        <v>1149</v>
      </c>
      <c r="C275" s="8" t="s">
        <v>93</v>
      </c>
      <c r="D275" s="8" t="s">
        <v>6418</v>
      </c>
      <c r="E275" s="8">
        <v>66.0</v>
      </c>
    </row>
    <row r="276">
      <c r="A276" s="8" t="s">
        <v>157</v>
      </c>
      <c r="B276" s="8" t="s">
        <v>3637</v>
      </c>
      <c r="C276" s="8" t="s">
        <v>141</v>
      </c>
      <c r="D276" s="8" t="s">
        <v>6414</v>
      </c>
      <c r="E276" s="8">
        <v>67.0</v>
      </c>
    </row>
    <row r="277">
      <c r="A277" s="8" t="s">
        <v>157</v>
      </c>
      <c r="B277" s="8" t="s">
        <v>156</v>
      </c>
      <c r="C277" s="8" t="s">
        <v>16</v>
      </c>
      <c r="D277" s="8" t="s">
        <v>6427</v>
      </c>
      <c r="E277" s="8">
        <v>73.0</v>
      </c>
    </row>
    <row r="278">
      <c r="A278" s="8" t="s">
        <v>157</v>
      </c>
      <c r="B278" s="8" t="s">
        <v>3720</v>
      </c>
      <c r="C278" s="8" t="s">
        <v>24</v>
      </c>
      <c r="D278" s="8" t="s">
        <v>6429</v>
      </c>
      <c r="E278" s="8">
        <v>66.0</v>
      </c>
    </row>
    <row r="279">
      <c r="A279" s="8" t="s">
        <v>157</v>
      </c>
      <c r="B279" s="8" t="s">
        <v>982</v>
      </c>
      <c r="C279" s="8" t="s">
        <v>149</v>
      </c>
      <c r="D279" s="8" t="s">
        <v>6439</v>
      </c>
      <c r="E279" s="8">
        <v>65.0</v>
      </c>
    </row>
    <row r="280">
      <c r="A280" s="8" t="s">
        <v>157</v>
      </c>
      <c r="B280" s="8" t="s">
        <v>2977</v>
      </c>
      <c r="C280" s="8" t="s">
        <v>59</v>
      </c>
      <c r="D280" s="8" t="s">
        <v>6423</v>
      </c>
      <c r="E280" s="8">
        <v>87.0</v>
      </c>
    </row>
    <row r="281">
      <c r="A281" s="8" t="s">
        <v>157</v>
      </c>
      <c r="B281" s="8" t="s">
        <v>1276</v>
      </c>
      <c r="C281" s="8" t="s">
        <v>24</v>
      </c>
      <c r="D281" s="8" t="s">
        <v>6437</v>
      </c>
      <c r="E281" s="8">
        <v>65.0</v>
      </c>
    </row>
    <row r="282">
      <c r="A282" s="8" t="s">
        <v>157</v>
      </c>
      <c r="B282" s="8" t="s">
        <v>44</v>
      </c>
      <c r="C282" s="8" t="s">
        <v>186</v>
      </c>
      <c r="D282" s="8" t="s">
        <v>6434</v>
      </c>
      <c r="E282" s="8">
        <v>61.0</v>
      </c>
    </row>
    <row r="283">
      <c r="A283" s="8" t="s">
        <v>157</v>
      </c>
      <c r="B283" s="8" t="s">
        <v>1288</v>
      </c>
      <c r="C283" s="8" t="s">
        <v>192</v>
      </c>
      <c r="D283" s="8" t="s">
        <v>6431</v>
      </c>
      <c r="E283" s="8">
        <v>60.0</v>
      </c>
    </row>
    <row r="284">
      <c r="A284" s="8" t="s">
        <v>157</v>
      </c>
      <c r="B284" s="8" t="s">
        <v>1579</v>
      </c>
      <c r="C284" s="8" t="s">
        <v>122</v>
      </c>
      <c r="D284" s="8" t="s">
        <v>6421</v>
      </c>
      <c r="E284" s="8">
        <v>59.0</v>
      </c>
    </row>
    <row r="285">
      <c r="A285" s="8" t="s">
        <v>157</v>
      </c>
      <c r="B285" s="8" t="s">
        <v>419</v>
      </c>
      <c r="C285" s="8" t="s">
        <v>65</v>
      </c>
      <c r="D285" s="8" t="s">
        <v>6414</v>
      </c>
      <c r="E285" s="8">
        <v>74.0</v>
      </c>
    </row>
    <row r="286">
      <c r="A286" s="8" t="s">
        <v>157</v>
      </c>
      <c r="B286" s="8" t="s">
        <v>3023</v>
      </c>
      <c r="C286" s="8" t="s">
        <v>138</v>
      </c>
      <c r="D286" s="8" t="s">
        <v>6429</v>
      </c>
      <c r="E286" s="8">
        <v>79.0</v>
      </c>
    </row>
    <row r="287">
      <c r="A287" s="8" t="s">
        <v>157</v>
      </c>
      <c r="B287" s="8" t="s">
        <v>3425</v>
      </c>
      <c r="C287" s="8" t="s">
        <v>141</v>
      </c>
      <c r="D287" s="8" t="s">
        <v>6423</v>
      </c>
      <c r="E287" s="8">
        <v>71.0</v>
      </c>
    </row>
    <row r="288">
      <c r="A288" s="8" t="s">
        <v>157</v>
      </c>
      <c r="B288" s="8" t="s">
        <v>833</v>
      </c>
      <c r="C288" s="8" t="s">
        <v>132</v>
      </c>
      <c r="D288" s="8" t="s">
        <v>6440</v>
      </c>
      <c r="E288" s="8">
        <v>70.0</v>
      </c>
    </row>
    <row r="289">
      <c r="A289" s="8" t="s">
        <v>487</v>
      </c>
      <c r="B289" s="8" t="s">
        <v>486</v>
      </c>
      <c r="C289" s="8" t="s">
        <v>65</v>
      </c>
      <c r="D289" s="8" t="s">
        <v>6442</v>
      </c>
      <c r="E289" s="8">
        <v>71.0</v>
      </c>
    </row>
    <row r="290">
      <c r="A290" s="8" t="s">
        <v>487</v>
      </c>
      <c r="B290" s="8" t="s">
        <v>1250</v>
      </c>
      <c r="C290" s="8" t="s">
        <v>93</v>
      </c>
      <c r="D290" s="8" t="s">
        <v>6423</v>
      </c>
      <c r="E290" s="8">
        <v>78.0</v>
      </c>
    </row>
    <row r="291">
      <c r="A291" s="8" t="s">
        <v>3273</v>
      </c>
      <c r="B291" s="8" t="s">
        <v>325</v>
      </c>
      <c r="C291" s="8" t="s">
        <v>65</v>
      </c>
      <c r="D291" s="8" t="s">
        <v>6419</v>
      </c>
      <c r="E291" s="8">
        <v>62.0</v>
      </c>
    </row>
    <row r="292">
      <c r="A292" s="8" t="s">
        <v>109</v>
      </c>
      <c r="B292" s="8" t="s">
        <v>36</v>
      </c>
      <c r="C292" s="8" t="s">
        <v>38</v>
      </c>
      <c r="D292" s="8" t="s">
        <v>6412</v>
      </c>
      <c r="E292" s="8">
        <v>80.0</v>
      </c>
    </row>
    <row r="293">
      <c r="A293" s="8" t="s">
        <v>243</v>
      </c>
      <c r="B293" s="8" t="s">
        <v>2743</v>
      </c>
      <c r="C293" s="8" t="s">
        <v>186</v>
      </c>
      <c r="D293" s="8" t="s">
        <v>6433</v>
      </c>
      <c r="E293" s="8">
        <v>66.0</v>
      </c>
    </row>
    <row r="294">
      <c r="A294" s="8" t="s">
        <v>243</v>
      </c>
      <c r="B294" s="8" t="s">
        <v>2978</v>
      </c>
      <c r="C294" s="8" t="s">
        <v>16</v>
      </c>
      <c r="D294" s="8" t="s">
        <v>6434</v>
      </c>
      <c r="E294" s="8">
        <v>77.0</v>
      </c>
    </row>
    <row r="295">
      <c r="A295" s="8" t="s">
        <v>243</v>
      </c>
      <c r="B295" s="8" t="s">
        <v>3495</v>
      </c>
      <c r="C295" s="8" t="s">
        <v>80</v>
      </c>
      <c r="D295" s="8" t="s">
        <v>6436</v>
      </c>
      <c r="E295" s="8">
        <v>70.0</v>
      </c>
    </row>
    <row r="296">
      <c r="A296" s="8" t="s">
        <v>731</v>
      </c>
      <c r="B296" s="8" t="s">
        <v>730</v>
      </c>
      <c r="C296" s="8" t="s">
        <v>215</v>
      </c>
      <c r="D296" s="8" t="s">
        <v>6435</v>
      </c>
      <c r="E296" s="8">
        <v>69.0</v>
      </c>
    </row>
    <row r="297">
      <c r="A297" s="8" t="s">
        <v>224</v>
      </c>
      <c r="B297" s="8" t="s">
        <v>223</v>
      </c>
      <c r="C297" s="8" t="s">
        <v>53</v>
      </c>
      <c r="D297" s="8" t="s">
        <v>6431</v>
      </c>
      <c r="E297" s="8">
        <v>76.0</v>
      </c>
    </row>
    <row r="298">
      <c r="A298" s="8" t="s">
        <v>249</v>
      </c>
      <c r="B298" s="8" t="s">
        <v>248</v>
      </c>
      <c r="C298" s="8" t="s">
        <v>186</v>
      </c>
      <c r="D298" s="8" t="s">
        <v>6440</v>
      </c>
      <c r="E298" s="8">
        <v>73.0</v>
      </c>
    </row>
    <row r="299">
      <c r="A299" s="8" t="s">
        <v>249</v>
      </c>
      <c r="B299" s="8" t="s">
        <v>368</v>
      </c>
      <c r="C299" s="8" t="s">
        <v>65</v>
      </c>
      <c r="D299" s="8" t="s">
        <v>6422</v>
      </c>
      <c r="E299" s="8">
        <v>69.0</v>
      </c>
    </row>
    <row r="300">
      <c r="A300" s="8" t="s">
        <v>249</v>
      </c>
      <c r="B300" s="8" t="s">
        <v>3280</v>
      </c>
      <c r="C300" s="8" t="s">
        <v>16</v>
      </c>
      <c r="D300" s="8" t="s">
        <v>6439</v>
      </c>
      <c r="E300" s="8">
        <v>69.0</v>
      </c>
    </row>
    <row r="301">
      <c r="A301" s="8" t="s">
        <v>249</v>
      </c>
      <c r="B301" s="8" t="s">
        <v>280</v>
      </c>
      <c r="C301" s="8" t="s">
        <v>53</v>
      </c>
      <c r="D301" s="8" t="s">
        <v>6438</v>
      </c>
      <c r="E301" s="8">
        <v>81.0</v>
      </c>
    </row>
    <row r="302">
      <c r="A302" s="8" t="s">
        <v>249</v>
      </c>
      <c r="B302" s="8" t="s">
        <v>402</v>
      </c>
      <c r="C302" s="8" t="s">
        <v>261</v>
      </c>
      <c r="D302" s="8" t="s">
        <v>6422</v>
      </c>
      <c r="E302" s="8">
        <v>77.0</v>
      </c>
    </row>
    <row r="303">
      <c r="A303" s="8" t="s">
        <v>354</v>
      </c>
      <c r="B303" s="8" t="s">
        <v>2658</v>
      </c>
      <c r="C303" s="8" t="s">
        <v>38</v>
      </c>
      <c r="D303" s="8" t="s">
        <v>6426</v>
      </c>
      <c r="E303" s="8">
        <v>82.0</v>
      </c>
    </row>
    <row r="304">
      <c r="A304" s="8" t="s">
        <v>354</v>
      </c>
      <c r="B304" s="8" t="s">
        <v>3562</v>
      </c>
      <c r="C304" s="8" t="s">
        <v>215</v>
      </c>
      <c r="D304" s="8" t="s">
        <v>6424</v>
      </c>
      <c r="E304" s="8">
        <v>71.0</v>
      </c>
    </row>
    <row r="305">
      <c r="A305" s="8" t="s">
        <v>354</v>
      </c>
      <c r="B305" s="8" t="s">
        <v>353</v>
      </c>
      <c r="C305" s="8" t="s">
        <v>149</v>
      </c>
      <c r="D305" s="8" t="s">
        <v>6421</v>
      </c>
      <c r="E305" s="8">
        <v>79.0</v>
      </c>
    </row>
    <row r="306">
      <c r="A306" s="8" t="s">
        <v>354</v>
      </c>
      <c r="B306" s="8" t="s">
        <v>3859</v>
      </c>
      <c r="C306" s="8" t="s">
        <v>141</v>
      </c>
      <c r="D306" s="8" t="s">
        <v>6436</v>
      </c>
      <c r="E306" s="8">
        <v>73.0</v>
      </c>
    </row>
    <row r="307">
      <c r="A307" s="8" t="s">
        <v>354</v>
      </c>
      <c r="B307" s="8" t="s">
        <v>3888</v>
      </c>
      <c r="C307" s="8" t="s">
        <v>65</v>
      </c>
      <c r="D307" s="8" t="s">
        <v>6413</v>
      </c>
      <c r="E307" s="8">
        <v>70.0</v>
      </c>
    </row>
    <row r="308">
      <c r="A308" s="8" t="s">
        <v>354</v>
      </c>
      <c r="B308" s="8" t="s">
        <v>621</v>
      </c>
      <c r="C308" s="8" t="s">
        <v>46</v>
      </c>
      <c r="D308" s="8" t="s">
        <v>6442</v>
      </c>
      <c r="E308" s="8">
        <v>66.0</v>
      </c>
    </row>
    <row r="309">
      <c r="A309" s="8" t="s">
        <v>871</v>
      </c>
      <c r="B309" s="8" t="s">
        <v>870</v>
      </c>
      <c r="C309" s="8" t="s">
        <v>93</v>
      </c>
      <c r="D309" s="8" t="s">
        <v>6427</v>
      </c>
      <c r="E309" s="8">
        <v>69.0</v>
      </c>
    </row>
    <row r="310">
      <c r="A310" s="8" t="s">
        <v>871</v>
      </c>
      <c r="B310" s="8" t="s">
        <v>932</v>
      </c>
      <c r="C310" s="8" t="s">
        <v>186</v>
      </c>
      <c r="D310" s="8" t="s">
        <v>6414</v>
      </c>
      <c r="E310" s="8">
        <v>60.0</v>
      </c>
    </row>
    <row r="311">
      <c r="A311" s="8" t="s">
        <v>871</v>
      </c>
      <c r="B311" s="8" t="s">
        <v>89</v>
      </c>
      <c r="C311" s="8" t="s">
        <v>149</v>
      </c>
      <c r="D311" s="8" t="s">
        <v>6431</v>
      </c>
      <c r="E311" s="8">
        <v>73.0</v>
      </c>
    </row>
    <row r="312">
      <c r="A312" s="8" t="s">
        <v>871</v>
      </c>
      <c r="B312" s="8" t="s">
        <v>2994</v>
      </c>
      <c r="C312" s="8" t="s">
        <v>16</v>
      </c>
      <c r="D312" s="8" t="s">
        <v>6440</v>
      </c>
      <c r="E312" s="8">
        <v>65.0</v>
      </c>
    </row>
    <row r="313">
      <c r="A313" s="8" t="s">
        <v>3098</v>
      </c>
      <c r="B313" s="8" t="s">
        <v>3097</v>
      </c>
      <c r="C313" s="8" t="s">
        <v>192</v>
      </c>
      <c r="D313" s="8" t="s">
        <v>6438</v>
      </c>
      <c r="E313" s="8">
        <v>63.0</v>
      </c>
    </row>
    <row r="314">
      <c r="A314" s="8" t="s">
        <v>1160</v>
      </c>
      <c r="B314" s="8" t="s">
        <v>1159</v>
      </c>
      <c r="C314" s="8" t="s">
        <v>53</v>
      </c>
      <c r="D314" s="8" t="s">
        <v>6439</v>
      </c>
      <c r="E314" s="8">
        <v>70.0</v>
      </c>
    </row>
    <row r="315">
      <c r="A315" s="8" t="s">
        <v>3522</v>
      </c>
      <c r="B315" s="8" t="s">
        <v>636</v>
      </c>
      <c r="C315" s="8" t="s">
        <v>24</v>
      </c>
      <c r="D315" s="8" t="s">
        <v>6422</v>
      </c>
      <c r="E315" s="8">
        <v>64.0</v>
      </c>
    </row>
    <row r="316">
      <c r="A316" s="8" t="s">
        <v>433</v>
      </c>
      <c r="B316" s="8" t="s">
        <v>432</v>
      </c>
      <c r="C316" s="8" t="s">
        <v>93</v>
      </c>
      <c r="D316" s="8" t="s">
        <v>6440</v>
      </c>
      <c r="E316" s="8">
        <v>75.0</v>
      </c>
    </row>
    <row r="317">
      <c r="A317" s="8" t="s">
        <v>1210</v>
      </c>
      <c r="B317" s="8" t="s">
        <v>646</v>
      </c>
      <c r="C317" s="8" t="s">
        <v>75</v>
      </c>
      <c r="D317" s="8" t="s">
        <v>6423</v>
      </c>
      <c r="E317" s="8">
        <v>70.0</v>
      </c>
    </row>
    <row r="318">
      <c r="A318" s="8" t="s">
        <v>1210</v>
      </c>
      <c r="B318" s="8" t="s">
        <v>284</v>
      </c>
      <c r="C318" s="8" t="s">
        <v>80</v>
      </c>
      <c r="D318" s="8" t="s">
        <v>6442</v>
      </c>
      <c r="E318" s="8">
        <v>81.0</v>
      </c>
    </row>
    <row r="319">
      <c r="A319" s="8" t="s">
        <v>1210</v>
      </c>
      <c r="B319" s="8" t="s">
        <v>405</v>
      </c>
      <c r="C319" s="8" t="s">
        <v>70</v>
      </c>
      <c r="D319" s="8" t="s">
        <v>6424</v>
      </c>
      <c r="E319" s="8">
        <v>62.0</v>
      </c>
    </row>
    <row r="320">
      <c r="A320" s="8" t="s">
        <v>1210</v>
      </c>
      <c r="B320" s="8" t="s">
        <v>2926</v>
      </c>
      <c r="C320" s="8" t="s">
        <v>93</v>
      </c>
      <c r="D320" s="8" t="s">
        <v>6415</v>
      </c>
      <c r="E320" s="8">
        <v>76.0</v>
      </c>
    </row>
    <row r="321">
      <c r="A321" s="8" t="s">
        <v>1210</v>
      </c>
      <c r="B321" s="8" t="s">
        <v>3858</v>
      </c>
      <c r="C321" s="8" t="s">
        <v>149</v>
      </c>
      <c r="D321" s="8" t="s">
        <v>6425</v>
      </c>
      <c r="E321" s="8">
        <v>69.0</v>
      </c>
    </row>
    <row r="322">
      <c r="A322" s="8" t="s">
        <v>6380</v>
      </c>
      <c r="B322" s="8" t="s">
        <v>636</v>
      </c>
      <c r="C322" s="8" t="s">
        <v>70</v>
      </c>
      <c r="D322" s="8" t="s">
        <v>6412</v>
      </c>
      <c r="E322" s="8">
        <v>84.0</v>
      </c>
    </row>
    <row r="323">
      <c r="A323" s="8" t="s">
        <v>6380</v>
      </c>
      <c r="B323" s="8" t="s">
        <v>3251</v>
      </c>
      <c r="C323" s="8" t="s">
        <v>24</v>
      </c>
      <c r="D323" s="8" t="s">
        <v>6434</v>
      </c>
      <c r="E323" s="8">
        <v>77.0</v>
      </c>
    </row>
    <row r="324">
      <c r="A324" s="8" t="s">
        <v>6380</v>
      </c>
      <c r="B324" s="8" t="s">
        <v>520</v>
      </c>
      <c r="C324" s="8" t="s">
        <v>93</v>
      </c>
      <c r="D324" s="8" t="s">
        <v>6431</v>
      </c>
      <c r="E324" s="8">
        <v>61.0</v>
      </c>
    </row>
    <row r="325">
      <c r="A325" s="8" t="s">
        <v>6380</v>
      </c>
      <c r="B325" s="8" t="s">
        <v>986</v>
      </c>
      <c r="C325" s="8" t="s">
        <v>186</v>
      </c>
      <c r="D325" s="8" t="s">
        <v>6435</v>
      </c>
      <c r="E325" s="8">
        <v>83.0</v>
      </c>
    </row>
    <row r="326">
      <c r="A326" s="8" t="s">
        <v>6380</v>
      </c>
      <c r="B326" s="8" t="s">
        <v>1581</v>
      </c>
      <c r="C326" s="8" t="s">
        <v>70</v>
      </c>
      <c r="D326" s="8" t="s">
        <v>6433</v>
      </c>
      <c r="E326" s="8">
        <v>74.0</v>
      </c>
    </row>
    <row r="327">
      <c r="A327" s="8" t="s">
        <v>6380</v>
      </c>
      <c r="B327" s="8" t="s">
        <v>3442</v>
      </c>
      <c r="C327" s="8" t="s">
        <v>70</v>
      </c>
      <c r="D327" s="8" t="s">
        <v>6418</v>
      </c>
      <c r="E327" s="8">
        <v>78.0</v>
      </c>
    </row>
    <row r="328">
      <c r="A328" s="8" t="s">
        <v>6380</v>
      </c>
      <c r="B328" s="8" t="s">
        <v>1321</v>
      </c>
      <c r="C328" s="8" t="s">
        <v>24</v>
      </c>
      <c r="D328" s="8" t="s">
        <v>6417</v>
      </c>
      <c r="E328" s="8">
        <v>66.0</v>
      </c>
    </row>
    <row r="329">
      <c r="A329" s="8" t="s">
        <v>6380</v>
      </c>
      <c r="B329" s="8" t="s">
        <v>451</v>
      </c>
      <c r="C329" s="8" t="s">
        <v>138</v>
      </c>
      <c r="D329" s="8" t="s">
        <v>6418</v>
      </c>
      <c r="E329" s="8">
        <v>69.0</v>
      </c>
    </row>
    <row r="330">
      <c r="A330" s="8" t="s">
        <v>1021</v>
      </c>
      <c r="B330" s="8" t="s">
        <v>1020</v>
      </c>
      <c r="C330" s="8" t="s">
        <v>12</v>
      </c>
      <c r="D330" s="8" t="s">
        <v>6437</v>
      </c>
      <c r="E330" s="8">
        <v>76.0</v>
      </c>
    </row>
    <row r="331">
      <c r="A331" s="8" t="s">
        <v>143</v>
      </c>
      <c r="B331" s="8" t="s">
        <v>142</v>
      </c>
      <c r="C331" s="8" t="s">
        <v>138</v>
      </c>
      <c r="D331" s="8" t="s">
        <v>6419</v>
      </c>
      <c r="E331" s="8">
        <v>88.0</v>
      </c>
    </row>
    <row r="332">
      <c r="A332" s="8" t="s">
        <v>1376</v>
      </c>
      <c r="B332" s="8" t="s">
        <v>1375</v>
      </c>
      <c r="C332" s="8" t="s">
        <v>132</v>
      </c>
      <c r="D332" s="8" t="s">
        <v>6426</v>
      </c>
      <c r="E332" s="8">
        <v>66.0</v>
      </c>
    </row>
    <row r="333">
      <c r="A333" s="8" t="s">
        <v>1376</v>
      </c>
      <c r="B333" s="8" t="s">
        <v>3080</v>
      </c>
      <c r="C333" s="8" t="s">
        <v>12</v>
      </c>
      <c r="D333" s="8" t="s">
        <v>6424</v>
      </c>
      <c r="E333" s="8">
        <v>76.0</v>
      </c>
    </row>
    <row r="334">
      <c r="A334" s="8" t="s">
        <v>1915</v>
      </c>
      <c r="B334" s="8" t="s">
        <v>3684</v>
      </c>
      <c r="C334" s="8" t="s">
        <v>138</v>
      </c>
      <c r="D334" s="8" t="s">
        <v>6412</v>
      </c>
      <c r="E334" s="8">
        <v>59.0</v>
      </c>
    </row>
    <row r="335">
      <c r="A335" s="8" t="s">
        <v>1915</v>
      </c>
      <c r="B335" s="8" t="s">
        <v>3403</v>
      </c>
      <c r="C335" s="8" t="s">
        <v>192</v>
      </c>
      <c r="D335" s="8" t="s">
        <v>6440</v>
      </c>
      <c r="E335" s="8">
        <v>83.0</v>
      </c>
    </row>
    <row r="336">
      <c r="A336" s="8" t="s">
        <v>407</v>
      </c>
      <c r="B336" s="8" t="s">
        <v>389</v>
      </c>
      <c r="C336" s="8" t="s">
        <v>53</v>
      </c>
      <c r="D336" s="8" t="s">
        <v>6443</v>
      </c>
      <c r="E336" s="8">
        <v>64.0</v>
      </c>
    </row>
    <row r="337">
      <c r="A337" s="8" t="s">
        <v>407</v>
      </c>
      <c r="B337" s="8" t="s">
        <v>406</v>
      </c>
      <c r="C337" s="8" t="s">
        <v>16</v>
      </c>
      <c r="D337" s="8" t="s">
        <v>6441</v>
      </c>
      <c r="E337" s="8">
        <v>94.0</v>
      </c>
    </row>
    <row r="338">
      <c r="A338" s="8" t="s">
        <v>407</v>
      </c>
      <c r="B338" s="8" t="s">
        <v>62</v>
      </c>
      <c r="C338" s="8" t="s">
        <v>138</v>
      </c>
      <c r="D338" s="8" t="s">
        <v>6414</v>
      </c>
      <c r="E338" s="8">
        <v>66.0</v>
      </c>
    </row>
    <row r="339">
      <c r="A339" s="8" t="s">
        <v>52</v>
      </c>
      <c r="B339" s="8" t="s">
        <v>463</v>
      </c>
      <c r="C339" s="8" t="s">
        <v>70</v>
      </c>
      <c r="D339" s="8" t="s">
        <v>6441</v>
      </c>
      <c r="E339" s="8">
        <v>70.0</v>
      </c>
    </row>
    <row r="340">
      <c r="A340" s="8" t="s">
        <v>52</v>
      </c>
      <c r="B340" s="8" t="s">
        <v>3561</v>
      </c>
      <c r="C340" s="8" t="s">
        <v>149</v>
      </c>
      <c r="D340" s="8" t="s">
        <v>6442</v>
      </c>
      <c r="E340" s="8">
        <v>72.0</v>
      </c>
    </row>
    <row r="341">
      <c r="A341" s="8" t="s">
        <v>52</v>
      </c>
      <c r="B341" s="8" t="s">
        <v>654</v>
      </c>
      <c r="C341" s="8" t="s">
        <v>24</v>
      </c>
      <c r="D341" s="8" t="s">
        <v>6426</v>
      </c>
      <c r="E341" s="8">
        <v>75.0</v>
      </c>
    </row>
    <row r="342">
      <c r="A342" s="8" t="s">
        <v>52</v>
      </c>
      <c r="B342" s="8" t="s">
        <v>901</v>
      </c>
      <c r="C342" s="8" t="s">
        <v>141</v>
      </c>
      <c r="D342" s="8" t="s">
        <v>6443</v>
      </c>
      <c r="E342" s="8">
        <v>68.0</v>
      </c>
    </row>
    <row r="343">
      <c r="A343" s="8" t="s">
        <v>52</v>
      </c>
      <c r="B343" s="8" t="s">
        <v>1171</v>
      </c>
      <c r="C343" s="8" t="s">
        <v>46</v>
      </c>
      <c r="D343" s="8" t="s">
        <v>6436</v>
      </c>
      <c r="E343" s="8">
        <v>69.0</v>
      </c>
    </row>
    <row r="344">
      <c r="A344" s="8" t="s">
        <v>52</v>
      </c>
      <c r="B344" s="8" t="s">
        <v>379</v>
      </c>
      <c r="C344" s="8" t="s">
        <v>138</v>
      </c>
      <c r="D344" s="8" t="s">
        <v>6439</v>
      </c>
      <c r="E344" s="8">
        <v>88.0</v>
      </c>
    </row>
    <row r="345">
      <c r="A345" s="8" t="s">
        <v>52</v>
      </c>
      <c r="B345" s="8" t="s">
        <v>263</v>
      </c>
      <c r="C345" s="8" t="s">
        <v>138</v>
      </c>
      <c r="D345" s="8" t="s">
        <v>6418</v>
      </c>
      <c r="E345" s="8">
        <v>90.0</v>
      </c>
    </row>
    <row r="346">
      <c r="A346" s="8" t="s">
        <v>52</v>
      </c>
      <c r="B346" s="8" t="s">
        <v>1237</v>
      </c>
      <c r="C346" s="8" t="s">
        <v>53</v>
      </c>
      <c r="D346" s="8" t="s">
        <v>6414</v>
      </c>
      <c r="E346" s="8">
        <v>60.0</v>
      </c>
    </row>
    <row r="347">
      <c r="A347" s="8" t="s">
        <v>52</v>
      </c>
      <c r="B347" s="8" t="s">
        <v>1261</v>
      </c>
      <c r="C347" s="8" t="s">
        <v>65</v>
      </c>
      <c r="D347" s="8" t="s">
        <v>6427</v>
      </c>
      <c r="E347" s="8">
        <v>64.0</v>
      </c>
    </row>
    <row r="348">
      <c r="A348" s="8" t="s">
        <v>52</v>
      </c>
      <c r="B348" s="8" t="s">
        <v>51</v>
      </c>
      <c r="C348" s="8" t="s">
        <v>138</v>
      </c>
      <c r="D348" s="8" t="s">
        <v>6415</v>
      </c>
      <c r="E348" s="8">
        <v>89.0</v>
      </c>
    </row>
    <row r="349">
      <c r="A349" s="8" t="s">
        <v>3835</v>
      </c>
      <c r="B349" s="8" t="s">
        <v>3834</v>
      </c>
      <c r="C349" s="8" t="s">
        <v>65</v>
      </c>
      <c r="D349" s="8" t="s">
        <v>6439</v>
      </c>
      <c r="E349" s="8">
        <v>62.0</v>
      </c>
    </row>
    <row r="350">
      <c r="A350" s="8" t="s">
        <v>2957</v>
      </c>
      <c r="B350" s="8" t="s">
        <v>2956</v>
      </c>
      <c r="C350" s="8" t="s">
        <v>93</v>
      </c>
      <c r="D350" s="8" t="s">
        <v>6429</v>
      </c>
      <c r="E350" s="8">
        <v>75.0</v>
      </c>
    </row>
    <row r="351">
      <c r="A351" s="8" t="s">
        <v>3011</v>
      </c>
      <c r="B351" s="8" t="s">
        <v>1012</v>
      </c>
      <c r="C351" s="8" t="s">
        <v>122</v>
      </c>
      <c r="D351" s="8" t="s">
        <v>6420</v>
      </c>
      <c r="E351" s="8">
        <v>67.0</v>
      </c>
    </row>
    <row r="352">
      <c r="A352" s="8" t="s">
        <v>1211</v>
      </c>
      <c r="B352" s="8" t="s">
        <v>284</v>
      </c>
      <c r="C352" s="8" t="s">
        <v>16</v>
      </c>
      <c r="D352" s="8" t="s">
        <v>6430</v>
      </c>
      <c r="E352" s="8">
        <v>66.0</v>
      </c>
    </row>
    <row r="353">
      <c r="A353" s="8" t="s">
        <v>3566</v>
      </c>
      <c r="B353" s="8" t="s">
        <v>224</v>
      </c>
      <c r="C353" s="8" t="s">
        <v>93</v>
      </c>
      <c r="D353" s="8" t="s">
        <v>6419</v>
      </c>
      <c r="E353" s="8">
        <v>59.0</v>
      </c>
    </row>
    <row r="354">
      <c r="A354" s="8" t="s">
        <v>881</v>
      </c>
      <c r="B354" s="8" t="s">
        <v>2698</v>
      </c>
      <c r="C354" s="8" t="s">
        <v>186</v>
      </c>
      <c r="D354" s="8" t="s">
        <v>6421</v>
      </c>
      <c r="E354" s="8">
        <v>68.0</v>
      </c>
    </row>
    <row r="355">
      <c r="A355" s="8" t="s">
        <v>881</v>
      </c>
      <c r="B355" s="8" t="s">
        <v>61</v>
      </c>
      <c r="C355" s="8" t="s">
        <v>122</v>
      </c>
      <c r="D355" s="8" t="s">
        <v>6435</v>
      </c>
      <c r="E355" s="8">
        <v>66.0</v>
      </c>
    </row>
    <row r="356">
      <c r="A356" s="8" t="s">
        <v>881</v>
      </c>
      <c r="B356" s="8" t="s">
        <v>1268</v>
      </c>
      <c r="C356" s="8" t="s">
        <v>215</v>
      </c>
      <c r="D356" s="8" t="s">
        <v>6443</v>
      </c>
      <c r="E356" s="8">
        <v>69.0</v>
      </c>
    </row>
    <row r="357">
      <c r="A357" s="8" t="s">
        <v>366</v>
      </c>
      <c r="B357" s="8" t="s">
        <v>365</v>
      </c>
      <c r="C357" s="8" t="s">
        <v>138</v>
      </c>
      <c r="D357" s="8" t="s">
        <v>6417</v>
      </c>
      <c r="E357" s="8">
        <v>87.0</v>
      </c>
    </row>
    <row r="358">
      <c r="A358" s="8" t="s">
        <v>366</v>
      </c>
      <c r="B358" s="8" t="s">
        <v>2340</v>
      </c>
      <c r="C358" s="8" t="s">
        <v>186</v>
      </c>
      <c r="D358" s="8" t="s">
        <v>6416</v>
      </c>
      <c r="E358" s="8">
        <v>61.0</v>
      </c>
    </row>
    <row r="359">
      <c r="A359" s="8" t="s">
        <v>366</v>
      </c>
      <c r="B359" s="8" t="s">
        <v>718</v>
      </c>
      <c r="C359" s="8" t="s">
        <v>70</v>
      </c>
      <c r="D359" s="8" t="s">
        <v>6422</v>
      </c>
      <c r="E359" s="8">
        <v>81.0</v>
      </c>
    </row>
    <row r="360">
      <c r="A360" s="8" t="s">
        <v>366</v>
      </c>
      <c r="B360" s="8" t="s">
        <v>444</v>
      </c>
      <c r="C360" s="8" t="s">
        <v>53</v>
      </c>
      <c r="D360" s="8" t="s">
        <v>6434</v>
      </c>
      <c r="E360" s="8">
        <v>62.0</v>
      </c>
    </row>
    <row r="361">
      <c r="A361" s="8" t="s">
        <v>1118</v>
      </c>
      <c r="B361" s="8" t="s">
        <v>2983</v>
      </c>
      <c r="C361" s="8" t="s">
        <v>16</v>
      </c>
      <c r="D361" s="8" t="s">
        <v>6419</v>
      </c>
      <c r="E361" s="8">
        <v>89.0</v>
      </c>
    </row>
    <row r="362">
      <c r="A362" s="8" t="s">
        <v>1118</v>
      </c>
      <c r="B362" s="8" t="s">
        <v>3474</v>
      </c>
      <c r="C362" s="8" t="s">
        <v>24</v>
      </c>
      <c r="D362" s="8" t="s">
        <v>6413</v>
      </c>
      <c r="E362" s="8">
        <v>45.0</v>
      </c>
    </row>
    <row r="363">
      <c r="A363" s="8" t="s">
        <v>1118</v>
      </c>
      <c r="B363" s="8" t="s">
        <v>1335</v>
      </c>
      <c r="C363" s="8" t="s">
        <v>16</v>
      </c>
      <c r="D363" s="8" t="s">
        <v>6424</v>
      </c>
      <c r="E363" s="8">
        <v>76.0</v>
      </c>
    </row>
    <row r="364">
      <c r="A364" s="8" t="s">
        <v>289</v>
      </c>
      <c r="B364" s="8" t="s">
        <v>288</v>
      </c>
      <c r="C364" s="8" t="s">
        <v>16</v>
      </c>
      <c r="D364" s="8" t="s">
        <v>6414</v>
      </c>
      <c r="E364" s="8">
        <v>75.0</v>
      </c>
    </row>
    <row r="365">
      <c r="A365" s="8" t="s">
        <v>494</v>
      </c>
      <c r="B365" s="8" t="s">
        <v>530</v>
      </c>
      <c r="C365" s="8" t="s">
        <v>93</v>
      </c>
      <c r="D365" s="8" t="s">
        <v>6432</v>
      </c>
      <c r="E365" s="8">
        <v>84.0</v>
      </c>
    </row>
    <row r="366">
      <c r="A366" s="8" t="s">
        <v>494</v>
      </c>
      <c r="B366" s="8" t="s">
        <v>567</v>
      </c>
      <c r="C366" s="8" t="s">
        <v>24</v>
      </c>
      <c r="D366" s="8" t="s">
        <v>6412</v>
      </c>
      <c r="E366" s="8">
        <v>40.0</v>
      </c>
    </row>
    <row r="367">
      <c r="A367" s="8" t="s">
        <v>1257</v>
      </c>
      <c r="B367" s="8" t="s">
        <v>1256</v>
      </c>
      <c r="C367" s="8" t="s">
        <v>186</v>
      </c>
      <c r="D367" s="8" t="s">
        <v>6426</v>
      </c>
      <c r="E367" s="8">
        <v>57.0</v>
      </c>
    </row>
    <row r="368">
      <c r="A368" s="8" t="s">
        <v>976</v>
      </c>
      <c r="B368" s="8" t="s">
        <v>975</v>
      </c>
      <c r="C368" s="8" t="s">
        <v>215</v>
      </c>
      <c r="D368" s="8" t="s">
        <v>6433</v>
      </c>
      <c r="E368" s="8">
        <v>67.0</v>
      </c>
    </row>
    <row r="369">
      <c r="A369" s="8" t="s">
        <v>3732</v>
      </c>
      <c r="B369" s="8" t="s">
        <v>3731</v>
      </c>
      <c r="C369" s="8" t="s">
        <v>138</v>
      </c>
      <c r="D369" s="8" t="s">
        <v>6439</v>
      </c>
      <c r="E369" s="8">
        <v>59.0</v>
      </c>
    </row>
    <row r="370">
      <c r="A370" s="8" t="s">
        <v>3839</v>
      </c>
      <c r="B370" s="8" t="s">
        <v>3838</v>
      </c>
      <c r="C370" s="8" t="s">
        <v>65</v>
      </c>
      <c r="D370" s="8" t="s">
        <v>6434</v>
      </c>
      <c r="E370" s="8">
        <v>73.0</v>
      </c>
    </row>
    <row r="371">
      <c r="A371" s="8" t="s">
        <v>329</v>
      </c>
      <c r="B371" s="8" t="s">
        <v>996</v>
      </c>
      <c r="C371" s="8" t="s">
        <v>46</v>
      </c>
      <c r="D371" s="8" t="s">
        <v>6417</v>
      </c>
      <c r="E371" s="8">
        <v>74.0</v>
      </c>
    </row>
    <row r="372">
      <c r="A372" s="8" t="s">
        <v>329</v>
      </c>
      <c r="B372" s="8" t="s">
        <v>3394</v>
      </c>
      <c r="C372" s="8" t="s">
        <v>70</v>
      </c>
      <c r="D372" s="8" t="s">
        <v>6417</v>
      </c>
      <c r="E372" s="8">
        <v>71.0</v>
      </c>
    </row>
    <row r="373">
      <c r="A373" s="8" t="s">
        <v>329</v>
      </c>
      <c r="B373" s="8" t="s">
        <v>328</v>
      </c>
      <c r="C373" s="8" t="s">
        <v>122</v>
      </c>
      <c r="D373" s="8" t="s">
        <v>6442</v>
      </c>
      <c r="E373" s="8">
        <v>78.0</v>
      </c>
    </row>
    <row r="374">
      <c r="A374" s="8" t="s">
        <v>117</v>
      </c>
      <c r="B374" s="8" t="s">
        <v>3664</v>
      </c>
      <c r="C374" s="8" t="s">
        <v>59</v>
      </c>
      <c r="D374" s="8" t="s">
        <v>6429</v>
      </c>
      <c r="E374" s="8">
        <v>78.0</v>
      </c>
    </row>
    <row r="375">
      <c r="A375" s="8" t="s">
        <v>117</v>
      </c>
      <c r="B375" s="8" t="s">
        <v>116</v>
      </c>
      <c r="C375" s="8" t="s">
        <v>16</v>
      </c>
      <c r="D375" s="8" t="s">
        <v>6413</v>
      </c>
      <c r="E375" s="8">
        <v>69.0</v>
      </c>
    </row>
    <row r="376">
      <c r="A376" s="8" t="s">
        <v>117</v>
      </c>
      <c r="B376" s="8" t="s">
        <v>1032</v>
      </c>
      <c r="C376" s="8" t="s">
        <v>75</v>
      </c>
      <c r="D376" s="8" t="s">
        <v>6434</v>
      </c>
      <c r="E376" s="8">
        <v>63.0</v>
      </c>
    </row>
    <row r="377">
      <c r="A377" s="8" t="s">
        <v>3121</v>
      </c>
      <c r="B377" s="8" t="s">
        <v>3120</v>
      </c>
      <c r="C377" s="8" t="s">
        <v>132</v>
      </c>
      <c r="D377" s="8" t="s">
        <v>6423</v>
      </c>
      <c r="E377" s="8">
        <v>75.0</v>
      </c>
    </row>
    <row r="378">
      <c r="A378" s="8" t="s">
        <v>554</v>
      </c>
      <c r="B378" s="8" t="s">
        <v>659</v>
      </c>
      <c r="C378" s="8" t="s">
        <v>12</v>
      </c>
      <c r="D378" s="8" t="s">
        <v>6419</v>
      </c>
      <c r="E378" s="8">
        <v>80.0</v>
      </c>
    </row>
    <row r="379">
      <c r="A379" s="8" t="s">
        <v>554</v>
      </c>
      <c r="B379" s="8" t="s">
        <v>284</v>
      </c>
      <c r="C379" s="8" t="s">
        <v>59</v>
      </c>
      <c r="D379" s="8" t="s">
        <v>6419</v>
      </c>
      <c r="E379" s="8">
        <v>82.0</v>
      </c>
    </row>
    <row r="380">
      <c r="A380" s="8" t="s">
        <v>554</v>
      </c>
      <c r="B380" s="8" t="s">
        <v>3505</v>
      </c>
      <c r="C380" s="8" t="s">
        <v>65</v>
      </c>
      <c r="D380" s="8" t="s">
        <v>6440</v>
      </c>
      <c r="E380" s="8">
        <v>60.0</v>
      </c>
    </row>
    <row r="381">
      <c r="A381" s="8" t="s">
        <v>3128</v>
      </c>
      <c r="B381" s="8" t="s">
        <v>3127</v>
      </c>
      <c r="C381" s="8" t="s">
        <v>70</v>
      </c>
      <c r="D381" s="8" t="s">
        <v>6437</v>
      </c>
      <c r="E381" s="8">
        <v>75.0</v>
      </c>
    </row>
    <row r="382">
      <c r="A382" s="8" t="s">
        <v>357</v>
      </c>
      <c r="B382" s="8" t="s">
        <v>165</v>
      </c>
      <c r="C382" s="8" t="s">
        <v>24</v>
      </c>
      <c r="D382" s="8" t="s">
        <v>6430</v>
      </c>
      <c r="E382" s="8">
        <v>84.0</v>
      </c>
    </row>
    <row r="383">
      <c r="A383" s="8" t="s">
        <v>357</v>
      </c>
      <c r="B383" s="8" t="s">
        <v>689</v>
      </c>
      <c r="C383" s="8" t="s">
        <v>93</v>
      </c>
      <c r="D383" s="8" t="s">
        <v>6443</v>
      </c>
      <c r="E383" s="8">
        <v>67.0</v>
      </c>
    </row>
    <row r="384">
      <c r="A384" s="8" t="s">
        <v>357</v>
      </c>
      <c r="B384" s="8" t="s">
        <v>3653</v>
      </c>
      <c r="C384" s="8" t="s">
        <v>192</v>
      </c>
      <c r="D384" s="8" t="s">
        <v>6431</v>
      </c>
      <c r="E384" s="8">
        <v>72.0</v>
      </c>
    </row>
    <row r="385">
      <c r="A385" s="8" t="s">
        <v>357</v>
      </c>
      <c r="B385" s="8" t="s">
        <v>3316</v>
      </c>
      <c r="C385" s="8" t="s">
        <v>93</v>
      </c>
      <c r="D385" s="8" t="s">
        <v>6434</v>
      </c>
      <c r="E385" s="8">
        <v>72.0</v>
      </c>
    </row>
    <row r="386">
      <c r="A386" s="8" t="s">
        <v>357</v>
      </c>
      <c r="B386" s="8" t="s">
        <v>389</v>
      </c>
      <c r="C386" s="8" t="s">
        <v>138</v>
      </c>
      <c r="D386" s="8" t="s">
        <v>6441</v>
      </c>
      <c r="E386" s="8">
        <v>82.0</v>
      </c>
    </row>
    <row r="387">
      <c r="A387" s="8" t="s">
        <v>357</v>
      </c>
      <c r="B387" s="8" t="s">
        <v>389</v>
      </c>
      <c r="C387" s="8" t="s">
        <v>65</v>
      </c>
      <c r="D387" s="8" t="s">
        <v>6429</v>
      </c>
      <c r="E387" s="8">
        <v>74.0</v>
      </c>
    </row>
    <row r="388">
      <c r="A388" s="8" t="s">
        <v>357</v>
      </c>
      <c r="B388" s="8" t="s">
        <v>3718</v>
      </c>
      <c r="C388" s="8" t="s">
        <v>46</v>
      </c>
      <c r="D388" s="8" t="s">
        <v>6427</v>
      </c>
      <c r="E388" s="8">
        <v>68.0</v>
      </c>
    </row>
    <row r="389">
      <c r="A389" s="8" t="s">
        <v>357</v>
      </c>
      <c r="B389" s="8" t="s">
        <v>3051</v>
      </c>
      <c r="C389" s="8" t="s">
        <v>70</v>
      </c>
      <c r="D389" s="8" t="s">
        <v>6426</v>
      </c>
      <c r="E389" s="8">
        <v>82.0</v>
      </c>
    </row>
    <row r="390">
      <c r="A390" s="8" t="s">
        <v>357</v>
      </c>
      <c r="B390" s="8" t="s">
        <v>3084</v>
      </c>
      <c r="C390" s="8" t="s">
        <v>215</v>
      </c>
      <c r="D390" s="8" t="s">
        <v>6442</v>
      </c>
      <c r="E390" s="8">
        <v>68.0</v>
      </c>
    </row>
    <row r="391">
      <c r="A391" s="8" t="s">
        <v>357</v>
      </c>
      <c r="B391" s="8" t="s">
        <v>3872</v>
      </c>
      <c r="C391" s="8" t="s">
        <v>122</v>
      </c>
      <c r="D391" s="8" t="s">
        <v>6415</v>
      </c>
      <c r="E391" s="8">
        <v>56.0</v>
      </c>
    </row>
    <row r="392">
      <c r="A392" s="8" t="s">
        <v>544</v>
      </c>
      <c r="B392" s="8" t="s">
        <v>543</v>
      </c>
      <c r="C392" s="8" t="s">
        <v>24</v>
      </c>
      <c r="D392" s="8" t="s">
        <v>6443</v>
      </c>
      <c r="E392" s="8">
        <v>51.0</v>
      </c>
    </row>
    <row r="393">
      <c r="A393" s="8" t="s">
        <v>1278</v>
      </c>
      <c r="B393" s="8" t="s">
        <v>1277</v>
      </c>
      <c r="C393" s="8" t="s">
        <v>65</v>
      </c>
      <c r="D393" s="8" t="s">
        <v>6440</v>
      </c>
      <c r="E393" s="8">
        <v>65.0</v>
      </c>
    </row>
    <row r="394">
      <c r="A394" s="8" t="s">
        <v>3519</v>
      </c>
      <c r="B394" s="8" t="s">
        <v>3518</v>
      </c>
      <c r="C394" s="8" t="s">
        <v>122</v>
      </c>
      <c r="D394" s="8" t="s">
        <v>6441</v>
      </c>
      <c r="E394" s="8">
        <v>60.0</v>
      </c>
    </row>
    <row r="395">
      <c r="A395" s="8" t="s">
        <v>198</v>
      </c>
      <c r="B395" s="8" t="s">
        <v>3590</v>
      </c>
      <c r="C395" s="8" t="s">
        <v>24</v>
      </c>
      <c r="D395" s="8" t="s">
        <v>6428</v>
      </c>
      <c r="E395" s="8">
        <v>68.0</v>
      </c>
    </row>
    <row r="396">
      <c r="A396" s="8" t="s">
        <v>198</v>
      </c>
      <c r="B396" s="8" t="s">
        <v>197</v>
      </c>
      <c r="C396" s="8" t="s">
        <v>16</v>
      </c>
      <c r="D396" s="8" t="s">
        <v>6424</v>
      </c>
      <c r="E396" s="8">
        <v>71.0</v>
      </c>
    </row>
    <row r="397">
      <c r="A397" s="8" t="s">
        <v>198</v>
      </c>
      <c r="B397" s="8" t="s">
        <v>3248</v>
      </c>
      <c r="C397" s="8" t="s">
        <v>132</v>
      </c>
      <c r="D397" s="8" t="s">
        <v>6420</v>
      </c>
      <c r="E397" s="8">
        <v>59.0</v>
      </c>
    </row>
    <row r="398">
      <c r="A398" s="8" t="s">
        <v>198</v>
      </c>
      <c r="B398" s="8" t="s">
        <v>783</v>
      </c>
      <c r="C398" s="8" t="s">
        <v>70</v>
      </c>
      <c r="D398" s="8" t="s">
        <v>6414</v>
      </c>
      <c r="E398" s="8">
        <v>67.0</v>
      </c>
    </row>
    <row r="399">
      <c r="A399" s="8" t="s">
        <v>928</v>
      </c>
      <c r="B399" s="8" t="s">
        <v>268</v>
      </c>
      <c r="C399" s="8" t="s">
        <v>149</v>
      </c>
      <c r="D399" s="8" t="s">
        <v>6442</v>
      </c>
      <c r="E399" s="8">
        <v>68.0</v>
      </c>
    </row>
    <row r="400">
      <c r="A400" s="8" t="s">
        <v>3584</v>
      </c>
      <c r="B400" s="8" t="s">
        <v>3583</v>
      </c>
      <c r="C400" s="8" t="s">
        <v>93</v>
      </c>
      <c r="D400" s="8" t="s">
        <v>6415</v>
      </c>
      <c r="E400" s="8">
        <v>68.0</v>
      </c>
    </row>
    <row r="401">
      <c r="A401" s="8" t="s">
        <v>275</v>
      </c>
      <c r="B401" s="8" t="s">
        <v>1891</v>
      </c>
      <c r="C401" s="8" t="s">
        <v>138</v>
      </c>
      <c r="D401" s="8" t="s">
        <v>6416</v>
      </c>
      <c r="E401" s="8">
        <v>81.0</v>
      </c>
    </row>
    <row r="402">
      <c r="A402" s="8" t="s">
        <v>275</v>
      </c>
      <c r="B402" s="8" t="s">
        <v>469</v>
      </c>
      <c r="C402" s="8" t="s">
        <v>192</v>
      </c>
      <c r="D402" s="8" t="s">
        <v>6421</v>
      </c>
      <c r="E402" s="8">
        <v>72.0</v>
      </c>
    </row>
    <row r="403">
      <c r="A403" s="8" t="s">
        <v>275</v>
      </c>
      <c r="B403" s="8" t="s">
        <v>3538</v>
      </c>
      <c r="C403" s="8" t="s">
        <v>75</v>
      </c>
      <c r="D403" s="8" t="s">
        <v>6436</v>
      </c>
      <c r="E403" s="8">
        <v>65.0</v>
      </c>
    </row>
    <row r="404">
      <c r="A404" s="8" t="s">
        <v>275</v>
      </c>
      <c r="B404" s="8" t="s">
        <v>652</v>
      </c>
      <c r="C404" s="8" t="s">
        <v>12</v>
      </c>
      <c r="D404" s="8" t="s">
        <v>6439</v>
      </c>
      <c r="E404" s="8">
        <v>77.0</v>
      </c>
    </row>
    <row r="405">
      <c r="A405" s="8" t="s">
        <v>275</v>
      </c>
      <c r="B405" s="8" t="s">
        <v>106</v>
      </c>
      <c r="C405" s="8" t="s">
        <v>65</v>
      </c>
      <c r="D405" s="8" t="s">
        <v>6442</v>
      </c>
      <c r="E405" s="8">
        <v>62.0</v>
      </c>
    </row>
    <row r="406">
      <c r="A406" s="8" t="s">
        <v>275</v>
      </c>
      <c r="B406" s="8" t="s">
        <v>248</v>
      </c>
      <c r="C406" s="8" t="s">
        <v>53</v>
      </c>
      <c r="D406" s="8" t="s">
        <v>6435</v>
      </c>
      <c r="E406" s="8">
        <v>67.0</v>
      </c>
    </row>
    <row r="407">
      <c r="A407" s="8" t="s">
        <v>275</v>
      </c>
      <c r="B407" s="8" t="s">
        <v>1594</v>
      </c>
      <c r="C407" s="8" t="s">
        <v>132</v>
      </c>
      <c r="D407" s="8" t="s">
        <v>6431</v>
      </c>
      <c r="E407" s="8">
        <v>78.0</v>
      </c>
    </row>
    <row r="408">
      <c r="A408" s="8" t="s">
        <v>275</v>
      </c>
      <c r="B408" s="8" t="s">
        <v>90</v>
      </c>
      <c r="C408" s="8" t="s">
        <v>46</v>
      </c>
      <c r="D408" s="8" t="s">
        <v>6434</v>
      </c>
      <c r="E408" s="8">
        <v>75.0</v>
      </c>
    </row>
    <row r="409">
      <c r="A409" s="8" t="s">
        <v>275</v>
      </c>
      <c r="B409" s="8" t="s">
        <v>3589</v>
      </c>
      <c r="C409" s="8" t="s">
        <v>80</v>
      </c>
      <c r="D409" s="8" t="s">
        <v>6419</v>
      </c>
      <c r="E409" s="8">
        <v>76.0</v>
      </c>
    </row>
    <row r="410">
      <c r="A410" s="8" t="s">
        <v>275</v>
      </c>
      <c r="B410" s="8" t="s">
        <v>1130</v>
      </c>
      <c r="C410" s="8" t="s">
        <v>65</v>
      </c>
      <c r="D410" s="8" t="s">
        <v>6437</v>
      </c>
      <c r="E410" s="8">
        <v>70.0</v>
      </c>
    </row>
    <row r="411">
      <c r="A411" s="8" t="s">
        <v>275</v>
      </c>
      <c r="B411" s="8" t="s">
        <v>2741</v>
      </c>
      <c r="C411" s="8" t="s">
        <v>192</v>
      </c>
      <c r="D411" s="8" t="s">
        <v>6426</v>
      </c>
      <c r="E411" s="8">
        <v>76.0</v>
      </c>
    </row>
    <row r="412">
      <c r="A412" s="8" t="s">
        <v>275</v>
      </c>
      <c r="B412" s="8" t="s">
        <v>895</v>
      </c>
      <c r="C412" s="8" t="s">
        <v>192</v>
      </c>
      <c r="D412" s="8" t="s">
        <v>6438</v>
      </c>
      <c r="E412" s="8">
        <v>61.0</v>
      </c>
    </row>
    <row r="413">
      <c r="A413" s="8" t="s">
        <v>275</v>
      </c>
      <c r="B413" s="8" t="s">
        <v>3003</v>
      </c>
      <c r="C413" s="8" t="s">
        <v>65</v>
      </c>
      <c r="D413" s="8" t="s">
        <v>6424</v>
      </c>
      <c r="E413" s="8">
        <v>68.0</v>
      </c>
    </row>
    <row r="414">
      <c r="A414" s="8" t="s">
        <v>275</v>
      </c>
      <c r="B414" s="8" t="s">
        <v>3658</v>
      </c>
      <c r="C414" s="8" t="s">
        <v>24</v>
      </c>
      <c r="D414" s="8" t="s">
        <v>6430</v>
      </c>
      <c r="E414" s="8">
        <v>72.0</v>
      </c>
    </row>
    <row r="415">
      <c r="A415" s="8" t="s">
        <v>275</v>
      </c>
      <c r="B415" s="8" t="s">
        <v>3666</v>
      </c>
      <c r="C415" s="8" t="s">
        <v>80</v>
      </c>
      <c r="D415" s="8" t="s">
        <v>6438</v>
      </c>
      <c r="E415" s="8">
        <v>63.0</v>
      </c>
    </row>
    <row r="416">
      <c r="A416" s="8" t="s">
        <v>275</v>
      </c>
      <c r="B416" s="8" t="s">
        <v>1464</v>
      </c>
      <c r="C416" s="8" t="s">
        <v>46</v>
      </c>
      <c r="D416" s="8" t="s">
        <v>6432</v>
      </c>
      <c r="E416" s="8">
        <v>69.0</v>
      </c>
    </row>
    <row r="417">
      <c r="A417" s="8" t="s">
        <v>275</v>
      </c>
      <c r="B417" s="8" t="s">
        <v>3677</v>
      </c>
      <c r="C417" s="8" t="s">
        <v>93</v>
      </c>
      <c r="D417" s="8" t="s">
        <v>6412</v>
      </c>
      <c r="E417" s="8">
        <v>93.0</v>
      </c>
    </row>
    <row r="418">
      <c r="A418" s="8" t="s">
        <v>275</v>
      </c>
      <c r="B418" s="8" t="s">
        <v>274</v>
      </c>
      <c r="C418" s="8" t="s">
        <v>65</v>
      </c>
      <c r="D418" s="8" t="s">
        <v>6436</v>
      </c>
      <c r="E418" s="8">
        <v>75.0</v>
      </c>
    </row>
    <row r="419">
      <c r="A419" s="8" t="s">
        <v>275</v>
      </c>
      <c r="B419" s="8" t="s">
        <v>716</v>
      </c>
      <c r="C419" s="8" t="s">
        <v>75</v>
      </c>
      <c r="D419" s="8" t="s">
        <v>6439</v>
      </c>
      <c r="E419" s="8">
        <v>67.0</v>
      </c>
    </row>
    <row r="420">
      <c r="A420" s="8" t="s">
        <v>275</v>
      </c>
      <c r="B420" s="8" t="s">
        <v>2859</v>
      </c>
      <c r="C420" s="8" t="s">
        <v>70</v>
      </c>
      <c r="D420" s="8" t="s">
        <v>6413</v>
      </c>
      <c r="E420" s="8">
        <v>82.0</v>
      </c>
    </row>
    <row r="421">
      <c r="A421" s="8" t="s">
        <v>275</v>
      </c>
      <c r="B421" s="8" t="s">
        <v>389</v>
      </c>
      <c r="C421" s="8" t="s">
        <v>70</v>
      </c>
      <c r="D421" s="8" t="s">
        <v>6419</v>
      </c>
      <c r="E421" s="8">
        <v>75.0</v>
      </c>
    </row>
    <row r="422">
      <c r="A422" s="8" t="s">
        <v>275</v>
      </c>
      <c r="B422" s="8" t="s">
        <v>284</v>
      </c>
      <c r="C422" s="8" t="s">
        <v>38</v>
      </c>
      <c r="D422" s="8" t="s">
        <v>6442</v>
      </c>
      <c r="E422" s="8">
        <v>82.0</v>
      </c>
    </row>
    <row r="423">
      <c r="A423" s="8" t="s">
        <v>275</v>
      </c>
      <c r="B423" s="8" t="s">
        <v>284</v>
      </c>
      <c r="C423" s="8" t="s">
        <v>138</v>
      </c>
      <c r="D423" s="8" t="s">
        <v>6437</v>
      </c>
      <c r="E423" s="8">
        <v>72.0</v>
      </c>
    </row>
    <row r="424">
      <c r="A424" s="8" t="s">
        <v>275</v>
      </c>
      <c r="B424" s="8" t="s">
        <v>284</v>
      </c>
      <c r="C424" s="8" t="s">
        <v>122</v>
      </c>
      <c r="D424" s="8" t="s">
        <v>6415</v>
      </c>
      <c r="E424" s="8">
        <v>65.0</v>
      </c>
    </row>
    <row r="425">
      <c r="A425" s="8" t="s">
        <v>275</v>
      </c>
      <c r="B425" s="8" t="s">
        <v>1225</v>
      </c>
      <c r="C425" s="8" t="s">
        <v>59</v>
      </c>
      <c r="D425" s="8" t="s">
        <v>6432</v>
      </c>
      <c r="E425" s="8">
        <v>57.0</v>
      </c>
    </row>
    <row r="426">
      <c r="A426" s="8" t="s">
        <v>275</v>
      </c>
      <c r="B426" s="8" t="s">
        <v>3337</v>
      </c>
      <c r="C426" s="8" t="s">
        <v>93</v>
      </c>
      <c r="D426" s="8" t="s">
        <v>6417</v>
      </c>
      <c r="E426" s="8">
        <v>67.0</v>
      </c>
    </row>
    <row r="427">
      <c r="A427" s="8" t="s">
        <v>275</v>
      </c>
      <c r="B427" s="8" t="s">
        <v>395</v>
      </c>
      <c r="C427" s="8" t="s">
        <v>138</v>
      </c>
      <c r="D427" s="8" t="s">
        <v>6436</v>
      </c>
      <c r="E427" s="8">
        <v>77.0</v>
      </c>
    </row>
    <row r="428">
      <c r="A428" s="8" t="s">
        <v>275</v>
      </c>
      <c r="B428" s="8" t="s">
        <v>2919</v>
      </c>
      <c r="C428" s="8" t="s">
        <v>192</v>
      </c>
      <c r="D428" s="8" t="s">
        <v>6424</v>
      </c>
      <c r="E428" s="8">
        <v>73.0</v>
      </c>
    </row>
    <row r="429">
      <c r="A429" s="8" t="s">
        <v>275</v>
      </c>
      <c r="B429" s="8" t="s">
        <v>164</v>
      </c>
      <c r="C429" s="8" t="s">
        <v>65</v>
      </c>
      <c r="D429" s="8" t="s">
        <v>6435</v>
      </c>
      <c r="E429" s="8">
        <v>68.0</v>
      </c>
    </row>
    <row r="430">
      <c r="A430" s="8" t="s">
        <v>275</v>
      </c>
      <c r="B430" s="8" t="s">
        <v>3752</v>
      </c>
      <c r="C430" s="8" t="s">
        <v>122</v>
      </c>
      <c r="D430" s="8" t="s">
        <v>6431</v>
      </c>
      <c r="E430" s="8">
        <v>61.0</v>
      </c>
    </row>
    <row r="431">
      <c r="A431" s="8" t="s">
        <v>275</v>
      </c>
      <c r="B431" s="8" t="s">
        <v>1250</v>
      </c>
      <c r="C431" s="8" t="s">
        <v>215</v>
      </c>
      <c r="D431" s="8" t="s">
        <v>6415</v>
      </c>
      <c r="E431" s="8">
        <v>64.0</v>
      </c>
    </row>
    <row r="432">
      <c r="A432" s="8" t="s">
        <v>275</v>
      </c>
      <c r="B432" s="8" t="s">
        <v>1264</v>
      </c>
      <c r="C432" s="8" t="s">
        <v>65</v>
      </c>
      <c r="D432" s="8" t="s">
        <v>6435</v>
      </c>
      <c r="E432" s="8">
        <v>65.0</v>
      </c>
    </row>
    <row r="433">
      <c r="A433" s="8" t="s">
        <v>275</v>
      </c>
      <c r="B433" s="8" t="s">
        <v>3389</v>
      </c>
      <c r="C433" s="8" t="s">
        <v>24</v>
      </c>
      <c r="D433" s="8" t="s">
        <v>6424</v>
      </c>
      <c r="E433" s="8">
        <v>63.0</v>
      </c>
    </row>
    <row r="434">
      <c r="A434" s="8" t="s">
        <v>275</v>
      </c>
      <c r="B434" s="8" t="s">
        <v>3402</v>
      </c>
      <c r="C434" s="8" t="s">
        <v>192</v>
      </c>
      <c r="D434" s="8" t="s">
        <v>6427</v>
      </c>
      <c r="E434" s="8">
        <v>69.0</v>
      </c>
    </row>
    <row r="435">
      <c r="A435" s="8" t="s">
        <v>275</v>
      </c>
      <c r="B435" s="8" t="s">
        <v>1031</v>
      </c>
      <c r="C435" s="8" t="s">
        <v>132</v>
      </c>
      <c r="D435" s="8" t="s">
        <v>6441</v>
      </c>
      <c r="E435" s="8">
        <v>70.0</v>
      </c>
    </row>
    <row r="436">
      <c r="A436" s="8" t="s">
        <v>275</v>
      </c>
      <c r="B436" s="8" t="s">
        <v>99</v>
      </c>
      <c r="C436" s="8" t="s">
        <v>138</v>
      </c>
      <c r="D436" s="8" t="s">
        <v>6413</v>
      </c>
      <c r="E436" s="8">
        <v>67.0</v>
      </c>
    </row>
    <row r="437">
      <c r="A437" s="8" t="s">
        <v>275</v>
      </c>
      <c r="B437" s="8" t="s">
        <v>3862</v>
      </c>
      <c r="C437" s="8" t="s">
        <v>261</v>
      </c>
      <c r="D437" s="8" t="s">
        <v>6432</v>
      </c>
      <c r="E437" s="8">
        <v>60.0</v>
      </c>
    </row>
    <row r="438">
      <c r="A438" s="8" t="s">
        <v>275</v>
      </c>
      <c r="B438" s="8" t="s">
        <v>444</v>
      </c>
      <c r="C438" s="8" t="s">
        <v>70</v>
      </c>
      <c r="D438" s="8" t="s">
        <v>6416</v>
      </c>
      <c r="E438" s="8">
        <v>72.0</v>
      </c>
    </row>
    <row r="439">
      <c r="A439" s="8" t="s">
        <v>275</v>
      </c>
      <c r="B439" s="8" t="s">
        <v>448</v>
      </c>
      <c r="C439" s="8" t="s">
        <v>141</v>
      </c>
      <c r="D439" s="8" t="s">
        <v>6432</v>
      </c>
      <c r="E439" s="8">
        <v>69.0</v>
      </c>
    </row>
    <row r="440">
      <c r="A440" s="8" t="s">
        <v>726</v>
      </c>
      <c r="B440" s="8" t="s">
        <v>2064</v>
      </c>
      <c r="C440" s="8" t="s">
        <v>192</v>
      </c>
      <c r="D440" s="8" t="s">
        <v>6414</v>
      </c>
      <c r="E440" s="8">
        <v>64.0</v>
      </c>
    </row>
    <row r="441">
      <c r="A441" s="8" t="s">
        <v>726</v>
      </c>
      <c r="B441" s="8" t="s">
        <v>1417</v>
      </c>
      <c r="C441" s="8" t="s">
        <v>122</v>
      </c>
      <c r="D441" s="8" t="s">
        <v>6434</v>
      </c>
      <c r="E441" s="8">
        <v>66.0</v>
      </c>
    </row>
    <row r="442">
      <c r="A442" s="8" t="s">
        <v>726</v>
      </c>
      <c r="B442" s="8" t="s">
        <v>2827</v>
      </c>
      <c r="C442" s="8" t="s">
        <v>16</v>
      </c>
      <c r="D442" s="8" t="s">
        <v>6440</v>
      </c>
      <c r="E442" s="8">
        <v>67.0</v>
      </c>
    </row>
    <row r="443">
      <c r="A443" s="8" t="s">
        <v>726</v>
      </c>
      <c r="B443" s="8" t="s">
        <v>284</v>
      </c>
      <c r="C443" s="8" t="s">
        <v>186</v>
      </c>
      <c r="D443" s="8" t="s">
        <v>6427</v>
      </c>
      <c r="E443" s="8">
        <v>72.0</v>
      </c>
    </row>
    <row r="444">
      <c r="A444" s="8" t="s">
        <v>726</v>
      </c>
      <c r="B444" s="8" t="s">
        <v>958</v>
      </c>
      <c r="C444" s="8" t="s">
        <v>186</v>
      </c>
      <c r="D444" s="8" t="s">
        <v>6443</v>
      </c>
      <c r="E444" s="8">
        <v>74.0</v>
      </c>
    </row>
    <row r="445">
      <c r="A445" s="8" t="s">
        <v>726</v>
      </c>
      <c r="B445" s="8" t="s">
        <v>1014</v>
      </c>
      <c r="C445" s="8" t="s">
        <v>122</v>
      </c>
      <c r="D445" s="8" t="s">
        <v>6421</v>
      </c>
      <c r="E445" s="8">
        <v>60.0</v>
      </c>
    </row>
    <row r="446">
      <c r="A446" s="8" t="s">
        <v>726</v>
      </c>
      <c r="B446" s="8" t="s">
        <v>1337</v>
      </c>
      <c r="C446" s="8" t="s">
        <v>75</v>
      </c>
      <c r="D446" s="8" t="s">
        <v>6417</v>
      </c>
      <c r="E446" s="8">
        <v>65.0</v>
      </c>
    </row>
    <row r="447">
      <c r="A447" s="8" t="s">
        <v>2945</v>
      </c>
      <c r="B447" s="8" t="s">
        <v>137</v>
      </c>
      <c r="C447" s="8" t="s">
        <v>70</v>
      </c>
      <c r="D447" s="8" t="s">
        <v>6433</v>
      </c>
      <c r="E447" s="8">
        <v>71.0</v>
      </c>
    </row>
    <row r="448">
      <c r="A448" s="8" t="s">
        <v>3568</v>
      </c>
      <c r="B448" s="8" t="s">
        <v>106</v>
      </c>
      <c r="C448" s="8" t="s">
        <v>93</v>
      </c>
      <c r="D448" s="8" t="s">
        <v>6417</v>
      </c>
      <c r="E448" s="8">
        <v>70.0</v>
      </c>
    </row>
    <row r="449">
      <c r="A449" s="8" t="s">
        <v>90</v>
      </c>
      <c r="B449" s="8" t="s">
        <v>89</v>
      </c>
      <c r="C449" s="8" t="s">
        <v>24</v>
      </c>
      <c r="D449" s="8" t="s">
        <v>6417</v>
      </c>
      <c r="E449" s="8">
        <v>56.0</v>
      </c>
    </row>
    <row r="450">
      <c r="A450" s="8" t="s">
        <v>165</v>
      </c>
      <c r="B450" s="8" t="s">
        <v>3223</v>
      </c>
      <c r="C450" s="8" t="s">
        <v>46</v>
      </c>
      <c r="D450" s="8" t="s">
        <v>6419</v>
      </c>
      <c r="E450" s="8">
        <v>60.0</v>
      </c>
    </row>
    <row r="451">
      <c r="A451" s="8" t="s">
        <v>165</v>
      </c>
      <c r="B451" s="8" t="s">
        <v>3672</v>
      </c>
      <c r="C451" s="8" t="s">
        <v>24</v>
      </c>
      <c r="D451" s="8" t="s">
        <v>6436</v>
      </c>
      <c r="E451" s="8">
        <v>70.0</v>
      </c>
    </row>
    <row r="452">
      <c r="A452" s="8" t="s">
        <v>165</v>
      </c>
      <c r="B452" s="8" t="s">
        <v>164</v>
      </c>
      <c r="C452" s="8" t="s">
        <v>53</v>
      </c>
      <c r="D452" s="8" t="s">
        <v>6421</v>
      </c>
      <c r="E452" s="8">
        <v>89.0</v>
      </c>
    </row>
    <row r="453">
      <c r="A453" s="8" t="s">
        <v>925</v>
      </c>
      <c r="B453" s="8" t="s">
        <v>1168</v>
      </c>
      <c r="C453" s="8" t="s">
        <v>192</v>
      </c>
      <c r="D453" s="8" t="s">
        <v>6417</v>
      </c>
      <c r="E453" s="8">
        <v>65.0</v>
      </c>
    </row>
    <row r="454">
      <c r="A454" s="8" t="s">
        <v>925</v>
      </c>
      <c r="B454" s="8" t="s">
        <v>924</v>
      </c>
      <c r="C454" s="8" t="s">
        <v>80</v>
      </c>
      <c r="D454" s="8" t="s">
        <v>6428</v>
      </c>
      <c r="E454" s="8">
        <v>70.0</v>
      </c>
    </row>
    <row r="455">
      <c r="A455" s="8" t="s">
        <v>2666</v>
      </c>
      <c r="B455" s="8" t="s">
        <v>2665</v>
      </c>
      <c r="C455" s="8" t="s">
        <v>215</v>
      </c>
      <c r="D455" s="8" t="s">
        <v>6433</v>
      </c>
      <c r="E455" s="8">
        <v>90.0</v>
      </c>
    </row>
    <row r="456">
      <c r="A456" s="8" t="s">
        <v>2666</v>
      </c>
      <c r="B456" s="8" t="s">
        <v>164</v>
      </c>
      <c r="C456" s="8" t="s">
        <v>215</v>
      </c>
      <c r="D456" s="8" t="s">
        <v>6426</v>
      </c>
      <c r="E456" s="8">
        <v>66.0</v>
      </c>
    </row>
    <row r="457">
      <c r="A457" s="8" t="s">
        <v>352</v>
      </c>
      <c r="B457" s="8" t="s">
        <v>351</v>
      </c>
      <c r="C457" s="8" t="s">
        <v>75</v>
      </c>
      <c r="D457" s="8" t="s">
        <v>6417</v>
      </c>
      <c r="E457" s="8">
        <v>81.0</v>
      </c>
    </row>
    <row r="458">
      <c r="A458" s="8" t="s">
        <v>2933</v>
      </c>
      <c r="B458" s="8" t="s">
        <v>582</v>
      </c>
      <c r="C458" s="8" t="s">
        <v>122</v>
      </c>
      <c r="D458" s="8" t="s">
        <v>6426</v>
      </c>
      <c r="E458" s="8">
        <v>77.0</v>
      </c>
    </row>
    <row r="459">
      <c r="A459" s="8" t="s">
        <v>1048</v>
      </c>
      <c r="B459" s="8" t="s">
        <v>1047</v>
      </c>
      <c r="C459" s="8" t="s">
        <v>24</v>
      </c>
      <c r="D459" s="8" t="s">
        <v>6438</v>
      </c>
      <c r="E459" s="8">
        <v>77.0</v>
      </c>
    </row>
    <row r="460">
      <c r="A460" s="8" t="s">
        <v>3293</v>
      </c>
      <c r="B460" s="8" t="s">
        <v>1181</v>
      </c>
      <c r="C460" s="8" t="s">
        <v>65</v>
      </c>
      <c r="D460" s="8" t="s">
        <v>6441</v>
      </c>
      <c r="E460" s="8">
        <v>65.0</v>
      </c>
    </row>
    <row r="461">
      <c r="A461" s="8" t="s">
        <v>3253</v>
      </c>
      <c r="B461" s="8" t="s">
        <v>3252</v>
      </c>
      <c r="C461" s="8" t="s">
        <v>24</v>
      </c>
      <c r="D461" s="8" t="s">
        <v>6418</v>
      </c>
      <c r="E461" s="8">
        <v>84.0</v>
      </c>
    </row>
    <row r="462">
      <c r="A462" s="8" t="s">
        <v>362</v>
      </c>
      <c r="B462" s="8" t="s">
        <v>3559</v>
      </c>
      <c r="C462" s="8" t="s">
        <v>46</v>
      </c>
      <c r="D462" s="8" t="s">
        <v>6416</v>
      </c>
      <c r="E462" s="8">
        <v>65.0</v>
      </c>
    </row>
    <row r="463">
      <c r="A463" s="8" t="s">
        <v>362</v>
      </c>
      <c r="B463" s="8" t="s">
        <v>1414</v>
      </c>
      <c r="C463" s="8" t="s">
        <v>65</v>
      </c>
      <c r="D463" s="8" t="s">
        <v>6417</v>
      </c>
      <c r="E463" s="8">
        <v>65.0</v>
      </c>
    </row>
    <row r="464">
      <c r="A464" s="8" t="s">
        <v>362</v>
      </c>
      <c r="B464" s="8" t="s">
        <v>61</v>
      </c>
      <c r="C464" s="8" t="s">
        <v>80</v>
      </c>
      <c r="D464" s="8" t="s">
        <v>6414</v>
      </c>
      <c r="E464" s="8">
        <v>68.0</v>
      </c>
    </row>
    <row r="465">
      <c r="A465" s="8" t="s">
        <v>362</v>
      </c>
      <c r="B465" s="8" t="s">
        <v>1217</v>
      </c>
      <c r="C465" s="8" t="s">
        <v>16</v>
      </c>
      <c r="D465" s="8" t="s">
        <v>6443</v>
      </c>
      <c r="E465" s="8">
        <v>70.0</v>
      </c>
    </row>
    <row r="466">
      <c r="A466" s="8" t="s">
        <v>362</v>
      </c>
      <c r="B466" s="8" t="s">
        <v>1231</v>
      </c>
      <c r="C466" s="8" t="s">
        <v>65</v>
      </c>
      <c r="D466" s="8" t="s">
        <v>6412</v>
      </c>
      <c r="E466" s="8">
        <v>68.0</v>
      </c>
    </row>
    <row r="467">
      <c r="A467" s="8" t="s">
        <v>362</v>
      </c>
      <c r="B467" s="8" t="s">
        <v>2985</v>
      </c>
      <c r="C467" s="8" t="s">
        <v>12</v>
      </c>
      <c r="D467" s="8" t="s">
        <v>6424</v>
      </c>
      <c r="E467" s="8">
        <v>75.0</v>
      </c>
    </row>
    <row r="468">
      <c r="A468" s="8" t="s">
        <v>362</v>
      </c>
      <c r="B468" s="8" t="s">
        <v>3415</v>
      </c>
      <c r="C468" s="8" t="s">
        <v>93</v>
      </c>
      <c r="D468" s="8" t="s">
        <v>6423</v>
      </c>
      <c r="E468" s="8">
        <v>72.0</v>
      </c>
    </row>
    <row r="469">
      <c r="A469" s="8" t="s">
        <v>362</v>
      </c>
      <c r="B469" s="8" t="s">
        <v>1328</v>
      </c>
      <c r="C469" s="8" t="s">
        <v>141</v>
      </c>
      <c r="D469" s="8" t="s">
        <v>6439</v>
      </c>
      <c r="E469" s="8">
        <v>65.0</v>
      </c>
    </row>
    <row r="470">
      <c r="A470" s="8" t="s">
        <v>362</v>
      </c>
      <c r="B470" s="8" t="s">
        <v>1058</v>
      </c>
      <c r="C470" s="8" t="s">
        <v>75</v>
      </c>
      <c r="D470" s="8" t="s">
        <v>6427</v>
      </c>
      <c r="E470" s="8">
        <v>69.0</v>
      </c>
    </row>
    <row r="471">
      <c r="A471" s="8" t="s">
        <v>362</v>
      </c>
      <c r="B471" s="8" t="s">
        <v>1059</v>
      </c>
      <c r="C471" s="8" t="s">
        <v>132</v>
      </c>
      <c r="D471" s="8" t="s">
        <v>6414</v>
      </c>
      <c r="E471" s="8">
        <v>64.0</v>
      </c>
    </row>
    <row r="472">
      <c r="A472" s="8" t="s">
        <v>349</v>
      </c>
      <c r="B472" s="8" t="s">
        <v>348</v>
      </c>
      <c r="C472" s="8" t="s">
        <v>65</v>
      </c>
      <c r="D472" s="8" t="s">
        <v>6442</v>
      </c>
      <c r="E472" s="8">
        <v>77.0</v>
      </c>
    </row>
    <row r="473">
      <c r="A473" s="8" t="s">
        <v>349</v>
      </c>
      <c r="B473" s="8" t="s">
        <v>1645</v>
      </c>
      <c r="C473" s="8" t="s">
        <v>132</v>
      </c>
      <c r="D473" s="8" t="s">
        <v>6419</v>
      </c>
      <c r="E473" s="8">
        <v>64.0</v>
      </c>
    </row>
    <row r="474">
      <c r="A474" s="8" t="s">
        <v>285</v>
      </c>
      <c r="B474" s="8" t="s">
        <v>284</v>
      </c>
      <c r="C474" s="8" t="s">
        <v>80</v>
      </c>
      <c r="D474" s="8" t="s">
        <v>6441</v>
      </c>
      <c r="E474" s="8">
        <v>69.0</v>
      </c>
    </row>
    <row r="475">
      <c r="A475" s="8" t="s">
        <v>285</v>
      </c>
      <c r="B475" s="8" t="s">
        <v>3704</v>
      </c>
      <c r="C475" s="8" t="s">
        <v>16</v>
      </c>
      <c r="D475" s="8" t="s">
        <v>6422</v>
      </c>
      <c r="E475" s="8">
        <v>74.0</v>
      </c>
    </row>
    <row r="476">
      <c r="A476" s="8" t="s">
        <v>219</v>
      </c>
      <c r="B476" s="8" t="s">
        <v>636</v>
      </c>
      <c r="C476" s="8" t="s">
        <v>192</v>
      </c>
      <c r="D476" s="8" t="s">
        <v>6430</v>
      </c>
      <c r="E476" s="8">
        <v>71.0</v>
      </c>
    </row>
    <row r="477">
      <c r="A477" s="8" t="s">
        <v>219</v>
      </c>
      <c r="B477" s="8" t="s">
        <v>218</v>
      </c>
      <c r="C477" s="8" t="s">
        <v>16</v>
      </c>
      <c r="D477" s="8" t="s">
        <v>6416</v>
      </c>
      <c r="E477" s="8">
        <v>68.0</v>
      </c>
    </row>
    <row r="478">
      <c r="A478" s="8" t="s">
        <v>3034</v>
      </c>
      <c r="B478" s="8" t="s">
        <v>3033</v>
      </c>
      <c r="C478" s="8" t="s">
        <v>38</v>
      </c>
      <c r="D478" s="8" t="s">
        <v>6430</v>
      </c>
      <c r="E478" s="8">
        <v>77.0</v>
      </c>
    </row>
    <row r="479">
      <c r="A479" s="8" t="s">
        <v>3034</v>
      </c>
      <c r="B479" s="8" t="s">
        <v>3875</v>
      </c>
      <c r="C479" s="8" t="s">
        <v>24</v>
      </c>
      <c r="D479" s="8" t="s">
        <v>6438</v>
      </c>
      <c r="E479" s="8">
        <v>60.0</v>
      </c>
    </row>
    <row r="480">
      <c r="A480" s="8" t="s">
        <v>1131</v>
      </c>
      <c r="B480" s="8" t="s">
        <v>3166</v>
      </c>
      <c r="C480" s="8" t="s">
        <v>12</v>
      </c>
      <c r="D480" s="8" t="s">
        <v>6418</v>
      </c>
      <c r="E480" s="8">
        <v>79.0</v>
      </c>
    </row>
    <row r="481">
      <c r="A481" s="8" t="s">
        <v>1131</v>
      </c>
      <c r="B481" s="8" t="s">
        <v>2674</v>
      </c>
      <c r="C481" s="8" t="s">
        <v>138</v>
      </c>
      <c r="D481" s="8" t="s">
        <v>6424</v>
      </c>
      <c r="E481" s="8">
        <v>84.0</v>
      </c>
    </row>
    <row r="482">
      <c r="A482" s="8" t="s">
        <v>1131</v>
      </c>
      <c r="B482" s="8" t="s">
        <v>195</v>
      </c>
      <c r="C482" s="8" t="s">
        <v>16</v>
      </c>
      <c r="D482" s="8" t="s">
        <v>6438</v>
      </c>
      <c r="E482" s="8">
        <v>72.0</v>
      </c>
    </row>
    <row r="483">
      <c r="A483" s="8" t="s">
        <v>1131</v>
      </c>
      <c r="B483" s="8" t="s">
        <v>1253</v>
      </c>
      <c r="C483" s="8" t="s">
        <v>132</v>
      </c>
      <c r="D483" s="8" t="s">
        <v>6412</v>
      </c>
      <c r="E483" s="8">
        <v>66.0</v>
      </c>
    </row>
    <row r="484">
      <c r="A484" s="8" t="s">
        <v>1131</v>
      </c>
      <c r="B484" s="8" t="s">
        <v>1023</v>
      </c>
      <c r="C484" s="8" t="s">
        <v>16</v>
      </c>
      <c r="D484" s="8" t="s">
        <v>6427</v>
      </c>
      <c r="E484" s="8">
        <v>59.0</v>
      </c>
    </row>
    <row r="485">
      <c r="A485" s="8" t="s">
        <v>1131</v>
      </c>
      <c r="B485" s="8" t="s">
        <v>3907</v>
      </c>
      <c r="C485" s="8" t="s">
        <v>122</v>
      </c>
      <c r="D485" s="8" t="s">
        <v>6424</v>
      </c>
      <c r="E485" s="8">
        <v>60.0</v>
      </c>
    </row>
    <row r="486">
      <c r="A486" s="8" t="s">
        <v>500</v>
      </c>
      <c r="B486" s="8" t="s">
        <v>3300</v>
      </c>
      <c r="C486" s="8" t="s">
        <v>24</v>
      </c>
      <c r="D486" s="8" t="s">
        <v>6433</v>
      </c>
      <c r="E486" s="8">
        <v>71.0</v>
      </c>
    </row>
    <row r="487">
      <c r="A487" s="8" t="s">
        <v>500</v>
      </c>
      <c r="B487" s="8" t="s">
        <v>441</v>
      </c>
      <c r="C487" s="8" t="s">
        <v>192</v>
      </c>
      <c r="D487" s="8" t="s">
        <v>6425</v>
      </c>
      <c r="E487" s="8">
        <v>69.0</v>
      </c>
    </row>
    <row r="488">
      <c r="A488" s="8" t="s">
        <v>3188</v>
      </c>
      <c r="B488" s="8" t="s">
        <v>2064</v>
      </c>
      <c r="C488" s="8" t="s">
        <v>122</v>
      </c>
      <c r="D488" s="8" t="s">
        <v>6430</v>
      </c>
      <c r="E488" s="8">
        <v>71.0</v>
      </c>
    </row>
    <row r="489">
      <c r="A489" s="8" t="s">
        <v>776</v>
      </c>
      <c r="B489" s="8" t="s">
        <v>775</v>
      </c>
      <c r="C489" s="8" t="s">
        <v>65</v>
      </c>
      <c r="D489" s="8" t="s">
        <v>6429</v>
      </c>
      <c r="E489" s="8">
        <v>70.0</v>
      </c>
    </row>
    <row r="490">
      <c r="A490" s="8" t="s">
        <v>518</v>
      </c>
      <c r="B490" s="8" t="s">
        <v>517</v>
      </c>
      <c r="C490" s="8" t="s">
        <v>46</v>
      </c>
      <c r="D490" s="8" t="s">
        <v>6430</v>
      </c>
      <c r="E490" s="8">
        <v>89.0</v>
      </c>
    </row>
    <row r="491">
      <c r="A491" s="8" t="s">
        <v>304</v>
      </c>
      <c r="B491" s="8" t="s">
        <v>877</v>
      </c>
      <c r="C491" s="8" t="s">
        <v>65</v>
      </c>
      <c r="D491" s="8" t="s">
        <v>6443</v>
      </c>
      <c r="E491" s="8">
        <v>78.0</v>
      </c>
    </row>
    <row r="492">
      <c r="A492" s="8" t="s">
        <v>304</v>
      </c>
      <c r="B492" s="8" t="s">
        <v>918</v>
      </c>
      <c r="C492" s="8" t="s">
        <v>65</v>
      </c>
      <c r="D492" s="8" t="s">
        <v>6420</v>
      </c>
      <c r="E492" s="8">
        <v>70.0</v>
      </c>
    </row>
    <row r="493">
      <c r="A493" s="8" t="s">
        <v>304</v>
      </c>
      <c r="B493" s="8" t="s">
        <v>203</v>
      </c>
      <c r="C493" s="8" t="s">
        <v>80</v>
      </c>
      <c r="D493" s="8" t="s">
        <v>6430</v>
      </c>
      <c r="E493" s="8">
        <v>82.0</v>
      </c>
    </row>
    <row r="494">
      <c r="A494" s="8" t="s">
        <v>304</v>
      </c>
      <c r="B494" s="8" t="s">
        <v>700</v>
      </c>
      <c r="C494" s="8" t="s">
        <v>70</v>
      </c>
      <c r="D494" s="8" t="s">
        <v>6413</v>
      </c>
      <c r="E494" s="8">
        <v>59.0</v>
      </c>
    </row>
    <row r="495">
      <c r="A495" s="8" t="s">
        <v>304</v>
      </c>
      <c r="B495" s="8" t="s">
        <v>3333</v>
      </c>
      <c r="C495" s="8" t="s">
        <v>53</v>
      </c>
      <c r="D495" s="8" t="s">
        <v>6422</v>
      </c>
      <c r="E495" s="8">
        <v>66.0</v>
      </c>
    </row>
    <row r="496">
      <c r="A496" s="8" t="s">
        <v>304</v>
      </c>
      <c r="B496" s="8" t="s">
        <v>745</v>
      </c>
      <c r="C496" s="8" t="s">
        <v>141</v>
      </c>
      <c r="D496" s="8" t="s">
        <v>6421</v>
      </c>
      <c r="E496" s="8">
        <v>80.0</v>
      </c>
    </row>
    <row r="497">
      <c r="A497" s="8" t="s">
        <v>304</v>
      </c>
      <c r="B497" s="8" t="s">
        <v>2906</v>
      </c>
      <c r="C497" s="8" t="s">
        <v>215</v>
      </c>
      <c r="D497" s="8" t="s">
        <v>6432</v>
      </c>
      <c r="E497" s="8">
        <v>80.0</v>
      </c>
    </row>
    <row r="498">
      <c r="A498" s="8" t="s">
        <v>304</v>
      </c>
      <c r="B498" s="8" t="s">
        <v>1264</v>
      </c>
      <c r="C498" s="8" t="s">
        <v>192</v>
      </c>
      <c r="D498" s="8" t="s">
        <v>6434</v>
      </c>
      <c r="E498" s="8">
        <v>62.0</v>
      </c>
    </row>
    <row r="499">
      <c r="A499" s="8" t="s">
        <v>304</v>
      </c>
      <c r="B499" s="8" t="s">
        <v>220</v>
      </c>
      <c r="C499" s="8" t="s">
        <v>186</v>
      </c>
      <c r="D499" s="8" t="s">
        <v>6412</v>
      </c>
      <c r="E499" s="8">
        <v>61.0</v>
      </c>
    </row>
    <row r="500">
      <c r="A500" s="8" t="s">
        <v>304</v>
      </c>
      <c r="B500" s="8" t="s">
        <v>44</v>
      </c>
      <c r="C500" s="8" t="s">
        <v>122</v>
      </c>
      <c r="D500" s="8" t="s">
        <v>6419</v>
      </c>
      <c r="E500" s="8">
        <v>75.0</v>
      </c>
    </row>
    <row r="501">
      <c r="A501" s="8" t="s">
        <v>304</v>
      </c>
      <c r="B501" s="8" t="s">
        <v>308</v>
      </c>
      <c r="C501" s="8" t="s">
        <v>46</v>
      </c>
      <c r="D501" s="8" t="s">
        <v>6420</v>
      </c>
      <c r="E501" s="8">
        <v>69.0</v>
      </c>
    </row>
    <row r="502">
      <c r="A502" s="8" t="s">
        <v>304</v>
      </c>
      <c r="B502" s="8" t="s">
        <v>1330</v>
      </c>
      <c r="C502" s="8" t="s">
        <v>65</v>
      </c>
      <c r="D502" s="8" t="s">
        <v>6431</v>
      </c>
      <c r="E502" s="8">
        <v>62.0</v>
      </c>
    </row>
    <row r="503">
      <c r="A503" s="8" t="s">
        <v>304</v>
      </c>
      <c r="B503" s="8" t="s">
        <v>1055</v>
      </c>
      <c r="C503" s="8" t="s">
        <v>93</v>
      </c>
      <c r="D503" s="8" t="s">
        <v>6430</v>
      </c>
      <c r="E503" s="8">
        <v>71.0</v>
      </c>
    </row>
    <row r="504">
      <c r="A504" s="8" t="s">
        <v>748</v>
      </c>
      <c r="B504" s="8" t="s">
        <v>747</v>
      </c>
      <c r="C504" s="8" t="s">
        <v>149</v>
      </c>
      <c r="D504" s="8" t="s">
        <v>6420</v>
      </c>
      <c r="E504" s="8">
        <v>70.0</v>
      </c>
    </row>
    <row r="505">
      <c r="A505" s="8" t="s">
        <v>748</v>
      </c>
      <c r="B505" s="8" t="s">
        <v>1330</v>
      </c>
      <c r="C505" s="8" t="s">
        <v>138</v>
      </c>
      <c r="D505" s="8" t="s">
        <v>6427</v>
      </c>
      <c r="E505" s="8">
        <v>64.0</v>
      </c>
    </row>
    <row r="506">
      <c r="A506" s="8" t="s">
        <v>1515</v>
      </c>
      <c r="B506" s="8" t="s">
        <v>3297</v>
      </c>
      <c r="C506" s="8" t="s">
        <v>261</v>
      </c>
      <c r="D506" s="8" t="s">
        <v>6414</v>
      </c>
      <c r="E506" s="8">
        <v>80.0</v>
      </c>
    </row>
    <row r="507">
      <c r="A507" s="8" t="s">
        <v>1515</v>
      </c>
      <c r="B507" s="8" t="s">
        <v>260</v>
      </c>
      <c r="C507" s="8" t="s">
        <v>186</v>
      </c>
      <c r="D507" s="8" t="s">
        <v>6438</v>
      </c>
      <c r="E507" s="8">
        <v>61.0</v>
      </c>
    </row>
    <row r="508">
      <c r="A508" s="8" t="s">
        <v>1515</v>
      </c>
      <c r="B508" s="8" t="s">
        <v>389</v>
      </c>
      <c r="C508" s="8" t="s">
        <v>122</v>
      </c>
      <c r="D508" s="8" t="s">
        <v>6431</v>
      </c>
      <c r="E508" s="8">
        <v>58.0</v>
      </c>
    </row>
    <row r="509">
      <c r="A509" s="8" t="s">
        <v>3042</v>
      </c>
      <c r="B509" s="8" t="s">
        <v>3041</v>
      </c>
      <c r="C509" s="8" t="s">
        <v>93</v>
      </c>
      <c r="D509" s="8" t="s">
        <v>6414</v>
      </c>
      <c r="E509" s="8">
        <v>71.0</v>
      </c>
    </row>
    <row r="510">
      <c r="A510" s="8" t="s">
        <v>3489</v>
      </c>
      <c r="B510" s="8" t="s">
        <v>3488</v>
      </c>
      <c r="C510" s="8" t="s">
        <v>53</v>
      </c>
      <c r="D510" s="8" t="s">
        <v>6431</v>
      </c>
      <c r="E510" s="8">
        <v>78.0</v>
      </c>
    </row>
    <row r="511">
      <c r="A511" s="8" t="s">
        <v>307</v>
      </c>
      <c r="B511" s="8" t="s">
        <v>2914</v>
      </c>
      <c r="C511" s="8" t="s">
        <v>93</v>
      </c>
      <c r="D511" s="8" t="s">
        <v>6432</v>
      </c>
      <c r="E511" s="8">
        <v>69.0</v>
      </c>
    </row>
    <row r="512">
      <c r="A512" s="8" t="s">
        <v>307</v>
      </c>
      <c r="B512" s="8" t="s">
        <v>306</v>
      </c>
      <c r="C512" s="8" t="s">
        <v>59</v>
      </c>
      <c r="D512" s="8" t="s">
        <v>6418</v>
      </c>
      <c r="E512" s="8">
        <v>78.0</v>
      </c>
    </row>
    <row r="513">
      <c r="A513" s="8" t="s">
        <v>307</v>
      </c>
      <c r="B513" s="8" t="s">
        <v>3855</v>
      </c>
      <c r="C513" s="8" t="s">
        <v>24</v>
      </c>
      <c r="D513" s="8" t="s">
        <v>6423</v>
      </c>
      <c r="E513" s="8">
        <v>80.0</v>
      </c>
    </row>
    <row r="514">
      <c r="A514" s="8" t="s">
        <v>307</v>
      </c>
      <c r="B514" s="8" t="s">
        <v>2277</v>
      </c>
      <c r="C514" s="8" t="s">
        <v>75</v>
      </c>
      <c r="D514" s="8" t="s">
        <v>6440</v>
      </c>
      <c r="E514" s="8">
        <v>63.0</v>
      </c>
    </row>
    <row r="515">
      <c r="A515" s="8" t="s">
        <v>3575</v>
      </c>
      <c r="B515" s="8" t="s">
        <v>486</v>
      </c>
      <c r="C515" s="8" t="s">
        <v>93</v>
      </c>
      <c r="D515" s="8" t="s">
        <v>6420</v>
      </c>
      <c r="E515" s="8">
        <v>68.0</v>
      </c>
    </row>
    <row r="516">
      <c r="A516" s="8" t="s">
        <v>2745</v>
      </c>
      <c r="B516" s="8" t="s">
        <v>3272</v>
      </c>
      <c r="C516" s="8" t="s">
        <v>24</v>
      </c>
      <c r="D516" s="8" t="s">
        <v>6435</v>
      </c>
      <c r="E516" s="8">
        <v>78.0</v>
      </c>
    </row>
    <row r="517">
      <c r="A517" s="8" t="s">
        <v>3734</v>
      </c>
      <c r="B517" s="8" t="s">
        <v>3733</v>
      </c>
      <c r="C517" s="8" t="s">
        <v>186</v>
      </c>
      <c r="D517" s="8" t="s">
        <v>6428</v>
      </c>
      <c r="E517" s="8">
        <v>57.0</v>
      </c>
    </row>
    <row r="518">
      <c r="A518" s="8" t="s">
        <v>3414</v>
      </c>
      <c r="B518" s="8" t="s">
        <v>786</v>
      </c>
      <c r="C518" s="8" t="s">
        <v>75</v>
      </c>
      <c r="D518" s="8" t="s">
        <v>6430</v>
      </c>
      <c r="E518" s="8">
        <v>63.0</v>
      </c>
    </row>
    <row r="519">
      <c r="A519" s="8" t="s">
        <v>1489</v>
      </c>
      <c r="B519" s="8" t="s">
        <v>284</v>
      </c>
      <c r="C519" s="8" t="s">
        <v>93</v>
      </c>
      <c r="D519" s="8" t="s">
        <v>6436</v>
      </c>
      <c r="E519" s="8">
        <v>71.0</v>
      </c>
    </row>
    <row r="520">
      <c r="A520" s="8" t="s">
        <v>1489</v>
      </c>
      <c r="B520" s="8" t="s">
        <v>2883</v>
      </c>
      <c r="C520" s="8" t="s">
        <v>149</v>
      </c>
      <c r="D520" s="8" t="s">
        <v>6430</v>
      </c>
      <c r="E520" s="8">
        <v>72.0</v>
      </c>
    </row>
    <row r="521">
      <c r="A521" s="8" t="s">
        <v>6383</v>
      </c>
      <c r="B521" s="8" t="s">
        <v>57</v>
      </c>
      <c r="C521" s="8" t="s">
        <v>186</v>
      </c>
      <c r="D521" s="8" t="s">
        <v>6437</v>
      </c>
      <c r="E521" s="8">
        <v>56.0</v>
      </c>
    </row>
    <row r="522">
      <c r="A522" s="8" t="s">
        <v>6383</v>
      </c>
      <c r="B522" s="8" t="s">
        <v>682</v>
      </c>
      <c r="C522" s="8" t="s">
        <v>132</v>
      </c>
      <c r="D522" s="8" t="s">
        <v>6432</v>
      </c>
      <c r="E522" s="8">
        <v>74.0</v>
      </c>
    </row>
    <row r="523">
      <c r="A523" s="8" t="s">
        <v>6383</v>
      </c>
      <c r="B523" s="8" t="s">
        <v>154</v>
      </c>
      <c r="C523" s="8" t="s">
        <v>70</v>
      </c>
      <c r="D523" s="8" t="s">
        <v>6436</v>
      </c>
      <c r="E523" s="8">
        <v>65.0</v>
      </c>
    </row>
    <row r="524">
      <c r="A524" s="8" t="s">
        <v>6383</v>
      </c>
      <c r="B524" s="8" t="s">
        <v>528</v>
      </c>
      <c r="C524" s="8" t="s">
        <v>93</v>
      </c>
      <c r="D524" s="8" t="s">
        <v>6438</v>
      </c>
      <c r="E524" s="8">
        <v>70.0</v>
      </c>
    </row>
    <row r="525">
      <c r="A525" s="8" t="s">
        <v>6383</v>
      </c>
      <c r="B525" s="8" t="s">
        <v>1202</v>
      </c>
      <c r="C525" s="8" t="s">
        <v>149</v>
      </c>
      <c r="D525" s="8" t="s">
        <v>6419</v>
      </c>
      <c r="E525" s="8">
        <v>73.0</v>
      </c>
    </row>
    <row r="526">
      <c r="A526" s="8" t="s">
        <v>6383</v>
      </c>
      <c r="B526" s="8" t="s">
        <v>3797</v>
      </c>
      <c r="C526" s="8" t="s">
        <v>138</v>
      </c>
      <c r="D526" s="8" t="s">
        <v>6418</v>
      </c>
      <c r="E526" s="8">
        <v>60.0</v>
      </c>
    </row>
    <row r="527">
      <c r="A527" s="8" t="s">
        <v>6383</v>
      </c>
      <c r="B527" s="8" t="s">
        <v>1587</v>
      </c>
      <c r="C527" s="8" t="s">
        <v>122</v>
      </c>
      <c r="D527" s="8" t="s">
        <v>6434</v>
      </c>
      <c r="E527" s="8">
        <v>65.0</v>
      </c>
    </row>
    <row r="528">
      <c r="A528" s="8" t="s">
        <v>6383</v>
      </c>
      <c r="B528" s="8" t="s">
        <v>808</v>
      </c>
      <c r="C528" s="8" t="s">
        <v>192</v>
      </c>
      <c r="D528" s="8" t="s">
        <v>6419</v>
      </c>
      <c r="E528" s="8">
        <v>72.0</v>
      </c>
    </row>
    <row r="529">
      <c r="A529" s="8" t="s">
        <v>6383</v>
      </c>
      <c r="B529" s="8" t="s">
        <v>1055</v>
      </c>
      <c r="C529" s="8" t="s">
        <v>93</v>
      </c>
      <c r="D529" s="8" t="s">
        <v>6437</v>
      </c>
      <c r="E529" s="8">
        <v>63.0</v>
      </c>
    </row>
    <row r="530">
      <c r="A530" s="8" t="s">
        <v>4443</v>
      </c>
      <c r="B530" s="8" t="s">
        <v>99</v>
      </c>
      <c r="C530" s="8" t="s">
        <v>93</v>
      </c>
      <c r="D530" s="8" t="s">
        <v>6428</v>
      </c>
      <c r="E530" s="8">
        <v>69.0</v>
      </c>
    </row>
    <row r="531">
      <c r="A531" s="8" t="s">
        <v>4445</v>
      </c>
      <c r="B531" s="8" t="s">
        <v>208</v>
      </c>
      <c r="C531" s="8" t="s">
        <v>186</v>
      </c>
      <c r="D531" s="8" t="s">
        <v>6428</v>
      </c>
      <c r="E531" s="8">
        <v>79.0</v>
      </c>
    </row>
    <row r="532">
      <c r="A532" s="8" t="s">
        <v>4425</v>
      </c>
      <c r="B532" s="8" t="s">
        <v>3038</v>
      </c>
      <c r="C532" s="8" t="s">
        <v>192</v>
      </c>
      <c r="D532" s="8" t="s">
        <v>6423</v>
      </c>
      <c r="E532" s="8">
        <v>85.0</v>
      </c>
    </row>
    <row r="533">
      <c r="A533" s="8" t="s">
        <v>2967</v>
      </c>
      <c r="B533" s="8" t="s">
        <v>2966</v>
      </c>
      <c r="C533" s="8" t="s">
        <v>53</v>
      </c>
      <c r="D533" s="8" t="s">
        <v>6437</v>
      </c>
      <c r="E533" s="8">
        <v>63.0</v>
      </c>
    </row>
    <row r="534">
      <c r="A534" s="8" t="s">
        <v>3444</v>
      </c>
      <c r="B534" s="8" t="s">
        <v>318</v>
      </c>
      <c r="C534" s="8" t="s">
        <v>192</v>
      </c>
      <c r="D534" s="8" t="s">
        <v>6423</v>
      </c>
      <c r="E534" s="8">
        <v>69.0</v>
      </c>
    </row>
    <row r="535">
      <c r="A535" s="8" t="s">
        <v>1290</v>
      </c>
      <c r="B535" s="8" t="s">
        <v>1289</v>
      </c>
      <c r="C535" s="8" t="s">
        <v>16</v>
      </c>
      <c r="D535" s="8" t="s">
        <v>6442</v>
      </c>
      <c r="E535" s="8">
        <v>71.0</v>
      </c>
    </row>
    <row r="536">
      <c r="A536" s="8" t="s">
        <v>671</v>
      </c>
      <c r="B536" s="8" t="s">
        <v>670</v>
      </c>
      <c r="C536" s="8" t="s">
        <v>132</v>
      </c>
      <c r="D536" s="8" t="s">
        <v>6440</v>
      </c>
      <c r="E536" s="8">
        <v>67.0</v>
      </c>
    </row>
    <row r="537">
      <c r="A537" s="8" t="s">
        <v>1811</v>
      </c>
      <c r="B537" s="8" t="s">
        <v>62</v>
      </c>
      <c r="C537" s="8" t="s">
        <v>75</v>
      </c>
      <c r="D537" s="8" t="s">
        <v>6415</v>
      </c>
      <c r="E537" s="8">
        <v>66.0</v>
      </c>
    </row>
    <row r="538">
      <c r="A538" s="8" t="s">
        <v>258</v>
      </c>
      <c r="B538" s="8" t="s">
        <v>916</v>
      </c>
      <c r="C538" s="8" t="s">
        <v>141</v>
      </c>
      <c r="D538" s="8" t="s">
        <v>6434</v>
      </c>
      <c r="E538" s="8">
        <v>69.0</v>
      </c>
    </row>
    <row r="539">
      <c r="A539" s="8" t="s">
        <v>1009</v>
      </c>
      <c r="B539" s="8" t="s">
        <v>497</v>
      </c>
      <c r="C539" s="8" t="s">
        <v>93</v>
      </c>
      <c r="D539" s="8" t="s">
        <v>6421</v>
      </c>
      <c r="E539" s="8">
        <v>76.0</v>
      </c>
    </row>
    <row r="540">
      <c r="A540" s="8" t="s">
        <v>3458</v>
      </c>
      <c r="B540" s="8" t="s">
        <v>3457</v>
      </c>
      <c r="C540" s="8" t="s">
        <v>93</v>
      </c>
      <c r="D540" s="8" t="s">
        <v>6418</v>
      </c>
      <c r="E540" s="8">
        <v>68.0</v>
      </c>
    </row>
    <row r="541">
      <c r="A541" s="8" t="s">
        <v>1060</v>
      </c>
      <c r="B541" s="8" t="s">
        <v>78</v>
      </c>
      <c r="C541" s="8" t="s">
        <v>70</v>
      </c>
      <c r="D541" s="8" t="s">
        <v>6415</v>
      </c>
      <c r="E541" s="8">
        <v>72.0</v>
      </c>
    </row>
    <row r="542">
      <c r="A542" s="8" t="s">
        <v>1060</v>
      </c>
      <c r="B542" s="8" t="s">
        <v>451</v>
      </c>
      <c r="C542" s="8" t="s">
        <v>59</v>
      </c>
      <c r="D542" s="8" t="s">
        <v>6442</v>
      </c>
      <c r="E542" s="8">
        <v>68.0</v>
      </c>
    </row>
    <row r="543">
      <c r="A543" s="8" t="s">
        <v>438</v>
      </c>
      <c r="B543" s="8" t="s">
        <v>437</v>
      </c>
      <c r="C543" s="8" t="s">
        <v>215</v>
      </c>
      <c r="D543" s="8" t="s">
        <v>6432</v>
      </c>
      <c r="E543" s="8">
        <v>62.0</v>
      </c>
    </row>
    <row r="544">
      <c r="A544" s="8" t="s">
        <v>378</v>
      </c>
      <c r="B544" s="8" t="s">
        <v>377</v>
      </c>
      <c r="C544" s="8" t="s">
        <v>122</v>
      </c>
      <c r="D544" s="8" t="s">
        <v>6425</v>
      </c>
      <c r="E544" s="8">
        <v>84.0</v>
      </c>
    </row>
    <row r="545">
      <c r="A545" s="8" t="s">
        <v>3371</v>
      </c>
      <c r="B545" s="8" t="s">
        <v>1264</v>
      </c>
      <c r="C545" s="8" t="s">
        <v>215</v>
      </c>
      <c r="D545" s="8" t="s">
        <v>6438</v>
      </c>
      <c r="E545" s="8">
        <v>69.0</v>
      </c>
    </row>
    <row r="546">
      <c r="A546" s="8" t="s">
        <v>241</v>
      </c>
      <c r="B546" s="8" t="s">
        <v>240</v>
      </c>
      <c r="C546" s="8" t="s">
        <v>12</v>
      </c>
      <c r="D546" s="8" t="s">
        <v>6442</v>
      </c>
      <c r="E546" s="8">
        <v>85.0</v>
      </c>
    </row>
    <row r="547">
      <c r="A547" s="8" t="s">
        <v>241</v>
      </c>
      <c r="B547" s="8" t="s">
        <v>356</v>
      </c>
      <c r="C547" s="8" t="s">
        <v>12</v>
      </c>
      <c r="D547" s="8" t="s">
        <v>6430</v>
      </c>
      <c r="E547" s="8">
        <v>79.0</v>
      </c>
    </row>
    <row r="548">
      <c r="A548" s="8" t="s">
        <v>241</v>
      </c>
      <c r="B548" s="8" t="s">
        <v>3717</v>
      </c>
      <c r="C548" s="8" t="s">
        <v>16</v>
      </c>
      <c r="D548" s="8" t="s">
        <v>6426</v>
      </c>
      <c r="E548" s="8">
        <v>60.0</v>
      </c>
    </row>
    <row r="549">
      <c r="A549" s="8" t="s">
        <v>241</v>
      </c>
      <c r="B549" s="8" t="s">
        <v>3787</v>
      </c>
      <c r="C549" s="8" t="s">
        <v>16</v>
      </c>
      <c r="D549" s="8" t="s">
        <v>6420</v>
      </c>
      <c r="E549" s="8">
        <v>66.0</v>
      </c>
    </row>
    <row r="550">
      <c r="A550" s="8" t="s">
        <v>241</v>
      </c>
      <c r="B550" s="8" t="s">
        <v>3436</v>
      </c>
      <c r="C550" s="8" t="s">
        <v>59</v>
      </c>
      <c r="D550" s="8" t="s">
        <v>6413</v>
      </c>
      <c r="E550" s="8">
        <v>79.0</v>
      </c>
    </row>
    <row r="551">
      <c r="A551" s="8" t="s">
        <v>241</v>
      </c>
      <c r="B551" s="8" t="s">
        <v>78</v>
      </c>
      <c r="C551" s="8" t="s">
        <v>122</v>
      </c>
      <c r="D551" s="8" t="s">
        <v>6438</v>
      </c>
      <c r="E551" s="8">
        <v>88.0</v>
      </c>
    </row>
    <row r="552">
      <c r="A552" s="8" t="s">
        <v>197</v>
      </c>
      <c r="B552" s="8" t="s">
        <v>3525</v>
      </c>
      <c r="C552" s="8" t="s">
        <v>65</v>
      </c>
      <c r="D552" s="8" t="s">
        <v>6428</v>
      </c>
      <c r="E552" s="8">
        <v>60.0</v>
      </c>
    </row>
    <row r="553">
      <c r="A553" s="8" t="s">
        <v>197</v>
      </c>
      <c r="B553" s="8" t="s">
        <v>3184</v>
      </c>
      <c r="C553" s="8" t="s">
        <v>65</v>
      </c>
      <c r="D553" s="8" t="s">
        <v>6427</v>
      </c>
      <c r="E553" s="8">
        <v>65.0</v>
      </c>
    </row>
    <row r="554">
      <c r="A554" s="8" t="s">
        <v>197</v>
      </c>
      <c r="B554" s="8" t="s">
        <v>106</v>
      </c>
      <c r="C554" s="8" t="s">
        <v>65</v>
      </c>
      <c r="D554" s="8" t="s">
        <v>6435</v>
      </c>
      <c r="E554" s="8">
        <v>61.0</v>
      </c>
    </row>
    <row r="555">
      <c r="A555" s="8" t="s">
        <v>197</v>
      </c>
      <c r="B555" s="8" t="s">
        <v>292</v>
      </c>
      <c r="C555" s="8" t="s">
        <v>141</v>
      </c>
      <c r="D555" s="8" t="s">
        <v>6422</v>
      </c>
      <c r="E555" s="8">
        <v>71.0</v>
      </c>
    </row>
    <row r="556">
      <c r="A556" s="8" t="s">
        <v>197</v>
      </c>
      <c r="B556" s="8" t="s">
        <v>2894</v>
      </c>
      <c r="C556" s="8" t="s">
        <v>70</v>
      </c>
      <c r="D556" s="8" t="s">
        <v>6418</v>
      </c>
      <c r="E556" s="8">
        <v>68.0</v>
      </c>
    </row>
    <row r="557">
      <c r="A557" s="8" t="s">
        <v>197</v>
      </c>
      <c r="B557" s="8" t="s">
        <v>979</v>
      </c>
      <c r="C557" s="8" t="s">
        <v>122</v>
      </c>
      <c r="D557" s="8" t="s">
        <v>6439</v>
      </c>
      <c r="E557" s="8">
        <v>66.0</v>
      </c>
    </row>
    <row r="558">
      <c r="A558" s="8" t="s">
        <v>197</v>
      </c>
      <c r="B558" s="8" t="s">
        <v>2958</v>
      </c>
      <c r="C558" s="8" t="s">
        <v>141</v>
      </c>
      <c r="D558" s="8" t="s">
        <v>6437</v>
      </c>
      <c r="E558" s="8">
        <v>63.0</v>
      </c>
    </row>
    <row r="559">
      <c r="A559" s="8" t="s">
        <v>197</v>
      </c>
      <c r="B559" s="8" t="s">
        <v>602</v>
      </c>
      <c r="C559" s="8" t="s">
        <v>80</v>
      </c>
      <c r="D559" s="8" t="s">
        <v>6437</v>
      </c>
      <c r="E559" s="8">
        <v>69.0</v>
      </c>
    </row>
    <row r="560">
      <c r="A560" s="8" t="s">
        <v>197</v>
      </c>
      <c r="B560" s="8" t="s">
        <v>62</v>
      </c>
      <c r="C560" s="8" t="s">
        <v>70</v>
      </c>
      <c r="D560" s="8" t="s">
        <v>6415</v>
      </c>
      <c r="E560" s="8">
        <v>72.0</v>
      </c>
    </row>
    <row r="561">
      <c r="A561" s="8" t="s">
        <v>1846</v>
      </c>
      <c r="B561" s="8" t="s">
        <v>1380</v>
      </c>
      <c r="C561" s="8" t="s">
        <v>215</v>
      </c>
      <c r="D561" s="8" t="s">
        <v>6429</v>
      </c>
      <c r="E561" s="8">
        <v>72.0</v>
      </c>
    </row>
    <row r="562">
      <c r="A562" s="8" t="s">
        <v>3244</v>
      </c>
      <c r="B562" s="8" t="s">
        <v>3243</v>
      </c>
      <c r="C562" s="8" t="s">
        <v>59</v>
      </c>
      <c r="D562" s="8" t="s">
        <v>6418</v>
      </c>
      <c r="E562" s="8">
        <v>77.0</v>
      </c>
    </row>
    <row r="563">
      <c r="A563" s="8" t="s">
        <v>134</v>
      </c>
      <c r="B563" s="8" t="s">
        <v>133</v>
      </c>
      <c r="C563" s="8" t="s">
        <v>65</v>
      </c>
      <c r="D563" s="8" t="s">
        <v>6436</v>
      </c>
      <c r="E563" s="8">
        <v>83.0</v>
      </c>
    </row>
    <row r="564">
      <c r="A564" s="8" t="s">
        <v>134</v>
      </c>
      <c r="B564" s="8" t="s">
        <v>1310</v>
      </c>
      <c r="C564" s="8" t="s">
        <v>122</v>
      </c>
      <c r="D564" s="8" t="s">
        <v>6443</v>
      </c>
      <c r="E564" s="8">
        <v>72.0</v>
      </c>
    </row>
    <row r="565">
      <c r="A565" s="8" t="s">
        <v>134</v>
      </c>
      <c r="B565" s="8" t="s">
        <v>608</v>
      </c>
      <c r="C565" s="8" t="s">
        <v>186</v>
      </c>
      <c r="D565" s="8" t="s">
        <v>6427</v>
      </c>
      <c r="E565" s="8">
        <v>85.0</v>
      </c>
    </row>
    <row r="566">
      <c r="A566" s="8" t="s">
        <v>134</v>
      </c>
      <c r="B566" s="8" t="s">
        <v>1658</v>
      </c>
      <c r="C566" s="8" t="s">
        <v>24</v>
      </c>
      <c r="D566" s="8" t="s">
        <v>6426</v>
      </c>
      <c r="E566" s="8">
        <v>69.0</v>
      </c>
    </row>
    <row r="567">
      <c r="A567" s="8" t="s">
        <v>134</v>
      </c>
      <c r="B567" s="8" t="s">
        <v>3504</v>
      </c>
      <c r="C567" s="8" t="s">
        <v>70</v>
      </c>
      <c r="D567" s="8" t="s">
        <v>6432</v>
      </c>
      <c r="E567" s="8">
        <v>82.0</v>
      </c>
    </row>
    <row r="568">
      <c r="A568" s="8" t="s">
        <v>1445</v>
      </c>
      <c r="B568" s="8" t="s">
        <v>3641</v>
      </c>
      <c r="C568" s="8" t="s">
        <v>215</v>
      </c>
      <c r="D568" s="8" t="s">
        <v>6413</v>
      </c>
      <c r="E568" s="8">
        <v>77.0</v>
      </c>
    </row>
    <row r="569">
      <c r="A569" s="8" t="s">
        <v>953</v>
      </c>
      <c r="B569" s="8" t="s">
        <v>284</v>
      </c>
      <c r="C569" s="8" t="s">
        <v>138</v>
      </c>
      <c r="D569" s="8" t="s">
        <v>6423</v>
      </c>
      <c r="E569" s="8">
        <v>68.0</v>
      </c>
    </row>
    <row r="570">
      <c r="A570" s="8" t="s">
        <v>645</v>
      </c>
      <c r="B570" s="8" t="s">
        <v>644</v>
      </c>
      <c r="C570" s="8" t="s">
        <v>186</v>
      </c>
      <c r="D570" s="8" t="s">
        <v>6438</v>
      </c>
      <c r="E570" s="8">
        <v>61.0</v>
      </c>
    </row>
    <row r="571">
      <c r="A571" s="8" t="s">
        <v>1643</v>
      </c>
      <c r="B571" s="8" t="s">
        <v>1625</v>
      </c>
      <c r="C571" s="8" t="s">
        <v>80</v>
      </c>
      <c r="D571" s="8" t="s">
        <v>6412</v>
      </c>
      <c r="E571" s="8">
        <v>86.0</v>
      </c>
    </row>
    <row r="572">
      <c r="A572" s="8" t="s">
        <v>1643</v>
      </c>
      <c r="B572" s="8" t="s">
        <v>444</v>
      </c>
      <c r="C572" s="8" t="s">
        <v>80</v>
      </c>
      <c r="D572" s="8" t="s">
        <v>6425</v>
      </c>
      <c r="E572" s="8">
        <v>69.0</v>
      </c>
    </row>
    <row r="573">
      <c r="A573" s="8" t="s">
        <v>3675</v>
      </c>
      <c r="B573" s="8" t="s">
        <v>89</v>
      </c>
      <c r="C573" s="8" t="s">
        <v>59</v>
      </c>
      <c r="D573" s="8" t="s">
        <v>6417</v>
      </c>
      <c r="E573" s="8">
        <v>62.0</v>
      </c>
    </row>
    <row r="574">
      <c r="A574" s="8" t="s">
        <v>800</v>
      </c>
      <c r="B574" s="8" t="s">
        <v>486</v>
      </c>
      <c r="C574" s="8" t="s">
        <v>93</v>
      </c>
      <c r="D574" s="8" t="s">
        <v>6428</v>
      </c>
      <c r="E574" s="8">
        <v>72.0</v>
      </c>
    </row>
    <row r="575">
      <c r="A575" s="8" t="s">
        <v>800</v>
      </c>
      <c r="B575" s="8" t="s">
        <v>3301</v>
      </c>
      <c r="C575" s="8" t="s">
        <v>93</v>
      </c>
      <c r="D575" s="8" t="s">
        <v>6417</v>
      </c>
      <c r="E575" s="8">
        <v>60.0</v>
      </c>
    </row>
    <row r="576">
      <c r="A576" s="8" t="s">
        <v>800</v>
      </c>
      <c r="B576" s="8" t="s">
        <v>208</v>
      </c>
      <c r="C576" s="8" t="s">
        <v>70</v>
      </c>
      <c r="D576" s="8" t="s">
        <v>6442</v>
      </c>
      <c r="E576" s="8">
        <v>67.0</v>
      </c>
    </row>
    <row r="577">
      <c r="A577" s="8" t="s">
        <v>800</v>
      </c>
      <c r="B577" s="8" t="s">
        <v>950</v>
      </c>
      <c r="C577" s="8" t="s">
        <v>65</v>
      </c>
      <c r="D577" s="8" t="s">
        <v>6443</v>
      </c>
      <c r="E577" s="8">
        <v>61.0</v>
      </c>
    </row>
    <row r="578">
      <c r="A578" s="8" t="s">
        <v>800</v>
      </c>
      <c r="B578" s="8" t="s">
        <v>955</v>
      </c>
      <c r="C578" s="8" t="s">
        <v>122</v>
      </c>
      <c r="D578" s="8" t="s">
        <v>6412</v>
      </c>
      <c r="E578" s="8">
        <v>61.0</v>
      </c>
    </row>
    <row r="579">
      <c r="A579" s="8" t="s">
        <v>800</v>
      </c>
      <c r="B579" s="8" t="s">
        <v>2895</v>
      </c>
      <c r="C579" s="8" t="s">
        <v>122</v>
      </c>
      <c r="D579" s="8" t="s">
        <v>6438</v>
      </c>
      <c r="E579" s="8">
        <v>58.0</v>
      </c>
    </row>
    <row r="580">
      <c r="A580" s="8" t="s">
        <v>800</v>
      </c>
      <c r="B580" s="8" t="s">
        <v>1571</v>
      </c>
      <c r="C580" s="8" t="s">
        <v>138</v>
      </c>
      <c r="D580" s="8" t="s">
        <v>6432</v>
      </c>
      <c r="E580" s="8">
        <v>65.0</v>
      </c>
    </row>
    <row r="581">
      <c r="A581" s="8" t="s">
        <v>800</v>
      </c>
      <c r="B581" s="8" t="s">
        <v>799</v>
      </c>
      <c r="C581" s="8" t="s">
        <v>93</v>
      </c>
      <c r="D581" s="8" t="s">
        <v>6420</v>
      </c>
      <c r="E581" s="8">
        <v>90.0</v>
      </c>
    </row>
    <row r="582">
      <c r="A582" s="8" t="s">
        <v>800</v>
      </c>
      <c r="B582" s="8" t="s">
        <v>1055</v>
      </c>
      <c r="C582" s="8" t="s">
        <v>93</v>
      </c>
      <c r="D582" s="8" t="s">
        <v>6428</v>
      </c>
      <c r="E582" s="8">
        <v>59.0</v>
      </c>
    </row>
    <row r="583">
      <c r="A583" s="8" t="s">
        <v>886</v>
      </c>
      <c r="B583" s="8" t="s">
        <v>885</v>
      </c>
      <c r="C583" s="8" t="s">
        <v>93</v>
      </c>
      <c r="D583" s="8" t="s">
        <v>6417</v>
      </c>
      <c r="E583" s="8">
        <v>75.0</v>
      </c>
    </row>
    <row r="584">
      <c r="A584" s="8" t="s">
        <v>1338</v>
      </c>
      <c r="B584" s="8" t="s">
        <v>1818</v>
      </c>
      <c r="C584" s="8" t="s">
        <v>75</v>
      </c>
      <c r="D584" s="8" t="s">
        <v>6424</v>
      </c>
      <c r="E584" s="8">
        <v>59.0</v>
      </c>
    </row>
    <row r="585">
      <c r="A585" s="8" t="s">
        <v>1338</v>
      </c>
      <c r="B585" s="8" t="s">
        <v>3454</v>
      </c>
      <c r="C585" s="8" t="s">
        <v>80</v>
      </c>
      <c r="D585" s="8" t="s">
        <v>6432</v>
      </c>
      <c r="E585" s="8">
        <v>72.0</v>
      </c>
    </row>
    <row r="586">
      <c r="A586" s="8" t="s">
        <v>1338</v>
      </c>
      <c r="B586" s="8" t="s">
        <v>78</v>
      </c>
      <c r="C586" s="8" t="s">
        <v>46</v>
      </c>
      <c r="D586" s="8" t="s">
        <v>6414</v>
      </c>
      <c r="E586" s="8">
        <v>65.0</v>
      </c>
    </row>
    <row r="587">
      <c r="A587" s="8" t="s">
        <v>3817</v>
      </c>
      <c r="B587" s="8" t="s">
        <v>3816</v>
      </c>
      <c r="C587" s="8" t="s">
        <v>93</v>
      </c>
      <c r="D587" s="8" t="s">
        <v>6440</v>
      </c>
      <c r="E587" s="8">
        <v>91.0</v>
      </c>
    </row>
    <row r="588">
      <c r="A588" s="8" t="s">
        <v>153</v>
      </c>
      <c r="B588" s="8" t="s">
        <v>152</v>
      </c>
      <c r="C588" s="8" t="s">
        <v>24</v>
      </c>
      <c r="D588" s="8" t="s">
        <v>6419</v>
      </c>
      <c r="E588" s="8">
        <v>73.0</v>
      </c>
    </row>
    <row r="589">
      <c r="A589" s="8" t="s">
        <v>153</v>
      </c>
      <c r="B589" s="8" t="s">
        <v>2937</v>
      </c>
      <c r="C589" s="8" t="s">
        <v>70</v>
      </c>
      <c r="D589" s="8" t="s">
        <v>6442</v>
      </c>
      <c r="E589" s="8">
        <v>79.0</v>
      </c>
    </row>
    <row r="590">
      <c r="A590" s="8" t="s">
        <v>153</v>
      </c>
      <c r="B590" s="8" t="s">
        <v>3071</v>
      </c>
      <c r="C590" s="8" t="s">
        <v>70</v>
      </c>
      <c r="D590" s="8" t="s">
        <v>6424</v>
      </c>
      <c r="E590" s="8">
        <v>81.0</v>
      </c>
    </row>
    <row r="591">
      <c r="A591" s="8" t="s">
        <v>153</v>
      </c>
      <c r="B591" s="8" t="s">
        <v>1329</v>
      </c>
      <c r="C591" s="8" t="s">
        <v>65</v>
      </c>
      <c r="D591" s="8" t="s">
        <v>6435</v>
      </c>
      <c r="E591" s="8">
        <v>65.0</v>
      </c>
    </row>
    <row r="592">
      <c r="A592" s="8" t="s">
        <v>3887</v>
      </c>
      <c r="B592" s="8" t="s">
        <v>3886</v>
      </c>
      <c r="C592" s="8" t="s">
        <v>93</v>
      </c>
      <c r="D592" s="8" t="s">
        <v>6420</v>
      </c>
      <c r="E592" s="8">
        <v>69.0</v>
      </c>
    </row>
    <row r="593">
      <c r="A593" s="8" t="s">
        <v>3892</v>
      </c>
      <c r="B593" s="8" t="s">
        <v>3499</v>
      </c>
      <c r="C593" s="8" t="s">
        <v>149</v>
      </c>
      <c r="D593" s="8" t="s">
        <v>6412</v>
      </c>
      <c r="E593" s="8">
        <v>69.0</v>
      </c>
    </row>
    <row r="594">
      <c r="A594" s="8" t="s">
        <v>2845</v>
      </c>
      <c r="B594" s="8" t="s">
        <v>2844</v>
      </c>
      <c r="C594" s="8" t="s">
        <v>65</v>
      </c>
      <c r="D594" s="8" t="s">
        <v>6439</v>
      </c>
      <c r="E594" s="8">
        <v>71.0</v>
      </c>
    </row>
    <row r="595">
      <c r="A595" s="8" t="s">
        <v>1876</v>
      </c>
      <c r="B595" s="8" t="s">
        <v>42</v>
      </c>
      <c r="C595" s="8" t="s">
        <v>186</v>
      </c>
      <c r="D595" s="8" t="s">
        <v>6440</v>
      </c>
      <c r="E595" s="8">
        <v>73.0</v>
      </c>
    </row>
    <row r="596">
      <c r="A596" s="8" t="s">
        <v>792</v>
      </c>
      <c r="B596" s="8" t="s">
        <v>1905</v>
      </c>
      <c r="C596" s="8" t="s">
        <v>93</v>
      </c>
      <c r="D596" s="8" t="s">
        <v>6440</v>
      </c>
      <c r="E596" s="8">
        <v>71.0</v>
      </c>
    </row>
    <row r="597">
      <c r="A597" s="8" t="s">
        <v>792</v>
      </c>
      <c r="B597" s="8" t="s">
        <v>305</v>
      </c>
      <c r="C597" s="8" t="s">
        <v>93</v>
      </c>
      <c r="D597" s="8" t="s">
        <v>6436</v>
      </c>
      <c r="E597" s="8">
        <v>64.0</v>
      </c>
    </row>
    <row r="598">
      <c r="A598" s="8" t="s">
        <v>1057</v>
      </c>
      <c r="B598" s="8" t="s">
        <v>786</v>
      </c>
      <c r="C598" s="8" t="s">
        <v>70</v>
      </c>
      <c r="D598" s="8" t="s">
        <v>6439</v>
      </c>
      <c r="E598" s="8">
        <v>67.0</v>
      </c>
    </row>
    <row r="599">
      <c r="A599" s="8" t="s">
        <v>1057</v>
      </c>
      <c r="B599" s="8" t="s">
        <v>99</v>
      </c>
      <c r="C599" s="8" t="s">
        <v>53</v>
      </c>
      <c r="D599" s="8" t="s">
        <v>6426</v>
      </c>
      <c r="E599" s="8">
        <v>82.0</v>
      </c>
    </row>
    <row r="600">
      <c r="A600" s="8" t="s">
        <v>1057</v>
      </c>
      <c r="B600" s="8" t="s">
        <v>1330</v>
      </c>
      <c r="C600" s="8" t="s">
        <v>186</v>
      </c>
      <c r="D600" s="8" t="s">
        <v>6419</v>
      </c>
      <c r="E600" s="8">
        <v>70.0</v>
      </c>
    </row>
    <row r="601">
      <c r="A601" s="8" t="s">
        <v>1057</v>
      </c>
      <c r="B601" s="8" t="s">
        <v>78</v>
      </c>
      <c r="C601" s="8" t="s">
        <v>149</v>
      </c>
      <c r="D601" s="8" t="s">
        <v>6441</v>
      </c>
      <c r="E601" s="8">
        <v>70.0</v>
      </c>
    </row>
    <row r="602">
      <c r="A602" s="8" t="s">
        <v>1057</v>
      </c>
      <c r="B602" s="8" t="s">
        <v>2031</v>
      </c>
      <c r="C602" s="8" t="s">
        <v>93</v>
      </c>
      <c r="D602" s="8" t="s">
        <v>6441</v>
      </c>
      <c r="E602" s="8">
        <v>68.0</v>
      </c>
    </row>
    <row r="603">
      <c r="A603" s="8" t="s">
        <v>2995</v>
      </c>
      <c r="B603" s="8" t="s">
        <v>1005</v>
      </c>
      <c r="C603" s="8" t="s">
        <v>93</v>
      </c>
      <c r="D603" s="8" t="s">
        <v>6416</v>
      </c>
      <c r="E603" s="8">
        <v>59.0</v>
      </c>
    </row>
    <row r="604">
      <c r="A604" s="8" t="s">
        <v>555</v>
      </c>
      <c r="B604" s="8" t="s">
        <v>284</v>
      </c>
      <c r="C604" s="8" t="s">
        <v>138</v>
      </c>
      <c r="D604" s="8" t="s">
        <v>6421</v>
      </c>
      <c r="E604" s="8">
        <v>76.0</v>
      </c>
    </row>
    <row r="605">
      <c r="A605" s="8" t="s">
        <v>1071</v>
      </c>
      <c r="B605" s="8" t="s">
        <v>835</v>
      </c>
      <c r="C605" s="8" t="s">
        <v>65</v>
      </c>
      <c r="D605" s="8" t="s">
        <v>6421</v>
      </c>
      <c r="E605" s="8">
        <v>75.0</v>
      </c>
    </row>
    <row r="606">
      <c r="A606" s="8" t="s">
        <v>506</v>
      </c>
      <c r="B606" s="8" t="s">
        <v>841</v>
      </c>
      <c r="C606" s="8" t="s">
        <v>93</v>
      </c>
      <c r="D606" s="8" t="s">
        <v>6438</v>
      </c>
      <c r="E606" s="8">
        <v>84.0</v>
      </c>
    </row>
    <row r="607">
      <c r="A607" s="8" t="s">
        <v>506</v>
      </c>
      <c r="B607" s="8" t="s">
        <v>638</v>
      </c>
      <c r="C607" s="8" t="s">
        <v>141</v>
      </c>
      <c r="D607" s="8" t="s">
        <v>6436</v>
      </c>
      <c r="E607" s="8">
        <v>71.0</v>
      </c>
    </row>
    <row r="608">
      <c r="A608" s="8" t="s">
        <v>506</v>
      </c>
      <c r="B608" s="8" t="s">
        <v>3529</v>
      </c>
      <c r="C608" s="8" t="s">
        <v>75</v>
      </c>
      <c r="D608" s="8" t="s">
        <v>6414</v>
      </c>
      <c r="E608" s="8">
        <v>63.0</v>
      </c>
    </row>
    <row r="609">
      <c r="A609" s="8" t="s">
        <v>506</v>
      </c>
      <c r="B609" s="8" t="s">
        <v>843</v>
      </c>
      <c r="C609" s="8" t="s">
        <v>46</v>
      </c>
      <c r="D609" s="8" t="s">
        <v>6421</v>
      </c>
      <c r="E609" s="8">
        <v>79.0</v>
      </c>
    </row>
    <row r="610">
      <c r="A610" s="8" t="s">
        <v>506</v>
      </c>
      <c r="B610" s="8" t="s">
        <v>2675</v>
      </c>
      <c r="C610" s="8" t="s">
        <v>59</v>
      </c>
      <c r="D610" s="8" t="s">
        <v>6423</v>
      </c>
      <c r="E610" s="8">
        <v>66.0</v>
      </c>
    </row>
    <row r="611">
      <c r="A611" s="8" t="s">
        <v>506</v>
      </c>
      <c r="B611" s="8" t="s">
        <v>3572</v>
      </c>
      <c r="C611" s="8" t="s">
        <v>192</v>
      </c>
      <c r="D611" s="8" t="s">
        <v>6416</v>
      </c>
      <c r="E611" s="8">
        <v>77.0</v>
      </c>
    </row>
    <row r="612">
      <c r="A612" s="8" t="s">
        <v>506</v>
      </c>
      <c r="B612" s="8" t="s">
        <v>496</v>
      </c>
      <c r="C612" s="8" t="s">
        <v>70</v>
      </c>
      <c r="D612" s="8" t="s">
        <v>6423</v>
      </c>
      <c r="E612" s="8">
        <v>70.0</v>
      </c>
    </row>
    <row r="613">
      <c r="A613" s="8" t="s">
        <v>506</v>
      </c>
      <c r="B613" s="8" t="s">
        <v>974</v>
      </c>
      <c r="C613" s="8" t="s">
        <v>122</v>
      </c>
      <c r="D613" s="8" t="s">
        <v>6417</v>
      </c>
      <c r="E613" s="8">
        <v>60.0</v>
      </c>
    </row>
    <row r="614">
      <c r="A614" s="8" t="s">
        <v>506</v>
      </c>
      <c r="B614" s="8" t="s">
        <v>508</v>
      </c>
      <c r="C614" s="8" t="s">
        <v>132</v>
      </c>
      <c r="D614" s="8" t="s">
        <v>6439</v>
      </c>
      <c r="E614" s="8">
        <v>84.0</v>
      </c>
    </row>
    <row r="615">
      <c r="A615" s="8" t="s">
        <v>506</v>
      </c>
      <c r="B615" s="8" t="s">
        <v>2787</v>
      </c>
      <c r="C615" s="8" t="s">
        <v>16</v>
      </c>
      <c r="D615" s="8" t="s">
        <v>6427</v>
      </c>
      <c r="E615" s="8">
        <v>63.0</v>
      </c>
    </row>
    <row r="616">
      <c r="A616" s="8" t="s">
        <v>506</v>
      </c>
      <c r="B616" s="8" t="s">
        <v>915</v>
      </c>
      <c r="C616" s="8" t="s">
        <v>70</v>
      </c>
      <c r="D616" s="8" t="s">
        <v>6423</v>
      </c>
      <c r="E616" s="8">
        <v>64.0</v>
      </c>
    </row>
    <row r="617">
      <c r="A617" s="8" t="s">
        <v>506</v>
      </c>
      <c r="B617" s="8" t="s">
        <v>3640</v>
      </c>
      <c r="C617" s="8" t="s">
        <v>46</v>
      </c>
      <c r="D617" s="8" t="s">
        <v>6441</v>
      </c>
      <c r="E617" s="8">
        <v>64.0</v>
      </c>
    </row>
    <row r="618">
      <c r="A618" s="8" t="s">
        <v>506</v>
      </c>
      <c r="B618" s="8" t="s">
        <v>89</v>
      </c>
      <c r="C618" s="8" t="s">
        <v>186</v>
      </c>
      <c r="D618" s="8" t="s">
        <v>6440</v>
      </c>
      <c r="E618" s="8">
        <v>81.0</v>
      </c>
    </row>
    <row r="619">
      <c r="A619" s="8" t="s">
        <v>506</v>
      </c>
      <c r="B619" s="8" t="s">
        <v>1483</v>
      </c>
      <c r="C619" s="8" t="s">
        <v>138</v>
      </c>
      <c r="D619" s="8" t="s">
        <v>6442</v>
      </c>
      <c r="E619" s="8">
        <v>67.0</v>
      </c>
    </row>
    <row r="620">
      <c r="A620" s="8" t="s">
        <v>506</v>
      </c>
      <c r="B620" s="8" t="s">
        <v>389</v>
      </c>
      <c r="C620" s="8" t="s">
        <v>70</v>
      </c>
      <c r="D620" s="8" t="s">
        <v>6419</v>
      </c>
      <c r="E620" s="8">
        <v>83.0</v>
      </c>
    </row>
    <row r="621">
      <c r="A621" s="8" t="s">
        <v>506</v>
      </c>
      <c r="B621" s="8" t="s">
        <v>389</v>
      </c>
      <c r="C621" s="8" t="s">
        <v>261</v>
      </c>
      <c r="D621" s="8" t="s">
        <v>6439</v>
      </c>
      <c r="E621" s="8">
        <v>74.0</v>
      </c>
    </row>
    <row r="622">
      <c r="A622" s="8" t="s">
        <v>506</v>
      </c>
      <c r="B622" s="8" t="s">
        <v>956</v>
      </c>
      <c r="C622" s="8" t="s">
        <v>122</v>
      </c>
      <c r="D622" s="8" t="s">
        <v>6437</v>
      </c>
      <c r="E622" s="8">
        <v>67.0</v>
      </c>
    </row>
    <row r="623">
      <c r="A623" s="8" t="s">
        <v>506</v>
      </c>
      <c r="B623" s="8" t="s">
        <v>1247</v>
      </c>
      <c r="C623" s="8" t="s">
        <v>186</v>
      </c>
      <c r="D623" s="8" t="s">
        <v>6441</v>
      </c>
      <c r="E623" s="8">
        <v>64.0</v>
      </c>
    </row>
    <row r="624">
      <c r="A624" s="8" t="s">
        <v>506</v>
      </c>
      <c r="B624" s="8" t="s">
        <v>3770</v>
      </c>
      <c r="C624" s="8" t="s">
        <v>93</v>
      </c>
      <c r="D624" s="8" t="s">
        <v>6431</v>
      </c>
      <c r="E624" s="8">
        <v>61.0</v>
      </c>
    </row>
    <row r="625">
      <c r="A625" s="8" t="s">
        <v>506</v>
      </c>
      <c r="B625" s="8" t="s">
        <v>3771</v>
      </c>
      <c r="C625" s="8" t="s">
        <v>122</v>
      </c>
      <c r="D625" s="8" t="s">
        <v>6412</v>
      </c>
      <c r="E625" s="8">
        <v>58.0</v>
      </c>
    </row>
    <row r="626">
      <c r="A626" s="8" t="s">
        <v>506</v>
      </c>
      <c r="B626" s="8" t="s">
        <v>146</v>
      </c>
      <c r="C626" s="8" t="s">
        <v>24</v>
      </c>
      <c r="D626" s="8" t="s">
        <v>6429</v>
      </c>
      <c r="E626" s="8">
        <v>67.0</v>
      </c>
    </row>
    <row r="627">
      <c r="A627" s="8" t="s">
        <v>506</v>
      </c>
      <c r="B627" s="8" t="s">
        <v>1275</v>
      </c>
      <c r="C627" s="8" t="s">
        <v>215</v>
      </c>
      <c r="D627" s="8" t="s">
        <v>6418</v>
      </c>
      <c r="E627" s="8">
        <v>64.0</v>
      </c>
    </row>
    <row r="628">
      <c r="A628" s="8" t="s">
        <v>506</v>
      </c>
      <c r="B628" s="8" t="s">
        <v>1004</v>
      </c>
      <c r="C628" s="8" t="s">
        <v>122</v>
      </c>
      <c r="D628" s="8" t="s">
        <v>6428</v>
      </c>
      <c r="E628" s="8">
        <v>68.0</v>
      </c>
    </row>
    <row r="629">
      <c r="A629" s="8" t="s">
        <v>506</v>
      </c>
      <c r="B629" s="8" t="s">
        <v>3507</v>
      </c>
      <c r="C629" s="8" t="s">
        <v>75</v>
      </c>
      <c r="D629" s="8" t="s">
        <v>6441</v>
      </c>
      <c r="E629" s="8">
        <v>69.0</v>
      </c>
    </row>
    <row r="630">
      <c r="A630" s="8" t="s">
        <v>61</v>
      </c>
      <c r="B630" s="8" t="s">
        <v>3874</v>
      </c>
      <c r="C630" s="8" t="s">
        <v>215</v>
      </c>
      <c r="D630" s="8" t="s">
        <v>6418</v>
      </c>
      <c r="E630" s="8">
        <v>60.0</v>
      </c>
    </row>
    <row r="631">
      <c r="A631" s="8" t="s">
        <v>1808</v>
      </c>
      <c r="B631" s="8" t="s">
        <v>2850</v>
      </c>
      <c r="C631" s="8" t="s">
        <v>93</v>
      </c>
      <c r="D631" s="8" t="s">
        <v>6413</v>
      </c>
      <c r="E631" s="8">
        <v>76.0</v>
      </c>
    </row>
    <row r="632">
      <c r="A632" s="8" t="s">
        <v>4529</v>
      </c>
      <c r="B632" s="8" t="s">
        <v>62</v>
      </c>
      <c r="C632" s="8" t="s">
        <v>65</v>
      </c>
      <c r="D632" s="8" t="s">
        <v>6437</v>
      </c>
      <c r="E632" s="8">
        <v>71.0</v>
      </c>
    </row>
    <row r="633">
      <c r="A633" s="8" t="s">
        <v>4531</v>
      </c>
      <c r="B633" s="8" t="s">
        <v>185</v>
      </c>
      <c r="C633" s="8" t="s">
        <v>149</v>
      </c>
      <c r="D633" s="8" t="s">
        <v>6435</v>
      </c>
      <c r="E633" s="8">
        <v>66.0</v>
      </c>
    </row>
    <row r="634">
      <c r="A634" s="8" t="s">
        <v>4533</v>
      </c>
      <c r="B634" s="8" t="s">
        <v>89</v>
      </c>
      <c r="C634" s="8" t="s">
        <v>93</v>
      </c>
      <c r="D634" s="8" t="s">
        <v>6418</v>
      </c>
      <c r="E634" s="8">
        <v>60.0</v>
      </c>
    </row>
    <row r="635">
      <c r="A635" s="8" t="s">
        <v>4537</v>
      </c>
      <c r="B635" s="8" t="s">
        <v>142</v>
      </c>
      <c r="C635" s="8" t="s">
        <v>186</v>
      </c>
      <c r="D635" s="8" t="s">
        <v>6431</v>
      </c>
      <c r="E635" s="8">
        <v>64.0</v>
      </c>
    </row>
    <row r="636">
      <c r="A636" s="8" t="s">
        <v>974</v>
      </c>
      <c r="B636" s="8" t="s">
        <v>1517</v>
      </c>
      <c r="C636" s="8" t="s">
        <v>138</v>
      </c>
      <c r="D636" s="8" t="s">
        <v>6421</v>
      </c>
      <c r="E636" s="8">
        <v>65.0</v>
      </c>
    </row>
    <row r="637">
      <c r="A637" s="8" t="s">
        <v>974</v>
      </c>
      <c r="B637" s="8" t="s">
        <v>973</v>
      </c>
      <c r="C637" s="8" t="s">
        <v>192</v>
      </c>
      <c r="D637" s="8" t="s">
        <v>6441</v>
      </c>
      <c r="E637" s="8">
        <v>67.0</v>
      </c>
    </row>
    <row r="638">
      <c r="A638" s="8" t="s">
        <v>3211</v>
      </c>
      <c r="B638" s="8" t="s">
        <v>877</v>
      </c>
      <c r="C638" s="8" t="s">
        <v>122</v>
      </c>
      <c r="D638" s="8" t="s">
        <v>6415</v>
      </c>
      <c r="E638" s="8">
        <v>62.0</v>
      </c>
    </row>
    <row r="639">
      <c r="A639" s="8" t="s">
        <v>943</v>
      </c>
      <c r="B639" s="8" t="s">
        <v>897</v>
      </c>
      <c r="C639" s="8" t="s">
        <v>93</v>
      </c>
      <c r="D639" s="8" t="s">
        <v>6433</v>
      </c>
      <c r="E639" s="8">
        <v>61.0</v>
      </c>
    </row>
    <row r="640">
      <c r="A640" s="8" t="s">
        <v>943</v>
      </c>
      <c r="B640" s="8" t="s">
        <v>715</v>
      </c>
      <c r="C640" s="8" t="s">
        <v>65</v>
      </c>
      <c r="D640" s="8" t="s">
        <v>6434</v>
      </c>
      <c r="E640" s="8">
        <v>93.0</v>
      </c>
    </row>
    <row r="641">
      <c r="A641" s="8" t="s">
        <v>943</v>
      </c>
      <c r="B641" s="8" t="s">
        <v>1199</v>
      </c>
      <c r="C641" s="8" t="s">
        <v>80</v>
      </c>
      <c r="D641" s="8" t="s">
        <v>6427</v>
      </c>
      <c r="E641" s="8">
        <v>68.0</v>
      </c>
    </row>
    <row r="642">
      <c r="A642" s="8" t="s">
        <v>943</v>
      </c>
      <c r="B642" s="8" t="s">
        <v>3722</v>
      </c>
      <c r="C642" s="8" t="s">
        <v>59</v>
      </c>
      <c r="D642" s="8" t="s">
        <v>6420</v>
      </c>
      <c r="E642" s="8">
        <v>87.0</v>
      </c>
    </row>
    <row r="643">
      <c r="A643" s="8" t="s">
        <v>3211</v>
      </c>
      <c r="B643" s="8" t="s">
        <v>2225</v>
      </c>
      <c r="C643" s="8" t="s">
        <v>65</v>
      </c>
      <c r="D643" s="8" t="s">
        <v>6432</v>
      </c>
      <c r="E643" s="8">
        <v>62.0</v>
      </c>
    </row>
    <row r="644">
      <c r="A644" s="8" t="s">
        <v>943</v>
      </c>
      <c r="B644" s="8" t="s">
        <v>3056</v>
      </c>
      <c r="C644" s="8" t="s">
        <v>65</v>
      </c>
      <c r="D644" s="8" t="s">
        <v>6422</v>
      </c>
      <c r="E644" s="8">
        <v>64.0</v>
      </c>
    </row>
    <row r="645">
      <c r="A645" s="8" t="s">
        <v>943</v>
      </c>
      <c r="B645" s="8" t="s">
        <v>1330</v>
      </c>
      <c r="C645" s="8" t="s">
        <v>70</v>
      </c>
      <c r="D645" s="8" t="s">
        <v>6438</v>
      </c>
      <c r="E645" s="8">
        <v>68.0</v>
      </c>
    </row>
    <row r="646">
      <c r="A646" s="8" t="s">
        <v>1056</v>
      </c>
      <c r="B646" s="8" t="s">
        <v>1055</v>
      </c>
      <c r="C646" s="8" t="s">
        <v>65</v>
      </c>
      <c r="D646" s="8" t="s">
        <v>6422</v>
      </c>
      <c r="E646" s="8">
        <v>65.0</v>
      </c>
    </row>
    <row r="647">
      <c r="A647" s="8" t="s">
        <v>1192</v>
      </c>
      <c r="B647" s="8" t="s">
        <v>1183</v>
      </c>
      <c r="C647" s="8" t="s">
        <v>80</v>
      </c>
      <c r="D647" s="8" t="s">
        <v>6416</v>
      </c>
      <c r="E647" s="8">
        <v>82.0</v>
      </c>
    </row>
    <row r="648">
      <c r="A648" s="8" t="s">
        <v>1192</v>
      </c>
      <c r="B648" s="8" t="s">
        <v>188</v>
      </c>
      <c r="C648" s="8" t="s">
        <v>215</v>
      </c>
      <c r="D648" s="8" t="s">
        <v>6433</v>
      </c>
      <c r="E648" s="8">
        <v>64.0</v>
      </c>
    </row>
    <row r="649">
      <c r="A649" s="8" t="s">
        <v>1192</v>
      </c>
      <c r="B649" s="8" t="s">
        <v>78</v>
      </c>
      <c r="C649" s="8" t="s">
        <v>70</v>
      </c>
      <c r="D649" s="8" t="s">
        <v>6439</v>
      </c>
      <c r="E649" s="8">
        <v>81.0</v>
      </c>
    </row>
    <row r="650">
      <c r="A650" s="8" t="s">
        <v>684</v>
      </c>
      <c r="B650" s="8" t="s">
        <v>683</v>
      </c>
      <c r="C650" s="8" t="s">
        <v>59</v>
      </c>
      <c r="D650" s="8" t="s">
        <v>6437</v>
      </c>
      <c r="E650" s="8">
        <v>73.0</v>
      </c>
    </row>
    <row r="651">
      <c r="A651" s="8" t="s">
        <v>684</v>
      </c>
      <c r="B651" s="8" t="s">
        <v>3769</v>
      </c>
      <c r="C651" s="8" t="s">
        <v>93</v>
      </c>
      <c r="D651" s="8" t="s">
        <v>6440</v>
      </c>
      <c r="E651" s="8">
        <v>71.0</v>
      </c>
    </row>
    <row r="652">
      <c r="A652" s="8" t="s">
        <v>1389</v>
      </c>
      <c r="B652" s="8" t="s">
        <v>1388</v>
      </c>
      <c r="C652" s="8" t="s">
        <v>215</v>
      </c>
      <c r="D652" s="8" t="s">
        <v>6422</v>
      </c>
      <c r="E652" s="8">
        <v>78.0</v>
      </c>
    </row>
    <row r="653">
      <c r="A653" s="8" t="s">
        <v>1854</v>
      </c>
      <c r="B653" s="8" t="s">
        <v>284</v>
      </c>
      <c r="C653" s="8" t="s">
        <v>186</v>
      </c>
      <c r="D653" s="8" t="s">
        <v>6431</v>
      </c>
      <c r="E653" s="8">
        <v>71.0</v>
      </c>
    </row>
    <row r="654">
      <c r="A654" s="8" t="s">
        <v>4555</v>
      </c>
      <c r="B654" s="8" t="s">
        <v>1183</v>
      </c>
      <c r="C654" s="8" t="s">
        <v>93</v>
      </c>
      <c r="D654" s="8" t="s">
        <v>6427</v>
      </c>
      <c r="E654" s="8">
        <v>64.0</v>
      </c>
    </row>
    <row r="655">
      <c r="A655" s="8" t="s">
        <v>2955</v>
      </c>
      <c r="B655" s="8" t="s">
        <v>2954</v>
      </c>
      <c r="C655" s="8" t="s">
        <v>53</v>
      </c>
      <c r="D655" s="8" t="s">
        <v>6423</v>
      </c>
      <c r="E655" s="8">
        <v>63.0</v>
      </c>
    </row>
    <row r="656">
      <c r="A656" s="8" t="s">
        <v>3386</v>
      </c>
      <c r="B656" s="8" t="s">
        <v>3385</v>
      </c>
      <c r="C656" s="8" t="s">
        <v>93</v>
      </c>
      <c r="D656" s="8" t="s">
        <v>6442</v>
      </c>
      <c r="E656" s="8">
        <v>66.0</v>
      </c>
    </row>
    <row r="657">
      <c r="A657" s="8" t="s">
        <v>330</v>
      </c>
      <c r="B657" s="8" t="s">
        <v>34</v>
      </c>
      <c r="C657" s="8" t="s">
        <v>186</v>
      </c>
      <c r="D657" s="8" t="s">
        <v>6412</v>
      </c>
      <c r="E657" s="8">
        <v>63.0</v>
      </c>
    </row>
    <row r="658">
      <c r="A658" s="8" t="s">
        <v>105</v>
      </c>
      <c r="B658" s="8" t="s">
        <v>104</v>
      </c>
      <c r="C658" s="8" t="s">
        <v>24</v>
      </c>
      <c r="D658" s="8" t="s">
        <v>6423</v>
      </c>
      <c r="E658" s="8">
        <v>93.0</v>
      </c>
    </row>
    <row r="659">
      <c r="A659" s="8" t="s">
        <v>2702</v>
      </c>
      <c r="B659" s="8" t="s">
        <v>2701</v>
      </c>
      <c r="C659" s="8" t="s">
        <v>93</v>
      </c>
      <c r="D659" s="8" t="s">
        <v>6418</v>
      </c>
      <c r="E659" s="8">
        <v>82.0</v>
      </c>
    </row>
    <row r="660">
      <c r="A660" s="8" t="s">
        <v>148</v>
      </c>
      <c r="B660" s="8" t="s">
        <v>147</v>
      </c>
      <c r="C660" s="8" t="s">
        <v>149</v>
      </c>
      <c r="D660" s="8" t="s">
        <v>6426</v>
      </c>
      <c r="E660" s="8">
        <v>78.0</v>
      </c>
    </row>
    <row r="661">
      <c r="A661" s="8" t="s">
        <v>2959</v>
      </c>
      <c r="B661" s="8" t="s">
        <v>767</v>
      </c>
      <c r="C661" s="8" t="s">
        <v>70</v>
      </c>
      <c r="D661" s="8" t="s">
        <v>6423</v>
      </c>
      <c r="E661" s="8">
        <v>83.0</v>
      </c>
    </row>
    <row r="662">
      <c r="A662" s="8" t="s">
        <v>1735</v>
      </c>
      <c r="B662" s="8" t="s">
        <v>2667</v>
      </c>
      <c r="C662" s="8" t="s">
        <v>65</v>
      </c>
      <c r="D662" s="8" t="s">
        <v>6439</v>
      </c>
      <c r="E662" s="8">
        <v>62.0</v>
      </c>
    </row>
    <row r="663">
      <c r="A663" s="8" t="s">
        <v>964</v>
      </c>
      <c r="B663" s="8" t="s">
        <v>524</v>
      </c>
      <c r="C663" s="8" t="s">
        <v>138</v>
      </c>
      <c r="D663" s="8" t="s">
        <v>6442</v>
      </c>
      <c r="E663" s="8">
        <v>81.0</v>
      </c>
    </row>
    <row r="664">
      <c r="A664" s="8" t="s">
        <v>1735</v>
      </c>
      <c r="B664" s="8" t="s">
        <v>308</v>
      </c>
      <c r="C664" s="8" t="s">
        <v>65</v>
      </c>
      <c r="D664" s="8" t="s">
        <v>6437</v>
      </c>
      <c r="E664" s="8">
        <v>65.0</v>
      </c>
    </row>
    <row r="665">
      <c r="A665" s="8" t="s">
        <v>964</v>
      </c>
      <c r="B665" s="8" t="s">
        <v>3877</v>
      </c>
      <c r="C665" s="8" t="s">
        <v>93</v>
      </c>
      <c r="D665" s="8" t="s">
        <v>6431</v>
      </c>
      <c r="E665" s="8">
        <v>67.0</v>
      </c>
    </row>
    <row r="666">
      <c r="A666" s="8" t="s">
        <v>964</v>
      </c>
      <c r="B666" s="8" t="s">
        <v>1049</v>
      </c>
      <c r="C666" s="8" t="s">
        <v>59</v>
      </c>
      <c r="D666" s="8" t="s">
        <v>6412</v>
      </c>
      <c r="E666" s="8">
        <v>86.0</v>
      </c>
    </row>
    <row r="667">
      <c r="A667" s="8" t="s">
        <v>363</v>
      </c>
      <c r="B667" s="8" t="s">
        <v>61</v>
      </c>
      <c r="C667" s="8" t="s">
        <v>186</v>
      </c>
      <c r="D667" s="8" t="s">
        <v>6443</v>
      </c>
      <c r="E667" s="8">
        <v>76.0</v>
      </c>
    </row>
    <row r="668">
      <c r="A668" s="8" t="s">
        <v>327</v>
      </c>
      <c r="B668" s="8" t="s">
        <v>62</v>
      </c>
      <c r="C668" s="8" t="s">
        <v>65</v>
      </c>
      <c r="D668" s="8" t="s">
        <v>6412</v>
      </c>
      <c r="E668" s="8">
        <v>87.0</v>
      </c>
    </row>
    <row r="669">
      <c r="A669" s="8" t="s">
        <v>2813</v>
      </c>
      <c r="B669" s="8" t="s">
        <v>1174</v>
      </c>
      <c r="C669" s="8" t="s">
        <v>93</v>
      </c>
      <c r="D669" s="8" t="s">
        <v>6421</v>
      </c>
      <c r="E669" s="8">
        <v>68.0</v>
      </c>
    </row>
    <row r="670">
      <c r="A670" s="8" t="s">
        <v>3523</v>
      </c>
      <c r="B670" s="8" t="s">
        <v>636</v>
      </c>
      <c r="C670" s="8" t="s">
        <v>215</v>
      </c>
      <c r="D670" s="8" t="s">
        <v>6421</v>
      </c>
      <c r="E670" s="8">
        <v>57.0</v>
      </c>
    </row>
    <row r="671">
      <c r="A671" s="8" t="s">
        <v>708</v>
      </c>
      <c r="B671" s="8" t="s">
        <v>89</v>
      </c>
      <c r="C671" s="8" t="s">
        <v>24</v>
      </c>
      <c r="D671" s="8" t="s">
        <v>6437</v>
      </c>
      <c r="E671" s="8">
        <v>66.0</v>
      </c>
    </row>
    <row r="672">
      <c r="A672" s="8" t="s">
        <v>708</v>
      </c>
      <c r="B672" s="8" t="s">
        <v>579</v>
      </c>
      <c r="C672" s="8" t="s">
        <v>93</v>
      </c>
      <c r="D672" s="8" t="s">
        <v>6413</v>
      </c>
      <c r="E672" s="8">
        <v>73.0</v>
      </c>
    </row>
    <row r="673">
      <c r="A673" s="8" t="s">
        <v>708</v>
      </c>
      <c r="B673" s="8" t="s">
        <v>3014</v>
      </c>
      <c r="C673" s="8" t="s">
        <v>141</v>
      </c>
      <c r="D673" s="8" t="s">
        <v>6414</v>
      </c>
      <c r="E673" s="8">
        <v>62.0</v>
      </c>
    </row>
    <row r="674">
      <c r="A674" s="8" t="s">
        <v>2854</v>
      </c>
      <c r="B674" s="8" t="s">
        <v>944</v>
      </c>
      <c r="C674" s="8" t="s">
        <v>192</v>
      </c>
      <c r="D674" s="8" t="s">
        <v>6427</v>
      </c>
      <c r="E674" s="8">
        <v>63.0</v>
      </c>
    </row>
    <row r="675">
      <c r="A675" s="8" t="s">
        <v>3821</v>
      </c>
      <c r="B675" s="8" t="s">
        <v>308</v>
      </c>
      <c r="C675" s="8" t="s">
        <v>70</v>
      </c>
      <c r="D675" s="8" t="s">
        <v>6413</v>
      </c>
      <c r="E675" s="8">
        <v>73.0</v>
      </c>
    </row>
    <row r="676">
      <c r="A676" s="8" t="s">
        <v>467</v>
      </c>
      <c r="B676" s="8" t="s">
        <v>466</v>
      </c>
      <c r="C676" s="8" t="s">
        <v>215</v>
      </c>
      <c r="D676" s="8" t="s">
        <v>6438</v>
      </c>
      <c r="E676" s="8">
        <v>63.0</v>
      </c>
    </row>
    <row r="677">
      <c r="A677" s="8" t="s">
        <v>562</v>
      </c>
      <c r="B677" s="8" t="s">
        <v>561</v>
      </c>
      <c r="C677" s="8" t="s">
        <v>149</v>
      </c>
      <c r="D677" s="8" t="s">
        <v>6424</v>
      </c>
      <c r="E677" s="8">
        <v>72.0</v>
      </c>
    </row>
    <row r="678">
      <c r="A678" s="8" t="s">
        <v>562</v>
      </c>
      <c r="B678" s="8" t="s">
        <v>3800</v>
      </c>
      <c r="C678" s="8" t="s">
        <v>24</v>
      </c>
      <c r="D678" s="8" t="s">
        <v>6435</v>
      </c>
      <c r="E678" s="8">
        <v>81.0</v>
      </c>
    </row>
    <row r="679">
      <c r="A679" s="8" t="s">
        <v>1498</v>
      </c>
      <c r="B679" s="8" t="s">
        <v>1497</v>
      </c>
      <c r="C679" s="8" t="s">
        <v>75</v>
      </c>
      <c r="D679" s="8" t="s">
        <v>6438</v>
      </c>
      <c r="E679" s="8">
        <v>57.0</v>
      </c>
    </row>
    <row r="680">
      <c r="A680" s="8" t="s">
        <v>1285</v>
      </c>
      <c r="B680" s="8" t="s">
        <v>1284</v>
      </c>
      <c r="C680" s="8" t="s">
        <v>186</v>
      </c>
      <c r="D680" s="8" t="s">
        <v>6432</v>
      </c>
      <c r="E680" s="8">
        <v>76.0</v>
      </c>
    </row>
    <row r="681">
      <c r="A681" s="8" t="s">
        <v>1285</v>
      </c>
      <c r="B681" s="8" t="s">
        <v>3015</v>
      </c>
      <c r="C681" s="8" t="s">
        <v>93</v>
      </c>
      <c r="D681" s="8" t="s">
        <v>6424</v>
      </c>
      <c r="E681" s="8">
        <v>63.0</v>
      </c>
    </row>
    <row r="682">
      <c r="A682" s="8" t="s">
        <v>697</v>
      </c>
      <c r="B682" s="8" t="s">
        <v>696</v>
      </c>
      <c r="C682" s="8" t="s">
        <v>149</v>
      </c>
      <c r="D682" s="8" t="s">
        <v>6428</v>
      </c>
      <c r="E682" s="8">
        <v>69.0</v>
      </c>
    </row>
    <row r="683">
      <c r="A683" s="8" t="s">
        <v>569</v>
      </c>
      <c r="B683" s="8" t="s">
        <v>190</v>
      </c>
      <c r="C683" s="8" t="s">
        <v>192</v>
      </c>
      <c r="D683" s="8" t="s">
        <v>6427</v>
      </c>
      <c r="E683" s="8">
        <v>68.0</v>
      </c>
    </row>
    <row r="684">
      <c r="A684" s="8" t="s">
        <v>569</v>
      </c>
      <c r="B684" s="8" t="s">
        <v>395</v>
      </c>
      <c r="C684" s="8" t="s">
        <v>65</v>
      </c>
      <c r="D684" s="8" t="s">
        <v>6414</v>
      </c>
      <c r="E684" s="8">
        <v>64.0</v>
      </c>
    </row>
    <row r="685">
      <c r="A685" s="8" t="s">
        <v>569</v>
      </c>
      <c r="B685" s="8" t="s">
        <v>601</v>
      </c>
      <c r="C685" s="8" t="s">
        <v>122</v>
      </c>
      <c r="D685" s="8" t="s">
        <v>6440</v>
      </c>
      <c r="E685" s="8">
        <v>58.0</v>
      </c>
    </row>
    <row r="686">
      <c r="A686" s="8" t="s">
        <v>863</v>
      </c>
      <c r="B686" s="8" t="s">
        <v>862</v>
      </c>
      <c r="C686" s="8" t="s">
        <v>186</v>
      </c>
      <c r="D686" s="8" t="s">
        <v>6419</v>
      </c>
      <c r="E686" s="8">
        <v>78.0</v>
      </c>
    </row>
    <row r="687">
      <c r="A687" s="8" t="s">
        <v>3435</v>
      </c>
      <c r="B687" s="8" t="s">
        <v>3434</v>
      </c>
      <c r="C687" s="8" t="s">
        <v>53</v>
      </c>
      <c r="D687" s="8" t="s">
        <v>6424</v>
      </c>
      <c r="E687" s="8">
        <v>61.0</v>
      </c>
    </row>
    <row r="688">
      <c r="A688" s="8" t="s">
        <v>445</v>
      </c>
      <c r="B688" s="8" t="s">
        <v>444</v>
      </c>
      <c r="C688" s="8" t="s">
        <v>65</v>
      </c>
      <c r="D688" s="8" t="s">
        <v>6427</v>
      </c>
      <c r="E688" s="8">
        <v>64.0</v>
      </c>
    </row>
    <row r="689">
      <c r="A689" s="8" t="s">
        <v>493</v>
      </c>
      <c r="B689" s="8" t="s">
        <v>636</v>
      </c>
      <c r="C689" s="8" t="s">
        <v>16</v>
      </c>
      <c r="D689" s="8" t="s">
        <v>6441</v>
      </c>
      <c r="E689" s="8">
        <v>70.0</v>
      </c>
    </row>
    <row r="690">
      <c r="A690" s="8" t="s">
        <v>493</v>
      </c>
      <c r="B690" s="8" t="s">
        <v>144</v>
      </c>
      <c r="C690" s="8" t="s">
        <v>16</v>
      </c>
      <c r="D690" s="8" t="s">
        <v>6438</v>
      </c>
      <c r="E690" s="8">
        <v>83.0</v>
      </c>
    </row>
    <row r="691">
      <c r="A691" s="8" t="s">
        <v>493</v>
      </c>
      <c r="B691" s="8" t="s">
        <v>492</v>
      </c>
      <c r="C691" s="8" t="s">
        <v>24</v>
      </c>
      <c r="D691" s="8" t="s">
        <v>6416</v>
      </c>
      <c r="E691" s="8">
        <v>73.0</v>
      </c>
    </row>
    <row r="692">
      <c r="A692" s="8" t="s">
        <v>493</v>
      </c>
      <c r="B692" s="8" t="s">
        <v>406</v>
      </c>
      <c r="C692" s="8" t="s">
        <v>149</v>
      </c>
      <c r="D692" s="8" t="s">
        <v>6434</v>
      </c>
      <c r="E692" s="8">
        <v>82.0</v>
      </c>
    </row>
    <row r="693">
      <c r="A693" s="8" t="s">
        <v>493</v>
      </c>
      <c r="B693" s="8" t="s">
        <v>448</v>
      </c>
      <c r="C693" s="8" t="s">
        <v>261</v>
      </c>
      <c r="D693" s="8" t="s">
        <v>6432</v>
      </c>
      <c r="E693" s="8">
        <v>71.0</v>
      </c>
    </row>
    <row r="694">
      <c r="A694" s="8" t="s">
        <v>493</v>
      </c>
      <c r="B694" s="8" t="s">
        <v>622</v>
      </c>
      <c r="C694" s="8" t="s">
        <v>138</v>
      </c>
      <c r="D694" s="8" t="s">
        <v>6412</v>
      </c>
      <c r="E694" s="8">
        <v>86.0</v>
      </c>
    </row>
    <row r="695">
      <c r="A695" s="8" t="s">
        <v>1473</v>
      </c>
      <c r="B695" s="8" t="s">
        <v>637</v>
      </c>
      <c r="C695" s="8" t="s">
        <v>70</v>
      </c>
      <c r="D695" s="8" t="s">
        <v>6423</v>
      </c>
      <c r="E695" s="8">
        <v>74.0</v>
      </c>
    </row>
    <row r="696">
      <c r="A696" s="8" t="s">
        <v>1473</v>
      </c>
      <c r="B696" s="8" t="s">
        <v>389</v>
      </c>
      <c r="C696" s="8" t="s">
        <v>186</v>
      </c>
      <c r="D696" s="8" t="s">
        <v>6437</v>
      </c>
      <c r="E696" s="8">
        <v>90.0</v>
      </c>
    </row>
    <row r="697">
      <c r="A697" s="8" t="s">
        <v>1473</v>
      </c>
      <c r="B697" s="8" t="s">
        <v>1496</v>
      </c>
      <c r="C697" s="8" t="s">
        <v>192</v>
      </c>
      <c r="D697" s="8" t="s">
        <v>6443</v>
      </c>
      <c r="E697" s="8">
        <v>65.0</v>
      </c>
    </row>
    <row r="698">
      <c r="A698" s="8" t="s">
        <v>1473</v>
      </c>
      <c r="B698" s="8" t="s">
        <v>146</v>
      </c>
      <c r="C698" s="8" t="s">
        <v>53</v>
      </c>
      <c r="D698" s="8" t="s">
        <v>6423</v>
      </c>
      <c r="E698" s="8">
        <v>81.0</v>
      </c>
    </row>
    <row r="699">
      <c r="A699" s="8" t="s">
        <v>1473</v>
      </c>
      <c r="B699" s="8" t="s">
        <v>709</v>
      </c>
      <c r="C699" s="8" t="s">
        <v>215</v>
      </c>
      <c r="D699" s="8" t="s">
        <v>6431</v>
      </c>
      <c r="E699" s="8">
        <v>72.0</v>
      </c>
    </row>
    <row r="700">
      <c r="A700" s="8" t="s">
        <v>1029</v>
      </c>
      <c r="B700" s="8" t="s">
        <v>99</v>
      </c>
      <c r="C700" s="8" t="s">
        <v>80</v>
      </c>
      <c r="D700" s="8" t="s">
        <v>6417</v>
      </c>
      <c r="E700" s="8">
        <v>67.0</v>
      </c>
    </row>
    <row r="701">
      <c r="A701" s="8" t="s">
        <v>209</v>
      </c>
      <c r="B701" s="8" t="s">
        <v>208</v>
      </c>
      <c r="C701" s="8" t="s">
        <v>65</v>
      </c>
      <c r="D701" s="8" t="s">
        <v>6416</v>
      </c>
      <c r="E701" s="8">
        <v>84.0</v>
      </c>
    </row>
    <row r="702">
      <c r="A702" s="8" t="s">
        <v>1339</v>
      </c>
      <c r="B702" s="8" t="s">
        <v>3044</v>
      </c>
      <c r="C702" s="8" t="s">
        <v>93</v>
      </c>
      <c r="D702" s="8" t="s">
        <v>6433</v>
      </c>
      <c r="E702" s="8">
        <v>67.0</v>
      </c>
    </row>
    <row r="703">
      <c r="A703" s="8" t="s">
        <v>903</v>
      </c>
      <c r="B703" s="8" t="s">
        <v>902</v>
      </c>
      <c r="C703" s="8" t="s">
        <v>80</v>
      </c>
      <c r="D703" s="8" t="s">
        <v>6416</v>
      </c>
      <c r="E703" s="8">
        <v>66.0</v>
      </c>
    </row>
    <row r="704">
      <c r="A704" s="8" t="s">
        <v>816</v>
      </c>
      <c r="B704" s="8" t="s">
        <v>2064</v>
      </c>
      <c r="C704" s="8" t="s">
        <v>138</v>
      </c>
      <c r="D704" s="8" t="s">
        <v>6443</v>
      </c>
      <c r="E704" s="8">
        <v>77.0</v>
      </c>
    </row>
    <row r="705">
      <c r="A705" s="8" t="s">
        <v>816</v>
      </c>
      <c r="B705" s="8" t="s">
        <v>815</v>
      </c>
      <c r="C705" s="8" t="s">
        <v>93</v>
      </c>
      <c r="D705" s="8" t="s">
        <v>6431</v>
      </c>
      <c r="E705" s="8">
        <v>90.0</v>
      </c>
    </row>
    <row r="706">
      <c r="A706" s="8" t="s">
        <v>1096</v>
      </c>
      <c r="B706" s="8" t="s">
        <v>1095</v>
      </c>
      <c r="C706" s="8" t="s">
        <v>59</v>
      </c>
      <c r="D706" s="8" t="s">
        <v>6426</v>
      </c>
      <c r="E706" s="8">
        <v>62.0</v>
      </c>
    </row>
    <row r="707">
      <c r="A707" s="8" t="s">
        <v>1082</v>
      </c>
      <c r="B707" s="8" t="s">
        <v>1276</v>
      </c>
      <c r="C707" s="8" t="s">
        <v>65</v>
      </c>
      <c r="D707" s="8" t="s">
        <v>6415</v>
      </c>
      <c r="E707" s="8">
        <v>77.0</v>
      </c>
    </row>
    <row r="708">
      <c r="A708" s="8" t="s">
        <v>3842</v>
      </c>
      <c r="B708" s="8" t="s">
        <v>3841</v>
      </c>
      <c r="C708" s="8" t="s">
        <v>122</v>
      </c>
      <c r="D708" s="8" t="s">
        <v>6439</v>
      </c>
      <c r="E708" s="8">
        <v>58.0</v>
      </c>
    </row>
    <row r="709">
      <c r="A709" s="8" t="s">
        <v>3579</v>
      </c>
      <c r="B709" s="8" t="s">
        <v>144</v>
      </c>
      <c r="C709" s="8" t="s">
        <v>93</v>
      </c>
      <c r="D709" s="8" t="s">
        <v>6437</v>
      </c>
      <c r="E709" s="8">
        <v>59.0</v>
      </c>
    </row>
    <row r="710">
      <c r="A710" s="8" t="s">
        <v>3804</v>
      </c>
      <c r="B710" s="8" t="s">
        <v>3803</v>
      </c>
      <c r="C710" s="8" t="s">
        <v>65</v>
      </c>
      <c r="D710" s="8" t="s">
        <v>6412</v>
      </c>
      <c r="E710" s="8">
        <v>66.0</v>
      </c>
    </row>
    <row r="711">
      <c r="A711" s="8" t="s">
        <v>217</v>
      </c>
      <c r="B711" s="8" t="s">
        <v>918</v>
      </c>
      <c r="C711" s="8" t="s">
        <v>65</v>
      </c>
      <c r="D711" s="8" t="s">
        <v>6431</v>
      </c>
      <c r="E711" s="8">
        <v>62.0</v>
      </c>
    </row>
    <row r="712">
      <c r="A712" s="8" t="s">
        <v>217</v>
      </c>
      <c r="B712" s="8" t="s">
        <v>1448</v>
      </c>
      <c r="C712" s="8" t="s">
        <v>65</v>
      </c>
      <c r="D712" s="8" t="s">
        <v>6441</v>
      </c>
      <c r="E712" s="8">
        <v>74.0</v>
      </c>
    </row>
    <row r="713">
      <c r="A713" s="8" t="s">
        <v>217</v>
      </c>
      <c r="B713" s="8" t="s">
        <v>3340</v>
      </c>
      <c r="C713" s="8" t="s">
        <v>65</v>
      </c>
      <c r="D713" s="8" t="s">
        <v>6436</v>
      </c>
      <c r="E713" s="8">
        <v>63.0</v>
      </c>
    </row>
    <row r="714">
      <c r="A714" s="8" t="s">
        <v>217</v>
      </c>
      <c r="B714" s="8" t="s">
        <v>216</v>
      </c>
      <c r="C714" s="8" t="s">
        <v>80</v>
      </c>
      <c r="D714" s="8" t="s">
        <v>6436</v>
      </c>
      <c r="E714" s="8">
        <v>91.0</v>
      </c>
    </row>
    <row r="715">
      <c r="A715" s="8" t="s">
        <v>217</v>
      </c>
      <c r="B715" s="8" t="s">
        <v>99</v>
      </c>
      <c r="C715" s="8" t="s">
        <v>65</v>
      </c>
      <c r="D715" s="8" t="s">
        <v>6440</v>
      </c>
      <c r="E715" s="8">
        <v>70.0</v>
      </c>
    </row>
    <row r="716">
      <c r="A716" s="8" t="s">
        <v>217</v>
      </c>
      <c r="B716" s="8" t="s">
        <v>2255</v>
      </c>
      <c r="C716" s="8" t="s">
        <v>65</v>
      </c>
      <c r="D716" s="8" t="s">
        <v>6442</v>
      </c>
      <c r="E716" s="8">
        <v>68.0</v>
      </c>
    </row>
    <row r="717">
      <c r="A717" s="8" t="s">
        <v>217</v>
      </c>
      <c r="B717" s="8" t="s">
        <v>441</v>
      </c>
      <c r="C717" s="8" t="s">
        <v>138</v>
      </c>
      <c r="D717" s="8" t="s">
        <v>6420</v>
      </c>
      <c r="E717" s="8">
        <v>72.0</v>
      </c>
    </row>
    <row r="718">
      <c r="A718" s="8" t="s">
        <v>735</v>
      </c>
      <c r="B718" s="8" t="s">
        <v>2316</v>
      </c>
      <c r="C718" s="8" t="s">
        <v>65</v>
      </c>
      <c r="D718" s="8" t="s">
        <v>6422</v>
      </c>
      <c r="E718" s="8">
        <v>63.0</v>
      </c>
    </row>
    <row r="719">
      <c r="A719" s="8" t="s">
        <v>735</v>
      </c>
      <c r="B719" s="8" t="s">
        <v>389</v>
      </c>
      <c r="C719" s="8" t="s">
        <v>261</v>
      </c>
      <c r="D719" s="8" t="s">
        <v>6441</v>
      </c>
      <c r="E719" s="8">
        <v>62.0</v>
      </c>
    </row>
    <row r="720">
      <c r="A720" s="8" t="s">
        <v>735</v>
      </c>
      <c r="B720" s="8" t="s">
        <v>734</v>
      </c>
      <c r="C720" s="8" t="s">
        <v>53</v>
      </c>
      <c r="D720" s="8" t="s">
        <v>6425</v>
      </c>
      <c r="E720" s="8">
        <v>78.0</v>
      </c>
    </row>
    <row r="721">
      <c r="A721" s="8" t="s">
        <v>735</v>
      </c>
      <c r="B721" s="8" t="s">
        <v>3857</v>
      </c>
      <c r="C721" s="8" t="s">
        <v>122</v>
      </c>
      <c r="D721" s="8" t="s">
        <v>6434</v>
      </c>
      <c r="E721" s="8">
        <v>67.0</v>
      </c>
    </row>
    <row r="722">
      <c r="A722" s="8" t="s">
        <v>917</v>
      </c>
      <c r="B722" s="8" t="s">
        <v>916</v>
      </c>
      <c r="C722" s="8" t="s">
        <v>70</v>
      </c>
      <c r="D722" s="8" t="s">
        <v>6431</v>
      </c>
      <c r="E722" s="8">
        <v>86.0</v>
      </c>
    </row>
    <row r="723">
      <c r="A723" s="8" t="s">
        <v>856</v>
      </c>
      <c r="B723" s="8" t="s">
        <v>855</v>
      </c>
      <c r="C723" s="8" t="s">
        <v>70</v>
      </c>
      <c r="D723" s="8" t="s">
        <v>6412</v>
      </c>
      <c r="E723" s="8">
        <v>72.0</v>
      </c>
    </row>
    <row r="724">
      <c r="A724" s="8" t="s">
        <v>3698</v>
      </c>
      <c r="B724" s="8" t="s">
        <v>389</v>
      </c>
      <c r="C724" s="8" t="s">
        <v>93</v>
      </c>
      <c r="D724" s="8" t="s">
        <v>6431</v>
      </c>
      <c r="E724" s="8">
        <v>61.0</v>
      </c>
    </row>
    <row r="725">
      <c r="A725" s="8" t="s">
        <v>3358</v>
      </c>
      <c r="B725" s="8" t="s">
        <v>582</v>
      </c>
      <c r="C725" s="8" t="s">
        <v>192</v>
      </c>
      <c r="D725" s="8" t="s">
        <v>6438</v>
      </c>
      <c r="E725" s="8">
        <v>65.0</v>
      </c>
    </row>
    <row r="726">
      <c r="A726" s="8" t="s">
        <v>2450</v>
      </c>
      <c r="B726" s="8" t="s">
        <v>3757</v>
      </c>
      <c r="C726" s="8" t="s">
        <v>70</v>
      </c>
      <c r="D726" s="8" t="s">
        <v>6423</v>
      </c>
      <c r="E726" s="8">
        <v>73.0</v>
      </c>
    </row>
    <row r="727">
      <c r="A727" s="8" t="s">
        <v>2450</v>
      </c>
      <c r="B727" s="8" t="s">
        <v>582</v>
      </c>
      <c r="C727" s="8" t="s">
        <v>93</v>
      </c>
      <c r="D727" s="8" t="s">
        <v>6438</v>
      </c>
      <c r="E727" s="8">
        <v>61.0</v>
      </c>
    </row>
    <row r="728">
      <c r="A728" s="8" t="s">
        <v>2450</v>
      </c>
      <c r="B728" s="8" t="s">
        <v>3359</v>
      </c>
      <c r="C728" s="8" t="s">
        <v>93</v>
      </c>
      <c r="D728" s="8" t="s">
        <v>6440</v>
      </c>
      <c r="E728" s="8">
        <v>68.0</v>
      </c>
    </row>
    <row r="729">
      <c r="A729" s="8" t="s">
        <v>2706</v>
      </c>
      <c r="B729" s="8" t="s">
        <v>2064</v>
      </c>
      <c r="C729" s="8" t="s">
        <v>65</v>
      </c>
      <c r="D729" s="8" t="s">
        <v>6442</v>
      </c>
      <c r="E729" s="8">
        <v>90.0</v>
      </c>
    </row>
    <row r="730">
      <c r="A730" s="8" t="s">
        <v>3776</v>
      </c>
      <c r="B730" s="8" t="s">
        <v>765</v>
      </c>
      <c r="C730" s="8" t="s">
        <v>53</v>
      </c>
      <c r="D730" s="8" t="s">
        <v>6437</v>
      </c>
      <c r="E730" s="8">
        <v>65.0</v>
      </c>
    </row>
    <row r="731">
      <c r="A731" s="8" t="s">
        <v>3068</v>
      </c>
      <c r="B731" s="8" t="s">
        <v>3067</v>
      </c>
      <c r="C731" s="8" t="s">
        <v>192</v>
      </c>
      <c r="D731" s="8" t="s">
        <v>6428</v>
      </c>
      <c r="E731" s="8">
        <v>66.0</v>
      </c>
    </row>
    <row r="732">
      <c r="A732" s="8" t="s">
        <v>1457</v>
      </c>
      <c r="B732" s="8" t="s">
        <v>3632</v>
      </c>
      <c r="C732" s="8" t="s">
        <v>75</v>
      </c>
      <c r="D732" s="8" t="s">
        <v>6425</v>
      </c>
      <c r="E732" s="8">
        <v>65.0</v>
      </c>
    </row>
    <row r="733">
      <c r="A733" s="8" t="s">
        <v>1457</v>
      </c>
      <c r="B733" s="8" t="s">
        <v>42</v>
      </c>
      <c r="C733" s="8" t="s">
        <v>53</v>
      </c>
      <c r="D733" s="8" t="s">
        <v>6418</v>
      </c>
      <c r="E733" s="8">
        <v>57.0</v>
      </c>
    </row>
    <row r="734">
      <c r="A734" s="8" t="s">
        <v>744</v>
      </c>
      <c r="B734" s="8" t="s">
        <v>240</v>
      </c>
      <c r="C734" s="8" t="s">
        <v>192</v>
      </c>
      <c r="D734" s="8" t="s">
        <v>6440</v>
      </c>
      <c r="E734" s="8">
        <v>73.0</v>
      </c>
    </row>
    <row r="735">
      <c r="A735" s="8" t="s">
        <v>744</v>
      </c>
      <c r="B735" s="8" t="s">
        <v>263</v>
      </c>
      <c r="C735" s="8" t="s">
        <v>215</v>
      </c>
      <c r="D735" s="8" t="s">
        <v>6415</v>
      </c>
      <c r="E735" s="8">
        <v>68.0</v>
      </c>
    </row>
    <row r="736">
      <c r="A736" s="8" t="s">
        <v>744</v>
      </c>
      <c r="B736" s="8" t="s">
        <v>94</v>
      </c>
      <c r="C736" s="8" t="s">
        <v>70</v>
      </c>
      <c r="D736" s="8" t="s">
        <v>6436</v>
      </c>
      <c r="E736" s="8">
        <v>80.0</v>
      </c>
    </row>
    <row r="737">
      <c r="A737" s="8" t="s">
        <v>744</v>
      </c>
      <c r="B737" s="8" t="s">
        <v>1619</v>
      </c>
      <c r="C737" s="8" t="s">
        <v>24</v>
      </c>
      <c r="D737" s="8" t="s">
        <v>6415</v>
      </c>
      <c r="E737" s="8">
        <v>75.0</v>
      </c>
    </row>
    <row r="738">
      <c r="A738" s="8" t="s">
        <v>2989</v>
      </c>
      <c r="B738" s="8" t="s">
        <v>1279</v>
      </c>
      <c r="C738" s="8" t="s">
        <v>122</v>
      </c>
      <c r="D738" s="8" t="s">
        <v>6417</v>
      </c>
      <c r="E738" s="8">
        <v>73.0</v>
      </c>
    </row>
    <row r="739">
      <c r="A739" s="8" t="s">
        <v>172</v>
      </c>
      <c r="B739" s="8" t="s">
        <v>57</v>
      </c>
      <c r="C739" s="8" t="s">
        <v>186</v>
      </c>
      <c r="D739" s="8" t="s">
        <v>6443</v>
      </c>
      <c r="E739" s="8">
        <v>58.0</v>
      </c>
    </row>
    <row r="740">
      <c r="A740" s="8" t="s">
        <v>172</v>
      </c>
      <c r="B740" s="8" t="s">
        <v>2773</v>
      </c>
      <c r="C740" s="8" t="s">
        <v>122</v>
      </c>
      <c r="D740" s="8" t="s">
        <v>6414</v>
      </c>
      <c r="E740" s="8">
        <v>74.0</v>
      </c>
    </row>
    <row r="741">
      <c r="A741" s="8" t="s">
        <v>172</v>
      </c>
      <c r="B741" s="8" t="s">
        <v>171</v>
      </c>
      <c r="C741" s="8" t="s">
        <v>93</v>
      </c>
      <c r="D741" s="8" t="s">
        <v>6425</v>
      </c>
      <c r="E741" s="8">
        <v>87.0</v>
      </c>
    </row>
    <row r="742">
      <c r="A742" s="8" t="s">
        <v>31</v>
      </c>
      <c r="B742" s="8" t="s">
        <v>343</v>
      </c>
      <c r="C742" s="8" t="s">
        <v>46</v>
      </c>
      <c r="D742" s="8" t="s">
        <v>6421</v>
      </c>
      <c r="E742" s="8">
        <v>65.0</v>
      </c>
    </row>
    <row r="743">
      <c r="A743" s="8" t="s">
        <v>31</v>
      </c>
      <c r="B743" s="8" t="s">
        <v>2719</v>
      </c>
      <c r="C743" s="8" t="s">
        <v>192</v>
      </c>
      <c r="D743" s="8" t="s">
        <v>6420</v>
      </c>
      <c r="E743" s="8">
        <v>70.0</v>
      </c>
    </row>
    <row r="744">
      <c r="A744" s="8" t="s">
        <v>31</v>
      </c>
      <c r="B744" s="8" t="s">
        <v>208</v>
      </c>
      <c r="C744" s="8" t="s">
        <v>70</v>
      </c>
      <c r="D744" s="8" t="s">
        <v>6421</v>
      </c>
      <c r="E744" s="8">
        <v>60.0</v>
      </c>
    </row>
    <row r="745">
      <c r="A745" s="8" t="s">
        <v>31</v>
      </c>
      <c r="B745" s="8" t="s">
        <v>284</v>
      </c>
      <c r="C745" s="8" t="s">
        <v>80</v>
      </c>
      <c r="D745" s="8" t="s">
        <v>6443</v>
      </c>
      <c r="E745" s="8">
        <v>70.0</v>
      </c>
    </row>
    <row r="746">
      <c r="A746" s="8" t="s">
        <v>31</v>
      </c>
      <c r="B746" s="8" t="s">
        <v>30</v>
      </c>
      <c r="C746" s="8" t="s">
        <v>24</v>
      </c>
      <c r="D746" s="8" t="s">
        <v>6420</v>
      </c>
      <c r="E746" s="8">
        <v>50.0</v>
      </c>
    </row>
    <row r="747">
      <c r="A747" s="8" t="s">
        <v>669</v>
      </c>
      <c r="B747" s="8" t="s">
        <v>106</v>
      </c>
      <c r="C747" s="8" t="s">
        <v>70</v>
      </c>
      <c r="D747" s="8" t="s">
        <v>6436</v>
      </c>
      <c r="E747" s="8">
        <v>76.0</v>
      </c>
    </row>
    <row r="748">
      <c r="A748" s="8" t="s">
        <v>669</v>
      </c>
      <c r="B748" s="8" t="s">
        <v>486</v>
      </c>
      <c r="C748" s="8" t="s">
        <v>186</v>
      </c>
      <c r="D748" s="8" t="s">
        <v>6419</v>
      </c>
      <c r="E748" s="8">
        <v>73.0</v>
      </c>
    </row>
    <row r="749">
      <c r="A749" s="8" t="s">
        <v>669</v>
      </c>
      <c r="B749" s="8" t="s">
        <v>1187</v>
      </c>
      <c r="C749" s="8" t="s">
        <v>46</v>
      </c>
      <c r="D749" s="8" t="s">
        <v>6441</v>
      </c>
      <c r="E749" s="8">
        <v>62.0</v>
      </c>
    </row>
    <row r="750">
      <c r="A750" s="8" t="s">
        <v>669</v>
      </c>
      <c r="B750" s="8" t="s">
        <v>2990</v>
      </c>
      <c r="C750" s="8" t="s">
        <v>46</v>
      </c>
      <c r="D750" s="8" t="s">
        <v>6438</v>
      </c>
      <c r="E750" s="8">
        <v>87.0</v>
      </c>
    </row>
    <row r="751">
      <c r="A751" s="8" t="s">
        <v>669</v>
      </c>
      <c r="B751" s="8" t="s">
        <v>3073</v>
      </c>
      <c r="C751" s="8" t="s">
        <v>149</v>
      </c>
      <c r="D751" s="8" t="s">
        <v>6412</v>
      </c>
      <c r="E751" s="8">
        <v>72.0</v>
      </c>
    </row>
    <row r="752">
      <c r="A752" s="8" t="s">
        <v>669</v>
      </c>
      <c r="B752" s="8" t="s">
        <v>1330</v>
      </c>
      <c r="C752" s="8" t="s">
        <v>93</v>
      </c>
      <c r="D752" s="8" t="s">
        <v>6439</v>
      </c>
      <c r="E752" s="8">
        <v>65.0</v>
      </c>
    </row>
    <row r="753">
      <c r="A753" s="8" t="s">
        <v>2731</v>
      </c>
      <c r="B753" s="8" t="s">
        <v>90</v>
      </c>
      <c r="C753" s="8" t="s">
        <v>132</v>
      </c>
      <c r="D753" s="8" t="s">
        <v>6432</v>
      </c>
      <c r="E753" s="8">
        <v>61.0</v>
      </c>
    </row>
    <row r="754">
      <c r="A754" s="8" t="s">
        <v>2173</v>
      </c>
      <c r="B754" s="8" t="s">
        <v>284</v>
      </c>
      <c r="C754" s="8" t="s">
        <v>38</v>
      </c>
      <c r="D754" s="8" t="s">
        <v>6424</v>
      </c>
      <c r="E754" s="8">
        <v>79.0</v>
      </c>
    </row>
    <row r="755">
      <c r="A755" s="8" t="s">
        <v>1314</v>
      </c>
      <c r="B755" s="8" t="s">
        <v>99</v>
      </c>
      <c r="C755" s="8" t="s">
        <v>46</v>
      </c>
      <c r="D755" s="8" t="s">
        <v>6426</v>
      </c>
      <c r="E755" s="8">
        <v>77.0</v>
      </c>
    </row>
    <row r="756">
      <c r="A756" s="8" t="s">
        <v>4656</v>
      </c>
      <c r="B756" s="8" t="s">
        <v>535</v>
      </c>
      <c r="C756" s="8" t="s">
        <v>59</v>
      </c>
      <c r="D756" s="8" t="s">
        <v>6436</v>
      </c>
      <c r="E756" s="8">
        <v>90.0</v>
      </c>
    </row>
    <row r="757">
      <c r="A757" s="8" t="s">
        <v>2863</v>
      </c>
      <c r="B757" s="8" t="s">
        <v>389</v>
      </c>
      <c r="C757" s="8" t="s">
        <v>93</v>
      </c>
      <c r="D757" s="8" t="s">
        <v>6422</v>
      </c>
      <c r="E757" s="8">
        <v>75.0</v>
      </c>
    </row>
    <row r="758">
      <c r="A758" s="8" t="s">
        <v>591</v>
      </c>
      <c r="B758" s="8" t="s">
        <v>590</v>
      </c>
      <c r="C758" s="8" t="s">
        <v>122</v>
      </c>
      <c r="D758" s="8" t="s">
        <v>6437</v>
      </c>
      <c r="E758" s="8">
        <v>85.0</v>
      </c>
    </row>
    <row r="759">
      <c r="A759" s="8" t="s">
        <v>1267</v>
      </c>
      <c r="B759" s="8" t="s">
        <v>1266</v>
      </c>
      <c r="C759" s="8" t="s">
        <v>65</v>
      </c>
      <c r="D759" s="8" t="s">
        <v>6428</v>
      </c>
      <c r="E759" s="8">
        <v>78.0</v>
      </c>
    </row>
    <row r="760">
      <c r="A760" s="8" t="s">
        <v>3237</v>
      </c>
      <c r="B760" s="8" t="s">
        <v>3620</v>
      </c>
      <c r="C760" s="8" t="s">
        <v>65</v>
      </c>
      <c r="D760" s="8" t="s">
        <v>6426</v>
      </c>
      <c r="E760" s="8">
        <v>64.0</v>
      </c>
    </row>
    <row r="761">
      <c r="A761" s="8" t="s">
        <v>387</v>
      </c>
      <c r="B761" s="8" t="s">
        <v>386</v>
      </c>
      <c r="C761" s="8" t="s">
        <v>65</v>
      </c>
      <c r="D761" s="8" t="s">
        <v>6432</v>
      </c>
      <c r="E761" s="8">
        <v>72.0</v>
      </c>
    </row>
    <row r="762">
      <c r="A762" s="8" t="s">
        <v>3283</v>
      </c>
      <c r="B762" s="8" t="s">
        <v>700</v>
      </c>
      <c r="C762" s="8" t="s">
        <v>93</v>
      </c>
      <c r="D762" s="8" t="s">
        <v>6439</v>
      </c>
      <c r="E762" s="8">
        <v>66.0</v>
      </c>
    </row>
    <row r="763">
      <c r="A763" s="8" t="s">
        <v>3662</v>
      </c>
      <c r="B763" s="8" t="s">
        <v>3661</v>
      </c>
      <c r="C763" s="8" t="s">
        <v>65</v>
      </c>
      <c r="D763" s="8" t="s">
        <v>6423</v>
      </c>
      <c r="E763" s="8">
        <v>76.0</v>
      </c>
    </row>
    <row r="764">
      <c r="A764" s="8" t="s">
        <v>397</v>
      </c>
      <c r="B764" s="8" t="s">
        <v>2671</v>
      </c>
      <c r="C764" s="8" t="s">
        <v>65</v>
      </c>
      <c r="D764" s="8" t="s">
        <v>6433</v>
      </c>
      <c r="E764" s="8">
        <v>89.0</v>
      </c>
    </row>
    <row r="765">
      <c r="A765" s="8" t="s">
        <v>397</v>
      </c>
      <c r="B765" s="8" t="s">
        <v>3643</v>
      </c>
      <c r="C765" s="8" t="s">
        <v>149</v>
      </c>
      <c r="D765" s="8" t="s">
        <v>6442</v>
      </c>
      <c r="E765" s="8">
        <v>80.0</v>
      </c>
    </row>
    <row r="766">
      <c r="A766" s="8" t="s">
        <v>397</v>
      </c>
      <c r="B766" s="8" t="s">
        <v>396</v>
      </c>
      <c r="C766" s="8" t="s">
        <v>70</v>
      </c>
      <c r="D766" s="8" t="s">
        <v>6426</v>
      </c>
      <c r="E766" s="8">
        <v>90.0</v>
      </c>
    </row>
    <row r="767">
      <c r="A767" s="8" t="s">
        <v>565</v>
      </c>
      <c r="B767" s="8" t="s">
        <v>564</v>
      </c>
      <c r="C767" s="8" t="s">
        <v>93</v>
      </c>
      <c r="D767" s="8" t="s">
        <v>6417</v>
      </c>
      <c r="E767" s="8">
        <v>76.0</v>
      </c>
    </row>
    <row r="768">
      <c r="A768" s="8" t="s">
        <v>3848</v>
      </c>
      <c r="B768" s="8" t="s">
        <v>99</v>
      </c>
      <c r="C768" s="8" t="s">
        <v>70</v>
      </c>
      <c r="D768" s="8" t="s">
        <v>6432</v>
      </c>
      <c r="E768" s="8">
        <v>61.0</v>
      </c>
    </row>
    <row r="769">
      <c r="A769" s="8" t="s">
        <v>2657</v>
      </c>
      <c r="B769" s="8" t="s">
        <v>636</v>
      </c>
      <c r="C769" s="8" t="s">
        <v>65</v>
      </c>
      <c r="D769" s="8" t="s">
        <v>6422</v>
      </c>
      <c r="E769" s="8">
        <v>62.0</v>
      </c>
    </row>
    <row r="770">
      <c r="A770" s="8" t="s">
        <v>20</v>
      </c>
      <c r="B770" s="8" t="s">
        <v>19</v>
      </c>
      <c r="C770" s="8" t="s">
        <v>16</v>
      </c>
      <c r="D770" s="8" t="s">
        <v>6418</v>
      </c>
      <c r="E770" s="8">
        <v>90.0</v>
      </c>
    </row>
    <row r="771">
      <c r="A771" s="8" t="s">
        <v>20</v>
      </c>
      <c r="B771" s="8" t="s">
        <v>486</v>
      </c>
      <c r="C771" s="8" t="s">
        <v>38</v>
      </c>
      <c r="D771" s="8" t="s">
        <v>6419</v>
      </c>
      <c r="E771" s="8">
        <v>76.0</v>
      </c>
    </row>
    <row r="772">
      <c r="A772" s="8" t="s">
        <v>20</v>
      </c>
      <c r="B772" s="8" t="s">
        <v>3634</v>
      </c>
      <c r="C772" s="8" t="s">
        <v>24</v>
      </c>
      <c r="D772" s="8" t="s">
        <v>6433</v>
      </c>
      <c r="E772" s="8">
        <v>40.0</v>
      </c>
    </row>
    <row r="773">
      <c r="A773" s="8" t="s">
        <v>20</v>
      </c>
      <c r="B773" s="8" t="s">
        <v>2872</v>
      </c>
      <c r="C773" s="8" t="s">
        <v>38</v>
      </c>
      <c r="D773" s="8" t="s">
        <v>6432</v>
      </c>
      <c r="E773" s="8">
        <v>76.0</v>
      </c>
    </row>
    <row r="774">
      <c r="A774" s="8" t="s">
        <v>20</v>
      </c>
      <c r="B774" s="8" t="s">
        <v>3784</v>
      </c>
      <c r="C774" s="8" t="s">
        <v>141</v>
      </c>
      <c r="D774" s="8" t="s">
        <v>6437</v>
      </c>
      <c r="E774" s="8">
        <v>66.0</v>
      </c>
    </row>
    <row r="775">
      <c r="A775" s="8" t="s">
        <v>20</v>
      </c>
      <c r="B775" s="8" t="s">
        <v>103</v>
      </c>
      <c r="C775" s="8" t="s">
        <v>16</v>
      </c>
      <c r="D775" s="8" t="s">
        <v>6419</v>
      </c>
      <c r="E775" s="8">
        <v>68.0</v>
      </c>
    </row>
    <row r="776">
      <c r="A776" s="8" t="s">
        <v>107</v>
      </c>
      <c r="B776" s="8" t="s">
        <v>106</v>
      </c>
      <c r="C776" s="8" t="s">
        <v>46</v>
      </c>
      <c r="D776" s="8" t="s">
        <v>6434</v>
      </c>
      <c r="E776" s="8">
        <v>86.0</v>
      </c>
    </row>
    <row r="777">
      <c r="A777" s="8" t="s">
        <v>3676</v>
      </c>
      <c r="B777" s="8" t="s">
        <v>89</v>
      </c>
      <c r="C777" s="8" t="s">
        <v>70</v>
      </c>
      <c r="D777" s="8" t="s">
        <v>6422</v>
      </c>
      <c r="E777" s="8">
        <v>70.0</v>
      </c>
    </row>
    <row r="778">
      <c r="A778" s="8" t="s">
        <v>1486</v>
      </c>
      <c r="B778" s="8" t="s">
        <v>3310</v>
      </c>
      <c r="C778" s="8" t="s">
        <v>192</v>
      </c>
      <c r="D778" s="8" t="s">
        <v>6416</v>
      </c>
      <c r="E778" s="8">
        <v>77.0</v>
      </c>
    </row>
    <row r="779">
      <c r="A779" s="8" t="s">
        <v>1486</v>
      </c>
      <c r="B779" s="8" t="s">
        <v>3702</v>
      </c>
      <c r="C779" s="8" t="s">
        <v>70</v>
      </c>
      <c r="D779" s="8" t="s">
        <v>6443</v>
      </c>
      <c r="E779" s="8">
        <v>78.0</v>
      </c>
    </row>
    <row r="780">
      <c r="A780" s="8" t="s">
        <v>1486</v>
      </c>
      <c r="B780" s="8" t="s">
        <v>78</v>
      </c>
      <c r="C780" s="8" t="s">
        <v>80</v>
      </c>
      <c r="D780" s="8" t="s">
        <v>6430</v>
      </c>
      <c r="E780" s="8">
        <v>76.0</v>
      </c>
    </row>
    <row r="781">
      <c r="A781" s="8" t="s">
        <v>707</v>
      </c>
      <c r="B781" s="8" t="s">
        <v>706</v>
      </c>
      <c r="C781" s="8" t="s">
        <v>192</v>
      </c>
      <c r="D781" s="8" t="s">
        <v>6436</v>
      </c>
      <c r="E781" s="8">
        <v>75.0</v>
      </c>
    </row>
    <row r="782">
      <c r="A782" s="8" t="s">
        <v>37</v>
      </c>
      <c r="B782" s="8" t="s">
        <v>36</v>
      </c>
      <c r="C782" s="8" t="s">
        <v>38</v>
      </c>
      <c r="D782" s="8" t="s">
        <v>6437</v>
      </c>
      <c r="E782" s="8">
        <v>82.0</v>
      </c>
    </row>
    <row r="783">
      <c r="A783" s="8" t="s">
        <v>37</v>
      </c>
      <c r="B783" s="8" t="s">
        <v>715</v>
      </c>
      <c r="C783" s="8" t="s">
        <v>12</v>
      </c>
      <c r="D783" s="8" t="s">
        <v>6416</v>
      </c>
      <c r="E783" s="8">
        <v>77.0</v>
      </c>
    </row>
    <row r="784">
      <c r="A784" s="8" t="s">
        <v>37</v>
      </c>
      <c r="B784" s="8" t="s">
        <v>3493</v>
      </c>
      <c r="C784" s="8" t="s">
        <v>16</v>
      </c>
      <c r="D784" s="8" t="s">
        <v>6439</v>
      </c>
      <c r="E784" s="8">
        <v>62.0</v>
      </c>
    </row>
    <row r="785">
      <c r="A785" s="8" t="s">
        <v>273</v>
      </c>
      <c r="B785" s="8" t="s">
        <v>460</v>
      </c>
      <c r="C785" s="8" t="s">
        <v>24</v>
      </c>
      <c r="D785" s="8" t="s">
        <v>6428</v>
      </c>
      <c r="E785" s="8">
        <v>80.0</v>
      </c>
    </row>
    <row r="786">
      <c r="A786" s="8" t="s">
        <v>273</v>
      </c>
      <c r="B786" s="8" t="s">
        <v>3284</v>
      </c>
      <c r="C786" s="8" t="s">
        <v>93</v>
      </c>
      <c r="D786" s="8" t="s">
        <v>6413</v>
      </c>
      <c r="E786" s="8">
        <v>74.0</v>
      </c>
    </row>
    <row r="787">
      <c r="A787" s="8" t="s">
        <v>273</v>
      </c>
      <c r="B787" s="8" t="s">
        <v>89</v>
      </c>
      <c r="C787" s="8" t="s">
        <v>65</v>
      </c>
      <c r="D787" s="8" t="s">
        <v>6425</v>
      </c>
      <c r="E787" s="8">
        <v>73.0</v>
      </c>
    </row>
    <row r="788">
      <c r="A788" s="8" t="s">
        <v>273</v>
      </c>
      <c r="B788" s="8" t="s">
        <v>1330</v>
      </c>
      <c r="C788" s="8" t="s">
        <v>70</v>
      </c>
      <c r="D788" s="8" t="s">
        <v>6420</v>
      </c>
      <c r="E788" s="8">
        <v>65.0</v>
      </c>
    </row>
    <row r="789">
      <c r="A789" s="8" t="s">
        <v>3339</v>
      </c>
      <c r="B789" s="8" t="s">
        <v>3338</v>
      </c>
      <c r="C789" s="8" t="s">
        <v>80</v>
      </c>
      <c r="D789" s="8" t="s">
        <v>6432</v>
      </c>
      <c r="E789" s="8">
        <v>79.0</v>
      </c>
    </row>
    <row r="790">
      <c r="A790" s="8" t="s">
        <v>1399</v>
      </c>
      <c r="B790" s="8" t="s">
        <v>444</v>
      </c>
      <c r="C790" s="8" t="s">
        <v>16</v>
      </c>
      <c r="D790" s="8" t="s">
        <v>6414</v>
      </c>
      <c r="E790" s="8">
        <v>61.0</v>
      </c>
    </row>
    <row r="791">
      <c r="A791" s="8" t="s">
        <v>6388</v>
      </c>
      <c r="B791" s="8" t="s">
        <v>1085</v>
      </c>
      <c r="C791" s="8" t="s">
        <v>24</v>
      </c>
      <c r="D791" s="8" t="s">
        <v>6443</v>
      </c>
      <c r="E791" s="8">
        <v>65.0</v>
      </c>
    </row>
    <row r="792">
      <c r="A792" s="8" t="s">
        <v>6388</v>
      </c>
      <c r="B792" s="8" t="s">
        <v>3554</v>
      </c>
      <c r="C792" s="8" t="s">
        <v>93</v>
      </c>
      <c r="D792" s="8" t="s">
        <v>6436</v>
      </c>
      <c r="E792" s="8">
        <v>70.0</v>
      </c>
    </row>
    <row r="793">
      <c r="A793" s="8" t="s">
        <v>6388</v>
      </c>
      <c r="B793" s="8" t="s">
        <v>689</v>
      </c>
      <c r="C793" s="8" t="s">
        <v>93</v>
      </c>
      <c r="D793" s="8" t="s">
        <v>6414</v>
      </c>
      <c r="E793" s="8">
        <v>79.0</v>
      </c>
    </row>
    <row r="794">
      <c r="A794" s="8" t="s">
        <v>6388</v>
      </c>
      <c r="B794" s="8" t="s">
        <v>2916</v>
      </c>
      <c r="C794" s="8" t="s">
        <v>16</v>
      </c>
      <c r="D794" s="8" t="s">
        <v>6430</v>
      </c>
      <c r="E794" s="8">
        <v>71.0</v>
      </c>
    </row>
    <row r="795">
      <c r="A795" s="8" t="s">
        <v>443</v>
      </c>
      <c r="B795" s="8" t="s">
        <v>427</v>
      </c>
      <c r="C795" s="8" t="s">
        <v>122</v>
      </c>
      <c r="D795" s="8" t="s">
        <v>6415</v>
      </c>
      <c r="E795" s="8">
        <v>74.0</v>
      </c>
    </row>
    <row r="796">
      <c r="A796" s="8" t="s">
        <v>443</v>
      </c>
      <c r="B796" s="8" t="s">
        <v>3383</v>
      </c>
      <c r="C796" s="8" t="s">
        <v>138</v>
      </c>
      <c r="D796" s="8" t="s">
        <v>6428</v>
      </c>
      <c r="E796" s="8">
        <v>56.0</v>
      </c>
    </row>
    <row r="797">
      <c r="A797" s="8" t="s">
        <v>443</v>
      </c>
      <c r="B797" s="8" t="s">
        <v>3090</v>
      </c>
      <c r="C797" s="8" t="s">
        <v>80</v>
      </c>
      <c r="D797" s="8" t="s">
        <v>6433</v>
      </c>
      <c r="E797" s="8">
        <v>93.0</v>
      </c>
    </row>
    <row r="798">
      <c r="A798" s="8" t="s">
        <v>443</v>
      </c>
      <c r="B798" s="8" t="s">
        <v>613</v>
      </c>
      <c r="C798" s="8" t="s">
        <v>132</v>
      </c>
      <c r="D798" s="8" t="s">
        <v>6419</v>
      </c>
      <c r="E798" s="8">
        <v>74.0</v>
      </c>
    </row>
    <row r="799">
      <c r="A799" s="8" t="s">
        <v>443</v>
      </c>
      <c r="B799" s="8" t="s">
        <v>3905</v>
      </c>
      <c r="C799" s="8" t="s">
        <v>80</v>
      </c>
      <c r="D799" s="8" t="s">
        <v>6413</v>
      </c>
      <c r="E799" s="8">
        <v>68.0</v>
      </c>
    </row>
    <row r="800">
      <c r="A800" s="8" t="s">
        <v>201</v>
      </c>
      <c r="B800" s="8" t="s">
        <v>200</v>
      </c>
      <c r="C800" s="8" t="s">
        <v>24</v>
      </c>
      <c r="D800" s="8" t="s">
        <v>6441</v>
      </c>
      <c r="E800" s="8">
        <v>72.0</v>
      </c>
    </row>
    <row r="801">
      <c r="A801" s="8" t="s">
        <v>201</v>
      </c>
      <c r="B801" s="8" t="s">
        <v>3413</v>
      </c>
      <c r="C801" s="8" t="s">
        <v>80</v>
      </c>
      <c r="D801" s="8" t="s">
        <v>6424</v>
      </c>
      <c r="E801" s="8">
        <v>70.0</v>
      </c>
    </row>
    <row r="802">
      <c r="A802" s="8" t="s">
        <v>201</v>
      </c>
      <c r="B802" s="8" t="s">
        <v>3449</v>
      </c>
      <c r="C802" s="8" t="s">
        <v>215</v>
      </c>
      <c r="D802" s="8" t="s">
        <v>6419</v>
      </c>
      <c r="E802" s="8">
        <v>62.0</v>
      </c>
    </row>
    <row r="803">
      <c r="A803" s="8" t="s">
        <v>1347</v>
      </c>
      <c r="B803" s="8" t="s">
        <v>1455</v>
      </c>
      <c r="C803" s="8" t="s">
        <v>122</v>
      </c>
      <c r="D803" s="8" t="s">
        <v>6427</v>
      </c>
      <c r="E803" s="8">
        <v>76.0</v>
      </c>
    </row>
    <row r="804">
      <c r="A804" s="8" t="s">
        <v>1347</v>
      </c>
      <c r="B804" s="8" t="s">
        <v>3327</v>
      </c>
      <c r="C804" s="8" t="s">
        <v>70</v>
      </c>
      <c r="D804" s="8" t="s">
        <v>6421</v>
      </c>
      <c r="E804" s="8">
        <v>83.0</v>
      </c>
    </row>
    <row r="805">
      <c r="A805" s="8" t="s">
        <v>1347</v>
      </c>
      <c r="B805" s="8" t="s">
        <v>2998</v>
      </c>
      <c r="C805" s="8" t="s">
        <v>192</v>
      </c>
      <c r="D805" s="8" t="s">
        <v>6434</v>
      </c>
      <c r="E805" s="8">
        <v>70.0</v>
      </c>
    </row>
    <row r="806">
      <c r="A806" s="8" t="s">
        <v>1347</v>
      </c>
      <c r="B806" s="8" t="s">
        <v>3825</v>
      </c>
      <c r="C806" s="8" t="s">
        <v>65</v>
      </c>
      <c r="D806" s="8" t="s">
        <v>6427</v>
      </c>
      <c r="E806" s="8">
        <v>77.0</v>
      </c>
    </row>
    <row r="807">
      <c r="A807" s="8" t="s">
        <v>1347</v>
      </c>
      <c r="B807" s="8" t="s">
        <v>1346</v>
      </c>
      <c r="C807" s="8" t="s">
        <v>215</v>
      </c>
      <c r="D807" s="8" t="s">
        <v>6412</v>
      </c>
      <c r="E807" s="8">
        <v>62.0</v>
      </c>
    </row>
    <row r="808">
      <c r="A808" s="8" t="s">
        <v>3022</v>
      </c>
      <c r="B808" s="8" t="s">
        <v>308</v>
      </c>
      <c r="C808" s="8" t="s">
        <v>53</v>
      </c>
      <c r="D808" s="8" t="s">
        <v>6429</v>
      </c>
      <c r="E808" s="8">
        <v>56.0</v>
      </c>
    </row>
    <row r="809">
      <c r="A809" s="8" t="s">
        <v>3250</v>
      </c>
      <c r="B809" s="8" t="s">
        <v>1170</v>
      </c>
      <c r="C809" s="8" t="s">
        <v>215</v>
      </c>
      <c r="D809" s="8" t="s">
        <v>6427</v>
      </c>
      <c r="E809" s="8">
        <v>67.0</v>
      </c>
    </row>
    <row r="810">
      <c r="A810" s="8" t="s">
        <v>1592</v>
      </c>
      <c r="B810" s="8" t="s">
        <v>305</v>
      </c>
      <c r="C810" s="8" t="s">
        <v>186</v>
      </c>
      <c r="D810" s="8" t="s">
        <v>6436</v>
      </c>
      <c r="E810" s="8">
        <v>65.0</v>
      </c>
    </row>
    <row r="811">
      <c r="A811" s="8" t="s">
        <v>29</v>
      </c>
      <c r="B811" s="8" t="s">
        <v>1684</v>
      </c>
      <c r="C811" s="8" t="s">
        <v>93</v>
      </c>
      <c r="D811" s="8" t="s">
        <v>6425</v>
      </c>
      <c r="E811" s="8">
        <v>76.0</v>
      </c>
    </row>
    <row r="812">
      <c r="A812" s="8" t="s">
        <v>29</v>
      </c>
      <c r="B812" s="8" t="s">
        <v>1467</v>
      </c>
      <c r="C812" s="8" t="s">
        <v>59</v>
      </c>
      <c r="D812" s="8" t="s">
        <v>6422</v>
      </c>
      <c r="E812" s="8">
        <v>70.0</v>
      </c>
    </row>
    <row r="813">
      <c r="A813" s="8" t="s">
        <v>29</v>
      </c>
      <c r="B813" s="8" t="s">
        <v>28</v>
      </c>
      <c r="C813" s="8" t="s">
        <v>16</v>
      </c>
      <c r="D813" s="8" t="s">
        <v>6425</v>
      </c>
      <c r="E813" s="8">
        <v>81.0</v>
      </c>
    </row>
    <row r="814">
      <c r="A814" s="8" t="s">
        <v>3233</v>
      </c>
      <c r="B814" s="8" t="s">
        <v>3232</v>
      </c>
      <c r="C814" s="8" t="s">
        <v>53</v>
      </c>
      <c r="D814" s="8" t="s">
        <v>6435</v>
      </c>
      <c r="E814" s="8">
        <v>87.0</v>
      </c>
    </row>
    <row r="815">
      <c r="A815" s="8" t="s">
        <v>226</v>
      </c>
      <c r="B815" s="8" t="s">
        <v>2891</v>
      </c>
      <c r="C815" s="8" t="s">
        <v>59</v>
      </c>
      <c r="D815" s="8" t="s">
        <v>6429</v>
      </c>
      <c r="E815" s="8">
        <v>72.0</v>
      </c>
    </row>
    <row r="816">
      <c r="A816" s="8" t="s">
        <v>226</v>
      </c>
      <c r="B816" s="8" t="s">
        <v>1557</v>
      </c>
      <c r="C816" s="8" t="s">
        <v>53</v>
      </c>
      <c r="D816" s="8" t="s">
        <v>6443</v>
      </c>
      <c r="E816" s="8">
        <v>72.0</v>
      </c>
    </row>
    <row r="817">
      <c r="A817" s="8" t="s">
        <v>226</v>
      </c>
      <c r="B817" s="8" t="s">
        <v>225</v>
      </c>
      <c r="C817" s="8" t="s">
        <v>65</v>
      </c>
      <c r="D817" s="8" t="s">
        <v>6412</v>
      </c>
      <c r="E817" s="8">
        <v>88.0</v>
      </c>
    </row>
    <row r="818">
      <c r="A818" s="8" t="s">
        <v>3205</v>
      </c>
      <c r="B818" s="8" t="s">
        <v>3204</v>
      </c>
      <c r="C818" s="8" t="s">
        <v>149</v>
      </c>
      <c r="D818" s="8" t="s">
        <v>6425</v>
      </c>
      <c r="E818" s="8">
        <v>66.0</v>
      </c>
    </row>
    <row r="819">
      <c r="A819" s="8" t="s">
        <v>1443</v>
      </c>
      <c r="B819" s="8" t="s">
        <v>913</v>
      </c>
      <c r="C819" s="8" t="s">
        <v>46</v>
      </c>
      <c r="D819" s="8" t="s">
        <v>6425</v>
      </c>
      <c r="E819" s="8">
        <v>76.0</v>
      </c>
    </row>
    <row r="820">
      <c r="A820" s="8" t="s">
        <v>129</v>
      </c>
      <c r="B820" s="8" t="s">
        <v>648</v>
      </c>
      <c r="C820" s="8" t="s">
        <v>80</v>
      </c>
      <c r="D820" s="8" t="s">
        <v>6437</v>
      </c>
      <c r="E820" s="8">
        <v>93.0</v>
      </c>
    </row>
    <row r="821">
      <c r="A821" s="8" t="s">
        <v>129</v>
      </c>
      <c r="B821" s="8" t="s">
        <v>1428</v>
      </c>
      <c r="C821" s="8" t="s">
        <v>65</v>
      </c>
      <c r="D821" s="8" t="s">
        <v>6440</v>
      </c>
      <c r="E821" s="8">
        <v>87.0</v>
      </c>
    </row>
    <row r="822">
      <c r="A822" s="8" t="s">
        <v>129</v>
      </c>
      <c r="B822" s="8" t="s">
        <v>1161</v>
      </c>
      <c r="C822" s="8" t="s">
        <v>24</v>
      </c>
      <c r="D822" s="8" t="s">
        <v>6420</v>
      </c>
      <c r="E822" s="8">
        <v>76.0</v>
      </c>
    </row>
    <row r="823">
      <c r="A823" s="8" t="s">
        <v>129</v>
      </c>
      <c r="B823" s="8" t="s">
        <v>681</v>
      </c>
      <c r="C823" s="8" t="s">
        <v>46</v>
      </c>
      <c r="D823" s="8" t="s">
        <v>6437</v>
      </c>
      <c r="E823" s="8">
        <v>78.0</v>
      </c>
    </row>
    <row r="824">
      <c r="A824" s="8" t="s">
        <v>129</v>
      </c>
      <c r="B824" s="8" t="s">
        <v>732</v>
      </c>
      <c r="C824" s="8" t="s">
        <v>186</v>
      </c>
      <c r="D824" s="8" t="s">
        <v>6429</v>
      </c>
      <c r="E824" s="8">
        <v>76.0</v>
      </c>
    </row>
    <row r="825">
      <c r="A825" s="8" t="s">
        <v>129</v>
      </c>
      <c r="B825" s="8" t="s">
        <v>570</v>
      </c>
      <c r="C825" s="8" t="s">
        <v>141</v>
      </c>
      <c r="D825" s="8" t="s">
        <v>6414</v>
      </c>
      <c r="E825" s="8">
        <v>66.0</v>
      </c>
    </row>
    <row r="826">
      <c r="A826" s="8" t="s">
        <v>129</v>
      </c>
      <c r="B826" s="8" t="s">
        <v>767</v>
      </c>
      <c r="C826" s="8" t="s">
        <v>93</v>
      </c>
      <c r="D826" s="8" t="s">
        <v>6437</v>
      </c>
      <c r="E826" s="8">
        <v>68.0</v>
      </c>
    </row>
    <row r="827">
      <c r="A827" s="8" t="s">
        <v>129</v>
      </c>
      <c r="B827" s="8" t="s">
        <v>775</v>
      </c>
      <c r="C827" s="8" t="s">
        <v>93</v>
      </c>
      <c r="D827" s="8" t="s">
        <v>6443</v>
      </c>
      <c r="E827" s="8">
        <v>61.0</v>
      </c>
    </row>
    <row r="828">
      <c r="A828" s="8" t="s">
        <v>129</v>
      </c>
      <c r="B828" s="8" t="s">
        <v>3397</v>
      </c>
      <c r="C828" s="8" t="s">
        <v>59</v>
      </c>
      <c r="D828" s="8" t="s">
        <v>6433</v>
      </c>
      <c r="E828" s="8">
        <v>58.0</v>
      </c>
    </row>
    <row r="829">
      <c r="A829" s="8" t="s">
        <v>129</v>
      </c>
      <c r="B829" s="8" t="s">
        <v>1012</v>
      </c>
      <c r="C829" s="8" t="s">
        <v>80</v>
      </c>
      <c r="D829" s="8" t="s">
        <v>6422</v>
      </c>
      <c r="E829" s="8">
        <v>77.0</v>
      </c>
    </row>
    <row r="830">
      <c r="A830" s="8" t="s">
        <v>129</v>
      </c>
      <c r="B830" s="8" t="s">
        <v>1303</v>
      </c>
      <c r="C830" s="8" t="s">
        <v>93</v>
      </c>
      <c r="D830" s="8" t="s">
        <v>6424</v>
      </c>
      <c r="E830" s="8">
        <v>74.0</v>
      </c>
    </row>
    <row r="831">
      <c r="A831" s="8" t="s">
        <v>129</v>
      </c>
      <c r="B831" s="8" t="s">
        <v>1041</v>
      </c>
      <c r="C831" s="8" t="s">
        <v>24</v>
      </c>
      <c r="D831" s="8" t="s">
        <v>6434</v>
      </c>
      <c r="E831" s="8">
        <v>64.0</v>
      </c>
    </row>
    <row r="832">
      <c r="A832" s="8" t="s">
        <v>129</v>
      </c>
      <c r="B832" s="8" t="s">
        <v>128</v>
      </c>
      <c r="C832" s="8" t="s">
        <v>80</v>
      </c>
      <c r="D832" s="8" t="s">
        <v>6435</v>
      </c>
      <c r="E832" s="8">
        <v>92.0</v>
      </c>
    </row>
    <row r="833">
      <c r="A833" s="8" t="s">
        <v>129</v>
      </c>
      <c r="B833" s="8" t="s">
        <v>3499</v>
      </c>
      <c r="C833" s="8" t="s">
        <v>65</v>
      </c>
      <c r="D833" s="8" t="s">
        <v>6431</v>
      </c>
      <c r="E833" s="8">
        <v>69.0</v>
      </c>
    </row>
    <row r="834">
      <c r="A834" s="8" t="s">
        <v>129</v>
      </c>
      <c r="B834" s="8" t="s">
        <v>1669</v>
      </c>
      <c r="C834" s="8" t="s">
        <v>149</v>
      </c>
      <c r="D834" s="8" t="s">
        <v>6417</v>
      </c>
      <c r="E834" s="8">
        <v>76.0</v>
      </c>
    </row>
    <row r="835">
      <c r="A835" s="8" t="s">
        <v>129</v>
      </c>
      <c r="B835" s="8" t="s">
        <v>1343</v>
      </c>
      <c r="C835" s="8" t="s">
        <v>141</v>
      </c>
      <c r="D835" s="8" t="s">
        <v>6430</v>
      </c>
      <c r="E835" s="8">
        <v>81.0</v>
      </c>
    </row>
    <row r="836">
      <c r="A836" s="8" t="s">
        <v>527</v>
      </c>
      <c r="B836" s="8" t="s">
        <v>3793</v>
      </c>
      <c r="C836" s="8" t="s">
        <v>149</v>
      </c>
      <c r="D836" s="8" t="s">
        <v>6422</v>
      </c>
      <c r="E836" s="8">
        <v>71.0</v>
      </c>
    </row>
    <row r="837">
      <c r="A837" s="8" t="s">
        <v>527</v>
      </c>
      <c r="B837" s="8" t="s">
        <v>3082</v>
      </c>
      <c r="C837" s="8" t="s">
        <v>24</v>
      </c>
      <c r="D837" s="8" t="s">
        <v>6428</v>
      </c>
      <c r="E837" s="8">
        <v>58.0</v>
      </c>
    </row>
    <row r="838">
      <c r="A838" s="8" t="s">
        <v>527</v>
      </c>
      <c r="B838" s="8" t="s">
        <v>3884</v>
      </c>
      <c r="C838" s="8" t="s">
        <v>53</v>
      </c>
      <c r="D838" s="8" t="s">
        <v>6428</v>
      </c>
      <c r="E838" s="8">
        <v>78.0</v>
      </c>
    </row>
    <row r="839">
      <c r="A839" s="8" t="s">
        <v>3679</v>
      </c>
      <c r="B839" s="8" t="s">
        <v>937</v>
      </c>
      <c r="C839" s="8" t="s">
        <v>186</v>
      </c>
      <c r="D839" s="8" t="s">
        <v>6440</v>
      </c>
      <c r="E839" s="8">
        <v>75.0</v>
      </c>
    </row>
    <row r="840">
      <c r="A840" s="8" t="s">
        <v>1940</v>
      </c>
      <c r="B840" s="8" t="s">
        <v>3129</v>
      </c>
      <c r="C840" s="8" t="s">
        <v>122</v>
      </c>
      <c r="D840" s="8" t="s">
        <v>6414</v>
      </c>
      <c r="E840" s="8">
        <v>66.0</v>
      </c>
    </row>
    <row r="841">
      <c r="A841" s="8" t="s">
        <v>3845</v>
      </c>
      <c r="B841" s="8" t="s">
        <v>1619</v>
      </c>
      <c r="C841" s="8" t="s">
        <v>215</v>
      </c>
      <c r="D841" s="8" t="s">
        <v>6414</v>
      </c>
      <c r="E841" s="8">
        <v>69.0</v>
      </c>
    </row>
    <row r="842">
      <c r="A842" s="8" t="s">
        <v>177</v>
      </c>
      <c r="B842" s="8" t="s">
        <v>1094</v>
      </c>
      <c r="C842" s="8" t="s">
        <v>141</v>
      </c>
      <c r="D842" s="8" t="s">
        <v>6419</v>
      </c>
      <c r="E842" s="8">
        <v>67.0</v>
      </c>
    </row>
    <row r="843">
      <c r="A843" s="8" t="s">
        <v>177</v>
      </c>
      <c r="B843" s="8" t="s">
        <v>3747</v>
      </c>
      <c r="C843" s="8" t="s">
        <v>132</v>
      </c>
      <c r="D843" s="8" t="s">
        <v>6419</v>
      </c>
      <c r="E843" s="8">
        <v>88.0</v>
      </c>
    </row>
    <row r="844">
      <c r="A844" s="8" t="s">
        <v>177</v>
      </c>
      <c r="B844" s="8" t="s">
        <v>99</v>
      </c>
      <c r="C844" s="8" t="s">
        <v>141</v>
      </c>
      <c r="D844" s="8" t="s">
        <v>6426</v>
      </c>
      <c r="E844" s="8">
        <v>75.0</v>
      </c>
    </row>
    <row r="845">
      <c r="A845" s="8" t="s">
        <v>177</v>
      </c>
      <c r="B845" s="8" t="s">
        <v>746</v>
      </c>
      <c r="C845" s="8" t="s">
        <v>65</v>
      </c>
      <c r="D845" s="8" t="s">
        <v>6426</v>
      </c>
      <c r="E845" s="8">
        <v>57.0</v>
      </c>
    </row>
    <row r="846">
      <c r="A846" s="8" t="s">
        <v>272</v>
      </c>
      <c r="B846" s="8" t="s">
        <v>271</v>
      </c>
      <c r="C846" s="8" t="s">
        <v>215</v>
      </c>
      <c r="D846" s="8" t="s">
        <v>6429</v>
      </c>
      <c r="E846" s="8">
        <v>88.0</v>
      </c>
    </row>
    <row r="847">
      <c r="A847" s="8" t="s">
        <v>342</v>
      </c>
      <c r="B847" s="8" t="s">
        <v>341</v>
      </c>
      <c r="C847" s="8" t="s">
        <v>215</v>
      </c>
      <c r="D847" s="8" t="s">
        <v>6420</v>
      </c>
      <c r="E847" s="8">
        <v>90.0</v>
      </c>
    </row>
    <row r="848">
      <c r="A848" s="8" t="s">
        <v>342</v>
      </c>
      <c r="B848" s="8" t="s">
        <v>897</v>
      </c>
      <c r="C848" s="8" t="s">
        <v>70</v>
      </c>
      <c r="D848" s="8" t="s">
        <v>6442</v>
      </c>
      <c r="E848" s="8">
        <v>80.0</v>
      </c>
    </row>
    <row r="849">
      <c r="A849" s="8" t="s">
        <v>3214</v>
      </c>
      <c r="B849" s="8" t="s">
        <v>500</v>
      </c>
      <c r="C849" s="8" t="s">
        <v>149</v>
      </c>
      <c r="D849" s="8" t="s">
        <v>6422</v>
      </c>
      <c r="E849" s="8">
        <v>66.0</v>
      </c>
    </row>
    <row r="850">
      <c r="A850" s="8" t="s">
        <v>3879</v>
      </c>
      <c r="B850" s="8" t="s">
        <v>3878</v>
      </c>
      <c r="C850" s="8" t="s">
        <v>141</v>
      </c>
      <c r="D850" s="8" t="s">
        <v>6430</v>
      </c>
      <c r="E850" s="8">
        <v>72.0</v>
      </c>
    </row>
    <row r="851">
      <c r="A851" s="8" t="s">
        <v>63</v>
      </c>
      <c r="B851" s="8" t="s">
        <v>3096</v>
      </c>
      <c r="C851" s="8" t="s">
        <v>70</v>
      </c>
      <c r="D851" s="8" t="s">
        <v>6439</v>
      </c>
      <c r="E851" s="8">
        <v>67.0</v>
      </c>
    </row>
    <row r="852">
      <c r="A852" s="8" t="s">
        <v>664</v>
      </c>
      <c r="B852" s="8" t="s">
        <v>145</v>
      </c>
      <c r="C852" s="8" t="s">
        <v>122</v>
      </c>
      <c r="D852" s="8" t="s">
        <v>6424</v>
      </c>
      <c r="E852" s="8">
        <v>93.0</v>
      </c>
    </row>
    <row r="853">
      <c r="A853" s="8" t="s">
        <v>3133</v>
      </c>
      <c r="B853" s="8" t="s">
        <v>3132</v>
      </c>
      <c r="C853" s="8" t="s">
        <v>70</v>
      </c>
      <c r="D853" s="8" t="s">
        <v>6441</v>
      </c>
      <c r="E853" s="8">
        <v>69.0</v>
      </c>
    </row>
    <row r="854">
      <c r="A854" s="8" t="s">
        <v>69</v>
      </c>
      <c r="B854" s="8" t="s">
        <v>90</v>
      </c>
      <c r="C854" s="8" t="s">
        <v>138</v>
      </c>
      <c r="D854" s="8" t="s">
        <v>6433</v>
      </c>
      <c r="E854" s="8">
        <v>65.0</v>
      </c>
    </row>
    <row r="855">
      <c r="A855" s="8" t="s">
        <v>69</v>
      </c>
      <c r="B855" s="8" t="s">
        <v>68</v>
      </c>
      <c r="C855" s="8" t="s">
        <v>70</v>
      </c>
      <c r="D855" s="8" t="s">
        <v>6428</v>
      </c>
      <c r="E855" s="8">
        <v>79.0</v>
      </c>
    </row>
    <row r="856">
      <c r="A856" s="8" t="s">
        <v>69</v>
      </c>
      <c r="B856" s="8" t="s">
        <v>557</v>
      </c>
      <c r="C856" s="8" t="s">
        <v>138</v>
      </c>
      <c r="D856" s="8" t="s">
        <v>6436</v>
      </c>
      <c r="E856" s="8">
        <v>63.0</v>
      </c>
    </row>
    <row r="857">
      <c r="A857" s="8" t="s">
        <v>69</v>
      </c>
      <c r="B857" s="8" t="s">
        <v>3151</v>
      </c>
      <c r="C857" s="8" t="s">
        <v>53</v>
      </c>
      <c r="D857" s="8" t="s">
        <v>6437</v>
      </c>
      <c r="E857" s="8">
        <v>71.0</v>
      </c>
    </row>
    <row r="858">
      <c r="A858" s="8" t="s">
        <v>2376</v>
      </c>
      <c r="B858" s="8" t="s">
        <v>3295</v>
      </c>
      <c r="C858" s="8" t="s">
        <v>65</v>
      </c>
      <c r="D858" s="8" t="s">
        <v>6437</v>
      </c>
      <c r="E858" s="8">
        <v>63.0</v>
      </c>
    </row>
    <row r="859">
      <c r="A859" s="8" t="s">
        <v>2922</v>
      </c>
      <c r="B859" s="8" t="s">
        <v>2921</v>
      </c>
      <c r="C859" s="8" t="s">
        <v>65</v>
      </c>
      <c r="D859" s="8" t="s">
        <v>6426</v>
      </c>
      <c r="E859" s="8">
        <v>58.0</v>
      </c>
    </row>
    <row r="860">
      <c r="A860" s="8" t="s">
        <v>3028</v>
      </c>
      <c r="B860" s="8" t="s">
        <v>3027</v>
      </c>
      <c r="C860" s="8" t="s">
        <v>215</v>
      </c>
      <c r="D860" s="8" t="s">
        <v>6419</v>
      </c>
      <c r="E860" s="8">
        <v>76.0</v>
      </c>
    </row>
    <row r="861">
      <c r="A861" s="8" t="s">
        <v>724</v>
      </c>
      <c r="B861" s="8" t="s">
        <v>276</v>
      </c>
      <c r="C861" s="8" t="s">
        <v>24</v>
      </c>
      <c r="D861" s="8" t="s">
        <v>6438</v>
      </c>
      <c r="E861" s="8">
        <v>60.0</v>
      </c>
    </row>
    <row r="862">
      <c r="A862" s="8" t="s">
        <v>724</v>
      </c>
      <c r="B862" s="8" t="s">
        <v>3311</v>
      </c>
      <c r="C862" s="8" t="s">
        <v>141</v>
      </c>
      <c r="D862" s="8" t="s">
        <v>6420</v>
      </c>
      <c r="E862" s="8">
        <v>65.0</v>
      </c>
    </row>
    <row r="863">
      <c r="A863" s="8" t="s">
        <v>724</v>
      </c>
      <c r="B863" s="8" t="s">
        <v>208</v>
      </c>
      <c r="C863" s="8" t="s">
        <v>75</v>
      </c>
      <c r="D863" s="8" t="s">
        <v>6438</v>
      </c>
      <c r="E863" s="8">
        <v>83.0</v>
      </c>
    </row>
    <row r="864">
      <c r="A864" s="8" t="s">
        <v>724</v>
      </c>
      <c r="B864" s="8" t="s">
        <v>396</v>
      </c>
      <c r="C864" s="8" t="s">
        <v>59</v>
      </c>
      <c r="D864" s="8" t="s">
        <v>6419</v>
      </c>
      <c r="E864" s="8">
        <v>64.0</v>
      </c>
    </row>
    <row r="865">
      <c r="A865" s="8" t="s">
        <v>724</v>
      </c>
      <c r="B865" s="8" t="s">
        <v>455</v>
      </c>
      <c r="C865" s="8" t="s">
        <v>122</v>
      </c>
      <c r="D865" s="8" t="s">
        <v>6420</v>
      </c>
      <c r="E865" s="8">
        <v>69.0</v>
      </c>
    </row>
    <row r="866">
      <c r="A866" s="8" t="s">
        <v>252</v>
      </c>
      <c r="B866" s="8" t="s">
        <v>251</v>
      </c>
      <c r="C866" s="8" t="s">
        <v>24</v>
      </c>
      <c r="D866" s="8" t="s">
        <v>6422</v>
      </c>
      <c r="E866" s="8">
        <v>75.0</v>
      </c>
    </row>
    <row r="867">
      <c r="A867" s="8" t="s">
        <v>252</v>
      </c>
      <c r="B867" s="8" t="s">
        <v>203</v>
      </c>
      <c r="C867" s="8" t="s">
        <v>24</v>
      </c>
      <c r="D867" s="8" t="s">
        <v>6412</v>
      </c>
      <c r="E867" s="8">
        <v>70.0</v>
      </c>
    </row>
    <row r="868">
      <c r="A868" s="8" t="s">
        <v>252</v>
      </c>
      <c r="B868" s="8" t="s">
        <v>2815</v>
      </c>
      <c r="C868" s="8" t="s">
        <v>16</v>
      </c>
      <c r="D868" s="8" t="s">
        <v>6418</v>
      </c>
      <c r="E868" s="8">
        <v>64.0</v>
      </c>
    </row>
    <row r="869">
      <c r="A869" s="8" t="s">
        <v>252</v>
      </c>
      <c r="B869" s="8" t="s">
        <v>783</v>
      </c>
      <c r="C869" s="8" t="s">
        <v>75</v>
      </c>
      <c r="D869" s="8" t="s">
        <v>6414</v>
      </c>
      <c r="E869" s="8">
        <v>78.0</v>
      </c>
    </row>
    <row r="870">
      <c r="A870" s="8" t="s">
        <v>252</v>
      </c>
      <c r="B870" s="8" t="s">
        <v>3459</v>
      </c>
      <c r="C870" s="8" t="s">
        <v>38</v>
      </c>
      <c r="D870" s="8" t="s">
        <v>6419</v>
      </c>
      <c r="E870" s="8">
        <v>69.0</v>
      </c>
    </row>
    <row r="871">
      <c r="A871" s="8" t="s">
        <v>3058</v>
      </c>
      <c r="B871" s="8" t="s">
        <v>3423</v>
      </c>
      <c r="C871" s="8" t="s">
        <v>141</v>
      </c>
      <c r="D871" s="8" t="s">
        <v>6430</v>
      </c>
      <c r="E871" s="8">
        <v>54.0</v>
      </c>
    </row>
    <row r="872">
      <c r="A872" s="8" t="s">
        <v>2809</v>
      </c>
      <c r="B872" s="8" t="s">
        <v>2808</v>
      </c>
      <c r="C872" s="8" t="s">
        <v>46</v>
      </c>
      <c r="D872" s="8" t="s">
        <v>6433</v>
      </c>
      <c r="E872" s="8">
        <v>72.0</v>
      </c>
    </row>
    <row r="873">
      <c r="A873" s="8" t="s">
        <v>3649</v>
      </c>
      <c r="B873" s="8" t="s">
        <v>3648</v>
      </c>
      <c r="C873" s="8" t="s">
        <v>141</v>
      </c>
      <c r="D873" s="8" t="s">
        <v>6443</v>
      </c>
      <c r="E873" s="8">
        <v>66.0</v>
      </c>
    </row>
    <row r="874">
      <c r="A874" s="8" t="s">
        <v>2157</v>
      </c>
      <c r="B874" s="8" t="s">
        <v>3541</v>
      </c>
      <c r="C874" s="8" t="s">
        <v>24</v>
      </c>
      <c r="D874" s="8" t="s">
        <v>6443</v>
      </c>
      <c r="E874" s="8">
        <v>84.0</v>
      </c>
    </row>
    <row r="875">
      <c r="A875" s="8" t="s">
        <v>2783</v>
      </c>
      <c r="B875" s="8" t="s">
        <v>2782</v>
      </c>
      <c r="C875" s="8" t="s">
        <v>24</v>
      </c>
      <c r="D875" s="8" t="s">
        <v>6442</v>
      </c>
      <c r="E875" s="8">
        <v>74.0</v>
      </c>
    </row>
    <row r="876">
      <c r="A876" s="8" t="s">
        <v>930</v>
      </c>
      <c r="B876" s="8" t="s">
        <v>929</v>
      </c>
      <c r="C876" s="8" t="s">
        <v>215</v>
      </c>
      <c r="D876" s="8" t="s">
        <v>6436</v>
      </c>
      <c r="E876" s="8">
        <v>63.0</v>
      </c>
    </row>
    <row r="877">
      <c r="A877" s="8" t="s">
        <v>239</v>
      </c>
      <c r="B877" s="8" t="s">
        <v>238</v>
      </c>
      <c r="C877" s="8" t="s">
        <v>122</v>
      </c>
      <c r="D877" s="8" t="s">
        <v>6417</v>
      </c>
      <c r="E877" s="8">
        <v>94.0</v>
      </c>
    </row>
    <row r="878">
      <c r="A878" s="8" t="s">
        <v>239</v>
      </c>
      <c r="B878" s="8" t="s">
        <v>99</v>
      </c>
      <c r="C878" s="8" t="s">
        <v>16</v>
      </c>
      <c r="D878" s="8" t="s">
        <v>6440</v>
      </c>
      <c r="E878" s="8">
        <v>73.0</v>
      </c>
    </row>
    <row r="879">
      <c r="A879" s="8" t="s">
        <v>1635</v>
      </c>
      <c r="B879" s="8" t="s">
        <v>426</v>
      </c>
      <c r="C879" s="8" t="s">
        <v>132</v>
      </c>
      <c r="D879" s="8" t="s">
        <v>6420</v>
      </c>
      <c r="E879" s="8">
        <v>81.0</v>
      </c>
    </row>
    <row r="880">
      <c r="A880" s="8" t="s">
        <v>1635</v>
      </c>
      <c r="B880" s="8" t="s">
        <v>1634</v>
      </c>
      <c r="C880" s="8" t="s">
        <v>24</v>
      </c>
      <c r="D880" s="8" t="s">
        <v>6442</v>
      </c>
      <c r="E880" s="8">
        <v>64.0</v>
      </c>
    </row>
    <row r="881">
      <c r="A881" s="8" t="s">
        <v>546</v>
      </c>
      <c r="B881" s="8" t="s">
        <v>3157</v>
      </c>
      <c r="C881" s="8" t="s">
        <v>70</v>
      </c>
      <c r="D881" s="8" t="s">
        <v>6438</v>
      </c>
      <c r="E881" s="8">
        <v>64.0</v>
      </c>
    </row>
    <row r="882">
      <c r="A882" s="8" t="s">
        <v>546</v>
      </c>
      <c r="B882" s="8" t="s">
        <v>3631</v>
      </c>
      <c r="C882" s="8" t="s">
        <v>93</v>
      </c>
      <c r="D882" s="8" t="s">
        <v>6433</v>
      </c>
      <c r="E882" s="8">
        <v>59.0</v>
      </c>
    </row>
    <row r="883">
      <c r="A883" s="8" t="s">
        <v>546</v>
      </c>
      <c r="B883" s="8" t="s">
        <v>545</v>
      </c>
      <c r="C883" s="8" t="s">
        <v>80</v>
      </c>
      <c r="D883" s="8" t="s">
        <v>6417</v>
      </c>
      <c r="E883" s="8">
        <v>84.0</v>
      </c>
    </row>
    <row r="884">
      <c r="A884" s="8" t="s">
        <v>546</v>
      </c>
      <c r="B884" s="8" t="s">
        <v>389</v>
      </c>
      <c r="C884" s="8" t="s">
        <v>215</v>
      </c>
      <c r="D884" s="8" t="s">
        <v>6426</v>
      </c>
      <c r="E884" s="8">
        <v>70.0</v>
      </c>
    </row>
    <row r="885">
      <c r="A885" s="8" t="s">
        <v>546</v>
      </c>
      <c r="B885" s="8" t="s">
        <v>3502</v>
      </c>
      <c r="C885" s="8" t="s">
        <v>70</v>
      </c>
      <c r="D885" s="8" t="s">
        <v>6420</v>
      </c>
      <c r="E885" s="8">
        <v>68.0</v>
      </c>
    </row>
    <row r="886">
      <c r="A886" s="8" t="s">
        <v>294</v>
      </c>
      <c r="B886" s="8" t="s">
        <v>726</v>
      </c>
      <c r="C886" s="8" t="s">
        <v>24</v>
      </c>
      <c r="D886" s="8" t="s">
        <v>6419</v>
      </c>
      <c r="E886" s="8">
        <v>63.0</v>
      </c>
    </row>
    <row r="887">
      <c r="A887" s="8" t="s">
        <v>294</v>
      </c>
      <c r="B887" s="8" t="s">
        <v>3687</v>
      </c>
      <c r="C887" s="8" t="s">
        <v>186</v>
      </c>
      <c r="D887" s="8" t="s">
        <v>6422</v>
      </c>
      <c r="E887" s="8">
        <v>69.0</v>
      </c>
    </row>
    <row r="888">
      <c r="A888" s="8" t="s">
        <v>294</v>
      </c>
      <c r="B888" s="8" t="s">
        <v>218</v>
      </c>
      <c r="C888" s="8" t="s">
        <v>122</v>
      </c>
      <c r="D888" s="8" t="s">
        <v>6426</v>
      </c>
      <c r="E888" s="8">
        <v>92.0</v>
      </c>
    </row>
    <row r="889">
      <c r="A889" s="8" t="s">
        <v>294</v>
      </c>
      <c r="B889" s="8" t="s">
        <v>47</v>
      </c>
      <c r="C889" s="8" t="s">
        <v>59</v>
      </c>
      <c r="D889" s="8" t="s">
        <v>6434</v>
      </c>
      <c r="E889" s="8">
        <v>61.0</v>
      </c>
    </row>
    <row r="890">
      <c r="A890" s="8" t="s">
        <v>882</v>
      </c>
      <c r="B890" s="8" t="s">
        <v>61</v>
      </c>
      <c r="C890" s="8" t="s">
        <v>65</v>
      </c>
      <c r="D890" s="8" t="s">
        <v>6425</v>
      </c>
      <c r="E890" s="8">
        <v>64.0</v>
      </c>
    </row>
    <row r="891">
      <c r="A891" s="8" t="s">
        <v>1481</v>
      </c>
      <c r="B891" s="8" t="s">
        <v>1480</v>
      </c>
      <c r="C891" s="8" t="s">
        <v>132</v>
      </c>
      <c r="D891" s="8" t="s">
        <v>6433</v>
      </c>
      <c r="E891" s="8">
        <v>75.0</v>
      </c>
    </row>
    <row r="892">
      <c r="A892" s="8" t="s">
        <v>1358</v>
      </c>
      <c r="B892" s="8" t="s">
        <v>1357</v>
      </c>
      <c r="C892" s="8" t="s">
        <v>65</v>
      </c>
      <c r="D892" s="8" t="s">
        <v>6421</v>
      </c>
      <c r="E892" s="8">
        <v>61.0</v>
      </c>
    </row>
    <row r="893">
      <c r="A893" s="8" t="s">
        <v>3281</v>
      </c>
      <c r="B893" s="8" t="s">
        <v>3280</v>
      </c>
      <c r="C893" s="8" t="s">
        <v>141</v>
      </c>
      <c r="D893" s="8" t="s">
        <v>6441</v>
      </c>
      <c r="E893" s="8">
        <v>70.0</v>
      </c>
    </row>
    <row r="894">
      <c r="A894" s="8" t="s">
        <v>604</v>
      </c>
      <c r="B894" s="8" t="s">
        <v>3780</v>
      </c>
      <c r="C894" s="8" t="s">
        <v>215</v>
      </c>
      <c r="D894" s="8" t="s">
        <v>6439</v>
      </c>
      <c r="E894" s="8">
        <v>62.0</v>
      </c>
    </row>
    <row r="895">
      <c r="A895" s="8" t="s">
        <v>604</v>
      </c>
      <c r="B895" s="8" t="s">
        <v>603</v>
      </c>
      <c r="C895" s="8" t="s">
        <v>12</v>
      </c>
      <c r="D895" s="8" t="s">
        <v>6438</v>
      </c>
      <c r="E895" s="8">
        <v>67.0</v>
      </c>
    </row>
    <row r="896">
      <c r="A896" s="8" t="s">
        <v>848</v>
      </c>
      <c r="B896" s="8" t="s">
        <v>847</v>
      </c>
      <c r="C896" s="8" t="s">
        <v>70</v>
      </c>
      <c r="D896" s="8" t="s">
        <v>6417</v>
      </c>
      <c r="E896" s="8">
        <v>85.0</v>
      </c>
    </row>
    <row r="897">
      <c r="A897" s="8" t="s">
        <v>3003</v>
      </c>
      <c r="B897" s="8" t="s">
        <v>1579</v>
      </c>
      <c r="C897" s="8" t="s">
        <v>149</v>
      </c>
      <c r="D897" s="8" t="s">
        <v>6419</v>
      </c>
      <c r="E897" s="8">
        <v>60.0</v>
      </c>
    </row>
    <row r="898">
      <c r="A898" s="8" t="s">
        <v>517</v>
      </c>
      <c r="B898" s="8" t="s">
        <v>3611</v>
      </c>
      <c r="C898" s="8" t="s">
        <v>138</v>
      </c>
      <c r="D898" s="8" t="s">
        <v>6422</v>
      </c>
      <c r="E898" s="8">
        <v>70.0</v>
      </c>
    </row>
    <row r="899">
      <c r="A899" s="8" t="s">
        <v>517</v>
      </c>
      <c r="B899" s="8" t="s">
        <v>1669</v>
      </c>
      <c r="C899" s="8" t="s">
        <v>70</v>
      </c>
      <c r="D899" s="8" t="s">
        <v>6443</v>
      </c>
      <c r="E899" s="8">
        <v>64.0</v>
      </c>
    </row>
    <row r="900">
      <c r="A900" s="8" t="s">
        <v>3009</v>
      </c>
      <c r="B900" s="8" t="s">
        <v>2054</v>
      </c>
      <c r="C900" s="8" t="s">
        <v>80</v>
      </c>
      <c r="D900" s="8" t="s">
        <v>6420</v>
      </c>
      <c r="E900" s="8">
        <v>83.0</v>
      </c>
    </row>
    <row r="901">
      <c r="A901" s="8" t="s">
        <v>325</v>
      </c>
      <c r="B901" s="8" t="s">
        <v>3085</v>
      </c>
      <c r="C901" s="8" t="s">
        <v>65</v>
      </c>
      <c r="D901" s="8" t="s">
        <v>6420</v>
      </c>
      <c r="E901" s="8">
        <v>89.0</v>
      </c>
    </row>
    <row r="902">
      <c r="A902" s="8" t="s">
        <v>3586</v>
      </c>
      <c r="B902" s="8" t="s">
        <v>3585</v>
      </c>
      <c r="C902" s="8" t="s">
        <v>149</v>
      </c>
      <c r="D902" s="8" t="s">
        <v>6426</v>
      </c>
      <c r="E902" s="8">
        <v>70.0</v>
      </c>
    </row>
    <row r="903">
      <c r="A903" s="8" t="s">
        <v>1206</v>
      </c>
      <c r="B903" s="8" t="s">
        <v>1205</v>
      </c>
      <c r="C903" s="8" t="s">
        <v>122</v>
      </c>
      <c r="D903" s="8" t="s">
        <v>6431</v>
      </c>
      <c r="E903" s="8">
        <v>72.0</v>
      </c>
    </row>
    <row r="904">
      <c r="A904" s="8" t="s">
        <v>203</v>
      </c>
      <c r="B904" s="8" t="s">
        <v>202</v>
      </c>
      <c r="C904" s="8" t="s">
        <v>12</v>
      </c>
      <c r="D904" s="8" t="s">
        <v>6441</v>
      </c>
      <c r="E904" s="8">
        <v>85.0</v>
      </c>
    </row>
    <row r="905">
      <c r="A905" s="8" t="s">
        <v>203</v>
      </c>
      <c r="B905" s="8" t="s">
        <v>926</v>
      </c>
      <c r="C905" s="8" t="s">
        <v>141</v>
      </c>
      <c r="D905" s="8" t="s">
        <v>6420</v>
      </c>
      <c r="E905" s="8">
        <v>69.0</v>
      </c>
    </row>
    <row r="906">
      <c r="A906" s="8" t="s">
        <v>124</v>
      </c>
      <c r="B906" s="8" t="s">
        <v>2481</v>
      </c>
      <c r="C906" s="8" t="s">
        <v>65</v>
      </c>
      <c r="D906" s="8" t="s">
        <v>6430</v>
      </c>
      <c r="E906" s="8">
        <v>68.0</v>
      </c>
    </row>
    <row r="907">
      <c r="A907" s="8" t="s">
        <v>124</v>
      </c>
      <c r="B907" s="8" t="s">
        <v>970</v>
      </c>
      <c r="C907" s="8" t="s">
        <v>141</v>
      </c>
      <c r="D907" s="8" t="s">
        <v>6434</v>
      </c>
      <c r="E907" s="8">
        <v>63.0</v>
      </c>
    </row>
    <row r="908">
      <c r="A908" s="8" t="s">
        <v>124</v>
      </c>
      <c r="B908" s="8" t="s">
        <v>3766</v>
      </c>
      <c r="C908" s="8" t="s">
        <v>122</v>
      </c>
      <c r="D908" s="8" t="s">
        <v>6425</v>
      </c>
      <c r="E908" s="8">
        <v>62.0</v>
      </c>
    </row>
    <row r="909">
      <c r="A909" s="8" t="s">
        <v>124</v>
      </c>
      <c r="B909" s="8" t="s">
        <v>123</v>
      </c>
      <c r="C909" s="8" t="s">
        <v>24</v>
      </c>
      <c r="D909" s="8" t="s">
        <v>6441</v>
      </c>
      <c r="E909" s="8">
        <v>93.0</v>
      </c>
    </row>
    <row r="910">
      <c r="A910" s="8" t="s">
        <v>124</v>
      </c>
      <c r="B910" s="8" t="s">
        <v>308</v>
      </c>
      <c r="C910" s="8" t="s">
        <v>46</v>
      </c>
      <c r="D910" s="8" t="s">
        <v>6414</v>
      </c>
      <c r="E910" s="8">
        <v>77.0</v>
      </c>
    </row>
    <row r="911">
      <c r="A911" s="8" t="s">
        <v>124</v>
      </c>
      <c r="B911" s="8" t="s">
        <v>3826</v>
      </c>
      <c r="C911" s="8" t="s">
        <v>65</v>
      </c>
      <c r="D911" s="8" t="s">
        <v>6430</v>
      </c>
      <c r="E911" s="8">
        <v>67.0</v>
      </c>
    </row>
    <row r="912">
      <c r="A912" s="8" t="s">
        <v>124</v>
      </c>
      <c r="B912" s="8" t="s">
        <v>3833</v>
      </c>
      <c r="C912" s="8" t="s">
        <v>24</v>
      </c>
      <c r="D912" s="8" t="s">
        <v>6427</v>
      </c>
      <c r="E912" s="8">
        <v>60.0</v>
      </c>
    </row>
    <row r="913">
      <c r="A913" s="8" t="s">
        <v>124</v>
      </c>
      <c r="B913" s="8" t="s">
        <v>3870</v>
      </c>
      <c r="C913" s="8" t="s">
        <v>93</v>
      </c>
      <c r="D913" s="8" t="s">
        <v>6416</v>
      </c>
      <c r="E913" s="8">
        <v>72.0</v>
      </c>
    </row>
    <row r="914">
      <c r="A914" s="8" t="s">
        <v>124</v>
      </c>
      <c r="B914" s="8" t="s">
        <v>2275</v>
      </c>
      <c r="C914" s="8" t="s">
        <v>141</v>
      </c>
      <c r="D914" s="8" t="s">
        <v>6439</v>
      </c>
      <c r="E914" s="8">
        <v>65.0</v>
      </c>
    </row>
    <row r="915">
      <c r="A915" s="8" t="s">
        <v>124</v>
      </c>
      <c r="B915" s="8" t="s">
        <v>335</v>
      </c>
      <c r="C915" s="8" t="s">
        <v>12</v>
      </c>
      <c r="D915" s="8" t="s">
        <v>6414</v>
      </c>
      <c r="E915" s="8">
        <v>78.0</v>
      </c>
    </row>
    <row r="916">
      <c r="A916" s="8" t="s">
        <v>3898</v>
      </c>
      <c r="B916" s="8" t="s">
        <v>3897</v>
      </c>
      <c r="C916" s="8" t="s">
        <v>65</v>
      </c>
      <c r="D916" s="8" t="s">
        <v>6415</v>
      </c>
      <c r="E916" s="8">
        <v>70.0</v>
      </c>
    </row>
    <row r="917">
      <c r="A917" s="8" t="s">
        <v>1773</v>
      </c>
      <c r="B917" s="8" t="s">
        <v>389</v>
      </c>
      <c r="C917" s="8" t="s">
        <v>70</v>
      </c>
      <c r="D917" s="8" t="s">
        <v>6431</v>
      </c>
      <c r="E917" s="8">
        <v>63.0</v>
      </c>
    </row>
    <row r="918">
      <c r="A918" s="8" t="s">
        <v>2736</v>
      </c>
      <c r="B918" s="8" t="s">
        <v>2735</v>
      </c>
      <c r="C918" s="8" t="s">
        <v>80</v>
      </c>
      <c r="D918" s="8" t="s">
        <v>6421</v>
      </c>
      <c r="E918" s="8">
        <v>83.0</v>
      </c>
    </row>
    <row r="919">
      <c r="A919" s="8" t="s">
        <v>2066</v>
      </c>
      <c r="B919" s="8" t="s">
        <v>3781</v>
      </c>
      <c r="C919" s="8" t="s">
        <v>65</v>
      </c>
      <c r="D919" s="8" t="s">
        <v>6418</v>
      </c>
      <c r="E919" s="8">
        <v>73.0</v>
      </c>
    </row>
    <row r="920">
      <c r="A920" s="8" t="s">
        <v>2066</v>
      </c>
      <c r="B920" s="8" t="s">
        <v>3106</v>
      </c>
      <c r="C920" s="8" t="s">
        <v>24</v>
      </c>
      <c r="D920" s="8" t="s">
        <v>6419</v>
      </c>
      <c r="E920" s="8">
        <v>61.0</v>
      </c>
    </row>
    <row r="921">
      <c r="A921" s="8" t="s">
        <v>2828</v>
      </c>
      <c r="B921" s="8" t="s">
        <v>1322</v>
      </c>
      <c r="C921" s="8" t="s">
        <v>46</v>
      </c>
      <c r="D921" s="8" t="s">
        <v>6424</v>
      </c>
      <c r="E921" s="8">
        <v>66.0</v>
      </c>
    </row>
    <row r="922">
      <c r="A922" s="8" t="s">
        <v>2965</v>
      </c>
      <c r="B922" s="8" t="s">
        <v>2964</v>
      </c>
      <c r="C922" s="8" t="s">
        <v>122</v>
      </c>
      <c r="D922" s="8" t="s">
        <v>6420</v>
      </c>
      <c r="E922" s="8">
        <v>82.0</v>
      </c>
    </row>
    <row r="923">
      <c r="A923" s="8" t="s">
        <v>2949</v>
      </c>
      <c r="B923" s="8" t="s">
        <v>402</v>
      </c>
      <c r="C923" s="8" t="s">
        <v>93</v>
      </c>
      <c r="D923" s="8" t="s">
        <v>6419</v>
      </c>
      <c r="E923" s="8">
        <v>62.0</v>
      </c>
    </row>
    <row r="924">
      <c r="A924" s="8" t="s">
        <v>1467</v>
      </c>
      <c r="B924" s="8" t="s">
        <v>1491</v>
      </c>
      <c r="C924" s="8" t="s">
        <v>80</v>
      </c>
      <c r="D924" s="8" t="s">
        <v>6427</v>
      </c>
      <c r="E924" s="8">
        <v>71.0</v>
      </c>
    </row>
    <row r="925">
      <c r="A925" s="8" t="s">
        <v>377</v>
      </c>
      <c r="B925" s="8" t="s">
        <v>99</v>
      </c>
      <c r="C925" s="8" t="s">
        <v>80</v>
      </c>
      <c r="D925" s="8" t="s">
        <v>6429</v>
      </c>
      <c r="E925" s="8">
        <v>94.0</v>
      </c>
    </row>
    <row r="926">
      <c r="A926" s="8" t="s">
        <v>2473</v>
      </c>
      <c r="B926" s="8" t="s">
        <v>888</v>
      </c>
      <c r="C926" s="8" t="s">
        <v>65</v>
      </c>
      <c r="D926" s="8" t="s">
        <v>6423</v>
      </c>
      <c r="E926" s="8">
        <v>73.0</v>
      </c>
    </row>
    <row r="927">
      <c r="A927" s="8" t="s">
        <v>1954</v>
      </c>
      <c r="B927" s="8" t="s">
        <v>1953</v>
      </c>
      <c r="C927" s="8" t="s">
        <v>215</v>
      </c>
      <c r="D927" s="8" t="s">
        <v>6428</v>
      </c>
      <c r="E927" s="8">
        <v>68.0</v>
      </c>
    </row>
    <row r="928">
      <c r="A928" s="8" t="s">
        <v>4827</v>
      </c>
      <c r="B928" s="8" t="s">
        <v>2879</v>
      </c>
      <c r="C928" s="8" t="s">
        <v>215</v>
      </c>
      <c r="D928" s="8" t="s">
        <v>6418</v>
      </c>
      <c r="E928" s="8">
        <v>75.0</v>
      </c>
    </row>
    <row r="929">
      <c r="A929" s="8" t="s">
        <v>2839</v>
      </c>
      <c r="B929" s="8" t="s">
        <v>3006</v>
      </c>
      <c r="C929" s="8" t="s">
        <v>59</v>
      </c>
      <c r="D929" s="8" t="s">
        <v>6413</v>
      </c>
      <c r="E929" s="8">
        <v>67.0</v>
      </c>
    </row>
    <row r="930">
      <c r="A930" s="8" t="s">
        <v>3749</v>
      </c>
      <c r="B930" s="8" t="s">
        <v>3748</v>
      </c>
      <c r="C930" s="8" t="s">
        <v>215</v>
      </c>
      <c r="D930" s="8" t="s">
        <v>6440</v>
      </c>
      <c r="E930" s="8">
        <v>58.0</v>
      </c>
    </row>
    <row r="931">
      <c r="A931" s="8" t="s">
        <v>637</v>
      </c>
      <c r="B931" s="8" t="s">
        <v>636</v>
      </c>
      <c r="C931" s="8" t="s">
        <v>138</v>
      </c>
      <c r="D931" s="8" t="s">
        <v>6428</v>
      </c>
      <c r="E931" s="8">
        <v>76.0</v>
      </c>
    </row>
    <row r="932">
      <c r="A932" s="8" t="s">
        <v>637</v>
      </c>
      <c r="B932" s="8" t="s">
        <v>2885</v>
      </c>
      <c r="C932" s="8" t="s">
        <v>24</v>
      </c>
      <c r="D932" s="8" t="s">
        <v>6412</v>
      </c>
      <c r="E932" s="8">
        <v>61.0</v>
      </c>
    </row>
    <row r="933">
      <c r="A933" s="8" t="s">
        <v>380</v>
      </c>
      <c r="B933" s="8" t="s">
        <v>644</v>
      </c>
      <c r="C933" s="8" t="s">
        <v>59</v>
      </c>
      <c r="D933" s="8" t="s">
        <v>6416</v>
      </c>
      <c r="E933" s="8">
        <v>60.0</v>
      </c>
    </row>
    <row r="934">
      <c r="A934" s="8" t="s">
        <v>1200</v>
      </c>
      <c r="B934" s="8" t="s">
        <v>284</v>
      </c>
      <c r="C934" s="8" t="s">
        <v>138</v>
      </c>
      <c r="D934" s="8" t="s">
        <v>6426</v>
      </c>
      <c r="E934" s="8">
        <v>70.0</v>
      </c>
    </row>
    <row r="935">
      <c r="A935" s="8" t="s">
        <v>702</v>
      </c>
      <c r="B935" s="8" t="s">
        <v>701</v>
      </c>
      <c r="C935" s="8" t="s">
        <v>141</v>
      </c>
      <c r="D935" s="8" t="s">
        <v>6427</v>
      </c>
      <c r="E935" s="8">
        <v>68.0</v>
      </c>
    </row>
    <row r="936">
      <c r="A936" s="8" t="s">
        <v>3869</v>
      </c>
      <c r="B936" s="8" t="s">
        <v>328</v>
      </c>
      <c r="C936" s="8" t="s">
        <v>75</v>
      </c>
      <c r="D936" s="8" t="s">
        <v>6428</v>
      </c>
      <c r="E936" s="8">
        <v>72.0</v>
      </c>
    </row>
    <row r="937">
      <c r="A937" s="8" t="s">
        <v>1380</v>
      </c>
      <c r="B937" s="8" t="s">
        <v>637</v>
      </c>
      <c r="C937" s="8" t="s">
        <v>24</v>
      </c>
      <c r="D937" s="8" t="s">
        <v>6432</v>
      </c>
      <c r="E937" s="8">
        <v>78.0</v>
      </c>
    </row>
    <row r="938">
      <c r="A938" s="8" t="s">
        <v>1380</v>
      </c>
      <c r="B938" s="8" t="s">
        <v>3043</v>
      </c>
      <c r="C938" s="8" t="s">
        <v>65</v>
      </c>
      <c r="D938" s="8" t="s">
        <v>6424</v>
      </c>
      <c r="E938" s="8">
        <v>63.0</v>
      </c>
    </row>
    <row r="939">
      <c r="A939" s="8" t="s">
        <v>1312</v>
      </c>
      <c r="B939" s="8" t="s">
        <v>3426</v>
      </c>
      <c r="C939" s="8" t="s">
        <v>59</v>
      </c>
      <c r="D939" s="8" t="s">
        <v>6414</v>
      </c>
      <c r="E939" s="8">
        <v>59.0</v>
      </c>
    </row>
    <row r="940">
      <c r="A940" s="8" t="s">
        <v>1312</v>
      </c>
      <c r="B940" s="8" t="s">
        <v>1311</v>
      </c>
      <c r="C940" s="8" t="s">
        <v>75</v>
      </c>
      <c r="D940" s="8" t="s">
        <v>6422</v>
      </c>
      <c r="E940" s="8">
        <v>67.0</v>
      </c>
    </row>
    <row r="941">
      <c r="A941" s="8" t="s">
        <v>1312</v>
      </c>
      <c r="B941" s="8" t="s">
        <v>828</v>
      </c>
      <c r="C941" s="8" t="s">
        <v>93</v>
      </c>
      <c r="D941" s="8" t="s">
        <v>6420</v>
      </c>
      <c r="E941" s="8">
        <v>63.0</v>
      </c>
    </row>
    <row r="942">
      <c r="A942" s="8" t="s">
        <v>1312</v>
      </c>
      <c r="B942" s="8" t="s">
        <v>78</v>
      </c>
      <c r="C942" s="8" t="s">
        <v>122</v>
      </c>
      <c r="D942" s="8" t="s">
        <v>6422</v>
      </c>
      <c r="E942" s="8">
        <v>82.0</v>
      </c>
    </row>
    <row r="943">
      <c r="A943" s="8" t="s">
        <v>2716</v>
      </c>
      <c r="B943" s="8" t="s">
        <v>142</v>
      </c>
      <c r="C943" s="8" t="s">
        <v>192</v>
      </c>
      <c r="D943" s="8" t="s">
        <v>6443</v>
      </c>
      <c r="E943" s="8">
        <v>70.0</v>
      </c>
    </row>
    <row r="944">
      <c r="A944" s="8" t="s">
        <v>3370</v>
      </c>
      <c r="B944" s="8" t="s">
        <v>3369</v>
      </c>
      <c r="C944" s="8" t="s">
        <v>24</v>
      </c>
      <c r="D944" s="8" t="s">
        <v>6419</v>
      </c>
      <c r="E944" s="8">
        <v>66.0</v>
      </c>
    </row>
    <row r="945">
      <c r="A945" s="8" t="s">
        <v>3623</v>
      </c>
      <c r="B945" s="8" t="s">
        <v>3622</v>
      </c>
      <c r="C945" s="8" t="s">
        <v>93</v>
      </c>
      <c r="D945" s="8" t="s">
        <v>6415</v>
      </c>
      <c r="E945" s="8">
        <v>67.0</v>
      </c>
    </row>
    <row r="946">
      <c r="A946" s="8" t="s">
        <v>3627</v>
      </c>
      <c r="B946" s="8" t="s">
        <v>3626</v>
      </c>
      <c r="C946" s="8" t="s">
        <v>138</v>
      </c>
      <c r="D946" s="8" t="s">
        <v>6430</v>
      </c>
      <c r="E946" s="8">
        <v>66.0</v>
      </c>
    </row>
    <row r="947">
      <c r="A947" s="8" t="s">
        <v>3512</v>
      </c>
      <c r="B947" s="8" t="s">
        <v>3511</v>
      </c>
      <c r="C947" s="8" t="s">
        <v>80</v>
      </c>
      <c r="D947" s="8" t="s">
        <v>6415</v>
      </c>
      <c r="E947" s="8">
        <v>76.0</v>
      </c>
    </row>
    <row r="948">
      <c r="A948" s="8" t="s">
        <v>1611</v>
      </c>
      <c r="B948" s="8" t="s">
        <v>1610</v>
      </c>
      <c r="C948" s="8" t="s">
        <v>75</v>
      </c>
      <c r="D948" s="8" t="s">
        <v>6424</v>
      </c>
      <c r="E948" s="8">
        <v>69.0</v>
      </c>
    </row>
    <row r="949">
      <c r="A949" s="8" t="s">
        <v>948</v>
      </c>
      <c r="B949" s="8" t="s">
        <v>2677</v>
      </c>
      <c r="C949" s="8" t="s">
        <v>149</v>
      </c>
      <c r="D949" s="8" t="s">
        <v>6414</v>
      </c>
      <c r="E949" s="8">
        <v>68.0</v>
      </c>
    </row>
    <row r="950">
      <c r="A950" s="8" t="s">
        <v>948</v>
      </c>
      <c r="B950" s="8" t="s">
        <v>3191</v>
      </c>
      <c r="C950" s="8" t="s">
        <v>65</v>
      </c>
      <c r="D950" s="8" t="s">
        <v>6432</v>
      </c>
      <c r="E950" s="8">
        <v>61.0</v>
      </c>
    </row>
    <row r="951">
      <c r="A951" s="8" t="s">
        <v>948</v>
      </c>
      <c r="B951" s="8" t="s">
        <v>1137</v>
      </c>
      <c r="C951" s="8" t="s">
        <v>70</v>
      </c>
      <c r="D951" s="8" t="s">
        <v>6443</v>
      </c>
      <c r="E951" s="8">
        <v>76.0</v>
      </c>
    </row>
    <row r="952">
      <c r="A952" s="8" t="s">
        <v>948</v>
      </c>
      <c r="B952" s="8" t="s">
        <v>3644</v>
      </c>
      <c r="C952" s="8" t="s">
        <v>93</v>
      </c>
      <c r="D952" s="8" t="s">
        <v>6442</v>
      </c>
      <c r="E952" s="8">
        <v>70.0</v>
      </c>
    </row>
    <row r="953">
      <c r="A953" s="8" t="s">
        <v>948</v>
      </c>
      <c r="B953" s="8" t="s">
        <v>389</v>
      </c>
      <c r="C953" s="8" t="s">
        <v>192</v>
      </c>
      <c r="D953" s="8" t="s">
        <v>6420</v>
      </c>
      <c r="E953" s="8">
        <v>61.0</v>
      </c>
    </row>
    <row r="954">
      <c r="A954" s="8" t="s">
        <v>948</v>
      </c>
      <c r="B954" s="8" t="s">
        <v>3792</v>
      </c>
      <c r="C954" s="8" t="s">
        <v>70</v>
      </c>
      <c r="D954" s="8" t="s">
        <v>6415</v>
      </c>
      <c r="E954" s="8">
        <v>67.0</v>
      </c>
    </row>
    <row r="955">
      <c r="A955" s="8" t="s">
        <v>3763</v>
      </c>
      <c r="B955" s="8" t="s">
        <v>3762</v>
      </c>
      <c r="C955" s="8" t="s">
        <v>59</v>
      </c>
      <c r="D955" s="8" t="s">
        <v>6431</v>
      </c>
      <c r="E955" s="8">
        <v>61.0</v>
      </c>
    </row>
    <row r="956">
      <c r="A956" s="8" t="s">
        <v>6392</v>
      </c>
      <c r="B956" s="8" t="s">
        <v>813</v>
      </c>
      <c r="C956" s="8" t="s">
        <v>141</v>
      </c>
      <c r="D956" s="8" t="s">
        <v>6421</v>
      </c>
      <c r="E956" s="8">
        <v>76.0</v>
      </c>
    </row>
    <row r="957">
      <c r="A957" s="8" t="s">
        <v>6393</v>
      </c>
      <c r="B957" s="8" t="s">
        <v>1258</v>
      </c>
      <c r="C957" s="8" t="s">
        <v>65</v>
      </c>
      <c r="D957" s="8" t="s">
        <v>6431</v>
      </c>
      <c r="E957" s="8">
        <v>62.0</v>
      </c>
    </row>
    <row r="958">
      <c r="A958" s="8" t="s">
        <v>6394</v>
      </c>
      <c r="B958" s="8" t="s">
        <v>158</v>
      </c>
      <c r="C958" s="8" t="s">
        <v>24</v>
      </c>
      <c r="D958" s="8" t="s">
        <v>6441</v>
      </c>
      <c r="E958" s="8">
        <v>44.0</v>
      </c>
    </row>
    <row r="959">
      <c r="A959" s="8" t="s">
        <v>6394</v>
      </c>
      <c r="B959" s="8" t="s">
        <v>220</v>
      </c>
      <c r="C959" s="8" t="s">
        <v>65</v>
      </c>
      <c r="D959" s="8" t="s">
        <v>6419</v>
      </c>
      <c r="E959" s="8">
        <v>67.0</v>
      </c>
    </row>
    <row r="960">
      <c r="A960" s="8" t="s">
        <v>6394</v>
      </c>
      <c r="B960" s="8" t="s">
        <v>448</v>
      </c>
      <c r="C960" s="8" t="s">
        <v>215</v>
      </c>
      <c r="D960" s="8" t="s">
        <v>6434</v>
      </c>
      <c r="E960" s="8">
        <v>99.0</v>
      </c>
    </row>
    <row r="961">
      <c r="A961" s="8" t="s">
        <v>6394</v>
      </c>
      <c r="B961" s="8" t="s">
        <v>830</v>
      </c>
      <c r="C961" s="8" t="s">
        <v>80</v>
      </c>
      <c r="D961" s="8" t="s">
        <v>6442</v>
      </c>
      <c r="E961" s="8">
        <v>79.0</v>
      </c>
    </row>
    <row r="962">
      <c r="A962" s="8" t="s">
        <v>6395</v>
      </c>
      <c r="B962" s="8" t="s">
        <v>439</v>
      </c>
      <c r="C962" s="8" t="s">
        <v>75</v>
      </c>
      <c r="D962" s="8" t="s">
        <v>6426</v>
      </c>
      <c r="E962" s="8">
        <v>76.0</v>
      </c>
    </row>
    <row r="963">
      <c r="A963" s="8" t="s">
        <v>6395</v>
      </c>
      <c r="B963" s="8" t="s">
        <v>2434</v>
      </c>
      <c r="C963" s="8" t="s">
        <v>59</v>
      </c>
      <c r="D963" s="8" t="s">
        <v>6423</v>
      </c>
      <c r="E963" s="8">
        <v>59.0</v>
      </c>
    </row>
    <row r="964">
      <c r="A964" s="8" t="s">
        <v>6449</v>
      </c>
      <c r="B964" s="8" t="s">
        <v>3090</v>
      </c>
      <c r="C964" s="8" t="s">
        <v>59</v>
      </c>
      <c r="D964" s="8" t="s">
        <v>6425</v>
      </c>
      <c r="E964" s="8">
        <v>76.0</v>
      </c>
    </row>
    <row r="965">
      <c r="A965" s="8" t="s">
        <v>4892</v>
      </c>
      <c r="B965" s="8" t="s">
        <v>232</v>
      </c>
      <c r="C965" s="8" t="s">
        <v>132</v>
      </c>
      <c r="D965" s="8" t="s">
        <v>6433</v>
      </c>
      <c r="E965" s="8">
        <v>67.0</v>
      </c>
    </row>
    <row r="966">
      <c r="A966" s="8" t="s">
        <v>4867</v>
      </c>
      <c r="B966" s="8" t="s">
        <v>260</v>
      </c>
      <c r="C966" s="8" t="s">
        <v>149</v>
      </c>
      <c r="D966" s="8" t="s">
        <v>6415</v>
      </c>
      <c r="E966" s="8">
        <v>75.0</v>
      </c>
    </row>
    <row r="967">
      <c r="A967" s="8" t="s">
        <v>429</v>
      </c>
      <c r="B967" s="8" t="s">
        <v>428</v>
      </c>
      <c r="C967" s="8" t="s">
        <v>215</v>
      </c>
      <c r="D967" s="8" t="s">
        <v>6436</v>
      </c>
      <c r="E967" s="8">
        <v>88.0</v>
      </c>
    </row>
    <row r="968">
      <c r="A968" s="8" t="s">
        <v>3401</v>
      </c>
      <c r="B968" s="8" t="s">
        <v>1579</v>
      </c>
      <c r="C968" s="8" t="s">
        <v>93</v>
      </c>
      <c r="D968" s="8" t="s">
        <v>6429</v>
      </c>
      <c r="E968" s="8">
        <v>65.0</v>
      </c>
    </row>
    <row r="969">
      <c r="A969" s="8" t="s">
        <v>2425</v>
      </c>
      <c r="B969" s="8" t="s">
        <v>2656</v>
      </c>
      <c r="C969" s="8" t="s">
        <v>24</v>
      </c>
      <c r="D969" s="8" t="s">
        <v>6440</v>
      </c>
      <c r="E969" s="8">
        <v>74.0</v>
      </c>
    </row>
    <row r="970">
      <c r="A970" s="8" t="s">
        <v>360</v>
      </c>
      <c r="B970" s="8" t="s">
        <v>460</v>
      </c>
      <c r="C970" s="8" t="s">
        <v>141</v>
      </c>
      <c r="D970" s="8" t="s">
        <v>6418</v>
      </c>
      <c r="E970" s="8">
        <v>59.0</v>
      </c>
    </row>
    <row r="971">
      <c r="A971" s="8" t="s">
        <v>360</v>
      </c>
      <c r="B971" s="8" t="s">
        <v>1410</v>
      </c>
      <c r="C971" s="8" t="s">
        <v>149</v>
      </c>
      <c r="D971" s="8" t="s">
        <v>6423</v>
      </c>
      <c r="E971" s="8">
        <v>79.0</v>
      </c>
    </row>
    <row r="972">
      <c r="A972" s="8" t="s">
        <v>360</v>
      </c>
      <c r="B972" s="8" t="s">
        <v>359</v>
      </c>
      <c r="C972" s="8" t="s">
        <v>122</v>
      </c>
      <c r="D972" s="8" t="s">
        <v>6442</v>
      </c>
      <c r="E972" s="8">
        <v>64.0</v>
      </c>
    </row>
    <row r="973">
      <c r="A973" s="8" t="s">
        <v>360</v>
      </c>
      <c r="B973" s="8" t="s">
        <v>509</v>
      </c>
      <c r="C973" s="8" t="s">
        <v>24</v>
      </c>
      <c r="D973" s="8" t="s">
        <v>6428</v>
      </c>
      <c r="E973" s="8">
        <v>72.0</v>
      </c>
    </row>
    <row r="974">
      <c r="A974" s="8" t="s">
        <v>360</v>
      </c>
      <c r="B974" s="8" t="s">
        <v>2944</v>
      </c>
      <c r="C974" s="8" t="s">
        <v>75</v>
      </c>
      <c r="D974" s="8" t="s">
        <v>6428</v>
      </c>
      <c r="E974" s="8">
        <v>85.0</v>
      </c>
    </row>
    <row r="975">
      <c r="A975" s="8" t="s">
        <v>1479</v>
      </c>
      <c r="B975" s="8" t="s">
        <v>3636</v>
      </c>
      <c r="C975" s="8" t="s">
        <v>141</v>
      </c>
      <c r="D975" s="8" t="s">
        <v>6421</v>
      </c>
      <c r="E975" s="8">
        <v>58.0</v>
      </c>
    </row>
    <row r="976">
      <c r="A976" s="8" t="s">
        <v>1479</v>
      </c>
      <c r="B976" s="8" t="s">
        <v>3831</v>
      </c>
      <c r="C976" s="8" t="s">
        <v>38</v>
      </c>
      <c r="D976" s="8" t="s">
        <v>6426</v>
      </c>
      <c r="E976" s="8">
        <v>78.0</v>
      </c>
    </row>
    <row r="977">
      <c r="A977" s="8" t="s">
        <v>1479</v>
      </c>
      <c r="B977" s="8" t="s">
        <v>3865</v>
      </c>
      <c r="C977" s="8" t="s">
        <v>24</v>
      </c>
      <c r="D977" s="8" t="s">
        <v>6431</v>
      </c>
      <c r="E977" s="8">
        <v>79.0</v>
      </c>
    </row>
    <row r="978">
      <c r="A978" s="8" t="s">
        <v>1103</v>
      </c>
      <c r="B978" s="8" t="s">
        <v>1102</v>
      </c>
      <c r="C978" s="8" t="s">
        <v>16</v>
      </c>
      <c r="D978" s="8" t="s">
        <v>6436</v>
      </c>
      <c r="E978" s="8">
        <v>70.0</v>
      </c>
    </row>
    <row r="979">
      <c r="A979" s="8" t="s">
        <v>1103</v>
      </c>
      <c r="B979" s="8" t="s">
        <v>517</v>
      </c>
      <c r="C979" s="8" t="s">
        <v>93</v>
      </c>
      <c r="D979" s="8" t="s">
        <v>6427</v>
      </c>
      <c r="E979" s="8">
        <v>62.0</v>
      </c>
    </row>
    <row r="980">
      <c r="A980" s="8" t="s">
        <v>3836</v>
      </c>
      <c r="B980" s="8" t="s">
        <v>1614</v>
      </c>
      <c r="C980" s="8" t="s">
        <v>93</v>
      </c>
      <c r="D980" s="8" t="s">
        <v>6424</v>
      </c>
      <c r="E980" s="8">
        <v>64.0</v>
      </c>
    </row>
    <row r="981">
      <c r="A981" s="8" t="s">
        <v>3756</v>
      </c>
      <c r="B981" s="8" t="s">
        <v>3755</v>
      </c>
      <c r="C981" s="8" t="s">
        <v>141</v>
      </c>
      <c r="D981" s="8" t="s">
        <v>6415</v>
      </c>
      <c r="E981" s="8">
        <v>70.0</v>
      </c>
    </row>
    <row r="982">
      <c r="A982" s="8" t="s">
        <v>3439</v>
      </c>
      <c r="B982" s="8" t="s">
        <v>99</v>
      </c>
      <c r="C982" s="8" t="s">
        <v>138</v>
      </c>
      <c r="D982" s="8" t="s">
        <v>6426</v>
      </c>
      <c r="E982" s="8">
        <v>74.0</v>
      </c>
    </row>
    <row r="983">
      <c r="A983" s="8" t="s">
        <v>3024</v>
      </c>
      <c r="B983" s="8" t="s">
        <v>97</v>
      </c>
      <c r="C983" s="8" t="s">
        <v>70</v>
      </c>
      <c r="D983" s="8" t="s">
        <v>6427</v>
      </c>
      <c r="E983" s="8">
        <v>75.0</v>
      </c>
    </row>
    <row r="984">
      <c r="A984" s="8" t="s">
        <v>1124</v>
      </c>
      <c r="B984" s="8" t="s">
        <v>1123</v>
      </c>
      <c r="C984" s="8" t="s">
        <v>59</v>
      </c>
      <c r="D984" s="8" t="s">
        <v>6434</v>
      </c>
      <c r="E984" s="8">
        <v>83.0</v>
      </c>
    </row>
    <row r="985">
      <c r="A985" s="8" t="s">
        <v>1630</v>
      </c>
      <c r="B985" s="8" t="s">
        <v>1629</v>
      </c>
      <c r="C985" s="8" t="s">
        <v>65</v>
      </c>
      <c r="D985" s="8" t="s">
        <v>6434</v>
      </c>
      <c r="E985" s="8">
        <v>73.0</v>
      </c>
    </row>
    <row r="986">
      <c r="A986" s="8" t="s">
        <v>3411</v>
      </c>
      <c r="B986" s="8" t="s">
        <v>1012</v>
      </c>
      <c r="C986" s="8" t="s">
        <v>149</v>
      </c>
      <c r="D986" s="8" t="s">
        <v>6437</v>
      </c>
      <c r="E986" s="8">
        <v>72.0</v>
      </c>
    </row>
    <row r="987">
      <c r="A987" s="8" t="s">
        <v>458</v>
      </c>
      <c r="B987" s="8" t="s">
        <v>457</v>
      </c>
      <c r="C987" s="8" t="s">
        <v>192</v>
      </c>
      <c r="D987" s="8" t="s">
        <v>6432</v>
      </c>
      <c r="E987" s="8">
        <v>74.0</v>
      </c>
    </row>
    <row r="988">
      <c r="A988" s="8" t="s">
        <v>3576</v>
      </c>
      <c r="B988" s="8" t="s">
        <v>1112</v>
      </c>
      <c r="C988" s="8" t="s">
        <v>80</v>
      </c>
      <c r="D988" s="8" t="s">
        <v>6418</v>
      </c>
      <c r="E988" s="8">
        <v>83.0</v>
      </c>
    </row>
    <row r="989">
      <c r="A989" s="8" t="s">
        <v>299</v>
      </c>
      <c r="B989" s="8" t="s">
        <v>1099</v>
      </c>
      <c r="C989" s="8" t="s">
        <v>141</v>
      </c>
      <c r="D989" s="8" t="s">
        <v>6442</v>
      </c>
      <c r="E989" s="8">
        <v>60.0</v>
      </c>
    </row>
    <row r="990">
      <c r="A990" s="8" t="s">
        <v>299</v>
      </c>
      <c r="B990" s="8" t="s">
        <v>3593</v>
      </c>
      <c r="C990" s="8" t="s">
        <v>16</v>
      </c>
      <c r="D990" s="8" t="s">
        <v>6419</v>
      </c>
      <c r="E990" s="8">
        <v>62.0</v>
      </c>
    </row>
    <row r="991">
      <c r="A991" s="8" t="s">
        <v>299</v>
      </c>
      <c r="B991" s="8" t="s">
        <v>681</v>
      </c>
      <c r="C991" s="8" t="s">
        <v>149</v>
      </c>
      <c r="D991" s="8" t="s">
        <v>6417</v>
      </c>
      <c r="E991" s="8">
        <v>77.0</v>
      </c>
    </row>
    <row r="992">
      <c r="A992" s="8" t="s">
        <v>299</v>
      </c>
      <c r="B992" s="8" t="s">
        <v>3678</v>
      </c>
      <c r="C992" s="8" t="s">
        <v>16</v>
      </c>
      <c r="D992" s="8" t="s">
        <v>6433</v>
      </c>
      <c r="E992" s="8">
        <v>62.0</v>
      </c>
    </row>
    <row r="993">
      <c r="A993" s="8" t="s">
        <v>299</v>
      </c>
      <c r="B993" s="8" t="s">
        <v>2890</v>
      </c>
      <c r="C993" s="8" t="s">
        <v>65</v>
      </c>
      <c r="D993" s="8" t="s">
        <v>6418</v>
      </c>
      <c r="E993" s="8">
        <v>61.0</v>
      </c>
    </row>
    <row r="994">
      <c r="A994" s="8" t="s">
        <v>299</v>
      </c>
      <c r="B994" s="8" t="s">
        <v>164</v>
      </c>
      <c r="C994" s="8" t="s">
        <v>46</v>
      </c>
      <c r="D994" s="8" t="s">
        <v>6431</v>
      </c>
      <c r="E994" s="8">
        <v>80.0</v>
      </c>
    </row>
    <row r="995">
      <c r="A995" s="8" t="s">
        <v>299</v>
      </c>
      <c r="B995" s="8" t="s">
        <v>298</v>
      </c>
      <c r="C995" s="8" t="s">
        <v>24</v>
      </c>
      <c r="D995" s="8" t="s">
        <v>6414</v>
      </c>
      <c r="E995" s="8">
        <v>44.0</v>
      </c>
    </row>
    <row r="996">
      <c r="A996" s="8" t="s">
        <v>299</v>
      </c>
      <c r="B996" s="8" t="s">
        <v>97</v>
      </c>
      <c r="C996" s="8" t="s">
        <v>46</v>
      </c>
      <c r="D996" s="8" t="s">
        <v>6425</v>
      </c>
      <c r="E996" s="8">
        <v>66.0</v>
      </c>
    </row>
    <row r="997">
      <c r="A997" s="8" t="s">
        <v>299</v>
      </c>
      <c r="B997" s="8" t="s">
        <v>1304</v>
      </c>
      <c r="C997" s="8" t="s">
        <v>16</v>
      </c>
      <c r="D997" s="8" t="s">
        <v>6420</v>
      </c>
      <c r="E997" s="8">
        <v>64.0</v>
      </c>
    </row>
    <row r="998">
      <c r="A998" s="8" t="s">
        <v>299</v>
      </c>
      <c r="B998" s="8" t="s">
        <v>67</v>
      </c>
      <c r="C998" s="8" t="s">
        <v>186</v>
      </c>
      <c r="D998" s="8" t="s">
        <v>6421</v>
      </c>
      <c r="E998" s="8">
        <v>70.0</v>
      </c>
    </row>
    <row r="999">
      <c r="A999" s="8" t="s">
        <v>1176</v>
      </c>
      <c r="B999" s="8" t="s">
        <v>700</v>
      </c>
      <c r="C999" s="8" t="s">
        <v>65</v>
      </c>
      <c r="D999" s="8" t="s">
        <v>6415</v>
      </c>
      <c r="E999" s="8">
        <v>66.0</v>
      </c>
    </row>
    <row r="1000">
      <c r="A1000" s="8" t="s">
        <v>1128</v>
      </c>
      <c r="B1000" s="8" t="s">
        <v>498</v>
      </c>
      <c r="C1000" s="8" t="s">
        <v>93</v>
      </c>
      <c r="D1000" s="8" t="s">
        <v>6431</v>
      </c>
      <c r="E1000" s="8">
        <v>71.0</v>
      </c>
    </row>
    <row r="1001">
      <c r="A1001" s="8" t="s">
        <v>1128</v>
      </c>
      <c r="B1001" s="8" t="s">
        <v>762</v>
      </c>
      <c r="C1001" s="8" t="s">
        <v>93</v>
      </c>
      <c r="D1001" s="8" t="s">
        <v>6424</v>
      </c>
      <c r="E1001" s="8">
        <v>63.0</v>
      </c>
    </row>
    <row r="1002">
      <c r="A1002" s="8" t="s">
        <v>1128</v>
      </c>
      <c r="B1002" s="8" t="s">
        <v>6396</v>
      </c>
      <c r="C1002" s="8" t="s">
        <v>93</v>
      </c>
      <c r="D1002" s="8" t="s">
        <v>6413</v>
      </c>
      <c r="E1002" s="8">
        <v>82.0</v>
      </c>
    </row>
    <row r="1003">
      <c r="A1003" s="8" t="s">
        <v>3569</v>
      </c>
      <c r="B1003" s="8" t="s">
        <v>106</v>
      </c>
      <c r="C1003" s="8" t="s">
        <v>93</v>
      </c>
      <c r="D1003" s="8" t="s">
        <v>6428</v>
      </c>
      <c r="E1003" s="8">
        <v>67.0</v>
      </c>
    </row>
    <row r="1004">
      <c r="A1004" s="8" t="s">
        <v>2790</v>
      </c>
      <c r="B1004" s="8" t="s">
        <v>685</v>
      </c>
      <c r="C1004" s="8" t="s">
        <v>261</v>
      </c>
      <c r="D1004" s="8" t="s">
        <v>6423</v>
      </c>
      <c r="E1004" s="8">
        <v>88.0</v>
      </c>
    </row>
    <row r="1005">
      <c r="A1005" s="8" t="s">
        <v>2021</v>
      </c>
      <c r="B1005" s="8" t="s">
        <v>357</v>
      </c>
      <c r="C1005" s="8" t="s">
        <v>70</v>
      </c>
      <c r="D1005" s="8" t="s">
        <v>6437</v>
      </c>
      <c r="E1005" s="8">
        <v>89.0</v>
      </c>
    </row>
    <row r="1006">
      <c r="A1006" s="8" t="s">
        <v>2021</v>
      </c>
      <c r="B1006" s="8" t="s">
        <v>284</v>
      </c>
      <c r="C1006" s="8" t="s">
        <v>65</v>
      </c>
      <c r="D1006" s="8" t="s">
        <v>6432</v>
      </c>
      <c r="E1006" s="8">
        <v>61.0</v>
      </c>
    </row>
    <row r="1007">
      <c r="A1007" s="8" t="s">
        <v>810</v>
      </c>
      <c r="B1007" s="8" t="s">
        <v>441</v>
      </c>
      <c r="C1007" s="8" t="s">
        <v>93</v>
      </c>
      <c r="D1007" s="8" t="s">
        <v>6443</v>
      </c>
      <c r="E1007" s="8">
        <v>70.0</v>
      </c>
    </row>
    <row r="1008">
      <c r="A1008" s="8" t="s">
        <v>3828</v>
      </c>
      <c r="B1008" s="8" t="s">
        <v>3827</v>
      </c>
      <c r="C1008" s="8" t="s">
        <v>192</v>
      </c>
      <c r="D1008" s="8" t="s">
        <v>6418</v>
      </c>
      <c r="E1008" s="8">
        <v>73.0</v>
      </c>
    </row>
    <row r="1009">
      <c r="A1009" s="8" t="s">
        <v>3714</v>
      </c>
      <c r="B1009" s="8" t="s">
        <v>2169</v>
      </c>
      <c r="C1009" s="8" t="s">
        <v>186</v>
      </c>
      <c r="D1009" s="8" t="s">
        <v>6430</v>
      </c>
      <c r="E1009" s="8">
        <v>70.0</v>
      </c>
    </row>
    <row r="1010">
      <c r="A1010" s="8" t="s">
        <v>1026</v>
      </c>
      <c r="B1010" s="8" t="s">
        <v>1025</v>
      </c>
      <c r="C1010" s="8" t="s">
        <v>16</v>
      </c>
      <c r="D1010" s="8" t="s">
        <v>6442</v>
      </c>
      <c r="E1010" s="8">
        <v>56.0</v>
      </c>
    </row>
    <row r="1011">
      <c r="A1011" s="8" t="s">
        <v>1670</v>
      </c>
      <c r="B1011" s="8" t="s">
        <v>1669</v>
      </c>
      <c r="C1011" s="8" t="s">
        <v>16</v>
      </c>
      <c r="D1011" s="8" t="s">
        <v>6426</v>
      </c>
      <c r="E1011" s="8">
        <v>82.0</v>
      </c>
    </row>
    <row r="1012">
      <c r="A1012" s="8" t="s">
        <v>3635</v>
      </c>
      <c r="B1012" s="8" t="s">
        <v>1171</v>
      </c>
      <c r="C1012" s="8" t="s">
        <v>192</v>
      </c>
      <c r="D1012" s="8" t="s">
        <v>6437</v>
      </c>
      <c r="E1012" s="8">
        <v>66.0</v>
      </c>
    </row>
    <row r="1013">
      <c r="A1013" s="8" t="s">
        <v>260</v>
      </c>
      <c r="B1013" s="8" t="s">
        <v>1098</v>
      </c>
      <c r="C1013" s="8" t="s">
        <v>93</v>
      </c>
      <c r="D1013" s="8" t="s">
        <v>6441</v>
      </c>
      <c r="E1013" s="8">
        <v>70.0</v>
      </c>
    </row>
    <row r="1014">
      <c r="A1014" s="8" t="s">
        <v>260</v>
      </c>
      <c r="B1014" s="8" t="s">
        <v>356</v>
      </c>
      <c r="C1014" s="8" t="s">
        <v>75</v>
      </c>
      <c r="D1014" s="8" t="s">
        <v>6440</v>
      </c>
      <c r="E1014" s="8">
        <v>79.0</v>
      </c>
    </row>
    <row r="1015">
      <c r="A1015" s="8" t="s">
        <v>260</v>
      </c>
      <c r="B1015" s="8" t="s">
        <v>663</v>
      </c>
      <c r="C1015" s="8" t="s">
        <v>138</v>
      </c>
      <c r="D1015" s="8" t="s">
        <v>6438</v>
      </c>
      <c r="E1015" s="8">
        <v>61.0</v>
      </c>
    </row>
    <row r="1016">
      <c r="A1016" s="8" t="s">
        <v>260</v>
      </c>
      <c r="B1016" s="8" t="s">
        <v>259</v>
      </c>
      <c r="C1016" s="8" t="s">
        <v>261</v>
      </c>
      <c r="D1016" s="8" t="s">
        <v>6436</v>
      </c>
      <c r="E1016" s="8">
        <v>83.0</v>
      </c>
    </row>
    <row r="1017">
      <c r="A1017" s="8" t="s">
        <v>260</v>
      </c>
      <c r="B1017" s="8" t="s">
        <v>371</v>
      </c>
      <c r="C1017" s="8" t="s">
        <v>141</v>
      </c>
      <c r="D1017" s="8" t="s">
        <v>6412</v>
      </c>
      <c r="E1017" s="8">
        <v>64.0</v>
      </c>
    </row>
    <row r="1018">
      <c r="A1018" s="8" t="s">
        <v>260</v>
      </c>
      <c r="B1018" s="8" t="s">
        <v>3296</v>
      </c>
      <c r="C1018" s="8" t="s">
        <v>24</v>
      </c>
      <c r="D1018" s="8" t="s">
        <v>6442</v>
      </c>
      <c r="E1018" s="8">
        <v>74.0</v>
      </c>
    </row>
    <row r="1019">
      <c r="A1019" s="8" t="s">
        <v>260</v>
      </c>
      <c r="B1019" s="8" t="s">
        <v>377</v>
      </c>
      <c r="C1019" s="8" t="s">
        <v>59</v>
      </c>
      <c r="D1019" s="8" t="s">
        <v>6439</v>
      </c>
      <c r="E1019" s="8">
        <v>85.0</v>
      </c>
    </row>
    <row r="1020">
      <c r="A1020" s="8" t="s">
        <v>260</v>
      </c>
      <c r="B1020" s="8" t="s">
        <v>944</v>
      </c>
      <c r="C1020" s="8" t="s">
        <v>75</v>
      </c>
      <c r="D1020" s="8" t="s">
        <v>6435</v>
      </c>
      <c r="E1020" s="8">
        <v>66.0</v>
      </c>
    </row>
    <row r="1021">
      <c r="A1021" s="8" t="s">
        <v>260</v>
      </c>
      <c r="B1021" s="8" t="s">
        <v>3715</v>
      </c>
      <c r="C1021" s="8" t="s">
        <v>186</v>
      </c>
      <c r="D1021" s="8" t="s">
        <v>6418</v>
      </c>
      <c r="E1021" s="8">
        <v>73.0</v>
      </c>
    </row>
    <row r="1022">
      <c r="A1022" s="8" t="s">
        <v>260</v>
      </c>
      <c r="B1022" s="8" t="s">
        <v>4923</v>
      </c>
      <c r="C1022" s="8" t="s">
        <v>24</v>
      </c>
      <c r="D1022" s="8" t="s">
        <v>6437</v>
      </c>
      <c r="E1022" s="8">
        <v>68.0</v>
      </c>
    </row>
    <row r="1023">
      <c r="A1023" s="8" t="s">
        <v>260</v>
      </c>
      <c r="B1023" s="8" t="s">
        <v>2228</v>
      </c>
      <c r="C1023" s="8" t="s">
        <v>192</v>
      </c>
      <c r="D1023" s="8" t="s">
        <v>6413</v>
      </c>
      <c r="E1023" s="8">
        <v>69.0</v>
      </c>
    </row>
    <row r="1024">
      <c r="A1024" s="8" t="s">
        <v>260</v>
      </c>
      <c r="B1024" s="8" t="s">
        <v>3852</v>
      </c>
      <c r="C1024" s="8" t="s">
        <v>70</v>
      </c>
      <c r="D1024" s="8" t="s">
        <v>6421</v>
      </c>
      <c r="E1024" s="8">
        <v>79.0</v>
      </c>
    </row>
    <row r="1025">
      <c r="A1025" s="8" t="s">
        <v>260</v>
      </c>
      <c r="B1025" s="8" t="s">
        <v>1055</v>
      </c>
      <c r="C1025" s="8" t="s">
        <v>70</v>
      </c>
      <c r="D1025" s="8" t="s">
        <v>6436</v>
      </c>
      <c r="E1025" s="8">
        <v>75.0</v>
      </c>
    </row>
    <row r="1026">
      <c r="A1026" s="8" t="s">
        <v>260</v>
      </c>
      <c r="B1026" s="8" t="s">
        <v>452</v>
      </c>
      <c r="C1026" s="8" t="s">
        <v>24</v>
      </c>
      <c r="D1026" s="8" t="s">
        <v>6437</v>
      </c>
      <c r="E1026" s="8">
        <v>43.0</v>
      </c>
    </row>
    <row r="1027">
      <c r="A1027" s="8" t="s">
        <v>260</v>
      </c>
      <c r="B1027" s="8" t="s">
        <v>455</v>
      </c>
      <c r="C1027" s="8" t="s">
        <v>65</v>
      </c>
      <c r="D1027" s="8" t="s">
        <v>6417</v>
      </c>
      <c r="E1027" s="8">
        <v>63.0</v>
      </c>
    </row>
    <row r="1028">
      <c r="A1028" s="8" t="s">
        <v>3699</v>
      </c>
      <c r="B1028" s="8" t="s">
        <v>389</v>
      </c>
      <c r="C1028" s="8" t="s">
        <v>59</v>
      </c>
      <c r="D1028" s="8" t="s">
        <v>6415</v>
      </c>
      <c r="E1028" s="8">
        <v>72.0</v>
      </c>
    </row>
    <row r="1029">
      <c r="A1029" s="8" t="s">
        <v>499</v>
      </c>
      <c r="B1029" s="8" t="s">
        <v>498</v>
      </c>
      <c r="C1029" s="8" t="s">
        <v>186</v>
      </c>
      <c r="D1029" s="8" t="s">
        <v>6436</v>
      </c>
      <c r="E1029" s="8">
        <v>88.0</v>
      </c>
    </row>
    <row r="1030">
      <c r="A1030" s="8" t="s">
        <v>499</v>
      </c>
      <c r="B1030" s="8" t="s">
        <v>760</v>
      </c>
      <c r="C1030" s="8" t="s">
        <v>122</v>
      </c>
      <c r="D1030" s="8" t="s">
        <v>6443</v>
      </c>
      <c r="E1030" s="8">
        <v>69.0</v>
      </c>
    </row>
    <row r="1031">
      <c r="A1031" s="8" t="s">
        <v>1136</v>
      </c>
      <c r="B1031" s="8" t="s">
        <v>1135</v>
      </c>
      <c r="C1031" s="8" t="s">
        <v>65</v>
      </c>
      <c r="D1031" s="8" t="s">
        <v>6416</v>
      </c>
      <c r="E1031" s="8">
        <v>74.0</v>
      </c>
    </row>
    <row r="1032">
      <c r="A1032" s="8" t="s">
        <v>411</v>
      </c>
      <c r="B1032" s="8" t="s">
        <v>410</v>
      </c>
      <c r="C1032" s="8" t="s">
        <v>261</v>
      </c>
      <c r="D1032" s="8" t="s">
        <v>6438</v>
      </c>
      <c r="E1032" s="8">
        <v>79.0</v>
      </c>
    </row>
    <row r="1033">
      <c r="A1033" s="8" t="s">
        <v>1106</v>
      </c>
      <c r="B1033" s="8" t="s">
        <v>106</v>
      </c>
      <c r="C1033" s="8" t="s">
        <v>132</v>
      </c>
      <c r="D1033" s="8" t="s">
        <v>6414</v>
      </c>
      <c r="E1033" s="8">
        <v>68.0</v>
      </c>
    </row>
    <row r="1034">
      <c r="A1034" s="8" t="s">
        <v>388</v>
      </c>
      <c r="B1034" s="8" t="s">
        <v>282</v>
      </c>
      <c r="C1034" s="8" t="s">
        <v>93</v>
      </c>
      <c r="D1034" s="8" t="s">
        <v>6425</v>
      </c>
      <c r="E1034" s="8">
        <v>85.0</v>
      </c>
    </row>
    <row r="1035">
      <c r="A1035" s="8" t="s">
        <v>1040</v>
      </c>
      <c r="B1035" s="8" t="s">
        <v>1039</v>
      </c>
      <c r="C1035" s="8" t="s">
        <v>192</v>
      </c>
      <c r="D1035" s="8" t="s">
        <v>6422</v>
      </c>
      <c r="E1035" s="8">
        <v>71.0</v>
      </c>
    </row>
    <row r="1036">
      <c r="A1036" s="8" t="s">
        <v>196</v>
      </c>
      <c r="B1036" s="8" t="s">
        <v>3152</v>
      </c>
      <c r="C1036" s="8" t="s">
        <v>65</v>
      </c>
      <c r="D1036" s="8" t="s">
        <v>6421</v>
      </c>
      <c r="E1036" s="8">
        <v>68.0</v>
      </c>
    </row>
    <row r="1037">
      <c r="A1037" s="8" t="s">
        <v>196</v>
      </c>
      <c r="B1037" s="8" t="s">
        <v>195</v>
      </c>
      <c r="C1037" s="8" t="s">
        <v>24</v>
      </c>
      <c r="D1037" s="8" t="s">
        <v>6421</v>
      </c>
      <c r="E1037" s="8">
        <v>80.0</v>
      </c>
    </row>
    <row r="1038">
      <c r="A1038" s="8" t="s">
        <v>196</v>
      </c>
      <c r="B1038" s="8" t="s">
        <v>3216</v>
      </c>
      <c r="C1038" s="8" t="s">
        <v>215</v>
      </c>
      <c r="D1038" s="8" t="s">
        <v>6412</v>
      </c>
      <c r="E1038" s="8">
        <v>70.0</v>
      </c>
    </row>
    <row r="1039">
      <c r="A1039" s="8" t="s">
        <v>196</v>
      </c>
      <c r="B1039" s="8" t="s">
        <v>666</v>
      </c>
      <c r="C1039" s="8" t="s">
        <v>65</v>
      </c>
      <c r="D1039" s="8" t="s">
        <v>6418</v>
      </c>
      <c r="E1039" s="8">
        <v>62.0</v>
      </c>
    </row>
    <row r="1040">
      <c r="A1040" s="8" t="s">
        <v>196</v>
      </c>
      <c r="B1040" s="8" t="s">
        <v>1809</v>
      </c>
      <c r="C1040" s="8" t="s">
        <v>16</v>
      </c>
      <c r="D1040" s="8" t="s">
        <v>6414</v>
      </c>
      <c r="E1040" s="8">
        <v>77.0</v>
      </c>
    </row>
    <row r="1041">
      <c r="A1041" s="8" t="s">
        <v>196</v>
      </c>
      <c r="B1041" s="8" t="s">
        <v>1270</v>
      </c>
      <c r="C1041" s="8" t="s">
        <v>186</v>
      </c>
      <c r="D1041" s="8" t="s">
        <v>6441</v>
      </c>
      <c r="E1041" s="8">
        <v>57.0</v>
      </c>
    </row>
    <row r="1042">
      <c r="A1042" s="8" t="s">
        <v>196</v>
      </c>
      <c r="B1042" s="8" t="s">
        <v>3786</v>
      </c>
      <c r="C1042" s="8" t="s">
        <v>215</v>
      </c>
      <c r="D1042" s="8" t="s">
        <v>6413</v>
      </c>
      <c r="E1042" s="8">
        <v>78.0</v>
      </c>
    </row>
    <row r="1043">
      <c r="A1043" s="8" t="s">
        <v>196</v>
      </c>
      <c r="B1043" s="8" t="s">
        <v>3111</v>
      </c>
      <c r="C1043" s="8" t="s">
        <v>46</v>
      </c>
      <c r="D1043" s="8" t="s">
        <v>6419</v>
      </c>
      <c r="E1043" s="8">
        <v>85.0</v>
      </c>
    </row>
    <row r="1044">
      <c r="A1044" s="8" t="s">
        <v>625</v>
      </c>
      <c r="B1044" s="8" t="s">
        <v>455</v>
      </c>
      <c r="C1044" s="8" t="s">
        <v>65</v>
      </c>
      <c r="D1044" s="8" t="s">
        <v>6429</v>
      </c>
      <c r="E1044" s="8">
        <v>75.0</v>
      </c>
    </row>
    <row r="1045">
      <c r="A1045" s="8" t="s">
        <v>481</v>
      </c>
      <c r="B1045" s="8" t="s">
        <v>106</v>
      </c>
      <c r="C1045" s="8" t="s">
        <v>65</v>
      </c>
      <c r="D1045" s="8" t="s">
        <v>6419</v>
      </c>
      <c r="E1045" s="8">
        <v>72.0</v>
      </c>
    </row>
    <row r="1046">
      <c r="A1046" s="8" t="s">
        <v>1588</v>
      </c>
      <c r="B1046" s="8" t="s">
        <v>223</v>
      </c>
      <c r="C1046" s="8" t="s">
        <v>122</v>
      </c>
      <c r="D1046" s="8" t="s">
        <v>6433</v>
      </c>
      <c r="E1046" s="8">
        <v>73.0</v>
      </c>
    </row>
    <row r="1047">
      <c r="A1047" s="8" t="s">
        <v>1205</v>
      </c>
      <c r="B1047" s="8" t="s">
        <v>2315</v>
      </c>
      <c r="C1047" s="8" t="s">
        <v>65</v>
      </c>
      <c r="D1047" s="8" t="s">
        <v>6430</v>
      </c>
      <c r="E1047" s="8">
        <v>67.0</v>
      </c>
    </row>
    <row r="1048">
      <c r="A1048" s="8" t="s">
        <v>1668</v>
      </c>
      <c r="B1048" s="8" t="s">
        <v>3404</v>
      </c>
      <c r="C1048" s="8" t="s">
        <v>75</v>
      </c>
      <c r="D1048" s="8" t="s">
        <v>6437</v>
      </c>
      <c r="E1048" s="8">
        <v>64.0</v>
      </c>
    </row>
    <row r="1049">
      <c r="A1049" s="8" t="s">
        <v>1227</v>
      </c>
      <c r="B1049" s="8" t="s">
        <v>377</v>
      </c>
      <c r="C1049" s="8" t="s">
        <v>132</v>
      </c>
      <c r="D1049" s="8" t="s">
        <v>6440</v>
      </c>
      <c r="E1049" s="8">
        <v>67.0</v>
      </c>
    </row>
    <row r="1050">
      <c r="A1050" s="8" t="s">
        <v>1227</v>
      </c>
      <c r="B1050" s="8" t="s">
        <v>282</v>
      </c>
      <c r="C1050" s="8" t="s">
        <v>138</v>
      </c>
      <c r="D1050" s="8" t="s">
        <v>6440</v>
      </c>
      <c r="E1050" s="8">
        <v>66.0</v>
      </c>
    </row>
    <row r="1051">
      <c r="A1051" s="8" t="s">
        <v>1227</v>
      </c>
      <c r="B1051" s="8" t="s">
        <v>284</v>
      </c>
      <c r="C1051" s="8" t="s">
        <v>59</v>
      </c>
      <c r="D1051" s="8" t="s">
        <v>6439</v>
      </c>
      <c r="E1051" s="8">
        <v>73.0</v>
      </c>
    </row>
    <row r="1052">
      <c r="A1052" s="8" t="s">
        <v>1227</v>
      </c>
      <c r="B1052" s="8" t="s">
        <v>1226</v>
      </c>
      <c r="C1052" s="8" t="s">
        <v>65</v>
      </c>
      <c r="D1052" s="8" t="s">
        <v>6415</v>
      </c>
      <c r="E1052" s="8">
        <v>87.0</v>
      </c>
    </row>
    <row r="1053">
      <c r="A1053" s="8" t="s">
        <v>45</v>
      </c>
      <c r="B1053" s="8" t="s">
        <v>3630</v>
      </c>
      <c r="C1053" s="8" t="s">
        <v>59</v>
      </c>
      <c r="D1053" s="8" t="s">
        <v>6422</v>
      </c>
      <c r="E1053" s="8">
        <v>60.0</v>
      </c>
    </row>
    <row r="1054">
      <c r="A1054" s="8" t="s">
        <v>45</v>
      </c>
      <c r="B1054" s="8" t="s">
        <v>284</v>
      </c>
      <c r="C1054" s="8" t="s">
        <v>215</v>
      </c>
      <c r="D1054" s="8" t="s">
        <v>6415</v>
      </c>
      <c r="E1054" s="8">
        <v>77.0</v>
      </c>
    </row>
    <row r="1055">
      <c r="A1055" s="8" t="s">
        <v>45</v>
      </c>
      <c r="B1055" s="8" t="s">
        <v>290</v>
      </c>
      <c r="C1055" s="8" t="s">
        <v>141</v>
      </c>
      <c r="D1055" s="8" t="s">
        <v>6424</v>
      </c>
      <c r="E1055" s="8">
        <v>85.0</v>
      </c>
    </row>
    <row r="1056">
      <c r="A1056" s="8" t="s">
        <v>45</v>
      </c>
      <c r="B1056" s="8" t="s">
        <v>216</v>
      </c>
      <c r="C1056" s="8" t="s">
        <v>93</v>
      </c>
      <c r="D1056" s="8" t="s">
        <v>6423</v>
      </c>
      <c r="E1056" s="8">
        <v>80.0</v>
      </c>
    </row>
    <row r="1057">
      <c r="A1057" s="8" t="s">
        <v>45</v>
      </c>
      <c r="B1057" s="8" t="s">
        <v>769</v>
      </c>
      <c r="C1057" s="8" t="s">
        <v>12</v>
      </c>
      <c r="D1057" s="8" t="s">
        <v>6413</v>
      </c>
      <c r="E1057" s="8">
        <v>77.0</v>
      </c>
    </row>
    <row r="1058">
      <c r="A1058" s="8" t="s">
        <v>45</v>
      </c>
      <c r="B1058" s="8" t="s">
        <v>44</v>
      </c>
      <c r="C1058" s="8" t="s">
        <v>46</v>
      </c>
      <c r="D1058" s="8" t="s">
        <v>6424</v>
      </c>
      <c r="E1058" s="8">
        <v>87.0</v>
      </c>
    </row>
    <row r="1059">
      <c r="A1059" s="8" t="s">
        <v>45</v>
      </c>
      <c r="B1059" s="8" t="s">
        <v>414</v>
      </c>
      <c r="C1059" s="8" t="s">
        <v>138</v>
      </c>
      <c r="D1059" s="8" t="s">
        <v>6425</v>
      </c>
      <c r="E1059" s="8">
        <v>85.0</v>
      </c>
    </row>
    <row r="1060">
      <c r="A1060" s="8" t="s">
        <v>45</v>
      </c>
      <c r="B1060" s="8" t="s">
        <v>1622</v>
      </c>
      <c r="C1060" s="8" t="s">
        <v>46</v>
      </c>
      <c r="D1060" s="8" t="s">
        <v>6421</v>
      </c>
      <c r="E1060" s="8">
        <v>70.0</v>
      </c>
    </row>
    <row r="1061">
      <c r="A1061" s="8" t="s">
        <v>45</v>
      </c>
      <c r="B1061" s="8" t="s">
        <v>820</v>
      </c>
      <c r="C1061" s="8" t="s">
        <v>93</v>
      </c>
      <c r="D1061" s="8" t="s">
        <v>6432</v>
      </c>
      <c r="E1061" s="8">
        <v>88.0</v>
      </c>
    </row>
    <row r="1062">
      <c r="A1062" s="8" t="s">
        <v>45</v>
      </c>
      <c r="B1062" s="8" t="s">
        <v>3891</v>
      </c>
      <c r="C1062" s="8" t="s">
        <v>46</v>
      </c>
      <c r="D1062" s="8" t="s">
        <v>6427</v>
      </c>
      <c r="E1062" s="8">
        <v>65.0</v>
      </c>
    </row>
    <row r="1063">
      <c r="A1063" s="8" t="s">
        <v>45</v>
      </c>
      <c r="B1063" s="8" t="s">
        <v>56</v>
      </c>
      <c r="C1063" s="8" t="s">
        <v>24</v>
      </c>
      <c r="D1063" s="8" t="s">
        <v>6442</v>
      </c>
      <c r="E1063" s="8">
        <v>87.0</v>
      </c>
    </row>
    <row r="1064">
      <c r="A1064" s="8" t="s">
        <v>3564</v>
      </c>
      <c r="B1064" s="8" t="s">
        <v>478</v>
      </c>
      <c r="C1064" s="8" t="s">
        <v>186</v>
      </c>
      <c r="D1064" s="8" t="s">
        <v>6425</v>
      </c>
      <c r="E1064" s="8">
        <v>72.0</v>
      </c>
    </row>
    <row r="1065">
      <c r="A1065" s="8" t="s">
        <v>1385</v>
      </c>
      <c r="B1065" s="8" t="s">
        <v>106</v>
      </c>
      <c r="C1065" s="8" t="s">
        <v>53</v>
      </c>
      <c r="D1065" s="8" t="s">
        <v>6432</v>
      </c>
      <c r="E1065" s="8">
        <v>65.0</v>
      </c>
    </row>
    <row r="1066">
      <c r="A1066" s="8" t="s">
        <v>3528</v>
      </c>
      <c r="B1066" s="8" t="s">
        <v>3527</v>
      </c>
      <c r="C1066" s="8" t="s">
        <v>93</v>
      </c>
      <c r="D1066" s="8" t="s">
        <v>6430</v>
      </c>
      <c r="E1066" s="8">
        <v>73.0</v>
      </c>
    </row>
    <row r="1067">
      <c r="A1067" s="8" t="s">
        <v>1186</v>
      </c>
      <c r="B1067" s="8" t="s">
        <v>1185</v>
      </c>
      <c r="C1067" s="8" t="s">
        <v>122</v>
      </c>
      <c r="D1067" s="8" t="s">
        <v>6439</v>
      </c>
      <c r="E1067" s="8">
        <v>68.0</v>
      </c>
    </row>
    <row r="1068">
      <c r="A1068" s="8" t="s">
        <v>3681</v>
      </c>
      <c r="B1068" s="8" t="s">
        <v>2127</v>
      </c>
      <c r="C1068" s="8" t="s">
        <v>65</v>
      </c>
      <c r="D1068" s="8" t="s">
        <v>6432</v>
      </c>
      <c r="E1068" s="8">
        <v>67.0</v>
      </c>
    </row>
    <row r="1069">
      <c r="A1069" s="8" t="s">
        <v>635</v>
      </c>
      <c r="B1069" s="8" t="s">
        <v>460</v>
      </c>
      <c r="C1069" s="8" t="s">
        <v>70</v>
      </c>
      <c r="D1069" s="8" t="s">
        <v>6435</v>
      </c>
      <c r="E1069" s="8">
        <v>74.0</v>
      </c>
    </row>
    <row r="1070">
      <c r="A1070" s="8" t="s">
        <v>2651</v>
      </c>
      <c r="B1070" s="8" t="s">
        <v>2650</v>
      </c>
      <c r="C1070" s="8" t="s">
        <v>70</v>
      </c>
      <c r="D1070" s="8" t="s">
        <v>6415</v>
      </c>
      <c r="E1070" s="8">
        <v>75.0</v>
      </c>
    </row>
    <row r="1071">
      <c r="A1071" s="8" t="s">
        <v>2651</v>
      </c>
      <c r="B1071" s="8" t="s">
        <v>2704</v>
      </c>
      <c r="C1071" s="8" t="s">
        <v>122</v>
      </c>
      <c r="D1071" s="8" t="s">
        <v>6425</v>
      </c>
      <c r="E1071" s="8">
        <v>67.0</v>
      </c>
    </row>
    <row r="1072">
      <c r="A1072" s="8" t="s">
        <v>2651</v>
      </c>
      <c r="B1072" s="8" t="s">
        <v>3601</v>
      </c>
      <c r="C1072" s="8" t="s">
        <v>16</v>
      </c>
      <c r="D1072" s="8" t="s">
        <v>6427</v>
      </c>
      <c r="E1072" s="8">
        <v>80.0</v>
      </c>
    </row>
    <row r="1073">
      <c r="A1073" s="8" t="s">
        <v>2651</v>
      </c>
      <c r="B1073" s="8" t="s">
        <v>42</v>
      </c>
      <c r="C1073" s="8" t="s">
        <v>65</v>
      </c>
      <c r="D1073" s="8" t="s">
        <v>6420</v>
      </c>
      <c r="E1073" s="8">
        <v>60.0</v>
      </c>
    </row>
    <row r="1074">
      <c r="A1074" s="8" t="s">
        <v>2651</v>
      </c>
      <c r="B1074" s="8" t="s">
        <v>3004</v>
      </c>
      <c r="C1074" s="8" t="s">
        <v>261</v>
      </c>
      <c r="D1074" s="8" t="s">
        <v>6434</v>
      </c>
      <c r="E1074" s="8">
        <v>81.0</v>
      </c>
    </row>
    <row r="1075">
      <c r="A1075" s="8" t="s">
        <v>3306</v>
      </c>
      <c r="B1075" s="8" t="s">
        <v>1200</v>
      </c>
      <c r="C1075" s="8" t="s">
        <v>138</v>
      </c>
      <c r="D1075" s="8" t="s">
        <v>6437</v>
      </c>
      <c r="E1075" s="8">
        <v>83.0</v>
      </c>
    </row>
    <row r="1076">
      <c r="A1076" s="8" t="s">
        <v>1051</v>
      </c>
      <c r="B1076" s="8" t="s">
        <v>1050</v>
      </c>
      <c r="C1076" s="8" t="s">
        <v>93</v>
      </c>
      <c r="D1076" s="8" t="s">
        <v>6424</v>
      </c>
      <c r="E1076" s="8">
        <v>68.0</v>
      </c>
    </row>
    <row r="1077">
      <c r="A1077" s="8" t="s">
        <v>1971</v>
      </c>
      <c r="B1077" s="8" t="s">
        <v>99</v>
      </c>
      <c r="C1077" s="8" t="s">
        <v>186</v>
      </c>
      <c r="D1077" s="8" t="s">
        <v>6442</v>
      </c>
      <c r="E1077" s="8">
        <v>76.0</v>
      </c>
    </row>
    <row r="1078">
      <c r="A1078" s="8" t="s">
        <v>1495</v>
      </c>
      <c r="B1078" s="8" t="s">
        <v>557</v>
      </c>
      <c r="C1078" s="8" t="s">
        <v>192</v>
      </c>
      <c r="D1078" s="8" t="s">
        <v>6429</v>
      </c>
      <c r="E1078" s="8">
        <v>64.0</v>
      </c>
    </row>
    <row r="1079">
      <c r="A1079" s="8" t="s">
        <v>898</v>
      </c>
      <c r="B1079" s="8" t="s">
        <v>897</v>
      </c>
      <c r="C1079" s="8" t="s">
        <v>53</v>
      </c>
      <c r="D1079" s="8" t="s">
        <v>6421</v>
      </c>
      <c r="E1079" s="8">
        <v>68.0</v>
      </c>
    </row>
    <row r="1080">
      <c r="A1080" s="8" t="s">
        <v>3608</v>
      </c>
      <c r="B1080" s="8" t="s">
        <v>3607</v>
      </c>
      <c r="C1080" s="8" t="s">
        <v>53</v>
      </c>
      <c r="D1080" s="8" t="s">
        <v>6417</v>
      </c>
      <c r="E1080" s="8">
        <v>67.0</v>
      </c>
    </row>
    <row r="1081">
      <c r="A1081" s="8" t="s">
        <v>5010</v>
      </c>
      <c r="B1081" s="8" t="s">
        <v>3667</v>
      </c>
      <c r="C1081" s="8" t="s">
        <v>24</v>
      </c>
      <c r="D1081" s="8" t="s">
        <v>6422</v>
      </c>
      <c r="E1081" s="8">
        <v>65.0</v>
      </c>
    </row>
    <row r="1082">
      <c r="A1082" s="8" t="s">
        <v>712</v>
      </c>
      <c r="B1082" s="8" t="s">
        <v>835</v>
      </c>
      <c r="C1082" s="8" t="s">
        <v>149</v>
      </c>
      <c r="D1082" s="8" t="s">
        <v>6434</v>
      </c>
      <c r="E1082" s="8">
        <v>73.0</v>
      </c>
    </row>
    <row r="1083">
      <c r="A1083" s="8" t="s">
        <v>712</v>
      </c>
      <c r="B1083" s="8" t="s">
        <v>460</v>
      </c>
      <c r="C1083" s="8" t="s">
        <v>132</v>
      </c>
      <c r="D1083" s="8" t="s">
        <v>6434</v>
      </c>
      <c r="E1083" s="8">
        <v>78.0</v>
      </c>
    </row>
    <row r="1084">
      <c r="A1084" s="8" t="s">
        <v>712</v>
      </c>
      <c r="B1084" s="8" t="s">
        <v>3219</v>
      </c>
      <c r="C1084" s="8" t="s">
        <v>24</v>
      </c>
      <c r="D1084" s="8" t="s">
        <v>6432</v>
      </c>
      <c r="E1084" s="8">
        <v>72.0</v>
      </c>
    </row>
    <row r="1085">
      <c r="A1085" s="8" t="s">
        <v>712</v>
      </c>
      <c r="B1085" s="8" t="s">
        <v>1157</v>
      </c>
      <c r="C1085" s="8" t="s">
        <v>16</v>
      </c>
      <c r="D1085" s="8" t="s">
        <v>6422</v>
      </c>
      <c r="E1085" s="8">
        <v>66.0</v>
      </c>
    </row>
    <row r="1086">
      <c r="A1086" s="8" t="s">
        <v>712</v>
      </c>
      <c r="B1086" s="8" t="s">
        <v>918</v>
      </c>
      <c r="C1086" s="8" t="s">
        <v>65</v>
      </c>
      <c r="D1086" s="8" t="s">
        <v>6433</v>
      </c>
      <c r="E1086" s="8">
        <v>62.0</v>
      </c>
    </row>
    <row r="1087">
      <c r="A1087" s="8" t="s">
        <v>712</v>
      </c>
      <c r="B1087" s="8" t="s">
        <v>711</v>
      </c>
      <c r="C1087" s="8" t="s">
        <v>80</v>
      </c>
      <c r="D1087" s="8" t="s">
        <v>6442</v>
      </c>
      <c r="E1087" s="8">
        <v>73.0</v>
      </c>
    </row>
    <row r="1088">
      <c r="A1088" s="8" t="s">
        <v>712</v>
      </c>
      <c r="B1088" s="8" t="s">
        <v>1195</v>
      </c>
      <c r="C1088" s="8" t="s">
        <v>24</v>
      </c>
      <c r="D1088" s="8" t="s">
        <v>6412</v>
      </c>
      <c r="E1088" s="8">
        <v>71.0</v>
      </c>
    </row>
    <row r="1089">
      <c r="A1089" s="8" t="s">
        <v>712</v>
      </c>
      <c r="B1089" s="8" t="s">
        <v>2861</v>
      </c>
      <c r="C1089" s="8" t="s">
        <v>65</v>
      </c>
      <c r="D1089" s="8" t="s">
        <v>6421</v>
      </c>
      <c r="E1089" s="8">
        <v>71.0</v>
      </c>
    </row>
    <row r="1090">
      <c r="A1090" s="8" t="s">
        <v>712</v>
      </c>
      <c r="B1090" s="8" t="s">
        <v>3727</v>
      </c>
      <c r="C1090" s="8" t="s">
        <v>75</v>
      </c>
      <c r="D1090" s="8" t="s">
        <v>6413</v>
      </c>
      <c r="E1090" s="8">
        <v>72.0</v>
      </c>
    </row>
    <row r="1091">
      <c r="A1091" s="8" t="s">
        <v>712</v>
      </c>
      <c r="B1091" s="8" t="s">
        <v>2907</v>
      </c>
      <c r="C1091" s="8" t="s">
        <v>38</v>
      </c>
      <c r="D1091" s="8" t="s">
        <v>6429</v>
      </c>
      <c r="E1091" s="8">
        <v>74.0</v>
      </c>
    </row>
    <row r="1092">
      <c r="A1092" s="8" t="s">
        <v>3318</v>
      </c>
      <c r="B1092" s="8" t="s">
        <v>282</v>
      </c>
      <c r="C1092" s="8" t="s">
        <v>59</v>
      </c>
      <c r="D1092" s="8" t="s">
        <v>6415</v>
      </c>
      <c r="E1092" s="8">
        <v>78.0</v>
      </c>
    </row>
    <row r="1093">
      <c r="A1093" s="8" t="s">
        <v>3791</v>
      </c>
      <c r="B1093" s="8" t="s">
        <v>3790</v>
      </c>
      <c r="C1093" s="8" t="s">
        <v>215</v>
      </c>
      <c r="D1093" s="8" t="s">
        <v>6434</v>
      </c>
      <c r="E1093" s="8">
        <v>63.0</v>
      </c>
    </row>
    <row r="1094">
      <c r="A1094" s="8" t="s">
        <v>1470</v>
      </c>
      <c r="B1094" s="8" t="s">
        <v>1187</v>
      </c>
      <c r="C1094" s="8" t="s">
        <v>46</v>
      </c>
      <c r="D1094" s="8" t="s">
        <v>6439</v>
      </c>
      <c r="E1094" s="8">
        <v>67.0</v>
      </c>
    </row>
    <row r="1095">
      <c r="A1095" s="8" t="s">
        <v>3549</v>
      </c>
      <c r="B1095" s="8" t="s">
        <v>646</v>
      </c>
      <c r="C1095" s="8" t="s">
        <v>192</v>
      </c>
      <c r="D1095" s="8" t="s">
        <v>6422</v>
      </c>
      <c r="E1095" s="8">
        <v>60.0</v>
      </c>
    </row>
    <row r="1096">
      <c r="A1096" s="8" t="s">
        <v>3506</v>
      </c>
      <c r="B1096" s="8" t="s">
        <v>3505</v>
      </c>
      <c r="C1096" s="8" t="s">
        <v>122</v>
      </c>
      <c r="D1096" s="8" t="s">
        <v>6430</v>
      </c>
      <c r="E1096" s="8">
        <v>67.0</v>
      </c>
    </row>
    <row r="1097">
      <c r="A1097" s="8" t="s">
        <v>1072</v>
      </c>
      <c r="B1097" s="8" t="s">
        <v>835</v>
      </c>
      <c r="C1097" s="8" t="s">
        <v>24</v>
      </c>
      <c r="D1097" s="8" t="s">
        <v>6425</v>
      </c>
      <c r="E1097" s="8">
        <v>66.0</v>
      </c>
    </row>
    <row r="1098">
      <c r="A1098" s="8" t="s">
        <v>798</v>
      </c>
      <c r="B1098" s="8" t="s">
        <v>1076</v>
      </c>
      <c r="C1098" s="8" t="s">
        <v>53</v>
      </c>
      <c r="D1098" s="8" t="s">
        <v>6432</v>
      </c>
      <c r="E1098" s="8">
        <v>81.0</v>
      </c>
    </row>
    <row r="1099">
      <c r="A1099" s="8" t="s">
        <v>798</v>
      </c>
      <c r="B1099" s="8" t="s">
        <v>546</v>
      </c>
      <c r="C1099" s="8" t="s">
        <v>59</v>
      </c>
      <c r="D1099" s="8" t="s">
        <v>6426</v>
      </c>
      <c r="E1099" s="8">
        <v>68.0</v>
      </c>
    </row>
    <row r="1100">
      <c r="A1100" s="8" t="s">
        <v>798</v>
      </c>
      <c r="B1100" s="8" t="s">
        <v>3000</v>
      </c>
      <c r="C1100" s="8" t="s">
        <v>75</v>
      </c>
      <c r="D1100" s="8" t="s">
        <v>6423</v>
      </c>
      <c r="E1100" s="8">
        <v>68.0</v>
      </c>
    </row>
    <row r="1101">
      <c r="A1101" s="8" t="s">
        <v>798</v>
      </c>
      <c r="B1101" s="8" t="s">
        <v>797</v>
      </c>
      <c r="C1101" s="8" t="s">
        <v>149</v>
      </c>
      <c r="D1101" s="8" t="s">
        <v>6429</v>
      </c>
      <c r="E1101" s="8">
        <v>62.0</v>
      </c>
    </row>
    <row r="1102">
      <c r="A1102" s="8" t="s">
        <v>822</v>
      </c>
      <c r="B1102" s="8" t="s">
        <v>3198</v>
      </c>
      <c r="C1102" s="8" t="s">
        <v>186</v>
      </c>
      <c r="D1102" s="8" t="s">
        <v>6441</v>
      </c>
      <c r="E1102" s="8">
        <v>62.0</v>
      </c>
    </row>
    <row r="1103">
      <c r="A1103" s="8" t="s">
        <v>822</v>
      </c>
      <c r="B1103" s="8" t="s">
        <v>89</v>
      </c>
      <c r="C1103" s="8" t="s">
        <v>93</v>
      </c>
      <c r="D1103" s="8" t="s">
        <v>6416</v>
      </c>
      <c r="E1103" s="8">
        <v>67.0</v>
      </c>
    </row>
    <row r="1104">
      <c r="A1104" s="8" t="s">
        <v>822</v>
      </c>
      <c r="B1104" s="8" t="s">
        <v>537</v>
      </c>
      <c r="C1104" s="8" t="s">
        <v>70</v>
      </c>
      <c r="D1104" s="8" t="s">
        <v>6417</v>
      </c>
      <c r="E1104" s="8">
        <v>81.0</v>
      </c>
    </row>
    <row r="1105">
      <c r="A1105" s="8" t="s">
        <v>822</v>
      </c>
      <c r="B1105" s="8" t="s">
        <v>2876</v>
      </c>
      <c r="C1105" s="8" t="s">
        <v>65</v>
      </c>
      <c r="D1105" s="8" t="s">
        <v>6420</v>
      </c>
      <c r="E1105" s="8">
        <v>72.0</v>
      </c>
    </row>
    <row r="1106">
      <c r="A1106" s="8" t="s">
        <v>822</v>
      </c>
      <c r="B1106" s="8" t="s">
        <v>552</v>
      </c>
      <c r="C1106" s="8" t="s">
        <v>93</v>
      </c>
      <c r="D1106" s="8" t="s">
        <v>6433</v>
      </c>
      <c r="E1106" s="8">
        <v>77.0</v>
      </c>
    </row>
    <row r="1107">
      <c r="A1107" s="8" t="s">
        <v>822</v>
      </c>
      <c r="B1107" s="8" t="s">
        <v>963</v>
      </c>
      <c r="C1107" s="8" t="s">
        <v>70</v>
      </c>
      <c r="D1107" s="8" t="s">
        <v>6427</v>
      </c>
      <c r="E1107" s="8">
        <v>76.0</v>
      </c>
    </row>
    <row r="1108">
      <c r="A1108" s="8" t="s">
        <v>822</v>
      </c>
      <c r="B1108" s="8" t="s">
        <v>2911</v>
      </c>
      <c r="C1108" s="8" t="s">
        <v>65</v>
      </c>
      <c r="D1108" s="8" t="s">
        <v>6437</v>
      </c>
      <c r="E1108" s="8">
        <v>86.0</v>
      </c>
    </row>
    <row r="1109">
      <c r="A1109" s="8" t="s">
        <v>822</v>
      </c>
      <c r="B1109" s="8" t="s">
        <v>597</v>
      </c>
      <c r="C1109" s="8" t="s">
        <v>65</v>
      </c>
      <c r="D1109" s="8" t="s">
        <v>6440</v>
      </c>
      <c r="E1109" s="8">
        <v>66.0</v>
      </c>
    </row>
    <row r="1110">
      <c r="A1110" s="8" t="s">
        <v>822</v>
      </c>
      <c r="B1110" s="8" t="s">
        <v>821</v>
      </c>
      <c r="C1110" s="8" t="s">
        <v>132</v>
      </c>
      <c r="D1110" s="8" t="s">
        <v>6428</v>
      </c>
      <c r="E1110" s="8">
        <v>63.0</v>
      </c>
    </row>
    <row r="1111">
      <c r="A1111" s="8" t="s">
        <v>822</v>
      </c>
      <c r="B1111" s="8" t="s">
        <v>3510</v>
      </c>
      <c r="C1111" s="8" t="s">
        <v>141</v>
      </c>
      <c r="D1111" s="8" t="s">
        <v>6435</v>
      </c>
      <c r="E1111" s="8">
        <v>81.0</v>
      </c>
    </row>
    <row r="1112">
      <c r="A1112" s="8" t="s">
        <v>981</v>
      </c>
      <c r="B1112" s="8" t="s">
        <v>980</v>
      </c>
      <c r="C1112" s="8" t="s">
        <v>70</v>
      </c>
      <c r="D1112" s="8" t="s">
        <v>6429</v>
      </c>
      <c r="E1112" s="8">
        <v>76.0</v>
      </c>
    </row>
    <row r="1113">
      <c r="A1113" s="8" t="s">
        <v>558</v>
      </c>
      <c r="B1113" s="8" t="s">
        <v>2819</v>
      </c>
      <c r="C1113" s="8" t="s">
        <v>24</v>
      </c>
      <c r="D1113" s="8" t="s">
        <v>6419</v>
      </c>
      <c r="E1113" s="8">
        <v>84.0</v>
      </c>
    </row>
    <row r="1114">
      <c r="A1114" s="8" t="s">
        <v>558</v>
      </c>
      <c r="B1114" s="8" t="s">
        <v>557</v>
      </c>
      <c r="C1114" s="8" t="s">
        <v>65</v>
      </c>
      <c r="D1114" s="8" t="s">
        <v>6433</v>
      </c>
      <c r="E1114" s="8">
        <v>80.0</v>
      </c>
    </row>
    <row r="1115">
      <c r="A1115" s="8" t="s">
        <v>2987</v>
      </c>
      <c r="B1115" s="8" t="s">
        <v>2986</v>
      </c>
      <c r="C1115" s="8" t="s">
        <v>149</v>
      </c>
      <c r="D1115" s="8" t="s">
        <v>6413</v>
      </c>
      <c r="E1115" s="8">
        <v>77.0</v>
      </c>
    </row>
    <row r="1116">
      <c r="A1116" s="8" t="s">
        <v>2710</v>
      </c>
      <c r="B1116" s="8" t="s">
        <v>2709</v>
      </c>
      <c r="C1116" s="8" t="s">
        <v>75</v>
      </c>
      <c r="D1116" s="8" t="s">
        <v>6415</v>
      </c>
      <c r="E1116" s="8">
        <v>81.0</v>
      </c>
    </row>
    <row r="1117">
      <c r="A1117" s="8" t="s">
        <v>665</v>
      </c>
      <c r="B1117" s="8" t="s">
        <v>502</v>
      </c>
      <c r="C1117" s="8" t="s">
        <v>24</v>
      </c>
      <c r="D1117" s="8" t="s">
        <v>6423</v>
      </c>
      <c r="E1117" s="8">
        <v>66.0</v>
      </c>
    </row>
    <row r="1118">
      <c r="A1118" s="8" t="s">
        <v>665</v>
      </c>
      <c r="B1118" s="8" t="s">
        <v>3633</v>
      </c>
      <c r="C1118" s="8" t="s">
        <v>261</v>
      </c>
      <c r="D1118" s="8" t="s">
        <v>6430</v>
      </c>
      <c r="E1118" s="8">
        <v>73.0</v>
      </c>
    </row>
    <row r="1119">
      <c r="A1119" s="8" t="s">
        <v>665</v>
      </c>
      <c r="B1119" s="8" t="s">
        <v>3844</v>
      </c>
      <c r="C1119" s="8" t="s">
        <v>65</v>
      </c>
      <c r="D1119" s="8" t="s">
        <v>6422</v>
      </c>
      <c r="E1119" s="8">
        <v>68.0</v>
      </c>
    </row>
    <row r="1120">
      <c r="A1120" s="8" t="s">
        <v>3806</v>
      </c>
      <c r="B1120" s="8" t="s">
        <v>2402</v>
      </c>
      <c r="C1120" s="8" t="s">
        <v>93</v>
      </c>
      <c r="D1120" s="8" t="s">
        <v>6435</v>
      </c>
      <c r="E1120" s="8">
        <v>76.0</v>
      </c>
    </row>
    <row r="1121">
      <c r="A1121" s="8" t="s">
        <v>3258</v>
      </c>
      <c r="B1121" s="8" t="s">
        <v>916</v>
      </c>
      <c r="C1121" s="8" t="s">
        <v>186</v>
      </c>
      <c r="D1121" s="8" t="s">
        <v>6427</v>
      </c>
      <c r="E1121" s="8">
        <v>86.0</v>
      </c>
    </row>
    <row r="1122">
      <c r="A1122" s="8" t="s">
        <v>3258</v>
      </c>
      <c r="B1122" s="8" t="s">
        <v>3805</v>
      </c>
      <c r="C1122" s="8" t="s">
        <v>122</v>
      </c>
      <c r="D1122" s="8" t="s">
        <v>6416</v>
      </c>
      <c r="E1122" s="8">
        <v>67.0</v>
      </c>
    </row>
    <row r="1123">
      <c r="A1123" s="8" t="s">
        <v>279</v>
      </c>
      <c r="B1123" s="8" t="s">
        <v>1796</v>
      </c>
      <c r="C1123" s="8" t="s">
        <v>186</v>
      </c>
      <c r="D1123" s="8" t="s">
        <v>6420</v>
      </c>
      <c r="E1123" s="8">
        <v>63.0</v>
      </c>
    </row>
    <row r="1124">
      <c r="A1124" s="8" t="s">
        <v>279</v>
      </c>
      <c r="B1124" s="8" t="s">
        <v>278</v>
      </c>
      <c r="C1124" s="8" t="s">
        <v>215</v>
      </c>
      <c r="D1124" s="8" t="s">
        <v>6430</v>
      </c>
      <c r="E1124" s="8">
        <v>88.0</v>
      </c>
    </row>
    <row r="1125">
      <c r="A1125" s="8" t="s">
        <v>884</v>
      </c>
      <c r="B1125" s="8" t="s">
        <v>260</v>
      </c>
      <c r="C1125" s="8" t="s">
        <v>24</v>
      </c>
      <c r="D1125" s="8" t="s">
        <v>6439</v>
      </c>
      <c r="E1125" s="8">
        <v>67.0</v>
      </c>
    </row>
    <row r="1126">
      <c r="A1126" s="8" t="s">
        <v>3808</v>
      </c>
      <c r="B1126" s="8" t="s">
        <v>3807</v>
      </c>
      <c r="C1126" s="8" t="s">
        <v>70</v>
      </c>
      <c r="D1126" s="8" t="s">
        <v>6429</v>
      </c>
      <c r="E1126" s="8">
        <v>65.0</v>
      </c>
    </row>
    <row r="1127">
      <c r="A1127" s="8" t="s">
        <v>1659</v>
      </c>
      <c r="B1127" s="8" t="s">
        <v>825</v>
      </c>
      <c r="C1127" s="8" t="s">
        <v>138</v>
      </c>
      <c r="D1127" s="8" t="s">
        <v>6438</v>
      </c>
      <c r="E1127" s="8">
        <v>71.0</v>
      </c>
    </row>
    <row r="1128">
      <c r="A1128" s="8" t="s">
        <v>3616</v>
      </c>
      <c r="B1128" s="8" t="s">
        <v>3615</v>
      </c>
      <c r="C1128" s="8" t="s">
        <v>24</v>
      </c>
      <c r="D1128" s="8" t="s">
        <v>6430</v>
      </c>
      <c r="E1128" s="8">
        <v>70.0</v>
      </c>
    </row>
    <row r="1129">
      <c r="A1129" s="8" t="s">
        <v>826</v>
      </c>
      <c r="B1129" s="8" t="s">
        <v>825</v>
      </c>
      <c r="C1129" s="8" t="s">
        <v>93</v>
      </c>
      <c r="D1129" s="8" t="s">
        <v>6422</v>
      </c>
      <c r="E1129" s="8">
        <v>75.0</v>
      </c>
    </row>
    <row r="1130">
      <c r="A1130" s="8" t="s">
        <v>204</v>
      </c>
      <c r="B1130" s="8" t="s">
        <v>923</v>
      </c>
      <c r="C1130" s="8" t="s">
        <v>16</v>
      </c>
      <c r="D1130" s="8" t="s">
        <v>6436</v>
      </c>
      <c r="E1130" s="8">
        <v>72.0</v>
      </c>
    </row>
    <row r="1131">
      <c r="A1131" s="8" t="s">
        <v>204</v>
      </c>
      <c r="B1131" s="8" t="s">
        <v>203</v>
      </c>
      <c r="C1131" s="8" t="s">
        <v>24</v>
      </c>
      <c r="D1131" s="8" t="s">
        <v>6433</v>
      </c>
      <c r="E1131" s="8">
        <v>89.0</v>
      </c>
    </row>
    <row r="1132">
      <c r="A1132" s="8" t="s">
        <v>204</v>
      </c>
      <c r="B1132" s="8" t="s">
        <v>3712</v>
      </c>
      <c r="C1132" s="8" t="s">
        <v>24</v>
      </c>
      <c r="D1132" s="8" t="s">
        <v>6420</v>
      </c>
      <c r="E1132" s="8">
        <v>46.0</v>
      </c>
    </row>
    <row r="1133">
      <c r="A1133" s="8" t="s">
        <v>204</v>
      </c>
      <c r="B1133" s="8" t="s">
        <v>99</v>
      </c>
      <c r="C1133" s="8" t="s">
        <v>93</v>
      </c>
      <c r="D1133" s="8" t="s">
        <v>6435</v>
      </c>
      <c r="E1133" s="8">
        <v>81.0</v>
      </c>
    </row>
    <row r="1134">
      <c r="A1134" s="8" t="s">
        <v>204</v>
      </c>
      <c r="B1134" s="8" t="s">
        <v>3854</v>
      </c>
      <c r="C1134" s="8" t="s">
        <v>215</v>
      </c>
      <c r="D1134" s="8" t="s">
        <v>6437</v>
      </c>
      <c r="E1134" s="8">
        <v>56.0</v>
      </c>
    </row>
    <row r="1135">
      <c r="A1135" s="8" t="s">
        <v>204</v>
      </c>
      <c r="B1135" s="8" t="s">
        <v>451</v>
      </c>
      <c r="C1135" s="8" t="s">
        <v>80</v>
      </c>
      <c r="D1135" s="8" t="s">
        <v>6417</v>
      </c>
      <c r="E1135" s="8">
        <v>72.0</v>
      </c>
    </row>
    <row r="1136">
      <c r="A1136" s="8" t="s">
        <v>102</v>
      </c>
      <c r="B1136" s="8" t="s">
        <v>2672</v>
      </c>
      <c r="C1136" s="8" t="s">
        <v>149</v>
      </c>
      <c r="D1136" s="8" t="s">
        <v>6432</v>
      </c>
      <c r="E1136" s="8">
        <v>80.0</v>
      </c>
    </row>
    <row r="1137">
      <c r="A1137" s="8" t="s">
        <v>102</v>
      </c>
      <c r="B1137" s="8" t="s">
        <v>3172</v>
      </c>
      <c r="C1137" s="8" t="s">
        <v>141</v>
      </c>
      <c r="D1137" s="8" t="s">
        <v>6429</v>
      </c>
      <c r="E1137" s="8">
        <v>83.0</v>
      </c>
    </row>
    <row r="1138">
      <c r="A1138" s="8" t="s">
        <v>102</v>
      </c>
      <c r="B1138" s="8" t="s">
        <v>870</v>
      </c>
      <c r="C1138" s="8" t="s">
        <v>16</v>
      </c>
      <c r="D1138" s="8" t="s">
        <v>6421</v>
      </c>
      <c r="E1138" s="8">
        <v>62.0</v>
      </c>
    </row>
    <row r="1139">
      <c r="A1139" s="8" t="s">
        <v>102</v>
      </c>
      <c r="B1139" s="8" t="s">
        <v>873</v>
      </c>
      <c r="C1139" s="8" t="s">
        <v>24</v>
      </c>
      <c r="D1139" s="8" t="s">
        <v>6436</v>
      </c>
      <c r="E1139" s="8">
        <v>40.0</v>
      </c>
    </row>
    <row r="1140">
      <c r="A1140" s="8" t="s">
        <v>102</v>
      </c>
      <c r="B1140" s="8" t="s">
        <v>1139</v>
      </c>
      <c r="C1140" s="8" t="s">
        <v>75</v>
      </c>
      <c r="D1140" s="8" t="s">
        <v>6420</v>
      </c>
      <c r="E1140" s="8">
        <v>65.0</v>
      </c>
    </row>
    <row r="1141">
      <c r="A1141" s="8" t="s">
        <v>102</v>
      </c>
      <c r="B1141" s="8" t="s">
        <v>112</v>
      </c>
      <c r="C1141" s="8" t="s">
        <v>16</v>
      </c>
      <c r="D1141" s="8" t="s">
        <v>6435</v>
      </c>
      <c r="E1141" s="8">
        <v>81.0</v>
      </c>
    </row>
    <row r="1142">
      <c r="A1142" s="8" t="s">
        <v>102</v>
      </c>
      <c r="B1142" s="8" t="s">
        <v>376</v>
      </c>
      <c r="C1142" s="8" t="s">
        <v>93</v>
      </c>
      <c r="D1142" s="8" t="s">
        <v>6443</v>
      </c>
      <c r="E1142" s="8">
        <v>86.0</v>
      </c>
    </row>
    <row r="1143">
      <c r="A1143" s="8" t="s">
        <v>102</v>
      </c>
      <c r="B1143" s="8" t="s">
        <v>1180</v>
      </c>
      <c r="C1143" s="8" t="s">
        <v>149</v>
      </c>
      <c r="D1143" s="8" t="s">
        <v>6428</v>
      </c>
      <c r="E1143" s="8">
        <v>69.0</v>
      </c>
    </row>
    <row r="1144">
      <c r="A1144" s="8" t="s">
        <v>102</v>
      </c>
      <c r="B1144" s="8" t="s">
        <v>3298</v>
      </c>
      <c r="C1144" s="8" t="s">
        <v>141</v>
      </c>
      <c r="D1144" s="8" t="s">
        <v>6426</v>
      </c>
      <c r="E1144" s="8">
        <v>67.0</v>
      </c>
    </row>
    <row r="1145">
      <c r="A1145" s="8" t="s">
        <v>102</v>
      </c>
      <c r="B1145" s="8" t="s">
        <v>3724</v>
      </c>
      <c r="C1145" s="8" t="s">
        <v>16</v>
      </c>
      <c r="D1145" s="8" t="s">
        <v>6417</v>
      </c>
      <c r="E1145" s="8">
        <v>61.0</v>
      </c>
    </row>
    <row r="1146">
      <c r="A1146" s="8" t="s">
        <v>102</v>
      </c>
      <c r="B1146" s="8" t="s">
        <v>574</v>
      </c>
      <c r="C1146" s="8" t="s">
        <v>141</v>
      </c>
      <c r="D1146" s="8" t="s">
        <v>6442</v>
      </c>
      <c r="E1146" s="8">
        <v>64.0</v>
      </c>
    </row>
    <row r="1147">
      <c r="A1147" s="8" t="s">
        <v>102</v>
      </c>
      <c r="B1147" s="8" t="s">
        <v>3814</v>
      </c>
      <c r="C1147" s="8" t="s">
        <v>149</v>
      </c>
      <c r="D1147" s="8" t="s">
        <v>6428</v>
      </c>
      <c r="E1147" s="8">
        <v>79.0</v>
      </c>
    </row>
    <row r="1148">
      <c r="A1148" s="8" t="s">
        <v>102</v>
      </c>
      <c r="B1148" s="8" t="s">
        <v>1600</v>
      </c>
      <c r="C1148" s="8" t="s">
        <v>59</v>
      </c>
      <c r="D1148" s="8" t="s">
        <v>6443</v>
      </c>
      <c r="E1148" s="8">
        <v>65.0</v>
      </c>
    </row>
    <row r="1149">
      <c r="A1149" s="8" t="s">
        <v>102</v>
      </c>
      <c r="B1149" s="8" t="s">
        <v>3851</v>
      </c>
      <c r="C1149" s="8" t="s">
        <v>24</v>
      </c>
      <c r="D1149" s="8" t="s">
        <v>6427</v>
      </c>
      <c r="E1149" s="8">
        <v>63.0</v>
      </c>
    </row>
    <row r="1150">
      <c r="A1150" s="8" t="s">
        <v>102</v>
      </c>
      <c r="B1150" s="8" t="s">
        <v>101</v>
      </c>
      <c r="C1150" s="8" t="s">
        <v>46</v>
      </c>
      <c r="D1150" s="8" t="s">
        <v>6422</v>
      </c>
      <c r="E1150" s="8">
        <v>89.0</v>
      </c>
    </row>
    <row r="1151">
      <c r="A1151" s="8" t="s">
        <v>102</v>
      </c>
      <c r="B1151" s="8" t="s">
        <v>62</v>
      </c>
      <c r="C1151" s="8" t="s">
        <v>46</v>
      </c>
      <c r="D1151" s="8" t="s">
        <v>6443</v>
      </c>
      <c r="E1151" s="8">
        <v>97.0</v>
      </c>
    </row>
    <row r="1152">
      <c r="A1152" s="8" t="s">
        <v>102</v>
      </c>
      <c r="B1152" s="8" t="s">
        <v>62</v>
      </c>
      <c r="C1152" s="8" t="s">
        <v>186</v>
      </c>
      <c r="D1152" s="8" t="s">
        <v>6421</v>
      </c>
      <c r="E1152" s="8">
        <v>70.0</v>
      </c>
    </row>
    <row r="1153">
      <c r="A1153" s="8" t="s">
        <v>102</v>
      </c>
      <c r="B1153" s="8" t="s">
        <v>1318</v>
      </c>
      <c r="C1153" s="8" t="s">
        <v>75</v>
      </c>
      <c r="D1153" s="8" t="s">
        <v>6436</v>
      </c>
      <c r="E1153" s="8">
        <v>70.0</v>
      </c>
    </row>
    <row r="1154">
      <c r="A1154" s="8" t="s">
        <v>102</v>
      </c>
      <c r="B1154" s="8" t="s">
        <v>3494</v>
      </c>
      <c r="C1154" s="8" t="s">
        <v>122</v>
      </c>
      <c r="D1154" s="8" t="s">
        <v>6436</v>
      </c>
      <c r="E1154" s="8">
        <v>70.0</v>
      </c>
    </row>
    <row r="1155">
      <c r="A1155" s="8" t="s">
        <v>102</v>
      </c>
      <c r="B1155" s="8" t="s">
        <v>104</v>
      </c>
      <c r="C1155" s="8" t="s">
        <v>186</v>
      </c>
      <c r="D1155" s="8" t="s">
        <v>6424</v>
      </c>
      <c r="E1155" s="8">
        <v>60.0</v>
      </c>
    </row>
    <row r="1156">
      <c r="A1156" s="8" t="s">
        <v>102</v>
      </c>
      <c r="B1156" s="8" t="s">
        <v>232</v>
      </c>
      <c r="C1156" s="8" t="s">
        <v>16</v>
      </c>
      <c r="D1156" s="8" t="s">
        <v>6441</v>
      </c>
      <c r="E1156" s="8">
        <v>65.0</v>
      </c>
    </row>
    <row r="1157">
      <c r="A1157" s="8" t="s">
        <v>850</v>
      </c>
      <c r="B1157" s="8" t="s">
        <v>849</v>
      </c>
      <c r="C1157" s="8" t="s">
        <v>75</v>
      </c>
      <c r="D1157" s="8" t="s">
        <v>6443</v>
      </c>
      <c r="E1157" s="8">
        <v>83.0</v>
      </c>
    </row>
    <row r="1158">
      <c r="A1158" s="8" t="s">
        <v>850</v>
      </c>
      <c r="B1158" s="8" t="s">
        <v>711</v>
      </c>
      <c r="C1158" s="8" t="s">
        <v>138</v>
      </c>
      <c r="D1158" s="8" t="s">
        <v>6434</v>
      </c>
      <c r="E1158" s="8">
        <v>57.0</v>
      </c>
    </row>
    <row r="1159">
      <c r="A1159" s="8" t="s">
        <v>850</v>
      </c>
      <c r="B1159" s="8" t="s">
        <v>3447</v>
      </c>
      <c r="C1159" s="8" t="s">
        <v>16</v>
      </c>
      <c r="D1159" s="8" t="s">
        <v>6429</v>
      </c>
      <c r="E1159" s="8">
        <v>63.0</v>
      </c>
    </row>
    <row r="1160">
      <c r="A1160" s="8" t="s">
        <v>1249</v>
      </c>
      <c r="B1160" s="8" t="s">
        <v>1709</v>
      </c>
      <c r="C1160" s="8" t="s">
        <v>138</v>
      </c>
      <c r="D1160" s="8" t="s">
        <v>6432</v>
      </c>
      <c r="E1160" s="8">
        <v>79.0</v>
      </c>
    </row>
    <row r="1161">
      <c r="A1161" s="8" t="s">
        <v>1249</v>
      </c>
      <c r="B1161" s="8" t="s">
        <v>205</v>
      </c>
      <c r="C1161" s="8" t="s">
        <v>141</v>
      </c>
      <c r="D1161" s="8" t="s">
        <v>6433</v>
      </c>
      <c r="E1161" s="8">
        <v>67.0</v>
      </c>
    </row>
    <row r="1162">
      <c r="A1162" s="8" t="s">
        <v>1249</v>
      </c>
      <c r="B1162" s="8" t="s">
        <v>1248</v>
      </c>
      <c r="C1162" s="8" t="s">
        <v>122</v>
      </c>
      <c r="D1162" s="8" t="s">
        <v>6431</v>
      </c>
      <c r="E1162" s="8">
        <v>59.0</v>
      </c>
    </row>
    <row r="1163">
      <c r="A1163" s="8" t="s">
        <v>23</v>
      </c>
      <c r="B1163" s="8" t="s">
        <v>106</v>
      </c>
      <c r="C1163" s="8" t="s">
        <v>65</v>
      </c>
      <c r="D1163" s="8" t="s">
        <v>6419</v>
      </c>
      <c r="E1163" s="8">
        <v>86.0</v>
      </c>
    </row>
    <row r="1164">
      <c r="A1164" s="8" t="s">
        <v>23</v>
      </c>
      <c r="B1164" s="8" t="s">
        <v>2745</v>
      </c>
      <c r="C1164" s="8" t="s">
        <v>70</v>
      </c>
      <c r="D1164" s="8" t="s">
        <v>6421</v>
      </c>
      <c r="E1164" s="8">
        <v>67.0</v>
      </c>
    </row>
    <row r="1165">
      <c r="A1165" s="8" t="s">
        <v>23</v>
      </c>
      <c r="B1165" s="8" t="s">
        <v>22</v>
      </c>
      <c r="C1165" s="8" t="s">
        <v>24</v>
      </c>
      <c r="D1165" s="8" t="s">
        <v>6415</v>
      </c>
      <c r="E1165" s="8">
        <v>48.0</v>
      </c>
    </row>
    <row r="1166">
      <c r="A1166" s="8" t="s">
        <v>23</v>
      </c>
      <c r="B1166" s="8" t="s">
        <v>3606</v>
      </c>
      <c r="C1166" s="8" t="s">
        <v>24</v>
      </c>
      <c r="D1166" s="8" t="s">
        <v>6424</v>
      </c>
      <c r="E1166" s="8">
        <v>43.0</v>
      </c>
    </row>
    <row r="1167">
      <c r="A1167" s="8" t="s">
        <v>23</v>
      </c>
      <c r="B1167" s="8" t="s">
        <v>2816</v>
      </c>
      <c r="C1167" s="8" t="s">
        <v>132</v>
      </c>
      <c r="D1167" s="8" t="s">
        <v>6443</v>
      </c>
      <c r="E1167" s="8">
        <v>77.0</v>
      </c>
    </row>
    <row r="1168">
      <c r="A1168" s="8" t="s">
        <v>23</v>
      </c>
      <c r="B1168" s="8" t="s">
        <v>3690</v>
      </c>
      <c r="C1168" s="8" t="s">
        <v>215</v>
      </c>
      <c r="D1168" s="8" t="s">
        <v>6443</v>
      </c>
      <c r="E1168" s="8">
        <v>70.0</v>
      </c>
    </row>
    <row r="1169">
      <c r="A1169" s="8" t="s">
        <v>23</v>
      </c>
      <c r="B1169" s="8" t="s">
        <v>282</v>
      </c>
      <c r="C1169" s="8" t="s">
        <v>122</v>
      </c>
      <c r="D1169" s="8" t="s">
        <v>6418</v>
      </c>
      <c r="E1169" s="8">
        <v>78.0</v>
      </c>
    </row>
    <row r="1170">
      <c r="A1170" s="8" t="s">
        <v>23</v>
      </c>
      <c r="B1170" s="8" t="s">
        <v>279</v>
      </c>
      <c r="C1170" s="8" t="s">
        <v>132</v>
      </c>
      <c r="D1170" s="8" t="s">
        <v>6425</v>
      </c>
      <c r="E1170" s="8">
        <v>73.0</v>
      </c>
    </row>
    <row r="1171">
      <c r="A1171" s="8" t="s">
        <v>23</v>
      </c>
      <c r="B1171" s="8" t="s">
        <v>575</v>
      </c>
      <c r="C1171" s="8" t="s">
        <v>59</v>
      </c>
      <c r="D1171" s="8" t="s">
        <v>6438</v>
      </c>
      <c r="E1171" s="8">
        <v>65.0</v>
      </c>
    </row>
    <row r="1172">
      <c r="A1172" s="8" t="s">
        <v>23</v>
      </c>
      <c r="B1172" s="8" t="s">
        <v>402</v>
      </c>
      <c r="C1172" s="8" t="s">
        <v>132</v>
      </c>
      <c r="D1172" s="8" t="s">
        <v>6430</v>
      </c>
      <c r="E1172" s="8">
        <v>69.0</v>
      </c>
    </row>
    <row r="1173">
      <c r="A1173" s="8" t="s">
        <v>23</v>
      </c>
      <c r="B1173" s="8" t="s">
        <v>601</v>
      </c>
      <c r="C1173" s="8" t="s">
        <v>59</v>
      </c>
      <c r="D1173" s="8" t="s">
        <v>6434</v>
      </c>
      <c r="E1173" s="8">
        <v>74.0</v>
      </c>
    </row>
    <row r="1174">
      <c r="A1174" s="8" t="s">
        <v>23</v>
      </c>
      <c r="B1174" s="8" t="s">
        <v>1632</v>
      </c>
      <c r="C1174" s="8" t="s">
        <v>141</v>
      </c>
      <c r="D1174" s="8" t="s">
        <v>6429</v>
      </c>
      <c r="E1174" s="8">
        <v>86.0</v>
      </c>
    </row>
    <row r="1175">
      <c r="A1175" s="8" t="s">
        <v>23</v>
      </c>
      <c r="B1175" s="8" t="s">
        <v>3467</v>
      </c>
      <c r="C1175" s="8" t="s">
        <v>46</v>
      </c>
      <c r="D1175" s="8" t="s">
        <v>6422</v>
      </c>
      <c r="E1175" s="8">
        <v>63.0</v>
      </c>
    </row>
    <row r="1176">
      <c r="A1176" s="8" t="s">
        <v>23</v>
      </c>
      <c r="B1176" s="8" t="s">
        <v>3092</v>
      </c>
      <c r="C1176" s="8" t="s">
        <v>186</v>
      </c>
      <c r="D1176" s="8" t="s">
        <v>6427</v>
      </c>
      <c r="E1176" s="8">
        <v>66.0</v>
      </c>
    </row>
    <row r="1177">
      <c r="A1177" s="8" t="s">
        <v>23</v>
      </c>
      <c r="B1177" s="8" t="s">
        <v>3492</v>
      </c>
      <c r="C1177" s="8" t="s">
        <v>75</v>
      </c>
      <c r="D1177" s="8" t="s">
        <v>6435</v>
      </c>
      <c r="E1177" s="8">
        <v>70.0</v>
      </c>
    </row>
    <row r="1178">
      <c r="A1178" s="8" t="s">
        <v>92</v>
      </c>
      <c r="B1178" s="8" t="s">
        <v>2751</v>
      </c>
      <c r="C1178" s="8" t="s">
        <v>192</v>
      </c>
      <c r="D1178" s="8" t="s">
        <v>6413</v>
      </c>
      <c r="E1178" s="8">
        <v>76.0</v>
      </c>
    </row>
    <row r="1179">
      <c r="A1179" s="8" t="s">
        <v>92</v>
      </c>
      <c r="B1179" s="8" t="s">
        <v>933</v>
      </c>
      <c r="C1179" s="8" t="s">
        <v>122</v>
      </c>
      <c r="D1179" s="8" t="s">
        <v>6425</v>
      </c>
      <c r="E1179" s="8">
        <v>81.0</v>
      </c>
    </row>
    <row r="1180">
      <c r="A1180" s="8" t="s">
        <v>92</v>
      </c>
      <c r="B1180" s="8" t="s">
        <v>91</v>
      </c>
      <c r="C1180" s="8" t="s">
        <v>93</v>
      </c>
      <c r="D1180" s="8" t="s">
        <v>6434</v>
      </c>
      <c r="E1180" s="8">
        <v>91.0</v>
      </c>
    </row>
    <row r="1181">
      <c r="A1181" s="8" t="s">
        <v>532</v>
      </c>
      <c r="B1181" s="8" t="s">
        <v>531</v>
      </c>
      <c r="C1181" s="8" t="s">
        <v>38</v>
      </c>
      <c r="D1181" s="8" t="s">
        <v>6414</v>
      </c>
      <c r="E1181" s="8">
        <v>82.0</v>
      </c>
    </row>
    <row r="1182">
      <c r="A1182" s="8" t="s">
        <v>532</v>
      </c>
      <c r="B1182" s="8" t="s">
        <v>714</v>
      </c>
      <c r="C1182" s="8" t="s">
        <v>65</v>
      </c>
      <c r="D1182" s="8" t="s">
        <v>6438</v>
      </c>
      <c r="E1182" s="8">
        <v>63.0</v>
      </c>
    </row>
    <row r="1183">
      <c r="A1183" s="8" t="s">
        <v>532</v>
      </c>
      <c r="B1183" s="8" t="s">
        <v>3349</v>
      </c>
      <c r="C1183" s="8" t="s">
        <v>215</v>
      </c>
      <c r="D1183" s="8" t="s">
        <v>6439</v>
      </c>
      <c r="E1183" s="8">
        <v>57.0</v>
      </c>
    </row>
    <row r="1184">
      <c r="A1184" s="8" t="s">
        <v>389</v>
      </c>
      <c r="B1184" s="8" t="s">
        <v>468</v>
      </c>
      <c r="C1184" s="8" t="s">
        <v>80</v>
      </c>
      <c r="D1184" s="8" t="s">
        <v>6420</v>
      </c>
      <c r="E1184" s="8">
        <v>74.0</v>
      </c>
    </row>
    <row r="1185">
      <c r="A1185" s="8" t="s">
        <v>3160</v>
      </c>
      <c r="B1185" s="8" t="s">
        <v>3159</v>
      </c>
      <c r="C1185" s="8" t="s">
        <v>93</v>
      </c>
      <c r="D1185" s="8" t="s">
        <v>6426</v>
      </c>
      <c r="E1185" s="8">
        <v>71.0</v>
      </c>
    </row>
    <row r="1186">
      <c r="A1186" s="8" t="s">
        <v>181</v>
      </c>
      <c r="B1186" s="8" t="s">
        <v>651</v>
      </c>
      <c r="C1186" s="8" t="s">
        <v>186</v>
      </c>
      <c r="D1186" s="8" t="s">
        <v>6420</v>
      </c>
      <c r="E1186" s="8">
        <v>68.0</v>
      </c>
    </row>
    <row r="1187">
      <c r="A1187" s="8" t="s">
        <v>181</v>
      </c>
      <c r="B1187" s="8" t="s">
        <v>3212</v>
      </c>
      <c r="C1187" s="8" t="s">
        <v>24</v>
      </c>
      <c r="D1187" s="8" t="s">
        <v>6438</v>
      </c>
      <c r="E1187" s="8">
        <v>42.0</v>
      </c>
    </row>
    <row r="1188">
      <c r="A1188" s="8" t="s">
        <v>181</v>
      </c>
      <c r="B1188" s="8" t="s">
        <v>3229</v>
      </c>
      <c r="C1188" s="8" t="s">
        <v>24</v>
      </c>
      <c r="D1188" s="8" t="s">
        <v>6424</v>
      </c>
      <c r="E1188" s="8">
        <v>44.0</v>
      </c>
    </row>
    <row r="1189">
      <c r="A1189" s="8" t="s">
        <v>181</v>
      </c>
      <c r="B1189" s="8" t="s">
        <v>910</v>
      </c>
      <c r="C1189" s="8" t="s">
        <v>75</v>
      </c>
      <c r="D1189" s="8" t="s">
        <v>6438</v>
      </c>
      <c r="E1189" s="8">
        <v>64.0</v>
      </c>
    </row>
    <row r="1190">
      <c r="A1190" s="8" t="s">
        <v>181</v>
      </c>
      <c r="B1190" s="8" t="s">
        <v>67</v>
      </c>
      <c r="C1190" s="8" t="s">
        <v>38</v>
      </c>
      <c r="D1190" s="8" t="s">
        <v>6433</v>
      </c>
      <c r="E1190" s="8">
        <v>81.0</v>
      </c>
    </row>
    <row r="1191">
      <c r="A1191" s="8" t="s">
        <v>181</v>
      </c>
      <c r="B1191" s="8" t="s">
        <v>180</v>
      </c>
      <c r="C1191" s="8" t="s">
        <v>24</v>
      </c>
      <c r="D1191" s="8" t="s">
        <v>6434</v>
      </c>
      <c r="E1191" s="8">
        <v>42.0</v>
      </c>
    </row>
    <row r="1192">
      <c r="A1192" s="8" t="s">
        <v>842</v>
      </c>
      <c r="B1192" s="8" t="s">
        <v>636</v>
      </c>
      <c r="C1192" s="8" t="s">
        <v>186</v>
      </c>
      <c r="D1192" s="8" t="s">
        <v>6427</v>
      </c>
      <c r="E1192" s="8">
        <v>66.0</v>
      </c>
    </row>
    <row r="1193">
      <c r="A1193" s="8" t="s">
        <v>842</v>
      </c>
      <c r="B1193" s="8" t="s">
        <v>3534</v>
      </c>
      <c r="C1193" s="8" t="s">
        <v>122</v>
      </c>
      <c r="D1193" s="8" t="s">
        <v>6431</v>
      </c>
      <c r="E1193" s="8">
        <v>81.0</v>
      </c>
    </row>
    <row r="1194">
      <c r="A1194" s="8" t="s">
        <v>842</v>
      </c>
      <c r="B1194" s="8" t="s">
        <v>1390</v>
      </c>
      <c r="C1194" s="8" t="s">
        <v>215</v>
      </c>
      <c r="D1194" s="8" t="s">
        <v>6427</v>
      </c>
      <c r="E1194" s="8">
        <v>68.0</v>
      </c>
    </row>
    <row r="1195">
      <c r="A1195" s="8" t="s">
        <v>842</v>
      </c>
      <c r="B1195" s="8" t="s">
        <v>3200</v>
      </c>
      <c r="C1195" s="8" t="s">
        <v>59</v>
      </c>
      <c r="D1195" s="8" t="s">
        <v>6425</v>
      </c>
      <c r="E1195" s="8">
        <v>71.0</v>
      </c>
    </row>
    <row r="1196">
      <c r="A1196" s="8" t="s">
        <v>842</v>
      </c>
      <c r="B1196" s="8" t="s">
        <v>500</v>
      </c>
      <c r="C1196" s="8" t="s">
        <v>132</v>
      </c>
      <c r="D1196" s="8" t="s">
        <v>6436</v>
      </c>
      <c r="E1196" s="8">
        <v>76.0</v>
      </c>
    </row>
    <row r="1197">
      <c r="A1197" s="8" t="s">
        <v>842</v>
      </c>
      <c r="B1197" s="8" t="s">
        <v>3614</v>
      </c>
      <c r="C1197" s="8" t="s">
        <v>80</v>
      </c>
      <c r="D1197" s="8" t="s">
        <v>6430</v>
      </c>
      <c r="E1197" s="8">
        <v>66.0</v>
      </c>
    </row>
    <row r="1198">
      <c r="A1198" s="8" t="s">
        <v>842</v>
      </c>
      <c r="B1198" s="8" t="s">
        <v>2795</v>
      </c>
      <c r="C1198" s="8" t="s">
        <v>186</v>
      </c>
      <c r="D1198" s="8" t="s">
        <v>6436</v>
      </c>
      <c r="E1198" s="8">
        <v>69.0</v>
      </c>
    </row>
    <row r="1199">
      <c r="A1199" s="8" t="s">
        <v>842</v>
      </c>
      <c r="B1199" s="8" t="s">
        <v>2822</v>
      </c>
      <c r="C1199" s="8" t="s">
        <v>70</v>
      </c>
      <c r="D1199" s="8" t="s">
        <v>6434</v>
      </c>
      <c r="E1199" s="8">
        <v>73.0</v>
      </c>
    </row>
    <row r="1200">
      <c r="A1200" s="8" t="s">
        <v>842</v>
      </c>
      <c r="B1200" s="8" t="s">
        <v>284</v>
      </c>
      <c r="C1200" s="8" t="s">
        <v>93</v>
      </c>
      <c r="D1200" s="8" t="s">
        <v>6436</v>
      </c>
      <c r="E1200" s="8">
        <v>62.0</v>
      </c>
    </row>
    <row r="1201">
      <c r="A1201" s="8" t="s">
        <v>842</v>
      </c>
      <c r="B1201" s="8" t="s">
        <v>3745</v>
      </c>
      <c r="C1201" s="8" t="s">
        <v>59</v>
      </c>
      <c r="D1201" s="8" t="s">
        <v>6437</v>
      </c>
      <c r="E1201" s="8">
        <v>72.0</v>
      </c>
    </row>
    <row r="1202">
      <c r="A1202" s="8" t="s">
        <v>842</v>
      </c>
      <c r="B1202" s="8" t="s">
        <v>2383</v>
      </c>
      <c r="C1202" s="8" t="s">
        <v>192</v>
      </c>
      <c r="D1202" s="8" t="s">
        <v>6430</v>
      </c>
      <c r="E1202" s="8">
        <v>64.0</v>
      </c>
    </row>
    <row r="1203">
      <c r="A1203" s="8" t="s">
        <v>842</v>
      </c>
      <c r="B1203" s="8" t="s">
        <v>1625</v>
      </c>
      <c r="C1203" s="8" t="s">
        <v>70</v>
      </c>
      <c r="D1203" s="8" t="s">
        <v>6441</v>
      </c>
      <c r="E1203" s="8">
        <v>87.0</v>
      </c>
    </row>
    <row r="1204">
      <c r="A1204" s="8" t="s">
        <v>842</v>
      </c>
      <c r="B1204" s="8" t="s">
        <v>78</v>
      </c>
      <c r="C1204" s="8" t="s">
        <v>70</v>
      </c>
      <c r="D1204" s="8" t="s">
        <v>6430</v>
      </c>
      <c r="E1204" s="8">
        <v>67.0</v>
      </c>
    </row>
    <row r="1205">
      <c r="A1205" s="8" t="s">
        <v>842</v>
      </c>
      <c r="B1205" s="8" t="s">
        <v>1673</v>
      </c>
      <c r="C1205" s="8" t="s">
        <v>138</v>
      </c>
      <c r="D1205" s="8" t="s">
        <v>6413</v>
      </c>
      <c r="E1205" s="8">
        <v>63.0</v>
      </c>
    </row>
    <row r="1206">
      <c r="A1206" s="8" t="s">
        <v>710</v>
      </c>
      <c r="B1206" s="8" t="s">
        <v>377</v>
      </c>
      <c r="C1206" s="8" t="s">
        <v>132</v>
      </c>
      <c r="D1206" s="8" t="s">
        <v>6428</v>
      </c>
      <c r="E1206" s="8">
        <v>73.0</v>
      </c>
    </row>
    <row r="1207">
      <c r="A1207" s="8" t="s">
        <v>3545</v>
      </c>
      <c r="B1207" s="8" t="s">
        <v>3544</v>
      </c>
      <c r="C1207" s="8" t="s">
        <v>186</v>
      </c>
      <c r="D1207" s="8" t="s">
        <v>6413</v>
      </c>
      <c r="E1207" s="8">
        <v>73.0</v>
      </c>
    </row>
    <row r="1208">
      <c r="A1208" s="8" t="s">
        <v>263</v>
      </c>
      <c r="B1208" s="8" t="s">
        <v>648</v>
      </c>
      <c r="C1208" s="8" t="s">
        <v>38</v>
      </c>
      <c r="D1208" s="8" t="s">
        <v>6439</v>
      </c>
      <c r="E1208" s="8">
        <v>79.0</v>
      </c>
    </row>
    <row r="1209">
      <c r="A1209" s="8" t="s">
        <v>263</v>
      </c>
      <c r="B1209" s="8" t="s">
        <v>52</v>
      </c>
      <c r="C1209" s="8" t="s">
        <v>24</v>
      </c>
      <c r="D1209" s="8" t="s">
        <v>6415</v>
      </c>
      <c r="E1209" s="8">
        <v>81.0</v>
      </c>
    </row>
    <row r="1210">
      <c r="A1210" s="8" t="s">
        <v>263</v>
      </c>
      <c r="B1210" s="8" t="s">
        <v>262</v>
      </c>
      <c r="C1210" s="8" t="s">
        <v>132</v>
      </c>
      <c r="D1210" s="8" t="s">
        <v>6437</v>
      </c>
      <c r="E1210" s="8">
        <v>65.0</v>
      </c>
    </row>
    <row r="1211">
      <c r="A1211" s="8" t="s">
        <v>263</v>
      </c>
      <c r="B1211" s="8" t="s">
        <v>1453</v>
      </c>
      <c r="C1211" s="8" t="s">
        <v>12</v>
      </c>
      <c r="D1211" s="8" t="s">
        <v>6430</v>
      </c>
      <c r="E1211" s="8">
        <v>71.0</v>
      </c>
    </row>
    <row r="1212">
      <c r="A1212" s="8" t="s">
        <v>263</v>
      </c>
      <c r="B1212" s="8" t="s">
        <v>533</v>
      </c>
      <c r="C1212" s="8" t="s">
        <v>186</v>
      </c>
      <c r="D1212" s="8" t="s">
        <v>6424</v>
      </c>
      <c r="E1212" s="8">
        <v>74.0</v>
      </c>
    </row>
    <row r="1213">
      <c r="A1213" s="8" t="s">
        <v>263</v>
      </c>
      <c r="B1213" s="8" t="s">
        <v>537</v>
      </c>
      <c r="C1213" s="8" t="s">
        <v>122</v>
      </c>
      <c r="D1213" s="8" t="s">
        <v>6433</v>
      </c>
      <c r="E1213" s="8">
        <v>72.0</v>
      </c>
    </row>
    <row r="1214">
      <c r="A1214" s="8" t="s">
        <v>263</v>
      </c>
      <c r="B1214" s="8" t="s">
        <v>1200</v>
      </c>
      <c r="C1214" s="8" t="s">
        <v>70</v>
      </c>
      <c r="D1214" s="8" t="s">
        <v>6427</v>
      </c>
      <c r="E1214" s="8">
        <v>66.0</v>
      </c>
    </row>
    <row r="1215">
      <c r="A1215" s="8" t="s">
        <v>263</v>
      </c>
      <c r="B1215" s="8" t="s">
        <v>282</v>
      </c>
      <c r="C1215" s="8" t="s">
        <v>53</v>
      </c>
      <c r="D1215" s="8" t="s">
        <v>6440</v>
      </c>
      <c r="E1215" s="8">
        <v>69.0</v>
      </c>
    </row>
    <row r="1216">
      <c r="A1216" s="8" t="s">
        <v>263</v>
      </c>
      <c r="B1216" s="8" t="s">
        <v>3729</v>
      </c>
      <c r="C1216" s="8" t="s">
        <v>80</v>
      </c>
      <c r="D1216" s="8" t="s">
        <v>6414</v>
      </c>
      <c r="E1216" s="8">
        <v>60.0</v>
      </c>
    </row>
    <row r="1217">
      <c r="A1217" s="8" t="s">
        <v>263</v>
      </c>
      <c r="B1217" s="8" t="s">
        <v>747</v>
      </c>
      <c r="C1217" s="8" t="s">
        <v>93</v>
      </c>
      <c r="D1217" s="8" t="s">
        <v>6415</v>
      </c>
      <c r="E1217" s="8">
        <v>64.0</v>
      </c>
    </row>
    <row r="1218">
      <c r="A1218" s="8" t="s">
        <v>263</v>
      </c>
      <c r="B1218" s="8" t="s">
        <v>164</v>
      </c>
      <c r="C1218" s="8" t="s">
        <v>65</v>
      </c>
      <c r="D1218" s="8" t="s">
        <v>6424</v>
      </c>
      <c r="E1218" s="8">
        <v>78.0</v>
      </c>
    </row>
    <row r="1219">
      <c r="A1219" s="8" t="s">
        <v>263</v>
      </c>
      <c r="B1219" s="8" t="s">
        <v>762</v>
      </c>
      <c r="C1219" s="8" t="s">
        <v>149</v>
      </c>
      <c r="D1219" s="8" t="s">
        <v>6430</v>
      </c>
      <c r="E1219" s="8">
        <v>73.0</v>
      </c>
    </row>
    <row r="1220">
      <c r="A1220" s="8" t="s">
        <v>263</v>
      </c>
      <c r="B1220" s="8" t="s">
        <v>3378</v>
      </c>
      <c r="C1220" s="8" t="s">
        <v>65</v>
      </c>
      <c r="D1220" s="8" t="s">
        <v>6412</v>
      </c>
      <c r="E1220" s="8">
        <v>70.0</v>
      </c>
    </row>
    <row r="1221">
      <c r="A1221" s="8" t="s">
        <v>263</v>
      </c>
      <c r="B1221" s="8" t="s">
        <v>3392</v>
      </c>
      <c r="C1221" s="8" t="s">
        <v>65</v>
      </c>
      <c r="D1221" s="8" t="s">
        <v>6443</v>
      </c>
      <c r="E1221" s="8">
        <v>64.0</v>
      </c>
    </row>
    <row r="1222">
      <c r="A1222" s="8" t="s">
        <v>263</v>
      </c>
      <c r="B1222" s="8" t="s">
        <v>1005</v>
      </c>
      <c r="C1222" s="8" t="s">
        <v>122</v>
      </c>
      <c r="D1222" s="8" t="s">
        <v>6415</v>
      </c>
      <c r="E1222" s="8">
        <v>63.0</v>
      </c>
    </row>
    <row r="1223">
      <c r="A1223" s="8" t="s">
        <v>263</v>
      </c>
      <c r="B1223" s="8" t="s">
        <v>778</v>
      </c>
      <c r="C1223" s="8" t="s">
        <v>80</v>
      </c>
      <c r="D1223" s="8" t="s">
        <v>6443</v>
      </c>
      <c r="E1223" s="8">
        <v>70.0</v>
      </c>
    </row>
    <row r="1224">
      <c r="A1224" s="8" t="s">
        <v>263</v>
      </c>
      <c r="B1224" s="8" t="s">
        <v>223</v>
      </c>
      <c r="C1224" s="8" t="s">
        <v>24</v>
      </c>
      <c r="D1224" s="8" t="s">
        <v>6416</v>
      </c>
      <c r="E1224" s="8">
        <v>89.0</v>
      </c>
    </row>
    <row r="1225">
      <c r="A1225" s="8" t="s">
        <v>263</v>
      </c>
      <c r="B1225" s="8" t="s">
        <v>785</v>
      </c>
      <c r="C1225" s="8" t="s">
        <v>80</v>
      </c>
      <c r="D1225" s="8" t="s">
        <v>6436</v>
      </c>
      <c r="E1225" s="8">
        <v>69.0</v>
      </c>
    </row>
    <row r="1226">
      <c r="A1226" s="8" t="s">
        <v>263</v>
      </c>
      <c r="B1226" s="8" t="s">
        <v>3475</v>
      </c>
      <c r="C1226" s="8" t="s">
        <v>70</v>
      </c>
      <c r="D1226" s="8" t="s">
        <v>6428</v>
      </c>
      <c r="E1226" s="8">
        <v>70.0</v>
      </c>
    </row>
    <row r="1227">
      <c r="A1227" s="8" t="s">
        <v>263</v>
      </c>
      <c r="B1227" s="8" t="s">
        <v>3485</v>
      </c>
      <c r="C1227" s="8" t="s">
        <v>53</v>
      </c>
      <c r="D1227" s="8" t="s">
        <v>6413</v>
      </c>
      <c r="E1227" s="8">
        <v>65.0</v>
      </c>
    </row>
    <row r="1228">
      <c r="A1228" s="8" t="s">
        <v>263</v>
      </c>
      <c r="B1228" s="8" t="s">
        <v>78</v>
      </c>
      <c r="C1228" s="8" t="s">
        <v>122</v>
      </c>
      <c r="D1228" s="8" t="s">
        <v>6415</v>
      </c>
      <c r="E1228" s="8">
        <v>59.0</v>
      </c>
    </row>
    <row r="1229">
      <c r="A1229" s="8" t="s">
        <v>263</v>
      </c>
      <c r="B1229" s="8" t="s">
        <v>3908</v>
      </c>
      <c r="C1229" s="8" t="s">
        <v>59</v>
      </c>
      <c r="D1229" s="8" t="s">
        <v>6439</v>
      </c>
      <c r="E1229" s="8">
        <v>65.0</v>
      </c>
    </row>
    <row r="1230">
      <c r="A1230" s="8" t="s">
        <v>2961</v>
      </c>
      <c r="B1230" s="8" t="s">
        <v>220</v>
      </c>
      <c r="C1230" s="8" t="s">
        <v>65</v>
      </c>
      <c r="D1230" s="8" t="s">
        <v>6421</v>
      </c>
      <c r="E1230" s="8">
        <v>89.0</v>
      </c>
    </row>
    <row r="1231">
      <c r="A1231" s="8" t="s">
        <v>301</v>
      </c>
      <c r="B1231" s="8" t="s">
        <v>460</v>
      </c>
      <c r="C1231" s="8" t="s">
        <v>141</v>
      </c>
      <c r="D1231" s="8" t="s">
        <v>6426</v>
      </c>
      <c r="E1231" s="8">
        <v>62.0</v>
      </c>
    </row>
    <row r="1232">
      <c r="A1232" s="8" t="s">
        <v>301</v>
      </c>
      <c r="B1232" s="8" t="s">
        <v>638</v>
      </c>
      <c r="C1232" s="8" t="s">
        <v>141</v>
      </c>
      <c r="D1232" s="8" t="s">
        <v>6424</v>
      </c>
      <c r="E1232" s="8">
        <v>60.0</v>
      </c>
    </row>
    <row r="1233">
      <c r="A1233" s="8" t="s">
        <v>301</v>
      </c>
      <c r="B1233" s="8" t="s">
        <v>3531</v>
      </c>
      <c r="C1233" s="8" t="s">
        <v>192</v>
      </c>
      <c r="D1233" s="8" t="s">
        <v>6423</v>
      </c>
      <c r="E1233" s="8">
        <v>67.0</v>
      </c>
    </row>
    <row r="1234">
      <c r="A1234" s="8" t="s">
        <v>301</v>
      </c>
      <c r="B1234" s="8" t="s">
        <v>3181</v>
      </c>
      <c r="C1234" s="8" t="s">
        <v>65</v>
      </c>
      <c r="D1234" s="8" t="s">
        <v>6428</v>
      </c>
      <c r="E1234" s="8">
        <v>64.0</v>
      </c>
    </row>
    <row r="1235">
      <c r="A1235" s="8" t="s">
        <v>301</v>
      </c>
      <c r="B1235" s="8" t="s">
        <v>106</v>
      </c>
      <c r="C1235" s="8" t="s">
        <v>12</v>
      </c>
      <c r="D1235" s="8" t="s">
        <v>6425</v>
      </c>
      <c r="E1235" s="8">
        <v>83.0</v>
      </c>
    </row>
    <row r="1236">
      <c r="A1236" s="8" t="s">
        <v>301</v>
      </c>
      <c r="B1236" s="8" t="s">
        <v>2712</v>
      </c>
      <c r="C1236" s="8" t="s">
        <v>59</v>
      </c>
      <c r="D1236" s="8" t="s">
        <v>6420</v>
      </c>
      <c r="E1236" s="8">
        <v>79.0</v>
      </c>
    </row>
    <row r="1237">
      <c r="A1237" s="8" t="s">
        <v>301</v>
      </c>
      <c r="B1237" s="8" t="s">
        <v>1150</v>
      </c>
      <c r="C1237" s="8" t="s">
        <v>65</v>
      </c>
      <c r="D1237" s="8" t="s">
        <v>6416</v>
      </c>
      <c r="E1237" s="8">
        <v>77.0</v>
      </c>
    </row>
    <row r="1238">
      <c r="A1238" s="8" t="s">
        <v>301</v>
      </c>
      <c r="B1238" s="8" t="s">
        <v>1164</v>
      </c>
      <c r="C1238" s="8" t="s">
        <v>192</v>
      </c>
      <c r="D1238" s="8" t="s">
        <v>6413</v>
      </c>
      <c r="E1238" s="8">
        <v>71.0</v>
      </c>
    </row>
    <row r="1239">
      <c r="A1239" s="8" t="s">
        <v>301</v>
      </c>
      <c r="B1239" s="8" t="s">
        <v>1170</v>
      </c>
      <c r="C1239" s="8" t="s">
        <v>70</v>
      </c>
      <c r="D1239" s="8" t="s">
        <v>6428</v>
      </c>
      <c r="E1239" s="8">
        <v>63.0</v>
      </c>
    </row>
    <row r="1240">
      <c r="A1240" s="8" t="s">
        <v>301</v>
      </c>
      <c r="B1240" s="8" t="s">
        <v>1505</v>
      </c>
      <c r="C1240" s="8" t="s">
        <v>53</v>
      </c>
      <c r="D1240" s="8" t="s">
        <v>6414</v>
      </c>
      <c r="E1240" s="8">
        <v>63.0</v>
      </c>
    </row>
    <row r="1241">
      <c r="A1241" s="8" t="s">
        <v>301</v>
      </c>
      <c r="B1241" s="8" t="s">
        <v>698</v>
      </c>
      <c r="C1241" s="8" t="s">
        <v>65</v>
      </c>
      <c r="D1241" s="8" t="s">
        <v>6443</v>
      </c>
      <c r="E1241" s="8">
        <v>76.0</v>
      </c>
    </row>
    <row r="1242">
      <c r="A1242" s="8" t="s">
        <v>301</v>
      </c>
      <c r="B1242" s="8" t="s">
        <v>89</v>
      </c>
      <c r="C1242" s="8" t="s">
        <v>24</v>
      </c>
      <c r="D1242" s="8" t="s">
        <v>6431</v>
      </c>
      <c r="E1242" s="8">
        <v>54.0</v>
      </c>
    </row>
    <row r="1243">
      <c r="A1243" s="8" t="s">
        <v>301</v>
      </c>
      <c r="B1243" s="8" t="s">
        <v>1187</v>
      </c>
      <c r="C1243" s="8" t="s">
        <v>93</v>
      </c>
      <c r="D1243" s="8" t="s">
        <v>6421</v>
      </c>
      <c r="E1243" s="8">
        <v>62.0</v>
      </c>
    </row>
    <row r="1244">
      <c r="A1244" s="8" t="s">
        <v>301</v>
      </c>
      <c r="B1244" s="8" t="s">
        <v>537</v>
      </c>
      <c r="C1244" s="8" t="s">
        <v>24</v>
      </c>
      <c r="D1244" s="8" t="s">
        <v>6418</v>
      </c>
      <c r="E1244" s="8">
        <v>78.0</v>
      </c>
    </row>
    <row r="1245">
      <c r="A1245" s="8" t="s">
        <v>301</v>
      </c>
      <c r="B1245" s="8" t="s">
        <v>2851</v>
      </c>
      <c r="C1245" s="8" t="s">
        <v>65</v>
      </c>
      <c r="D1245" s="8" t="s">
        <v>6424</v>
      </c>
      <c r="E1245" s="8">
        <v>70.0</v>
      </c>
    </row>
    <row r="1246">
      <c r="A1246" s="8" t="s">
        <v>301</v>
      </c>
      <c r="B1246" s="8" t="s">
        <v>260</v>
      </c>
      <c r="C1246" s="8" t="s">
        <v>46</v>
      </c>
      <c r="D1246" s="8" t="s">
        <v>6421</v>
      </c>
      <c r="E1246" s="8">
        <v>59.0</v>
      </c>
    </row>
    <row r="1247">
      <c r="A1247" s="8" t="s">
        <v>301</v>
      </c>
      <c r="B1247" s="8" t="s">
        <v>389</v>
      </c>
      <c r="C1247" s="8" t="s">
        <v>16</v>
      </c>
      <c r="D1247" s="8" t="s">
        <v>6435</v>
      </c>
      <c r="E1247" s="8">
        <v>65.0</v>
      </c>
    </row>
    <row r="1248">
      <c r="A1248" s="8" t="s">
        <v>301</v>
      </c>
      <c r="B1248" s="8" t="s">
        <v>2878</v>
      </c>
      <c r="C1248" s="8" t="s">
        <v>53</v>
      </c>
      <c r="D1248" s="8" t="s">
        <v>6426</v>
      </c>
      <c r="E1248" s="8">
        <v>59.0</v>
      </c>
    </row>
    <row r="1249">
      <c r="A1249" s="8" t="s">
        <v>301</v>
      </c>
      <c r="B1249" s="8" t="s">
        <v>566</v>
      </c>
      <c r="C1249" s="8" t="s">
        <v>141</v>
      </c>
      <c r="D1249" s="8" t="s">
        <v>6436</v>
      </c>
      <c r="E1249" s="8">
        <v>72.0</v>
      </c>
    </row>
    <row r="1250">
      <c r="A1250" s="8" t="s">
        <v>301</v>
      </c>
      <c r="B1250" s="8" t="s">
        <v>740</v>
      </c>
      <c r="C1250" s="8" t="s">
        <v>12</v>
      </c>
      <c r="D1250" s="8" t="s">
        <v>6432</v>
      </c>
      <c r="E1250" s="8">
        <v>76.0</v>
      </c>
    </row>
    <row r="1251">
      <c r="A1251" s="8" t="s">
        <v>301</v>
      </c>
      <c r="B1251" s="8" t="s">
        <v>3719</v>
      </c>
      <c r="C1251" s="8" t="s">
        <v>65</v>
      </c>
      <c r="D1251" s="8" t="s">
        <v>6434</v>
      </c>
      <c r="E1251" s="8">
        <v>58.0</v>
      </c>
    </row>
    <row r="1252">
      <c r="A1252" s="8" t="s">
        <v>301</v>
      </c>
      <c r="B1252" s="8" t="s">
        <v>3334</v>
      </c>
      <c r="C1252" s="8" t="s">
        <v>141</v>
      </c>
      <c r="D1252" s="8" t="s">
        <v>6416</v>
      </c>
      <c r="E1252" s="8">
        <v>67.0</v>
      </c>
    </row>
    <row r="1253">
      <c r="A1253" s="8" t="s">
        <v>301</v>
      </c>
      <c r="B1253" s="8" t="s">
        <v>396</v>
      </c>
      <c r="C1253" s="8" t="s">
        <v>59</v>
      </c>
      <c r="D1253" s="8" t="s">
        <v>6440</v>
      </c>
      <c r="E1253" s="8">
        <v>67.0</v>
      </c>
    </row>
    <row r="1254">
      <c r="A1254" s="8" t="s">
        <v>301</v>
      </c>
      <c r="B1254" s="8" t="s">
        <v>3348</v>
      </c>
      <c r="C1254" s="8" t="s">
        <v>186</v>
      </c>
      <c r="D1254" s="8" t="s">
        <v>6437</v>
      </c>
      <c r="E1254" s="8">
        <v>77.0</v>
      </c>
    </row>
    <row r="1255">
      <c r="A1255" s="8" t="s">
        <v>301</v>
      </c>
      <c r="B1255" s="8" t="s">
        <v>751</v>
      </c>
      <c r="C1255" s="8" t="s">
        <v>215</v>
      </c>
      <c r="D1255" s="8" t="s">
        <v>6419</v>
      </c>
      <c r="E1255" s="8">
        <v>61.0</v>
      </c>
    </row>
    <row r="1256">
      <c r="A1256" s="8" t="s">
        <v>301</v>
      </c>
      <c r="B1256" s="8" t="s">
        <v>2930</v>
      </c>
      <c r="C1256" s="8" t="s">
        <v>16</v>
      </c>
      <c r="D1256" s="8" t="s">
        <v>6443</v>
      </c>
      <c r="E1256" s="8">
        <v>71.0</v>
      </c>
    </row>
    <row r="1257">
      <c r="A1257" s="8" t="s">
        <v>301</v>
      </c>
      <c r="B1257" s="8" t="s">
        <v>3362</v>
      </c>
      <c r="C1257" s="8" t="s">
        <v>59</v>
      </c>
      <c r="D1257" s="8" t="s">
        <v>6428</v>
      </c>
      <c r="E1257" s="8">
        <v>71.0</v>
      </c>
    </row>
    <row r="1258">
      <c r="A1258" s="8" t="s">
        <v>301</v>
      </c>
      <c r="B1258" s="8" t="s">
        <v>300</v>
      </c>
      <c r="C1258" s="8" t="s">
        <v>93</v>
      </c>
      <c r="D1258" s="8" t="s">
        <v>6416</v>
      </c>
      <c r="E1258" s="8">
        <v>94.0</v>
      </c>
    </row>
    <row r="1259">
      <c r="A1259" s="8" t="s">
        <v>301</v>
      </c>
      <c r="B1259" s="8" t="s">
        <v>308</v>
      </c>
      <c r="C1259" s="8" t="s">
        <v>93</v>
      </c>
      <c r="D1259" s="8" t="s">
        <v>6426</v>
      </c>
      <c r="E1259" s="8">
        <v>75.0</v>
      </c>
    </row>
    <row r="1260">
      <c r="A1260" s="8" t="s">
        <v>301</v>
      </c>
      <c r="B1260" s="8" t="s">
        <v>1023</v>
      </c>
      <c r="C1260" s="8" t="s">
        <v>93</v>
      </c>
      <c r="D1260" s="8" t="s">
        <v>6417</v>
      </c>
      <c r="E1260" s="8">
        <v>70.0</v>
      </c>
    </row>
    <row r="1261">
      <c r="A1261" s="8" t="s">
        <v>301</v>
      </c>
      <c r="B1261" s="8" t="s">
        <v>3053</v>
      </c>
      <c r="C1261" s="8" t="s">
        <v>75</v>
      </c>
      <c r="D1261" s="8" t="s">
        <v>6421</v>
      </c>
      <c r="E1261" s="8">
        <v>91.0</v>
      </c>
    </row>
    <row r="1262">
      <c r="A1262" s="8" t="s">
        <v>301</v>
      </c>
      <c r="B1262" s="8" t="s">
        <v>62</v>
      </c>
      <c r="C1262" s="8" t="s">
        <v>93</v>
      </c>
      <c r="D1262" s="8" t="s">
        <v>6442</v>
      </c>
      <c r="E1262" s="8">
        <v>66.0</v>
      </c>
    </row>
    <row r="1263">
      <c r="A1263" s="8" t="s">
        <v>301</v>
      </c>
      <c r="B1263" s="8" t="s">
        <v>104</v>
      </c>
      <c r="C1263" s="8" t="s">
        <v>132</v>
      </c>
      <c r="D1263" s="8" t="s">
        <v>6421</v>
      </c>
      <c r="E1263" s="8">
        <v>62.0</v>
      </c>
    </row>
    <row r="1264">
      <c r="A1264" s="8" t="s">
        <v>301</v>
      </c>
      <c r="B1264" s="8" t="s">
        <v>828</v>
      </c>
      <c r="C1264" s="8" t="s">
        <v>149</v>
      </c>
      <c r="D1264" s="8" t="s">
        <v>6413</v>
      </c>
      <c r="E1264" s="8">
        <v>71.0</v>
      </c>
    </row>
    <row r="1265">
      <c r="A1265" s="8" t="s">
        <v>1283</v>
      </c>
      <c r="B1265" s="8" t="s">
        <v>350</v>
      </c>
      <c r="C1265" s="8" t="s">
        <v>65</v>
      </c>
      <c r="D1265" s="8" t="s">
        <v>6427</v>
      </c>
      <c r="E1265" s="8">
        <v>68.0</v>
      </c>
    </row>
    <row r="1266">
      <c r="A1266" s="8" t="s">
        <v>1283</v>
      </c>
      <c r="B1266" s="8" t="s">
        <v>1450</v>
      </c>
      <c r="C1266" s="8" t="s">
        <v>132</v>
      </c>
      <c r="D1266" s="8" t="s">
        <v>6422</v>
      </c>
      <c r="E1266" s="8">
        <v>74.0</v>
      </c>
    </row>
    <row r="1267">
      <c r="A1267" s="8" t="s">
        <v>1283</v>
      </c>
      <c r="B1267" s="8" t="s">
        <v>2992</v>
      </c>
      <c r="C1267" s="8" t="s">
        <v>186</v>
      </c>
      <c r="D1267" s="8" t="s">
        <v>6432</v>
      </c>
      <c r="E1267" s="8">
        <v>66.0</v>
      </c>
    </row>
    <row r="1268">
      <c r="A1268" s="8" t="s">
        <v>3347</v>
      </c>
      <c r="B1268" s="8" t="s">
        <v>3346</v>
      </c>
      <c r="C1268" s="8" t="s">
        <v>132</v>
      </c>
      <c r="D1268" s="8" t="s">
        <v>6423</v>
      </c>
      <c r="E1268" s="8">
        <v>63.0</v>
      </c>
    </row>
    <row r="1269">
      <c r="A1269" s="8" t="s">
        <v>3156</v>
      </c>
      <c r="B1269" s="8" t="s">
        <v>3155</v>
      </c>
      <c r="C1269" s="8" t="s">
        <v>93</v>
      </c>
      <c r="D1269" s="8" t="s">
        <v>6426</v>
      </c>
      <c r="E1269" s="8">
        <v>69.0</v>
      </c>
    </row>
    <row r="1270">
      <c r="A1270" s="8" t="s">
        <v>151</v>
      </c>
      <c r="B1270" s="8" t="s">
        <v>150</v>
      </c>
      <c r="C1270" s="8" t="s">
        <v>65</v>
      </c>
      <c r="D1270" s="8" t="s">
        <v>6436</v>
      </c>
      <c r="E1270" s="8">
        <v>89.0</v>
      </c>
    </row>
    <row r="1271">
      <c r="A1271" s="8" t="s">
        <v>151</v>
      </c>
      <c r="B1271" s="8" t="s">
        <v>805</v>
      </c>
      <c r="C1271" s="8" t="s">
        <v>59</v>
      </c>
      <c r="D1271" s="8" t="s">
        <v>6440</v>
      </c>
      <c r="E1271" s="8">
        <v>69.0</v>
      </c>
    </row>
    <row r="1272">
      <c r="A1272" s="8" t="s">
        <v>390</v>
      </c>
      <c r="B1272" s="8" t="s">
        <v>284</v>
      </c>
      <c r="C1272" s="8" t="s">
        <v>65</v>
      </c>
      <c r="D1272" s="8" t="s">
        <v>6431</v>
      </c>
      <c r="E1272" s="8">
        <v>96.0</v>
      </c>
    </row>
    <row r="1273">
      <c r="A1273" s="8" t="s">
        <v>2991</v>
      </c>
      <c r="B1273" s="8" t="s">
        <v>2213</v>
      </c>
      <c r="C1273" s="8" t="s">
        <v>59</v>
      </c>
      <c r="D1273" s="8" t="s">
        <v>6421</v>
      </c>
      <c r="E1273" s="8">
        <v>86.0</v>
      </c>
    </row>
    <row r="1274">
      <c r="A1274" s="8" t="s">
        <v>2991</v>
      </c>
      <c r="B1274" s="8" t="s">
        <v>62</v>
      </c>
      <c r="C1274" s="8" t="s">
        <v>24</v>
      </c>
      <c r="D1274" s="8" t="s">
        <v>6413</v>
      </c>
      <c r="E1274" s="8">
        <v>83.0</v>
      </c>
    </row>
    <row r="1275">
      <c r="A1275" s="8" t="s">
        <v>3420</v>
      </c>
      <c r="B1275" s="8" t="s">
        <v>3419</v>
      </c>
      <c r="C1275" s="8" t="s">
        <v>93</v>
      </c>
      <c r="D1275" s="8" t="s">
        <v>6435</v>
      </c>
      <c r="E1275" s="8">
        <v>67.0</v>
      </c>
    </row>
    <row r="1276">
      <c r="A1276" s="8" t="s">
        <v>3264</v>
      </c>
      <c r="B1276" s="8" t="s">
        <v>3263</v>
      </c>
      <c r="C1276" s="8" t="s">
        <v>53</v>
      </c>
      <c r="D1276" s="8" t="s">
        <v>6416</v>
      </c>
      <c r="E1276" s="8">
        <v>80.0</v>
      </c>
    </row>
    <row r="1277">
      <c r="A1277" s="8" t="s">
        <v>495</v>
      </c>
      <c r="B1277" s="8" t="s">
        <v>494</v>
      </c>
      <c r="C1277" s="8" t="s">
        <v>215</v>
      </c>
      <c r="D1277" s="8" t="s">
        <v>6423</v>
      </c>
      <c r="E1277" s="8">
        <v>93.0</v>
      </c>
    </row>
    <row r="1278">
      <c r="A1278" s="8" t="s">
        <v>1883</v>
      </c>
      <c r="B1278" s="8" t="s">
        <v>502</v>
      </c>
      <c r="C1278" s="8" t="s">
        <v>24</v>
      </c>
      <c r="D1278" s="8" t="s">
        <v>6414</v>
      </c>
      <c r="E1278" s="8">
        <v>68.0</v>
      </c>
    </row>
    <row r="1279">
      <c r="A1279" s="8" t="s">
        <v>381</v>
      </c>
      <c r="B1279" s="8" t="s">
        <v>473</v>
      </c>
      <c r="C1279" s="8" t="s">
        <v>93</v>
      </c>
      <c r="D1279" s="8" t="s">
        <v>6419</v>
      </c>
      <c r="E1279" s="8">
        <v>74.0</v>
      </c>
    </row>
    <row r="1280">
      <c r="A1280" s="8" t="s">
        <v>381</v>
      </c>
      <c r="B1280" s="8" t="s">
        <v>3177</v>
      </c>
      <c r="C1280" s="8" t="s">
        <v>65</v>
      </c>
      <c r="D1280" s="8" t="s">
        <v>6413</v>
      </c>
      <c r="E1280" s="8">
        <v>68.0</v>
      </c>
    </row>
    <row r="1281">
      <c r="A1281" s="8" t="s">
        <v>381</v>
      </c>
      <c r="B1281" s="8" t="s">
        <v>655</v>
      </c>
      <c r="C1281" s="8" t="s">
        <v>141</v>
      </c>
      <c r="D1281" s="8" t="s">
        <v>6433</v>
      </c>
      <c r="E1281" s="8">
        <v>71.0</v>
      </c>
    </row>
    <row r="1282">
      <c r="A1282" s="8" t="s">
        <v>381</v>
      </c>
      <c r="B1282" s="8" t="s">
        <v>877</v>
      </c>
      <c r="C1282" s="8" t="s">
        <v>93</v>
      </c>
      <c r="D1282" s="8" t="s">
        <v>6436</v>
      </c>
      <c r="E1282" s="8">
        <v>67.0</v>
      </c>
    </row>
    <row r="1283">
      <c r="A1283" s="8" t="s">
        <v>381</v>
      </c>
      <c r="B1283" s="8" t="s">
        <v>3617</v>
      </c>
      <c r="C1283" s="8" t="s">
        <v>24</v>
      </c>
      <c r="D1283" s="8" t="s">
        <v>6418</v>
      </c>
      <c r="E1283" s="8">
        <v>42.0</v>
      </c>
    </row>
    <row r="1284">
      <c r="A1284" s="8" t="s">
        <v>381</v>
      </c>
      <c r="B1284" s="8" t="s">
        <v>3619</v>
      </c>
      <c r="C1284" s="8" t="s">
        <v>53</v>
      </c>
      <c r="D1284" s="8" t="s">
        <v>6442</v>
      </c>
      <c r="E1284" s="8">
        <v>77.0</v>
      </c>
    </row>
    <row r="1285">
      <c r="A1285" s="8" t="s">
        <v>381</v>
      </c>
      <c r="B1285" s="8" t="s">
        <v>677</v>
      </c>
      <c r="C1285" s="8" t="s">
        <v>122</v>
      </c>
      <c r="D1285" s="8" t="s">
        <v>6438</v>
      </c>
      <c r="E1285" s="8">
        <v>71.0</v>
      </c>
    </row>
    <row r="1286">
      <c r="A1286" s="8" t="s">
        <v>381</v>
      </c>
      <c r="B1286" s="8" t="s">
        <v>3638</v>
      </c>
      <c r="C1286" s="8" t="s">
        <v>70</v>
      </c>
      <c r="D1286" s="8" t="s">
        <v>6435</v>
      </c>
      <c r="E1286" s="8">
        <v>82.0</v>
      </c>
    </row>
    <row r="1287">
      <c r="A1287" s="8" t="s">
        <v>381</v>
      </c>
      <c r="B1287" s="8" t="s">
        <v>267</v>
      </c>
      <c r="C1287" s="8" t="s">
        <v>93</v>
      </c>
      <c r="D1287" s="8" t="s">
        <v>6443</v>
      </c>
      <c r="E1287" s="8">
        <v>74.0</v>
      </c>
    </row>
    <row r="1288">
      <c r="A1288" s="8" t="s">
        <v>381</v>
      </c>
      <c r="B1288" s="8" t="s">
        <v>1181</v>
      </c>
      <c r="C1288" s="8" t="s">
        <v>122</v>
      </c>
      <c r="D1288" s="8" t="s">
        <v>6433</v>
      </c>
      <c r="E1288" s="8">
        <v>63.0</v>
      </c>
    </row>
    <row r="1289">
      <c r="A1289" s="8" t="s">
        <v>381</v>
      </c>
      <c r="B1289" s="8" t="s">
        <v>934</v>
      </c>
      <c r="C1289" s="8" t="s">
        <v>65</v>
      </c>
      <c r="D1289" s="8" t="s">
        <v>6431</v>
      </c>
      <c r="E1289" s="8">
        <v>69.0</v>
      </c>
    </row>
    <row r="1290">
      <c r="A1290" s="8" t="s">
        <v>381</v>
      </c>
      <c r="B1290" s="8" t="s">
        <v>380</v>
      </c>
      <c r="C1290" s="8" t="s">
        <v>53</v>
      </c>
      <c r="D1290" s="8" t="s">
        <v>6437</v>
      </c>
      <c r="E1290" s="8">
        <v>97.0</v>
      </c>
    </row>
    <row r="1291">
      <c r="A1291" s="8" t="s">
        <v>381</v>
      </c>
      <c r="B1291" s="8" t="s">
        <v>1380</v>
      </c>
      <c r="C1291" s="8" t="s">
        <v>65</v>
      </c>
      <c r="D1291" s="8" t="s">
        <v>6423</v>
      </c>
      <c r="E1291" s="8">
        <v>71.0</v>
      </c>
    </row>
    <row r="1292">
      <c r="A1292" s="8" t="s">
        <v>381</v>
      </c>
      <c r="B1292" s="8" t="s">
        <v>767</v>
      </c>
      <c r="C1292" s="8" t="s">
        <v>75</v>
      </c>
      <c r="D1292" s="8" t="s">
        <v>6412</v>
      </c>
      <c r="E1292" s="8">
        <v>60.0</v>
      </c>
    </row>
    <row r="1293">
      <c r="A1293" s="8" t="s">
        <v>381</v>
      </c>
      <c r="B1293" s="8" t="s">
        <v>3794</v>
      </c>
      <c r="C1293" s="8" t="s">
        <v>24</v>
      </c>
      <c r="D1293" s="8" t="s">
        <v>6421</v>
      </c>
      <c r="E1293" s="8">
        <v>68.0</v>
      </c>
    </row>
    <row r="1294">
      <c r="A1294" s="8" t="s">
        <v>381</v>
      </c>
      <c r="B1294" s="8" t="s">
        <v>592</v>
      </c>
      <c r="C1294" s="8" t="s">
        <v>75</v>
      </c>
      <c r="D1294" s="8" t="s">
        <v>6425</v>
      </c>
      <c r="E1294" s="8">
        <v>84.0</v>
      </c>
    </row>
    <row r="1295">
      <c r="A1295" s="8" t="s">
        <v>381</v>
      </c>
      <c r="B1295" s="8" t="s">
        <v>1615</v>
      </c>
      <c r="C1295" s="8" t="s">
        <v>80</v>
      </c>
      <c r="D1295" s="8" t="s">
        <v>6412</v>
      </c>
      <c r="E1295" s="8">
        <v>70.0</v>
      </c>
    </row>
    <row r="1296">
      <c r="A1296" s="8" t="s">
        <v>381</v>
      </c>
      <c r="B1296" s="8" t="s">
        <v>3445</v>
      </c>
      <c r="C1296" s="8" t="s">
        <v>53</v>
      </c>
      <c r="D1296" s="8" t="s">
        <v>6423</v>
      </c>
      <c r="E1296" s="8">
        <v>58.0</v>
      </c>
    </row>
    <row r="1297">
      <c r="A1297" s="8" t="s">
        <v>381</v>
      </c>
      <c r="B1297" s="8" t="s">
        <v>3871</v>
      </c>
      <c r="C1297" s="8" t="s">
        <v>138</v>
      </c>
      <c r="D1297" s="8" t="s">
        <v>6429</v>
      </c>
      <c r="E1297" s="8">
        <v>65.0</v>
      </c>
    </row>
    <row r="1298">
      <c r="A1298" s="8" t="s">
        <v>381</v>
      </c>
      <c r="B1298" s="8" t="s">
        <v>609</v>
      </c>
      <c r="C1298" s="8" t="s">
        <v>12</v>
      </c>
      <c r="D1298" s="8" t="s">
        <v>6435</v>
      </c>
      <c r="E1298" s="8">
        <v>83.0</v>
      </c>
    </row>
    <row r="1299">
      <c r="A1299" s="8" t="s">
        <v>381</v>
      </c>
      <c r="B1299" s="8" t="s">
        <v>3873</v>
      </c>
      <c r="C1299" s="8" t="s">
        <v>186</v>
      </c>
      <c r="D1299" s="8" t="s">
        <v>6443</v>
      </c>
      <c r="E1299" s="8">
        <v>70.0</v>
      </c>
    </row>
    <row r="1300">
      <c r="A1300" s="8" t="s">
        <v>1110</v>
      </c>
      <c r="B1300" s="8" t="s">
        <v>1109</v>
      </c>
      <c r="C1300" s="8" t="s">
        <v>93</v>
      </c>
      <c r="D1300" s="8" t="s">
        <v>6440</v>
      </c>
      <c r="E1300" s="8">
        <v>68.0</v>
      </c>
    </row>
    <row r="1301">
      <c r="A1301" s="8" t="s">
        <v>3468</v>
      </c>
      <c r="B1301" s="8" t="s">
        <v>444</v>
      </c>
      <c r="C1301" s="8" t="s">
        <v>70</v>
      </c>
      <c r="D1301" s="8" t="s">
        <v>6412</v>
      </c>
      <c r="E1301" s="8">
        <v>71.0</v>
      </c>
    </row>
    <row r="1302">
      <c r="A1302" s="8" t="s">
        <v>6408</v>
      </c>
      <c r="B1302" s="8" t="s">
        <v>780</v>
      </c>
      <c r="C1302" s="8" t="s">
        <v>65</v>
      </c>
      <c r="D1302" s="8" t="s">
        <v>6438</v>
      </c>
      <c r="E1302" s="8">
        <v>62.0</v>
      </c>
    </row>
    <row r="1303">
      <c r="A1303" s="8" t="s">
        <v>6408</v>
      </c>
      <c r="B1303" s="8" t="s">
        <v>1457</v>
      </c>
      <c r="C1303" s="8" t="s">
        <v>192</v>
      </c>
      <c r="D1303" s="8" t="s">
        <v>6434</v>
      </c>
      <c r="E1303" s="8">
        <v>67.0</v>
      </c>
    </row>
    <row r="1304">
      <c r="A1304" s="8" t="s">
        <v>6408</v>
      </c>
      <c r="B1304" s="8" t="s">
        <v>1246</v>
      </c>
      <c r="C1304" s="8" t="s">
        <v>65</v>
      </c>
      <c r="D1304" s="8" t="s">
        <v>6425</v>
      </c>
      <c r="E1304" s="8">
        <v>61.0</v>
      </c>
    </row>
    <row r="1305">
      <c r="A1305" s="8" t="s">
        <v>6408</v>
      </c>
      <c r="B1305" s="8" t="s">
        <v>455</v>
      </c>
      <c r="C1305" s="8" t="s">
        <v>59</v>
      </c>
      <c r="D1305" s="8" t="s">
        <v>6433</v>
      </c>
      <c r="E1305" s="8">
        <v>88.0</v>
      </c>
    </row>
    <row r="1306">
      <c r="A1306" s="8" t="s">
        <v>5203</v>
      </c>
      <c r="B1306" s="8" t="s">
        <v>78</v>
      </c>
      <c r="C1306" s="8" t="s">
        <v>93</v>
      </c>
      <c r="D1306" s="8" t="s">
        <v>6443</v>
      </c>
      <c r="E1306" s="8">
        <v>77.0</v>
      </c>
    </row>
    <row r="1307">
      <c r="A1307" s="8" t="s">
        <v>5239</v>
      </c>
      <c r="B1307" s="8" t="s">
        <v>2719</v>
      </c>
      <c r="C1307" s="8" t="s">
        <v>70</v>
      </c>
      <c r="D1307" s="8" t="s">
        <v>6427</v>
      </c>
      <c r="E1307" s="8">
        <v>73.0</v>
      </c>
    </row>
    <row r="1308">
      <c r="A1308" s="8" t="s">
        <v>5205</v>
      </c>
      <c r="B1308" s="8" t="s">
        <v>1440</v>
      </c>
      <c r="C1308" s="8" t="s">
        <v>12</v>
      </c>
      <c r="D1308" s="8" t="s">
        <v>6434</v>
      </c>
      <c r="E1308" s="8">
        <v>71.0</v>
      </c>
    </row>
    <row r="1309">
      <c r="A1309" s="8" t="s">
        <v>2775</v>
      </c>
      <c r="B1309" s="8" t="s">
        <v>895</v>
      </c>
      <c r="C1309" s="8" t="s">
        <v>75</v>
      </c>
      <c r="D1309" s="8" t="s">
        <v>6413</v>
      </c>
      <c r="E1309" s="8">
        <v>64.0</v>
      </c>
    </row>
    <row r="1310">
      <c r="A1310" s="8" t="s">
        <v>2734</v>
      </c>
      <c r="B1310" s="8" t="s">
        <v>165</v>
      </c>
      <c r="C1310" s="8" t="s">
        <v>65</v>
      </c>
      <c r="D1310" s="8" t="s">
        <v>6435</v>
      </c>
      <c r="E1310" s="8">
        <v>58.0</v>
      </c>
    </row>
    <row r="1311">
      <c r="A1311" s="8" t="s">
        <v>1917</v>
      </c>
      <c r="B1311" s="8" t="s">
        <v>2789</v>
      </c>
      <c r="C1311" s="8" t="s">
        <v>12</v>
      </c>
      <c r="D1311" s="8" t="s">
        <v>6418</v>
      </c>
      <c r="E1311" s="8">
        <v>75.0</v>
      </c>
    </row>
    <row r="1312">
      <c r="A1312" s="8" t="s">
        <v>1589</v>
      </c>
      <c r="B1312" s="8" t="s">
        <v>223</v>
      </c>
      <c r="C1312" s="8" t="s">
        <v>93</v>
      </c>
      <c r="D1312" s="8" t="s">
        <v>6423</v>
      </c>
      <c r="E1312" s="8">
        <v>61.0</v>
      </c>
    </row>
    <row r="1313">
      <c r="A1313" s="8" t="s">
        <v>1893</v>
      </c>
      <c r="B1313" s="8" t="s">
        <v>3245</v>
      </c>
      <c r="C1313" s="8" t="s">
        <v>75</v>
      </c>
      <c r="D1313" s="8" t="s">
        <v>6418</v>
      </c>
      <c r="E1313" s="8">
        <v>62.0</v>
      </c>
    </row>
    <row r="1314">
      <c r="A1314" s="8" t="s">
        <v>1893</v>
      </c>
      <c r="B1314" s="8" t="s">
        <v>389</v>
      </c>
      <c r="C1314" s="8" t="s">
        <v>75</v>
      </c>
      <c r="D1314" s="8" t="s">
        <v>6443</v>
      </c>
      <c r="E1314" s="8">
        <v>67.0</v>
      </c>
    </row>
    <row r="1315">
      <c r="A1315" s="8" t="s">
        <v>2725</v>
      </c>
      <c r="B1315" s="8" t="s">
        <v>2724</v>
      </c>
      <c r="C1315" s="8" t="s">
        <v>192</v>
      </c>
      <c r="D1315" s="8" t="s">
        <v>6433</v>
      </c>
      <c r="E1315" s="8">
        <v>91.0</v>
      </c>
    </row>
    <row r="1316">
      <c r="A1316" s="8" t="s">
        <v>1416</v>
      </c>
      <c r="B1316" s="8" t="s">
        <v>1415</v>
      </c>
      <c r="C1316" s="8" t="s">
        <v>53</v>
      </c>
      <c r="D1316" s="8" t="s">
        <v>6435</v>
      </c>
      <c r="E1316" s="8">
        <v>72.0</v>
      </c>
    </row>
    <row r="1317">
      <c r="A1317" s="8" t="s">
        <v>2649</v>
      </c>
      <c r="B1317" s="8" t="s">
        <v>2648</v>
      </c>
      <c r="C1317" s="8" t="s">
        <v>65</v>
      </c>
      <c r="D1317" s="8" t="s">
        <v>6435</v>
      </c>
      <c r="E1317" s="8">
        <v>78.0</v>
      </c>
    </row>
    <row r="1318">
      <c r="A1318" s="8" t="s">
        <v>1117</v>
      </c>
      <c r="B1318" s="8" t="s">
        <v>1116</v>
      </c>
      <c r="C1318" s="8" t="s">
        <v>24</v>
      </c>
      <c r="D1318" s="8" t="s">
        <v>6419</v>
      </c>
      <c r="E1318" s="8">
        <v>42.0</v>
      </c>
    </row>
    <row r="1319">
      <c r="A1319" s="8" t="s">
        <v>1461</v>
      </c>
      <c r="B1319" s="8" t="s">
        <v>1460</v>
      </c>
      <c r="C1319" s="8" t="s">
        <v>192</v>
      </c>
      <c r="D1319" s="8" t="s">
        <v>6436</v>
      </c>
      <c r="E1319" s="8">
        <v>61.0</v>
      </c>
    </row>
    <row r="1320">
      <c r="A1320" s="8" t="s">
        <v>1086</v>
      </c>
      <c r="B1320" s="8" t="s">
        <v>1085</v>
      </c>
      <c r="C1320" s="8" t="s">
        <v>70</v>
      </c>
      <c r="D1320" s="8" t="s">
        <v>6412</v>
      </c>
      <c r="E1320" s="8">
        <v>64.0</v>
      </c>
    </row>
    <row r="1321">
      <c r="A1321" s="8" t="s">
        <v>572</v>
      </c>
      <c r="B1321" s="8" t="s">
        <v>571</v>
      </c>
      <c r="C1321" s="8" t="s">
        <v>138</v>
      </c>
      <c r="D1321" s="8" t="s">
        <v>6435</v>
      </c>
      <c r="E1321" s="8">
        <v>60.0</v>
      </c>
    </row>
    <row r="1322">
      <c r="A1322" s="8" t="s">
        <v>281</v>
      </c>
      <c r="B1322" s="8" t="s">
        <v>208</v>
      </c>
      <c r="C1322" s="8" t="s">
        <v>93</v>
      </c>
      <c r="D1322" s="8" t="s">
        <v>6434</v>
      </c>
      <c r="E1322" s="8">
        <v>78.0</v>
      </c>
    </row>
    <row r="1323">
      <c r="A1323" s="8" t="s">
        <v>281</v>
      </c>
      <c r="B1323" s="8" t="s">
        <v>396</v>
      </c>
      <c r="C1323" s="8" t="s">
        <v>59</v>
      </c>
      <c r="D1323" s="8" t="s">
        <v>6419</v>
      </c>
      <c r="E1323" s="8">
        <v>63.0</v>
      </c>
    </row>
    <row r="1324">
      <c r="A1324" s="8" t="s">
        <v>3543</v>
      </c>
      <c r="B1324" s="8" t="s">
        <v>1693</v>
      </c>
      <c r="C1324" s="8" t="s">
        <v>132</v>
      </c>
      <c r="D1324" s="8" t="s">
        <v>6434</v>
      </c>
      <c r="E1324" s="8">
        <v>60.0</v>
      </c>
    </row>
    <row r="1325">
      <c r="A1325" s="8" t="s">
        <v>1493</v>
      </c>
      <c r="B1325" s="8" t="s">
        <v>91</v>
      </c>
      <c r="C1325" s="8" t="s">
        <v>192</v>
      </c>
      <c r="D1325" s="8" t="s">
        <v>6438</v>
      </c>
      <c r="E1325" s="8">
        <v>76.0</v>
      </c>
    </row>
    <row r="1326">
      <c r="A1326" s="8" t="s">
        <v>1493</v>
      </c>
      <c r="B1326" s="8" t="s">
        <v>3325</v>
      </c>
      <c r="C1326" s="8" t="s">
        <v>215</v>
      </c>
      <c r="D1326" s="8" t="s">
        <v>6423</v>
      </c>
      <c r="E1326" s="8">
        <v>73.0</v>
      </c>
    </row>
    <row r="1327">
      <c r="A1327" s="8" t="s">
        <v>2754</v>
      </c>
      <c r="B1327" s="8" t="s">
        <v>2753</v>
      </c>
      <c r="C1327" s="8" t="s">
        <v>53</v>
      </c>
      <c r="D1327" s="8" t="s">
        <v>6417</v>
      </c>
      <c r="E1327" s="8">
        <v>83.0</v>
      </c>
    </row>
    <row r="1328">
      <c r="A1328" s="8" t="s">
        <v>2754</v>
      </c>
      <c r="B1328" s="8" t="s">
        <v>3903</v>
      </c>
      <c r="C1328" s="8" t="s">
        <v>70</v>
      </c>
      <c r="D1328" s="8" t="s">
        <v>6430</v>
      </c>
      <c r="E1328" s="8">
        <v>79.0</v>
      </c>
    </row>
    <row r="1329">
      <c r="A1329" s="8" t="s">
        <v>3500</v>
      </c>
      <c r="B1329" s="8" t="s">
        <v>78</v>
      </c>
      <c r="C1329" s="8" t="s">
        <v>65</v>
      </c>
      <c r="D1329" s="8" t="s">
        <v>6433</v>
      </c>
      <c r="E1329" s="8">
        <v>63.0</v>
      </c>
    </row>
    <row r="1330">
      <c r="A1330" s="8" t="s">
        <v>3240</v>
      </c>
      <c r="B1330" s="8" t="s">
        <v>3239</v>
      </c>
      <c r="C1330" s="8" t="s">
        <v>53</v>
      </c>
      <c r="D1330" s="8" t="s">
        <v>6418</v>
      </c>
      <c r="E1330" s="8">
        <v>67.0</v>
      </c>
    </row>
    <row r="1331">
      <c r="A1331" s="8" t="s">
        <v>3594</v>
      </c>
      <c r="B1331" s="8" t="s">
        <v>1744</v>
      </c>
      <c r="C1331" s="8" t="s">
        <v>186</v>
      </c>
      <c r="D1331" s="8" t="s">
        <v>6435</v>
      </c>
      <c r="E1331" s="8">
        <v>73.0</v>
      </c>
    </row>
    <row r="1332">
      <c r="A1332" s="8" t="s">
        <v>1447</v>
      </c>
      <c r="B1332" s="8" t="s">
        <v>1446</v>
      </c>
      <c r="C1332" s="8" t="s">
        <v>192</v>
      </c>
      <c r="D1332" s="8" t="s">
        <v>6442</v>
      </c>
      <c r="E1332" s="8">
        <v>66.0</v>
      </c>
    </row>
    <row r="1333">
      <c r="A1333" s="8" t="s">
        <v>431</v>
      </c>
      <c r="B1333" s="8" t="s">
        <v>430</v>
      </c>
      <c r="C1333" s="8" t="s">
        <v>122</v>
      </c>
      <c r="D1333" s="8" t="s">
        <v>6441</v>
      </c>
      <c r="E1333" s="8">
        <v>92.0</v>
      </c>
    </row>
    <row r="1334">
      <c r="A1334" s="8" t="s">
        <v>3125</v>
      </c>
      <c r="B1334" s="8" t="s">
        <v>2280</v>
      </c>
      <c r="C1334" s="8" t="s">
        <v>93</v>
      </c>
      <c r="D1334" s="8" t="s">
        <v>6412</v>
      </c>
      <c r="E1334" s="8">
        <v>71.0</v>
      </c>
    </row>
    <row r="1335">
      <c r="A1335" s="8" t="s">
        <v>1918</v>
      </c>
      <c r="B1335" s="8" t="s">
        <v>1036</v>
      </c>
      <c r="C1335" s="8" t="s">
        <v>192</v>
      </c>
      <c r="D1335" s="8" t="s">
        <v>6431</v>
      </c>
      <c r="E1335" s="8">
        <v>77.0</v>
      </c>
    </row>
    <row r="1336">
      <c r="A1336" s="8" t="s">
        <v>3364</v>
      </c>
      <c r="B1336" s="8" t="s">
        <v>1263</v>
      </c>
      <c r="C1336" s="8" t="s">
        <v>149</v>
      </c>
      <c r="D1336" s="8" t="s">
        <v>6436</v>
      </c>
      <c r="E1336" s="8">
        <v>64.0</v>
      </c>
    </row>
    <row r="1337">
      <c r="A1337" s="8" t="s">
        <v>3655</v>
      </c>
      <c r="B1337" s="8" t="s">
        <v>3654</v>
      </c>
      <c r="C1337" s="8" t="s">
        <v>122</v>
      </c>
      <c r="D1337" s="8" t="s">
        <v>6416</v>
      </c>
      <c r="E1337" s="8">
        <v>71.0</v>
      </c>
    </row>
    <row r="1338">
      <c r="A1338" s="8" t="s">
        <v>839</v>
      </c>
      <c r="B1338" s="8" t="s">
        <v>460</v>
      </c>
      <c r="C1338" s="8" t="s">
        <v>65</v>
      </c>
      <c r="D1338" s="8" t="s">
        <v>6432</v>
      </c>
      <c r="E1338" s="8">
        <v>88.0</v>
      </c>
    </row>
    <row r="1339">
      <c r="A1339" s="8" t="s">
        <v>839</v>
      </c>
      <c r="B1339" s="8" t="s">
        <v>94</v>
      </c>
      <c r="C1339" s="8" t="s">
        <v>93</v>
      </c>
      <c r="D1339" s="8" t="s">
        <v>6418</v>
      </c>
      <c r="E1339" s="8">
        <v>75.0</v>
      </c>
    </row>
    <row r="1340">
      <c r="A1340" s="8" t="s">
        <v>839</v>
      </c>
      <c r="B1340" s="8" t="s">
        <v>783</v>
      </c>
      <c r="C1340" s="8" t="s">
        <v>70</v>
      </c>
      <c r="D1340" s="8" t="s">
        <v>6435</v>
      </c>
      <c r="E1340" s="8">
        <v>62.0</v>
      </c>
    </row>
    <row r="1341">
      <c r="A1341" s="8" t="s">
        <v>839</v>
      </c>
      <c r="B1341" s="8" t="s">
        <v>308</v>
      </c>
      <c r="C1341" s="8" t="s">
        <v>186</v>
      </c>
      <c r="D1341" s="8" t="s">
        <v>6425</v>
      </c>
      <c r="E1341" s="8">
        <v>75.0</v>
      </c>
    </row>
    <row r="1342">
      <c r="A1342" s="8" t="s">
        <v>782</v>
      </c>
      <c r="B1342" s="8" t="s">
        <v>405</v>
      </c>
      <c r="C1342" s="8" t="s">
        <v>70</v>
      </c>
      <c r="D1342" s="8" t="s">
        <v>6416</v>
      </c>
      <c r="E1342" s="8">
        <v>69.0</v>
      </c>
    </row>
    <row r="1343">
      <c r="A1343" s="8" t="s">
        <v>782</v>
      </c>
      <c r="B1343" s="8" t="s">
        <v>1252</v>
      </c>
      <c r="C1343" s="8" t="s">
        <v>93</v>
      </c>
      <c r="D1343" s="8" t="s">
        <v>6438</v>
      </c>
      <c r="E1343" s="8">
        <v>66.0</v>
      </c>
    </row>
    <row r="1344">
      <c r="A1344" s="8" t="s">
        <v>782</v>
      </c>
      <c r="B1344" s="8" t="s">
        <v>3778</v>
      </c>
      <c r="C1344" s="8" t="s">
        <v>65</v>
      </c>
      <c r="D1344" s="8" t="s">
        <v>6434</v>
      </c>
      <c r="E1344" s="8">
        <v>63.0</v>
      </c>
    </row>
    <row r="1345">
      <c r="A1345" s="8" t="s">
        <v>782</v>
      </c>
      <c r="B1345" s="8" t="s">
        <v>781</v>
      </c>
      <c r="C1345" s="8" t="s">
        <v>93</v>
      </c>
      <c r="D1345" s="8" t="s">
        <v>6422</v>
      </c>
      <c r="E1345" s="8">
        <v>66.0</v>
      </c>
    </row>
    <row r="1346">
      <c r="A1346" s="8" t="s">
        <v>782</v>
      </c>
      <c r="B1346" s="8" t="s">
        <v>99</v>
      </c>
      <c r="C1346" s="8" t="s">
        <v>261</v>
      </c>
      <c r="D1346" s="8" t="s">
        <v>6442</v>
      </c>
      <c r="E1346" s="8">
        <v>54.0</v>
      </c>
    </row>
    <row r="1347">
      <c r="A1347" s="8" t="s">
        <v>782</v>
      </c>
      <c r="B1347" s="8" t="s">
        <v>3083</v>
      </c>
      <c r="C1347" s="8" t="s">
        <v>192</v>
      </c>
      <c r="D1347" s="8" t="s">
        <v>6426</v>
      </c>
      <c r="E1347" s="8">
        <v>71.0</v>
      </c>
    </row>
    <row r="1348">
      <c r="A1348" s="8" t="s">
        <v>782</v>
      </c>
      <c r="B1348" s="8" t="s">
        <v>3894</v>
      </c>
      <c r="C1348" s="8" t="s">
        <v>16</v>
      </c>
      <c r="D1348" s="8" t="s">
        <v>6417</v>
      </c>
      <c r="E1348" s="8">
        <v>63.0</v>
      </c>
    </row>
    <row r="1349">
      <c r="A1349" s="8" t="s">
        <v>1596</v>
      </c>
      <c r="B1349" s="8" t="s">
        <v>409</v>
      </c>
      <c r="C1349" s="8" t="s">
        <v>93</v>
      </c>
      <c r="D1349" s="8" t="s">
        <v>6437</v>
      </c>
      <c r="E1349" s="8">
        <v>70.0</v>
      </c>
    </row>
    <row r="1350">
      <c r="A1350" s="8" t="s">
        <v>2931</v>
      </c>
      <c r="B1350" s="8" t="s">
        <v>579</v>
      </c>
      <c r="C1350" s="8" t="s">
        <v>192</v>
      </c>
      <c r="D1350" s="8" t="s">
        <v>6433</v>
      </c>
      <c r="E1350" s="8">
        <v>66.0</v>
      </c>
    </row>
    <row r="1351">
      <c r="A1351" s="8" t="s">
        <v>3810</v>
      </c>
      <c r="B1351" s="8" t="s">
        <v>3809</v>
      </c>
      <c r="C1351" s="8" t="s">
        <v>215</v>
      </c>
      <c r="D1351" s="8" t="s">
        <v>6428</v>
      </c>
      <c r="E1351" s="8">
        <v>59.0</v>
      </c>
    </row>
    <row r="1352">
      <c r="A1352" s="8" t="s">
        <v>413</v>
      </c>
      <c r="B1352" s="8" t="s">
        <v>412</v>
      </c>
      <c r="C1352" s="8" t="s">
        <v>132</v>
      </c>
      <c r="D1352" s="8" t="s">
        <v>6438</v>
      </c>
      <c r="E1352" s="8">
        <v>89.0</v>
      </c>
    </row>
    <row r="1353">
      <c r="A1353" s="8" t="s">
        <v>3207</v>
      </c>
      <c r="B1353" s="8" t="s">
        <v>3206</v>
      </c>
      <c r="C1353" s="8" t="s">
        <v>16</v>
      </c>
      <c r="D1353" s="8" t="s">
        <v>6432</v>
      </c>
      <c r="E1353" s="8">
        <v>68.0</v>
      </c>
    </row>
    <row r="1354">
      <c r="A1354" s="8" t="s">
        <v>3207</v>
      </c>
      <c r="B1354" s="8" t="s">
        <v>61</v>
      </c>
      <c r="C1354" s="8" t="s">
        <v>24</v>
      </c>
      <c r="D1354" s="8" t="s">
        <v>6440</v>
      </c>
      <c r="E1354" s="8">
        <v>69.0</v>
      </c>
    </row>
    <row r="1355">
      <c r="A1355" s="8" t="s">
        <v>3207</v>
      </c>
      <c r="B1355" s="8" t="s">
        <v>1264</v>
      </c>
      <c r="C1355" s="8" t="s">
        <v>16</v>
      </c>
      <c r="D1355" s="8" t="s">
        <v>6442</v>
      </c>
      <c r="E1355" s="8">
        <v>69.0</v>
      </c>
    </row>
    <row r="1356">
      <c r="A1356" s="8" t="s">
        <v>347</v>
      </c>
      <c r="B1356" s="8" t="s">
        <v>346</v>
      </c>
      <c r="C1356" s="8" t="s">
        <v>46</v>
      </c>
      <c r="D1356" s="8" t="s">
        <v>6413</v>
      </c>
      <c r="E1356" s="8">
        <v>82.0</v>
      </c>
    </row>
    <row r="1357">
      <c r="A1357" s="8" t="s">
        <v>347</v>
      </c>
      <c r="B1357" s="8" t="s">
        <v>35</v>
      </c>
      <c r="C1357" s="8" t="s">
        <v>65</v>
      </c>
      <c r="D1357" s="8" t="s">
        <v>6441</v>
      </c>
      <c r="E1357" s="8">
        <v>83.0</v>
      </c>
    </row>
    <row r="1358">
      <c r="A1358" s="8" t="s">
        <v>347</v>
      </c>
      <c r="B1358" s="8" t="s">
        <v>3837</v>
      </c>
      <c r="C1358" s="8" t="s">
        <v>186</v>
      </c>
      <c r="D1358" s="8" t="s">
        <v>6425</v>
      </c>
      <c r="E1358" s="8">
        <v>68.0</v>
      </c>
    </row>
    <row r="1359">
      <c r="A1359" s="8" t="s">
        <v>347</v>
      </c>
      <c r="B1359" s="8" t="s">
        <v>441</v>
      </c>
      <c r="C1359" s="8" t="s">
        <v>70</v>
      </c>
      <c r="D1359" s="8" t="s">
        <v>6422</v>
      </c>
      <c r="E1359" s="8">
        <v>67.0</v>
      </c>
    </row>
    <row r="1360">
      <c r="A1360" s="8" t="s">
        <v>723</v>
      </c>
      <c r="B1360" s="8" t="s">
        <v>722</v>
      </c>
      <c r="C1360" s="8" t="s">
        <v>192</v>
      </c>
      <c r="D1360" s="8" t="s">
        <v>6431</v>
      </c>
      <c r="E1360" s="8">
        <v>76.0</v>
      </c>
    </row>
    <row r="1361">
      <c r="A1361" s="8" t="s">
        <v>3868</v>
      </c>
      <c r="B1361" s="8" t="s">
        <v>3867</v>
      </c>
      <c r="C1361" s="8" t="s">
        <v>65</v>
      </c>
      <c r="D1361" s="8" t="s">
        <v>6440</v>
      </c>
      <c r="E1361" s="8">
        <v>67.0</v>
      </c>
    </row>
    <row r="1362">
      <c r="A1362" s="8" t="s">
        <v>961</v>
      </c>
      <c r="B1362" s="8" t="s">
        <v>918</v>
      </c>
      <c r="C1362" s="8" t="s">
        <v>93</v>
      </c>
      <c r="D1362" s="8" t="s">
        <v>6416</v>
      </c>
      <c r="E1362" s="8">
        <v>70.0</v>
      </c>
    </row>
    <row r="1363">
      <c r="A1363" s="8" t="s">
        <v>961</v>
      </c>
      <c r="B1363" s="8" t="s">
        <v>260</v>
      </c>
      <c r="C1363" s="8" t="s">
        <v>93</v>
      </c>
      <c r="D1363" s="8" t="s">
        <v>6440</v>
      </c>
      <c r="E1363" s="8">
        <v>67.0</v>
      </c>
    </row>
    <row r="1364">
      <c r="A1364" s="8" t="s">
        <v>961</v>
      </c>
      <c r="B1364" s="8" t="s">
        <v>960</v>
      </c>
      <c r="C1364" s="8" t="s">
        <v>149</v>
      </c>
      <c r="D1364" s="8" t="s">
        <v>6434</v>
      </c>
      <c r="E1364" s="8">
        <v>66.0</v>
      </c>
    </row>
    <row r="1365">
      <c r="A1365" s="8" t="s">
        <v>961</v>
      </c>
      <c r="B1365" s="8" t="s">
        <v>963</v>
      </c>
      <c r="C1365" s="8" t="s">
        <v>138</v>
      </c>
      <c r="D1365" s="8" t="s">
        <v>6428</v>
      </c>
      <c r="E1365" s="8">
        <v>80.0</v>
      </c>
    </row>
    <row r="1366">
      <c r="A1366" s="8" t="s">
        <v>961</v>
      </c>
      <c r="B1366" s="8" t="s">
        <v>3818</v>
      </c>
      <c r="C1366" s="8" t="s">
        <v>215</v>
      </c>
      <c r="D1366" s="8" t="s">
        <v>6416</v>
      </c>
      <c r="E1366" s="8">
        <v>69.0</v>
      </c>
    </row>
    <row r="1367">
      <c r="A1367" s="8" t="s">
        <v>961</v>
      </c>
      <c r="B1367" s="8" t="s">
        <v>455</v>
      </c>
      <c r="C1367" s="8" t="s">
        <v>65</v>
      </c>
      <c r="D1367" s="8" t="s">
        <v>6423</v>
      </c>
      <c r="E1367" s="8">
        <v>79.0</v>
      </c>
    </row>
    <row r="1368">
      <c r="A1368" s="8" t="s">
        <v>1711</v>
      </c>
      <c r="B1368" s="8" t="s">
        <v>94</v>
      </c>
      <c r="C1368" s="8" t="s">
        <v>80</v>
      </c>
      <c r="D1368" s="8" t="s">
        <v>6435</v>
      </c>
      <c r="E1368" s="8">
        <v>79.0</v>
      </c>
    </row>
    <row r="1369">
      <c r="A1369" s="8" t="s">
        <v>345</v>
      </c>
      <c r="B1369" s="8" t="s">
        <v>344</v>
      </c>
      <c r="C1369" s="8" t="s">
        <v>70</v>
      </c>
      <c r="D1369" s="8" t="s">
        <v>6424</v>
      </c>
      <c r="E1369" s="8">
        <v>69.0</v>
      </c>
    </row>
    <row r="1370">
      <c r="A1370" s="8" t="s">
        <v>734</v>
      </c>
      <c r="B1370" s="8" t="s">
        <v>3535</v>
      </c>
      <c r="C1370" s="8" t="s">
        <v>24</v>
      </c>
      <c r="D1370" s="8" t="s">
        <v>6421</v>
      </c>
      <c r="E1370" s="8">
        <v>65.0</v>
      </c>
    </row>
    <row r="1371">
      <c r="A1371" s="8" t="s">
        <v>892</v>
      </c>
      <c r="B1371" s="8" t="s">
        <v>2644</v>
      </c>
      <c r="C1371" s="8" t="s">
        <v>93</v>
      </c>
      <c r="D1371" s="8" t="s">
        <v>6422</v>
      </c>
      <c r="E1371" s="8">
        <v>75.0</v>
      </c>
    </row>
    <row r="1372">
      <c r="A1372" s="8" t="s">
        <v>892</v>
      </c>
      <c r="B1372" s="8" t="s">
        <v>1149</v>
      </c>
      <c r="C1372" s="8" t="s">
        <v>70</v>
      </c>
      <c r="D1372" s="8" t="s">
        <v>6435</v>
      </c>
      <c r="E1372" s="8">
        <v>72.0</v>
      </c>
    </row>
    <row r="1373">
      <c r="A1373" s="8" t="s">
        <v>892</v>
      </c>
      <c r="B1373" s="8" t="s">
        <v>891</v>
      </c>
      <c r="C1373" s="8" t="s">
        <v>93</v>
      </c>
      <c r="D1373" s="8" t="s">
        <v>6438</v>
      </c>
      <c r="E1373" s="8">
        <v>61.0</v>
      </c>
    </row>
    <row r="1374">
      <c r="A1374" s="8" t="s">
        <v>892</v>
      </c>
      <c r="B1374" s="8" t="s">
        <v>1167</v>
      </c>
      <c r="C1374" s="8" t="s">
        <v>70</v>
      </c>
      <c r="D1374" s="8" t="s">
        <v>6432</v>
      </c>
      <c r="E1374" s="8">
        <v>61.0</v>
      </c>
    </row>
    <row r="1375">
      <c r="A1375" s="8" t="s">
        <v>333</v>
      </c>
      <c r="B1375" s="8" t="s">
        <v>3526</v>
      </c>
      <c r="C1375" s="8" t="s">
        <v>59</v>
      </c>
      <c r="D1375" s="8" t="s">
        <v>6412</v>
      </c>
      <c r="E1375" s="8">
        <v>57.0</v>
      </c>
    </row>
    <row r="1376">
      <c r="A1376" s="8" t="s">
        <v>333</v>
      </c>
      <c r="B1376" s="8" t="s">
        <v>646</v>
      </c>
      <c r="C1376" s="8" t="s">
        <v>65</v>
      </c>
      <c r="D1376" s="8" t="s">
        <v>6426</v>
      </c>
      <c r="E1376" s="8">
        <v>63.0</v>
      </c>
    </row>
    <row r="1377">
      <c r="A1377" s="8" t="s">
        <v>333</v>
      </c>
      <c r="B1377" s="8" t="s">
        <v>655</v>
      </c>
      <c r="C1377" s="8" t="s">
        <v>65</v>
      </c>
      <c r="D1377" s="8" t="s">
        <v>6414</v>
      </c>
      <c r="E1377" s="8">
        <v>80.0</v>
      </c>
    </row>
    <row r="1378">
      <c r="A1378" s="8" t="s">
        <v>333</v>
      </c>
      <c r="B1378" s="8" t="s">
        <v>90</v>
      </c>
      <c r="C1378" s="8" t="s">
        <v>122</v>
      </c>
      <c r="D1378" s="8" t="s">
        <v>6421</v>
      </c>
      <c r="E1378" s="8">
        <v>73.0</v>
      </c>
    </row>
    <row r="1379">
      <c r="A1379" s="8" t="s">
        <v>333</v>
      </c>
      <c r="B1379" s="8" t="s">
        <v>1837</v>
      </c>
      <c r="C1379" s="8" t="s">
        <v>70</v>
      </c>
      <c r="D1379" s="8" t="s">
        <v>6434</v>
      </c>
      <c r="E1379" s="8">
        <v>62.0</v>
      </c>
    </row>
    <row r="1380">
      <c r="A1380" s="8" t="s">
        <v>333</v>
      </c>
      <c r="B1380" s="8" t="s">
        <v>1874</v>
      </c>
      <c r="C1380" s="8" t="s">
        <v>65</v>
      </c>
      <c r="D1380" s="8" t="s">
        <v>6433</v>
      </c>
      <c r="E1380" s="8">
        <v>64.0</v>
      </c>
    </row>
    <row r="1381">
      <c r="A1381" s="8" t="s">
        <v>333</v>
      </c>
      <c r="B1381" s="8" t="s">
        <v>1038</v>
      </c>
      <c r="C1381" s="8" t="s">
        <v>65</v>
      </c>
      <c r="D1381" s="8" t="s">
        <v>6415</v>
      </c>
      <c r="E1381" s="8">
        <v>74.0</v>
      </c>
    </row>
    <row r="1382">
      <c r="A1382" s="8" t="s">
        <v>333</v>
      </c>
      <c r="B1382" s="8" t="s">
        <v>818</v>
      </c>
      <c r="C1382" s="8" t="s">
        <v>192</v>
      </c>
      <c r="D1382" s="8" t="s">
        <v>6418</v>
      </c>
      <c r="E1382" s="8">
        <v>80.0</v>
      </c>
    </row>
    <row r="1383">
      <c r="A1383" s="8" t="s">
        <v>333</v>
      </c>
      <c r="B1383" s="8" t="s">
        <v>332</v>
      </c>
      <c r="C1383" s="8" t="s">
        <v>75</v>
      </c>
      <c r="D1383" s="8" t="s">
        <v>6432</v>
      </c>
      <c r="E1383" s="8">
        <v>66.0</v>
      </c>
    </row>
    <row r="1384">
      <c r="A1384" s="8" t="s">
        <v>3625</v>
      </c>
      <c r="B1384" s="8" t="s">
        <v>677</v>
      </c>
      <c r="C1384" s="8" t="s">
        <v>122</v>
      </c>
      <c r="D1384" s="8" t="s">
        <v>6429</v>
      </c>
      <c r="E1384" s="8">
        <v>71.0</v>
      </c>
    </row>
    <row r="1385">
      <c r="A1385" s="8" t="s">
        <v>3515</v>
      </c>
      <c r="B1385" s="8" t="s">
        <v>3514</v>
      </c>
      <c r="C1385" s="8" t="s">
        <v>122</v>
      </c>
      <c r="D1385" s="8" t="s">
        <v>6427</v>
      </c>
      <c r="E1385" s="8">
        <v>60.0</v>
      </c>
    </row>
    <row r="1386">
      <c r="A1386" s="8" t="s">
        <v>1105</v>
      </c>
      <c r="B1386" s="8" t="s">
        <v>487</v>
      </c>
      <c r="C1386" s="8" t="s">
        <v>192</v>
      </c>
      <c r="D1386" s="8" t="s">
        <v>6421</v>
      </c>
      <c r="E1386" s="8">
        <v>63.0</v>
      </c>
    </row>
    <row r="1387">
      <c r="A1387" s="8" t="s">
        <v>1105</v>
      </c>
      <c r="B1387" s="8" t="s">
        <v>1104</v>
      </c>
      <c r="C1387" s="8" t="s">
        <v>186</v>
      </c>
      <c r="D1387" s="8" t="s">
        <v>6429</v>
      </c>
      <c r="E1387" s="8">
        <v>66.0</v>
      </c>
    </row>
    <row r="1388">
      <c r="A1388" s="8" t="s">
        <v>1432</v>
      </c>
      <c r="B1388" s="8" t="s">
        <v>1431</v>
      </c>
      <c r="C1388" s="8" t="s">
        <v>70</v>
      </c>
      <c r="D1388" s="8" t="s">
        <v>6415</v>
      </c>
      <c r="E1388" s="8">
        <v>70.0</v>
      </c>
    </row>
    <row r="1389">
      <c r="A1389" s="8" t="s">
        <v>721</v>
      </c>
      <c r="B1389" s="8" t="s">
        <v>834</v>
      </c>
      <c r="C1389" s="8" t="s">
        <v>138</v>
      </c>
      <c r="D1389" s="8" t="s">
        <v>6425</v>
      </c>
      <c r="E1389" s="8">
        <v>65.0</v>
      </c>
    </row>
    <row r="1390">
      <c r="A1390" s="8" t="s">
        <v>3139</v>
      </c>
      <c r="B1390" s="8" t="s">
        <v>78</v>
      </c>
      <c r="C1390" s="8" t="s">
        <v>70</v>
      </c>
      <c r="D1390" s="8" t="s">
        <v>6419</v>
      </c>
      <c r="E1390" s="8">
        <v>71.0</v>
      </c>
    </row>
    <row r="1391">
      <c r="A1391" s="8" t="s">
        <v>3344</v>
      </c>
      <c r="B1391" s="8" t="s">
        <v>396</v>
      </c>
      <c r="C1391" s="8" t="s">
        <v>65</v>
      </c>
      <c r="D1391" s="8" t="s">
        <v>6436</v>
      </c>
      <c r="E1391" s="8">
        <v>68.0</v>
      </c>
    </row>
    <row r="1392">
      <c r="A1392" s="8" t="s">
        <v>119</v>
      </c>
      <c r="B1392" s="8" t="s">
        <v>1111</v>
      </c>
      <c r="C1392" s="8" t="s">
        <v>192</v>
      </c>
      <c r="D1392" s="8" t="s">
        <v>6423</v>
      </c>
      <c r="E1392" s="8">
        <v>71.0</v>
      </c>
    </row>
    <row r="1393">
      <c r="A1393" s="8" t="s">
        <v>119</v>
      </c>
      <c r="B1393" s="8" t="s">
        <v>2764</v>
      </c>
      <c r="C1393" s="8" t="s">
        <v>59</v>
      </c>
      <c r="D1393" s="8" t="s">
        <v>6423</v>
      </c>
      <c r="E1393" s="8">
        <v>73.0</v>
      </c>
    </row>
    <row r="1394">
      <c r="A1394" s="8" t="s">
        <v>119</v>
      </c>
      <c r="B1394" s="8" t="s">
        <v>3282</v>
      </c>
      <c r="C1394" s="8" t="s">
        <v>46</v>
      </c>
      <c r="D1394" s="8" t="s">
        <v>6428</v>
      </c>
      <c r="E1394" s="8">
        <v>64.0</v>
      </c>
    </row>
    <row r="1395">
      <c r="A1395" s="8" t="s">
        <v>119</v>
      </c>
      <c r="B1395" s="8" t="s">
        <v>274</v>
      </c>
      <c r="C1395" s="8" t="s">
        <v>16</v>
      </c>
      <c r="D1395" s="8" t="s">
        <v>6437</v>
      </c>
      <c r="E1395" s="8">
        <v>67.0</v>
      </c>
    </row>
    <row r="1396">
      <c r="A1396" s="8" t="s">
        <v>119</v>
      </c>
      <c r="B1396" s="8" t="s">
        <v>118</v>
      </c>
      <c r="C1396" s="8" t="s">
        <v>38</v>
      </c>
      <c r="D1396" s="8" t="s">
        <v>6417</v>
      </c>
      <c r="E1396" s="8">
        <v>77.0</v>
      </c>
    </row>
    <row r="1397">
      <c r="A1397" s="8" t="s">
        <v>119</v>
      </c>
      <c r="B1397" s="8" t="s">
        <v>389</v>
      </c>
      <c r="C1397" s="8" t="s">
        <v>93</v>
      </c>
      <c r="D1397" s="8" t="s">
        <v>6434</v>
      </c>
      <c r="E1397" s="8">
        <v>74.0</v>
      </c>
    </row>
    <row r="1398">
      <c r="A1398" s="8" t="s">
        <v>119</v>
      </c>
      <c r="B1398" s="8" t="s">
        <v>581</v>
      </c>
      <c r="C1398" s="8" t="s">
        <v>24</v>
      </c>
      <c r="D1398" s="8" t="s">
        <v>6429</v>
      </c>
      <c r="E1398" s="8">
        <v>50.0</v>
      </c>
    </row>
    <row r="1399">
      <c r="A1399" s="8" t="s">
        <v>119</v>
      </c>
      <c r="B1399" s="8" t="s">
        <v>2950</v>
      </c>
      <c r="C1399" s="8" t="s">
        <v>186</v>
      </c>
      <c r="D1399" s="8" t="s">
        <v>6419</v>
      </c>
      <c r="E1399" s="8">
        <v>74.0</v>
      </c>
    </row>
    <row r="1400">
      <c r="A1400" s="8" t="s">
        <v>119</v>
      </c>
      <c r="B1400" s="8" t="s">
        <v>3378</v>
      </c>
      <c r="C1400" s="8" t="s">
        <v>65</v>
      </c>
      <c r="D1400" s="8" t="s">
        <v>6441</v>
      </c>
      <c r="E1400" s="8">
        <v>68.0</v>
      </c>
    </row>
    <row r="1401">
      <c r="A1401" s="8" t="s">
        <v>119</v>
      </c>
      <c r="B1401" s="8" t="s">
        <v>773</v>
      </c>
      <c r="C1401" s="8" t="s">
        <v>46</v>
      </c>
      <c r="D1401" s="8" t="s">
        <v>6426</v>
      </c>
      <c r="E1401" s="8">
        <v>71.0</v>
      </c>
    </row>
    <row r="1402">
      <c r="A1402" s="8" t="s">
        <v>119</v>
      </c>
      <c r="B1402" s="8" t="s">
        <v>126</v>
      </c>
      <c r="C1402" s="8" t="s">
        <v>93</v>
      </c>
      <c r="D1402" s="8" t="s">
        <v>6427</v>
      </c>
      <c r="E1402" s="8">
        <v>61.0</v>
      </c>
    </row>
    <row r="1403">
      <c r="A1403" s="8" t="s">
        <v>119</v>
      </c>
      <c r="B1403" s="8" t="s">
        <v>1006</v>
      </c>
      <c r="C1403" s="8" t="s">
        <v>59</v>
      </c>
      <c r="D1403" s="8" t="s">
        <v>6433</v>
      </c>
      <c r="E1403" s="8">
        <v>70.0</v>
      </c>
    </row>
    <row r="1404">
      <c r="A1404" s="8" t="s">
        <v>119</v>
      </c>
      <c r="B1404" s="8" t="s">
        <v>1950</v>
      </c>
      <c r="C1404" s="8" t="s">
        <v>186</v>
      </c>
      <c r="D1404" s="8" t="s">
        <v>6430</v>
      </c>
      <c r="E1404" s="8">
        <v>67.0</v>
      </c>
    </row>
    <row r="1405">
      <c r="A1405" s="8" t="s">
        <v>119</v>
      </c>
      <c r="B1405" s="8" t="s">
        <v>99</v>
      </c>
      <c r="C1405" s="8" t="s">
        <v>65</v>
      </c>
      <c r="D1405" s="8" t="s">
        <v>6433</v>
      </c>
      <c r="E1405" s="8">
        <v>64.0</v>
      </c>
    </row>
    <row r="1406">
      <c r="A1406" s="8" t="s">
        <v>119</v>
      </c>
      <c r="B1406" s="8" t="s">
        <v>1055</v>
      </c>
      <c r="C1406" s="8" t="s">
        <v>65</v>
      </c>
      <c r="D1406" s="8" t="s">
        <v>6427</v>
      </c>
      <c r="E1406" s="8">
        <v>74.0</v>
      </c>
    </row>
    <row r="1407">
      <c r="A1407" s="8" t="s">
        <v>119</v>
      </c>
      <c r="B1407" s="8" t="s">
        <v>626</v>
      </c>
      <c r="C1407" s="8" t="s">
        <v>132</v>
      </c>
      <c r="D1407" s="8" t="s">
        <v>6417</v>
      </c>
      <c r="E1407" s="8">
        <v>89.0</v>
      </c>
    </row>
    <row r="1408">
      <c r="A1408" s="8" t="s">
        <v>1609</v>
      </c>
      <c r="B1408" s="8" t="s">
        <v>1608</v>
      </c>
      <c r="C1408" s="8" t="s">
        <v>93</v>
      </c>
      <c r="D1408" s="8" t="s">
        <v>6430</v>
      </c>
      <c r="E1408" s="8">
        <v>63.0</v>
      </c>
    </row>
    <row r="1409">
      <c r="A1409" s="8" t="s">
        <v>749</v>
      </c>
      <c r="B1409" s="8" t="s">
        <v>163</v>
      </c>
      <c r="C1409" s="8" t="s">
        <v>53</v>
      </c>
      <c r="D1409" s="8" t="s">
        <v>6438</v>
      </c>
      <c r="E1409" s="8">
        <v>94.0</v>
      </c>
    </row>
    <row r="1410">
      <c r="A1410" s="8" t="s">
        <v>2286</v>
      </c>
      <c r="B1410" s="8" t="s">
        <v>42</v>
      </c>
      <c r="C1410" s="8" t="s">
        <v>24</v>
      </c>
      <c r="D1410" s="8" t="s">
        <v>6427</v>
      </c>
      <c r="E1410" s="8">
        <v>67.0</v>
      </c>
    </row>
    <row r="1411">
      <c r="A1411" s="8" t="s">
        <v>3663</v>
      </c>
      <c r="B1411" s="8" t="s">
        <v>1818</v>
      </c>
      <c r="C1411" s="8" t="s">
        <v>59</v>
      </c>
      <c r="D1411" s="8" t="s">
        <v>6420</v>
      </c>
      <c r="E1411" s="8">
        <v>71.0</v>
      </c>
    </row>
    <row r="1412">
      <c r="A1412" s="8" t="s">
        <v>3822</v>
      </c>
      <c r="B1412" s="8" t="s">
        <v>308</v>
      </c>
      <c r="C1412" s="8" t="s">
        <v>70</v>
      </c>
      <c r="D1412" s="8" t="s">
        <v>6440</v>
      </c>
      <c r="E1412" s="8">
        <v>74.0</v>
      </c>
    </row>
    <row r="1413">
      <c r="A1413" s="8" t="s">
        <v>462</v>
      </c>
      <c r="B1413" s="8" t="s">
        <v>461</v>
      </c>
      <c r="C1413" s="8" t="s">
        <v>186</v>
      </c>
      <c r="D1413" s="8" t="s">
        <v>6415</v>
      </c>
      <c r="E1413" s="8">
        <v>76.0</v>
      </c>
    </row>
    <row r="1414">
      <c r="A1414" s="8" t="s">
        <v>3759</v>
      </c>
      <c r="B1414" s="8" t="s">
        <v>2937</v>
      </c>
      <c r="C1414" s="8" t="s">
        <v>192</v>
      </c>
      <c r="D1414" s="8" t="s">
        <v>6426</v>
      </c>
      <c r="E1414" s="8">
        <v>63.0</v>
      </c>
    </row>
    <row r="1415">
      <c r="A1415" s="8" t="s">
        <v>956</v>
      </c>
      <c r="B1415" s="8" t="s">
        <v>365</v>
      </c>
      <c r="C1415" s="8" t="s">
        <v>46</v>
      </c>
      <c r="D1415" s="8" t="s">
        <v>6432</v>
      </c>
      <c r="E1415" s="8">
        <v>82.0</v>
      </c>
    </row>
    <row r="1416">
      <c r="A1416" s="8" t="s">
        <v>255</v>
      </c>
      <c r="B1416" s="8" t="s">
        <v>254</v>
      </c>
      <c r="C1416" s="8" t="s">
        <v>16</v>
      </c>
      <c r="D1416" s="8" t="s">
        <v>6416</v>
      </c>
      <c r="E1416" s="8">
        <v>83.0</v>
      </c>
    </row>
    <row r="1417">
      <c r="A1417" s="8" t="s">
        <v>3581</v>
      </c>
      <c r="B1417" s="8" t="s">
        <v>3580</v>
      </c>
      <c r="C1417" s="8" t="s">
        <v>24</v>
      </c>
      <c r="D1417" s="8" t="s">
        <v>6426</v>
      </c>
      <c r="E1417" s="8">
        <v>63.0</v>
      </c>
    </row>
    <row r="1418">
      <c r="A1418" s="8" t="s">
        <v>3222</v>
      </c>
      <c r="B1418" s="8" t="s">
        <v>61</v>
      </c>
      <c r="C1418" s="8" t="s">
        <v>70</v>
      </c>
      <c r="D1418" s="8" t="s">
        <v>6437</v>
      </c>
      <c r="E1418" s="8">
        <v>73.0</v>
      </c>
    </row>
    <row r="1419">
      <c r="A1419" s="8" t="s">
        <v>3366</v>
      </c>
      <c r="B1419" s="8" t="s">
        <v>3365</v>
      </c>
      <c r="C1419" s="8" t="s">
        <v>53</v>
      </c>
      <c r="D1419" s="8" t="s">
        <v>6415</v>
      </c>
      <c r="E1419" s="8">
        <v>85.0</v>
      </c>
    </row>
    <row r="1420">
      <c r="A1420" s="8" t="s">
        <v>2905</v>
      </c>
      <c r="B1420" s="8" t="s">
        <v>2904</v>
      </c>
      <c r="C1420" s="8" t="s">
        <v>65</v>
      </c>
      <c r="D1420" s="8" t="s">
        <v>6430</v>
      </c>
      <c r="E1420" s="8">
        <v>66.0</v>
      </c>
    </row>
    <row r="1421">
      <c r="A1421" s="8" t="s">
        <v>2772</v>
      </c>
      <c r="B1421" s="8" t="s">
        <v>2771</v>
      </c>
      <c r="C1421" s="8" t="s">
        <v>215</v>
      </c>
      <c r="D1421" s="8" t="s">
        <v>6441</v>
      </c>
      <c r="E1421" s="8">
        <v>79.0</v>
      </c>
    </row>
    <row r="1422">
      <c r="A1422" s="8" t="s">
        <v>1756</v>
      </c>
      <c r="B1422" s="8" t="s">
        <v>3095</v>
      </c>
      <c r="C1422" s="8" t="s">
        <v>59</v>
      </c>
      <c r="D1422" s="8" t="s">
        <v>6438</v>
      </c>
      <c r="E1422" s="8">
        <v>63.0</v>
      </c>
    </row>
    <row r="1423">
      <c r="A1423" s="8" t="s">
        <v>3726</v>
      </c>
      <c r="B1423" s="8" t="s">
        <v>3725</v>
      </c>
      <c r="C1423" s="8" t="s">
        <v>141</v>
      </c>
      <c r="D1423" s="8" t="s">
        <v>6416</v>
      </c>
      <c r="E1423" s="8">
        <v>71.0</v>
      </c>
    </row>
    <row r="1424">
      <c r="A1424" s="8" t="s">
        <v>3570</v>
      </c>
      <c r="B1424" s="8" t="s">
        <v>106</v>
      </c>
      <c r="C1424" s="8" t="s">
        <v>138</v>
      </c>
      <c r="D1424" s="8" t="s">
        <v>6426</v>
      </c>
      <c r="E1424" s="8">
        <v>61.0</v>
      </c>
    </row>
    <row r="1425">
      <c r="A1425" s="8" t="s">
        <v>3491</v>
      </c>
      <c r="B1425" s="8" t="s">
        <v>3490</v>
      </c>
      <c r="C1425" s="8" t="s">
        <v>132</v>
      </c>
      <c r="D1425" s="8" t="s">
        <v>6415</v>
      </c>
      <c r="E1425" s="8">
        <v>72.0</v>
      </c>
    </row>
    <row r="1426">
      <c r="A1426" s="8" t="s">
        <v>3066</v>
      </c>
      <c r="B1426" s="8" t="s">
        <v>3065</v>
      </c>
      <c r="C1426" s="8" t="s">
        <v>75</v>
      </c>
      <c r="D1426" s="8" t="s">
        <v>6433</v>
      </c>
      <c r="E1426" s="8">
        <v>62.0</v>
      </c>
    </row>
    <row r="1427">
      <c r="A1427" s="8" t="s">
        <v>1699</v>
      </c>
      <c r="B1427" s="8" t="s">
        <v>877</v>
      </c>
      <c r="C1427" s="8" t="s">
        <v>80</v>
      </c>
      <c r="D1427" s="8" t="s">
        <v>6441</v>
      </c>
      <c r="E1427" s="8">
        <v>87.0</v>
      </c>
    </row>
    <row r="1428">
      <c r="A1428" s="8" t="s">
        <v>2767</v>
      </c>
      <c r="B1428" s="8" t="s">
        <v>2766</v>
      </c>
      <c r="C1428" s="8" t="s">
        <v>192</v>
      </c>
      <c r="D1428" s="8" t="s">
        <v>6434</v>
      </c>
      <c r="E1428" s="8">
        <v>67.0</v>
      </c>
    </row>
    <row r="1429">
      <c r="A1429" s="8" t="s">
        <v>1354</v>
      </c>
      <c r="B1429" s="8" t="s">
        <v>57</v>
      </c>
      <c r="C1429" s="8" t="s">
        <v>186</v>
      </c>
      <c r="D1429" s="8" t="s">
        <v>6426</v>
      </c>
      <c r="E1429" s="8">
        <v>76.0</v>
      </c>
    </row>
    <row r="1430">
      <c r="A1430" s="8" t="s">
        <v>214</v>
      </c>
      <c r="B1430" s="8" t="s">
        <v>3530</v>
      </c>
      <c r="C1430" s="8" t="s">
        <v>93</v>
      </c>
      <c r="D1430" s="8" t="s">
        <v>6435</v>
      </c>
      <c r="E1430" s="8">
        <v>74.0</v>
      </c>
    </row>
    <row r="1431">
      <c r="A1431" s="8" t="s">
        <v>214</v>
      </c>
      <c r="B1431" s="8" t="s">
        <v>248</v>
      </c>
      <c r="C1431" s="8" t="s">
        <v>24</v>
      </c>
      <c r="D1431" s="8" t="s">
        <v>6429</v>
      </c>
      <c r="E1431" s="8">
        <v>58.0</v>
      </c>
    </row>
    <row r="1432">
      <c r="A1432" s="8" t="s">
        <v>214</v>
      </c>
      <c r="B1432" s="8" t="s">
        <v>2351</v>
      </c>
      <c r="C1432" s="8" t="s">
        <v>59</v>
      </c>
      <c r="D1432" s="8" t="s">
        <v>6432</v>
      </c>
      <c r="E1432" s="8">
        <v>69.0</v>
      </c>
    </row>
    <row r="1433">
      <c r="A1433" s="8" t="s">
        <v>214</v>
      </c>
      <c r="B1433" s="8" t="s">
        <v>3260</v>
      </c>
      <c r="C1433" s="8" t="s">
        <v>141</v>
      </c>
      <c r="D1433" s="8" t="s">
        <v>6440</v>
      </c>
      <c r="E1433" s="8">
        <v>62.0</v>
      </c>
    </row>
    <row r="1434">
      <c r="A1434" s="8" t="s">
        <v>214</v>
      </c>
      <c r="B1434" s="8" t="s">
        <v>918</v>
      </c>
      <c r="C1434" s="8" t="s">
        <v>93</v>
      </c>
      <c r="D1434" s="8" t="s">
        <v>6427</v>
      </c>
      <c r="E1434" s="8">
        <v>80.0</v>
      </c>
    </row>
    <row r="1435">
      <c r="A1435" s="8" t="s">
        <v>214</v>
      </c>
      <c r="B1435" s="8" t="s">
        <v>729</v>
      </c>
      <c r="C1435" s="8" t="s">
        <v>261</v>
      </c>
      <c r="D1435" s="8" t="s">
        <v>6435</v>
      </c>
      <c r="E1435" s="8">
        <v>83.0</v>
      </c>
    </row>
    <row r="1436">
      <c r="A1436" s="8" t="s">
        <v>214</v>
      </c>
      <c r="B1436" s="8" t="s">
        <v>395</v>
      </c>
      <c r="C1436" s="8" t="s">
        <v>132</v>
      </c>
      <c r="D1436" s="8" t="s">
        <v>6427</v>
      </c>
      <c r="E1436" s="8">
        <v>79.0</v>
      </c>
    </row>
    <row r="1437">
      <c r="A1437" s="8" t="s">
        <v>214</v>
      </c>
      <c r="B1437" s="8" t="s">
        <v>213</v>
      </c>
      <c r="C1437" s="8" t="s">
        <v>122</v>
      </c>
      <c r="D1437" s="8" t="s">
        <v>6441</v>
      </c>
      <c r="E1437" s="8">
        <v>72.0</v>
      </c>
    </row>
    <row r="1438">
      <c r="A1438" s="8" t="s">
        <v>214</v>
      </c>
      <c r="B1438" s="8" t="s">
        <v>766</v>
      </c>
      <c r="C1438" s="8" t="s">
        <v>149</v>
      </c>
      <c r="D1438" s="8" t="s">
        <v>6421</v>
      </c>
      <c r="E1438" s="8">
        <v>66.0</v>
      </c>
    </row>
    <row r="1439">
      <c r="A1439" s="8" t="s">
        <v>214</v>
      </c>
      <c r="B1439" s="8" t="s">
        <v>220</v>
      </c>
      <c r="C1439" s="8" t="s">
        <v>24</v>
      </c>
      <c r="D1439" s="8" t="s">
        <v>6422</v>
      </c>
      <c r="E1439" s="8">
        <v>44.0</v>
      </c>
    </row>
    <row r="1440">
      <c r="A1440" s="8" t="s">
        <v>214</v>
      </c>
      <c r="B1440" s="8" t="s">
        <v>599</v>
      </c>
      <c r="C1440" s="8" t="s">
        <v>24</v>
      </c>
      <c r="D1440" s="8" t="s">
        <v>6429</v>
      </c>
      <c r="E1440" s="8">
        <v>81.0</v>
      </c>
    </row>
    <row r="1441">
      <c r="A1441" s="8" t="s">
        <v>214</v>
      </c>
      <c r="B1441" s="8" t="s">
        <v>3108</v>
      </c>
      <c r="C1441" s="8" t="s">
        <v>53</v>
      </c>
      <c r="D1441" s="8" t="s">
        <v>6420</v>
      </c>
      <c r="E1441" s="8">
        <v>72.0</v>
      </c>
    </row>
    <row r="1442">
      <c r="A1442" s="8" t="s">
        <v>214</v>
      </c>
      <c r="B1442" s="8" t="s">
        <v>449</v>
      </c>
      <c r="C1442" s="8" t="s">
        <v>53</v>
      </c>
      <c r="D1442" s="8" t="s">
        <v>6442</v>
      </c>
      <c r="E1442" s="8">
        <v>73.0</v>
      </c>
    </row>
    <row r="1443">
      <c r="A1443" s="8" t="s">
        <v>214</v>
      </c>
      <c r="B1443" s="8" t="s">
        <v>78</v>
      </c>
      <c r="C1443" s="8" t="s">
        <v>122</v>
      </c>
      <c r="D1443" s="8" t="s">
        <v>6430</v>
      </c>
      <c r="E1443" s="8">
        <v>82.0</v>
      </c>
    </row>
    <row r="1444">
      <c r="A1444" s="8" t="s">
        <v>214</v>
      </c>
      <c r="B1444" s="8" t="s">
        <v>78</v>
      </c>
      <c r="C1444" s="8" t="s">
        <v>65</v>
      </c>
      <c r="D1444" s="8" t="s">
        <v>6440</v>
      </c>
      <c r="E1444" s="8">
        <v>65.0</v>
      </c>
    </row>
    <row r="1445">
      <c r="A1445" s="8" t="s">
        <v>214</v>
      </c>
      <c r="B1445" s="8" t="s">
        <v>451</v>
      </c>
      <c r="C1445" s="8" t="s">
        <v>93</v>
      </c>
      <c r="D1445" s="8" t="s">
        <v>6418</v>
      </c>
      <c r="E1445" s="8">
        <v>74.0</v>
      </c>
    </row>
    <row r="1446">
      <c r="A1446" s="8" t="s">
        <v>905</v>
      </c>
      <c r="B1446" s="8" t="s">
        <v>904</v>
      </c>
      <c r="C1446" s="8" t="s">
        <v>53</v>
      </c>
      <c r="D1446" s="8" t="s">
        <v>6421</v>
      </c>
      <c r="E1446" s="8">
        <v>68.0</v>
      </c>
    </row>
    <row r="1447">
      <c r="A1447" s="8" t="s">
        <v>3904</v>
      </c>
      <c r="B1447" s="8" t="s">
        <v>451</v>
      </c>
      <c r="C1447" s="8" t="s">
        <v>53</v>
      </c>
      <c r="D1447" s="8" t="s">
        <v>6438</v>
      </c>
      <c r="E1447" s="8">
        <v>60.0</v>
      </c>
    </row>
    <row r="1448">
      <c r="A1448" s="8" t="s">
        <v>3694</v>
      </c>
      <c r="B1448" s="8" t="s">
        <v>1205</v>
      </c>
      <c r="C1448" s="8" t="s">
        <v>80</v>
      </c>
      <c r="D1448" s="8" t="s">
        <v>6416</v>
      </c>
      <c r="E1448" s="8">
        <v>74.0</v>
      </c>
    </row>
    <row r="1449">
      <c r="A1449" s="8" t="s">
        <v>6409</v>
      </c>
      <c r="B1449" s="8" t="s">
        <v>511</v>
      </c>
      <c r="C1449" s="8" t="s">
        <v>53</v>
      </c>
      <c r="D1449" s="8" t="s">
        <v>6439</v>
      </c>
      <c r="E1449" s="8">
        <v>68.0</v>
      </c>
    </row>
    <row r="1450">
      <c r="A1450" s="8" t="s">
        <v>6409</v>
      </c>
      <c r="B1450" s="8" t="s">
        <v>2932</v>
      </c>
      <c r="C1450" s="8" t="s">
        <v>80</v>
      </c>
      <c r="D1450" s="8" t="s">
        <v>6422</v>
      </c>
      <c r="E1450" s="8">
        <v>65.0</v>
      </c>
    </row>
    <row r="1451">
      <c r="A1451" s="8" t="s">
        <v>6450</v>
      </c>
      <c r="B1451" s="8" t="s">
        <v>25</v>
      </c>
      <c r="C1451" s="8" t="s">
        <v>24</v>
      </c>
      <c r="D1451" s="8" t="s">
        <v>6442</v>
      </c>
      <c r="E1451" s="8">
        <v>48.0</v>
      </c>
    </row>
    <row r="1452">
      <c r="A1452" s="8" t="s">
        <v>6410</v>
      </c>
      <c r="B1452" s="8" t="s">
        <v>2443</v>
      </c>
      <c r="C1452" s="8" t="s">
        <v>215</v>
      </c>
      <c r="D1452" s="8" t="s">
        <v>6439</v>
      </c>
      <c r="E1452" s="8">
        <v>59.0</v>
      </c>
    </row>
    <row r="1453">
      <c r="A1453" s="8" t="s">
        <v>5332</v>
      </c>
      <c r="B1453" s="8" t="s">
        <v>498</v>
      </c>
      <c r="C1453" s="8" t="s">
        <v>75</v>
      </c>
      <c r="D1453" s="8" t="s">
        <v>6442</v>
      </c>
      <c r="E1453" s="8">
        <v>78.0</v>
      </c>
    </row>
    <row r="1454">
      <c r="A1454" s="8" t="s">
        <v>824</v>
      </c>
      <c r="B1454" s="8" t="s">
        <v>823</v>
      </c>
      <c r="C1454" s="8" t="s">
        <v>149</v>
      </c>
      <c r="D1454" s="8" t="s">
        <v>6436</v>
      </c>
      <c r="E1454" s="8">
        <v>70.0</v>
      </c>
    </row>
    <row r="1455">
      <c r="A1455" s="8" t="s">
        <v>3241</v>
      </c>
      <c r="B1455" s="8" t="s">
        <v>895</v>
      </c>
      <c r="C1455" s="8" t="s">
        <v>38</v>
      </c>
      <c r="D1455" s="8" t="s">
        <v>6440</v>
      </c>
      <c r="E1455" s="8">
        <v>72.0</v>
      </c>
    </row>
    <row r="1456">
      <c r="A1456" s="8" t="s">
        <v>3660</v>
      </c>
      <c r="B1456" s="8" t="s">
        <v>268</v>
      </c>
      <c r="C1456" s="8" t="s">
        <v>24</v>
      </c>
      <c r="D1456" s="8" t="s">
        <v>6439</v>
      </c>
      <c r="E1456" s="8">
        <v>81.0</v>
      </c>
    </row>
    <row r="1457">
      <c r="A1457" s="8" t="s">
        <v>2823</v>
      </c>
      <c r="B1457" s="8" t="s">
        <v>931</v>
      </c>
      <c r="C1457" s="8" t="s">
        <v>93</v>
      </c>
      <c r="D1457" s="8" t="s">
        <v>6421</v>
      </c>
      <c r="E1457" s="8">
        <v>64.0</v>
      </c>
    </row>
    <row r="1458">
      <c r="A1458" s="8" t="s">
        <v>1042</v>
      </c>
      <c r="B1458" s="8" t="s">
        <v>1041</v>
      </c>
      <c r="C1458" s="8" t="s">
        <v>75</v>
      </c>
      <c r="D1458" s="8" t="s">
        <v>6420</v>
      </c>
      <c r="E1458" s="8">
        <v>69.0</v>
      </c>
    </row>
    <row r="1459">
      <c r="A1459" s="8" t="s">
        <v>761</v>
      </c>
      <c r="B1459" s="8" t="s">
        <v>1516</v>
      </c>
      <c r="C1459" s="8" t="s">
        <v>186</v>
      </c>
      <c r="D1459" s="8" t="s">
        <v>6419</v>
      </c>
      <c r="E1459" s="8">
        <v>50.0</v>
      </c>
    </row>
    <row r="1460">
      <c r="A1460" s="8" t="s">
        <v>761</v>
      </c>
      <c r="B1460" s="8" t="s">
        <v>402</v>
      </c>
      <c r="C1460" s="8" t="s">
        <v>70</v>
      </c>
      <c r="D1460" s="8" t="s">
        <v>6434</v>
      </c>
      <c r="E1460" s="8">
        <v>88.0</v>
      </c>
    </row>
    <row r="1461">
      <c r="A1461" s="8" t="s">
        <v>728</v>
      </c>
      <c r="B1461" s="8" t="s">
        <v>3573</v>
      </c>
      <c r="C1461" s="8" t="s">
        <v>192</v>
      </c>
      <c r="D1461" s="8" t="s">
        <v>6423</v>
      </c>
      <c r="E1461" s="8">
        <v>61.0</v>
      </c>
    </row>
    <row r="1462">
      <c r="A1462" s="8" t="s">
        <v>728</v>
      </c>
      <c r="B1462" s="8" t="s">
        <v>727</v>
      </c>
      <c r="C1462" s="8" t="s">
        <v>93</v>
      </c>
      <c r="D1462" s="8" t="s">
        <v>6414</v>
      </c>
      <c r="E1462" s="8">
        <v>75.0</v>
      </c>
    </row>
    <row r="1463">
      <c r="A1463" s="8" t="s">
        <v>3305</v>
      </c>
      <c r="B1463" s="8" t="s">
        <v>380</v>
      </c>
      <c r="C1463" s="8" t="s">
        <v>59</v>
      </c>
      <c r="D1463" s="8" t="s">
        <v>6427</v>
      </c>
      <c r="E1463" s="8">
        <v>81.0</v>
      </c>
    </row>
    <row r="1464">
      <c r="A1464" s="8" t="s">
        <v>3165</v>
      </c>
      <c r="B1464" s="8" t="s">
        <v>3164</v>
      </c>
      <c r="C1464" s="8" t="s">
        <v>186</v>
      </c>
      <c r="D1464" s="8" t="s">
        <v>6427</v>
      </c>
      <c r="E1464" s="8">
        <v>64.0</v>
      </c>
    </row>
    <row r="1465">
      <c r="A1465" s="8" t="s">
        <v>1879</v>
      </c>
      <c r="B1465" s="8" t="s">
        <v>890</v>
      </c>
      <c r="C1465" s="8" t="s">
        <v>70</v>
      </c>
      <c r="D1465" s="8" t="s">
        <v>6442</v>
      </c>
      <c r="E1465" s="8">
        <v>76.0</v>
      </c>
    </row>
    <row r="1466">
      <c r="A1466" s="8" t="s">
        <v>1879</v>
      </c>
      <c r="B1466" s="8" t="s">
        <v>732</v>
      </c>
      <c r="C1466" s="8" t="s">
        <v>24</v>
      </c>
      <c r="D1466" s="8" t="s">
        <v>6414</v>
      </c>
      <c r="E1466" s="8">
        <v>75.0</v>
      </c>
    </row>
    <row r="1467">
      <c r="A1467" s="8" t="s">
        <v>1409</v>
      </c>
      <c r="B1467" s="8" t="s">
        <v>498</v>
      </c>
      <c r="C1467" s="8" t="s">
        <v>80</v>
      </c>
      <c r="D1467" s="8" t="s">
        <v>6425</v>
      </c>
      <c r="E1467" s="8">
        <v>75.0</v>
      </c>
    </row>
    <row r="1468">
      <c r="A1468" s="8" t="s">
        <v>1409</v>
      </c>
      <c r="B1468" s="8" t="s">
        <v>1043</v>
      </c>
      <c r="C1468" s="8" t="s">
        <v>132</v>
      </c>
      <c r="D1468" s="8" t="s">
        <v>6418</v>
      </c>
      <c r="E1468" s="8">
        <v>58.0</v>
      </c>
    </row>
    <row r="1469">
      <c r="A1469" s="8" t="s">
        <v>1226</v>
      </c>
      <c r="B1469" s="8" t="s">
        <v>284</v>
      </c>
      <c r="C1469" s="8" t="s">
        <v>16</v>
      </c>
      <c r="D1469" s="8" t="s">
        <v>6439</v>
      </c>
      <c r="E1469" s="8">
        <v>66.0</v>
      </c>
    </row>
    <row r="1470">
      <c r="A1470" s="8" t="s">
        <v>552</v>
      </c>
      <c r="B1470" s="8" t="s">
        <v>389</v>
      </c>
      <c r="C1470" s="8" t="s">
        <v>149</v>
      </c>
      <c r="D1470" s="8" t="s">
        <v>6424</v>
      </c>
      <c r="E1470" s="8">
        <v>86.0</v>
      </c>
    </row>
    <row r="1471">
      <c r="A1471" s="8" t="s">
        <v>552</v>
      </c>
      <c r="B1471" s="8" t="s">
        <v>441</v>
      </c>
      <c r="C1471" s="8" t="s">
        <v>75</v>
      </c>
      <c r="D1471" s="8" t="s">
        <v>6421</v>
      </c>
      <c r="E1471" s="8">
        <v>67.0</v>
      </c>
    </row>
    <row r="1472">
      <c r="A1472" s="8" t="s">
        <v>2002</v>
      </c>
      <c r="B1472" s="8" t="s">
        <v>2001</v>
      </c>
      <c r="C1472" s="8" t="s">
        <v>65</v>
      </c>
      <c r="D1472" s="8" t="s">
        <v>6429</v>
      </c>
      <c r="E1472" s="8">
        <v>75.0</v>
      </c>
    </row>
    <row r="1473">
      <c r="A1473" s="8" t="s">
        <v>3497</v>
      </c>
      <c r="B1473" s="8" t="s">
        <v>232</v>
      </c>
      <c r="C1473" s="8" t="s">
        <v>93</v>
      </c>
      <c r="D1473" s="8" t="s">
        <v>6435</v>
      </c>
      <c r="E1473" s="8">
        <v>79.0</v>
      </c>
    </row>
    <row r="1474">
      <c r="A1474" s="8" t="s">
        <v>1650</v>
      </c>
      <c r="B1474" s="8" t="s">
        <v>1649</v>
      </c>
      <c r="C1474" s="8" t="s">
        <v>75</v>
      </c>
      <c r="D1474" s="8" t="s">
        <v>6415</v>
      </c>
      <c r="E1474" s="8">
        <v>78.0</v>
      </c>
    </row>
    <row r="1475">
      <c r="A1475" s="8" t="s">
        <v>784</v>
      </c>
      <c r="B1475" s="8" t="s">
        <v>783</v>
      </c>
      <c r="C1475" s="8" t="s">
        <v>186</v>
      </c>
      <c r="D1475" s="8" t="s">
        <v>6431</v>
      </c>
      <c r="E1475" s="8">
        <v>67.0</v>
      </c>
    </row>
    <row r="1476">
      <c r="A1476" s="8" t="s">
        <v>64</v>
      </c>
      <c r="B1476" s="8" t="s">
        <v>2118</v>
      </c>
      <c r="C1476" s="8" t="s">
        <v>24</v>
      </c>
      <c r="D1476" s="8" t="s">
        <v>6425</v>
      </c>
      <c r="E1476" s="8">
        <v>76.0</v>
      </c>
    </row>
    <row r="1477">
      <c r="A1477" s="8" t="s">
        <v>64</v>
      </c>
      <c r="B1477" s="8" t="s">
        <v>63</v>
      </c>
      <c r="C1477" s="8" t="s">
        <v>65</v>
      </c>
      <c r="D1477" s="8" t="s">
        <v>6419</v>
      </c>
      <c r="E1477" s="8">
        <v>91.0</v>
      </c>
    </row>
    <row r="1478">
      <c r="A1478" s="8" t="s">
        <v>64</v>
      </c>
      <c r="B1478" s="8" t="s">
        <v>1031</v>
      </c>
      <c r="C1478" s="8" t="s">
        <v>93</v>
      </c>
      <c r="D1478" s="8" t="s">
        <v>6432</v>
      </c>
      <c r="E1478" s="8">
        <v>59.0</v>
      </c>
    </row>
    <row r="1479">
      <c r="A1479" s="8" t="s">
        <v>64</v>
      </c>
      <c r="B1479" s="8" t="s">
        <v>827</v>
      </c>
      <c r="C1479" s="8" t="s">
        <v>132</v>
      </c>
      <c r="D1479" s="8" t="s">
        <v>6420</v>
      </c>
      <c r="E1479" s="8">
        <v>74.0</v>
      </c>
    </row>
    <row r="1480">
      <c r="A1480" s="8" t="s">
        <v>64</v>
      </c>
      <c r="B1480" s="8" t="s">
        <v>3498</v>
      </c>
      <c r="C1480" s="8" t="s">
        <v>138</v>
      </c>
      <c r="D1480" s="8" t="s">
        <v>6441</v>
      </c>
      <c r="E1480" s="8">
        <v>63.0</v>
      </c>
    </row>
    <row r="1481">
      <c r="A1481" s="8" t="s">
        <v>3671</v>
      </c>
      <c r="B1481" s="8" t="s">
        <v>3670</v>
      </c>
      <c r="C1481" s="8" t="s">
        <v>46</v>
      </c>
      <c r="D1481" s="8" t="s">
        <v>6412</v>
      </c>
      <c r="E1481" s="8">
        <v>62.0</v>
      </c>
    </row>
    <row r="1482">
      <c r="A1482" s="8" t="s">
        <v>768</v>
      </c>
      <c r="B1482" s="8" t="s">
        <v>767</v>
      </c>
      <c r="C1482" s="8" t="s">
        <v>70</v>
      </c>
      <c r="D1482" s="8" t="s">
        <v>6438</v>
      </c>
      <c r="E1482" s="8">
        <v>81.0</v>
      </c>
    </row>
    <row r="1483">
      <c r="A1483" s="8" t="s">
        <v>3270</v>
      </c>
      <c r="B1483" s="8" t="s">
        <v>1454</v>
      </c>
      <c r="C1483" s="8" t="s">
        <v>46</v>
      </c>
      <c r="D1483" s="8" t="s">
        <v>6431</v>
      </c>
      <c r="E1483" s="8">
        <v>64.0</v>
      </c>
    </row>
    <row r="1484">
      <c r="A1484" s="8" t="s">
        <v>673</v>
      </c>
      <c r="B1484" s="8" t="s">
        <v>672</v>
      </c>
      <c r="C1484" s="8" t="s">
        <v>132</v>
      </c>
      <c r="D1484" s="8" t="s">
        <v>6437</v>
      </c>
      <c r="E1484" s="8">
        <v>73.0</v>
      </c>
    </row>
    <row r="1485">
      <c r="A1485" s="8" t="s">
        <v>3242</v>
      </c>
      <c r="B1485" s="8" t="s">
        <v>895</v>
      </c>
      <c r="C1485" s="8" t="s">
        <v>138</v>
      </c>
      <c r="D1485" s="8" t="s">
        <v>6430</v>
      </c>
      <c r="E1485" s="8">
        <v>66.0</v>
      </c>
    </row>
    <row r="1486">
      <c r="A1486" s="8" t="s">
        <v>942</v>
      </c>
      <c r="B1486" s="8" t="s">
        <v>941</v>
      </c>
      <c r="C1486" s="8" t="s">
        <v>122</v>
      </c>
      <c r="D1486" s="8" t="s">
        <v>6439</v>
      </c>
      <c r="E1486" s="8">
        <v>60.0</v>
      </c>
    </row>
    <row r="1487">
      <c r="A1487" s="8" t="s">
        <v>507</v>
      </c>
      <c r="B1487" s="8" t="s">
        <v>506</v>
      </c>
      <c r="C1487" s="8" t="s">
        <v>59</v>
      </c>
      <c r="D1487" s="8" t="s">
        <v>6426</v>
      </c>
      <c r="E1487" s="8">
        <v>86.0</v>
      </c>
    </row>
    <row r="1488">
      <c r="A1488" s="8" t="s">
        <v>524</v>
      </c>
      <c r="B1488" s="8" t="s">
        <v>523</v>
      </c>
      <c r="C1488" s="8" t="s">
        <v>215</v>
      </c>
      <c r="D1488" s="8" t="s">
        <v>6435</v>
      </c>
      <c r="E1488" s="8">
        <v>71.0</v>
      </c>
    </row>
    <row r="1489">
      <c r="A1489" s="8" t="s">
        <v>524</v>
      </c>
      <c r="B1489" s="8" t="s">
        <v>3384</v>
      </c>
      <c r="C1489" s="8" t="s">
        <v>215</v>
      </c>
      <c r="D1489" s="8" t="s">
        <v>6442</v>
      </c>
      <c r="E1489" s="8">
        <v>54.0</v>
      </c>
    </row>
    <row r="1490">
      <c r="A1490" s="8" t="s">
        <v>524</v>
      </c>
      <c r="B1490" s="8" t="s">
        <v>3091</v>
      </c>
      <c r="C1490" s="8" t="s">
        <v>186</v>
      </c>
      <c r="D1490" s="8" t="s">
        <v>6439</v>
      </c>
      <c r="E1490" s="8">
        <v>78.0</v>
      </c>
    </row>
    <row r="1491">
      <c r="A1491" s="8" t="s">
        <v>5363</v>
      </c>
      <c r="B1491" s="8" t="s">
        <v>90</v>
      </c>
      <c r="C1491" s="8" t="s">
        <v>46</v>
      </c>
      <c r="D1491" s="8" t="s">
        <v>6428</v>
      </c>
      <c r="E1491" s="8">
        <v>69.0</v>
      </c>
    </row>
    <row r="1492">
      <c r="A1492" s="8" t="s">
        <v>5365</v>
      </c>
      <c r="B1492" s="8" t="s">
        <v>646</v>
      </c>
      <c r="C1492" s="8" t="s">
        <v>70</v>
      </c>
      <c r="D1492" s="8" t="s">
        <v>6439</v>
      </c>
      <c r="E1492" s="8">
        <v>94.0</v>
      </c>
    </row>
    <row r="1493">
      <c r="A1493" s="8" t="s">
        <v>42</v>
      </c>
      <c r="B1493" s="8" t="s">
        <v>99</v>
      </c>
      <c r="C1493" s="8" t="s">
        <v>24</v>
      </c>
      <c r="D1493" s="8" t="s">
        <v>6438</v>
      </c>
      <c r="E1493" s="8">
        <v>75.0</v>
      </c>
    </row>
    <row r="1494">
      <c r="A1494" s="8" t="s">
        <v>2690</v>
      </c>
      <c r="B1494" s="8" t="s">
        <v>2689</v>
      </c>
      <c r="C1494" s="8" t="s">
        <v>70</v>
      </c>
      <c r="D1494" s="8" t="s">
        <v>6436</v>
      </c>
      <c r="E1494" s="8">
        <v>81.0</v>
      </c>
    </row>
    <row r="1495">
      <c r="A1495" s="8" t="s">
        <v>3613</v>
      </c>
      <c r="B1495" s="8" t="s">
        <v>3612</v>
      </c>
      <c r="C1495" s="8" t="s">
        <v>215</v>
      </c>
      <c r="D1495" s="8" t="s">
        <v>6430</v>
      </c>
      <c r="E1495" s="8">
        <v>68.0</v>
      </c>
    </row>
    <row r="1496">
      <c r="A1496" s="8" t="s">
        <v>3736</v>
      </c>
      <c r="B1496" s="8" t="s">
        <v>3735</v>
      </c>
      <c r="C1496" s="8" t="s">
        <v>149</v>
      </c>
      <c r="D1496" s="8" t="s">
        <v>6433</v>
      </c>
      <c r="E1496" s="8">
        <v>63.0</v>
      </c>
    </row>
    <row r="1497">
      <c r="A1497" s="8" t="s">
        <v>3761</v>
      </c>
      <c r="B1497" s="8" t="s">
        <v>3760</v>
      </c>
      <c r="C1497" s="8" t="s">
        <v>93</v>
      </c>
      <c r="D1497" s="8" t="s">
        <v>6424</v>
      </c>
      <c r="E1497" s="8">
        <v>73.0</v>
      </c>
    </row>
    <row r="1498">
      <c r="A1498" s="8" t="s">
        <v>2151</v>
      </c>
      <c r="B1498" s="8" t="s">
        <v>2937</v>
      </c>
      <c r="C1498" s="8" t="s">
        <v>93</v>
      </c>
      <c r="D1498" s="8" t="s">
        <v>6425</v>
      </c>
      <c r="E1498" s="8">
        <v>71.0</v>
      </c>
    </row>
    <row r="1499">
      <c r="A1499" s="8" t="s">
        <v>2151</v>
      </c>
      <c r="B1499" s="8" t="s">
        <v>3788</v>
      </c>
      <c r="C1499" s="8" t="s">
        <v>122</v>
      </c>
      <c r="D1499" s="8" t="s">
        <v>6438</v>
      </c>
      <c r="E1499" s="8">
        <v>60.0</v>
      </c>
    </row>
    <row r="1500">
      <c r="A1500" s="8" t="s">
        <v>1172</v>
      </c>
      <c r="B1500" s="8" t="s">
        <v>510</v>
      </c>
      <c r="C1500" s="8" t="s">
        <v>59</v>
      </c>
      <c r="D1500" s="8" t="s">
        <v>6427</v>
      </c>
      <c r="E1500" s="8">
        <v>76.0</v>
      </c>
    </row>
    <row r="1501">
      <c r="A1501" s="8" t="s">
        <v>1172</v>
      </c>
      <c r="B1501" s="8" t="s">
        <v>3669</v>
      </c>
      <c r="C1501" s="8" t="s">
        <v>65</v>
      </c>
      <c r="D1501" s="8" t="s">
        <v>6430</v>
      </c>
      <c r="E1501" s="8">
        <v>70.0</v>
      </c>
    </row>
    <row r="1502">
      <c r="A1502" s="8" t="s">
        <v>1172</v>
      </c>
      <c r="B1502" s="8" t="s">
        <v>389</v>
      </c>
      <c r="C1502" s="8" t="s">
        <v>93</v>
      </c>
      <c r="D1502" s="8" t="s">
        <v>6441</v>
      </c>
      <c r="E1502" s="8">
        <v>71.0</v>
      </c>
    </row>
    <row r="1503">
      <c r="A1503" s="8" t="s">
        <v>1172</v>
      </c>
      <c r="B1503" s="8" t="s">
        <v>78</v>
      </c>
      <c r="C1503" s="8" t="s">
        <v>215</v>
      </c>
      <c r="D1503" s="8" t="s">
        <v>6440</v>
      </c>
      <c r="E1503" s="8">
        <v>81.0</v>
      </c>
    </row>
    <row r="1504">
      <c r="A1504" s="8" t="s">
        <v>2721</v>
      </c>
      <c r="B1504" s="8" t="s">
        <v>2720</v>
      </c>
      <c r="C1504" s="8" t="s">
        <v>65</v>
      </c>
      <c r="D1504" s="8" t="s">
        <v>6415</v>
      </c>
      <c r="E1504" s="8">
        <v>70.0</v>
      </c>
    </row>
    <row r="1505">
      <c r="A1505" s="8" t="s">
        <v>580</v>
      </c>
      <c r="B1505" s="8" t="s">
        <v>579</v>
      </c>
      <c r="C1505" s="8" t="s">
        <v>59</v>
      </c>
      <c r="D1505" s="8" t="s">
        <v>6421</v>
      </c>
      <c r="E1505" s="8">
        <v>71.0</v>
      </c>
    </row>
    <row r="1506">
      <c r="A1506" s="8" t="s">
        <v>295</v>
      </c>
      <c r="B1506" s="8" t="s">
        <v>218</v>
      </c>
      <c r="C1506" s="8" t="s">
        <v>70</v>
      </c>
      <c r="D1506" s="8" t="s">
        <v>6430</v>
      </c>
      <c r="E1506" s="8">
        <v>86.0</v>
      </c>
    </row>
    <row r="1507">
      <c r="A1507" s="8" t="s">
        <v>1620</v>
      </c>
      <c r="B1507" s="8" t="s">
        <v>1619</v>
      </c>
      <c r="C1507" s="8" t="s">
        <v>93</v>
      </c>
      <c r="D1507" s="8" t="s">
        <v>6423</v>
      </c>
      <c r="E1507" s="8">
        <v>64.0</v>
      </c>
    </row>
    <row r="1508">
      <c r="A1508" s="8" t="s">
        <v>3289</v>
      </c>
      <c r="B1508" s="8" t="s">
        <v>3288</v>
      </c>
      <c r="C1508" s="8" t="s">
        <v>122</v>
      </c>
      <c r="D1508" s="8" t="s">
        <v>6421</v>
      </c>
      <c r="E1508" s="8">
        <v>73.0</v>
      </c>
    </row>
    <row r="1509">
      <c r="A1509" s="8" t="s">
        <v>211</v>
      </c>
      <c r="B1509" s="8" t="s">
        <v>812</v>
      </c>
      <c r="C1509" s="8" t="s">
        <v>24</v>
      </c>
      <c r="D1509" s="8" t="s">
        <v>6431</v>
      </c>
      <c r="E1509" s="8">
        <v>71.0</v>
      </c>
    </row>
    <row r="1510">
      <c r="A1510" s="8" t="s">
        <v>391</v>
      </c>
      <c r="B1510" s="8" t="s">
        <v>91</v>
      </c>
      <c r="C1510" s="8" t="s">
        <v>122</v>
      </c>
      <c r="D1510" s="8" t="s">
        <v>6429</v>
      </c>
      <c r="E1510" s="8">
        <v>89.0</v>
      </c>
    </row>
    <row r="1511">
      <c r="A1511" s="8" t="s">
        <v>222</v>
      </c>
      <c r="B1511" s="8" t="s">
        <v>221</v>
      </c>
      <c r="C1511" s="8" t="s">
        <v>24</v>
      </c>
      <c r="D1511" s="8" t="s">
        <v>6416</v>
      </c>
      <c r="E1511" s="8">
        <v>70.0</v>
      </c>
    </row>
    <row r="1512">
      <c r="A1512" s="8" t="s">
        <v>222</v>
      </c>
      <c r="B1512" s="8" t="s">
        <v>67</v>
      </c>
      <c r="C1512" s="8" t="s">
        <v>93</v>
      </c>
      <c r="D1512" s="8" t="s">
        <v>6436</v>
      </c>
      <c r="E1512" s="8">
        <v>84.0</v>
      </c>
    </row>
    <row r="1513">
      <c r="A1513" s="8" t="s">
        <v>2155</v>
      </c>
      <c r="B1513" s="8" t="s">
        <v>2040</v>
      </c>
      <c r="C1513" s="8" t="s">
        <v>80</v>
      </c>
      <c r="D1513" s="8" t="s">
        <v>6434</v>
      </c>
      <c r="E1513" s="8">
        <v>68.0</v>
      </c>
    </row>
    <row r="1514">
      <c r="A1514" s="8" t="s">
        <v>58</v>
      </c>
      <c r="B1514" s="8" t="s">
        <v>57</v>
      </c>
      <c r="C1514" s="8" t="s">
        <v>53</v>
      </c>
      <c r="D1514" s="8" t="s">
        <v>6430</v>
      </c>
      <c r="E1514" s="8">
        <v>72.0</v>
      </c>
    </row>
    <row r="1515">
      <c r="A1515" s="8" t="s">
        <v>58</v>
      </c>
      <c r="B1515" s="8" t="s">
        <v>1430</v>
      </c>
      <c r="C1515" s="8" t="s">
        <v>93</v>
      </c>
      <c r="D1515" s="8" t="s">
        <v>6412</v>
      </c>
      <c r="E1515" s="8">
        <v>67.0</v>
      </c>
    </row>
    <row r="1516">
      <c r="A1516" s="8" t="s">
        <v>58</v>
      </c>
      <c r="B1516" s="8" t="s">
        <v>2925</v>
      </c>
      <c r="C1516" s="8" t="s">
        <v>59</v>
      </c>
      <c r="D1516" s="8" t="s">
        <v>6440</v>
      </c>
      <c r="E1516" s="8">
        <v>70.0</v>
      </c>
    </row>
    <row r="1517">
      <c r="A1517" s="8" t="s">
        <v>58</v>
      </c>
      <c r="B1517" s="8" t="s">
        <v>3460</v>
      </c>
      <c r="C1517" s="8" t="s">
        <v>70</v>
      </c>
      <c r="D1517" s="8" t="s">
        <v>6435</v>
      </c>
      <c r="E1517" s="8">
        <v>73.0</v>
      </c>
    </row>
    <row r="1518">
      <c r="A1518" s="8" t="s">
        <v>3150</v>
      </c>
      <c r="B1518" s="8" t="s">
        <v>1675</v>
      </c>
      <c r="C1518" s="8" t="s">
        <v>93</v>
      </c>
      <c r="D1518" s="8" t="s">
        <v>6441</v>
      </c>
      <c r="E1518" s="8">
        <v>61.0</v>
      </c>
    </row>
    <row r="1519">
      <c r="A1519" s="8" t="s">
        <v>1516</v>
      </c>
      <c r="B1519" s="8" t="s">
        <v>766</v>
      </c>
      <c r="C1519" s="8" t="s">
        <v>65</v>
      </c>
      <c r="D1519" s="8" t="s">
        <v>6426</v>
      </c>
      <c r="E1519" s="8">
        <v>71.0</v>
      </c>
    </row>
    <row r="1520">
      <c r="A1520" s="8" t="s">
        <v>1516</v>
      </c>
      <c r="B1520" s="8" t="s">
        <v>3782</v>
      </c>
      <c r="C1520" s="8" t="s">
        <v>122</v>
      </c>
      <c r="D1520" s="8" t="s">
        <v>6425</v>
      </c>
      <c r="E1520" s="8">
        <v>64.0</v>
      </c>
    </row>
    <row r="1521">
      <c r="A1521" s="8" t="s">
        <v>1516</v>
      </c>
      <c r="B1521" s="8" t="s">
        <v>3484</v>
      </c>
      <c r="C1521" s="8" t="s">
        <v>122</v>
      </c>
      <c r="D1521" s="8" t="s">
        <v>6414</v>
      </c>
      <c r="E1521" s="8">
        <v>58.0</v>
      </c>
    </row>
    <row r="1522">
      <c r="A1522" s="8" t="s">
        <v>3131</v>
      </c>
      <c r="B1522" s="8" t="s">
        <v>617</v>
      </c>
      <c r="C1522" s="8" t="s">
        <v>65</v>
      </c>
      <c r="D1522" s="8" t="s">
        <v>6442</v>
      </c>
      <c r="E1522" s="8">
        <v>71.0</v>
      </c>
    </row>
    <row r="1523">
      <c r="A1523" s="8" t="s">
        <v>320</v>
      </c>
      <c r="B1523" s="8" t="s">
        <v>2694</v>
      </c>
      <c r="C1523" s="8" t="s">
        <v>141</v>
      </c>
      <c r="D1523" s="8" t="s">
        <v>6413</v>
      </c>
      <c r="E1523" s="8">
        <v>76.0</v>
      </c>
    </row>
    <row r="1524">
      <c r="A1524" s="8" t="s">
        <v>320</v>
      </c>
      <c r="B1524" s="8" t="s">
        <v>2862</v>
      </c>
      <c r="C1524" s="8" t="s">
        <v>46</v>
      </c>
      <c r="D1524" s="8" t="s">
        <v>6413</v>
      </c>
      <c r="E1524" s="8">
        <v>79.0</v>
      </c>
    </row>
    <row r="1525">
      <c r="A1525" s="8" t="s">
        <v>320</v>
      </c>
      <c r="B1525" s="8" t="s">
        <v>739</v>
      </c>
      <c r="C1525" s="8" t="s">
        <v>186</v>
      </c>
      <c r="D1525" s="8" t="s">
        <v>6441</v>
      </c>
      <c r="E1525" s="8">
        <v>99.0</v>
      </c>
    </row>
    <row r="1526">
      <c r="A1526" s="8" t="s">
        <v>320</v>
      </c>
      <c r="B1526" s="8" t="s">
        <v>2930</v>
      </c>
      <c r="C1526" s="8" t="s">
        <v>16</v>
      </c>
      <c r="D1526" s="8" t="s">
        <v>6418</v>
      </c>
      <c r="E1526" s="8">
        <v>71.0</v>
      </c>
    </row>
    <row r="1527">
      <c r="A1527" s="8" t="s">
        <v>320</v>
      </c>
      <c r="B1527" s="8" t="s">
        <v>319</v>
      </c>
      <c r="C1527" s="8" t="s">
        <v>24</v>
      </c>
      <c r="D1527" s="8" t="s">
        <v>6426</v>
      </c>
      <c r="E1527" s="8">
        <v>73.0</v>
      </c>
    </row>
    <row r="1528">
      <c r="A1528" s="8" t="s">
        <v>320</v>
      </c>
      <c r="B1528" s="8" t="s">
        <v>620</v>
      </c>
      <c r="C1528" s="8" t="s">
        <v>24</v>
      </c>
      <c r="D1528" s="8" t="s">
        <v>6433</v>
      </c>
      <c r="E1528" s="8">
        <v>78.0</v>
      </c>
    </row>
    <row r="1529">
      <c r="A1529" s="8" t="s">
        <v>3481</v>
      </c>
      <c r="B1529" s="8" t="s">
        <v>3480</v>
      </c>
      <c r="C1529" s="8" t="s">
        <v>53</v>
      </c>
      <c r="D1529" s="8" t="s">
        <v>6416</v>
      </c>
      <c r="E1529" s="8">
        <v>56.0</v>
      </c>
    </row>
    <row r="1530">
      <c r="A1530" s="8" t="s">
        <v>1353</v>
      </c>
      <c r="B1530" s="8" t="s">
        <v>57</v>
      </c>
      <c r="C1530" s="8" t="s">
        <v>93</v>
      </c>
      <c r="D1530" s="8" t="s">
        <v>6429</v>
      </c>
      <c r="E1530" s="8">
        <v>75.0</v>
      </c>
    </row>
    <row r="1531">
      <c r="A1531" s="8" t="s">
        <v>3551</v>
      </c>
      <c r="B1531" s="8" t="s">
        <v>3550</v>
      </c>
      <c r="C1531" s="8" t="s">
        <v>75</v>
      </c>
      <c r="D1531" s="8" t="s">
        <v>6413</v>
      </c>
      <c r="E1531" s="8">
        <v>74.0</v>
      </c>
    </row>
    <row r="1532">
      <c r="A1532" s="8" t="s">
        <v>3906</v>
      </c>
      <c r="B1532" s="8" t="s">
        <v>455</v>
      </c>
      <c r="C1532" s="8" t="s">
        <v>80</v>
      </c>
      <c r="D1532" s="8" t="s">
        <v>6426</v>
      </c>
      <c r="E1532" s="8">
        <v>74.0</v>
      </c>
    </row>
    <row r="1533">
      <c r="A1533" s="8" t="s">
        <v>1154</v>
      </c>
      <c r="B1533" s="8" t="s">
        <v>1153</v>
      </c>
      <c r="C1533" s="8" t="s">
        <v>93</v>
      </c>
      <c r="D1533" s="8" t="s">
        <v>6421</v>
      </c>
      <c r="E1533" s="8">
        <v>61.0</v>
      </c>
    </row>
    <row r="1534">
      <c r="A1534" s="8" t="s">
        <v>283</v>
      </c>
      <c r="B1534" s="8" t="s">
        <v>106</v>
      </c>
      <c r="C1534" s="8" t="s">
        <v>70</v>
      </c>
      <c r="D1534" s="8" t="s">
        <v>6414</v>
      </c>
      <c r="E1534" s="8">
        <v>66.0</v>
      </c>
    </row>
    <row r="1535">
      <c r="A1535" s="8" t="s">
        <v>283</v>
      </c>
      <c r="B1535" s="8" t="s">
        <v>486</v>
      </c>
      <c r="C1535" s="8" t="s">
        <v>93</v>
      </c>
      <c r="D1535" s="8" t="s">
        <v>6436</v>
      </c>
      <c r="E1535" s="8">
        <v>85.0</v>
      </c>
    </row>
    <row r="1536">
      <c r="A1536" s="8" t="s">
        <v>283</v>
      </c>
      <c r="B1536" s="8" t="s">
        <v>282</v>
      </c>
      <c r="C1536" s="8" t="s">
        <v>80</v>
      </c>
      <c r="D1536" s="8" t="s">
        <v>6424</v>
      </c>
      <c r="E1536" s="8">
        <v>93.0</v>
      </c>
    </row>
    <row r="1537">
      <c r="A1537" s="8" t="s">
        <v>283</v>
      </c>
      <c r="B1537" s="8" t="s">
        <v>389</v>
      </c>
      <c r="C1537" s="8" t="s">
        <v>261</v>
      </c>
      <c r="D1537" s="8" t="s">
        <v>6443</v>
      </c>
      <c r="E1537" s="8">
        <v>61.0</v>
      </c>
    </row>
    <row r="1538">
      <c r="A1538" s="8" t="s">
        <v>283</v>
      </c>
      <c r="B1538" s="8" t="s">
        <v>427</v>
      </c>
      <c r="C1538" s="8" t="s">
        <v>65</v>
      </c>
      <c r="D1538" s="8" t="s">
        <v>6436</v>
      </c>
      <c r="E1538" s="8">
        <v>67.0</v>
      </c>
    </row>
    <row r="1539">
      <c r="A1539" s="8" t="s">
        <v>283</v>
      </c>
      <c r="B1539" s="8" t="s">
        <v>99</v>
      </c>
      <c r="C1539" s="8" t="s">
        <v>186</v>
      </c>
      <c r="D1539" s="8" t="s">
        <v>6438</v>
      </c>
      <c r="E1539" s="8">
        <v>71.0</v>
      </c>
    </row>
    <row r="1540">
      <c r="A1540" s="8" t="s">
        <v>1386</v>
      </c>
      <c r="B1540" s="8" t="s">
        <v>106</v>
      </c>
      <c r="C1540" s="8" t="s">
        <v>122</v>
      </c>
      <c r="D1540" s="8" t="s">
        <v>6436</v>
      </c>
      <c r="E1540" s="8">
        <v>71.0</v>
      </c>
    </row>
    <row r="1541">
      <c r="A1541" s="8" t="s">
        <v>1742</v>
      </c>
      <c r="B1541" s="8" t="s">
        <v>498</v>
      </c>
      <c r="C1541" s="8" t="s">
        <v>122</v>
      </c>
      <c r="D1541" s="8" t="s">
        <v>6442</v>
      </c>
      <c r="E1541" s="8">
        <v>69.0</v>
      </c>
    </row>
    <row r="1542">
      <c r="A1542" s="8" t="s">
        <v>549</v>
      </c>
      <c r="B1542" s="8" t="s">
        <v>208</v>
      </c>
      <c r="C1542" s="8" t="s">
        <v>138</v>
      </c>
      <c r="D1542" s="8" t="s">
        <v>6413</v>
      </c>
      <c r="E1542" s="8">
        <v>86.0</v>
      </c>
    </row>
    <row r="1543">
      <c r="A1543" s="8" t="s">
        <v>3279</v>
      </c>
      <c r="B1543" s="8" t="s">
        <v>3278</v>
      </c>
      <c r="C1543" s="8" t="s">
        <v>138</v>
      </c>
      <c r="D1543" s="8" t="s">
        <v>6431</v>
      </c>
      <c r="E1543" s="8">
        <v>68.0</v>
      </c>
    </row>
    <row r="1544">
      <c r="A1544" s="8" t="s">
        <v>3716</v>
      </c>
      <c r="B1544" s="8" t="s">
        <v>741</v>
      </c>
      <c r="C1544" s="8" t="s">
        <v>53</v>
      </c>
      <c r="D1544" s="8" t="s">
        <v>6430</v>
      </c>
      <c r="E1544" s="8">
        <v>71.0</v>
      </c>
    </row>
    <row r="1545">
      <c r="A1545" s="8" t="s">
        <v>3088</v>
      </c>
      <c r="B1545" s="8" t="s">
        <v>5428</v>
      </c>
      <c r="C1545" s="8" t="s">
        <v>186</v>
      </c>
      <c r="D1545" s="8" t="s">
        <v>6432</v>
      </c>
      <c r="E1545" s="8">
        <v>75.0</v>
      </c>
    </row>
    <row r="1546">
      <c r="A1546" s="8" t="s">
        <v>3741</v>
      </c>
      <c r="B1546" s="8" t="s">
        <v>3740</v>
      </c>
      <c r="C1546" s="8" t="s">
        <v>65</v>
      </c>
      <c r="D1546" s="8" t="s">
        <v>6427</v>
      </c>
      <c r="E1546" s="8">
        <v>69.0</v>
      </c>
    </row>
    <row r="1547">
      <c r="A1547" s="8" t="s">
        <v>95</v>
      </c>
      <c r="B1547" s="8" t="s">
        <v>94</v>
      </c>
      <c r="C1547" s="8" t="s">
        <v>24</v>
      </c>
      <c r="D1547" s="8" t="s">
        <v>6413</v>
      </c>
      <c r="E1547" s="8">
        <v>76.0</v>
      </c>
    </row>
    <row r="1548">
      <c r="A1548" s="8" t="s">
        <v>3695</v>
      </c>
      <c r="B1548" s="8" t="s">
        <v>725</v>
      </c>
      <c r="C1548" s="8" t="s">
        <v>24</v>
      </c>
      <c r="D1548" s="8" t="s">
        <v>6416</v>
      </c>
      <c r="E1548" s="8">
        <v>66.0</v>
      </c>
    </row>
    <row r="1549">
      <c r="A1549" s="8" t="s">
        <v>3695</v>
      </c>
      <c r="B1549" s="8" t="s">
        <v>2101</v>
      </c>
      <c r="C1549" s="8" t="s">
        <v>261</v>
      </c>
      <c r="D1549" s="8" t="s">
        <v>6438</v>
      </c>
      <c r="E1549" s="8">
        <v>86.0</v>
      </c>
    </row>
    <row r="1550">
      <c r="A1550" s="8" t="s">
        <v>505</v>
      </c>
      <c r="B1550" s="8" t="s">
        <v>504</v>
      </c>
      <c r="C1550" s="8" t="s">
        <v>122</v>
      </c>
      <c r="D1550" s="8" t="s">
        <v>6430</v>
      </c>
      <c r="E1550" s="8">
        <v>88.0</v>
      </c>
    </row>
    <row r="1551">
      <c r="A1551" s="8" t="s">
        <v>247</v>
      </c>
      <c r="B1551" s="8" t="s">
        <v>3536</v>
      </c>
      <c r="C1551" s="8" t="s">
        <v>80</v>
      </c>
      <c r="D1551" s="8" t="s">
        <v>6441</v>
      </c>
      <c r="E1551" s="8">
        <v>65.0</v>
      </c>
    </row>
    <row r="1552">
      <c r="A1552" s="8" t="s">
        <v>247</v>
      </c>
      <c r="B1552" s="8" t="s">
        <v>3190</v>
      </c>
      <c r="C1552" s="8" t="s">
        <v>93</v>
      </c>
      <c r="D1552" s="8" t="s">
        <v>6433</v>
      </c>
      <c r="E1552" s="8">
        <v>71.0</v>
      </c>
    </row>
    <row r="1553">
      <c r="A1553" s="8" t="s">
        <v>247</v>
      </c>
      <c r="B1553" s="8" t="s">
        <v>246</v>
      </c>
      <c r="C1553" s="8" t="s">
        <v>46</v>
      </c>
      <c r="D1553" s="8" t="s">
        <v>6436</v>
      </c>
      <c r="E1553" s="8">
        <v>74.0</v>
      </c>
    </row>
    <row r="1554">
      <c r="A1554" s="8" t="s">
        <v>247</v>
      </c>
      <c r="B1554" s="8" t="s">
        <v>500</v>
      </c>
      <c r="C1554" s="8" t="s">
        <v>93</v>
      </c>
      <c r="D1554" s="8" t="s">
        <v>6437</v>
      </c>
      <c r="E1554" s="8">
        <v>71.0</v>
      </c>
    </row>
    <row r="1555">
      <c r="A1555" s="8" t="s">
        <v>247</v>
      </c>
      <c r="B1555" s="8" t="s">
        <v>3217</v>
      </c>
      <c r="C1555" s="8" t="s">
        <v>93</v>
      </c>
      <c r="D1555" s="8" t="s">
        <v>6422</v>
      </c>
      <c r="E1555" s="8">
        <v>65.0</v>
      </c>
    </row>
    <row r="1556">
      <c r="A1556" s="8" t="s">
        <v>247</v>
      </c>
      <c r="B1556" s="8" t="s">
        <v>2773</v>
      </c>
      <c r="C1556" s="8" t="s">
        <v>65</v>
      </c>
      <c r="D1556" s="8" t="s">
        <v>6430</v>
      </c>
      <c r="E1556" s="8">
        <v>67.0</v>
      </c>
    </row>
    <row r="1557">
      <c r="A1557" s="8" t="s">
        <v>247</v>
      </c>
      <c r="B1557" s="8" t="s">
        <v>267</v>
      </c>
      <c r="C1557" s="8" t="s">
        <v>149</v>
      </c>
      <c r="D1557" s="8" t="s">
        <v>6439</v>
      </c>
      <c r="E1557" s="8">
        <v>83.0</v>
      </c>
    </row>
    <row r="1558">
      <c r="A1558" s="8" t="s">
        <v>247</v>
      </c>
      <c r="B1558" s="8" t="s">
        <v>2807</v>
      </c>
      <c r="C1558" s="8" t="s">
        <v>80</v>
      </c>
      <c r="D1558" s="8" t="s">
        <v>6440</v>
      </c>
      <c r="E1558" s="8">
        <v>82.0</v>
      </c>
    </row>
    <row r="1559">
      <c r="A1559" s="8" t="s">
        <v>247</v>
      </c>
      <c r="B1559" s="8" t="s">
        <v>2833</v>
      </c>
      <c r="C1559" s="8" t="s">
        <v>122</v>
      </c>
      <c r="D1559" s="8" t="s">
        <v>6417</v>
      </c>
      <c r="E1559" s="8">
        <v>60.0</v>
      </c>
    </row>
    <row r="1560">
      <c r="A1560" s="8" t="s">
        <v>247</v>
      </c>
      <c r="B1560" s="8" t="s">
        <v>637</v>
      </c>
      <c r="C1560" s="8" t="s">
        <v>141</v>
      </c>
      <c r="D1560" s="8" t="s">
        <v>6418</v>
      </c>
      <c r="E1560" s="8">
        <v>60.0</v>
      </c>
    </row>
    <row r="1561">
      <c r="A1561" s="8" t="s">
        <v>247</v>
      </c>
      <c r="B1561" s="8" t="s">
        <v>1525</v>
      </c>
      <c r="C1561" s="8" t="s">
        <v>16</v>
      </c>
      <c r="D1561" s="8" t="s">
        <v>6423</v>
      </c>
      <c r="E1561" s="8">
        <v>79.0</v>
      </c>
    </row>
    <row r="1562">
      <c r="A1562" s="8" t="s">
        <v>247</v>
      </c>
      <c r="B1562" s="8" t="s">
        <v>396</v>
      </c>
      <c r="C1562" s="8" t="s">
        <v>141</v>
      </c>
      <c r="D1562" s="8" t="s">
        <v>6422</v>
      </c>
      <c r="E1562" s="8">
        <v>65.0</v>
      </c>
    </row>
    <row r="1563">
      <c r="A1563" s="8" t="s">
        <v>247</v>
      </c>
      <c r="B1563" s="8" t="s">
        <v>766</v>
      </c>
      <c r="C1563" s="8" t="s">
        <v>70</v>
      </c>
      <c r="D1563" s="8" t="s">
        <v>6418</v>
      </c>
      <c r="E1563" s="8">
        <v>67.0</v>
      </c>
    </row>
    <row r="1564">
      <c r="A1564" s="8" t="s">
        <v>247</v>
      </c>
      <c r="B1564" s="8" t="s">
        <v>44</v>
      </c>
      <c r="C1564" s="8" t="s">
        <v>93</v>
      </c>
      <c r="D1564" s="8" t="s">
        <v>6437</v>
      </c>
      <c r="E1564" s="8">
        <v>82.0</v>
      </c>
    </row>
    <row r="1565">
      <c r="A1565" s="8" t="s">
        <v>247</v>
      </c>
      <c r="B1565" s="8" t="s">
        <v>3417</v>
      </c>
      <c r="C1565" s="8" t="s">
        <v>93</v>
      </c>
      <c r="D1565" s="8" t="s">
        <v>6414</v>
      </c>
      <c r="E1565" s="8">
        <v>70.0</v>
      </c>
    </row>
    <row r="1566">
      <c r="A1566" s="8" t="s">
        <v>247</v>
      </c>
      <c r="B1566" s="8" t="s">
        <v>313</v>
      </c>
      <c r="C1566" s="8" t="s">
        <v>93</v>
      </c>
      <c r="D1566" s="8" t="s">
        <v>6429</v>
      </c>
      <c r="E1566" s="8">
        <v>69.0</v>
      </c>
    </row>
    <row r="1567">
      <c r="A1567" s="8" t="s">
        <v>247</v>
      </c>
      <c r="B1567" s="8" t="s">
        <v>3060</v>
      </c>
      <c r="C1567" s="8" t="s">
        <v>138</v>
      </c>
      <c r="D1567" s="8" t="s">
        <v>6424</v>
      </c>
      <c r="E1567" s="8">
        <v>66.0</v>
      </c>
    </row>
    <row r="1568">
      <c r="A1568" s="8" t="s">
        <v>247</v>
      </c>
      <c r="B1568" s="8" t="s">
        <v>609</v>
      </c>
      <c r="C1568" s="8" t="s">
        <v>65</v>
      </c>
      <c r="D1568" s="8" t="s">
        <v>6439</v>
      </c>
      <c r="E1568" s="8">
        <v>61.0</v>
      </c>
    </row>
    <row r="1569">
      <c r="A1569" s="8" t="s">
        <v>247</v>
      </c>
      <c r="B1569" s="8" t="s">
        <v>78</v>
      </c>
      <c r="C1569" s="8" t="s">
        <v>93</v>
      </c>
      <c r="D1569" s="8" t="s">
        <v>6440</v>
      </c>
      <c r="E1569" s="8">
        <v>74.0</v>
      </c>
    </row>
    <row r="1570">
      <c r="A1570" s="8" t="s">
        <v>206</v>
      </c>
      <c r="B1570" s="8" t="s">
        <v>205</v>
      </c>
      <c r="C1570" s="8" t="s">
        <v>138</v>
      </c>
      <c r="D1570" s="8" t="s">
        <v>6417</v>
      </c>
      <c r="E1570" s="8">
        <v>65.0</v>
      </c>
    </row>
    <row r="1571">
      <c r="A1571" s="8" t="s">
        <v>236</v>
      </c>
      <c r="B1571" s="8" t="s">
        <v>235</v>
      </c>
      <c r="C1571" s="8" t="s">
        <v>138</v>
      </c>
      <c r="D1571" s="8" t="s">
        <v>6441</v>
      </c>
      <c r="E1571" s="8">
        <v>76.0</v>
      </c>
    </row>
    <row r="1572">
      <c r="A1572" s="8" t="s">
        <v>236</v>
      </c>
      <c r="B1572" s="8" t="s">
        <v>336</v>
      </c>
      <c r="C1572" s="8" t="s">
        <v>65</v>
      </c>
      <c r="D1572" s="8" t="s">
        <v>6417</v>
      </c>
      <c r="E1572" s="8">
        <v>59.0</v>
      </c>
    </row>
    <row r="1573">
      <c r="A1573" s="8" t="s">
        <v>236</v>
      </c>
      <c r="B1573" s="8" t="s">
        <v>3621</v>
      </c>
      <c r="C1573" s="8" t="s">
        <v>215</v>
      </c>
      <c r="D1573" s="8" t="s">
        <v>6438</v>
      </c>
      <c r="E1573" s="8">
        <v>78.0</v>
      </c>
    </row>
    <row r="1574">
      <c r="A1574" s="8" t="s">
        <v>236</v>
      </c>
      <c r="B1574" s="8" t="s">
        <v>78</v>
      </c>
      <c r="C1574" s="8" t="s">
        <v>215</v>
      </c>
      <c r="D1574" s="8" t="s">
        <v>6415</v>
      </c>
      <c r="E1574" s="8">
        <v>81.0</v>
      </c>
    </row>
    <row r="1575">
      <c r="A1575" s="8" t="s">
        <v>471</v>
      </c>
      <c r="B1575" s="8" t="s">
        <v>470</v>
      </c>
      <c r="C1575" s="8" t="s">
        <v>53</v>
      </c>
      <c r="D1575" s="8" t="s">
        <v>6414</v>
      </c>
      <c r="E1575" s="8">
        <v>75.0</v>
      </c>
    </row>
    <row r="1576">
      <c r="A1576" s="8" t="s">
        <v>471</v>
      </c>
      <c r="B1576" s="8" t="s">
        <v>927</v>
      </c>
      <c r="C1576" s="8" t="s">
        <v>75</v>
      </c>
      <c r="D1576" s="8" t="s">
        <v>6433</v>
      </c>
      <c r="E1576" s="8">
        <v>69.0</v>
      </c>
    </row>
    <row r="1577">
      <c r="A1577" s="8" t="s">
        <v>471</v>
      </c>
      <c r="B1577" s="8" t="s">
        <v>2843</v>
      </c>
      <c r="C1577" s="8" t="s">
        <v>53</v>
      </c>
      <c r="D1577" s="8" t="s">
        <v>6425</v>
      </c>
      <c r="E1577" s="8">
        <v>68.0</v>
      </c>
    </row>
    <row r="1578">
      <c r="A1578" s="8" t="s">
        <v>471</v>
      </c>
      <c r="B1578" s="8" t="s">
        <v>384</v>
      </c>
      <c r="C1578" s="8" t="s">
        <v>70</v>
      </c>
      <c r="D1578" s="8" t="s">
        <v>6418</v>
      </c>
      <c r="E1578" s="8">
        <v>83.0</v>
      </c>
    </row>
    <row r="1579">
      <c r="A1579" s="8" t="s">
        <v>471</v>
      </c>
      <c r="B1579" s="8" t="s">
        <v>588</v>
      </c>
      <c r="C1579" s="8" t="s">
        <v>59</v>
      </c>
      <c r="D1579" s="8" t="s">
        <v>6442</v>
      </c>
      <c r="E1579" s="8">
        <v>61.0</v>
      </c>
    </row>
    <row r="1580">
      <c r="A1580" s="8" t="s">
        <v>471</v>
      </c>
      <c r="B1580" s="8" t="s">
        <v>1960</v>
      </c>
      <c r="C1580" s="8" t="s">
        <v>16</v>
      </c>
      <c r="D1580" s="8" t="s">
        <v>6412</v>
      </c>
      <c r="E1580" s="8">
        <v>72.0</v>
      </c>
    </row>
    <row r="1581">
      <c r="A1581" s="8" t="s">
        <v>695</v>
      </c>
      <c r="B1581" s="8" t="s">
        <v>325</v>
      </c>
      <c r="C1581" s="8" t="s">
        <v>53</v>
      </c>
      <c r="D1581" s="8" t="s">
        <v>6419</v>
      </c>
      <c r="E1581" s="8">
        <v>69.0</v>
      </c>
    </row>
    <row r="1582">
      <c r="A1582" s="8" t="s">
        <v>695</v>
      </c>
      <c r="B1582" s="8" t="s">
        <v>2886</v>
      </c>
      <c r="C1582" s="8" t="s">
        <v>122</v>
      </c>
      <c r="D1582" s="8" t="s">
        <v>6436</v>
      </c>
      <c r="E1582" s="8">
        <v>67.0</v>
      </c>
    </row>
    <row r="1583">
      <c r="A1583" s="8" t="s">
        <v>695</v>
      </c>
      <c r="B1583" s="8" t="s">
        <v>3130</v>
      </c>
      <c r="C1583" s="8" t="s">
        <v>65</v>
      </c>
      <c r="D1583" s="8" t="s">
        <v>6439</v>
      </c>
      <c r="E1583" s="8">
        <v>76.0</v>
      </c>
    </row>
    <row r="1584">
      <c r="A1584" s="8" t="s">
        <v>2143</v>
      </c>
      <c r="B1584" s="8" t="s">
        <v>106</v>
      </c>
      <c r="C1584" s="8" t="s">
        <v>65</v>
      </c>
      <c r="D1584" s="8" t="s">
        <v>6412</v>
      </c>
      <c r="E1584" s="8">
        <v>73.0</v>
      </c>
    </row>
    <row r="1585">
      <c r="A1585" s="8" t="s">
        <v>2143</v>
      </c>
      <c r="B1585" s="8" t="s">
        <v>1264</v>
      </c>
      <c r="C1585" s="8" t="s">
        <v>65</v>
      </c>
      <c r="D1585" s="8" t="s">
        <v>6443</v>
      </c>
      <c r="E1585" s="8">
        <v>65.0</v>
      </c>
    </row>
    <row r="1586">
      <c r="A1586" s="8" t="s">
        <v>965</v>
      </c>
      <c r="B1586" s="8" t="s">
        <v>42</v>
      </c>
      <c r="C1586" s="8" t="s">
        <v>65</v>
      </c>
      <c r="D1586" s="8" t="s">
        <v>6413</v>
      </c>
      <c r="E1586" s="8">
        <v>71.0</v>
      </c>
    </row>
    <row r="1587">
      <c r="A1587" s="8" t="s">
        <v>2814</v>
      </c>
      <c r="B1587" s="8" t="s">
        <v>703</v>
      </c>
      <c r="C1587" s="8" t="s">
        <v>24</v>
      </c>
      <c r="D1587" s="8" t="s">
        <v>6415</v>
      </c>
      <c r="E1587" s="8">
        <v>69.0</v>
      </c>
    </row>
    <row r="1588">
      <c r="A1588" s="8" t="s">
        <v>3140</v>
      </c>
      <c r="B1588" s="8" t="s">
        <v>451</v>
      </c>
      <c r="C1588" s="8" t="s">
        <v>65</v>
      </c>
      <c r="D1588" s="8" t="s">
        <v>6427</v>
      </c>
      <c r="E1588" s="8">
        <v>73.0</v>
      </c>
    </row>
    <row r="1589">
      <c r="A1589" s="8" t="s">
        <v>2852</v>
      </c>
      <c r="B1589" s="8" t="s">
        <v>2851</v>
      </c>
      <c r="C1589" s="8" t="s">
        <v>80</v>
      </c>
      <c r="D1589" s="8" t="s">
        <v>6423</v>
      </c>
      <c r="E1589" s="8">
        <v>72.0</v>
      </c>
    </row>
    <row r="1590">
      <c r="A1590" s="8" t="s">
        <v>2881</v>
      </c>
      <c r="B1590" s="8" t="s">
        <v>956</v>
      </c>
      <c r="C1590" s="8" t="s">
        <v>38</v>
      </c>
      <c r="D1590" s="8" t="s">
        <v>6438</v>
      </c>
      <c r="E1590" s="8">
        <v>82.0</v>
      </c>
    </row>
    <row r="1591">
      <c r="A1591" s="8" t="s">
        <v>2007</v>
      </c>
      <c r="B1591" s="8" t="s">
        <v>3783</v>
      </c>
      <c r="C1591" s="8" t="s">
        <v>65</v>
      </c>
      <c r="D1591" s="8" t="s">
        <v>6414</v>
      </c>
      <c r="E1591" s="8">
        <v>63.0</v>
      </c>
    </row>
    <row r="1592">
      <c r="A1592" s="8" t="s">
        <v>1733</v>
      </c>
      <c r="B1592" s="8" t="s">
        <v>726</v>
      </c>
      <c r="C1592" s="8" t="s">
        <v>192</v>
      </c>
      <c r="D1592" s="8" t="s">
        <v>6419</v>
      </c>
      <c r="E1592" s="8">
        <v>64.0</v>
      </c>
    </row>
    <row r="1593">
      <c r="A1593" s="8" t="s">
        <v>914</v>
      </c>
      <c r="B1593" s="8" t="s">
        <v>913</v>
      </c>
      <c r="C1593" s="8" t="s">
        <v>59</v>
      </c>
      <c r="D1593" s="8" t="s">
        <v>6417</v>
      </c>
      <c r="E1593" s="8">
        <v>63.0</v>
      </c>
    </row>
    <row r="1594">
      <c r="A1594" s="8" t="s">
        <v>699</v>
      </c>
      <c r="B1594" s="8" t="s">
        <v>520</v>
      </c>
      <c r="C1594" s="8" t="s">
        <v>65</v>
      </c>
      <c r="D1594" s="8" t="s">
        <v>6430</v>
      </c>
      <c r="E1594" s="8">
        <v>68.0</v>
      </c>
    </row>
    <row r="1595">
      <c r="A1595" s="8" t="s">
        <v>131</v>
      </c>
      <c r="B1595" s="8" t="s">
        <v>130</v>
      </c>
      <c r="C1595" s="8" t="s">
        <v>132</v>
      </c>
      <c r="D1595" s="8" t="s">
        <v>6435</v>
      </c>
      <c r="E1595" s="8">
        <v>97.0</v>
      </c>
    </row>
    <row r="1596">
      <c r="A1596" s="8" t="s">
        <v>405</v>
      </c>
      <c r="B1596" s="8" t="s">
        <v>404</v>
      </c>
      <c r="C1596" s="8" t="s">
        <v>149</v>
      </c>
      <c r="D1596" s="8" t="s">
        <v>6425</v>
      </c>
      <c r="E1596" s="8">
        <v>70.0</v>
      </c>
    </row>
    <row r="1597">
      <c r="A1597" s="8" t="s">
        <v>3598</v>
      </c>
      <c r="B1597" s="8" t="s">
        <v>3597</v>
      </c>
      <c r="C1597" s="8" t="s">
        <v>70</v>
      </c>
      <c r="D1597" s="8" t="s">
        <v>6425</v>
      </c>
      <c r="E1597" s="8">
        <v>63.0</v>
      </c>
    </row>
    <row r="1598">
      <c r="A1598" s="8" t="s">
        <v>2707</v>
      </c>
      <c r="B1598" s="8" t="s">
        <v>2064</v>
      </c>
      <c r="C1598" s="8" t="s">
        <v>65</v>
      </c>
      <c r="D1598" s="8" t="s">
        <v>6439</v>
      </c>
      <c r="E1598" s="8">
        <v>82.0</v>
      </c>
    </row>
    <row r="1599">
      <c r="A1599" s="8" t="s">
        <v>3170</v>
      </c>
      <c r="B1599" s="8" t="s">
        <v>136</v>
      </c>
      <c r="C1599" s="8" t="s">
        <v>24</v>
      </c>
      <c r="D1599" s="8" t="s">
        <v>6436</v>
      </c>
      <c r="E1599" s="8">
        <v>85.0</v>
      </c>
    </row>
    <row r="1600">
      <c r="A1600" s="8" t="s">
        <v>396</v>
      </c>
      <c r="B1600" s="8" t="s">
        <v>1328</v>
      </c>
      <c r="C1600" s="8" t="s">
        <v>149</v>
      </c>
      <c r="D1600" s="8" t="s">
        <v>6427</v>
      </c>
      <c r="E1600" s="8">
        <v>67.0</v>
      </c>
    </row>
    <row r="1601">
      <c r="A1601" s="8" t="s">
        <v>3070</v>
      </c>
      <c r="B1601" s="8" t="s">
        <v>3069</v>
      </c>
      <c r="C1601" s="8" t="s">
        <v>186</v>
      </c>
      <c r="D1601" s="8" t="s">
        <v>6416</v>
      </c>
      <c r="E1601" s="8">
        <v>60.0</v>
      </c>
    </row>
    <row r="1602">
      <c r="A1602" s="8" t="s">
        <v>556</v>
      </c>
      <c r="B1602" s="8" t="s">
        <v>284</v>
      </c>
      <c r="C1602" s="8" t="s">
        <v>65</v>
      </c>
      <c r="D1602" s="8" t="s">
        <v>6420</v>
      </c>
      <c r="E1602" s="8">
        <v>82.0</v>
      </c>
    </row>
    <row r="1603">
      <c r="A1603" s="8" t="s">
        <v>1165</v>
      </c>
      <c r="B1603" s="8" t="s">
        <v>1164</v>
      </c>
      <c r="C1603" s="8" t="s">
        <v>80</v>
      </c>
      <c r="D1603" s="8" t="s">
        <v>6421</v>
      </c>
      <c r="E1603" s="8">
        <v>63.0</v>
      </c>
    </row>
    <row r="1604">
      <c r="A1604" s="8" t="s">
        <v>111</v>
      </c>
      <c r="B1604" s="8" t="s">
        <v>110</v>
      </c>
      <c r="C1604" s="8" t="s">
        <v>12</v>
      </c>
      <c r="D1604" s="8" t="s">
        <v>6421</v>
      </c>
      <c r="E1604" s="8">
        <v>81.0</v>
      </c>
    </row>
    <row r="1605">
      <c r="A1605" s="8" t="s">
        <v>111</v>
      </c>
      <c r="B1605" s="8" t="s">
        <v>154</v>
      </c>
      <c r="C1605" s="8" t="s">
        <v>186</v>
      </c>
      <c r="D1605" s="8" t="s">
        <v>6416</v>
      </c>
      <c r="E1605" s="8">
        <v>72.0</v>
      </c>
    </row>
    <row r="1606">
      <c r="A1606" s="8" t="s">
        <v>33</v>
      </c>
      <c r="B1606" s="8" t="s">
        <v>2664</v>
      </c>
      <c r="C1606" s="8" t="s">
        <v>70</v>
      </c>
      <c r="D1606" s="8" t="s">
        <v>6429</v>
      </c>
      <c r="E1606" s="8">
        <v>73.0</v>
      </c>
    </row>
    <row r="1607">
      <c r="A1607" s="8" t="s">
        <v>33</v>
      </c>
      <c r="B1607" s="8" t="s">
        <v>643</v>
      </c>
      <c r="C1607" s="8" t="s">
        <v>16</v>
      </c>
      <c r="D1607" s="8" t="s">
        <v>6419</v>
      </c>
      <c r="E1607" s="8">
        <v>64.0</v>
      </c>
    </row>
    <row r="1608">
      <c r="A1608" s="8" t="s">
        <v>33</v>
      </c>
      <c r="B1608" s="8" t="s">
        <v>242</v>
      </c>
      <c r="C1608" s="8" t="s">
        <v>38</v>
      </c>
      <c r="D1608" s="8" t="s">
        <v>6431</v>
      </c>
      <c r="E1608" s="8">
        <v>81.0</v>
      </c>
    </row>
    <row r="1609">
      <c r="A1609" s="8" t="s">
        <v>33</v>
      </c>
      <c r="B1609" s="8" t="s">
        <v>2064</v>
      </c>
      <c r="C1609" s="8" t="s">
        <v>12</v>
      </c>
      <c r="D1609" s="8" t="s">
        <v>6431</v>
      </c>
      <c r="E1609" s="8">
        <v>81.0</v>
      </c>
    </row>
    <row r="1610">
      <c r="A1610" s="8" t="s">
        <v>33</v>
      </c>
      <c r="B1610" s="8" t="s">
        <v>2723</v>
      </c>
      <c r="C1610" s="8" t="s">
        <v>16</v>
      </c>
      <c r="D1610" s="8" t="s">
        <v>6423</v>
      </c>
      <c r="E1610" s="8">
        <v>70.0</v>
      </c>
    </row>
    <row r="1611">
      <c r="A1611" s="8" t="s">
        <v>33</v>
      </c>
      <c r="B1611" s="8" t="s">
        <v>880</v>
      </c>
      <c r="C1611" s="8" t="s">
        <v>38</v>
      </c>
      <c r="D1611" s="8" t="s">
        <v>6415</v>
      </c>
      <c r="E1611" s="8">
        <v>76.0</v>
      </c>
    </row>
    <row r="1612">
      <c r="A1612" s="8" t="s">
        <v>33</v>
      </c>
      <c r="B1612" s="8" t="s">
        <v>3624</v>
      </c>
      <c r="C1612" s="8" t="s">
        <v>192</v>
      </c>
      <c r="D1612" s="8" t="s">
        <v>6435</v>
      </c>
      <c r="E1612" s="8">
        <v>69.0</v>
      </c>
    </row>
    <row r="1613">
      <c r="A1613" s="8" t="s">
        <v>33</v>
      </c>
      <c r="B1613" s="8" t="s">
        <v>3256</v>
      </c>
      <c r="C1613" s="8" t="s">
        <v>70</v>
      </c>
      <c r="D1613" s="8" t="s">
        <v>6440</v>
      </c>
      <c r="E1613" s="8">
        <v>86.0</v>
      </c>
    </row>
    <row r="1614">
      <c r="A1614" s="8" t="s">
        <v>33</v>
      </c>
      <c r="B1614" s="8" t="s">
        <v>3299</v>
      </c>
      <c r="C1614" s="8" t="s">
        <v>65</v>
      </c>
      <c r="D1614" s="8" t="s">
        <v>6415</v>
      </c>
      <c r="E1614" s="8">
        <v>64.0</v>
      </c>
    </row>
    <row r="1615">
      <c r="A1615" s="8" t="s">
        <v>33</v>
      </c>
      <c r="B1615" s="8" t="s">
        <v>284</v>
      </c>
      <c r="C1615" s="8" t="s">
        <v>70</v>
      </c>
      <c r="D1615" s="8" t="s">
        <v>6416</v>
      </c>
      <c r="E1615" s="8">
        <v>77.0</v>
      </c>
    </row>
    <row r="1616">
      <c r="A1616" s="8" t="s">
        <v>33</v>
      </c>
      <c r="B1616" s="8" t="s">
        <v>954</v>
      </c>
      <c r="C1616" s="8" t="s">
        <v>59</v>
      </c>
      <c r="D1616" s="8" t="s">
        <v>6435</v>
      </c>
      <c r="E1616" s="8">
        <v>67.0</v>
      </c>
    </row>
    <row r="1617">
      <c r="A1617" s="8" t="s">
        <v>33</v>
      </c>
      <c r="B1617" s="8" t="s">
        <v>392</v>
      </c>
      <c r="C1617" s="8" t="s">
        <v>46</v>
      </c>
      <c r="D1617" s="8" t="s">
        <v>6429</v>
      </c>
      <c r="E1617" s="8">
        <v>80.0</v>
      </c>
    </row>
    <row r="1618">
      <c r="A1618" s="8" t="s">
        <v>33</v>
      </c>
      <c r="B1618" s="8" t="s">
        <v>1224</v>
      </c>
      <c r="C1618" s="8" t="s">
        <v>24</v>
      </c>
      <c r="D1618" s="8" t="s">
        <v>6425</v>
      </c>
      <c r="E1618" s="8">
        <v>65.0</v>
      </c>
    </row>
    <row r="1619">
      <c r="A1619" s="8" t="s">
        <v>33</v>
      </c>
      <c r="B1619" s="8" t="s">
        <v>2908</v>
      </c>
      <c r="C1619" s="8" t="s">
        <v>215</v>
      </c>
      <c r="D1619" s="8" t="s">
        <v>6414</v>
      </c>
      <c r="E1619" s="8">
        <v>63.0</v>
      </c>
    </row>
    <row r="1620">
      <c r="A1620" s="8" t="s">
        <v>33</v>
      </c>
      <c r="B1620" s="8" t="s">
        <v>3744</v>
      </c>
      <c r="C1620" s="8" t="s">
        <v>141</v>
      </c>
      <c r="D1620" s="8" t="s">
        <v>6441</v>
      </c>
      <c r="E1620" s="8">
        <v>63.0</v>
      </c>
    </row>
    <row r="1621">
      <c r="A1621" s="8" t="s">
        <v>33</v>
      </c>
      <c r="B1621" s="8" t="s">
        <v>3361</v>
      </c>
      <c r="C1621" s="8" t="s">
        <v>16</v>
      </c>
      <c r="D1621" s="8" t="s">
        <v>6438</v>
      </c>
      <c r="E1621" s="8">
        <v>64.0</v>
      </c>
    </row>
    <row r="1622">
      <c r="A1622" s="8" t="s">
        <v>33</v>
      </c>
      <c r="B1622" s="8" t="s">
        <v>1264</v>
      </c>
      <c r="C1622" s="8" t="s">
        <v>16</v>
      </c>
      <c r="D1622" s="8" t="s">
        <v>6415</v>
      </c>
      <c r="E1622" s="8">
        <v>69.0</v>
      </c>
    </row>
    <row r="1623">
      <c r="A1623" s="8" t="s">
        <v>33</v>
      </c>
      <c r="B1623" s="8" t="s">
        <v>125</v>
      </c>
      <c r="C1623" s="8" t="s">
        <v>24</v>
      </c>
      <c r="D1623" s="8" t="s">
        <v>6428</v>
      </c>
      <c r="E1623" s="8">
        <v>43.0</v>
      </c>
    </row>
    <row r="1624">
      <c r="A1624" s="8" t="s">
        <v>33</v>
      </c>
      <c r="B1624" s="8" t="s">
        <v>589</v>
      </c>
      <c r="C1624" s="8" t="s">
        <v>141</v>
      </c>
      <c r="D1624" s="8" t="s">
        <v>6412</v>
      </c>
      <c r="E1624" s="8">
        <v>71.0</v>
      </c>
    </row>
    <row r="1625">
      <c r="A1625" s="8" t="s">
        <v>33</v>
      </c>
      <c r="B1625" s="8" t="s">
        <v>96</v>
      </c>
      <c r="C1625" s="8" t="s">
        <v>12</v>
      </c>
      <c r="D1625" s="8" t="s">
        <v>6420</v>
      </c>
      <c r="E1625" s="8">
        <v>81.0</v>
      </c>
    </row>
    <row r="1626">
      <c r="A1626" s="8" t="s">
        <v>33</v>
      </c>
      <c r="B1626" s="8" t="s">
        <v>67</v>
      </c>
      <c r="C1626" s="8" t="s">
        <v>16</v>
      </c>
      <c r="D1626" s="8" t="s">
        <v>6431</v>
      </c>
      <c r="E1626" s="8">
        <v>84.0</v>
      </c>
    </row>
    <row r="1627">
      <c r="A1627" s="8" t="s">
        <v>33</v>
      </c>
      <c r="B1627" s="8" t="s">
        <v>32</v>
      </c>
      <c r="C1627" s="8" t="s">
        <v>16</v>
      </c>
      <c r="D1627" s="8" t="s">
        <v>6431</v>
      </c>
      <c r="E1627" s="8">
        <v>70.0</v>
      </c>
    </row>
    <row r="1628">
      <c r="A1628" s="8" t="s">
        <v>33</v>
      </c>
      <c r="B1628" s="8" t="s">
        <v>3433</v>
      </c>
      <c r="C1628" s="8" t="s">
        <v>16</v>
      </c>
      <c r="D1628" s="8" t="s">
        <v>6431</v>
      </c>
      <c r="E1628" s="8">
        <v>61.0</v>
      </c>
    </row>
    <row r="1629">
      <c r="A1629" s="8" t="s">
        <v>33</v>
      </c>
      <c r="B1629" s="8" t="s">
        <v>3054</v>
      </c>
      <c r="C1629" s="8" t="s">
        <v>141</v>
      </c>
      <c r="D1629" s="8" t="s">
        <v>6432</v>
      </c>
      <c r="E1629" s="8">
        <v>84.0</v>
      </c>
    </row>
    <row r="1630">
      <c r="A1630" s="8" t="s">
        <v>33</v>
      </c>
      <c r="B1630" s="8" t="s">
        <v>3093</v>
      </c>
      <c r="C1630" s="8" t="s">
        <v>132</v>
      </c>
      <c r="D1630" s="8" t="s">
        <v>6424</v>
      </c>
      <c r="E1630" s="8">
        <v>71.0</v>
      </c>
    </row>
    <row r="1631">
      <c r="A1631" s="8" t="s">
        <v>176</v>
      </c>
      <c r="B1631" s="8" t="s">
        <v>1482</v>
      </c>
      <c r="C1631" s="8" t="s">
        <v>138</v>
      </c>
      <c r="D1631" s="8" t="s">
        <v>6416</v>
      </c>
      <c r="E1631" s="8">
        <v>66.0</v>
      </c>
    </row>
    <row r="1632">
      <c r="A1632" s="8" t="s">
        <v>176</v>
      </c>
      <c r="B1632" s="8" t="s">
        <v>3352</v>
      </c>
      <c r="C1632" s="8" t="s">
        <v>46</v>
      </c>
      <c r="D1632" s="8" t="s">
        <v>6438</v>
      </c>
      <c r="E1632" s="8">
        <v>71.0</v>
      </c>
    </row>
    <row r="1633">
      <c r="A1633" s="8" t="s">
        <v>176</v>
      </c>
      <c r="B1633" s="8" t="s">
        <v>175</v>
      </c>
      <c r="C1633" s="8" t="s">
        <v>65</v>
      </c>
      <c r="D1633" s="8" t="s">
        <v>6436</v>
      </c>
      <c r="E1633" s="8">
        <v>69.0</v>
      </c>
    </row>
    <row r="1634">
      <c r="A1634" s="8" t="s">
        <v>176</v>
      </c>
      <c r="B1634" s="8" t="s">
        <v>318</v>
      </c>
      <c r="C1634" s="8" t="s">
        <v>16</v>
      </c>
      <c r="D1634" s="8" t="s">
        <v>6420</v>
      </c>
      <c r="E1634" s="8">
        <v>85.0</v>
      </c>
    </row>
    <row r="1635">
      <c r="A1635" s="8" t="s">
        <v>634</v>
      </c>
      <c r="B1635" s="8" t="s">
        <v>57</v>
      </c>
      <c r="C1635" s="8" t="s">
        <v>192</v>
      </c>
      <c r="D1635" s="8" t="s">
        <v>6414</v>
      </c>
      <c r="E1635" s="8">
        <v>69.0</v>
      </c>
    </row>
    <row r="1636">
      <c r="A1636" s="8" t="s">
        <v>634</v>
      </c>
      <c r="B1636" s="8" t="s">
        <v>1396</v>
      </c>
      <c r="C1636" s="8" t="s">
        <v>192</v>
      </c>
      <c r="D1636" s="8" t="s">
        <v>6435</v>
      </c>
      <c r="E1636" s="8">
        <v>65.0</v>
      </c>
    </row>
    <row r="1637">
      <c r="A1637" s="8" t="s">
        <v>416</v>
      </c>
      <c r="B1637" s="8" t="s">
        <v>415</v>
      </c>
      <c r="C1637" s="8" t="s">
        <v>141</v>
      </c>
      <c r="D1637" s="8" t="s">
        <v>6439</v>
      </c>
      <c r="E1637" s="8">
        <v>88.0</v>
      </c>
    </row>
    <row r="1638">
      <c r="A1638" s="8" t="s">
        <v>922</v>
      </c>
      <c r="B1638" s="8" t="s">
        <v>1391</v>
      </c>
      <c r="C1638" s="8" t="s">
        <v>186</v>
      </c>
      <c r="D1638" s="8" t="s">
        <v>6434</v>
      </c>
      <c r="E1638" s="8">
        <v>68.0</v>
      </c>
    </row>
    <row r="1639">
      <c r="A1639" s="8" t="s">
        <v>922</v>
      </c>
      <c r="B1639" s="8" t="s">
        <v>921</v>
      </c>
      <c r="C1639" s="8" t="s">
        <v>75</v>
      </c>
      <c r="D1639" s="8" t="s">
        <v>6412</v>
      </c>
      <c r="E1639" s="8">
        <v>70.0</v>
      </c>
    </row>
    <row r="1640">
      <c r="A1640" s="8" t="s">
        <v>922</v>
      </c>
      <c r="B1640" s="8" t="s">
        <v>2182</v>
      </c>
      <c r="C1640" s="8" t="s">
        <v>65</v>
      </c>
      <c r="D1640" s="8" t="s">
        <v>6438</v>
      </c>
      <c r="E1640" s="8">
        <v>63.0</v>
      </c>
    </row>
    <row r="1641">
      <c r="A1641" s="8" t="s">
        <v>922</v>
      </c>
      <c r="B1641" s="8" t="s">
        <v>3486</v>
      </c>
      <c r="C1641" s="8" t="s">
        <v>141</v>
      </c>
      <c r="D1641" s="8" t="s">
        <v>6432</v>
      </c>
      <c r="E1641" s="8">
        <v>68.0</v>
      </c>
    </row>
    <row r="1642">
      <c r="A1642" s="8" t="s">
        <v>922</v>
      </c>
      <c r="B1642" s="8" t="s">
        <v>3104</v>
      </c>
      <c r="C1642" s="8" t="s">
        <v>141</v>
      </c>
      <c r="D1642" s="8" t="s">
        <v>6418</v>
      </c>
      <c r="E1642" s="8">
        <v>82.0</v>
      </c>
    </row>
    <row r="1643">
      <c r="A1643" s="8" t="s">
        <v>922</v>
      </c>
      <c r="B1643" s="8" t="s">
        <v>3106</v>
      </c>
      <c r="C1643" s="8" t="s">
        <v>215</v>
      </c>
      <c r="D1643" s="8" t="s">
        <v>6430</v>
      </c>
      <c r="E1643" s="8">
        <v>59.0</v>
      </c>
    </row>
    <row r="1644">
      <c r="A1644" s="8" t="s">
        <v>1666</v>
      </c>
      <c r="B1644" s="8" t="s">
        <v>78</v>
      </c>
      <c r="C1644" s="8" t="s">
        <v>24</v>
      </c>
      <c r="D1644" s="8" t="s">
        <v>6435</v>
      </c>
      <c r="E1644" s="8">
        <v>78.0</v>
      </c>
    </row>
    <row r="1645">
      <c r="A1645" s="8" t="s">
        <v>584</v>
      </c>
      <c r="B1645" s="8" t="s">
        <v>3553</v>
      </c>
      <c r="C1645" s="8" t="s">
        <v>16</v>
      </c>
      <c r="D1645" s="8" t="s">
        <v>6424</v>
      </c>
      <c r="E1645" s="8">
        <v>63.0</v>
      </c>
    </row>
    <row r="1646">
      <c r="A1646" s="8" t="s">
        <v>3154</v>
      </c>
      <c r="B1646" s="8" t="s">
        <v>3153</v>
      </c>
      <c r="C1646" s="8" t="s">
        <v>138</v>
      </c>
      <c r="D1646" s="8" t="s">
        <v>6423</v>
      </c>
      <c r="E1646" s="8">
        <v>60.0</v>
      </c>
    </row>
    <row r="1647">
      <c r="A1647" s="8" t="s">
        <v>2941</v>
      </c>
      <c r="B1647" s="8" t="s">
        <v>2940</v>
      </c>
      <c r="C1647" s="8" t="s">
        <v>65</v>
      </c>
      <c r="D1647" s="8" t="s">
        <v>6428</v>
      </c>
      <c r="E1647" s="8">
        <v>63.0</v>
      </c>
    </row>
    <row r="1648">
      <c r="A1648" s="8" t="s">
        <v>385</v>
      </c>
      <c r="B1648" s="8" t="s">
        <v>698</v>
      </c>
      <c r="C1648" s="8" t="s">
        <v>70</v>
      </c>
      <c r="D1648" s="8" t="s">
        <v>6432</v>
      </c>
      <c r="E1648" s="8">
        <v>76.0</v>
      </c>
    </row>
    <row r="1649">
      <c r="A1649" s="8" t="s">
        <v>385</v>
      </c>
      <c r="B1649" s="8" t="s">
        <v>384</v>
      </c>
      <c r="C1649" s="8" t="s">
        <v>59</v>
      </c>
      <c r="D1649" s="8" t="s">
        <v>6432</v>
      </c>
      <c r="E1649" s="8">
        <v>86.0</v>
      </c>
    </row>
    <row r="1650">
      <c r="A1650" s="8" t="s">
        <v>385</v>
      </c>
      <c r="B1650" s="8" t="s">
        <v>1055</v>
      </c>
      <c r="C1650" s="8" t="s">
        <v>93</v>
      </c>
      <c r="D1650" s="8" t="s">
        <v>6429</v>
      </c>
      <c r="E1650" s="8">
        <v>65.0</v>
      </c>
    </row>
    <row r="1651">
      <c r="A1651" s="8" t="s">
        <v>3123</v>
      </c>
      <c r="B1651" s="8" t="s">
        <v>34</v>
      </c>
      <c r="C1651" s="8" t="s">
        <v>149</v>
      </c>
      <c r="D1651" s="8" t="s">
        <v>6438</v>
      </c>
      <c r="E1651" s="8">
        <v>73.0</v>
      </c>
    </row>
    <row r="1652">
      <c r="A1652" s="8" t="s">
        <v>719</v>
      </c>
      <c r="B1652" s="8" t="s">
        <v>3532</v>
      </c>
      <c r="C1652" s="8" t="s">
        <v>186</v>
      </c>
      <c r="D1652" s="8" t="s">
        <v>6426</v>
      </c>
      <c r="E1652" s="8">
        <v>59.0</v>
      </c>
    </row>
    <row r="1653">
      <c r="A1653" s="8" t="s">
        <v>719</v>
      </c>
      <c r="B1653" s="8" t="s">
        <v>718</v>
      </c>
      <c r="C1653" s="8" t="s">
        <v>80</v>
      </c>
      <c r="D1653" s="8" t="s">
        <v>6421</v>
      </c>
      <c r="E1653" s="8">
        <v>80.0</v>
      </c>
    </row>
    <row r="1654">
      <c r="A1654" s="8" t="s">
        <v>137</v>
      </c>
      <c r="B1654" s="8" t="s">
        <v>136</v>
      </c>
      <c r="C1654" s="8" t="s">
        <v>138</v>
      </c>
      <c r="D1654" s="8" t="s">
        <v>6433</v>
      </c>
      <c r="E1654" s="8">
        <v>91.0</v>
      </c>
    </row>
    <row r="1655">
      <c r="A1655" s="8" t="s">
        <v>137</v>
      </c>
      <c r="B1655" s="8" t="s">
        <v>136</v>
      </c>
      <c r="C1655" s="8" t="s">
        <v>122</v>
      </c>
      <c r="D1655" s="8" t="s">
        <v>6413</v>
      </c>
      <c r="E1655" s="8">
        <v>66.0</v>
      </c>
    </row>
    <row r="1656">
      <c r="A1656" s="8" t="s">
        <v>137</v>
      </c>
      <c r="B1656" s="8" t="s">
        <v>3180</v>
      </c>
      <c r="C1656" s="8" t="s">
        <v>149</v>
      </c>
      <c r="D1656" s="8" t="s">
        <v>6443</v>
      </c>
      <c r="E1656" s="8">
        <v>72.0</v>
      </c>
    </row>
    <row r="1657">
      <c r="A1657" s="8" t="s">
        <v>137</v>
      </c>
      <c r="B1657" s="8" t="s">
        <v>656</v>
      </c>
      <c r="C1657" s="8" t="s">
        <v>122</v>
      </c>
      <c r="D1657" s="8" t="s">
        <v>6414</v>
      </c>
      <c r="E1657" s="8">
        <v>79.0</v>
      </c>
    </row>
    <row r="1658">
      <c r="A1658" s="8" t="s">
        <v>137</v>
      </c>
      <c r="B1658" s="8" t="s">
        <v>864</v>
      </c>
      <c r="C1658" s="8" t="s">
        <v>261</v>
      </c>
      <c r="D1658" s="8" t="s">
        <v>6420</v>
      </c>
      <c r="E1658" s="8">
        <v>83.0</v>
      </c>
    </row>
    <row r="1659">
      <c r="A1659" s="8" t="s">
        <v>137</v>
      </c>
      <c r="B1659" s="8" t="s">
        <v>2715</v>
      </c>
      <c r="C1659" s="8" t="s">
        <v>65</v>
      </c>
      <c r="D1659" s="8" t="s">
        <v>6435</v>
      </c>
      <c r="E1659" s="8">
        <v>68.0</v>
      </c>
    </row>
    <row r="1660">
      <c r="A1660" s="8" t="s">
        <v>137</v>
      </c>
      <c r="B1660" s="8" t="s">
        <v>2744</v>
      </c>
      <c r="C1660" s="8" t="s">
        <v>65</v>
      </c>
      <c r="D1660" s="8" t="s">
        <v>6438</v>
      </c>
      <c r="E1660" s="8">
        <v>83.0</v>
      </c>
    </row>
    <row r="1661">
      <c r="A1661" s="8" t="s">
        <v>137</v>
      </c>
      <c r="B1661" s="8" t="s">
        <v>510</v>
      </c>
      <c r="C1661" s="8" t="s">
        <v>65</v>
      </c>
      <c r="D1661" s="8" t="s">
        <v>6419</v>
      </c>
      <c r="E1661" s="8">
        <v>85.0</v>
      </c>
    </row>
    <row r="1662">
      <c r="A1662" s="8" t="s">
        <v>137</v>
      </c>
      <c r="B1662" s="8" t="s">
        <v>522</v>
      </c>
      <c r="C1662" s="8" t="s">
        <v>80</v>
      </c>
      <c r="D1662" s="8" t="s">
        <v>6429</v>
      </c>
      <c r="E1662" s="8">
        <v>78.0</v>
      </c>
    </row>
    <row r="1663">
      <c r="A1663" s="8" t="s">
        <v>137</v>
      </c>
      <c r="B1663" s="8" t="s">
        <v>2849</v>
      </c>
      <c r="C1663" s="8" t="s">
        <v>24</v>
      </c>
      <c r="D1663" s="8" t="s">
        <v>6418</v>
      </c>
      <c r="E1663" s="8">
        <v>74.0</v>
      </c>
    </row>
    <row r="1664">
      <c r="A1664" s="8" t="s">
        <v>137</v>
      </c>
      <c r="B1664" s="8" t="s">
        <v>389</v>
      </c>
      <c r="C1664" s="8" t="s">
        <v>215</v>
      </c>
      <c r="D1664" s="8" t="s">
        <v>6417</v>
      </c>
      <c r="E1664" s="8">
        <v>79.0</v>
      </c>
    </row>
    <row r="1665">
      <c r="A1665" s="8" t="s">
        <v>137</v>
      </c>
      <c r="B1665" s="8" t="s">
        <v>3751</v>
      </c>
      <c r="C1665" s="8" t="s">
        <v>186</v>
      </c>
      <c r="D1665" s="8" t="s">
        <v>6418</v>
      </c>
      <c r="E1665" s="8">
        <v>68.0</v>
      </c>
    </row>
    <row r="1666">
      <c r="A1666" s="8" t="s">
        <v>137</v>
      </c>
      <c r="B1666" s="8" t="s">
        <v>3382</v>
      </c>
      <c r="C1666" s="8" t="s">
        <v>46</v>
      </c>
      <c r="D1666" s="8" t="s">
        <v>6441</v>
      </c>
      <c r="E1666" s="8">
        <v>78.0</v>
      </c>
    </row>
    <row r="1667">
      <c r="A1667" s="8" t="s">
        <v>137</v>
      </c>
      <c r="B1667" s="8" t="s">
        <v>302</v>
      </c>
      <c r="C1667" s="8" t="s">
        <v>149</v>
      </c>
      <c r="D1667" s="8" t="s">
        <v>6420</v>
      </c>
      <c r="E1667" s="8">
        <v>74.0</v>
      </c>
    </row>
    <row r="1668">
      <c r="A1668" s="8" t="s">
        <v>137</v>
      </c>
      <c r="B1668" s="8" t="s">
        <v>794</v>
      </c>
      <c r="C1668" s="8" t="s">
        <v>149</v>
      </c>
      <c r="D1668" s="8" t="s">
        <v>6412</v>
      </c>
      <c r="E1668" s="8">
        <v>68.0</v>
      </c>
    </row>
    <row r="1669">
      <c r="A1669" s="8" t="s">
        <v>137</v>
      </c>
      <c r="B1669" s="8" t="s">
        <v>62</v>
      </c>
      <c r="C1669" s="8" t="s">
        <v>80</v>
      </c>
      <c r="D1669" s="8" t="s">
        <v>6415</v>
      </c>
      <c r="E1669" s="8">
        <v>74.0</v>
      </c>
    </row>
    <row r="1670">
      <c r="A1670" s="8" t="s">
        <v>137</v>
      </c>
      <c r="B1670" s="8" t="s">
        <v>62</v>
      </c>
      <c r="C1670" s="8" t="s">
        <v>65</v>
      </c>
      <c r="D1670" s="8" t="s">
        <v>6418</v>
      </c>
      <c r="E1670" s="8">
        <v>70.0</v>
      </c>
    </row>
    <row r="1671">
      <c r="A1671" s="8" t="s">
        <v>137</v>
      </c>
      <c r="B1671" s="8" t="s">
        <v>3135</v>
      </c>
      <c r="C1671" s="8" t="s">
        <v>186</v>
      </c>
      <c r="D1671" s="8" t="s">
        <v>6422</v>
      </c>
      <c r="E1671" s="8">
        <v>70.0</v>
      </c>
    </row>
    <row r="1672">
      <c r="A1672" s="8" t="s">
        <v>137</v>
      </c>
      <c r="B1672" s="8" t="s">
        <v>78</v>
      </c>
      <c r="C1672" s="8" t="s">
        <v>24</v>
      </c>
      <c r="D1672" s="8" t="s">
        <v>6436</v>
      </c>
      <c r="E1672" s="8">
        <v>71.0</v>
      </c>
    </row>
    <row r="1673">
      <c r="A1673" s="8" t="s">
        <v>183</v>
      </c>
      <c r="B1673" s="8" t="s">
        <v>835</v>
      </c>
      <c r="C1673" s="8" t="s">
        <v>192</v>
      </c>
      <c r="D1673" s="8" t="s">
        <v>6428</v>
      </c>
      <c r="E1673" s="8">
        <v>78.0</v>
      </c>
    </row>
    <row r="1674">
      <c r="A1674" s="8" t="s">
        <v>183</v>
      </c>
      <c r="B1674" s="8" t="s">
        <v>3171</v>
      </c>
      <c r="C1674" s="8" t="s">
        <v>16</v>
      </c>
      <c r="D1674" s="8" t="s">
        <v>6432</v>
      </c>
      <c r="E1674" s="8">
        <v>63.0</v>
      </c>
    </row>
    <row r="1675">
      <c r="A1675" s="8" t="s">
        <v>183</v>
      </c>
      <c r="B1675" s="8" t="s">
        <v>3582</v>
      </c>
      <c r="C1675" s="8" t="s">
        <v>138</v>
      </c>
      <c r="D1675" s="8" t="s">
        <v>6440</v>
      </c>
      <c r="E1675" s="8">
        <v>65.0</v>
      </c>
    </row>
    <row r="1676">
      <c r="A1676" s="8" t="s">
        <v>183</v>
      </c>
      <c r="B1676" s="8" t="s">
        <v>361</v>
      </c>
      <c r="C1676" s="8" t="s">
        <v>215</v>
      </c>
      <c r="D1676" s="8" t="s">
        <v>6421</v>
      </c>
      <c r="E1676" s="8">
        <v>92.0</v>
      </c>
    </row>
    <row r="1677">
      <c r="A1677" s="8" t="s">
        <v>183</v>
      </c>
      <c r="B1677" s="8" t="s">
        <v>61</v>
      </c>
      <c r="C1677" s="8" t="s">
        <v>70</v>
      </c>
      <c r="D1677" s="8" t="s">
        <v>6422</v>
      </c>
      <c r="E1677" s="8">
        <v>71.0</v>
      </c>
    </row>
    <row r="1678">
      <c r="A1678" s="8" t="s">
        <v>183</v>
      </c>
      <c r="B1678" s="8" t="s">
        <v>1164</v>
      </c>
      <c r="C1678" s="8" t="s">
        <v>65</v>
      </c>
      <c r="D1678" s="8" t="s">
        <v>6426</v>
      </c>
      <c r="E1678" s="8">
        <v>86.0</v>
      </c>
    </row>
    <row r="1679">
      <c r="A1679" s="8" t="s">
        <v>183</v>
      </c>
      <c r="B1679" s="8" t="s">
        <v>2810</v>
      </c>
      <c r="C1679" s="8" t="s">
        <v>70</v>
      </c>
      <c r="D1679" s="8" t="s">
        <v>6430</v>
      </c>
      <c r="E1679" s="8">
        <v>70.0</v>
      </c>
    </row>
    <row r="1680">
      <c r="A1680" s="8" t="s">
        <v>183</v>
      </c>
      <c r="B1680" s="8" t="s">
        <v>519</v>
      </c>
      <c r="C1680" s="8" t="s">
        <v>16</v>
      </c>
      <c r="D1680" s="8" t="s">
        <v>6426</v>
      </c>
      <c r="E1680" s="8">
        <v>71.0</v>
      </c>
    </row>
    <row r="1681">
      <c r="A1681" s="8" t="s">
        <v>183</v>
      </c>
      <c r="B1681" s="8" t="s">
        <v>89</v>
      </c>
      <c r="C1681" s="8" t="s">
        <v>132</v>
      </c>
      <c r="D1681" s="8" t="s">
        <v>6429</v>
      </c>
      <c r="E1681" s="8">
        <v>74.0</v>
      </c>
    </row>
    <row r="1682">
      <c r="A1682" s="8" t="s">
        <v>183</v>
      </c>
      <c r="B1682" s="8" t="s">
        <v>717</v>
      </c>
      <c r="C1682" s="8" t="s">
        <v>186</v>
      </c>
      <c r="D1682" s="8" t="s">
        <v>6415</v>
      </c>
      <c r="E1682" s="8">
        <v>61.0</v>
      </c>
    </row>
    <row r="1683">
      <c r="A1683" s="8" t="s">
        <v>183</v>
      </c>
      <c r="B1683" s="8" t="s">
        <v>207</v>
      </c>
      <c r="C1683" s="8" t="s">
        <v>75</v>
      </c>
      <c r="D1683" s="8" t="s">
        <v>6419</v>
      </c>
      <c r="E1683" s="8">
        <v>86.0</v>
      </c>
    </row>
    <row r="1684">
      <c r="A1684" s="8" t="s">
        <v>183</v>
      </c>
      <c r="B1684" s="8" t="s">
        <v>260</v>
      </c>
      <c r="C1684" s="8" t="s">
        <v>70</v>
      </c>
      <c r="D1684" s="8" t="s">
        <v>6426</v>
      </c>
      <c r="E1684" s="8">
        <v>71.0</v>
      </c>
    </row>
    <row r="1685">
      <c r="A1685" s="8" t="s">
        <v>183</v>
      </c>
      <c r="B1685" s="8" t="s">
        <v>282</v>
      </c>
      <c r="C1685" s="8" t="s">
        <v>93</v>
      </c>
      <c r="D1685" s="8" t="s">
        <v>6419</v>
      </c>
      <c r="E1685" s="8">
        <v>72.0</v>
      </c>
    </row>
    <row r="1686">
      <c r="A1686" s="8" t="s">
        <v>183</v>
      </c>
      <c r="B1686" s="8" t="s">
        <v>263</v>
      </c>
      <c r="C1686" s="8" t="s">
        <v>93</v>
      </c>
      <c r="D1686" s="8" t="s">
        <v>6414</v>
      </c>
      <c r="E1686" s="8">
        <v>59.0</v>
      </c>
    </row>
    <row r="1687">
      <c r="A1687" s="8" t="s">
        <v>183</v>
      </c>
      <c r="B1687" s="8" t="s">
        <v>396</v>
      </c>
      <c r="C1687" s="8" t="s">
        <v>122</v>
      </c>
      <c r="D1687" s="8" t="s">
        <v>6424</v>
      </c>
      <c r="E1687" s="8">
        <v>70.0</v>
      </c>
    </row>
    <row r="1688">
      <c r="A1688" s="8" t="s">
        <v>183</v>
      </c>
      <c r="B1688" s="8" t="s">
        <v>427</v>
      </c>
      <c r="C1688" s="8" t="s">
        <v>80</v>
      </c>
      <c r="D1688" s="8" t="s">
        <v>6439</v>
      </c>
      <c r="E1688" s="8">
        <v>84.0</v>
      </c>
    </row>
    <row r="1689">
      <c r="A1689" s="8" t="s">
        <v>183</v>
      </c>
      <c r="B1689" s="8" t="s">
        <v>146</v>
      </c>
      <c r="C1689" s="8" t="s">
        <v>53</v>
      </c>
      <c r="D1689" s="8" t="s">
        <v>6433</v>
      </c>
      <c r="E1689" s="8">
        <v>71.0</v>
      </c>
    </row>
    <row r="1690">
      <c r="A1690" s="8" t="s">
        <v>183</v>
      </c>
      <c r="B1690" s="8" t="s">
        <v>3785</v>
      </c>
      <c r="C1690" s="8" t="s">
        <v>12</v>
      </c>
      <c r="D1690" s="8" t="s">
        <v>6417</v>
      </c>
      <c r="E1690" s="8">
        <v>80.0</v>
      </c>
    </row>
    <row r="1691">
      <c r="A1691" s="8" t="s">
        <v>183</v>
      </c>
      <c r="B1691" s="8" t="s">
        <v>777</v>
      </c>
      <c r="C1691" s="8" t="s">
        <v>215</v>
      </c>
      <c r="D1691" s="8" t="s">
        <v>6421</v>
      </c>
      <c r="E1691" s="8">
        <v>66.0</v>
      </c>
    </row>
    <row r="1692">
      <c r="A1692" s="8" t="s">
        <v>183</v>
      </c>
      <c r="B1692" s="8" t="s">
        <v>303</v>
      </c>
      <c r="C1692" s="8" t="s">
        <v>141</v>
      </c>
      <c r="D1692" s="8" t="s">
        <v>6431</v>
      </c>
      <c r="E1692" s="8">
        <v>70.0</v>
      </c>
    </row>
    <row r="1693">
      <c r="A1693" s="8" t="s">
        <v>183</v>
      </c>
      <c r="B1693" s="8" t="s">
        <v>415</v>
      </c>
      <c r="C1693" s="8" t="s">
        <v>141</v>
      </c>
      <c r="D1693" s="8" t="s">
        <v>6415</v>
      </c>
      <c r="E1693" s="8">
        <v>81.0</v>
      </c>
    </row>
    <row r="1694">
      <c r="A1694" s="8" t="s">
        <v>183</v>
      </c>
      <c r="B1694" s="8" t="s">
        <v>3405</v>
      </c>
      <c r="C1694" s="8" t="s">
        <v>122</v>
      </c>
      <c r="D1694" s="8" t="s">
        <v>6422</v>
      </c>
      <c r="E1694" s="8">
        <v>64.0</v>
      </c>
    </row>
    <row r="1695">
      <c r="A1695" s="8" t="s">
        <v>183</v>
      </c>
      <c r="B1695" s="8" t="s">
        <v>422</v>
      </c>
      <c r="C1695" s="8" t="s">
        <v>149</v>
      </c>
      <c r="D1695" s="8" t="s">
        <v>6441</v>
      </c>
      <c r="E1695" s="8">
        <v>76.0</v>
      </c>
    </row>
    <row r="1696">
      <c r="A1696" s="8" t="s">
        <v>183</v>
      </c>
      <c r="B1696" s="8" t="s">
        <v>3832</v>
      </c>
      <c r="C1696" s="8" t="s">
        <v>38</v>
      </c>
      <c r="D1696" s="8" t="s">
        <v>6441</v>
      </c>
      <c r="E1696" s="8">
        <v>77.0</v>
      </c>
    </row>
    <row r="1697">
      <c r="A1697" s="8" t="s">
        <v>183</v>
      </c>
      <c r="B1697" s="8" t="s">
        <v>62</v>
      </c>
      <c r="C1697" s="8" t="s">
        <v>65</v>
      </c>
      <c r="D1697" s="8" t="s">
        <v>6414</v>
      </c>
      <c r="E1697" s="8">
        <v>63.0</v>
      </c>
    </row>
    <row r="1698">
      <c r="A1698" s="8" t="s">
        <v>183</v>
      </c>
      <c r="B1698" s="8" t="s">
        <v>3476</v>
      </c>
      <c r="C1698" s="8" t="s">
        <v>261</v>
      </c>
      <c r="D1698" s="8" t="s">
        <v>6441</v>
      </c>
      <c r="E1698" s="8">
        <v>78.0</v>
      </c>
    </row>
    <row r="1699">
      <c r="A1699" s="8" t="s">
        <v>183</v>
      </c>
      <c r="B1699" s="8" t="s">
        <v>3883</v>
      </c>
      <c r="C1699" s="8" t="s">
        <v>53</v>
      </c>
      <c r="D1699" s="8" t="s">
        <v>6416</v>
      </c>
      <c r="E1699" s="8">
        <v>61.0</v>
      </c>
    </row>
    <row r="1700">
      <c r="A1700" s="8" t="s">
        <v>183</v>
      </c>
      <c r="B1700" s="8" t="s">
        <v>1328</v>
      </c>
      <c r="C1700" s="8" t="s">
        <v>65</v>
      </c>
      <c r="D1700" s="8" t="s">
        <v>6435</v>
      </c>
      <c r="E1700" s="8">
        <v>77.0</v>
      </c>
    </row>
    <row r="1701">
      <c r="A1701" s="8" t="s">
        <v>183</v>
      </c>
      <c r="B1701" s="8" t="s">
        <v>78</v>
      </c>
      <c r="C1701" s="8" t="s">
        <v>65</v>
      </c>
      <c r="D1701" s="8" t="s">
        <v>6437</v>
      </c>
      <c r="E1701" s="8">
        <v>71.0</v>
      </c>
    </row>
    <row r="1702">
      <c r="A1702" s="8" t="s">
        <v>183</v>
      </c>
      <c r="B1702" s="8" t="s">
        <v>182</v>
      </c>
      <c r="C1702" s="8" t="s">
        <v>24</v>
      </c>
      <c r="D1702" s="8" t="s">
        <v>6432</v>
      </c>
      <c r="E1702" s="8">
        <v>46.0</v>
      </c>
    </row>
    <row r="1703">
      <c r="A1703" s="8" t="s">
        <v>1219</v>
      </c>
      <c r="B1703" s="8" t="s">
        <v>1218</v>
      </c>
      <c r="C1703" s="8" t="s">
        <v>192</v>
      </c>
      <c r="D1703" s="8" t="s">
        <v>6420</v>
      </c>
      <c r="E1703" s="8">
        <v>68.0</v>
      </c>
    </row>
    <row r="1704">
      <c r="A1704" s="8" t="s">
        <v>985</v>
      </c>
      <c r="B1704" s="8" t="s">
        <v>3345</v>
      </c>
      <c r="C1704" s="8" t="s">
        <v>65</v>
      </c>
      <c r="D1704" s="8" t="s">
        <v>6437</v>
      </c>
      <c r="E1704" s="8">
        <v>60.0</v>
      </c>
    </row>
    <row r="1705">
      <c r="A1705" s="8" t="s">
        <v>985</v>
      </c>
      <c r="B1705" s="8" t="s">
        <v>984</v>
      </c>
      <c r="C1705" s="8" t="s">
        <v>141</v>
      </c>
      <c r="D1705" s="8" t="s">
        <v>6437</v>
      </c>
      <c r="E1705" s="8">
        <v>73.0</v>
      </c>
    </row>
    <row r="1706">
      <c r="A1706" s="8" t="s">
        <v>985</v>
      </c>
      <c r="B1706" s="8" t="s">
        <v>3105</v>
      </c>
      <c r="C1706" s="8" t="s">
        <v>215</v>
      </c>
      <c r="D1706" s="8" t="s">
        <v>6427</v>
      </c>
      <c r="E1706" s="8">
        <v>68.0</v>
      </c>
    </row>
    <row r="1707">
      <c r="A1707" s="8" t="s">
        <v>427</v>
      </c>
      <c r="B1707" s="8" t="s">
        <v>637</v>
      </c>
      <c r="C1707" s="8" t="s">
        <v>24</v>
      </c>
      <c r="D1707" s="8" t="s">
        <v>6421</v>
      </c>
      <c r="E1707" s="8">
        <v>69.0</v>
      </c>
    </row>
    <row r="1708">
      <c r="A1708" s="8" t="s">
        <v>427</v>
      </c>
      <c r="B1708" s="8" t="s">
        <v>426</v>
      </c>
      <c r="C1708" s="8" t="s">
        <v>149</v>
      </c>
      <c r="D1708" s="8" t="s">
        <v>6437</v>
      </c>
      <c r="E1708" s="8">
        <v>86.0</v>
      </c>
    </row>
    <row r="1709">
      <c r="A1709" s="8" t="s">
        <v>427</v>
      </c>
      <c r="B1709" s="8" t="s">
        <v>3876</v>
      </c>
      <c r="C1709" s="8" t="s">
        <v>149</v>
      </c>
      <c r="D1709" s="8" t="s">
        <v>6428</v>
      </c>
      <c r="E1709" s="8">
        <v>65.0</v>
      </c>
    </row>
    <row r="1710">
      <c r="A1710" s="8" t="s">
        <v>425</v>
      </c>
      <c r="B1710" s="8" t="s">
        <v>3829</v>
      </c>
      <c r="C1710" s="8" t="s">
        <v>65</v>
      </c>
      <c r="D1710" s="8" t="s">
        <v>6431</v>
      </c>
      <c r="E1710" s="8">
        <v>77.0</v>
      </c>
    </row>
    <row r="1711">
      <c r="A1711" s="8" t="s">
        <v>3309</v>
      </c>
      <c r="B1711" s="8" t="s">
        <v>278</v>
      </c>
      <c r="C1711" s="8" t="s">
        <v>122</v>
      </c>
      <c r="D1711" s="8" t="s">
        <v>6425</v>
      </c>
      <c r="E1711" s="8">
        <v>65.0</v>
      </c>
    </row>
    <row r="1712">
      <c r="A1712" s="8" t="s">
        <v>146</v>
      </c>
      <c r="B1712" s="8" t="s">
        <v>355</v>
      </c>
      <c r="C1712" s="8" t="s">
        <v>192</v>
      </c>
      <c r="D1712" s="8" t="s">
        <v>6421</v>
      </c>
      <c r="E1712" s="8">
        <v>85.0</v>
      </c>
    </row>
    <row r="1713">
      <c r="A1713" s="8" t="s">
        <v>146</v>
      </c>
      <c r="B1713" s="8" t="s">
        <v>145</v>
      </c>
      <c r="C1713" s="8" t="s">
        <v>24</v>
      </c>
      <c r="D1713" s="8" t="s">
        <v>6435</v>
      </c>
      <c r="E1713" s="8">
        <v>40.0</v>
      </c>
    </row>
    <row r="1714">
      <c r="A1714" s="8" t="s">
        <v>146</v>
      </c>
      <c r="B1714" s="8" t="s">
        <v>765</v>
      </c>
      <c r="C1714" s="8" t="s">
        <v>149</v>
      </c>
      <c r="D1714" s="8" t="s">
        <v>6416</v>
      </c>
      <c r="E1714" s="8">
        <v>78.0</v>
      </c>
    </row>
    <row r="1715">
      <c r="A1715" s="8" t="s">
        <v>1378</v>
      </c>
      <c r="B1715" s="8" t="s">
        <v>1377</v>
      </c>
      <c r="C1715" s="8" t="s">
        <v>65</v>
      </c>
      <c r="D1715" s="8" t="s">
        <v>6429</v>
      </c>
      <c r="E1715" s="8">
        <v>62.0</v>
      </c>
    </row>
    <row r="1716">
      <c r="A1716" s="8" t="s">
        <v>1905</v>
      </c>
      <c r="B1716" s="8" t="s">
        <v>2730</v>
      </c>
      <c r="C1716" s="8" t="s">
        <v>93</v>
      </c>
      <c r="D1716" s="8" t="s">
        <v>6442</v>
      </c>
      <c r="E1716" s="8">
        <v>70.0</v>
      </c>
    </row>
    <row r="1717">
      <c r="A1717" s="8" t="s">
        <v>2794</v>
      </c>
      <c r="B1717" s="8" t="s">
        <v>1446</v>
      </c>
      <c r="C1717" s="8" t="s">
        <v>65</v>
      </c>
      <c r="D1717" s="8" t="s">
        <v>6412</v>
      </c>
      <c r="E1717" s="8">
        <v>63.0</v>
      </c>
    </row>
    <row r="1718">
      <c r="A1718" s="8" t="s">
        <v>1908</v>
      </c>
      <c r="B1718" s="8" t="s">
        <v>3136</v>
      </c>
      <c r="C1718" s="8" t="s">
        <v>138</v>
      </c>
      <c r="D1718" s="8" t="s">
        <v>6440</v>
      </c>
      <c r="E1718" s="8">
        <v>89.0</v>
      </c>
    </row>
    <row r="1719">
      <c r="A1719" s="8" t="s">
        <v>733</v>
      </c>
      <c r="B1719" s="8" t="s">
        <v>732</v>
      </c>
      <c r="C1719" s="8" t="s">
        <v>53</v>
      </c>
      <c r="D1719" s="8" t="s">
        <v>6424</v>
      </c>
      <c r="E1719" s="8">
        <v>85.0</v>
      </c>
    </row>
    <row r="1720">
      <c r="A1720" s="8" t="s">
        <v>733</v>
      </c>
      <c r="B1720" s="8" t="s">
        <v>3416</v>
      </c>
      <c r="C1720" s="8" t="s">
        <v>24</v>
      </c>
      <c r="D1720" s="8" t="s">
        <v>6438</v>
      </c>
      <c r="E1720" s="8">
        <v>73.0</v>
      </c>
    </row>
    <row r="1721">
      <c r="A1721" s="8" t="s">
        <v>1008</v>
      </c>
      <c r="B1721" s="8" t="s">
        <v>1007</v>
      </c>
      <c r="C1721" s="8" t="s">
        <v>24</v>
      </c>
      <c r="D1721" s="8" t="s">
        <v>6429</v>
      </c>
      <c r="E1721" s="8">
        <v>74.0</v>
      </c>
    </row>
    <row r="1722">
      <c r="A1722" s="8" t="s">
        <v>3469</v>
      </c>
      <c r="B1722" s="8" t="s">
        <v>444</v>
      </c>
      <c r="C1722" s="8" t="s">
        <v>80</v>
      </c>
      <c r="D1722" s="8" t="s">
        <v>6425</v>
      </c>
      <c r="E1722" s="8">
        <v>66.0</v>
      </c>
    </row>
    <row r="1723">
      <c r="A1723" s="8" t="s">
        <v>2113</v>
      </c>
      <c r="B1723" s="8" t="s">
        <v>360</v>
      </c>
      <c r="C1723" s="8" t="s">
        <v>59</v>
      </c>
      <c r="D1723" s="8" t="s">
        <v>6413</v>
      </c>
      <c r="E1723" s="8">
        <v>76.0</v>
      </c>
    </row>
    <row r="1724">
      <c r="A1724" s="8" t="s">
        <v>2113</v>
      </c>
      <c r="B1724" s="8" t="s">
        <v>1055</v>
      </c>
      <c r="C1724" s="8" t="s">
        <v>65</v>
      </c>
      <c r="D1724" s="8" t="s">
        <v>6425</v>
      </c>
      <c r="E1724" s="8">
        <v>63.0</v>
      </c>
    </row>
    <row r="1725">
      <c r="A1725" s="8" t="s">
        <v>375</v>
      </c>
      <c r="B1725" s="8" t="s">
        <v>374</v>
      </c>
      <c r="C1725" s="8" t="s">
        <v>186</v>
      </c>
      <c r="D1725" s="8" t="s">
        <v>6424</v>
      </c>
      <c r="E1725" s="8">
        <v>64.0</v>
      </c>
    </row>
    <row r="1726">
      <c r="A1726" s="8" t="s">
        <v>2685</v>
      </c>
      <c r="B1726" s="8" t="s">
        <v>2684</v>
      </c>
      <c r="C1726" s="8" t="s">
        <v>192</v>
      </c>
      <c r="D1726" s="8" t="s">
        <v>6425</v>
      </c>
      <c r="E1726" s="8">
        <v>66.0</v>
      </c>
    </row>
    <row r="1727">
      <c r="A1727" s="8" t="s">
        <v>317</v>
      </c>
      <c r="B1727" s="8" t="s">
        <v>460</v>
      </c>
      <c r="C1727" s="8" t="s">
        <v>192</v>
      </c>
      <c r="D1727" s="8" t="s">
        <v>6438</v>
      </c>
      <c r="E1727" s="8">
        <v>77.0</v>
      </c>
    </row>
    <row r="1728">
      <c r="A1728" s="8" t="s">
        <v>317</v>
      </c>
      <c r="B1728" s="8" t="s">
        <v>367</v>
      </c>
      <c r="C1728" s="8" t="s">
        <v>192</v>
      </c>
      <c r="D1728" s="8" t="s">
        <v>6436</v>
      </c>
      <c r="E1728" s="8">
        <v>65.0</v>
      </c>
    </row>
    <row r="1729">
      <c r="A1729" s="8" t="s">
        <v>317</v>
      </c>
      <c r="B1729" s="8" t="s">
        <v>1483</v>
      </c>
      <c r="C1729" s="8" t="s">
        <v>186</v>
      </c>
      <c r="D1729" s="8" t="s">
        <v>6428</v>
      </c>
      <c r="E1729" s="8">
        <v>76.0</v>
      </c>
    </row>
    <row r="1730">
      <c r="A1730" s="8" t="s">
        <v>317</v>
      </c>
      <c r="B1730" s="8" t="s">
        <v>1561</v>
      </c>
      <c r="C1730" s="8" t="s">
        <v>53</v>
      </c>
      <c r="D1730" s="8" t="s">
        <v>6443</v>
      </c>
      <c r="E1730" s="8">
        <v>67.0</v>
      </c>
    </row>
    <row r="1731">
      <c r="A1731" s="8" t="s">
        <v>317</v>
      </c>
      <c r="B1731" s="8" t="s">
        <v>2983</v>
      </c>
      <c r="C1731" s="8" t="s">
        <v>186</v>
      </c>
      <c r="D1731" s="8" t="s">
        <v>6423</v>
      </c>
      <c r="E1731" s="8">
        <v>65.0</v>
      </c>
    </row>
    <row r="1732">
      <c r="A1732" s="8" t="s">
        <v>317</v>
      </c>
      <c r="B1732" s="8" t="s">
        <v>316</v>
      </c>
      <c r="C1732" s="8" t="s">
        <v>46</v>
      </c>
      <c r="D1732" s="8" t="s">
        <v>6436</v>
      </c>
      <c r="E1732" s="8">
        <v>84.0</v>
      </c>
    </row>
    <row r="1733">
      <c r="A1733" s="8" t="s">
        <v>317</v>
      </c>
      <c r="B1733" s="8" t="s">
        <v>1631</v>
      </c>
      <c r="C1733" s="8" t="s">
        <v>16</v>
      </c>
      <c r="D1733" s="8" t="s">
        <v>6416</v>
      </c>
      <c r="E1733" s="8">
        <v>65.0</v>
      </c>
    </row>
    <row r="1734">
      <c r="A1734" s="8" t="s">
        <v>317</v>
      </c>
      <c r="B1734" s="8" t="s">
        <v>1330</v>
      </c>
      <c r="C1734" s="8" t="s">
        <v>65</v>
      </c>
      <c r="D1734" s="8" t="s">
        <v>6436</v>
      </c>
      <c r="E1734" s="8">
        <v>73.0</v>
      </c>
    </row>
    <row r="1735">
      <c r="A1735" s="8" t="s">
        <v>322</v>
      </c>
      <c r="B1735" s="8" t="s">
        <v>2983</v>
      </c>
      <c r="C1735" s="8" t="s">
        <v>65</v>
      </c>
      <c r="D1735" s="8" t="s">
        <v>6438</v>
      </c>
      <c r="E1735" s="8">
        <v>60.0</v>
      </c>
    </row>
    <row r="1736">
      <c r="A1736" s="8" t="s">
        <v>322</v>
      </c>
      <c r="B1736" s="8" t="s">
        <v>321</v>
      </c>
      <c r="C1736" s="8" t="s">
        <v>186</v>
      </c>
      <c r="D1736" s="8" t="s">
        <v>6418</v>
      </c>
      <c r="E1736" s="8">
        <v>71.0</v>
      </c>
    </row>
    <row r="1737">
      <c r="A1737" s="8" t="s">
        <v>2696</v>
      </c>
      <c r="B1737" s="8" t="s">
        <v>2695</v>
      </c>
      <c r="C1737" s="8" t="s">
        <v>186</v>
      </c>
      <c r="D1737" s="8" t="s">
        <v>6422</v>
      </c>
      <c r="E1737" s="8">
        <v>88.0</v>
      </c>
    </row>
    <row r="1738">
      <c r="A1738" s="8" t="s">
        <v>229</v>
      </c>
      <c r="B1738" s="8" t="s">
        <v>228</v>
      </c>
      <c r="C1738" s="8" t="s">
        <v>122</v>
      </c>
      <c r="D1738" s="8" t="s">
        <v>6415</v>
      </c>
      <c r="E1738" s="8">
        <v>93.0</v>
      </c>
    </row>
    <row r="1739">
      <c r="A1739" s="8" t="s">
        <v>1036</v>
      </c>
      <c r="B1739" s="8" t="s">
        <v>1035</v>
      </c>
      <c r="C1739" s="8" t="s">
        <v>65</v>
      </c>
      <c r="D1739" s="8" t="s">
        <v>6413</v>
      </c>
      <c r="E1739" s="8">
        <v>57.0</v>
      </c>
    </row>
    <row r="1740">
      <c r="A1740" s="8" t="s">
        <v>607</v>
      </c>
      <c r="B1740" s="8" t="s">
        <v>606</v>
      </c>
      <c r="C1740" s="8" t="s">
        <v>93</v>
      </c>
      <c r="D1740" s="8" t="s">
        <v>6438</v>
      </c>
      <c r="E1740" s="8">
        <v>68.0</v>
      </c>
    </row>
    <row r="1741">
      <c r="A1741" s="8" t="s">
        <v>3537</v>
      </c>
      <c r="B1741" s="8" t="s">
        <v>3536</v>
      </c>
      <c r="C1741" s="8" t="s">
        <v>53</v>
      </c>
      <c r="D1741" s="8" t="s">
        <v>6438</v>
      </c>
      <c r="E1741" s="8">
        <v>65.0</v>
      </c>
    </row>
    <row r="1742">
      <c r="A1742" s="8" t="s">
        <v>220</v>
      </c>
      <c r="B1742" s="8" t="s">
        <v>1073</v>
      </c>
      <c r="C1742" s="8" t="s">
        <v>65</v>
      </c>
      <c r="D1742" s="8" t="s">
        <v>6424</v>
      </c>
      <c r="E1742" s="8">
        <v>72.0</v>
      </c>
    </row>
    <row r="1743">
      <c r="A1743" s="8" t="s">
        <v>1197</v>
      </c>
      <c r="B1743" s="8" t="s">
        <v>1196</v>
      </c>
      <c r="C1743" s="8" t="s">
        <v>59</v>
      </c>
      <c r="D1743" s="8" t="s">
        <v>6415</v>
      </c>
      <c r="E1743" s="8">
        <v>66.0</v>
      </c>
    </row>
    <row r="1744">
      <c r="A1744" s="8" t="s">
        <v>742</v>
      </c>
      <c r="B1744" s="8" t="s">
        <v>741</v>
      </c>
      <c r="C1744" s="8" t="s">
        <v>93</v>
      </c>
      <c r="D1744" s="8" t="s">
        <v>6420</v>
      </c>
      <c r="E1744" s="8">
        <v>70.0</v>
      </c>
    </row>
    <row r="1745">
      <c r="A1745" s="8" t="s">
        <v>3285</v>
      </c>
      <c r="B1745" s="8" t="s">
        <v>2150</v>
      </c>
      <c r="C1745" s="8" t="s">
        <v>24</v>
      </c>
      <c r="D1745" s="8" t="s">
        <v>6413</v>
      </c>
      <c r="E1745" s="8">
        <v>71.0</v>
      </c>
    </row>
    <row r="1746">
      <c r="A1746" s="8" t="s">
        <v>231</v>
      </c>
      <c r="B1746" s="8" t="s">
        <v>3548</v>
      </c>
      <c r="C1746" s="8" t="s">
        <v>149</v>
      </c>
      <c r="D1746" s="8" t="s">
        <v>6427</v>
      </c>
      <c r="E1746" s="8">
        <v>65.0</v>
      </c>
    </row>
    <row r="1747">
      <c r="A1747" s="8" t="s">
        <v>231</v>
      </c>
      <c r="B1747" s="8" t="s">
        <v>2681</v>
      </c>
      <c r="C1747" s="8" t="s">
        <v>186</v>
      </c>
      <c r="D1747" s="8" t="s">
        <v>6422</v>
      </c>
      <c r="E1747" s="8">
        <v>66.0</v>
      </c>
    </row>
    <row r="1748">
      <c r="A1748" s="8" t="s">
        <v>231</v>
      </c>
      <c r="B1748" s="8" t="s">
        <v>1097</v>
      </c>
      <c r="C1748" s="8" t="s">
        <v>24</v>
      </c>
      <c r="D1748" s="8" t="s">
        <v>6435</v>
      </c>
      <c r="E1748" s="8">
        <v>76.0</v>
      </c>
    </row>
    <row r="1749">
      <c r="A1749" s="8" t="s">
        <v>231</v>
      </c>
      <c r="B1749" s="8" t="s">
        <v>674</v>
      </c>
      <c r="C1749" s="8" t="s">
        <v>186</v>
      </c>
      <c r="D1749" s="8" t="s">
        <v>6432</v>
      </c>
      <c r="E1749" s="8">
        <v>62.0</v>
      </c>
    </row>
    <row r="1750">
      <c r="A1750" s="8" t="s">
        <v>231</v>
      </c>
      <c r="B1750" s="8" t="s">
        <v>894</v>
      </c>
      <c r="C1750" s="8" t="s">
        <v>141</v>
      </c>
      <c r="D1750" s="8" t="s">
        <v>6429</v>
      </c>
      <c r="E1750" s="8">
        <v>60.0</v>
      </c>
    </row>
    <row r="1751">
      <c r="A1751" s="8" t="s">
        <v>231</v>
      </c>
      <c r="B1751" s="8" t="s">
        <v>3247</v>
      </c>
      <c r="C1751" s="8" t="s">
        <v>122</v>
      </c>
      <c r="D1751" s="8" t="s">
        <v>6418</v>
      </c>
      <c r="E1751" s="8">
        <v>79.0</v>
      </c>
    </row>
    <row r="1752">
      <c r="A1752" s="8" t="s">
        <v>231</v>
      </c>
      <c r="B1752" s="8" t="s">
        <v>3255</v>
      </c>
      <c r="C1752" s="8" t="s">
        <v>12</v>
      </c>
      <c r="D1752" s="8" t="s">
        <v>6440</v>
      </c>
      <c r="E1752" s="8">
        <v>79.0</v>
      </c>
    </row>
    <row r="1753">
      <c r="A1753" s="8" t="s">
        <v>231</v>
      </c>
      <c r="B1753" s="8" t="s">
        <v>528</v>
      </c>
      <c r="C1753" s="8" t="s">
        <v>138</v>
      </c>
      <c r="D1753" s="8" t="s">
        <v>6443</v>
      </c>
      <c r="E1753" s="8">
        <v>62.0</v>
      </c>
    </row>
    <row r="1754">
      <c r="A1754" s="8" t="s">
        <v>231</v>
      </c>
      <c r="B1754" s="8" t="s">
        <v>1223</v>
      </c>
      <c r="C1754" s="8" t="s">
        <v>186</v>
      </c>
      <c r="D1754" s="8" t="s">
        <v>6427</v>
      </c>
      <c r="E1754" s="8">
        <v>64.0</v>
      </c>
    </row>
    <row r="1755">
      <c r="A1755" s="8" t="s">
        <v>231</v>
      </c>
      <c r="B1755" s="8" t="s">
        <v>3737</v>
      </c>
      <c r="C1755" s="8" t="s">
        <v>141</v>
      </c>
      <c r="D1755" s="8" t="s">
        <v>6440</v>
      </c>
      <c r="E1755" s="8">
        <v>83.0</v>
      </c>
    </row>
    <row r="1756">
      <c r="A1756" s="8" t="s">
        <v>231</v>
      </c>
      <c r="B1756" s="8" t="s">
        <v>405</v>
      </c>
      <c r="C1756" s="8" t="s">
        <v>93</v>
      </c>
      <c r="D1756" s="8" t="s">
        <v>6413</v>
      </c>
      <c r="E1756" s="8">
        <v>62.0</v>
      </c>
    </row>
    <row r="1757">
      <c r="A1757" s="8" t="s">
        <v>231</v>
      </c>
      <c r="B1757" s="8" t="s">
        <v>396</v>
      </c>
      <c r="C1757" s="8" t="s">
        <v>141</v>
      </c>
      <c r="D1757" s="8" t="s">
        <v>6434</v>
      </c>
      <c r="E1757" s="8">
        <v>73.0</v>
      </c>
    </row>
    <row r="1758">
      <c r="A1758" s="8" t="s">
        <v>231</v>
      </c>
      <c r="B1758" s="8" t="s">
        <v>3379</v>
      </c>
      <c r="C1758" s="8" t="s">
        <v>12</v>
      </c>
      <c r="D1758" s="8" t="s">
        <v>6434</v>
      </c>
      <c r="E1758" s="8">
        <v>81.0</v>
      </c>
    </row>
    <row r="1759">
      <c r="A1759" s="8" t="s">
        <v>231</v>
      </c>
      <c r="B1759" s="8" t="s">
        <v>5641</v>
      </c>
      <c r="C1759" s="8" t="s">
        <v>24</v>
      </c>
      <c r="D1759" s="8" t="s">
        <v>6430</v>
      </c>
      <c r="E1759" s="8">
        <v>69.0</v>
      </c>
    </row>
    <row r="1760">
      <c r="A1760" s="8" t="s">
        <v>231</v>
      </c>
      <c r="B1760" s="8" t="s">
        <v>2992</v>
      </c>
      <c r="C1760" s="8" t="s">
        <v>59</v>
      </c>
      <c r="D1760" s="8" t="s">
        <v>6421</v>
      </c>
      <c r="E1760" s="8">
        <v>81.0</v>
      </c>
    </row>
    <row r="1761">
      <c r="A1761" s="8" t="s">
        <v>231</v>
      </c>
      <c r="B1761" s="8" t="s">
        <v>230</v>
      </c>
      <c r="C1761" s="8" t="s">
        <v>141</v>
      </c>
      <c r="D1761" s="8" t="s">
        <v>6416</v>
      </c>
      <c r="E1761" s="8">
        <v>54.0</v>
      </c>
    </row>
    <row r="1762">
      <c r="A1762" s="8" t="s">
        <v>231</v>
      </c>
      <c r="B1762" s="8" t="s">
        <v>1325</v>
      </c>
      <c r="C1762" s="8" t="s">
        <v>24</v>
      </c>
      <c r="D1762" s="8" t="s">
        <v>6433</v>
      </c>
      <c r="E1762" s="8">
        <v>70.0</v>
      </c>
    </row>
    <row r="1763">
      <c r="A1763" s="8" t="s">
        <v>231</v>
      </c>
      <c r="B1763" s="8" t="s">
        <v>1327</v>
      </c>
      <c r="C1763" s="8" t="s">
        <v>186</v>
      </c>
      <c r="D1763" s="8" t="s">
        <v>6417</v>
      </c>
      <c r="E1763" s="8">
        <v>65.0</v>
      </c>
    </row>
    <row r="1764">
      <c r="A1764" s="8" t="s">
        <v>231</v>
      </c>
      <c r="B1764" s="8" t="s">
        <v>78</v>
      </c>
      <c r="C1764" s="8" t="s">
        <v>65</v>
      </c>
      <c r="D1764" s="8" t="s">
        <v>6431</v>
      </c>
      <c r="E1764" s="8">
        <v>69.0</v>
      </c>
    </row>
    <row r="1765">
      <c r="A1765" s="8" t="s">
        <v>231</v>
      </c>
      <c r="B1765" s="8" t="s">
        <v>78</v>
      </c>
      <c r="C1765" s="8" t="s">
        <v>215</v>
      </c>
      <c r="D1765" s="8" t="s">
        <v>6437</v>
      </c>
      <c r="E1765" s="8">
        <v>68.0</v>
      </c>
    </row>
    <row r="1766">
      <c r="A1766" s="8" t="s">
        <v>1017</v>
      </c>
      <c r="B1766" s="8" t="s">
        <v>1016</v>
      </c>
      <c r="C1766" s="8" t="s">
        <v>93</v>
      </c>
      <c r="D1766" s="8" t="s">
        <v>6430</v>
      </c>
      <c r="E1766" s="8">
        <v>74.0</v>
      </c>
    </row>
    <row r="1767">
      <c r="A1767" s="8" t="s">
        <v>476</v>
      </c>
      <c r="B1767" s="8" t="s">
        <v>475</v>
      </c>
      <c r="C1767" s="8" t="s">
        <v>59</v>
      </c>
      <c r="D1767" s="8" t="s">
        <v>6424</v>
      </c>
      <c r="E1767" s="8">
        <v>76.0</v>
      </c>
    </row>
    <row r="1768">
      <c r="A1768" s="8" t="s">
        <v>3900</v>
      </c>
      <c r="B1768" s="8" t="s">
        <v>3899</v>
      </c>
      <c r="C1768" s="8" t="s">
        <v>261</v>
      </c>
      <c r="D1768" s="8" t="s">
        <v>6425</v>
      </c>
      <c r="E1768" s="8">
        <v>76.0</v>
      </c>
    </row>
    <row r="1769">
      <c r="A1769" s="8" t="s">
        <v>3706</v>
      </c>
      <c r="B1769" s="8" t="s">
        <v>3705</v>
      </c>
      <c r="C1769" s="8" t="s">
        <v>132</v>
      </c>
      <c r="D1769" s="8" t="s">
        <v>6416</v>
      </c>
      <c r="E1769" s="8">
        <v>61.0</v>
      </c>
    </row>
    <row r="1770">
      <c r="A1770" s="8" t="s">
        <v>2239</v>
      </c>
      <c r="B1770" s="8" t="s">
        <v>628</v>
      </c>
      <c r="C1770" s="8" t="s">
        <v>24</v>
      </c>
      <c r="D1770" s="8" t="s">
        <v>6416</v>
      </c>
      <c r="E1770" s="8">
        <v>73.0</v>
      </c>
    </row>
    <row r="1771">
      <c r="A1771" s="8" t="s">
        <v>1621</v>
      </c>
      <c r="B1771" s="8" t="s">
        <v>1034</v>
      </c>
      <c r="C1771" s="8" t="s">
        <v>138</v>
      </c>
      <c r="D1771" s="8" t="s">
        <v>6426</v>
      </c>
      <c r="E1771" s="8">
        <v>71.0</v>
      </c>
    </row>
    <row r="1772">
      <c r="A1772" s="8" t="s">
        <v>3197</v>
      </c>
      <c r="B1772" s="8" t="s">
        <v>3196</v>
      </c>
      <c r="C1772" s="8" t="s">
        <v>93</v>
      </c>
      <c r="D1772" s="8" t="s">
        <v>6424</v>
      </c>
      <c r="E1772" s="8">
        <v>76.0</v>
      </c>
    </row>
    <row r="1773">
      <c r="A1773" s="8" t="s">
        <v>2826</v>
      </c>
      <c r="B1773" s="8" t="s">
        <v>2825</v>
      </c>
      <c r="C1773" s="8" t="s">
        <v>138</v>
      </c>
      <c r="D1773" s="8" t="s">
        <v>6418</v>
      </c>
      <c r="E1773" s="8">
        <v>57.0</v>
      </c>
    </row>
    <row r="1774">
      <c r="A1774" s="8" t="s">
        <v>630</v>
      </c>
      <c r="B1774" s="8" t="s">
        <v>629</v>
      </c>
      <c r="C1774" s="8" t="s">
        <v>132</v>
      </c>
      <c r="D1774" s="8" t="s">
        <v>6434</v>
      </c>
      <c r="E1774" s="8">
        <v>68.0</v>
      </c>
    </row>
    <row r="1775">
      <c r="A1775" s="8" t="s">
        <v>1084</v>
      </c>
      <c r="B1775" s="8" t="s">
        <v>3547</v>
      </c>
      <c r="C1775" s="8" t="s">
        <v>65</v>
      </c>
      <c r="D1775" s="8" t="s">
        <v>6425</v>
      </c>
      <c r="E1775" s="8">
        <v>93.0</v>
      </c>
    </row>
    <row r="1776">
      <c r="A1776" s="8" t="s">
        <v>819</v>
      </c>
      <c r="B1776" s="8" t="s">
        <v>84</v>
      </c>
      <c r="C1776" s="8" t="s">
        <v>215</v>
      </c>
      <c r="D1776" s="8" t="s">
        <v>6425</v>
      </c>
      <c r="E1776" s="8">
        <v>91.0</v>
      </c>
    </row>
    <row r="1777">
      <c r="A1777" s="8" t="s">
        <v>123</v>
      </c>
      <c r="B1777" s="8" t="s">
        <v>668</v>
      </c>
      <c r="C1777" s="8" t="s">
        <v>122</v>
      </c>
      <c r="D1777" s="8" t="s">
        <v>6419</v>
      </c>
      <c r="E1777" s="8">
        <v>59.0</v>
      </c>
    </row>
    <row r="1778">
      <c r="A1778" s="8" t="s">
        <v>2062</v>
      </c>
      <c r="B1778" s="8" t="s">
        <v>1796</v>
      </c>
      <c r="C1778" s="8" t="s">
        <v>75</v>
      </c>
      <c r="D1778" s="8" t="s">
        <v>6432</v>
      </c>
      <c r="E1778" s="8">
        <v>72.0</v>
      </c>
    </row>
    <row r="1779">
      <c r="A1779" s="8" t="s">
        <v>2062</v>
      </c>
      <c r="B1779" s="8" t="s">
        <v>3032</v>
      </c>
      <c r="C1779" s="8" t="s">
        <v>93</v>
      </c>
      <c r="D1779" s="8" t="s">
        <v>6442</v>
      </c>
      <c r="E1779" s="8">
        <v>87.0</v>
      </c>
    </row>
    <row r="1780">
      <c r="A1780" s="8" t="s">
        <v>2758</v>
      </c>
      <c r="B1780" s="8" t="s">
        <v>2757</v>
      </c>
      <c r="C1780" s="8" t="s">
        <v>70</v>
      </c>
      <c r="D1780" s="8" t="s">
        <v>6425</v>
      </c>
      <c r="E1780" s="8">
        <v>73.0</v>
      </c>
    </row>
    <row r="1781">
      <c r="A1781" s="8" t="s">
        <v>2974</v>
      </c>
      <c r="B1781" s="8" t="s">
        <v>2973</v>
      </c>
      <c r="C1781" s="8" t="s">
        <v>215</v>
      </c>
      <c r="D1781" s="8" t="s">
        <v>6425</v>
      </c>
      <c r="E1781" s="8">
        <v>65.0</v>
      </c>
    </row>
    <row r="1782">
      <c r="A1782" s="8" t="s">
        <v>6445</v>
      </c>
      <c r="B1782" s="8" t="s">
        <v>2081</v>
      </c>
      <c r="C1782" s="8" t="s">
        <v>59</v>
      </c>
      <c r="D1782" s="8" t="s">
        <v>6417</v>
      </c>
      <c r="E1782" s="8">
        <v>71.0</v>
      </c>
    </row>
    <row r="1783">
      <c r="A1783" s="8" t="s">
        <v>6445</v>
      </c>
      <c r="B1783" s="8" t="s">
        <v>78</v>
      </c>
      <c r="C1783" s="8" t="s">
        <v>93</v>
      </c>
      <c r="D1783" s="8" t="s">
        <v>6418</v>
      </c>
      <c r="E1783" s="8">
        <v>70.0</v>
      </c>
    </row>
    <row r="1784">
      <c r="A1784" s="8" t="s">
        <v>1276</v>
      </c>
      <c r="B1784" s="8" t="s">
        <v>2777</v>
      </c>
      <c r="C1784" s="8" t="s">
        <v>75</v>
      </c>
      <c r="D1784" s="8" t="s">
        <v>6437</v>
      </c>
      <c r="E1784" s="8">
        <v>66.0</v>
      </c>
    </row>
    <row r="1785">
      <c r="A1785" s="8" t="s">
        <v>771</v>
      </c>
      <c r="B1785" s="8" t="s">
        <v>3753</v>
      </c>
      <c r="C1785" s="8" t="s">
        <v>38</v>
      </c>
      <c r="D1785" s="8" t="s">
        <v>6428</v>
      </c>
      <c r="E1785" s="8">
        <v>86.0</v>
      </c>
    </row>
    <row r="1786">
      <c r="A1786" s="8" t="s">
        <v>771</v>
      </c>
      <c r="B1786" s="8" t="s">
        <v>5676</v>
      </c>
      <c r="C1786" s="8" t="s">
        <v>38</v>
      </c>
      <c r="D1786" s="8" t="s">
        <v>6427</v>
      </c>
      <c r="E1786" s="8">
        <v>80.0</v>
      </c>
    </row>
    <row r="1787">
      <c r="A1787" s="8" t="s">
        <v>771</v>
      </c>
      <c r="B1787" s="8" t="s">
        <v>1619</v>
      </c>
      <c r="C1787" s="8" t="s">
        <v>122</v>
      </c>
      <c r="D1787" s="8" t="s">
        <v>6417</v>
      </c>
      <c r="E1787" s="8">
        <v>72.0</v>
      </c>
    </row>
    <row r="1788">
      <c r="A1788" s="8" t="s">
        <v>194</v>
      </c>
      <c r="B1788" s="8" t="s">
        <v>193</v>
      </c>
      <c r="C1788" s="8" t="s">
        <v>192</v>
      </c>
      <c r="D1788" s="8" t="s">
        <v>6436</v>
      </c>
      <c r="E1788" s="8">
        <v>86.0</v>
      </c>
    </row>
    <row r="1789">
      <c r="A1789" s="8" t="s">
        <v>194</v>
      </c>
      <c r="B1789" s="8" t="s">
        <v>364</v>
      </c>
      <c r="C1789" s="8" t="s">
        <v>261</v>
      </c>
      <c r="D1789" s="8" t="s">
        <v>6431</v>
      </c>
      <c r="E1789" s="8">
        <v>91.0</v>
      </c>
    </row>
    <row r="1790">
      <c r="A1790" s="8" t="s">
        <v>194</v>
      </c>
      <c r="B1790" s="8" t="s">
        <v>94</v>
      </c>
      <c r="C1790" s="8" t="s">
        <v>141</v>
      </c>
      <c r="D1790" s="8" t="s">
        <v>6433</v>
      </c>
      <c r="E1790" s="8">
        <v>70.0</v>
      </c>
    </row>
    <row r="1791">
      <c r="A1791" s="8" t="s">
        <v>194</v>
      </c>
      <c r="B1791" s="8" t="s">
        <v>767</v>
      </c>
      <c r="C1791" s="8" t="s">
        <v>12</v>
      </c>
      <c r="D1791" s="8" t="s">
        <v>6443</v>
      </c>
      <c r="E1791" s="8">
        <v>72.0</v>
      </c>
    </row>
    <row r="1792">
      <c r="A1792" s="8" t="s">
        <v>194</v>
      </c>
      <c r="B1792" s="8" t="s">
        <v>2976</v>
      </c>
      <c r="C1792" s="8" t="s">
        <v>132</v>
      </c>
      <c r="D1792" s="8" t="s">
        <v>6413</v>
      </c>
      <c r="E1792" s="8">
        <v>74.0</v>
      </c>
    </row>
    <row r="1793">
      <c r="A1793" s="8" t="s">
        <v>194</v>
      </c>
      <c r="B1793" s="8" t="s">
        <v>126</v>
      </c>
      <c r="C1793" s="8" t="s">
        <v>93</v>
      </c>
      <c r="D1793" s="8" t="s">
        <v>6419</v>
      </c>
      <c r="E1793" s="8">
        <v>91.0</v>
      </c>
    </row>
    <row r="1794">
      <c r="A1794" s="8" t="s">
        <v>194</v>
      </c>
      <c r="B1794" s="8" t="s">
        <v>308</v>
      </c>
      <c r="C1794" s="8" t="s">
        <v>93</v>
      </c>
      <c r="D1794" s="8" t="s">
        <v>6428</v>
      </c>
      <c r="E1794" s="8">
        <v>78.0</v>
      </c>
    </row>
    <row r="1795">
      <c r="A1795" s="8" t="s">
        <v>194</v>
      </c>
      <c r="B1795" s="8" t="s">
        <v>311</v>
      </c>
      <c r="C1795" s="8" t="s">
        <v>24</v>
      </c>
      <c r="D1795" s="8" t="s">
        <v>6427</v>
      </c>
      <c r="E1795" s="8">
        <v>40.0</v>
      </c>
    </row>
    <row r="1796">
      <c r="A1796" s="8" t="s">
        <v>628</v>
      </c>
      <c r="B1796" s="8" t="s">
        <v>3710</v>
      </c>
      <c r="C1796" s="8" t="s">
        <v>59</v>
      </c>
      <c r="D1796" s="8" t="s">
        <v>6443</v>
      </c>
      <c r="E1796" s="8">
        <v>85.0</v>
      </c>
    </row>
    <row r="1797">
      <c r="A1797" s="8" t="s">
        <v>628</v>
      </c>
      <c r="B1797" s="8" t="s">
        <v>3713</v>
      </c>
      <c r="C1797" s="8" t="s">
        <v>261</v>
      </c>
      <c r="D1797" s="8" t="s">
        <v>6427</v>
      </c>
      <c r="E1797" s="8">
        <v>66.0</v>
      </c>
    </row>
    <row r="1798">
      <c r="A1798" s="8" t="s">
        <v>628</v>
      </c>
      <c r="B1798" s="8" t="s">
        <v>3363</v>
      </c>
      <c r="C1798" s="8" t="s">
        <v>65</v>
      </c>
      <c r="D1798" s="8" t="s">
        <v>6414</v>
      </c>
      <c r="E1798" s="8">
        <v>62.0</v>
      </c>
    </row>
    <row r="1799">
      <c r="A1799" s="8" t="s">
        <v>628</v>
      </c>
      <c r="B1799" s="8" t="s">
        <v>1282</v>
      </c>
      <c r="C1799" s="8" t="s">
        <v>70</v>
      </c>
      <c r="D1799" s="8" t="s">
        <v>6425</v>
      </c>
      <c r="E1799" s="8">
        <v>72.0</v>
      </c>
    </row>
    <row r="1800">
      <c r="A1800" s="8" t="s">
        <v>628</v>
      </c>
      <c r="B1800" s="8" t="s">
        <v>3398</v>
      </c>
      <c r="C1800" s="8" t="s">
        <v>186</v>
      </c>
      <c r="D1800" s="8" t="s">
        <v>6413</v>
      </c>
      <c r="E1800" s="8">
        <v>78.0</v>
      </c>
    </row>
    <row r="1801">
      <c r="A1801" s="8" t="s">
        <v>628</v>
      </c>
      <c r="B1801" s="8" t="s">
        <v>786</v>
      </c>
      <c r="C1801" s="8" t="s">
        <v>65</v>
      </c>
      <c r="D1801" s="8" t="s">
        <v>6433</v>
      </c>
      <c r="E1801" s="8">
        <v>71.0</v>
      </c>
    </row>
    <row r="1802">
      <c r="A1802" s="8" t="s">
        <v>628</v>
      </c>
      <c r="B1802" s="8" t="s">
        <v>3850</v>
      </c>
      <c r="C1802" s="8" t="s">
        <v>122</v>
      </c>
      <c r="D1802" s="8" t="s">
        <v>6441</v>
      </c>
      <c r="E1802" s="8">
        <v>80.0</v>
      </c>
    </row>
    <row r="1803">
      <c r="A1803" s="8" t="s">
        <v>628</v>
      </c>
      <c r="B1803" s="8" t="s">
        <v>627</v>
      </c>
      <c r="C1803" s="8" t="s">
        <v>186</v>
      </c>
      <c r="D1803" s="8" t="s">
        <v>6431</v>
      </c>
      <c r="E1803" s="8">
        <v>74.0</v>
      </c>
    </row>
    <row r="1804">
      <c r="A1804" s="8" t="s">
        <v>1522</v>
      </c>
      <c r="B1804" s="8" t="s">
        <v>1237</v>
      </c>
      <c r="C1804" s="8" t="s">
        <v>16</v>
      </c>
      <c r="D1804" s="8" t="s">
        <v>6412</v>
      </c>
      <c r="E1804" s="8">
        <v>74.0</v>
      </c>
    </row>
    <row r="1805">
      <c r="A1805" s="8" t="s">
        <v>401</v>
      </c>
      <c r="B1805" s="8" t="s">
        <v>400</v>
      </c>
      <c r="C1805" s="8" t="s">
        <v>53</v>
      </c>
      <c r="D1805" s="8" t="s">
        <v>6427</v>
      </c>
      <c r="E1805" s="8">
        <v>92.0</v>
      </c>
    </row>
    <row r="1806">
      <c r="A1806" s="8" t="s">
        <v>3599</v>
      </c>
      <c r="B1806" s="8" t="s">
        <v>145</v>
      </c>
      <c r="C1806" s="8" t="s">
        <v>93</v>
      </c>
      <c r="D1806" s="8" t="s">
        <v>6423</v>
      </c>
      <c r="E1806" s="8">
        <v>78.0</v>
      </c>
    </row>
    <row r="1807">
      <c r="A1807" s="8" t="s">
        <v>2992</v>
      </c>
      <c r="B1807" s="8" t="s">
        <v>3819</v>
      </c>
      <c r="C1807" s="8" t="s">
        <v>186</v>
      </c>
      <c r="D1807" s="8" t="s">
        <v>6416</v>
      </c>
      <c r="E1807" s="8">
        <v>74.0</v>
      </c>
    </row>
    <row r="1808">
      <c r="A1808" s="8" t="s">
        <v>1368</v>
      </c>
      <c r="B1808" s="8" t="s">
        <v>1367</v>
      </c>
      <c r="C1808" s="8" t="s">
        <v>70</v>
      </c>
      <c r="D1808" s="8" t="s">
        <v>6426</v>
      </c>
      <c r="E1808" s="8">
        <v>62.0</v>
      </c>
    </row>
    <row r="1809">
      <c r="A1809" s="8" t="s">
        <v>1368</v>
      </c>
      <c r="B1809" s="8" t="s">
        <v>444</v>
      </c>
      <c r="C1809" s="8" t="s">
        <v>80</v>
      </c>
      <c r="D1809" s="8" t="s">
        <v>6413</v>
      </c>
      <c r="E1809" s="8">
        <v>62.0</v>
      </c>
    </row>
    <row r="1810">
      <c r="A1810" s="8" t="s">
        <v>1746</v>
      </c>
      <c r="B1810" s="8" t="s">
        <v>500</v>
      </c>
      <c r="C1810" s="8" t="s">
        <v>65</v>
      </c>
      <c r="D1810" s="8" t="s">
        <v>6414</v>
      </c>
      <c r="E1810" s="8">
        <v>63.0</v>
      </c>
    </row>
    <row r="1811">
      <c r="A1811" s="8" t="s">
        <v>2124</v>
      </c>
      <c r="B1811" s="8" t="s">
        <v>2081</v>
      </c>
      <c r="C1811" s="8" t="s">
        <v>12</v>
      </c>
      <c r="D1811" s="8" t="s">
        <v>6422</v>
      </c>
      <c r="E1811" s="8">
        <v>80.0</v>
      </c>
    </row>
    <row r="1812">
      <c r="A1812" s="8" t="s">
        <v>48</v>
      </c>
      <c r="B1812" s="8" t="s">
        <v>47</v>
      </c>
      <c r="C1812" s="8" t="s">
        <v>16</v>
      </c>
      <c r="D1812" s="8" t="s">
        <v>6432</v>
      </c>
      <c r="E1812" s="8">
        <v>84.0</v>
      </c>
    </row>
    <row r="1813">
      <c r="A1813" s="8" t="s">
        <v>48</v>
      </c>
      <c r="B1813" s="8" t="s">
        <v>1663</v>
      </c>
      <c r="C1813" s="8" t="s">
        <v>59</v>
      </c>
      <c r="D1813" s="8" t="s">
        <v>6431</v>
      </c>
      <c r="E1813" s="8">
        <v>74.0</v>
      </c>
    </row>
    <row r="1814">
      <c r="A1814" s="8" t="s">
        <v>690</v>
      </c>
      <c r="B1814" s="8" t="s">
        <v>1155</v>
      </c>
      <c r="C1814" s="8" t="s">
        <v>65</v>
      </c>
      <c r="D1814" s="8" t="s">
        <v>6428</v>
      </c>
      <c r="E1814" s="8">
        <v>72.0</v>
      </c>
    </row>
    <row r="1815">
      <c r="A1815" s="8" t="s">
        <v>690</v>
      </c>
      <c r="B1815" s="8" t="s">
        <v>689</v>
      </c>
      <c r="C1815" s="8" t="s">
        <v>93</v>
      </c>
      <c r="D1815" s="8" t="s">
        <v>6437</v>
      </c>
      <c r="E1815" s="8">
        <v>75.0</v>
      </c>
    </row>
    <row r="1816">
      <c r="A1816" s="8" t="s">
        <v>690</v>
      </c>
      <c r="B1816" s="8" t="s">
        <v>3081</v>
      </c>
      <c r="C1816" s="8" t="s">
        <v>24</v>
      </c>
      <c r="D1816" s="8" t="s">
        <v>6423</v>
      </c>
      <c r="E1816" s="8">
        <v>72.0</v>
      </c>
    </row>
    <row r="1817">
      <c r="A1817" s="8" t="s">
        <v>690</v>
      </c>
      <c r="B1817" s="8" t="s">
        <v>62</v>
      </c>
      <c r="C1817" s="8" t="s">
        <v>192</v>
      </c>
      <c r="D1817" s="8" t="s">
        <v>6430</v>
      </c>
      <c r="E1817" s="8">
        <v>68.0</v>
      </c>
    </row>
    <row r="1818">
      <c r="A1818" s="8" t="s">
        <v>3186</v>
      </c>
      <c r="B1818" s="8" t="s">
        <v>106</v>
      </c>
      <c r="C1818" s="8" t="s">
        <v>65</v>
      </c>
      <c r="D1818" s="8" t="s">
        <v>6441</v>
      </c>
      <c r="E1818" s="8">
        <v>76.0</v>
      </c>
    </row>
    <row r="1819">
      <c r="A1819" s="8" t="s">
        <v>668</v>
      </c>
      <c r="B1819" s="8" t="s">
        <v>667</v>
      </c>
      <c r="C1819" s="8" t="s">
        <v>93</v>
      </c>
      <c r="D1819" s="8" t="s">
        <v>6443</v>
      </c>
      <c r="E1819" s="8">
        <v>69.0</v>
      </c>
    </row>
    <row r="1820">
      <c r="A1820" s="8" t="s">
        <v>668</v>
      </c>
      <c r="B1820" s="8" t="s">
        <v>2802</v>
      </c>
      <c r="C1820" s="8" t="s">
        <v>65</v>
      </c>
      <c r="D1820" s="8" t="s">
        <v>6416</v>
      </c>
      <c r="E1820" s="8">
        <v>81.0</v>
      </c>
    </row>
    <row r="1821">
      <c r="A1821" s="8" t="s">
        <v>1107</v>
      </c>
      <c r="B1821" s="8" t="s">
        <v>106</v>
      </c>
      <c r="C1821" s="8" t="s">
        <v>186</v>
      </c>
      <c r="D1821" s="8" t="s">
        <v>6430</v>
      </c>
      <c r="E1821" s="8">
        <v>73.0</v>
      </c>
    </row>
    <row r="1822">
      <c r="A1822" s="8" t="s">
        <v>1107</v>
      </c>
      <c r="B1822" s="8" t="s">
        <v>99</v>
      </c>
      <c r="C1822" s="8" t="s">
        <v>59</v>
      </c>
      <c r="D1822" s="8" t="s">
        <v>6416</v>
      </c>
      <c r="E1822" s="8">
        <v>77.0</v>
      </c>
    </row>
    <row r="1823">
      <c r="A1823" s="8" t="s">
        <v>340</v>
      </c>
      <c r="B1823" s="8" t="s">
        <v>339</v>
      </c>
      <c r="C1823" s="8" t="s">
        <v>93</v>
      </c>
      <c r="D1823" s="8" t="s">
        <v>6413</v>
      </c>
      <c r="E1823" s="8">
        <v>83.0</v>
      </c>
    </row>
    <row r="1824">
      <c r="A1824" s="8" t="s">
        <v>340</v>
      </c>
      <c r="B1824" s="8" t="s">
        <v>3313</v>
      </c>
      <c r="C1824" s="8" t="s">
        <v>93</v>
      </c>
      <c r="D1824" s="8" t="s">
        <v>6422</v>
      </c>
      <c r="E1824" s="8">
        <v>63.0</v>
      </c>
    </row>
    <row r="1825">
      <c r="A1825" s="8" t="s">
        <v>2700</v>
      </c>
      <c r="B1825" s="8" t="s">
        <v>858</v>
      </c>
      <c r="C1825" s="8" t="s">
        <v>65</v>
      </c>
      <c r="D1825" s="8" t="s">
        <v>6428</v>
      </c>
      <c r="E1825" s="8">
        <v>64.0</v>
      </c>
    </row>
    <row r="1826">
      <c r="A1826" s="8" t="s">
        <v>1148</v>
      </c>
      <c r="B1826" s="8" t="s">
        <v>1147</v>
      </c>
      <c r="C1826" s="8" t="s">
        <v>93</v>
      </c>
      <c r="D1826" s="8" t="s">
        <v>6420</v>
      </c>
      <c r="E1826" s="8">
        <v>74.0</v>
      </c>
    </row>
    <row r="1827">
      <c r="A1827" s="8" t="s">
        <v>1576</v>
      </c>
      <c r="B1827" s="8" t="s">
        <v>3268</v>
      </c>
      <c r="C1827" s="8" t="s">
        <v>59</v>
      </c>
      <c r="D1827" s="8" t="s">
        <v>6424</v>
      </c>
      <c r="E1827" s="8">
        <v>57.0</v>
      </c>
    </row>
    <row r="1828">
      <c r="A1828" s="8" t="s">
        <v>900</v>
      </c>
      <c r="B1828" s="8" t="s">
        <v>899</v>
      </c>
      <c r="C1828" s="8" t="s">
        <v>65</v>
      </c>
      <c r="D1828" s="8" t="s">
        <v>6440</v>
      </c>
      <c r="E1828" s="8">
        <v>63.0</v>
      </c>
    </row>
    <row r="1829">
      <c r="A1829" s="8" t="s">
        <v>3026</v>
      </c>
      <c r="B1829" s="8" t="s">
        <v>3025</v>
      </c>
      <c r="C1829" s="8" t="s">
        <v>93</v>
      </c>
      <c r="D1829" s="8" t="s">
        <v>6421</v>
      </c>
      <c r="E1829" s="8">
        <v>72.0</v>
      </c>
    </row>
    <row r="1830">
      <c r="A1830" s="8" t="s">
        <v>3226</v>
      </c>
      <c r="B1830" s="8" t="s">
        <v>3225</v>
      </c>
      <c r="C1830" s="8" t="s">
        <v>192</v>
      </c>
      <c r="D1830" s="8" t="s">
        <v>6434</v>
      </c>
      <c r="E1830" s="8">
        <v>75.0</v>
      </c>
    </row>
    <row r="1831">
      <c r="A1831" s="8" t="s">
        <v>804</v>
      </c>
      <c r="B1831" s="8" t="s">
        <v>3596</v>
      </c>
      <c r="C1831" s="8" t="s">
        <v>138</v>
      </c>
      <c r="D1831" s="8" t="s">
        <v>6414</v>
      </c>
      <c r="E1831" s="8">
        <v>76.0</v>
      </c>
    </row>
    <row r="1832">
      <c r="A1832" s="8" t="s">
        <v>804</v>
      </c>
      <c r="B1832" s="8" t="s">
        <v>3227</v>
      </c>
      <c r="C1832" s="8" t="s">
        <v>215</v>
      </c>
      <c r="D1832" s="8" t="s">
        <v>6422</v>
      </c>
      <c r="E1832" s="8">
        <v>70.0</v>
      </c>
    </row>
    <row r="1833">
      <c r="A1833" s="8" t="s">
        <v>804</v>
      </c>
      <c r="B1833" s="8" t="s">
        <v>890</v>
      </c>
      <c r="C1833" s="8" t="s">
        <v>93</v>
      </c>
      <c r="D1833" s="8" t="s">
        <v>6416</v>
      </c>
      <c r="E1833" s="8">
        <v>72.0</v>
      </c>
    </row>
    <row r="1834">
      <c r="A1834" s="8" t="s">
        <v>804</v>
      </c>
      <c r="B1834" s="8" t="s">
        <v>946</v>
      </c>
      <c r="C1834" s="8" t="s">
        <v>122</v>
      </c>
      <c r="D1834" s="8" t="s">
        <v>6433</v>
      </c>
      <c r="E1834" s="8">
        <v>65.0</v>
      </c>
    </row>
    <row r="1835">
      <c r="A1835" s="8" t="s">
        <v>804</v>
      </c>
      <c r="B1835" s="8" t="s">
        <v>1565</v>
      </c>
      <c r="C1835" s="8" t="s">
        <v>65</v>
      </c>
      <c r="D1835" s="8" t="s">
        <v>6422</v>
      </c>
      <c r="E1835" s="8">
        <v>70.0</v>
      </c>
    </row>
    <row r="1836">
      <c r="A1836" s="8" t="s">
        <v>804</v>
      </c>
      <c r="B1836" s="8" t="s">
        <v>3830</v>
      </c>
      <c r="C1836" s="8" t="s">
        <v>141</v>
      </c>
      <c r="D1836" s="8" t="s">
        <v>6439</v>
      </c>
      <c r="E1836" s="8">
        <v>59.0</v>
      </c>
    </row>
    <row r="1837">
      <c r="A1837" s="8" t="s">
        <v>804</v>
      </c>
      <c r="B1837" s="8" t="s">
        <v>803</v>
      </c>
      <c r="C1837" s="8" t="s">
        <v>75</v>
      </c>
      <c r="D1837" s="8" t="s">
        <v>6423</v>
      </c>
      <c r="E1837" s="8">
        <v>68.0</v>
      </c>
    </row>
    <row r="1838">
      <c r="A1838" s="8" t="s">
        <v>5772</v>
      </c>
      <c r="B1838" s="8" t="s">
        <v>525</v>
      </c>
      <c r="C1838" s="8" t="s">
        <v>215</v>
      </c>
      <c r="D1838" s="8" t="s">
        <v>6431</v>
      </c>
      <c r="E1838" s="8">
        <v>74.0</v>
      </c>
    </row>
    <row r="1839">
      <c r="A1839" s="8" t="s">
        <v>191</v>
      </c>
      <c r="B1839" s="8" t="s">
        <v>190</v>
      </c>
      <c r="C1839" s="8" t="s">
        <v>80</v>
      </c>
      <c r="D1839" s="8" t="s">
        <v>6420</v>
      </c>
      <c r="E1839" s="8">
        <v>77.0</v>
      </c>
    </row>
    <row r="1840">
      <c r="A1840" s="8" t="s">
        <v>988</v>
      </c>
      <c r="B1840" s="8" t="s">
        <v>987</v>
      </c>
      <c r="C1840" s="8" t="s">
        <v>70</v>
      </c>
      <c r="D1840" s="8" t="s">
        <v>6443</v>
      </c>
      <c r="E1840" s="8">
        <v>67.0</v>
      </c>
    </row>
    <row r="1841">
      <c r="A1841" s="8" t="s">
        <v>3775</v>
      </c>
      <c r="B1841" s="8" t="s">
        <v>3774</v>
      </c>
      <c r="C1841" s="8" t="s">
        <v>80</v>
      </c>
      <c r="D1841" s="8" t="s">
        <v>6443</v>
      </c>
      <c r="E1841" s="8">
        <v>79.0</v>
      </c>
    </row>
    <row r="1842">
      <c r="A1842" s="8" t="s">
        <v>1272</v>
      </c>
      <c r="B1842" s="8" t="s">
        <v>1271</v>
      </c>
      <c r="C1842" s="8" t="s">
        <v>138</v>
      </c>
      <c r="D1842" s="8" t="s">
        <v>6437</v>
      </c>
      <c r="E1842" s="8">
        <v>60.0</v>
      </c>
    </row>
    <row r="1843">
      <c r="A1843" s="8" t="s">
        <v>1065</v>
      </c>
      <c r="B1843" s="8" t="s">
        <v>451</v>
      </c>
      <c r="C1843" s="8" t="s">
        <v>186</v>
      </c>
      <c r="D1843" s="8" t="s">
        <v>6437</v>
      </c>
      <c r="E1843" s="8">
        <v>65.0</v>
      </c>
    </row>
    <row r="1844">
      <c r="A1844" s="8" t="s">
        <v>155</v>
      </c>
      <c r="B1844" s="8" t="s">
        <v>154</v>
      </c>
      <c r="C1844" s="8" t="s">
        <v>75</v>
      </c>
      <c r="D1844" s="8" t="s">
        <v>6439</v>
      </c>
      <c r="E1844" s="8">
        <v>82.0</v>
      </c>
    </row>
    <row r="1845">
      <c r="A1845" s="8" t="s">
        <v>155</v>
      </c>
      <c r="B1845" s="8" t="s">
        <v>2853</v>
      </c>
      <c r="C1845" s="8" t="s">
        <v>186</v>
      </c>
      <c r="D1845" s="8" t="s">
        <v>6436</v>
      </c>
      <c r="E1845" s="8">
        <v>68.0</v>
      </c>
    </row>
    <row r="1846">
      <c r="A1846" s="8" t="s">
        <v>497</v>
      </c>
      <c r="B1846" s="8" t="s">
        <v>496</v>
      </c>
      <c r="C1846" s="8" t="s">
        <v>65</v>
      </c>
      <c r="D1846" s="8" t="s">
        <v>6421</v>
      </c>
      <c r="E1846" s="8">
        <v>86.0</v>
      </c>
    </row>
    <row r="1847">
      <c r="A1847" s="8" t="s">
        <v>497</v>
      </c>
      <c r="B1847" s="8" t="s">
        <v>1164</v>
      </c>
      <c r="C1847" s="8" t="s">
        <v>93</v>
      </c>
      <c r="D1847" s="8" t="s">
        <v>6424</v>
      </c>
      <c r="E1847" s="8">
        <v>68.0</v>
      </c>
    </row>
    <row r="1848">
      <c r="A1848" s="8" t="s">
        <v>497</v>
      </c>
      <c r="B1848" s="8" t="s">
        <v>3464</v>
      </c>
      <c r="C1848" s="8" t="s">
        <v>24</v>
      </c>
      <c r="D1848" s="8" t="s">
        <v>6443</v>
      </c>
      <c r="E1848" s="8">
        <v>66.0</v>
      </c>
    </row>
    <row r="1849">
      <c r="A1849" s="8" t="s">
        <v>3700</v>
      </c>
      <c r="B1849" s="8" t="s">
        <v>389</v>
      </c>
      <c r="C1849" s="8" t="s">
        <v>53</v>
      </c>
      <c r="D1849" s="8" t="s">
        <v>6430</v>
      </c>
      <c r="E1849" s="8">
        <v>67.0</v>
      </c>
    </row>
    <row r="1850">
      <c r="A1850" s="8" t="s">
        <v>483</v>
      </c>
      <c r="B1850" s="8" t="s">
        <v>1177</v>
      </c>
      <c r="C1850" s="8" t="s">
        <v>215</v>
      </c>
      <c r="D1850" s="8" t="s">
        <v>6442</v>
      </c>
      <c r="E1850" s="8">
        <v>75.0</v>
      </c>
    </row>
    <row r="1851">
      <c r="A1851" s="8" t="s">
        <v>3292</v>
      </c>
      <c r="B1851" s="8" t="s">
        <v>1183</v>
      </c>
      <c r="C1851" s="8" t="s">
        <v>65</v>
      </c>
      <c r="D1851" s="8" t="s">
        <v>6443</v>
      </c>
      <c r="E1851" s="8">
        <v>62.0</v>
      </c>
    </row>
    <row r="1852">
      <c r="A1852" s="8" t="s">
        <v>585</v>
      </c>
      <c r="B1852" s="8" t="s">
        <v>385</v>
      </c>
      <c r="C1852" s="8" t="s">
        <v>93</v>
      </c>
      <c r="D1852" s="8" t="s">
        <v>6415</v>
      </c>
      <c r="E1852" s="8">
        <v>69.0</v>
      </c>
    </row>
    <row r="1853">
      <c r="A1853" s="8" t="s">
        <v>598</v>
      </c>
      <c r="B1853" s="8" t="s">
        <v>1818</v>
      </c>
      <c r="C1853" s="8" t="s">
        <v>65</v>
      </c>
      <c r="D1853" s="8" t="s">
        <v>6413</v>
      </c>
      <c r="E1853" s="8">
        <v>70.0</v>
      </c>
    </row>
    <row r="1854">
      <c r="A1854" s="8" t="s">
        <v>598</v>
      </c>
      <c r="B1854" s="8" t="s">
        <v>950</v>
      </c>
      <c r="C1854" s="8" t="s">
        <v>70</v>
      </c>
      <c r="D1854" s="8" t="s">
        <v>6425</v>
      </c>
      <c r="E1854" s="8">
        <v>80.0</v>
      </c>
    </row>
    <row r="1855">
      <c r="A1855" s="8" t="s">
        <v>598</v>
      </c>
      <c r="B1855" s="8" t="s">
        <v>389</v>
      </c>
      <c r="C1855" s="8" t="s">
        <v>80</v>
      </c>
      <c r="D1855" s="8" t="s">
        <v>6423</v>
      </c>
      <c r="E1855" s="8">
        <v>82.0</v>
      </c>
    </row>
    <row r="1856">
      <c r="A1856" s="8" t="s">
        <v>598</v>
      </c>
      <c r="B1856" s="8" t="s">
        <v>524</v>
      </c>
      <c r="C1856" s="8" t="s">
        <v>65</v>
      </c>
      <c r="D1856" s="8" t="s">
        <v>6413</v>
      </c>
      <c r="E1856" s="8">
        <v>59.0</v>
      </c>
    </row>
    <row r="1857">
      <c r="A1857" s="8" t="s">
        <v>598</v>
      </c>
      <c r="B1857" s="8" t="s">
        <v>597</v>
      </c>
      <c r="C1857" s="8" t="s">
        <v>65</v>
      </c>
      <c r="D1857" s="8" t="s">
        <v>6416</v>
      </c>
      <c r="E1857" s="8">
        <v>63.0</v>
      </c>
    </row>
    <row r="1858">
      <c r="A1858" s="8" t="s">
        <v>1786</v>
      </c>
      <c r="B1858" s="8" t="s">
        <v>1835</v>
      </c>
      <c r="C1858" s="8" t="s">
        <v>65</v>
      </c>
      <c r="D1858" s="8" t="s">
        <v>6443</v>
      </c>
      <c r="E1858" s="8">
        <v>63.0</v>
      </c>
    </row>
    <row r="1859">
      <c r="A1859" s="8" t="s">
        <v>1786</v>
      </c>
      <c r="B1859" s="8" t="s">
        <v>308</v>
      </c>
      <c r="C1859" s="8" t="s">
        <v>93</v>
      </c>
      <c r="D1859" s="8" t="s">
        <v>6422</v>
      </c>
      <c r="E1859" s="8">
        <v>64.0</v>
      </c>
    </row>
    <row r="1860">
      <c r="A1860" s="8" t="s">
        <v>3520</v>
      </c>
      <c r="B1860" s="8" t="s">
        <v>460</v>
      </c>
      <c r="C1860" s="8" t="s">
        <v>24</v>
      </c>
      <c r="D1860" s="8" t="s">
        <v>6418</v>
      </c>
      <c r="E1860" s="8">
        <v>62.0</v>
      </c>
    </row>
    <row r="1861">
      <c r="A1861" s="8" t="s">
        <v>642</v>
      </c>
      <c r="B1861" s="8" t="s">
        <v>641</v>
      </c>
      <c r="C1861" s="8" t="s">
        <v>59</v>
      </c>
      <c r="D1861" s="8" t="s">
        <v>6422</v>
      </c>
      <c r="E1861" s="8">
        <v>71.0</v>
      </c>
    </row>
    <row r="1862">
      <c r="A1862" s="8" t="s">
        <v>3574</v>
      </c>
      <c r="B1862" s="8" t="s">
        <v>2064</v>
      </c>
      <c r="C1862" s="8" t="s">
        <v>138</v>
      </c>
      <c r="D1862" s="8" t="s">
        <v>6419</v>
      </c>
      <c r="E1862" s="8">
        <v>73.0</v>
      </c>
    </row>
    <row r="1863">
      <c r="A1863" s="8" t="s">
        <v>1274</v>
      </c>
      <c r="B1863" s="8" t="s">
        <v>1273</v>
      </c>
      <c r="C1863" s="8" t="s">
        <v>132</v>
      </c>
      <c r="D1863" s="8" t="s">
        <v>6433</v>
      </c>
      <c r="E1863" s="8">
        <v>68.0</v>
      </c>
    </row>
    <row r="1864">
      <c r="A1864" s="8" t="s">
        <v>3610</v>
      </c>
      <c r="B1864" s="8" t="s">
        <v>3609</v>
      </c>
      <c r="C1864" s="8" t="s">
        <v>132</v>
      </c>
      <c r="D1864" s="8" t="s">
        <v>6441</v>
      </c>
      <c r="E1864" s="8">
        <v>67.0</v>
      </c>
    </row>
    <row r="1865">
      <c r="A1865" s="8" t="s">
        <v>1173</v>
      </c>
      <c r="B1865" s="8" t="s">
        <v>190</v>
      </c>
      <c r="C1865" s="8" t="s">
        <v>70</v>
      </c>
      <c r="D1865" s="8" t="s">
        <v>6430</v>
      </c>
      <c r="E1865" s="8">
        <v>74.0</v>
      </c>
    </row>
    <row r="1866">
      <c r="A1866" s="8" t="s">
        <v>1173</v>
      </c>
      <c r="B1866" s="8" t="s">
        <v>1147</v>
      </c>
      <c r="C1866" s="8" t="s">
        <v>65</v>
      </c>
      <c r="D1866" s="8" t="s">
        <v>6416</v>
      </c>
      <c r="E1866" s="8">
        <v>60.0</v>
      </c>
    </row>
    <row r="1867">
      <c r="A1867" s="8" t="s">
        <v>1173</v>
      </c>
      <c r="B1867" s="8" t="s">
        <v>267</v>
      </c>
      <c r="C1867" s="8" t="s">
        <v>59</v>
      </c>
      <c r="D1867" s="8" t="s">
        <v>6421</v>
      </c>
      <c r="E1867" s="8">
        <v>57.0</v>
      </c>
    </row>
    <row r="1868">
      <c r="A1868" s="8" t="s">
        <v>1173</v>
      </c>
      <c r="B1868" s="8" t="s">
        <v>220</v>
      </c>
      <c r="C1868" s="8" t="s">
        <v>80</v>
      </c>
      <c r="D1868" s="8" t="s">
        <v>6438</v>
      </c>
      <c r="E1868" s="8">
        <v>87.0</v>
      </c>
    </row>
    <row r="1869">
      <c r="A1869" s="8" t="s">
        <v>1173</v>
      </c>
      <c r="B1869" s="8" t="s">
        <v>1582</v>
      </c>
      <c r="C1869" s="8" t="s">
        <v>59</v>
      </c>
      <c r="D1869" s="8" t="s">
        <v>6430</v>
      </c>
      <c r="E1869" s="8">
        <v>74.0</v>
      </c>
    </row>
    <row r="1870">
      <c r="A1870" s="8" t="s">
        <v>1012</v>
      </c>
      <c r="B1870" s="8" t="s">
        <v>3642</v>
      </c>
      <c r="C1870" s="8" t="s">
        <v>149</v>
      </c>
      <c r="D1870" s="8" t="s">
        <v>6437</v>
      </c>
      <c r="E1870" s="8">
        <v>69.0</v>
      </c>
    </row>
    <row r="1871">
      <c r="A1871" s="8" t="s">
        <v>286</v>
      </c>
      <c r="B1871" s="8" t="s">
        <v>284</v>
      </c>
      <c r="C1871" s="8" t="s">
        <v>192</v>
      </c>
      <c r="D1871" s="8" t="s">
        <v>6415</v>
      </c>
      <c r="E1871" s="8">
        <v>93.0</v>
      </c>
    </row>
    <row r="1872">
      <c r="A1872" s="8" t="s">
        <v>876</v>
      </c>
      <c r="B1872" s="8" t="s">
        <v>875</v>
      </c>
      <c r="C1872" s="8" t="s">
        <v>186</v>
      </c>
      <c r="D1872" s="8" t="s">
        <v>6434</v>
      </c>
      <c r="E1872" s="8">
        <v>54.0</v>
      </c>
    </row>
    <row r="1873">
      <c r="A1873" s="8" t="s">
        <v>485</v>
      </c>
      <c r="B1873" s="8" t="s">
        <v>484</v>
      </c>
      <c r="C1873" s="8" t="s">
        <v>70</v>
      </c>
      <c r="D1873" s="8" t="s">
        <v>6417</v>
      </c>
      <c r="E1873" s="8">
        <v>71.0</v>
      </c>
    </row>
    <row r="1874">
      <c r="A1874" s="8" t="s">
        <v>3013</v>
      </c>
      <c r="B1874" s="8" t="s">
        <v>3750</v>
      </c>
      <c r="C1874" s="8" t="s">
        <v>186</v>
      </c>
      <c r="D1874" s="8" t="s">
        <v>6417</v>
      </c>
      <c r="E1874" s="8">
        <v>84.0</v>
      </c>
    </row>
    <row r="1875">
      <c r="A1875" s="8" t="s">
        <v>370</v>
      </c>
      <c r="B1875" s="8" t="s">
        <v>369</v>
      </c>
      <c r="C1875" s="8" t="s">
        <v>24</v>
      </c>
      <c r="D1875" s="8" t="s">
        <v>6429</v>
      </c>
      <c r="E1875" s="8">
        <v>72.0</v>
      </c>
    </row>
    <row r="1876">
      <c r="A1876" s="8" t="s">
        <v>840</v>
      </c>
      <c r="B1876" s="8" t="s">
        <v>460</v>
      </c>
      <c r="C1876" s="8" t="s">
        <v>80</v>
      </c>
      <c r="D1876" s="8" t="s">
        <v>6431</v>
      </c>
      <c r="E1876" s="8">
        <v>75.0</v>
      </c>
    </row>
    <row r="1877">
      <c r="A1877" s="8" t="s">
        <v>840</v>
      </c>
      <c r="B1877" s="8" t="s">
        <v>1516</v>
      </c>
      <c r="C1877" s="8" t="s">
        <v>65</v>
      </c>
      <c r="D1877" s="8" t="s">
        <v>6443</v>
      </c>
      <c r="E1877" s="8">
        <v>64.0</v>
      </c>
    </row>
    <row r="1878">
      <c r="A1878" s="8" t="s">
        <v>840</v>
      </c>
      <c r="B1878" s="8" t="s">
        <v>3345</v>
      </c>
      <c r="C1878" s="8" t="s">
        <v>122</v>
      </c>
      <c r="D1878" s="8" t="s">
        <v>6439</v>
      </c>
      <c r="E1878" s="8">
        <v>69.0</v>
      </c>
    </row>
    <row r="1879">
      <c r="A1879" s="8" t="s">
        <v>315</v>
      </c>
      <c r="B1879" s="8" t="s">
        <v>97</v>
      </c>
      <c r="C1879" s="8" t="s">
        <v>24</v>
      </c>
      <c r="D1879" s="8" t="s">
        <v>6421</v>
      </c>
      <c r="E1879" s="8">
        <v>79.0</v>
      </c>
    </row>
    <row r="1880">
      <c r="A1880" s="8" t="s">
        <v>315</v>
      </c>
      <c r="B1880" s="8" t="s">
        <v>314</v>
      </c>
      <c r="C1880" s="8" t="s">
        <v>93</v>
      </c>
      <c r="D1880" s="8" t="s">
        <v>6433</v>
      </c>
      <c r="E1880" s="8">
        <v>92.0</v>
      </c>
    </row>
    <row r="1881">
      <c r="A1881" s="8" t="s">
        <v>74</v>
      </c>
      <c r="B1881" s="8" t="s">
        <v>73</v>
      </c>
      <c r="C1881" s="8" t="s">
        <v>75</v>
      </c>
      <c r="D1881" s="8" t="s">
        <v>6430</v>
      </c>
      <c r="E1881" s="8">
        <v>90.0</v>
      </c>
    </row>
    <row r="1882">
      <c r="A1882" s="8" t="s">
        <v>612</v>
      </c>
      <c r="B1882" s="8" t="s">
        <v>1236</v>
      </c>
      <c r="C1882" s="8" t="s">
        <v>24</v>
      </c>
      <c r="D1882" s="8" t="s">
        <v>6421</v>
      </c>
      <c r="E1882" s="8">
        <v>42.0</v>
      </c>
    </row>
    <row r="1883">
      <c r="A1883" s="8" t="s">
        <v>612</v>
      </c>
      <c r="B1883" s="8" t="s">
        <v>611</v>
      </c>
      <c r="C1883" s="8" t="s">
        <v>149</v>
      </c>
      <c r="D1883" s="8" t="s">
        <v>6435</v>
      </c>
      <c r="E1883" s="8">
        <v>76.0</v>
      </c>
    </row>
    <row r="1884">
      <c r="A1884" s="8" t="s">
        <v>1563</v>
      </c>
      <c r="B1884" s="8" t="s">
        <v>3317</v>
      </c>
      <c r="C1884" s="8" t="s">
        <v>215</v>
      </c>
      <c r="D1884" s="8" t="s">
        <v>6416</v>
      </c>
      <c r="E1884" s="8">
        <v>74.0</v>
      </c>
    </row>
    <row r="1885">
      <c r="A1885" s="8" t="s">
        <v>1563</v>
      </c>
      <c r="B1885" s="8" t="s">
        <v>3730</v>
      </c>
      <c r="C1885" s="8" t="s">
        <v>122</v>
      </c>
      <c r="D1885" s="8" t="s">
        <v>6428</v>
      </c>
      <c r="E1885" s="8">
        <v>66.0</v>
      </c>
    </row>
    <row r="1886">
      <c r="A1886" s="8" t="s">
        <v>1452</v>
      </c>
      <c r="B1886" s="8" t="s">
        <v>1451</v>
      </c>
      <c r="C1886" s="8" t="s">
        <v>24</v>
      </c>
      <c r="D1886" s="8" t="s">
        <v>6442</v>
      </c>
      <c r="E1886" s="8">
        <v>60.0</v>
      </c>
    </row>
    <row r="1887">
      <c r="A1887" s="8" t="s">
        <v>421</v>
      </c>
      <c r="B1887" s="8" t="s">
        <v>1149</v>
      </c>
      <c r="C1887" s="8" t="s">
        <v>38</v>
      </c>
      <c r="D1887" s="8" t="s">
        <v>6412</v>
      </c>
      <c r="E1887" s="8">
        <v>72.0</v>
      </c>
    </row>
    <row r="1888">
      <c r="A1888" s="8" t="s">
        <v>421</v>
      </c>
      <c r="B1888" s="8" t="s">
        <v>420</v>
      </c>
      <c r="C1888" s="8" t="s">
        <v>149</v>
      </c>
      <c r="D1888" s="8" t="s">
        <v>6420</v>
      </c>
      <c r="E1888" s="8">
        <v>83.0</v>
      </c>
    </row>
    <row r="1889">
      <c r="A1889" s="8" t="s">
        <v>2923</v>
      </c>
      <c r="B1889" s="8" t="s">
        <v>164</v>
      </c>
      <c r="C1889" s="8" t="s">
        <v>65</v>
      </c>
      <c r="D1889" s="8" t="s">
        <v>6423</v>
      </c>
      <c r="E1889" s="8">
        <v>79.0</v>
      </c>
    </row>
    <row r="1890">
      <c r="A1890" s="8" t="s">
        <v>936</v>
      </c>
      <c r="B1890" s="8" t="s">
        <v>3286</v>
      </c>
      <c r="C1890" s="8" t="s">
        <v>24</v>
      </c>
      <c r="D1890" s="8" t="s">
        <v>6436</v>
      </c>
      <c r="E1890" s="8">
        <v>99.0</v>
      </c>
    </row>
    <row r="1891">
      <c r="A1891" s="8" t="s">
        <v>936</v>
      </c>
      <c r="B1891" s="8" t="s">
        <v>935</v>
      </c>
      <c r="C1891" s="8" t="s">
        <v>149</v>
      </c>
      <c r="D1891" s="8" t="s">
        <v>6414</v>
      </c>
      <c r="E1891" s="8">
        <v>72.0</v>
      </c>
    </row>
    <row r="1892">
      <c r="A1892" s="8" t="s">
        <v>936</v>
      </c>
      <c r="B1892" s="8" t="s">
        <v>3689</v>
      </c>
      <c r="C1892" s="8" t="s">
        <v>24</v>
      </c>
      <c r="D1892" s="8" t="s">
        <v>6427</v>
      </c>
      <c r="E1892" s="8">
        <v>68.0</v>
      </c>
    </row>
    <row r="1893">
      <c r="A1893" s="8" t="s">
        <v>936</v>
      </c>
      <c r="B1893" s="8" t="s">
        <v>3376</v>
      </c>
      <c r="C1893" s="8" t="s">
        <v>53</v>
      </c>
      <c r="D1893" s="8" t="s">
        <v>6436</v>
      </c>
      <c r="E1893" s="8">
        <v>82.0</v>
      </c>
    </row>
    <row r="1894">
      <c r="A1894" s="8" t="s">
        <v>72</v>
      </c>
      <c r="B1894" s="8" t="s">
        <v>71</v>
      </c>
      <c r="C1894" s="8" t="s">
        <v>12</v>
      </c>
      <c r="D1894" s="8" t="s">
        <v>6427</v>
      </c>
      <c r="E1894" s="8">
        <v>79.0</v>
      </c>
    </row>
    <row r="1895">
      <c r="A1895" s="8" t="s">
        <v>1075</v>
      </c>
      <c r="B1895" s="8" t="s">
        <v>636</v>
      </c>
      <c r="C1895" s="8" t="s">
        <v>65</v>
      </c>
      <c r="D1895" s="8" t="s">
        <v>6440</v>
      </c>
      <c r="E1895" s="8">
        <v>63.0</v>
      </c>
    </row>
    <row r="1896">
      <c r="A1896" s="8" t="s">
        <v>3466</v>
      </c>
      <c r="B1896" s="8" t="s">
        <v>3465</v>
      </c>
      <c r="C1896" s="8" t="s">
        <v>80</v>
      </c>
      <c r="D1896" s="8" t="s">
        <v>6431</v>
      </c>
      <c r="E1896" s="8">
        <v>68.0</v>
      </c>
    </row>
    <row r="1897">
      <c r="A1897" s="8" t="s">
        <v>337</v>
      </c>
      <c r="B1897" s="8" t="s">
        <v>336</v>
      </c>
      <c r="C1897" s="8" t="s">
        <v>93</v>
      </c>
      <c r="D1897" s="8" t="s">
        <v>6431</v>
      </c>
      <c r="E1897" s="8">
        <v>77.0</v>
      </c>
    </row>
    <row r="1898">
      <c r="A1898" s="8" t="s">
        <v>337</v>
      </c>
      <c r="B1898" s="8" t="s">
        <v>3533</v>
      </c>
      <c r="C1898" s="8" t="s">
        <v>138</v>
      </c>
      <c r="D1898" s="8" t="s">
        <v>6426</v>
      </c>
      <c r="E1898" s="8">
        <v>84.0</v>
      </c>
    </row>
    <row r="1899">
      <c r="A1899" s="8" t="s">
        <v>337</v>
      </c>
      <c r="B1899" s="8" t="s">
        <v>2055</v>
      </c>
      <c r="C1899" s="8" t="s">
        <v>192</v>
      </c>
      <c r="D1899" s="8" t="s">
        <v>6430</v>
      </c>
      <c r="E1899" s="8">
        <v>76.0</v>
      </c>
    </row>
    <row r="1900">
      <c r="A1900" s="8" t="s">
        <v>337</v>
      </c>
      <c r="B1900" s="8" t="s">
        <v>325</v>
      </c>
      <c r="C1900" s="8" t="s">
        <v>80</v>
      </c>
      <c r="D1900" s="8" t="s">
        <v>6439</v>
      </c>
      <c r="E1900" s="8">
        <v>74.0</v>
      </c>
    </row>
    <row r="1901">
      <c r="A1901" s="8" t="s">
        <v>337</v>
      </c>
      <c r="B1901" s="8" t="s">
        <v>2820</v>
      </c>
      <c r="C1901" s="8" t="s">
        <v>16</v>
      </c>
      <c r="D1901" s="8" t="s">
        <v>6443</v>
      </c>
      <c r="E1901" s="8">
        <v>73.0</v>
      </c>
    </row>
    <row r="1902">
      <c r="A1902" s="8" t="s">
        <v>337</v>
      </c>
      <c r="B1902" s="8" t="s">
        <v>3747</v>
      </c>
      <c r="C1902" s="8" t="s">
        <v>59</v>
      </c>
      <c r="D1902" s="8" t="s">
        <v>6428</v>
      </c>
      <c r="E1902" s="8">
        <v>83.0</v>
      </c>
    </row>
    <row r="1903">
      <c r="A1903" s="8" t="s">
        <v>337</v>
      </c>
      <c r="B1903" s="8" t="s">
        <v>293</v>
      </c>
      <c r="C1903" s="8" t="s">
        <v>93</v>
      </c>
      <c r="D1903" s="8" t="s">
        <v>6441</v>
      </c>
      <c r="E1903" s="8">
        <v>71.0</v>
      </c>
    </row>
    <row r="1904">
      <c r="A1904" s="8" t="s">
        <v>337</v>
      </c>
      <c r="B1904" s="8" t="s">
        <v>3779</v>
      </c>
      <c r="C1904" s="8" t="s">
        <v>132</v>
      </c>
      <c r="D1904" s="8" t="s">
        <v>6412</v>
      </c>
      <c r="E1904" s="8">
        <v>59.0</v>
      </c>
    </row>
    <row r="1905">
      <c r="A1905" s="8" t="s">
        <v>337</v>
      </c>
      <c r="B1905" s="8" t="s">
        <v>220</v>
      </c>
      <c r="C1905" s="8" t="s">
        <v>93</v>
      </c>
      <c r="D1905" s="8" t="s">
        <v>6434</v>
      </c>
      <c r="E1905" s="8">
        <v>67.0</v>
      </c>
    </row>
    <row r="1906">
      <c r="A1906" s="8" t="s">
        <v>337</v>
      </c>
      <c r="B1906" s="8" t="s">
        <v>1922</v>
      </c>
      <c r="C1906" s="8" t="s">
        <v>138</v>
      </c>
      <c r="D1906" s="8" t="s">
        <v>6419</v>
      </c>
      <c r="E1906" s="8">
        <v>75.0</v>
      </c>
    </row>
    <row r="1907">
      <c r="A1907" s="8" t="s">
        <v>337</v>
      </c>
      <c r="B1907" s="8" t="s">
        <v>594</v>
      </c>
      <c r="C1907" s="8" t="s">
        <v>215</v>
      </c>
      <c r="D1907" s="8" t="s">
        <v>6414</v>
      </c>
      <c r="E1907" s="8">
        <v>89.0</v>
      </c>
    </row>
    <row r="1908">
      <c r="A1908" s="8" t="s">
        <v>337</v>
      </c>
      <c r="B1908" s="8" t="s">
        <v>62</v>
      </c>
      <c r="C1908" s="8" t="s">
        <v>215</v>
      </c>
      <c r="D1908" s="8" t="s">
        <v>6441</v>
      </c>
      <c r="E1908" s="8">
        <v>51.0</v>
      </c>
    </row>
    <row r="1909">
      <c r="A1909" s="8" t="s">
        <v>337</v>
      </c>
      <c r="B1909" s="8" t="s">
        <v>3103</v>
      </c>
      <c r="C1909" s="8" t="s">
        <v>70</v>
      </c>
      <c r="D1909" s="8" t="s">
        <v>6428</v>
      </c>
      <c r="E1909" s="8">
        <v>75.0</v>
      </c>
    </row>
    <row r="1910">
      <c r="A1910" s="8" t="s">
        <v>337</v>
      </c>
      <c r="B1910" s="8" t="s">
        <v>233</v>
      </c>
      <c r="C1910" s="8" t="s">
        <v>65</v>
      </c>
      <c r="D1910" s="8" t="s">
        <v>6430</v>
      </c>
      <c r="E1910" s="8">
        <v>73.0</v>
      </c>
    </row>
    <row r="1911">
      <c r="A1911" s="8" t="s">
        <v>2647</v>
      </c>
      <c r="B1911" s="8" t="s">
        <v>2646</v>
      </c>
      <c r="C1911" s="8" t="s">
        <v>12</v>
      </c>
      <c r="D1911" s="8" t="s">
        <v>6426</v>
      </c>
      <c r="E1911" s="8">
        <v>79.0</v>
      </c>
    </row>
    <row r="1912">
      <c r="A1912" s="8" t="s">
        <v>1033</v>
      </c>
      <c r="B1912" s="8" t="s">
        <v>99</v>
      </c>
      <c r="C1912" s="8" t="s">
        <v>70</v>
      </c>
      <c r="D1912" s="8" t="s">
        <v>6442</v>
      </c>
      <c r="E1912" s="8">
        <v>66.0</v>
      </c>
    </row>
    <row r="1913">
      <c r="A1913" s="8" t="s">
        <v>1033</v>
      </c>
      <c r="B1913" s="8" t="s">
        <v>3077</v>
      </c>
      <c r="C1913" s="8" t="s">
        <v>65</v>
      </c>
      <c r="D1913" s="8" t="s">
        <v>6437</v>
      </c>
      <c r="E1913" s="8">
        <v>72.0</v>
      </c>
    </row>
    <row r="1914">
      <c r="A1914" s="8" t="s">
        <v>310</v>
      </c>
      <c r="B1914" s="8" t="s">
        <v>3029</v>
      </c>
      <c r="C1914" s="8" t="s">
        <v>75</v>
      </c>
      <c r="D1914" s="8" t="s">
        <v>6414</v>
      </c>
      <c r="E1914" s="8">
        <v>73.0</v>
      </c>
    </row>
    <row r="1915">
      <c r="A1915" s="8" t="s">
        <v>383</v>
      </c>
      <c r="B1915" s="8" t="s">
        <v>931</v>
      </c>
      <c r="C1915" s="8" t="s">
        <v>122</v>
      </c>
      <c r="D1915" s="8" t="s">
        <v>6419</v>
      </c>
      <c r="E1915" s="8">
        <v>66.0</v>
      </c>
    </row>
    <row r="1916">
      <c r="A1916" s="8" t="s">
        <v>383</v>
      </c>
      <c r="B1916" s="8" t="s">
        <v>382</v>
      </c>
      <c r="C1916" s="8" t="s">
        <v>141</v>
      </c>
      <c r="D1916" s="8" t="s">
        <v>6438</v>
      </c>
      <c r="E1916" s="8">
        <v>85.0</v>
      </c>
    </row>
    <row r="1917">
      <c r="A1917" s="8" t="s">
        <v>383</v>
      </c>
      <c r="B1917" s="8" t="s">
        <v>3764</v>
      </c>
      <c r="C1917" s="8" t="s">
        <v>192</v>
      </c>
      <c r="D1917" s="8" t="s">
        <v>6424</v>
      </c>
      <c r="E1917" s="8">
        <v>81.0</v>
      </c>
    </row>
    <row r="1918">
      <c r="A1918" s="8" t="s">
        <v>383</v>
      </c>
      <c r="B1918" s="8" t="s">
        <v>99</v>
      </c>
      <c r="C1918" s="8" t="s">
        <v>65</v>
      </c>
      <c r="D1918" s="8" t="s">
        <v>6442</v>
      </c>
      <c r="E1918" s="8">
        <v>59.0</v>
      </c>
    </row>
    <row r="1919">
      <c r="A1919" s="8" t="s">
        <v>2903</v>
      </c>
      <c r="B1919" s="8" t="s">
        <v>94</v>
      </c>
      <c r="C1919" s="8" t="s">
        <v>65</v>
      </c>
      <c r="D1919" s="8" t="s">
        <v>6425</v>
      </c>
      <c r="E1919" s="8">
        <v>62.0</v>
      </c>
    </row>
    <row r="1920">
      <c r="A1920" s="8" t="s">
        <v>3754</v>
      </c>
      <c r="B1920" s="8" t="s">
        <v>293</v>
      </c>
      <c r="C1920" s="8" t="s">
        <v>186</v>
      </c>
      <c r="D1920" s="8" t="s">
        <v>6442</v>
      </c>
      <c r="E1920" s="8">
        <v>81.0</v>
      </c>
    </row>
    <row r="1921">
      <c r="A1921" s="8" t="s">
        <v>3674</v>
      </c>
      <c r="B1921" s="8" t="s">
        <v>3673</v>
      </c>
      <c r="C1921" s="8" t="s">
        <v>192</v>
      </c>
      <c r="D1921" s="8" t="s">
        <v>6418</v>
      </c>
      <c r="E1921" s="8">
        <v>74.0</v>
      </c>
    </row>
    <row r="1922">
      <c r="A1922" s="8" t="s">
        <v>1929</v>
      </c>
      <c r="B1922" s="8" t="s">
        <v>1928</v>
      </c>
      <c r="C1922" s="8" t="s">
        <v>53</v>
      </c>
      <c r="D1922" s="8" t="s">
        <v>6425</v>
      </c>
      <c r="E1922" s="8">
        <v>58.0</v>
      </c>
    </row>
    <row r="1923">
      <c r="A1923" s="8" t="s">
        <v>394</v>
      </c>
      <c r="B1923" s="8" t="s">
        <v>224</v>
      </c>
      <c r="C1923" s="8" t="s">
        <v>93</v>
      </c>
      <c r="D1923" s="8" t="s">
        <v>6424</v>
      </c>
      <c r="E1923" s="8">
        <v>68.0</v>
      </c>
    </row>
    <row r="1924">
      <c r="A1924" s="8" t="s">
        <v>394</v>
      </c>
      <c r="B1924" s="8" t="s">
        <v>1276</v>
      </c>
      <c r="C1924" s="8" t="s">
        <v>192</v>
      </c>
      <c r="D1924" s="8" t="s">
        <v>6437</v>
      </c>
      <c r="E1924" s="8">
        <v>81.0</v>
      </c>
    </row>
    <row r="1925">
      <c r="A1925" s="8" t="s">
        <v>394</v>
      </c>
      <c r="B1925" s="8" t="s">
        <v>444</v>
      </c>
      <c r="C1925" s="8" t="s">
        <v>53</v>
      </c>
      <c r="D1925" s="8" t="s">
        <v>6428</v>
      </c>
      <c r="E1925" s="8">
        <v>58.0</v>
      </c>
    </row>
    <row r="1926">
      <c r="A1926" s="8" t="s">
        <v>1091</v>
      </c>
      <c r="B1926" s="8" t="s">
        <v>2688</v>
      </c>
      <c r="C1926" s="8" t="s">
        <v>215</v>
      </c>
      <c r="D1926" s="8" t="s">
        <v>6422</v>
      </c>
      <c r="E1926" s="8">
        <v>62.0</v>
      </c>
    </row>
    <row r="1927">
      <c r="A1927" s="8" t="s">
        <v>1091</v>
      </c>
      <c r="B1927" s="8" t="s">
        <v>1421</v>
      </c>
      <c r="C1927" s="8" t="s">
        <v>93</v>
      </c>
      <c r="D1927" s="8" t="s">
        <v>6430</v>
      </c>
      <c r="E1927" s="8">
        <v>83.0</v>
      </c>
    </row>
    <row r="1928">
      <c r="A1928" s="8" t="s">
        <v>1091</v>
      </c>
      <c r="B1928" s="8" t="s">
        <v>393</v>
      </c>
      <c r="C1928" s="8" t="s">
        <v>75</v>
      </c>
      <c r="D1928" s="8" t="s">
        <v>6442</v>
      </c>
      <c r="E1928" s="8">
        <v>75.0</v>
      </c>
    </row>
    <row r="1929">
      <c r="A1929" s="8" t="s">
        <v>1091</v>
      </c>
      <c r="B1929" s="8" t="s">
        <v>396</v>
      </c>
      <c r="C1929" s="8" t="s">
        <v>80</v>
      </c>
      <c r="D1929" s="8" t="s">
        <v>6440</v>
      </c>
      <c r="E1929" s="8">
        <v>64.0</v>
      </c>
    </row>
    <row r="1930">
      <c r="A1930" s="8" t="s">
        <v>1624</v>
      </c>
      <c r="B1930" s="8" t="s">
        <v>3685</v>
      </c>
      <c r="C1930" s="8" t="s">
        <v>70</v>
      </c>
      <c r="D1930" s="8" t="s">
        <v>6412</v>
      </c>
      <c r="E1930" s="8">
        <v>76.0</v>
      </c>
    </row>
    <row r="1931">
      <c r="A1931" s="8" t="s">
        <v>1624</v>
      </c>
      <c r="B1931" s="8" t="s">
        <v>548</v>
      </c>
      <c r="C1931" s="8" t="s">
        <v>46</v>
      </c>
      <c r="D1931" s="8" t="s">
        <v>6435</v>
      </c>
      <c r="E1931" s="8">
        <v>79.0</v>
      </c>
    </row>
    <row r="1932">
      <c r="A1932" s="8" t="s">
        <v>2948</v>
      </c>
      <c r="B1932" s="8" t="s">
        <v>1219</v>
      </c>
      <c r="C1932" s="8" t="s">
        <v>80</v>
      </c>
      <c r="D1932" s="8" t="s">
        <v>6440</v>
      </c>
      <c r="E1932" s="8">
        <v>73.0</v>
      </c>
    </row>
    <row r="1933">
      <c r="A1933" s="8" t="s">
        <v>992</v>
      </c>
      <c r="B1933" s="8" t="s">
        <v>991</v>
      </c>
      <c r="C1933" s="8" t="s">
        <v>261</v>
      </c>
      <c r="D1933" s="8" t="s">
        <v>6439</v>
      </c>
      <c r="E1933" s="8">
        <v>80.0</v>
      </c>
    </row>
    <row r="1934">
      <c r="A1934" s="8" t="s">
        <v>3799</v>
      </c>
      <c r="B1934" s="8" t="s">
        <v>3798</v>
      </c>
      <c r="C1934" s="8" t="s">
        <v>138</v>
      </c>
      <c r="D1934" s="8" t="s">
        <v>6423</v>
      </c>
      <c r="E1934" s="8">
        <v>67.0</v>
      </c>
    </row>
    <row r="1935">
      <c r="A1935" s="8" t="s">
        <v>597</v>
      </c>
      <c r="B1935" s="8" t="s">
        <v>661</v>
      </c>
      <c r="C1935" s="8" t="s">
        <v>93</v>
      </c>
      <c r="D1935" s="8" t="s">
        <v>6439</v>
      </c>
      <c r="E1935" s="8">
        <v>73.0</v>
      </c>
    </row>
    <row r="1936">
      <c r="A1936" s="8" t="s">
        <v>597</v>
      </c>
      <c r="B1936" s="8" t="s">
        <v>3880</v>
      </c>
      <c r="C1936" s="8" t="s">
        <v>192</v>
      </c>
      <c r="D1936" s="8" t="s">
        <v>6439</v>
      </c>
      <c r="E1936" s="8">
        <v>64.0</v>
      </c>
    </row>
    <row r="1937">
      <c r="A1937" s="8" t="s">
        <v>1300</v>
      </c>
      <c r="B1937" s="8" t="s">
        <v>3768</v>
      </c>
      <c r="C1937" s="8" t="s">
        <v>122</v>
      </c>
      <c r="D1937" s="8" t="s">
        <v>6413</v>
      </c>
      <c r="E1937" s="8">
        <v>78.0</v>
      </c>
    </row>
    <row r="1938">
      <c r="A1938" s="8" t="s">
        <v>1300</v>
      </c>
      <c r="B1938" s="8" t="s">
        <v>1299</v>
      </c>
      <c r="C1938" s="8" t="s">
        <v>138</v>
      </c>
      <c r="D1938" s="8" t="s">
        <v>6427</v>
      </c>
      <c r="E1938" s="8">
        <v>61.0</v>
      </c>
    </row>
    <row r="1939">
      <c r="A1939" s="8" t="s">
        <v>3409</v>
      </c>
      <c r="B1939" s="8" t="s">
        <v>3408</v>
      </c>
      <c r="C1939" s="8" t="s">
        <v>65</v>
      </c>
      <c r="D1939" s="8" t="s">
        <v>6424</v>
      </c>
      <c r="E1939" s="8">
        <v>78.0</v>
      </c>
    </row>
    <row r="1940">
      <c r="A1940" s="8" t="s">
        <v>3701</v>
      </c>
      <c r="B1940" s="8" t="s">
        <v>389</v>
      </c>
      <c r="C1940" s="8" t="s">
        <v>59</v>
      </c>
      <c r="D1940" s="8" t="s">
        <v>6436</v>
      </c>
      <c r="E1940" s="8">
        <v>65.0</v>
      </c>
    </row>
    <row r="1941">
      <c r="A1941" s="8" t="s">
        <v>409</v>
      </c>
      <c r="B1941" s="8" t="s">
        <v>852</v>
      </c>
      <c r="C1941" s="8" t="s">
        <v>141</v>
      </c>
      <c r="D1941" s="8" t="s">
        <v>6417</v>
      </c>
      <c r="E1941" s="8">
        <v>69.0</v>
      </c>
    </row>
    <row r="1942">
      <c r="A1942" s="8" t="s">
        <v>409</v>
      </c>
      <c r="B1942" s="8" t="s">
        <v>408</v>
      </c>
      <c r="C1942" s="8" t="s">
        <v>46</v>
      </c>
      <c r="D1942" s="8" t="s">
        <v>6412</v>
      </c>
      <c r="E1942" s="8">
        <v>82.0</v>
      </c>
    </row>
    <row r="1943">
      <c r="A1943" s="8" t="s">
        <v>409</v>
      </c>
      <c r="B1943" s="8" t="s">
        <v>796</v>
      </c>
      <c r="C1943" s="8" t="s">
        <v>65</v>
      </c>
      <c r="D1943" s="8" t="s">
        <v>6426</v>
      </c>
      <c r="E1943" s="8">
        <v>65.0</v>
      </c>
    </row>
    <row r="1944">
      <c r="A1944" s="8" t="s">
        <v>409</v>
      </c>
      <c r="B1944" s="8" t="s">
        <v>451</v>
      </c>
      <c r="C1944" s="8" t="s">
        <v>16</v>
      </c>
      <c r="D1944" s="8" t="s">
        <v>6433</v>
      </c>
      <c r="E1944" s="8">
        <v>91.0</v>
      </c>
    </row>
    <row r="1945">
      <c r="A1945" s="8" t="s">
        <v>67</v>
      </c>
      <c r="B1945" s="8" t="s">
        <v>460</v>
      </c>
      <c r="C1945" s="8" t="s">
        <v>38</v>
      </c>
      <c r="D1945" s="8" t="s">
        <v>6436</v>
      </c>
      <c r="E1945" s="8">
        <v>78.0</v>
      </c>
    </row>
    <row r="1946">
      <c r="A1946" s="8" t="s">
        <v>67</v>
      </c>
      <c r="B1946" s="8" t="s">
        <v>106</v>
      </c>
      <c r="C1946" s="8" t="s">
        <v>138</v>
      </c>
      <c r="D1946" s="8" t="s">
        <v>6417</v>
      </c>
      <c r="E1946" s="8">
        <v>59.0</v>
      </c>
    </row>
    <row r="1947">
      <c r="A1947" s="8" t="s">
        <v>67</v>
      </c>
      <c r="B1947" s="8" t="s">
        <v>3195</v>
      </c>
      <c r="C1947" s="8" t="s">
        <v>122</v>
      </c>
      <c r="D1947" s="8" t="s">
        <v>6432</v>
      </c>
      <c r="E1947" s="8">
        <v>68.0</v>
      </c>
    </row>
    <row r="1948">
      <c r="A1948" s="8" t="s">
        <v>67</v>
      </c>
      <c r="B1948" s="8" t="s">
        <v>3588</v>
      </c>
      <c r="C1948" s="8" t="s">
        <v>46</v>
      </c>
      <c r="D1948" s="8" t="s">
        <v>6440</v>
      </c>
      <c r="E1948" s="8">
        <v>84.0</v>
      </c>
    </row>
    <row r="1949">
      <c r="A1949" s="8" t="s">
        <v>67</v>
      </c>
      <c r="B1949" s="8" t="s">
        <v>61</v>
      </c>
      <c r="C1949" s="8" t="s">
        <v>138</v>
      </c>
      <c r="D1949" s="8" t="s">
        <v>6413</v>
      </c>
      <c r="E1949" s="8">
        <v>72.0</v>
      </c>
    </row>
    <row r="1950">
      <c r="A1950" s="8" t="s">
        <v>67</v>
      </c>
      <c r="B1950" s="8" t="s">
        <v>3224</v>
      </c>
      <c r="C1950" s="8" t="s">
        <v>215</v>
      </c>
      <c r="D1950" s="8" t="s">
        <v>6441</v>
      </c>
      <c r="E1950" s="8">
        <v>65.0</v>
      </c>
    </row>
    <row r="1951">
      <c r="A1951" s="8" t="s">
        <v>67</v>
      </c>
      <c r="B1951" s="8" t="s">
        <v>66</v>
      </c>
      <c r="C1951" s="8" t="s">
        <v>16</v>
      </c>
      <c r="D1951" s="8" t="s">
        <v>6440</v>
      </c>
      <c r="E1951" s="8">
        <v>79.0</v>
      </c>
    </row>
    <row r="1952">
      <c r="A1952" s="8" t="s">
        <v>67</v>
      </c>
      <c r="B1952" s="8" t="s">
        <v>700</v>
      </c>
      <c r="C1952" s="8" t="s">
        <v>65</v>
      </c>
      <c r="D1952" s="8" t="s">
        <v>6416</v>
      </c>
      <c r="E1952" s="8">
        <v>69.0</v>
      </c>
    </row>
    <row r="1953">
      <c r="A1953" s="8" t="s">
        <v>67</v>
      </c>
      <c r="B1953" s="8" t="s">
        <v>522</v>
      </c>
      <c r="C1953" s="8" t="s">
        <v>24</v>
      </c>
      <c r="D1953" s="8" t="s">
        <v>6434</v>
      </c>
      <c r="E1953" s="8">
        <v>72.0</v>
      </c>
    </row>
    <row r="1954">
      <c r="A1954" s="8" t="s">
        <v>67</v>
      </c>
      <c r="B1954" s="8" t="s">
        <v>522</v>
      </c>
      <c r="C1954" s="8" t="s">
        <v>16</v>
      </c>
      <c r="D1954" s="8" t="s">
        <v>6426</v>
      </c>
      <c r="E1954" s="8">
        <v>62.0</v>
      </c>
    </row>
    <row r="1955">
      <c r="A1955" s="8" t="s">
        <v>67</v>
      </c>
      <c r="B1955" s="8" t="s">
        <v>704</v>
      </c>
      <c r="C1955" s="8" t="s">
        <v>132</v>
      </c>
      <c r="D1955" s="8" t="s">
        <v>6430</v>
      </c>
      <c r="E1955" s="8">
        <v>64.0</v>
      </c>
    </row>
    <row r="1956">
      <c r="A1956" s="8" t="s">
        <v>67</v>
      </c>
      <c r="B1956" s="8" t="s">
        <v>89</v>
      </c>
      <c r="C1956" s="8" t="s">
        <v>46</v>
      </c>
      <c r="D1956" s="8" t="s">
        <v>6439</v>
      </c>
      <c r="E1956" s="8">
        <v>76.0</v>
      </c>
    </row>
    <row r="1957">
      <c r="A1957" s="8" t="s">
        <v>67</v>
      </c>
      <c r="B1957" s="8" t="s">
        <v>1196</v>
      </c>
      <c r="C1957" s="8" t="s">
        <v>261</v>
      </c>
      <c r="D1957" s="8" t="s">
        <v>6417</v>
      </c>
      <c r="E1957" s="8">
        <v>74.0</v>
      </c>
    </row>
    <row r="1958">
      <c r="A1958" s="8" t="s">
        <v>67</v>
      </c>
      <c r="B1958" s="8" t="s">
        <v>725</v>
      </c>
      <c r="C1958" s="8" t="s">
        <v>141</v>
      </c>
      <c r="D1958" s="8" t="s">
        <v>6435</v>
      </c>
      <c r="E1958" s="8">
        <v>69.0</v>
      </c>
    </row>
    <row r="1959">
      <c r="A1959" s="8" t="s">
        <v>67</v>
      </c>
      <c r="B1959" s="8" t="s">
        <v>392</v>
      </c>
      <c r="C1959" s="8" t="s">
        <v>141</v>
      </c>
      <c r="D1959" s="8" t="s">
        <v>6441</v>
      </c>
      <c r="E1959" s="8">
        <v>89.0</v>
      </c>
    </row>
    <row r="1960">
      <c r="A1960" s="8" t="s">
        <v>67</v>
      </c>
      <c r="B1960" s="8" t="s">
        <v>561</v>
      </c>
      <c r="C1960" s="8" t="s">
        <v>141</v>
      </c>
      <c r="D1960" s="8" t="s">
        <v>6428</v>
      </c>
      <c r="E1960" s="8">
        <v>76.0</v>
      </c>
    </row>
    <row r="1961">
      <c r="A1961" s="8" t="s">
        <v>67</v>
      </c>
      <c r="B1961" s="8" t="s">
        <v>291</v>
      </c>
      <c r="C1961" s="8" t="s">
        <v>53</v>
      </c>
      <c r="D1961" s="8" t="s">
        <v>6416</v>
      </c>
      <c r="E1961" s="8">
        <v>88.0</v>
      </c>
    </row>
    <row r="1962">
      <c r="A1962" s="8" t="s">
        <v>67</v>
      </c>
      <c r="B1962" s="8" t="s">
        <v>3342</v>
      </c>
      <c r="C1962" s="8" t="s">
        <v>24</v>
      </c>
      <c r="D1962" s="8" t="s">
        <v>6425</v>
      </c>
      <c r="E1962" s="8">
        <v>63.0</v>
      </c>
    </row>
    <row r="1963">
      <c r="A1963" s="8" t="s">
        <v>67</v>
      </c>
      <c r="B1963" s="8" t="s">
        <v>3343</v>
      </c>
      <c r="C1963" s="8" t="s">
        <v>16</v>
      </c>
      <c r="D1963" s="8" t="s">
        <v>6435</v>
      </c>
      <c r="E1963" s="8">
        <v>67.0</v>
      </c>
    </row>
    <row r="1964">
      <c r="A1964" s="8" t="s">
        <v>67</v>
      </c>
      <c r="B1964" s="8" t="s">
        <v>3345</v>
      </c>
      <c r="C1964" s="8" t="s">
        <v>70</v>
      </c>
      <c r="D1964" s="8" t="s">
        <v>6424</v>
      </c>
      <c r="E1964" s="8">
        <v>82.0</v>
      </c>
    </row>
    <row r="1965">
      <c r="A1965" s="8" t="s">
        <v>67</v>
      </c>
      <c r="B1965" s="8" t="s">
        <v>1268</v>
      </c>
      <c r="C1965" s="8" t="s">
        <v>16</v>
      </c>
      <c r="D1965" s="8" t="s">
        <v>6425</v>
      </c>
      <c r="E1965" s="8">
        <v>62.0</v>
      </c>
    </row>
    <row r="1966">
      <c r="A1966" s="8" t="s">
        <v>67</v>
      </c>
      <c r="B1966" s="8" t="s">
        <v>3008</v>
      </c>
      <c r="C1966" s="8" t="s">
        <v>38</v>
      </c>
      <c r="D1966" s="8" t="s">
        <v>6413</v>
      </c>
      <c r="E1966" s="8">
        <v>80.0</v>
      </c>
    </row>
    <row r="1967">
      <c r="A1967" s="8" t="s">
        <v>67</v>
      </c>
      <c r="B1967" s="8" t="s">
        <v>308</v>
      </c>
      <c r="C1967" s="8" t="s">
        <v>138</v>
      </c>
      <c r="D1967" s="8" t="s">
        <v>6433</v>
      </c>
      <c r="E1967" s="8">
        <v>58.0</v>
      </c>
    </row>
    <row r="1968">
      <c r="A1968" s="8" t="s">
        <v>67</v>
      </c>
      <c r="B1968" s="8" t="s">
        <v>409</v>
      </c>
      <c r="C1968" s="8" t="s">
        <v>215</v>
      </c>
      <c r="D1968" s="8" t="s">
        <v>6442</v>
      </c>
      <c r="E1968" s="8">
        <v>63.0</v>
      </c>
    </row>
    <row r="1969">
      <c r="A1969" s="8" t="s">
        <v>67</v>
      </c>
      <c r="B1969" s="8" t="s">
        <v>3035</v>
      </c>
      <c r="C1969" s="8" t="s">
        <v>149</v>
      </c>
      <c r="D1969" s="8" t="s">
        <v>6431</v>
      </c>
      <c r="E1969" s="8">
        <v>85.0</v>
      </c>
    </row>
    <row r="1970">
      <c r="A1970" s="8" t="s">
        <v>67</v>
      </c>
      <c r="B1970" s="8" t="s">
        <v>1608</v>
      </c>
      <c r="C1970" s="8" t="s">
        <v>75</v>
      </c>
      <c r="D1970" s="8" t="s">
        <v>6425</v>
      </c>
      <c r="E1970" s="8">
        <v>68.0</v>
      </c>
    </row>
    <row r="1971">
      <c r="A1971" s="8" t="s">
        <v>67</v>
      </c>
      <c r="B1971" s="8" t="s">
        <v>1309</v>
      </c>
      <c r="C1971" s="8" t="s">
        <v>186</v>
      </c>
      <c r="D1971" s="8" t="s">
        <v>6439</v>
      </c>
      <c r="E1971" s="8">
        <v>79.0</v>
      </c>
    </row>
    <row r="1972">
      <c r="A1972" s="8" t="s">
        <v>67</v>
      </c>
      <c r="B1972" s="8" t="s">
        <v>99</v>
      </c>
      <c r="C1972" s="8" t="s">
        <v>93</v>
      </c>
      <c r="D1972" s="8" t="s">
        <v>6426</v>
      </c>
      <c r="E1972" s="8">
        <v>64.0</v>
      </c>
    </row>
    <row r="1973">
      <c r="A1973" s="8" t="s">
        <v>67</v>
      </c>
      <c r="B1973" s="8" t="s">
        <v>227</v>
      </c>
      <c r="C1973" s="8" t="s">
        <v>12</v>
      </c>
      <c r="D1973" s="8" t="s">
        <v>6423</v>
      </c>
      <c r="E1973" s="8">
        <v>81.0</v>
      </c>
    </row>
    <row r="1974">
      <c r="A1974" s="8" t="s">
        <v>67</v>
      </c>
      <c r="B1974" s="8" t="s">
        <v>326</v>
      </c>
      <c r="C1974" s="8" t="s">
        <v>16</v>
      </c>
      <c r="D1974" s="8" t="s">
        <v>6415</v>
      </c>
      <c r="E1974" s="8">
        <v>79.0</v>
      </c>
    </row>
    <row r="1975">
      <c r="A1975" s="8" t="s">
        <v>3861</v>
      </c>
      <c r="B1975" s="8" t="s">
        <v>3860</v>
      </c>
      <c r="C1975" s="8" t="s">
        <v>59</v>
      </c>
      <c r="D1975" s="8" t="s">
        <v>6412</v>
      </c>
      <c r="E1975" s="8">
        <v>60.0</v>
      </c>
    </row>
    <row r="1976">
      <c r="A1976" s="8" t="s">
        <v>41</v>
      </c>
      <c r="B1976" s="8" t="s">
        <v>2643</v>
      </c>
      <c r="C1976" s="8" t="s">
        <v>59</v>
      </c>
      <c r="D1976" s="8" t="s">
        <v>6427</v>
      </c>
      <c r="E1976" s="8">
        <v>75.0</v>
      </c>
    </row>
    <row r="1977">
      <c r="A1977" s="8" t="s">
        <v>41</v>
      </c>
      <c r="B1977" s="8" t="s">
        <v>3542</v>
      </c>
      <c r="C1977" s="8" t="s">
        <v>186</v>
      </c>
      <c r="D1977" s="8" t="s">
        <v>6421</v>
      </c>
      <c r="E1977" s="8">
        <v>73.0</v>
      </c>
    </row>
    <row r="1978">
      <c r="A1978" s="8" t="s">
        <v>41</v>
      </c>
      <c r="B1978" s="8" t="s">
        <v>2698</v>
      </c>
      <c r="C1978" s="8" t="s">
        <v>16</v>
      </c>
      <c r="D1978" s="8" t="s">
        <v>6424</v>
      </c>
      <c r="E1978" s="8">
        <v>78.0</v>
      </c>
    </row>
    <row r="1979">
      <c r="A1979" s="8" t="s">
        <v>41</v>
      </c>
      <c r="B1979" s="8" t="s">
        <v>3563</v>
      </c>
      <c r="C1979" s="8" t="s">
        <v>141</v>
      </c>
      <c r="D1979" s="8" t="s">
        <v>6412</v>
      </c>
      <c r="E1979" s="8">
        <v>68.0</v>
      </c>
    </row>
    <row r="1980">
      <c r="A1980" s="8" t="s">
        <v>41</v>
      </c>
      <c r="B1980" s="8" t="s">
        <v>40</v>
      </c>
      <c r="C1980" s="8" t="s">
        <v>38</v>
      </c>
      <c r="D1980" s="8" t="s">
        <v>6435</v>
      </c>
      <c r="E1980" s="8">
        <v>84.0</v>
      </c>
    </row>
    <row r="1981">
      <c r="A1981" s="8" t="s">
        <v>41</v>
      </c>
      <c r="B1981" s="8" t="s">
        <v>396</v>
      </c>
      <c r="C1981" s="8" t="s">
        <v>38</v>
      </c>
      <c r="D1981" s="8" t="s">
        <v>6420</v>
      </c>
      <c r="E1981" s="8">
        <v>80.0</v>
      </c>
    </row>
    <row r="1982">
      <c r="A1982" s="8" t="s">
        <v>41</v>
      </c>
      <c r="B1982" s="8" t="s">
        <v>3045</v>
      </c>
      <c r="C1982" s="8" t="s">
        <v>93</v>
      </c>
      <c r="D1982" s="8" t="s">
        <v>6421</v>
      </c>
      <c r="E1982" s="8">
        <v>86.0</v>
      </c>
    </row>
    <row r="1983">
      <c r="A1983" s="8" t="s">
        <v>41</v>
      </c>
      <c r="B1983" s="8" t="s">
        <v>1675</v>
      </c>
      <c r="C1983" s="8" t="s">
        <v>149</v>
      </c>
      <c r="D1983" s="8" t="s">
        <v>6415</v>
      </c>
      <c r="E1983" s="8">
        <v>70.0</v>
      </c>
    </row>
    <row r="1984">
      <c r="A1984" s="8" t="s">
        <v>2738</v>
      </c>
      <c r="B1984" s="8" t="s">
        <v>2737</v>
      </c>
      <c r="C1984" s="8" t="s">
        <v>65</v>
      </c>
      <c r="D1984" s="8" t="s">
        <v>6439</v>
      </c>
      <c r="E1984" s="8">
        <v>70.0</v>
      </c>
    </row>
    <row r="1985">
      <c r="A1985" s="8" t="s">
        <v>1334</v>
      </c>
      <c r="B1985" s="8" t="s">
        <v>3037</v>
      </c>
      <c r="C1985" s="8" t="s">
        <v>93</v>
      </c>
      <c r="D1985" s="8" t="s">
        <v>6430</v>
      </c>
      <c r="E1985" s="8">
        <v>65.0</v>
      </c>
    </row>
    <row r="1986">
      <c r="A1986" s="8" t="s">
        <v>1334</v>
      </c>
      <c r="B1986" s="8" t="s">
        <v>1050</v>
      </c>
      <c r="C1986" s="8" t="s">
        <v>65</v>
      </c>
      <c r="D1986" s="8" t="s">
        <v>6430</v>
      </c>
      <c r="E1986" s="8">
        <v>87.0</v>
      </c>
    </row>
    <row r="1987">
      <c r="A1987" s="8" t="s">
        <v>3148</v>
      </c>
      <c r="B1987" s="8" t="s">
        <v>3147</v>
      </c>
      <c r="C1987" s="8" t="s">
        <v>186</v>
      </c>
      <c r="D1987" s="8" t="s">
        <v>6443</v>
      </c>
      <c r="E1987" s="8">
        <v>68.0</v>
      </c>
    </row>
    <row r="1988">
      <c r="A1988" s="8" t="s">
        <v>1031</v>
      </c>
      <c r="B1988" s="8" t="s">
        <v>3600</v>
      </c>
      <c r="C1988" s="8" t="s">
        <v>122</v>
      </c>
      <c r="D1988" s="8" t="s">
        <v>6429</v>
      </c>
      <c r="E1988" s="8">
        <v>71.0</v>
      </c>
    </row>
    <row r="1989">
      <c r="A1989" s="8" t="s">
        <v>1031</v>
      </c>
      <c r="B1989" s="8" t="s">
        <v>1030</v>
      </c>
      <c r="C1989" s="8" t="s">
        <v>24</v>
      </c>
      <c r="D1989" s="8" t="s">
        <v>6441</v>
      </c>
      <c r="E1989" s="8">
        <v>64.0</v>
      </c>
    </row>
    <row r="1990">
      <c r="A1990" s="8" t="s">
        <v>1031</v>
      </c>
      <c r="B1990" s="8" t="s">
        <v>3477</v>
      </c>
      <c r="C1990" s="8" t="s">
        <v>16</v>
      </c>
      <c r="D1990" s="8" t="s">
        <v>6428</v>
      </c>
      <c r="E1990" s="8">
        <v>67.0</v>
      </c>
    </row>
    <row r="1991">
      <c r="A1991" s="8" t="s">
        <v>3432</v>
      </c>
      <c r="B1991" s="8" t="s">
        <v>3431</v>
      </c>
      <c r="C1991" s="8" t="s">
        <v>122</v>
      </c>
      <c r="D1991" s="8" t="s">
        <v>6433</v>
      </c>
      <c r="E1991" s="8">
        <v>73.0</v>
      </c>
    </row>
    <row r="1992">
      <c r="A1992" s="8" t="s">
        <v>162</v>
      </c>
      <c r="B1992" s="8" t="s">
        <v>1891</v>
      </c>
      <c r="C1992" s="8" t="s">
        <v>80</v>
      </c>
      <c r="D1992" s="8" t="s">
        <v>6443</v>
      </c>
      <c r="E1992" s="8">
        <v>67.0</v>
      </c>
    </row>
    <row r="1993">
      <c r="A1993" s="8" t="s">
        <v>162</v>
      </c>
      <c r="B1993" s="8" t="s">
        <v>61</v>
      </c>
      <c r="C1993" s="8" t="s">
        <v>192</v>
      </c>
      <c r="D1993" s="8" t="s">
        <v>6439</v>
      </c>
      <c r="E1993" s="8">
        <v>71.0</v>
      </c>
    </row>
    <row r="1994">
      <c r="A1994" s="8" t="s">
        <v>162</v>
      </c>
      <c r="B1994" s="8" t="s">
        <v>42</v>
      </c>
      <c r="C1994" s="8" t="s">
        <v>59</v>
      </c>
      <c r="D1994" s="8" t="s">
        <v>6442</v>
      </c>
      <c r="E1994" s="8">
        <v>89.0</v>
      </c>
    </row>
    <row r="1995">
      <c r="A1995" s="8" t="s">
        <v>162</v>
      </c>
      <c r="B1995" s="8" t="s">
        <v>3728</v>
      </c>
      <c r="C1995" s="8" t="s">
        <v>122</v>
      </c>
      <c r="D1995" s="8" t="s">
        <v>6432</v>
      </c>
      <c r="E1995" s="8">
        <v>72.0</v>
      </c>
    </row>
    <row r="1996">
      <c r="A1996" s="8" t="s">
        <v>162</v>
      </c>
      <c r="B1996" s="8" t="s">
        <v>972</v>
      </c>
      <c r="C1996" s="8" t="s">
        <v>16</v>
      </c>
      <c r="D1996" s="8" t="s">
        <v>6414</v>
      </c>
      <c r="E1996" s="8">
        <v>63.0</v>
      </c>
    </row>
    <row r="1997">
      <c r="A1997" s="8" t="s">
        <v>162</v>
      </c>
      <c r="B1997" s="8" t="s">
        <v>2939</v>
      </c>
      <c r="C1997" s="8" t="s">
        <v>24</v>
      </c>
      <c r="D1997" s="8" t="s">
        <v>6432</v>
      </c>
      <c r="E1997" s="8">
        <v>70.0</v>
      </c>
    </row>
    <row r="1998">
      <c r="A1998" s="8" t="s">
        <v>162</v>
      </c>
      <c r="B1998" s="8" t="s">
        <v>3802</v>
      </c>
      <c r="C1998" s="8" t="s">
        <v>59</v>
      </c>
      <c r="D1998" s="8" t="s">
        <v>6413</v>
      </c>
      <c r="E1998" s="8">
        <v>71.0</v>
      </c>
    </row>
    <row r="1999">
      <c r="A1999" s="8" t="s">
        <v>162</v>
      </c>
      <c r="B1999" s="8" t="s">
        <v>3815</v>
      </c>
      <c r="C1999" s="8" t="s">
        <v>16</v>
      </c>
      <c r="D1999" s="8" t="s">
        <v>6431</v>
      </c>
      <c r="E1999" s="8">
        <v>64.0</v>
      </c>
    </row>
    <row r="2000">
      <c r="A2000" s="8" t="s">
        <v>162</v>
      </c>
      <c r="B2000" s="8" t="s">
        <v>99</v>
      </c>
      <c r="C2000" s="8" t="s">
        <v>93</v>
      </c>
      <c r="D2000" s="8" t="s">
        <v>6438</v>
      </c>
      <c r="E2000" s="8">
        <v>88.0</v>
      </c>
    </row>
    <row r="2001">
      <c r="A2001" s="8" t="s">
        <v>162</v>
      </c>
      <c r="B2001" s="8" t="s">
        <v>1034</v>
      </c>
      <c r="C2001" s="8" t="s">
        <v>186</v>
      </c>
      <c r="D2001" s="8" t="s">
        <v>6423</v>
      </c>
      <c r="E2001" s="8">
        <v>72.0</v>
      </c>
    </row>
    <row r="2002">
      <c r="A2002" s="8" t="s">
        <v>162</v>
      </c>
      <c r="B2002" s="8" t="s">
        <v>3890</v>
      </c>
      <c r="C2002" s="8" t="s">
        <v>186</v>
      </c>
      <c r="D2002" s="8" t="s">
        <v>6431</v>
      </c>
      <c r="E2002" s="8">
        <v>73.0</v>
      </c>
    </row>
    <row r="2003">
      <c r="A2003" s="8" t="s">
        <v>3322</v>
      </c>
      <c r="B2003" s="8" t="s">
        <v>284</v>
      </c>
      <c r="C2003" s="8" t="s">
        <v>65</v>
      </c>
      <c r="D2003" s="8" t="s">
        <v>6437</v>
      </c>
      <c r="E2003" s="8">
        <v>60.0</v>
      </c>
    </row>
    <row r="2004">
      <c r="A2004" s="8" t="s">
        <v>938</v>
      </c>
      <c r="B2004" s="8" t="s">
        <v>937</v>
      </c>
      <c r="C2004" s="8" t="s">
        <v>46</v>
      </c>
      <c r="D2004" s="8" t="s">
        <v>6430</v>
      </c>
      <c r="E2004" s="8">
        <v>68.0</v>
      </c>
    </row>
    <row r="2005">
      <c r="A2005" s="8" t="s">
        <v>1858</v>
      </c>
      <c r="B2005" s="8" t="s">
        <v>2860</v>
      </c>
      <c r="C2005" s="8" t="s">
        <v>12</v>
      </c>
      <c r="D2005" s="8" t="s">
        <v>6438</v>
      </c>
      <c r="E2005" s="8">
        <v>79.0</v>
      </c>
    </row>
    <row r="2006">
      <c r="A2006" s="8" t="s">
        <v>1858</v>
      </c>
      <c r="B2006" s="8" t="s">
        <v>3483</v>
      </c>
      <c r="C2006" s="8" t="s">
        <v>132</v>
      </c>
      <c r="D2006" s="8" t="s">
        <v>6423</v>
      </c>
      <c r="E2006" s="8">
        <v>64.0</v>
      </c>
    </row>
    <row r="2007">
      <c r="A2007" s="8" t="s">
        <v>1858</v>
      </c>
      <c r="B2007" s="8" t="s">
        <v>3881</v>
      </c>
      <c r="C2007" s="8" t="s">
        <v>149</v>
      </c>
      <c r="D2007" s="8" t="s">
        <v>6436</v>
      </c>
      <c r="E2007" s="8">
        <v>84.0</v>
      </c>
    </row>
    <row r="2008">
      <c r="A2008" s="8" t="s">
        <v>5946</v>
      </c>
      <c r="B2008" s="8" t="s">
        <v>3742</v>
      </c>
      <c r="C2008" s="8" t="s">
        <v>122</v>
      </c>
      <c r="D2008" s="8" t="s">
        <v>6413</v>
      </c>
      <c r="E2008" s="8">
        <v>79.0</v>
      </c>
    </row>
    <row r="2009">
      <c r="A2009" s="8" t="s">
        <v>560</v>
      </c>
      <c r="B2009" s="8" t="s">
        <v>559</v>
      </c>
      <c r="C2009" s="8" t="s">
        <v>132</v>
      </c>
      <c r="D2009" s="8" t="s">
        <v>6418</v>
      </c>
      <c r="E2009" s="8">
        <v>71.0</v>
      </c>
    </row>
    <row r="2010">
      <c r="A2010" s="8" t="s">
        <v>2993</v>
      </c>
      <c r="B2010" s="8" t="s">
        <v>2992</v>
      </c>
      <c r="C2010" s="8" t="s">
        <v>70</v>
      </c>
      <c r="D2010" s="8" t="s">
        <v>6427</v>
      </c>
      <c r="E2010" s="8">
        <v>64.0</v>
      </c>
    </row>
    <row r="2011">
      <c r="A2011" s="8" t="s">
        <v>3275</v>
      </c>
      <c r="B2011" s="8" t="s">
        <v>3274</v>
      </c>
      <c r="C2011" s="8" t="s">
        <v>93</v>
      </c>
      <c r="D2011" s="8" t="s">
        <v>6439</v>
      </c>
      <c r="E2011" s="8">
        <v>71.0</v>
      </c>
    </row>
    <row r="2012">
      <c r="A2012" s="8" t="s">
        <v>793</v>
      </c>
      <c r="B2012" s="8" t="s">
        <v>1144</v>
      </c>
      <c r="C2012" s="8" t="s">
        <v>24</v>
      </c>
      <c r="D2012" s="8" t="s">
        <v>6443</v>
      </c>
      <c r="E2012" s="8">
        <v>64.0</v>
      </c>
    </row>
    <row r="2013">
      <c r="A2013" s="8" t="s">
        <v>793</v>
      </c>
      <c r="B2013" s="8" t="s">
        <v>305</v>
      </c>
      <c r="C2013" s="8" t="s">
        <v>65</v>
      </c>
      <c r="D2013" s="8" t="s">
        <v>6438</v>
      </c>
      <c r="E2013" s="8">
        <v>72.0</v>
      </c>
    </row>
    <row r="2014">
      <c r="A2014" s="8" t="s">
        <v>3517</v>
      </c>
      <c r="B2014" s="8" t="s">
        <v>3516</v>
      </c>
      <c r="C2014" s="8" t="s">
        <v>132</v>
      </c>
      <c r="D2014" s="8" t="s">
        <v>6431</v>
      </c>
      <c r="E2014" s="8">
        <v>61.0</v>
      </c>
    </row>
    <row r="2015">
      <c r="A2015" s="8" t="s">
        <v>806</v>
      </c>
      <c r="B2015" s="8" t="s">
        <v>88</v>
      </c>
      <c r="C2015" s="8" t="s">
        <v>122</v>
      </c>
      <c r="D2015" s="8" t="s">
        <v>6429</v>
      </c>
      <c r="E2015" s="8">
        <v>65.0</v>
      </c>
    </row>
    <row r="2016">
      <c r="A2016" s="8" t="s">
        <v>811</v>
      </c>
      <c r="B2016" s="8" t="s">
        <v>62</v>
      </c>
      <c r="C2016" s="8" t="s">
        <v>192</v>
      </c>
      <c r="D2016" s="8" t="s">
        <v>6439</v>
      </c>
      <c r="E2016" s="8">
        <v>72.0</v>
      </c>
    </row>
    <row r="2017">
      <c r="A2017" s="8" t="s">
        <v>3266</v>
      </c>
      <c r="B2017" s="8" t="s">
        <v>2157</v>
      </c>
      <c r="C2017" s="8" t="s">
        <v>192</v>
      </c>
      <c r="D2017" s="8" t="s">
        <v>6415</v>
      </c>
      <c r="E2017" s="8">
        <v>64.0</v>
      </c>
    </row>
    <row r="2018">
      <c r="A2018" s="8" t="s">
        <v>1295</v>
      </c>
      <c r="B2018" s="8" t="s">
        <v>2896</v>
      </c>
      <c r="C2018" s="8" t="s">
        <v>38</v>
      </c>
      <c r="D2018" s="8" t="s">
        <v>6434</v>
      </c>
      <c r="E2018" s="8">
        <v>77.0</v>
      </c>
    </row>
    <row r="2019">
      <c r="A2019" s="8" t="s">
        <v>1295</v>
      </c>
      <c r="B2019" s="8" t="s">
        <v>581</v>
      </c>
      <c r="C2019" s="8" t="s">
        <v>141</v>
      </c>
      <c r="D2019" s="8" t="s">
        <v>6425</v>
      </c>
      <c r="E2019" s="8">
        <v>62.0</v>
      </c>
    </row>
    <row r="2020">
      <c r="A2020" s="8" t="s">
        <v>1295</v>
      </c>
      <c r="B2020" s="8" t="s">
        <v>1294</v>
      </c>
      <c r="C2020" s="8" t="s">
        <v>59</v>
      </c>
      <c r="D2020" s="8" t="s">
        <v>6412</v>
      </c>
      <c r="E2020" s="8">
        <v>73.0</v>
      </c>
    </row>
    <row r="2021">
      <c r="A2021" s="8" t="s">
        <v>1295</v>
      </c>
      <c r="B2021" s="8" t="s">
        <v>3495</v>
      </c>
      <c r="C2021" s="8" t="s">
        <v>70</v>
      </c>
      <c r="D2021" s="8" t="s">
        <v>6425</v>
      </c>
      <c r="E2021" s="8">
        <v>81.0</v>
      </c>
    </row>
    <row r="2022">
      <c r="A2022" s="8" t="s">
        <v>1295</v>
      </c>
      <c r="B2022" s="8" t="s">
        <v>834</v>
      </c>
      <c r="C2022" s="8" t="s">
        <v>65</v>
      </c>
      <c r="D2022" s="8" t="s">
        <v>6413</v>
      </c>
      <c r="E2022" s="8">
        <v>52.0</v>
      </c>
    </row>
    <row r="2023">
      <c r="A2023" s="8" t="s">
        <v>3319</v>
      </c>
      <c r="B2023" s="8" t="s">
        <v>282</v>
      </c>
      <c r="C2023" s="8" t="s">
        <v>215</v>
      </c>
      <c r="D2023" s="8" t="s">
        <v>6412</v>
      </c>
      <c r="E2023" s="8">
        <v>61.0</v>
      </c>
    </row>
    <row r="2024">
      <c r="A2024" s="8" t="s">
        <v>1241</v>
      </c>
      <c r="B2024" s="8" t="s">
        <v>1164</v>
      </c>
      <c r="C2024" s="8" t="s">
        <v>65</v>
      </c>
      <c r="D2024" s="8" t="s">
        <v>6413</v>
      </c>
      <c r="E2024" s="8">
        <v>63.0</v>
      </c>
    </row>
    <row r="2025">
      <c r="A2025" s="8" t="s">
        <v>1241</v>
      </c>
      <c r="B2025" s="8" t="s">
        <v>741</v>
      </c>
      <c r="C2025" s="8" t="s">
        <v>138</v>
      </c>
      <c r="D2025" s="8" t="s">
        <v>6430</v>
      </c>
      <c r="E2025" s="8">
        <v>75.0</v>
      </c>
    </row>
    <row r="2026">
      <c r="A2026" s="8" t="s">
        <v>1241</v>
      </c>
      <c r="B2026" s="8" t="s">
        <v>111</v>
      </c>
      <c r="C2026" s="8" t="s">
        <v>75</v>
      </c>
      <c r="D2026" s="8" t="s">
        <v>6436</v>
      </c>
      <c r="E2026" s="8">
        <v>74.0</v>
      </c>
    </row>
    <row r="2027">
      <c r="A2027" s="8" t="s">
        <v>1241</v>
      </c>
      <c r="B2027" s="8" t="s">
        <v>3795</v>
      </c>
      <c r="C2027" s="8" t="s">
        <v>59</v>
      </c>
      <c r="D2027" s="8" t="s">
        <v>6432</v>
      </c>
      <c r="E2027" s="8">
        <v>63.0</v>
      </c>
    </row>
    <row r="2028">
      <c r="A2028" s="8" t="s">
        <v>1241</v>
      </c>
      <c r="B2028" s="8" t="s">
        <v>788</v>
      </c>
      <c r="C2028" s="8" t="s">
        <v>53</v>
      </c>
      <c r="D2028" s="8" t="s">
        <v>6419</v>
      </c>
      <c r="E2028" s="8">
        <v>59.0</v>
      </c>
    </row>
    <row r="2029">
      <c r="A2029" s="8" t="s">
        <v>1241</v>
      </c>
      <c r="B2029" s="8" t="s">
        <v>444</v>
      </c>
      <c r="C2029" s="8" t="s">
        <v>53</v>
      </c>
      <c r="D2029" s="8" t="s">
        <v>6441</v>
      </c>
      <c r="E2029" s="8">
        <v>75.0</v>
      </c>
    </row>
    <row r="2030">
      <c r="A2030" s="8" t="s">
        <v>1080</v>
      </c>
      <c r="B2030" s="8" t="s">
        <v>1079</v>
      </c>
      <c r="C2030" s="8" t="s">
        <v>53</v>
      </c>
      <c r="D2030" s="8" t="s">
        <v>6412</v>
      </c>
      <c r="E2030" s="8">
        <v>80.0</v>
      </c>
    </row>
    <row r="2031">
      <c r="A2031" s="8" t="s">
        <v>3145</v>
      </c>
      <c r="B2031" s="8" t="s">
        <v>455</v>
      </c>
      <c r="C2031" s="8" t="s">
        <v>93</v>
      </c>
      <c r="D2031" s="8" t="s">
        <v>6435</v>
      </c>
      <c r="E2031" s="8">
        <v>72.0</v>
      </c>
    </row>
    <row r="2032">
      <c r="A2032" s="8" t="s">
        <v>3254</v>
      </c>
      <c r="B2032" s="8" t="s">
        <v>510</v>
      </c>
      <c r="C2032" s="8" t="s">
        <v>122</v>
      </c>
      <c r="D2032" s="8" t="s">
        <v>6429</v>
      </c>
      <c r="E2032" s="8">
        <v>83.0</v>
      </c>
    </row>
    <row r="2033">
      <c r="A2033" s="8" t="s">
        <v>990</v>
      </c>
      <c r="B2033" s="8" t="s">
        <v>989</v>
      </c>
      <c r="C2033" s="8" t="s">
        <v>192</v>
      </c>
      <c r="D2033" s="8" t="s">
        <v>6431</v>
      </c>
      <c r="E2033" s="8">
        <v>62.0</v>
      </c>
    </row>
    <row r="2034">
      <c r="A2034" s="8" t="s">
        <v>2087</v>
      </c>
      <c r="B2034" s="8" t="s">
        <v>3231</v>
      </c>
      <c r="C2034" s="8" t="s">
        <v>70</v>
      </c>
      <c r="D2034" s="8" t="s">
        <v>6422</v>
      </c>
      <c r="E2034" s="8">
        <v>73.0</v>
      </c>
    </row>
    <row r="2035">
      <c r="A2035" s="8" t="s">
        <v>2087</v>
      </c>
      <c r="B2035" s="8" t="s">
        <v>537</v>
      </c>
      <c r="C2035" s="8" t="s">
        <v>16</v>
      </c>
      <c r="D2035" s="8" t="s">
        <v>6429</v>
      </c>
      <c r="E2035" s="8">
        <v>68.0</v>
      </c>
    </row>
    <row r="2036">
      <c r="A2036" s="8" t="s">
        <v>2087</v>
      </c>
      <c r="B2036" s="8" t="s">
        <v>96</v>
      </c>
      <c r="C2036" s="8" t="s">
        <v>93</v>
      </c>
      <c r="D2036" s="8" t="s">
        <v>6419</v>
      </c>
      <c r="E2036" s="8">
        <v>70.0</v>
      </c>
    </row>
    <row r="2037">
      <c r="A2037" s="8" t="s">
        <v>832</v>
      </c>
      <c r="B2037" s="8" t="s">
        <v>3328</v>
      </c>
      <c r="C2037" s="8" t="s">
        <v>75</v>
      </c>
      <c r="D2037" s="8" t="s">
        <v>6416</v>
      </c>
      <c r="E2037" s="8">
        <v>74.0</v>
      </c>
    </row>
    <row r="2038">
      <c r="A2038" s="8" t="s">
        <v>832</v>
      </c>
      <c r="B2038" s="8" t="s">
        <v>78</v>
      </c>
      <c r="C2038" s="8" t="s">
        <v>192</v>
      </c>
      <c r="D2038" s="8" t="s">
        <v>6417</v>
      </c>
      <c r="E2038" s="8">
        <v>75.0</v>
      </c>
    </row>
    <row r="2039">
      <c r="A2039" s="8" t="s">
        <v>3847</v>
      </c>
      <c r="B2039" s="8" t="s">
        <v>3846</v>
      </c>
      <c r="C2039" s="8" t="s">
        <v>186</v>
      </c>
      <c r="D2039" s="8" t="s">
        <v>6422</v>
      </c>
      <c r="E2039" s="8">
        <v>61.0</v>
      </c>
    </row>
    <row r="2040">
      <c r="A2040" s="8" t="s">
        <v>3355</v>
      </c>
      <c r="B2040" s="8" t="s">
        <v>3354</v>
      </c>
      <c r="C2040" s="8" t="s">
        <v>59</v>
      </c>
      <c r="D2040" s="8" t="s">
        <v>6436</v>
      </c>
      <c r="E2040" s="8">
        <v>77.0</v>
      </c>
    </row>
    <row r="2041">
      <c r="A2041" s="8" t="s">
        <v>709</v>
      </c>
      <c r="B2041" s="8" t="s">
        <v>89</v>
      </c>
      <c r="C2041" s="8" t="s">
        <v>215</v>
      </c>
      <c r="D2041" s="8" t="s">
        <v>6440</v>
      </c>
      <c r="E2041" s="8">
        <v>66.0</v>
      </c>
    </row>
    <row r="2042">
      <c r="A2042" s="8" t="s">
        <v>787</v>
      </c>
      <c r="B2042" s="8" t="s">
        <v>1424</v>
      </c>
      <c r="C2042" s="8" t="s">
        <v>122</v>
      </c>
      <c r="D2042" s="8" t="s">
        <v>6413</v>
      </c>
      <c r="E2042" s="8">
        <v>68.0</v>
      </c>
    </row>
    <row r="2043">
      <c r="A2043" s="8" t="s">
        <v>787</v>
      </c>
      <c r="B2043" s="8" t="s">
        <v>1584</v>
      </c>
      <c r="C2043" s="8" t="s">
        <v>122</v>
      </c>
      <c r="D2043" s="8" t="s">
        <v>6418</v>
      </c>
      <c r="E2043" s="8">
        <v>77.0</v>
      </c>
    </row>
    <row r="2044">
      <c r="A2044" s="8" t="s">
        <v>787</v>
      </c>
      <c r="B2044" s="8" t="s">
        <v>786</v>
      </c>
      <c r="C2044" s="8" t="s">
        <v>215</v>
      </c>
      <c r="D2044" s="8" t="s">
        <v>6440</v>
      </c>
      <c r="E2044" s="8">
        <v>86.0</v>
      </c>
    </row>
    <row r="2045">
      <c r="A2045" s="8" t="s">
        <v>297</v>
      </c>
      <c r="B2045" s="8" t="s">
        <v>296</v>
      </c>
      <c r="C2045" s="8" t="s">
        <v>93</v>
      </c>
      <c r="D2045" s="8" t="s">
        <v>6427</v>
      </c>
      <c r="E2045" s="8">
        <v>69.0</v>
      </c>
    </row>
    <row r="2046">
      <c r="A2046" s="8" t="s">
        <v>869</v>
      </c>
      <c r="B2046" s="8" t="s">
        <v>868</v>
      </c>
      <c r="C2046" s="8" t="s">
        <v>59</v>
      </c>
      <c r="D2046" s="8" t="s">
        <v>6438</v>
      </c>
      <c r="E2046" s="8">
        <v>69.0</v>
      </c>
    </row>
    <row r="2047">
      <c r="A2047" s="8" t="s">
        <v>3708</v>
      </c>
      <c r="B2047" s="8" t="s">
        <v>3707</v>
      </c>
      <c r="C2047" s="8" t="s">
        <v>192</v>
      </c>
      <c r="D2047" s="8" t="s">
        <v>6412</v>
      </c>
      <c r="E2047" s="8">
        <v>71.0</v>
      </c>
    </row>
    <row r="2048">
      <c r="A2048" s="8" t="s">
        <v>878</v>
      </c>
      <c r="B2048" s="8" t="s">
        <v>877</v>
      </c>
      <c r="C2048" s="8" t="s">
        <v>149</v>
      </c>
      <c r="D2048" s="8" t="s">
        <v>6443</v>
      </c>
      <c r="E2048" s="8">
        <v>67.0</v>
      </c>
    </row>
    <row r="2049">
      <c r="A2049" s="8" t="s">
        <v>3813</v>
      </c>
      <c r="B2049" s="8" t="s">
        <v>3812</v>
      </c>
      <c r="C2049" s="8" t="s">
        <v>70</v>
      </c>
      <c r="D2049" s="8" t="s">
        <v>6416</v>
      </c>
      <c r="E2049" s="8">
        <v>69.0</v>
      </c>
    </row>
    <row r="2050">
      <c r="A2050" s="8" t="s">
        <v>3372</v>
      </c>
      <c r="B2050" s="8" t="s">
        <v>1264</v>
      </c>
      <c r="C2050" s="8" t="s">
        <v>186</v>
      </c>
      <c r="D2050" s="8" t="s">
        <v>6428</v>
      </c>
      <c r="E2050" s="8">
        <v>72.0</v>
      </c>
    </row>
    <row r="2051">
      <c r="A2051" s="8" t="s">
        <v>2261</v>
      </c>
      <c r="B2051" s="8" t="s">
        <v>3688</v>
      </c>
      <c r="C2051" s="8" t="s">
        <v>261</v>
      </c>
      <c r="D2051" s="8" t="s">
        <v>6418</v>
      </c>
      <c r="E2051" s="8">
        <v>63.0</v>
      </c>
    </row>
    <row r="2052">
      <c r="A2052" s="8" t="s">
        <v>746</v>
      </c>
      <c r="B2052" s="8" t="s">
        <v>1156</v>
      </c>
      <c r="C2052" s="8" t="s">
        <v>132</v>
      </c>
      <c r="D2052" s="8" t="s">
        <v>6443</v>
      </c>
      <c r="E2052" s="8">
        <v>64.0</v>
      </c>
    </row>
    <row r="2053">
      <c r="A2053" s="8" t="s">
        <v>746</v>
      </c>
      <c r="B2053" s="8" t="s">
        <v>395</v>
      </c>
      <c r="C2053" s="8" t="s">
        <v>75</v>
      </c>
      <c r="D2053" s="8" t="s">
        <v>6416</v>
      </c>
      <c r="E2053" s="8">
        <v>72.0</v>
      </c>
    </row>
    <row r="2054">
      <c r="A2054" s="8" t="s">
        <v>746</v>
      </c>
      <c r="B2054" s="8" t="s">
        <v>3391</v>
      </c>
      <c r="C2054" s="8" t="s">
        <v>53</v>
      </c>
      <c r="D2054" s="8" t="s">
        <v>6415</v>
      </c>
      <c r="E2054" s="8">
        <v>70.0</v>
      </c>
    </row>
    <row r="2055">
      <c r="A2055" s="8" t="s">
        <v>746</v>
      </c>
      <c r="B2055" s="8" t="s">
        <v>1293</v>
      </c>
      <c r="C2055" s="8" t="s">
        <v>141</v>
      </c>
      <c r="D2055" s="8" t="s">
        <v>6432</v>
      </c>
      <c r="E2055" s="8">
        <v>58.0</v>
      </c>
    </row>
    <row r="2056">
      <c r="A2056" s="8" t="s">
        <v>746</v>
      </c>
      <c r="B2056" s="8" t="s">
        <v>1049</v>
      </c>
      <c r="C2056" s="8" t="s">
        <v>70</v>
      </c>
      <c r="D2056" s="8" t="s">
        <v>6437</v>
      </c>
      <c r="E2056" s="8">
        <v>75.0</v>
      </c>
    </row>
    <row r="2057">
      <c r="A2057" s="8" t="s">
        <v>2739</v>
      </c>
      <c r="B2057" s="8" t="s">
        <v>2938</v>
      </c>
      <c r="C2057" s="8" t="s">
        <v>138</v>
      </c>
      <c r="D2057" s="8" t="s">
        <v>6438</v>
      </c>
      <c r="E2057" s="8">
        <v>63.0</v>
      </c>
    </row>
    <row r="2058">
      <c r="A2058" s="8" t="s">
        <v>548</v>
      </c>
      <c r="B2058" s="8" t="s">
        <v>547</v>
      </c>
      <c r="C2058" s="8" t="s">
        <v>93</v>
      </c>
      <c r="D2058" s="8" t="s">
        <v>6433</v>
      </c>
      <c r="E2058" s="8">
        <v>66.0</v>
      </c>
    </row>
    <row r="2059">
      <c r="A2059" s="8" t="s">
        <v>2918</v>
      </c>
      <c r="B2059" s="8" t="s">
        <v>3738</v>
      </c>
      <c r="C2059" s="8" t="s">
        <v>138</v>
      </c>
      <c r="D2059" s="8" t="s">
        <v>6425</v>
      </c>
      <c r="E2059" s="8">
        <v>65.0</v>
      </c>
    </row>
    <row r="2060">
      <c r="A2060" s="8" t="s">
        <v>576</v>
      </c>
      <c r="B2060" s="8" t="s">
        <v>575</v>
      </c>
      <c r="C2060" s="8" t="s">
        <v>122</v>
      </c>
      <c r="D2060" s="8" t="s">
        <v>6441</v>
      </c>
      <c r="E2060" s="8">
        <v>79.0</v>
      </c>
    </row>
    <row r="2061">
      <c r="A2061" s="8" t="s">
        <v>2726</v>
      </c>
      <c r="B2061" s="8" t="s">
        <v>357</v>
      </c>
      <c r="C2061" s="8" t="s">
        <v>122</v>
      </c>
      <c r="D2061" s="8" t="s">
        <v>6420</v>
      </c>
      <c r="E2061" s="8">
        <v>68.0</v>
      </c>
    </row>
    <row r="2062">
      <c r="A2062" s="8" t="s">
        <v>2726</v>
      </c>
      <c r="B2062" s="8" t="s">
        <v>2929</v>
      </c>
      <c r="C2062" s="8" t="s">
        <v>192</v>
      </c>
      <c r="D2062" s="8" t="s">
        <v>6428</v>
      </c>
      <c r="E2062" s="8">
        <v>60.0</v>
      </c>
    </row>
    <row r="2063">
      <c r="A2063" s="8" t="s">
        <v>454</v>
      </c>
      <c r="B2063" s="8" t="s">
        <v>453</v>
      </c>
      <c r="C2063" s="8" t="s">
        <v>141</v>
      </c>
      <c r="D2063" s="8" t="s">
        <v>6424</v>
      </c>
      <c r="E2063" s="8">
        <v>79.0</v>
      </c>
    </row>
    <row r="2064">
      <c r="A2064" s="8" t="s">
        <v>1429</v>
      </c>
      <c r="B2064" s="8" t="s">
        <v>1147</v>
      </c>
      <c r="C2064" s="8" t="s">
        <v>65</v>
      </c>
      <c r="D2064" s="8" t="s">
        <v>6429</v>
      </c>
      <c r="E2064" s="8">
        <v>79.0</v>
      </c>
    </row>
    <row r="2065">
      <c r="A2065" s="8" t="s">
        <v>3866</v>
      </c>
      <c r="B2065" s="8" t="s">
        <v>441</v>
      </c>
      <c r="C2065" s="8" t="s">
        <v>70</v>
      </c>
      <c r="D2065" s="8" t="s">
        <v>6419</v>
      </c>
      <c r="E2065" s="8">
        <v>73.0</v>
      </c>
    </row>
    <row r="2066">
      <c r="A2066" s="8" t="s">
        <v>3375</v>
      </c>
      <c r="B2066" s="8" t="s">
        <v>3374</v>
      </c>
      <c r="C2066" s="8" t="s">
        <v>46</v>
      </c>
      <c r="D2066" s="8" t="s">
        <v>6435</v>
      </c>
      <c r="E2066" s="8">
        <v>59.0</v>
      </c>
    </row>
    <row r="2067">
      <c r="A2067" s="8" t="s">
        <v>88</v>
      </c>
      <c r="B2067" s="8" t="s">
        <v>636</v>
      </c>
      <c r="C2067" s="8" t="s">
        <v>24</v>
      </c>
      <c r="D2067" s="8" t="s">
        <v>6434</v>
      </c>
      <c r="E2067" s="8">
        <v>63.0</v>
      </c>
    </row>
    <row r="2068">
      <c r="A2068" s="8" t="s">
        <v>88</v>
      </c>
      <c r="B2068" s="8" t="s">
        <v>87</v>
      </c>
      <c r="C2068" s="8" t="s">
        <v>12</v>
      </c>
      <c r="D2068" s="8" t="s">
        <v>6436</v>
      </c>
      <c r="E2068" s="8">
        <v>85.0</v>
      </c>
    </row>
    <row r="2069">
      <c r="A2069" s="8" t="s">
        <v>88</v>
      </c>
      <c r="B2069" s="8" t="s">
        <v>537</v>
      </c>
      <c r="C2069" s="8" t="s">
        <v>65</v>
      </c>
      <c r="D2069" s="8" t="s">
        <v>6441</v>
      </c>
      <c r="E2069" s="8">
        <v>62.0</v>
      </c>
    </row>
    <row r="2070">
      <c r="A2070" s="8" t="s">
        <v>88</v>
      </c>
      <c r="B2070" s="8" t="s">
        <v>1905</v>
      </c>
      <c r="C2070" s="8" t="s">
        <v>16</v>
      </c>
      <c r="D2070" s="8" t="s">
        <v>6428</v>
      </c>
      <c r="E2070" s="8">
        <v>62.0</v>
      </c>
    </row>
    <row r="2071">
      <c r="A2071" s="8" t="s">
        <v>88</v>
      </c>
      <c r="B2071" s="8" t="s">
        <v>3388</v>
      </c>
      <c r="C2071" s="8" t="s">
        <v>138</v>
      </c>
      <c r="D2071" s="8" t="s">
        <v>6416</v>
      </c>
      <c r="E2071" s="8">
        <v>75.0</v>
      </c>
    </row>
    <row r="2072">
      <c r="A2072" s="8" t="s">
        <v>88</v>
      </c>
      <c r="B2072" s="8" t="s">
        <v>1660</v>
      </c>
      <c r="C2072" s="8" t="s">
        <v>215</v>
      </c>
      <c r="D2072" s="8" t="s">
        <v>6429</v>
      </c>
      <c r="E2072" s="8">
        <v>63.0</v>
      </c>
    </row>
    <row r="2073">
      <c r="A2073" s="8" t="s">
        <v>694</v>
      </c>
      <c r="B2073" s="8" t="s">
        <v>693</v>
      </c>
      <c r="C2073" s="8" t="s">
        <v>93</v>
      </c>
      <c r="D2073" s="8" t="s">
        <v>6430</v>
      </c>
      <c r="E2073" s="8">
        <v>85.0</v>
      </c>
    </row>
    <row r="2074">
      <c r="A2074" s="8" t="s">
        <v>694</v>
      </c>
      <c r="B2074" s="8" t="s">
        <v>1319</v>
      </c>
      <c r="C2074" s="8" t="s">
        <v>215</v>
      </c>
      <c r="D2074" s="8" t="s">
        <v>6439</v>
      </c>
      <c r="E2074" s="8">
        <v>78.0</v>
      </c>
    </row>
    <row r="2075">
      <c r="A2075" s="8" t="s">
        <v>2659</v>
      </c>
      <c r="B2075" s="8" t="s">
        <v>212</v>
      </c>
      <c r="C2075" s="8" t="s">
        <v>53</v>
      </c>
      <c r="D2075" s="8" t="s">
        <v>6418</v>
      </c>
      <c r="E2075" s="8">
        <v>74.0</v>
      </c>
    </row>
    <row r="2076">
      <c r="A2076" s="8" t="s">
        <v>1035</v>
      </c>
      <c r="B2076" s="8" t="s">
        <v>240</v>
      </c>
      <c r="C2076" s="8" t="s">
        <v>215</v>
      </c>
      <c r="D2076" s="8" t="s">
        <v>6428</v>
      </c>
      <c r="E2076" s="8">
        <v>59.0</v>
      </c>
    </row>
    <row r="2077">
      <c r="A2077" s="8" t="s">
        <v>1035</v>
      </c>
      <c r="B2077" s="8" t="s">
        <v>1264</v>
      </c>
      <c r="C2077" s="8" t="s">
        <v>93</v>
      </c>
      <c r="D2077" s="8" t="s">
        <v>6430</v>
      </c>
      <c r="E2077" s="8">
        <v>76.0</v>
      </c>
    </row>
    <row r="2078">
      <c r="A2078" s="8" t="s">
        <v>1035</v>
      </c>
      <c r="B2078" s="8" t="s">
        <v>796</v>
      </c>
      <c r="C2078" s="8" t="s">
        <v>65</v>
      </c>
      <c r="D2078" s="8" t="s">
        <v>6425</v>
      </c>
      <c r="E2078" s="8">
        <v>74.0</v>
      </c>
    </row>
    <row r="2079">
      <c r="A2079" s="8" t="s">
        <v>3017</v>
      </c>
      <c r="B2079" s="8" t="s">
        <v>1955</v>
      </c>
      <c r="C2079" s="8" t="s">
        <v>70</v>
      </c>
      <c r="D2079" s="8" t="s">
        <v>6420</v>
      </c>
      <c r="E2079" s="8">
        <v>71.0</v>
      </c>
    </row>
    <row r="2080">
      <c r="A2080" s="8" t="s">
        <v>167</v>
      </c>
      <c r="B2080" s="8" t="s">
        <v>1884</v>
      </c>
      <c r="C2080" s="8" t="s">
        <v>186</v>
      </c>
      <c r="D2080" s="8" t="s">
        <v>6433</v>
      </c>
      <c r="E2080" s="8">
        <v>58.0</v>
      </c>
    </row>
    <row r="2081">
      <c r="A2081" s="8" t="s">
        <v>167</v>
      </c>
      <c r="B2081" s="8" t="s">
        <v>166</v>
      </c>
      <c r="C2081" s="8" t="s">
        <v>122</v>
      </c>
      <c r="D2081" s="8" t="s">
        <v>6440</v>
      </c>
      <c r="E2081" s="8">
        <v>78.0</v>
      </c>
    </row>
    <row r="2082">
      <c r="A2082" s="8" t="s">
        <v>167</v>
      </c>
      <c r="B2082" s="8" t="s">
        <v>3849</v>
      </c>
      <c r="C2082" s="8" t="s">
        <v>65</v>
      </c>
      <c r="D2082" s="8" t="s">
        <v>6435</v>
      </c>
      <c r="E2082" s="8">
        <v>89.0</v>
      </c>
    </row>
    <row r="2083">
      <c r="A2083" s="8" t="s">
        <v>167</v>
      </c>
      <c r="B2083" s="8" t="s">
        <v>78</v>
      </c>
      <c r="C2083" s="8" t="s">
        <v>93</v>
      </c>
      <c r="D2083" s="8" t="s">
        <v>6432</v>
      </c>
      <c r="E2083" s="8">
        <v>71.0</v>
      </c>
    </row>
    <row r="2084">
      <c r="A2084" s="8" t="s">
        <v>759</v>
      </c>
      <c r="B2084" s="8" t="s">
        <v>361</v>
      </c>
      <c r="C2084" s="8" t="s">
        <v>186</v>
      </c>
      <c r="D2084" s="8" t="s">
        <v>6416</v>
      </c>
      <c r="E2084" s="8">
        <v>61.0</v>
      </c>
    </row>
    <row r="2085">
      <c r="A2085" s="8" t="s">
        <v>759</v>
      </c>
      <c r="B2085" s="8" t="s">
        <v>115</v>
      </c>
      <c r="C2085" s="8" t="s">
        <v>12</v>
      </c>
      <c r="D2085" s="8" t="s">
        <v>6433</v>
      </c>
      <c r="E2085" s="8">
        <v>84.0</v>
      </c>
    </row>
    <row r="2086">
      <c r="A2086" s="8" t="s">
        <v>759</v>
      </c>
      <c r="B2086" s="8" t="s">
        <v>389</v>
      </c>
      <c r="C2086" s="8" t="s">
        <v>186</v>
      </c>
      <c r="D2086" s="8" t="s">
        <v>6439</v>
      </c>
      <c r="E2086" s="8">
        <v>68.0</v>
      </c>
    </row>
    <row r="2087">
      <c r="A2087" s="8" t="s">
        <v>759</v>
      </c>
      <c r="B2087" s="8" t="s">
        <v>758</v>
      </c>
      <c r="C2087" s="8" t="s">
        <v>215</v>
      </c>
      <c r="D2087" s="8" t="s">
        <v>6424</v>
      </c>
      <c r="E2087" s="8">
        <v>65.0</v>
      </c>
    </row>
    <row r="2088">
      <c r="A2088" s="8" t="s">
        <v>759</v>
      </c>
      <c r="B2088" s="8" t="s">
        <v>220</v>
      </c>
      <c r="C2088" s="8" t="s">
        <v>93</v>
      </c>
      <c r="D2088" s="8" t="s">
        <v>6437</v>
      </c>
      <c r="E2088" s="8">
        <v>70.0</v>
      </c>
    </row>
    <row r="2089">
      <c r="A2089" s="8" t="s">
        <v>759</v>
      </c>
      <c r="B2089" s="8" t="s">
        <v>77</v>
      </c>
      <c r="C2089" s="8" t="s">
        <v>80</v>
      </c>
      <c r="D2089" s="8" t="s">
        <v>6433</v>
      </c>
      <c r="E2089" s="8">
        <v>68.0</v>
      </c>
    </row>
    <row r="2090">
      <c r="A2090" s="8" t="s">
        <v>3102</v>
      </c>
      <c r="B2090" s="8" t="s">
        <v>106</v>
      </c>
      <c r="C2090" s="8" t="s">
        <v>192</v>
      </c>
      <c r="D2090" s="8" t="s">
        <v>6437</v>
      </c>
      <c r="E2090" s="8">
        <v>77.0</v>
      </c>
    </row>
    <row r="2091">
      <c r="A2091" s="8" t="s">
        <v>3102</v>
      </c>
      <c r="B2091" s="8" t="s">
        <v>389</v>
      </c>
      <c r="C2091" s="8" t="s">
        <v>65</v>
      </c>
      <c r="D2091" s="8" t="s">
        <v>6432</v>
      </c>
      <c r="E2091" s="8">
        <v>77.0</v>
      </c>
    </row>
    <row r="2092">
      <c r="A2092" s="8" t="s">
        <v>1552</v>
      </c>
      <c r="B2092" s="8" t="s">
        <v>389</v>
      </c>
      <c r="C2092" s="8" t="s">
        <v>70</v>
      </c>
      <c r="D2092" s="8" t="s">
        <v>6426</v>
      </c>
      <c r="E2092" s="8">
        <v>69.0</v>
      </c>
    </row>
    <row r="2093">
      <c r="A2093" s="8" t="s">
        <v>5970</v>
      </c>
      <c r="B2093" s="8" t="s">
        <v>1752</v>
      </c>
      <c r="C2093" s="8" t="s">
        <v>192</v>
      </c>
      <c r="D2093" s="8" t="s">
        <v>6416</v>
      </c>
      <c r="E2093" s="8">
        <v>74.0</v>
      </c>
    </row>
    <row r="2094">
      <c r="A2094" s="8" t="s">
        <v>3889</v>
      </c>
      <c r="B2094" s="8" t="s">
        <v>1332</v>
      </c>
      <c r="C2094" s="8" t="s">
        <v>38</v>
      </c>
      <c r="D2094" s="8" t="s">
        <v>6441</v>
      </c>
      <c r="E2094" s="8">
        <v>69.0</v>
      </c>
    </row>
    <row r="2095">
      <c r="A2095" s="8" t="s">
        <v>450</v>
      </c>
      <c r="B2095" s="8" t="s">
        <v>78</v>
      </c>
      <c r="C2095" s="8" t="s">
        <v>122</v>
      </c>
      <c r="D2095" s="8" t="s">
        <v>6412</v>
      </c>
      <c r="E2095" s="8">
        <v>74.0</v>
      </c>
    </row>
    <row r="2096">
      <c r="A2096" s="8" t="s">
        <v>6447</v>
      </c>
      <c r="B2096" s="8" t="s">
        <v>2310</v>
      </c>
      <c r="C2096" s="8" t="s">
        <v>122</v>
      </c>
      <c r="D2096" s="8" t="s">
        <v>6430</v>
      </c>
      <c r="E2096" s="8">
        <v>67.0</v>
      </c>
    </row>
    <row r="2097">
      <c r="A2097" s="8" t="s">
        <v>6447</v>
      </c>
      <c r="B2097" s="8" t="s">
        <v>490</v>
      </c>
      <c r="C2097" s="8" t="s">
        <v>93</v>
      </c>
      <c r="D2097" s="8" t="s">
        <v>6438</v>
      </c>
      <c r="E2097" s="8">
        <v>73.0</v>
      </c>
    </row>
    <row r="2098">
      <c r="A2098" s="8" t="s">
        <v>6447</v>
      </c>
      <c r="B2098" s="8" t="s">
        <v>874</v>
      </c>
      <c r="C2098" s="8" t="s">
        <v>149</v>
      </c>
      <c r="D2098" s="8" t="s">
        <v>6429</v>
      </c>
      <c r="E2098" s="8">
        <v>69.0</v>
      </c>
    </row>
    <row r="2099">
      <c r="A2099" s="8" t="s">
        <v>6447</v>
      </c>
      <c r="B2099" s="8" t="s">
        <v>203</v>
      </c>
      <c r="C2099" s="8" t="s">
        <v>65</v>
      </c>
      <c r="D2099" s="8" t="s">
        <v>6424</v>
      </c>
      <c r="E2099" s="8">
        <v>66.0</v>
      </c>
    </row>
    <row r="2100">
      <c r="A2100" s="8" t="s">
        <v>6447</v>
      </c>
      <c r="B2100" s="8" t="s">
        <v>268</v>
      </c>
      <c r="C2100" s="8" t="s">
        <v>80</v>
      </c>
      <c r="D2100" s="8" t="s">
        <v>6428</v>
      </c>
      <c r="E2100" s="8">
        <v>71.0</v>
      </c>
    </row>
    <row r="2101">
      <c r="A2101" s="8" t="s">
        <v>6447</v>
      </c>
      <c r="B2101" s="8" t="s">
        <v>389</v>
      </c>
      <c r="C2101" s="8" t="s">
        <v>141</v>
      </c>
      <c r="D2101" s="8" t="s">
        <v>6417</v>
      </c>
      <c r="E2101" s="8">
        <v>67.0</v>
      </c>
    </row>
    <row r="2102">
      <c r="A2102" s="8" t="s">
        <v>6447</v>
      </c>
      <c r="B2102" s="8" t="s">
        <v>284</v>
      </c>
      <c r="C2102" s="8" t="s">
        <v>65</v>
      </c>
      <c r="D2102" s="8" t="s">
        <v>6420</v>
      </c>
      <c r="E2102" s="8">
        <v>66.0</v>
      </c>
    </row>
    <row r="2103">
      <c r="A2103" s="8" t="s">
        <v>6447</v>
      </c>
      <c r="B2103" s="8" t="s">
        <v>2892</v>
      </c>
      <c r="C2103" s="8" t="s">
        <v>132</v>
      </c>
      <c r="D2103" s="8" t="s">
        <v>6421</v>
      </c>
      <c r="E2103" s="8">
        <v>91.0</v>
      </c>
    </row>
    <row r="2104">
      <c r="A2104" s="8" t="s">
        <v>6447</v>
      </c>
      <c r="B2104" s="8" t="s">
        <v>3758</v>
      </c>
      <c r="C2104" s="8" t="s">
        <v>192</v>
      </c>
      <c r="D2104" s="8" t="s">
        <v>6414</v>
      </c>
      <c r="E2104" s="8">
        <v>83.0</v>
      </c>
    </row>
    <row r="2105">
      <c r="A2105" s="8" t="s">
        <v>6447</v>
      </c>
      <c r="B2105" s="8" t="s">
        <v>825</v>
      </c>
      <c r="C2105" s="8" t="s">
        <v>192</v>
      </c>
      <c r="D2105" s="8" t="s">
        <v>6412</v>
      </c>
      <c r="E2105" s="8">
        <v>85.0</v>
      </c>
    </row>
    <row r="2106">
      <c r="A2106" s="8" t="s">
        <v>6447</v>
      </c>
      <c r="B2106" s="8" t="s">
        <v>1676</v>
      </c>
      <c r="C2106" s="8" t="s">
        <v>70</v>
      </c>
      <c r="D2106" s="8" t="s">
        <v>6413</v>
      </c>
      <c r="E2106" s="8">
        <v>80.0</v>
      </c>
    </row>
    <row r="2107">
      <c r="A2107" s="8" t="s">
        <v>6448</v>
      </c>
      <c r="B2107" s="8" t="s">
        <v>539</v>
      </c>
      <c r="C2107" s="8" t="s">
        <v>65</v>
      </c>
      <c r="D2107" s="8" t="s">
        <v>6428</v>
      </c>
      <c r="E2107" s="8">
        <v>89.0</v>
      </c>
    </row>
    <row r="2108">
      <c r="A2108" s="8" t="s">
        <v>6448</v>
      </c>
      <c r="B2108" s="8" t="s">
        <v>1252</v>
      </c>
      <c r="C2108" s="8" t="s">
        <v>215</v>
      </c>
      <c r="D2108" s="8" t="s">
        <v>6428</v>
      </c>
      <c r="E2108" s="8">
        <v>61.0</v>
      </c>
    </row>
    <row r="2109">
      <c r="A2109" s="8" t="s">
        <v>618</v>
      </c>
      <c r="B2109" s="8" t="s">
        <v>617</v>
      </c>
      <c r="C2109" s="8" t="s">
        <v>53</v>
      </c>
      <c r="D2109" s="8" t="s">
        <v>6420</v>
      </c>
      <c r="E2109" s="8">
        <v>83.0</v>
      </c>
    </row>
    <row r="2110">
      <c r="A2110" s="8" t="s">
        <v>287</v>
      </c>
      <c r="B2110" s="8" t="s">
        <v>284</v>
      </c>
      <c r="C2110" s="8" t="s">
        <v>70</v>
      </c>
      <c r="D2110" s="8" t="s">
        <v>6438</v>
      </c>
      <c r="E2110" s="8">
        <v>73.0</v>
      </c>
    </row>
    <row r="2111">
      <c r="A2111" s="8" t="s">
        <v>287</v>
      </c>
      <c r="B2111" s="8" t="s">
        <v>284</v>
      </c>
      <c r="C2111" s="8" t="s">
        <v>186</v>
      </c>
      <c r="D2111" s="8" t="s">
        <v>6440</v>
      </c>
      <c r="E2111" s="8">
        <v>64.0</v>
      </c>
    </row>
    <row r="2112">
      <c r="A2112" s="8" t="s">
        <v>1970</v>
      </c>
      <c r="B2112" s="8" t="s">
        <v>1969</v>
      </c>
      <c r="C2112" s="8" t="s">
        <v>65</v>
      </c>
      <c r="D2112" s="8" t="s">
        <v>6423</v>
      </c>
      <c r="E2112" s="8">
        <v>69.0</v>
      </c>
    </row>
    <row r="2113">
      <c r="A2113" s="8" t="s">
        <v>3592</v>
      </c>
      <c r="B2113" s="8" t="s">
        <v>3591</v>
      </c>
      <c r="C2113" s="8" t="s">
        <v>132</v>
      </c>
      <c r="D2113" s="8" t="s">
        <v>6416</v>
      </c>
      <c r="E2113" s="8">
        <v>65.0</v>
      </c>
    </row>
    <row r="2114">
      <c r="A2114" s="8" t="s">
        <v>3291</v>
      </c>
      <c r="B2114" s="8" t="s">
        <v>3290</v>
      </c>
      <c r="C2114" s="8" t="s">
        <v>59</v>
      </c>
      <c r="D2114" s="8" t="s">
        <v>6437</v>
      </c>
      <c r="E2114" s="8">
        <v>90.0</v>
      </c>
    </row>
    <row r="2115">
      <c r="A2115" s="8" t="s">
        <v>489</v>
      </c>
      <c r="B2115" s="8" t="s">
        <v>2718</v>
      </c>
      <c r="C2115" s="8" t="s">
        <v>186</v>
      </c>
      <c r="D2115" s="8" t="s">
        <v>6443</v>
      </c>
      <c r="E2115" s="8">
        <v>65.0</v>
      </c>
    </row>
    <row r="2116">
      <c r="A2116" s="8" t="s">
        <v>489</v>
      </c>
      <c r="B2116" s="8" t="s">
        <v>488</v>
      </c>
      <c r="C2116" s="8" t="s">
        <v>53</v>
      </c>
      <c r="D2116" s="8" t="s">
        <v>6422</v>
      </c>
      <c r="E2116" s="8">
        <v>71.0</v>
      </c>
    </row>
    <row r="2117">
      <c r="A2117" s="8" t="s">
        <v>1803</v>
      </c>
      <c r="B2117" s="8" t="s">
        <v>3406</v>
      </c>
      <c r="C2117" s="8" t="s">
        <v>24</v>
      </c>
      <c r="D2117" s="8" t="s">
        <v>6440</v>
      </c>
      <c r="E2117" s="8">
        <v>46.0</v>
      </c>
    </row>
    <row r="2118">
      <c r="A2118" s="8" t="s">
        <v>3540</v>
      </c>
      <c r="B2118" s="8" t="s">
        <v>3539</v>
      </c>
      <c r="C2118" s="8" t="s">
        <v>122</v>
      </c>
      <c r="D2118" s="8" t="s">
        <v>6440</v>
      </c>
      <c r="E2118" s="8">
        <v>62.0</v>
      </c>
    </row>
    <row r="2119">
      <c r="A2119" s="8" t="s">
        <v>516</v>
      </c>
      <c r="B2119" s="8" t="s">
        <v>515</v>
      </c>
      <c r="C2119" s="8" t="s">
        <v>80</v>
      </c>
      <c r="D2119" s="8" t="s">
        <v>6413</v>
      </c>
      <c r="E2119" s="8">
        <v>77.0</v>
      </c>
    </row>
    <row r="2120">
      <c r="A2120" s="8" t="s">
        <v>2970</v>
      </c>
      <c r="B2120" s="8" t="s">
        <v>2969</v>
      </c>
      <c r="C2120" s="8" t="s">
        <v>93</v>
      </c>
      <c r="D2120" s="8" t="s">
        <v>6412</v>
      </c>
      <c r="E2120" s="8">
        <v>61.0</v>
      </c>
    </row>
    <row r="2121">
      <c r="A2121" s="8" t="s">
        <v>2673</v>
      </c>
      <c r="B2121" s="8" t="s">
        <v>2310</v>
      </c>
      <c r="C2121" s="8" t="s">
        <v>59</v>
      </c>
      <c r="D2121" s="8" t="s">
        <v>6433</v>
      </c>
      <c r="E2121" s="8">
        <v>62.0</v>
      </c>
    </row>
    <row r="2122">
      <c r="A2122" s="8" t="s">
        <v>2882</v>
      </c>
      <c r="B2122" s="8" t="s">
        <v>956</v>
      </c>
      <c r="C2122" s="8" t="s">
        <v>65</v>
      </c>
      <c r="D2122" s="8" t="s">
        <v>6425</v>
      </c>
      <c r="E2122" s="8">
        <v>61.0</v>
      </c>
    </row>
    <row r="2123">
      <c r="A2123" s="8" t="s">
        <v>1114</v>
      </c>
      <c r="B2123" s="8" t="s">
        <v>868</v>
      </c>
      <c r="C2123" s="8" t="s">
        <v>93</v>
      </c>
      <c r="D2123" s="8" t="s">
        <v>6427</v>
      </c>
      <c r="E2123" s="8">
        <v>62.0</v>
      </c>
    </row>
    <row r="2124">
      <c r="A2124" s="8" t="s">
        <v>465</v>
      </c>
      <c r="B2124" s="8" t="s">
        <v>464</v>
      </c>
      <c r="C2124" s="8" t="s">
        <v>65</v>
      </c>
      <c r="D2124" s="8" t="s">
        <v>6414</v>
      </c>
      <c r="E2124" s="8">
        <v>80.0</v>
      </c>
    </row>
    <row r="2125">
      <c r="A2125" s="8" t="s">
        <v>465</v>
      </c>
      <c r="B2125" s="8" t="s">
        <v>451</v>
      </c>
      <c r="C2125" s="8" t="s">
        <v>192</v>
      </c>
      <c r="D2125" s="8" t="s">
        <v>6420</v>
      </c>
      <c r="E2125" s="8">
        <v>73.0</v>
      </c>
    </row>
    <row r="2126">
      <c r="A2126" s="8" t="s">
        <v>465</v>
      </c>
      <c r="B2126" s="8" t="s">
        <v>1675</v>
      </c>
      <c r="C2126" s="8" t="s">
        <v>93</v>
      </c>
      <c r="D2126" s="8" t="s">
        <v>6435</v>
      </c>
      <c r="E2126" s="8">
        <v>67.0</v>
      </c>
    </row>
    <row r="2127">
      <c r="A2127" s="8" t="s">
        <v>3652</v>
      </c>
      <c r="B2127" s="8" t="s">
        <v>3651</v>
      </c>
      <c r="C2127" s="8" t="s">
        <v>93</v>
      </c>
      <c r="D2127" s="8" t="s">
        <v>6428</v>
      </c>
      <c r="E2127" s="8">
        <v>67.0</v>
      </c>
    </row>
    <row r="2128">
      <c r="A2128" s="8" t="s">
        <v>441</v>
      </c>
      <c r="B2128" s="8" t="s">
        <v>3552</v>
      </c>
      <c r="C2128" s="8" t="s">
        <v>12</v>
      </c>
      <c r="D2128" s="8" t="s">
        <v>6414</v>
      </c>
      <c r="E2128" s="8">
        <v>65.0</v>
      </c>
    </row>
    <row r="2129">
      <c r="A2129" s="8" t="s">
        <v>441</v>
      </c>
      <c r="B2129" s="8" t="s">
        <v>3556</v>
      </c>
      <c r="C2129" s="8" t="s">
        <v>141</v>
      </c>
      <c r="D2129" s="8" t="s">
        <v>6419</v>
      </c>
      <c r="E2129" s="8">
        <v>67.0</v>
      </c>
    </row>
    <row r="2130">
      <c r="A2130" s="8" t="s">
        <v>441</v>
      </c>
      <c r="B2130" s="8" t="s">
        <v>1428</v>
      </c>
      <c r="C2130" s="8" t="s">
        <v>46</v>
      </c>
      <c r="D2130" s="8" t="s">
        <v>6420</v>
      </c>
      <c r="E2130" s="8">
        <v>76.0</v>
      </c>
    </row>
    <row r="2131">
      <c r="A2131" s="8" t="s">
        <v>441</v>
      </c>
      <c r="B2131" s="8" t="s">
        <v>3629</v>
      </c>
      <c r="C2131" s="8" t="s">
        <v>149</v>
      </c>
      <c r="D2131" s="8" t="s">
        <v>6426</v>
      </c>
      <c r="E2131" s="8">
        <v>58.0</v>
      </c>
    </row>
    <row r="2132">
      <c r="A2132" s="8" t="s">
        <v>441</v>
      </c>
      <c r="B2132" s="8" t="s">
        <v>688</v>
      </c>
      <c r="C2132" s="8" t="s">
        <v>65</v>
      </c>
      <c r="D2132" s="8" t="s">
        <v>6443</v>
      </c>
      <c r="E2132" s="8">
        <v>72.0</v>
      </c>
    </row>
    <row r="2133">
      <c r="A2133" s="8" t="s">
        <v>441</v>
      </c>
      <c r="B2133" s="8" t="s">
        <v>1468</v>
      </c>
      <c r="C2133" s="8" t="s">
        <v>122</v>
      </c>
      <c r="D2133" s="8" t="s">
        <v>6424</v>
      </c>
      <c r="E2133" s="8">
        <v>65.0</v>
      </c>
    </row>
    <row r="2134">
      <c r="A2134" s="8" t="s">
        <v>441</v>
      </c>
      <c r="B2134" s="8" t="s">
        <v>1188</v>
      </c>
      <c r="C2134" s="8" t="s">
        <v>16</v>
      </c>
      <c r="D2134" s="8" t="s">
        <v>6429</v>
      </c>
      <c r="E2134" s="8">
        <v>60.0</v>
      </c>
    </row>
    <row r="2135">
      <c r="A2135" s="8" t="s">
        <v>441</v>
      </c>
      <c r="B2135" s="8" t="s">
        <v>743</v>
      </c>
      <c r="C2135" s="8" t="s">
        <v>46</v>
      </c>
      <c r="D2135" s="8" t="s">
        <v>6423</v>
      </c>
      <c r="E2135" s="8">
        <v>83.0</v>
      </c>
    </row>
    <row r="2136">
      <c r="A2136" s="8" t="s">
        <v>114</v>
      </c>
      <c r="B2136" s="8" t="s">
        <v>3650</v>
      </c>
      <c r="C2136" s="8" t="s">
        <v>65</v>
      </c>
      <c r="D2136" s="8" t="s">
        <v>6441</v>
      </c>
      <c r="E2136" s="8">
        <v>77.0</v>
      </c>
    </row>
    <row r="2137">
      <c r="A2137" s="8" t="s">
        <v>114</v>
      </c>
      <c r="B2137" s="8" t="s">
        <v>1214</v>
      </c>
      <c r="C2137" s="8" t="s">
        <v>132</v>
      </c>
      <c r="D2137" s="8" t="s">
        <v>6436</v>
      </c>
      <c r="E2137" s="8">
        <v>66.0</v>
      </c>
    </row>
    <row r="2138">
      <c r="A2138" s="8" t="s">
        <v>114</v>
      </c>
      <c r="B2138" s="8" t="s">
        <v>210</v>
      </c>
      <c r="C2138" s="8" t="s">
        <v>75</v>
      </c>
      <c r="D2138" s="8" t="s">
        <v>6427</v>
      </c>
      <c r="E2138" s="8">
        <v>67.0</v>
      </c>
    </row>
    <row r="2139">
      <c r="A2139" s="8" t="s">
        <v>1101</v>
      </c>
      <c r="B2139" s="8" t="s">
        <v>1100</v>
      </c>
      <c r="C2139" s="8" t="s">
        <v>16</v>
      </c>
      <c r="D2139" s="8" t="s">
        <v>6429</v>
      </c>
      <c r="E2139" s="8">
        <v>81.0</v>
      </c>
    </row>
    <row r="2140">
      <c r="A2140" s="8" t="s">
        <v>1101</v>
      </c>
      <c r="B2140" s="8" t="s">
        <v>78</v>
      </c>
      <c r="C2140" s="8" t="s">
        <v>93</v>
      </c>
      <c r="D2140" s="8" t="s">
        <v>6441</v>
      </c>
      <c r="E2140" s="8">
        <v>62.0</v>
      </c>
    </row>
    <row r="2141">
      <c r="A2141" s="8" t="s">
        <v>801</v>
      </c>
      <c r="B2141" s="8" t="s">
        <v>99</v>
      </c>
      <c r="C2141" s="8" t="s">
        <v>53</v>
      </c>
      <c r="D2141" s="8" t="s">
        <v>6413</v>
      </c>
      <c r="E2141" s="8">
        <v>80.0</v>
      </c>
    </row>
    <row r="2142">
      <c r="A2142" s="8" t="s">
        <v>1190</v>
      </c>
      <c r="B2142" s="8" t="s">
        <v>1189</v>
      </c>
      <c r="C2142" s="8" t="s">
        <v>24</v>
      </c>
      <c r="D2142" s="8" t="s">
        <v>6414</v>
      </c>
      <c r="E2142" s="8">
        <v>63.0</v>
      </c>
    </row>
    <row r="2143">
      <c r="A2143" s="8" t="s">
        <v>2982</v>
      </c>
      <c r="B2143" s="8" t="s">
        <v>2981</v>
      </c>
      <c r="C2143" s="8" t="s">
        <v>215</v>
      </c>
      <c r="D2143" s="8" t="s">
        <v>6432</v>
      </c>
      <c r="E2143" s="8">
        <v>65.0</v>
      </c>
    </row>
    <row r="2144">
      <c r="A2144" s="8" t="s">
        <v>2804</v>
      </c>
      <c r="B2144" s="8" t="s">
        <v>2803</v>
      </c>
      <c r="C2144" s="8" t="s">
        <v>53</v>
      </c>
      <c r="D2144" s="8" t="s">
        <v>6416</v>
      </c>
      <c r="E2144" s="8">
        <v>67.0</v>
      </c>
    </row>
    <row r="2145">
      <c r="A2145" s="8" t="s">
        <v>2804</v>
      </c>
      <c r="B2145" s="8" t="s">
        <v>2963</v>
      </c>
      <c r="C2145" s="8" t="s">
        <v>93</v>
      </c>
      <c r="D2145" s="8" t="s">
        <v>6429</v>
      </c>
      <c r="E2145" s="8">
        <v>80.0</v>
      </c>
    </row>
    <row r="2146">
      <c r="A2146" s="8" t="s">
        <v>983</v>
      </c>
      <c r="B2146" s="8" t="s">
        <v>3709</v>
      </c>
      <c r="C2146" s="8" t="s">
        <v>122</v>
      </c>
      <c r="D2146" s="8" t="s">
        <v>6436</v>
      </c>
      <c r="E2146" s="8">
        <v>83.0</v>
      </c>
    </row>
    <row r="2147">
      <c r="A2147" s="8" t="s">
        <v>983</v>
      </c>
      <c r="B2147" s="8" t="s">
        <v>3801</v>
      </c>
      <c r="C2147" s="8" t="s">
        <v>186</v>
      </c>
      <c r="D2147" s="8" t="s">
        <v>6429</v>
      </c>
      <c r="E2147" s="8">
        <v>57.0</v>
      </c>
    </row>
    <row r="2148">
      <c r="A2148" s="8" t="s">
        <v>983</v>
      </c>
      <c r="B2148" s="8" t="s">
        <v>3127</v>
      </c>
      <c r="C2148" s="8" t="s">
        <v>70</v>
      </c>
      <c r="D2148" s="8" t="s">
        <v>6435</v>
      </c>
      <c r="E2148" s="8">
        <v>73.0</v>
      </c>
    </row>
    <row r="2149">
      <c r="A2149" s="8" t="s">
        <v>983</v>
      </c>
      <c r="B2149" s="8" t="s">
        <v>78</v>
      </c>
      <c r="C2149" s="8" t="s">
        <v>65</v>
      </c>
      <c r="D2149" s="8" t="s">
        <v>6442</v>
      </c>
      <c r="E2149" s="8">
        <v>80.0</v>
      </c>
    </row>
    <row r="2150">
      <c r="A2150" s="8" t="s">
        <v>77</v>
      </c>
      <c r="B2150" s="8" t="s">
        <v>3587</v>
      </c>
      <c r="C2150" s="8" t="s">
        <v>93</v>
      </c>
      <c r="D2150" s="8" t="s">
        <v>6432</v>
      </c>
      <c r="E2150" s="8">
        <v>60.0</v>
      </c>
    </row>
    <row r="2151">
      <c r="A2151" s="8" t="s">
        <v>77</v>
      </c>
      <c r="B2151" s="8" t="s">
        <v>293</v>
      </c>
      <c r="C2151" s="8" t="s">
        <v>122</v>
      </c>
      <c r="D2151" s="8" t="s">
        <v>6442</v>
      </c>
      <c r="E2151" s="8">
        <v>73.0</v>
      </c>
    </row>
    <row r="2152">
      <c r="A2152" s="8" t="s">
        <v>77</v>
      </c>
      <c r="B2152" s="8" t="s">
        <v>76</v>
      </c>
      <c r="C2152" s="8" t="s">
        <v>59</v>
      </c>
      <c r="D2152" s="8" t="s">
        <v>6435</v>
      </c>
      <c r="E2152" s="8">
        <v>90.0</v>
      </c>
    </row>
    <row r="2153">
      <c r="A2153" s="8" t="s">
        <v>418</v>
      </c>
      <c r="B2153" s="8" t="s">
        <v>417</v>
      </c>
      <c r="C2153" s="8" t="s">
        <v>65</v>
      </c>
      <c r="D2153" s="8" t="s">
        <v>6443</v>
      </c>
      <c r="E2153" s="8">
        <v>60.0</v>
      </c>
    </row>
    <row r="2154">
      <c r="A2154" s="8" t="s">
        <v>861</v>
      </c>
      <c r="B2154" s="8" t="s">
        <v>224</v>
      </c>
      <c r="C2154" s="8" t="s">
        <v>80</v>
      </c>
      <c r="D2154" s="8" t="s">
        <v>6435</v>
      </c>
      <c r="E2154" s="8">
        <v>72.0</v>
      </c>
    </row>
    <row r="2155">
      <c r="A2155" s="8" t="s">
        <v>861</v>
      </c>
      <c r="B2155" s="8" t="s">
        <v>2788</v>
      </c>
      <c r="C2155" s="8" t="s">
        <v>138</v>
      </c>
      <c r="D2155" s="8" t="s">
        <v>6415</v>
      </c>
      <c r="E2155" s="8">
        <v>66.0</v>
      </c>
    </row>
    <row r="2156">
      <c r="A2156" s="8" t="s">
        <v>861</v>
      </c>
      <c r="B2156" s="8" t="s">
        <v>2913</v>
      </c>
      <c r="C2156" s="8" t="s">
        <v>70</v>
      </c>
      <c r="D2156" s="8" t="s">
        <v>6414</v>
      </c>
      <c r="E2156" s="8">
        <v>69.0</v>
      </c>
    </row>
    <row r="2157">
      <c r="A2157" s="8" t="s">
        <v>640</v>
      </c>
      <c r="B2157" s="8" t="s">
        <v>639</v>
      </c>
      <c r="C2157" s="8" t="s">
        <v>46</v>
      </c>
      <c r="D2157" s="8" t="s">
        <v>6418</v>
      </c>
      <c r="E2157" s="8">
        <v>92.0</v>
      </c>
    </row>
    <row r="2158">
      <c r="A2158" s="8" t="s">
        <v>640</v>
      </c>
      <c r="B2158" s="8" t="s">
        <v>825</v>
      </c>
      <c r="C2158" s="8" t="s">
        <v>70</v>
      </c>
      <c r="D2158" s="8" t="s">
        <v>6431</v>
      </c>
      <c r="E2158" s="8">
        <v>69.0</v>
      </c>
    </row>
    <row r="2159">
      <c r="A2159" s="8" t="s">
        <v>2313</v>
      </c>
      <c r="B2159" s="8" t="s">
        <v>1288</v>
      </c>
      <c r="C2159" s="8" t="s">
        <v>46</v>
      </c>
      <c r="D2159" s="8" t="s">
        <v>6433</v>
      </c>
      <c r="E2159" s="8">
        <v>65.0</v>
      </c>
    </row>
    <row r="2160">
      <c r="A2160" s="8" t="s">
        <v>3440</v>
      </c>
      <c r="B2160" s="8" t="s">
        <v>99</v>
      </c>
      <c r="C2160" s="8" t="s">
        <v>65</v>
      </c>
      <c r="D2160" s="8" t="s">
        <v>6428</v>
      </c>
      <c r="E2160" s="8">
        <v>63.0</v>
      </c>
    </row>
    <row r="2161">
      <c r="A2161" s="8" t="s">
        <v>1126</v>
      </c>
      <c r="B2161" s="8" t="s">
        <v>877</v>
      </c>
      <c r="C2161" s="8" t="s">
        <v>70</v>
      </c>
      <c r="D2161" s="8" t="s">
        <v>6431</v>
      </c>
      <c r="E2161" s="8">
        <v>75.0</v>
      </c>
    </row>
    <row r="2162">
      <c r="A2162" s="8" t="s">
        <v>1126</v>
      </c>
      <c r="B2162" s="8" t="s">
        <v>3367</v>
      </c>
      <c r="C2162" s="8" t="s">
        <v>93</v>
      </c>
      <c r="D2162" s="8" t="s">
        <v>6428</v>
      </c>
      <c r="E2162" s="8">
        <v>64.0</v>
      </c>
    </row>
    <row r="2163">
      <c r="A2163" s="8" t="s">
        <v>3723</v>
      </c>
      <c r="B2163" s="8" t="s">
        <v>94</v>
      </c>
      <c r="C2163" s="8" t="s">
        <v>16</v>
      </c>
      <c r="D2163" s="8" t="s">
        <v>6422</v>
      </c>
      <c r="E2163" s="8">
        <v>65.0</v>
      </c>
    </row>
    <row r="2164">
      <c r="A2164" s="8" t="s">
        <v>3843</v>
      </c>
      <c r="B2164" s="8" t="s">
        <v>601</v>
      </c>
      <c r="C2164" s="8" t="s">
        <v>93</v>
      </c>
      <c r="D2164" s="8" t="s">
        <v>6433</v>
      </c>
      <c r="E2164" s="8">
        <v>71.0</v>
      </c>
    </row>
    <row r="2165">
      <c r="A2165" s="8" t="s">
        <v>789</v>
      </c>
      <c r="B2165" s="8" t="s">
        <v>788</v>
      </c>
      <c r="C2165" s="8" t="s">
        <v>70</v>
      </c>
      <c r="D2165" s="8" t="s">
        <v>6420</v>
      </c>
      <c r="E2165" s="8">
        <v>81.0</v>
      </c>
    </row>
    <row r="2166">
      <c r="A2166" s="8" t="s">
        <v>62</v>
      </c>
      <c r="B2166" s="8" t="s">
        <v>3603</v>
      </c>
      <c r="C2166" s="8" t="s">
        <v>59</v>
      </c>
      <c r="D2166" s="8" t="s">
        <v>6441</v>
      </c>
      <c r="E2166" s="8">
        <v>88.0</v>
      </c>
    </row>
    <row r="2167">
      <c r="A2167" s="8" t="s">
        <v>62</v>
      </c>
      <c r="B2167" s="8" t="s">
        <v>2768</v>
      </c>
      <c r="C2167" s="8" t="s">
        <v>24</v>
      </c>
      <c r="D2167" s="8" t="s">
        <v>6415</v>
      </c>
      <c r="E2167" s="8">
        <v>63.0</v>
      </c>
    </row>
    <row r="2168">
      <c r="A2168" s="8" t="s">
        <v>62</v>
      </c>
      <c r="B2168" s="8" t="s">
        <v>168</v>
      </c>
      <c r="C2168" s="8" t="s">
        <v>38</v>
      </c>
      <c r="D2168" s="8" t="s">
        <v>6418</v>
      </c>
      <c r="E2168" s="8">
        <v>83.0</v>
      </c>
    </row>
    <row r="2169">
      <c r="A2169" s="8" t="s">
        <v>62</v>
      </c>
      <c r="B2169" s="8" t="s">
        <v>1296</v>
      </c>
      <c r="C2169" s="8" t="s">
        <v>70</v>
      </c>
      <c r="D2169" s="8" t="s">
        <v>6433</v>
      </c>
      <c r="E2169" s="8">
        <v>80.0</v>
      </c>
    </row>
    <row r="2170">
      <c r="A2170" s="8" t="s">
        <v>2661</v>
      </c>
      <c r="B2170" s="8" t="s">
        <v>2660</v>
      </c>
      <c r="C2170" s="8" t="s">
        <v>186</v>
      </c>
      <c r="D2170" s="8" t="s">
        <v>6413</v>
      </c>
      <c r="E2170" s="8">
        <v>57.0</v>
      </c>
    </row>
    <row r="2171">
      <c r="A2171" s="8" t="s">
        <v>1209</v>
      </c>
      <c r="B2171" s="8" t="s">
        <v>2310</v>
      </c>
      <c r="C2171" s="8" t="s">
        <v>141</v>
      </c>
      <c r="D2171" s="8" t="s">
        <v>6414</v>
      </c>
      <c r="E2171" s="8">
        <v>69.0</v>
      </c>
    </row>
    <row r="2172">
      <c r="A2172" s="8" t="s">
        <v>1209</v>
      </c>
      <c r="B2172" s="8" t="s">
        <v>535</v>
      </c>
      <c r="C2172" s="8" t="s">
        <v>70</v>
      </c>
      <c r="D2172" s="8" t="s">
        <v>6418</v>
      </c>
      <c r="E2172" s="8">
        <v>73.0</v>
      </c>
    </row>
    <row r="2173">
      <c r="A2173" s="8" t="s">
        <v>1209</v>
      </c>
      <c r="B2173" s="8" t="s">
        <v>3332</v>
      </c>
      <c r="C2173" s="8" t="s">
        <v>75</v>
      </c>
      <c r="D2173" s="8" t="s">
        <v>6418</v>
      </c>
      <c r="E2173" s="8">
        <v>77.0</v>
      </c>
    </row>
    <row r="2174">
      <c r="A2174" s="8" t="s">
        <v>1209</v>
      </c>
      <c r="B2174" s="8" t="s">
        <v>3746</v>
      </c>
      <c r="C2174" s="8" t="s">
        <v>38</v>
      </c>
      <c r="D2174" s="8" t="s">
        <v>6421</v>
      </c>
      <c r="E2174" s="8">
        <v>74.0</v>
      </c>
    </row>
    <row r="2175">
      <c r="A2175" s="8" t="s">
        <v>3696</v>
      </c>
      <c r="B2175" s="8" t="s">
        <v>1208</v>
      </c>
      <c r="C2175" s="8" t="s">
        <v>138</v>
      </c>
      <c r="D2175" s="8" t="s">
        <v>6435</v>
      </c>
      <c r="E2175" s="8">
        <v>76.0</v>
      </c>
    </row>
    <row r="2176">
      <c r="A2176" s="8" t="s">
        <v>3146</v>
      </c>
      <c r="B2176" s="8" t="s">
        <v>455</v>
      </c>
      <c r="C2176" s="8" t="s">
        <v>24</v>
      </c>
      <c r="D2176" s="8" t="s">
        <v>6420</v>
      </c>
      <c r="E2176" s="8">
        <v>71.0</v>
      </c>
    </row>
    <row r="2177">
      <c r="A2177" s="8" t="s">
        <v>3602</v>
      </c>
      <c r="B2177" s="8" t="s">
        <v>61</v>
      </c>
      <c r="C2177" s="8" t="s">
        <v>65</v>
      </c>
      <c r="D2177" s="8" t="s">
        <v>6440</v>
      </c>
      <c r="E2177" s="8">
        <v>65.0</v>
      </c>
    </row>
    <row r="2178">
      <c r="A2178" s="8" t="s">
        <v>883</v>
      </c>
      <c r="B2178" s="8" t="s">
        <v>61</v>
      </c>
      <c r="C2178" s="8" t="s">
        <v>186</v>
      </c>
      <c r="D2178" s="8" t="s">
        <v>6412</v>
      </c>
      <c r="E2178" s="8">
        <v>64.0</v>
      </c>
    </row>
    <row r="2179">
      <c r="A2179" s="8" t="s">
        <v>883</v>
      </c>
      <c r="B2179" s="8" t="s">
        <v>2824</v>
      </c>
      <c r="C2179" s="8" t="s">
        <v>70</v>
      </c>
      <c r="D2179" s="8" t="s">
        <v>6414</v>
      </c>
      <c r="E2179" s="8">
        <v>85.0</v>
      </c>
    </row>
    <row r="2180">
      <c r="A2180" s="8" t="s">
        <v>15</v>
      </c>
      <c r="B2180" s="8" t="s">
        <v>14</v>
      </c>
      <c r="C2180" s="8" t="s">
        <v>16</v>
      </c>
      <c r="D2180" s="8" t="s">
        <v>6436</v>
      </c>
      <c r="E2180" s="8">
        <v>94.0</v>
      </c>
    </row>
    <row r="2181">
      <c r="A2181" s="8" t="s">
        <v>15</v>
      </c>
      <c r="B2181" s="8" t="s">
        <v>358</v>
      </c>
      <c r="C2181" s="8" t="s">
        <v>46</v>
      </c>
      <c r="D2181" s="8" t="s">
        <v>6431</v>
      </c>
      <c r="E2181" s="8">
        <v>73.0</v>
      </c>
    </row>
    <row r="2182">
      <c r="A2182" s="8" t="s">
        <v>15</v>
      </c>
      <c r="B2182" s="8" t="s">
        <v>389</v>
      </c>
      <c r="C2182" s="8" t="s">
        <v>122</v>
      </c>
      <c r="D2182" s="8" t="s">
        <v>6429</v>
      </c>
      <c r="E2182" s="8">
        <v>72.0</v>
      </c>
    </row>
    <row r="2183">
      <c r="A2183" s="8" t="s">
        <v>15</v>
      </c>
      <c r="B2183" s="8" t="s">
        <v>600</v>
      </c>
      <c r="C2183" s="8" t="s">
        <v>16</v>
      </c>
      <c r="D2183" s="8" t="s">
        <v>6434</v>
      </c>
      <c r="E2183" s="8">
        <v>65.0</v>
      </c>
    </row>
    <row r="2184">
      <c r="A2184" s="8" t="s">
        <v>1986</v>
      </c>
      <c r="B2184" s="8" t="s">
        <v>2691</v>
      </c>
      <c r="C2184" s="8" t="s">
        <v>261</v>
      </c>
      <c r="D2184" s="8" t="s">
        <v>6440</v>
      </c>
      <c r="E2184" s="8">
        <v>68.0</v>
      </c>
    </row>
    <row r="2185">
      <c r="A2185" s="8" t="s">
        <v>140</v>
      </c>
      <c r="B2185" s="8" t="s">
        <v>139</v>
      </c>
      <c r="C2185" s="8" t="s">
        <v>141</v>
      </c>
      <c r="D2185" s="8" t="s">
        <v>6434</v>
      </c>
      <c r="E2185" s="8">
        <v>69.0</v>
      </c>
    </row>
    <row r="2186">
      <c r="A2186" s="8" t="s">
        <v>140</v>
      </c>
      <c r="B2186" s="8" t="s">
        <v>248</v>
      </c>
      <c r="C2186" s="8" t="s">
        <v>93</v>
      </c>
      <c r="D2186" s="8" t="s">
        <v>6418</v>
      </c>
      <c r="E2186" s="8">
        <v>69.0</v>
      </c>
    </row>
    <row r="2187">
      <c r="A2187" s="8" t="s">
        <v>140</v>
      </c>
      <c r="B2187" s="8" t="s">
        <v>946</v>
      </c>
      <c r="C2187" s="8" t="s">
        <v>80</v>
      </c>
      <c r="D2187" s="8" t="s">
        <v>6419</v>
      </c>
      <c r="E2187" s="8">
        <v>81.0</v>
      </c>
    </row>
    <row r="2188">
      <c r="A2188" s="8" t="s">
        <v>140</v>
      </c>
      <c r="B2188" s="8" t="s">
        <v>3697</v>
      </c>
      <c r="C2188" s="8" t="s">
        <v>138</v>
      </c>
      <c r="D2188" s="8" t="s">
        <v>6422</v>
      </c>
      <c r="E2188" s="8">
        <v>68.0</v>
      </c>
    </row>
    <row r="2189">
      <c r="A2189" s="8" t="s">
        <v>140</v>
      </c>
      <c r="B2189" s="8" t="s">
        <v>969</v>
      </c>
      <c r="C2189" s="8" t="s">
        <v>93</v>
      </c>
      <c r="D2189" s="8" t="s">
        <v>6415</v>
      </c>
      <c r="E2189" s="8">
        <v>65.0</v>
      </c>
    </row>
    <row r="2190">
      <c r="A2190" s="8" t="s">
        <v>140</v>
      </c>
      <c r="B2190" s="8" t="s">
        <v>3772</v>
      </c>
      <c r="C2190" s="8" t="s">
        <v>24</v>
      </c>
      <c r="D2190" s="8" t="s">
        <v>6427</v>
      </c>
      <c r="E2190" s="8">
        <v>71.0</v>
      </c>
    </row>
    <row r="2191">
      <c r="A2191" s="8" t="s">
        <v>140</v>
      </c>
      <c r="B2191" s="8" t="s">
        <v>3823</v>
      </c>
      <c r="C2191" s="8" t="s">
        <v>16</v>
      </c>
      <c r="D2191" s="8" t="s">
        <v>6442</v>
      </c>
      <c r="E2191" s="8">
        <v>86.0</v>
      </c>
    </row>
    <row r="2192">
      <c r="A2192" s="8" t="s">
        <v>140</v>
      </c>
      <c r="B2192" s="8" t="s">
        <v>3856</v>
      </c>
      <c r="C2192" s="8" t="s">
        <v>59</v>
      </c>
      <c r="D2192" s="8" t="s">
        <v>6418</v>
      </c>
      <c r="E2192" s="8">
        <v>65.0</v>
      </c>
    </row>
    <row r="2193">
      <c r="A2193" s="8" t="s">
        <v>3521</v>
      </c>
      <c r="B2193" s="8" t="s">
        <v>460</v>
      </c>
      <c r="C2193" s="8" t="s">
        <v>65</v>
      </c>
      <c r="D2193" s="8" t="s">
        <v>6432</v>
      </c>
      <c r="E2193" s="8">
        <v>63.0</v>
      </c>
    </row>
    <row r="2194">
      <c r="A2194" s="8" t="s">
        <v>434</v>
      </c>
      <c r="B2194" s="8" t="s">
        <v>268</v>
      </c>
      <c r="C2194" s="8" t="s">
        <v>186</v>
      </c>
      <c r="D2194" s="8" t="s">
        <v>6431</v>
      </c>
      <c r="E2194" s="8">
        <v>57.0</v>
      </c>
    </row>
    <row r="2195">
      <c r="A2195" s="8" t="s">
        <v>434</v>
      </c>
      <c r="B2195" s="8" t="s">
        <v>99</v>
      </c>
      <c r="C2195" s="8" t="s">
        <v>65</v>
      </c>
      <c r="D2195" s="8" t="s">
        <v>6422</v>
      </c>
      <c r="E2195" s="8">
        <v>78.0</v>
      </c>
    </row>
    <row r="2196">
      <c r="A2196" s="8" t="s">
        <v>3902</v>
      </c>
      <c r="B2196" s="8" t="s">
        <v>78</v>
      </c>
      <c r="C2196" s="8" t="s">
        <v>53</v>
      </c>
      <c r="D2196" s="8" t="s">
        <v>6432</v>
      </c>
      <c r="E2196" s="8">
        <v>64.0</v>
      </c>
    </row>
    <row r="2197">
      <c r="A2197" s="8" t="s">
        <v>1119</v>
      </c>
      <c r="B2197" s="8" t="s">
        <v>1118</v>
      </c>
      <c r="C2197" s="8" t="s">
        <v>70</v>
      </c>
      <c r="D2197" s="8" t="s">
        <v>6417</v>
      </c>
      <c r="E2197" s="8">
        <v>62.0</v>
      </c>
    </row>
    <row r="2198">
      <c r="A2198" s="8" t="s">
        <v>2017</v>
      </c>
      <c r="B2198" s="8" t="s">
        <v>3802</v>
      </c>
      <c r="C2198" s="8" t="s">
        <v>93</v>
      </c>
      <c r="D2198" s="8" t="s">
        <v>6427</v>
      </c>
      <c r="E2198" s="8">
        <v>72.0</v>
      </c>
    </row>
    <row r="2199">
      <c r="A2199" s="8" t="s">
        <v>1053</v>
      </c>
      <c r="B2199" s="8" t="s">
        <v>2781</v>
      </c>
      <c r="C2199" s="8" t="s">
        <v>192</v>
      </c>
      <c r="D2199" s="8" t="s">
        <v>6418</v>
      </c>
      <c r="E2199" s="8">
        <v>59.0</v>
      </c>
    </row>
    <row r="2200">
      <c r="A2200" s="8" t="s">
        <v>1053</v>
      </c>
      <c r="B2200" s="8" t="s">
        <v>1052</v>
      </c>
      <c r="C2200" s="8" t="s">
        <v>93</v>
      </c>
      <c r="D2200" s="8" t="s">
        <v>6429</v>
      </c>
      <c r="E2200" s="8">
        <v>73.0</v>
      </c>
    </row>
    <row r="2201">
      <c r="A2201" s="8" t="s">
        <v>1320</v>
      </c>
      <c r="B2201" s="8" t="s">
        <v>1043</v>
      </c>
      <c r="C2201" s="8" t="s">
        <v>132</v>
      </c>
      <c r="D2201" s="8" t="s">
        <v>6441</v>
      </c>
      <c r="E2201" s="8">
        <v>87.0</v>
      </c>
    </row>
    <row r="2202">
      <c r="A2202" s="8" t="s">
        <v>3693</v>
      </c>
      <c r="B2202" s="8" t="s">
        <v>2150</v>
      </c>
      <c r="C2202" s="8" t="s">
        <v>93</v>
      </c>
      <c r="D2202" s="8" t="s">
        <v>6425</v>
      </c>
      <c r="E2202" s="8">
        <v>62.0</v>
      </c>
    </row>
    <row r="2203">
      <c r="A2203" s="8" t="s">
        <v>244</v>
      </c>
      <c r="B2203" s="8" t="s">
        <v>243</v>
      </c>
      <c r="C2203" s="8" t="s">
        <v>93</v>
      </c>
      <c r="D2203" s="8" t="s">
        <v>6422</v>
      </c>
      <c r="E2203" s="8">
        <v>81.0</v>
      </c>
    </row>
    <row r="2204">
      <c r="A2204" s="8" t="s">
        <v>79</v>
      </c>
      <c r="B2204" s="8" t="s">
        <v>78</v>
      </c>
      <c r="C2204" s="8" t="s">
        <v>93</v>
      </c>
      <c r="D2204" s="8" t="s">
        <v>6443</v>
      </c>
      <c r="E2204" s="8">
        <v>80.0</v>
      </c>
    </row>
    <row r="2205">
      <c r="A2205" s="8" t="s">
        <v>2714</v>
      </c>
      <c r="B2205" s="8" t="s">
        <v>2713</v>
      </c>
      <c r="C2205" s="8" t="s">
        <v>70</v>
      </c>
      <c r="D2205" s="8" t="s">
        <v>6418</v>
      </c>
      <c r="E2205" s="8">
        <v>71.0</v>
      </c>
    </row>
    <row r="2206">
      <c r="A2206" s="8" t="s">
        <v>472</v>
      </c>
      <c r="B2206" s="8" t="s">
        <v>35</v>
      </c>
      <c r="C2206" s="8" t="s">
        <v>65</v>
      </c>
      <c r="D2206" s="8" t="s">
        <v>6432</v>
      </c>
      <c r="E2206" s="8">
        <v>78.0</v>
      </c>
    </row>
    <row r="2207">
      <c r="A2207" s="8" t="s">
        <v>472</v>
      </c>
      <c r="B2207" s="8" t="s">
        <v>3565</v>
      </c>
      <c r="C2207" s="8" t="s">
        <v>122</v>
      </c>
      <c r="D2207" s="8" t="s">
        <v>6426</v>
      </c>
      <c r="E2207" s="8">
        <v>57.0</v>
      </c>
    </row>
    <row r="2208">
      <c r="A2208" s="8" t="s">
        <v>472</v>
      </c>
      <c r="B2208" s="8" t="s">
        <v>3595</v>
      </c>
      <c r="C2208" s="8" t="s">
        <v>12</v>
      </c>
      <c r="D2208" s="8" t="s">
        <v>6443</v>
      </c>
      <c r="E2208" s="8">
        <v>76.0</v>
      </c>
    </row>
    <row r="2209">
      <c r="A2209" s="8" t="s">
        <v>472</v>
      </c>
      <c r="B2209" s="8" t="s">
        <v>1442</v>
      </c>
      <c r="C2209" s="8" t="s">
        <v>53</v>
      </c>
      <c r="D2209" s="8" t="s">
        <v>6439</v>
      </c>
      <c r="E2209" s="8">
        <v>62.0</v>
      </c>
    </row>
    <row r="2210">
      <c r="A2210" s="8" t="s">
        <v>472</v>
      </c>
      <c r="B2210" s="8" t="s">
        <v>687</v>
      </c>
      <c r="C2210" s="8" t="s">
        <v>141</v>
      </c>
      <c r="D2210" s="8" t="s">
        <v>6442</v>
      </c>
      <c r="E2210" s="8">
        <v>91.0</v>
      </c>
    </row>
    <row r="2211">
      <c r="A2211" s="8" t="s">
        <v>472</v>
      </c>
      <c r="B2211" s="8" t="s">
        <v>290</v>
      </c>
      <c r="C2211" s="8" t="s">
        <v>24</v>
      </c>
      <c r="D2211" s="8" t="s">
        <v>6437</v>
      </c>
      <c r="E2211" s="8">
        <v>88.0</v>
      </c>
    </row>
    <row r="2212">
      <c r="A2212" s="8" t="s">
        <v>472</v>
      </c>
      <c r="B2212" s="8" t="s">
        <v>3459</v>
      </c>
      <c r="C2212" s="8" t="s">
        <v>141</v>
      </c>
      <c r="D2212" s="8" t="s">
        <v>6420</v>
      </c>
      <c r="E2212" s="8">
        <v>67.0</v>
      </c>
    </row>
    <row r="2213">
      <c r="A2213" s="8" t="s">
        <v>1633</v>
      </c>
      <c r="B2213" s="8" t="s">
        <v>1965</v>
      </c>
      <c r="C2213" s="8" t="s">
        <v>192</v>
      </c>
      <c r="D2213" s="8" t="s">
        <v>6441</v>
      </c>
      <c r="E2213" s="8">
        <v>78.0</v>
      </c>
    </row>
    <row r="2214">
      <c r="A2214" s="8" t="s">
        <v>1633</v>
      </c>
      <c r="B2214" s="8" t="s">
        <v>208</v>
      </c>
      <c r="C2214" s="8" t="s">
        <v>132</v>
      </c>
      <c r="D2214" s="8" t="s">
        <v>6436</v>
      </c>
      <c r="E2214" s="8">
        <v>71.0</v>
      </c>
    </row>
    <row r="2215">
      <c r="A2215" s="8" t="s">
        <v>1633</v>
      </c>
      <c r="B2215" s="8" t="s">
        <v>2912</v>
      </c>
      <c r="C2215" s="8" t="s">
        <v>70</v>
      </c>
      <c r="D2215" s="8" t="s">
        <v>6433</v>
      </c>
      <c r="E2215" s="8">
        <v>63.0</v>
      </c>
    </row>
    <row r="2216">
      <c r="A2216" s="8" t="s">
        <v>1633</v>
      </c>
      <c r="B2216" s="8" t="s">
        <v>111</v>
      </c>
      <c r="C2216" s="8" t="s">
        <v>70</v>
      </c>
      <c r="D2216" s="8" t="s">
        <v>6414</v>
      </c>
      <c r="E2216" s="8">
        <v>78.0</v>
      </c>
    </row>
    <row r="2217">
      <c r="A2217" s="8" t="s">
        <v>1633</v>
      </c>
      <c r="B2217" s="8" t="s">
        <v>3350</v>
      </c>
      <c r="C2217" s="8" t="s">
        <v>65</v>
      </c>
      <c r="D2217" s="8" t="s">
        <v>6423</v>
      </c>
      <c r="E2217" s="8">
        <v>65.0</v>
      </c>
    </row>
    <row r="2218">
      <c r="A2218" s="8" t="s">
        <v>334</v>
      </c>
      <c r="B2218" s="8" t="s">
        <v>106</v>
      </c>
      <c r="C2218" s="8" t="s">
        <v>149</v>
      </c>
      <c r="D2218" s="8" t="s">
        <v>6422</v>
      </c>
      <c r="E2218" s="8">
        <v>65.0</v>
      </c>
    </row>
    <row r="2219">
      <c r="A2219" s="8" t="s">
        <v>334</v>
      </c>
      <c r="B2219" s="8" t="s">
        <v>349</v>
      </c>
      <c r="C2219" s="8" t="s">
        <v>59</v>
      </c>
      <c r="D2219" s="8" t="s">
        <v>6428</v>
      </c>
      <c r="E2219" s="8">
        <v>82.0</v>
      </c>
    </row>
    <row r="2220">
      <c r="A2220" s="8" t="s">
        <v>334</v>
      </c>
      <c r="B2220" s="8" t="s">
        <v>766</v>
      </c>
      <c r="C2220" s="8" t="s">
        <v>215</v>
      </c>
      <c r="D2220" s="8" t="s">
        <v>6416</v>
      </c>
      <c r="E2220" s="8">
        <v>81.0</v>
      </c>
    </row>
    <row r="2221">
      <c r="A2221" s="8" t="s">
        <v>334</v>
      </c>
      <c r="B2221" s="8" t="s">
        <v>786</v>
      </c>
      <c r="C2221" s="8" t="s">
        <v>70</v>
      </c>
      <c r="D2221" s="8" t="s">
        <v>6435</v>
      </c>
      <c r="E2221" s="8">
        <v>72.0</v>
      </c>
    </row>
    <row r="2222">
      <c r="A2222" s="8" t="s">
        <v>334</v>
      </c>
      <c r="B2222" s="8" t="s">
        <v>78</v>
      </c>
      <c r="C2222" s="8" t="s">
        <v>46</v>
      </c>
      <c r="D2222" s="8" t="s">
        <v>6416</v>
      </c>
      <c r="E2222" s="8">
        <v>92.0</v>
      </c>
    </row>
    <row r="2223">
      <c r="A2223" s="8" t="s">
        <v>1397</v>
      </c>
      <c r="B2223" s="8" t="s">
        <v>308</v>
      </c>
      <c r="C2223" s="8" t="s">
        <v>192</v>
      </c>
      <c r="D2223" s="8" t="s">
        <v>6441</v>
      </c>
      <c r="E2223" s="8">
        <v>68.0</v>
      </c>
    </row>
    <row r="2224">
      <c r="A2224" s="8" t="s">
        <v>615</v>
      </c>
      <c r="B2224" s="8" t="s">
        <v>614</v>
      </c>
      <c r="C2224" s="8" t="s">
        <v>38</v>
      </c>
      <c r="D2224" s="8" t="s">
        <v>6416</v>
      </c>
      <c r="E2224" s="8">
        <v>83.0</v>
      </c>
    </row>
    <row r="2225">
      <c r="A2225" s="8" t="s">
        <v>3882</v>
      </c>
      <c r="B2225" s="8" t="s">
        <v>2013</v>
      </c>
      <c r="C2225" s="8" t="s">
        <v>93</v>
      </c>
      <c r="D2225" s="8" t="s">
        <v>6425</v>
      </c>
      <c r="E2225" s="8">
        <v>72.0</v>
      </c>
    </row>
    <row r="2226">
      <c r="A2226" s="8" t="s">
        <v>3182</v>
      </c>
      <c r="B2226" s="8" t="s">
        <v>2315</v>
      </c>
      <c r="C2226" s="8" t="s">
        <v>16</v>
      </c>
      <c r="D2226" s="8" t="s">
        <v>6433</v>
      </c>
      <c r="E2226" s="8">
        <v>63.0</v>
      </c>
    </row>
    <row r="2227">
      <c r="A2227" s="8" t="s">
        <v>1028</v>
      </c>
      <c r="B2227" s="8" t="s">
        <v>644</v>
      </c>
      <c r="C2227" s="8" t="s">
        <v>53</v>
      </c>
      <c r="D2227" s="8" t="s">
        <v>6428</v>
      </c>
      <c r="E2227" s="8">
        <v>61.0</v>
      </c>
    </row>
    <row r="2228">
      <c r="A2228" s="8" t="s">
        <v>1028</v>
      </c>
      <c r="B2228" s="8" t="s">
        <v>61</v>
      </c>
      <c r="C2228" s="8" t="s">
        <v>65</v>
      </c>
      <c r="D2228" s="8" t="s">
        <v>6421</v>
      </c>
      <c r="E2228" s="8">
        <v>64.0</v>
      </c>
    </row>
    <row r="2229">
      <c r="A2229" s="8" t="s">
        <v>1028</v>
      </c>
      <c r="B2229" s="8" t="s">
        <v>3012</v>
      </c>
      <c r="C2229" s="8" t="s">
        <v>53</v>
      </c>
      <c r="D2229" s="8" t="s">
        <v>6440</v>
      </c>
      <c r="E2229" s="8">
        <v>66.0</v>
      </c>
    </row>
    <row r="2230">
      <c r="A2230" s="8" t="s">
        <v>1028</v>
      </c>
      <c r="B2230" s="8" t="s">
        <v>3820</v>
      </c>
      <c r="C2230" s="8" t="s">
        <v>53</v>
      </c>
      <c r="D2230" s="8" t="s">
        <v>6417</v>
      </c>
      <c r="E2230" s="8">
        <v>61.0</v>
      </c>
    </row>
    <row r="2231">
      <c r="A2231" s="8" t="s">
        <v>1028</v>
      </c>
      <c r="B2231" s="8" t="s">
        <v>308</v>
      </c>
      <c r="C2231" s="8" t="s">
        <v>141</v>
      </c>
      <c r="D2231" s="8" t="s">
        <v>6432</v>
      </c>
      <c r="E2231" s="8">
        <v>65.0</v>
      </c>
    </row>
    <row r="2232">
      <c r="A2232" s="8" t="s">
        <v>1028</v>
      </c>
      <c r="B2232" s="8" t="s">
        <v>1027</v>
      </c>
      <c r="C2232" s="8" t="s">
        <v>16</v>
      </c>
      <c r="D2232" s="8" t="s">
        <v>6412</v>
      </c>
      <c r="E2232" s="8">
        <v>60.0</v>
      </c>
    </row>
    <row r="2233">
      <c r="A2233" s="8" t="s">
        <v>865</v>
      </c>
      <c r="B2233" s="8" t="s">
        <v>864</v>
      </c>
      <c r="C2233" s="8" t="s">
        <v>24</v>
      </c>
      <c r="D2233" s="8" t="s">
        <v>6424</v>
      </c>
      <c r="E2233" s="8">
        <v>69.0</v>
      </c>
    </row>
    <row r="2234">
      <c r="A2234" s="8" t="s">
        <v>865</v>
      </c>
      <c r="B2234" s="8" t="s">
        <v>3192</v>
      </c>
      <c r="C2234" s="8" t="s">
        <v>93</v>
      </c>
      <c r="D2234" s="8" t="s">
        <v>6443</v>
      </c>
      <c r="E2234" s="8">
        <v>62.0</v>
      </c>
    </row>
    <row r="2235">
      <c r="A2235" s="8" t="s">
        <v>865</v>
      </c>
      <c r="B2235" s="8" t="s">
        <v>913</v>
      </c>
      <c r="C2235" s="8" t="s">
        <v>215</v>
      </c>
      <c r="D2235" s="8" t="s">
        <v>6436</v>
      </c>
      <c r="E2235" s="8">
        <v>68.0</v>
      </c>
    </row>
    <row r="2236">
      <c r="A2236" s="8" t="s">
        <v>865</v>
      </c>
      <c r="B2236" s="8" t="s">
        <v>715</v>
      </c>
      <c r="C2236" s="8" t="s">
        <v>132</v>
      </c>
      <c r="D2236" s="8" t="s">
        <v>6417</v>
      </c>
      <c r="E2236" s="8">
        <v>65.0</v>
      </c>
    </row>
    <row r="2237">
      <c r="A2237" s="8" t="s">
        <v>865</v>
      </c>
      <c r="B2237" s="8" t="s">
        <v>3767</v>
      </c>
      <c r="C2237" s="8" t="s">
        <v>261</v>
      </c>
      <c r="D2237" s="8" t="s">
        <v>6437</v>
      </c>
      <c r="E2237" s="8">
        <v>64.0</v>
      </c>
    </row>
    <row r="2238">
      <c r="A2238" s="8" t="s">
        <v>865</v>
      </c>
      <c r="B2238" s="8" t="s">
        <v>78</v>
      </c>
      <c r="C2238" s="8" t="s">
        <v>70</v>
      </c>
      <c r="D2238" s="8" t="s">
        <v>6428</v>
      </c>
      <c r="E2238" s="8">
        <v>60.0</v>
      </c>
    </row>
    <row r="2239">
      <c r="A2239" s="8" t="s">
        <v>713</v>
      </c>
      <c r="B2239" s="8" t="s">
        <v>537</v>
      </c>
      <c r="C2239" s="8" t="s">
        <v>93</v>
      </c>
      <c r="D2239" s="8" t="s">
        <v>6414</v>
      </c>
      <c r="E2239" s="8">
        <v>60.0</v>
      </c>
    </row>
    <row r="2240">
      <c r="A2240" s="8" t="s">
        <v>713</v>
      </c>
      <c r="B2240" s="8" t="s">
        <v>2968</v>
      </c>
      <c r="C2240" s="8" t="s">
        <v>24</v>
      </c>
      <c r="D2240" s="8" t="s">
        <v>6419</v>
      </c>
      <c r="E2240" s="8">
        <v>74.0</v>
      </c>
    </row>
    <row r="2241">
      <c r="A2241" s="8" t="s">
        <v>553</v>
      </c>
      <c r="B2241" s="8" t="s">
        <v>389</v>
      </c>
      <c r="C2241" s="8" t="s">
        <v>93</v>
      </c>
      <c r="D2241" s="8" t="s">
        <v>6414</v>
      </c>
      <c r="E2241" s="8">
        <v>80.0</v>
      </c>
    </row>
    <row r="2242">
      <c r="A2242" s="8" t="s">
        <v>170</v>
      </c>
      <c r="B2242" s="8" t="s">
        <v>1265</v>
      </c>
      <c r="C2242" s="8" t="s">
        <v>65</v>
      </c>
      <c r="D2242" s="8" t="s">
        <v>6421</v>
      </c>
      <c r="E2242" s="8">
        <v>71.0</v>
      </c>
    </row>
    <row r="2243">
      <c r="A2243" s="8" t="s">
        <v>170</v>
      </c>
      <c r="B2243" s="8" t="s">
        <v>169</v>
      </c>
      <c r="C2243" s="8" t="s">
        <v>149</v>
      </c>
      <c r="D2243" s="8" t="s">
        <v>6416</v>
      </c>
      <c r="E2243" s="8">
        <v>69.0</v>
      </c>
    </row>
    <row r="2244">
      <c r="A2244" s="8" t="s">
        <v>170</v>
      </c>
      <c r="B2244" s="8" t="s">
        <v>1019</v>
      </c>
      <c r="C2244" s="8" t="s">
        <v>46</v>
      </c>
      <c r="D2244" s="8" t="s">
        <v>6412</v>
      </c>
      <c r="E2244" s="8">
        <v>70.0</v>
      </c>
    </row>
    <row r="2245">
      <c r="A2245" s="8" t="s">
        <v>1045</v>
      </c>
      <c r="B2245" s="8" t="s">
        <v>99</v>
      </c>
      <c r="C2245" s="8" t="s">
        <v>93</v>
      </c>
      <c r="D2245" s="8" t="s">
        <v>6433</v>
      </c>
      <c r="E2245" s="8">
        <v>62.0</v>
      </c>
    </row>
    <row r="2246">
      <c r="A2246" s="8" t="s">
        <v>1141</v>
      </c>
      <c r="B2246" s="8" t="s">
        <v>1140</v>
      </c>
      <c r="C2246" s="8" t="s">
        <v>122</v>
      </c>
      <c r="D2246" s="8" t="s">
        <v>6418</v>
      </c>
      <c r="E2246" s="8">
        <v>68.0</v>
      </c>
    </row>
    <row r="2247">
      <c r="A2247" s="8" t="s">
        <v>676</v>
      </c>
      <c r="B2247" s="8" t="s">
        <v>1716</v>
      </c>
      <c r="C2247" s="8" t="s">
        <v>65</v>
      </c>
      <c r="D2247" s="8" t="s">
        <v>6417</v>
      </c>
      <c r="E2247" s="8">
        <v>70.0</v>
      </c>
    </row>
    <row r="2248">
      <c r="A2248" s="8" t="s">
        <v>676</v>
      </c>
      <c r="B2248" s="8" t="s">
        <v>858</v>
      </c>
      <c r="C2248" s="8" t="s">
        <v>16</v>
      </c>
      <c r="D2248" s="8" t="s">
        <v>6437</v>
      </c>
      <c r="E2248" s="8">
        <v>62.0</v>
      </c>
    </row>
    <row r="2249">
      <c r="A2249" s="8" t="s">
        <v>676</v>
      </c>
      <c r="B2249" s="8" t="s">
        <v>675</v>
      </c>
      <c r="C2249" s="8" t="s">
        <v>24</v>
      </c>
      <c r="D2249" s="8" t="s">
        <v>6417</v>
      </c>
      <c r="E2249" s="8">
        <v>90.0</v>
      </c>
    </row>
    <row r="2250">
      <c r="A2250" s="8" t="s">
        <v>676</v>
      </c>
      <c r="B2250" s="8" t="s">
        <v>1438</v>
      </c>
      <c r="C2250" s="8" t="s">
        <v>70</v>
      </c>
      <c r="D2250" s="8" t="s">
        <v>6434</v>
      </c>
      <c r="E2250" s="8">
        <v>67.0</v>
      </c>
    </row>
    <row r="2251">
      <c r="A2251" s="8" t="s">
        <v>676</v>
      </c>
      <c r="B2251" s="8" t="s">
        <v>1198</v>
      </c>
      <c r="C2251" s="8" t="s">
        <v>24</v>
      </c>
      <c r="D2251" s="8" t="s">
        <v>6414</v>
      </c>
      <c r="E2251" s="8">
        <v>70.0</v>
      </c>
    </row>
    <row r="2252">
      <c r="A2252" s="8" t="s">
        <v>676</v>
      </c>
      <c r="B2252" s="8" t="s">
        <v>3703</v>
      </c>
      <c r="C2252" s="8" t="s">
        <v>149</v>
      </c>
      <c r="D2252" s="8" t="s">
        <v>6432</v>
      </c>
      <c r="E2252" s="8">
        <v>62.0</v>
      </c>
    </row>
    <row r="2253">
      <c r="A2253" s="8" t="s">
        <v>676</v>
      </c>
      <c r="B2253" s="8" t="s">
        <v>1221</v>
      </c>
      <c r="C2253" s="8" t="s">
        <v>24</v>
      </c>
      <c r="D2253" s="8" t="s">
        <v>6417</v>
      </c>
      <c r="E2253" s="8">
        <v>71.0</v>
      </c>
    </row>
    <row r="2254">
      <c r="A2254" s="8" t="s">
        <v>676</v>
      </c>
      <c r="B2254" s="8" t="s">
        <v>3711</v>
      </c>
      <c r="C2254" s="8" t="s">
        <v>138</v>
      </c>
      <c r="D2254" s="8" t="s">
        <v>6421</v>
      </c>
      <c r="E2254" s="8">
        <v>58.0</v>
      </c>
    </row>
    <row r="2255">
      <c r="A2255" s="8" t="s">
        <v>676</v>
      </c>
      <c r="B2255" s="8" t="s">
        <v>210</v>
      </c>
      <c r="C2255" s="8" t="s">
        <v>75</v>
      </c>
      <c r="D2255" s="8" t="s">
        <v>6441</v>
      </c>
      <c r="E2255" s="8">
        <v>67.0</v>
      </c>
    </row>
    <row r="2256">
      <c r="A2256" s="8" t="s">
        <v>676</v>
      </c>
      <c r="B2256" s="8" t="s">
        <v>1234</v>
      </c>
      <c r="C2256" s="8" t="s">
        <v>65</v>
      </c>
      <c r="D2256" s="8" t="s">
        <v>6433</v>
      </c>
      <c r="E2256" s="8">
        <v>80.0</v>
      </c>
    </row>
    <row r="2257">
      <c r="A2257" s="8" t="s">
        <v>676</v>
      </c>
      <c r="B2257" s="8" t="s">
        <v>3739</v>
      </c>
      <c r="C2257" s="8" t="s">
        <v>53</v>
      </c>
      <c r="D2257" s="8" t="s">
        <v>6432</v>
      </c>
      <c r="E2257" s="8">
        <v>62.0</v>
      </c>
    </row>
    <row r="2258">
      <c r="A2258" s="8" t="s">
        <v>676</v>
      </c>
      <c r="B2258" s="8" t="s">
        <v>1243</v>
      </c>
      <c r="C2258" s="8" t="s">
        <v>186</v>
      </c>
      <c r="D2258" s="8" t="s">
        <v>6439</v>
      </c>
      <c r="E2258" s="8">
        <v>65.0</v>
      </c>
    </row>
    <row r="2259">
      <c r="A2259" s="8" t="s">
        <v>676</v>
      </c>
      <c r="B2259" s="8" t="s">
        <v>766</v>
      </c>
      <c r="C2259" s="8" t="s">
        <v>65</v>
      </c>
      <c r="D2259" s="8" t="s">
        <v>6415</v>
      </c>
      <c r="E2259" s="8">
        <v>59.0</v>
      </c>
    </row>
    <row r="2260">
      <c r="A2260" s="8" t="s">
        <v>676</v>
      </c>
      <c r="B2260" s="8" t="s">
        <v>795</v>
      </c>
      <c r="C2260" s="8" t="s">
        <v>141</v>
      </c>
      <c r="D2260" s="8" t="s">
        <v>6413</v>
      </c>
      <c r="E2260" s="8">
        <v>66.0</v>
      </c>
    </row>
    <row r="2261">
      <c r="A2261" s="8" t="s">
        <v>676</v>
      </c>
      <c r="B2261" s="8" t="s">
        <v>3853</v>
      </c>
      <c r="C2261" s="8" t="s">
        <v>59</v>
      </c>
      <c r="D2261" s="8" t="s">
        <v>6431</v>
      </c>
      <c r="E2261" s="8">
        <v>64.0</v>
      </c>
    </row>
    <row r="2262">
      <c r="A2262" s="8" t="s">
        <v>978</v>
      </c>
      <c r="B2262" s="8" t="s">
        <v>977</v>
      </c>
      <c r="C2262" s="8" t="s">
        <v>80</v>
      </c>
      <c r="D2262" s="8" t="s">
        <v>6419</v>
      </c>
      <c r="E2262" s="8">
        <v>96.0</v>
      </c>
    </row>
    <row r="2263">
      <c r="A2263" s="8" t="s">
        <v>867</v>
      </c>
      <c r="B2263" s="8" t="s">
        <v>866</v>
      </c>
      <c r="C2263" s="8" t="s">
        <v>149</v>
      </c>
      <c r="D2263" s="8" t="s">
        <v>6432</v>
      </c>
      <c r="E2263" s="8">
        <v>63.0</v>
      </c>
    </row>
    <row r="2264">
      <c r="A2264" s="8" t="s">
        <v>867</v>
      </c>
      <c r="B2264" s="8" t="s">
        <v>537</v>
      </c>
      <c r="C2264" s="8" t="s">
        <v>65</v>
      </c>
      <c r="D2264" s="8" t="s">
        <v>6437</v>
      </c>
      <c r="E2264" s="8">
        <v>65.0</v>
      </c>
    </row>
    <row r="2265">
      <c r="A2265" s="8" t="s">
        <v>836</v>
      </c>
      <c r="B2265" s="8" t="s">
        <v>78</v>
      </c>
      <c r="C2265" s="8" t="s">
        <v>65</v>
      </c>
      <c r="D2265" s="8" t="s">
        <v>6432</v>
      </c>
      <c r="E2265" s="8">
        <v>62.0</v>
      </c>
    </row>
    <row r="2266">
      <c r="A2266" s="8" t="s">
        <v>442</v>
      </c>
      <c r="B2266" s="8" t="s">
        <v>441</v>
      </c>
      <c r="C2266" s="8" t="s">
        <v>16</v>
      </c>
      <c r="D2266" s="8" t="s">
        <v>6430</v>
      </c>
      <c r="E2266" s="8">
        <v>82.0</v>
      </c>
    </row>
    <row r="2267">
      <c r="A2267" s="8" t="s">
        <v>802</v>
      </c>
      <c r="B2267" s="8" t="s">
        <v>99</v>
      </c>
      <c r="C2267" s="8" t="s">
        <v>46</v>
      </c>
      <c r="D2267" s="8" t="s">
        <v>6442</v>
      </c>
      <c r="E2267" s="8">
        <v>97.0</v>
      </c>
    </row>
    <row r="2268">
      <c r="A2268" s="8" t="s">
        <v>501</v>
      </c>
      <c r="B2268" s="8" t="s">
        <v>359</v>
      </c>
      <c r="C2268" s="8" t="s">
        <v>122</v>
      </c>
      <c r="D2268" s="8" t="s">
        <v>6442</v>
      </c>
      <c r="E2268" s="8">
        <v>80.0</v>
      </c>
    </row>
    <row r="2269">
      <c r="A2269" s="8" t="s">
        <v>501</v>
      </c>
      <c r="B2269" s="8" t="s">
        <v>276</v>
      </c>
      <c r="C2269" s="8" t="s">
        <v>53</v>
      </c>
      <c r="D2269" s="8" t="s">
        <v>6413</v>
      </c>
      <c r="E2269" s="8">
        <v>66.0</v>
      </c>
    </row>
    <row r="2270">
      <c r="A2270" s="8" t="s">
        <v>3885</v>
      </c>
      <c r="B2270" s="8" t="s">
        <v>104</v>
      </c>
      <c r="C2270" s="8" t="s">
        <v>122</v>
      </c>
      <c r="D2270" s="8" t="s">
        <v>6420</v>
      </c>
      <c r="E2270" s="8">
        <v>72.0</v>
      </c>
    </row>
    <row r="2271">
      <c r="A2271" s="8" t="s">
        <v>3470</v>
      </c>
      <c r="B2271" s="8" t="s">
        <v>444</v>
      </c>
      <c r="C2271" s="8" t="s">
        <v>46</v>
      </c>
      <c r="D2271" s="8" t="s">
        <v>6418</v>
      </c>
      <c r="E2271" s="8">
        <v>65.0</v>
      </c>
    </row>
    <row r="2272">
      <c r="A2272" s="8" t="s">
        <v>188</v>
      </c>
      <c r="B2272" s="8" t="s">
        <v>187</v>
      </c>
      <c r="C2272" s="8" t="s">
        <v>122</v>
      </c>
      <c r="D2272" s="8" t="s">
        <v>6413</v>
      </c>
      <c r="E2272" s="8">
        <v>76.0</v>
      </c>
    </row>
    <row r="2273">
      <c r="A2273" s="8" t="s">
        <v>188</v>
      </c>
      <c r="B2273" s="8" t="s">
        <v>208</v>
      </c>
      <c r="C2273" s="8" t="s">
        <v>122</v>
      </c>
      <c r="D2273" s="8" t="s">
        <v>6431</v>
      </c>
      <c r="E2273" s="8">
        <v>77.0</v>
      </c>
    </row>
    <row r="2274">
      <c r="A2274" s="8" t="s">
        <v>3001</v>
      </c>
      <c r="B2274" s="8" t="s">
        <v>2220</v>
      </c>
      <c r="C2274" s="8" t="s">
        <v>192</v>
      </c>
      <c r="D2274" s="8" t="s">
        <v>6433</v>
      </c>
      <c r="E2274" s="8">
        <v>61.0</v>
      </c>
    </row>
    <row r="2275">
      <c r="A2275" s="8" t="s">
        <v>3183</v>
      </c>
      <c r="B2275" s="8" t="s">
        <v>1381</v>
      </c>
      <c r="C2275" s="8" t="s">
        <v>192</v>
      </c>
      <c r="D2275" s="8" t="s">
        <v>6419</v>
      </c>
      <c r="E2275" s="8">
        <v>81.0</v>
      </c>
    </row>
    <row r="2276">
      <c r="A2276" s="8" t="s">
        <v>1213</v>
      </c>
      <c r="B2276" s="8" t="s">
        <v>1212</v>
      </c>
      <c r="C2276" s="8" t="s">
        <v>138</v>
      </c>
      <c r="D2276" s="8" t="s">
        <v>6434</v>
      </c>
      <c r="E2276" s="8">
        <v>59.0</v>
      </c>
    </row>
    <row r="2277">
      <c r="A2277" s="8" t="s">
        <v>949</v>
      </c>
      <c r="B2277" s="8" t="s">
        <v>23</v>
      </c>
      <c r="C2277" s="8" t="s">
        <v>149</v>
      </c>
      <c r="D2277" s="8" t="s">
        <v>6415</v>
      </c>
      <c r="E2277" s="8">
        <v>71.0</v>
      </c>
    </row>
    <row r="2278">
      <c r="A2278" s="8" t="s">
        <v>2654</v>
      </c>
      <c r="B2278" s="8" t="s">
        <v>57</v>
      </c>
      <c r="C2278" s="8" t="s">
        <v>132</v>
      </c>
      <c r="D2278" s="8" t="s">
        <v>6438</v>
      </c>
      <c r="E2278" s="8">
        <v>66.0</v>
      </c>
    </row>
    <row r="2279">
      <c r="A2279" s="8" t="s">
        <v>3840</v>
      </c>
      <c r="B2279" s="8" t="s">
        <v>1025</v>
      </c>
      <c r="C2279" s="8" t="s">
        <v>65</v>
      </c>
      <c r="D2279" s="8" t="s">
        <v>6416</v>
      </c>
      <c r="E2279" s="8">
        <v>60.0</v>
      </c>
    </row>
    <row r="2280">
      <c r="A2280" s="8" t="s">
        <v>583</v>
      </c>
      <c r="B2280" s="8" t="s">
        <v>582</v>
      </c>
      <c r="C2280" s="8" t="s">
        <v>24</v>
      </c>
      <c r="D2280" s="8" t="s">
        <v>6422</v>
      </c>
      <c r="E2280" s="8">
        <v>78.0</v>
      </c>
    </row>
    <row r="2281">
      <c r="A2281" s="8" t="s">
        <v>583</v>
      </c>
      <c r="B2281" s="8" t="s">
        <v>104</v>
      </c>
      <c r="C2281" s="8" t="s">
        <v>138</v>
      </c>
      <c r="D2281" s="8" t="s">
        <v>6412</v>
      </c>
      <c r="E2281" s="8">
        <v>74.0</v>
      </c>
    </row>
    <row r="2282">
      <c r="A2282" s="8" t="s">
        <v>84</v>
      </c>
      <c r="B2282" s="8" t="s">
        <v>486</v>
      </c>
      <c r="C2282" s="8" t="s">
        <v>122</v>
      </c>
      <c r="D2282" s="8" t="s">
        <v>6441</v>
      </c>
      <c r="E2282" s="8">
        <v>74.0</v>
      </c>
    </row>
    <row r="2283">
      <c r="A2283" s="8" t="s">
        <v>84</v>
      </c>
      <c r="B2283" s="8" t="s">
        <v>61</v>
      </c>
      <c r="C2283" s="8" t="s">
        <v>24</v>
      </c>
      <c r="D2283" s="8" t="s">
        <v>6416</v>
      </c>
      <c r="E2283" s="8">
        <v>80.0</v>
      </c>
    </row>
    <row r="2284">
      <c r="A2284" s="8" t="s">
        <v>84</v>
      </c>
      <c r="B2284" s="8" t="s">
        <v>2834</v>
      </c>
      <c r="C2284" s="8" t="s">
        <v>93</v>
      </c>
      <c r="D2284" s="8" t="s">
        <v>6426</v>
      </c>
      <c r="E2284" s="8">
        <v>77.0</v>
      </c>
    </row>
    <row r="2285">
      <c r="A2285" s="8" t="s">
        <v>845</v>
      </c>
      <c r="B2285" s="8" t="s">
        <v>3546</v>
      </c>
      <c r="C2285" s="8" t="s">
        <v>59</v>
      </c>
      <c r="D2285" s="8" t="s">
        <v>6431</v>
      </c>
      <c r="E2285" s="8">
        <v>79.0</v>
      </c>
    </row>
    <row r="2286">
      <c r="A2286" s="8" t="s">
        <v>1598</v>
      </c>
      <c r="B2286" s="8" t="s">
        <v>3218</v>
      </c>
      <c r="C2286" s="8" t="s">
        <v>65</v>
      </c>
      <c r="D2286" s="8" t="s">
        <v>6425</v>
      </c>
      <c r="E2286" s="8">
        <v>81.0</v>
      </c>
    </row>
    <row r="2287">
      <c r="A2287" s="8" t="s">
        <v>1598</v>
      </c>
      <c r="B2287" s="8" t="s">
        <v>3381</v>
      </c>
      <c r="C2287" s="8" t="s">
        <v>59</v>
      </c>
      <c r="D2287" s="8" t="s">
        <v>6435</v>
      </c>
      <c r="E2287" s="8">
        <v>61.0</v>
      </c>
    </row>
    <row r="2288">
      <c r="A2288" s="8" t="s">
        <v>619</v>
      </c>
      <c r="B2288" s="8" t="s">
        <v>752</v>
      </c>
      <c r="C2288" s="8" t="s">
        <v>65</v>
      </c>
      <c r="D2288" s="8" t="s">
        <v>6442</v>
      </c>
      <c r="E2288" s="8">
        <v>66.0</v>
      </c>
    </row>
    <row r="2289">
      <c r="A2289" s="8" t="s">
        <v>619</v>
      </c>
      <c r="B2289" s="8" t="s">
        <v>3901</v>
      </c>
      <c r="C2289" s="8" t="s">
        <v>122</v>
      </c>
      <c r="D2289" s="8" t="s">
        <v>6434</v>
      </c>
      <c r="E2289" s="8">
        <v>84.0</v>
      </c>
    </row>
    <row r="2290">
      <c r="A2290" s="8" t="s">
        <v>619</v>
      </c>
      <c r="B2290" s="8" t="s">
        <v>78</v>
      </c>
      <c r="C2290" s="8" t="s">
        <v>186</v>
      </c>
      <c r="D2290" s="8" t="s">
        <v>6439</v>
      </c>
      <c r="E2290" s="8">
        <v>73.0</v>
      </c>
    </row>
    <row r="2291">
      <c r="A2291" s="8" t="s">
        <v>1640</v>
      </c>
      <c r="B2291" s="8" t="s">
        <v>208</v>
      </c>
      <c r="C2291" s="8" t="s">
        <v>65</v>
      </c>
      <c r="D2291" s="8" t="s">
        <v>6426</v>
      </c>
      <c r="E2291" s="8">
        <v>82.0</v>
      </c>
    </row>
    <row r="2292">
      <c r="A2292" s="8" t="s">
        <v>1640</v>
      </c>
      <c r="B2292" s="8" t="s">
        <v>3013</v>
      </c>
      <c r="C2292" s="8" t="s">
        <v>186</v>
      </c>
      <c r="D2292" s="8" t="s">
        <v>6417</v>
      </c>
      <c r="E2292" s="8">
        <v>75.0</v>
      </c>
    </row>
    <row r="2293">
      <c r="A2293" s="8" t="s">
        <v>1640</v>
      </c>
      <c r="B2293" s="8" t="s">
        <v>1655</v>
      </c>
      <c r="C2293" s="8" t="s">
        <v>122</v>
      </c>
      <c r="D2293" s="8" t="s">
        <v>6436</v>
      </c>
      <c r="E2293" s="8">
        <v>67.0</v>
      </c>
    </row>
    <row r="2294">
      <c r="A2294" s="8" t="s">
        <v>257</v>
      </c>
      <c r="B2294" s="8" t="s">
        <v>256</v>
      </c>
      <c r="C2294" s="8" t="s">
        <v>138</v>
      </c>
      <c r="D2294" s="8" t="s">
        <v>6424</v>
      </c>
      <c r="E2294" s="8">
        <v>79.0</v>
      </c>
    </row>
    <row r="2295">
      <c r="A2295" s="8" t="s">
        <v>2980</v>
      </c>
      <c r="B2295" s="8" t="s">
        <v>2979</v>
      </c>
      <c r="C2295" s="8" t="s">
        <v>46</v>
      </c>
      <c r="D2295" s="8" t="s">
        <v>6415</v>
      </c>
      <c r="E2295" s="8">
        <v>65.0</v>
      </c>
    </row>
    <row r="2296">
      <c r="A2296" s="8" t="s">
        <v>270</v>
      </c>
      <c r="B2296" s="8" t="s">
        <v>268</v>
      </c>
      <c r="C2296" s="8" t="s">
        <v>24</v>
      </c>
      <c r="D2296" s="8" t="s">
        <v>6412</v>
      </c>
      <c r="E2296" s="8">
        <v>79.0</v>
      </c>
    </row>
    <row r="2297">
      <c r="A2297" s="8" t="s">
        <v>265</v>
      </c>
      <c r="B2297" s="8" t="s">
        <v>264</v>
      </c>
      <c r="C2297" s="8" t="s">
        <v>132</v>
      </c>
      <c r="D2297" s="8" t="s">
        <v>6435</v>
      </c>
      <c r="E2297" s="8">
        <v>74.0</v>
      </c>
    </row>
    <row r="2298">
      <c r="A2298" s="8" t="s">
        <v>403</v>
      </c>
      <c r="B2298" s="8" t="s">
        <v>402</v>
      </c>
      <c r="C2298" s="8" t="s">
        <v>53</v>
      </c>
      <c r="D2298" s="8" t="s">
        <v>6412</v>
      </c>
      <c r="E2298" s="8">
        <v>99.0</v>
      </c>
    </row>
    <row r="2299">
      <c r="A2299" s="8" t="s">
        <v>1694</v>
      </c>
      <c r="B2299" s="8" t="s">
        <v>646</v>
      </c>
      <c r="C2299" s="8" t="s">
        <v>80</v>
      </c>
      <c r="D2299" s="8" t="s">
        <v>6418</v>
      </c>
      <c r="E2299" s="8">
        <v>71.0</v>
      </c>
    </row>
    <row r="2300">
      <c r="A2300" s="8" t="s">
        <v>2759</v>
      </c>
      <c r="B2300" s="8" t="s">
        <v>61</v>
      </c>
      <c r="C2300" s="8" t="s">
        <v>93</v>
      </c>
      <c r="D2300" s="8" t="s">
        <v>6428</v>
      </c>
      <c r="E2300" s="8">
        <v>91.0</v>
      </c>
    </row>
    <row r="2301">
      <c r="A2301" s="8" t="s">
        <v>1152</v>
      </c>
      <c r="B2301" s="8" t="s">
        <v>1151</v>
      </c>
      <c r="C2301" s="8" t="s">
        <v>53</v>
      </c>
      <c r="D2301" s="8" t="s">
        <v>6412</v>
      </c>
      <c r="E2301" s="8">
        <v>57.0</v>
      </c>
    </row>
    <row r="2302">
      <c r="A2302" s="8" t="s">
        <v>658</v>
      </c>
      <c r="B2302" s="8" t="s">
        <v>657</v>
      </c>
      <c r="C2302" s="8" t="s">
        <v>59</v>
      </c>
      <c r="D2302" s="8" t="s">
        <v>6417</v>
      </c>
      <c r="E2302" s="8">
        <v>88.0</v>
      </c>
    </row>
    <row r="2303">
      <c r="A2303" s="8" t="s">
        <v>1328</v>
      </c>
      <c r="B2303" s="8" t="s">
        <v>3271</v>
      </c>
      <c r="C2303" s="8" t="s">
        <v>138</v>
      </c>
      <c r="D2303" s="8" t="s">
        <v>6420</v>
      </c>
      <c r="E2303" s="8">
        <v>74.0</v>
      </c>
    </row>
    <row r="2304">
      <c r="A2304" s="8" t="s">
        <v>633</v>
      </c>
      <c r="B2304" s="8" t="s">
        <v>632</v>
      </c>
      <c r="C2304" s="8" t="s">
        <v>80</v>
      </c>
      <c r="D2304" s="8" t="s">
        <v>6415</v>
      </c>
      <c r="E2304" s="8">
        <v>71.0</v>
      </c>
    </row>
    <row r="2305">
      <c r="A2305" s="8" t="s">
        <v>3399</v>
      </c>
      <c r="B2305" s="8" t="s">
        <v>2220</v>
      </c>
      <c r="C2305" s="8" t="s">
        <v>65</v>
      </c>
      <c r="D2305" s="8" t="s">
        <v>6430</v>
      </c>
      <c r="E2305" s="8">
        <v>60.0</v>
      </c>
    </row>
    <row r="2306">
      <c r="A2306" s="8" t="s">
        <v>1618</v>
      </c>
      <c r="B2306" s="8" t="s">
        <v>1617</v>
      </c>
      <c r="C2306" s="8" t="s">
        <v>70</v>
      </c>
      <c r="D2306" s="8" t="s">
        <v>6424</v>
      </c>
      <c r="E2306" s="8">
        <v>70.0</v>
      </c>
    </row>
    <row r="2307">
      <c r="A2307" s="8" t="s">
        <v>542</v>
      </c>
      <c r="B2307" s="8" t="s">
        <v>541</v>
      </c>
      <c r="C2307" s="8" t="s">
        <v>215</v>
      </c>
      <c r="D2307" s="8" t="s">
        <v>6441</v>
      </c>
      <c r="E2307" s="8">
        <v>70.0</v>
      </c>
    </row>
    <row r="2308">
      <c r="A2308" s="8" t="s">
        <v>542</v>
      </c>
      <c r="B2308" s="8" t="s">
        <v>3424</v>
      </c>
      <c r="C2308" s="8" t="s">
        <v>24</v>
      </c>
      <c r="D2308" s="8" t="s">
        <v>6440</v>
      </c>
      <c r="E2308" s="8">
        <v>62.0</v>
      </c>
    </row>
    <row r="2309">
      <c r="A2309" s="8" t="s">
        <v>542</v>
      </c>
      <c r="B2309" s="8" t="s">
        <v>1602</v>
      </c>
      <c r="C2309" s="8" t="s">
        <v>75</v>
      </c>
      <c r="D2309" s="8" t="s">
        <v>6431</v>
      </c>
      <c r="E2309" s="8">
        <v>64.0</v>
      </c>
    </row>
    <row r="2310">
      <c r="A2310" s="8" t="s">
        <v>185</v>
      </c>
      <c r="B2310" s="8" t="s">
        <v>389</v>
      </c>
      <c r="C2310" s="8" t="s">
        <v>141</v>
      </c>
      <c r="D2310" s="8" t="s">
        <v>6440</v>
      </c>
      <c r="E2310" s="8">
        <v>70.0</v>
      </c>
    </row>
    <row r="2311">
      <c r="A2311" s="8" t="s">
        <v>185</v>
      </c>
      <c r="B2311" s="8" t="s">
        <v>184</v>
      </c>
      <c r="C2311" s="8" t="s">
        <v>186</v>
      </c>
      <c r="D2311" s="8" t="s">
        <v>6423</v>
      </c>
      <c r="E2311" s="8">
        <v>87.0</v>
      </c>
    </row>
    <row r="2312">
      <c r="A2312" s="8" t="s">
        <v>791</v>
      </c>
      <c r="B2312" s="8" t="s">
        <v>790</v>
      </c>
      <c r="C2312" s="8" t="s">
        <v>141</v>
      </c>
      <c r="D2312" s="8" t="s">
        <v>6425</v>
      </c>
      <c r="E2312" s="8">
        <v>88.0</v>
      </c>
    </row>
    <row r="2313">
      <c r="A2313" s="8" t="s">
        <v>587</v>
      </c>
      <c r="B2313" s="8" t="s">
        <v>586</v>
      </c>
      <c r="C2313" s="8" t="s">
        <v>53</v>
      </c>
      <c r="D2313" s="8" t="s">
        <v>6434</v>
      </c>
      <c r="E2313" s="8">
        <v>88.0</v>
      </c>
    </row>
    <row r="2314">
      <c r="A2314" s="8" t="s">
        <v>1046</v>
      </c>
      <c r="B2314" s="8" t="s">
        <v>3177</v>
      </c>
      <c r="C2314" s="8" t="s">
        <v>93</v>
      </c>
      <c r="D2314" s="8" t="s">
        <v>6416</v>
      </c>
      <c r="E2314" s="8">
        <v>72.0</v>
      </c>
    </row>
    <row r="2315">
      <c r="A2315" s="8" t="s">
        <v>1046</v>
      </c>
      <c r="B2315" s="8" t="s">
        <v>3203</v>
      </c>
      <c r="C2315" s="8" t="s">
        <v>215</v>
      </c>
      <c r="D2315" s="8" t="s">
        <v>6417</v>
      </c>
      <c r="E2315" s="8">
        <v>67.0</v>
      </c>
    </row>
    <row r="2316">
      <c r="A2316" s="8" t="s">
        <v>1046</v>
      </c>
      <c r="B2316" s="8" t="s">
        <v>358</v>
      </c>
      <c r="C2316" s="8" t="s">
        <v>186</v>
      </c>
      <c r="D2316" s="8" t="s">
        <v>6416</v>
      </c>
      <c r="E2316" s="8">
        <v>70.0</v>
      </c>
    </row>
    <row r="2317">
      <c r="A2317" s="8" t="s">
        <v>1046</v>
      </c>
      <c r="B2317" s="8" t="s">
        <v>61</v>
      </c>
      <c r="C2317" s="8" t="s">
        <v>93</v>
      </c>
      <c r="D2317" s="8" t="s">
        <v>6435</v>
      </c>
      <c r="E2317" s="8">
        <v>73.0</v>
      </c>
    </row>
    <row r="2318">
      <c r="A2318" s="8" t="s">
        <v>1046</v>
      </c>
      <c r="B2318" s="8" t="s">
        <v>2796</v>
      </c>
      <c r="C2318" s="8" t="s">
        <v>65</v>
      </c>
      <c r="D2318" s="8" t="s">
        <v>6434</v>
      </c>
      <c r="E2318" s="8">
        <v>74.0</v>
      </c>
    </row>
    <row r="2319">
      <c r="A2319" s="8" t="s">
        <v>1046</v>
      </c>
      <c r="B2319" s="8" t="s">
        <v>389</v>
      </c>
      <c r="C2319" s="8" t="s">
        <v>261</v>
      </c>
      <c r="D2319" s="8" t="s">
        <v>6425</v>
      </c>
      <c r="E2319" s="8">
        <v>82.0</v>
      </c>
    </row>
    <row r="2320">
      <c r="A2320" s="8" t="s">
        <v>1046</v>
      </c>
      <c r="B2320" s="8" t="s">
        <v>3773</v>
      </c>
      <c r="C2320" s="8" t="s">
        <v>38</v>
      </c>
      <c r="D2320" s="8" t="s">
        <v>6439</v>
      </c>
      <c r="E2320" s="8">
        <v>68.0</v>
      </c>
    </row>
    <row r="2321">
      <c r="A2321" s="8" t="s">
        <v>1046</v>
      </c>
      <c r="B2321" s="8" t="s">
        <v>1564</v>
      </c>
      <c r="C2321" s="8" t="s">
        <v>192</v>
      </c>
      <c r="D2321" s="8" t="s">
        <v>6412</v>
      </c>
      <c r="E2321" s="8">
        <v>68.0</v>
      </c>
    </row>
    <row r="2322">
      <c r="A2322" s="8" t="s">
        <v>1046</v>
      </c>
      <c r="B2322" s="8" t="s">
        <v>1297</v>
      </c>
      <c r="C2322" s="8" t="s">
        <v>93</v>
      </c>
      <c r="D2322" s="8" t="s">
        <v>6422</v>
      </c>
      <c r="E2322" s="8">
        <v>68.0</v>
      </c>
    </row>
    <row r="2323">
      <c r="A2323" s="8" t="s">
        <v>1046</v>
      </c>
      <c r="B2323" s="8" t="s">
        <v>1984</v>
      </c>
      <c r="C2323" s="8" t="s">
        <v>138</v>
      </c>
      <c r="D2323" s="8" t="s">
        <v>6427</v>
      </c>
      <c r="E2323" s="8">
        <v>65.0</v>
      </c>
    </row>
    <row r="2324">
      <c r="A2324" s="8" t="s">
        <v>1046</v>
      </c>
      <c r="B2324" s="8" t="s">
        <v>1045</v>
      </c>
      <c r="C2324" s="8" t="s">
        <v>24</v>
      </c>
      <c r="D2324" s="8" t="s">
        <v>6425</v>
      </c>
      <c r="E2324" s="8">
        <v>72.0</v>
      </c>
    </row>
    <row r="2325">
      <c r="A2325" s="8" t="s">
        <v>692</v>
      </c>
      <c r="B2325" s="8" t="s">
        <v>1453</v>
      </c>
      <c r="C2325" s="8" t="s">
        <v>93</v>
      </c>
      <c r="D2325" s="8" t="s">
        <v>6439</v>
      </c>
      <c r="E2325" s="8">
        <v>82.0</v>
      </c>
    </row>
    <row r="2326">
      <c r="A2326" s="8" t="s">
        <v>692</v>
      </c>
      <c r="B2326" s="8" t="s">
        <v>691</v>
      </c>
      <c r="C2326" s="8" t="s">
        <v>215</v>
      </c>
      <c r="D2326" s="8" t="s">
        <v>6426</v>
      </c>
      <c r="E2326" s="8">
        <v>78.0</v>
      </c>
    </row>
    <row r="2327">
      <c r="A2327" s="8" t="s">
        <v>692</v>
      </c>
      <c r="B2327" s="8" t="s">
        <v>2839</v>
      </c>
      <c r="C2327" s="8" t="s">
        <v>138</v>
      </c>
      <c r="D2327" s="8" t="s">
        <v>6414</v>
      </c>
      <c r="E2327" s="8">
        <v>85.0</v>
      </c>
    </row>
    <row r="2328">
      <c r="A2328" s="8" t="s">
        <v>692</v>
      </c>
      <c r="B2328" s="8" t="s">
        <v>3315</v>
      </c>
      <c r="C2328" s="8" t="s">
        <v>93</v>
      </c>
      <c r="D2328" s="8" t="s">
        <v>6417</v>
      </c>
      <c r="E2328" s="8">
        <v>73.0</v>
      </c>
    </row>
    <row r="2329">
      <c r="A2329" s="8" t="s">
        <v>1317</v>
      </c>
      <c r="B2329" s="8" t="s">
        <v>1373</v>
      </c>
      <c r="C2329" s="8" t="s">
        <v>75</v>
      </c>
      <c r="D2329" s="8" t="s">
        <v>6429</v>
      </c>
      <c r="E2329" s="8">
        <v>69.0</v>
      </c>
    </row>
    <row r="2330">
      <c r="A2330" s="8" t="s">
        <v>1317</v>
      </c>
      <c r="B2330" s="8" t="s">
        <v>637</v>
      </c>
      <c r="C2330" s="8" t="s">
        <v>122</v>
      </c>
      <c r="D2330" s="8" t="s">
        <v>6435</v>
      </c>
      <c r="E2330" s="8">
        <v>68.0</v>
      </c>
    </row>
    <row r="2331">
      <c r="A2331" s="8" t="s">
        <v>1317</v>
      </c>
      <c r="B2331" s="8" t="s">
        <v>1316</v>
      </c>
      <c r="C2331" s="8" t="s">
        <v>65</v>
      </c>
      <c r="D2331" s="8" t="s">
        <v>6418</v>
      </c>
      <c r="E2331" s="8">
        <v>77.0</v>
      </c>
    </row>
    <row r="2332">
      <c r="A2332" s="8" t="s">
        <v>1317</v>
      </c>
      <c r="B2332" s="8" t="s">
        <v>1675</v>
      </c>
      <c r="C2332" s="8" t="s">
        <v>53</v>
      </c>
      <c r="D2332" s="8" t="s">
        <v>6427</v>
      </c>
      <c r="E2332" s="8">
        <v>82.0</v>
      </c>
    </row>
    <row r="2333">
      <c r="A2333" s="8" t="s">
        <v>1669</v>
      </c>
      <c r="B2333" s="8" t="s">
        <v>3665</v>
      </c>
      <c r="C2333" s="8" t="s">
        <v>80</v>
      </c>
      <c r="D2333" s="8" t="s">
        <v>6428</v>
      </c>
      <c r="E2333" s="8">
        <v>69.0</v>
      </c>
    </row>
    <row r="2334">
      <c r="A2334" s="8" t="s">
        <v>1201</v>
      </c>
      <c r="B2334" s="8" t="s">
        <v>1200</v>
      </c>
      <c r="C2334" s="8" t="s">
        <v>93</v>
      </c>
      <c r="D2334" s="8" t="s">
        <v>6415</v>
      </c>
      <c r="E2334" s="8">
        <v>72.0</v>
      </c>
    </row>
    <row r="2335">
      <c r="A2335" s="8" t="s">
        <v>596</v>
      </c>
      <c r="B2335" s="8" t="s">
        <v>500</v>
      </c>
      <c r="C2335" s="8" t="s">
        <v>215</v>
      </c>
      <c r="D2335" s="8" t="s">
        <v>6443</v>
      </c>
      <c r="E2335" s="8">
        <v>62.0</v>
      </c>
    </row>
    <row r="2336">
      <c r="A2336" s="8" t="s">
        <v>596</v>
      </c>
      <c r="B2336" s="8" t="s">
        <v>1178</v>
      </c>
      <c r="C2336" s="8" t="s">
        <v>24</v>
      </c>
      <c r="D2336" s="8" t="s">
        <v>6439</v>
      </c>
      <c r="E2336" s="8">
        <v>62.0</v>
      </c>
    </row>
    <row r="2337">
      <c r="A2337" s="8" t="s">
        <v>596</v>
      </c>
      <c r="B2337" s="8" t="s">
        <v>595</v>
      </c>
      <c r="C2337" s="8" t="s">
        <v>93</v>
      </c>
      <c r="D2337" s="8" t="s">
        <v>6429</v>
      </c>
      <c r="E2337" s="8">
        <v>80.0</v>
      </c>
    </row>
    <row r="2338">
      <c r="A2338" s="8" t="s">
        <v>596</v>
      </c>
      <c r="B2338" s="8" t="s">
        <v>6236</v>
      </c>
      <c r="C2338" s="8" t="s">
        <v>75</v>
      </c>
      <c r="D2338" s="8" t="s">
        <v>6434</v>
      </c>
      <c r="E2338" s="8">
        <v>71.0</v>
      </c>
    </row>
    <row r="2339">
      <c r="A2339" s="8" t="s">
        <v>596</v>
      </c>
      <c r="B2339" s="8" t="s">
        <v>78</v>
      </c>
      <c r="C2339" s="8" t="s">
        <v>122</v>
      </c>
      <c r="D2339" s="8" t="s">
        <v>6419</v>
      </c>
      <c r="E2339" s="8">
        <v>60.0</v>
      </c>
    </row>
    <row r="2340">
      <c r="A2340" s="8" t="s">
        <v>1920</v>
      </c>
      <c r="B2340" s="8" t="s">
        <v>1919</v>
      </c>
      <c r="C2340" s="8" t="s">
        <v>215</v>
      </c>
      <c r="D2340" s="8" t="s">
        <v>6413</v>
      </c>
      <c r="E2340" s="8">
        <v>69.0</v>
      </c>
    </row>
    <row r="2341">
      <c r="A2341" s="8" t="s">
        <v>6244</v>
      </c>
      <c r="B2341" s="8" t="s">
        <v>99</v>
      </c>
      <c r="C2341" s="8" t="s">
        <v>59</v>
      </c>
      <c r="D2341" s="8" t="s">
        <v>6435</v>
      </c>
      <c r="E2341" s="8">
        <v>65.0</v>
      </c>
    </row>
    <row r="2342">
      <c r="A2342" s="8" t="s">
        <v>737</v>
      </c>
      <c r="B2342" s="8" t="s">
        <v>224</v>
      </c>
      <c r="C2342" s="8" t="s">
        <v>70</v>
      </c>
      <c r="D2342" s="8" t="s">
        <v>6433</v>
      </c>
      <c r="E2342" s="8">
        <v>70.0</v>
      </c>
    </row>
    <row r="2343">
      <c r="A2343" s="8" t="s">
        <v>737</v>
      </c>
      <c r="B2343" s="8" t="s">
        <v>3238</v>
      </c>
      <c r="C2343" s="8" t="s">
        <v>16</v>
      </c>
      <c r="D2343" s="8" t="s">
        <v>6415</v>
      </c>
      <c r="E2343" s="8">
        <v>61.0</v>
      </c>
    </row>
    <row r="2344">
      <c r="A2344" s="8" t="s">
        <v>737</v>
      </c>
      <c r="B2344" s="8" t="s">
        <v>736</v>
      </c>
      <c r="C2344" s="8" t="s">
        <v>75</v>
      </c>
      <c r="D2344" s="8" t="s">
        <v>6429</v>
      </c>
      <c r="E2344" s="8">
        <v>62.0</v>
      </c>
    </row>
    <row r="2345">
      <c r="A2345" s="8" t="s">
        <v>480</v>
      </c>
      <c r="B2345" s="8" t="s">
        <v>106</v>
      </c>
      <c r="C2345" s="8" t="s">
        <v>59</v>
      </c>
      <c r="D2345" s="8" t="s">
        <v>6430</v>
      </c>
      <c r="E2345" s="8">
        <v>82.0</v>
      </c>
    </row>
    <row r="2346">
      <c r="A2346" s="8" t="s">
        <v>480</v>
      </c>
      <c r="B2346" s="8" t="s">
        <v>678</v>
      </c>
      <c r="C2346" s="8" t="s">
        <v>24</v>
      </c>
      <c r="D2346" s="8" t="s">
        <v>6424</v>
      </c>
      <c r="E2346" s="8">
        <v>87.0</v>
      </c>
    </row>
    <row r="2347">
      <c r="A2347" s="8" t="s">
        <v>480</v>
      </c>
      <c r="B2347" s="8" t="s">
        <v>919</v>
      </c>
      <c r="C2347" s="8" t="s">
        <v>141</v>
      </c>
      <c r="D2347" s="8" t="s">
        <v>6437</v>
      </c>
      <c r="E2347" s="8">
        <v>68.0</v>
      </c>
    </row>
    <row r="2348">
      <c r="A2348" s="8" t="s">
        <v>480</v>
      </c>
      <c r="B2348" s="8" t="s">
        <v>3686</v>
      </c>
      <c r="C2348" s="8" t="s">
        <v>12</v>
      </c>
      <c r="D2348" s="8" t="s">
        <v>6417</v>
      </c>
      <c r="E2348" s="8">
        <v>69.0</v>
      </c>
    </row>
    <row r="2349">
      <c r="A2349" s="8" t="s">
        <v>480</v>
      </c>
      <c r="B2349" s="8" t="s">
        <v>563</v>
      </c>
      <c r="C2349" s="8" t="s">
        <v>122</v>
      </c>
      <c r="D2349" s="8" t="s">
        <v>6428</v>
      </c>
      <c r="E2349" s="8">
        <v>73.0</v>
      </c>
    </row>
    <row r="2350">
      <c r="A2350" s="8" t="s">
        <v>480</v>
      </c>
      <c r="B2350" s="8" t="s">
        <v>573</v>
      </c>
      <c r="C2350" s="8" t="s">
        <v>261</v>
      </c>
      <c r="D2350" s="8" t="s">
        <v>6429</v>
      </c>
      <c r="E2350" s="8">
        <v>72.0</v>
      </c>
    </row>
    <row r="2351">
      <c r="A2351" s="8" t="s">
        <v>480</v>
      </c>
      <c r="B2351" s="8" t="s">
        <v>3765</v>
      </c>
      <c r="C2351" s="8" t="s">
        <v>16</v>
      </c>
      <c r="D2351" s="8" t="s">
        <v>6432</v>
      </c>
      <c r="E2351" s="8">
        <v>66.0</v>
      </c>
    </row>
    <row r="2352">
      <c r="A2352" s="8" t="s">
        <v>480</v>
      </c>
      <c r="B2352" s="8" t="s">
        <v>402</v>
      </c>
      <c r="C2352" s="8" t="s">
        <v>24</v>
      </c>
      <c r="D2352" s="8" t="s">
        <v>6427</v>
      </c>
      <c r="E2352" s="8">
        <v>78.0</v>
      </c>
    </row>
    <row r="2353">
      <c r="A2353" s="8" t="s">
        <v>480</v>
      </c>
      <c r="B2353" s="8" t="s">
        <v>1264</v>
      </c>
      <c r="C2353" s="8" t="s">
        <v>138</v>
      </c>
      <c r="D2353" s="8" t="s">
        <v>6429</v>
      </c>
      <c r="E2353" s="8">
        <v>64.0</v>
      </c>
    </row>
    <row r="2354">
      <c r="A2354" s="8" t="s">
        <v>480</v>
      </c>
      <c r="B2354" s="8" t="s">
        <v>3451</v>
      </c>
      <c r="C2354" s="8" t="s">
        <v>149</v>
      </c>
      <c r="D2354" s="8" t="s">
        <v>6418</v>
      </c>
      <c r="E2354" s="8">
        <v>82.0</v>
      </c>
    </row>
    <row r="2355">
      <c r="A2355" s="8" t="s">
        <v>480</v>
      </c>
      <c r="B2355" s="8" t="s">
        <v>1631</v>
      </c>
      <c r="C2355" s="8" t="s">
        <v>24</v>
      </c>
      <c r="D2355" s="8" t="s">
        <v>6440</v>
      </c>
      <c r="E2355" s="8">
        <v>70.0</v>
      </c>
    </row>
    <row r="2356">
      <c r="A2356" s="8" t="s">
        <v>480</v>
      </c>
      <c r="B2356" s="8" t="s">
        <v>1327</v>
      </c>
      <c r="C2356" s="8" t="s">
        <v>186</v>
      </c>
      <c r="D2356" s="8" t="s">
        <v>6415</v>
      </c>
      <c r="E2356" s="8">
        <v>59.0</v>
      </c>
    </row>
    <row r="2357">
      <c r="A2357" s="8" t="s">
        <v>480</v>
      </c>
      <c r="B2357" s="8" t="s">
        <v>1348</v>
      </c>
      <c r="C2357" s="8" t="s">
        <v>70</v>
      </c>
      <c r="D2357" s="8" t="s">
        <v>6420</v>
      </c>
      <c r="E2357" s="8">
        <v>69.0</v>
      </c>
    </row>
    <row r="2358">
      <c r="A2358" s="8" t="s">
        <v>3789</v>
      </c>
      <c r="B2358" s="8" t="s">
        <v>3788</v>
      </c>
      <c r="C2358" s="8" t="s">
        <v>186</v>
      </c>
      <c r="D2358" s="8" t="s">
        <v>6435</v>
      </c>
      <c r="E2358" s="8">
        <v>65.0</v>
      </c>
    </row>
    <row r="2359">
      <c r="A2359" s="8" t="s">
        <v>750</v>
      </c>
      <c r="B2359" s="8" t="s">
        <v>396</v>
      </c>
      <c r="C2359" s="8" t="s">
        <v>132</v>
      </c>
      <c r="D2359" s="8" t="s">
        <v>6442</v>
      </c>
      <c r="E2359" s="8">
        <v>92.0</v>
      </c>
    </row>
    <row r="2360">
      <c r="A2360" s="8" t="s">
        <v>750</v>
      </c>
      <c r="B2360" s="8" t="s">
        <v>1960</v>
      </c>
      <c r="C2360" s="8" t="s">
        <v>93</v>
      </c>
      <c r="D2360" s="8" t="s">
        <v>6441</v>
      </c>
      <c r="E2360" s="8">
        <v>64.0</v>
      </c>
    </row>
    <row r="2361">
      <c r="A2361" s="8" t="s">
        <v>86</v>
      </c>
      <c r="B2361" s="8" t="s">
        <v>85</v>
      </c>
      <c r="C2361" s="8" t="s">
        <v>24</v>
      </c>
      <c r="D2361" s="8" t="s">
        <v>6425</v>
      </c>
      <c r="E2361" s="8">
        <v>55.0</v>
      </c>
    </row>
    <row r="2362">
      <c r="A2362" s="8" t="s">
        <v>1814</v>
      </c>
      <c r="B2362" s="8" t="s">
        <v>3167</v>
      </c>
      <c r="C2362" s="8" t="s">
        <v>75</v>
      </c>
      <c r="D2362" s="8" t="s">
        <v>6422</v>
      </c>
      <c r="E2362" s="8">
        <v>73.0</v>
      </c>
    </row>
    <row r="2363">
      <c r="A2363" s="8" t="s">
        <v>3277</v>
      </c>
      <c r="B2363" s="8" t="s">
        <v>3276</v>
      </c>
      <c r="C2363" s="8" t="s">
        <v>186</v>
      </c>
      <c r="D2363" s="8" t="s">
        <v>6420</v>
      </c>
      <c r="E2363" s="8">
        <v>67.0</v>
      </c>
    </row>
    <row r="2364">
      <c r="A2364" s="8" t="s">
        <v>2848</v>
      </c>
      <c r="B2364" s="8" t="s">
        <v>2135</v>
      </c>
      <c r="C2364" s="8" t="s">
        <v>122</v>
      </c>
      <c r="D2364" s="8" t="s">
        <v>6416</v>
      </c>
      <c r="E2364" s="8">
        <v>70.0</v>
      </c>
    </row>
    <row r="2365">
      <c r="A2365" s="8"/>
      <c r="B2365" s="8"/>
      <c r="C2365" s="8"/>
      <c r="D2365" s="8"/>
      <c r="E2365" s="8"/>
    </row>
    <row r="2366">
      <c r="A2366" s="8"/>
      <c r="B2366" s="8"/>
      <c r="C2366" s="8"/>
      <c r="D2366" s="8"/>
      <c r="E2366" s="8"/>
    </row>
    <row r="2367">
      <c r="A2367" s="8"/>
      <c r="B2367" s="8"/>
      <c r="C2367" s="8"/>
      <c r="D2367" s="8"/>
      <c r="E2367" s="8"/>
    </row>
    <row r="2368">
      <c r="A2368" s="8"/>
      <c r="B2368" s="8"/>
      <c r="C2368" s="8"/>
      <c r="D2368" s="8"/>
      <c r="E2368" s="8"/>
    </row>
    <row r="2369">
      <c r="A2369" s="8"/>
      <c r="B2369" s="8"/>
      <c r="C2369" s="8"/>
      <c r="D2369" s="8"/>
      <c r="E2369" s="8"/>
    </row>
    <row r="2370">
      <c r="A2370" s="8"/>
      <c r="B2370" s="8"/>
      <c r="C2370" s="8"/>
      <c r="D2370" s="8"/>
      <c r="E2370" s="8"/>
    </row>
    <row r="2371">
      <c r="A2371" s="8"/>
      <c r="B2371" s="8"/>
      <c r="C2371" s="8"/>
      <c r="D2371" s="8"/>
      <c r="E2371" s="8"/>
    </row>
    <row r="2372">
      <c r="A2372" s="8"/>
      <c r="B2372" s="8"/>
      <c r="C2372" s="8"/>
      <c r="D2372" s="8"/>
      <c r="E2372" s="8"/>
    </row>
    <row r="2373">
      <c r="A2373" s="8"/>
      <c r="B2373" s="8"/>
      <c r="C2373" s="8"/>
      <c r="D2373" s="8"/>
      <c r="E2373" s="8"/>
    </row>
    <row r="2374">
      <c r="A2374" s="8"/>
      <c r="B2374" s="8"/>
      <c r="C2374" s="8"/>
      <c r="D2374" s="8"/>
      <c r="E2374" s="8"/>
    </row>
    <row r="2375">
      <c r="A2375" s="8"/>
      <c r="B2375" s="8"/>
      <c r="C2375" s="8"/>
      <c r="D2375" s="8"/>
      <c r="E2375" s="8"/>
    </row>
    <row r="2376">
      <c r="A2376" s="8"/>
      <c r="B2376" s="8"/>
      <c r="C2376" s="8"/>
      <c r="D2376" s="8"/>
      <c r="E2376" s="8"/>
    </row>
    <row r="2377">
      <c r="A2377" s="8"/>
      <c r="B2377" s="8"/>
      <c r="C2377" s="8"/>
      <c r="D2377" s="8"/>
      <c r="E2377" s="8"/>
    </row>
    <row r="2378">
      <c r="A2378" s="8"/>
      <c r="B2378" s="8"/>
      <c r="C2378" s="8"/>
      <c r="D2378" s="8"/>
      <c r="E2378" s="8"/>
    </row>
    <row r="2379">
      <c r="A2379" s="8"/>
      <c r="B2379" s="8"/>
      <c r="C2379" s="8"/>
      <c r="D2379" s="8"/>
      <c r="E2379" s="8"/>
    </row>
    <row r="2380">
      <c r="A2380" s="8"/>
      <c r="B2380" s="8"/>
      <c r="C2380" s="8"/>
      <c r="D2380" s="8"/>
      <c r="E2380" s="8"/>
    </row>
    <row r="2381">
      <c r="A2381" s="8"/>
      <c r="B2381" s="8"/>
      <c r="C2381" s="8"/>
      <c r="D2381" s="8"/>
      <c r="E2381" s="8"/>
    </row>
    <row r="2382">
      <c r="A2382" s="8"/>
      <c r="B2382" s="8"/>
      <c r="C2382" s="8"/>
      <c r="D2382" s="8"/>
      <c r="E2382" s="8"/>
    </row>
    <row r="2383">
      <c r="A2383" s="8"/>
      <c r="B2383" s="8"/>
      <c r="C2383" s="8"/>
      <c r="D2383" s="8"/>
      <c r="E2383" s="8"/>
    </row>
    <row r="2384">
      <c r="A2384" s="8"/>
      <c r="B2384" s="8"/>
      <c r="C2384" s="8"/>
      <c r="D2384" s="8"/>
      <c r="E2384" s="8"/>
    </row>
    <row r="2385">
      <c r="A2385" s="8"/>
      <c r="B2385" s="8"/>
      <c r="C2385" s="8"/>
      <c r="D2385" s="8"/>
      <c r="E2385" s="8"/>
    </row>
    <row r="2386">
      <c r="A2386" s="8"/>
      <c r="B2386" s="8"/>
      <c r="C2386" s="8"/>
      <c r="D2386" s="8"/>
      <c r="E2386" s="8"/>
    </row>
    <row r="2387">
      <c r="A2387" s="8"/>
      <c r="B2387" s="8"/>
      <c r="C2387" s="8"/>
      <c r="D2387" s="8"/>
      <c r="E2387" s="8"/>
    </row>
    <row r="2388">
      <c r="A2388" s="8"/>
      <c r="B2388" s="8"/>
      <c r="C2388" s="8"/>
      <c r="D2388" s="8"/>
      <c r="E2388" s="8"/>
    </row>
    <row r="2389">
      <c r="A2389" s="8"/>
      <c r="B2389" s="8"/>
      <c r="C2389" s="8"/>
      <c r="D2389" s="8"/>
      <c r="E2389" s="8"/>
    </row>
    <row r="2390">
      <c r="A2390" s="8"/>
      <c r="B2390" s="8"/>
      <c r="C2390" s="8"/>
      <c r="D2390" s="8"/>
      <c r="E2390" s="8"/>
    </row>
    <row r="2391">
      <c r="A2391" s="8"/>
      <c r="B2391" s="8"/>
      <c r="C2391" s="8"/>
      <c r="D2391" s="8"/>
      <c r="E2391" s="8"/>
    </row>
    <row r="2392">
      <c r="A2392" s="8"/>
      <c r="B2392" s="8"/>
      <c r="C2392" s="8"/>
      <c r="D2392" s="8"/>
      <c r="E2392" s="8"/>
    </row>
    <row r="2393">
      <c r="A2393" s="8"/>
      <c r="B2393" s="8"/>
      <c r="C2393" s="8"/>
      <c r="D2393" s="8"/>
      <c r="E2393" s="8"/>
    </row>
    <row r="2394">
      <c r="A2394" s="8"/>
      <c r="B2394" s="8"/>
      <c r="C2394" s="8"/>
      <c r="D2394" s="8"/>
      <c r="E2394" s="8"/>
    </row>
    <row r="2395">
      <c r="A2395" s="8"/>
      <c r="B2395" s="8"/>
      <c r="C2395" s="8"/>
      <c r="D2395" s="8"/>
      <c r="E2395" s="8"/>
    </row>
    <row r="2396">
      <c r="A2396" s="8"/>
      <c r="B2396" s="8"/>
      <c r="C2396" s="8"/>
      <c r="D2396" s="8"/>
      <c r="E2396" s="8"/>
    </row>
    <row r="2397">
      <c r="A2397" s="8"/>
      <c r="B2397" s="8"/>
      <c r="C2397" s="8"/>
      <c r="D2397" s="8"/>
      <c r="E2397" s="8"/>
    </row>
    <row r="2398">
      <c r="A2398" s="8"/>
      <c r="B2398" s="8"/>
      <c r="C2398" s="8"/>
      <c r="D2398" s="8"/>
      <c r="E2398" s="8"/>
    </row>
    <row r="2399">
      <c r="A2399" s="8"/>
      <c r="B2399" s="8"/>
      <c r="C2399" s="8"/>
      <c r="D2399" s="8"/>
      <c r="E2399" s="8"/>
    </row>
    <row r="2400">
      <c r="A2400" s="8"/>
      <c r="B2400" s="8"/>
      <c r="C2400" s="8"/>
      <c r="D2400" s="8"/>
      <c r="E2400" s="8"/>
    </row>
    <row r="2401">
      <c r="A2401" s="8"/>
      <c r="B2401" s="8"/>
      <c r="C2401" s="8"/>
      <c r="D2401" s="8"/>
      <c r="E2401" s="8"/>
    </row>
    <row r="2402">
      <c r="A2402" s="8"/>
      <c r="B2402" s="8"/>
      <c r="C2402" s="8"/>
      <c r="D2402" s="8"/>
      <c r="E2402" s="8"/>
    </row>
    <row r="2403">
      <c r="A2403" s="8"/>
      <c r="B2403" s="8"/>
      <c r="C2403" s="8"/>
      <c r="D2403" s="8"/>
      <c r="E2403" s="8"/>
    </row>
    <row r="2404">
      <c r="A2404" s="8"/>
      <c r="B2404" s="8"/>
      <c r="C2404" s="8"/>
      <c r="D2404" s="8"/>
      <c r="E2404" s="8"/>
    </row>
    <row r="2405">
      <c r="A2405" s="8"/>
      <c r="B2405" s="8"/>
      <c r="C2405" s="8"/>
      <c r="D2405" s="8"/>
      <c r="E2405" s="8"/>
    </row>
    <row r="2406">
      <c r="A2406" s="8"/>
      <c r="B2406" s="8"/>
      <c r="C2406" s="8"/>
      <c r="D2406" s="8"/>
      <c r="E2406" s="8"/>
    </row>
    <row r="2407">
      <c r="A2407" s="8"/>
      <c r="B2407" s="8"/>
      <c r="C2407" s="8"/>
      <c r="D2407" s="8"/>
      <c r="E2407" s="8"/>
    </row>
    <row r="2408">
      <c r="A2408" s="8"/>
      <c r="B2408" s="8"/>
      <c r="C2408" s="8"/>
      <c r="D2408" s="8"/>
      <c r="E2408" s="8"/>
    </row>
    <row r="2409">
      <c r="A2409" s="8"/>
      <c r="B2409" s="8"/>
      <c r="C2409" s="8"/>
      <c r="D2409" s="8"/>
      <c r="E2409" s="8"/>
    </row>
    <row r="2410">
      <c r="A2410" s="8"/>
      <c r="B2410" s="8"/>
      <c r="C2410" s="8"/>
      <c r="D2410" s="8"/>
      <c r="E2410" s="8"/>
    </row>
    <row r="2411">
      <c r="A2411" s="8"/>
      <c r="B2411" s="8"/>
      <c r="C2411" s="8"/>
      <c r="D2411" s="8"/>
      <c r="E2411" s="8"/>
    </row>
    <row r="2412">
      <c r="A2412" s="8"/>
      <c r="B2412" s="8"/>
      <c r="C2412" s="8"/>
      <c r="D2412" s="8"/>
      <c r="E2412" s="8"/>
    </row>
    <row r="2413">
      <c r="A2413" s="8"/>
      <c r="B2413" s="8"/>
      <c r="C2413" s="8"/>
      <c r="D2413" s="8"/>
      <c r="E2413" s="8"/>
    </row>
    <row r="2414">
      <c r="A2414" s="8"/>
      <c r="B2414" s="8"/>
      <c r="C2414" s="8"/>
      <c r="D2414" s="8"/>
      <c r="E2414" s="8"/>
    </row>
    <row r="2415">
      <c r="A2415" s="8"/>
      <c r="B2415" s="8"/>
      <c r="C2415" s="8"/>
      <c r="D2415" s="8"/>
      <c r="E2415" s="8"/>
    </row>
    <row r="2416">
      <c r="A2416" s="8"/>
      <c r="B2416" s="8"/>
      <c r="C2416" s="8"/>
      <c r="D2416" s="8"/>
      <c r="E2416" s="8"/>
    </row>
    <row r="2417">
      <c r="A2417" s="8"/>
      <c r="B2417" s="8"/>
      <c r="C2417" s="8"/>
      <c r="D2417" s="8"/>
      <c r="E2417" s="8"/>
    </row>
    <row r="2418">
      <c r="A2418" s="8"/>
      <c r="B2418" s="8"/>
      <c r="C2418" s="8"/>
      <c r="D2418" s="8"/>
      <c r="E2418" s="8"/>
    </row>
    <row r="2419">
      <c r="A2419" s="8"/>
      <c r="B2419" s="8"/>
      <c r="C2419" s="8"/>
      <c r="D2419" s="8"/>
      <c r="E2419" s="8"/>
    </row>
    <row r="2420">
      <c r="A2420" s="8"/>
      <c r="B2420" s="8"/>
      <c r="C2420" s="8"/>
      <c r="D2420" s="8"/>
      <c r="E2420" s="8"/>
    </row>
    <row r="2421">
      <c r="A2421" s="8"/>
      <c r="B2421" s="8"/>
      <c r="C2421" s="8"/>
      <c r="D2421" s="8"/>
      <c r="E2421" s="8"/>
    </row>
    <row r="2422">
      <c r="A2422" s="8"/>
      <c r="B2422" s="8"/>
      <c r="C2422" s="8"/>
      <c r="D2422" s="8"/>
      <c r="E2422" s="8"/>
    </row>
    <row r="2423">
      <c r="A2423" s="8"/>
      <c r="B2423" s="8"/>
      <c r="C2423" s="8"/>
      <c r="D2423" s="8"/>
      <c r="E2423" s="8"/>
    </row>
    <row r="2424">
      <c r="A2424" s="8"/>
      <c r="B2424" s="8"/>
      <c r="C2424" s="8"/>
      <c r="D2424" s="8"/>
      <c r="E2424" s="8"/>
    </row>
    <row r="2425">
      <c r="A2425" s="8"/>
      <c r="B2425" s="8"/>
      <c r="C2425" s="8"/>
      <c r="D2425" s="8"/>
      <c r="E2425" s="8"/>
    </row>
    <row r="2426">
      <c r="A2426" s="8"/>
      <c r="B2426" s="8"/>
      <c r="C2426" s="8"/>
      <c r="D2426" s="8"/>
      <c r="E2426" s="8"/>
    </row>
    <row r="2427">
      <c r="A2427" s="8"/>
      <c r="B2427" s="8"/>
      <c r="C2427" s="8"/>
      <c r="D2427" s="8"/>
      <c r="E2427" s="8"/>
    </row>
    <row r="2428">
      <c r="A2428" s="8"/>
      <c r="B2428" s="8"/>
      <c r="C2428" s="8"/>
      <c r="D2428" s="8"/>
      <c r="E2428" s="8"/>
    </row>
    <row r="2429">
      <c r="A2429" s="8"/>
      <c r="B2429" s="8"/>
      <c r="C2429" s="8"/>
      <c r="D2429" s="8"/>
      <c r="E2429" s="8"/>
    </row>
    <row r="2430">
      <c r="A2430" s="8"/>
      <c r="B2430" s="8"/>
      <c r="C2430" s="8"/>
      <c r="D2430" s="8"/>
      <c r="E2430" s="8"/>
    </row>
    <row r="2431">
      <c r="A2431" s="8"/>
      <c r="B2431" s="8"/>
      <c r="C2431" s="8"/>
      <c r="D2431" s="8"/>
      <c r="E2431" s="8"/>
    </row>
    <row r="2432">
      <c r="A2432" s="8"/>
      <c r="B2432" s="8"/>
      <c r="C2432" s="8"/>
      <c r="D2432" s="8"/>
      <c r="E2432" s="8"/>
    </row>
    <row r="2433">
      <c r="A2433" s="8"/>
      <c r="B2433" s="8"/>
      <c r="C2433" s="8"/>
      <c r="D2433" s="8"/>
      <c r="E2433" s="8"/>
    </row>
    <row r="2434">
      <c r="A2434" s="8"/>
      <c r="B2434" s="8"/>
      <c r="C2434" s="8"/>
      <c r="D2434" s="8"/>
      <c r="E2434" s="8"/>
    </row>
    <row r="2435">
      <c r="A2435" s="8"/>
      <c r="B2435" s="8"/>
      <c r="C2435" s="8"/>
      <c r="D2435" s="8"/>
      <c r="E2435" s="8"/>
    </row>
    <row r="2436">
      <c r="A2436" s="8"/>
      <c r="B2436" s="8"/>
      <c r="C2436" s="8"/>
      <c r="D2436" s="8"/>
      <c r="E2436" s="8"/>
    </row>
    <row r="2437">
      <c r="A2437" s="8"/>
      <c r="B2437" s="8"/>
      <c r="C2437" s="8"/>
      <c r="D2437" s="8"/>
      <c r="E2437" s="8"/>
    </row>
    <row r="2438">
      <c r="A2438" s="8"/>
      <c r="B2438" s="8"/>
      <c r="C2438" s="8"/>
      <c r="D2438" s="8"/>
      <c r="E2438" s="8"/>
    </row>
    <row r="2439">
      <c r="A2439" s="8"/>
      <c r="B2439" s="8"/>
      <c r="C2439" s="8"/>
      <c r="D2439" s="8"/>
      <c r="E2439" s="8"/>
    </row>
    <row r="2440">
      <c r="A2440" s="8"/>
      <c r="B2440" s="8"/>
      <c r="C2440" s="8"/>
      <c r="D2440" s="8"/>
      <c r="E2440" s="8"/>
    </row>
    <row r="2441">
      <c r="A2441" s="8"/>
      <c r="B2441" s="8"/>
      <c r="C2441" s="8"/>
      <c r="D2441" s="8"/>
      <c r="E2441" s="8"/>
    </row>
    <row r="2442">
      <c r="A2442" s="8"/>
      <c r="B2442" s="8"/>
      <c r="C2442" s="8"/>
      <c r="D2442" s="8"/>
      <c r="E2442" s="8"/>
    </row>
    <row r="2443">
      <c r="A2443" s="8"/>
      <c r="B2443" s="8"/>
      <c r="C2443" s="8"/>
      <c r="D2443" s="8"/>
      <c r="E2443" s="8"/>
    </row>
    <row r="2444">
      <c r="A2444" s="8"/>
      <c r="B2444" s="8"/>
      <c r="C2444" s="8"/>
      <c r="D2444" s="8"/>
      <c r="E2444" s="8"/>
    </row>
    <row r="2445">
      <c r="A2445" s="8"/>
      <c r="B2445" s="8"/>
      <c r="C2445" s="8"/>
      <c r="D2445" s="8"/>
      <c r="E2445" s="8"/>
    </row>
    <row r="2446">
      <c r="A2446" s="8"/>
      <c r="B2446" s="8"/>
      <c r="C2446" s="8"/>
      <c r="D2446" s="8"/>
      <c r="E2446" s="8"/>
    </row>
    <row r="2447">
      <c r="A2447" s="8"/>
      <c r="B2447" s="8"/>
      <c r="C2447" s="8"/>
      <c r="D2447" s="8"/>
      <c r="E2447" s="8"/>
    </row>
    <row r="2448">
      <c r="A2448" s="8"/>
      <c r="B2448" s="8"/>
      <c r="C2448" s="8"/>
      <c r="D2448" s="8"/>
      <c r="E2448" s="8"/>
    </row>
    <row r="2449">
      <c r="A2449" s="8"/>
      <c r="B2449" s="8"/>
      <c r="C2449" s="8"/>
      <c r="D2449" s="8"/>
      <c r="E2449" s="8"/>
    </row>
    <row r="2450">
      <c r="A2450" s="8"/>
      <c r="B2450" s="8"/>
      <c r="C2450" s="8"/>
      <c r="D2450" s="8"/>
      <c r="E2450" s="8"/>
    </row>
    <row r="2451">
      <c r="A2451" s="8"/>
      <c r="B2451" s="8"/>
      <c r="C2451" s="8"/>
      <c r="D2451" s="8"/>
      <c r="E2451" s="8"/>
    </row>
    <row r="2452">
      <c r="A2452" s="8"/>
      <c r="B2452" s="8"/>
      <c r="C2452" s="8"/>
      <c r="D2452" s="8"/>
      <c r="E2452" s="8"/>
    </row>
    <row r="2453">
      <c r="A2453" s="8"/>
      <c r="B2453" s="8"/>
      <c r="C2453" s="8"/>
      <c r="D2453" s="8"/>
      <c r="E2453" s="8"/>
    </row>
    <row r="2454">
      <c r="A2454" s="8"/>
      <c r="B2454" s="8"/>
      <c r="C2454" s="8"/>
      <c r="D2454" s="8"/>
      <c r="E2454" s="8"/>
    </row>
    <row r="2455">
      <c r="A2455" s="8"/>
      <c r="B2455" s="8"/>
      <c r="C2455" s="8"/>
      <c r="D2455" s="8"/>
      <c r="E2455" s="8"/>
    </row>
    <row r="2456">
      <c r="A2456" s="8"/>
      <c r="B2456" s="8"/>
      <c r="C2456" s="8"/>
      <c r="D2456" s="8"/>
      <c r="E2456" s="8"/>
    </row>
    <row r="2457">
      <c r="A2457" s="8"/>
      <c r="B2457" s="8"/>
      <c r="C2457" s="8"/>
      <c r="D2457" s="8"/>
      <c r="E2457" s="8"/>
    </row>
    <row r="2458">
      <c r="A2458" s="8"/>
      <c r="B2458" s="8"/>
      <c r="C2458" s="8"/>
      <c r="D2458" s="8"/>
      <c r="E2458" s="8"/>
    </row>
    <row r="2459">
      <c r="A2459" s="8"/>
      <c r="B2459" s="8"/>
      <c r="C2459" s="8"/>
      <c r="D2459" s="8"/>
      <c r="E2459" s="8"/>
    </row>
    <row r="2460">
      <c r="A2460" s="8"/>
      <c r="B2460" s="8"/>
      <c r="C2460" s="8"/>
      <c r="D2460" s="8"/>
      <c r="E2460" s="8"/>
    </row>
    <row r="2461">
      <c r="A2461" s="8"/>
      <c r="B2461" s="8"/>
      <c r="C2461" s="8"/>
      <c r="D2461" s="8"/>
      <c r="E2461" s="8"/>
    </row>
    <row r="2462">
      <c r="A2462" s="8"/>
      <c r="B2462" s="8"/>
      <c r="C2462" s="8"/>
      <c r="D2462" s="8"/>
      <c r="E2462" s="8"/>
    </row>
    <row r="2463">
      <c r="A2463" s="8"/>
      <c r="B2463" s="8"/>
      <c r="C2463" s="8"/>
      <c r="D2463" s="8"/>
      <c r="E2463" s="8"/>
    </row>
    <row r="2464">
      <c r="A2464" s="8"/>
      <c r="B2464" s="8"/>
      <c r="C2464" s="8"/>
      <c r="D2464" s="8"/>
      <c r="E2464" s="8"/>
    </row>
    <row r="2465">
      <c r="A2465" s="8"/>
      <c r="B2465" s="8"/>
      <c r="C2465" s="8"/>
      <c r="D2465" s="8"/>
      <c r="E2465" s="8"/>
    </row>
    <row r="2466">
      <c r="A2466" s="8"/>
      <c r="B2466" s="8"/>
      <c r="C2466" s="8"/>
      <c r="D2466" s="8"/>
      <c r="E2466" s="8"/>
    </row>
    <row r="2467">
      <c r="A2467" s="8"/>
      <c r="B2467" s="8"/>
      <c r="C2467" s="8"/>
      <c r="D2467" s="8"/>
      <c r="E2467" s="8"/>
    </row>
    <row r="2468">
      <c r="A2468" s="8"/>
      <c r="B2468" s="8"/>
      <c r="C2468" s="8"/>
      <c r="D2468" s="8"/>
      <c r="E2468" s="8"/>
    </row>
    <row r="2469">
      <c r="A2469" s="8"/>
      <c r="B2469" s="8"/>
      <c r="C2469" s="8"/>
      <c r="D2469" s="8"/>
      <c r="E2469" s="8"/>
    </row>
    <row r="2470">
      <c r="A2470" s="8"/>
      <c r="B2470" s="8"/>
      <c r="C2470" s="8"/>
      <c r="D2470" s="8"/>
      <c r="E2470" s="8"/>
    </row>
    <row r="2471">
      <c r="A2471" s="8"/>
      <c r="B2471" s="8"/>
      <c r="C2471" s="8"/>
      <c r="D2471" s="8"/>
      <c r="E2471" s="8"/>
    </row>
    <row r="2472">
      <c r="A2472" s="8"/>
      <c r="B2472" s="8"/>
      <c r="C2472" s="8"/>
      <c r="D2472" s="8"/>
      <c r="E2472" s="8"/>
    </row>
    <row r="2473">
      <c r="A2473" s="8"/>
      <c r="B2473" s="8"/>
      <c r="C2473" s="8"/>
      <c r="D2473" s="8"/>
      <c r="E2473" s="8"/>
    </row>
    <row r="2474">
      <c r="A2474" s="8"/>
      <c r="B2474" s="8"/>
      <c r="C2474" s="8"/>
      <c r="D2474" s="8"/>
      <c r="E2474" s="8"/>
    </row>
    <row r="2475">
      <c r="A2475" s="8"/>
      <c r="B2475" s="8"/>
      <c r="C2475" s="8"/>
      <c r="D2475" s="8"/>
      <c r="E2475" s="8"/>
    </row>
    <row r="2476">
      <c r="A2476" s="8"/>
      <c r="B2476" s="8"/>
      <c r="C2476" s="8"/>
      <c r="D2476" s="8"/>
      <c r="E2476" s="8"/>
    </row>
    <row r="2477">
      <c r="A2477" s="8"/>
      <c r="B2477" s="8"/>
      <c r="C2477" s="8"/>
      <c r="D2477" s="8"/>
      <c r="E2477" s="8"/>
    </row>
    <row r="2478">
      <c r="A2478" s="8"/>
      <c r="B2478" s="8"/>
      <c r="C2478" s="8"/>
      <c r="D2478" s="8"/>
      <c r="E2478" s="8"/>
    </row>
    <row r="2479">
      <c r="A2479" s="8"/>
      <c r="B2479" s="8"/>
      <c r="C2479" s="8"/>
      <c r="D2479" s="8"/>
      <c r="E2479" s="8"/>
    </row>
    <row r="2480">
      <c r="A2480" s="8"/>
      <c r="B2480" s="8"/>
      <c r="C2480" s="8"/>
      <c r="D2480" s="8"/>
      <c r="E2480" s="8"/>
    </row>
    <row r="2481">
      <c r="A2481" s="8"/>
      <c r="B2481" s="8"/>
      <c r="C2481" s="8"/>
      <c r="D2481" s="8"/>
      <c r="E2481" s="8"/>
    </row>
    <row r="2482">
      <c r="A2482" s="8"/>
      <c r="B2482" s="8"/>
      <c r="C2482" s="8"/>
      <c r="D2482" s="8"/>
      <c r="E2482" s="8"/>
    </row>
    <row r="2483">
      <c r="A2483" s="8"/>
      <c r="B2483" s="8"/>
      <c r="C2483" s="8"/>
      <c r="D2483" s="8"/>
      <c r="E2483" s="8"/>
    </row>
    <row r="2484">
      <c r="A2484" s="8"/>
      <c r="B2484" s="8"/>
      <c r="C2484" s="8"/>
      <c r="D2484" s="8"/>
      <c r="E2484" s="8"/>
    </row>
    <row r="2485">
      <c r="A2485" s="8"/>
      <c r="B2485" s="8"/>
      <c r="C2485" s="8"/>
      <c r="D2485" s="8"/>
      <c r="E2485" s="8"/>
    </row>
    <row r="2486">
      <c r="A2486" s="8"/>
      <c r="B2486" s="8"/>
      <c r="C2486" s="8"/>
      <c r="D2486" s="8"/>
      <c r="E2486" s="8"/>
    </row>
    <row r="2487">
      <c r="A2487" s="8"/>
      <c r="B2487" s="8"/>
      <c r="C2487" s="8"/>
      <c r="D2487" s="8"/>
      <c r="E2487" s="8"/>
    </row>
    <row r="2488">
      <c r="A2488" s="8"/>
      <c r="B2488" s="8"/>
      <c r="C2488" s="8"/>
      <c r="D2488" s="8"/>
      <c r="E2488" s="8"/>
    </row>
    <row r="2489">
      <c r="A2489" s="8"/>
      <c r="B2489" s="8"/>
      <c r="C2489" s="8"/>
      <c r="D2489" s="8"/>
      <c r="E2489" s="8"/>
    </row>
    <row r="2490">
      <c r="A2490" s="8"/>
      <c r="B2490" s="8"/>
      <c r="C2490" s="8"/>
      <c r="D2490" s="8"/>
      <c r="E2490" s="8"/>
    </row>
    <row r="2491">
      <c r="A2491" s="8"/>
      <c r="B2491" s="8"/>
      <c r="C2491" s="8"/>
      <c r="D2491" s="8"/>
      <c r="E2491" s="8"/>
    </row>
    <row r="2492">
      <c r="A2492" s="8"/>
      <c r="B2492" s="8"/>
      <c r="C2492" s="8"/>
      <c r="D2492" s="8"/>
      <c r="E2492" s="8"/>
    </row>
    <row r="2493">
      <c r="A2493" s="8"/>
      <c r="B2493" s="8"/>
      <c r="C2493" s="8"/>
      <c r="D2493" s="8"/>
      <c r="E2493" s="8"/>
    </row>
    <row r="2494">
      <c r="A2494" s="8"/>
      <c r="B2494" s="8"/>
      <c r="C2494" s="8"/>
      <c r="D2494" s="8"/>
      <c r="E2494" s="8"/>
    </row>
    <row r="2495">
      <c r="A2495" s="8"/>
      <c r="B2495" s="8"/>
      <c r="C2495" s="8"/>
      <c r="D2495" s="8"/>
      <c r="E2495" s="8"/>
    </row>
    <row r="2496">
      <c r="A2496" s="8"/>
      <c r="B2496" s="8"/>
      <c r="C2496" s="8"/>
      <c r="D2496" s="8"/>
      <c r="E2496" s="8"/>
    </row>
    <row r="2497">
      <c r="A2497" s="8"/>
      <c r="B2497" s="8"/>
      <c r="C2497" s="8"/>
      <c r="D2497" s="8"/>
      <c r="E2497" s="8"/>
    </row>
    <row r="2498">
      <c r="A2498" s="8"/>
      <c r="B2498" s="8"/>
      <c r="C2498" s="8"/>
      <c r="D2498" s="8"/>
      <c r="E2498" s="8"/>
    </row>
    <row r="2499">
      <c r="A2499" s="8"/>
      <c r="B2499" s="8"/>
      <c r="C2499" s="8"/>
      <c r="D2499" s="8"/>
      <c r="E2499" s="8"/>
    </row>
    <row r="2500">
      <c r="A2500" s="8"/>
      <c r="B2500" s="8"/>
      <c r="C2500" s="8"/>
      <c r="D2500" s="8"/>
      <c r="E2500" s="8"/>
    </row>
    <row r="2501">
      <c r="A2501" s="8"/>
      <c r="B2501" s="8"/>
      <c r="C2501" s="8"/>
      <c r="D2501" s="8"/>
      <c r="E2501" s="8"/>
    </row>
    <row r="2502">
      <c r="A2502" s="8"/>
      <c r="B2502" s="8"/>
      <c r="C2502" s="8"/>
      <c r="D2502" s="8"/>
      <c r="E2502" s="8"/>
    </row>
    <row r="2503">
      <c r="A2503" s="8"/>
      <c r="B2503" s="8"/>
      <c r="C2503" s="8"/>
      <c r="D2503" s="8"/>
      <c r="E2503" s="8"/>
    </row>
    <row r="2504">
      <c r="A2504" s="8"/>
      <c r="B2504" s="8"/>
      <c r="C2504" s="8"/>
      <c r="D2504" s="8"/>
      <c r="E2504" s="8"/>
    </row>
    <row r="2505">
      <c r="A2505" s="8"/>
      <c r="B2505" s="8"/>
      <c r="C2505" s="8"/>
      <c r="D2505" s="8"/>
      <c r="E2505" s="8"/>
    </row>
    <row r="2506">
      <c r="A2506" s="8"/>
      <c r="B2506" s="8"/>
      <c r="C2506" s="8"/>
      <c r="D2506" s="8"/>
      <c r="E2506" s="8"/>
    </row>
    <row r="2507">
      <c r="A2507" s="8"/>
      <c r="B2507" s="8"/>
      <c r="C2507" s="8"/>
      <c r="D2507" s="8"/>
      <c r="E2507" s="8"/>
    </row>
    <row r="2508">
      <c r="A2508" s="8"/>
      <c r="B2508" s="8"/>
      <c r="C2508" s="8"/>
      <c r="D2508" s="8"/>
      <c r="E2508" s="8"/>
    </row>
    <row r="2509">
      <c r="A2509" s="8"/>
      <c r="B2509" s="8"/>
      <c r="C2509" s="8"/>
      <c r="D2509" s="8"/>
      <c r="E2509" s="8"/>
    </row>
    <row r="2510">
      <c r="A2510" s="8"/>
      <c r="B2510" s="8"/>
      <c r="C2510" s="8"/>
      <c r="D2510" s="8"/>
      <c r="E2510" s="8"/>
    </row>
    <row r="2511">
      <c r="A2511" s="8"/>
      <c r="B2511" s="8"/>
      <c r="C2511" s="8"/>
      <c r="D2511" s="8"/>
      <c r="E2511" s="8"/>
    </row>
    <row r="2512">
      <c r="A2512" s="8"/>
      <c r="B2512" s="8"/>
      <c r="C2512" s="8"/>
      <c r="D2512" s="8"/>
      <c r="E2512" s="8"/>
    </row>
    <row r="2513">
      <c r="A2513" s="8"/>
      <c r="B2513" s="8"/>
      <c r="C2513" s="8"/>
      <c r="D2513" s="8"/>
      <c r="E2513" s="8"/>
    </row>
    <row r="2514">
      <c r="A2514" s="8"/>
      <c r="B2514" s="8"/>
      <c r="C2514" s="8"/>
      <c r="D2514" s="8"/>
      <c r="E2514" s="8"/>
    </row>
    <row r="2515">
      <c r="A2515" s="8"/>
      <c r="B2515" s="8"/>
      <c r="C2515" s="8"/>
      <c r="D2515" s="8"/>
      <c r="E2515" s="8"/>
    </row>
    <row r="2516">
      <c r="A2516" s="8"/>
      <c r="B2516" s="8"/>
      <c r="C2516" s="8"/>
      <c r="D2516" s="8"/>
      <c r="E2516" s="8"/>
    </row>
    <row r="2517">
      <c r="A2517" s="8"/>
      <c r="B2517" s="8"/>
      <c r="C2517" s="8"/>
      <c r="D2517" s="8"/>
      <c r="E2517" s="8"/>
    </row>
    <row r="2518">
      <c r="A2518" s="8"/>
      <c r="B2518" s="8"/>
      <c r="C2518" s="8"/>
      <c r="D2518" s="8"/>
      <c r="E2518" s="8"/>
    </row>
    <row r="2519">
      <c r="A2519" s="8"/>
      <c r="B2519" s="8"/>
      <c r="C2519" s="8"/>
      <c r="D2519" s="8"/>
      <c r="E2519" s="8"/>
    </row>
    <row r="2520">
      <c r="A2520" s="8"/>
      <c r="B2520" s="8"/>
      <c r="C2520" s="8"/>
      <c r="D2520" s="8"/>
      <c r="E2520" s="8"/>
    </row>
    <row r="2521">
      <c r="A2521" s="8"/>
      <c r="B2521" s="8"/>
      <c r="C2521" s="8"/>
      <c r="D2521" s="8"/>
      <c r="E2521" s="8"/>
    </row>
    <row r="2522">
      <c r="A2522" s="8"/>
      <c r="B2522" s="8"/>
      <c r="C2522" s="8"/>
      <c r="D2522" s="8"/>
      <c r="E2522" s="8"/>
    </row>
    <row r="2523">
      <c r="A2523" s="8"/>
      <c r="B2523" s="8"/>
      <c r="C2523" s="8"/>
      <c r="D2523" s="8"/>
      <c r="E2523" s="8"/>
    </row>
    <row r="2524">
      <c r="A2524" s="8"/>
      <c r="B2524" s="8"/>
      <c r="C2524" s="8"/>
      <c r="D2524" s="8"/>
      <c r="E2524" s="8"/>
    </row>
    <row r="2525">
      <c r="A2525" s="8"/>
      <c r="B2525" s="8"/>
      <c r="C2525" s="8"/>
      <c r="D2525" s="8"/>
      <c r="E2525" s="8"/>
    </row>
    <row r="2526">
      <c r="A2526" s="8"/>
      <c r="B2526" s="8"/>
      <c r="C2526" s="8"/>
      <c r="D2526" s="8"/>
      <c r="E2526" s="8"/>
    </row>
    <row r="2527">
      <c r="A2527" s="8"/>
      <c r="B2527" s="8"/>
      <c r="C2527" s="8"/>
      <c r="D2527" s="8"/>
      <c r="E2527" s="8"/>
    </row>
    <row r="2528">
      <c r="A2528" s="8"/>
      <c r="B2528" s="8"/>
      <c r="C2528" s="8"/>
      <c r="D2528" s="8"/>
      <c r="E2528" s="8"/>
    </row>
    <row r="2529">
      <c r="A2529" s="8"/>
      <c r="B2529" s="8"/>
      <c r="C2529" s="8"/>
      <c r="D2529" s="8"/>
      <c r="E2529" s="8"/>
    </row>
    <row r="2530">
      <c r="A2530" s="8"/>
      <c r="B2530" s="8"/>
      <c r="C2530" s="8"/>
      <c r="D2530" s="8"/>
      <c r="E2530" s="8"/>
    </row>
    <row r="2531">
      <c r="A2531" s="8"/>
      <c r="B2531" s="8"/>
      <c r="C2531" s="8"/>
      <c r="D2531" s="8"/>
      <c r="E2531" s="8"/>
    </row>
    <row r="2532">
      <c r="A2532" s="8"/>
      <c r="B2532" s="8"/>
      <c r="C2532" s="8"/>
      <c r="D2532" s="8"/>
      <c r="E2532" s="8"/>
    </row>
    <row r="2533">
      <c r="A2533" s="8"/>
      <c r="B2533" s="8"/>
      <c r="C2533" s="8"/>
      <c r="D2533" s="8"/>
      <c r="E2533" s="8"/>
    </row>
    <row r="2534">
      <c r="A2534" s="8"/>
      <c r="B2534" s="8"/>
      <c r="C2534" s="8"/>
      <c r="D2534" s="8"/>
      <c r="E2534" s="8"/>
    </row>
    <row r="2535">
      <c r="A2535" s="8"/>
      <c r="B2535" s="8"/>
      <c r="C2535" s="8"/>
      <c r="D2535" s="8"/>
      <c r="E2535" s="8"/>
    </row>
    <row r="2536">
      <c r="A2536" s="8"/>
      <c r="B2536" s="8"/>
      <c r="C2536" s="8"/>
      <c r="D2536" s="8"/>
      <c r="E2536" s="8"/>
    </row>
    <row r="2537">
      <c r="A2537" s="8"/>
      <c r="B2537" s="8"/>
      <c r="C2537" s="8"/>
      <c r="D2537" s="8"/>
      <c r="E2537" s="8"/>
    </row>
    <row r="2538">
      <c r="A2538" s="8"/>
      <c r="B2538" s="8"/>
      <c r="C2538" s="8"/>
      <c r="D2538" s="8"/>
      <c r="E2538" s="8"/>
    </row>
    <row r="2539">
      <c r="A2539" s="8"/>
      <c r="B2539" s="8"/>
      <c r="C2539" s="8"/>
      <c r="D2539" s="8"/>
      <c r="E2539" s="8"/>
    </row>
    <row r="2540">
      <c r="A2540" s="8"/>
      <c r="B2540" s="8"/>
      <c r="C2540" s="8"/>
      <c r="D2540" s="8"/>
      <c r="E2540" s="8"/>
    </row>
    <row r="2541">
      <c r="A2541" s="8"/>
      <c r="B2541" s="8"/>
      <c r="C2541" s="8"/>
      <c r="D2541" s="8"/>
      <c r="E2541" s="8"/>
    </row>
    <row r="2542">
      <c r="A2542" s="8"/>
      <c r="B2542" s="8"/>
      <c r="C2542" s="8"/>
      <c r="D2542" s="8"/>
      <c r="E2542" s="8"/>
    </row>
    <row r="2543">
      <c r="A2543" s="8"/>
      <c r="B2543" s="8"/>
      <c r="C2543" s="8"/>
      <c r="D2543" s="8"/>
      <c r="E2543" s="8"/>
    </row>
    <row r="2544">
      <c r="A2544" s="8"/>
      <c r="B2544" s="8"/>
      <c r="C2544" s="8"/>
      <c r="D2544" s="8"/>
      <c r="E2544" s="8"/>
    </row>
    <row r="2545">
      <c r="A2545" s="8"/>
      <c r="B2545" s="8"/>
      <c r="C2545" s="8"/>
      <c r="D2545" s="8"/>
      <c r="E2545" s="8"/>
    </row>
    <row r="2546">
      <c r="A2546" s="8"/>
      <c r="B2546" s="8"/>
      <c r="C2546" s="8"/>
      <c r="D2546" s="8"/>
      <c r="E2546" s="8"/>
    </row>
    <row r="2547">
      <c r="A2547" s="8"/>
      <c r="B2547" s="8"/>
      <c r="C2547" s="8"/>
      <c r="D2547" s="8"/>
      <c r="E2547" s="8"/>
    </row>
    <row r="2548">
      <c r="A2548" s="8"/>
      <c r="B2548" s="8"/>
      <c r="C2548" s="8"/>
      <c r="D2548" s="8"/>
      <c r="E2548" s="8"/>
    </row>
    <row r="2549">
      <c r="A2549" s="8"/>
      <c r="B2549" s="8"/>
      <c r="C2549" s="8"/>
      <c r="D2549" s="8"/>
      <c r="E2549" s="8"/>
    </row>
    <row r="2550">
      <c r="A2550" s="8"/>
      <c r="B2550" s="8"/>
      <c r="C2550" s="8"/>
      <c r="D2550" s="8"/>
      <c r="E2550" s="8"/>
    </row>
    <row r="2551">
      <c r="A2551" s="8"/>
      <c r="B2551" s="8"/>
      <c r="C2551" s="8"/>
      <c r="D2551" s="8"/>
      <c r="E2551" s="8"/>
    </row>
    <row r="2552">
      <c r="A2552" s="8"/>
      <c r="B2552" s="8"/>
      <c r="C2552" s="8"/>
      <c r="D2552" s="8"/>
      <c r="E2552" s="8"/>
    </row>
    <row r="2553">
      <c r="A2553" s="8"/>
      <c r="B2553" s="8"/>
      <c r="C2553" s="8"/>
      <c r="D2553" s="8"/>
      <c r="E2553" s="8"/>
    </row>
    <row r="2554">
      <c r="A2554" s="8"/>
      <c r="B2554" s="8"/>
      <c r="C2554" s="8"/>
      <c r="D2554" s="8"/>
      <c r="E2554" s="8"/>
    </row>
    <row r="2555">
      <c r="A2555" s="8"/>
      <c r="B2555" s="8"/>
      <c r="C2555" s="8"/>
      <c r="D2555" s="8"/>
      <c r="E2555" s="8"/>
    </row>
    <row r="2556">
      <c r="A2556" s="8"/>
      <c r="B2556" s="8"/>
      <c r="C2556" s="8"/>
      <c r="D2556" s="8"/>
      <c r="E2556" s="8"/>
    </row>
    <row r="2557">
      <c r="A2557" s="8"/>
      <c r="B2557" s="8"/>
      <c r="C2557" s="8"/>
      <c r="D2557" s="8"/>
      <c r="E2557" s="8"/>
    </row>
    <row r="2558">
      <c r="A2558" s="8"/>
      <c r="B2558" s="8"/>
      <c r="C2558" s="8"/>
      <c r="D2558" s="8"/>
      <c r="E2558" s="8"/>
    </row>
    <row r="2559">
      <c r="A2559" s="8"/>
      <c r="B2559" s="8"/>
      <c r="C2559" s="8"/>
      <c r="D2559" s="8"/>
      <c r="E2559" s="8"/>
    </row>
    <row r="2560">
      <c r="A2560" s="8"/>
      <c r="B2560" s="8"/>
      <c r="C2560" s="8"/>
      <c r="D2560" s="8"/>
      <c r="E2560" s="8"/>
    </row>
    <row r="2561">
      <c r="A2561" s="8"/>
      <c r="B2561" s="8"/>
      <c r="C2561" s="8"/>
      <c r="D2561" s="8"/>
      <c r="E2561" s="8"/>
    </row>
    <row r="2562">
      <c r="A2562" s="8"/>
      <c r="B2562" s="8"/>
      <c r="C2562" s="8"/>
      <c r="D2562" s="8"/>
      <c r="E2562" s="8"/>
    </row>
    <row r="2563">
      <c r="A2563" s="8"/>
      <c r="B2563" s="8"/>
      <c r="C2563" s="8"/>
      <c r="D2563" s="8"/>
      <c r="E2563" s="8"/>
    </row>
    <row r="2564">
      <c r="A2564" s="8"/>
      <c r="B2564" s="8"/>
      <c r="C2564" s="8"/>
      <c r="D2564" s="8"/>
      <c r="E2564" s="8"/>
    </row>
    <row r="2565">
      <c r="A2565" s="8"/>
      <c r="B2565" s="8"/>
      <c r="C2565" s="8"/>
      <c r="D2565" s="8"/>
      <c r="E2565" s="8"/>
    </row>
    <row r="2566">
      <c r="A2566" s="8"/>
      <c r="B2566" s="8"/>
      <c r="C2566" s="8"/>
      <c r="D2566" s="8"/>
      <c r="E2566" s="8"/>
    </row>
    <row r="2567">
      <c r="A2567" s="8"/>
      <c r="B2567" s="8"/>
      <c r="C2567" s="8"/>
      <c r="D2567" s="8"/>
      <c r="E2567" s="8"/>
    </row>
    <row r="2568">
      <c r="A2568" s="8"/>
      <c r="B2568" s="8"/>
      <c r="C2568" s="8"/>
      <c r="D2568" s="8"/>
      <c r="E2568" s="8"/>
    </row>
    <row r="2569">
      <c r="A2569" s="8"/>
      <c r="B2569" s="8"/>
      <c r="C2569" s="8"/>
      <c r="D2569" s="8"/>
      <c r="E2569" s="8"/>
    </row>
    <row r="2570">
      <c r="A2570" s="8"/>
      <c r="B2570" s="8"/>
      <c r="C2570" s="8"/>
      <c r="D2570" s="8"/>
      <c r="E2570" s="8"/>
    </row>
    <row r="2571">
      <c r="A2571" s="8"/>
      <c r="B2571" s="8"/>
      <c r="C2571" s="8"/>
      <c r="D2571" s="8"/>
      <c r="E2571" s="8"/>
    </row>
    <row r="2572">
      <c r="A2572" s="8"/>
      <c r="B2572" s="8"/>
      <c r="C2572" s="8"/>
      <c r="D2572" s="8"/>
      <c r="E2572" s="8"/>
    </row>
    <row r="2573">
      <c r="A2573" s="8"/>
      <c r="B2573" s="8"/>
      <c r="C2573" s="8"/>
      <c r="D2573" s="8"/>
      <c r="E2573" s="8"/>
    </row>
    <row r="2574">
      <c r="A2574" s="8"/>
      <c r="B2574" s="8"/>
      <c r="C2574" s="8"/>
      <c r="D2574" s="8"/>
      <c r="E2574" s="8"/>
    </row>
    <row r="2575">
      <c r="A2575" s="8"/>
      <c r="B2575" s="8"/>
      <c r="C2575" s="8"/>
      <c r="D2575" s="8"/>
      <c r="E2575" s="8"/>
    </row>
    <row r="2576">
      <c r="A2576" s="8"/>
      <c r="B2576" s="8"/>
      <c r="C2576" s="8"/>
      <c r="D2576" s="8"/>
      <c r="E2576" s="8"/>
    </row>
    <row r="2577">
      <c r="A2577" s="8"/>
      <c r="B2577" s="8"/>
      <c r="C2577" s="8"/>
      <c r="D2577" s="8"/>
      <c r="E2577" s="8"/>
    </row>
    <row r="2578">
      <c r="A2578" s="8"/>
      <c r="B2578" s="8"/>
      <c r="C2578" s="8"/>
      <c r="D2578" s="8"/>
      <c r="E2578" s="8"/>
    </row>
    <row r="2579">
      <c r="A2579" s="8"/>
      <c r="B2579" s="8"/>
      <c r="C2579" s="8"/>
      <c r="D2579" s="8"/>
      <c r="E2579" s="8"/>
    </row>
    <row r="2580">
      <c r="A2580" s="8"/>
      <c r="B2580" s="8"/>
      <c r="C2580" s="8"/>
      <c r="D2580" s="8"/>
      <c r="E2580" s="8"/>
    </row>
    <row r="2581">
      <c r="A2581" s="8"/>
      <c r="B2581" s="8"/>
      <c r="C2581" s="8"/>
      <c r="D2581" s="8"/>
      <c r="E2581" s="8"/>
    </row>
    <row r="2582">
      <c r="A2582" s="8"/>
      <c r="B2582" s="8"/>
      <c r="C2582" s="8"/>
      <c r="D2582" s="8"/>
      <c r="E2582" s="8"/>
    </row>
    <row r="2583">
      <c r="A2583" s="8"/>
      <c r="B2583" s="8"/>
      <c r="C2583" s="8"/>
      <c r="D2583" s="8"/>
      <c r="E2583" s="8"/>
    </row>
    <row r="2584">
      <c r="A2584" s="8"/>
      <c r="B2584" s="8"/>
      <c r="C2584" s="8"/>
      <c r="D2584" s="8"/>
      <c r="E2584" s="8"/>
    </row>
    <row r="2585">
      <c r="A2585" s="8"/>
      <c r="B2585" s="8"/>
      <c r="C2585" s="8"/>
      <c r="D2585" s="8"/>
      <c r="E2585" s="8"/>
    </row>
    <row r="2586">
      <c r="A2586" s="8"/>
      <c r="B2586" s="8"/>
      <c r="C2586" s="8"/>
      <c r="D2586" s="8"/>
      <c r="E2586" s="8"/>
    </row>
    <row r="2587">
      <c r="A2587" s="8"/>
      <c r="B2587" s="8"/>
      <c r="C2587" s="8"/>
      <c r="D2587" s="8"/>
      <c r="E2587" s="8"/>
    </row>
    <row r="2588">
      <c r="A2588" s="8"/>
      <c r="B2588" s="8"/>
      <c r="C2588" s="8"/>
      <c r="D2588" s="8"/>
      <c r="E2588" s="8"/>
    </row>
    <row r="2589">
      <c r="A2589" s="8"/>
      <c r="B2589" s="8"/>
      <c r="C2589" s="8"/>
      <c r="D2589" s="8"/>
      <c r="E2589" s="8"/>
    </row>
    <row r="2590">
      <c r="A2590" s="8"/>
      <c r="B2590" s="8"/>
      <c r="C2590" s="8"/>
      <c r="D2590" s="8"/>
      <c r="E2590" s="8"/>
    </row>
    <row r="2591">
      <c r="A2591" s="8"/>
      <c r="B2591" s="8"/>
      <c r="C2591" s="8"/>
      <c r="D2591" s="8"/>
      <c r="E2591" s="8"/>
    </row>
    <row r="2592">
      <c r="A2592" s="8"/>
      <c r="B2592" s="8"/>
      <c r="C2592" s="8"/>
      <c r="D2592" s="8"/>
      <c r="E2592" s="8"/>
    </row>
    <row r="2593">
      <c r="A2593" s="8"/>
      <c r="B2593" s="8"/>
      <c r="C2593" s="8"/>
      <c r="D2593" s="8"/>
      <c r="E2593" s="8"/>
    </row>
    <row r="2594">
      <c r="A2594" s="8"/>
      <c r="B2594" s="8"/>
      <c r="C2594" s="8"/>
      <c r="D2594" s="8"/>
      <c r="E2594" s="8"/>
    </row>
    <row r="2595">
      <c r="A2595" s="8"/>
      <c r="B2595" s="8"/>
      <c r="C2595" s="8"/>
      <c r="D2595" s="8"/>
      <c r="E2595" s="8"/>
    </row>
    <row r="2596">
      <c r="A2596" s="8"/>
      <c r="B2596" s="8"/>
      <c r="C2596" s="8"/>
      <c r="D2596" s="8"/>
      <c r="E2596" s="8"/>
    </row>
    <row r="2597">
      <c r="A2597" s="8"/>
      <c r="B2597" s="8"/>
      <c r="C2597" s="8"/>
      <c r="D2597" s="8"/>
      <c r="E2597" s="8"/>
    </row>
    <row r="2598">
      <c r="A2598" s="8"/>
      <c r="B2598" s="8"/>
      <c r="C2598" s="8"/>
      <c r="D2598" s="8"/>
      <c r="E2598" s="8"/>
    </row>
    <row r="2599">
      <c r="A2599" s="8"/>
      <c r="B2599" s="8"/>
      <c r="C2599" s="8"/>
      <c r="D2599" s="8"/>
      <c r="E2599" s="8"/>
    </row>
    <row r="2600">
      <c r="A2600" s="8"/>
      <c r="B2600" s="8"/>
      <c r="C2600" s="8"/>
      <c r="D2600" s="8"/>
      <c r="E2600" s="8"/>
    </row>
    <row r="2601">
      <c r="A2601" s="8"/>
      <c r="B2601" s="8"/>
      <c r="C2601" s="8"/>
      <c r="D2601" s="8"/>
      <c r="E2601" s="8"/>
    </row>
    <row r="2602">
      <c r="A2602" s="8"/>
      <c r="B2602" s="8"/>
      <c r="C2602" s="8"/>
      <c r="D2602" s="8"/>
      <c r="E2602" s="8"/>
    </row>
    <row r="2603">
      <c r="A2603" s="8"/>
      <c r="B2603" s="8"/>
      <c r="C2603" s="8"/>
      <c r="D2603" s="8"/>
      <c r="E2603" s="8"/>
    </row>
    <row r="2604">
      <c r="A2604" s="8"/>
      <c r="B2604" s="8"/>
      <c r="C2604" s="8"/>
      <c r="D2604" s="8"/>
      <c r="E2604" s="8"/>
    </row>
    <row r="2605">
      <c r="A2605" s="8"/>
      <c r="B2605" s="8"/>
      <c r="C2605" s="8"/>
      <c r="D2605" s="8"/>
      <c r="E2605" s="8"/>
    </row>
    <row r="2606">
      <c r="A2606" s="8"/>
      <c r="B2606" s="8"/>
      <c r="C2606" s="8"/>
      <c r="D2606" s="8"/>
      <c r="E2606" s="8"/>
    </row>
    <row r="2607">
      <c r="A2607" s="8"/>
      <c r="B2607" s="8"/>
      <c r="C2607" s="8"/>
      <c r="D2607" s="8"/>
      <c r="E2607" s="8"/>
    </row>
    <row r="2608">
      <c r="A2608" s="8"/>
      <c r="B2608" s="8"/>
      <c r="C2608" s="8"/>
      <c r="D2608" s="8"/>
      <c r="E2608" s="8"/>
    </row>
    <row r="2609">
      <c r="A2609" s="8"/>
      <c r="B2609" s="8"/>
      <c r="C2609" s="8"/>
      <c r="D2609" s="8"/>
      <c r="E2609" s="8"/>
    </row>
    <row r="2610">
      <c r="A2610" s="8"/>
      <c r="B2610" s="8"/>
      <c r="C2610" s="8"/>
      <c r="D2610" s="8"/>
      <c r="E2610" s="8"/>
    </row>
    <row r="2611">
      <c r="A2611" s="8"/>
      <c r="B2611" s="8"/>
      <c r="C2611" s="8"/>
      <c r="D2611" s="8"/>
      <c r="E2611" s="8"/>
    </row>
    <row r="2612">
      <c r="A2612" s="8"/>
      <c r="B2612" s="8"/>
      <c r="C2612" s="8"/>
      <c r="D2612" s="8"/>
      <c r="E2612" s="8"/>
    </row>
    <row r="2613">
      <c r="A2613" s="8"/>
      <c r="B2613" s="8"/>
      <c r="C2613" s="8"/>
      <c r="D2613" s="8"/>
      <c r="E2613" s="8"/>
    </row>
    <row r="2614">
      <c r="A2614" s="8"/>
      <c r="B2614" s="8"/>
      <c r="C2614" s="8"/>
      <c r="D2614" s="8"/>
      <c r="E2614" s="8"/>
    </row>
    <row r="2615">
      <c r="A2615" s="8"/>
      <c r="B2615" s="8"/>
      <c r="C2615" s="8"/>
      <c r="D2615" s="8"/>
      <c r="E2615" s="8"/>
    </row>
    <row r="2616">
      <c r="A2616" s="8"/>
      <c r="B2616" s="8"/>
      <c r="C2616" s="8"/>
      <c r="D2616" s="8"/>
      <c r="E2616" s="8"/>
    </row>
    <row r="2617">
      <c r="A2617" s="8"/>
      <c r="B2617" s="8"/>
      <c r="C2617" s="8"/>
      <c r="D2617" s="8"/>
      <c r="E2617" s="8"/>
    </row>
    <row r="2618">
      <c r="A2618" s="8"/>
      <c r="B2618" s="8"/>
      <c r="C2618" s="8"/>
      <c r="D2618" s="8"/>
      <c r="E2618" s="8"/>
    </row>
    <row r="2619">
      <c r="A2619" s="8"/>
      <c r="B2619" s="8"/>
      <c r="C2619" s="8"/>
      <c r="D2619" s="8"/>
      <c r="E2619" s="8"/>
    </row>
    <row r="2620">
      <c r="A2620" s="8"/>
      <c r="B2620" s="8"/>
      <c r="C2620" s="8"/>
      <c r="D2620" s="8"/>
      <c r="E2620" s="8"/>
    </row>
    <row r="2621">
      <c r="A2621" s="8"/>
      <c r="B2621" s="8"/>
      <c r="C2621" s="8"/>
      <c r="D2621" s="8"/>
      <c r="E2621" s="8"/>
    </row>
    <row r="2622">
      <c r="A2622" s="8"/>
      <c r="B2622" s="8"/>
      <c r="C2622" s="8"/>
      <c r="D2622" s="8"/>
      <c r="E2622" s="8"/>
    </row>
    <row r="2623">
      <c r="A2623" s="8"/>
      <c r="B2623" s="8"/>
      <c r="C2623" s="8"/>
      <c r="D2623" s="8"/>
      <c r="E2623" s="8"/>
    </row>
    <row r="2624">
      <c r="A2624" s="8"/>
      <c r="B2624" s="8"/>
      <c r="C2624" s="8"/>
      <c r="D2624" s="8"/>
      <c r="E2624" s="8"/>
    </row>
    <row r="2625">
      <c r="A2625" s="8"/>
      <c r="B2625" s="8"/>
      <c r="C2625" s="8"/>
      <c r="D2625" s="8"/>
      <c r="E2625" s="8"/>
    </row>
    <row r="2626">
      <c r="A2626" s="8"/>
      <c r="B2626" s="8"/>
      <c r="C2626" s="8"/>
      <c r="D2626" s="8"/>
      <c r="E2626" s="8"/>
    </row>
    <row r="2627">
      <c r="A2627" s="8"/>
      <c r="B2627" s="8"/>
      <c r="C2627" s="8"/>
      <c r="D2627" s="8"/>
      <c r="E2627" s="8"/>
    </row>
    <row r="2628">
      <c r="A2628" s="8"/>
      <c r="B2628" s="8"/>
      <c r="C2628" s="8"/>
      <c r="D2628" s="8"/>
      <c r="E2628" s="8"/>
    </row>
    <row r="2629">
      <c r="A2629" s="8"/>
      <c r="B2629" s="8"/>
      <c r="C2629" s="8"/>
      <c r="D2629" s="8"/>
      <c r="E2629" s="8"/>
    </row>
    <row r="2630">
      <c r="A2630" s="8"/>
      <c r="B2630" s="8"/>
      <c r="C2630" s="8"/>
      <c r="D2630" s="8"/>
      <c r="E2630" s="8"/>
    </row>
    <row r="2631">
      <c r="A2631" s="8"/>
      <c r="B2631" s="8"/>
      <c r="C2631" s="8"/>
      <c r="D2631" s="8"/>
      <c r="E2631" s="8"/>
    </row>
    <row r="2632">
      <c r="A2632" s="8"/>
      <c r="B2632" s="8"/>
      <c r="C2632" s="8"/>
      <c r="D2632" s="8"/>
      <c r="E2632" s="8"/>
    </row>
    <row r="2633">
      <c r="A2633" s="8"/>
      <c r="B2633" s="8"/>
      <c r="C2633" s="8"/>
      <c r="D2633" s="8"/>
      <c r="E2633" s="8"/>
    </row>
    <row r="2634">
      <c r="A2634" s="8"/>
      <c r="B2634" s="8"/>
      <c r="C2634" s="8"/>
      <c r="D2634" s="8"/>
      <c r="E2634" s="8"/>
    </row>
    <row r="2635">
      <c r="A2635" s="8"/>
      <c r="B2635" s="8"/>
      <c r="C2635" s="8"/>
      <c r="D2635" s="8"/>
      <c r="E2635" s="8"/>
    </row>
    <row r="2636">
      <c r="A2636" s="8"/>
      <c r="B2636" s="8"/>
      <c r="C2636" s="8"/>
      <c r="D2636" s="8"/>
      <c r="E2636" s="8"/>
    </row>
    <row r="2637">
      <c r="A2637" s="8"/>
      <c r="B2637" s="8"/>
      <c r="C2637" s="8"/>
      <c r="D2637" s="8"/>
      <c r="E2637" s="8"/>
    </row>
    <row r="2638">
      <c r="A2638" s="8"/>
      <c r="B2638" s="8"/>
      <c r="C2638" s="8"/>
      <c r="D2638" s="8"/>
      <c r="E2638" s="8"/>
    </row>
    <row r="2639">
      <c r="A2639" s="8"/>
      <c r="B2639" s="8"/>
      <c r="C2639" s="8"/>
      <c r="D2639" s="8"/>
      <c r="E2639" s="8"/>
    </row>
    <row r="2640">
      <c r="A2640" s="8"/>
      <c r="B2640" s="8"/>
      <c r="C2640" s="8"/>
      <c r="D2640" s="8"/>
      <c r="E2640" s="8"/>
    </row>
    <row r="2641">
      <c r="A2641" s="8"/>
      <c r="B2641" s="8"/>
      <c r="C2641" s="8"/>
      <c r="D2641" s="8"/>
      <c r="E2641" s="8"/>
    </row>
    <row r="2642">
      <c r="A2642" s="8"/>
      <c r="B2642" s="8"/>
      <c r="C2642" s="8"/>
      <c r="D2642" s="8"/>
      <c r="E2642" s="8"/>
    </row>
    <row r="2643">
      <c r="A2643" s="8"/>
      <c r="B2643" s="8"/>
      <c r="C2643" s="8"/>
      <c r="D2643" s="8"/>
      <c r="E2643" s="8"/>
    </row>
    <row r="2644">
      <c r="A2644" s="8"/>
      <c r="B2644" s="8"/>
      <c r="C2644" s="8"/>
      <c r="D2644" s="8"/>
      <c r="E2644" s="8"/>
    </row>
    <row r="2645">
      <c r="A2645" s="8"/>
      <c r="B2645" s="8"/>
      <c r="C2645" s="8"/>
      <c r="D2645" s="8"/>
      <c r="E2645" s="8"/>
    </row>
    <row r="2646">
      <c r="A2646" s="8"/>
      <c r="B2646" s="8"/>
      <c r="C2646" s="8"/>
      <c r="D2646" s="8"/>
      <c r="E2646" s="8"/>
    </row>
    <row r="2647">
      <c r="A2647" s="8"/>
      <c r="B2647" s="8"/>
      <c r="C2647" s="8"/>
      <c r="D2647" s="8"/>
      <c r="E2647" s="8"/>
    </row>
    <row r="2648">
      <c r="A2648" s="8"/>
      <c r="B2648" s="8"/>
      <c r="C2648" s="8"/>
      <c r="D2648" s="8"/>
      <c r="E2648" s="8"/>
    </row>
    <row r="2649">
      <c r="A2649" s="8"/>
      <c r="B2649" s="8"/>
      <c r="C2649" s="8"/>
      <c r="D2649" s="8"/>
      <c r="E2649" s="8"/>
    </row>
    <row r="2650">
      <c r="A2650" s="8"/>
      <c r="B2650" s="8"/>
      <c r="C2650" s="8"/>
      <c r="D2650" s="8"/>
      <c r="E2650" s="8"/>
    </row>
    <row r="2651">
      <c r="A2651" s="8"/>
      <c r="B2651" s="8"/>
      <c r="C2651" s="8"/>
      <c r="D2651" s="8"/>
      <c r="E2651" s="8"/>
    </row>
    <row r="2652">
      <c r="A2652" s="8"/>
      <c r="B2652" s="8"/>
      <c r="C2652" s="8"/>
      <c r="D2652" s="8"/>
      <c r="E2652" s="8"/>
    </row>
    <row r="2653">
      <c r="A2653" s="8"/>
      <c r="B2653" s="8"/>
      <c r="C2653" s="8"/>
      <c r="D2653" s="8"/>
      <c r="E2653" s="8"/>
    </row>
    <row r="2654">
      <c r="A2654" s="8"/>
      <c r="B2654" s="8"/>
      <c r="C2654" s="8"/>
      <c r="D2654" s="8"/>
      <c r="E2654" s="8"/>
    </row>
    <row r="2655">
      <c r="A2655" s="8"/>
      <c r="B2655" s="8"/>
      <c r="C2655" s="8"/>
      <c r="D2655" s="8"/>
      <c r="E2655" s="8"/>
    </row>
    <row r="2656">
      <c r="A2656" s="8"/>
      <c r="B2656" s="8"/>
      <c r="C2656" s="8"/>
      <c r="D2656" s="8"/>
      <c r="E2656" s="8"/>
    </row>
    <row r="2657">
      <c r="A2657" s="8"/>
      <c r="B2657" s="8"/>
      <c r="C2657" s="8"/>
      <c r="D2657" s="8"/>
      <c r="E2657" s="8"/>
    </row>
    <row r="2658">
      <c r="A2658" s="8"/>
      <c r="B2658" s="8"/>
      <c r="C2658" s="8"/>
      <c r="D2658" s="8"/>
      <c r="E2658" s="8"/>
    </row>
    <row r="2659">
      <c r="A2659" s="8"/>
      <c r="B2659" s="8"/>
      <c r="C2659" s="8"/>
      <c r="D2659" s="8"/>
      <c r="E2659" s="8"/>
    </row>
    <row r="2660">
      <c r="A2660" s="8"/>
      <c r="B2660" s="8"/>
      <c r="C2660" s="8"/>
      <c r="D2660" s="8"/>
      <c r="E2660" s="8"/>
    </row>
    <row r="2661">
      <c r="A2661" s="8"/>
      <c r="B2661" s="8"/>
      <c r="C2661" s="8"/>
      <c r="D2661" s="8"/>
      <c r="E2661" s="8"/>
    </row>
    <row r="2662">
      <c r="A2662" s="8"/>
      <c r="B2662" s="8"/>
      <c r="C2662" s="8"/>
      <c r="D2662" s="8"/>
      <c r="E2662" s="8"/>
    </row>
    <row r="2663">
      <c r="A2663" s="8"/>
      <c r="B2663" s="8"/>
      <c r="C2663" s="8"/>
      <c r="D2663" s="8"/>
      <c r="E2663" s="8"/>
    </row>
    <row r="2664">
      <c r="A2664" s="8"/>
      <c r="B2664" s="8"/>
      <c r="C2664" s="8"/>
      <c r="D2664" s="8"/>
      <c r="E2664" s="8"/>
    </row>
    <row r="2665">
      <c r="A2665" s="8"/>
      <c r="B2665" s="8"/>
      <c r="C2665" s="8"/>
      <c r="D2665" s="8"/>
      <c r="E2665" s="8"/>
    </row>
    <row r="2666">
      <c r="A2666" s="8"/>
      <c r="B2666" s="8"/>
      <c r="C2666" s="8"/>
      <c r="D2666" s="8"/>
      <c r="E2666" s="8"/>
    </row>
    <row r="2667">
      <c r="A2667" s="8"/>
      <c r="B2667" s="8"/>
      <c r="C2667" s="8"/>
      <c r="D2667" s="8"/>
      <c r="E2667" s="8"/>
    </row>
    <row r="2668">
      <c r="A2668" s="8"/>
      <c r="B2668" s="8"/>
      <c r="C2668" s="8"/>
      <c r="D2668" s="8"/>
      <c r="E2668" s="8"/>
    </row>
    <row r="2669">
      <c r="A2669" s="8"/>
      <c r="B2669" s="8"/>
      <c r="C2669" s="8"/>
      <c r="D2669" s="8"/>
      <c r="E2669" s="8"/>
    </row>
    <row r="2670">
      <c r="A2670" s="8"/>
      <c r="B2670" s="8"/>
      <c r="C2670" s="8"/>
      <c r="D2670" s="8"/>
      <c r="E2670" s="8"/>
    </row>
    <row r="2671">
      <c r="A2671" s="8"/>
      <c r="B2671" s="8"/>
      <c r="C2671" s="8"/>
      <c r="D2671" s="8"/>
      <c r="E2671" s="8"/>
    </row>
    <row r="2672">
      <c r="A2672" s="8"/>
      <c r="B2672" s="8"/>
      <c r="C2672" s="8"/>
      <c r="D2672" s="8"/>
      <c r="E2672" s="8"/>
    </row>
    <row r="2673">
      <c r="A2673" s="8"/>
      <c r="B2673" s="8"/>
      <c r="C2673" s="8"/>
      <c r="D2673" s="8"/>
      <c r="E2673" s="8"/>
    </row>
    <row r="2674">
      <c r="A2674" s="8"/>
      <c r="B2674" s="8"/>
      <c r="C2674" s="8"/>
      <c r="D2674" s="8"/>
      <c r="E2674" s="8"/>
    </row>
    <row r="2675">
      <c r="A2675" s="8"/>
      <c r="B2675" s="8"/>
      <c r="C2675" s="8"/>
      <c r="D2675" s="8"/>
      <c r="E2675" s="8"/>
    </row>
    <row r="2676">
      <c r="A2676" s="8"/>
      <c r="B2676" s="8"/>
      <c r="C2676" s="8"/>
      <c r="D2676" s="8"/>
      <c r="E2676" s="8"/>
    </row>
    <row r="2677">
      <c r="A2677" s="8"/>
      <c r="B2677" s="8"/>
      <c r="C2677" s="8"/>
      <c r="D2677" s="8"/>
      <c r="E2677" s="8"/>
    </row>
    <row r="2678">
      <c r="A2678" s="8"/>
      <c r="B2678" s="8"/>
      <c r="C2678" s="8"/>
      <c r="D2678" s="8"/>
      <c r="E2678" s="8"/>
    </row>
    <row r="2679">
      <c r="A2679" s="8"/>
      <c r="B2679" s="8"/>
      <c r="C2679" s="8"/>
      <c r="D2679" s="8"/>
      <c r="E2679" s="8"/>
    </row>
    <row r="2680">
      <c r="A2680" s="8"/>
      <c r="B2680" s="8"/>
      <c r="C2680" s="8"/>
      <c r="D2680" s="8"/>
      <c r="E2680" s="8"/>
    </row>
    <row r="2681">
      <c r="A2681" s="8"/>
      <c r="B2681" s="8"/>
      <c r="C2681" s="8"/>
      <c r="D2681" s="8"/>
      <c r="E2681" s="8"/>
    </row>
    <row r="2682">
      <c r="A2682" s="8"/>
      <c r="B2682" s="8"/>
      <c r="C2682" s="8"/>
      <c r="D2682" s="8"/>
      <c r="E2682" s="8"/>
    </row>
    <row r="2683">
      <c r="A2683" s="8"/>
      <c r="B2683" s="8"/>
      <c r="C2683" s="8"/>
      <c r="D2683" s="8"/>
      <c r="E2683" s="8"/>
    </row>
    <row r="2684">
      <c r="A2684" s="8"/>
      <c r="B2684" s="8"/>
      <c r="C2684" s="8"/>
      <c r="D2684" s="8"/>
      <c r="E2684" s="8"/>
    </row>
    <row r="2685">
      <c r="A2685" s="8"/>
      <c r="B2685" s="8"/>
      <c r="C2685" s="8"/>
      <c r="D2685" s="8"/>
      <c r="E2685" s="8"/>
    </row>
    <row r="2686">
      <c r="A2686" s="8"/>
      <c r="B2686" s="8"/>
      <c r="C2686" s="8"/>
      <c r="D2686" s="8"/>
      <c r="E2686" s="8"/>
    </row>
    <row r="2687">
      <c r="A2687" s="8"/>
      <c r="B2687" s="8"/>
      <c r="C2687" s="8"/>
      <c r="D2687" s="8"/>
      <c r="E2687" s="8"/>
    </row>
    <row r="2688">
      <c r="A2688" s="8"/>
      <c r="B2688" s="8"/>
      <c r="C2688" s="8"/>
      <c r="D2688" s="8"/>
      <c r="E2688" s="8"/>
    </row>
    <row r="2689">
      <c r="A2689" s="8"/>
      <c r="B2689" s="8"/>
      <c r="C2689" s="8"/>
      <c r="D2689" s="8"/>
      <c r="E2689" s="8"/>
    </row>
    <row r="2690">
      <c r="A2690" s="8"/>
      <c r="B2690" s="8"/>
      <c r="C2690" s="8"/>
      <c r="D2690" s="8"/>
      <c r="E2690" s="8"/>
    </row>
    <row r="2691">
      <c r="A2691" s="8"/>
      <c r="B2691" s="8"/>
      <c r="C2691" s="8"/>
      <c r="D2691" s="8"/>
      <c r="E2691" s="8"/>
    </row>
    <row r="2692">
      <c r="A2692" s="8"/>
      <c r="B2692" s="8"/>
      <c r="C2692" s="8"/>
      <c r="D2692" s="8"/>
      <c r="E2692" s="8"/>
    </row>
    <row r="2693">
      <c r="A2693" s="8"/>
      <c r="B2693" s="8"/>
      <c r="C2693" s="8"/>
      <c r="D2693" s="8"/>
      <c r="E2693" s="8"/>
    </row>
    <row r="2694">
      <c r="A2694" s="8"/>
      <c r="B2694" s="8"/>
      <c r="C2694" s="8"/>
      <c r="D2694" s="8"/>
      <c r="E2694" s="8"/>
    </row>
    <row r="2695">
      <c r="A2695" s="8"/>
      <c r="B2695" s="8"/>
      <c r="C2695" s="8"/>
      <c r="D2695" s="8"/>
      <c r="E2695" s="8"/>
    </row>
    <row r="2696">
      <c r="A2696" s="8"/>
      <c r="B2696" s="8"/>
      <c r="C2696" s="8"/>
      <c r="D2696" s="8"/>
      <c r="E2696" s="8"/>
    </row>
    <row r="2697">
      <c r="A2697" s="8"/>
      <c r="B2697" s="8"/>
      <c r="C2697" s="8"/>
      <c r="D2697" s="8"/>
      <c r="E2697" s="8"/>
    </row>
    <row r="2698">
      <c r="A2698" s="8"/>
      <c r="B2698" s="8"/>
      <c r="C2698" s="8"/>
      <c r="D2698" s="8"/>
      <c r="E2698" s="8"/>
    </row>
    <row r="2699">
      <c r="A2699" s="8"/>
      <c r="B2699" s="8"/>
      <c r="C2699" s="8"/>
      <c r="D2699" s="8"/>
      <c r="E2699" s="8"/>
    </row>
    <row r="2700">
      <c r="A2700" s="8"/>
      <c r="B2700" s="8"/>
      <c r="C2700" s="8"/>
      <c r="D2700" s="8"/>
      <c r="E2700" s="8"/>
    </row>
    <row r="2701">
      <c r="A2701" s="8"/>
      <c r="B2701" s="8"/>
      <c r="C2701" s="8"/>
      <c r="D2701" s="8"/>
      <c r="E2701" s="8"/>
    </row>
    <row r="2702">
      <c r="A2702" s="8"/>
      <c r="B2702" s="8"/>
      <c r="C2702" s="8"/>
      <c r="D2702" s="8"/>
      <c r="E2702" s="8"/>
    </row>
    <row r="2703">
      <c r="A2703" s="8"/>
      <c r="B2703" s="8"/>
      <c r="C2703" s="8"/>
      <c r="D2703" s="8"/>
      <c r="E2703" s="8"/>
    </row>
    <row r="2704">
      <c r="A2704" s="8"/>
      <c r="B2704" s="8"/>
      <c r="C2704" s="8"/>
      <c r="D2704" s="8"/>
      <c r="E2704" s="8"/>
    </row>
    <row r="2705">
      <c r="A2705" s="8"/>
      <c r="B2705" s="8"/>
      <c r="C2705" s="8"/>
      <c r="D2705" s="8"/>
      <c r="E2705" s="8"/>
    </row>
    <row r="2706">
      <c r="A2706" s="8"/>
      <c r="B2706" s="8"/>
      <c r="C2706" s="8"/>
      <c r="D2706" s="8"/>
      <c r="E2706" s="8"/>
    </row>
    <row r="2707">
      <c r="A2707" s="8"/>
      <c r="B2707" s="8"/>
      <c r="C2707" s="8"/>
      <c r="D2707" s="8"/>
      <c r="E2707" s="8"/>
    </row>
    <row r="2708">
      <c r="A2708" s="8"/>
      <c r="B2708" s="8"/>
      <c r="C2708" s="8"/>
      <c r="D2708" s="8"/>
      <c r="E2708" s="8"/>
    </row>
    <row r="2709">
      <c r="A2709" s="8"/>
      <c r="B2709" s="8"/>
      <c r="C2709" s="8"/>
      <c r="D2709" s="8"/>
      <c r="E2709" s="8"/>
    </row>
    <row r="2710">
      <c r="A2710" s="8"/>
      <c r="B2710" s="8"/>
      <c r="C2710" s="8"/>
      <c r="D2710" s="8"/>
      <c r="E2710" s="8"/>
    </row>
    <row r="2711">
      <c r="A2711" s="8"/>
      <c r="B2711" s="8"/>
      <c r="C2711" s="8"/>
      <c r="D2711" s="8"/>
      <c r="E2711" s="8"/>
    </row>
    <row r="2712">
      <c r="A2712" s="8"/>
      <c r="B2712" s="8"/>
      <c r="C2712" s="8"/>
      <c r="D2712" s="8"/>
      <c r="E2712" s="8"/>
    </row>
    <row r="2713">
      <c r="A2713" s="8"/>
      <c r="B2713" s="8"/>
      <c r="C2713" s="8"/>
      <c r="D2713" s="8"/>
      <c r="E2713" s="8"/>
    </row>
    <row r="2714">
      <c r="A2714" s="8"/>
      <c r="B2714" s="8"/>
      <c r="C2714" s="8"/>
      <c r="D2714" s="8"/>
      <c r="E2714" s="8"/>
    </row>
    <row r="2715">
      <c r="A2715" s="8"/>
      <c r="B2715" s="8"/>
      <c r="C2715" s="8"/>
      <c r="D2715" s="8"/>
      <c r="E2715" s="8"/>
    </row>
    <row r="2716">
      <c r="A2716" s="8"/>
      <c r="B2716" s="8"/>
      <c r="C2716" s="8"/>
      <c r="D2716" s="8"/>
      <c r="E2716" s="8"/>
    </row>
    <row r="2717">
      <c r="A2717" s="8"/>
      <c r="B2717" s="8"/>
      <c r="C2717" s="8"/>
      <c r="D2717" s="8"/>
      <c r="E2717" s="8"/>
    </row>
    <row r="2718">
      <c r="A2718" s="8"/>
      <c r="B2718" s="8"/>
      <c r="C2718" s="8"/>
      <c r="D2718" s="8"/>
      <c r="E2718" s="8"/>
    </row>
    <row r="2719">
      <c r="A2719" s="8"/>
      <c r="B2719" s="8"/>
      <c r="C2719" s="8"/>
      <c r="D2719" s="8"/>
      <c r="E2719" s="8"/>
    </row>
    <row r="2720">
      <c r="A2720" s="8"/>
      <c r="B2720" s="8"/>
      <c r="C2720" s="8"/>
      <c r="D2720" s="8"/>
      <c r="E2720" s="8"/>
    </row>
    <row r="2721">
      <c r="A2721" s="8"/>
      <c r="B2721" s="8"/>
      <c r="C2721" s="8"/>
      <c r="D2721" s="8"/>
      <c r="E2721" s="8"/>
    </row>
    <row r="2722">
      <c r="A2722" s="8"/>
      <c r="B2722" s="8"/>
      <c r="C2722" s="8"/>
      <c r="D2722" s="8"/>
      <c r="E2722" s="8"/>
    </row>
    <row r="2723">
      <c r="A2723" s="8"/>
      <c r="B2723" s="8"/>
      <c r="C2723" s="8"/>
      <c r="D2723" s="8"/>
      <c r="E2723" s="8"/>
    </row>
    <row r="2724">
      <c r="A2724" s="8"/>
      <c r="B2724" s="8"/>
      <c r="C2724" s="8"/>
      <c r="D2724" s="8"/>
      <c r="E2724" s="8"/>
    </row>
    <row r="2725">
      <c r="A2725" s="8"/>
      <c r="B2725" s="8"/>
      <c r="C2725" s="8"/>
      <c r="D2725" s="8"/>
      <c r="E2725" s="8"/>
    </row>
    <row r="2726">
      <c r="A2726" s="8"/>
      <c r="B2726" s="8"/>
      <c r="C2726" s="8"/>
      <c r="D2726" s="8"/>
      <c r="E2726" s="8"/>
    </row>
    <row r="2727">
      <c r="A2727" s="8"/>
      <c r="B2727" s="8"/>
      <c r="C2727" s="8"/>
      <c r="D2727" s="8"/>
      <c r="E2727" s="8"/>
    </row>
    <row r="2728">
      <c r="A2728" s="8"/>
      <c r="B2728" s="8"/>
      <c r="C2728" s="8"/>
      <c r="D2728" s="8"/>
      <c r="E2728" s="8"/>
    </row>
    <row r="2729">
      <c r="A2729" s="8"/>
      <c r="B2729" s="8"/>
      <c r="C2729" s="8"/>
      <c r="D2729" s="8"/>
      <c r="E2729" s="8"/>
    </row>
    <row r="2730">
      <c r="A2730" s="8"/>
      <c r="B2730" s="8"/>
      <c r="C2730" s="8"/>
      <c r="D2730" s="8"/>
      <c r="E2730" s="8"/>
    </row>
    <row r="2731">
      <c r="A2731" s="8"/>
      <c r="B2731" s="8"/>
      <c r="C2731" s="8"/>
      <c r="D2731" s="8"/>
      <c r="E2731" s="8"/>
    </row>
    <row r="2732">
      <c r="A2732" s="8"/>
      <c r="B2732" s="8"/>
      <c r="C2732" s="8"/>
      <c r="D2732" s="8"/>
      <c r="E2732" s="8"/>
    </row>
    <row r="2733">
      <c r="A2733" s="8"/>
      <c r="B2733" s="8"/>
      <c r="C2733" s="8"/>
      <c r="D2733" s="8"/>
      <c r="E2733" s="8"/>
    </row>
    <row r="2734">
      <c r="A2734" s="8"/>
      <c r="B2734" s="8"/>
      <c r="C2734" s="8"/>
      <c r="D2734" s="8"/>
      <c r="E2734" s="8"/>
    </row>
    <row r="2735">
      <c r="A2735" s="8"/>
      <c r="B2735" s="8"/>
      <c r="C2735" s="8"/>
      <c r="D2735" s="8"/>
      <c r="E2735" s="8"/>
    </row>
    <row r="2736">
      <c r="A2736" s="8"/>
      <c r="B2736" s="8"/>
      <c r="C2736" s="8"/>
      <c r="D2736" s="8"/>
      <c r="E2736" s="8"/>
    </row>
    <row r="2737">
      <c r="A2737" s="8"/>
      <c r="B2737" s="8"/>
      <c r="C2737" s="8"/>
      <c r="D2737" s="8"/>
      <c r="E2737" s="8"/>
    </row>
    <row r="2738">
      <c r="A2738" s="8"/>
      <c r="B2738" s="8"/>
      <c r="C2738" s="8"/>
      <c r="D2738" s="8"/>
      <c r="E2738" s="8"/>
    </row>
    <row r="2739">
      <c r="A2739" s="8"/>
      <c r="B2739" s="8"/>
      <c r="C2739" s="8"/>
      <c r="D2739" s="8"/>
      <c r="E2739" s="8"/>
    </row>
    <row r="2740">
      <c r="A2740" s="8"/>
      <c r="B2740" s="8"/>
      <c r="C2740" s="8"/>
      <c r="D2740" s="8"/>
      <c r="E2740" s="8"/>
    </row>
    <row r="2741">
      <c r="A2741" s="8"/>
      <c r="B2741" s="8"/>
      <c r="C2741" s="8"/>
      <c r="D2741" s="8"/>
      <c r="E2741" s="8"/>
    </row>
    <row r="2742">
      <c r="A2742" s="8"/>
      <c r="B2742" s="8"/>
      <c r="C2742" s="8"/>
      <c r="D2742" s="8"/>
      <c r="E2742" s="8"/>
    </row>
    <row r="2743">
      <c r="A2743" s="8"/>
      <c r="B2743" s="8"/>
      <c r="C2743" s="8"/>
      <c r="D2743" s="8"/>
      <c r="E2743" s="8"/>
    </row>
    <row r="2744">
      <c r="A2744" s="8"/>
      <c r="B2744" s="8"/>
      <c r="C2744" s="8"/>
      <c r="D2744" s="8"/>
      <c r="E2744" s="8"/>
    </row>
    <row r="2745">
      <c r="A2745" s="8"/>
      <c r="B2745" s="8"/>
      <c r="C2745" s="8"/>
      <c r="D2745" s="8"/>
      <c r="E2745" s="8"/>
    </row>
    <row r="2746">
      <c r="A2746" s="8"/>
      <c r="B2746" s="8"/>
      <c r="C2746" s="8"/>
      <c r="D2746" s="8"/>
      <c r="E2746" s="8"/>
    </row>
    <row r="2747">
      <c r="A2747" s="8"/>
      <c r="B2747" s="8"/>
      <c r="C2747" s="8"/>
      <c r="D2747" s="8"/>
      <c r="E2747" s="8"/>
    </row>
    <row r="2748">
      <c r="A2748" s="8"/>
      <c r="B2748" s="8"/>
      <c r="C2748" s="8"/>
      <c r="D2748" s="8"/>
      <c r="E2748" s="8"/>
    </row>
    <row r="2749">
      <c r="A2749" s="8"/>
      <c r="B2749" s="8"/>
      <c r="C2749" s="8"/>
      <c r="D2749" s="8"/>
      <c r="E2749" s="8"/>
    </row>
    <row r="2750">
      <c r="A2750" s="8"/>
      <c r="B2750" s="8"/>
      <c r="C2750" s="8"/>
      <c r="D2750" s="8"/>
      <c r="E2750" s="8"/>
    </row>
    <row r="2751">
      <c r="A2751" s="8"/>
      <c r="B2751" s="8"/>
      <c r="C2751" s="8"/>
      <c r="D2751" s="8"/>
      <c r="E2751" s="8"/>
    </row>
    <row r="2752">
      <c r="A2752" s="8"/>
      <c r="B2752" s="8"/>
      <c r="C2752" s="8"/>
      <c r="D2752" s="8"/>
      <c r="E2752" s="8"/>
    </row>
    <row r="2753">
      <c r="A2753" s="8"/>
      <c r="B2753" s="8"/>
      <c r="C2753" s="8"/>
      <c r="D2753" s="8"/>
      <c r="E2753" s="8"/>
    </row>
    <row r="2754">
      <c r="A2754" s="8"/>
      <c r="B2754" s="8"/>
      <c r="C2754" s="8"/>
      <c r="D2754" s="8"/>
      <c r="E2754" s="8"/>
    </row>
    <row r="2755">
      <c r="A2755" s="8"/>
      <c r="B2755" s="8"/>
      <c r="C2755" s="8"/>
      <c r="D2755" s="8"/>
      <c r="E2755" s="8"/>
    </row>
    <row r="2756">
      <c r="A2756" s="8"/>
      <c r="B2756" s="8"/>
      <c r="C2756" s="8"/>
      <c r="D2756" s="8"/>
      <c r="E2756" s="8"/>
    </row>
    <row r="2757">
      <c r="A2757" s="8"/>
      <c r="B2757" s="8"/>
      <c r="C2757" s="8"/>
      <c r="D2757" s="8"/>
      <c r="E2757" s="8"/>
    </row>
    <row r="2758">
      <c r="A2758" s="8"/>
      <c r="B2758" s="8"/>
      <c r="C2758" s="8"/>
      <c r="D2758" s="8"/>
      <c r="E2758" s="8"/>
    </row>
    <row r="2759">
      <c r="A2759" s="8"/>
      <c r="B2759" s="8"/>
      <c r="C2759" s="8"/>
      <c r="D2759" s="8"/>
      <c r="E2759" s="8"/>
    </row>
    <row r="2760">
      <c r="A2760" s="8"/>
      <c r="B2760" s="8"/>
      <c r="C2760" s="8"/>
      <c r="D2760" s="8"/>
      <c r="E2760" s="8"/>
    </row>
    <row r="2761">
      <c r="A2761" s="8"/>
      <c r="B2761" s="8"/>
      <c r="C2761" s="8"/>
      <c r="D2761" s="8"/>
      <c r="E2761" s="8"/>
    </row>
    <row r="2762">
      <c r="A2762" s="8"/>
      <c r="B2762" s="8"/>
      <c r="C2762" s="8"/>
      <c r="D2762" s="8"/>
      <c r="E2762" s="8"/>
    </row>
    <row r="2763">
      <c r="A2763" s="8"/>
      <c r="B2763" s="8"/>
      <c r="C2763" s="8"/>
      <c r="D2763" s="8"/>
      <c r="E2763" s="8"/>
    </row>
    <row r="2764">
      <c r="A2764" s="8"/>
      <c r="B2764" s="8"/>
      <c r="C2764" s="8"/>
      <c r="D2764" s="8"/>
      <c r="E2764" s="8"/>
    </row>
    <row r="2765">
      <c r="A2765" s="8"/>
      <c r="B2765" s="8"/>
      <c r="C2765" s="8"/>
      <c r="D2765" s="8"/>
      <c r="E2765" s="8"/>
    </row>
    <row r="2766">
      <c r="A2766" s="8"/>
      <c r="B2766" s="8"/>
      <c r="C2766" s="8"/>
      <c r="D2766" s="8"/>
      <c r="E2766" s="8"/>
    </row>
    <row r="2767">
      <c r="A2767" s="8"/>
      <c r="B2767" s="8"/>
      <c r="C2767" s="8"/>
      <c r="D2767" s="8"/>
      <c r="E2767" s="8"/>
    </row>
    <row r="2768">
      <c r="A2768" s="8"/>
      <c r="B2768" s="8"/>
      <c r="C2768" s="8"/>
      <c r="D2768" s="8"/>
      <c r="E2768" s="8"/>
    </row>
    <row r="2769">
      <c r="A2769" s="8"/>
      <c r="B2769" s="8"/>
      <c r="C2769" s="8"/>
      <c r="D2769" s="8"/>
      <c r="E2769" s="8"/>
    </row>
    <row r="2770">
      <c r="A2770" s="8"/>
      <c r="B2770" s="8"/>
      <c r="C2770" s="8"/>
      <c r="D2770" s="8"/>
      <c r="E2770" s="8"/>
    </row>
    <row r="2771">
      <c r="A2771" s="8"/>
      <c r="B2771" s="8"/>
      <c r="C2771" s="8"/>
      <c r="D2771" s="8"/>
      <c r="E2771" s="8"/>
    </row>
    <row r="2772">
      <c r="A2772" s="8"/>
      <c r="B2772" s="8"/>
      <c r="C2772" s="8"/>
      <c r="D2772" s="8"/>
      <c r="E2772" s="8"/>
    </row>
    <row r="2773">
      <c r="A2773" s="8"/>
      <c r="B2773" s="8"/>
      <c r="C2773" s="8"/>
      <c r="D2773" s="8"/>
      <c r="E2773" s="8"/>
    </row>
    <row r="2774">
      <c r="A2774" s="8"/>
      <c r="B2774" s="8"/>
      <c r="C2774" s="8"/>
      <c r="D2774" s="8"/>
      <c r="E2774" s="8"/>
    </row>
    <row r="2775">
      <c r="A2775" s="8"/>
      <c r="B2775" s="8"/>
      <c r="C2775" s="8"/>
      <c r="D2775" s="8"/>
      <c r="E2775" s="8"/>
    </row>
    <row r="2776">
      <c r="A2776" s="8"/>
      <c r="B2776" s="8"/>
      <c r="C2776" s="8"/>
      <c r="D2776" s="8"/>
      <c r="E2776" s="8"/>
    </row>
    <row r="2777">
      <c r="A2777" s="8"/>
      <c r="B2777" s="8"/>
      <c r="C2777" s="8"/>
      <c r="D2777" s="8"/>
      <c r="E2777" s="8"/>
    </row>
    <row r="2778">
      <c r="A2778" s="8"/>
      <c r="B2778" s="8"/>
      <c r="C2778" s="8"/>
      <c r="D2778" s="8"/>
      <c r="E2778" s="8"/>
    </row>
    <row r="2779">
      <c r="A2779" s="8"/>
      <c r="B2779" s="8"/>
      <c r="C2779" s="8"/>
      <c r="D2779" s="8"/>
      <c r="E2779" s="8"/>
    </row>
    <row r="2780">
      <c r="A2780" s="8"/>
      <c r="B2780" s="8"/>
      <c r="C2780" s="8"/>
      <c r="D2780" s="8"/>
      <c r="E2780" s="8"/>
    </row>
    <row r="2781">
      <c r="A2781" s="8"/>
      <c r="B2781" s="8"/>
      <c r="C2781" s="8"/>
      <c r="D2781" s="8"/>
      <c r="E2781" s="8"/>
    </row>
    <row r="2782">
      <c r="A2782" s="8"/>
      <c r="B2782" s="8"/>
      <c r="C2782" s="8"/>
      <c r="D2782" s="8"/>
      <c r="E2782" s="8"/>
    </row>
    <row r="2783">
      <c r="A2783" s="8"/>
      <c r="B2783" s="8"/>
      <c r="C2783" s="8"/>
      <c r="D2783" s="8"/>
      <c r="E2783" s="8"/>
    </row>
    <row r="2784">
      <c r="A2784" s="8"/>
      <c r="B2784" s="8"/>
      <c r="C2784" s="8"/>
      <c r="D2784" s="8"/>
      <c r="E2784" s="8"/>
    </row>
    <row r="2785">
      <c r="A2785" s="8"/>
      <c r="B2785" s="8"/>
      <c r="C2785" s="8"/>
      <c r="D2785" s="8"/>
      <c r="E2785" s="8"/>
    </row>
    <row r="2786">
      <c r="A2786" s="8"/>
      <c r="B2786" s="8"/>
      <c r="C2786" s="8"/>
      <c r="D2786" s="8"/>
      <c r="E2786" s="8"/>
    </row>
    <row r="2787">
      <c r="A2787" s="8"/>
      <c r="B2787" s="8"/>
      <c r="C2787" s="8"/>
      <c r="D2787" s="8"/>
      <c r="E2787" s="8"/>
    </row>
    <row r="2788">
      <c r="A2788" s="8"/>
      <c r="B2788" s="8"/>
      <c r="C2788" s="8"/>
      <c r="D2788" s="8"/>
      <c r="E2788" s="8"/>
    </row>
    <row r="2789">
      <c r="A2789" s="8"/>
      <c r="B2789" s="8"/>
      <c r="C2789" s="8"/>
      <c r="D2789" s="8"/>
      <c r="E2789" s="8"/>
    </row>
    <row r="2790">
      <c r="A2790" s="8"/>
      <c r="B2790" s="8"/>
      <c r="C2790" s="8"/>
      <c r="D2790" s="8"/>
      <c r="E2790" s="8"/>
    </row>
    <row r="2791">
      <c r="A2791" s="8"/>
      <c r="B2791" s="8"/>
      <c r="C2791" s="8"/>
      <c r="D2791" s="8"/>
      <c r="E2791" s="8"/>
    </row>
    <row r="2792">
      <c r="A2792" s="8"/>
      <c r="B2792" s="8"/>
      <c r="C2792" s="8"/>
      <c r="D2792" s="8"/>
      <c r="E2792" s="8"/>
    </row>
    <row r="2793">
      <c r="A2793" s="8"/>
      <c r="B2793" s="8"/>
      <c r="C2793" s="8"/>
      <c r="D2793" s="8"/>
      <c r="E2793" s="8"/>
    </row>
    <row r="2794">
      <c r="A2794" s="8"/>
      <c r="B2794" s="8"/>
      <c r="C2794" s="8"/>
      <c r="D2794" s="8"/>
      <c r="E2794" s="8"/>
    </row>
    <row r="2795">
      <c r="A2795" s="8"/>
      <c r="B2795" s="8"/>
      <c r="C2795" s="8"/>
      <c r="D2795" s="8"/>
      <c r="E2795" s="8"/>
    </row>
    <row r="2796">
      <c r="A2796" s="8"/>
      <c r="B2796" s="8"/>
      <c r="C2796" s="8"/>
      <c r="D2796" s="8"/>
      <c r="E2796" s="8"/>
    </row>
    <row r="2797">
      <c r="A2797" s="8"/>
      <c r="B2797" s="8"/>
      <c r="C2797" s="8"/>
      <c r="D2797" s="8"/>
      <c r="E2797" s="8"/>
    </row>
    <row r="2798">
      <c r="A2798" s="8"/>
      <c r="B2798" s="8"/>
      <c r="C2798" s="8"/>
      <c r="D2798" s="8"/>
      <c r="E2798" s="8"/>
    </row>
    <row r="2799">
      <c r="A2799" s="8"/>
      <c r="B2799" s="8"/>
      <c r="C2799" s="8"/>
      <c r="D2799" s="8"/>
      <c r="E2799" s="8"/>
    </row>
    <row r="2800">
      <c r="A2800" s="8"/>
      <c r="B2800" s="8"/>
      <c r="C2800" s="8"/>
      <c r="D2800" s="8"/>
      <c r="E2800" s="8"/>
    </row>
    <row r="2801">
      <c r="A2801" s="8"/>
      <c r="B2801" s="8"/>
      <c r="C2801" s="8"/>
      <c r="D2801" s="8"/>
      <c r="E2801" s="8"/>
    </row>
    <row r="2802">
      <c r="A2802" s="8"/>
      <c r="B2802" s="8"/>
      <c r="C2802" s="8"/>
      <c r="D2802" s="8"/>
      <c r="E2802" s="8"/>
    </row>
    <row r="2803">
      <c r="A2803" s="8"/>
      <c r="B2803" s="8"/>
      <c r="C2803" s="8"/>
      <c r="D2803" s="8"/>
      <c r="E2803" s="8"/>
    </row>
    <row r="2804">
      <c r="A2804" s="8"/>
      <c r="B2804" s="8"/>
      <c r="C2804" s="8"/>
      <c r="D2804" s="8"/>
      <c r="E2804" s="8"/>
    </row>
    <row r="2805">
      <c r="A2805" s="8"/>
      <c r="B2805" s="8"/>
      <c r="C2805" s="8"/>
      <c r="D2805" s="8"/>
      <c r="E2805" s="8"/>
    </row>
    <row r="2806">
      <c r="A2806" s="8"/>
      <c r="B2806" s="8"/>
      <c r="C2806" s="8"/>
      <c r="D2806" s="8"/>
      <c r="E2806" s="8"/>
    </row>
    <row r="2807">
      <c r="A2807" s="8"/>
      <c r="B2807" s="8"/>
      <c r="C2807" s="8"/>
      <c r="D2807" s="8"/>
      <c r="E2807" s="8"/>
    </row>
    <row r="2808">
      <c r="A2808" s="8"/>
      <c r="B2808" s="8"/>
      <c r="C2808" s="8"/>
      <c r="D2808" s="8"/>
      <c r="E2808" s="8"/>
    </row>
    <row r="2809">
      <c r="A2809" s="8"/>
      <c r="B2809" s="8"/>
      <c r="C2809" s="8"/>
      <c r="D2809" s="8"/>
      <c r="E2809" s="8"/>
    </row>
    <row r="2810">
      <c r="A2810" s="8"/>
      <c r="B2810" s="8"/>
      <c r="C2810" s="8"/>
      <c r="D2810" s="8"/>
      <c r="E2810" s="8"/>
    </row>
    <row r="2811">
      <c r="A2811" s="8"/>
      <c r="B2811" s="8"/>
      <c r="C2811" s="8"/>
      <c r="D2811" s="8"/>
      <c r="E2811" s="8"/>
    </row>
    <row r="2812">
      <c r="A2812" s="8"/>
      <c r="B2812" s="8"/>
      <c r="C2812" s="8"/>
      <c r="D2812" s="8"/>
      <c r="E2812" s="8"/>
    </row>
    <row r="2813">
      <c r="A2813" s="8"/>
      <c r="B2813" s="8"/>
      <c r="C2813" s="8"/>
      <c r="D2813" s="8"/>
      <c r="E2813" s="8"/>
    </row>
    <row r="2814">
      <c r="A2814" s="8"/>
      <c r="B2814" s="8"/>
      <c r="C2814" s="8"/>
      <c r="D2814" s="8"/>
      <c r="E2814" s="8"/>
    </row>
    <row r="2815">
      <c r="A2815" s="8"/>
      <c r="B2815" s="8"/>
      <c r="C2815" s="8"/>
      <c r="D2815" s="8"/>
      <c r="E2815" s="8"/>
    </row>
    <row r="2816">
      <c r="A2816" s="8"/>
      <c r="B2816" s="8"/>
      <c r="C2816" s="8"/>
      <c r="D2816" s="8"/>
      <c r="E2816" s="8"/>
    </row>
    <row r="2817">
      <c r="A2817" s="8"/>
      <c r="B2817" s="8"/>
      <c r="C2817" s="8"/>
      <c r="D2817" s="8"/>
      <c r="E2817" s="8"/>
    </row>
    <row r="2818">
      <c r="A2818" s="8"/>
      <c r="B2818" s="8"/>
      <c r="C2818" s="8"/>
      <c r="D2818" s="8"/>
      <c r="E2818" s="8"/>
    </row>
    <row r="2819">
      <c r="A2819" s="8"/>
      <c r="B2819" s="8"/>
      <c r="C2819" s="8"/>
      <c r="D2819" s="8"/>
      <c r="E2819" s="8"/>
    </row>
    <row r="2820">
      <c r="A2820" s="8"/>
      <c r="B2820" s="8"/>
      <c r="C2820" s="8"/>
      <c r="D2820" s="8"/>
      <c r="E2820" s="8"/>
    </row>
    <row r="2821">
      <c r="A2821" s="8"/>
      <c r="B2821" s="8"/>
      <c r="C2821" s="8"/>
      <c r="D2821" s="8"/>
      <c r="E2821" s="8"/>
    </row>
    <row r="2822">
      <c r="A2822" s="8"/>
      <c r="B2822" s="8"/>
      <c r="C2822" s="8"/>
      <c r="D2822" s="8"/>
      <c r="E2822" s="8"/>
    </row>
    <row r="2823">
      <c r="A2823" s="8"/>
      <c r="B2823" s="8"/>
      <c r="C2823" s="8"/>
      <c r="D2823" s="8"/>
      <c r="E2823" s="8"/>
    </row>
    <row r="2824">
      <c r="A2824" s="8"/>
      <c r="B2824" s="8"/>
      <c r="C2824" s="8"/>
      <c r="D2824" s="8"/>
      <c r="E2824" s="8"/>
    </row>
    <row r="2825">
      <c r="A2825" s="8"/>
      <c r="B2825" s="8"/>
      <c r="C2825" s="8"/>
      <c r="D2825" s="8"/>
      <c r="E2825" s="8"/>
    </row>
    <row r="2826">
      <c r="A2826" s="8"/>
      <c r="B2826" s="8"/>
      <c r="C2826" s="8"/>
      <c r="D2826" s="8"/>
      <c r="E2826" s="8"/>
    </row>
    <row r="2827">
      <c r="A2827" s="8"/>
      <c r="B2827" s="8"/>
      <c r="C2827" s="8"/>
      <c r="D2827" s="8"/>
      <c r="E2827" s="8"/>
    </row>
    <row r="2828">
      <c r="A2828" s="8"/>
      <c r="B2828" s="8"/>
      <c r="C2828" s="8"/>
      <c r="D2828" s="8"/>
      <c r="E2828" s="8"/>
    </row>
    <row r="2829">
      <c r="A2829" s="8"/>
      <c r="B2829" s="8"/>
      <c r="C2829" s="8"/>
      <c r="D2829" s="8"/>
      <c r="E2829" s="8"/>
    </row>
    <row r="2830">
      <c r="A2830" s="8"/>
      <c r="B2830" s="8"/>
      <c r="C2830" s="8"/>
      <c r="D2830" s="8"/>
      <c r="E2830" s="8"/>
    </row>
    <row r="2831">
      <c r="A2831" s="8"/>
      <c r="B2831" s="8"/>
      <c r="C2831" s="8"/>
      <c r="D2831" s="8"/>
      <c r="E2831" s="8"/>
    </row>
    <row r="2832">
      <c r="A2832" s="8"/>
      <c r="B2832" s="8"/>
      <c r="C2832" s="8"/>
      <c r="D2832" s="8"/>
      <c r="E2832" s="8"/>
    </row>
    <row r="2833">
      <c r="A2833" s="8"/>
      <c r="B2833" s="8"/>
      <c r="C2833" s="8"/>
      <c r="D2833" s="8"/>
      <c r="E2833" s="8"/>
    </row>
    <row r="2834">
      <c r="A2834" s="8"/>
      <c r="B2834" s="8"/>
      <c r="C2834" s="8"/>
      <c r="D2834" s="8"/>
      <c r="E2834" s="8"/>
    </row>
    <row r="2835">
      <c r="A2835" s="8"/>
      <c r="B2835" s="8"/>
      <c r="C2835" s="8"/>
      <c r="D2835" s="8"/>
      <c r="E2835" s="8"/>
    </row>
    <row r="2836">
      <c r="A2836" s="8"/>
      <c r="B2836" s="8"/>
      <c r="C2836" s="8"/>
      <c r="D2836" s="8"/>
      <c r="E2836" s="8"/>
    </row>
    <row r="2837">
      <c r="A2837" s="8"/>
      <c r="B2837" s="8"/>
      <c r="C2837" s="8"/>
      <c r="D2837" s="8"/>
      <c r="E2837" s="8"/>
    </row>
    <row r="2838">
      <c r="A2838" s="8"/>
      <c r="B2838" s="8"/>
      <c r="C2838" s="8"/>
      <c r="D2838" s="8"/>
      <c r="E2838" s="8"/>
    </row>
    <row r="2839">
      <c r="A2839" s="8"/>
      <c r="B2839" s="8"/>
      <c r="C2839" s="8"/>
      <c r="D2839" s="8"/>
      <c r="E2839" s="8"/>
    </row>
    <row r="2840">
      <c r="A2840" s="8"/>
      <c r="B2840" s="8"/>
      <c r="C2840" s="8"/>
      <c r="D2840" s="8"/>
      <c r="E2840" s="8"/>
    </row>
    <row r="2841">
      <c r="A2841" s="8"/>
      <c r="B2841" s="8"/>
      <c r="C2841" s="8"/>
      <c r="D2841" s="8"/>
      <c r="E2841" s="8"/>
    </row>
    <row r="2842">
      <c r="A2842" s="8"/>
      <c r="B2842" s="8"/>
      <c r="C2842" s="8"/>
      <c r="D2842" s="8"/>
      <c r="E2842" s="8"/>
    </row>
    <row r="2843">
      <c r="A2843" s="8"/>
      <c r="B2843" s="8"/>
      <c r="C2843" s="8"/>
      <c r="D2843" s="8"/>
      <c r="E2843" s="8"/>
    </row>
    <row r="2844">
      <c r="A2844" s="8"/>
      <c r="B2844" s="8"/>
      <c r="C2844" s="8"/>
      <c r="D2844" s="8"/>
      <c r="E2844" s="8"/>
    </row>
    <row r="2845">
      <c r="A2845" s="8"/>
      <c r="B2845" s="8"/>
      <c r="C2845" s="8"/>
      <c r="D2845" s="8"/>
      <c r="E2845" s="8"/>
    </row>
    <row r="2846">
      <c r="A2846" s="8"/>
      <c r="B2846" s="8"/>
      <c r="C2846" s="8"/>
      <c r="D2846" s="8"/>
      <c r="E2846" s="8"/>
    </row>
    <row r="2847">
      <c r="A2847" s="8"/>
      <c r="B2847" s="8"/>
      <c r="C2847" s="8"/>
      <c r="D2847" s="8"/>
      <c r="E2847" s="8"/>
    </row>
    <row r="2848">
      <c r="A2848" s="8"/>
      <c r="B2848" s="8"/>
      <c r="C2848" s="8"/>
      <c r="D2848" s="8"/>
      <c r="E2848" s="8"/>
    </row>
    <row r="2849">
      <c r="A2849" s="8"/>
      <c r="B2849" s="8"/>
      <c r="C2849" s="8"/>
      <c r="D2849" s="8"/>
      <c r="E2849" s="8"/>
    </row>
    <row r="2850">
      <c r="A2850" s="8"/>
      <c r="B2850" s="8"/>
      <c r="C2850" s="8"/>
      <c r="D2850" s="8"/>
      <c r="E2850" s="8"/>
    </row>
    <row r="2851">
      <c r="A2851" s="8"/>
      <c r="B2851" s="8"/>
      <c r="C2851" s="8"/>
      <c r="D2851" s="8"/>
      <c r="E2851" s="8"/>
    </row>
    <row r="2852">
      <c r="A2852" s="8"/>
      <c r="B2852" s="8"/>
      <c r="C2852" s="8"/>
      <c r="D2852" s="8"/>
      <c r="E2852" s="8"/>
    </row>
    <row r="2853">
      <c r="A2853" s="8"/>
      <c r="B2853" s="8"/>
      <c r="C2853" s="8"/>
      <c r="D2853" s="8"/>
      <c r="E2853" s="8"/>
    </row>
    <row r="2854">
      <c r="A2854" s="8"/>
      <c r="B2854" s="8"/>
      <c r="C2854" s="8"/>
      <c r="D2854" s="8"/>
      <c r="E2854" s="8"/>
    </row>
    <row r="2855">
      <c r="A2855" s="8"/>
      <c r="B2855" s="8"/>
      <c r="C2855" s="8"/>
      <c r="D2855" s="8"/>
      <c r="E2855" s="8"/>
    </row>
    <row r="2856">
      <c r="A2856" s="8"/>
      <c r="B2856" s="8"/>
      <c r="C2856" s="8"/>
      <c r="D2856" s="8"/>
      <c r="E2856" s="8"/>
    </row>
    <row r="2857">
      <c r="A2857" s="8"/>
      <c r="B2857" s="8"/>
      <c r="C2857" s="8"/>
      <c r="D2857" s="8"/>
      <c r="E2857" s="8"/>
    </row>
    <row r="2858">
      <c r="A2858" s="8"/>
      <c r="B2858" s="8"/>
      <c r="C2858" s="8"/>
      <c r="D2858" s="8"/>
      <c r="E2858" s="8"/>
    </row>
    <row r="2859">
      <c r="A2859" s="8"/>
      <c r="B2859" s="8"/>
      <c r="C2859" s="8"/>
      <c r="D2859" s="8"/>
      <c r="E2859" s="8"/>
    </row>
    <row r="2860">
      <c r="A2860" s="8"/>
      <c r="B2860" s="8"/>
      <c r="C2860" s="8"/>
      <c r="D2860" s="8"/>
      <c r="E2860" s="8"/>
    </row>
    <row r="2861">
      <c r="A2861" s="8"/>
      <c r="B2861" s="8"/>
      <c r="C2861" s="8"/>
      <c r="D2861" s="8"/>
      <c r="E2861" s="8"/>
    </row>
    <row r="2862">
      <c r="A2862" s="8"/>
      <c r="B2862" s="8"/>
      <c r="C2862" s="8"/>
      <c r="D2862" s="8"/>
      <c r="E2862" s="8"/>
    </row>
    <row r="2863">
      <c r="A2863" s="8"/>
      <c r="B2863" s="8"/>
      <c r="C2863" s="8"/>
      <c r="D2863" s="8"/>
      <c r="E2863" s="8"/>
    </row>
    <row r="2864">
      <c r="A2864" s="8"/>
      <c r="B2864" s="8"/>
      <c r="C2864" s="8"/>
      <c r="D2864" s="8"/>
      <c r="E2864" s="8"/>
    </row>
    <row r="2865">
      <c r="A2865" s="8"/>
      <c r="B2865" s="8"/>
      <c r="C2865" s="8"/>
      <c r="D2865" s="8"/>
      <c r="E2865" s="8"/>
    </row>
    <row r="2866">
      <c r="A2866" s="8"/>
      <c r="B2866" s="8"/>
      <c r="C2866" s="8"/>
      <c r="D2866" s="8"/>
      <c r="E2866" s="8"/>
    </row>
    <row r="2867">
      <c r="A2867" s="8"/>
      <c r="B2867" s="8"/>
      <c r="C2867" s="8"/>
      <c r="D2867" s="8"/>
      <c r="E2867" s="8"/>
    </row>
    <row r="2868">
      <c r="A2868" s="8"/>
      <c r="B2868" s="8"/>
      <c r="C2868" s="8"/>
      <c r="D2868" s="8"/>
      <c r="E2868" s="8"/>
    </row>
    <row r="2869">
      <c r="A2869" s="8"/>
      <c r="B2869" s="8"/>
      <c r="C2869" s="8"/>
      <c r="D2869" s="8"/>
      <c r="E2869" s="8"/>
    </row>
    <row r="2870">
      <c r="A2870" s="8"/>
      <c r="B2870" s="8"/>
      <c r="C2870" s="8"/>
      <c r="D2870" s="8"/>
      <c r="E2870" s="8"/>
    </row>
    <row r="2871">
      <c r="A2871" s="8"/>
      <c r="B2871" s="8"/>
      <c r="C2871" s="8"/>
      <c r="D2871" s="8"/>
      <c r="E2871" s="8"/>
    </row>
    <row r="2872">
      <c r="A2872" s="8"/>
      <c r="B2872" s="8"/>
      <c r="C2872" s="8"/>
      <c r="D2872" s="8"/>
      <c r="E2872" s="8"/>
    </row>
    <row r="2873">
      <c r="A2873" s="8"/>
      <c r="B2873" s="8"/>
      <c r="C2873" s="8"/>
      <c r="D2873" s="8"/>
      <c r="E2873" s="8"/>
    </row>
    <row r="2874">
      <c r="A2874" s="8"/>
      <c r="B2874" s="8"/>
      <c r="C2874" s="8"/>
      <c r="D2874" s="8"/>
      <c r="E2874" s="8"/>
    </row>
    <row r="2875">
      <c r="A2875" s="8"/>
      <c r="B2875" s="8"/>
      <c r="C2875" s="8"/>
      <c r="D2875" s="8"/>
      <c r="E2875" s="8"/>
    </row>
    <row r="2876">
      <c r="A2876" s="8"/>
      <c r="B2876" s="8"/>
      <c r="C2876" s="8"/>
      <c r="D2876" s="8"/>
      <c r="E2876" s="8"/>
    </row>
    <row r="2877">
      <c r="A2877" s="8"/>
      <c r="B2877" s="8"/>
      <c r="C2877" s="8"/>
      <c r="D2877" s="8"/>
      <c r="E2877" s="8"/>
    </row>
    <row r="2878">
      <c r="A2878" s="8"/>
      <c r="B2878" s="8"/>
      <c r="C2878" s="8"/>
      <c r="D2878" s="8"/>
      <c r="E2878" s="8"/>
    </row>
    <row r="2879">
      <c r="A2879" s="8"/>
      <c r="B2879" s="8"/>
      <c r="C2879" s="8"/>
      <c r="D2879" s="8"/>
      <c r="E2879" s="8"/>
    </row>
    <row r="2880">
      <c r="A2880" s="8"/>
      <c r="B2880" s="8"/>
      <c r="C2880" s="8"/>
      <c r="D2880" s="8"/>
      <c r="E2880" s="8"/>
    </row>
    <row r="2881">
      <c r="A2881" s="8"/>
      <c r="B2881" s="8"/>
      <c r="C2881" s="8"/>
      <c r="D2881" s="8"/>
      <c r="E2881" s="8"/>
    </row>
    <row r="2882">
      <c r="A2882" s="8"/>
      <c r="B2882" s="8"/>
      <c r="C2882" s="8"/>
      <c r="D2882" s="8"/>
      <c r="E2882" s="8"/>
    </row>
    <row r="2883">
      <c r="A2883" s="8"/>
      <c r="B2883" s="8"/>
      <c r="C2883" s="8"/>
      <c r="D2883" s="8"/>
      <c r="E2883" s="8"/>
    </row>
    <row r="2884">
      <c r="A2884" s="8"/>
      <c r="B2884" s="8"/>
      <c r="C2884" s="8"/>
      <c r="D2884" s="8"/>
      <c r="E2884" s="8"/>
    </row>
    <row r="2885">
      <c r="A2885" s="8"/>
      <c r="B2885" s="8"/>
      <c r="C2885" s="8"/>
      <c r="D2885" s="8"/>
      <c r="E2885" s="8"/>
    </row>
    <row r="2886">
      <c r="A2886" s="8"/>
      <c r="B2886" s="8"/>
      <c r="C2886" s="8"/>
      <c r="D2886" s="8"/>
      <c r="E2886" s="8"/>
    </row>
    <row r="2887">
      <c r="A2887" s="8"/>
      <c r="B2887" s="8"/>
      <c r="C2887" s="8"/>
      <c r="D2887" s="8"/>
      <c r="E2887" s="8"/>
    </row>
    <row r="2888">
      <c r="A2888" s="8"/>
      <c r="B2888" s="8"/>
      <c r="C2888" s="8"/>
      <c r="D2888" s="8"/>
      <c r="E2888" s="8"/>
    </row>
    <row r="2889">
      <c r="A2889" s="8"/>
      <c r="B2889" s="8"/>
      <c r="C2889" s="8"/>
      <c r="D2889" s="8"/>
      <c r="E2889" s="8"/>
    </row>
    <row r="2890">
      <c r="A2890" s="8"/>
      <c r="B2890" s="8"/>
      <c r="C2890" s="8"/>
      <c r="D2890" s="8"/>
      <c r="E2890" s="8"/>
    </row>
    <row r="2891">
      <c r="A2891" s="8"/>
      <c r="B2891" s="8"/>
      <c r="C2891" s="8"/>
      <c r="D2891" s="8"/>
      <c r="E2891" s="8"/>
    </row>
    <row r="2892">
      <c r="A2892" s="8"/>
      <c r="B2892" s="8"/>
      <c r="C2892" s="8"/>
      <c r="D2892" s="8"/>
      <c r="E2892" s="8"/>
    </row>
    <row r="2893">
      <c r="A2893" s="8"/>
      <c r="B2893" s="8"/>
      <c r="C2893" s="8"/>
      <c r="D2893" s="8"/>
      <c r="E2893" s="8"/>
    </row>
    <row r="2894">
      <c r="A2894" s="8"/>
      <c r="B2894" s="8"/>
      <c r="C2894" s="8"/>
      <c r="D2894" s="8"/>
      <c r="E2894" s="8"/>
    </row>
    <row r="2895">
      <c r="A2895" s="8"/>
      <c r="B2895" s="8"/>
      <c r="C2895" s="8"/>
      <c r="D2895" s="8"/>
      <c r="E2895" s="8"/>
    </row>
    <row r="2896">
      <c r="A2896" s="8"/>
      <c r="B2896" s="8"/>
      <c r="C2896" s="8"/>
      <c r="D2896" s="8"/>
      <c r="E2896" s="8"/>
    </row>
    <row r="2897">
      <c r="A2897" s="8"/>
      <c r="B2897" s="8"/>
      <c r="C2897" s="8"/>
      <c r="D2897" s="8"/>
      <c r="E2897" s="8"/>
    </row>
    <row r="2898">
      <c r="A2898" s="8"/>
      <c r="B2898" s="8"/>
      <c r="C2898" s="8"/>
      <c r="D2898" s="8"/>
      <c r="E2898" s="8"/>
    </row>
    <row r="2899">
      <c r="A2899" s="8"/>
      <c r="B2899" s="8"/>
      <c r="C2899" s="8"/>
      <c r="D2899" s="8"/>
      <c r="E2899" s="8"/>
    </row>
    <row r="2900">
      <c r="A2900" s="8"/>
      <c r="B2900" s="8"/>
      <c r="C2900" s="8"/>
      <c r="D2900" s="8"/>
      <c r="E2900" s="8"/>
    </row>
    <row r="2901">
      <c r="A2901" s="8"/>
      <c r="B2901" s="8"/>
      <c r="C2901" s="8"/>
      <c r="D2901" s="8"/>
      <c r="E2901" s="8"/>
    </row>
    <row r="2902">
      <c r="A2902" s="8"/>
      <c r="B2902" s="8"/>
      <c r="C2902" s="8"/>
      <c r="D2902" s="8"/>
      <c r="E2902" s="8"/>
    </row>
    <row r="2903">
      <c r="A2903" s="8"/>
      <c r="B2903" s="8"/>
      <c r="C2903" s="8"/>
      <c r="D2903" s="8"/>
      <c r="E2903" s="8"/>
    </row>
    <row r="2904">
      <c r="A2904" s="8"/>
      <c r="B2904" s="8"/>
      <c r="C2904" s="8"/>
      <c r="D2904" s="8"/>
      <c r="E2904" s="8"/>
    </row>
    <row r="2905">
      <c r="A2905" s="8"/>
      <c r="B2905" s="8"/>
      <c r="C2905" s="8"/>
      <c r="D2905" s="8"/>
      <c r="E2905" s="8"/>
    </row>
    <row r="2906">
      <c r="A2906" s="8"/>
      <c r="B2906" s="8"/>
      <c r="C2906" s="8"/>
      <c r="D2906" s="8"/>
      <c r="E2906" s="8"/>
    </row>
    <row r="2907">
      <c r="A2907" s="8"/>
      <c r="B2907" s="8"/>
      <c r="C2907" s="8"/>
      <c r="D2907" s="8"/>
      <c r="E2907" s="8"/>
    </row>
    <row r="2908">
      <c r="A2908" s="8"/>
      <c r="B2908" s="8"/>
      <c r="C2908" s="8"/>
      <c r="D2908" s="8"/>
      <c r="E2908" s="8"/>
    </row>
    <row r="2909">
      <c r="A2909" s="8"/>
      <c r="B2909" s="8"/>
      <c r="C2909" s="8"/>
      <c r="D2909" s="8"/>
      <c r="E2909" s="8"/>
    </row>
    <row r="2910">
      <c r="A2910" s="8"/>
      <c r="B2910" s="8"/>
      <c r="C2910" s="8"/>
      <c r="D2910" s="8"/>
      <c r="E2910" s="8"/>
    </row>
    <row r="2911">
      <c r="A2911" s="8"/>
      <c r="B2911" s="8"/>
      <c r="C2911" s="8"/>
      <c r="D2911" s="8"/>
      <c r="E2911" s="8"/>
    </row>
    <row r="2912">
      <c r="A2912" s="8"/>
      <c r="B2912" s="8"/>
      <c r="C2912" s="8"/>
      <c r="D2912" s="8"/>
      <c r="E2912" s="8"/>
    </row>
    <row r="2913">
      <c r="A2913" s="8"/>
      <c r="B2913" s="8"/>
      <c r="C2913" s="8"/>
      <c r="D2913" s="8"/>
      <c r="E2913" s="8"/>
    </row>
    <row r="2914">
      <c r="A2914" s="8"/>
      <c r="B2914" s="8"/>
      <c r="C2914" s="8"/>
      <c r="D2914" s="8"/>
      <c r="E2914" s="8"/>
    </row>
    <row r="2915">
      <c r="A2915" s="8"/>
      <c r="B2915" s="8"/>
      <c r="C2915" s="8"/>
      <c r="D2915" s="8"/>
      <c r="E2915" s="8"/>
    </row>
    <row r="2916">
      <c r="A2916" s="8"/>
      <c r="B2916" s="8"/>
      <c r="C2916" s="8"/>
      <c r="D2916" s="8"/>
      <c r="E2916" s="8"/>
    </row>
    <row r="2917">
      <c r="A2917" s="8"/>
      <c r="B2917" s="8"/>
      <c r="C2917" s="8"/>
      <c r="D2917" s="8"/>
      <c r="E2917" s="8"/>
    </row>
    <row r="2918">
      <c r="A2918" s="8"/>
      <c r="B2918" s="8"/>
      <c r="C2918" s="8"/>
      <c r="D2918" s="8"/>
      <c r="E2918" s="8"/>
    </row>
    <row r="2919">
      <c r="A2919" s="8"/>
      <c r="B2919" s="8"/>
      <c r="C2919" s="8"/>
      <c r="D2919" s="8"/>
      <c r="E2919" s="8"/>
    </row>
    <row r="2920">
      <c r="A2920" s="8"/>
      <c r="B2920" s="8"/>
      <c r="C2920" s="8"/>
      <c r="D2920" s="8"/>
      <c r="E2920" s="8"/>
    </row>
    <row r="2921">
      <c r="A2921" s="8"/>
      <c r="B2921" s="8"/>
      <c r="C2921" s="8"/>
      <c r="D2921" s="8"/>
      <c r="E2921" s="8"/>
    </row>
    <row r="2922">
      <c r="A2922" s="8"/>
      <c r="B2922" s="8"/>
      <c r="C2922" s="8"/>
      <c r="D2922" s="8"/>
      <c r="E2922" s="8"/>
    </row>
    <row r="2923">
      <c r="A2923" s="8"/>
      <c r="B2923" s="8"/>
      <c r="C2923" s="8"/>
      <c r="D2923" s="8"/>
      <c r="E2923" s="8"/>
    </row>
    <row r="2924">
      <c r="A2924" s="8"/>
      <c r="B2924" s="8"/>
      <c r="C2924" s="8"/>
      <c r="D2924" s="8"/>
      <c r="E2924" s="8"/>
    </row>
    <row r="2925">
      <c r="A2925" s="8"/>
      <c r="B2925" s="8"/>
      <c r="C2925" s="8"/>
      <c r="D2925" s="8"/>
      <c r="E2925" s="8"/>
    </row>
    <row r="2926">
      <c r="A2926" s="8"/>
      <c r="B2926" s="8"/>
      <c r="C2926" s="8"/>
      <c r="D2926" s="8"/>
      <c r="E2926" s="8"/>
    </row>
    <row r="2927">
      <c r="A2927" s="8"/>
      <c r="B2927" s="8"/>
      <c r="C2927" s="8"/>
      <c r="D2927" s="8"/>
      <c r="E2927" s="8"/>
    </row>
    <row r="2928">
      <c r="A2928" s="8"/>
      <c r="B2928" s="8"/>
      <c r="C2928" s="8"/>
      <c r="D2928" s="8"/>
      <c r="E2928" s="8"/>
    </row>
    <row r="2929">
      <c r="A2929" s="8"/>
      <c r="B2929" s="8"/>
      <c r="C2929" s="8"/>
      <c r="D2929" s="8"/>
      <c r="E2929" s="8"/>
    </row>
    <row r="2930">
      <c r="A2930" s="8"/>
      <c r="B2930" s="8"/>
      <c r="C2930" s="8"/>
      <c r="D2930" s="8"/>
      <c r="E2930" s="8"/>
    </row>
    <row r="2931">
      <c r="A2931" s="8"/>
      <c r="B2931" s="8"/>
      <c r="C2931" s="8"/>
      <c r="D2931" s="8"/>
      <c r="E2931" s="8"/>
    </row>
    <row r="2932">
      <c r="A2932" s="8"/>
      <c r="B2932" s="8"/>
      <c r="C2932" s="8"/>
      <c r="D2932" s="8"/>
      <c r="E2932" s="8"/>
    </row>
    <row r="2933">
      <c r="A2933" s="8"/>
      <c r="B2933" s="8"/>
      <c r="C2933" s="8"/>
      <c r="D2933" s="8"/>
      <c r="E2933" s="8"/>
    </row>
    <row r="2934">
      <c r="A2934" s="8"/>
      <c r="B2934" s="8"/>
      <c r="C2934" s="8"/>
      <c r="D2934" s="8"/>
      <c r="E2934" s="8"/>
    </row>
    <row r="2935">
      <c r="A2935" s="8"/>
      <c r="B2935" s="8"/>
      <c r="C2935" s="8"/>
      <c r="D2935" s="8"/>
      <c r="E2935" s="8"/>
    </row>
    <row r="2936">
      <c r="A2936" s="8"/>
      <c r="B2936" s="8"/>
      <c r="C2936" s="8"/>
      <c r="D2936" s="8"/>
      <c r="E2936" s="8"/>
    </row>
    <row r="2937">
      <c r="A2937" s="8"/>
      <c r="B2937" s="8"/>
      <c r="C2937" s="8"/>
      <c r="D2937" s="8"/>
      <c r="E2937" s="8"/>
    </row>
    <row r="2938">
      <c r="A2938" s="8"/>
      <c r="B2938" s="8"/>
      <c r="C2938" s="8"/>
      <c r="D2938" s="8"/>
      <c r="E2938" s="8"/>
    </row>
    <row r="2939">
      <c r="A2939" s="8"/>
      <c r="B2939" s="8"/>
      <c r="C2939" s="8"/>
      <c r="D2939" s="8"/>
      <c r="E2939" s="8"/>
    </row>
    <row r="2940">
      <c r="A2940" s="8"/>
      <c r="B2940" s="8"/>
      <c r="C2940" s="8"/>
      <c r="D2940" s="8"/>
      <c r="E2940" s="8"/>
    </row>
    <row r="2941">
      <c r="A2941" s="8"/>
      <c r="B2941" s="8"/>
      <c r="C2941" s="8"/>
      <c r="D2941" s="8"/>
      <c r="E2941" s="8"/>
    </row>
    <row r="2942">
      <c r="A2942" s="8"/>
      <c r="B2942" s="8"/>
      <c r="C2942" s="8"/>
      <c r="D2942" s="8"/>
      <c r="E2942" s="8"/>
    </row>
    <row r="2943">
      <c r="A2943" s="8"/>
      <c r="B2943" s="8"/>
      <c r="C2943" s="8"/>
      <c r="D2943" s="8"/>
      <c r="E2943" s="8"/>
    </row>
    <row r="2944">
      <c r="A2944" s="8"/>
      <c r="B2944" s="8"/>
      <c r="C2944" s="8"/>
      <c r="D2944" s="8"/>
      <c r="E2944" s="8"/>
    </row>
    <row r="2945">
      <c r="A2945" s="8"/>
      <c r="B2945" s="8"/>
      <c r="C2945" s="8"/>
      <c r="D2945" s="8"/>
      <c r="E2945" s="8"/>
    </row>
    <row r="2946">
      <c r="A2946" s="8"/>
      <c r="B2946" s="8"/>
      <c r="C2946" s="8"/>
      <c r="D2946" s="8"/>
      <c r="E2946" s="8"/>
    </row>
    <row r="2947">
      <c r="A2947" s="8"/>
      <c r="B2947" s="8"/>
      <c r="C2947" s="8"/>
      <c r="D2947" s="8"/>
      <c r="E2947" s="8"/>
    </row>
    <row r="2948">
      <c r="A2948" s="8"/>
      <c r="B2948" s="8"/>
      <c r="C2948" s="8"/>
      <c r="D2948" s="8"/>
      <c r="E2948" s="8"/>
    </row>
    <row r="2949">
      <c r="A2949" s="8"/>
      <c r="B2949" s="8"/>
      <c r="C2949" s="8"/>
      <c r="D2949" s="8"/>
      <c r="E2949" s="8"/>
    </row>
    <row r="2950">
      <c r="A2950" s="8"/>
      <c r="B2950" s="8"/>
      <c r="C2950" s="8"/>
      <c r="D2950" s="8"/>
      <c r="E2950" s="8"/>
    </row>
    <row r="2951">
      <c r="A2951" s="8"/>
      <c r="B2951" s="8"/>
      <c r="C2951" s="8"/>
      <c r="D2951" s="8"/>
      <c r="E2951" s="8"/>
    </row>
    <row r="2952">
      <c r="A2952" s="8"/>
      <c r="B2952" s="8"/>
      <c r="C2952" s="8"/>
      <c r="D2952" s="8"/>
      <c r="E2952" s="8"/>
    </row>
    <row r="2953">
      <c r="A2953" s="8"/>
      <c r="B2953" s="8"/>
      <c r="C2953" s="8"/>
      <c r="D2953" s="8"/>
      <c r="E2953" s="8"/>
    </row>
    <row r="2954">
      <c r="A2954" s="8"/>
      <c r="B2954" s="8"/>
      <c r="C2954" s="8"/>
      <c r="D2954" s="8"/>
      <c r="E2954" s="8"/>
    </row>
    <row r="2955">
      <c r="A2955" s="8"/>
      <c r="B2955" s="8"/>
      <c r="C2955" s="8"/>
      <c r="D2955" s="8"/>
      <c r="E2955" s="8"/>
    </row>
    <row r="2956">
      <c r="A2956" s="8"/>
      <c r="B2956" s="8"/>
      <c r="C2956" s="8"/>
      <c r="D2956" s="8"/>
      <c r="E2956" s="8"/>
    </row>
    <row r="2957">
      <c r="A2957" s="8"/>
      <c r="B2957" s="8"/>
      <c r="C2957" s="8"/>
      <c r="D2957" s="8"/>
      <c r="E2957" s="8"/>
    </row>
    <row r="2958">
      <c r="A2958" s="8"/>
      <c r="B2958" s="8"/>
      <c r="C2958" s="8"/>
      <c r="D2958" s="8"/>
      <c r="E2958" s="8"/>
    </row>
    <row r="2959">
      <c r="A2959" s="8"/>
      <c r="B2959" s="8"/>
      <c r="C2959" s="8"/>
      <c r="D2959" s="8"/>
      <c r="E2959" s="8"/>
    </row>
    <row r="2960">
      <c r="A2960" s="8"/>
      <c r="B2960" s="8"/>
      <c r="C2960" s="8"/>
      <c r="D2960" s="8"/>
      <c r="E2960" s="8"/>
    </row>
    <row r="2961">
      <c r="A2961" s="8"/>
      <c r="B2961" s="8"/>
      <c r="C2961" s="8"/>
      <c r="D2961" s="8"/>
      <c r="E2961" s="8"/>
    </row>
    <row r="2962">
      <c r="A2962" s="8"/>
      <c r="B2962" s="8"/>
      <c r="C2962" s="8"/>
      <c r="D2962" s="8"/>
      <c r="E2962" s="8"/>
    </row>
    <row r="2963">
      <c r="A2963" s="8"/>
      <c r="B2963" s="8"/>
      <c r="C2963" s="8"/>
      <c r="D2963" s="8"/>
      <c r="E2963" s="8"/>
    </row>
    <row r="2964">
      <c r="A2964" s="8"/>
      <c r="B2964" s="8"/>
      <c r="C2964" s="8"/>
      <c r="D2964" s="8"/>
      <c r="E2964" s="8"/>
    </row>
    <row r="2965">
      <c r="A2965" s="8"/>
      <c r="B2965" s="8"/>
      <c r="C2965" s="8"/>
      <c r="D2965" s="8"/>
      <c r="E2965" s="8"/>
    </row>
    <row r="2966">
      <c r="A2966" s="8"/>
      <c r="B2966" s="8"/>
      <c r="C2966" s="8"/>
      <c r="D2966" s="8"/>
      <c r="E2966" s="8"/>
    </row>
    <row r="2967">
      <c r="A2967" s="8"/>
      <c r="B2967" s="8"/>
      <c r="C2967" s="8"/>
      <c r="D2967" s="8"/>
      <c r="E2967" s="8"/>
    </row>
    <row r="2968">
      <c r="A2968" s="8"/>
      <c r="B2968" s="8"/>
      <c r="C2968" s="8"/>
      <c r="D2968" s="8"/>
      <c r="E2968" s="8"/>
    </row>
    <row r="2969">
      <c r="A2969" s="8"/>
      <c r="B2969" s="8"/>
      <c r="C2969" s="8"/>
      <c r="D2969" s="8"/>
      <c r="E2969" s="8"/>
    </row>
    <row r="2970">
      <c r="A2970" s="8"/>
      <c r="B2970" s="8"/>
      <c r="C2970" s="8"/>
      <c r="D2970" s="8"/>
      <c r="E2970" s="8"/>
    </row>
    <row r="2971">
      <c r="A2971" s="8"/>
      <c r="B2971" s="8"/>
      <c r="C2971" s="8"/>
      <c r="D2971" s="8"/>
      <c r="E2971" s="8"/>
    </row>
    <row r="2972">
      <c r="A2972" s="8"/>
      <c r="B2972" s="8"/>
      <c r="C2972" s="8"/>
      <c r="D2972" s="8"/>
      <c r="E2972" s="8"/>
    </row>
    <row r="2973">
      <c r="A2973" s="8"/>
      <c r="B2973" s="8"/>
      <c r="C2973" s="8"/>
      <c r="D2973" s="8"/>
      <c r="E2973" s="8"/>
    </row>
    <row r="2974">
      <c r="A2974" s="8"/>
      <c r="B2974" s="8"/>
      <c r="C2974" s="8"/>
      <c r="D2974" s="8"/>
      <c r="E2974" s="8"/>
    </row>
    <row r="2975">
      <c r="A2975" s="8"/>
      <c r="B2975" s="8"/>
      <c r="C2975" s="8"/>
      <c r="D2975" s="8"/>
      <c r="E2975" s="8"/>
    </row>
    <row r="2976">
      <c r="A2976" s="8"/>
      <c r="B2976" s="8"/>
      <c r="C2976" s="8"/>
      <c r="D2976" s="8"/>
      <c r="E2976" s="8"/>
    </row>
    <row r="2977">
      <c r="A2977" s="8"/>
      <c r="B2977" s="8"/>
      <c r="C2977" s="8"/>
      <c r="D2977" s="8"/>
      <c r="E2977" s="8"/>
    </row>
    <row r="2978">
      <c r="A2978" s="8"/>
      <c r="B2978" s="8"/>
      <c r="C2978" s="8"/>
      <c r="D2978" s="8"/>
      <c r="E2978" s="8"/>
    </row>
    <row r="2979">
      <c r="A2979" s="8"/>
      <c r="B2979" s="8"/>
      <c r="C2979" s="8"/>
      <c r="D2979" s="8"/>
      <c r="E2979" s="8"/>
    </row>
    <row r="2980">
      <c r="A2980" s="8"/>
      <c r="B2980" s="8"/>
      <c r="C2980" s="8"/>
      <c r="D2980" s="8"/>
      <c r="E2980" s="8"/>
    </row>
    <row r="2981">
      <c r="A2981" s="8"/>
      <c r="B2981" s="8"/>
      <c r="C2981" s="8"/>
      <c r="D2981" s="8"/>
      <c r="E2981" s="8"/>
    </row>
    <row r="2982">
      <c r="A2982" s="8"/>
      <c r="B2982" s="8"/>
      <c r="C2982" s="8"/>
      <c r="D2982" s="8"/>
      <c r="E2982" s="8"/>
    </row>
    <row r="2983">
      <c r="A2983" s="8"/>
      <c r="B2983" s="8"/>
      <c r="C2983" s="8"/>
      <c r="D2983" s="8"/>
      <c r="E2983" s="8"/>
    </row>
    <row r="2984">
      <c r="A2984" s="8"/>
      <c r="B2984" s="8"/>
      <c r="C2984" s="8"/>
      <c r="D2984" s="8"/>
      <c r="E2984" s="8"/>
    </row>
    <row r="2985">
      <c r="A2985" s="8"/>
      <c r="B2985" s="8"/>
      <c r="C2985" s="8"/>
      <c r="D2985" s="8"/>
      <c r="E2985" s="8"/>
    </row>
    <row r="2986">
      <c r="A2986" s="8"/>
      <c r="B2986" s="8"/>
      <c r="C2986" s="8"/>
      <c r="D2986" s="8"/>
      <c r="E2986" s="8"/>
    </row>
    <row r="2987">
      <c r="A2987" s="8"/>
      <c r="B2987" s="8"/>
      <c r="C2987" s="8"/>
      <c r="D2987" s="8"/>
      <c r="E2987" s="8"/>
    </row>
    <row r="2988">
      <c r="A2988" s="8"/>
      <c r="B2988" s="8"/>
      <c r="C2988" s="8"/>
      <c r="D2988" s="8"/>
      <c r="E2988" s="8"/>
    </row>
    <row r="2989">
      <c r="A2989" s="8"/>
      <c r="B2989" s="8"/>
      <c r="C2989" s="8"/>
      <c r="D2989" s="8"/>
      <c r="E2989" s="8"/>
    </row>
    <row r="2990">
      <c r="A2990" s="8"/>
      <c r="B2990" s="8"/>
      <c r="C2990" s="8"/>
      <c r="D2990" s="8"/>
      <c r="E2990" s="8"/>
    </row>
    <row r="2991">
      <c r="A2991" s="8"/>
      <c r="B2991" s="8"/>
      <c r="C2991" s="8"/>
      <c r="D2991" s="8"/>
      <c r="E2991" s="8"/>
    </row>
    <row r="2992">
      <c r="A2992" s="8"/>
      <c r="B2992" s="8"/>
      <c r="C2992" s="8"/>
      <c r="D2992" s="8"/>
      <c r="E2992" s="8"/>
    </row>
    <row r="2993">
      <c r="A2993" s="8"/>
      <c r="B2993" s="8"/>
      <c r="C2993" s="8"/>
      <c r="D2993" s="8"/>
      <c r="E2993" s="8"/>
    </row>
    <row r="2994">
      <c r="A2994" s="8"/>
      <c r="B2994" s="8"/>
      <c r="C2994" s="8"/>
      <c r="D2994" s="8"/>
      <c r="E2994" s="8"/>
    </row>
    <row r="2995">
      <c r="A2995" s="8"/>
      <c r="B2995" s="8"/>
      <c r="C2995" s="8"/>
      <c r="D2995" s="8"/>
      <c r="E2995" s="8"/>
    </row>
    <row r="2996">
      <c r="A2996" s="8"/>
      <c r="B2996" s="8"/>
      <c r="C2996" s="8"/>
      <c r="D2996" s="8"/>
      <c r="E2996" s="8"/>
    </row>
    <row r="2997">
      <c r="A2997" s="8"/>
      <c r="B2997" s="8"/>
      <c r="C2997" s="8"/>
      <c r="D2997" s="8"/>
      <c r="E2997" s="8"/>
    </row>
    <row r="2998">
      <c r="A2998" s="8"/>
      <c r="B2998" s="8"/>
      <c r="C2998" s="8"/>
      <c r="D2998" s="8"/>
      <c r="E2998" s="8"/>
    </row>
    <row r="2999">
      <c r="A2999" s="8"/>
      <c r="B2999" s="8"/>
      <c r="C2999" s="8"/>
      <c r="D2999" s="8"/>
      <c r="E2999" s="8"/>
    </row>
    <row r="3000">
      <c r="A3000" s="8"/>
      <c r="B3000" s="8"/>
      <c r="C3000" s="8"/>
      <c r="D3000" s="8"/>
      <c r="E3000" s="8"/>
    </row>
    <row r="3001">
      <c r="A3001" s="8"/>
      <c r="B3001" s="8"/>
      <c r="C3001" s="8"/>
      <c r="D3001" s="8"/>
      <c r="E3001" s="8"/>
    </row>
    <row r="3002">
      <c r="A3002" s="8"/>
      <c r="B3002" s="8"/>
      <c r="C3002" s="8"/>
      <c r="D3002" s="8"/>
      <c r="E3002" s="8"/>
    </row>
    <row r="3003">
      <c r="A3003" s="8"/>
      <c r="B3003" s="8"/>
      <c r="C3003" s="8"/>
      <c r="D3003" s="8"/>
      <c r="E3003" s="8"/>
    </row>
    <row r="3004">
      <c r="A3004" s="8"/>
      <c r="B3004" s="8"/>
      <c r="C3004" s="8"/>
      <c r="D3004" s="8"/>
      <c r="E3004" s="8"/>
    </row>
    <row r="3005">
      <c r="A3005" s="8"/>
      <c r="B3005" s="8"/>
      <c r="C3005" s="8"/>
      <c r="D3005" s="8"/>
      <c r="E3005" s="8"/>
    </row>
    <row r="3006">
      <c r="A3006" s="8"/>
      <c r="B3006" s="8"/>
      <c r="C3006" s="8"/>
      <c r="D3006" s="8"/>
      <c r="E3006" s="8"/>
    </row>
    <row r="3007">
      <c r="A3007" s="8"/>
      <c r="B3007" s="8"/>
      <c r="C3007" s="8"/>
      <c r="D3007" s="8"/>
      <c r="E3007" s="8"/>
    </row>
    <row r="3008">
      <c r="A3008" s="8"/>
      <c r="B3008" s="8"/>
      <c r="C3008" s="8"/>
      <c r="D3008" s="8"/>
      <c r="E3008" s="8"/>
    </row>
    <row r="3009">
      <c r="A3009" s="8"/>
      <c r="B3009" s="8"/>
      <c r="C3009" s="8"/>
      <c r="D3009" s="8"/>
      <c r="E3009" s="8"/>
    </row>
    <row r="3010">
      <c r="A3010" s="8"/>
      <c r="B3010" s="8"/>
      <c r="C3010" s="8"/>
      <c r="D3010" s="8"/>
      <c r="E3010" s="8"/>
    </row>
    <row r="3011">
      <c r="A3011" s="8"/>
      <c r="B3011" s="8"/>
      <c r="C3011" s="8"/>
      <c r="D3011" s="8"/>
      <c r="E3011" s="8"/>
    </row>
    <row r="3012">
      <c r="A3012" s="8"/>
      <c r="B3012" s="8"/>
      <c r="C3012" s="8"/>
      <c r="D3012" s="8"/>
      <c r="E3012" s="8"/>
    </row>
    <row r="3013">
      <c r="A3013" s="8"/>
      <c r="B3013" s="8"/>
      <c r="C3013" s="8"/>
      <c r="D3013" s="8"/>
      <c r="E3013" s="8"/>
    </row>
    <row r="3014">
      <c r="A3014" s="8"/>
      <c r="B3014" s="8"/>
      <c r="C3014" s="8"/>
      <c r="D3014" s="8"/>
      <c r="E3014" s="8"/>
    </row>
    <row r="3015">
      <c r="A3015" s="8"/>
      <c r="B3015" s="8"/>
      <c r="C3015" s="8"/>
      <c r="D3015" s="8"/>
      <c r="E3015" s="8"/>
    </row>
    <row r="3016">
      <c r="A3016" s="8"/>
      <c r="B3016" s="8"/>
      <c r="C3016" s="8"/>
      <c r="D3016" s="8"/>
      <c r="E3016" s="8"/>
    </row>
    <row r="3017">
      <c r="A3017" s="8"/>
      <c r="B3017" s="8"/>
      <c r="C3017" s="8"/>
      <c r="D3017" s="8"/>
      <c r="E3017" s="8"/>
    </row>
    <row r="3018">
      <c r="A3018" s="8"/>
      <c r="B3018" s="8"/>
      <c r="C3018" s="8"/>
      <c r="D3018" s="8"/>
      <c r="E3018" s="8"/>
    </row>
    <row r="3019">
      <c r="A3019" s="8"/>
      <c r="B3019" s="8"/>
      <c r="C3019" s="8"/>
      <c r="D3019" s="8"/>
      <c r="E3019" s="8"/>
    </row>
    <row r="3020">
      <c r="A3020" s="8"/>
      <c r="B3020" s="8"/>
      <c r="C3020" s="8"/>
      <c r="D3020" s="8"/>
      <c r="E3020" s="8"/>
    </row>
    <row r="3021">
      <c r="A3021" s="8"/>
      <c r="B3021" s="8"/>
      <c r="C3021" s="8"/>
      <c r="D3021" s="8"/>
      <c r="E3021" s="8"/>
    </row>
    <row r="3022">
      <c r="A3022" s="8"/>
      <c r="B3022" s="8"/>
      <c r="C3022" s="8"/>
      <c r="D3022" s="8"/>
      <c r="E3022" s="8"/>
    </row>
    <row r="3023">
      <c r="A3023" s="8"/>
      <c r="B3023" s="8"/>
      <c r="C3023" s="8"/>
      <c r="D3023" s="8"/>
      <c r="E3023" s="8"/>
    </row>
    <row r="3024">
      <c r="A3024" s="8"/>
      <c r="B3024" s="8"/>
      <c r="C3024" s="8"/>
      <c r="D3024" s="8"/>
      <c r="E3024" s="8"/>
    </row>
    <row r="3025">
      <c r="A3025" s="8"/>
      <c r="B3025" s="8"/>
      <c r="C3025" s="8"/>
      <c r="D3025" s="8"/>
      <c r="E3025" s="8"/>
    </row>
    <row r="3026">
      <c r="A3026" s="8"/>
      <c r="B3026" s="8"/>
      <c r="C3026" s="8"/>
      <c r="D3026" s="8"/>
      <c r="E3026" s="8"/>
    </row>
    <row r="3027">
      <c r="A3027" s="8"/>
      <c r="B3027" s="8"/>
      <c r="C3027" s="8"/>
      <c r="D3027" s="8"/>
      <c r="E3027" s="8"/>
    </row>
    <row r="3028">
      <c r="A3028" s="8"/>
      <c r="B3028" s="8"/>
      <c r="C3028" s="8"/>
      <c r="D3028" s="8"/>
      <c r="E3028" s="8"/>
    </row>
    <row r="3029">
      <c r="A3029" s="8"/>
      <c r="B3029" s="8"/>
      <c r="C3029" s="8"/>
      <c r="D3029" s="8"/>
      <c r="E3029" s="8"/>
    </row>
    <row r="3030">
      <c r="A3030" s="8"/>
      <c r="B3030" s="8"/>
      <c r="C3030" s="8"/>
      <c r="D3030" s="8"/>
      <c r="E3030" s="8"/>
    </row>
    <row r="3031">
      <c r="A3031" s="8"/>
      <c r="B3031" s="8"/>
      <c r="C3031" s="8"/>
      <c r="D3031" s="8"/>
      <c r="E3031" s="8"/>
    </row>
    <row r="3032">
      <c r="A3032" s="8"/>
      <c r="B3032" s="8"/>
      <c r="C3032" s="8"/>
      <c r="D3032" s="8"/>
      <c r="E3032" s="8"/>
    </row>
    <row r="3033">
      <c r="A3033" s="8"/>
      <c r="B3033" s="8"/>
      <c r="C3033" s="8"/>
      <c r="D3033" s="8"/>
      <c r="E3033" s="8"/>
    </row>
    <row r="3034">
      <c r="A3034" s="8"/>
      <c r="B3034" s="8"/>
      <c r="C3034" s="8"/>
      <c r="D3034" s="8"/>
      <c r="E3034" s="8"/>
    </row>
    <row r="3035">
      <c r="A3035" s="8"/>
      <c r="B3035" s="8"/>
      <c r="C3035" s="8"/>
      <c r="D3035" s="8"/>
      <c r="E3035" s="8"/>
    </row>
    <row r="3036">
      <c r="A3036" s="8"/>
      <c r="B3036" s="8"/>
      <c r="C3036" s="8"/>
      <c r="D3036" s="8"/>
      <c r="E3036" s="8"/>
    </row>
    <row r="3037">
      <c r="A3037" s="8"/>
      <c r="B3037" s="8"/>
      <c r="C3037" s="8"/>
      <c r="D3037" s="8"/>
      <c r="E3037" s="8"/>
    </row>
    <row r="3038">
      <c r="A3038" s="8"/>
      <c r="B3038" s="8"/>
      <c r="C3038" s="8"/>
      <c r="D3038" s="8"/>
      <c r="E3038" s="8"/>
    </row>
    <row r="3039">
      <c r="A3039" s="8"/>
      <c r="B3039" s="8"/>
      <c r="C3039" s="8"/>
      <c r="D3039" s="8"/>
      <c r="E3039" s="8"/>
    </row>
    <row r="3040">
      <c r="A3040" s="8"/>
      <c r="B3040" s="8"/>
      <c r="C3040" s="8"/>
      <c r="D3040" s="8"/>
      <c r="E3040" s="8"/>
    </row>
    <row r="3041">
      <c r="A3041" s="8"/>
      <c r="B3041" s="8"/>
      <c r="C3041" s="8"/>
      <c r="D3041" s="8"/>
      <c r="E3041" s="8"/>
    </row>
    <row r="3042">
      <c r="A3042" s="8"/>
      <c r="B3042" s="8"/>
      <c r="C3042" s="8"/>
      <c r="D3042" s="8"/>
      <c r="E3042" s="8"/>
    </row>
    <row r="3043">
      <c r="A3043" s="8"/>
      <c r="B3043" s="8"/>
      <c r="C3043" s="8"/>
      <c r="D3043" s="8"/>
      <c r="E3043" s="8"/>
    </row>
    <row r="3044">
      <c r="A3044" s="8"/>
      <c r="B3044" s="8"/>
      <c r="C3044" s="8"/>
      <c r="D3044" s="8"/>
      <c r="E3044" s="8"/>
    </row>
    <row r="3045">
      <c r="A3045" s="8"/>
      <c r="B3045" s="8"/>
      <c r="C3045" s="8"/>
      <c r="D3045" s="8"/>
      <c r="E3045" s="8"/>
    </row>
    <row r="3046">
      <c r="A3046" s="8"/>
      <c r="B3046" s="8"/>
      <c r="C3046" s="8"/>
      <c r="D3046" s="8"/>
      <c r="E3046" s="8"/>
    </row>
    <row r="3047">
      <c r="A3047" s="8"/>
      <c r="B3047" s="8"/>
      <c r="C3047" s="8"/>
      <c r="D3047" s="8"/>
      <c r="E3047" s="8"/>
    </row>
    <row r="3048">
      <c r="A3048" s="8"/>
      <c r="B3048" s="8"/>
      <c r="C3048" s="8"/>
      <c r="D3048" s="8"/>
      <c r="E3048" s="8"/>
    </row>
    <row r="3049">
      <c r="A3049" s="8"/>
      <c r="B3049" s="8"/>
      <c r="C3049" s="8"/>
      <c r="D3049" s="8"/>
      <c r="E3049" s="8"/>
    </row>
    <row r="3050">
      <c r="A3050" s="8"/>
      <c r="B3050" s="8"/>
      <c r="C3050" s="8"/>
      <c r="D3050" s="8"/>
      <c r="E3050" s="8"/>
    </row>
    <row r="3051">
      <c r="A3051" s="8"/>
      <c r="B3051" s="8"/>
      <c r="C3051" s="8"/>
      <c r="D3051" s="8"/>
      <c r="E3051" s="8"/>
    </row>
    <row r="3052">
      <c r="A3052" s="8"/>
      <c r="B3052" s="8"/>
      <c r="C3052" s="8"/>
      <c r="D3052" s="8"/>
      <c r="E3052" s="8"/>
    </row>
    <row r="3053">
      <c r="A3053" s="8"/>
      <c r="B3053" s="8"/>
      <c r="C3053" s="8"/>
      <c r="D3053" s="8"/>
      <c r="E3053" s="8"/>
    </row>
    <row r="3054">
      <c r="A3054" s="8"/>
      <c r="B3054" s="8"/>
      <c r="C3054" s="8"/>
      <c r="D3054" s="8"/>
      <c r="E3054" s="8"/>
    </row>
    <row r="3055">
      <c r="A3055" s="8"/>
      <c r="B3055" s="8"/>
      <c r="C3055" s="8"/>
      <c r="D3055" s="8"/>
      <c r="E3055" s="8"/>
    </row>
    <row r="3056">
      <c r="A3056" s="8"/>
      <c r="B3056" s="8"/>
      <c r="C3056" s="8"/>
      <c r="D3056" s="8"/>
      <c r="E3056" s="8"/>
    </row>
    <row r="3057">
      <c r="A3057" s="8"/>
      <c r="B3057" s="8"/>
      <c r="C3057" s="8"/>
      <c r="D3057" s="8"/>
      <c r="E3057" s="8"/>
    </row>
    <row r="3058">
      <c r="A3058" s="8"/>
      <c r="B3058" s="8"/>
      <c r="C3058" s="8"/>
      <c r="D3058" s="8"/>
      <c r="E3058" s="8"/>
    </row>
    <row r="3059">
      <c r="A3059" s="8"/>
      <c r="B3059" s="8"/>
      <c r="C3059" s="8"/>
      <c r="D3059" s="8"/>
      <c r="E3059" s="8"/>
    </row>
    <row r="3060">
      <c r="A3060" s="8"/>
      <c r="B3060" s="8"/>
      <c r="C3060" s="8"/>
      <c r="D3060" s="8"/>
      <c r="E3060" s="8"/>
    </row>
    <row r="3061">
      <c r="A3061" s="8"/>
      <c r="B3061" s="8"/>
      <c r="C3061" s="8"/>
      <c r="D3061" s="8"/>
      <c r="E3061" s="8"/>
    </row>
    <row r="3062">
      <c r="A3062" s="8"/>
      <c r="B3062" s="8"/>
      <c r="C3062" s="8"/>
      <c r="D3062" s="8"/>
      <c r="E3062" s="8"/>
    </row>
    <row r="3063">
      <c r="A3063" s="8"/>
      <c r="B3063" s="8"/>
      <c r="C3063" s="8"/>
      <c r="D3063" s="8"/>
      <c r="E3063" s="8"/>
    </row>
    <row r="3064">
      <c r="A3064" s="8"/>
      <c r="B3064" s="8"/>
      <c r="C3064" s="8"/>
      <c r="D3064" s="8"/>
      <c r="E3064" s="8"/>
    </row>
    <row r="3065">
      <c r="A3065" s="8"/>
      <c r="B3065" s="8"/>
      <c r="C3065" s="8"/>
      <c r="D3065" s="8"/>
      <c r="E3065" s="8"/>
    </row>
    <row r="3066">
      <c r="A3066" s="8"/>
      <c r="B3066" s="8"/>
      <c r="C3066" s="8"/>
      <c r="D3066" s="8"/>
      <c r="E3066" s="8"/>
    </row>
    <row r="3067">
      <c r="A3067" s="8"/>
      <c r="B3067" s="8"/>
      <c r="C3067" s="8"/>
      <c r="D3067" s="8"/>
      <c r="E3067" s="8"/>
    </row>
    <row r="3068">
      <c r="A3068" s="8"/>
      <c r="B3068" s="8"/>
      <c r="C3068" s="8"/>
      <c r="D3068" s="8"/>
      <c r="E3068" s="8"/>
    </row>
    <row r="3069">
      <c r="A3069" s="8"/>
      <c r="B3069" s="8"/>
      <c r="C3069" s="8"/>
      <c r="D3069" s="8"/>
      <c r="E3069" s="8"/>
    </row>
    <row r="3070">
      <c r="A3070" s="8"/>
      <c r="B3070" s="8"/>
      <c r="C3070" s="8"/>
      <c r="D3070" s="8"/>
      <c r="E3070" s="8"/>
    </row>
    <row r="3071">
      <c r="A3071" s="8"/>
      <c r="B3071" s="8"/>
      <c r="C3071" s="8"/>
      <c r="D3071" s="8"/>
      <c r="E3071" s="8"/>
    </row>
    <row r="3072">
      <c r="A3072" s="8"/>
      <c r="B3072" s="8"/>
      <c r="C3072" s="8"/>
      <c r="D3072" s="8"/>
      <c r="E3072" s="8"/>
    </row>
    <row r="3073">
      <c r="A3073" s="8"/>
      <c r="B3073" s="8"/>
      <c r="C3073" s="8"/>
      <c r="D3073" s="8"/>
      <c r="E3073" s="8"/>
    </row>
    <row r="3074">
      <c r="A3074" s="8"/>
      <c r="B3074" s="8"/>
      <c r="C3074" s="8"/>
      <c r="D3074" s="8"/>
      <c r="E3074" s="8"/>
    </row>
    <row r="3075">
      <c r="A3075" s="8"/>
      <c r="B3075" s="8"/>
      <c r="C3075" s="8"/>
      <c r="D3075" s="8"/>
      <c r="E3075" s="8"/>
    </row>
    <row r="3076">
      <c r="A3076" s="8"/>
      <c r="B3076" s="8"/>
      <c r="C3076" s="8"/>
      <c r="D3076" s="8"/>
      <c r="E3076" s="8"/>
    </row>
    <row r="3077">
      <c r="A3077" s="8"/>
      <c r="B3077" s="8"/>
      <c r="C3077" s="8"/>
      <c r="D3077" s="8"/>
      <c r="E3077" s="8"/>
    </row>
    <row r="3078">
      <c r="A3078" s="8"/>
      <c r="B3078" s="8"/>
      <c r="C3078" s="8"/>
      <c r="D3078" s="8"/>
      <c r="E3078" s="8"/>
    </row>
    <row r="3079">
      <c r="A3079" s="8"/>
      <c r="B3079" s="8"/>
      <c r="C3079" s="8"/>
      <c r="D3079" s="8"/>
      <c r="E3079" s="8"/>
    </row>
    <row r="3080">
      <c r="A3080" s="8"/>
      <c r="B3080" s="8"/>
      <c r="C3080" s="8"/>
      <c r="D3080" s="8"/>
      <c r="E3080" s="8"/>
    </row>
    <row r="3081">
      <c r="A3081" s="8"/>
      <c r="B3081" s="8"/>
      <c r="C3081" s="8"/>
      <c r="D3081" s="8"/>
      <c r="E3081" s="8"/>
    </row>
    <row r="3082">
      <c r="A3082" s="8"/>
      <c r="B3082" s="8"/>
      <c r="C3082" s="8"/>
      <c r="D3082" s="8"/>
      <c r="E3082" s="8"/>
    </row>
    <row r="3083">
      <c r="A3083" s="8"/>
      <c r="B3083" s="8"/>
      <c r="C3083" s="8"/>
      <c r="D3083" s="8"/>
      <c r="E3083" s="8"/>
    </row>
    <row r="3084">
      <c r="A3084" s="8"/>
      <c r="B3084" s="8"/>
      <c r="C3084" s="8"/>
      <c r="D3084" s="8"/>
      <c r="E3084" s="8"/>
    </row>
    <row r="3085">
      <c r="A3085" s="8"/>
      <c r="B3085" s="8"/>
      <c r="C3085" s="8"/>
      <c r="D3085" s="8"/>
      <c r="E3085" s="8"/>
    </row>
    <row r="3086">
      <c r="A3086" s="8"/>
      <c r="B3086" s="8"/>
      <c r="C3086" s="8"/>
      <c r="D3086" s="8"/>
      <c r="E3086" s="8"/>
    </row>
    <row r="3087">
      <c r="A3087" s="8"/>
      <c r="B3087" s="8"/>
      <c r="C3087" s="8"/>
      <c r="D3087" s="8"/>
      <c r="E3087" s="8"/>
    </row>
    <row r="3088">
      <c r="A3088" s="8"/>
      <c r="B3088" s="8"/>
      <c r="C3088" s="8"/>
      <c r="D3088" s="8"/>
      <c r="E3088" s="8"/>
    </row>
    <row r="3089">
      <c r="A3089" s="8"/>
      <c r="B3089" s="8"/>
      <c r="C3089" s="8"/>
      <c r="D3089" s="8"/>
      <c r="E3089" s="8"/>
    </row>
    <row r="3090">
      <c r="A3090" s="8"/>
      <c r="B3090" s="8"/>
      <c r="C3090" s="8"/>
      <c r="D3090" s="8"/>
      <c r="E3090" s="8"/>
    </row>
    <row r="3091">
      <c r="A3091" s="8"/>
      <c r="B3091" s="8"/>
      <c r="C3091" s="8"/>
      <c r="D3091" s="8"/>
      <c r="E3091" s="8"/>
    </row>
    <row r="3092">
      <c r="A3092" s="8"/>
      <c r="B3092" s="8"/>
      <c r="C3092" s="8"/>
      <c r="D3092" s="8"/>
      <c r="E3092" s="8"/>
    </row>
    <row r="3093">
      <c r="A3093" s="8"/>
      <c r="B3093" s="8"/>
      <c r="C3093" s="8"/>
      <c r="D3093" s="8"/>
      <c r="E3093" s="8"/>
    </row>
    <row r="3094">
      <c r="A3094" s="8"/>
      <c r="B3094" s="8"/>
      <c r="C3094" s="8"/>
      <c r="D3094" s="8"/>
      <c r="E3094" s="8"/>
    </row>
    <row r="3095">
      <c r="A3095" s="8"/>
      <c r="B3095" s="8"/>
      <c r="C3095" s="8"/>
      <c r="D3095" s="8"/>
      <c r="E3095" s="8"/>
    </row>
    <row r="3096">
      <c r="A3096" s="8"/>
      <c r="B3096" s="8"/>
      <c r="C3096" s="8"/>
      <c r="D3096" s="8"/>
      <c r="E3096" s="8"/>
    </row>
    <row r="3097">
      <c r="A3097" s="8"/>
      <c r="B3097" s="8"/>
      <c r="C3097" s="8"/>
      <c r="D3097" s="8"/>
      <c r="E3097" s="8"/>
    </row>
    <row r="3098">
      <c r="A3098" s="8"/>
      <c r="B3098" s="8"/>
      <c r="C3098" s="8"/>
      <c r="D3098" s="8"/>
      <c r="E3098" s="8"/>
    </row>
    <row r="3099">
      <c r="A3099" s="8"/>
      <c r="B3099" s="8"/>
      <c r="C3099" s="8"/>
      <c r="D3099" s="8"/>
      <c r="E3099" s="8"/>
    </row>
    <row r="3100">
      <c r="A3100" s="8"/>
      <c r="B3100" s="8"/>
      <c r="C3100" s="8"/>
      <c r="D3100" s="8"/>
      <c r="E3100" s="8"/>
    </row>
    <row r="3101">
      <c r="A3101" s="8"/>
      <c r="B3101" s="8"/>
      <c r="C3101" s="8"/>
      <c r="D3101" s="8"/>
      <c r="E3101" s="8"/>
    </row>
    <row r="3102">
      <c r="A3102" s="8"/>
      <c r="B3102" s="8"/>
      <c r="C3102" s="8"/>
      <c r="D3102" s="8"/>
      <c r="E3102" s="8"/>
    </row>
    <row r="3103">
      <c r="A3103" s="8"/>
      <c r="B3103" s="8"/>
      <c r="C3103" s="8"/>
      <c r="D3103" s="8"/>
      <c r="E3103" s="8"/>
    </row>
    <row r="3104">
      <c r="A3104" s="8"/>
      <c r="B3104" s="8"/>
      <c r="C3104" s="8"/>
      <c r="D3104" s="8"/>
      <c r="E3104" s="8"/>
    </row>
    <row r="3105">
      <c r="A3105" s="8"/>
      <c r="B3105" s="8"/>
      <c r="C3105" s="8"/>
      <c r="D3105" s="8"/>
      <c r="E3105" s="8"/>
    </row>
    <row r="3106">
      <c r="A3106" s="8"/>
      <c r="B3106" s="8"/>
      <c r="C3106" s="8"/>
      <c r="D3106" s="8"/>
      <c r="E3106" s="8"/>
    </row>
    <row r="3107">
      <c r="A3107" s="8"/>
      <c r="B3107" s="8"/>
      <c r="C3107" s="8"/>
      <c r="D3107" s="8"/>
      <c r="E3107" s="8"/>
    </row>
    <row r="3108">
      <c r="A3108" s="8"/>
      <c r="B3108" s="8"/>
      <c r="C3108" s="8"/>
      <c r="D3108" s="8"/>
      <c r="E3108" s="8"/>
    </row>
    <row r="3109">
      <c r="A3109" s="8"/>
      <c r="B3109" s="8"/>
      <c r="C3109" s="8"/>
      <c r="D3109" s="8"/>
      <c r="E3109" s="8"/>
    </row>
    <row r="3110">
      <c r="A3110" s="8"/>
      <c r="B3110" s="8"/>
      <c r="C3110" s="8"/>
      <c r="D3110" s="8"/>
      <c r="E3110" s="8"/>
    </row>
    <row r="3111">
      <c r="A3111" s="8"/>
      <c r="B3111" s="8"/>
      <c r="C3111" s="8"/>
      <c r="D3111" s="8"/>
      <c r="E3111" s="8"/>
    </row>
    <row r="3112">
      <c r="A3112" s="8"/>
      <c r="B3112" s="8"/>
      <c r="C3112" s="8"/>
      <c r="D3112" s="8"/>
      <c r="E3112" s="8"/>
    </row>
    <row r="3113">
      <c r="A3113" s="8"/>
      <c r="B3113" s="8"/>
      <c r="C3113" s="8"/>
      <c r="D3113" s="8"/>
      <c r="E3113" s="8"/>
    </row>
    <row r="3114">
      <c r="A3114" s="8"/>
      <c r="B3114" s="8"/>
      <c r="C3114" s="8"/>
      <c r="D3114" s="8"/>
      <c r="E3114" s="8"/>
    </row>
    <row r="3115">
      <c r="A3115" s="8"/>
      <c r="B3115" s="8"/>
      <c r="C3115" s="8"/>
      <c r="D3115" s="8"/>
      <c r="E3115" s="8"/>
    </row>
    <row r="3116">
      <c r="A3116" s="8"/>
      <c r="B3116" s="8"/>
      <c r="C3116" s="8"/>
      <c r="D3116" s="8"/>
      <c r="E3116" s="8"/>
    </row>
    <row r="3117">
      <c r="A3117" s="8"/>
      <c r="B3117" s="8"/>
      <c r="C3117" s="8"/>
      <c r="D3117" s="8"/>
      <c r="E3117" s="8"/>
    </row>
    <row r="3118">
      <c r="A3118" s="8"/>
      <c r="B3118" s="8"/>
      <c r="C3118" s="8"/>
      <c r="D3118" s="8"/>
      <c r="E3118" s="8"/>
    </row>
    <row r="3119">
      <c r="A3119" s="8"/>
      <c r="B3119" s="8"/>
      <c r="C3119" s="8"/>
      <c r="D3119" s="8"/>
      <c r="E3119" s="8"/>
    </row>
    <row r="3120">
      <c r="A3120" s="8"/>
      <c r="B3120" s="8"/>
      <c r="C3120" s="8"/>
      <c r="D3120" s="8"/>
      <c r="E3120" s="8"/>
    </row>
    <row r="3121">
      <c r="A3121" s="8"/>
      <c r="B3121" s="8"/>
      <c r="C3121" s="8"/>
      <c r="D3121" s="8"/>
      <c r="E3121" s="8"/>
    </row>
    <row r="3122">
      <c r="A3122" s="8"/>
      <c r="B3122" s="8"/>
      <c r="C3122" s="8"/>
      <c r="D3122" s="8"/>
      <c r="E3122" s="8"/>
    </row>
    <row r="3123">
      <c r="A3123" s="8"/>
      <c r="B3123" s="8"/>
      <c r="C3123" s="8"/>
      <c r="D3123" s="8"/>
      <c r="E3123" s="8"/>
    </row>
    <row r="3124">
      <c r="A3124" s="8"/>
      <c r="B3124" s="8"/>
      <c r="C3124" s="8"/>
      <c r="D3124" s="8"/>
      <c r="E3124" s="8"/>
    </row>
    <row r="3125">
      <c r="A3125" s="8"/>
      <c r="B3125" s="8"/>
      <c r="C3125" s="8"/>
      <c r="D3125" s="8"/>
      <c r="E3125" s="8"/>
    </row>
    <row r="3126">
      <c r="A3126" s="8"/>
      <c r="B3126" s="8"/>
      <c r="C3126" s="8"/>
      <c r="D3126" s="8"/>
      <c r="E3126" s="8"/>
    </row>
    <row r="3127">
      <c r="A3127" s="8"/>
      <c r="B3127" s="8"/>
      <c r="C3127" s="8"/>
      <c r="D3127" s="8"/>
      <c r="E3127" s="8"/>
    </row>
    <row r="3128">
      <c r="A3128" s="8"/>
      <c r="B3128" s="8"/>
      <c r="C3128" s="8"/>
      <c r="D3128" s="8"/>
      <c r="E3128" s="8"/>
    </row>
    <row r="3129">
      <c r="A3129" s="8"/>
      <c r="B3129" s="8"/>
      <c r="C3129" s="8"/>
      <c r="D3129" s="8"/>
      <c r="E3129" s="8"/>
    </row>
    <row r="3130">
      <c r="A3130" s="8"/>
      <c r="B3130" s="8"/>
      <c r="C3130" s="8"/>
      <c r="D3130" s="8"/>
      <c r="E3130" s="8"/>
    </row>
    <row r="3131">
      <c r="A3131" s="8"/>
      <c r="B3131" s="8"/>
      <c r="C3131" s="8"/>
      <c r="D3131" s="8"/>
      <c r="E3131" s="8"/>
    </row>
    <row r="3132">
      <c r="A3132" s="8"/>
      <c r="B3132" s="8"/>
      <c r="C3132" s="8"/>
      <c r="D3132" s="8"/>
      <c r="E3132" s="8"/>
    </row>
    <row r="3133">
      <c r="A3133" s="8"/>
      <c r="B3133" s="8"/>
      <c r="C3133" s="8"/>
      <c r="D3133" s="8"/>
      <c r="E3133" s="8"/>
    </row>
    <row r="3134">
      <c r="A3134" s="8"/>
      <c r="B3134" s="8"/>
      <c r="C3134" s="8"/>
      <c r="D3134" s="8"/>
      <c r="E3134" s="8"/>
    </row>
    <row r="3135">
      <c r="A3135" s="8"/>
      <c r="B3135" s="8"/>
      <c r="C3135" s="8"/>
      <c r="D3135" s="8"/>
      <c r="E3135" s="8"/>
    </row>
    <row r="3136">
      <c r="A3136" s="8"/>
      <c r="B3136" s="8"/>
      <c r="C3136" s="8"/>
      <c r="D3136" s="8"/>
      <c r="E3136" s="8"/>
    </row>
    <row r="3137">
      <c r="A3137" s="8"/>
      <c r="B3137" s="8"/>
      <c r="C3137" s="8"/>
      <c r="D3137" s="8"/>
      <c r="E3137" s="8"/>
    </row>
    <row r="3138">
      <c r="A3138" s="8"/>
      <c r="B3138" s="8"/>
      <c r="C3138" s="8"/>
      <c r="D3138" s="8"/>
      <c r="E3138" s="8"/>
    </row>
    <row r="3139">
      <c r="A3139" s="8"/>
      <c r="B3139" s="8"/>
      <c r="C3139" s="8"/>
      <c r="D3139" s="8"/>
      <c r="E3139" s="8"/>
    </row>
    <row r="3140">
      <c r="A3140" s="8"/>
      <c r="B3140" s="8"/>
      <c r="C3140" s="8"/>
      <c r="D3140" s="8"/>
      <c r="E3140" s="8"/>
    </row>
    <row r="3141">
      <c r="A3141" s="8"/>
      <c r="B3141" s="8"/>
      <c r="C3141" s="8"/>
      <c r="D3141" s="8"/>
      <c r="E3141" s="8"/>
    </row>
    <row r="3142">
      <c r="A3142" s="8"/>
      <c r="B3142" s="8"/>
      <c r="C3142" s="8"/>
      <c r="D3142" s="8"/>
      <c r="E3142" s="8"/>
    </row>
    <row r="3143">
      <c r="A3143" s="8"/>
      <c r="B3143" s="8"/>
      <c r="C3143" s="8"/>
      <c r="D3143" s="8"/>
      <c r="E3143" s="8"/>
    </row>
    <row r="3144">
      <c r="A3144" s="8"/>
      <c r="B3144" s="8"/>
      <c r="C3144" s="8"/>
      <c r="D3144" s="8"/>
      <c r="E3144" s="8"/>
    </row>
    <row r="3145">
      <c r="A3145" s="8"/>
      <c r="B3145" s="8"/>
      <c r="C3145" s="8"/>
      <c r="D3145" s="8"/>
      <c r="E3145" s="8"/>
    </row>
    <row r="3146">
      <c r="A3146" s="8"/>
      <c r="B3146" s="8"/>
      <c r="C3146" s="8"/>
      <c r="D3146" s="8"/>
      <c r="E3146" s="8"/>
    </row>
    <row r="3147">
      <c r="A3147" s="8"/>
      <c r="B3147" s="8"/>
      <c r="C3147" s="8"/>
      <c r="D3147" s="8"/>
      <c r="E3147" s="8"/>
    </row>
    <row r="3148">
      <c r="A3148" s="8"/>
      <c r="B3148" s="8"/>
      <c r="C3148" s="8"/>
      <c r="D3148" s="8"/>
      <c r="E3148" s="8"/>
    </row>
    <row r="3149">
      <c r="A3149" s="8"/>
      <c r="B3149" s="8"/>
      <c r="C3149" s="8"/>
      <c r="D3149" s="8"/>
      <c r="E3149" s="8"/>
    </row>
    <row r="3150">
      <c r="A3150" s="8"/>
      <c r="B3150" s="8"/>
      <c r="C3150" s="8"/>
      <c r="D3150" s="8"/>
      <c r="E3150" s="8"/>
    </row>
    <row r="3151">
      <c r="A3151" s="8"/>
      <c r="B3151" s="8"/>
      <c r="C3151" s="8"/>
      <c r="D3151" s="8"/>
      <c r="E3151" s="8"/>
    </row>
    <row r="3152">
      <c r="A3152" s="8"/>
      <c r="B3152" s="8"/>
      <c r="C3152" s="8"/>
      <c r="D3152" s="8"/>
      <c r="E3152" s="8"/>
    </row>
    <row r="3153">
      <c r="A3153" s="8"/>
      <c r="B3153" s="8"/>
      <c r="C3153" s="8"/>
      <c r="D3153" s="8"/>
      <c r="E3153" s="8"/>
    </row>
    <row r="3154">
      <c r="A3154" s="8"/>
      <c r="B3154" s="8"/>
      <c r="C3154" s="8"/>
      <c r="D3154" s="8"/>
      <c r="E3154" s="8"/>
    </row>
    <row r="3155">
      <c r="A3155" s="8"/>
      <c r="B3155" s="8"/>
      <c r="C3155" s="8"/>
      <c r="D3155" s="8"/>
      <c r="E3155" s="8"/>
    </row>
    <row r="3156">
      <c r="A3156" s="8"/>
      <c r="B3156" s="8"/>
      <c r="C3156" s="8"/>
      <c r="D3156" s="8"/>
      <c r="E3156" s="8"/>
    </row>
    <row r="3157">
      <c r="A3157" s="8"/>
      <c r="B3157" s="8"/>
      <c r="C3157" s="8"/>
      <c r="D3157" s="8"/>
      <c r="E3157" s="8"/>
    </row>
    <row r="3158">
      <c r="A3158" s="8"/>
      <c r="B3158" s="8"/>
      <c r="C3158" s="8"/>
      <c r="D3158" s="8"/>
      <c r="E3158" s="8"/>
    </row>
    <row r="3159">
      <c r="A3159" s="8"/>
      <c r="B3159" s="8"/>
      <c r="C3159" s="8"/>
      <c r="D3159" s="8"/>
      <c r="E3159" s="8"/>
    </row>
    <row r="3160">
      <c r="A3160" s="8"/>
      <c r="B3160" s="8"/>
      <c r="C3160" s="8"/>
      <c r="D3160" s="8"/>
      <c r="E3160" s="8"/>
    </row>
    <row r="3161">
      <c r="A3161" s="8"/>
      <c r="B3161" s="8"/>
      <c r="C3161" s="8"/>
      <c r="D3161" s="8"/>
      <c r="E3161" s="8"/>
    </row>
    <row r="3162">
      <c r="A3162" s="8"/>
      <c r="B3162" s="8"/>
      <c r="C3162" s="8"/>
      <c r="D3162" s="8"/>
      <c r="E3162" s="8"/>
    </row>
    <row r="3163">
      <c r="A3163" s="8"/>
      <c r="B3163" s="8"/>
      <c r="C3163" s="8"/>
      <c r="D3163" s="8"/>
      <c r="E3163" s="8"/>
    </row>
    <row r="3164">
      <c r="A3164" s="8"/>
      <c r="B3164" s="8"/>
      <c r="C3164" s="8"/>
      <c r="D3164" s="8"/>
      <c r="E3164" s="8"/>
    </row>
    <row r="3165">
      <c r="A3165" s="8"/>
      <c r="B3165" s="8"/>
      <c r="C3165" s="8"/>
      <c r="D3165" s="8"/>
      <c r="E3165" s="8"/>
    </row>
    <row r="3166">
      <c r="A3166" s="8"/>
      <c r="B3166" s="8"/>
      <c r="C3166" s="8"/>
      <c r="D3166" s="8"/>
      <c r="E3166" s="8"/>
    </row>
    <row r="3167">
      <c r="A3167" s="8"/>
      <c r="B3167" s="8"/>
      <c r="C3167" s="8"/>
      <c r="D3167" s="8"/>
      <c r="E3167" s="8"/>
    </row>
    <row r="3168">
      <c r="A3168" s="8"/>
      <c r="B3168" s="8"/>
      <c r="C3168" s="8"/>
      <c r="D3168" s="8"/>
      <c r="E3168" s="8"/>
    </row>
    <row r="3169">
      <c r="A3169" s="8"/>
      <c r="B3169" s="8"/>
      <c r="C3169" s="8"/>
      <c r="D3169" s="8"/>
      <c r="E3169" s="8"/>
    </row>
    <row r="3170">
      <c r="A3170" s="8"/>
      <c r="B3170" s="8"/>
      <c r="C3170" s="8"/>
      <c r="D3170" s="8"/>
      <c r="E3170" s="8"/>
    </row>
    <row r="3171">
      <c r="A3171" s="8"/>
      <c r="B3171" s="8"/>
      <c r="C3171" s="8"/>
      <c r="D3171" s="8"/>
      <c r="E3171" s="8"/>
    </row>
    <row r="3172">
      <c r="A3172" s="8"/>
      <c r="B3172" s="8"/>
      <c r="C3172" s="8"/>
      <c r="D3172" s="8"/>
      <c r="E3172" s="8"/>
    </row>
    <row r="3173">
      <c r="A3173" s="8"/>
      <c r="B3173" s="8"/>
      <c r="C3173" s="8"/>
      <c r="D3173" s="8"/>
      <c r="E3173" s="8"/>
    </row>
    <row r="3174">
      <c r="A3174" s="8"/>
      <c r="B3174" s="8"/>
      <c r="C3174" s="8"/>
      <c r="D3174" s="8"/>
      <c r="E3174" s="8"/>
    </row>
    <row r="3175">
      <c r="A3175" s="8"/>
      <c r="B3175" s="8"/>
      <c r="C3175" s="8"/>
      <c r="D3175" s="8"/>
      <c r="E3175" s="8"/>
    </row>
    <row r="3176">
      <c r="A3176" s="8"/>
      <c r="B3176" s="8"/>
      <c r="C3176" s="8"/>
      <c r="D3176" s="8"/>
      <c r="E3176" s="8"/>
    </row>
    <row r="3177">
      <c r="A3177" s="8"/>
      <c r="B3177" s="8"/>
      <c r="C3177" s="8"/>
      <c r="D3177" s="8"/>
      <c r="E3177" s="8"/>
    </row>
    <row r="3178">
      <c r="A3178" s="8"/>
      <c r="B3178" s="8"/>
      <c r="C3178" s="8"/>
      <c r="D3178" s="8"/>
      <c r="E3178" s="8"/>
    </row>
    <row r="3179">
      <c r="A3179" s="8"/>
      <c r="B3179" s="8"/>
      <c r="C3179" s="8"/>
      <c r="D3179" s="8"/>
      <c r="E3179" s="8"/>
    </row>
    <row r="3180">
      <c r="A3180" s="8"/>
      <c r="B3180" s="8"/>
      <c r="C3180" s="8"/>
      <c r="D3180" s="8"/>
      <c r="E3180" s="8"/>
    </row>
    <row r="3181">
      <c r="A3181" s="8"/>
      <c r="B3181" s="8"/>
      <c r="C3181" s="8"/>
      <c r="D3181" s="8"/>
      <c r="E3181" s="8"/>
    </row>
    <row r="3182">
      <c r="A3182" s="8"/>
      <c r="B3182" s="8"/>
      <c r="C3182" s="8"/>
      <c r="D3182" s="8"/>
      <c r="E3182" s="8"/>
    </row>
    <row r="3183">
      <c r="A3183" s="8"/>
      <c r="B3183" s="8"/>
      <c r="C3183" s="8"/>
      <c r="D3183" s="8"/>
      <c r="E3183" s="8"/>
    </row>
    <row r="3184">
      <c r="A3184" s="8"/>
      <c r="B3184" s="8"/>
      <c r="C3184" s="8"/>
      <c r="D3184" s="8"/>
      <c r="E3184" s="8"/>
    </row>
    <row r="3185">
      <c r="A3185" s="8"/>
      <c r="B3185" s="8"/>
      <c r="C3185" s="8"/>
      <c r="D3185" s="8"/>
      <c r="E3185" s="8"/>
    </row>
    <row r="3186">
      <c r="A3186" s="8"/>
      <c r="B3186" s="8"/>
      <c r="C3186" s="8"/>
      <c r="D3186" s="8"/>
      <c r="E3186" s="8"/>
    </row>
    <row r="3187">
      <c r="A3187" s="8"/>
      <c r="B3187" s="8"/>
      <c r="C3187" s="8"/>
      <c r="D3187" s="8"/>
      <c r="E3187" s="8"/>
    </row>
    <row r="3188">
      <c r="A3188" s="8"/>
      <c r="B3188" s="8"/>
      <c r="C3188" s="8"/>
      <c r="D3188" s="8"/>
      <c r="E3188" s="8"/>
    </row>
    <row r="3189">
      <c r="A3189" s="8"/>
      <c r="B3189" s="8"/>
      <c r="C3189" s="8"/>
      <c r="D3189" s="8"/>
      <c r="E3189" s="8"/>
    </row>
    <row r="3190">
      <c r="A3190" s="8"/>
      <c r="B3190" s="8"/>
      <c r="C3190" s="8"/>
      <c r="D3190" s="8"/>
      <c r="E3190" s="8"/>
    </row>
    <row r="3191">
      <c r="A3191" s="8"/>
      <c r="B3191" s="8"/>
      <c r="C3191" s="8"/>
      <c r="D3191" s="8"/>
      <c r="E3191" s="8"/>
    </row>
    <row r="3192">
      <c r="A3192" s="8"/>
      <c r="B3192" s="8"/>
      <c r="C3192" s="8"/>
      <c r="D3192" s="8"/>
      <c r="E3192" s="8"/>
    </row>
    <row r="3193">
      <c r="A3193" s="8"/>
      <c r="B3193" s="8"/>
      <c r="C3193" s="8"/>
      <c r="D3193" s="8"/>
      <c r="E3193" s="8"/>
    </row>
    <row r="3194">
      <c r="A3194" s="8"/>
      <c r="B3194" s="8"/>
      <c r="C3194" s="8"/>
      <c r="D3194" s="8"/>
      <c r="E3194" s="8"/>
    </row>
    <row r="3195">
      <c r="A3195" s="8"/>
      <c r="B3195" s="8"/>
      <c r="C3195" s="8"/>
      <c r="D3195" s="8"/>
      <c r="E3195" s="8"/>
    </row>
    <row r="3196">
      <c r="A3196" s="8"/>
      <c r="B3196" s="8"/>
      <c r="C3196" s="8"/>
      <c r="D3196" s="8"/>
      <c r="E3196" s="8"/>
    </row>
    <row r="3197">
      <c r="A3197" s="8"/>
      <c r="B3197" s="8"/>
      <c r="C3197" s="8"/>
      <c r="D3197" s="8"/>
      <c r="E3197" s="8"/>
    </row>
    <row r="3198">
      <c r="A3198" s="8"/>
      <c r="B3198" s="8"/>
      <c r="C3198" s="8"/>
      <c r="D3198" s="8"/>
      <c r="E3198" s="8"/>
    </row>
    <row r="3199">
      <c r="A3199" s="8"/>
      <c r="B3199" s="8"/>
      <c r="C3199" s="8"/>
      <c r="D3199" s="8"/>
      <c r="E3199" s="8"/>
    </row>
    <row r="3200">
      <c r="A3200" s="8"/>
      <c r="B3200" s="8"/>
      <c r="C3200" s="8"/>
      <c r="D3200" s="8"/>
      <c r="E3200" s="8"/>
    </row>
    <row r="3201">
      <c r="A3201" s="8"/>
      <c r="B3201" s="8"/>
      <c r="C3201" s="8"/>
      <c r="D3201" s="8"/>
      <c r="E3201" s="8"/>
    </row>
    <row r="3202">
      <c r="A3202" s="8"/>
      <c r="B3202" s="8"/>
      <c r="C3202" s="8"/>
      <c r="D3202" s="8"/>
      <c r="E3202" s="8"/>
    </row>
    <row r="3203">
      <c r="A3203" s="8"/>
      <c r="B3203" s="8"/>
      <c r="C3203" s="8"/>
      <c r="D3203" s="8"/>
      <c r="E3203" s="8"/>
    </row>
    <row r="3204">
      <c r="A3204" s="8"/>
      <c r="B3204" s="8"/>
      <c r="C3204" s="8"/>
      <c r="D3204" s="8"/>
      <c r="E3204" s="8"/>
    </row>
    <row r="3205">
      <c r="A3205" s="8"/>
      <c r="B3205" s="8"/>
      <c r="C3205" s="8"/>
      <c r="D3205" s="8"/>
      <c r="E3205" s="8"/>
    </row>
    <row r="3206">
      <c r="A3206" s="8"/>
      <c r="B3206" s="8"/>
      <c r="C3206" s="8"/>
      <c r="D3206" s="8"/>
      <c r="E3206" s="8"/>
    </row>
    <row r="3207">
      <c r="A3207" s="8"/>
      <c r="B3207" s="8"/>
      <c r="C3207" s="8"/>
      <c r="D3207" s="8"/>
      <c r="E3207" s="8"/>
    </row>
    <row r="3208">
      <c r="A3208" s="8"/>
      <c r="B3208" s="8"/>
      <c r="C3208" s="8"/>
      <c r="D3208" s="8"/>
      <c r="E3208" s="8"/>
    </row>
    <row r="3209">
      <c r="A3209" s="8"/>
      <c r="B3209" s="8"/>
      <c r="C3209" s="8"/>
      <c r="D3209" s="8"/>
      <c r="E3209" s="8"/>
    </row>
    <row r="3210">
      <c r="A3210" s="8"/>
      <c r="B3210" s="8"/>
      <c r="C3210" s="8"/>
      <c r="D3210" s="8"/>
      <c r="E3210" s="8"/>
    </row>
    <row r="3211">
      <c r="A3211" s="8"/>
      <c r="B3211" s="8"/>
      <c r="C3211" s="8"/>
      <c r="D3211" s="8"/>
      <c r="E3211" s="8"/>
    </row>
    <row r="3212">
      <c r="A3212" s="8"/>
      <c r="B3212" s="8"/>
      <c r="C3212" s="8"/>
      <c r="D3212" s="8"/>
      <c r="E3212" s="8"/>
    </row>
    <row r="3213">
      <c r="A3213" s="8"/>
      <c r="B3213" s="8"/>
      <c r="C3213" s="8"/>
      <c r="D3213" s="8"/>
      <c r="E3213" s="8"/>
    </row>
    <row r="3214">
      <c r="A3214" s="8"/>
      <c r="B3214" s="8"/>
      <c r="C3214" s="8"/>
      <c r="D3214" s="8"/>
      <c r="E3214" s="8"/>
    </row>
    <row r="3215">
      <c r="A3215" s="8"/>
      <c r="B3215" s="8"/>
      <c r="C3215" s="8"/>
      <c r="D3215" s="8"/>
      <c r="E3215" s="8"/>
    </row>
    <row r="3216">
      <c r="A3216" s="8"/>
      <c r="B3216" s="8"/>
      <c r="C3216" s="8"/>
      <c r="D3216" s="8"/>
      <c r="E3216" s="8"/>
    </row>
    <row r="3217">
      <c r="A3217" s="8"/>
      <c r="B3217" s="8"/>
      <c r="C3217" s="8"/>
      <c r="D3217" s="8"/>
      <c r="E3217" s="8"/>
    </row>
    <row r="3218">
      <c r="A3218" s="8"/>
      <c r="B3218" s="8"/>
      <c r="C3218" s="8"/>
      <c r="D3218" s="8"/>
      <c r="E3218" s="8"/>
    </row>
    <row r="3219">
      <c r="A3219" s="8"/>
      <c r="B3219" s="8"/>
      <c r="C3219" s="8"/>
      <c r="D3219" s="8"/>
      <c r="E3219" s="8"/>
    </row>
    <row r="3220">
      <c r="A3220" s="8"/>
      <c r="B3220" s="8"/>
      <c r="C3220" s="8"/>
      <c r="D3220" s="8"/>
      <c r="E3220" s="8"/>
    </row>
    <row r="3221">
      <c r="A3221" s="8"/>
      <c r="B3221" s="8"/>
      <c r="C3221" s="8"/>
      <c r="D3221" s="8"/>
      <c r="E3221" s="8"/>
    </row>
    <row r="3222">
      <c r="A3222" s="8"/>
      <c r="B3222" s="8"/>
      <c r="C3222" s="8"/>
      <c r="D3222" s="8"/>
      <c r="E3222" s="8"/>
    </row>
    <row r="3223">
      <c r="A3223" s="8"/>
      <c r="B3223" s="8"/>
      <c r="C3223" s="8"/>
      <c r="D3223" s="8"/>
      <c r="E3223" s="8"/>
    </row>
    <row r="3224">
      <c r="A3224" s="8"/>
      <c r="B3224" s="8"/>
      <c r="C3224" s="8"/>
      <c r="D3224" s="8"/>
      <c r="E3224" s="8"/>
    </row>
    <row r="3225">
      <c r="A3225" s="8"/>
      <c r="B3225" s="8"/>
      <c r="C3225" s="8"/>
      <c r="D3225" s="8"/>
      <c r="E3225" s="8"/>
    </row>
    <row r="3226">
      <c r="A3226" s="8"/>
      <c r="B3226" s="8"/>
      <c r="C3226" s="8"/>
      <c r="D3226" s="8"/>
      <c r="E3226" s="8"/>
    </row>
    <row r="3227">
      <c r="A3227" s="8"/>
      <c r="B3227" s="8"/>
      <c r="C3227" s="8"/>
      <c r="D3227" s="8"/>
      <c r="E3227" s="8"/>
    </row>
    <row r="3228">
      <c r="A3228" s="8"/>
      <c r="B3228" s="8"/>
      <c r="C3228" s="8"/>
      <c r="D3228" s="8"/>
      <c r="E3228" s="8"/>
    </row>
    <row r="3229">
      <c r="A3229" s="8"/>
      <c r="B3229" s="8"/>
      <c r="C3229" s="8"/>
      <c r="D3229" s="8"/>
      <c r="E3229" s="8"/>
    </row>
    <row r="3230">
      <c r="A3230" s="8"/>
      <c r="B3230" s="8"/>
      <c r="C3230" s="8"/>
      <c r="D3230" s="8"/>
      <c r="E3230" s="8"/>
    </row>
    <row r="3231">
      <c r="A3231" s="8"/>
      <c r="B3231" s="8"/>
      <c r="C3231" s="8"/>
      <c r="D3231" s="8"/>
      <c r="E3231" s="8"/>
    </row>
    <row r="3232">
      <c r="A3232" s="8"/>
      <c r="B3232" s="8"/>
      <c r="C3232" s="8"/>
      <c r="D3232" s="8"/>
      <c r="E3232" s="8"/>
    </row>
    <row r="3233">
      <c r="A3233" s="8"/>
      <c r="B3233" s="8"/>
      <c r="C3233" s="8"/>
      <c r="D3233" s="8"/>
      <c r="E3233" s="8"/>
    </row>
    <row r="3234">
      <c r="A3234" s="8"/>
      <c r="B3234" s="8"/>
      <c r="C3234" s="8"/>
      <c r="D3234" s="8"/>
      <c r="E3234" s="8"/>
    </row>
    <row r="3235">
      <c r="A3235" s="8"/>
      <c r="B3235" s="8"/>
      <c r="C3235" s="8"/>
      <c r="D3235" s="8"/>
      <c r="E3235" s="8"/>
    </row>
    <row r="3236">
      <c r="A3236" s="8"/>
      <c r="B3236" s="8"/>
      <c r="C3236" s="8"/>
      <c r="D3236" s="8"/>
      <c r="E3236" s="8"/>
    </row>
    <row r="3237">
      <c r="A3237" s="8"/>
      <c r="B3237" s="8"/>
      <c r="C3237" s="8"/>
      <c r="D3237" s="8"/>
      <c r="E3237" s="8"/>
    </row>
    <row r="3238">
      <c r="A3238" s="8"/>
      <c r="B3238" s="8"/>
      <c r="C3238" s="8"/>
      <c r="D3238" s="8"/>
      <c r="E3238" s="8"/>
    </row>
    <row r="3239">
      <c r="A3239" s="8"/>
      <c r="B3239" s="8"/>
      <c r="C3239" s="8"/>
      <c r="D3239" s="8"/>
      <c r="E3239" s="8"/>
    </row>
    <row r="3240">
      <c r="A3240" s="8"/>
      <c r="B3240" s="8"/>
      <c r="C3240" s="8"/>
      <c r="D3240" s="8"/>
      <c r="E3240" s="8"/>
    </row>
    <row r="3241">
      <c r="A3241" s="8"/>
      <c r="B3241" s="8"/>
      <c r="C3241" s="8"/>
      <c r="D3241" s="8"/>
      <c r="E3241" s="8"/>
    </row>
    <row r="3242">
      <c r="A3242" s="8"/>
      <c r="B3242" s="8"/>
      <c r="C3242" s="8"/>
      <c r="D3242" s="8"/>
      <c r="E3242" s="8"/>
    </row>
    <row r="3243">
      <c r="A3243" s="8"/>
      <c r="B3243" s="8"/>
      <c r="C3243" s="8"/>
      <c r="D3243" s="8"/>
      <c r="E3243" s="8"/>
    </row>
    <row r="3244">
      <c r="A3244" s="8"/>
      <c r="B3244" s="8"/>
      <c r="C3244" s="8"/>
      <c r="D3244" s="8"/>
      <c r="E3244" s="8"/>
    </row>
    <row r="3245">
      <c r="A3245" s="8"/>
      <c r="B3245" s="8"/>
      <c r="C3245" s="8"/>
      <c r="D3245" s="8"/>
      <c r="E3245" s="8"/>
    </row>
    <row r="3246">
      <c r="A3246" s="8"/>
      <c r="B3246" s="8"/>
      <c r="C3246" s="8"/>
      <c r="D3246" s="8"/>
      <c r="E3246" s="8"/>
    </row>
    <row r="3247">
      <c r="A3247" s="8"/>
      <c r="B3247" s="8"/>
      <c r="C3247" s="8"/>
      <c r="D3247" s="8"/>
      <c r="E3247" s="8"/>
    </row>
    <row r="3248">
      <c r="A3248" s="8"/>
      <c r="B3248" s="8"/>
      <c r="C3248" s="8"/>
      <c r="D3248" s="8"/>
      <c r="E3248" s="8"/>
    </row>
    <row r="3249">
      <c r="A3249" s="8"/>
      <c r="B3249" s="8"/>
      <c r="C3249" s="8"/>
      <c r="D3249" s="8"/>
      <c r="E3249" s="8"/>
    </row>
    <row r="3250">
      <c r="A3250" s="8"/>
      <c r="B3250" s="8"/>
      <c r="C3250" s="8"/>
      <c r="D3250" s="8"/>
      <c r="E3250" s="8"/>
    </row>
    <row r="3251">
      <c r="A3251" s="8"/>
      <c r="B3251" s="8"/>
      <c r="C3251" s="8"/>
      <c r="D3251" s="8"/>
      <c r="E3251" s="8"/>
    </row>
    <row r="3252">
      <c r="A3252" s="8"/>
      <c r="B3252" s="8"/>
      <c r="C3252" s="8"/>
      <c r="D3252" s="8"/>
      <c r="E3252" s="8"/>
    </row>
    <row r="3253">
      <c r="A3253" s="8"/>
      <c r="B3253" s="8"/>
      <c r="C3253" s="8"/>
      <c r="D3253" s="8"/>
      <c r="E3253" s="8"/>
    </row>
    <row r="3254">
      <c r="A3254" s="8"/>
      <c r="B3254" s="8"/>
      <c r="C3254" s="8"/>
      <c r="D3254" s="8"/>
      <c r="E3254" s="8"/>
    </row>
    <row r="3255">
      <c r="A3255" s="8"/>
      <c r="B3255" s="8"/>
      <c r="C3255" s="8"/>
      <c r="D3255" s="8"/>
      <c r="E3255" s="8"/>
    </row>
    <row r="3256">
      <c r="A3256" s="8"/>
      <c r="B3256" s="8"/>
      <c r="C3256" s="8"/>
      <c r="D3256" s="8"/>
      <c r="E3256" s="8"/>
    </row>
    <row r="3257">
      <c r="A3257" s="8"/>
      <c r="B3257" s="8"/>
      <c r="C3257" s="8"/>
      <c r="D3257" s="8"/>
      <c r="E3257" s="8"/>
    </row>
    <row r="3258">
      <c r="A3258" s="8"/>
      <c r="B3258" s="8"/>
      <c r="C3258" s="8"/>
      <c r="D3258" s="8"/>
      <c r="E3258" s="8"/>
    </row>
    <row r="3259">
      <c r="A3259" s="8"/>
      <c r="B3259" s="8"/>
      <c r="C3259" s="8"/>
      <c r="D3259" s="8"/>
      <c r="E3259" s="8"/>
    </row>
    <row r="3260">
      <c r="A3260" s="8"/>
      <c r="B3260" s="8"/>
      <c r="C3260" s="8"/>
      <c r="D3260" s="8"/>
      <c r="E3260" s="8"/>
    </row>
    <row r="3261">
      <c r="A3261" s="8"/>
      <c r="B3261" s="8"/>
      <c r="C3261" s="8"/>
      <c r="D3261" s="8"/>
      <c r="E3261" s="8"/>
    </row>
    <row r="3262">
      <c r="A3262" s="8"/>
      <c r="B3262" s="8"/>
      <c r="C3262" s="8"/>
      <c r="D3262" s="8"/>
      <c r="E3262" s="8"/>
    </row>
    <row r="3263">
      <c r="A3263" s="8"/>
      <c r="B3263" s="8"/>
      <c r="C3263" s="8"/>
      <c r="D3263" s="8"/>
      <c r="E3263" s="8"/>
    </row>
    <row r="3264">
      <c r="A3264" s="8"/>
      <c r="B3264" s="8"/>
      <c r="C3264" s="8"/>
      <c r="D3264" s="8"/>
      <c r="E3264" s="8"/>
    </row>
    <row r="3265">
      <c r="A3265" s="8"/>
      <c r="B3265" s="8"/>
      <c r="C3265" s="8"/>
      <c r="D3265" s="8"/>
      <c r="E3265" s="8"/>
    </row>
    <row r="3266">
      <c r="A3266" s="8"/>
      <c r="B3266" s="8"/>
      <c r="C3266" s="8"/>
      <c r="D3266" s="8"/>
      <c r="E3266" s="8"/>
    </row>
    <row r="3267">
      <c r="A3267" s="8"/>
      <c r="B3267" s="8"/>
      <c r="C3267" s="8"/>
      <c r="D3267" s="8"/>
      <c r="E3267" s="8"/>
    </row>
    <row r="3268">
      <c r="A3268" s="8"/>
      <c r="B3268" s="8"/>
      <c r="C3268" s="8"/>
      <c r="D3268" s="8"/>
      <c r="E3268" s="8"/>
    </row>
    <row r="3269">
      <c r="A3269" s="8"/>
      <c r="B3269" s="8"/>
      <c r="C3269" s="8"/>
      <c r="D3269" s="8"/>
      <c r="E3269" s="8"/>
    </row>
    <row r="3270">
      <c r="A3270" s="8"/>
      <c r="B3270" s="8"/>
      <c r="C3270" s="8"/>
      <c r="D3270" s="8"/>
      <c r="E3270" s="8"/>
    </row>
    <row r="3271">
      <c r="A3271" s="8"/>
      <c r="B3271" s="8"/>
      <c r="C3271" s="8"/>
      <c r="D3271" s="8"/>
      <c r="E3271" s="8"/>
    </row>
    <row r="3272">
      <c r="A3272" s="8"/>
      <c r="B3272" s="8"/>
      <c r="C3272" s="8"/>
      <c r="D3272" s="8"/>
      <c r="E3272" s="8"/>
    </row>
    <row r="3273">
      <c r="A3273" s="8"/>
      <c r="B3273" s="8"/>
      <c r="C3273" s="8"/>
      <c r="D3273" s="8"/>
      <c r="E3273" s="8"/>
    </row>
    <row r="3274">
      <c r="A3274" s="8"/>
      <c r="B3274" s="8"/>
      <c r="C3274" s="8"/>
      <c r="D3274" s="8"/>
      <c r="E3274" s="8"/>
    </row>
    <row r="3275">
      <c r="A3275" s="8"/>
      <c r="B3275" s="8"/>
      <c r="C3275" s="8"/>
      <c r="D3275" s="8"/>
      <c r="E3275" s="8"/>
    </row>
    <row r="3276">
      <c r="A3276" s="8"/>
      <c r="B3276" s="8"/>
      <c r="C3276" s="8"/>
      <c r="D3276" s="8"/>
      <c r="E3276" s="8"/>
    </row>
    <row r="3277">
      <c r="A3277" s="8"/>
      <c r="B3277" s="8"/>
      <c r="C3277" s="8"/>
      <c r="D3277" s="8"/>
      <c r="E3277" s="8"/>
    </row>
    <row r="3278">
      <c r="A3278" s="8"/>
      <c r="B3278" s="8"/>
      <c r="C3278" s="8"/>
      <c r="D3278" s="8"/>
      <c r="E3278" s="8"/>
    </row>
    <row r="3279">
      <c r="A3279" s="8"/>
      <c r="B3279" s="8"/>
      <c r="C3279" s="8"/>
      <c r="D3279" s="8"/>
      <c r="E3279" s="8"/>
    </row>
    <row r="3280">
      <c r="A3280" s="8"/>
      <c r="B3280" s="8"/>
      <c r="C3280" s="8"/>
      <c r="D3280" s="8"/>
      <c r="E3280" s="8"/>
    </row>
    <row r="3281">
      <c r="A3281" s="8"/>
      <c r="B3281" s="8"/>
      <c r="C3281" s="8"/>
      <c r="D3281" s="8"/>
      <c r="E3281" s="8"/>
    </row>
    <row r="3282">
      <c r="A3282" s="8"/>
      <c r="B3282" s="8"/>
      <c r="C3282" s="8"/>
      <c r="D3282" s="8"/>
      <c r="E3282" s="8"/>
    </row>
    <row r="3283">
      <c r="A3283" s="8"/>
      <c r="B3283" s="8"/>
      <c r="C3283" s="8"/>
      <c r="D3283" s="8"/>
      <c r="E3283" s="8"/>
    </row>
    <row r="3284">
      <c r="A3284" s="8"/>
      <c r="B3284" s="8"/>
      <c r="C3284" s="8"/>
      <c r="D3284" s="8"/>
      <c r="E3284" s="8"/>
    </row>
    <row r="3285">
      <c r="A3285" s="8"/>
      <c r="B3285" s="8"/>
      <c r="C3285" s="8"/>
      <c r="D3285" s="8"/>
      <c r="E3285" s="8"/>
    </row>
    <row r="3286">
      <c r="A3286" s="8"/>
      <c r="B3286" s="8"/>
      <c r="C3286" s="8"/>
      <c r="D3286" s="8"/>
      <c r="E3286" s="8"/>
    </row>
    <row r="3287">
      <c r="A3287" s="8"/>
      <c r="B3287" s="8"/>
      <c r="C3287" s="8"/>
      <c r="D3287" s="8"/>
      <c r="E3287" s="8"/>
    </row>
    <row r="3288">
      <c r="A3288" s="8"/>
      <c r="B3288" s="8"/>
      <c r="C3288" s="8"/>
      <c r="D3288" s="8"/>
      <c r="E3288" s="8"/>
    </row>
    <row r="3289">
      <c r="A3289" s="8"/>
      <c r="B3289" s="8"/>
      <c r="C3289" s="8"/>
      <c r="D3289" s="8"/>
      <c r="E3289" s="8"/>
    </row>
    <row r="3290">
      <c r="A3290" s="8"/>
      <c r="B3290" s="8"/>
      <c r="C3290" s="8"/>
      <c r="D3290" s="8"/>
      <c r="E3290" s="8"/>
    </row>
    <row r="3291">
      <c r="A3291" s="8"/>
      <c r="B3291" s="8"/>
      <c r="C3291" s="8"/>
      <c r="D3291" s="8"/>
      <c r="E3291" s="8"/>
    </row>
    <row r="3292">
      <c r="A3292" s="8"/>
      <c r="B3292" s="8"/>
      <c r="C3292" s="8"/>
      <c r="D3292" s="8"/>
      <c r="E3292" s="8"/>
    </row>
    <row r="3293">
      <c r="A3293" s="8"/>
      <c r="B3293" s="8"/>
      <c r="C3293" s="8"/>
      <c r="D3293" s="8"/>
      <c r="E3293" s="8"/>
    </row>
    <row r="3294">
      <c r="A3294" s="8"/>
      <c r="B3294" s="8"/>
      <c r="C3294" s="8"/>
      <c r="D3294" s="8"/>
      <c r="E3294" s="8"/>
    </row>
    <row r="3295">
      <c r="A3295" s="8"/>
      <c r="B3295" s="8"/>
      <c r="C3295" s="8"/>
      <c r="D3295" s="8"/>
      <c r="E3295" s="8"/>
    </row>
    <row r="3296">
      <c r="A3296" s="8"/>
      <c r="B3296" s="8"/>
      <c r="C3296" s="8"/>
      <c r="D3296" s="8"/>
      <c r="E3296" s="8"/>
    </row>
    <row r="3297">
      <c r="A3297" s="8"/>
      <c r="B3297" s="8"/>
      <c r="C3297" s="8"/>
      <c r="D3297" s="8"/>
      <c r="E3297" s="8"/>
    </row>
    <row r="3298">
      <c r="A3298" s="8"/>
      <c r="B3298" s="8"/>
      <c r="C3298" s="8"/>
      <c r="D3298" s="8"/>
      <c r="E3298" s="8"/>
    </row>
    <row r="3299">
      <c r="A3299" s="8"/>
      <c r="B3299" s="8"/>
      <c r="C3299" s="8"/>
      <c r="D3299" s="8"/>
      <c r="E3299" s="8"/>
    </row>
    <row r="3300">
      <c r="A3300" s="8"/>
      <c r="B3300" s="8"/>
      <c r="C3300" s="8"/>
      <c r="D3300" s="8"/>
      <c r="E3300" s="8"/>
    </row>
    <row r="3301">
      <c r="A3301" s="8"/>
      <c r="B3301" s="8"/>
      <c r="C3301" s="8"/>
      <c r="D3301" s="8"/>
      <c r="E3301" s="8"/>
    </row>
    <row r="3302">
      <c r="A3302" s="8"/>
      <c r="B3302" s="8"/>
      <c r="C3302" s="8"/>
      <c r="D3302" s="8"/>
      <c r="E3302" s="8"/>
    </row>
    <row r="3303">
      <c r="A3303" s="8"/>
      <c r="B3303" s="8"/>
      <c r="C3303" s="8"/>
      <c r="D3303" s="8"/>
      <c r="E3303" s="8"/>
    </row>
    <row r="3304">
      <c r="A3304" s="8"/>
      <c r="B3304" s="8"/>
      <c r="C3304" s="8"/>
      <c r="D3304" s="8"/>
      <c r="E3304" s="8"/>
    </row>
    <row r="3305">
      <c r="A3305" s="8"/>
      <c r="B3305" s="8"/>
      <c r="C3305" s="8"/>
      <c r="D3305" s="8"/>
      <c r="E3305" s="8"/>
    </row>
    <row r="3306">
      <c r="A3306" s="8"/>
      <c r="B3306" s="8"/>
      <c r="C3306" s="8"/>
      <c r="D3306" s="8"/>
      <c r="E3306" s="8"/>
    </row>
    <row r="3307">
      <c r="A3307" s="8"/>
      <c r="B3307" s="8"/>
      <c r="C3307" s="8"/>
      <c r="D3307" s="8"/>
      <c r="E3307" s="8"/>
    </row>
    <row r="3308">
      <c r="A3308" s="8"/>
      <c r="B3308" s="8"/>
      <c r="C3308" s="8"/>
      <c r="D3308" s="8"/>
      <c r="E3308" s="8"/>
    </row>
    <row r="3309">
      <c r="A3309" s="8"/>
      <c r="B3309" s="8"/>
      <c r="C3309" s="8"/>
      <c r="D3309" s="8"/>
      <c r="E3309" s="8"/>
    </row>
    <row r="3310">
      <c r="A3310" s="8"/>
      <c r="B3310" s="8"/>
      <c r="C3310" s="8"/>
      <c r="D3310" s="8"/>
      <c r="E3310" s="8"/>
    </row>
    <row r="3311">
      <c r="A3311" s="8"/>
      <c r="B3311" s="8"/>
      <c r="C3311" s="8"/>
      <c r="D3311" s="8"/>
      <c r="E3311" s="8"/>
    </row>
    <row r="3312">
      <c r="A3312" s="8"/>
      <c r="B3312" s="8"/>
      <c r="C3312" s="8"/>
      <c r="D3312" s="8"/>
      <c r="E3312" s="8"/>
    </row>
    <row r="3313">
      <c r="A3313" s="8"/>
      <c r="B3313" s="8"/>
      <c r="C3313" s="8"/>
      <c r="D3313" s="8"/>
      <c r="E3313" s="8"/>
    </row>
    <row r="3314">
      <c r="A3314" s="8"/>
      <c r="B3314" s="8"/>
      <c r="C3314" s="8"/>
      <c r="D3314" s="8"/>
      <c r="E3314" s="8"/>
    </row>
    <row r="3315">
      <c r="A3315" s="8"/>
      <c r="B3315" s="8"/>
      <c r="C3315" s="8"/>
      <c r="D3315" s="8"/>
      <c r="E3315" s="8"/>
    </row>
    <row r="3316">
      <c r="A3316" s="8"/>
      <c r="B3316" s="8"/>
      <c r="C3316" s="8"/>
      <c r="D3316" s="8"/>
      <c r="E3316" s="8"/>
    </row>
    <row r="3317">
      <c r="A3317" s="8"/>
      <c r="B3317" s="8"/>
      <c r="C3317" s="8"/>
      <c r="D3317" s="8"/>
      <c r="E3317" s="8"/>
    </row>
    <row r="3318">
      <c r="A3318" s="8"/>
      <c r="B3318" s="8"/>
      <c r="C3318" s="8"/>
      <c r="D3318" s="8"/>
      <c r="E3318" s="8"/>
    </row>
    <row r="3319">
      <c r="A3319" s="8"/>
      <c r="B3319" s="8"/>
      <c r="C3319" s="8"/>
      <c r="D3319" s="8"/>
      <c r="E3319" s="8"/>
    </row>
    <row r="3320">
      <c r="A3320" s="8"/>
      <c r="B3320" s="8"/>
      <c r="C3320" s="8"/>
      <c r="D3320" s="8"/>
      <c r="E3320" s="8"/>
    </row>
    <row r="3321">
      <c r="A3321" s="8"/>
      <c r="B3321" s="8"/>
      <c r="C3321" s="8"/>
      <c r="D3321" s="8"/>
      <c r="E3321" s="8"/>
    </row>
    <row r="3322">
      <c r="A3322" s="8"/>
      <c r="B3322" s="8"/>
      <c r="C3322" s="8"/>
      <c r="D3322" s="8"/>
      <c r="E3322" s="8"/>
    </row>
    <row r="3323">
      <c r="A3323" s="8"/>
      <c r="B3323" s="8"/>
      <c r="C3323" s="8"/>
      <c r="D3323" s="8"/>
      <c r="E3323" s="8"/>
    </row>
    <row r="3324">
      <c r="A3324" s="8"/>
      <c r="B3324" s="8"/>
      <c r="C3324" s="8"/>
      <c r="D3324" s="8"/>
      <c r="E3324" s="8"/>
    </row>
    <row r="3325">
      <c r="A3325" s="8"/>
      <c r="B3325" s="8"/>
      <c r="C3325" s="8"/>
      <c r="D3325" s="8"/>
      <c r="E3325" s="8"/>
    </row>
    <row r="3326">
      <c r="A3326" s="8"/>
      <c r="B3326" s="8"/>
      <c r="C3326" s="8"/>
      <c r="D3326" s="8"/>
      <c r="E3326" s="8"/>
    </row>
    <row r="3327">
      <c r="A3327" s="8"/>
      <c r="B3327" s="8"/>
      <c r="C3327" s="8"/>
      <c r="D3327" s="8"/>
      <c r="E3327" s="8"/>
    </row>
    <row r="3328">
      <c r="A3328" s="8"/>
      <c r="B3328" s="8"/>
      <c r="C3328" s="8"/>
      <c r="D3328" s="8"/>
      <c r="E3328" s="8"/>
    </row>
    <row r="3329">
      <c r="A3329" s="8"/>
      <c r="B3329" s="8"/>
      <c r="C3329" s="8"/>
      <c r="D3329" s="8"/>
      <c r="E3329" s="8"/>
    </row>
    <row r="3330">
      <c r="A3330" s="8"/>
      <c r="B3330" s="8"/>
      <c r="C3330" s="8"/>
      <c r="D3330" s="8"/>
      <c r="E3330" s="8"/>
    </row>
    <row r="3331">
      <c r="A3331" s="8"/>
      <c r="B3331" s="8"/>
      <c r="C3331" s="8"/>
      <c r="D3331" s="8"/>
      <c r="E3331" s="8"/>
    </row>
    <row r="3332">
      <c r="A3332" s="8"/>
      <c r="B3332" s="8"/>
      <c r="C3332" s="8"/>
      <c r="D3332" s="8"/>
      <c r="E3332" s="8"/>
    </row>
    <row r="3333">
      <c r="A3333" s="8"/>
      <c r="B3333" s="8"/>
      <c r="C3333" s="8"/>
      <c r="D3333" s="8"/>
      <c r="E3333" s="8"/>
    </row>
    <row r="3334">
      <c r="A3334" s="8"/>
      <c r="B3334" s="8"/>
      <c r="C3334" s="8"/>
      <c r="D3334" s="8"/>
      <c r="E3334" s="8"/>
    </row>
    <row r="3335">
      <c r="A3335" s="8"/>
      <c r="B3335" s="8"/>
      <c r="C3335" s="8"/>
      <c r="D3335" s="8"/>
      <c r="E3335" s="8"/>
    </row>
    <row r="3336">
      <c r="A3336" s="8"/>
      <c r="B3336" s="8"/>
      <c r="C3336" s="8"/>
      <c r="D3336" s="8"/>
      <c r="E3336" s="8"/>
    </row>
    <row r="3337">
      <c r="A3337" s="8"/>
      <c r="B3337" s="8"/>
      <c r="C3337" s="8"/>
      <c r="D3337" s="8"/>
      <c r="E3337" s="8"/>
    </row>
    <row r="3338">
      <c r="A3338" s="8"/>
      <c r="B3338" s="8"/>
      <c r="C3338" s="8"/>
      <c r="D3338" s="8"/>
      <c r="E3338" s="8"/>
    </row>
    <row r="3339">
      <c r="A3339" s="8"/>
      <c r="B3339" s="8"/>
      <c r="C3339" s="8"/>
      <c r="D3339" s="8"/>
      <c r="E3339" s="8"/>
    </row>
    <row r="3340">
      <c r="A3340" s="8"/>
      <c r="B3340" s="8"/>
      <c r="C3340" s="8"/>
      <c r="D3340" s="8"/>
      <c r="E3340" s="8"/>
    </row>
    <row r="3341">
      <c r="A3341" s="8"/>
      <c r="B3341" s="8"/>
      <c r="C3341" s="8"/>
      <c r="D3341" s="8"/>
      <c r="E3341" s="8"/>
    </row>
    <row r="3342">
      <c r="A3342" s="8"/>
      <c r="B3342" s="8"/>
      <c r="C3342" s="8"/>
      <c r="D3342" s="8"/>
      <c r="E3342" s="8"/>
    </row>
    <row r="3343">
      <c r="A3343" s="8"/>
      <c r="B3343" s="8"/>
      <c r="C3343" s="8"/>
      <c r="D3343" s="8"/>
      <c r="E3343" s="8"/>
    </row>
    <row r="3344">
      <c r="A3344" s="8"/>
      <c r="B3344" s="8"/>
      <c r="C3344" s="8"/>
      <c r="D3344" s="8"/>
      <c r="E3344" s="8"/>
    </row>
    <row r="3345">
      <c r="A3345" s="8"/>
      <c r="B3345" s="8"/>
      <c r="C3345" s="8"/>
      <c r="D3345" s="8"/>
      <c r="E3345" s="8"/>
    </row>
    <row r="3346">
      <c r="A3346" s="8"/>
      <c r="B3346" s="8"/>
      <c r="C3346" s="8"/>
      <c r="D3346" s="8"/>
      <c r="E3346" s="8"/>
    </row>
    <row r="3347">
      <c r="A3347" s="8"/>
      <c r="B3347" s="8"/>
      <c r="C3347" s="8"/>
      <c r="D3347" s="8"/>
      <c r="E3347" s="8"/>
    </row>
    <row r="3348">
      <c r="A3348" s="8"/>
      <c r="B3348" s="8"/>
      <c r="C3348" s="8"/>
      <c r="D3348" s="8"/>
      <c r="E3348" s="8"/>
    </row>
    <row r="3349">
      <c r="A3349" s="8"/>
      <c r="B3349" s="8"/>
      <c r="C3349" s="8"/>
      <c r="D3349" s="8"/>
      <c r="E3349" s="8"/>
    </row>
    <row r="3350">
      <c r="A3350" s="8"/>
      <c r="B3350" s="8"/>
      <c r="C3350" s="8"/>
      <c r="D3350" s="8"/>
      <c r="E3350" s="8"/>
    </row>
    <row r="3351">
      <c r="A3351" s="8"/>
      <c r="B3351" s="8"/>
      <c r="C3351" s="8"/>
      <c r="D3351" s="8"/>
      <c r="E3351" s="8"/>
    </row>
    <row r="3352">
      <c r="A3352" s="8"/>
      <c r="B3352" s="8"/>
      <c r="C3352" s="8"/>
      <c r="D3352" s="8"/>
      <c r="E3352" s="8"/>
    </row>
    <row r="3353">
      <c r="A3353" s="8"/>
      <c r="B3353" s="8"/>
      <c r="C3353" s="8"/>
      <c r="D3353" s="8"/>
      <c r="E3353" s="8"/>
    </row>
    <row r="3354">
      <c r="A3354" s="8"/>
      <c r="B3354" s="8"/>
      <c r="C3354" s="8"/>
      <c r="D3354" s="8"/>
      <c r="E3354" s="8"/>
    </row>
    <row r="3355">
      <c r="A3355" s="8"/>
      <c r="B3355" s="8"/>
      <c r="C3355" s="8"/>
      <c r="D3355" s="8"/>
      <c r="E3355" s="8"/>
    </row>
    <row r="3356">
      <c r="A3356" s="8"/>
      <c r="B3356" s="8"/>
      <c r="C3356" s="8"/>
      <c r="D3356" s="8"/>
      <c r="E3356" s="8"/>
    </row>
    <row r="3357">
      <c r="A3357" s="8"/>
      <c r="B3357" s="8"/>
      <c r="C3357" s="8"/>
      <c r="D3357" s="8"/>
      <c r="E3357" s="8"/>
    </row>
    <row r="3358">
      <c r="A3358" s="8"/>
      <c r="B3358" s="8"/>
      <c r="C3358" s="8"/>
      <c r="D3358" s="8"/>
      <c r="E3358" s="8"/>
    </row>
    <row r="3359">
      <c r="A3359" s="8"/>
      <c r="B3359" s="8"/>
      <c r="C3359" s="8"/>
      <c r="D3359" s="8"/>
      <c r="E3359" s="8"/>
    </row>
    <row r="3360">
      <c r="A3360" s="8"/>
      <c r="B3360" s="8"/>
      <c r="C3360" s="8"/>
      <c r="D3360" s="8"/>
      <c r="E3360" s="8"/>
    </row>
    <row r="3361">
      <c r="A3361" s="8"/>
      <c r="B3361" s="8"/>
      <c r="C3361" s="8"/>
      <c r="D3361" s="8"/>
      <c r="E3361" s="8"/>
    </row>
    <row r="3362">
      <c r="A3362" s="8"/>
      <c r="B3362" s="8"/>
      <c r="C3362" s="8"/>
      <c r="D3362" s="8"/>
      <c r="E3362" s="8"/>
    </row>
    <row r="3363">
      <c r="A3363" s="8"/>
      <c r="B3363" s="8"/>
      <c r="C3363" s="8"/>
      <c r="D3363" s="8"/>
      <c r="E3363" s="8"/>
    </row>
    <row r="3364">
      <c r="A3364" s="8"/>
      <c r="B3364" s="8"/>
      <c r="C3364" s="8"/>
      <c r="D3364" s="8"/>
      <c r="E3364" s="8"/>
    </row>
  </sheetData>
  <drawing r:id="rId1"/>
</worksheet>
</file>